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95" yWindow="638" windowWidth="16200" windowHeight="11879" tabRatio="600" firstSheet="1" activeTab="5" autoFilterDateGrouping="1"/>
  </bookViews>
  <sheets>
    <sheet name="บันทึกรายเที่ยว" sheetId="1" state="visible" r:id="rId1"/>
    <sheet name="oil" sheetId="2" state="visible" r:id="rId2"/>
    <sheet name="สรุปเหมือง" sheetId="3" state="visible" r:id="rId3"/>
    <sheet name="ปะหน้าจ่ายรถร่วม" sheetId="4" state="visible" r:id="rId4"/>
    <sheet name="สรุปจ่ายรถร่วม" sheetId="5" state="visible" r:id="rId5"/>
    <sheet name="อัตราค่าขนส่ง" sheetId="6" state="visible" r:id="rId6"/>
    <sheet name="วิธีกรอก" sheetId="7" state="visible" r:id="rId7"/>
    <sheet name="รายการมาตรฐาน" sheetId="8" state="visible" r:id="rId8"/>
  </sheets>
  <definedNames>
    <definedName name="_xlnm._FilterDatabase" localSheetId="0" hidden="1">'บันทึกรายเที่ยว'!$A$5:$M$6005</definedName>
    <definedName name="_xlnm.Print_Titles" localSheetId="0">'บันทึกรายเที่ยว'!$5:$5</definedName>
    <definedName name="_xlnm.Print_Area" localSheetId="0">'บันทึกรายเที่ยว'!$A$1:$M$6005</definedName>
    <definedName name="_xlnm.Print_Titles" localSheetId="1">'oil'!$2:$3</definedName>
    <definedName name="_xlnm.Print_Area" localSheetId="1">'oil'!$A$1:$AE$64</definedName>
    <definedName name="_xlnm.Print_Titles" localSheetId="2">'สรุปเหมือง'!$6:$7</definedName>
    <definedName name="_xlnm.Print_Area" localSheetId="2">'สรุปเหมือง'!$A$1:$H$207</definedName>
    <definedName name="_xlnm.Print_Area" localSheetId="3">'ปะหน้าจ่ายรถร่วม'!$A$1:$H$75</definedName>
    <definedName name="_xlnm.Print_Titles" localSheetId="4">'สรุปจ่ายรถร่วม'!$2:$4</definedName>
    <definedName name="_xlnm.Print_Area" localSheetId="4">'สรุปจ่ายรถร่วม'!$A$1:$O$234</definedName>
    <definedName name="_xlnm.Print_Titles" localSheetId="5">'อัตราค่าขนส่ง'!$4:$4</definedName>
    <definedName name="_xlnm.Print_Area" localSheetId="5">'อัตราค่าขนส่ง'!$A$1:$G$204</definedName>
    <definedName name="_xlnm.Print_Area" localSheetId="6">'วิธีกรอก'!$A$1:$B$96</definedName>
    <definedName name="_xlnm.Print_Area" localSheetId="7">'รายการมาตรฐาน'!$A$1:$G$82</definedName>
  </definedNames>
  <calcPr calcId="191029" fullCalcOnLoad="1" calcOnSave="0"/>
</workbook>
</file>

<file path=xl/styles.xml><?xml version="1.0" encoding="utf-8"?>
<styleSheet xmlns="http://schemas.openxmlformats.org/spreadsheetml/2006/main">
  <numFmts count="1">
    <numFmt numFmtId="164" formatCode="#,##0.0000"/>
  </numFmts>
  <fonts count="25">
    <font>
      <name val="Calibri"/>
      <family val="2"/>
      <color theme="1"/>
      <sz val="11"/>
      <scheme val="minor"/>
    </font>
    <font>
      <name val="Cordia New"/>
      <family val="2"/>
      <b val="1"/>
      <color rgb="FFFFFFFF"/>
      <sz val="14"/>
    </font>
    <font>
      <name val="Cordia New"/>
      <family val="2"/>
      <sz val="14"/>
    </font>
    <font>
      <name val="Cordia New"/>
      <family val="2"/>
      <i val="1"/>
      <color rgb="FFC00000"/>
      <sz val="13"/>
    </font>
    <font>
      <name val="Cordia New"/>
      <family val="2"/>
      <b val="1"/>
      <sz val="18"/>
    </font>
    <font>
      <name val="Cordia New"/>
      <family val="2"/>
      <b val="1"/>
      <color rgb="FF1F4E79"/>
      <sz val="11"/>
    </font>
    <font>
      <name val="Cordia New"/>
      <family val="2"/>
      <b val="1"/>
      <sz val="14"/>
    </font>
    <font>
      <name val="Cordia New"/>
      <family val="2"/>
      <color rgb="FF999999"/>
      <sz val="9"/>
    </font>
    <font>
      <name val="Cordia New"/>
      <family val="2"/>
      <b val="1"/>
      <color rgb="FFC00000"/>
      <sz val="14"/>
    </font>
    <font>
      <name val="Cordia New"/>
      <family val="2"/>
      <b val="1"/>
      <sz val="13"/>
    </font>
    <font>
      <name val="Cordia New"/>
      <family val="2"/>
      <b val="1"/>
      <color rgb="FF1F4E79"/>
      <sz val="14"/>
    </font>
    <font>
      <name val="Cordia New"/>
      <family val="2"/>
      <b val="1"/>
      <color rgb="FF1F4E79"/>
      <sz val="12"/>
    </font>
    <font>
      <name val="Cordia New"/>
      <family val="2"/>
      <b val="1"/>
      <color rgb="FFC00000"/>
      <sz val="13"/>
    </font>
    <font>
      <name val="Cordia New"/>
      <family val="2"/>
      <b val="1"/>
      <sz val="15"/>
    </font>
    <font>
      <name val="Cordia New"/>
      <family val="2"/>
      <i val="1"/>
      <color rgb="FF808080"/>
      <sz val="12"/>
    </font>
    <font>
      <name val="Cordia New"/>
      <family val="2"/>
      <b val="1"/>
      <color rgb="FFC00000"/>
      <sz val="12"/>
    </font>
    <font>
      <name val="Cordia New"/>
      <family val="2"/>
      <b val="1"/>
      <color rgb="FF2E75B6"/>
      <sz val="12"/>
    </font>
    <font>
      <name val="Cordia New"/>
      <family val="2"/>
      <b val="1"/>
      <sz val="16"/>
    </font>
    <font>
      <name val="Cordia New"/>
      <family val="2"/>
      <b val="1"/>
      <color rgb="FF2E75B6"/>
      <sz val="14"/>
    </font>
    <font>
      <name val="Cordia New"/>
      <family val="2"/>
      <sz val="11"/>
    </font>
    <font>
      <name val="Cordia New"/>
      <family val="2"/>
      <i val="1"/>
      <color rgb="FF1F4E79"/>
      <sz val="12"/>
    </font>
    <font>
      <name val="Cordia New"/>
      <family val="2"/>
      <b val="1"/>
      <color rgb="FF1F4E79"/>
      <sz val="16"/>
    </font>
    <font>
      <name val="Cordia New"/>
      <family val="2"/>
      <b val="1"/>
      <color rgb="FF1F4E79"/>
      <sz val="13"/>
    </font>
    <font>
      <b val="1"/>
    </font>
    <font/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  <bgColor indexed="64"/>
      </patternFill>
    </fill>
    <fill>
      <patternFill patternType="solid">
        <fgColor rgb="00D9E1F2"/>
        <bgColor rgb="00D9E1F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2" fillId="3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6" fillId="3" borderId="1" pivotButton="0" quotePrefix="0" xfId="0"/>
    <xf numFmtId="0" fontId="7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4" fontId="2" fillId="3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4" fontId="6" fillId="3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8" fillId="0" borderId="0" pivotButton="0" quotePrefix="0" xfId="0"/>
    <xf numFmtId="0" fontId="10" fillId="5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/>
    </xf>
    <xf numFmtId="4" fontId="2" fillId="4" borderId="1" applyAlignment="1" pivotButton="0" quotePrefix="0" xfId="0">
      <alignment horizontal="right"/>
    </xf>
    <xf numFmtId="0" fontId="11" fillId="0" borderId="0" pivotButton="0" quotePrefix="0" xfId="0"/>
    <xf numFmtId="0" fontId="6" fillId="4" borderId="1" pivotButton="0" quotePrefix="0" xfId="0"/>
    <xf numFmtId="4" fontId="6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0" fontId="14" fillId="0" borderId="0" pivotButton="0" quotePrefix="0" xfId="0"/>
    <xf numFmtId="0" fontId="2" fillId="3" borderId="0" pivotButton="0" quotePrefix="0" xfId="0"/>
    <xf numFmtId="0" fontId="10" fillId="3" borderId="1" applyAlignment="1" pivotButton="0" quotePrefix="0" xfId="0">
      <alignment horizontal="left" vertical="center"/>
    </xf>
    <xf numFmtId="0" fontId="0" fillId="3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10" fillId="6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3" fontId="2" fillId="0" borderId="0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right"/>
    </xf>
    <xf numFmtId="0" fontId="18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8" fillId="3" borderId="1" pivotButton="0" quotePrefix="0" xfId="0"/>
    <xf numFmtId="164" fontId="2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4" fontId="2" fillId="3" borderId="1" pivotButton="0" quotePrefix="0" xfId="0"/>
    <xf numFmtId="4" fontId="2" fillId="4" borderId="1" pivotButton="0" quotePrefix="0" xfId="0"/>
    <xf numFmtId="0" fontId="21" fillId="5" borderId="0" pivotButton="0" quotePrefix="0" xfId="0"/>
    <xf numFmtId="0" fontId="22" fillId="7" borderId="0" pivotButton="0" quotePrefix="0" xfId="0"/>
    <xf numFmtId="0" fontId="6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8" borderId="1" applyAlignment="1" pivotButton="0" quotePrefix="0" xfId="0">
      <alignment horizontal="center" vertical="center" wrapText="1"/>
    </xf>
    <xf numFmtId="0" fontId="2" fillId="8" borderId="1" pivotButton="0" quotePrefix="0" xfId="0"/>
    <xf numFmtId="4" fontId="2" fillId="8" borderId="1" applyAlignment="1" pivotButton="0" quotePrefix="0" xfId="0">
      <alignment horizontal="right"/>
    </xf>
    <xf numFmtId="4" fontId="2" fillId="8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3" fillId="5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17" fillId="5" borderId="0" applyAlignment="1" pivotButton="0" quotePrefix="0" xfId="0">
      <alignment horizontal="center" vertical="center" wrapText="1"/>
    </xf>
    <xf numFmtId="0" fontId="23" fillId="9" borderId="0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center" vertical="center" wrapText="1"/>
    </xf>
    <xf numFmtId="0" fontId="24" fillId="0" borderId="0" pivotButton="0" quotePrefix="0" xfId="0"/>
  </cellXfs>
  <cellStyles count="1">
    <cellStyle name="Normal" xfId="0" builtinId="0"/>
  </cellStyles>
  <dxfs count="10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ordia New"/>
        <b val="1"/>
        <sz val="14"/>
      </font>
      <fill>
        <patternFill patternType="solid">
          <f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ordia New"/>
        <b val="1"/>
        <sz val="14"/>
      </font>
      <fill>
        <patternFill patternType="solid">
          <fgColor rgb="FFBDD7E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ordia New"/>
        <b val="1"/>
        <sz val="14"/>
      </font>
      <fill>
        <patternFill patternType="solid">
          <fgColor rgb="FFFFE6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ordia New"/>
        <b val="1"/>
        <sz val="14"/>
      </font>
      <fill>
        <patternFill patternType="solid">
          <fgColor rgb="FFFFE6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ordia New"/>
        <b val="1"/>
        <sz val="14"/>
      </font>
      <fill>
        <patternFill patternType="solid">
          <f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ordia New"/>
        <b val="1"/>
        <sz val="14"/>
      </font>
      <fill>
        <patternFill patternType="solid">
          <fgColor rgb="FFBDD7E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ordia New"/>
        <b val="1"/>
        <sz val="14"/>
      </font>
      <fill>
        <patternFill patternType="solid">
          <fgColor rgb="FFFFE6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AA6005"/>
  <sheetViews>
    <sheetView workbookViewId="0">
      <pane ySplit="5" topLeftCell="A6" activePane="bottomLeft" state="frozen"/>
      <selection pane="bottomLeft" activeCell="A3006" sqref="A3006:XFD6005"/>
    </sheetView>
  </sheetViews>
  <sheetFormatPr baseColWidth="8" defaultRowHeight="14.25"/>
  <cols>
    <col width="12" customWidth="1" style="66" min="1" max="1"/>
    <col width="15" customWidth="1" style="66" min="2" max="2"/>
    <col width="24" customWidth="1" style="66" min="3" max="3"/>
    <col width="21" customWidth="1" style="66" min="4" max="4"/>
    <col width="26" customWidth="1" style="66" min="5" max="5"/>
    <col width="32" customWidth="1" style="66" min="6" max="6"/>
    <col width="14" customWidth="1" style="66" min="7" max="7"/>
    <col width="13" customWidth="1" style="66" min="8" max="8"/>
    <col width="12" customWidth="1" style="66" min="9" max="9"/>
    <col width="14" customWidth="1" style="66" min="10" max="12"/>
    <col width="17" customWidth="1" style="66" min="13" max="13"/>
    <col width="30" customWidth="1" style="66" min="14" max="15"/>
    <col hidden="1" width="13" customWidth="1" style="66" min="17" max="27"/>
  </cols>
  <sheetData>
    <row r="1" ht="25.9" customHeight="1" s="66">
      <c r="A1" s="1" t="inlineStr">
        <is>
          <t>แบบฟอร์มรายงานการขนส่งรายเที่ยว (Template มาตรฐาน v11)</t>
        </is>
      </c>
    </row>
    <row r="2" ht="19.5" customHeight="1" s="66">
      <c r="A2" s="2" t="inlineStr">
        <is>
          <t>ใส่ข้อมูลตั้งแต่แถวที่ 6 ลงไป กรอกถึงแค่คอลัมน์ K (นน.ปลายทาง) พอ — คอลัมน์ L (ส่วนต่าง) และ M (จ่ายค่าบรรทุก) เป็นสูตร ระบบคิดให้เอง ห้ามพิมพ์ทับ | ถ้าก๊อปมาวาง ให้วางแค่ช่วง A ถึง K และใช้ คลิกขวา &gt; วางแบบพิเศษ &gt; ค่า (Paste Values) เพื่อไม่ให้ทับสูตรและ dropdown ที่ตั้งไว้ | วางเสร็จดูช่อง O10 "ชื่อที่ไม่อยู่ในรายการ" ต้องเป็น 0</t>
        </is>
      </c>
    </row>
    <row r="3" ht="21" customHeight="1" s="66">
      <c r="A3" s="3" t="inlineStr">
        <is>
          <t>ประจำเดือน:</t>
        </is>
      </c>
      <c r="B3" s="4" t="inlineStr">
        <is>
          <t>กรกฎาคม 2569</t>
        </is>
      </c>
      <c r="C3" s="3" t="inlineStr">
        <is>
          <t>เลขที่หนังสือ:</t>
        </is>
      </c>
      <c r="D3" s="5" t="n"/>
      <c r="E3" s="3" t="inlineStr">
        <is>
          <t>นามที่จ่าย (เล่มนี้):</t>
        </is>
      </c>
      <c r="F3" s="4" t="inlineStr">
        <is>
          <t>ศิลาชัย</t>
        </is>
      </c>
    </row>
    <row r="4" ht="19.9" customHeight="1" s="66">
      <c r="A4" s="6" t="inlineStr">
        <is>
          <t>ขั้นตอน: [เหมือง] กรอกหน้านี้ให้ครบ &gt; ดูช่องเตือน O11 ต้องขึ้นว่า ปกติ &gt; เปิด sheet "สรุปเหมือง" ตรวจให้ถูกต้อง (ช่อง I10 ต้องขึ้นว่า ยอดตรงกับรายเที่ยว) แล้วจึงส่งไฟล์ให้ฝ่ายบัญชี | [บัญชี] กรอก sheet "oil" + "อัตราค่าขนส่ง" แล้วตรวจ sheet "สรุปจ่ายรถร่วม" อีกครั้งก่อนพิมพ์ปะหน้า (หน้า oil เป็นของฝ่ายบัญชี เหมืองไม่ต้องกรอก)</t>
        </is>
      </c>
      <c r="N4" s="3" t="inlineStr">
        <is>
          <t>ช่องตรวจทาน (ห้ามลบ)</t>
        </is>
      </c>
    </row>
    <row r="5" ht="34.05" customHeight="1" s="66">
      <c r="A5" s="60" t="inlineStr">
        <is>
          <t>วันที่</t>
        </is>
      </c>
      <c r="B5" s="60" t="inlineStr">
        <is>
          <t>เหมืองต้นทาง</t>
        </is>
      </c>
      <c r="C5" s="60" t="inlineStr">
        <is>
          <t>ท่าปลายทาง</t>
        </is>
      </c>
      <c r="D5" s="60" t="inlineStr">
        <is>
          <t>ชนิดแร่/หิน</t>
        </is>
      </c>
      <c r="E5" s="60" t="inlineStr">
        <is>
          <t>แบก นน.</t>
        </is>
      </c>
      <c r="F5" s="60" t="inlineStr">
        <is>
          <t>ทีมรถร่วม</t>
        </is>
      </c>
      <c r="G5" s="60" t="inlineStr">
        <is>
          <t>นามที่จ่าย</t>
        </is>
      </c>
      <c r="H5" s="60" t="inlineStr">
        <is>
          <t>ทะเบียนรถ</t>
        </is>
      </c>
      <c r="I5" s="60" t="inlineStr">
        <is>
          <t>เลขที่ชั่ง</t>
        </is>
      </c>
      <c r="J5" s="60" t="inlineStr">
        <is>
          <t>นน.ต้นทาง (ตัน)</t>
        </is>
      </c>
      <c r="K5" s="60" t="inlineStr">
        <is>
          <t>นน.ปลายทาง (ตัน)</t>
        </is>
      </c>
      <c r="L5" s="60" t="inlineStr">
        <is>
          <t>นน.ส่วนต่าง (ตัน)</t>
        </is>
      </c>
      <c r="M5" s="60" t="inlineStr">
        <is>
          <t>นน.จ่ายค่าบรรทุก (ตัน)</t>
        </is>
      </c>
      <c r="N5" s="68" t="inlineStr">
        <is>
          <t>จำนวนเที่ยวที่กรอก</t>
        </is>
      </c>
      <c r="O5" s="9">
        <f>COUNTA($A$6:$A$6005)</f>
        <v/>
      </c>
      <c r="Q5" s="10" t="inlineStr">
        <is>
          <t>stoneLbl</t>
        </is>
      </c>
      <c r="R5" s="10" t="inlineStr">
        <is>
          <t>route</t>
        </is>
      </c>
      <c r="S5" s="10" t="inlineStr">
        <is>
          <t>key2</t>
        </is>
      </c>
      <c r="T5" s="10" t="inlineStr">
        <is>
          <t>key3</t>
        </is>
      </c>
      <c r="U5" s="10" t="inlineStr">
        <is>
          <t>rtb</t>
        </is>
      </c>
      <c r="V5" s="10" t="inlineStr">
        <is>
          <t>accKey</t>
        </is>
      </c>
      <c r="W5" s="10" t="inlineStr">
        <is>
          <t>seq3</t>
        </is>
      </c>
      <c r="X5" s="10" t="n">
        <v>0</v>
      </c>
      <c r="Y5" s="10" t="inlineStr">
        <is>
          <t>-</t>
        </is>
      </c>
      <c r="Z5" s="10" t="inlineStr">
        <is>
          <t>seqAcc</t>
        </is>
      </c>
      <c r="AA5" s="10" t="n">
        <v>0</v>
      </c>
    </row>
    <row r="6" ht="21" customHeight="1" s="66">
      <c r="A6" s="11" t="n"/>
      <c r="B6" s="4" t="n"/>
      <c r="C6" s="4" t="n"/>
      <c r="D6" s="4" t="n"/>
      <c r="E6" s="11" t="n"/>
      <c r="F6" s="4" t="n"/>
      <c r="G6" s="4" t="n"/>
      <c r="H6" s="11" t="n"/>
      <c r="I6" s="11" t="n"/>
      <c r="J6" s="12" t="n"/>
      <c r="K6" s="12" t="n"/>
      <c r="L6" s="13">
        <f>IF(OR($A6="",AND($J6="",$K6="")),"",ROUND(N($J6)-N($K6),2))</f>
        <v/>
      </c>
      <c r="M6" s="13">
        <f>IF(OR($A6="",AND($J6="",$K6="")),"",MIN($J6,$K6))</f>
        <v/>
      </c>
      <c r="N6" s="68" t="inlineStr">
        <is>
          <t>รวม นน.จ่ายค่าบรรทุก (ตัน)</t>
        </is>
      </c>
      <c r="O6" s="14">
        <f>ROUND(SUM($M$6:$M$6005),2)</f>
        <v/>
      </c>
      <c r="Q6">
        <f>IF($A6="","",$D6&amp;"("&amp;SUBSTITUTE($E6," ","")&amp;")")</f>
        <v/>
      </c>
      <c r="R6">
        <f>IF($A6="","",$B6&amp;" - "&amp;$C6)</f>
        <v/>
      </c>
      <c r="S6">
        <f>IF($A6="","",$R6&amp;"|"&amp;$Q6)</f>
        <v/>
      </c>
      <c r="T6">
        <f>IF($A6="","",$S6&amp;"|"&amp;$F6)</f>
        <v/>
      </c>
      <c r="U6">
        <f>IF($A6="","",$R6&amp;"("&amp;$E6&amp;")")</f>
        <v/>
      </c>
      <c r="V6">
        <f>IF($A6="","",$F6&amp;"|"&amp;$U6&amp;"|"&amp;$D6)</f>
        <v/>
      </c>
      <c r="W6">
        <f>IF($T6="","",IF($X6&gt;N($X5),$X6,""))</f>
        <v/>
      </c>
      <c r="X6">
        <f>IF($T6="",N($X5),IF(MATCH($T6,$T$6:$T$6005,0)=ROW()-5,N($X5)+1,N($X5)))</f>
        <v/>
      </c>
      <c r="Z6">
        <f>IF($V6="","",IF($AA6&gt;N($AA5),$AA6,""))</f>
        <v/>
      </c>
      <c r="AA6">
        <f>IF($V6="",N($AA5),IF(MATCH($V6,$V$6:$V$6005,0)=ROW()-5,N($AA5)+1,N($AA5)))</f>
        <v/>
      </c>
    </row>
    <row r="7" ht="21" customHeight="1" s="66">
      <c r="A7" s="11" t="n"/>
      <c r="B7" s="4" t="n"/>
      <c r="C7" s="4" t="n"/>
      <c r="D7" s="4" t="n"/>
      <c r="E7" s="11" t="n"/>
      <c r="F7" s="4" t="n"/>
      <c r="G7" s="4" t="n"/>
      <c r="H7" s="11" t="n"/>
      <c r="I7" s="11" t="n"/>
      <c r="J7" s="12" t="n"/>
      <c r="K7" s="12" t="n"/>
      <c r="L7" s="13">
        <f>IF(OR($A7="",AND($J7="",$K7="")),"",ROUND(N($J7)-N($K7),2))</f>
        <v/>
      </c>
      <c r="M7" s="13">
        <f>IF(OR($A7="",AND($J7="",$K7="")),"",MIN($J7,$K7))</f>
        <v/>
      </c>
      <c r="N7" s="68" t="inlineStr">
        <is>
          <t>แถวที่กรอกไม่ครบ</t>
        </is>
      </c>
      <c r="O7" s="9">
        <f>SUMPRODUCT(--($A$6:$A$6005&lt;&gt;""),--((($B$6:$B$6005="")+($C$6:$C$6005="")+($D$6:$D$6005="")+($E$6:$E$6005="")+($F$6:$F$6005="")+($G$6:$G$6005="")+($M$6:$M$6005=""))&gt;0))</f>
        <v/>
      </c>
      <c r="Q7">
        <f>IF($A7="","",$D7&amp;"("&amp;SUBSTITUTE($E7," ","")&amp;")")</f>
        <v/>
      </c>
      <c r="R7">
        <f>IF($A7="","",$B7&amp;" - "&amp;$C7)</f>
        <v/>
      </c>
      <c r="S7">
        <f>IF($A7="","",$R7&amp;"|"&amp;$Q7)</f>
        <v/>
      </c>
      <c r="T7">
        <f>IF($A7="","",$S7&amp;"|"&amp;$F7)</f>
        <v/>
      </c>
      <c r="U7">
        <f>IF($A7="","",$R7&amp;"("&amp;$E7&amp;")")</f>
        <v/>
      </c>
      <c r="V7">
        <f>IF($A7="","",$F7&amp;"|"&amp;$U7&amp;"|"&amp;$D7)</f>
        <v/>
      </c>
      <c r="W7">
        <f>IF($T7="","",IF($X7&gt;N($X6),$X7,""))</f>
        <v/>
      </c>
      <c r="X7">
        <f>IF($T7="",N($X6),IF(MATCH($T7,$T$6:$T$6005,0)=ROW()-5,N($X6)+1,N($X6)))</f>
        <v/>
      </c>
      <c r="Z7">
        <f>IF($V7="","",IF($AA7&gt;N($AA6),$AA7,""))</f>
        <v/>
      </c>
      <c r="AA7">
        <f>IF($V7="",N($AA6),IF(MATCH($V7,$V$6:$V$6005,0)=ROW()-5,N($AA6)+1,N($AA6)))</f>
        <v/>
      </c>
    </row>
    <row r="8" ht="21" customHeight="1" s="66">
      <c r="A8" s="56" t="n"/>
      <c r="B8" s="57" t="n"/>
      <c r="C8" s="57" t="n"/>
      <c r="D8" s="57" t="n"/>
      <c r="E8" s="56" t="n"/>
      <c r="F8" s="57" t="n"/>
      <c r="G8" s="57" t="n"/>
      <c r="H8" s="56" t="n"/>
      <c r="I8" s="56" t="n"/>
      <c r="J8" s="58" t="n"/>
      <c r="K8" s="58" t="n"/>
      <c r="L8" s="13">
        <f>IF(OR($A8="",AND($J8="",$K8="")),"",ROUND(N($J8)-N($K8),2))</f>
        <v/>
      </c>
      <c r="M8" s="13">
        <f>IF(OR($A8="",AND($J8="",$K8="")),"",MIN($J8,$K8))</f>
        <v/>
      </c>
      <c r="N8" s="68" t="inlineStr">
        <is>
          <t>จำนวนกลุ่ม หน้าสรุปเหมือง</t>
        </is>
      </c>
      <c r="O8" s="9">
        <f>N($X$6005)</f>
        <v/>
      </c>
      <c r="Q8">
        <f>IF($A8="","",$D8&amp;"("&amp;SUBSTITUTE($E8," ","")&amp;")")</f>
        <v/>
      </c>
      <c r="R8">
        <f>IF($A8="","",$B8&amp;" - "&amp;$C8)</f>
        <v/>
      </c>
      <c r="S8">
        <f>IF($A8="","",$R8&amp;"|"&amp;$Q8)</f>
        <v/>
      </c>
      <c r="T8">
        <f>IF($A8="","",$S8&amp;"|"&amp;$F8)</f>
        <v/>
      </c>
      <c r="U8">
        <f>IF($A8="","",$R8&amp;"("&amp;$E8&amp;")")</f>
        <v/>
      </c>
      <c r="V8">
        <f>IF($A8="","",$F8&amp;"|"&amp;$U8&amp;"|"&amp;$D8)</f>
        <v/>
      </c>
      <c r="W8">
        <f>IF($T8="","",IF($X8&gt;N($X7),$X8,""))</f>
        <v/>
      </c>
      <c r="X8">
        <f>IF($T8="",N($X7),IF(MATCH($T8,$T$6:$T$6005,0)=ROW()-5,N($X7)+1,N($X7)))</f>
        <v/>
      </c>
      <c r="Z8">
        <f>IF($V8="","",IF($AA8&gt;N($AA7),$AA8,""))</f>
        <v/>
      </c>
      <c r="AA8">
        <f>IF($V8="",N($AA7),IF(MATCH($V8,$V$6:$V$6005,0)=ROW()-5,N($AA7)+1,N($AA7)))</f>
        <v/>
      </c>
    </row>
    <row r="9" ht="21" customHeight="1" s="66">
      <c r="A9" s="56" t="n"/>
      <c r="B9" s="57" t="n"/>
      <c r="C9" s="57" t="n"/>
      <c r="D9" s="57" t="n"/>
      <c r="E9" s="56" t="n"/>
      <c r="F9" s="57" t="n"/>
      <c r="G9" s="57" t="n"/>
      <c r="H9" s="56" t="n"/>
      <c r="I9" s="56" t="n"/>
      <c r="J9" s="58" t="n"/>
      <c r="K9" s="58" t="n"/>
      <c r="L9" s="13">
        <f>IF(OR($A9="",AND($J9="",$K9="")),"",ROUND(N($J9)-N($K9),2))</f>
        <v/>
      </c>
      <c r="M9" s="13">
        <f>IF(OR($A9="",AND($J9="",$K9="")),"",MIN($J9,$K9))</f>
        <v/>
      </c>
      <c r="N9" s="68" t="inlineStr">
        <is>
          <t>จำนวนกลุ่ม หน้าสรุปบัญชี</t>
        </is>
      </c>
      <c r="O9" s="9">
        <f>N($AA$6005)</f>
        <v/>
      </c>
      <c r="Q9">
        <f>IF($A9="","",$D9&amp;"("&amp;SUBSTITUTE($E9," ","")&amp;")")</f>
        <v/>
      </c>
      <c r="R9">
        <f>IF($A9="","",$B9&amp;" - "&amp;$C9)</f>
        <v/>
      </c>
      <c r="S9">
        <f>IF($A9="","",$R9&amp;"|"&amp;$Q9)</f>
        <v/>
      </c>
      <c r="T9">
        <f>IF($A9="","",$S9&amp;"|"&amp;$F9)</f>
        <v/>
      </c>
      <c r="U9">
        <f>IF($A9="","",$R9&amp;"("&amp;$E9&amp;")")</f>
        <v/>
      </c>
      <c r="V9">
        <f>IF($A9="","",$F9&amp;"|"&amp;$U9&amp;"|"&amp;$D9)</f>
        <v/>
      </c>
      <c r="W9">
        <f>IF($T9="","",IF($X9&gt;N($X8),$X9,""))</f>
        <v/>
      </c>
      <c r="X9">
        <f>IF($T9="",N($X8),IF(MATCH($T9,$T$6:$T$6005,0)=ROW()-5,N($X8)+1,N($X8)))</f>
        <v/>
      </c>
      <c r="Z9">
        <f>IF($V9="","",IF($AA9&gt;N($AA8),$AA9,""))</f>
        <v/>
      </c>
      <c r="AA9">
        <f>IF($V9="",N($AA8),IF(MATCH($V9,$V$6:$V$6005,0)=ROW()-5,N($AA8)+1,N($AA8)))</f>
        <v/>
      </c>
    </row>
    <row r="10" ht="21" customHeight="1" s="66">
      <c r="A10" s="56" t="n"/>
      <c r="B10" s="57" t="n"/>
      <c r="C10" s="57" t="n"/>
      <c r="D10" s="57" t="n"/>
      <c r="E10" s="56" t="n"/>
      <c r="F10" s="57" t="n"/>
      <c r="G10" s="57" t="n"/>
      <c r="H10" s="56" t="n"/>
      <c r="I10" s="56" t="n"/>
      <c r="J10" s="58" t="n"/>
      <c r="K10" s="58" t="n"/>
      <c r="L10" s="13">
        <f>IF(OR($A10="",AND($J10="",$K10="")),"",ROUND(N($J10)-N($K10),2))</f>
        <v/>
      </c>
      <c r="M10" s="13">
        <f>IF(OR($A10="",AND($J10="",$K10="")),"",MIN($J10,$K10))</f>
        <v/>
      </c>
      <c r="N10" s="68" t="inlineStr">
        <is>
          <t>ชื่อที่ไม่อยู่ในรายการ (เช็คการวางทับ)</t>
        </is>
      </c>
      <c r="O10" s="9">
        <f>SUMPRODUCT(--($B$6:$B$6005&lt;&gt;""),--(COUNTIF(รายการมาตรฐาน!$B$2:$B$302,$B$6:$B$6005)=0))+SUMPRODUCT(--($C$6:$C$6005&lt;&gt;""),--(COUNTIF(รายการมาตรฐาน!$C$2:$C$302,$C$6:$C$6005)=0))+SUMPRODUCT(--($D$6:$D$6005&lt;&gt;""),--(COUNTIF(รายการมาตรฐาน!$D$2:$D$302,$D$6:$D$6005)=0))+SUMPRODUCT(--($E$6:$E$6005&lt;&gt;""),--(COUNTIF(รายการมาตรฐาน!$E$2:$E$302,$E$6:$E$6005)=0))+SUMPRODUCT(--($F$6:$F$6005&lt;&gt;""),--(COUNTIF(รายการมาตรฐาน!$F$2:$F$302,$F$6:$F$6005)=0))+SUMPRODUCT(--($G$6:$G$6005&lt;&gt;""),--(COUNTIF(รายการมาตรฐาน!$A$2:$A$302,$G$6:$G$6005)=0))</f>
        <v/>
      </c>
      <c r="Q10">
        <f>IF($A10="","",$D10&amp;"("&amp;SUBSTITUTE($E10," ","")&amp;")")</f>
        <v/>
      </c>
      <c r="R10">
        <f>IF($A10="","",$B10&amp;" - "&amp;$C10)</f>
        <v/>
      </c>
      <c r="S10">
        <f>IF($A10="","",$R10&amp;"|"&amp;$Q10)</f>
        <v/>
      </c>
      <c r="T10">
        <f>IF($A10="","",$S10&amp;"|"&amp;$F10)</f>
        <v/>
      </c>
      <c r="U10">
        <f>IF($A10="","",$R10&amp;"("&amp;$E10&amp;")")</f>
        <v/>
      </c>
      <c r="V10">
        <f>IF($A10="","",$F10&amp;"|"&amp;$U10&amp;"|"&amp;$D10)</f>
        <v/>
      </c>
      <c r="W10">
        <f>IF($T10="","",IF($X10&gt;N($X9),$X10,""))</f>
        <v/>
      </c>
      <c r="X10">
        <f>IF($T10="",N($X9),IF(MATCH($T10,$T$6:$T$6005,0)=ROW()-5,N($X9)+1,N($X9)))</f>
        <v/>
      </c>
      <c r="Z10">
        <f>IF($V10="","",IF($AA10&gt;N($AA9),$AA10,""))</f>
        <v/>
      </c>
      <c r="AA10">
        <f>IF($V10="",N($AA9),IF(MATCH($V10,$V$6:$V$6005,0)=ROW()-5,N($AA9)+1,N($AA9)))</f>
        <v/>
      </c>
    </row>
    <row r="11" ht="21" customHeight="1" s="66">
      <c r="A11" s="56" t="n"/>
      <c r="B11" s="57" t="n"/>
      <c r="C11" s="57" t="n"/>
      <c r="D11" s="57" t="n"/>
      <c r="E11" s="56" t="n"/>
      <c r="F11" s="57" t="n"/>
      <c r="G11" s="57" t="n"/>
      <c r="H11" s="56" t="n"/>
      <c r="I11" s="56" t="n"/>
      <c r="J11" s="58" t="n"/>
      <c r="K11" s="58" t="n"/>
      <c r="L11" s="13">
        <f>IF(OR($A11="",AND($J11="",$K11="")),"",ROUND(N($J11)-N($K11),2))</f>
        <v/>
      </c>
      <c r="M11" s="13">
        <f>IF(OR($A11="",AND($J11="",$K11="")),"",MIN($J11,$K11))</f>
        <v/>
      </c>
      <c r="N11" s="68" t="inlineStr">
        <is>
          <t>เตือน</t>
        </is>
      </c>
      <c r="O11" s="17">
        <f>IF($O$10&gt;0,"*** มีชื่อที่ไม่อยู่ในรายการ — น่าจะเกิดจากการวางทับ ***",IF(OR($O$8&gt;400,$O$9&gt;400),"*** กลุ่มเกิน 400 — แยกไฟล์ ***",IF($O$7&gt;0,"*** มีแถวกรอกไม่ครบ ***","ปกติ")))</f>
        <v/>
      </c>
      <c r="Q11">
        <f>IF($A11="","",$D11&amp;"("&amp;SUBSTITUTE($E11," ","")&amp;")")</f>
        <v/>
      </c>
      <c r="R11">
        <f>IF($A11="","",$B11&amp;" - "&amp;$C11)</f>
        <v/>
      </c>
      <c r="S11">
        <f>IF($A11="","",$R11&amp;"|"&amp;$Q11)</f>
        <v/>
      </c>
      <c r="T11">
        <f>IF($A11="","",$S11&amp;"|"&amp;$F11)</f>
        <v/>
      </c>
      <c r="U11">
        <f>IF($A11="","",$R11&amp;"("&amp;$E11&amp;")")</f>
        <v/>
      </c>
      <c r="V11">
        <f>IF($A11="","",$F11&amp;"|"&amp;$U11&amp;"|"&amp;$D11)</f>
        <v/>
      </c>
      <c r="W11">
        <f>IF($T11="","",IF($X11&gt;N($X10),$X11,""))</f>
        <v/>
      </c>
      <c r="X11">
        <f>IF($T11="",N($X10),IF(MATCH($T11,$T$6:$T$6005,0)=ROW()-5,N($X10)+1,N($X10)))</f>
        <v/>
      </c>
      <c r="Z11">
        <f>IF($V11="","",IF($AA11&gt;N($AA10),$AA11,""))</f>
        <v/>
      </c>
      <c r="AA11">
        <f>IF($V11="",N($AA10),IF(MATCH($V11,$V$6:$V$6005,0)=ROW()-5,N($AA10)+1,N($AA10)))</f>
        <v/>
      </c>
    </row>
    <row r="12" ht="21" customHeight="1" s="66">
      <c r="A12" s="56" t="n"/>
      <c r="B12" s="57" t="n"/>
      <c r="C12" s="57" t="n"/>
      <c r="D12" s="57" t="n"/>
      <c r="E12" s="56" t="n"/>
      <c r="F12" s="57" t="n"/>
      <c r="G12" s="57" t="n"/>
      <c r="H12" s="56" t="n"/>
      <c r="I12" s="56" t="n"/>
      <c r="J12" s="58" t="n"/>
      <c r="K12" s="58" t="n"/>
      <c r="L12" s="13">
        <f>IF(OR($A12="",AND($J12="",$K12="")),"",ROUND(N($J12)-N($K12),2))</f>
        <v/>
      </c>
      <c r="M12" s="13">
        <f>IF(OR($A12="",AND($J12="",$K12="")),"",MIN($J12,$K12))</f>
        <v/>
      </c>
      <c r="Q12">
        <f>IF($A12="","",$D12&amp;"("&amp;SUBSTITUTE($E12," ","")&amp;")")</f>
        <v/>
      </c>
      <c r="R12">
        <f>IF($A12="","",$B12&amp;" - "&amp;$C12)</f>
        <v/>
      </c>
      <c r="S12">
        <f>IF($A12="","",$R12&amp;"|"&amp;$Q12)</f>
        <v/>
      </c>
      <c r="T12">
        <f>IF($A12="","",$S12&amp;"|"&amp;$F12)</f>
        <v/>
      </c>
      <c r="U12">
        <f>IF($A12="","",$R12&amp;"("&amp;$E12&amp;")")</f>
        <v/>
      </c>
      <c r="V12">
        <f>IF($A12="","",$F12&amp;"|"&amp;$U12&amp;"|"&amp;$D12)</f>
        <v/>
      </c>
      <c r="W12">
        <f>IF($T12="","",IF($X12&gt;N($X11),$X12,""))</f>
        <v/>
      </c>
      <c r="X12">
        <f>IF($T12="",N($X11),IF(MATCH($T12,$T$6:$T$6005,0)=ROW()-5,N($X11)+1,N($X11)))</f>
        <v/>
      </c>
      <c r="Z12">
        <f>IF($V12="","",IF($AA12&gt;N($AA11),$AA12,""))</f>
        <v/>
      </c>
      <c r="AA12">
        <f>IF($V12="",N($AA11),IF(MATCH($V12,$V$6:$V$6005,0)=ROW()-5,N($AA11)+1,N($AA11)))</f>
        <v/>
      </c>
    </row>
    <row r="13" ht="21" customHeight="1" s="66">
      <c r="A13" s="56" t="n"/>
      <c r="B13" s="57" t="n"/>
      <c r="C13" s="57" t="n"/>
      <c r="D13" s="57" t="n"/>
      <c r="E13" s="56" t="n"/>
      <c r="F13" s="57" t="n"/>
      <c r="G13" s="57" t="n"/>
      <c r="H13" s="56" t="n"/>
      <c r="I13" s="56" t="n"/>
      <c r="J13" s="58" t="n"/>
      <c r="K13" s="58" t="n"/>
      <c r="L13" s="13">
        <f>IF(OR($A13="",AND($J13="",$K13="")),"",ROUND(N($J13)-N($K13),2))</f>
        <v/>
      </c>
      <c r="M13" s="13">
        <f>IF(OR($A13="",AND($J13="",$K13="")),"",MIN($J13,$K13))</f>
        <v/>
      </c>
      <c r="Q13">
        <f>IF($A13="","",$D13&amp;"("&amp;SUBSTITUTE($E13," ","")&amp;")")</f>
        <v/>
      </c>
      <c r="R13">
        <f>IF($A13="","",$B13&amp;" - "&amp;$C13)</f>
        <v/>
      </c>
      <c r="S13">
        <f>IF($A13="","",$R13&amp;"|"&amp;$Q13)</f>
        <v/>
      </c>
      <c r="T13">
        <f>IF($A13="","",$S13&amp;"|"&amp;$F13)</f>
        <v/>
      </c>
      <c r="U13">
        <f>IF($A13="","",$R13&amp;"("&amp;$E13&amp;")")</f>
        <v/>
      </c>
      <c r="V13">
        <f>IF($A13="","",$F13&amp;"|"&amp;$U13&amp;"|"&amp;$D13)</f>
        <v/>
      </c>
      <c r="W13">
        <f>IF($T13="","",IF($X13&gt;N($X12),$X13,""))</f>
        <v/>
      </c>
      <c r="X13">
        <f>IF($T13="",N($X12),IF(MATCH($T13,$T$6:$T$6005,0)=ROW()-5,N($X12)+1,N($X12)))</f>
        <v/>
      </c>
      <c r="Z13">
        <f>IF($V13="","",IF($AA13&gt;N($AA12),$AA13,""))</f>
        <v/>
      </c>
      <c r="AA13">
        <f>IF($V13="",N($AA12),IF(MATCH($V13,$V$6:$V$6005,0)=ROW()-5,N($AA12)+1,N($AA12)))</f>
        <v/>
      </c>
    </row>
    <row r="14" ht="21" customHeight="1" s="66">
      <c r="A14" s="56" t="n"/>
      <c r="B14" s="57" t="n"/>
      <c r="C14" s="57" t="n"/>
      <c r="D14" s="57" t="n"/>
      <c r="E14" s="56" t="n"/>
      <c r="F14" s="57" t="n"/>
      <c r="G14" s="57" t="n"/>
      <c r="H14" s="56" t="n"/>
      <c r="I14" s="56" t="n"/>
      <c r="J14" s="58" t="n"/>
      <c r="K14" s="58" t="n"/>
      <c r="L14" s="13">
        <f>IF(OR($A14="",AND($J14="",$K14="")),"",ROUND(N($J14)-N($K14),2))</f>
        <v/>
      </c>
      <c r="M14" s="13">
        <f>IF(OR($A14="",AND($J14="",$K14="")),"",MIN($J14,$K14))</f>
        <v/>
      </c>
      <c r="Q14">
        <f>IF($A14="","",$D14&amp;"("&amp;SUBSTITUTE($E14," ","")&amp;")")</f>
        <v/>
      </c>
      <c r="R14">
        <f>IF($A14="","",$B14&amp;" - "&amp;$C14)</f>
        <v/>
      </c>
      <c r="S14">
        <f>IF($A14="","",$R14&amp;"|"&amp;$Q14)</f>
        <v/>
      </c>
      <c r="T14">
        <f>IF($A14="","",$S14&amp;"|"&amp;$F14)</f>
        <v/>
      </c>
      <c r="U14">
        <f>IF($A14="","",$R14&amp;"("&amp;$E14&amp;")")</f>
        <v/>
      </c>
      <c r="V14">
        <f>IF($A14="","",$F14&amp;"|"&amp;$U14&amp;"|"&amp;$D14)</f>
        <v/>
      </c>
      <c r="W14">
        <f>IF($T14="","",IF($X14&gt;N($X13),$X14,""))</f>
        <v/>
      </c>
      <c r="X14">
        <f>IF($T14="",N($X13),IF(MATCH($T14,$T$6:$T$6005,0)=ROW()-5,N($X13)+1,N($X13)))</f>
        <v/>
      </c>
      <c r="Z14">
        <f>IF($V14="","",IF($AA14&gt;N($AA13),$AA14,""))</f>
        <v/>
      </c>
      <c r="AA14">
        <f>IF($V14="",N($AA13),IF(MATCH($V14,$V$6:$V$6005,0)=ROW()-5,N($AA13)+1,N($AA13)))</f>
        <v/>
      </c>
    </row>
    <row r="15" ht="21" customHeight="1" s="66">
      <c r="A15" s="56" t="n"/>
      <c r="B15" s="57" t="n"/>
      <c r="C15" s="57" t="n"/>
      <c r="D15" s="57" t="n"/>
      <c r="E15" s="56" t="n"/>
      <c r="F15" s="57" t="n"/>
      <c r="G15" s="57" t="n"/>
      <c r="H15" s="56" t="n"/>
      <c r="I15" s="56" t="n"/>
      <c r="J15" s="58" t="n"/>
      <c r="K15" s="58" t="n"/>
      <c r="L15" s="13">
        <f>IF(OR($A15="",AND($J15="",$K15="")),"",ROUND(N($J15)-N($K15),2))</f>
        <v/>
      </c>
      <c r="M15" s="13">
        <f>IF(OR($A15="",AND($J15="",$K15="")),"",MIN($J15,$K15))</f>
        <v/>
      </c>
      <c r="Q15">
        <f>IF($A15="","",$D15&amp;"("&amp;SUBSTITUTE($E15," ","")&amp;")")</f>
        <v/>
      </c>
      <c r="R15">
        <f>IF($A15="","",$B15&amp;" - "&amp;$C15)</f>
        <v/>
      </c>
      <c r="S15">
        <f>IF($A15="","",$R15&amp;"|"&amp;$Q15)</f>
        <v/>
      </c>
      <c r="T15">
        <f>IF($A15="","",$S15&amp;"|"&amp;$F15)</f>
        <v/>
      </c>
      <c r="U15">
        <f>IF($A15="","",$R15&amp;"("&amp;$E15&amp;")")</f>
        <v/>
      </c>
      <c r="V15">
        <f>IF($A15="","",$F15&amp;"|"&amp;$U15&amp;"|"&amp;$D15)</f>
        <v/>
      </c>
      <c r="W15">
        <f>IF($T15="","",IF($X15&gt;N($X14),$X15,""))</f>
        <v/>
      </c>
      <c r="X15">
        <f>IF($T15="",N($X14),IF(MATCH($T15,$T$6:$T$6005,0)=ROW()-5,N($X14)+1,N($X14)))</f>
        <v/>
      </c>
      <c r="Z15">
        <f>IF($V15="","",IF($AA15&gt;N($AA14),$AA15,""))</f>
        <v/>
      </c>
      <c r="AA15">
        <f>IF($V15="",N($AA14),IF(MATCH($V15,$V$6:$V$6005,0)=ROW()-5,N($AA14)+1,N($AA14)))</f>
        <v/>
      </c>
    </row>
    <row r="16" ht="21" customHeight="1" s="66">
      <c r="A16" s="56" t="n"/>
      <c r="B16" s="57" t="n"/>
      <c r="C16" s="57" t="n"/>
      <c r="D16" s="57" t="n"/>
      <c r="E16" s="56" t="n"/>
      <c r="F16" s="57" t="n"/>
      <c r="G16" s="57" t="n"/>
      <c r="H16" s="56" t="n"/>
      <c r="I16" s="56" t="n"/>
      <c r="J16" s="58" t="n"/>
      <c r="K16" s="58" t="n"/>
      <c r="L16" s="13">
        <f>IF(OR($A16="",AND($J16="",$K16="")),"",ROUND(N($J16)-N($K16),2))</f>
        <v/>
      </c>
      <c r="M16" s="13">
        <f>IF(OR($A16="",AND($J16="",$K16="")),"",MIN($J16,$K16))</f>
        <v/>
      </c>
      <c r="Q16">
        <f>IF($A16="","",$D16&amp;"("&amp;SUBSTITUTE($E16," ","")&amp;")")</f>
        <v/>
      </c>
      <c r="R16">
        <f>IF($A16="","",$B16&amp;" - "&amp;$C16)</f>
        <v/>
      </c>
      <c r="S16">
        <f>IF($A16="","",$R16&amp;"|"&amp;$Q16)</f>
        <v/>
      </c>
      <c r="T16">
        <f>IF($A16="","",$S16&amp;"|"&amp;$F16)</f>
        <v/>
      </c>
      <c r="U16">
        <f>IF($A16="","",$R16&amp;"("&amp;$E16&amp;")")</f>
        <v/>
      </c>
      <c r="V16">
        <f>IF($A16="","",$F16&amp;"|"&amp;$U16&amp;"|"&amp;$D16)</f>
        <v/>
      </c>
      <c r="W16">
        <f>IF($T16="","",IF($X16&gt;N($X15),$X16,""))</f>
        <v/>
      </c>
      <c r="X16">
        <f>IF($T16="",N($X15),IF(MATCH($T16,$T$6:$T$6005,0)=ROW()-5,N($X15)+1,N($X15)))</f>
        <v/>
      </c>
      <c r="Z16">
        <f>IF($V16="","",IF($AA16&gt;N($AA15),$AA16,""))</f>
        <v/>
      </c>
      <c r="AA16">
        <f>IF($V16="",N($AA15),IF(MATCH($V16,$V$6:$V$6005,0)=ROW()-5,N($AA15)+1,N($AA15)))</f>
        <v/>
      </c>
    </row>
    <row r="17" ht="21" customHeight="1" s="66">
      <c r="A17" s="56" t="n"/>
      <c r="B17" s="57" t="n"/>
      <c r="C17" s="57" t="n"/>
      <c r="D17" s="57" t="n"/>
      <c r="E17" s="56" t="n"/>
      <c r="F17" s="57" t="n"/>
      <c r="G17" s="57" t="n"/>
      <c r="H17" s="56" t="n"/>
      <c r="I17" s="56" t="n"/>
      <c r="J17" s="58" t="n"/>
      <c r="K17" s="58" t="n"/>
      <c r="L17" s="13">
        <f>IF(OR($A17="",AND($J17="",$K17="")),"",ROUND(N($J17)-N($K17),2))</f>
        <v/>
      </c>
      <c r="M17" s="13">
        <f>IF(OR($A17="",AND($J17="",$K17="")),"",MIN($J17,$K17))</f>
        <v/>
      </c>
      <c r="Q17">
        <f>IF($A17="","",$D17&amp;"("&amp;SUBSTITUTE($E17," ","")&amp;")")</f>
        <v/>
      </c>
      <c r="R17">
        <f>IF($A17="","",$B17&amp;" - "&amp;$C17)</f>
        <v/>
      </c>
      <c r="S17">
        <f>IF($A17="","",$R17&amp;"|"&amp;$Q17)</f>
        <v/>
      </c>
      <c r="T17">
        <f>IF($A17="","",$S17&amp;"|"&amp;$F17)</f>
        <v/>
      </c>
      <c r="U17">
        <f>IF($A17="","",$R17&amp;"("&amp;$E17&amp;")")</f>
        <v/>
      </c>
      <c r="V17">
        <f>IF($A17="","",$F17&amp;"|"&amp;$U17&amp;"|"&amp;$D17)</f>
        <v/>
      </c>
      <c r="W17">
        <f>IF($T17="","",IF($X17&gt;N($X16),$X17,""))</f>
        <v/>
      </c>
      <c r="X17">
        <f>IF($T17="",N($X16),IF(MATCH($T17,$T$6:$T$6005,0)=ROW()-5,N($X16)+1,N($X16)))</f>
        <v/>
      </c>
      <c r="Z17">
        <f>IF($V17="","",IF($AA17&gt;N($AA16),$AA17,""))</f>
        <v/>
      </c>
      <c r="AA17">
        <f>IF($V17="",N($AA16),IF(MATCH($V17,$V$6:$V$6005,0)=ROW()-5,N($AA16)+1,N($AA16)))</f>
        <v/>
      </c>
    </row>
    <row r="18" ht="21" customHeight="1" s="66">
      <c r="A18" s="56" t="n"/>
      <c r="B18" s="57" t="n"/>
      <c r="C18" s="57" t="n"/>
      <c r="D18" s="57" t="n"/>
      <c r="E18" s="56" t="n"/>
      <c r="F18" s="57" t="n"/>
      <c r="G18" s="57" t="n"/>
      <c r="H18" s="56" t="n"/>
      <c r="I18" s="56" t="n"/>
      <c r="J18" s="58" t="n"/>
      <c r="K18" s="58" t="n"/>
      <c r="L18" s="13">
        <f>IF(OR($A18="",AND($J18="",$K18="")),"",ROUND(N($J18)-N($K18),2))</f>
        <v/>
      </c>
      <c r="M18" s="13">
        <f>IF(OR($A18="",AND($J18="",$K18="")),"",MIN($J18,$K18))</f>
        <v/>
      </c>
      <c r="Q18">
        <f>IF($A18="","",$D18&amp;"("&amp;SUBSTITUTE($E18," ","")&amp;")")</f>
        <v/>
      </c>
      <c r="R18">
        <f>IF($A18="","",$B18&amp;" - "&amp;$C18)</f>
        <v/>
      </c>
      <c r="S18">
        <f>IF($A18="","",$R18&amp;"|"&amp;$Q18)</f>
        <v/>
      </c>
      <c r="T18">
        <f>IF($A18="","",$S18&amp;"|"&amp;$F18)</f>
        <v/>
      </c>
      <c r="U18">
        <f>IF($A18="","",$R18&amp;"("&amp;$E18&amp;")")</f>
        <v/>
      </c>
      <c r="V18">
        <f>IF($A18="","",$F18&amp;"|"&amp;$U18&amp;"|"&amp;$D18)</f>
        <v/>
      </c>
      <c r="W18">
        <f>IF($T18="","",IF($X18&gt;N($X17),$X18,""))</f>
        <v/>
      </c>
      <c r="X18">
        <f>IF($T18="",N($X17),IF(MATCH($T18,$T$6:$T$6005,0)=ROW()-5,N($X17)+1,N($X17)))</f>
        <v/>
      </c>
      <c r="Z18">
        <f>IF($V18="","",IF($AA18&gt;N($AA17),$AA18,""))</f>
        <v/>
      </c>
      <c r="AA18">
        <f>IF($V18="",N($AA17),IF(MATCH($V18,$V$6:$V$6005,0)=ROW()-5,N($AA17)+1,N($AA17)))</f>
        <v/>
      </c>
    </row>
    <row r="19" ht="21" customHeight="1" s="66">
      <c r="A19" s="56" t="n"/>
      <c r="B19" s="57" t="n"/>
      <c r="C19" s="57" t="n"/>
      <c r="D19" s="57" t="n"/>
      <c r="E19" s="56" t="n"/>
      <c r="F19" s="57" t="n"/>
      <c r="G19" s="57" t="n"/>
      <c r="H19" s="56" t="n"/>
      <c r="I19" s="56" t="n"/>
      <c r="J19" s="58" t="n"/>
      <c r="K19" s="58" t="n"/>
      <c r="L19" s="13">
        <f>IF(OR($A19="",AND($J19="",$K19="")),"",ROUND(N($J19)-N($K19),2))</f>
        <v/>
      </c>
      <c r="M19" s="13">
        <f>IF(OR($A19="",AND($J19="",$K19="")),"",MIN($J19,$K19))</f>
        <v/>
      </c>
      <c r="Q19">
        <f>IF($A19="","",$D19&amp;"("&amp;SUBSTITUTE($E19," ","")&amp;")")</f>
        <v/>
      </c>
      <c r="R19">
        <f>IF($A19="","",$B19&amp;" - "&amp;$C19)</f>
        <v/>
      </c>
      <c r="S19">
        <f>IF($A19="","",$R19&amp;"|"&amp;$Q19)</f>
        <v/>
      </c>
      <c r="T19">
        <f>IF($A19="","",$S19&amp;"|"&amp;$F19)</f>
        <v/>
      </c>
      <c r="U19">
        <f>IF($A19="","",$R19&amp;"("&amp;$E19&amp;")")</f>
        <v/>
      </c>
      <c r="V19">
        <f>IF($A19="","",$F19&amp;"|"&amp;$U19&amp;"|"&amp;$D19)</f>
        <v/>
      </c>
      <c r="W19">
        <f>IF($T19="","",IF($X19&gt;N($X18),$X19,""))</f>
        <v/>
      </c>
      <c r="X19">
        <f>IF($T19="",N($X18),IF(MATCH($T19,$T$6:$T$6005,0)=ROW()-5,N($X18)+1,N($X18)))</f>
        <v/>
      </c>
      <c r="Z19">
        <f>IF($V19="","",IF($AA19&gt;N($AA18),$AA19,""))</f>
        <v/>
      </c>
      <c r="AA19">
        <f>IF($V19="",N($AA18),IF(MATCH($V19,$V$6:$V$6005,0)=ROW()-5,N($AA18)+1,N($AA18)))</f>
        <v/>
      </c>
    </row>
    <row r="20" ht="21" customHeight="1" s="66">
      <c r="A20" s="56" t="n"/>
      <c r="B20" s="57" t="n"/>
      <c r="C20" s="57" t="n"/>
      <c r="D20" s="57" t="n"/>
      <c r="E20" s="56" t="n"/>
      <c r="F20" s="57" t="n"/>
      <c r="G20" s="57" t="n"/>
      <c r="H20" s="56" t="n"/>
      <c r="I20" s="56" t="n"/>
      <c r="J20" s="58" t="n"/>
      <c r="K20" s="58" t="n"/>
      <c r="L20" s="13">
        <f>IF(OR($A20="",AND($J20="",$K20="")),"",ROUND(N($J20)-N($K20),2))</f>
        <v/>
      </c>
      <c r="M20" s="13">
        <f>IF(OR($A20="",AND($J20="",$K20="")),"",MIN($J20,$K20))</f>
        <v/>
      </c>
      <c r="Q20">
        <f>IF($A20="","",$D20&amp;"("&amp;SUBSTITUTE($E20," ","")&amp;")")</f>
        <v/>
      </c>
      <c r="R20">
        <f>IF($A20="","",$B20&amp;" - "&amp;$C20)</f>
        <v/>
      </c>
      <c r="S20">
        <f>IF($A20="","",$R20&amp;"|"&amp;$Q20)</f>
        <v/>
      </c>
      <c r="T20">
        <f>IF($A20="","",$S20&amp;"|"&amp;$F20)</f>
        <v/>
      </c>
      <c r="U20">
        <f>IF($A20="","",$R20&amp;"("&amp;$E20&amp;")")</f>
        <v/>
      </c>
      <c r="V20">
        <f>IF($A20="","",$F20&amp;"|"&amp;$U20&amp;"|"&amp;$D20)</f>
        <v/>
      </c>
      <c r="W20">
        <f>IF($T20="","",IF($X20&gt;N($X19),$X20,""))</f>
        <v/>
      </c>
      <c r="X20">
        <f>IF($T20="",N($X19),IF(MATCH($T20,$T$6:$T$6005,0)=ROW()-5,N($X19)+1,N($X19)))</f>
        <v/>
      </c>
      <c r="Z20">
        <f>IF($V20="","",IF($AA20&gt;N($AA19),$AA20,""))</f>
        <v/>
      </c>
      <c r="AA20">
        <f>IF($V20="",N($AA19),IF(MATCH($V20,$V$6:$V$6005,0)=ROW()-5,N($AA19)+1,N($AA19)))</f>
        <v/>
      </c>
    </row>
    <row r="21" ht="21" customHeight="1" s="66">
      <c r="A21" s="56" t="n"/>
      <c r="B21" s="57" t="n"/>
      <c r="C21" s="57" t="n"/>
      <c r="D21" s="57" t="n"/>
      <c r="E21" s="56" t="n"/>
      <c r="F21" s="57" t="n"/>
      <c r="G21" s="57" t="n"/>
      <c r="H21" s="56" t="n"/>
      <c r="I21" s="56" t="n"/>
      <c r="J21" s="58" t="n"/>
      <c r="K21" s="58" t="n"/>
      <c r="L21" s="13">
        <f>IF(OR($A21="",AND($J21="",$K21="")),"",ROUND(N($J21)-N($K21),2))</f>
        <v/>
      </c>
      <c r="M21" s="13">
        <f>IF(OR($A21="",AND($J21="",$K21="")),"",MIN($J21,$K21))</f>
        <v/>
      </c>
      <c r="Q21">
        <f>IF($A21="","",$D21&amp;"("&amp;SUBSTITUTE($E21," ","")&amp;")")</f>
        <v/>
      </c>
      <c r="R21">
        <f>IF($A21="","",$B21&amp;" - "&amp;$C21)</f>
        <v/>
      </c>
      <c r="S21">
        <f>IF($A21="","",$R21&amp;"|"&amp;$Q21)</f>
        <v/>
      </c>
      <c r="T21">
        <f>IF($A21="","",$S21&amp;"|"&amp;$F21)</f>
        <v/>
      </c>
      <c r="U21">
        <f>IF($A21="","",$R21&amp;"("&amp;$E21&amp;")")</f>
        <v/>
      </c>
      <c r="V21">
        <f>IF($A21="","",$F21&amp;"|"&amp;$U21&amp;"|"&amp;$D21)</f>
        <v/>
      </c>
      <c r="W21">
        <f>IF($T21="","",IF($X21&gt;N($X20),$X21,""))</f>
        <v/>
      </c>
      <c r="X21">
        <f>IF($T21="",N($X20),IF(MATCH($T21,$T$6:$T$6005,0)=ROW()-5,N($X20)+1,N($X20)))</f>
        <v/>
      </c>
      <c r="Z21">
        <f>IF($V21="","",IF($AA21&gt;N($AA20),$AA21,""))</f>
        <v/>
      </c>
      <c r="AA21">
        <f>IF($V21="",N($AA20),IF(MATCH($V21,$V$6:$V$6005,0)=ROW()-5,N($AA20)+1,N($AA20)))</f>
        <v/>
      </c>
    </row>
    <row r="22" ht="21" customHeight="1" s="66">
      <c r="A22" s="56" t="n"/>
      <c r="B22" s="57" t="n"/>
      <c r="C22" s="57" t="n"/>
      <c r="D22" s="57" t="n"/>
      <c r="E22" s="56" t="n"/>
      <c r="F22" s="57" t="n"/>
      <c r="G22" s="57" t="n"/>
      <c r="H22" s="56" t="n"/>
      <c r="I22" s="56" t="n"/>
      <c r="J22" s="58" t="n"/>
      <c r="K22" s="58" t="n"/>
      <c r="L22" s="13">
        <f>IF(OR($A22="",AND($J22="",$K22="")),"",ROUND(N($J22)-N($K22),2))</f>
        <v/>
      </c>
      <c r="M22" s="13">
        <f>IF(OR($A22="",AND($J22="",$K22="")),"",MIN($J22,$K22))</f>
        <v/>
      </c>
      <c r="Q22">
        <f>IF($A22="","",$D22&amp;"("&amp;SUBSTITUTE($E22," ","")&amp;")")</f>
        <v/>
      </c>
      <c r="R22">
        <f>IF($A22="","",$B22&amp;" - "&amp;$C22)</f>
        <v/>
      </c>
      <c r="S22">
        <f>IF($A22="","",$R22&amp;"|"&amp;$Q22)</f>
        <v/>
      </c>
      <c r="T22">
        <f>IF($A22="","",$S22&amp;"|"&amp;$F22)</f>
        <v/>
      </c>
      <c r="U22">
        <f>IF($A22="","",$R22&amp;"("&amp;$E22&amp;")")</f>
        <v/>
      </c>
      <c r="V22">
        <f>IF($A22="","",$F22&amp;"|"&amp;$U22&amp;"|"&amp;$D22)</f>
        <v/>
      </c>
      <c r="W22">
        <f>IF($T22="","",IF($X22&gt;N($X21),$X22,""))</f>
        <v/>
      </c>
      <c r="X22">
        <f>IF($T22="",N($X21),IF(MATCH($T22,$T$6:$T$6005,0)=ROW()-5,N($X21)+1,N($X21)))</f>
        <v/>
      </c>
      <c r="Z22">
        <f>IF($V22="","",IF($AA22&gt;N($AA21),$AA22,""))</f>
        <v/>
      </c>
      <c r="AA22">
        <f>IF($V22="",N($AA21),IF(MATCH($V22,$V$6:$V$6005,0)=ROW()-5,N($AA21)+1,N($AA21)))</f>
        <v/>
      </c>
    </row>
    <row r="23" ht="21" customHeight="1" s="66">
      <c r="A23" s="56" t="n"/>
      <c r="B23" s="57" t="n"/>
      <c r="C23" s="57" t="n"/>
      <c r="D23" s="57" t="n"/>
      <c r="E23" s="56" t="n"/>
      <c r="F23" s="57" t="n"/>
      <c r="G23" s="57" t="n"/>
      <c r="H23" s="56" t="n"/>
      <c r="I23" s="56" t="n"/>
      <c r="J23" s="58" t="n"/>
      <c r="K23" s="58" t="n"/>
      <c r="L23" s="13">
        <f>IF(OR($A23="",AND($J23="",$K23="")),"",ROUND(N($J23)-N($K23),2))</f>
        <v/>
      </c>
      <c r="M23" s="13">
        <f>IF(OR($A23="",AND($J23="",$K23="")),"",MIN($J23,$K23))</f>
        <v/>
      </c>
      <c r="Q23">
        <f>IF($A23="","",$D23&amp;"("&amp;SUBSTITUTE($E23," ","")&amp;")")</f>
        <v/>
      </c>
      <c r="R23">
        <f>IF($A23="","",$B23&amp;" - "&amp;$C23)</f>
        <v/>
      </c>
      <c r="S23">
        <f>IF($A23="","",$R23&amp;"|"&amp;$Q23)</f>
        <v/>
      </c>
      <c r="T23">
        <f>IF($A23="","",$S23&amp;"|"&amp;$F23)</f>
        <v/>
      </c>
      <c r="U23">
        <f>IF($A23="","",$R23&amp;"("&amp;$E23&amp;")")</f>
        <v/>
      </c>
      <c r="V23">
        <f>IF($A23="","",$F23&amp;"|"&amp;$U23&amp;"|"&amp;$D23)</f>
        <v/>
      </c>
      <c r="W23">
        <f>IF($T23="","",IF($X23&gt;N($X22),$X23,""))</f>
        <v/>
      </c>
      <c r="X23">
        <f>IF($T23="",N($X22),IF(MATCH($T23,$T$6:$T$6005,0)=ROW()-5,N($X22)+1,N($X22)))</f>
        <v/>
      </c>
      <c r="Z23">
        <f>IF($V23="","",IF($AA23&gt;N($AA22),$AA23,""))</f>
        <v/>
      </c>
      <c r="AA23">
        <f>IF($V23="",N($AA22),IF(MATCH($V23,$V$6:$V$6005,0)=ROW()-5,N($AA22)+1,N($AA22)))</f>
        <v/>
      </c>
    </row>
    <row r="24" ht="21" customHeight="1" s="66">
      <c r="A24" s="56" t="n"/>
      <c r="B24" s="57" t="n"/>
      <c r="C24" s="57" t="n"/>
      <c r="D24" s="57" t="n"/>
      <c r="E24" s="56" t="n"/>
      <c r="F24" s="57" t="n"/>
      <c r="G24" s="57" t="n"/>
      <c r="H24" s="56" t="n"/>
      <c r="I24" s="56" t="n"/>
      <c r="J24" s="58" t="n"/>
      <c r="K24" s="58" t="n"/>
      <c r="L24" s="13">
        <f>IF(OR($A24="",AND($J24="",$K24="")),"",ROUND(N($J24)-N($K24),2))</f>
        <v/>
      </c>
      <c r="M24" s="13">
        <f>IF(OR($A24="",AND($J24="",$K24="")),"",MIN($J24,$K24))</f>
        <v/>
      </c>
      <c r="Q24">
        <f>IF($A24="","",$D24&amp;"("&amp;SUBSTITUTE($E24," ","")&amp;")")</f>
        <v/>
      </c>
      <c r="R24">
        <f>IF($A24="","",$B24&amp;" - "&amp;$C24)</f>
        <v/>
      </c>
      <c r="S24">
        <f>IF($A24="","",$R24&amp;"|"&amp;$Q24)</f>
        <v/>
      </c>
      <c r="T24">
        <f>IF($A24="","",$S24&amp;"|"&amp;$F24)</f>
        <v/>
      </c>
      <c r="U24">
        <f>IF($A24="","",$R24&amp;"("&amp;$E24&amp;")")</f>
        <v/>
      </c>
      <c r="V24">
        <f>IF($A24="","",$F24&amp;"|"&amp;$U24&amp;"|"&amp;$D24)</f>
        <v/>
      </c>
      <c r="W24">
        <f>IF($T24="","",IF($X24&gt;N($X23),$X24,""))</f>
        <v/>
      </c>
      <c r="X24">
        <f>IF($T24="",N($X23),IF(MATCH($T24,$T$6:$T$6005,0)=ROW()-5,N($X23)+1,N($X23)))</f>
        <v/>
      </c>
      <c r="Z24">
        <f>IF($V24="","",IF($AA24&gt;N($AA23),$AA24,""))</f>
        <v/>
      </c>
      <c r="AA24">
        <f>IF($V24="",N($AA23),IF(MATCH($V24,$V$6:$V$6005,0)=ROW()-5,N($AA23)+1,N($AA23)))</f>
        <v/>
      </c>
    </row>
    <row r="25" ht="21" customHeight="1" s="66">
      <c r="A25" s="56" t="n"/>
      <c r="B25" s="57" t="n"/>
      <c r="C25" s="57" t="n"/>
      <c r="D25" s="57" t="n"/>
      <c r="E25" s="56" t="n"/>
      <c r="F25" s="57" t="n"/>
      <c r="G25" s="57" t="n"/>
      <c r="H25" s="56" t="n"/>
      <c r="I25" s="56" t="n"/>
      <c r="J25" s="58" t="n"/>
      <c r="K25" s="58" t="n"/>
      <c r="L25" s="13">
        <f>IF(OR($A25="",AND($J25="",$K25="")),"",ROUND(N($J25)-N($K25),2))</f>
        <v/>
      </c>
      <c r="M25" s="13">
        <f>IF(OR($A25="",AND($J25="",$K25="")),"",MIN($J25,$K25))</f>
        <v/>
      </c>
      <c r="Q25">
        <f>IF($A25="","",$D25&amp;"("&amp;SUBSTITUTE($E25," ","")&amp;")")</f>
        <v/>
      </c>
      <c r="R25">
        <f>IF($A25="","",$B25&amp;" - "&amp;$C25)</f>
        <v/>
      </c>
      <c r="S25">
        <f>IF($A25="","",$R25&amp;"|"&amp;$Q25)</f>
        <v/>
      </c>
      <c r="T25">
        <f>IF($A25="","",$S25&amp;"|"&amp;$F25)</f>
        <v/>
      </c>
      <c r="U25">
        <f>IF($A25="","",$R25&amp;"("&amp;$E25&amp;")")</f>
        <v/>
      </c>
      <c r="V25">
        <f>IF($A25="","",$F25&amp;"|"&amp;$U25&amp;"|"&amp;$D25)</f>
        <v/>
      </c>
      <c r="W25">
        <f>IF($T25="","",IF($X25&gt;N($X24),$X25,""))</f>
        <v/>
      </c>
      <c r="X25">
        <f>IF($T25="",N($X24),IF(MATCH($T25,$T$6:$T$6005,0)=ROW()-5,N($X24)+1,N($X24)))</f>
        <v/>
      </c>
      <c r="Z25">
        <f>IF($V25="","",IF($AA25&gt;N($AA24),$AA25,""))</f>
        <v/>
      </c>
      <c r="AA25">
        <f>IF($V25="",N($AA24),IF(MATCH($V25,$V$6:$V$6005,0)=ROW()-5,N($AA24)+1,N($AA24)))</f>
        <v/>
      </c>
    </row>
    <row r="26" ht="21" customHeight="1" s="66">
      <c r="A26" s="56" t="n"/>
      <c r="B26" s="57" t="n"/>
      <c r="C26" s="57" t="n"/>
      <c r="D26" s="57" t="n"/>
      <c r="E26" s="56" t="n"/>
      <c r="F26" s="57" t="n"/>
      <c r="G26" s="57" t="n"/>
      <c r="H26" s="56" t="n"/>
      <c r="I26" s="56" t="n"/>
      <c r="J26" s="58" t="n"/>
      <c r="K26" s="58" t="n"/>
      <c r="L26" s="13">
        <f>IF(OR($A26="",AND($J26="",$K26="")),"",ROUND(N($J26)-N($K26),2))</f>
        <v/>
      </c>
      <c r="M26" s="13">
        <f>IF(OR($A26="",AND($J26="",$K26="")),"",MIN($J26,$K26))</f>
        <v/>
      </c>
      <c r="Q26">
        <f>IF($A26="","",$D26&amp;"("&amp;SUBSTITUTE($E26," ","")&amp;")")</f>
        <v/>
      </c>
      <c r="R26">
        <f>IF($A26="","",$B26&amp;" - "&amp;$C26)</f>
        <v/>
      </c>
      <c r="S26">
        <f>IF($A26="","",$R26&amp;"|"&amp;$Q26)</f>
        <v/>
      </c>
      <c r="T26">
        <f>IF($A26="","",$S26&amp;"|"&amp;$F26)</f>
        <v/>
      </c>
      <c r="U26">
        <f>IF($A26="","",$R26&amp;"("&amp;$E26&amp;")")</f>
        <v/>
      </c>
      <c r="V26">
        <f>IF($A26="","",$F26&amp;"|"&amp;$U26&amp;"|"&amp;$D26)</f>
        <v/>
      </c>
      <c r="W26">
        <f>IF($T26="","",IF($X26&gt;N($X25),$X26,""))</f>
        <v/>
      </c>
      <c r="X26">
        <f>IF($T26="",N($X25),IF(MATCH($T26,$T$6:$T$6005,0)=ROW()-5,N($X25)+1,N($X25)))</f>
        <v/>
      </c>
      <c r="Z26">
        <f>IF($V26="","",IF($AA26&gt;N($AA25),$AA26,""))</f>
        <v/>
      </c>
      <c r="AA26">
        <f>IF($V26="",N($AA25),IF(MATCH($V26,$V$6:$V$6005,0)=ROW()-5,N($AA25)+1,N($AA25)))</f>
        <v/>
      </c>
    </row>
    <row r="27" ht="21" customHeight="1" s="66">
      <c r="A27" s="56" t="n"/>
      <c r="B27" s="57" t="n"/>
      <c r="C27" s="57" t="n"/>
      <c r="D27" s="57" t="n"/>
      <c r="E27" s="56" t="n"/>
      <c r="F27" s="57" t="n"/>
      <c r="G27" s="57" t="n"/>
      <c r="H27" s="56" t="n"/>
      <c r="I27" s="56" t="n"/>
      <c r="J27" s="58" t="n"/>
      <c r="K27" s="58" t="n"/>
      <c r="L27" s="13">
        <f>IF(OR($A27="",AND($J27="",$K27="")),"",ROUND(N($J27)-N($K27),2))</f>
        <v/>
      </c>
      <c r="M27" s="13">
        <f>IF(OR($A27="",AND($J27="",$K27="")),"",MIN($J27,$K27))</f>
        <v/>
      </c>
      <c r="Q27">
        <f>IF($A27="","",$D27&amp;"("&amp;SUBSTITUTE($E27," ","")&amp;")")</f>
        <v/>
      </c>
      <c r="R27">
        <f>IF($A27="","",$B27&amp;" - "&amp;$C27)</f>
        <v/>
      </c>
      <c r="S27">
        <f>IF($A27="","",$R27&amp;"|"&amp;$Q27)</f>
        <v/>
      </c>
      <c r="T27">
        <f>IF($A27="","",$S27&amp;"|"&amp;$F27)</f>
        <v/>
      </c>
      <c r="U27">
        <f>IF($A27="","",$R27&amp;"("&amp;$E27&amp;")")</f>
        <v/>
      </c>
      <c r="V27">
        <f>IF($A27="","",$F27&amp;"|"&amp;$U27&amp;"|"&amp;$D27)</f>
        <v/>
      </c>
      <c r="W27">
        <f>IF($T27="","",IF($X27&gt;N($X26),$X27,""))</f>
        <v/>
      </c>
      <c r="X27">
        <f>IF($T27="",N($X26),IF(MATCH($T27,$T$6:$T$6005,0)=ROW()-5,N($X26)+1,N($X26)))</f>
        <v/>
      </c>
      <c r="Z27">
        <f>IF($V27="","",IF($AA27&gt;N($AA26),$AA27,""))</f>
        <v/>
      </c>
      <c r="AA27">
        <f>IF($V27="",N($AA26),IF(MATCH($V27,$V$6:$V$6005,0)=ROW()-5,N($AA26)+1,N($AA26)))</f>
        <v/>
      </c>
    </row>
    <row r="28" ht="21" customHeight="1" s="66">
      <c r="A28" s="56" t="n"/>
      <c r="B28" s="57" t="n"/>
      <c r="C28" s="57" t="n"/>
      <c r="D28" s="57" t="n"/>
      <c r="E28" s="56" t="n"/>
      <c r="F28" s="57" t="n"/>
      <c r="G28" s="57" t="n"/>
      <c r="H28" s="56" t="n"/>
      <c r="I28" s="56" t="n"/>
      <c r="J28" s="58" t="n"/>
      <c r="K28" s="58" t="n"/>
      <c r="L28" s="13">
        <f>IF(OR($A28="",AND($J28="",$K28="")),"",ROUND(N($J28)-N($K28),2))</f>
        <v/>
      </c>
      <c r="M28" s="13">
        <f>IF(OR($A28="",AND($J28="",$K28="")),"",MIN($J28,$K28))</f>
        <v/>
      </c>
      <c r="Q28">
        <f>IF($A28="","",$D28&amp;"("&amp;SUBSTITUTE($E28," ","")&amp;")")</f>
        <v/>
      </c>
      <c r="R28">
        <f>IF($A28="","",$B28&amp;" - "&amp;$C28)</f>
        <v/>
      </c>
      <c r="S28">
        <f>IF($A28="","",$R28&amp;"|"&amp;$Q28)</f>
        <v/>
      </c>
      <c r="T28">
        <f>IF($A28="","",$S28&amp;"|"&amp;$F28)</f>
        <v/>
      </c>
      <c r="U28">
        <f>IF($A28="","",$R28&amp;"("&amp;$E28&amp;")")</f>
        <v/>
      </c>
      <c r="V28">
        <f>IF($A28="","",$F28&amp;"|"&amp;$U28&amp;"|"&amp;$D28)</f>
        <v/>
      </c>
      <c r="W28">
        <f>IF($T28="","",IF($X28&gt;N($X27),$X28,""))</f>
        <v/>
      </c>
      <c r="X28">
        <f>IF($T28="",N($X27),IF(MATCH($T28,$T$6:$T$6005,0)=ROW()-5,N($X27)+1,N($X27)))</f>
        <v/>
      </c>
      <c r="Z28">
        <f>IF($V28="","",IF($AA28&gt;N($AA27),$AA28,""))</f>
        <v/>
      </c>
      <c r="AA28">
        <f>IF($V28="",N($AA27),IF(MATCH($V28,$V$6:$V$6005,0)=ROW()-5,N($AA27)+1,N($AA27)))</f>
        <v/>
      </c>
    </row>
    <row r="29" ht="21" customHeight="1" s="66">
      <c r="A29" s="56" t="n"/>
      <c r="B29" s="57" t="n"/>
      <c r="C29" s="57" t="n"/>
      <c r="D29" s="57" t="n"/>
      <c r="E29" s="56" t="n"/>
      <c r="F29" s="57" t="n"/>
      <c r="G29" s="57" t="n"/>
      <c r="H29" s="56" t="n"/>
      <c r="I29" s="56" t="n"/>
      <c r="J29" s="58" t="n"/>
      <c r="K29" s="58" t="n"/>
      <c r="L29" s="13">
        <f>IF(OR($A29="",AND($J29="",$K29="")),"",ROUND(N($J29)-N($K29),2))</f>
        <v/>
      </c>
      <c r="M29" s="13">
        <f>IF(OR($A29="",AND($J29="",$K29="")),"",MIN($J29,$K29))</f>
        <v/>
      </c>
      <c r="Q29">
        <f>IF($A29="","",$D29&amp;"("&amp;SUBSTITUTE($E29," ","")&amp;")")</f>
        <v/>
      </c>
      <c r="R29">
        <f>IF($A29="","",$B29&amp;" - "&amp;$C29)</f>
        <v/>
      </c>
      <c r="S29">
        <f>IF($A29="","",$R29&amp;"|"&amp;$Q29)</f>
        <v/>
      </c>
      <c r="T29">
        <f>IF($A29="","",$S29&amp;"|"&amp;$F29)</f>
        <v/>
      </c>
      <c r="U29">
        <f>IF($A29="","",$R29&amp;"("&amp;$E29&amp;")")</f>
        <v/>
      </c>
      <c r="V29">
        <f>IF($A29="","",$F29&amp;"|"&amp;$U29&amp;"|"&amp;$D29)</f>
        <v/>
      </c>
      <c r="W29">
        <f>IF($T29="","",IF($X29&gt;N($X28),$X29,""))</f>
        <v/>
      </c>
      <c r="X29">
        <f>IF($T29="",N($X28),IF(MATCH($T29,$T$6:$T$6005,0)=ROW()-5,N($X28)+1,N($X28)))</f>
        <v/>
      </c>
      <c r="Z29">
        <f>IF($V29="","",IF($AA29&gt;N($AA28),$AA29,""))</f>
        <v/>
      </c>
      <c r="AA29">
        <f>IF($V29="",N($AA28),IF(MATCH($V29,$V$6:$V$6005,0)=ROW()-5,N($AA28)+1,N($AA28)))</f>
        <v/>
      </c>
    </row>
    <row r="30" ht="21" customHeight="1" s="66">
      <c r="A30" s="56" t="n"/>
      <c r="B30" s="57" t="n"/>
      <c r="C30" s="57" t="n"/>
      <c r="D30" s="57" t="n"/>
      <c r="E30" s="56" t="n"/>
      <c r="F30" s="57" t="n"/>
      <c r="G30" s="57" t="n"/>
      <c r="H30" s="56" t="n"/>
      <c r="I30" s="56" t="n"/>
      <c r="J30" s="58" t="n"/>
      <c r="K30" s="58" t="n"/>
      <c r="L30" s="13">
        <f>IF(OR($A30="",AND($J30="",$K30="")),"",ROUND(N($J30)-N($K30),2))</f>
        <v/>
      </c>
      <c r="M30" s="13">
        <f>IF(OR($A30="",AND($J30="",$K30="")),"",MIN($J30,$K30))</f>
        <v/>
      </c>
      <c r="Q30">
        <f>IF($A30="","",$D30&amp;"("&amp;SUBSTITUTE($E30," ","")&amp;")")</f>
        <v/>
      </c>
      <c r="R30">
        <f>IF($A30="","",$B30&amp;" - "&amp;$C30)</f>
        <v/>
      </c>
      <c r="S30">
        <f>IF($A30="","",$R30&amp;"|"&amp;$Q30)</f>
        <v/>
      </c>
      <c r="T30">
        <f>IF($A30="","",$S30&amp;"|"&amp;$F30)</f>
        <v/>
      </c>
      <c r="U30">
        <f>IF($A30="","",$R30&amp;"("&amp;$E30&amp;")")</f>
        <v/>
      </c>
      <c r="V30">
        <f>IF($A30="","",$F30&amp;"|"&amp;$U30&amp;"|"&amp;$D30)</f>
        <v/>
      </c>
      <c r="W30">
        <f>IF($T30="","",IF($X30&gt;N($X29),$X30,""))</f>
        <v/>
      </c>
      <c r="X30">
        <f>IF($T30="",N($X29),IF(MATCH($T30,$T$6:$T$6005,0)=ROW()-5,N($X29)+1,N($X29)))</f>
        <v/>
      </c>
      <c r="Z30">
        <f>IF($V30="","",IF($AA30&gt;N($AA29),$AA30,""))</f>
        <v/>
      </c>
      <c r="AA30">
        <f>IF($V30="",N($AA29),IF(MATCH($V30,$V$6:$V$6005,0)=ROW()-5,N($AA29)+1,N($AA29)))</f>
        <v/>
      </c>
    </row>
    <row r="31" ht="21" customHeight="1" s="66">
      <c r="A31" s="56" t="n"/>
      <c r="B31" s="57" t="n"/>
      <c r="C31" s="57" t="n"/>
      <c r="D31" s="57" t="n"/>
      <c r="E31" s="56" t="n"/>
      <c r="F31" s="57" t="n"/>
      <c r="G31" s="57" t="n"/>
      <c r="H31" s="56" t="n"/>
      <c r="I31" s="56" t="n"/>
      <c r="J31" s="58" t="n"/>
      <c r="K31" s="58" t="n"/>
      <c r="L31" s="13">
        <f>IF(OR($A31="",AND($J31="",$K31="")),"",ROUND(N($J31)-N($K31),2))</f>
        <v/>
      </c>
      <c r="M31" s="13">
        <f>IF(OR($A31="",AND($J31="",$K31="")),"",MIN($J31,$K31))</f>
        <v/>
      </c>
      <c r="Q31">
        <f>IF($A31="","",$D31&amp;"("&amp;SUBSTITUTE($E31," ","")&amp;")")</f>
        <v/>
      </c>
      <c r="R31">
        <f>IF($A31="","",$B31&amp;" - "&amp;$C31)</f>
        <v/>
      </c>
      <c r="S31">
        <f>IF($A31="","",$R31&amp;"|"&amp;$Q31)</f>
        <v/>
      </c>
      <c r="T31">
        <f>IF($A31="","",$S31&amp;"|"&amp;$F31)</f>
        <v/>
      </c>
      <c r="U31">
        <f>IF($A31="","",$R31&amp;"("&amp;$E31&amp;")")</f>
        <v/>
      </c>
      <c r="V31">
        <f>IF($A31="","",$F31&amp;"|"&amp;$U31&amp;"|"&amp;$D31)</f>
        <v/>
      </c>
      <c r="W31">
        <f>IF($T31="","",IF($X31&gt;N($X30),$X31,""))</f>
        <v/>
      </c>
      <c r="X31">
        <f>IF($T31="",N($X30),IF(MATCH($T31,$T$6:$T$6005,0)=ROW()-5,N($X30)+1,N($X30)))</f>
        <v/>
      </c>
      <c r="Z31">
        <f>IF($V31="","",IF($AA31&gt;N($AA30),$AA31,""))</f>
        <v/>
      </c>
      <c r="AA31">
        <f>IF($V31="",N($AA30),IF(MATCH($V31,$V$6:$V$6005,0)=ROW()-5,N($AA30)+1,N($AA30)))</f>
        <v/>
      </c>
    </row>
    <row r="32" ht="21" customHeight="1" s="66">
      <c r="A32" s="56" t="n"/>
      <c r="B32" s="57" t="n"/>
      <c r="C32" s="57" t="n"/>
      <c r="D32" s="57" t="n"/>
      <c r="E32" s="56" t="n"/>
      <c r="F32" s="57" t="n"/>
      <c r="G32" s="57" t="n"/>
      <c r="H32" s="56" t="n"/>
      <c r="I32" s="56" t="n"/>
      <c r="J32" s="58" t="n"/>
      <c r="K32" s="58" t="n"/>
      <c r="L32" s="13">
        <f>IF(OR($A32="",AND($J32="",$K32="")),"",ROUND(N($J32)-N($K32),2))</f>
        <v/>
      </c>
      <c r="M32" s="13">
        <f>IF(OR($A32="",AND($J32="",$K32="")),"",MIN($J32,$K32))</f>
        <v/>
      </c>
      <c r="Q32">
        <f>IF($A32="","",$D32&amp;"("&amp;SUBSTITUTE($E32," ","")&amp;")")</f>
        <v/>
      </c>
      <c r="R32">
        <f>IF($A32="","",$B32&amp;" - "&amp;$C32)</f>
        <v/>
      </c>
      <c r="S32">
        <f>IF($A32="","",$R32&amp;"|"&amp;$Q32)</f>
        <v/>
      </c>
      <c r="T32">
        <f>IF($A32="","",$S32&amp;"|"&amp;$F32)</f>
        <v/>
      </c>
      <c r="U32">
        <f>IF($A32="","",$R32&amp;"("&amp;$E32&amp;")")</f>
        <v/>
      </c>
      <c r="V32">
        <f>IF($A32="","",$F32&amp;"|"&amp;$U32&amp;"|"&amp;$D32)</f>
        <v/>
      </c>
      <c r="W32">
        <f>IF($T32="","",IF($X32&gt;N($X31),$X32,""))</f>
        <v/>
      </c>
      <c r="X32">
        <f>IF($T32="",N($X31),IF(MATCH($T32,$T$6:$T$6005,0)=ROW()-5,N($X31)+1,N($X31)))</f>
        <v/>
      </c>
      <c r="Z32">
        <f>IF($V32="","",IF($AA32&gt;N($AA31),$AA32,""))</f>
        <v/>
      </c>
      <c r="AA32">
        <f>IF($V32="",N($AA31),IF(MATCH($V32,$V$6:$V$6005,0)=ROW()-5,N($AA31)+1,N($AA31)))</f>
        <v/>
      </c>
    </row>
    <row r="33" ht="21" customHeight="1" s="66">
      <c r="A33" s="56" t="n"/>
      <c r="B33" s="57" t="n"/>
      <c r="C33" s="57" t="n"/>
      <c r="D33" s="57" t="n"/>
      <c r="E33" s="56" t="n"/>
      <c r="F33" s="57" t="n"/>
      <c r="G33" s="57" t="n"/>
      <c r="H33" s="56" t="n"/>
      <c r="I33" s="56" t="n"/>
      <c r="J33" s="58" t="n"/>
      <c r="K33" s="58" t="n"/>
      <c r="L33" s="13">
        <f>IF(OR($A33="",AND($J33="",$K33="")),"",ROUND(N($J33)-N($K33),2))</f>
        <v/>
      </c>
      <c r="M33" s="13">
        <f>IF(OR($A33="",AND($J33="",$K33="")),"",MIN($J33,$K33))</f>
        <v/>
      </c>
      <c r="Q33">
        <f>IF($A33="","",$D33&amp;"("&amp;SUBSTITUTE($E33," ","")&amp;")")</f>
        <v/>
      </c>
      <c r="R33">
        <f>IF($A33="","",$B33&amp;" - "&amp;$C33)</f>
        <v/>
      </c>
      <c r="S33">
        <f>IF($A33="","",$R33&amp;"|"&amp;$Q33)</f>
        <v/>
      </c>
      <c r="T33">
        <f>IF($A33="","",$S33&amp;"|"&amp;$F33)</f>
        <v/>
      </c>
      <c r="U33">
        <f>IF($A33="","",$R33&amp;"("&amp;$E33&amp;")")</f>
        <v/>
      </c>
      <c r="V33">
        <f>IF($A33="","",$F33&amp;"|"&amp;$U33&amp;"|"&amp;$D33)</f>
        <v/>
      </c>
      <c r="W33">
        <f>IF($T33="","",IF($X33&gt;N($X32),$X33,""))</f>
        <v/>
      </c>
      <c r="X33">
        <f>IF($T33="",N($X32),IF(MATCH($T33,$T$6:$T$6005,0)=ROW()-5,N($X32)+1,N($X32)))</f>
        <v/>
      </c>
      <c r="Z33">
        <f>IF($V33="","",IF($AA33&gt;N($AA32),$AA33,""))</f>
        <v/>
      </c>
      <c r="AA33">
        <f>IF($V33="",N($AA32),IF(MATCH($V33,$V$6:$V$6005,0)=ROW()-5,N($AA32)+1,N($AA32)))</f>
        <v/>
      </c>
    </row>
    <row r="34" ht="21" customHeight="1" s="66">
      <c r="A34" s="56" t="n"/>
      <c r="B34" s="57" t="n"/>
      <c r="C34" s="57" t="n"/>
      <c r="D34" s="57" t="n"/>
      <c r="E34" s="56" t="n"/>
      <c r="F34" s="57" t="n"/>
      <c r="G34" s="57" t="n"/>
      <c r="H34" s="56" t="n"/>
      <c r="I34" s="56" t="n"/>
      <c r="J34" s="58" t="n"/>
      <c r="K34" s="58" t="n"/>
      <c r="L34" s="13">
        <f>IF(OR($A34="",AND($J34="",$K34="")),"",ROUND(N($J34)-N($K34),2))</f>
        <v/>
      </c>
      <c r="M34" s="13">
        <f>IF(OR($A34="",AND($J34="",$K34="")),"",MIN($J34,$K34))</f>
        <v/>
      </c>
      <c r="Q34">
        <f>IF($A34="","",$D34&amp;"("&amp;SUBSTITUTE($E34," ","")&amp;")")</f>
        <v/>
      </c>
      <c r="R34">
        <f>IF($A34="","",$B34&amp;" - "&amp;$C34)</f>
        <v/>
      </c>
      <c r="S34">
        <f>IF($A34="","",$R34&amp;"|"&amp;$Q34)</f>
        <v/>
      </c>
      <c r="T34">
        <f>IF($A34="","",$S34&amp;"|"&amp;$F34)</f>
        <v/>
      </c>
      <c r="U34">
        <f>IF($A34="","",$R34&amp;"("&amp;$E34&amp;")")</f>
        <v/>
      </c>
      <c r="V34">
        <f>IF($A34="","",$F34&amp;"|"&amp;$U34&amp;"|"&amp;$D34)</f>
        <v/>
      </c>
      <c r="W34">
        <f>IF($T34="","",IF($X34&gt;N($X33),$X34,""))</f>
        <v/>
      </c>
      <c r="X34">
        <f>IF($T34="",N($X33),IF(MATCH($T34,$T$6:$T$6005,0)=ROW()-5,N($X33)+1,N($X33)))</f>
        <v/>
      </c>
      <c r="Z34">
        <f>IF($V34="","",IF($AA34&gt;N($AA33),$AA34,""))</f>
        <v/>
      </c>
      <c r="AA34">
        <f>IF($V34="",N($AA33),IF(MATCH($V34,$V$6:$V$6005,0)=ROW()-5,N($AA33)+1,N($AA33)))</f>
        <v/>
      </c>
    </row>
    <row r="35" ht="21" customHeight="1" s="66">
      <c r="A35" s="56" t="n"/>
      <c r="B35" s="57" t="n"/>
      <c r="C35" s="57" t="n"/>
      <c r="D35" s="57" t="n"/>
      <c r="E35" s="56" t="n"/>
      <c r="F35" s="57" t="n"/>
      <c r="G35" s="57" t="n"/>
      <c r="H35" s="56" t="n"/>
      <c r="I35" s="56" t="n"/>
      <c r="J35" s="58" t="n"/>
      <c r="K35" s="58" t="n"/>
      <c r="L35" s="13">
        <f>IF(OR($A35="",AND($J35="",$K35="")),"",ROUND(N($J35)-N($K35),2))</f>
        <v/>
      </c>
      <c r="M35" s="13">
        <f>IF(OR($A35="",AND($J35="",$K35="")),"",MIN($J35,$K35))</f>
        <v/>
      </c>
      <c r="Q35">
        <f>IF($A35="","",$D35&amp;"("&amp;SUBSTITUTE($E35," ","")&amp;")")</f>
        <v/>
      </c>
      <c r="R35">
        <f>IF($A35="","",$B35&amp;" - "&amp;$C35)</f>
        <v/>
      </c>
      <c r="S35">
        <f>IF($A35="","",$R35&amp;"|"&amp;$Q35)</f>
        <v/>
      </c>
      <c r="T35">
        <f>IF($A35="","",$S35&amp;"|"&amp;$F35)</f>
        <v/>
      </c>
      <c r="U35">
        <f>IF($A35="","",$R35&amp;"("&amp;$E35&amp;")")</f>
        <v/>
      </c>
      <c r="V35">
        <f>IF($A35="","",$F35&amp;"|"&amp;$U35&amp;"|"&amp;$D35)</f>
        <v/>
      </c>
      <c r="W35">
        <f>IF($T35="","",IF($X35&gt;N($X34),$X35,""))</f>
        <v/>
      </c>
      <c r="X35">
        <f>IF($T35="",N($X34),IF(MATCH($T35,$T$6:$T$6005,0)=ROW()-5,N($X34)+1,N($X34)))</f>
        <v/>
      </c>
      <c r="Z35">
        <f>IF($V35="","",IF($AA35&gt;N($AA34),$AA35,""))</f>
        <v/>
      </c>
      <c r="AA35">
        <f>IF($V35="",N($AA34),IF(MATCH($V35,$V$6:$V$6005,0)=ROW()-5,N($AA34)+1,N($AA34)))</f>
        <v/>
      </c>
    </row>
    <row r="36" ht="21" customHeight="1" s="66">
      <c r="A36" s="56" t="n"/>
      <c r="B36" s="57" t="n"/>
      <c r="C36" s="57" t="n"/>
      <c r="D36" s="57" t="n"/>
      <c r="E36" s="56" t="n"/>
      <c r="F36" s="57" t="n"/>
      <c r="G36" s="57" t="n"/>
      <c r="H36" s="56" t="n"/>
      <c r="I36" s="56" t="n"/>
      <c r="J36" s="58" t="n"/>
      <c r="K36" s="58" t="n"/>
      <c r="L36" s="13">
        <f>IF(OR($A36="",AND($J36="",$K36="")),"",ROUND(N($J36)-N($K36),2))</f>
        <v/>
      </c>
      <c r="M36" s="13">
        <f>IF(OR($A36="",AND($J36="",$K36="")),"",MIN($J36,$K36))</f>
        <v/>
      </c>
      <c r="Q36">
        <f>IF($A36="","",$D36&amp;"("&amp;SUBSTITUTE($E36," ","")&amp;")")</f>
        <v/>
      </c>
      <c r="R36">
        <f>IF($A36="","",$B36&amp;" - "&amp;$C36)</f>
        <v/>
      </c>
      <c r="S36">
        <f>IF($A36="","",$R36&amp;"|"&amp;$Q36)</f>
        <v/>
      </c>
      <c r="T36">
        <f>IF($A36="","",$S36&amp;"|"&amp;$F36)</f>
        <v/>
      </c>
      <c r="U36">
        <f>IF($A36="","",$R36&amp;"("&amp;$E36&amp;")")</f>
        <v/>
      </c>
      <c r="V36">
        <f>IF($A36="","",$F36&amp;"|"&amp;$U36&amp;"|"&amp;$D36)</f>
        <v/>
      </c>
      <c r="W36">
        <f>IF($T36="","",IF($X36&gt;N($X35),$X36,""))</f>
        <v/>
      </c>
      <c r="X36">
        <f>IF($T36="",N($X35),IF(MATCH($T36,$T$6:$T$6005,0)=ROW()-5,N($X35)+1,N($X35)))</f>
        <v/>
      </c>
      <c r="Z36">
        <f>IF($V36="","",IF($AA36&gt;N($AA35),$AA36,""))</f>
        <v/>
      </c>
      <c r="AA36">
        <f>IF($V36="",N($AA35),IF(MATCH($V36,$V$6:$V$6005,0)=ROW()-5,N($AA35)+1,N($AA35)))</f>
        <v/>
      </c>
    </row>
    <row r="37" ht="21" customHeight="1" s="66">
      <c r="A37" s="56" t="n"/>
      <c r="B37" s="57" t="n"/>
      <c r="C37" s="57" t="n"/>
      <c r="D37" s="57" t="n"/>
      <c r="E37" s="56" t="n"/>
      <c r="F37" s="57" t="n"/>
      <c r="G37" s="57" t="n"/>
      <c r="H37" s="56" t="n"/>
      <c r="I37" s="56" t="n"/>
      <c r="J37" s="58" t="n"/>
      <c r="K37" s="58" t="n"/>
      <c r="L37" s="13">
        <f>IF(OR($A37="",AND($J37="",$K37="")),"",ROUND(N($J37)-N($K37),2))</f>
        <v/>
      </c>
      <c r="M37" s="13">
        <f>IF(OR($A37="",AND($J37="",$K37="")),"",MIN($J37,$K37))</f>
        <v/>
      </c>
      <c r="Q37">
        <f>IF($A37="","",$D37&amp;"("&amp;SUBSTITUTE($E37," ","")&amp;")")</f>
        <v/>
      </c>
      <c r="R37">
        <f>IF($A37="","",$B37&amp;" - "&amp;$C37)</f>
        <v/>
      </c>
      <c r="S37">
        <f>IF($A37="","",$R37&amp;"|"&amp;$Q37)</f>
        <v/>
      </c>
      <c r="T37">
        <f>IF($A37="","",$S37&amp;"|"&amp;$F37)</f>
        <v/>
      </c>
      <c r="U37">
        <f>IF($A37="","",$R37&amp;"("&amp;$E37&amp;")")</f>
        <v/>
      </c>
      <c r="V37">
        <f>IF($A37="","",$F37&amp;"|"&amp;$U37&amp;"|"&amp;$D37)</f>
        <v/>
      </c>
      <c r="W37">
        <f>IF($T37="","",IF($X37&gt;N($X36),$X37,""))</f>
        <v/>
      </c>
      <c r="X37">
        <f>IF($T37="",N($X36),IF(MATCH($T37,$T$6:$T$6005,0)=ROW()-5,N($X36)+1,N($X36)))</f>
        <v/>
      </c>
      <c r="Z37">
        <f>IF($V37="","",IF($AA37&gt;N($AA36),$AA37,""))</f>
        <v/>
      </c>
      <c r="AA37">
        <f>IF($V37="",N($AA36),IF(MATCH($V37,$V$6:$V$6005,0)=ROW()-5,N($AA36)+1,N($AA36)))</f>
        <v/>
      </c>
    </row>
    <row r="38" ht="21" customHeight="1" s="66">
      <c r="A38" s="56" t="n"/>
      <c r="B38" s="57" t="n"/>
      <c r="C38" s="57" t="n"/>
      <c r="D38" s="57" t="n"/>
      <c r="E38" s="56" t="n"/>
      <c r="F38" s="57" t="n"/>
      <c r="G38" s="57" t="n"/>
      <c r="H38" s="56" t="n"/>
      <c r="I38" s="56" t="n"/>
      <c r="J38" s="58" t="n"/>
      <c r="K38" s="58" t="n"/>
      <c r="L38" s="13">
        <f>IF(OR($A38="",AND($J38="",$K38="")),"",ROUND(N($J38)-N($K38),2))</f>
        <v/>
      </c>
      <c r="M38" s="13">
        <f>IF(OR($A38="",AND($J38="",$K38="")),"",MIN($J38,$K38))</f>
        <v/>
      </c>
      <c r="Q38">
        <f>IF($A38="","",$D38&amp;"("&amp;SUBSTITUTE($E38," ","")&amp;")")</f>
        <v/>
      </c>
      <c r="R38">
        <f>IF($A38="","",$B38&amp;" - "&amp;$C38)</f>
        <v/>
      </c>
      <c r="S38">
        <f>IF($A38="","",$R38&amp;"|"&amp;$Q38)</f>
        <v/>
      </c>
      <c r="T38">
        <f>IF($A38="","",$S38&amp;"|"&amp;$F38)</f>
        <v/>
      </c>
      <c r="U38">
        <f>IF($A38="","",$R38&amp;"("&amp;$E38&amp;")")</f>
        <v/>
      </c>
      <c r="V38">
        <f>IF($A38="","",$F38&amp;"|"&amp;$U38&amp;"|"&amp;$D38)</f>
        <v/>
      </c>
      <c r="W38">
        <f>IF($T38="","",IF($X38&gt;N($X37),$X38,""))</f>
        <v/>
      </c>
      <c r="X38">
        <f>IF($T38="",N($X37),IF(MATCH($T38,$T$6:$T$6005,0)=ROW()-5,N($X37)+1,N($X37)))</f>
        <v/>
      </c>
      <c r="Z38">
        <f>IF($V38="","",IF($AA38&gt;N($AA37),$AA38,""))</f>
        <v/>
      </c>
      <c r="AA38">
        <f>IF($V38="",N($AA37),IF(MATCH($V38,$V$6:$V$6005,0)=ROW()-5,N($AA37)+1,N($AA37)))</f>
        <v/>
      </c>
    </row>
    <row r="39" ht="21" customHeight="1" s="66">
      <c r="A39" s="56" t="n"/>
      <c r="B39" s="57" t="n"/>
      <c r="C39" s="57" t="n"/>
      <c r="D39" s="57" t="n"/>
      <c r="E39" s="56" t="n"/>
      <c r="F39" s="57" t="n"/>
      <c r="G39" s="57" t="n"/>
      <c r="H39" s="56" t="n"/>
      <c r="I39" s="56" t="n"/>
      <c r="J39" s="58" t="n"/>
      <c r="K39" s="58" t="n"/>
      <c r="L39" s="13">
        <f>IF(OR($A39="",AND($J39="",$K39="")),"",ROUND(N($J39)-N($K39),2))</f>
        <v/>
      </c>
      <c r="M39" s="13">
        <f>IF(OR($A39="",AND($J39="",$K39="")),"",MIN($J39,$K39))</f>
        <v/>
      </c>
      <c r="Q39">
        <f>IF($A39="","",$D39&amp;"("&amp;SUBSTITUTE($E39," ","")&amp;")")</f>
        <v/>
      </c>
      <c r="R39">
        <f>IF($A39="","",$B39&amp;" - "&amp;$C39)</f>
        <v/>
      </c>
      <c r="S39">
        <f>IF($A39="","",$R39&amp;"|"&amp;$Q39)</f>
        <v/>
      </c>
      <c r="T39">
        <f>IF($A39="","",$S39&amp;"|"&amp;$F39)</f>
        <v/>
      </c>
      <c r="U39">
        <f>IF($A39="","",$R39&amp;"("&amp;$E39&amp;")")</f>
        <v/>
      </c>
      <c r="V39">
        <f>IF($A39="","",$F39&amp;"|"&amp;$U39&amp;"|"&amp;$D39)</f>
        <v/>
      </c>
      <c r="W39">
        <f>IF($T39="","",IF($X39&gt;N($X38),$X39,""))</f>
        <v/>
      </c>
      <c r="X39">
        <f>IF($T39="",N($X38),IF(MATCH($T39,$T$6:$T$6005,0)=ROW()-5,N($X38)+1,N($X38)))</f>
        <v/>
      </c>
      <c r="Z39">
        <f>IF($V39="","",IF($AA39&gt;N($AA38),$AA39,""))</f>
        <v/>
      </c>
      <c r="AA39">
        <f>IF($V39="",N($AA38),IF(MATCH($V39,$V$6:$V$6005,0)=ROW()-5,N($AA38)+1,N($AA38)))</f>
        <v/>
      </c>
    </row>
    <row r="40" ht="21" customHeight="1" s="66">
      <c r="A40" s="56" t="n"/>
      <c r="B40" s="57" t="n"/>
      <c r="C40" s="57" t="n"/>
      <c r="D40" s="57" t="n"/>
      <c r="E40" s="56" t="n"/>
      <c r="F40" s="57" t="n"/>
      <c r="G40" s="57" t="n"/>
      <c r="H40" s="56" t="n"/>
      <c r="I40" s="56" t="n"/>
      <c r="J40" s="58" t="n"/>
      <c r="K40" s="58" t="n"/>
      <c r="L40" s="13">
        <f>IF(OR($A40="",AND($J40="",$K40="")),"",ROUND(N($J40)-N($K40),2))</f>
        <v/>
      </c>
      <c r="M40" s="13">
        <f>IF(OR($A40="",AND($J40="",$K40="")),"",MIN($J40,$K40))</f>
        <v/>
      </c>
      <c r="Q40">
        <f>IF($A40="","",$D40&amp;"("&amp;SUBSTITUTE($E40," ","")&amp;")")</f>
        <v/>
      </c>
      <c r="R40">
        <f>IF($A40="","",$B40&amp;" - "&amp;$C40)</f>
        <v/>
      </c>
      <c r="S40">
        <f>IF($A40="","",$R40&amp;"|"&amp;$Q40)</f>
        <v/>
      </c>
      <c r="T40">
        <f>IF($A40="","",$S40&amp;"|"&amp;$F40)</f>
        <v/>
      </c>
      <c r="U40">
        <f>IF($A40="","",$R40&amp;"("&amp;$E40&amp;")")</f>
        <v/>
      </c>
      <c r="V40">
        <f>IF($A40="","",$F40&amp;"|"&amp;$U40&amp;"|"&amp;$D40)</f>
        <v/>
      </c>
      <c r="W40">
        <f>IF($T40="","",IF($X40&gt;N($X39),$X40,""))</f>
        <v/>
      </c>
      <c r="X40">
        <f>IF($T40="",N($X39),IF(MATCH($T40,$T$6:$T$6005,0)=ROW()-5,N($X39)+1,N($X39)))</f>
        <v/>
      </c>
      <c r="Z40">
        <f>IF($V40="","",IF($AA40&gt;N($AA39),$AA40,""))</f>
        <v/>
      </c>
      <c r="AA40">
        <f>IF($V40="",N($AA39),IF(MATCH($V40,$V$6:$V$6005,0)=ROW()-5,N($AA39)+1,N($AA39)))</f>
        <v/>
      </c>
    </row>
    <row r="41" ht="21" customHeight="1" s="66">
      <c r="A41" s="56" t="n"/>
      <c r="B41" s="57" t="n"/>
      <c r="C41" s="57" t="n"/>
      <c r="D41" s="57" t="n"/>
      <c r="E41" s="56" t="n"/>
      <c r="F41" s="57" t="n"/>
      <c r="G41" s="57" t="n"/>
      <c r="H41" s="56" t="n"/>
      <c r="I41" s="56" t="n"/>
      <c r="J41" s="58" t="n"/>
      <c r="K41" s="58" t="n"/>
      <c r="L41" s="13">
        <f>IF(OR($A41="",AND($J41="",$K41="")),"",ROUND(N($J41)-N($K41),2))</f>
        <v/>
      </c>
      <c r="M41" s="13">
        <f>IF(OR($A41="",AND($J41="",$K41="")),"",MIN($J41,$K41))</f>
        <v/>
      </c>
      <c r="Q41">
        <f>IF($A41="","",$D41&amp;"("&amp;SUBSTITUTE($E41," ","")&amp;")")</f>
        <v/>
      </c>
      <c r="R41">
        <f>IF($A41="","",$B41&amp;" - "&amp;$C41)</f>
        <v/>
      </c>
      <c r="S41">
        <f>IF($A41="","",$R41&amp;"|"&amp;$Q41)</f>
        <v/>
      </c>
      <c r="T41">
        <f>IF($A41="","",$S41&amp;"|"&amp;$F41)</f>
        <v/>
      </c>
      <c r="U41">
        <f>IF($A41="","",$R41&amp;"("&amp;$E41&amp;")")</f>
        <v/>
      </c>
      <c r="V41">
        <f>IF($A41="","",$F41&amp;"|"&amp;$U41&amp;"|"&amp;$D41)</f>
        <v/>
      </c>
      <c r="W41">
        <f>IF($T41="","",IF($X41&gt;N($X40),$X41,""))</f>
        <v/>
      </c>
      <c r="X41">
        <f>IF($T41="",N($X40),IF(MATCH($T41,$T$6:$T$6005,0)=ROW()-5,N($X40)+1,N($X40)))</f>
        <v/>
      </c>
      <c r="Z41">
        <f>IF($V41="","",IF($AA41&gt;N($AA40),$AA41,""))</f>
        <v/>
      </c>
      <c r="AA41">
        <f>IF($V41="",N($AA40),IF(MATCH($V41,$V$6:$V$6005,0)=ROW()-5,N($AA40)+1,N($AA40)))</f>
        <v/>
      </c>
    </row>
    <row r="42" ht="21" customHeight="1" s="66">
      <c r="A42" s="56" t="n"/>
      <c r="B42" s="57" t="n"/>
      <c r="C42" s="57" t="n"/>
      <c r="D42" s="57" t="n"/>
      <c r="E42" s="56" t="n"/>
      <c r="F42" s="57" t="n"/>
      <c r="G42" s="57" t="n"/>
      <c r="H42" s="56" t="n"/>
      <c r="I42" s="56" t="n"/>
      <c r="J42" s="58" t="n"/>
      <c r="K42" s="58" t="n"/>
      <c r="L42" s="13">
        <f>IF(OR($A42="",AND($J42="",$K42="")),"",ROUND(N($J42)-N($K42),2))</f>
        <v/>
      </c>
      <c r="M42" s="13">
        <f>IF(OR($A42="",AND($J42="",$K42="")),"",MIN($J42,$K42))</f>
        <v/>
      </c>
      <c r="Q42">
        <f>IF($A42="","",$D42&amp;"("&amp;SUBSTITUTE($E42," ","")&amp;")")</f>
        <v/>
      </c>
      <c r="R42">
        <f>IF($A42="","",$B42&amp;" - "&amp;$C42)</f>
        <v/>
      </c>
      <c r="S42">
        <f>IF($A42="","",$R42&amp;"|"&amp;$Q42)</f>
        <v/>
      </c>
      <c r="T42">
        <f>IF($A42="","",$S42&amp;"|"&amp;$F42)</f>
        <v/>
      </c>
      <c r="U42">
        <f>IF($A42="","",$R42&amp;"("&amp;$E42&amp;")")</f>
        <v/>
      </c>
      <c r="V42">
        <f>IF($A42="","",$F42&amp;"|"&amp;$U42&amp;"|"&amp;$D42)</f>
        <v/>
      </c>
      <c r="W42">
        <f>IF($T42="","",IF($X42&gt;N($X41),$X42,""))</f>
        <v/>
      </c>
      <c r="X42">
        <f>IF($T42="",N($X41),IF(MATCH($T42,$T$6:$T$6005,0)=ROW()-5,N($X41)+1,N($X41)))</f>
        <v/>
      </c>
      <c r="Z42">
        <f>IF($V42="","",IF($AA42&gt;N($AA41),$AA42,""))</f>
        <v/>
      </c>
      <c r="AA42">
        <f>IF($V42="",N($AA41),IF(MATCH($V42,$V$6:$V$6005,0)=ROW()-5,N($AA41)+1,N($AA41)))</f>
        <v/>
      </c>
    </row>
    <row r="43" ht="21" customHeight="1" s="66">
      <c r="A43" s="56" t="n"/>
      <c r="B43" s="57" t="n"/>
      <c r="C43" s="57" t="n"/>
      <c r="D43" s="57" t="n"/>
      <c r="E43" s="56" t="n"/>
      <c r="F43" s="57" t="n"/>
      <c r="G43" s="57" t="n"/>
      <c r="H43" s="56" t="n"/>
      <c r="I43" s="56" t="n"/>
      <c r="J43" s="58" t="n"/>
      <c r="K43" s="58" t="n"/>
      <c r="L43" s="13">
        <f>IF(OR($A43="",AND($J43="",$K43="")),"",ROUND(N($J43)-N($K43),2))</f>
        <v/>
      </c>
      <c r="M43" s="13">
        <f>IF(OR($A43="",AND($J43="",$K43="")),"",MIN($J43,$K43))</f>
        <v/>
      </c>
      <c r="Q43">
        <f>IF($A43="","",$D43&amp;"("&amp;SUBSTITUTE($E43," ","")&amp;")")</f>
        <v/>
      </c>
      <c r="R43">
        <f>IF($A43="","",$B43&amp;" - "&amp;$C43)</f>
        <v/>
      </c>
      <c r="S43">
        <f>IF($A43="","",$R43&amp;"|"&amp;$Q43)</f>
        <v/>
      </c>
      <c r="T43">
        <f>IF($A43="","",$S43&amp;"|"&amp;$F43)</f>
        <v/>
      </c>
      <c r="U43">
        <f>IF($A43="","",$R43&amp;"("&amp;$E43&amp;")")</f>
        <v/>
      </c>
      <c r="V43">
        <f>IF($A43="","",$F43&amp;"|"&amp;$U43&amp;"|"&amp;$D43)</f>
        <v/>
      </c>
      <c r="W43">
        <f>IF($T43="","",IF($X43&gt;N($X42),$X43,""))</f>
        <v/>
      </c>
      <c r="X43">
        <f>IF($T43="",N($X42),IF(MATCH($T43,$T$6:$T$6005,0)=ROW()-5,N($X42)+1,N($X42)))</f>
        <v/>
      </c>
      <c r="Z43">
        <f>IF($V43="","",IF($AA43&gt;N($AA42),$AA43,""))</f>
        <v/>
      </c>
      <c r="AA43">
        <f>IF($V43="",N($AA42),IF(MATCH($V43,$V$6:$V$6005,0)=ROW()-5,N($AA42)+1,N($AA42)))</f>
        <v/>
      </c>
    </row>
    <row r="44" ht="21" customHeight="1" s="66">
      <c r="A44" s="56" t="n"/>
      <c r="B44" s="57" t="n"/>
      <c r="C44" s="57" t="n"/>
      <c r="D44" s="57" t="n"/>
      <c r="E44" s="56" t="n"/>
      <c r="F44" s="57" t="n"/>
      <c r="G44" s="57" t="n"/>
      <c r="H44" s="56" t="n"/>
      <c r="I44" s="56" t="n"/>
      <c r="J44" s="58" t="n"/>
      <c r="K44" s="58" t="n"/>
      <c r="L44" s="13">
        <f>IF(OR($A44="",AND($J44="",$K44="")),"",ROUND(N($J44)-N($K44),2))</f>
        <v/>
      </c>
      <c r="M44" s="13">
        <f>IF(OR($A44="",AND($J44="",$K44="")),"",MIN($J44,$K44))</f>
        <v/>
      </c>
      <c r="Q44">
        <f>IF($A44="","",$D44&amp;"("&amp;SUBSTITUTE($E44," ","")&amp;")")</f>
        <v/>
      </c>
      <c r="R44">
        <f>IF($A44="","",$B44&amp;" - "&amp;$C44)</f>
        <v/>
      </c>
      <c r="S44">
        <f>IF($A44="","",$R44&amp;"|"&amp;$Q44)</f>
        <v/>
      </c>
      <c r="T44">
        <f>IF($A44="","",$S44&amp;"|"&amp;$F44)</f>
        <v/>
      </c>
      <c r="U44">
        <f>IF($A44="","",$R44&amp;"("&amp;$E44&amp;")")</f>
        <v/>
      </c>
      <c r="V44">
        <f>IF($A44="","",$F44&amp;"|"&amp;$U44&amp;"|"&amp;$D44)</f>
        <v/>
      </c>
      <c r="W44">
        <f>IF($T44="","",IF($X44&gt;N($X43),$X44,""))</f>
        <v/>
      </c>
      <c r="X44">
        <f>IF($T44="",N($X43),IF(MATCH($T44,$T$6:$T$6005,0)=ROW()-5,N($X43)+1,N($X43)))</f>
        <v/>
      </c>
      <c r="Z44">
        <f>IF($V44="","",IF($AA44&gt;N($AA43),$AA44,""))</f>
        <v/>
      </c>
      <c r="AA44">
        <f>IF($V44="",N($AA43),IF(MATCH($V44,$V$6:$V$6005,0)=ROW()-5,N($AA43)+1,N($AA43)))</f>
        <v/>
      </c>
    </row>
    <row r="45" ht="21" customHeight="1" s="66">
      <c r="A45" s="56" t="n"/>
      <c r="B45" s="57" t="n"/>
      <c r="C45" s="57" t="n"/>
      <c r="D45" s="57" t="n"/>
      <c r="E45" s="56" t="n"/>
      <c r="F45" s="57" t="n"/>
      <c r="G45" s="57" t="n"/>
      <c r="H45" s="56" t="n"/>
      <c r="I45" s="56" t="n"/>
      <c r="J45" s="58" t="n"/>
      <c r="K45" s="58" t="n"/>
      <c r="L45" s="13">
        <f>IF(OR($A45="",AND($J45="",$K45="")),"",ROUND(N($J45)-N($K45),2))</f>
        <v/>
      </c>
      <c r="M45" s="13">
        <f>IF(OR($A45="",AND($J45="",$K45="")),"",MIN($J45,$K45))</f>
        <v/>
      </c>
      <c r="Q45">
        <f>IF($A45="","",$D45&amp;"("&amp;SUBSTITUTE($E45," ","")&amp;")")</f>
        <v/>
      </c>
      <c r="R45">
        <f>IF($A45="","",$B45&amp;" - "&amp;$C45)</f>
        <v/>
      </c>
      <c r="S45">
        <f>IF($A45="","",$R45&amp;"|"&amp;$Q45)</f>
        <v/>
      </c>
      <c r="T45">
        <f>IF($A45="","",$S45&amp;"|"&amp;$F45)</f>
        <v/>
      </c>
      <c r="U45">
        <f>IF($A45="","",$R45&amp;"("&amp;$E45&amp;")")</f>
        <v/>
      </c>
      <c r="V45">
        <f>IF($A45="","",$F45&amp;"|"&amp;$U45&amp;"|"&amp;$D45)</f>
        <v/>
      </c>
      <c r="W45">
        <f>IF($T45="","",IF($X45&gt;N($X44),$X45,""))</f>
        <v/>
      </c>
      <c r="X45">
        <f>IF($T45="",N($X44),IF(MATCH($T45,$T$6:$T$6005,0)=ROW()-5,N($X44)+1,N($X44)))</f>
        <v/>
      </c>
      <c r="Z45">
        <f>IF($V45="","",IF($AA45&gt;N($AA44),$AA45,""))</f>
        <v/>
      </c>
      <c r="AA45">
        <f>IF($V45="",N($AA44),IF(MATCH($V45,$V$6:$V$6005,0)=ROW()-5,N($AA44)+1,N($AA44)))</f>
        <v/>
      </c>
    </row>
    <row r="46" ht="21" customHeight="1" s="66">
      <c r="A46" s="56" t="n"/>
      <c r="B46" s="57" t="n"/>
      <c r="C46" s="57" t="n"/>
      <c r="D46" s="57" t="n"/>
      <c r="E46" s="56" t="n"/>
      <c r="F46" s="57" t="n"/>
      <c r="G46" s="57" t="n"/>
      <c r="H46" s="56" t="n"/>
      <c r="I46" s="56" t="n"/>
      <c r="J46" s="58" t="n"/>
      <c r="K46" s="58" t="n"/>
      <c r="L46" s="13">
        <f>IF(OR($A46="",AND($J46="",$K46="")),"",ROUND(N($J46)-N($K46),2))</f>
        <v/>
      </c>
      <c r="M46" s="13">
        <f>IF(OR($A46="",AND($J46="",$K46="")),"",MIN($J46,$K46))</f>
        <v/>
      </c>
      <c r="Q46">
        <f>IF($A46="","",$D46&amp;"("&amp;SUBSTITUTE($E46," ","")&amp;")")</f>
        <v/>
      </c>
      <c r="R46">
        <f>IF($A46="","",$B46&amp;" - "&amp;$C46)</f>
        <v/>
      </c>
      <c r="S46">
        <f>IF($A46="","",$R46&amp;"|"&amp;$Q46)</f>
        <v/>
      </c>
      <c r="T46">
        <f>IF($A46="","",$S46&amp;"|"&amp;$F46)</f>
        <v/>
      </c>
      <c r="U46">
        <f>IF($A46="","",$R46&amp;"("&amp;$E46&amp;")")</f>
        <v/>
      </c>
      <c r="V46">
        <f>IF($A46="","",$F46&amp;"|"&amp;$U46&amp;"|"&amp;$D46)</f>
        <v/>
      </c>
      <c r="W46">
        <f>IF($T46="","",IF($X46&gt;N($X45),$X46,""))</f>
        <v/>
      </c>
      <c r="X46">
        <f>IF($T46="",N($X45),IF(MATCH($T46,$T$6:$T$6005,0)=ROW()-5,N($X45)+1,N($X45)))</f>
        <v/>
      </c>
      <c r="Z46">
        <f>IF($V46="","",IF($AA46&gt;N($AA45),$AA46,""))</f>
        <v/>
      </c>
      <c r="AA46">
        <f>IF($V46="",N($AA45),IF(MATCH($V46,$V$6:$V$6005,0)=ROW()-5,N($AA45)+1,N($AA45)))</f>
        <v/>
      </c>
    </row>
    <row r="47" ht="21" customHeight="1" s="66">
      <c r="A47" s="56" t="n"/>
      <c r="B47" s="57" t="n"/>
      <c r="C47" s="57" t="n"/>
      <c r="D47" s="57" t="n"/>
      <c r="E47" s="56" t="n"/>
      <c r="F47" s="57" t="n"/>
      <c r="G47" s="57" t="n"/>
      <c r="H47" s="56" t="n"/>
      <c r="I47" s="56" t="n"/>
      <c r="J47" s="58" t="n"/>
      <c r="K47" s="58" t="n"/>
      <c r="L47" s="13">
        <f>IF(OR($A47="",AND($J47="",$K47="")),"",ROUND(N($J47)-N($K47),2))</f>
        <v/>
      </c>
      <c r="M47" s="13">
        <f>IF(OR($A47="",AND($J47="",$K47="")),"",MIN($J47,$K47))</f>
        <v/>
      </c>
      <c r="Q47">
        <f>IF($A47="","",$D47&amp;"("&amp;SUBSTITUTE($E47," ","")&amp;")")</f>
        <v/>
      </c>
      <c r="R47">
        <f>IF($A47="","",$B47&amp;" - "&amp;$C47)</f>
        <v/>
      </c>
      <c r="S47">
        <f>IF($A47="","",$R47&amp;"|"&amp;$Q47)</f>
        <v/>
      </c>
      <c r="T47">
        <f>IF($A47="","",$S47&amp;"|"&amp;$F47)</f>
        <v/>
      </c>
      <c r="U47">
        <f>IF($A47="","",$R47&amp;"("&amp;$E47&amp;")")</f>
        <v/>
      </c>
      <c r="V47">
        <f>IF($A47="","",$F47&amp;"|"&amp;$U47&amp;"|"&amp;$D47)</f>
        <v/>
      </c>
      <c r="W47">
        <f>IF($T47="","",IF($X47&gt;N($X46),$X47,""))</f>
        <v/>
      </c>
      <c r="X47">
        <f>IF($T47="",N($X46),IF(MATCH($T47,$T$6:$T$6005,0)=ROW()-5,N($X46)+1,N($X46)))</f>
        <v/>
      </c>
      <c r="Z47">
        <f>IF($V47="","",IF($AA47&gt;N($AA46),$AA47,""))</f>
        <v/>
      </c>
      <c r="AA47">
        <f>IF($V47="",N($AA46),IF(MATCH($V47,$V$6:$V$6005,0)=ROW()-5,N($AA46)+1,N($AA46)))</f>
        <v/>
      </c>
    </row>
    <row r="48" ht="21" customHeight="1" s="66">
      <c r="A48" s="56" t="n"/>
      <c r="B48" s="57" t="n"/>
      <c r="C48" s="57" t="n"/>
      <c r="D48" s="57" t="n"/>
      <c r="E48" s="56" t="n"/>
      <c r="F48" s="57" t="n"/>
      <c r="G48" s="57" t="n"/>
      <c r="H48" s="56" t="n"/>
      <c r="I48" s="56" t="n"/>
      <c r="J48" s="58" t="n"/>
      <c r="K48" s="58" t="n"/>
      <c r="L48" s="13">
        <f>IF(OR($A48="",AND($J48="",$K48="")),"",ROUND(N($J48)-N($K48),2))</f>
        <v/>
      </c>
      <c r="M48" s="13">
        <f>IF(OR($A48="",AND($J48="",$K48="")),"",MIN($J48,$K48))</f>
        <v/>
      </c>
      <c r="Q48">
        <f>IF($A48="","",$D48&amp;"("&amp;SUBSTITUTE($E48," ","")&amp;")")</f>
        <v/>
      </c>
      <c r="R48">
        <f>IF($A48="","",$B48&amp;" - "&amp;$C48)</f>
        <v/>
      </c>
      <c r="S48">
        <f>IF($A48="","",$R48&amp;"|"&amp;$Q48)</f>
        <v/>
      </c>
      <c r="T48">
        <f>IF($A48="","",$S48&amp;"|"&amp;$F48)</f>
        <v/>
      </c>
      <c r="U48">
        <f>IF($A48="","",$R48&amp;"("&amp;$E48&amp;")")</f>
        <v/>
      </c>
      <c r="V48">
        <f>IF($A48="","",$F48&amp;"|"&amp;$U48&amp;"|"&amp;$D48)</f>
        <v/>
      </c>
      <c r="W48">
        <f>IF($T48="","",IF($X48&gt;N($X47),$X48,""))</f>
        <v/>
      </c>
      <c r="X48">
        <f>IF($T48="",N($X47),IF(MATCH($T48,$T$6:$T$6005,0)=ROW()-5,N($X47)+1,N($X47)))</f>
        <v/>
      </c>
      <c r="Z48">
        <f>IF($V48="","",IF($AA48&gt;N($AA47),$AA48,""))</f>
        <v/>
      </c>
      <c r="AA48">
        <f>IF($V48="",N($AA47),IF(MATCH($V48,$V$6:$V$6005,0)=ROW()-5,N($AA47)+1,N($AA47)))</f>
        <v/>
      </c>
    </row>
    <row r="49" ht="21" customHeight="1" s="66">
      <c r="A49" s="56" t="n"/>
      <c r="B49" s="57" t="n"/>
      <c r="C49" s="57" t="n"/>
      <c r="D49" s="57" t="n"/>
      <c r="E49" s="56" t="n"/>
      <c r="F49" s="57" t="n"/>
      <c r="G49" s="57" t="n"/>
      <c r="H49" s="56" t="n"/>
      <c r="I49" s="56" t="n"/>
      <c r="J49" s="58" t="n"/>
      <c r="K49" s="58" t="n"/>
      <c r="L49" s="13">
        <f>IF(OR($A49="",AND($J49="",$K49="")),"",ROUND(N($J49)-N($K49),2))</f>
        <v/>
      </c>
      <c r="M49" s="13">
        <f>IF(OR($A49="",AND($J49="",$K49="")),"",MIN($J49,$K49))</f>
        <v/>
      </c>
      <c r="Q49">
        <f>IF($A49="","",$D49&amp;"("&amp;SUBSTITUTE($E49," ","")&amp;")")</f>
        <v/>
      </c>
      <c r="R49">
        <f>IF($A49="","",$B49&amp;" - "&amp;$C49)</f>
        <v/>
      </c>
      <c r="S49">
        <f>IF($A49="","",$R49&amp;"|"&amp;$Q49)</f>
        <v/>
      </c>
      <c r="T49">
        <f>IF($A49="","",$S49&amp;"|"&amp;$F49)</f>
        <v/>
      </c>
      <c r="U49">
        <f>IF($A49="","",$R49&amp;"("&amp;$E49&amp;")")</f>
        <v/>
      </c>
      <c r="V49">
        <f>IF($A49="","",$F49&amp;"|"&amp;$U49&amp;"|"&amp;$D49)</f>
        <v/>
      </c>
      <c r="W49">
        <f>IF($T49="","",IF($X49&gt;N($X48),$X49,""))</f>
        <v/>
      </c>
      <c r="X49">
        <f>IF($T49="",N($X48),IF(MATCH($T49,$T$6:$T$6005,0)=ROW()-5,N($X48)+1,N($X48)))</f>
        <v/>
      </c>
      <c r="Z49">
        <f>IF($V49="","",IF($AA49&gt;N($AA48),$AA49,""))</f>
        <v/>
      </c>
      <c r="AA49">
        <f>IF($V49="",N($AA48),IF(MATCH($V49,$V$6:$V$6005,0)=ROW()-5,N($AA48)+1,N($AA48)))</f>
        <v/>
      </c>
    </row>
    <row r="50" ht="21" customHeight="1" s="66">
      <c r="A50" s="56" t="n"/>
      <c r="B50" s="57" t="n"/>
      <c r="C50" s="57" t="n"/>
      <c r="D50" s="57" t="n"/>
      <c r="E50" s="56" t="n"/>
      <c r="F50" s="57" t="n"/>
      <c r="G50" s="57" t="n"/>
      <c r="H50" s="56" t="n"/>
      <c r="I50" s="56" t="n"/>
      <c r="J50" s="58" t="n"/>
      <c r="K50" s="58" t="n"/>
      <c r="L50" s="13">
        <f>IF(OR($A50="",AND($J50="",$K50="")),"",ROUND(N($J50)-N($K50),2))</f>
        <v/>
      </c>
      <c r="M50" s="13">
        <f>IF(OR($A50="",AND($J50="",$K50="")),"",MIN($J50,$K50))</f>
        <v/>
      </c>
      <c r="Q50">
        <f>IF($A50="","",$D50&amp;"("&amp;SUBSTITUTE($E50," ","")&amp;")")</f>
        <v/>
      </c>
      <c r="R50">
        <f>IF($A50="","",$B50&amp;" - "&amp;$C50)</f>
        <v/>
      </c>
      <c r="S50">
        <f>IF($A50="","",$R50&amp;"|"&amp;$Q50)</f>
        <v/>
      </c>
      <c r="T50">
        <f>IF($A50="","",$S50&amp;"|"&amp;$F50)</f>
        <v/>
      </c>
      <c r="U50">
        <f>IF($A50="","",$R50&amp;"("&amp;$E50&amp;")")</f>
        <v/>
      </c>
      <c r="V50">
        <f>IF($A50="","",$F50&amp;"|"&amp;$U50&amp;"|"&amp;$D50)</f>
        <v/>
      </c>
      <c r="W50">
        <f>IF($T50="","",IF($X50&gt;N($X49),$X50,""))</f>
        <v/>
      </c>
      <c r="X50">
        <f>IF($T50="",N($X49),IF(MATCH($T50,$T$6:$T$6005,0)=ROW()-5,N($X49)+1,N($X49)))</f>
        <v/>
      </c>
      <c r="Z50">
        <f>IF($V50="","",IF($AA50&gt;N($AA49),$AA50,""))</f>
        <v/>
      </c>
      <c r="AA50">
        <f>IF($V50="",N($AA49),IF(MATCH($V50,$V$6:$V$6005,0)=ROW()-5,N($AA49)+1,N($AA49)))</f>
        <v/>
      </c>
    </row>
    <row r="51" ht="21" customHeight="1" s="66">
      <c r="A51" s="56" t="n"/>
      <c r="B51" s="57" t="n"/>
      <c r="C51" s="57" t="n"/>
      <c r="D51" s="57" t="n"/>
      <c r="E51" s="56" t="n"/>
      <c r="F51" s="57" t="n"/>
      <c r="G51" s="57" t="n"/>
      <c r="H51" s="56" t="n"/>
      <c r="I51" s="56" t="n"/>
      <c r="J51" s="58" t="n"/>
      <c r="K51" s="58" t="n"/>
      <c r="L51" s="13">
        <f>IF(OR($A51="",AND($J51="",$K51="")),"",ROUND(N($J51)-N($K51),2))</f>
        <v/>
      </c>
      <c r="M51" s="13">
        <f>IF(OR($A51="",AND($J51="",$K51="")),"",MIN($J51,$K51))</f>
        <v/>
      </c>
      <c r="Q51">
        <f>IF($A51="","",$D51&amp;"("&amp;SUBSTITUTE($E51," ","")&amp;")")</f>
        <v/>
      </c>
      <c r="R51">
        <f>IF($A51="","",$B51&amp;" - "&amp;$C51)</f>
        <v/>
      </c>
      <c r="S51">
        <f>IF($A51="","",$R51&amp;"|"&amp;$Q51)</f>
        <v/>
      </c>
      <c r="T51">
        <f>IF($A51="","",$S51&amp;"|"&amp;$F51)</f>
        <v/>
      </c>
      <c r="U51">
        <f>IF($A51="","",$R51&amp;"("&amp;$E51&amp;")")</f>
        <v/>
      </c>
      <c r="V51">
        <f>IF($A51="","",$F51&amp;"|"&amp;$U51&amp;"|"&amp;$D51)</f>
        <v/>
      </c>
      <c r="W51">
        <f>IF($T51="","",IF($X51&gt;N($X50),$X51,""))</f>
        <v/>
      </c>
      <c r="X51">
        <f>IF($T51="",N($X50),IF(MATCH($T51,$T$6:$T$6005,0)=ROW()-5,N($X50)+1,N($X50)))</f>
        <v/>
      </c>
      <c r="Z51">
        <f>IF($V51="","",IF($AA51&gt;N($AA50),$AA51,""))</f>
        <v/>
      </c>
      <c r="AA51">
        <f>IF($V51="",N($AA50),IF(MATCH($V51,$V$6:$V$6005,0)=ROW()-5,N($AA50)+1,N($AA50)))</f>
        <v/>
      </c>
    </row>
    <row r="52" ht="21" customHeight="1" s="66">
      <c r="A52" s="56" t="n"/>
      <c r="B52" s="57" t="n"/>
      <c r="C52" s="57" t="n"/>
      <c r="D52" s="57" t="n"/>
      <c r="E52" s="56" t="n"/>
      <c r="F52" s="57" t="n"/>
      <c r="G52" s="57" t="n"/>
      <c r="H52" s="56" t="n"/>
      <c r="I52" s="56" t="n"/>
      <c r="J52" s="58" t="n"/>
      <c r="K52" s="58" t="n"/>
      <c r="L52" s="13">
        <f>IF(OR($A52="",AND($J52="",$K52="")),"",ROUND(N($J52)-N($K52),2))</f>
        <v/>
      </c>
      <c r="M52" s="13">
        <f>IF(OR($A52="",AND($J52="",$K52="")),"",MIN($J52,$K52))</f>
        <v/>
      </c>
      <c r="Q52">
        <f>IF($A52="","",$D52&amp;"("&amp;SUBSTITUTE($E52," ","")&amp;")")</f>
        <v/>
      </c>
      <c r="R52">
        <f>IF($A52="","",$B52&amp;" - "&amp;$C52)</f>
        <v/>
      </c>
      <c r="S52">
        <f>IF($A52="","",$R52&amp;"|"&amp;$Q52)</f>
        <v/>
      </c>
      <c r="T52">
        <f>IF($A52="","",$S52&amp;"|"&amp;$F52)</f>
        <v/>
      </c>
      <c r="U52">
        <f>IF($A52="","",$R52&amp;"("&amp;$E52&amp;")")</f>
        <v/>
      </c>
      <c r="V52">
        <f>IF($A52="","",$F52&amp;"|"&amp;$U52&amp;"|"&amp;$D52)</f>
        <v/>
      </c>
      <c r="W52">
        <f>IF($T52="","",IF($X52&gt;N($X51),$X52,""))</f>
        <v/>
      </c>
      <c r="X52">
        <f>IF($T52="",N($X51),IF(MATCH($T52,$T$6:$T$6005,0)=ROW()-5,N($X51)+1,N($X51)))</f>
        <v/>
      </c>
      <c r="Z52">
        <f>IF($V52="","",IF($AA52&gt;N($AA51),$AA52,""))</f>
        <v/>
      </c>
      <c r="AA52">
        <f>IF($V52="",N($AA51),IF(MATCH($V52,$V$6:$V$6005,0)=ROW()-5,N($AA51)+1,N($AA51)))</f>
        <v/>
      </c>
    </row>
    <row r="53" ht="21" customHeight="1" s="66">
      <c r="A53" s="56" t="n"/>
      <c r="B53" s="57" t="n"/>
      <c r="C53" s="57" t="n"/>
      <c r="D53" s="57" t="n"/>
      <c r="E53" s="56" t="n"/>
      <c r="F53" s="57" t="n"/>
      <c r="G53" s="57" t="n"/>
      <c r="H53" s="56" t="n"/>
      <c r="I53" s="56" t="n"/>
      <c r="J53" s="58" t="n"/>
      <c r="K53" s="58" t="n"/>
      <c r="L53" s="13">
        <f>IF(OR($A53="",AND($J53="",$K53="")),"",ROUND(N($J53)-N($K53),2))</f>
        <v/>
      </c>
      <c r="M53" s="13">
        <f>IF(OR($A53="",AND($J53="",$K53="")),"",MIN($J53,$K53))</f>
        <v/>
      </c>
      <c r="Q53">
        <f>IF($A53="","",$D53&amp;"("&amp;SUBSTITUTE($E53," ","")&amp;")")</f>
        <v/>
      </c>
      <c r="R53">
        <f>IF($A53="","",$B53&amp;" - "&amp;$C53)</f>
        <v/>
      </c>
      <c r="S53">
        <f>IF($A53="","",$R53&amp;"|"&amp;$Q53)</f>
        <v/>
      </c>
      <c r="T53">
        <f>IF($A53="","",$S53&amp;"|"&amp;$F53)</f>
        <v/>
      </c>
      <c r="U53">
        <f>IF($A53="","",$R53&amp;"("&amp;$E53&amp;")")</f>
        <v/>
      </c>
      <c r="V53">
        <f>IF($A53="","",$F53&amp;"|"&amp;$U53&amp;"|"&amp;$D53)</f>
        <v/>
      </c>
      <c r="W53">
        <f>IF($T53="","",IF($X53&gt;N($X52),$X53,""))</f>
        <v/>
      </c>
      <c r="X53">
        <f>IF($T53="",N($X52),IF(MATCH($T53,$T$6:$T$6005,0)=ROW()-5,N($X52)+1,N($X52)))</f>
        <v/>
      </c>
      <c r="Z53">
        <f>IF($V53="","",IF($AA53&gt;N($AA52),$AA53,""))</f>
        <v/>
      </c>
      <c r="AA53">
        <f>IF($V53="",N($AA52),IF(MATCH($V53,$V$6:$V$6005,0)=ROW()-5,N($AA52)+1,N($AA52)))</f>
        <v/>
      </c>
    </row>
    <row r="54" ht="21" customHeight="1" s="66">
      <c r="A54" s="56" t="n"/>
      <c r="B54" s="57" t="n"/>
      <c r="C54" s="57" t="n"/>
      <c r="D54" s="57" t="n"/>
      <c r="E54" s="56" t="n"/>
      <c r="F54" s="57" t="n"/>
      <c r="G54" s="57" t="n"/>
      <c r="H54" s="56" t="n"/>
      <c r="I54" s="56" t="n"/>
      <c r="J54" s="58" t="n"/>
      <c r="K54" s="58" t="n"/>
      <c r="L54" s="13">
        <f>IF(OR($A54="",AND($J54="",$K54="")),"",ROUND(N($J54)-N($K54),2))</f>
        <v/>
      </c>
      <c r="M54" s="13">
        <f>IF(OR($A54="",AND($J54="",$K54="")),"",MIN($J54,$K54))</f>
        <v/>
      </c>
      <c r="Q54">
        <f>IF($A54="","",$D54&amp;"("&amp;SUBSTITUTE($E54," ","")&amp;")")</f>
        <v/>
      </c>
      <c r="R54">
        <f>IF($A54="","",$B54&amp;" - "&amp;$C54)</f>
        <v/>
      </c>
      <c r="S54">
        <f>IF($A54="","",$R54&amp;"|"&amp;$Q54)</f>
        <v/>
      </c>
      <c r="T54">
        <f>IF($A54="","",$S54&amp;"|"&amp;$F54)</f>
        <v/>
      </c>
      <c r="U54">
        <f>IF($A54="","",$R54&amp;"("&amp;$E54&amp;")")</f>
        <v/>
      </c>
      <c r="V54">
        <f>IF($A54="","",$F54&amp;"|"&amp;$U54&amp;"|"&amp;$D54)</f>
        <v/>
      </c>
      <c r="W54">
        <f>IF($T54="","",IF($X54&gt;N($X53),$X54,""))</f>
        <v/>
      </c>
      <c r="X54">
        <f>IF($T54="",N($X53),IF(MATCH($T54,$T$6:$T$6005,0)=ROW()-5,N($X53)+1,N($X53)))</f>
        <v/>
      </c>
      <c r="Z54">
        <f>IF($V54="","",IF($AA54&gt;N($AA53),$AA54,""))</f>
        <v/>
      </c>
      <c r="AA54">
        <f>IF($V54="",N($AA53),IF(MATCH($V54,$V$6:$V$6005,0)=ROW()-5,N($AA53)+1,N($AA53)))</f>
        <v/>
      </c>
    </row>
    <row r="55" ht="21" customHeight="1" s="66">
      <c r="A55" s="56" t="n"/>
      <c r="B55" s="57" t="n"/>
      <c r="C55" s="57" t="n"/>
      <c r="D55" s="57" t="n"/>
      <c r="E55" s="56" t="n"/>
      <c r="F55" s="57" t="n"/>
      <c r="G55" s="57" t="n"/>
      <c r="H55" s="56" t="n"/>
      <c r="I55" s="56" t="n"/>
      <c r="J55" s="58" t="n"/>
      <c r="K55" s="58" t="n"/>
      <c r="L55" s="13">
        <f>IF(OR($A55="",AND($J55="",$K55="")),"",ROUND(N($J55)-N($K55),2))</f>
        <v/>
      </c>
      <c r="M55" s="13">
        <f>IF(OR($A55="",AND($J55="",$K55="")),"",MIN($J55,$K55))</f>
        <v/>
      </c>
      <c r="Q55">
        <f>IF($A55="","",$D55&amp;"("&amp;SUBSTITUTE($E55," ","")&amp;")")</f>
        <v/>
      </c>
      <c r="R55">
        <f>IF($A55="","",$B55&amp;" - "&amp;$C55)</f>
        <v/>
      </c>
      <c r="S55">
        <f>IF($A55="","",$R55&amp;"|"&amp;$Q55)</f>
        <v/>
      </c>
      <c r="T55">
        <f>IF($A55="","",$S55&amp;"|"&amp;$F55)</f>
        <v/>
      </c>
      <c r="U55">
        <f>IF($A55="","",$R55&amp;"("&amp;$E55&amp;")")</f>
        <v/>
      </c>
      <c r="V55">
        <f>IF($A55="","",$F55&amp;"|"&amp;$U55&amp;"|"&amp;$D55)</f>
        <v/>
      </c>
      <c r="W55">
        <f>IF($T55="","",IF($X55&gt;N($X54),$X55,""))</f>
        <v/>
      </c>
      <c r="X55">
        <f>IF($T55="",N($X54),IF(MATCH($T55,$T$6:$T$6005,0)=ROW()-5,N($X54)+1,N($X54)))</f>
        <v/>
      </c>
      <c r="Z55">
        <f>IF($V55="","",IF($AA55&gt;N($AA54),$AA55,""))</f>
        <v/>
      </c>
      <c r="AA55">
        <f>IF($V55="",N($AA54),IF(MATCH($V55,$V$6:$V$6005,0)=ROW()-5,N($AA54)+1,N($AA54)))</f>
        <v/>
      </c>
    </row>
    <row r="56" ht="21" customHeight="1" s="66">
      <c r="A56" s="56" t="n"/>
      <c r="B56" s="57" t="n"/>
      <c r="C56" s="57" t="n"/>
      <c r="D56" s="57" t="n"/>
      <c r="E56" s="56" t="n"/>
      <c r="F56" s="57" t="n"/>
      <c r="G56" s="57" t="n"/>
      <c r="H56" s="56" t="n"/>
      <c r="I56" s="56" t="n"/>
      <c r="J56" s="58" t="n"/>
      <c r="K56" s="58" t="n"/>
      <c r="L56" s="13">
        <f>IF(OR($A56="",AND($J56="",$K56="")),"",ROUND(N($J56)-N($K56),2))</f>
        <v/>
      </c>
      <c r="M56" s="13">
        <f>IF(OR($A56="",AND($J56="",$K56="")),"",MIN($J56,$K56))</f>
        <v/>
      </c>
      <c r="Q56">
        <f>IF($A56="","",$D56&amp;"("&amp;SUBSTITUTE($E56," ","")&amp;")")</f>
        <v/>
      </c>
      <c r="R56">
        <f>IF($A56="","",$B56&amp;" - "&amp;$C56)</f>
        <v/>
      </c>
      <c r="S56">
        <f>IF($A56="","",$R56&amp;"|"&amp;$Q56)</f>
        <v/>
      </c>
      <c r="T56">
        <f>IF($A56="","",$S56&amp;"|"&amp;$F56)</f>
        <v/>
      </c>
      <c r="U56">
        <f>IF($A56="","",$R56&amp;"("&amp;$E56&amp;")")</f>
        <v/>
      </c>
      <c r="V56">
        <f>IF($A56="","",$F56&amp;"|"&amp;$U56&amp;"|"&amp;$D56)</f>
        <v/>
      </c>
      <c r="W56">
        <f>IF($T56="","",IF($X56&gt;N($X55),$X56,""))</f>
        <v/>
      </c>
      <c r="X56">
        <f>IF($T56="",N($X55),IF(MATCH($T56,$T$6:$T$6005,0)=ROW()-5,N($X55)+1,N($X55)))</f>
        <v/>
      </c>
      <c r="Z56">
        <f>IF($V56="","",IF($AA56&gt;N($AA55),$AA56,""))</f>
        <v/>
      </c>
      <c r="AA56">
        <f>IF($V56="",N($AA55),IF(MATCH($V56,$V$6:$V$6005,0)=ROW()-5,N($AA55)+1,N($AA55)))</f>
        <v/>
      </c>
    </row>
    <row r="57" ht="21" customHeight="1" s="66">
      <c r="A57" s="56" t="n"/>
      <c r="B57" s="57" t="n"/>
      <c r="C57" s="57" t="n"/>
      <c r="D57" s="57" t="n"/>
      <c r="E57" s="56" t="n"/>
      <c r="F57" s="57" t="n"/>
      <c r="G57" s="57" t="n"/>
      <c r="H57" s="56" t="n"/>
      <c r="I57" s="56" t="n"/>
      <c r="J57" s="58" t="n"/>
      <c r="K57" s="58" t="n"/>
      <c r="L57" s="13">
        <f>IF(OR($A57="",AND($J57="",$K57="")),"",ROUND(N($J57)-N($K57),2))</f>
        <v/>
      </c>
      <c r="M57" s="13">
        <f>IF(OR($A57="",AND($J57="",$K57="")),"",MIN($J57,$K57))</f>
        <v/>
      </c>
      <c r="Q57">
        <f>IF($A57="","",$D57&amp;"("&amp;SUBSTITUTE($E57," ","")&amp;")")</f>
        <v/>
      </c>
      <c r="R57">
        <f>IF($A57="","",$B57&amp;" - "&amp;$C57)</f>
        <v/>
      </c>
      <c r="S57">
        <f>IF($A57="","",$R57&amp;"|"&amp;$Q57)</f>
        <v/>
      </c>
      <c r="T57">
        <f>IF($A57="","",$S57&amp;"|"&amp;$F57)</f>
        <v/>
      </c>
      <c r="U57">
        <f>IF($A57="","",$R57&amp;"("&amp;$E57&amp;")")</f>
        <v/>
      </c>
      <c r="V57">
        <f>IF($A57="","",$F57&amp;"|"&amp;$U57&amp;"|"&amp;$D57)</f>
        <v/>
      </c>
      <c r="W57">
        <f>IF($T57="","",IF($X57&gt;N($X56),$X57,""))</f>
        <v/>
      </c>
      <c r="X57">
        <f>IF($T57="",N($X56),IF(MATCH($T57,$T$6:$T$6005,0)=ROW()-5,N($X56)+1,N($X56)))</f>
        <v/>
      </c>
      <c r="Z57">
        <f>IF($V57="","",IF($AA57&gt;N($AA56),$AA57,""))</f>
        <v/>
      </c>
      <c r="AA57">
        <f>IF($V57="",N($AA56),IF(MATCH($V57,$V$6:$V$6005,0)=ROW()-5,N($AA56)+1,N($AA56)))</f>
        <v/>
      </c>
    </row>
    <row r="58" ht="21" customHeight="1" s="66">
      <c r="A58" s="56" t="n"/>
      <c r="B58" s="57" t="n"/>
      <c r="C58" s="57" t="n"/>
      <c r="D58" s="57" t="n"/>
      <c r="E58" s="56" t="n"/>
      <c r="F58" s="57" t="n"/>
      <c r="G58" s="57" t="n"/>
      <c r="H58" s="56" t="n"/>
      <c r="I58" s="56" t="n"/>
      <c r="J58" s="58" t="n"/>
      <c r="K58" s="58" t="n"/>
      <c r="L58" s="13">
        <f>IF(OR($A58="",AND($J58="",$K58="")),"",ROUND(N($J58)-N($K58),2))</f>
        <v/>
      </c>
      <c r="M58" s="13">
        <f>IF(OR($A58="",AND($J58="",$K58="")),"",MIN($J58,$K58))</f>
        <v/>
      </c>
      <c r="Q58">
        <f>IF($A58="","",$D58&amp;"("&amp;SUBSTITUTE($E58," ","")&amp;")")</f>
        <v/>
      </c>
      <c r="R58">
        <f>IF($A58="","",$B58&amp;" - "&amp;$C58)</f>
        <v/>
      </c>
      <c r="S58">
        <f>IF($A58="","",$R58&amp;"|"&amp;$Q58)</f>
        <v/>
      </c>
      <c r="T58">
        <f>IF($A58="","",$S58&amp;"|"&amp;$F58)</f>
        <v/>
      </c>
      <c r="U58">
        <f>IF($A58="","",$R58&amp;"("&amp;$E58&amp;")")</f>
        <v/>
      </c>
      <c r="V58">
        <f>IF($A58="","",$F58&amp;"|"&amp;$U58&amp;"|"&amp;$D58)</f>
        <v/>
      </c>
      <c r="W58">
        <f>IF($T58="","",IF($X58&gt;N($X57),$X58,""))</f>
        <v/>
      </c>
      <c r="X58">
        <f>IF($T58="",N($X57),IF(MATCH($T58,$T$6:$T$6005,0)=ROW()-5,N($X57)+1,N($X57)))</f>
        <v/>
      </c>
      <c r="Z58">
        <f>IF($V58="","",IF($AA58&gt;N($AA57),$AA58,""))</f>
        <v/>
      </c>
      <c r="AA58">
        <f>IF($V58="",N($AA57),IF(MATCH($V58,$V$6:$V$6005,0)=ROW()-5,N($AA57)+1,N($AA57)))</f>
        <v/>
      </c>
    </row>
    <row r="59" ht="21" customHeight="1" s="66">
      <c r="A59" s="56" t="n"/>
      <c r="B59" s="57" t="n"/>
      <c r="C59" s="57" t="n"/>
      <c r="D59" s="57" t="n"/>
      <c r="E59" s="56" t="n"/>
      <c r="F59" s="57" t="n"/>
      <c r="G59" s="57" t="n"/>
      <c r="H59" s="56" t="n"/>
      <c r="I59" s="56" t="n"/>
      <c r="J59" s="58" t="n"/>
      <c r="K59" s="58" t="n"/>
      <c r="L59" s="13">
        <f>IF(OR($A59="",AND($J59="",$K59="")),"",ROUND(N($J59)-N($K59),2))</f>
        <v/>
      </c>
      <c r="M59" s="13">
        <f>IF(OR($A59="",AND($J59="",$K59="")),"",MIN($J59,$K59))</f>
        <v/>
      </c>
      <c r="Q59">
        <f>IF($A59="","",$D59&amp;"("&amp;SUBSTITUTE($E59," ","")&amp;")")</f>
        <v/>
      </c>
      <c r="R59">
        <f>IF($A59="","",$B59&amp;" - "&amp;$C59)</f>
        <v/>
      </c>
      <c r="S59">
        <f>IF($A59="","",$R59&amp;"|"&amp;$Q59)</f>
        <v/>
      </c>
      <c r="T59">
        <f>IF($A59="","",$S59&amp;"|"&amp;$F59)</f>
        <v/>
      </c>
      <c r="U59">
        <f>IF($A59="","",$R59&amp;"("&amp;$E59&amp;")")</f>
        <v/>
      </c>
      <c r="V59">
        <f>IF($A59="","",$F59&amp;"|"&amp;$U59&amp;"|"&amp;$D59)</f>
        <v/>
      </c>
      <c r="W59">
        <f>IF($T59="","",IF($X59&gt;N($X58),$X59,""))</f>
        <v/>
      </c>
      <c r="X59">
        <f>IF($T59="",N($X58),IF(MATCH($T59,$T$6:$T$6005,0)=ROW()-5,N($X58)+1,N($X58)))</f>
        <v/>
      </c>
      <c r="Z59">
        <f>IF($V59="","",IF($AA59&gt;N($AA58),$AA59,""))</f>
        <v/>
      </c>
      <c r="AA59">
        <f>IF($V59="",N($AA58),IF(MATCH($V59,$V$6:$V$6005,0)=ROW()-5,N($AA58)+1,N($AA58)))</f>
        <v/>
      </c>
    </row>
    <row r="60" ht="21" customHeight="1" s="66">
      <c r="A60" s="56" t="n"/>
      <c r="B60" s="57" t="n"/>
      <c r="C60" s="57" t="n"/>
      <c r="D60" s="57" t="n"/>
      <c r="E60" s="56" t="n"/>
      <c r="F60" s="57" t="n"/>
      <c r="G60" s="57" t="n"/>
      <c r="H60" s="56" t="n"/>
      <c r="I60" s="56" t="n"/>
      <c r="J60" s="58" t="n"/>
      <c r="K60" s="58" t="n"/>
      <c r="L60" s="13">
        <f>IF(OR($A60="",AND($J60="",$K60="")),"",ROUND(N($J60)-N($K60),2))</f>
        <v/>
      </c>
      <c r="M60" s="13">
        <f>IF(OR($A60="",AND($J60="",$K60="")),"",MIN($J60,$K60))</f>
        <v/>
      </c>
      <c r="Q60">
        <f>IF($A60="","",$D60&amp;"("&amp;SUBSTITUTE($E60," ","")&amp;")")</f>
        <v/>
      </c>
      <c r="R60">
        <f>IF($A60="","",$B60&amp;" - "&amp;$C60)</f>
        <v/>
      </c>
      <c r="S60">
        <f>IF($A60="","",$R60&amp;"|"&amp;$Q60)</f>
        <v/>
      </c>
      <c r="T60">
        <f>IF($A60="","",$S60&amp;"|"&amp;$F60)</f>
        <v/>
      </c>
      <c r="U60">
        <f>IF($A60="","",$R60&amp;"("&amp;$E60&amp;")")</f>
        <v/>
      </c>
      <c r="V60">
        <f>IF($A60="","",$F60&amp;"|"&amp;$U60&amp;"|"&amp;$D60)</f>
        <v/>
      </c>
      <c r="W60">
        <f>IF($T60="","",IF($X60&gt;N($X59),$X60,""))</f>
        <v/>
      </c>
      <c r="X60">
        <f>IF($T60="",N($X59),IF(MATCH($T60,$T$6:$T$6005,0)=ROW()-5,N($X59)+1,N($X59)))</f>
        <v/>
      </c>
      <c r="Z60">
        <f>IF($V60="","",IF($AA60&gt;N($AA59),$AA60,""))</f>
        <v/>
      </c>
      <c r="AA60">
        <f>IF($V60="",N($AA59),IF(MATCH($V60,$V$6:$V$6005,0)=ROW()-5,N($AA59)+1,N($AA59)))</f>
        <v/>
      </c>
    </row>
    <row r="61" ht="21" customHeight="1" s="66">
      <c r="A61" s="56" t="n"/>
      <c r="B61" s="57" t="n"/>
      <c r="C61" s="57" t="n"/>
      <c r="D61" s="57" t="n"/>
      <c r="E61" s="56" t="n"/>
      <c r="F61" s="57" t="n"/>
      <c r="G61" s="57" t="n"/>
      <c r="H61" s="56" t="n"/>
      <c r="I61" s="56" t="n"/>
      <c r="J61" s="58" t="n"/>
      <c r="K61" s="58" t="n"/>
      <c r="L61" s="13">
        <f>IF(OR($A61="",AND($J61="",$K61="")),"",ROUND(N($J61)-N($K61),2))</f>
        <v/>
      </c>
      <c r="M61" s="13">
        <f>IF(OR($A61="",AND($J61="",$K61="")),"",MIN($J61,$K61))</f>
        <v/>
      </c>
      <c r="Q61">
        <f>IF($A61="","",$D61&amp;"("&amp;SUBSTITUTE($E61," ","")&amp;")")</f>
        <v/>
      </c>
      <c r="R61">
        <f>IF($A61="","",$B61&amp;" - "&amp;$C61)</f>
        <v/>
      </c>
      <c r="S61">
        <f>IF($A61="","",$R61&amp;"|"&amp;$Q61)</f>
        <v/>
      </c>
      <c r="T61">
        <f>IF($A61="","",$S61&amp;"|"&amp;$F61)</f>
        <v/>
      </c>
      <c r="U61">
        <f>IF($A61="","",$R61&amp;"("&amp;$E61&amp;")")</f>
        <v/>
      </c>
      <c r="V61">
        <f>IF($A61="","",$F61&amp;"|"&amp;$U61&amp;"|"&amp;$D61)</f>
        <v/>
      </c>
      <c r="W61">
        <f>IF($T61="","",IF($X61&gt;N($X60),$X61,""))</f>
        <v/>
      </c>
      <c r="X61">
        <f>IF($T61="",N($X60),IF(MATCH($T61,$T$6:$T$6005,0)=ROW()-5,N($X60)+1,N($X60)))</f>
        <v/>
      </c>
      <c r="Z61">
        <f>IF($V61="","",IF($AA61&gt;N($AA60),$AA61,""))</f>
        <v/>
      </c>
      <c r="AA61">
        <f>IF($V61="",N($AA60),IF(MATCH($V61,$V$6:$V$6005,0)=ROW()-5,N($AA60)+1,N($AA60)))</f>
        <v/>
      </c>
    </row>
    <row r="62" ht="21" customHeight="1" s="66">
      <c r="A62" s="56" t="n"/>
      <c r="B62" s="57" t="n"/>
      <c r="C62" s="57" t="n"/>
      <c r="D62" s="57" t="n"/>
      <c r="E62" s="56" t="n"/>
      <c r="F62" s="57" t="n"/>
      <c r="G62" s="57" t="n"/>
      <c r="H62" s="56" t="n"/>
      <c r="I62" s="56" t="n"/>
      <c r="J62" s="58" t="n"/>
      <c r="K62" s="58" t="n"/>
      <c r="L62" s="13">
        <f>IF(OR($A62="",AND($J62="",$K62="")),"",ROUND(N($J62)-N($K62),2))</f>
        <v/>
      </c>
      <c r="M62" s="13">
        <f>IF(OR($A62="",AND($J62="",$K62="")),"",MIN($J62,$K62))</f>
        <v/>
      </c>
      <c r="Q62">
        <f>IF($A62="","",$D62&amp;"("&amp;SUBSTITUTE($E62," ","")&amp;")")</f>
        <v/>
      </c>
      <c r="R62">
        <f>IF($A62="","",$B62&amp;" - "&amp;$C62)</f>
        <v/>
      </c>
      <c r="S62">
        <f>IF($A62="","",$R62&amp;"|"&amp;$Q62)</f>
        <v/>
      </c>
      <c r="T62">
        <f>IF($A62="","",$S62&amp;"|"&amp;$F62)</f>
        <v/>
      </c>
      <c r="U62">
        <f>IF($A62="","",$R62&amp;"("&amp;$E62&amp;")")</f>
        <v/>
      </c>
      <c r="V62">
        <f>IF($A62="","",$F62&amp;"|"&amp;$U62&amp;"|"&amp;$D62)</f>
        <v/>
      </c>
      <c r="W62">
        <f>IF($T62="","",IF($X62&gt;N($X61),$X62,""))</f>
        <v/>
      </c>
      <c r="X62">
        <f>IF($T62="",N($X61),IF(MATCH($T62,$T$6:$T$6005,0)=ROW()-5,N($X61)+1,N($X61)))</f>
        <v/>
      </c>
      <c r="Z62">
        <f>IF($V62="","",IF($AA62&gt;N($AA61),$AA62,""))</f>
        <v/>
      </c>
      <c r="AA62">
        <f>IF($V62="",N($AA61),IF(MATCH($V62,$V$6:$V$6005,0)=ROW()-5,N($AA61)+1,N($AA61)))</f>
        <v/>
      </c>
    </row>
    <row r="63" ht="21" customHeight="1" s="66">
      <c r="A63" s="56" t="n"/>
      <c r="B63" s="57" t="n"/>
      <c r="C63" s="57" t="n"/>
      <c r="D63" s="57" t="n"/>
      <c r="E63" s="56" t="n"/>
      <c r="F63" s="57" t="n"/>
      <c r="G63" s="57" t="n"/>
      <c r="H63" s="56" t="n"/>
      <c r="I63" s="56" t="n"/>
      <c r="J63" s="58" t="n"/>
      <c r="K63" s="58" t="n"/>
      <c r="L63" s="13">
        <f>IF(OR($A63="",AND($J63="",$K63="")),"",ROUND(N($J63)-N($K63),2))</f>
        <v/>
      </c>
      <c r="M63" s="13">
        <f>IF(OR($A63="",AND($J63="",$K63="")),"",MIN($J63,$K63))</f>
        <v/>
      </c>
      <c r="Q63">
        <f>IF($A63="","",$D63&amp;"("&amp;SUBSTITUTE($E63," ","")&amp;")")</f>
        <v/>
      </c>
      <c r="R63">
        <f>IF($A63="","",$B63&amp;" - "&amp;$C63)</f>
        <v/>
      </c>
      <c r="S63">
        <f>IF($A63="","",$R63&amp;"|"&amp;$Q63)</f>
        <v/>
      </c>
      <c r="T63">
        <f>IF($A63="","",$S63&amp;"|"&amp;$F63)</f>
        <v/>
      </c>
      <c r="U63">
        <f>IF($A63="","",$R63&amp;"("&amp;$E63&amp;")")</f>
        <v/>
      </c>
      <c r="V63">
        <f>IF($A63="","",$F63&amp;"|"&amp;$U63&amp;"|"&amp;$D63)</f>
        <v/>
      </c>
      <c r="W63">
        <f>IF($T63="","",IF($X63&gt;N($X62),$X63,""))</f>
        <v/>
      </c>
      <c r="X63">
        <f>IF($T63="",N($X62),IF(MATCH($T63,$T$6:$T$6005,0)=ROW()-5,N($X62)+1,N($X62)))</f>
        <v/>
      </c>
      <c r="Z63">
        <f>IF($V63="","",IF($AA63&gt;N($AA62),$AA63,""))</f>
        <v/>
      </c>
      <c r="AA63">
        <f>IF($V63="",N($AA62),IF(MATCH($V63,$V$6:$V$6005,0)=ROW()-5,N($AA62)+1,N($AA62)))</f>
        <v/>
      </c>
    </row>
    <row r="64" ht="21" customHeight="1" s="66">
      <c r="A64" s="56" t="n"/>
      <c r="B64" s="57" t="n"/>
      <c r="C64" s="57" t="n"/>
      <c r="D64" s="57" t="n"/>
      <c r="E64" s="56" t="n"/>
      <c r="F64" s="57" t="n"/>
      <c r="G64" s="57" t="n"/>
      <c r="H64" s="56" t="n"/>
      <c r="I64" s="56" t="n"/>
      <c r="J64" s="58" t="n"/>
      <c r="K64" s="58" t="n"/>
      <c r="L64" s="13">
        <f>IF(OR($A64="",AND($J64="",$K64="")),"",ROUND(N($J64)-N($K64),2))</f>
        <v/>
      </c>
      <c r="M64" s="13">
        <f>IF(OR($A64="",AND($J64="",$K64="")),"",MIN($J64,$K64))</f>
        <v/>
      </c>
      <c r="Q64">
        <f>IF($A64="","",$D64&amp;"("&amp;SUBSTITUTE($E64," ","")&amp;")")</f>
        <v/>
      </c>
      <c r="R64">
        <f>IF($A64="","",$B64&amp;" - "&amp;$C64)</f>
        <v/>
      </c>
      <c r="S64">
        <f>IF($A64="","",$R64&amp;"|"&amp;$Q64)</f>
        <v/>
      </c>
      <c r="T64">
        <f>IF($A64="","",$S64&amp;"|"&amp;$F64)</f>
        <v/>
      </c>
      <c r="U64">
        <f>IF($A64="","",$R64&amp;"("&amp;$E64&amp;")")</f>
        <v/>
      </c>
      <c r="V64">
        <f>IF($A64="","",$F64&amp;"|"&amp;$U64&amp;"|"&amp;$D64)</f>
        <v/>
      </c>
      <c r="W64">
        <f>IF($T64="","",IF($X64&gt;N($X63),$X64,""))</f>
        <v/>
      </c>
      <c r="X64">
        <f>IF($T64="",N($X63),IF(MATCH($T64,$T$6:$T$6005,0)=ROW()-5,N($X63)+1,N($X63)))</f>
        <v/>
      </c>
      <c r="Z64">
        <f>IF($V64="","",IF($AA64&gt;N($AA63),$AA64,""))</f>
        <v/>
      </c>
      <c r="AA64">
        <f>IF($V64="",N($AA63),IF(MATCH($V64,$V$6:$V$6005,0)=ROW()-5,N($AA63)+1,N($AA63)))</f>
        <v/>
      </c>
    </row>
    <row r="65" ht="21" customHeight="1" s="66">
      <c r="A65" s="56" t="n"/>
      <c r="B65" s="57" t="n"/>
      <c r="C65" s="57" t="n"/>
      <c r="D65" s="57" t="n"/>
      <c r="E65" s="56" t="n"/>
      <c r="F65" s="57" t="n"/>
      <c r="G65" s="57" t="n"/>
      <c r="H65" s="56" t="n"/>
      <c r="I65" s="56" t="n"/>
      <c r="J65" s="58" t="n"/>
      <c r="K65" s="58" t="n"/>
      <c r="L65" s="13">
        <f>IF(OR($A65="",AND($J65="",$K65="")),"",ROUND(N($J65)-N($K65),2))</f>
        <v/>
      </c>
      <c r="M65" s="13">
        <f>IF(OR($A65="",AND($J65="",$K65="")),"",MIN($J65,$K65))</f>
        <v/>
      </c>
      <c r="Q65">
        <f>IF($A65="","",$D65&amp;"("&amp;SUBSTITUTE($E65," ","")&amp;")")</f>
        <v/>
      </c>
      <c r="R65">
        <f>IF($A65="","",$B65&amp;" - "&amp;$C65)</f>
        <v/>
      </c>
      <c r="S65">
        <f>IF($A65="","",$R65&amp;"|"&amp;$Q65)</f>
        <v/>
      </c>
      <c r="T65">
        <f>IF($A65="","",$S65&amp;"|"&amp;$F65)</f>
        <v/>
      </c>
      <c r="U65">
        <f>IF($A65="","",$R65&amp;"("&amp;$E65&amp;")")</f>
        <v/>
      </c>
      <c r="V65">
        <f>IF($A65="","",$F65&amp;"|"&amp;$U65&amp;"|"&amp;$D65)</f>
        <v/>
      </c>
      <c r="W65">
        <f>IF($T65="","",IF($X65&gt;N($X64),$X65,""))</f>
        <v/>
      </c>
      <c r="X65">
        <f>IF($T65="",N($X64),IF(MATCH($T65,$T$6:$T$6005,0)=ROW()-5,N($X64)+1,N($X64)))</f>
        <v/>
      </c>
      <c r="Z65">
        <f>IF($V65="","",IF($AA65&gt;N($AA64),$AA65,""))</f>
        <v/>
      </c>
      <c r="AA65">
        <f>IF($V65="",N($AA64),IF(MATCH($V65,$V$6:$V$6005,0)=ROW()-5,N($AA64)+1,N($AA64)))</f>
        <v/>
      </c>
    </row>
    <row r="66" ht="21" customHeight="1" s="66">
      <c r="A66" s="56" t="n"/>
      <c r="B66" s="57" t="n"/>
      <c r="C66" s="57" t="n"/>
      <c r="D66" s="57" t="n"/>
      <c r="E66" s="56" t="n"/>
      <c r="F66" s="57" t="n"/>
      <c r="G66" s="57" t="n"/>
      <c r="H66" s="56" t="n"/>
      <c r="I66" s="56" t="n"/>
      <c r="J66" s="58" t="n"/>
      <c r="K66" s="58" t="n"/>
      <c r="L66" s="13">
        <f>IF(OR($A66="",AND($J66="",$K66="")),"",ROUND(N($J66)-N($K66),2))</f>
        <v/>
      </c>
      <c r="M66" s="13">
        <f>IF(OR($A66="",AND($J66="",$K66="")),"",MIN($J66,$K66))</f>
        <v/>
      </c>
      <c r="Q66">
        <f>IF($A66="","",$D66&amp;"("&amp;SUBSTITUTE($E66," ","")&amp;")")</f>
        <v/>
      </c>
      <c r="R66">
        <f>IF($A66="","",$B66&amp;" - "&amp;$C66)</f>
        <v/>
      </c>
      <c r="S66">
        <f>IF($A66="","",$R66&amp;"|"&amp;$Q66)</f>
        <v/>
      </c>
      <c r="T66">
        <f>IF($A66="","",$S66&amp;"|"&amp;$F66)</f>
        <v/>
      </c>
      <c r="U66">
        <f>IF($A66="","",$R66&amp;"("&amp;$E66&amp;")")</f>
        <v/>
      </c>
      <c r="V66">
        <f>IF($A66="","",$F66&amp;"|"&amp;$U66&amp;"|"&amp;$D66)</f>
        <v/>
      </c>
      <c r="W66">
        <f>IF($T66="","",IF($X66&gt;N($X65),$X66,""))</f>
        <v/>
      </c>
      <c r="X66">
        <f>IF($T66="",N($X65),IF(MATCH($T66,$T$6:$T$6005,0)=ROW()-5,N($X65)+1,N($X65)))</f>
        <v/>
      </c>
      <c r="Z66">
        <f>IF($V66="","",IF($AA66&gt;N($AA65),$AA66,""))</f>
        <v/>
      </c>
      <c r="AA66">
        <f>IF($V66="",N($AA65),IF(MATCH($V66,$V$6:$V$6005,0)=ROW()-5,N($AA65)+1,N($AA65)))</f>
        <v/>
      </c>
    </row>
    <row r="67" ht="21" customHeight="1" s="66">
      <c r="A67" s="56" t="n"/>
      <c r="B67" s="57" t="n"/>
      <c r="C67" s="57" t="n"/>
      <c r="D67" s="57" t="n"/>
      <c r="E67" s="56" t="n"/>
      <c r="F67" s="57" t="n"/>
      <c r="G67" s="57" t="n"/>
      <c r="H67" s="56" t="n"/>
      <c r="I67" s="56" t="n"/>
      <c r="J67" s="58" t="n"/>
      <c r="K67" s="58" t="n"/>
      <c r="L67" s="13">
        <f>IF(OR($A67="",AND($J67="",$K67="")),"",ROUND(N($J67)-N($K67),2))</f>
        <v/>
      </c>
      <c r="M67" s="13">
        <f>IF(OR($A67="",AND($J67="",$K67="")),"",MIN($J67,$K67))</f>
        <v/>
      </c>
      <c r="Q67">
        <f>IF($A67="","",$D67&amp;"("&amp;SUBSTITUTE($E67," ","")&amp;")")</f>
        <v/>
      </c>
      <c r="R67">
        <f>IF($A67="","",$B67&amp;" - "&amp;$C67)</f>
        <v/>
      </c>
      <c r="S67">
        <f>IF($A67="","",$R67&amp;"|"&amp;$Q67)</f>
        <v/>
      </c>
      <c r="T67">
        <f>IF($A67="","",$S67&amp;"|"&amp;$F67)</f>
        <v/>
      </c>
      <c r="U67">
        <f>IF($A67="","",$R67&amp;"("&amp;$E67&amp;")")</f>
        <v/>
      </c>
      <c r="V67">
        <f>IF($A67="","",$F67&amp;"|"&amp;$U67&amp;"|"&amp;$D67)</f>
        <v/>
      </c>
      <c r="W67">
        <f>IF($T67="","",IF($X67&gt;N($X66),$X67,""))</f>
        <v/>
      </c>
      <c r="X67">
        <f>IF($T67="",N($X66),IF(MATCH($T67,$T$6:$T$6005,0)=ROW()-5,N($X66)+1,N($X66)))</f>
        <v/>
      </c>
      <c r="Z67">
        <f>IF($V67="","",IF($AA67&gt;N($AA66),$AA67,""))</f>
        <v/>
      </c>
      <c r="AA67">
        <f>IF($V67="",N($AA66),IF(MATCH($V67,$V$6:$V$6005,0)=ROW()-5,N($AA66)+1,N($AA66)))</f>
        <v/>
      </c>
    </row>
    <row r="68" ht="21" customHeight="1" s="66">
      <c r="A68" s="56" t="n"/>
      <c r="B68" s="57" t="n"/>
      <c r="C68" s="57" t="n"/>
      <c r="D68" s="57" t="n"/>
      <c r="E68" s="56" t="n"/>
      <c r="F68" s="57" t="n"/>
      <c r="G68" s="57" t="n"/>
      <c r="H68" s="56" t="n"/>
      <c r="I68" s="56" t="n"/>
      <c r="J68" s="58" t="n"/>
      <c r="K68" s="58" t="n"/>
      <c r="L68" s="13">
        <f>IF(OR($A68="",AND($J68="",$K68="")),"",ROUND(N($J68)-N($K68),2))</f>
        <v/>
      </c>
      <c r="M68" s="13">
        <f>IF(OR($A68="",AND($J68="",$K68="")),"",MIN($J68,$K68))</f>
        <v/>
      </c>
      <c r="Q68">
        <f>IF($A68="","",$D68&amp;"("&amp;SUBSTITUTE($E68," ","")&amp;")")</f>
        <v/>
      </c>
      <c r="R68">
        <f>IF($A68="","",$B68&amp;" - "&amp;$C68)</f>
        <v/>
      </c>
      <c r="S68">
        <f>IF($A68="","",$R68&amp;"|"&amp;$Q68)</f>
        <v/>
      </c>
      <c r="T68">
        <f>IF($A68="","",$S68&amp;"|"&amp;$F68)</f>
        <v/>
      </c>
      <c r="U68">
        <f>IF($A68="","",$R68&amp;"("&amp;$E68&amp;")")</f>
        <v/>
      </c>
      <c r="V68">
        <f>IF($A68="","",$F68&amp;"|"&amp;$U68&amp;"|"&amp;$D68)</f>
        <v/>
      </c>
      <c r="W68">
        <f>IF($T68="","",IF($X68&gt;N($X67),$X68,""))</f>
        <v/>
      </c>
      <c r="X68">
        <f>IF($T68="",N($X67),IF(MATCH($T68,$T$6:$T$6005,0)=ROW()-5,N($X67)+1,N($X67)))</f>
        <v/>
      </c>
      <c r="Z68">
        <f>IF($V68="","",IF($AA68&gt;N($AA67),$AA68,""))</f>
        <v/>
      </c>
      <c r="AA68">
        <f>IF($V68="",N($AA67),IF(MATCH($V68,$V$6:$V$6005,0)=ROW()-5,N($AA67)+1,N($AA67)))</f>
        <v/>
      </c>
    </row>
    <row r="69" ht="21" customHeight="1" s="66">
      <c r="A69" s="56" t="n"/>
      <c r="B69" s="57" t="n"/>
      <c r="C69" s="57" t="n"/>
      <c r="D69" s="57" t="n"/>
      <c r="E69" s="56" t="n"/>
      <c r="F69" s="57" t="n"/>
      <c r="G69" s="57" t="n"/>
      <c r="H69" s="56" t="n"/>
      <c r="I69" s="56" t="n"/>
      <c r="J69" s="58" t="n"/>
      <c r="K69" s="58" t="n"/>
      <c r="L69" s="13">
        <f>IF(OR($A69="",AND($J69="",$K69="")),"",ROUND(N($J69)-N($K69),2))</f>
        <v/>
      </c>
      <c r="M69" s="13">
        <f>IF(OR($A69="",AND($J69="",$K69="")),"",MIN($J69,$K69))</f>
        <v/>
      </c>
      <c r="Q69">
        <f>IF($A69="","",$D69&amp;"("&amp;SUBSTITUTE($E69," ","")&amp;")")</f>
        <v/>
      </c>
      <c r="R69">
        <f>IF($A69="","",$B69&amp;" - "&amp;$C69)</f>
        <v/>
      </c>
      <c r="S69">
        <f>IF($A69="","",$R69&amp;"|"&amp;$Q69)</f>
        <v/>
      </c>
      <c r="T69">
        <f>IF($A69="","",$S69&amp;"|"&amp;$F69)</f>
        <v/>
      </c>
      <c r="U69">
        <f>IF($A69="","",$R69&amp;"("&amp;$E69&amp;")")</f>
        <v/>
      </c>
      <c r="V69">
        <f>IF($A69="","",$F69&amp;"|"&amp;$U69&amp;"|"&amp;$D69)</f>
        <v/>
      </c>
      <c r="W69">
        <f>IF($T69="","",IF($X69&gt;N($X68),$X69,""))</f>
        <v/>
      </c>
      <c r="X69">
        <f>IF($T69="",N($X68),IF(MATCH($T69,$T$6:$T$6005,0)=ROW()-5,N($X68)+1,N($X68)))</f>
        <v/>
      </c>
      <c r="Z69">
        <f>IF($V69="","",IF($AA69&gt;N($AA68),$AA69,""))</f>
        <v/>
      </c>
      <c r="AA69">
        <f>IF($V69="",N($AA68),IF(MATCH($V69,$V$6:$V$6005,0)=ROW()-5,N($AA68)+1,N($AA68)))</f>
        <v/>
      </c>
    </row>
    <row r="70" ht="21" customHeight="1" s="66">
      <c r="A70" s="56" t="n"/>
      <c r="B70" s="57" t="n"/>
      <c r="C70" s="57" t="n"/>
      <c r="D70" s="57" t="n"/>
      <c r="E70" s="56" t="n"/>
      <c r="F70" s="57" t="n"/>
      <c r="G70" s="57" t="n"/>
      <c r="H70" s="56" t="n"/>
      <c r="I70" s="56" t="n"/>
      <c r="J70" s="58" t="n"/>
      <c r="K70" s="58" t="n"/>
      <c r="L70" s="13">
        <f>IF(OR($A70="",AND($J70="",$K70="")),"",ROUND(N($J70)-N($K70),2))</f>
        <v/>
      </c>
      <c r="M70" s="13">
        <f>IF(OR($A70="",AND($J70="",$K70="")),"",MIN($J70,$K70))</f>
        <v/>
      </c>
      <c r="Q70">
        <f>IF($A70="","",$D70&amp;"("&amp;SUBSTITUTE($E70," ","")&amp;")")</f>
        <v/>
      </c>
      <c r="R70">
        <f>IF($A70="","",$B70&amp;" - "&amp;$C70)</f>
        <v/>
      </c>
      <c r="S70">
        <f>IF($A70="","",$R70&amp;"|"&amp;$Q70)</f>
        <v/>
      </c>
      <c r="T70">
        <f>IF($A70="","",$S70&amp;"|"&amp;$F70)</f>
        <v/>
      </c>
      <c r="U70">
        <f>IF($A70="","",$R70&amp;"("&amp;$E70&amp;")")</f>
        <v/>
      </c>
      <c r="V70">
        <f>IF($A70="","",$F70&amp;"|"&amp;$U70&amp;"|"&amp;$D70)</f>
        <v/>
      </c>
      <c r="W70">
        <f>IF($T70="","",IF($X70&gt;N($X69),$X70,""))</f>
        <v/>
      </c>
      <c r="X70">
        <f>IF($T70="",N($X69),IF(MATCH($T70,$T$6:$T$6005,0)=ROW()-5,N($X69)+1,N($X69)))</f>
        <v/>
      </c>
      <c r="Z70">
        <f>IF($V70="","",IF($AA70&gt;N($AA69),$AA70,""))</f>
        <v/>
      </c>
      <c r="AA70">
        <f>IF($V70="",N($AA69),IF(MATCH($V70,$V$6:$V$6005,0)=ROW()-5,N($AA69)+1,N($AA69)))</f>
        <v/>
      </c>
    </row>
    <row r="71" ht="21" customHeight="1" s="66">
      <c r="A71" s="56" t="n"/>
      <c r="B71" s="57" t="n"/>
      <c r="C71" s="57" t="n"/>
      <c r="D71" s="57" t="n"/>
      <c r="E71" s="56" t="n"/>
      <c r="F71" s="57" t="n"/>
      <c r="G71" s="57" t="n"/>
      <c r="H71" s="56" t="n"/>
      <c r="I71" s="56" t="n"/>
      <c r="J71" s="58" t="n"/>
      <c r="K71" s="58" t="n"/>
      <c r="L71" s="13">
        <f>IF(OR($A71="",AND($J71="",$K71="")),"",ROUND(N($J71)-N($K71),2))</f>
        <v/>
      </c>
      <c r="M71" s="13">
        <f>IF(OR($A71="",AND($J71="",$K71="")),"",MIN($J71,$K71))</f>
        <v/>
      </c>
      <c r="Q71">
        <f>IF($A71="","",$D71&amp;"("&amp;SUBSTITUTE($E71," ","")&amp;")")</f>
        <v/>
      </c>
      <c r="R71">
        <f>IF($A71="","",$B71&amp;" - "&amp;$C71)</f>
        <v/>
      </c>
      <c r="S71">
        <f>IF($A71="","",$R71&amp;"|"&amp;$Q71)</f>
        <v/>
      </c>
      <c r="T71">
        <f>IF($A71="","",$S71&amp;"|"&amp;$F71)</f>
        <v/>
      </c>
      <c r="U71">
        <f>IF($A71="","",$R71&amp;"("&amp;$E71&amp;")")</f>
        <v/>
      </c>
      <c r="V71">
        <f>IF($A71="","",$F71&amp;"|"&amp;$U71&amp;"|"&amp;$D71)</f>
        <v/>
      </c>
      <c r="W71">
        <f>IF($T71="","",IF($X71&gt;N($X70),$X71,""))</f>
        <v/>
      </c>
      <c r="X71">
        <f>IF($T71="",N($X70),IF(MATCH($T71,$T$6:$T$6005,0)=ROW()-5,N($X70)+1,N($X70)))</f>
        <v/>
      </c>
      <c r="Z71">
        <f>IF($V71="","",IF($AA71&gt;N($AA70),$AA71,""))</f>
        <v/>
      </c>
      <c r="AA71">
        <f>IF($V71="",N($AA70),IF(MATCH($V71,$V$6:$V$6005,0)=ROW()-5,N($AA70)+1,N($AA70)))</f>
        <v/>
      </c>
    </row>
    <row r="72" ht="21" customHeight="1" s="66">
      <c r="A72" s="56" t="n"/>
      <c r="B72" s="57" t="n"/>
      <c r="C72" s="57" t="n"/>
      <c r="D72" s="57" t="n"/>
      <c r="E72" s="56" t="n"/>
      <c r="F72" s="57" t="n"/>
      <c r="G72" s="57" t="n"/>
      <c r="H72" s="56" t="n"/>
      <c r="I72" s="56" t="n"/>
      <c r="J72" s="58" t="n"/>
      <c r="K72" s="58" t="n"/>
      <c r="L72" s="13">
        <f>IF(OR($A72="",AND($J72="",$K72="")),"",ROUND(N($J72)-N($K72),2))</f>
        <v/>
      </c>
      <c r="M72" s="13">
        <f>IF(OR($A72="",AND($J72="",$K72="")),"",MIN($J72,$K72))</f>
        <v/>
      </c>
      <c r="Q72">
        <f>IF($A72="","",$D72&amp;"("&amp;SUBSTITUTE($E72," ","")&amp;")")</f>
        <v/>
      </c>
      <c r="R72">
        <f>IF($A72="","",$B72&amp;" - "&amp;$C72)</f>
        <v/>
      </c>
      <c r="S72">
        <f>IF($A72="","",$R72&amp;"|"&amp;$Q72)</f>
        <v/>
      </c>
      <c r="T72">
        <f>IF($A72="","",$S72&amp;"|"&amp;$F72)</f>
        <v/>
      </c>
      <c r="U72">
        <f>IF($A72="","",$R72&amp;"("&amp;$E72&amp;")")</f>
        <v/>
      </c>
      <c r="V72">
        <f>IF($A72="","",$F72&amp;"|"&amp;$U72&amp;"|"&amp;$D72)</f>
        <v/>
      </c>
      <c r="W72">
        <f>IF($T72="","",IF($X72&gt;N($X71),$X72,""))</f>
        <v/>
      </c>
      <c r="X72">
        <f>IF($T72="",N($X71),IF(MATCH($T72,$T$6:$T$6005,0)=ROW()-5,N($X71)+1,N($X71)))</f>
        <v/>
      </c>
      <c r="Z72">
        <f>IF($V72="","",IF($AA72&gt;N($AA71),$AA72,""))</f>
        <v/>
      </c>
      <c r="AA72">
        <f>IF($V72="",N($AA71),IF(MATCH($V72,$V$6:$V$6005,0)=ROW()-5,N($AA71)+1,N($AA71)))</f>
        <v/>
      </c>
    </row>
    <row r="73" ht="21" customHeight="1" s="66">
      <c r="A73" s="56" t="n"/>
      <c r="B73" s="57" t="n"/>
      <c r="C73" s="57" t="n"/>
      <c r="D73" s="57" t="n"/>
      <c r="E73" s="56" t="n"/>
      <c r="F73" s="57" t="n"/>
      <c r="G73" s="57" t="n"/>
      <c r="H73" s="56" t="n"/>
      <c r="I73" s="56" t="n"/>
      <c r="J73" s="58" t="n"/>
      <c r="K73" s="58" t="n"/>
      <c r="L73" s="13">
        <f>IF(OR($A73="",AND($J73="",$K73="")),"",ROUND(N($J73)-N($K73),2))</f>
        <v/>
      </c>
      <c r="M73" s="13">
        <f>IF(OR($A73="",AND($J73="",$K73="")),"",MIN($J73,$K73))</f>
        <v/>
      </c>
      <c r="Q73">
        <f>IF($A73="","",$D73&amp;"("&amp;SUBSTITUTE($E73," ","")&amp;")")</f>
        <v/>
      </c>
      <c r="R73">
        <f>IF($A73="","",$B73&amp;" - "&amp;$C73)</f>
        <v/>
      </c>
      <c r="S73">
        <f>IF($A73="","",$R73&amp;"|"&amp;$Q73)</f>
        <v/>
      </c>
      <c r="T73">
        <f>IF($A73="","",$S73&amp;"|"&amp;$F73)</f>
        <v/>
      </c>
      <c r="U73">
        <f>IF($A73="","",$R73&amp;"("&amp;$E73&amp;")")</f>
        <v/>
      </c>
      <c r="V73">
        <f>IF($A73="","",$F73&amp;"|"&amp;$U73&amp;"|"&amp;$D73)</f>
        <v/>
      </c>
      <c r="W73">
        <f>IF($T73="","",IF($X73&gt;N($X72),$X73,""))</f>
        <v/>
      </c>
      <c r="X73">
        <f>IF($T73="",N($X72),IF(MATCH($T73,$T$6:$T$6005,0)=ROW()-5,N($X72)+1,N($X72)))</f>
        <v/>
      </c>
      <c r="Z73">
        <f>IF($V73="","",IF($AA73&gt;N($AA72),$AA73,""))</f>
        <v/>
      </c>
      <c r="AA73">
        <f>IF($V73="",N($AA72),IF(MATCH($V73,$V$6:$V$6005,0)=ROW()-5,N($AA72)+1,N($AA72)))</f>
        <v/>
      </c>
    </row>
    <row r="74" ht="21" customHeight="1" s="66">
      <c r="A74" s="56" t="n"/>
      <c r="B74" s="57" t="n"/>
      <c r="C74" s="57" t="n"/>
      <c r="D74" s="57" t="n"/>
      <c r="E74" s="56" t="n"/>
      <c r="F74" s="57" t="n"/>
      <c r="G74" s="57" t="n"/>
      <c r="H74" s="56" t="n"/>
      <c r="I74" s="56" t="n"/>
      <c r="J74" s="58" t="n"/>
      <c r="K74" s="58" t="n"/>
      <c r="L74" s="13">
        <f>IF(OR($A74="",AND($J74="",$K74="")),"",ROUND(N($J74)-N($K74),2))</f>
        <v/>
      </c>
      <c r="M74" s="13">
        <f>IF(OR($A74="",AND($J74="",$K74="")),"",MIN($J74,$K74))</f>
        <v/>
      </c>
      <c r="Q74">
        <f>IF($A74="","",$D74&amp;"("&amp;SUBSTITUTE($E74," ","")&amp;")")</f>
        <v/>
      </c>
      <c r="R74">
        <f>IF($A74="","",$B74&amp;" - "&amp;$C74)</f>
        <v/>
      </c>
      <c r="S74">
        <f>IF($A74="","",$R74&amp;"|"&amp;$Q74)</f>
        <v/>
      </c>
      <c r="T74">
        <f>IF($A74="","",$S74&amp;"|"&amp;$F74)</f>
        <v/>
      </c>
      <c r="U74">
        <f>IF($A74="","",$R74&amp;"("&amp;$E74&amp;")")</f>
        <v/>
      </c>
      <c r="V74">
        <f>IF($A74="","",$F74&amp;"|"&amp;$U74&amp;"|"&amp;$D74)</f>
        <v/>
      </c>
      <c r="W74">
        <f>IF($T74="","",IF($X74&gt;N($X73),$X74,""))</f>
        <v/>
      </c>
      <c r="X74">
        <f>IF($T74="",N($X73),IF(MATCH($T74,$T$6:$T$6005,0)=ROW()-5,N($X73)+1,N($X73)))</f>
        <v/>
      </c>
      <c r="Z74">
        <f>IF($V74="","",IF($AA74&gt;N($AA73),$AA74,""))</f>
        <v/>
      </c>
      <c r="AA74">
        <f>IF($V74="",N($AA73),IF(MATCH($V74,$V$6:$V$6005,0)=ROW()-5,N($AA73)+1,N($AA73)))</f>
        <v/>
      </c>
    </row>
    <row r="75" ht="21" customHeight="1" s="66">
      <c r="A75" s="56" t="n"/>
      <c r="B75" s="57" t="n"/>
      <c r="C75" s="57" t="n"/>
      <c r="D75" s="57" t="n"/>
      <c r="E75" s="56" t="n"/>
      <c r="F75" s="57" t="n"/>
      <c r="G75" s="57" t="n"/>
      <c r="H75" s="56" t="n"/>
      <c r="I75" s="56" t="n"/>
      <c r="J75" s="58" t="n"/>
      <c r="K75" s="58" t="n"/>
      <c r="L75" s="13">
        <f>IF(OR($A75="",AND($J75="",$K75="")),"",ROUND(N($J75)-N($K75),2))</f>
        <v/>
      </c>
      <c r="M75" s="13">
        <f>IF(OR($A75="",AND($J75="",$K75="")),"",MIN($J75,$K75))</f>
        <v/>
      </c>
      <c r="Q75">
        <f>IF($A75="","",$D75&amp;"("&amp;SUBSTITUTE($E75," ","")&amp;")")</f>
        <v/>
      </c>
      <c r="R75">
        <f>IF($A75="","",$B75&amp;" - "&amp;$C75)</f>
        <v/>
      </c>
      <c r="S75">
        <f>IF($A75="","",$R75&amp;"|"&amp;$Q75)</f>
        <v/>
      </c>
      <c r="T75">
        <f>IF($A75="","",$S75&amp;"|"&amp;$F75)</f>
        <v/>
      </c>
      <c r="U75">
        <f>IF($A75="","",$R75&amp;"("&amp;$E75&amp;")")</f>
        <v/>
      </c>
      <c r="V75">
        <f>IF($A75="","",$F75&amp;"|"&amp;$U75&amp;"|"&amp;$D75)</f>
        <v/>
      </c>
      <c r="W75">
        <f>IF($T75="","",IF($X75&gt;N($X74),$X75,""))</f>
        <v/>
      </c>
      <c r="X75">
        <f>IF($T75="",N($X74),IF(MATCH($T75,$T$6:$T$6005,0)=ROW()-5,N($X74)+1,N($X74)))</f>
        <v/>
      </c>
      <c r="Z75">
        <f>IF($V75="","",IF($AA75&gt;N($AA74),$AA75,""))</f>
        <v/>
      </c>
      <c r="AA75">
        <f>IF($V75="",N($AA74),IF(MATCH($V75,$V$6:$V$6005,0)=ROW()-5,N($AA74)+1,N($AA74)))</f>
        <v/>
      </c>
    </row>
    <row r="76" ht="21" customHeight="1" s="66">
      <c r="A76" s="56" t="n"/>
      <c r="B76" s="57" t="n"/>
      <c r="C76" s="57" t="n"/>
      <c r="D76" s="57" t="n"/>
      <c r="E76" s="56" t="n"/>
      <c r="F76" s="57" t="n"/>
      <c r="G76" s="57" t="n"/>
      <c r="H76" s="56" t="n"/>
      <c r="I76" s="56" t="n"/>
      <c r="J76" s="58" t="n"/>
      <c r="K76" s="58" t="n"/>
      <c r="L76" s="13">
        <f>IF(OR($A76="",AND($J76="",$K76="")),"",ROUND(N($J76)-N($K76),2))</f>
        <v/>
      </c>
      <c r="M76" s="13">
        <f>IF(OR($A76="",AND($J76="",$K76="")),"",MIN($J76,$K76))</f>
        <v/>
      </c>
      <c r="Q76">
        <f>IF($A76="","",$D76&amp;"("&amp;SUBSTITUTE($E76," ","")&amp;")")</f>
        <v/>
      </c>
      <c r="R76">
        <f>IF($A76="","",$B76&amp;" - "&amp;$C76)</f>
        <v/>
      </c>
      <c r="S76">
        <f>IF($A76="","",$R76&amp;"|"&amp;$Q76)</f>
        <v/>
      </c>
      <c r="T76">
        <f>IF($A76="","",$S76&amp;"|"&amp;$F76)</f>
        <v/>
      </c>
      <c r="U76">
        <f>IF($A76="","",$R76&amp;"("&amp;$E76&amp;")")</f>
        <v/>
      </c>
      <c r="V76">
        <f>IF($A76="","",$F76&amp;"|"&amp;$U76&amp;"|"&amp;$D76)</f>
        <v/>
      </c>
      <c r="W76">
        <f>IF($T76="","",IF($X76&gt;N($X75),$X76,""))</f>
        <v/>
      </c>
      <c r="X76">
        <f>IF($T76="",N($X75),IF(MATCH($T76,$T$6:$T$6005,0)=ROW()-5,N($X75)+1,N($X75)))</f>
        <v/>
      </c>
      <c r="Z76">
        <f>IF($V76="","",IF($AA76&gt;N($AA75),$AA76,""))</f>
        <v/>
      </c>
      <c r="AA76">
        <f>IF($V76="",N($AA75),IF(MATCH($V76,$V$6:$V$6005,0)=ROW()-5,N($AA75)+1,N($AA75)))</f>
        <v/>
      </c>
    </row>
    <row r="77" ht="21" customHeight="1" s="66">
      <c r="A77" s="56" t="n"/>
      <c r="B77" s="57" t="n"/>
      <c r="C77" s="57" t="n"/>
      <c r="D77" s="57" t="n"/>
      <c r="E77" s="56" t="n"/>
      <c r="F77" s="57" t="n"/>
      <c r="G77" s="57" t="n"/>
      <c r="H77" s="56" t="n"/>
      <c r="I77" s="56" t="n"/>
      <c r="J77" s="58" t="n"/>
      <c r="K77" s="58" t="n"/>
      <c r="L77" s="13">
        <f>IF(OR($A77="",AND($J77="",$K77="")),"",ROUND(N($J77)-N($K77),2))</f>
        <v/>
      </c>
      <c r="M77" s="13">
        <f>IF(OR($A77="",AND($J77="",$K77="")),"",MIN($J77,$K77))</f>
        <v/>
      </c>
      <c r="Q77">
        <f>IF($A77="","",$D77&amp;"("&amp;SUBSTITUTE($E77," ","")&amp;")")</f>
        <v/>
      </c>
      <c r="R77">
        <f>IF($A77="","",$B77&amp;" - "&amp;$C77)</f>
        <v/>
      </c>
      <c r="S77">
        <f>IF($A77="","",$R77&amp;"|"&amp;$Q77)</f>
        <v/>
      </c>
      <c r="T77">
        <f>IF($A77="","",$S77&amp;"|"&amp;$F77)</f>
        <v/>
      </c>
      <c r="U77">
        <f>IF($A77="","",$R77&amp;"("&amp;$E77&amp;")")</f>
        <v/>
      </c>
      <c r="V77">
        <f>IF($A77="","",$F77&amp;"|"&amp;$U77&amp;"|"&amp;$D77)</f>
        <v/>
      </c>
      <c r="W77">
        <f>IF($T77="","",IF($X77&gt;N($X76),$X77,""))</f>
        <v/>
      </c>
      <c r="X77">
        <f>IF($T77="",N($X76),IF(MATCH($T77,$T$6:$T$6005,0)=ROW()-5,N($X76)+1,N($X76)))</f>
        <v/>
      </c>
      <c r="Z77">
        <f>IF($V77="","",IF($AA77&gt;N($AA76),$AA77,""))</f>
        <v/>
      </c>
      <c r="AA77">
        <f>IF($V77="",N($AA76),IF(MATCH($V77,$V$6:$V$6005,0)=ROW()-5,N($AA76)+1,N($AA76)))</f>
        <v/>
      </c>
    </row>
    <row r="78" ht="21" customHeight="1" s="66">
      <c r="A78" s="56" t="n"/>
      <c r="B78" s="57" t="n"/>
      <c r="C78" s="57" t="n"/>
      <c r="D78" s="57" t="n"/>
      <c r="E78" s="56" t="n"/>
      <c r="F78" s="57" t="n"/>
      <c r="G78" s="57" t="n"/>
      <c r="H78" s="56" t="n"/>
      <c r="I78" s="56" t="n"/>
      <c r="J78" s="58" t="n"/>
      <c r="K78" s="58" t="n"/>
      <c r="L78" s="13">
        <f>IF(OR($A78="",AND($J78="",$K78="")),"",ROUND(N($J78)-N($K78),2))</f>
        <v/>
      </c>
      <c r="M78" s="13">
        <f>IF(OR($A78="",AND($J78="",$K78="")),"",MIN($J78,$K78))</f>
        <v/>
      </c>
      <c r="Q78">
        <f>IF($A78="","",$D78&amp;"("&amp;SUBSTITUTE($E78," ","")&amp;")")</f>
        <v/>
      </c>
      <c r="R78">
        <f>IF($A78="","",$B78&amp;" - "&amp;$C78)</f>
        <v/>
      </c>
      <c r="S78">
        <f>IF($A78="","",$R78&amp;"|"&amp;$Q78)</f>
        <v/>
      </c>
      <c r="T78">
        <f>IF($A78="","",$S78&amp;"|"&amp;$F78)</f>
        <v/>
      </c>
      <c r="U78">
        <f>IF($A78="","",$R78&amp;"("&amp;$E78&amp;")")</f>
        <v/>
      </c>
      <c r="V78">
        <f>IF($A78="","",$F78&amp;"|"&amp;$U78&amp;"|"&amp;$D78)</f>
        <v/>
      </c>
      <c r="W78">
        <f>IF($T78="","",IF($X78&gt;N($X77),$X78,""))</f>
        <v/>
      </c>
      <c r="X78">
        <f>IF($T78="",N($X77),IF(MATCH($T78,$T$6:$T$6005,0)=ROW()-5,N($X77)+1,N($X77)))</f>
        <v/>
      </c>
      <c r="Z78">
        <f>IF($V78="","",IF($AA78&gt;N($AA77),$AA78,""))</f>
        <v/>
      </c>
      <c r="AA78">
        <f>IF($V78="",N($AA77),IF(MATCH($V78,$V$6:$V$6005,0)=ROW()-5,N($AA77)+1,N($AA77)))</f>
        <v/>
      </c>
    </row>
    <row r="79" ht="21" customHeight="1" s="66">
      <c r="A79" s="56" t="n"/>
      <c r="B79" s="57" t="n"/>
      <c r="C79" s="57" t="n"/>
      <c r="D79" s="57" t="n"/>
      <c r="E79" s="56" t="n"/>
      <c r="F79" s="57" t="n"/>
      <c r="G79" s="57" t="n"/>
      <c r="H79" s="56" t="n"/>
      <c r="I79" s="56" t="n"/>
      <c r="J79" s="58" t="n"/>
      <c r="K79" s="58" t="n"/>
      <c r="L79" s="13">
        <f>IF(OR($A79="",AND($J79="",$K79="")),"",ROUND(N($J79)-N($K79),2))</f>
        <v/>
      </c>
      <c r="M79" s="13">
        <f>IF(OR($A79="",AND($J79="",$K79="")),"",MIN($J79,$K79))</f>
        <v/>
      </c>
      <c r="Q79">
        <f>IF($A79="","",$D79&amp;"("&amp;SUBSTITUTE($E79," ","")&amp;")")</f>
        <v/>
      </c>
      <c r="R79">
        <f>IF($A79="","",$B79&amp;" - "&amp;$C79)</f>
        <v/>
      </c>
      <c r="S79">
        <f>IF($A79="","",$R79&amp;"|"&amp;$Q79)</f>
        <v/>
      </c>
      <c r="T79">
        <f>IF($A79="","",$S79&amp;"|"&amp;$F79)</f>
        <v/>
      </c>
      <c r="U79">
        <f>IF($A79="","",$R79&amp;"("&amp;$E79&amp;")")</f>
        <v/>
      </c>
      <c r="V79">
        <f>IF($A79="","",$F79&amp;"|"&amp;$U79&amp;"|"&amp;$D79)</f>
        <v/>
      </c>
      <c r="W79">
        <f>IF($T79="","",IF($X79&gt;N($X78),$X79,""))</f>
        <v/>
      </c>
      <c r="X79">
        <f>IF($T79="",N($X78),IF(MATCH($T79,$T$6:$T$6005,0)=ROW()-5,N($X78)+1,N($X78)))</f>
        <v/>
      </c>
      <c r="Z79">
        <f>IF($V79="","",IF($AA79&gt;N($AA78),$AA79,""))</f>
        <v/>
      </c>
      <c r="AA79">
        <f>IF($V79="",N($AA78),IF(MATCH($V79,$V$6:$V$6005,0)=ROW()-5,N($AA78)+1,N($AA78)))</f>
        <v/>
      </c>
    </row>
    <row r="80" ht="21" customHeight="1" s="66">
      <c r="A80" s="56" t="n"/>
      <c r="B80" s="57" t="n"/>
      <c r="C80" s="57" t="n"/>
      <c r="D80" s="57" t="n"/>
      <c r="E80" s="56" t="n"/>
      <c r="F80" s="57" t="n"/>
      <c r="G80" s="57" t="n"/>
      <c r="H80" s="56" t="n"/>
      <c r="I80" s="56" t="n"/>
      <c r="J80" s="58" t="n"/>
      <c r="K80" s="58" t="n"/>
      <c r="L80" s="13">
        <f>IF(OR($A80="",AND($J80="",$K80="")),"",ROUND(N($J80)-N($K80),2))</f>
        <v/>
      </c>
      <c r="M80" s="13">
        <f>IF(OR($A80="",AND($J80="",$K80="")),"",MIN($J80,$K80))</f>
        <v/>
      </c>
      <c r="Q80">
        <f>IF($A80="","",$D80&amp;"("&amp;SUBSTITUTE($E80," ","")&amp;")")</f>
        <v/>
      </c>
      <c r="R80">
        <f>IF($A80="","",$B80&amp;" - "&amp;$C80)</f>
        <v/>
      </c>
      <c r="S80">
        <f>IF($A80="","",$R80&amp;"|"&amp;$Q80)</f>
        <v/>
      </c>
      <c r="T80">
        <f>IF($A80="","",$S80&amp;"|"&amp;$F80)</f>
        <v/>
      </c>
      <c r="U80">
        <f>IF($A80="","",$R80&amp;"("&amp;$E80&amp;")")</f>
        <v/>
      </c>
      <c r="V80">
        <f>IF($A80="","",$F80&amp;"|"&amp;$U80&amp;"|"&amp;$D80)</f>
        <v/>
      </c>
      <c r="W80">
        <f>IF($T80="","",IF($X80&gt;N($X79),$X80,""))</f>
        <v/>
      </c>
      <c r="X80">
        <f>IF($T80="",N($X79),IF(MATCH($T80,$T$6:$T$6005,0)=ROW()-5,N($X79)+1,N($X79)))</f>
        <v/>
      </c>
      <c r="Z80">
        <f>IF($V80="","",IF($AA80&gt;N($AA79),$AA80,""))</f>
        <v/>
      </c>
      <c r="AA80">
        <f>IF($V80="",N($AA79),IF(MATCH($V80,$V$6:$V$6005,0)=ROW()-5,N($AA79)+1,N($AA79)))</f>
        <v/>
      </c>
    </row>
    <row r="81" ht="21" customHeight="1" s="66">
      <c r="A81" s="56" t="n"/>
      <c r="B81" s="57" t="n"/>
      <c r="C81" s="57" t="n"/>
      <c r="D81" s="57" t="n"/>
      <c r="E81" s="56" t="n"/>
      <c r="F81" s="57" t="n"/>
      <c r="G81" s="57" t="n"/>
      <c r="H81" s="56" t="n"/>
      <c r="I81" s="56" t="n"/>
      <c r="J81" s="58" t="n"/>
      <c r="K81" s="58" t="n"/>
      <c r="L81" s="13">
        <f>IF(OR($A81="",AND($J81="",$K81="")),"",ROUND(N($J81)-N($K81),2))</f>
        <v/>
      </c>
      <c r="M81" s="13">
        <f>IF(OR($A81="",AND($J81="",$K81="")),"",MIN($J81,$K81))</f>
        <v/>
      </c>
      <c r="Q81">
        <f>IF($A81="","",$D81&amp;"("&amp;SUBSTITUTE($E81," ","")&amp;")")</f>
        <v/>
      </c>
      <c r="R81">
        <f>IF($A81="","",$B81&amp;" - "&amp;$C81)</f>
        <v/>
      </c>
      <c r="S81">
        <f>IF($A81="","",$R81&amp;"|"&amp;$Q81)</f>
        <v/>
      </c>
      <c r="T81">
        <f>IF($A81="","",$S81&amp;"|"&amp;$F81)</f>
        <v/>
      </c>
      <c r="U81">
        <f>IF($A81="","",$R81&amp;"("&amp;$E81&amp;")")</f>
        <v/>
      </c>
      <c r="V81">
        <f>IF($A81="","",$F81&amp;"|"&amp;$U81&amp;"|"&amp;$D81)</f>
        <v/>
      </c>
      <c r="W81">
        <f>IF($T81="","",IF($X81&gt;N($X80),$X81,""))</f>
        <v/>
      </c>
      <c r="X81">
        <f>IF($T81="",N($X80),IF(MATCH($T81,$T$6:$T$6005,0)=ROW()-5,N($X80)+1,N($X80)))</f>
        <v/>
      </c>
      <c r="Z81">
        <f>IF($V81="","",IF($AA81&gt;N($AA80),$AA81,""))</f>
        <v/>
      </c>
      <c r="AA81">
        <f>IF($V81="",N($AA80),IF(MATCH($V81,$V$6:$V$6005,0)=ROW()-5,N($AA80)+1,N($AA80)))</f>
        <v/>
      </c>
    </row>
    <row r="82" ht="21" customHeight="1" s="66">
      <c r="A82" s="56" t="n"/>
      <c r="B82" s="57" t="n"/>
      <c r="C82" s="57" t="n"/>
      <c r="D82" s="57" t="n"/>
      <c r="E82" s="56" t="n"/>
      <c r="F82" s="57" t="n"/>
      <c r="G82" s="57" t="n"/>
      <c r="H82" s="56" t="n"/>
      <c r="I82" s="56" t="n"/>
      <c r="J82" s="58" t="n"/>
      <c r="K82" s="58" t="n"/>
      <c r="L82" s="13">
        <f>IF(OR($A82="",AND($J82="",$K82="")),"",ROUND(N($J82)-N($K82),2))</f>
        <v/>
      </c>
      <c r="M82" s="13">
        <f>IF(OR($A82="",AND($J82="",$K82="")),"",MIN($J82,$K82))</f>
        <v/>
      </c>
      <c r="Q82">
        <f>IF($A82="","",$D82&amp;"("&amp;SUBSTITUTE($E82," ","")&amp;")")</f>
        <v/>
      </c>
      <c r="R82">
        <f>IF($A82="","",$B82&amp;" - "&amp;$C82)</f>
        <v/>
      </c>
      <c r="S82">
        <f>IF($A82="","",$R82&amp;"|"&amp;$Q82)</f>
        <v/>
      </c>
      <c r="T82">
        <f>IF($A82="","",$S82&amp;"|"&amp;$F82)</f>
        <v/>
      </c>
      <c r="U82">
        <f>IF($A82="","",$R82&amp;"("&amp;$E82&amp;")")</f>
        <v/>
      </c>
      <c r="V82">
        <f>IF($A82="","",$F82&amp;"|"&amp;$U82&amp;"|"&amp;$D82)</f>
        <v/>
      </c>
      <c r="W82">
        <f>IF($T82="","",IF($X82&gt;N($X81),$X82,""))</f>
        <v/>
      </c>
      <c r="X82">
        <f>IF($T82="",N($X81),IF(MATCH($T82,$T$6:$T$6005,0)=ROW()-5,N($X81)+1,N($X81)))</f>
        <v/>
      </c>
      <c r="Z82">
        <f>IF($V82="","",IF($AA82&gt;N($AA81),$AA82,""))</f>
        <v/>
      </c>
      <c r="AA82">
        <f>IF($V82="",N($AA81),IF(MATCH($V82,$V$6:$V$6005,0)=ROW()-5,N($AA81)+1,N($AA81)))</f>
        <v/>
      </c>
    </row>
    <row r="83" ht="21" customHeight="1" s="66">
      <c r="A83" s="56" t="n"/>
      <c r="B83" s="57" t="n"/>
      <c r="C83" s="57" t="n"/>
      <c r="D83" s="57" t="n"/>
      <c r="E83" s="56" t="n"/>
      <c r="F83" s="57" t="n"/>
      <c r="G83" s="57" t="n"/>
      <c r="H83" s="56" t="n"/>
      <c r="I83" s="56" t="n"/>
      <c r="J83" s="58" t="n"/>
      <c r="K83" s="58" t="n"/>
      <c r="L83" s="13">
        <f>IF(OR($A83="",AND($J83="",$K83="")),"",ROUND(N($J83)-N($K83),2))</f>
        <v/>
      </c>
      <c r="M83" s="13">
        <f>IF(OR($A83="",AND($J83="",$K83="")),"",MIN($J83,$K83))</f>
        <v/>
      </c>
      <c r="Q83">
        <f>IF($A83="","",$D83&amp;"("&amp;SUBSTITUTE($E83," ","")&amp;")")</f>
        <v/>
      </c>
      <c r="R83">
        <f>IF($A83="","",$B83&amp;" - "&amp;$C83)</f>
        <v/>
      </c>
      <c r="S83">
        <f>IF($A83="","",$R83&amp;"|"&amp;$Q83)</f>
        <v/>
      </c>
      <c r="T83">
        <f>IF($A83="","",$S83&amp;"|"&amp;$F83)</f>
        <v/>
      </c>
      <c r="U83">
        <f>IF($A83="","",$R83&amp;"("&amp;$E83&amp;")")</f>
        <v/>
      </c>
      <c r="V83">
        <f>IF($A83="","",$F83&amp;"|"&amp;$U83&amp;"|"&amp;$D83)</f>
        <v/>
      </c>
      <c r="W83">
        <f>IF($T83="","",IF($X83&gt;N($X82),$X83,""))</f>
        <v/>
      </c>
      <c r="X83">
        <f>IF($T83="",N($X82),IF(MATCH($T83,$T$6:$T$6005,0)=ROW()-5,N($X82)+1,N($X82)))</f>
        <v/>
      </c>
      <c r="Z83">
        <f>IF($V83="","",IF($AA83&gt;N($AA82),$AA83,""))</f>
        <v/>
      </c>
      <c r="AA83">
        <f>IF($V83="",N($AA82),IF(MATCH($V83,$V$6:$V$6005,0)=ROW()-5,N($AA82)+1,N($AA82)))</f>
        <v/>
      </c>
    </row>
    <row r="84" ht="21" customHeight="1" s="66">
      <c r="A84" s="56" t="n"/>
      <c r="B84" s="57" t="n"/>
      <c r="C84" s="57" t="n"/>
      <c r="D84" s="57" t="n"/>
      <c r="E84" s="56" t="n"/>
      <c r="F84" s="57" t="n"/>
      <c r="G84" s="57" t="n"/>
      <c r="H84" s="56" t="n"/>
      <c r="I84" s="56" t="n"/>
      <c r="J84" s="58" t="n"/>
      <c r="K84" s="58" t="n"/>
      <c r="L84" s="13">
        <f>IF(OR($A84="",AND($J84="",$K84="")),"",ROUND(N($J84)-N($K84),2))</f>
        <v/>
      </c>
      <c r="M84" s="13">
        <f>IF(OR($A84="",AND($J84="",$K84="")),"",MIN($J84,$K84))</f>
        <v/>
      </c>
      <c r="Q84">
        <f>IF($A84="","",$D84&amp;"("&amp;SUBSTITUTE($E84," ","")&amp;")")</f>
        <v/>
      </c>
      <c r="R84">
        <f>IF($A84="","",$B84&amp;" - "&amp;$C84)</f>
        <v/>
      </c>
      <c r="S84">
        <f>IF($A84="","",$R84&amp;"|"&amp;$Q84)</f>
        <v/>
      </c>
      <c r="T84">
        <f>IF($A84="","",$S84&amp;"|"&amp;$F84)</f>
        <v/>
      </c>
      <c r="U84">
        <f>IF($A84="","",$R84&amp;"("&amp;$E84&amp;")")</f>
        <v/>
      </c>
      <c r="V84">
        <f>IF($A84="","",$F84&amp;"|"&amp;$U84&amp;"|"&amp;$D84)</f>
        <v/>
      </c>
      <c r="W84">
        <f>IF($T84="","",IF($X84&gt;N($X83),$X84,""))</f>
        <v/>
      </c>
      <c r="X84">
        <f>IF($T84="",N($X83),IF(MATCH($T84,$T$6:$T$6005,0)=ROW()-5,N($X83)+1,N($X83)))</f>
        <v/>
      </c>
      <c r="Z84">
        <f>IF($V84="","",IF($AA84&gt;N($AA83),$AA84,""))</f>
        <v/>
      </c>
      <c r="AA84">
        <f>IF($V84="",N($AA83),IF(MATCH($V84,$V$6:$V$6005,0)=ROW()-5,N($AA83)+1,N($AA83)))</f>
        <v/>
      </c>
    </row>
    <row r="85" ht="21" customHeight="1" s="66">
      <c r="A85" s="56" t="n"/>
      <c r="B85" s="57" t="n"/>
      <c r="C85" s="57" t="n"/>
      <c r="D85" s="57" t="n"/>
      <c r="E85" s="56" t="n"/>
      <c r="F85" s="57" t="n"/>
      <c r="G85" s="57" t="n"/>
      <c r="H85" s="56" t="n"/>
      <c r="I85" s="56" t="n"/>
      <c r="J85" s="58" t="n"/>
      <c r="K85" s="58" t="n"/>
      <c r="L85" s="13">
        <f>IF(OR($A85="",AND($J85="",$K85="")),"",ROUND(N($J85)-N($K85),2))</f>
        <v/>
      </c>
      <c r="M85" s="13">
        <f>IF(OR($A85="",AND($J85="",$K85="")),"",MIN($J85,$K85))</f>
        <v/>
      </c>
      <c r="Q85">
        <f>IF($A85="","",$D85&amp;"("&amp;SUBSTITUTE($E85," ","")&amp;")")</f>
        <v/>
      </c>
      <c r="R85">
        <f>IF($A85="","",$B85&amp;" - "&amp;$C85)</f>
        <v/>
      </c>
      <c r="S85">
        <f>IF($A85="","",$R85&amp;"|"&amp;$Q85)</f>
        <v/>
      </c>
      <c r="T85">
        <f>IF($A85="","",$S85&amp;"|"&amp;$F85)</f>
        <v/>
      </c>
      <c r="U85">
        <f>IF($A85="","",$R85&amp;"("&amp;$E85&amp;")")</f>
        <v/>
      </c>
      <c r="V85">
        <f>IF($A85="","",$F85&amp;"|"&amp;$U85&amp;"|"&amp;$D85)</f>
        <v/>
      </c>
      <c r="W85">
        <f>IF($T85="","",IF($X85&gt;N($X84),$X85,""))</f>
        <v/>
      </c>
      <c r="X85">
        <f>IF($T85="",N($X84),IF(MATCH($T85,$T$6:$T$6005,0)=ROW()-5,N($X84)+1,N($X84)))</f>
        <v/>
      </c>
      <c r="Z85">
        <f>IF($V85="","",IF($AA85&gt;N($AA84),$AA85,""))</f>
        <v/>
      </c>
      <c r="AA85">
        <f>IF($V85="",N($AA84),IF(MATCH($V85,$V$6:$V$6005,0)=ROW()-5,N($AA84)+1,N($AA84)))</f>
        <v/>
      </c>
    </row>
    <row r="86" ht="21" customHeight="1" s="66">
      <c r="A86" s="56" t="n"/>
      <c r="B86" s="57" t="n"/>
      <c r="C86" s="57" t="n"/>
      <c r="D86" s="57" t="n"/>
      <c r="E86" s="56" t="n"/>
      <c r="F86" s="57" t="n"/>
      <c r="G86" s="57" t="n"/>
      <c r="H86" s="56" t="n"/>
      <c r="I86" s="56" t="n"/>
      <c r="J86" s="58" t="n"/>
      <c r="K86" s="58" t="n"/>
      <c r="L86" s="13">
        <f>IF(OR($A86="",AND($J86="",$K86="")),"",ROUND(N($J86)-N($K86),2))</f>
        <v/>
      </c>
      <c r="M86" s="13">
        <f>IF(OR($A86="",AND($J86="",$K86="")),"",MIN($J86,$K86))</f>
        <v/>
      </c>
      <c r="Q86">
        <f>IF($A86="","",$D86&amp;"("&amp;SUBSTITUTE($E86," ","")&amp;")")</f>
        <v/>
      </c>
      <c r="R86">
        <f>IF($A86="","",$B86&amp;" - "&amp;$C86)</f>
        <v/>
      </c>
      <c r="S86">
        <f>IF($A86="","",$R86&amp;"|"&amp;$Q86)</f>
        <v/>
      </c>
      <c r="T86">
        <f>IF($A86="","",$S86&amp;"|"&amp;$F86)</f>
        <v/>
      </c>
      <c r="U86">
        <f>IF($A86="","",$R86&amp;"("&amp;$E86&amp;")")</f>
        <v/>
      </c>
      <c r="V86">
        <f>IF($A86="","",$F86&amp;"|"&amp;$U86&amp;"|"&amp;$D86)</f>
        <v/>
      </c>
      <c r="W86">
        <f>IF($T86="","",IF($X86&gt;N($X85),$X86,""))</f>
        <v/>
      </c>
      <c r="X86">
        <f>IF($T86="",N($X85),IF(MATCH($T86,$T$6:$T$6005,0)=ROW()-5,N($X85)+1,N($X85)))</f>
        <v/>
      </c>
      <c r="Z86">
        <f>IF($V86="","",IF($AA86&gt;N($AA85),$AA86,""))</f>
        <v/>
      </c>
      <c r="AA86">
        <f>IF($V86="",N($AA85),IF(MATCH($V86,$V$6:$V$6005,0)=ROW()-5,N($AA85)+1,N($AA85)))</f>
        <v/>
      </c>
    </row>
    <row r="87" ht="21" customHeight="1" s="66">
      <c r="A87" s="56" t="n"/>
      <c r="B87" s="57" t="n"/>
      <c r="C87" s="57" t="n"/>
      <c r="D87" s="57" t="n"/>
      <c r="E87" s="56" t="n"/>
      <c r="F87" s="57" t="n"/>
      <c r="G87" s="57" t="n"/>
      <c r="H87" s="56" t="n"/>
      <c r="I87" s="56" t="n"/>
      <c r="J87" s="58" t="n"/>
      <c r="K87" s="58" t="n"/>
      <c r="L87" s="13">
        <f>IF(OR($A87="",AND($J87="",$K87="")),"",ROUND(N($J87)-N($K87),2))</f>
        <v/>
      </c>
      <c r="M87" s="13">
        <f>IF(OR($A87="",AND($J87="",$K87="")),"",MIN($J87,$K87))</f>
        <v/>
      </c>
      <c r="Q87">
        <f>IF($A87="","",$D87&amp;"("&amp;SUBSTITUTE($E87," ","")&amp;")")</f>
        <v/>
      </c>
      <c r="R87">
        <f>IF($A87="","",$B87&amp;" - "&amp;$C87)</f>
        <v/>
      </c>
      <c r="S87">
        <f>IF($A87="","",$R87&amp;"|"&amp;$Q87)</f>
        <v/>
      </c>
      <c r="T87">
        <f>IF($A87="","",$S87&amp;"|"&amp;$F87)</f>
        <v/>
      </c>
      <c r="U87">
        <f>IF($A87="","",$R87&amp;"("&amp;$E87&amp;")")</f>
        <v/>
      </c>
      <c r="V87">
        <f>IF($A87="","",$F87&amp;"|"&amp;$U87&amp;"|"&amp;$D87)</f>
        <v/>
      </c>
      <c r="W87">
        <f>IF($T87="","",IF($X87&gt;N($X86),$X87,""))</f>
        <v/>
      </c>
      <c r="X87">
        <f>IF($T87="",N($X86),IF(MATCH($T87,$T$6:$T$6005,0)=ROW()-5,N($X86)+1,N($X86)))</f>
        <v/>
      </c>
      <c r="Z87">
        <f>IF($V87="","",IF($AA87&gt;N($AA86),$AA87,""))</f>
        <v/>
      </c>
      <c r="AA87">
        <f>IF($V87="",N($AA86),IF(MATCH($V87,$V$6:$V$6005,0)=ROW()-5,N($AA86)+1,N($AA86)))</f>
        <v/>
      </c>
    </row>
    <row r="88" ht="21" customHeight="1" s="66">
      <c r="A88" s="56" t="n"/>
      <c r="B88" s="57" t="n"/>
      <c r="C88" s="57" t="n"/>
      <c r="D88" s="57" t="n"/>
      <c r="E88" s="56" t="n"/>
      <c r="F88" s="57" t="n"/>
      <c r="G88" s="57" t="n"/>
      <c r="H88" s="56" t="n"/>
      <c r="I88" s="56" t="n"/>
      <c r="J88" s="58" t="n"/>
      <c r="K88" s="58" t="n"/>
      <c r="L88" s="13">
        <f>IF(OR($A88="",AND($J88="",$K88="")),"",ROUND(N($J88)-N($K88),2))</f>
        <v/>
      </c>
      <c r="M88" s="13">
        <f>IF(OR($A88="",AND($J88="",$K88="")),"",MIN($J88,$K88))</f>
        <v/>
      </c>
      <c r="Q88">
        <f>IF($A88="","",$D88&amp;"("&amp;SUBSTITUTE($E88," ","")&amp;")")</f>
        <v/>
      </c>
      <c r="R88">
        <f>IF($A88="","",$B88&amp;" - "&amp;$C88)</f>
        <v/>
      </c>
      <c r="S88">
        <f>IF($A88="","",$R88&amp;"|"&amp;$Q88)</f>
        <v/>
      </c>
      <c r="T88">
        <f>IF($A88="","",$S88&amp;"|"&amp;$F88)</f>
        <v/>
      </c>
      <c r="U88">
        <f>IF($A88="","",$R88&amp;"("&amp;$E88&amp;")")</f>
        <v/>
      </c>
      <c r="V88">
        <f>IF($A88="","",$F88&amp;"|"&amp;$U88&amp;"|"&amp;$D88)</f>
        <v/>
      </c>
      <c r="W88">
        <f>IF($T88="","",IF($X88&gt;N($X87),$X88,""))</f>
        <v/>
      </c>
      <c r="X88">
        <f>IF($T88="",N($X87),IF(MATCH($T88,$T$6:$T$6005,0)=ROW()-5,N($X87)+1,N($X87)))</f>
        <v/>
      </c>
      <c r="Z88">
        <f>IF($V88="","",IF($AA88&gt;N($AA87),$AA88,""))</f>
        <v/>
      </c>
      <c r="AA88">
        <f>IF($V88="",N($AA87),IF(MATCH($V88,$V$6:$V$6005,0)=ROW()-5,N($AA87)+1,N($AA87)))</f>
        <v/>
      </c>
    </row>
    <row r="89" ht="21" customHeight="1" s="66">
      <c r="A89" s="56" t="n"/>
      <c r="B89" s="57" t="n"/>
      <c r="C89" s="57" t="n"/>
      <c r="D89" s="57" t="n"/>
      <c r="E89" s="56" t="n"/>
      <c r="F89" s="57" t="n"/>
      <c r="G89" s="57" t="n"/>
      <c r="H89" s="56" t="n"/>
      <c r="I89" s="56" t="n"/>
      <c r="J89" s="58" t="n"/>
      <c r="K89" s="58" t="n"/>
      <c r="L89" s="13">
        <f>IF(OR($A89="",AND($J89="",$K89="")),"",ROUND(N($J89)-N($K89),2))</f>
        <v/>
      </c>
      <c r="M89" s="13">
        <f>IF(OR($A89="",AND($J89="",$K89="")),"",MIN($J89,$K89))</f>
        <v/>
      </c>
      <c r="Q89">
        <f>IF($A89="","",$D89&amp;"("&amp;SUBSTITUTE($E89," ","")&amp;")")</f>
        <v/>
      </c>
      <c r="R89">
        <f>IF($A89="","",$B89&amp;" - "&amp;$C89)</f>
        <v/>
      </c>
      <c r="S89">
        <f>IF($A89="","",$R89&amp;"|"&amp;$Q89)</f>
        <v/>
      </c>
      <c r="T89">
        <f>IF($A89="","",$S89&amp;"|"&amp;$F89)</f>
        <v/>
      </c>
      <c r="U89">
        <f>IF($A89="","",$R89&amp;"("&amp;$E89&amp;")")</f>
        <v/>
      </c>
      <c r="V89">
        <f>IF($A89="","",$F89&amp;"|"&amp;$U89&amp;"|"&amp;$D89)</f>
        <v/>
      </c>
      <c r="W89">
        <f>IF($T89="","",IF($X89&gt;N($X88),$X89,""))</f>
        <v/>
      </c>
      <c r="X89">
        <f>IF($T89="",N($X88),IF(MATCH($T89,$T$6:$T$6005,0)=ROW()-5,N($X88)+1,N($X88)))</f>
        <v/>
      </c>
      <c r="Z89">
        <f>IF($V89="","",IF($AA89&gt;N($AA88),$AA89,""))</f>
        <v/>
      </c>
      <c r="AA89">
        <f>IF($V89="",N($AA88),IF(MATCH($V89,$V$6:$V$6005,0)=ROW()-5,N($AA88)+1,N($AA88)))</f>
        <v/>
      </c>
    </row>
    <row r="90" ht="21" customHeight="1" s="66">
      <c r="A90" s="56" t="n"/>
      <c r="B90" s="57" t="n"/>
      <c r="C90" s="57" t="n"/>
      <c r="D90" s="57" t="n"/>
      <c r="E90" s="56" t="n"/>
      <c r="F90" s="57" t="n"/>
      <c r="G90" s="57" t="n"/>
      <c r="H90" s="56" t="n"/>
      <c r="I90" s="56" t="n"/>
      <c r="J90" s="58" t="n"/>
      <c r="K90" s="58" t="n"/>
      <c r="L90" s="13">
        <f>IF(OR($A90="",AND($J90="",$K90="")),"",ROUND(N($J90)-N($K90),2))</f>
        <v/>
      </c>
      <c r="M90" s="13">
        <f>IF(OR($A90="",AND($J90="",$K90="")),"",MIN($J90,$K90))</f>
        <v/>
      </c>
      <c r="Q90">
        <f>IF($A90="","",$D90&amp;"("&amp;SUBSTITUTE($E90," ","")&amp;")")</f>
        <v/>
      </c>
      <c r="R90">
        <f>IF($A90="","",$B90&amp;" - "&amp;$C90)</f>
        <v/>
      </c>
      <c r="S90">
        <f>IF($A90="","",$R90&amp;"|"&amp;$Q90)</f>
        <v/>
      </c>
      <c r="T90">
        <f>IF($A90="","",$S90&amp;"|"&amp;$F90)</f>
        <v/>
      </c>
      <c r="U90">
        <f>IF($A90="","",$R90&amp;"("&amp;$E90&amp;")")</f>
        <v/>
      </c>
      <c r="V90">
        <f>IF($A90="","",$F90&amp;"|"&amp;$U90&amp;"|"&amp;$D90)</f>
        <v/>
      </c>
      <c r="W90">
        <f>IF($T90="","",IF($X90&gt;N($X89),$X90,""))</f>
        <v/>
      </c>
      <c r="X90">
        <f>IF($T90="",N($X89),IF(MATCH($T90,$T$6:$T$6005,0)=ROW()-5,N($X89)+1,N($X89)))</f>
        <v/>
      </c>
      <c r="Z90">
        <f>IF($V90="","",IF($AA90&gt;N($AA89),$AA90,""))</f>
        <v/>
      </c>
      <c r="AA90">
        <f>IF($V90="",N($AA89),IF(MATCH($V90,$V$6:$V$6005,0)=ROW()-5,N($AA89)+1,N($AA89)))</f>
        <v/>
      </c>
    </row>
    <row r="91" ht="21" customHeight="1" s="66">
      <c r="A91" s="56" t="n"/>
      <c r="B91" s="57" t="n"/>
      <c r="C91" s="57" t="n"/>
      <c r="D91" s="57" t="n"/>
      <c r="E91" s="56" t="n"/>
      <c r="F91" s="57" t="n"/>
      <c r="G91" s="57" t="n"/>
      <c r="H91" s="56" t="n"/>
      <c r="I91" s="56" t="n"/>
      <c r="J91" s="58" t="n"/>
      <c r="K91" s="58" t="n"/>
      <c r="L91" s="13">
        <f>IF(OR($A91="",AND($J91="",$K91="")),"",ROUND(N($J91)-N($K91),2))</f>
        <v/>
      </c>
      <c r="M91" s="13">
        <f>IF(OR($A91="",AND($J91="",$K91="")),"",MIN($J91,$K91))</f>
        <v/>
      </c>
      <c r="Q91">
        <f>IF($A91="","",$D91&amp;"("&amp;SUBSTITUTE($E91," ","")&amp;")")</f>
        <v/>
      </c>
      <c r="R91">
        <f>IF($A91="","",$B91&amp;" - "&amp;$C91)</f>
        <v/>
      </c>
      <c r="S91">
        <f>IF($A91="","",$R91&amp;"|"&amp;$Q91)</f>
        <v/>
      </c>
      <c r="T91">
        <f>IF($A91="","",$S91&amp;"|"&amp;$F91)</f>
        <v/>
      </c>
      <c r="U91">
        <f>IF($A91="","",$R91&amp;"("&amp;$E91&amp;")")</f>
        <v/>
      </c>
      <c r="V91">
        <f>IF($A91="","",$F91&amp;"|"&amp;$U91&amp;"|"&amp;$D91)</f>
        <v/>
      </c>
      <c r="W91">
        <f>IF($T91="","",IF($X91&gt;N($X90),$X91,""))</f>
        <v/>
      </c>
      <c r="X91">
        <f>IF($T91="",N($X90),IF(MATCH($T91,$T$6:$T$6005,0)=ROW()-5,N($X90)+1,N($X90)))</f>
        <v/>
      </c>
      <c r="Z91">
        <f>IF($V91="","",IF($AA91&gt;N($AA90),$AA91,""))</f>
        <v/>
      </c>
      <c r="AA91">
        <f>IF($V91="",N($AA90),IF(MATCH($V91,$V$6:$V$6005,0)=ROW()-5,N($AA90)+1,N($AA90)))</f>
        <v/>
      </c>
    </row>
    <row r="92" ht="21" customHeight="1" s="66">
      <c r="A92" s="56" t="n"/>
      <c r="B92" s="57" t="n"/>
      <c r="C92" s="57" t="n"/>
      <c r="D92" s="57" t="n"/>
      <c r="E92" s="56" t="n"/>
      <c r="F92" s="57" t="n"/>
      <c r="G92" s="57" t="n"/>
      <c r="H92" s="56" t="n"/>
      <c r="I92" s="56" t="n"/>
      <c r="J92" s="58" t="n"/>
      <c r="K92" s="58" t="n"/>
      <c r="L92" s="13">
        <f>IF(OR($A92="",AND($J92="",$K92="")),"",ROUND(N($J92)-N($K92),2))</f>
        <v/>
      </c>
      <c r="M92" s="13">
        <f>IF(OR($A92="",AND($J92="",$K92="")),"",MIN($J92,$K92))</f>
        <v/>
      </c>
      <c r="Q92">
        <f>IF($A92="","",$D92&amp;"("&amp;SUBSTITUTE($E92," ","")&amp;")")</f>
        <v/>
      </c>
      <c r="R92">
        <f>IF($A92="","",$B92&amp;" - "&amp;$C92)</f>
        <v/>
      </c>
      <c r="S92">
        <f>IF($A92="","",$R92&amp;"|"&amp;$Q92)</f>
        <v/>
      </c>
      <c r="T92">
        <f>IF($A92="","",$S92&amp;"|"&amp;$F92)</f>
        <v/>
      </c>
      <c r="U92">
        <f>IF($A92="","",$R92&amp;"("&amp;$E92&amp;")")</f>
        <v/>
      </c>
      <c r="V92">
        <f>IF($A92="","",$F92&amp;"|"&amp;$U92&amp;"|"&amp;$D92)</f>
        <v/>
      </c>
      <c r="W92">
        <f>IF($T92="","",IF($X92&gt;N($X91),$X92,""))</f>
        <v/>
      </c>
      <c r="X92">
        <f>IF($T92="",N($X91),IF(MATCH($T92,$T$6:$T$6005,0)=ROW()-5,N($X91)+1,N($X91)))</f>
        <v/>
      </c>
      <c r="Z92">
        <f>IF($V92="","",IF($AA92&gt;N($AA91),$AA92,""))</f>
        <v/>
      </c>
      <c r="AA92">
        <f>IF($V92="",N($AA91),IF(MATCH($V92,$V$6:$V$6005,0)=ROW()-5,N($AA91)+1,N($AA91)))</f>
        <v/>
      </c>
    </row>
    <row r="93" ht="21" customHeight="1" s="66">
      <c r="A93" s="56" t="n"/>
      <c r="B93" s="57" t="n"/>
      <c r="C93" s="57" t="n"/>
      <c r="D93" s="57" t="n"/>
      <c r="E93" s="56" t="n"/>
      <c r="F93" s="57" t="n"/>
      <c r="G93" s="57" t="n"/>
      <c r="H93" s="56" t="n"/>
      <c r="I93" s="56" t="n"/>
      <c r="J93" s="58" t="n"/>
      <c r="K93" s="58" t="n"/>
      <c r="L93" s="13">
        <f>IF(OR($A93="",AND($J93="",$K93="")),"",ROUND(N($J93)-N($K93),2))</f>
        <v/>
      </c>
      <c r="M93" s="13">
        <f>IF(OR($A93="",AND($J93="",$K93="")),"",MIN($J93,$K93))</f>
        <v/>
      </c>
      <c r="Q93">
        <f>IF($A93="","",$D93&amp;"("&amp;SUBSTITUTE($E93," ","")&amp;")")</f>
        <v/>
      </c>
      <c r="R93">
        <f>IF($A93="","",$B93&amp;" - "&amp;$C93)</f>
        <v/>
      </c>
      <c r="S93">
        <f>IF($A93="","",$R93&amp;"|"&amp;$Q93)</f>
        <v/>
      </c>
      <c r="T93">
        <f>IF($A93="","",$S93&amp;"|"&amp;$F93)</f>
        <v/>
      </c>
      <c r="U93">
        <f>IF($A93="","",$R93&amp;"("&amp;$E93&amp;")")</f>
        <v/>
      </c>
      <c r="V93">
        <f>IF($A93="","",$F93&amp;"|"&amp;$U93&amp;"|"&amp;$D93)</f>
        <v/>
      </c>
      <c r="W93">
        <f>IF($T93="","",IF($X93&gt;N($X92),$X93,""))</f>
        <v/>
      </c>
      <c r="X93">
        <f>IF($T93="",N($X92),IF(MATCH($T93,$T$6:$T$6005,0)=ROW()-5,N($X92)+1,N($X92)))</f>
        <v/>
      </c>
      <c r="Z93">
        <f>IF($V93="","",IF($AA93&gt;N($AA92),$AA93,""))</f>
        <v/>
      </c>
      <c r="AA93">
        <f>IF($V93="",N($AA92),IF(MATCH($V93,$V$6:$V$6005,0)=ROW()-5,N($AA92)+1,N($AA92)))</f>
        <v/>
      </c>
    </row>
    <row r="94" ht="21" customHeight="1" s="66">
      <c r="A94" s="56" t="n"/>
      <c r="B94" s="57" t="n"/>
      <c r="C94" s="57" t="n"/>
      <c r="D94" s="57" t="n"/>
      <c r="E94" s="56" t="n"/>
      <c r="F94" s="57" t="n"/>
      <c r="G94" s="57" t="n"/>
      <c r="H94" s="56" t="n"/>
      <c r="I94" s="56" t="n"/>
      <c r="J94" s="58" t="n"/>
      <c r="K94" s="58" t="n"/>
      <c r="L94" s="13">
        <f>IF(OR($A94="",AND($J94="",$K94="")),"",ROUND(N($J94)-N($K94),2))</f>
        <v/>
      </c>
      <c r="M94" s="13">
        <f>IF(OR($A94="",AND($J94="",$K94="")),"",MIN($J94,$K94))</f>
        <v/>
      </c>
      <c r="Q94">
        <f>IF($A94="","",$D94&amp;"("&amp;SUBSTITUTE($E94," ","")&amp;")")</f>
        <v/>
      </c>
      <c r="R94">
        <f>IF($A94="","",$B94&amp;" - "&amp;$C94)</f>
        <v/>
      </c>
      <c r="S94">
        <f>IF($A94="","",$R94&amp;"|"&amp;$Q94)</f>
        <v/>
      </c>
      <c r="T94">
        <f>IF($A94="","",$S94&amp;"|"&amp;$F94)</f>
        <v/>
      </c>
      <c r="U94">
        <f>IF($A94="","",$R94&amp;"("&amp;$E94&amp;")")</f>
        <v/>
      </c>
      <c r="V94">
        <f>IF($A94="","",$F94&amp;"|"&amp;$U94&amp;"|"&amp;$D94)</f>
        <v/>
      </c>
      <c r="W94">
        <f>IF($T94="","",IF($X94&gt;N($X93),$X94,""))</f>
        <v/>
      </c>
      <c r="X94">
        <f>IF($T94="",N($X93),IF(MATCH($T94,$T$6:$T$6005,0)=ROW()-5,N($X93)+1,N($X93)))</f>
        <v/>
      </c>
      <c r="Z94">
        <f>IF($V94="","",IF($AA94&gt;N($AA93),$AA94,""))</f>
        <v/>
      </c>
      <c r="AA94">
        <f>IF($V94="",N($AA93),IF(MATCH($V94,$V$6:$V$6005,0)=ROW()-5,N($AA93)+1,N($AA93)))</f>
        <v/>
      </c>
    </row>
    <row r="95" ht="21" customHeight="1" s="66">
      <c r="A95" s="56" t="n"/>
      <c r="B95" s="57" t="n"/>
      <c r="C95" s="57" t="n"/>
      <c r="D95" s="57" t="n"/>
      <c r="E95" s="56" t="n"/>
      <c r="F95" s="57" t="n"/>
      <c r="G95" s="57" t="n"/>
      <c r="H95" s="56" t="n"/>
      <c r="I95" s="56" t="n"/>
      <c r="J95" s="58" t="n"/>
      <c r="K95" s="58" t="n"/>
      <c r="L95" s="13">
        <f>IF(OR($A95="",AND($J95="",$K95="")),"",ROUND(N($J95)-N($K95),2))</f>
        <v/>
      </c>
      <c r="M95" s="13">
        <f>IF(OR($A95="",AND($J95="",$K95="")),"",MIN($J95,$K95))</f>
        <v/>
      </c>
      <c r="Q95">
        <f>IF($A95="","",$D95&amp;"("&amp;SUBSTITUTE($E95," ","")&amp;")")</f>
        <v/>
      </c>
      <c r="R95">
        <f>IF($A95="","",$B95&amp;" - "&amp;$C95)</f>
        <v/>
      </c>
      <c r="S95">
        <f>IF($A95="","",$R95&amp;"|"&amp;$Q95)</f>
        <v/>
      </c>
      <c r="T95">
        <f>IF($A95="","",$S95&amp;"|"&amp;$F95)</f>
        <v/>
      </c>
      <c r="U95">
        <f>IF($A95="","",$R95&amp;"("&amp;$E95&amp;")")</f>
        <v/>
      </c>
      <c r="V95">
        <f>IF($A95="","",$F95&amp;"|"&amp;$U95&amp;"|"&amp;$D95)</f>
        <v/>
      </c>
      <c r="W95">
        <f>IF($T95="","",IF($X95&gt;N($X94),$X95,""))</f>
        <v/>
      </c>
      <c r="X95">
        <f>IF($T95="",N($X94),IF(MATCH($T95,$T$6:$T$6005,0)=ROW()-5,N($X94)+1,N($X94)))</f>
        <v/>
      </c>
      <c r="Z95">
        <f>IF($V95="","",IF($AA95&gt;N($AA94),$AA95,""))</f>
        <v/>
      </c>
      <c r="AA95">
        <f>IF($V95="",N($AA94),IF(MATCH($V95,$V$6:$V$6005,0)=ROW()-5,N($AA94)+1,N($AA94)))</f>
        <v/>
      </c>
    </row>
    <row r="96" ht="21" customHeight="1" s="66">
      <c r="A96" s="56" t="n"/>
      <c r="B96" s="57" t="n"/>
      <c r="C96" s="57" t="n"/>
      <c r="D96" s="57" t="n"/>
      <c r="E96" s="56" t="n"/>
      <c r="F96" s="57" t="n"/>
      <c r="G96" s="57" t="n"/>
      <c r="H96" s="56" t="n"/>
      <c r="I96" s="56" t="n"/>
      <c r="J96" s="58" t="n"/>
      <c r="K96" s="58" t="n"/>
      <c r="L96" s="13">
        <f>IF(OR($A96="",AND($J96="",$K96="")),"",ROUND(N($J96)-N($K96),2))</f>
        <v/>
      </c>
      <c r="M96" s="13">
        <f>IF(OR($A96="",AND($J96="",$K96="")),"",MIN($J96,$K96))</f>
        <v/>
      </c>
      <c r="Q96">
        <f>IF($A96="","",$D96&amp;"("&amp;SUBSTITUTE($E96," ","")&amp;")")</f>
        <v/>
      </c>
      <c r="R96">
        <f>IF($A96="","",$B96&amp;" - "&amp;$C96)</f>
        <v/>
      </c>
      <c r="S96">
        <f>IF($A96="","",$R96&amp;"|"&amp;$Q96)</f>
        <v/>
      </c>
      <c r="T96">
        <f>IF($A96="","",$S96&amp;"|"&amp;$F96)</f>
        <v/>
      </c>
      <c r="U96">
        <f>IF($A96="","",$R96&amp;"("&amp;$E96&amp;")")</f>
        <v/>
      </c>
      <c r="V96">
        <f>IF($A96="","",$F96&amp;"|"&amp;$U96&amp;"|"&amp;$D96)</f>
        <v/>
      </c>
      <c r="W96">
        <f>IF($T96="","",IF($X96&gt;N($X95),$X96,""))</f>
        <v/>
      </c>
      <c r="X96">
        <f>IF($T96="",N($X95),IF(MATCH($T96,$T$6:$T$6005,0)=ROW()-5,N($X95)+1,N($X95)))</f>
        <v/>
      </c>
      <c r="Z96">
        <f>IF($V96="","",IF($AA96&gt;N($AA95),$AA96,""))</f>
        <v/>
      </c>
      <c r="AA96">
        <f>IF($V96="",N($AA95),IF(MATCH($V96,$V$6:$V$6005,0)=ROW()-5,N($AA95)+1,N($AA95)))</f>
        <v/>
      </c>
    </row>
    <row r="97" ht="21" customHeight="1" s="66">
      <c r="A97" s="56" t="n"/>
      <c r="B97" s="57" t="n"/>
      <c r="C97" s="57" t="n"/>
      <c r="D97" s="57" t="n"/>
      <c r="E97" s="56" t="n"/>
      <c r="F97" s="57" t="n"/>
      <c r="G97" s="57" t="n"/>
      <c r="H97" s="56" t="n"/>
      <c r="I97" s="56" t="n"/>
      <c r="J97" s="58" t="n"/>
      <c r="K97" s="58" t="n"/>
      <c r="L97" s="13">
        <f>IF(OR($A97="",AND($J97="",$K97="")),"",ROUND(N($J97)-N($K97),2))</f>
        <v/>
      </c>
      <c r="M97" s="13">
        <f>IF(OR($A97="",AND($J97="",$K97="")),"",MIN($J97,$K97))</f>
        <v/>
      </c>
      <c r="Q97">
        <f>IF($A97="","",$D97&amp;"("&amp;SUBSTITUTE($E97," ","")&amp;")")</f>
        <v/>
      </c>
      <c r="R97">
        <f>IF($A97="","",$B97&amp;" - "&amp;$C97)</f>
        <v/>
      </c>
      <c r="S97">
        <f>IF($A97="","",$R97&amp;"|"&amp;$Q97)</f>
        <v/>
      </c>
      <c r="T97">
        <f>IF($A97="","",$S97&amp;"|"&amp;$F97)</f>
        <v/>
      </c>
      <c r="U97">
        <f>IF($A97="","",$R97&amp;"("&amp;$E97&amp;")")</f>
        <v/>
      </c>
      <c r="V97">
        <f>IF($A97="","",$F97&amp;"|"&amp;$U97&amp;"|"&amp;$D97)</f>
        <v/>
      </c>
      <c r="W97">
        <f>IF($T97="","",IF($X97&gt;N($X96),$X97,""))</f>
        <v/>
      </c>
      <c r="X97">
        <f>IF($T97="",N($X96),IF(MATCH($T97,$T$6:$T$6005,0)=ROW()-5,N($X96)+1,N($X96)))</f>
        <v/>
      </c>
      <c r="Z97">
        <f>IF($V97="","",IF($AA97&gt;N($AA96),$AA97,""))</f>
        <v/>
      </c>
      <c r="AA97">
        <f>IF($V97="",N($AA96),IF(MATCH($V97,$V$6:$V$6005,0)=ROW()-5,N($AA96)+1,N($AA96)))</f>
        <v/>
      </c>
    </row>
    <row r="98" ht="21" customHeight="1" s="66">
      <c r="A98" s="56" t="n"/>
      <c r="B98" s="57" t="n"/>
      <c r="C98" s="57" t="n"/>
      <c r="D98" s="57" t="n"/>
      <c r="E98" s="56" t="n"/>
      <c r="F98" s="57" t="n"/>
      <c r="G98" s="57" t="n"/>
      <c r="H98" s="56" t="n"/>
      <c r="I98" s="56" t="n"/>
      <c r="J98" s="58" t="n"/>
      <c r="K98" s="58" t="n"/>
      <c r="L98" s="13">
        <f>IF(OR($A98="",AND($J98="",$K98="")),"",ROUND(N($J98)-N($K98),2))</f>
        <v/>
      </c>
      <c r="M98" s="13">
        <f>IF(OR($A98="",AND($J98="",$K98="")),"",MIN($J98,$K98))</f>
        <v/>
      </c>
      <c r="Q98">
        <f>IF($A98="","",$D98&amp;"("&amp;SUBSTITUTE($E98," ","")&amp;")")</f>
        <v/>
      </c>
      <c r="R98">
        <f>IF($A98="","",$B98&amp;" - "&amp;$C98)</f>
        <v/>
      </c>
      <c r="S98">
        <f>IF($A98="","",$R98&amp;"|"&amp;$Q98)</f>
        <v/>
      </c>
      <c r="T98">
        <f>IF($A98="","",$S98&amp;"|"&amp;$F98)</f>
        <v/>
      </c>
      <c r="U98">
        <f>IF($A98="","",$R98&amp;"("&amp;$E98&amp;")")</f>
        <v/>
      </c>
      <c r="V98">
        <f>IF($A98="","",$F98&amp;"|"&amp;$U98&amp;"|"&amp;$D98)</f>
        <v/>
      </c>
      <c r="W98">
        <f>IF($T98="","",IF($X98&gt;N($X97),$X98,""))</f>
        <v/>
      </c>
      <c r="X98">
        <f>IF($T98="",N($X97),IF(MATCH($T98,$T$6:$T$6005,0)=ROW()-5,N($X97)+1,N($X97)))</f>
        <v/>
      </c>
      <c r="Z98">
        <f>IF($V98="","",IF($AA98&gt;N($AA97),$AA98,""))</f>
        <v/>
      </c>
      <c r="AA98">
        <f>IF($V98="",N($AA97),IF(MATCH($V98,$V$6:$V$6005,0)=ROW()-5,N($AA97)+1,N($AA97)))</f>
        <v/>
      </c>
    </row>
    <row r="99" ht="21" customHeight="1" s="66">
      <c r="A99" s="56" t="n"/>
      <c r="B99" s="57" t="n"/>
      <c r="C99" s="57" t="n"/>
      <c r="D99" s="57" t="n"/>
      <c r="E99" s="56" t="n"/>
      <c r="F99" s="57" t="n"/>
      <c r="G99" s="57" t="n"/>
      <c r="H99" s="56" t="n"/>
      <c r="I99" s="56" t="n"/>
      <c r="J99" s="58" t="n"/>
      <c r="K99" s="58" t="n"/>
      <c r="L99" s="13">
        <f>IF(OR($A99="",AND($J99="",$K99="")),"",ROUND(N($J99)-N($K99),2))</f>
        <v/>
      </c>
      <c r="M99" s="13">
        <f>IF(OR($A99="",AND($J99="",$K99="")),"",MIN($J99,$K99))</f>
        <v/>
      </c>
      <c r="Q99">
        <f>IF($A99="","",$D99&amp;"("&amp;SUBSTITUTE($E99," ","")&amp;")")</f>
        <v/>
      </c>
      <c r="R99">
        <f>IF($A99="","",$B99&amp;" - "&amp;$C99)</f>
        <v/>
      </c>
      <c r="S99">
        <f>IF($A99="","",$R99&amp;"|"&amp;$Q99)</f>
        <v/>
      </c>
      <c r="T99">
        <f>IF($A99="","",$S99&amp;"|"&amp;$F99)</f>
        <v/>
      </c>
      <c r="U99">
        <f>IF($A99="","",$R99&amp;"("&amp;$E99&amp;")")</f>
        <v/>
      </c>
      <c r="V99">
        <f>IF($A99="","",$F99&amp;"|"&amp;$U99&amp;"|"&amp;$D99)</f>
        <v/>
      </c>
      <c r="W99">
        <f>IF($T99="","",IF($X99&gt;N($X98),$X99,""))</f>
        <v/>
      </c>
      <c r="X99">
        <f>IF($T99="",N($X98),IF(MATCH($T99,$T$6:$T$6005,0)=ROW()-5,N($X98)+1,N($X98)))</f>
        <v/>
      </c>
      <c r="Z99">
        <f>IF($V99="","",IF($AA99&gt;N($AA98),$AA99,""))</f>
        <v/>
      </c>
      <c r="AA99">
        <f>IF($V99="",N($AA98),IF(MATCH($V99,$V$6:$V$6005,0)=ROW()-5,N($AA98)+1,N($AA98)))</f>
        <v/>
      </c>
    </row>
    <row r="100" ht="21" customHeight="1" s="66">
      <c r="A100" s="56" t="n"/>
      <c r="B100" s="57" t="n"/>
      <c r="C100" s="57" t="n"/>
      <c r="D100" s="57" t="n"/>
      <c r="E100" s="56" t="n"/>
      <c r="F100" s="57" t="n"/>
      <c r="G100" s="57" t="n"/>
      <c r="H100" s="56" t="n"/>
      <c r="I100" s="56" t="n"/>
      <c r="J100" s="58" t="n"/>
      <c r="K100" s="58" t="n"/>
      <c r="L100" s="13">
        <f>IF(OR($A100="",AND($J100="",$K100="")),"",ROUND(N($J100)-N($K100),2))</f>
        <v/>
      </c>
      <c r="M100" s="13">
        <f>IF(OR($A100="",AND($J100="",$K100="")),"",MIN($J100,$K100))</f>
        <v/>
      </c>
      <c r="Q100">
        <f>IF($A100="","",$D100&amp;"("&amp;SUBSTITUTE($E100," ","")&amp;")")</f>
        <v/>
      </c>
      <c r="R100">
        <f>IF($A100="","",$B100&amp;" - "&amp;$C100)</f>
        <v/>
      </c>
      <c r="S100">
        <f>IF($A100="","",$R100&amp;"|"&amp;$Q100)</f>
        <v/>
      </c>
      <c r="T100">
        <f>IF($A100="","",$S100&amp;"|"&amp;$F100)</f>
        <v/>
      </c>
      <c r="U100">
        <f>IF($A100="","",$R100&amp;"("&amp;$E100&amp;")")</f>
        <v/>
      </c>
      <c r="V100">
        <f>IF($A100="","",$F100&amp;"|"&amp;$U100&amp;"|"&amp;$D100)</f>
        <v/>
      </c>
      <c r="W100">
        <f>IF($T100="","",IF($X100&gt;N($X99),$X100,""))</f>
        <v/>
      </c>
      <c r="X100">
        <f>IF($T100="",N($X99),IF(MATCH($T100,$T$6:$T$6005,0)=ROW()-5,N($X99)+1,N($X99)))</f>
        <v/>
      </c>
      <c r="Z100">
        <f>IF($V100="","",IF($AA100&gt;N($AA99),$AA100,""))</f>
        <v/>
      </c>
      <c r="AA100">
        <f>IF($V100="",N($AA99),IF(MATCH($V100,$V$6:$V$6005,0)=ROW()-5,N($AA99)+1,N($AA99)))</f>
        <v/>
      </c>
    </row>
    <row r="101" ht="21" customHeight="1" s="66">
      <c r="A101" s="56" t="n"/>
      <c r="B101" s="57" t="n"/>
      <c r="C101" s="57" t="n"/>
      <c r="D101" s="57" t="n"/>
      <c r="E101" s="56" t="n"/>
      <c r="F101" s="57" t="n"/>
      <c r="G101" s="57" t="n"/>
      <c r="H101" s="56" t="n"/>
      <c r="I101" s="56" t="n"/>
      <c r="J101" s="58" t="n"/>
      <c r="K101" s="58" t="n"/>
      <c r="L101" s="13">
        <f>IF(OR($A101="",AND($J101="",$K101="")),"",ROUND(N($J101)-N($K101),2))</f>
        <v/>
      </c>
      <c r="M101" s="13">
        <f>IF(OR($A101="",AND($J101="",$K101="")),"",MIN($J101,$K101))</f>
        <v/>
      </c>
      <c r="Q101">
        <f>IF($A101="","",$D101&amp;"("&amp;SUBSTITUTE($E101," ","")&amp;")")</f>
        <v/>
      </c>
      <c r="R101">
        <f>IF($A101="","",$B101&amp;" - "&amp;$C101)</f>
        <v/>
      </c>
      <c r="S101">
        <f>IF($A101="","",$R101&amp;"|"&amp;$Q101)</f>
        <v/>
      </c>
      <c r="T101">
        <f>IF($A101="","",$S101&amp;"|"&amp;$F101)</f>
        <v/>
      </c>
      <c r="U101">
        <f>IF($A101="","",$R101&amp;"("&amp;$E101&amp;")")</f>
        <v/>
      </c>
      <c r="V101">
        <f>IF($A101="","",$F101&amp;"|"&amp;$U101&amp;"|"&amp;$D101)</f>
        <v/>
      </c>
      <c r="W101">
        <f>IF($T101="","",IF($X101&gt;N($X100),$X101,""))</f>
        <v/>
      </c>
      <c r="X101">
        <f>IF($T101="",N($X100),IF(MATCH($T101,$T$6:$T$6005,0)=ROW()-5,N($X100)+1,N($X100)))</f>
        <v/>
      </c>
      <c r="Z101">
        <f>IF($V101="","",IF($AA101&gt;N($AA100),$AA101,""))</f>
        <v/>
      </c>
      <c r="AA101">
        <f>IF($V101="",N($AA100),IF(MATCH($V101,$V$6:$V$6005,0)=ROW()-5,N($AA100)+1,N($AA100)))</f>
        <v/>
      </c>
    </row>
    <row r="102" ht="21" customHeight="1" s="66">
      <c r="A102" s="56" t="n"/>
      <c r="B102" s="57" t="n"/>
      <c r="C102" s="57" t="n"/>
      <c r="D102" s="57" t="n"/>
      <c r="E102" s="56" t="n"/>
      <c r="F102" s="57" t="n"/>
      <c r="G102" s="57" t="n"/>
      <c r="H102" s="56" t="n"/>
      <c r="I102" s="56" t="n"/>
      <c r="J102" s="58" t="n"/>
      <c r="K102" s="58" t="n"/>
      <c r="L102" s="13">
        <f>IF(OR($A102="",AND($J102="",$K102="")),"",ROUND(N($J102)-N($K102),2))</f>
        <v/>
      </c>
      <c r="M102" s="13">
        <f>IF(OR($A102="",AND($J102="",$K102="")),"",MIN($J102,$K102))</f>
        <v/>
      </c>
      <c r="Q102">
        <f>IF($A102="","",$D102&amp;"("&amp;SUBSTITUTE($E102," ","")&amp;")")</f>
        <v/>
      </c>
      <c r="R102">
        <f>IF($A102="","",$B102&amp;" - "&amp;$C102)</f>
        <v/>
      </c>
      <c r="S102">
        <f>IF($A102="","",$R102&amp;"|"&amp;$Q102)</f>
        <v/>
      </c>
      <c r="T102">
        <f>IF($A102="","",$S102&amp;"|"&amp;$F102)</f>
        <v/>
      </c>
      <c r="U102">
        <f>IF($A102="","",$R102&amp;"("&amp;$E102&amp;")")</f>
        <v/>
      </c>
      <c r="V102">
        <f>IF($A102="","",$F102&amp;"|"&amp;$U102&amp;"|"&amp;$D102)</f>
        <v/>
      </c>
      <c r="W102">
        <f>IF($T102="","",IF($X102&gt;N($X101),$X102,""))</f>
        <v/>
      </c>
      <c r="X102">
        <f>IF($T102="",N($X101),IF(MATCH($T102,$T$6:$T$6005,0)=ROW()-5,N($X101)+1,N($X101)))</f>
        <v/>
      </c>
      <c r="Z102">
        <f>IF($V102="","",IF($AA102&gt;N($AA101),$AA102,""))</f>
        <v/>
      </c>
      <c r="AA102">
        <f>IF($V102="",N($AA101),IF(MATCH($V102,$V$6:$V$6005,0)=ROW()-5,N($AA101)+1,N($AA101)))</f>
        <v/>
      </c>
    </row>
    <row r="103" ht="21" customHeight="1" s="66">
      <c r="A103" s="56" t="n"/>
      <c r="B103" s="57" t="n"/>
      <c r="C103" s="57" t="n"/>
      <c r="D103" s="57" t="n"/>
      <c r="E103" s="56" t="n"/>
      <c r="F103" s="57" t="n"/>
      <c r="G103" s="57" t="n"/>
      <c r="H103" s="56" t="n"/>
      <c r="I103" s="56" t="n"/>
      <c r="J103" s="58" t="n"/>
      <c r="K103" s="58" t="n"/>
      <c r="L103" s="13">
        <f>IF(OR($A103="",AND($J103="",$K103="")),"",ROUND(N($J103)-N($K103),2))</f>
        <v/>
      </c>
      <c r="M103" s="13">
        <f>IF(OR($A103="",AND($J103="",$K103="")),"",MIN($J103,$K103))</f>
        <v/>
      </c>
      <c r="Q103">
        <f>IF($A103="","",$D103&amp;"("&amp;SUBSTITUTE($E103," ","")&amp;")")</f>
        <v/>
      </c>
      <c r="R103">
        <f>IF($A103="","",$B103&amp;" - "&amp;$C103)</f>
        <v/>
      </c>
      <c r="S103">
        <f>IF($A103="","",$R103&amp;"|"&amp;$Q103)</f>
        <v/>
      </c>
      <c r="T103">
        <f>IF($A103="","",$S103&amp;"|"&amp;$F103)</f>
        <v/>
      </c>
      <c r="U103">
        <f>IF($A103="","",$R103&amp;"("&amp;$E103&amp;")")</f>
        <v/>
      </c>
      <c r="V103">
        <f>IF($A103="","",$F103&amp;"|"&amp;$U103&amp;"|"&amp;$D103)</f>
        <v/>
      </c>
      <c r="W103">
        <f>IF($T103="","",IF($X103&gt;N($X102),$X103,""))</f>
        <v/>
      </c>
      <c r="X103">
        <f>IF($T103="",N($X102),IF(MATCH($T103,$T$6:$T$6005,0)=ROW()-5,N($X102)+1,N($X102)))</f>
        <v/>
      </c>
      <c r="Z103">
        <f>IF($V103="","",IF($AA103&gt;N($AA102),$AA103,""))</f>
        <v/>
      </c>
      <c r="AA103">
        <f>IF($V103="",N($AA102),IF(MATCH($V103,$V$6:$V$6005,0)=ROW()-5,N($AA102)+1,N($AA102)))</f>
        <v/>
      </c>
    </row>
    <row r="104" ht="21" customHeight="1" s="66">
      <c r="A104" s="56" t="n"/>
      <c r="B104" s="57" t="n"/>
      <c r="C104" s="57" t="n"/>
      <c r="D104" s="57" t="n"/>
      <c r="E104" s="56" t="n"/>
      <c r="F104" s="57" t="n"/>
      <c r="G104" s="57" t="n"/>
      <c r="H104" s="56" t="n"/>
      <c r="I104" s="56" t="n"/>
      <c r="J104" s="58" t="n"/>
      <c r="K104" s="58" t="n"/>
      <c r="L104" s="13">
        <f>IF(OR($A104="",AND($J104="",$K104="")),"",ROUND(N($J104)-N($K104),2))</f>
        <v/>
      </c>
      <c r="M104" s="13">
        <f>IF(OR($A104="",AND($J104="",$K104="")),"",MIN($J104,$K104))</f>
        <v/>
      </c>
      <c r="Q104">
        <f>IF($A104="","",$D104&amp;"("&amp;SUBSTITUTE($E104," ","")&amp;")")</f>
        <v/>
      </c>
      <c r="R104">
        <f>IF($A104="","",$B104&amp;" - "&amp;$C104)</f>
        <v/>
      </c>
      <c r="S104">
        <f>IF($A104="","",$R104&amp;"|"&amp;$Q104)</f>
        <v/>
      </c>
      <c r="T104">
        <f>IF($A104="","",$S104&amp;"|"&amp;$F104)</f>
        <v/>
      </c>
      <c r="U104">
        <f>IF($A104="","",$R104&amp;"("&amp;$E104&amp;")")</f>
        <v/>
      </c>
      <c r="V104">
        <f>IF($A104="","",$F104&amp;"|"&amp;$U104&amp;"|"&amp;$D104)</f>
        <v/>
      </c>
      <c r="W104">
        <f>IF($T104="","",IF($X104&gt;N($X103),$X104,""))</f>
        <v/>
      </c>
      <c r="X104">
        <f>IF($T104="",N($X103),IF(MATCH($T104,$T$6:$T$6005,0)=ROW()-5,N($X103)+1,N($X103)))</f>
        <v/>
      </c>
      <c r="Z104">
        <f>IF($V104="","",IF($AA104&gt;N($AA103),$AA104,""))</f>
        <v/>
      </c>
      <c r="AA104">
        <f>IF($V104="",N($AA103),IF(MATCH($V104,$V$6:$V$6005,0)=ROW()-5,N($AA103)+1,N($AA103)))</f>
        <v/>
      </c>
    </row>
    <row r="105" ht="21" customHeight="1" s="66">
      <c r="A105" s="56" t="n"/>
      <c r="B105" s="57" t="n"/>
      <c r="C105" s="57" t="n"/>
      <c r="D105" s="57" t="n"/>
      <c r="E105" s="56" t="n"/>
      <c r="F105" s="57" t="n"/>
      <c r="G105" s="57" t="n"/>
      <c r="H105" s="56" t="n"/>
      <c r="I105" s="56" t="n"/>
      <c r="J105" s="58" t="n"/>
      <c r="K105" s="58" t="n"/>
      <c r="L105" s="13">
        <f>IF(OR($A105="",AND($J105="",$K105="")),"",ROUND(N($J105)-N($K105),2))</f>
        <v/>
      </c>
      <c r="M105" s="13">
        <f>IF(OR($A105="",AND($J105="",$K105="")),"",MIN($J105,$K105))</f>
        <v/>
      </c>
      <c r="Q105">
        <f>IF($A105="","",$D105&amp;"("&amp;SUBSTITUTE($E105," ","")&amp;")")</f>
        <v/>
      </c>
      <c r="R105">
        <f>IF($A105="","",$B105&amp;" - "&amp;$C105)</f>
        <v/>
      </c>
      <c r="S105">
        <f>IF($A105="","",$R105&amp;"|"&amp;$Q105)</f>
        <v/>
      </c>
      <c r="T105">
        <f>IF($A105="","",$S105&amp;"|"&amp;$F105)</f>
        <v/>
      </c>
      <c r="U105">
        <f>IF($A105="","",$R105&amp;"("&amp;$E105&amp;")")</f>
        <v/>
      </c>
      <c r="V105">
        <f>IF($A105="","",$F105&amp;"|"&amp;$U105&amp;"|"&amp;$D105)</f>
        <v/>
      </c>
      <c r="W105">
        <f>IF($T105="","",IF($X105&gt;N($X104),$X105,""))</f>
        <v/>
      </c>
      <c r="X105">
        <f>IF($T105="",N($X104),IF(MATCH($T105,$T$6:$T$6005,0)=ROW()-5,N($X104)+1,N($X104)))</f>
        <v/>
      </c>
      <c r="Z105">
        <f>IF($V105="","",IF($AA105&gt;N($AA104),$AA105,""))</f>
        <v/>
      </c>
      <c r="AA105">
        <f>IF($V105="",N($AA104),IF(MATCH($V105,$V$6:$V$6005,0)=ROW()-5,N($AA104)+1,N($AA104)))</f>
        <v/>
      </c>
    </row>
    <row r="106" ht="21" customHeight="1" s="66">
      <c r="A106" s="56" t="n"/>
      <c r="B106" s="57" t="n"/>
      <c r="C106" s="57" t="n"/>
      <c r="D106" s="57" t="n"/>
      <c r="E106" s="56" t="n"/>
      <c r="F106" s="57" t="n"/>
      <c r="G106" s="57" t="n"/>
      <c r="H106" s="56" t="n"/>
      <c r="I106" s="56" t="n"/>
      <c r="J106" s="58" t="n"/>
      <c r="K106" s="58" t="n"/>
      <c r="L106" s="13">
        <f>IF(OR($A106="",AND($J106="",$K106="")),"",ROUND(N($J106)-N($K106),2))</f>
        <v/>
      </c>
      <c r="M106" s="13">
        <f>IF(OR($A106="",AND($J106="",$K106="")),"",MIN($J106,$K106))</f>
        <v/>
      </c>
      <c r="Q106">
        <f>IF($A106="","",$D106&amp;"("&amp;SUBSTITUTE($E106," ","")&amp;")")</f>
        <v/>
      </c>
      <c r="R106">
        <f>IF($A106="","",$B106&amp;" - "&amp;$C106)</f>
        <v/>
      </c>
      <c r="S106">
        <f>IF($A106="","",$R106&amp;"|"&amp;$Q106)</f>
        <v/>
      </c>
      <c r="T106">
        <f>IF($A106="","",$S106&amp;"|"&amp;$F106)</f>
        <v/>
      </c>
      <c r="U106">
        <f>IF($A106="","",$R106&amp;"("&amp;$E106&amp;")")</f>
        <v/>
      </c>
      <c r="V106">
        <f>IF($A106="","",$F106&amp;"|"&amp;$U106&amp;"|"&amp;$D106)</f>
        <v/>
      </c>
      <c r="W106">
        <f>IF($T106="","",IF($X106&gt;N($X105),$X106,""))</f>
        <v/>
      </c>
      <c r="X106">
        <f>IF($T106="",N($X105),IF(MATCH($T106,$T$6:$T$6005,0)=ROW()-5,N($X105)+1,N($X105)))</f>
        <v/>
      </c>
      <c r="Z106">
        <f>IF($V106="","",IF($AA106&gt;N($AA105),$AA106,""))</f>
        <v/>
      </c>
      <c r="AA106">
        <f>IF($V106="",N($AA105),IF(MATCH($V106,$V$6:$V$6005,0)=ROW()-5,N($AA105)+1,N($AA105)))</f>
        <v/>
      </c>
    </row>
    <row r="107" ht="21" customHeight="1" s="66">
      <c r="A107" s="56" t="n"/>
      <c r="B107" s="57" t="n"/>
      <c r="C107" s="57" t="n"/>
      <c r="D107" s="57" t="n"/>
      <c r="E107" s="56" t="n"/>
      <c r="F107" s="57" t="n"/>
      <c r="G107" s="57" t="n"/>
      <c r="H107" s="56" t="n"/>
      <c r="I107" s="56" t="n"/>
      <c r="J107" s="58" t="n"/>
      <c r="K107" s="58" t="n"/>
      <c r="L107" s="13">
        <f>IF(OR($A107="",AND($J107="",$K107="")),"",ROUND(N($J107)-N($K107),2))</f>
        <v/>
      </c>
      <c r="M107" s="13">
        <f>IF(OR($A107="",AND($J107="",$K107="")),"",MIN($J107,$K107))</f>
        <v/>
      </c>
      <c r="Q107">
        <f>IF($A107="","",$D107&amp;"("&amp;SUBSTITUTE($E107," ","")&amp;")")</f>
        <v/>
      </c>
      <c r="R107">
        <f>IF($A107="","",$B107&amp;" - "&amp;$C107)</f>
        <v/>
      </c>
      <c r="S107">
        <f>IF($A107="","",$R107&amp;"|"&amp;$Q107)</f>
        <v/>
      </c>
      <c r="T107">
        <f>IF($A107="","",$S107&amp;"|"&amp;$F107)</f>
        <v/>
      </c>
      <c r="U107">
        <f>IF($A107="","",$R107&amp;"("&amp;$E107&amp;")")</f>
        <v/>
      </c>
      <c r="V107">
        <f>IF($A107="","",$F107&amp;"|"&amp;$U107&amp;"|"&amp;$D107)</f>
        <v/>
      </c>
      <c r="W107">
        <f>IF($T107="","",IF($X107&gt;N($X106),$X107,""))</f>
        <v/>
      </c>
      <c r="X107">
        <f>IF($T107="",N($X106),IF(MATCH($T107,$T$6:$T$6005,0)=ROW()-5,N($X106)+1,N($X106)))</f>
        <v/>
      </c>
      <c r="Z107">
        <f>IF($V107="","",IF($AA107&gt;N($AA106),$AA107,""))</f>
        <v/>
      </c>
      <c r="AA107">
        <f>IF($V107="",N($AA106),IF(MATCH($V107,$V$6:$V$6005,0)=ROW()-5,N($AA106)+1,N($AA106)))</f>
        <v/>
      </c>
    </row>
    <row r="108" ht="21" customHeight="1" s="66">
      <c r="A108" s="56" t="n"/>
      <c r="B108" s="57" t="n"/>
      <c r="C108" s="57" t="n"/>
      <c r="D108" s="57" t="n"/>
      <c r="E108" s="56" t="n"/>
      <c r="F108" s="57" t="n"/>
      <c r="G108" s="57" t="n"/>
      <c r="H108" s="56" t="n"/>
      <c r="I108" s="56" t="n"/>
      <c r="J108" s="58" t="n"/>
      <c r="K108" s="58" t="n"/>
      <c r="L108" s="13">
        <f>IF(OR($A108="",AND($J108="",$K108="")),"",ROUND(N($J108)-N($K108),2))</f>
        <v/>
      </c>
      <c r="M108" s="13">
        <f>IF(OR($A108="",AND($J108="",$K108="")),"",MIN($J108,$K108))</f>
        <v/>
      </c>
      <c r="Q108">
        <f>IF($A108="","",$D108&amp;"("&amp;SUBSTITUTE($E108," ","")&amp;")")</f>
        <v/>
      </c>
      <c r="R108">
        <f>IF($A108="","",$B108&amp;" - "&amp;$C108)</f>
        <v/>
      </c>
      <c r="S108">
        <f>IF($A108="","",$R108&amp;"|"&amp;$Q108)</f>
        <v/>
      </c>
      <c r="T108">
        <f>IF($A108="","",$S108&amp;"|"&amp;$F108)</f>
        <v/>
      </c>
      <c r="U108">
        <f>IF($A108="","",$R108&amp;"("&amp;$E108&amp;")")</f>
        <v/>
      </c>
      <c r="V108">
        <f>IF($A108="","",$F108&amp;"|"&amp;$U108&amp;"|"&amp;$D108)</f>
        <v/>
      </c>
      <c r="W108">
        <f>IF($T108="","",IF($X108&gt;N($X107),$X108,""))</f>
        <v/>
      </c>
      <c r="X108">
        <f>IF($T108="",N($X107),IF(MATCH($T108,$T$6:$T$6005,0)=ROW()-5,N($X107)+1,N($X107)))</f>
        <v/>
      </c>
      <c r="Z108">
        <f>IF($V108="","",IF($AA108&gt;N($AA107),$AA108,""))</f>
        <v/>
      </c>
      <c r="AA108">
        <f>IF($V108="",N($AA107),IF(MATCH($V108,$V$6:$V$6005,0)=ROW()-5,N($AA107)+1,N($AA107)))</f>
        <v/>
      </c>
    </row>
    <row r="109" ht="21" customHeight="1" s="66">
      <c r="A109" s="56" t="n"/>
      <c r="B109" s="57" t="n"/>
      <c r="C109" s="57" t="n"/>
      <c r="D109" s="57" t="n"/>
      <c r="E109" s="56" t="n"/>
      <c r="F109" s="57" t="n"/>
      <c r="G109" s="57" t="n"/>
      <c r="H109" s="56" t="n"/>
      <c r="I109" s="56" t="n"/>
      <c r="J109" s="58" t="n"/>
      <c r="K109" s="58" t="n"/>
      <c r="L109" s="13">
        <f>IF(OR($A109="",AND($J109="",$K109="")),"",ROUND(N($J109)-N($K109),2))</f>
        <v/>
      </c>
      <c r="M109" s="13">
        <f>IF(OR($A109="",AND($J109="",$K109="")),"",MIN($J109,$K109))</f>
        <v/>
      </c>
      <c r="Q109">
        <f>IF($A109="","",$D109&amp;"("&amp;SUBSTITUTE($E109," ","")&amp;")")</f>
        <v/>
      </c>
      <c r="R109">
        <f>IF($A109="","",$B109&amp;" - "&amp;$C109)</f>
        <v/>
      </c>
      <c r="S109">
        <f>IF($A109="","",$R109&amp;"|"&amp;$Q109)</f>
        <v/>
      </c>
      <c r="T109">
        <f>IF($A109="","",$S109&amp;"|"&amp;$F109)</f>
        <v/>
      </c>
      <c r="U109">
        <f>IF($A109="","",$R109&amp;"("&amp;$E109&amp;")")</f>
        <v/>
      </c>
      <c r="V109">
        <f>IF($A109="","",$F109&amp;"|"&amp;$U109&amp;"|"&amp;$D109)</f>
        <v/>
      </c>
      <c r="W109">
        <f>IF($T109="","",IF($X109&gt;N($X108),$X109,""))</f>
        <v/>
      </c>
      <c r="X109">
        <f>IF($T109="",N($X108),IF(MATCH($T109,$T$6:$T$6005,0)=ROW()-5,N($X108)+1,N($X108)))</f>
        <v/>
      </c>
      <c r="Z109">
        <f>IF($V109="","",IF($AA109&gt;N($AA108),$AA109,""))</f>
        <v/>
      </c>
      <c r="AA109">
        <f>IF($V109="",N($AA108),IF(MATCH($V109,$V$6:$V$6005,0)=ROW()-5,N($AA108)+1,N($AA108)))</f>
        <v/>
      </c>
    </row>
    <row r="110" ht="21" customHeight="1" s="66">
      <c r="A110" s="56" t="n"/>
      <c r="B110" s="57" t="n"/>
      <c r="C110" s="57" t="n"/>
      <c r="D110" s="57" t="n"/>
      <c r="E110" s="56" t="n"/>
      <c r="F110" s="57" t="n"/>
      <c r="G110" s="57" t="n"/>
      <c r="H110" s="56" t="n"/>
      <c r="I110" s="56" t="n"/>
      <c r="J110" s="58" t="n"/>
      <c r="K110" s="58" t="n"/>
      <c r="L110" s="13">
        <f>IF(OR($A110="",AND($J110="",$K110="")),"",ROUND(N($J110)-N($K110),2))</f>
        <v/>
      </c>
      <c r="M110" s="13">
        <f>IF(OR($A110="",AND($J110="",$K110="")),"",MIN($J110,$K110))</f>
        <v/>
      </c>
      <c r="Q110">
        <f>IF($A110="","",$D110&amp;"("&amp;SUBSTITUTE($E110," ","")&amp;")")</f>
        <v/>
      </c>
      <c r="R110">
        <f>IF($A110="","",$B110&amp;" - "&amp;$C110)</f>
        <v/>
      </c>
      <c r="S110">
        <f>IF($A110="","",$R110&amp;"|"&amp;$Q110)</f>
        <v/>
      </c>
      <c r="T110">
        <f>IF($A110="","",$S110&amp;"|"&amp;$F110)</f>
        <v/>
      </c>
      <c r="U110">
        <f>IF($A110="","",$R110&amp;"("&amp;$E110&amp;")")</f>
        <v/>
      </c>
      <c r="V110">
        <f>IF($A110="","",$F110&amp;"|"&amp;$U110&amp;"|"&amp;$D110)</f>
        <v/>
      </c>
      <c r="W110">
        <f>IF($T110="","",IF($X110&gt;N($X109),$X110,""))</f>
        <v/>
      </c>
      <c r="X110">
        <f>IF($T110="",N($X109),IF(MATCH($T110,$T$6:$T$6005,0)=ROW()-5,N($X109)+1,N($X109)))</f>
        <v/>
      </c>
      <c r="Z110">
        <f>IF($V110="","",IF($AA110&gt;N($AA109),$AA110,""))</f>
        <v/>
      </c>
      <c r="AA110">
        <f>IF($V110="",N($AA109),IF(MATCH($V110,$V$6:$V$6005,0)=ROW()-5,N($AA109)+1,N($AA109)))</f>
        <v/>
      </c>
    </row>
    <row r="111" ht="21" customHeight="1" s="66">
      <c r="A111" s="56" t="n"/>
      <c r="B111" s="57" t="n"/>
      <c r="C111" s="57" t="n"/>
      <c r="D111" s="57" t="n"/>
      <c r="E111" s="56" t="n"/>
      <c r="F111" s="57" t="n"/>
      <c r="G111" s="57" t="n"/>
      <c r="H111" s="56" t="n"/>
      <c r="I111" s="56" t="n"/>
      <c r="J111" s="58" t="n"/>
      <c r="K111" s="58" t="n"/>
      <c r="L111" s="13">
        <f>IF(OR($A111="",AND($J111="",$K111="")),"",ROUND(N($J111)-N($K111),2))</f>
        <v/>
      </c>
      <c r="M111" s="13">
        <f>IF(OR($A111="",AND($J111="",$K111="")),"",MIN($J111,$K111))</f>
        <v/>
      </c>
      <c r="Q111">
        <f>IF($A111="","",$D111&amp;"("&amp;SUBSTITUTE($E111," ","")&amp;")")</f>
        <v/>
      </c>
      <c r="R111">
        <f>IF($A111="","",$B111&amp;" - "&amp;$C111)</f>
        <v/>
      </c>
      <c r="S111">
        <f>IF($A111="","",$R111&amp;"|"&amp;$Q111)</f>
        <v/>
      </c>
      <c r="T111">
        <f>IF($A111="","",$S111&amp;"|"&amp;$F111)</f>
        <v/>
      </c>
      <c r="U111">
        <f>IF($A111="","",$R111&amp;"("&amp;$E111&amp;")")</f>
        <v/>
      </c>
      <c r="V111">
        <f>IF($A111="","",$F111&amp;"|"&amp;$U111&amp;"|"&amp;$D111)</f>
        <v/>
      </c>
      <c r="W111">
        <f>IF($T111="","",IF($X111&gt;N($X110),$X111,""))</f>
        <v/>
      </c>
      <c r="X111">
        <f>IF($T111="",N($X110),IF(MATCH($T111,$T$6:$T$6005,0)=ROW()-5,N($X110)+1,N($X110)))</f>
        <v/>
      </c>
      <c r="Z111">
        <f>IF($V111="","",IF($AA111&gt;N($AA110),$AA111,""))</f>
        <v/>
      </c>
      <c r="AA111">
        <f>IF($V111="",N($AA110),IF(MATCH($V111,$V$6:$V$6005,0)=ROW()-5,N($AA110)+1,N($AA110)))</f>
        <v/>
      </c>
    </row>
    <row r="112" ht="21" customHeight="1" s="66">
      <c r="A112" s="56" t="n"/>
      <c r="B112" s="57" t="n"/>
      <c r="C112" s="57" t="n"/>
      <c r="D112" s="57" t="n"/>
      <c r="E112" s="56" t="n"/>
      <c r="F112" s="57" t="n"/>
      <c r="G112" s="57" t="n"/>
      <c r="H112" s="56" t="n"/>
      <c r="I112" s="56" t="n"/>
      <c r="J112" s="58" t="n"/>
      <c r="K112" s="58" t="n"/>
      <c r="L112" s="13">
        <f>IF(OR($A112="",AND($J112="",$K112="")),"",ROUND(N($J112)-N($K112),2))</f>
        <v/>
      </c>
      <c r="M112" s="13">
        <f>IF(OR($A112="",AND($J112="",$K112="")),"",MIN($J112,$K112))</f>
        <v/>
      </c>
      <c r="Q112">
        <f>IF($A112="","",$D112&amp;"("&amp;SUBSTITUTE($E112," ","")&amp;")")</f>
        <v/>
      </c>
      <c r="R112">
        <f>IF($A112="","",$B112&amp;" - "&amp;$C112)</f>
        <v/>
      </c>
      <c r="S112">
        <f>IF($A112="","",$R112&amp;"|"&amp;$Q112)</f>
        <v/>
      </c>
      <c r="T112">
        <f>IF($A112="","",$S112&amp;"|"&amp;$F112)</f>
        <v/>
      </c>
      <c r="U112">
        <f>IF($A112="","",$R112&amp;"("&amp;$E112&amp;")")</f>
        <v/>
      </c>
      <c r="V112">
        <f>IF($A112="","",$F112&amp;"|"&amp;$U112&amp;"|"&amp;$D112)</f>
        <v/>
      </c>
      <c r="W112">
        <f>IF($T112="","",IF($X112&gt;N($X111),$X112,""))</f>
        <v/>
      </c>
      <c r="X112">
        <f>IF($T112="",N($X111),IF(MATCH($T112,$T$6:$T$6005,0)=ROW()-5,N($X111)+1,N($X111)))</f>
        <v/>
      </c>
      <c r="Z112">
        <f>IF($V112="","",IF($AA112&gt;N($AA111),$AA112,""))</f>
        <v/>
      </c>
      <c r="AA112">
        <f>IF($V112="",N($AA111),IF(MATCH($V112,$V$6:$V$6005,0)=ROW()-5,N($AA111)+1,N($AA111)))</f>
        <v/>
      </c>
    </row>
    <row r="113" ht="21" customHeight="1" s="66">
      <c r="A113" s="56" t="n"/>
      <c r="B113" s="57" t="n"/>
      <c r="C113" s="57" t="n"/>
      <c r="D113" s="57" t="n"/>
      <c r="E113" s="56" t="n"/>
      <c r="F113" s="57" t="n"/>
      <c r="G113" s="57" t="n"/>
      <c r="H113" s="56" t="n"/>
      <c r="I113" s="56" t="n"/>
      <c r="J113" s="58" t="n"/>
      <c r="K113" s="58" t="n"/>
      <c r="L113" s="13">
        <f>IF(OR($A113="",AND($J113="",$K113="")),"",ROUND(N($J113)-N($K113),2))</f>
        <v/>
      </c>
      <c r="M113" s="13">
        <f>IF(OR($A113="",AND($J113="",$K113="")),"",MIN($J113,$K113))</f>
        <v/>
      </c>
      <c r="Q113">
        <f>IF($A113="","",$D113&amp;"("&amp;SUBSTITUTE($E113," ","")&amp;")")</f>
        <v/>
      </c>
      <c r="R113">
        <f>IF($A113="","",$B113&amp;" - "&amp;$C113)</f>
        <v/>
      </c>
      <c r="S113">
        <f>IF($A113="","",$R113&amp;"|"&amp;$Q113)</f>
        <v/>
      </c>
      <c r="T113">
        <f>IF($A113="","",$S113&amp;"|"&amp;$F113)</f>
        <v/>
      </c>
      <c r="U113">
        <f>IF($A113="","",$R113&amp;"("&amp;$E113&amp;")")</f>
        <v/>
      </c>
      <c r="V113">
        <f>IF($A113="","",$F113&amp;"|"&amp;$U113&amp;"|"&amp;$D113)</f>
        <v/>
      </c>
      <c r="W113">
        <f>IF($T113="","",IF($X113&gt;N($X112),$X113,""))</f>
        <v/>
      </c>
      <c r="X113">
        <f>IF($T113="",N($X112),IF(MATCH($T113,$T$6:$T$6005,0)=ROW()-5,N($X112)+1,N($X112)))</f>
        <v/>
      </c>
      <c r="Z113">
        <f>IF($V113="","",IF($AA113&gt;N($AA112),$AA113,""))</f>
        <v/>
      </c>
      <c r="AA113">
        <f>IF($V113="",N($AA112),IF(MATCH($V113,$V$6:$V$6005,0)=ROW()-5,N($AA112)+1,N($AA112)))</f>
        <v/>
      </c>
    </row>
    <row r="114" ht="21" customHeight="1" s="66">
      <c r="A114" s="56" t="n"/>
      <c r="B114" s="57" t="n"/>
      <c r="C114" s="57" t="n"/>
      <c r="D114" s="57" t="n"/>
      <c r="E114" s="56" t="n"/>
      <c r="F114" s="57" t="n"/>
      <c r="G114" s="57" t="n"/>
      <c r="H114" s="56" t="n"/>
      <c r="I114" s="56" t="n"/>
      <c r="J114" s="58" t="n"/>
      <c r="K114" s="58" t="n"/>
      <c r="L114" s="13">
        <f>IF(OR($A114="",AND($J114="",$K114="")),"",ROUND(N($J114)-N($K114),2))</f>
        <v/>
      </c>
      <c r="M114" s="13">
        <f>IF(OR($A114="",AND($J114="",$K114="")),"",MIN($J114,$K114))</f>
        <v/>
      </c>
      <c r="Q114">
        <f>IF($A114="","",$D114&amp;"("&amp;SUBSTITUTE($E114," ","")&amp;")")</f>
        <v/>
      </c>
      <c r="R114">
        <f>IF($A114="","",$B114&amp;" - "&amp;$C114)</f>
        <v/>
      </c>
      <c r="S114">
        <f>IF($A114="","",$R114&amp;"|"&amp;$Q114)</f>
        <v/>
      </c>
      <c r="T114">
        <f>IF($A114="","",$S114&amp;"|"&amp;$F114)</f>
        <v/>
      </c>
      <c r="U114">
        <f>IF($A114="","",$R114&amp;"("&amp;$E114&amp;")")</f>
        <v/>
      </c>
      <c r="V114">
        <f>IF($A114="","",$F114&amp;"|"&amp;$U114&amp;"|"&amp;$D114)</f>
        <v/>
      </c>
      <c r="W114">
        <f>IF($T114="","",IF($X114&gt;N($X113),$X114,""))</f>
        <v/>
      </c>
      <c r="X114">
        <f>IF($T114="",N($X113),IF(MATCH($T114,$T$6:$T$6005,0)=ROW()-5,N($X113)+1,N($X113)))</f>
        <v/>
      </c>
      <c r="Z114">
        <f>IF($V114="","",IF($AA114&gt;N($AA113),$AA114,""))</f>
        <v/>
      </c>
      <c r="AA114">
        <f>IF($V114="",N($AA113),IF(MATCH($V114,$V$6:$V$6005,0)=ROW()-5,N($AA113)+1,N($AA113)))</f>
        <v/>
      </c>
    </row>
    <row r="115" ht="21" customHeight="1" s="66">
      <c r="A115" s="56" t="n"/>
      <c r="B115" s="57" t="n"/>
      <c r="C115" s="57" t="n"/>
      <c r="D115" s="57" t="n"/>
      <c r="E115" s="56" t="n"/>
      <c r="F115" s="57" t="n"/>
      <c r="G115" s="57" t="n"/>
      <c r="H115" s="56" t="n"/>
      <c r="I115" s="56" t="n"/>
      <c r="J115" s="58" t="n"/>
      <c r="K115" s="58" t="n"/>
      <c r="L115" s="13">
        <f>IF(OR($A115="",AND($J115="",$K115="")),"",ROUND(N($J115)-N($K115),2))</f>
        <v/>
      </c>
      <c r="M115" s="13">
        <f>IF(OR($A115="",AND($J115="",$K115="")),"",MIN($J115,$K115))</f>
        <v/>
      </c>
      <c r="Q115">
        <f>IF($A115="","",$D115&amp;"("&amp;SUBSTITUTE($E115," ","")&amp;")")</f>
        <v/>
      </c>
      <c r="R115">
        <f>IF($A115="","",$B115&amp;" - "&amp;$C115)</f>
        <v/>
      </c>
      <c r="S115">
        <f>IF($A115="","",$R115&amp;"|"&amp;$Q115)</f>
        <v/>
      </c>
      <c r="T115">
        <f>IF($A115="","",$S115&amp;"|"&amp;$F115)</f>
        <v/>
      </c>
      <c r="U115">
        <f>IF($A115="","",$R115&amp;"("&amp;$E115&amp;")")</f>
        <v/>
      </c>
      <c r="V115">
        <f>IF($A115="","",$F115&amp;"|"&amp;$U115&amp;"|"&amp;$D115)</f>
        <v/>
      </c>
      <c r="W115">
        <f>IF($T115="","",IF($X115&gt;N($X114),$X115,""))</f>
        <v/>
      </c>
      <c r="X115">
        <f>IF($T115="",N($X114),IF(MATCH($T115,$T$6:$T$6005,0)=ROW()-5,N($X114)+1,N($X114)))</f>
        <v/>
      </c>
      <c r="Z115">
        <f>IF($V115="","",IF($AA115&gt;N($AA114),$AA115,""))</f>
        <v/>
      </c>
      <c r="AA115">
        <f>IF($V115="",N($AA114),IF(MATCH($V115,$V$6:$V$6005,0)=ROW()-5,N($AA114)+1,N($AA114)))</f>
        <v/>
      </c>
    </row>
    <row r="116" ht="21" customHeight="1" s="66">
      <c r="A116" s="56" t="n"/>
      <c r="B116" s="57" t="n"/>
      <c r="C116" s="57" t="n"/>
      <c r="D116" s="57" t="n"/>
      <c r="E116" s="56" t="n"/>
      <c r="F116" s="57" t="n"/>
      <c r="G116" s="57" t="n"/>
      <c r="H116" s="56" t="n"/>
      <c r="I116" s="56" t="n"/>
      <c r="J116" s="58" t="n"/>
      <c r="K116" s="58" t="n"/>
      <c r="L116" s="13">
        <f>IF(OR($A116="",AND($J116="",$K116="")),"",ROUND(N($J116)-N($K116),2))</f>
        <v/>
      </c>
      <c r="M116" s="13">
        <f>IF(OR($A116="",AND($J116="",$K116="")),"",MIN($J116,$K116))</f>
        <v/>
      </c>
      <c r="Q116">
        <f>IF($A116="","",$D116&amp;"("&amp;SUBSTITUTE($E116," ","")&amp;")")</f>
        <v/>
      </c>
      <c r="R116">
        <f>IF($A116="","",$B116&amp;" - "&amp;$C116)</f>
        <v/>
      </c>
      <c r="S116">
        <f>IF($A116="","",$R116&amp;"|"&amp;$Q116)</f>
        <v/>
      </c>
      <c r="T116">
        <f>IF($A116="","",$S116&amp;"|"&amp;$F116)</f>
        <v/>
      </c>
      <c r="U116">
        <f>IF($A116="","",$R116&amp;"("&amp;$E116&amp;")")</f>
        <v/>
      </c>
      <c r="V116">
        <f>IF($A116="","",$F116&amp;"|"&amp;$U116&amp;"|"&amp;$D116)</f>
        <v/>
      </c>
      <c r="W116">
        <f>IF($T116="","",IF($X116&gt;N($X115),$X116,""))</f>
        <v/>
      </c>
      <c r="X116">
        <f>IF($T116="",N($X115),IF(MATCH($T116,$T$6:$T$6005,0)=ROW()-5,N($X115)+1,N($X115)))</f>
        <v/>
      </c>
      <c r="Z116">
        <f>IF($V116="","",IF($AA116&gt;N($AA115),$AA116,""))</f>
        <v/>
      </c>
      <c r="AA116">
        <f>IF($V116="",N($AA115),IF(MATCH($V116,$V$6:$V$6005,0)=ROW()-5,N($AA115)+1,N($AA115)))</f>
        <v/>
      </c>
    </row>
    <row r="117" ht="21" customHeight="1" s="66">
      <c r="A117" s="56" t="n"/>
      <c r="B117" s="57" t="n"/>
      <c r="C117" s="57" t="n"/>
      <c r="D117" s="57" t="n"/>
      <c r="E117" s="56" t="n"/>
      <c r="F117" s="57" t="n"/>
      <c r="G117" s="57" t="n"/>
      <c r="H117" s="56" t="n"/>
      <c r="I117" s="56" t="n"/>
      <c r="J117" s="58" t="n"/>
      <c r="K117" s="58" t="n"/>
      <c r="L117" s="13">
        <f>IF(OR($A117="",AND($J117="",$K117="")),"",ROUND(N($J117)-N($K117),2))</f>
        <v/>
      </c>
      <c r="M117" s="13">
        <f>IF(OR($A117="",AND($J117="",$K117="")),"",MIN($J117,$K117))</f>
        <v/>
      </c>
      <c r="Q117">
        <f>IF($A117="","",$D117&amp;"("&amp;SUBSTITUTE($E117," ","")&amp;")")</f>
        <v/>
      </c>
      <c r="R117">
        <f>IF($A117="","",$B117&amp;" - "&amp;$C117)</f>
        <v/>
      </c>
      <c r="S117">
        <f>IF($A117="","",$R117&amp;"|"&amp;$Q117)</f>
        <v/>
      </c>
      <c r="T117">
        <f>IF($A117="","",$S117&amp;"|"&amp;$F117)</f>
        <v/>
      </c>
      <c r="U117">
        <f>IF($A117="","",$R117&amp;"("&amp;$E117&amp;")")</f>
        <v/>
      </c>
      <c r="V117">
        <f>IF($A117="","",$F117&amp;"|"&amp;$U117&amp;"|"&amp;$D117)</f>
        <v/>
      </c>
      <c r="W117">
        <f>IF($T117="","",IF($X117&gt;N($X116),$X117,""))</f>
        <v/>
      </c>
      <c r="X117">
        <f>IF($T117="",N($X116),IF(MATCH($T117,$T$6:$T$6005,0)=ROW()-5,N($X116)+1,N($X116)))</f>
        <v/>
      </c>
      <c r="Z117">
        <f>IF($V117="","",IF($AA117&gt;N($AA116),$AA117,""))</f>
        <v/>
      </c>
      <c r="AA117">
        <f>IF($V117="",N($AA116),IF(MATCH($V117,$V$6:$V$6005,0)=ROW()-5,N($AA116)+1,N($AA116)))</f>
        <v/>
      </c>
    </row>
    <row r="118" ht="21" customHeight="1" s="66">
      <c r="A118" s="56" t="n"/>
      <c r="B118" s="57" t="n"/>
      <c r="C118" s="57" t="n"/>
      <c r="D118" s="57" t="n"/>
      <c r="E118" s="56" t="n"/>
      <c r="F118" s="57" t="n"/>
      <c r="G118" s="57" t="n"/>
      <c r="H118" s="56" t="n"/>
      <c r="I118" s="56" t="n"/>
      <c r="J118" s="58" t="n"/>
      <c r="K118" s="58" t="n"/>
      <c r="L118" s="13">
        <f>IF(OR($A118="",AND($J118="",$K118="")),"",ROUND(N($J118)-N($K118),2))</f>
        <v/>
      </c>
      <c r="M118" s="13">
        <f>IF(OR($A118="",AND($J118="",$K118="")),"",MIN($J118,$K118))</f>
        <v/>
      </c>
      <c r="Q118">
        <f>IF($A118="","",$D118&amp;"("&amp;SUBSTITUTE($E118," ","")&amp;")")</f>
        <v/>
      </c>
      <c r="R118">
        <f>IF($A118="","",$B118&amp;" - "&amp;$C118)</f>
        <v/>
      </c>
      <c r="S118">
        <f>IF($A118="","",$R118&amp;"|"&amp;$Q118)</f>
        <v/>
      </c>
      <c r="T118">
        <f>IF($A118="","",$S118&amp;"|"&amp;$F118)</f>
        <v/>
      </c>
      <c r="U118">
        <f>IF($A118="","",$R118&amp;"("&amp;$E118&amp;")")</f>
        <v/>
      </c>
      <c r="V118">
        <f>IF($A118="","",$F118&amp;"|"&amp;$U118&amp;"|"&amp;$D118)</f>
        <v/>
      </c>
      <c r="W118">
        <f>IF($T118="","",IF($X118&gt;N($X117),$X118,""))</f>
        <v/>
      </c>
      <c r="X118">
        <f>IF($T118="",N($X117),IF(MATCH($T118,$T$6:$T$6005,0)=ROW()-5,N($X117)+1,N($X117)))</f>
        <v/>
      </c>
      <c r="Z118">
        <f>IF($V118="","",IF($AA118&gt;N($AA117),$AA118,""))</f>
        <v/>
      </c>
      <c r="AA118">
        <f>IF($V118="",N($AA117),IF(MATCH($V118,$V$6:$V$6005,0)=ROW()-5,N($AA117)+1,N($AA117)))</f>
        <v/>
      </c>
    </row>
    <row r="119" ht="21" customHeight="1" s="66">
      <c r="A119" s="56" t="n"/>
      <c r="B119" s="57" t="n"/>
      <c r="C119" s="57" t="n"/>
      <c r="D119" s="57" t="n"/>
      <c r="E119" s="56" t="n"/>
      <c r="F119" s="57" t="n"/>
      <c r="G119" s="57" t="n"/>
      <c r="H119" s="56" t="n"/>
      <c r="I119" s="56" t="n"/>
      <c r="J119" s="58" t="n"/>
      <c r="K119" s="58" t="n"/>
      <c r="L119" s="13">
        <f>IF(OR($A119="",AND($J119="",$K119="")),"",ROUND(N($J119)-N($K119),2))</f>
        <v/>
      </c>
      <c r="M119" s="13">
        <f>IF(OR($A119="",AND($J119="",$K119="")),"",MIN($J119,$K119))</f>
        <v/>
      </c>
      <c r="Q119">
        <f>IF($A119="","",$D119&amp;"("&amp;SUBSTITUTE($E119," ","")&amp;")")</f>
        <v/>
      </c>
      <c r="R119">
        <f>IF($A119="","",$B119&amp;" - "&amp;$C119)</f>
        <v/>
      </c>
      <c r="S119">
        <f>IF($A119="","",$R119&amp;"|"&amp;$Q119)</f>
        <v/>
      </c>
      <c r="T119">
        <f>IF($A119="","",$S119&amp;"|"&amp;$F119)</f>
        <v/>
      </c>
      <c r="U119">
        <f>IF($A119="","",$R119&amp;"("&amp;$E119&amp;")")</f>
        <v/>
      </c>
      <c r="V119">
        <f>IF($A119="","",$F119&amp;"|"&amp;$U119&amp;"|"&amp;$D119)</f>
        <v/>
      </c>
      <c r="W119">
        <f>IF($T119="","",IF($X119&gt;N($X118),$X119,""))</f>
        <v/>
      </c>
      <c r="X119">
        <f>IF($T119="",N($X118),IF(MATCH($T119,$T$6:$T$6005,0)=ROW()-5,N($X118)+1,N($X118)))</f>
        <v/>
      </c>
      <c r="Z119">
        <f>IF($V119="","",IF($AA119&gt;N($AA118),$AA119,""))</f>
        <v/>
      </c>
      <c r="AA119">
        <f>IF($V119="",N($AA118),IF(MATCH($V119,$V$6:$V$6005,0)=ROW()-5,N($AA118)+1,N($AA118)))</f>
        <v/>
      </c>
    </row>
    <row r="120" ht="21" customHeight="1" s="66">
      <c r="A120" s="56" t="n"/>
      <c r="B120" s="57" t="n"/>
      <c r="C120" s="57" t="n"/>
      <c r="D120" s="57" t="n"/>
      <c r="E120" s="56" t="n"/>
      <c r="F120" s="57" t="n"/>
      <c r="G120" s="57" t="n"/>
      <c r="H120" s="56" t="n"/>
      <c r="I120" s="56" t="n"/>
      <c r="J120" s="58" t="n"/>
      <c r="K120" s="58" t="n"/>
      <c r="L120" s="13">
        <f>IF(OR($A120="",AND($J120="",$K120="")),"",ROUND(N($J120)-N($K120),2))</f>
        <v/>
      </c>
      <c r="M120" s="13">
        <f>IF(OR($A120="",AND($J120="",$K120="")),"",MIN($J120,$K120))</f>
        <v/>
      </c>
      <c r="Q120">
        <f>IF($A120="","",$D120&amp;"("&amp;SUBSTITUTE($E120," ","")&amp;")")</f>
        <v/>
      </c>
      <c r="R120">
        <f>IF($A120="","",$B120&amp;" - "&amp;$C120)</f>
        <v/>
      </c>
      <c r="S120">
        <f>IF($A120="","",$R120&amp;"|"&amp;$Q120)</f>
        <v/>
      </c>
      <c r="T120">
        <f>IF($A120="","",$S120&amp;"|"&amp;$F120)</f>
        <v/>
      </c>
      <c r="U120">
        <f>IF($A120="","",$R120&amp;"("&amp;$E120&amp;")")</f>
        <v/>
      </c>
      <c r="V120">
        <f>IF($A120="","",$F120&amp;"|"&amp;$U120&amp;"|"&amp;$D120)</f>
        <v/>
      </c>
      <c r="W120">
        <f>IF($T120="","",IF($X120&gt;N($X119),$X120,""))</f>
        <v/>
      </c>
      <c r="X120">
        <f>IF($T120="",N($X119),IF(MATCH($T120,$T$6:$T$6005,0)=ROW()-5,N($X119)+1,N($X119)))</f>
        <v/>
      </c>
      <c r="Z120">
        <f>IF($V120="","",IF($AA120&gt;N($AA119),$AA120,""))</f>
        <v/>
      </c>
      <c r="AA120">
        <f>IF($V120="",N($AA119),IF(MATCH($V120,$V$6:$V$6005,0)=ROW()-5,N($AA119)+1,N($AA119)))</f>
        <v/>
      </c>
    </row>
    <row r="121" ht="21" customHeight="1" s="66">
      <c r="A121" s="56" t="n"/>
      <c r="B121" s="57" t="n"/>
      <c r="C121" s="57" t="n"/>
      <c r="D121" s="57" t="n"/>
      <c r="E121" s="56" t="n"/>
      <c r="F121" s="57" t="n"/>
      <c r="G121" s="57" t="n"/>
      <c r="H121" s="56" t="n"/>
      <c r="I121" s="56" t="n"/>
      <c r="J121" s="58" t="n"/>
      <c r="K121" s="58" t="n"/>
      <c r="L121" s="13">
        <f>IF(OR($A121="",AND($J121="",$K121="")),"",ROUND(N($J121)-N($K121),2))</f>
        <v/>
      </c>
      <c r="M121" s="13">
        <f>IF(OR($A121="",AND($J121="",$K121="")),"",MIN($J121,$K121))</f>
        <v/>
      </c>
      <c r="Q121">
        <f>IF($A121="","",$D121&amp;"("&amp;SUBSTITUTE($E121," ","")&amp;")")</f>
        <v/>
      </c>
      <c r="R121">
        <f>IF($A121="","",$B121&amp;" - "&amp;$C121)</f>
        <v/>
      </c>
      <c r="S121">
        <f>IF($A121="","",$R121&amp;"|"&amp;$Q121)</f>
        <v/>
      </c>
      <c r="T121">
        <f>IF($A121="","",$S121&amp;"|"&amp;$F121)</f>
        <v/>
      </c>
      <c r="U121">
        <f>IF($A121="","",$R121&amp;"("&amp;$E121&amp;")")</f>
        <v/>
      </c>
      <c r="V121">
        <f>IF($A121="","",$F121&amp;"|"&amp;$U121&amp;"|"&amp;$D121)</f>
        <v/>
      </c>
      <c r="W121">
        <f>IF($T121="","",IF($X121&gt;N($X120),$X121,""))</f>
        <v/>
      </c>
      <c r="X121">
        <f>IF($T121="",N($X120),IF(MATCH($T121,$T$6:$T$6005,0)=ROW()-5,N($X120)+1,N($X120)))</f>
        <v/>
      </c>
      <c r="Z121">
        <f>IF($V121="","",IF($AA121&gt;N($AA120),$AA121,""))</f>
        <v/>
      </c>
      <c r="AA121">
        <f>IF($V121="",N($AA120),IF(MATCH($V121,$V$6:$V$6005,0)=ROW()-5,N($AA120)+1,N($AA120)))</f>
        <v/>
      </c>
    </row>
    <row r="122" ht="21" customHeight="1" s="66">
      <c r="A122" s="56" t="n"/>
      <c r="B122" s="57" t="n"/>
      <c r="C122" s="57" t="n"/>
      <c r="D122" s="57" t="n"/>
      <c r="E122" s="56" t="n"/>
      <c r="F122" s="57" t="n"/>
      <c r="G122" s="57" t="n"/>
      <c r="H122" s="56" t="n"/>
      <c r="I122" s="56" t="n"/>
      <c r="J122" s="58" t="n"/>
      <c r="K122" s="58" t="n"/>
      <c r="L122" s="13">
        <f>IF(OR($A122="",AND($J122="",$K122="")),"",ROUND(N($J122)-N($K122),2))</f>
        <v/>
      </c>
      <c r="M122" s="13">
        <f>IF(OR($A122="",AND($J122="",$K122="")),"",MIN($J122,$K122))</f>
        <v/>
      </c>
      <c r="Q122">
        <f>IF($A122="","",$D122&amp;"("&amp;SUBSTITUTE($E122," ","")&amp;")")</f>
        <v/>
      </c>
      <c r="R122">
        <f>IF($A122="","",$B122&amp;" - "&amp;$C122)</f>
        <v/>
      </c>
      <c r="S122">
        <f>IF($A122="","",$R122&amp;"|"&amp;$Q122)</f>
        <v/>
      </c>
      <c r="T122">
        <f>IF($A122="","",$S122&amp;"|"&amp;$F122)</f>
        <v/>
      </c>
      <c r="U122">
        <f>IF($A122="","",$R122&amp;"("&amp;$E122&amp;")")</f>
        <v/>
      </c>
      <c r="V122">
        <f>IF($A122="","",$F122&amp;"|"&amp;$U122&amp;"|"&amp;$D122)</f>
        <v/>
      </c>
      <c r="W122">
        <f>IF($T122="","",IF($X122&gt;N($X121),$X122,""))</f>
        <v/>
      </c>
      <c r="X122">
        <f>IF($T122="",N($X121),IF(MATCH($T122,$T$6:$T$6005,0)=ROW()-5,N($X121)+1,N($X121)))</f>
        <v/>
      </c>
      <c r="Z122">
        <f>IF($V122="","",IF($AA122&gt;N($AA121),$AA122,""))</f>
        <v/>
      </c>
      <c r="AA122">
        <f>IF($V122="",N($AA121),IF(MATCH($V122,$V$6:$V$6005,0)=ROW()-5,N($AA121)+1,N($AA121)))</f>
        <v/>
      </c>
    </row>
    <row r="123" ht="21" customHeight="1" s="66">
      <c r="A123" s="56" t="n"/>
      <c r="B123" s="57" t="n"/>
      <c r="C123" s="57" t="n"/>
      <c r="D123" s="57" t="n"/>
      <c r="E123" s="56" t="n"/>
      <c r="F123" s="57" t="n"/>
      <c r="G123" s="57" t="n"/>
      <c r="H123" s="56" t="n"/>
      <c r="I123" s="56" t="n"/>
      <c r="J123" s="58" t="n"/>
      <c r="K123" s="58" t="n"/>
      <c r="L123" s="13">
        <f>IF(OR($A123="",AND($J123="",$K123="")),"",ROUND(N($J123)-N($K123),2))</f>
        <v/>
      </c>
      <c r="M123" s="13">
        <f>IF(OR($A123="",AND($J123="",$K123="")),"",MIN($J123,$K123))</f>
        <v/>
      </c>
      <c r="Q123">
        <f>IF($A123="","",$D123&amp;"("&amp;SUBSTITUTE($E123," ","")&amp;")")</f>
        <v/>
      </c>
      <c r="R123">
        <f>IF($A123="","",$B123&amp;" - "&amp;$C123)</f>
        <v/>
      </c>
      <c r="S123">
        <f>IF($A123="","",$R123&amp;"|"&amp;$Q123)</f>
        <v/>
      </c>
      <c r="T123">
        <f>IF($A123="","",$S123&amp;"|"&amp;$F123)</f>
        <v/>
      </c>
      <c r="U123">
        <f>IF($A123="","",$R123&amp;"("&amp;$E123&amp;")")</f>
        <v/>
      </c>
      <c r="V123">
        <f>IF($A123="","",$F123&amp;"|"&amp;$U123&amp;"|"&amp;$D123)</f>
        <v/>
      </c>
      <c r="W123">
        <f>IF($T123="","",IF($X123&gt;N($X122),$X123,""))</f>
        <v/>
      </c>
      <c r="X123">
        <f>IF($T123="",N($X122),IF(MATCH($T123,$T$6:$T$6005,0)=ROW()-5,N($X122)+1,N($X122)))</f>
        <v/>
      </c>
      <c r="Z123">
        <f>IF($V123="","",IF($AA123&gt;N($AA122),$AA123,""))</f>
        <v/>
      </c>
      <c r="AA123">
        <f>IF($V123="",N($AA122),IF(MATCH($V123,$V$6:$V$6005,0)=ROW()-5,N($AA122)+1,N($AA122)))</f>
        <v/>
      </c>
    </row>
    <row r="124" ht="21" customHeight="1" s="66">
      <c r="A124" s="56" t="n"/>
      <c r="B124" s="57" t="n"/>
      <c r="C124" s="57" t="n"/>
      <c r="D124" s="57" t="n"/>
      <c r="E124" s="56" t="n"/>
      <c r="F124" s="57" t="n"/>
      <c r="G124" s="57" t="n"/>
      <c r="H124" s="56" t="n"/>
      <c r="I124" s="56" t="n"/>
      <c r="J124" s="58" t="n"/>
      <c r="K124" s="58" t="n"/>
      <c r="L124" s="13">
        <f>IF(OR($A124="",AND($J124="",$K124="")),"",ROUND(N($J124)-N($K124),2))</f>
        <v/>
      </c>
      <c r="M124" s="13">
        <f>IF(OR($A124="",AND($J124="",$K124="")),"",MIN($J124,$K124))</f>
        <v/>
      </c>
      <c r="Q124">
        <f>IF($A124="","",$D124&amp;"("&amp;SUBSTITUTE($E124," ","")&amp;")")</f>
        <v/>
      </c>
      <c r="R124">
        <f>IF($A124="","",$B124&amp;" - "&amp;$C124)</f>
        <v/>
      </c>
      <c r="S124">
        <f>IF($A124="","",$R124&amp;"|"&amp;$Q124)</f>
        <v/>
      </c>
      <c r="T124">
        <f>IF($A124="","",$S124&amp;"|"&amp;$F124)</f>
        <v/>
      </c>
      <c r="U124">
        <f>IF($A124="","",$R124&amp;"("&amp;$E124&amp;")")</f>
        <v/>
      </c>
      <c r="V124">
        <f>IF($A124="","",$F124&amp;"|"&amp;$U124&amp;"|"&amp;$D124)</f>
        <v/>
      </c>
      <c r="W124">
        <f>IF($T124="","",IF($X124&gt;N($X123),$X124,""))</f>
        <v/>
      </c>
      <c r="X124">
        <f>IF($T124="",N($X123),IF(MATCH($T124,$T$6:$T$6005,0)=ROW()-5,N($X123)+1,N($X123)))</f>
        <v/>
      </c>
      <c r="Z124">
        <f>IF($V124="","",IF($AA124&gt;N($AA123),$AA124,""))</f>
        <v/>
      </c>
      <c r="AA124">
        <f>IF($V124="",N($AA123),IF(MATCH($V124,$V$6:$V$6005,0)=ROW()-5,N($AA123)+1,N($AA123)))</f>
        <v/>
      </c>
    </row>
    <row r="125" ht="21" customHeight="1" s="66">
      <c r="A125" s="56" t="n"/>
      <c r="B125" s="57" t="n"/>
      <c r="C125" s="57" t="n"/>
      <c r="D125" s="57" t="n"/>
      <c r="E125" s="56" t="n"/>
      <c r="F125" s="57" t="n"/>
      <c r="G125" s="57" t="n"/>
      <c r="H125" s="56" t="n"/>
      <c r="I125" s="56" t="n"/>
      <c r="J125" s="58" t="n"/>
      <c r="K125" s="58" t="n"/>
      <c r="L125" s="13">
        <f>IF(OR($A125="",AND($J125="",$K125="")),"",ROUND(N($J125)-N($K125),2))</f>
        <v/>
      </c>
      <c r="M125" s="13">
        <f>IF(OR($A125="",AND($J125="",$K125="")),"",MIN($J125,$K125))</f>
        <v/>
      </c>
      <c r="Q125">
        <f>IF($A125="","",$D125&amp;"("&amp;SUBSTITUTE($E125," ","")&amp;")")</f>
        <v/>
      </c>
      <c r="R125">
        <f>IF($A125="","",$B125&amp;" - "&amp;$C125)</f>
        <v/>
      </c>
      <c r="S125">
        <f>IF($A125="","",$R125&amp;"|"&amp;$Q125)</f>
        <v/>
      </c>
      <c r="T125">
        <f>IF($A125="","",$S125&amp;"|"&amp;$F125)</f>
        <v/>
      </c>
      <c r="U125">
        <f>IF($A125="","",$R125&amp;"("&amp;$E125&amp;")")</f>
        <v/>
      </c>
      <c r="V125">
        <f>IF($A125="","",$F125&amp;"|"&amp;$U125&amp;"|"&amp;$D125)</f>
        <v/>
      </c>
      <c r="W125">
        <f>IF($T125="","",IF($X125&gt;N($X124),$X125,""))</f>
        <v/>
      </c>
      <c r="X125">
        <f>IF($T125="",N($X124),IF(MATCH($T125,$T$6:$T$6005,0)=ROW()-5,N($X124)+1,N($X124)))</f>
        <v/>
      </c>
      <c r="Z125">
        <f>IF($V125="","",IF($AA125&gt;N($AA124),$AA125,""))</f>
        <v/>
      </c>
      <c r="AA125">
        <f>IF($V125="",N($AA124),IF(MATCH($V125,$V$6:$V$6005,0)=ROW()-5,N($AA124)+1,N($AA124)))</f>
        <v/>
      </c>
    </row>
    <row r="126" ht="21" customHeight="1" s="66">
      <c r="A126" s="56" t="n"/>
      <c r="B126" s="57" t="n"/>
      <c r="C126" s="57" t="n"/>
      <c r="D126" s="57" t="n"/>
      <c r="E126" s="56" t="n"/>
      <c r="F126" s="57" t="n"/>
      <c r="G126" s="57" t="n"/>
      <c r="H126" s="56" t="n"/>
      <c r="I126" s="56" t="n"/>
      <c r="J126" s="58" t="n"/>
      <c r="K126" s="58" t="n"/>
      <c r="L126" s="13">
        <f>IF(OR($A126="",AND($J126="",$K126="")),"",ROUND(N($J126)-N($K126),2))</f>
        <v/>
      </c>
      <c r="M126" s="13">
        <f>IF(OR($A126="",AND($J126="",$K126="")),"",MIN($J126,$K126))</f>
        <v/>
      </c>
      <c r="Q126">
        <f>IF($A126="","",$D126&amp;"("&amp;SUBSTITUTE($E126," ","")&amp;")")</f>
        <v/>
      </c>
      <c r="R126">
        <f>IF($A126="","",$B126&amp;" - "&amp;$C126)</f>
        <v/>
      </c>
      <c r="S126">
        <f>IF($A126="","",$R126&amp;"|"&amp;$Q126)</f>
        <v/>
      </c>
      <c r="T126">
        <f>IF($A126="","",$S126&amp;"|"&amp;$F126)</f>
        <v/>
      </c>
      <c r="U126">
        <f>IF($A126="","",$R126&amp;"("&amp;$E126&amp;")")</f>
        <v/>
      </c>
      <c r="V126">
        <f>IF($A126="","",$F126&amp;"|"&amp;$U126&amp;"|"&amp;$D126)</f>
        <v/>
      </c>
      <c r="W126">
        <f>IF($T126="","",IF($X126&gt;N($X125),$X126,""))</f>
        <v/>
      </c>
      <c r="X126">
        <f>IF($T126="",N($X125),IF(MATCH($T126,$T$6:$T$6005,0)=ROW()-5,N($X125)+1,N($X125)))</f>
        <v/>
      </c>
      <c r="Z126">
        <f>IF($V126="","",IF($AA126&gt;N($AA125),$AA126,""))</f>
        <v/>
      </c>
      <c r="AA126">
        <f>IF($V126="",N($AA125),IF(MATCH($V126,$V$6:$V$6005,0)=ROW()-5,N($AA125)+1,N($AA125)))</f>
        <v/>
      </c>
    </row>
    <row r="127" ht="21" customHeight="1" s="66">
      <c r="A127" s="56" t="n"/>
      <c r="B127" s="57" t="n"/>
      <c r="C127" s="57" t="n"/>
      <c r="D127" s="57" t="n"/>
      <c r="E127" s="56" t="n"/>
      <c r="F127" s="57" t="n"/>
      <c r="G127" s="57" t="n"/>
      <c r="H127" s="56" t="n"/>
      <c r="I127" s="56" t="n"/>
      <c r="J127" s="58" t="n"/>
      <c r="K127" s="58" t="n"/>
      <c r="L127" s="13">
        <f>IF(OR($A127="",AND($J127="",$K127="")),"",ROUND(N($J127)-N($K127),2))</f>
        <v/>
      </c>
      <c r="M127" s="13">
        <f>IF(OR($A127="",AND($J127="",$K127="")),"",MIN($J127,$K127))</f>
        <v/>
      </c>
      <c r="Q127">
        <f>IF($A127="","",$D127&amp;"("&amp;SUBSTITUTE($E127," ","")&amp;")")</f>
        <v/>
      </c>
      <c r="R127">
        <f>IF($A127="","",$B127&amp;" - "&amp;$C127)</f>
        <v/>
      </c>
      <c r="S127">
        <f>IF($A127="","",$R127&amp;"|"&amp;$Q127)</f>
        <v/>
      </c>
      <c r="T127">
        <f>IF($A127="","",$S127&amp;"|"&amp;$F127)</f>
        <v/>
      </c>
      <c r="U127">
        <f>IF($A127="","",$R127&amp;"("&amp;$E127&amp;")")</f>
        <v/>
      </c>
      <c r="V127">
        <f>IF($A127="","",$F127&amp;"|"&amp;$U127&amp;"|"&amp;$D127)</f>
        <v/>
      </c>
      <c r="W127">
        <f>IF($T127="","",IF($X127&gt;N($X126),$X127,""))</f>
        <v/>
      </c>
      <c r="X127">
        <f>IF($T127="",N($X126),IF(MATCH($T127,$T$6:$T$6005,0)=ROW()-5,N($X126)+1,N($X126)))</f>
        <v/>
      </c>
      <c r="Z127">
        <f>IF($V127="","",IF($AA127&gt;N($AA126),$AA127,""))</f>
        <v/>
      </c>
      <c r="AA127">
        <f>IF($V127="",N($AA126),IF(MATCH($V127,$V$6:$V$6005,0)=ROW()-5,N($AA126)+1,N($AA126)))</f>
        <v/>
      </c>
    </row>
    <row r="128" ht="21" customHeight="1" s="66">
      <c r="A128" s="56" t="n"/>
      <c r="B128" s="57" t="n"/>
      <c r="C128" s="57" t="n"/>
      <c r="D128" s="57" t="n"/>
      <c r="E128" s="56" t="n"/>
      <c r="F128" s="57" t="n"/>
      <c r="G128" s="57" t="n"/>
      <c r="H128" s="56" t="n"/>
      <c r="I128" s="56" t="n"/>
      <c r="J128" s="58" t="n"/>
      <c r="K128" s="58" t="n"/>
      <c r="L128" s="13">
        <f>IF(OR($A128="",AND($J128="",$K128="")),"",ROUND(N($J128)-N($K128),2))</f>
        <v/>
      </c>
      <c r="M128" s="13">
        <f>IF(OR($A128="",AND($J128="",$K128="")),"",MIN($J128,$K128))</f>
        <v/>
      </c>
      <c r="Q128">
        <f>IF($A128="","",$D128&amp;"("&amp;SUBSTITUTE($E128," ","")&amp;")")</f>
        <v/>
      </c>
      <c r="R128">
        <f>IF($A128="","",$B128&amp;" - "&amp;$C128)</f>
        <v/>
      </c>
      <c r="S128">
        <f>IF($A128="","",$R128&amp;"|"&amp;$Q128)</f>
        <v/>
      </c>
      <c r="T128">
        <f>IF($A128="","",$S128&amp;"|"&amp;$F128)</f>
        <v/>
      </c>
      <c r="U128">
        <f>IF($A128="","",$R128&amp;"("&amp;$E128&amp;")")</f>
        <v/>
      </c>
      <c r="V128">
        <f>IF($A128="","",$F128&amp;"|"&amp;$U128&amp;"|"&amp;$D128)</f>
        <v/>
      </c>
      <c r="W128">
        <f>IF($T128="","",IF($X128&gt;N($X127),$X128,""))</f>
        <v/>
      </c>
      <c r="X128">
        <f>IF($T128="",N($X127),IF(MATCH($T128,$T$6:$T$6005,0)=ROW()-5,N($X127)+1,N($X127)))</f>
        <v/>
      </c>
      <c r="Z128">
        <f>IF($V128="","",IF($AA128&gt;N($AA127),$AA128,""))</f>
        <v/>
      </c>
      <c r="AA128">
        <f>IF($V128="",N($AA127),IF(MATCH($V128,$V$6:$V$6005,0)=ROW()-5,N($AA127)+1,N($AA127)))</f>
        <v/>
      </c>
    </row>
    <row r="129" ht="21" customHeight="1" s="66">
      <c r="A129" s="56" t="n"/>
      <c r="B129" s="57" t="n"/>
      <c r="C129" s="57" t="n"/>
      <c r="D129" s="57" t="n"/>
      <c r="E129" s="56" t="n"/>
      <c r="F129" s="57" t="n"/>
      <c r="G129" s="57" t="n"/>
      <c r="H129" s="56" t="n"/>
      <c r="I129" s="56" t="n"/>
      <c r="J129" s="58" t="n"/>
      <c r="K129" s="58" t="n"/>
      <c r="L129" s="13">
        <f>IF(OR($A129="",AND($J129="",$K129="")),"",ROUND(N($J129)-N($K129),2))</f>
        <v/>
      </c>
      <c r="M129" s="13">
        <f>IF(OR($A129="",AND($J129="",$K129="")),"",MIN($J129,$K129))</f>
        <v/>
      </c>
      <c r="Q129">
        <f>IF($A129="","",$D129&amp;"("&amp;SUBSTITUTE($E129," ","")&amp;")")</f>
        <v/>
      </c>
      <c r="R129">
        <f>IF($A129="","",$B129&amp;" - "&amp;$C129)</f>
        <v/>
      </c>
      <c r="S129">
        <f>IF($A129="","",$R129&amp;"|"&amp;$Q129)</f>
        <v/>
      </c>
      <c r="T129">
        <f>IF($A129="","",$S129&amp;"|"&amp;$F129)</f>
        <v/>
      </c>
      <c r="U129">
        <f>IF($A129="","",$R129&amp;"("&amp;$E129&amp;")")</f>
        <v/>
      </c>
      <c r="V129">
        <f>IF($A129="","",$F129&amp;"|"&amp;$U129&amp;"|"&amp;$D129)</f>
        <v/>
      </c>
      <c r="W129">
        <f>IF($T129="","",IF($X129&gt;N($X128),$X129,""))</f>
        <v/>
      </c>
      <c r="X129">
        <f>IF($T129="",N($X128),IF(MATCH($T129,$T$6:$T$6005,0)=ROW()-5,N($X128)+1,N($X128)))</f>
        <v/>
      </c>
      <c r="Z129">
        <f>IF($V129="","",IF($AA129&gt;N($AA128),$AA129,""))</f>
        <v/>
      </c>
      <c r="AA129">
        <f>IF($V129="",N($AA128),IF(MATCH($V129,$V$6:$V$6005,0)=ROW()-5,N($AA128)+1,N($AA128)))</f>
        <v/>
      </c>
    </row>
    <row r="130" ht="21" customHeight="1" s="66">
      <c r="A130" s="56" t="n"/>
      <c r="B130" s="57" t="n"/>
      <c r="C130" s="57" t="n"/>
      <c r="D130" s="57" t="n"/>
      <c r="E130" s="56" t="n"/>
      <c r="F130" s="57" t="n"/>
      <c r="G130" s="57" t="n"/>
      <c r="H130" s="56" t="n"/>
      <c r="I130" s="56" t="n"/>
      <c r="J130" s="58" t="n"/>
      <c r="K130" s="58" t="n"/>
      <c r="L130" s="13">
        <f>IF(OR($A130="",AND($J130="",$K130="")),"",ROUND(N($J130)-N($K130),2))</f>
        <v/>
      </c>
      <c r="M130" s="13">
        <f>IF(OR($A130="",AND($J130="",$K130="")),"",MIN($J130,$K130))</f>
        <v/>
      </c>
      <c r="Q130">
        <f>IF($A130="","",$D130&amp;"("&amp;SUBSTITUTE($E130," ","")&amp;")")</f>
        <v/>
      </c>
      <c r="R130">
        <f>IF($A130="","",$B130&amp;" - "&amp;$C130)</f>
        <v/>
      </c>
      <c r="S130">
        <f>IF($A130="","",$R130&amp;"|"&amp;$Q130)</f>
        <v/>
      </c>
      <c r="T130">
        <f>IF($A130="","",$S130&amp;"|"&amp;$F130)</f>
        <v/>
      </c>
      <c r="U130">
        <f>IF($A130="","",$R130&amp;"("&amp;$E130&amp;")")</f>
        <v/>
      </c>
      <c r="V130">
        <f>IF($A130="","",$F130&amp;"|"&amp;$U130&amp;"|"&amp;$D130)</f>
        <v/>
      </c>
      <c r="W130">
        <f>IF($T130="","",IF($X130&gt;N($X129),$X130,""))</f>
        <v/>
      </c>
      <c r="X130">
        <f>IF($T130="",N($X129),IF(MATCH($T130,$T$6:$T$6005,0)=ROW()-5,N($X129)+1,N($X129)))</f>
        <v/>
      </c>
      <c r="Z130">
        <f>IF($V130="","",IF($AA130&gt;N($AA129),$AA130,""))</f>
        <v/>
      </c>
      <c r="AA130">
        <f>IF($V130="",N($AA129),IF(MATCH($V130,$V$6:$V$6005,0)=ROW()-5,N($AA129)+1,N($AA129)))</f>
        <v/>
      </c>
    </row>
    <row r="131" ht="21" customHeight="1" s="66">
      <c r="A131" s="56" t="n"/>
      <c r="B131" s="57" t="n"/>
      <c r="C131" s="57" t="n"/>
      <c r="D131" s="57" t="n"/>
      <c r="E131" s="56" t="n"/>
      <c r="F131" s="57" t="n"/>
      <c r="G131" s="57" t="n"/>
      <c r="H131" s="56" t="n"/>
      <c r="I131" s="56" t="n"/>
      <c r="J131" s="58" t="n"/>
      <c r="K131" s="58" t="n"/>
      <c r="L131" s="13">
        <f>IF(OR($A131="",AND($J131="",$K131="")),"",ROUND(N($J131)-N($K131),2))</f>
        <v/>
      </c>
      <c r="M131" s="13">
        <f>IF(OR($A131="",AND($J131="",$K131="")),"",MIN($J131,$K131))</f>
        <v/>
      </c>
      <c r="Q131">
        <f>IF($A131="","",$D131&amp;"("&amp;SUBSTITUTE($E131," ","")&amp;")")</f>
        <v/>
      </c>
      <c r="R131">
        <f>IF($A131="","",$B131&amp;" - "&amp;$C131)</f>
        <v/>
      </c>
      <c r="S131">
        <f>IF($A131="","",$R131&amp;"|"&amp;$Q131)</f>
        <v/>
      </c>
      <c r="T131">
        <f>IF($A131="","",$S131&amp;"|"&amp;$F131)</f>
        <v/>
      </c>
      <c r="U131">
        <f>IF($A131="","",$R131&amp;"("&amp;$E131&amp;")")</f>
        <v/>
      </c>
      <c r="V131">
        <f>IF($A131="","",$F131&amp;"|"&amp;$U131&amp;"|"&amp;$D131)</f>
        <v/>
      </c>
      <c r="W131">
        <f>IF($T131="","",IF($X131&gt;N($X130),$X131,""))</f>
        <v/>
      </c>
      <c r="X131">
        <f>IF($T131="",N($X130),IF(MATCH($T131,$T$6:$T$6005,0)=ROW()-5,N($X130)+1,N($X130)))</f>
        <v/>
      </c>
      <c r="Z131">
        <f>IF($V131="","",IF($AA131&gt;N($AA130),$AA131,""))</f>
        <v/>
      </c>
      <c r="AA131">
        <f>IF($V131="",N($AA130),IF(MATCH($V131,$V$6:$V$6005,0)=ROW()-5,N($AA130)+1,N($AA130)))</f>
        <v/>
      </c>
    </row>
    <row r="132" ht="21" customHeight="1" s="66">
      <c r="A132" s="56" t="n"/>
      <c r="B132" s="57" t="n"/>
      <c r="C132" s="57" t="n"/>
      <c r="D132" s="57" t="n"/>
      <c r="E132" s="56" t="n"/>
      <c r="F132" s="57" t="n"/>
      <c r="G132" s="57" t="n"/>
      <c r="H132" s="56" t="n"/>
      <c r="I132" s="56" t="n"/>
      <c r="J132" s="58" t="n"/>
      <c r="K132" s="58" t="n"/>
      <c r="L132" s="13">
        <f>IF(OR($A132="",AND($J132="",$K132="")),"",ROUND(N($J132)-N($K132),2))</f>
        <v/>
      </c>
      <c r="M132" s="13">
        <f>IF(OR($A132="",AND($J132="",$K132="")),"",MIN($J132,$K132))</f>
        <v/>
      </c>
      <c r="Q132">
        <f>IF($A132="","",$D132&amp;"("&amp;SUBSTITUTE($E132," ","")&amp;")")</f>
        <v/>
      </c>
      <c r="R132">
        <f>IF($A132="","",$B132&amp;" - "&amp;$C132)</f>
        <v/>
      </c>
      <c r="S132">
        <f>IF($A132="","",$R132&amp;"|"&amp;$Q132)</f>
        <v/>
      </c>
      <c r="T132">
        <f>IF($A132="","",$S132&amp;"|"&amp;$F132)</f>
        <v/>
      </c>
      <c r="U132">
        <f>IF($A132="","",$R132&amp;"("&amp;$E132&amp;")")</f>
        <v/>
      </c>
      <c r="V132">
        <f>IF($A132="","",$F132&amp;"|"&amp;$U132&amp;"|"&amp;$D132)</f>
        <v/>
      </c>
      <c r="W132">
        <f>IF($T132="","",IF($X132&gt;N($X131),$X132,""))</f>
        <v/>
      </c>
      <c r="X132">
        <f>IF($T132="",N($X131),IF(MATCH($T132,$T$6:$T$6005,0)=ROW()-5,N($X131)+1,N($X131)))</f>
        <v/>
      </c>
      <c r="Z132">
        <f>IF($V132="","",IF($AA132&gt;N($AA131),$AA132,""))</f>
        <v/>
      </c>
      <c r="AA132">
        <f>IF($V132="",N($AA131),IF(MATCH($V132,$V$6:$V$6005,0)=ROW()-5,N($AA131)+1,N($AA131)))</f>
        <v/>
      </c>
    </row>
    <row r="133" ht="21" customHeight="1" s="66">
      <c r="A133" s="56" t="n"/>
      <c r="B133" s="57" t="n"/>
      <c r="C133" s="57" t="n"/>
      <c r="D133" s="57" t="n"/>
      <c r="E133" s="56" t="n"/>
      <c r="F133" s="57" t="n"/>
      <c r="G133" s="57" t="n"/>
      <c r="H133" s="56" t="n"/>
      <c r="I133" s="56" t="n"/>
      <c r="J133" s="58" t="n"/>
      <c r="K133" s="58" t="n"/>
      <c r="L133" s="13">
        <f>IF(OR($A133="",AND($J133="",$K133="")),"",ROUND(N($J133)-N($K133),2))</f>
        <v/>
      </c>
      <c r="M133" s="13">
        <f>IF(OR($A133="",AND($J133="",$K133="")),"",MIN($J133,$K133))</f>
        <v/>
      </c>
      <c r="Q133">
        <f>IF($A133="","",$D133&amp;"("&amp;SUBSTITUTE($E133," ","")&amp;")")</f>
        <v/>
      </c>
      <c r="R133">
        <f>IF($A133="","",$B133&amp;" - "&amp;$C133)</f>
        <v/>
      </c>
      <c r="S133">
        <f>IF($A133="","",$R133&amp;"|"&amp;$Q133)</f>
        <v/>
      </c>
      <c r="T133">
        <f>IF($A133="","",$S133&amp;"|"&amp;$F133)</f>
        <v/>
      </c>
      <c r="U133">
        <f>IF($A133="","",$R133&amp;"("&amp;$E133&amp;")")</f>
        <v/>
      </c>
      <c r="V133">
        <f>IF($A133="","",$F133&amp;"|"&amp;$U133&amp;"|"&amp;$D133)</f>
        <v/>
      </c>
      <c r="W133">
        <f>IF($T133="","",IF($X133&gt;N($X132),$X133,""))</f>
        <v/>
      </c>
      <c r="X133">
        <f>IF($T133="",N($X132),IF(MATCH($T133,$T$6:$T$6005,0)=ROW()-5,N($X132)+1,N($X132)))</f>
        <v/>
      </c>
      <c r="Z133">
        <f>IF($V133="","",IF($AA133&gt;N($AA132),$AA133,""))</f>
        <v/>
      </c>
      <c r="AA133">
        <f>IF($V133="",N($AA132),IF(MATCH($V133,$V$6:$V$6005,0)=ROW()-5,N($AA132)+1,N($AA132)))</f>
        <v/>
      </c>
    </row>
    <row r="134" ht="21" customHeight="1" s="66">
      <c r="A134" s="56" t="n"/>
      <c r="B134" s="57" t="n"/>
      <c r="C134" s="57" t="n"/>
      <c r="D134" s="57" t="n"/>
      <c r="E134" s="56" t="n"/>
      <c r="F134" s="57" t="n"/>
      <c r="G134" s="57" t="n"/>
      <c r="H134" s="56" t="n"/>
      <c r="I134" s="56" t="n"/>
      <c r="J134" s="58" t="n"/>
      <c r="K134" s="58" t="n"/>
      <c r="L134" s="13">
        <f>IF(OR($A134="",AND($J134="",$K134="")),"",ROUND(N($J134)-N($K134),2))</f>
        <v/>
      </c>
      <c r="M134" s="13">
        <f>IF(OR($A134="",AND($J134="",$K134="")),"",MIN($J134,$K134))</f>
        <v/>
      </c>
      <c r="Q134">
        <f>IF($A134="","",$D134&amp;"("&amp;SUBSTITUTE($E134," ","")&amp;")")</f>
        <v/>
      </c>
      <c r="R134">
        <f>IF($A134="","",$B134&amp;" - "&amp;$C134)</f>
        <v/>
      </c>
      <c r="S134">
        <f>IF($A134="","",$R134&amp;"|"&amp;$Q134)</f>
        <v/>
      </c>
      <c r="T134">
        <f>IF($A134="","",$S134&amp;"|"&amp;$F134)</f>
        <v/>
      </c>
      <c r="U134">
        <f>IF($A134="","",$R134&amp;"("&amp;$E134&amp;")")</f>
        <v/>
      </c>
      <c r="V134">
        <f>IF($A134="","",$F134&amp;"|"&amp;$U134&amp;"|"&amp;$D134)</f>
        <v/>
      </c>
      <c r="W134">
        <f>IF($T134="","",IF($X134&gt;N($X133),$X134,""))</f>
        <v/>
      </c>
      <c r="X134">
        <f>IF($T134="",N($X133),IF(MATCH($T134,$T$6:$T$6005,0)=ROW()-5,N($X133)+1,N($X133)))</f>
        <v/>
      </c>
      <c r="Z134">
        <f>IF($V134="","",IF($AA134&gt;N($AA133),$AA134,""))</f>
        <v/>
      </c>
      <c r="AA134">
        <f>IF($V134="",N($AA133),IF(MATCH($V134,$V$6:$V$6005,0)=ROW()-5,N($AA133)+1,N($AA133)))</f>
        <v/>
      </c>
    </row>
    <row r="135" ht="21" customHeight="1" s="66">
      <c r="A135" s="56" t="n"/>
      <c r="B135" s="57" t="n"/>
      <c r="C135" s="57" t="n"/>
      <c r="D135" s="57" t="n"/>
      <c r="E135" s="56" t="n"/>
      <c r="F135" s="57" t="n"/>
      <c r="G135" s="57" t="n"/>
      <c r="H135" s="56" t="n"/>
      <c r="I135" s="56" t="n"/>
      <c r="J135" s="58" t="n"/>
      <c r="K135" s="58" t="n"/>
      <c r="L135" s="13">
        <f>IF(OR($A135="",AND($J135="",$K135="")),"",ROUND(N($J135)-N($K135),2))</f>
        <v/>
      </c>
      <c r="M135" s="13">
        <f>IF(OR($A135="",AND($J135="",$K135="")),"",MIN($J135,$K135))</f>
        <v/>
      </c>
      <c r="Q135">
        <f>IF($A135="","",$D135&amp;"("&amp;SUBSTITUTE($E135," ","")&amp;")")</f>
        <v/>
      </c>
      <c r="R135">
        <f>IF($A135="","",$B135&amp;" - "&amp;$C135)</f>
        <v/>
      </c>
      <c r="S135">
        <f>IF($A135="","",$R135&amp;"|"&amp;$Q135)</f>
        <v/>
      </c>
      <c r="T135">
        <f>IF($A135="","",$S135&amp;"|"&amp;$F135)</f>
        <v/>
      </c>
      <c r="U135">
        <f>IF($A135="","",$R135&amp;"("&amp;$E135&amp;")")</f>
        <v/>
      </c>
      <c r="V135">
        <f>IF($A135="","",$F135&amp;"|"&amp;$U135&amp;"|"&amp;$D135)</f>
        <v/>
      </c>
      <c r="W135">
        <f>IF($T135="","",IF($X135&gt;N($X134),$X135,""))</f>
        <v/>
      </c>
      <c r="X135">
        <f>IF($T135="",N($X134),IF(MATCH($T135,$T$6:$T$6005,0)=ROW()-5,N($X134)+1,N($X134)))</f>
        <v/>
      </c>
      <c r="Z135">
        <f>IF($V135="","",IF($AA135&gt;N($AA134),$AA135,""))</f>
        <v/>
      </c>
      <c r="AA135">
        <f>IF($V135="",N($AA134),IF(MATCH($V135,$V$6:$V$6005,0)=ROW()-5,N($AA134)+1,N($AA134)))</f>
        <v/>
      </c>
    </row>
    <row r="136" ht="21" customHeight="1" s="66">
      <c r="A136" s="56" t="n"/>
      <c r="B136" s="57" t="n"/>
      <c r="C136" s="57" t="n"/>
      <c r="D136" s="57" t="n"/>
      <c r="E136" s="56" t="n"/>
      <c r="F136" s="57" t="n"/>
      <c r="G136" s="57" t="n"/>
      <c r="H136" s="56" t="n"/>
      <c r="I136" s="56" t="n"/>
      <c r="J136" s="58" t="n"/>
      <c r="K136" s="58" t="n"/>
      <c r="L136" s="13">
        <f>IF(OR($A136="",AND($J136="",$K136="")),"",ROUND(N($J136)-N($K136),2))</f>
        <v/>
      </c>
      <c r="M136" s="13">
        <f>IF(OR($A136="",AND($J136="",$K136="")),"",MIN($J136,$K136))</f>
        <v/>
      </c>
      <c r="Q136">
        <f>IF($A136="","",$D136&amp;"("&amp;SUBSTITUTE($E136," ","")&amp;")")</f>
        <v/>
      </c>
      <c r="R136">
        <f>IF($A136="","",$B136&amp;" - "&amp;$C136)</f>
        <v/>
      </c>
      <c r="S136">
        <f>IF($A136="","",$R136&amp;"|"&amp;$Q136)</f>
        <v/>
      </c>
      <c r="T136">
        <f>IF($A136="","",$S136&amp;"|"&amp;$F136)</f>
        <v/>
      </c>
      <c r="U136">
        <f>IF($A136="","",$R136&amp;"("&amp;$E136&amp;")")</f>
        <v/>
      </c>
      <c r="V136">
        <f>IF($A136="","",$F136&amp;"|"&amp;$U136&amp;"|"&amp;$D136)</f>
        <v/>
      </c>
      <c r="W136">
        <f>IF($T136="","",IF($X136&gt;N($X135),$X136,""))</f>
        <v/>
      </c>
      <c r="X136">
        <f>IF($T136="",N($X135),IF(MATCH($T136,$T$6:$T$6005,0)=ROW()-5,N($X135)+1,N($X135)))</f>
        <v/>
      </c>
      <c r="Z136">
        <f>IF($V136="","",IF($AA136&gt;N($AA135),$AA136,""))</f>
        <v/>
      </c>
      <c r="AA136">
        <f>IF($V136="",N($AA135),IF(MATCH($V136,$V$6:$V$6005,0)=ROW()-5,N($AA135)+1,N($AA135)))</f>
        <v/>
      </c>
    </row>
    <row r="137" ht="21" customHeight="1" s="66">
      <c r="A137" s="56" t="n"/>
      <c r="B137" s="57" t="n"/>
      <c r="C137" s="57" t="n"/>
      <c r="D137" s="57" t="n"/>
      <c r="E137" s="56" t="n"/>
      <c r="F137" s="57" t="n"/>
      <c r="G137" s="57" t="n"/>
      <c r="H137" s="56" t="n"/>
      <c r="I137" s="56" t="n"/>
      <c r="J137" s="58" t="n"/>
      <c r="K137" s="58" t="n"/>
      <c r="L137" s="13">
        <f>IF(OR($A137="",AND($J137="",$K137="")),"",ROUND(N($J137)-N($K137),2))</f>
        <v/>
      </c>
      <c r="M137" s="13">
        <f>IF(OR($A137="",AND($J137="",$K137="")),"",MIN($J137,$K137))</f>
        <v/>
      </c>
      <c r="Q137">
        <f>IF($A137="","",$D137&amp;"("&amp;SUBSTITUTE($E137," ","")&amp;")")</f>
        <v/>
      </c>
      <c r="R137">
        <f>IF($A137="","",$B137&amp;" - "&amp;$C137)</f>
        <v/>
      </c>
      <c r="S137">
        <f>IF($A137="","",$R137&amp;"|"&amp;$Q137)</f>
        <v/>
      </c>
      <c r="T137">
        <f>IF($A137="","",$S137&amp;"|"&amp;$F137)</f>
        <v/>
      </c>
      <c r="U137">
        <f>IF($A137="","",$R137&amp;"("&amp;$E137&amp;")")</f>
        <v/>
      </c>
      <c r="V137">
        <f>IF($A137="","",$F137&amp;"|"&amp;$U137&amp;"|"&amp;$D137)</f>
        <v/>
      </c>
      <c r="W137">
        <f>IF($T137="","",IF($X137&gt;N($X136),$X137,""))</f>
        <v/>
      </c>
      <c r="X137">
        <f>IF($T137="",N($X136),IF(MATCH($T137,$T$6:$T$6005,0)=ROW()-5,N($X136)+1,N($X136)))</f>
        <v/>
      </c>
      <c r="Z137">
        <f>IF($V137="","",IF($AA137&gt;N($AA136),$AA137,""))</f>
        <v/>
      </c>
      <c r="AA137">
        <f>IF($V137="",N($AA136),IF(MATCH($V137,$V$6:$V$6005,0)=ROW()-5,N($AA136)+1,N($AA136)))</f>
        <v/>
      </c>
    </row>
    <row r="138" ht="21" customHeight="1" s="66">
      <c r="A138" s="56" t="n"/>
      <c r="B138" s="57" t="n"/>
      <c r="C138" s="57" t="n"/>
      <c r="D138" s="57" t="n"/>
      <c r="E138" s="56" t="n"/>
      <c r="F138" s="57" t="n"/>
      <c r="G138" s="57" t="n"/>
      <c r="H138" s="56" t="n"/>
      <c r="I138" s="56" t="n"/>
      <c r="J138" s="58" t="n"/>
      <c r="K138" s="58" t="n"/>
      <c r="L138" s="13">
        <f>IF(OR($A138="",AND($J138="",$K138="")),"",ROUND(N($J138)-N($K138),2))</f>
        <v/>
      </c>
      <c r="M138" s="13">
        <f>IF(OR($A138="",AND($J138="",$K138="")),"",MIN($J138,$K138))</f>
        <v/>
      </c>
      <c r="Q138">
        <f>IF($A138="","",$D138&amp;"("&amp;SUBSTITUTE($E138," ","")&amp;")")</f>
        <v/>
      </c>
      <c r="R138">
        <f>IF($A138="","",$B138&amp;" - "&amp;$C138)</f>
        <v/>
      </c>
      <c r="S138">
        <f>IF($A138="","",$R138&amp;"|"&amp;$Q138)</f>
        <v/>
      </c>
      <c r="T138">
        <f>IF($A138="","",$S138&amp;"|"&amp;$F138)</f>
        <v/>
      </c>
      <c r="U138">
        <f>IF($A138="","",$R138&amp;"("&amp;$E138&amp;")")</f>
        <v/>
      </c>
      <c r="V138">
        <f>IF($A138="","",$F138&amp;"|"&amp;$U138&amp;"|"&amp;$D138)</f>
        <v/>
      </c>
      <c r="W138">
        <f>IF($T138="","",IF($X138&gt;N($X137),$X138,""))</f>
        <v/>
      </c>
      <c r="X138">
        <f>IF($T138="",N($X137),IF(MATCH($T138,$T$6:$T$6005,0)=ROW()-5,N($X137)+1,N($X137)))</f>
        <v/>
      </c>
      <c r="Z138">
        <f>IF($V138="","",IF($AA138&gt;N($AA137),$AA138,""))</f>
        <v/>
      </c>
      <c r="AA138">
        <f>IF($V138="",N($AA137),IF(MATCH($V138,$V$6:$V$6005,0)=ROW()-5,N($AA137)+1,N($AA137)))</f>
        <v/>
      </c>
    </row>
    <row r="139" ht="21" customHeight="1" s="66">
      <c r="A139" s="56" t="n"/>
      <c r="B139" s="57" t="n"/>
      <c r="C139" s="57" t="n"/>
      <c r="D139" s="57" t="n"/>
      <c r="E139" s="56" t="n"/>
      <c r="F139" s="57" t="n"/>
      <c r="G139" s="57" t="n"/>
      <c r="H139" s="56" t="n"/>
      <c r="I139" s="56" t="n"/>
      <c r="J139" s="58" t="n"/>
      <c r="K139" s="58" t="n"/>
      <c r="L139" s="13">
        <f>IF(OR($A139="",AND($J139="",$K139="")),"",ROUND(N($J139)-N($K139),2))</f>
        <v/>
      </c>
      <c r="M139" s="13">
        <f>IF(OR($A139="",AND($J139="",$K139="")),"",MIN($J139,$K139))</f>
        <v/>
      </c>
      <c r="Q139">
        <f>IF($A139="","",$D139&amp;"("&amp;SUBSTITUTE($E139," ","")&amp;")")</f>
        <v/>
      </c>
      <c r="R139">
        <f>IF($A139="","",$B139&amp;" - "&amp;$C139)</f>
        <v/>
      </c>
      <c r="S139">
        <f>IF($A139="","",$R139&amp;"|"&amp;$Q139)</f>
        <v/>
      </c>
      <c r="T139">
        <f>IF($A139="","",$S139&amp;"|"&amp;$F139)</f>
        <v/>
      </c>
      <c r="U139">
        <f>IF($A139="","",$R139&amp;"("&amp;$E139&amp;")")</f>
        <v/>
      </c>
      <c r="V139">
        <f>IF($A139="","",$F139&amp;"|"&amp;$U139&amp;"|"&amp;$D139)</f>
        <v/>
      </c>
      <c r="W139">
        <f>IF($T139="","",IF($X139&gt;N($X138),$X139,""))</f>
        <v/>
      </c>
      <c r="X139">
        <f>IF($T139="",N($X138),IF(MATCH($T139,$T$6:$T$6005,0)=ROW()-5,N($X138)+1,N($X138)))</f>
        <v/>
      </c>
      <c r="Z139">
        <f>IF($V139="","",IF($AA139&gt;N($AA138),$AA139,""))</f>
        <v/>
      </c>
      <c r="AA139">
        <f>IF($V139="",N($AA138),IF(MATCH($V139,$V$6:$V$6005,0)=ROW()-5,N($AA138)+1,N($AA138)))</f>
        <v/>
      </c>
    </row>
    <row r="140" ht="21" customHeight="1" s="66">
      <c r="A140" s="56" t="n"/>
      <c r="B140" s="57" t="n"/>
      <c r="C140" s="57" t="n"/>
      <c r="D140" s="57" t="n"/>
      <c r="E140" s="56" t="n"/>
      <c r="F140" s="57" t="n"/>
      <c r="G140" s="57" t="n"/>
      <c r="H140" s="56" t="n"/>
      <c r="I140" s="56" t="n"/>
      <c r="J140" s="58" t="n"/>
      <c r="K140" s="58" t="n"/>
      <c r="L140" s="13">
        <f>IF(OR($A140="",AND($J140="",$K140="")),"",ROUND(N($J140)-N($K140),2))</f>
        <v/>
      </c>
      <c r="M140" s="13">
        <f>IF(OR($A140="",AND($J140="",$K140="")),"",MIN($J140,$K140))</f>
        <v/>
      </c>
      <c r="Q140">
        <f>IF($A140="","",$D140&amp;"("&amp;SUBSTITUTE($E140," ","")&amp;")")</f>
        <v/>
      </c>
      <c r="R140">
        <f>IF($A140="","",$B140&amp;" - "&amp;$C140)</f>
        <v/>
      </c>
      <c r="S140">
        <f>IF($A140="","",$R140&amp;"|"&amp;$Q140)</f>
        <v/>
      </c>
      <c r="T140">
        <f>IF($A140="","",$S140&amp;"|"&amp;$F140)</f>
        <v/>
      </c>
      <c r="U140">
        <f>IF($A140="","",$R140&amp;"("&amp;$E140&amp;")")</f>
        <v/>
      </c>
      <c r="V140">
        <f>IF($A140="","",$F140&amp;"|"&amp;$U140&amp;"|"&amp;$D140)</f>
        <v/>
      </c>
      <c r="W140">
        <f>IF($T140="","",IF($X140&gt;N($X139),$X140,""))</f>
        <v/>
      </c>
      <c r="X140">
        <f>IF($T140="",N($X139),IF(MATCH($T140,$T$6:$T$6005,0)=ROW()-5,N($X139)+1,N($X139)))</f>
        <v/>
      </c>
      <c r="Z140">
        <f>IF($V140="","",IF($AA140&gt;N($AA139),$AA140,""))</f>
        <v/>
      </c>
      <c r="AA140">
        <f>IF($V140="",N($AA139),IF(MATCH($V140,$V$6:$V$6005,0)=ROW()-5,N($AA139)+1,N($AA139)))</f>
        <v/>
      </c>
    </row>
    <row r="141" ht="21" customHeight="1" s="66">
      <c r="A141" s="56" t="n"/>
      <c r="B141" s="57" t="n"/>
      <c r="C141" s="57" t="n"/>
      <c r="D141" s="57" t="n"/>
      <c r="E141" s="56" t="n"/>
      <c r="F141" s="57" t="n"/>
      <c r="G141" s="57" t="n"/>
      <c r="H141" s="56" t="n"/>
      <c r="I141" s="56" t="n"/>
      <c r="J141" s="58" t="n"/>
      <c r="K141" s="58" t="n"/>
      <c r="L141" s="13">
        <f>IF(OR($A141="",AND($J141="",$K141="")),"",ROUND(N($J141)-N($K141),2))</f>
        <v/>
      </c>
      <c r="M141" s="13">
        <f>IF(OR($A141="",AND($J141="",$K141="")),"",MIN($J141,$K141))</f>
        <v/>
      </c>
      <c r="Q141">
        <f>IF($A141="","",$D141&amp;"("&amp;SUBSTITUTE($E141," ","")&amp;")")</f>
        <v/>
      </c>
      <c r="R141">
        <f>IF($A141="","",$B141&amp;" - "&amp;$C141)</f>
        <v/>
      </c>
      <c r="S141">
        <f>IF($A141="","",$R141&amp;"|"&amp;$Q141)</f>
        <v/>
      </c>
      <c r="T141">
        <f>IF($A141="","",$S141&amp;"|"&amp;$F141)</f>
        <v/>
      </c>
      <c r="U141">
        <f>IF($A141="","",$R141&amp;"("&amp;$E141&amp;")")</f>
        <v/>
      </c>
      <c r="V141">
        <f>IF($A141="","",$F141&amp;"|"&amp;$U141&amp;"|"&amp;$D141)</f>
        <v/>
      </c>
      <c r="W141">
        <f>IF($T141="","",IF($X141&gt;N($X140),$X141,""))</f>
        <v/>
      </c>
      <c r="X141">
        <f>IF($T141="",N($X140),IF(MATCH($T141,$T$6:$T$6005,0)=ROW()-5,N($X140)+1,N($X140)))</f>
        <v/>
      </c>
      <c r="Z141">
        <f>IF($V141="","",IF($AA141&gt;N($AA140),$AA141,""))</f>
        <v/>
      </c>
      <c r="AA141">
        <f>IF($V141="",N($AA140),IF(MATCH($V141,$V$6:$V$6005,0)=ROW()-5,N($AA140)+1,N($AA140)))</f>
        <v/>
      </c>
    </row>
    <row r="142" ht="21" customHeight="1" s="66">
      <c r="A142" s="56" t="n"/>
      <c r="B142" s="57" t="n"/>
      <c r="C142" s="57" t="n"/>
      <c r="D142" s="57" t="n"/>
      <c r="E142" s="56" t="n"/>
      <c r="F142" s="57" t="n"/>
      <c r="G142" s="57" t="n"/>
      <c r="H142" s="56" t="n"/>
      <c r="I142" s="56" t="n"/>
      <c r="J142" s="58" t="n"/>
      <c r="K142" s="58" t="n"/>
      <c r="L142" s="13">
        <f>IF(OR($A142="",AND($J142="",$K142="")),"",ROUND(N($J142)-N($K142),2))</f>
        <v/>
      </c>
      <c r="M142" s="13">
        <f>IF(OR($A142="",AND($J142="",$K142="")),"",MIN($J142,$K142))</f>
        <v/>
      </c>
      <c r="Q142">
        <f>IF($A142="","",$D142&amp;"("&amp;SUBSTITUTE($E142," ","")&amp;")")</f>
        <v/>
      </c>
      <c r="R142">
        <f>IF($A142="","",$B142&amp;" - "&amp;$C142)</f>
        <v/>
      </c>
      <c r="S142">
        <f>IF($A142="","",$R142&amp;"|"&amp;$Q142)</f>
        <v/>
      </c>
      <c r="T142">
        <f>IF($A142="","",$S142&amp;"|"&amp;$F142)</f>
        <v/>
      </c>
      <c r="U142">
        <f>IF($A142="","",$R142&amp;"("&amp;$E142&amp;")")</f>
        <v/>
      </c>
      <c r="V142">
        <f>IF($A142="","",$F142&amp;"|"&amp;$U142&amp;"|"&amp;$D142)</f>
        <v/>
      </c>
      <c r="W142">
        <f>IF($T142="","",IF($X142&gt;N($X141),$X142,""))</f>
        <v/>
      </c>
      <c r="X142">
        <f>IF($T142="",N($X141),IF(MATCH($T142,$T$6:$T$6005,0)=ROW()-5,N($X141)+1,N($X141)))</f>
        <v/>
      </c>
      <c r="Z142">
        <f>IF($V142="","",IF($AA142&gt;N($AA141),$AA142,""))</f>
        <v/>
      </c>
      <c r="AA142">
        <f>IF($V142="",N($AA141),IF(MATCH($V142,$V$6:$V$6005,0)=ROW()-5,N($AA141)+1,N($AA141)))</f>
        <v/>
      </c>
    </row>
    <row r="143" ht="21" customHeight="1" s="66">
      <c r="A143" s="56" t="n"/>
      <c r="B143" s="57" t="n"/>
      <c r="C143" s="57" t="n"/>
      <c r="D143" s="57" t="n"/>
      <c r="E143" s="56" t="n"/>
      <c r="F143" s="57" t="n"/>
      <c r="G143" s="57" t="n"/>
      <c r="H143" s="56" t="n"/>
      <c r="I143" s="56" t="n"/>
      <c r="J143" s="58" t="n"/>
      <c r="K143" s="58" t="n"/>
      <c r="L143" s="13">
        <f>IF(OR($A143="",AND($J143="",$K143="")),"",ROUND(N($J143)-N($K143),2))</f>
        <v/>
      </c>
      <c r="M143" s="13">
        <f>IF(OR($A143="",AND($J143="",$K143="")),"",MIN($J143,$K143))</f>
        <v/>
      </c>
      <c r="Q143">
        <f>IF($A143="","",$D143&amp;"("&amp;SUBSTITUTE($E143," ","")&amp;")")</f>
        <v/>
      </c>
      <c r="R143">
        <f>IF($A143="","",$B143&amp;" - "&amp;$C143)</f>
        <v/>
      </c>
      <c r="S143">
        <f>IF($A143="","",$R143&amp;"|"&amp;$Q143)</f>
        <v/>
      </c>
      <c r="T143">
        <f>IF($A143="","",$S143&amp;"|"&amp;$F143)</f>
        <v/>
      </c>
      <c r="U143">
        <f>IF($A143="","",$R143&amp;"("&amp;$E143&amp;")")</f>
        <v/>
      </c>
      <c r="V143">
        <f>IF($A143="","",$F143&amp;"|"&amp;$U143&amp;"|"&amp;$D143)</f>
        <v/>
      </c>
      <c r="W143">
        <f>IF($T143="","",IF($X143&gt;N($X142),$X143,""))</f>
        <v/>
      </c>
      <c r="X143">
        <f>IF($T143="",N($X142),IF(MATCH($T143,$T$6:$T$6005,0)=ROW()-5,N($X142)+1,N($X142)))</f>
        <v/>
      </c>
      <c r="Z143">
        <f>IF($V143="","",IF($AA143&gt;N($AA142),$AA143,""))</f>
        <v/>
      </c>
      <c r="AA143">
        <f>IF($V143="",N($AA142),IF(MATCH($V143,$V$6:$V$6005,0)=ROW()-5,N($AA142)+1,N($AA142)))</f>
        <v/>
      </c>
    </row>
    <row r="144" ht="21" customHeight="1" s="66">
      <c r="A144" s="56" t="n"/>
      <c r="B144" s="57" t="n"/>
      <c r="C144" s="57" t="n"/>
      <c r="D144" s="57" t="n"/>
      <c r="E144" s="56" t="n"/>
      <c r="F144" s="57" t="n"/>
      <c r="G144" s="57" t="n"/>
      <c r="H144" s="56" t="n"/>
      <c r="I144" s="56" t="n"/>
      <c r="J144" s="58" t="n"/>
      <c r="K144" s="58" t="n"/>
      <c r="L144" s="13">
        <f>IF(OR($A144="",AND($J144="",$K144="")),"",ROUND(N($J144)-N($K144),2))</f>
        <v/>
      </c>
      <c r="M144" s="13">
        <f>IF(OR($A144="",AND($J144="",$K144="")),"",MIN($J144,$K144))</f>
        <v/>
      </c>
      <c r="Q144">
        <f>IF($A144="","",$D144&amp;"("&amp;SUBSTITUTE($E144," ","")&amp;")")</f>
        <v/>
      </c>
      <c r="R144">
        <f>IF($A144="","",$B144&amp;" - "&amp;$C144)</f>
        <v/>
      </c>
      <c r="S144">
        <f>IF($A144="","",$R144&amp;"|"&amp;$Q144)</f>
        <v/>
      </c>
      <c r="T144">
        <f>IF($A144="","",$S144&amp;"|"&amp;$F144)</f>
        <v/>
      </c>
      <c r="U144">
        <f>IF($A144="","",$R144&amp;"("&amp;$E144&amp;")")</f>
        <v/>
      </c>
      <c r="V144">
        <f>IF($A144="","",$F144&amp;"|"&amp;$U144&amp;"|"&amp;$D144)</f>
        <v/>
      </c>
      <c r="W144">
        <f>IF($T144="","",IF($X144&gt;N($X143),$X144,""))</f>
        <v/>
      </c>
      <c r="X144">
        <f>IF($T144="",N($X143),IF(MATCH($T144,$T$6:$T$6005,0)=ROW()-5,N($X143)+1,N($X143)))</f>
        <v/>
      </c>
      <c r="Z144">
        <f>IF($V144="","",IF($AA144&gt;N($AA143),$AA144,""))</f>
        <v/>
      </c>
      <c r="AA144">
        <f>IF($V144="",N($AA143),IF(MATCH($V144,$V$6:$V$6005,0)=ROW()-5,N($AA143)+1,N($AA143)))</f>
        <v/>
      </c>
    </row>
    <row r="145" ht="21" customHeight="1" s="66">
      <c r="A145" s="56" t="n"/>
      <c r="B145" s="57" t="n"/>
      <c r="C145" s="57" t="n"/>
      <c r="D145" s="57" t="n"/>
      <c r="E145" s="56" t="n"/>
      <c r="F145" s="57" t="n"/>
      <c r="G145" s="57" t="n"/>
      <c r="H145" s="56" t="n"/>
      <c r="I145" s="56" t="n"/>
      <c r="J145" s="58" t="n"/>
      <c r="K145" s="58" t="n"/>
      <c r="L145" s="13">
        <f>IF(OR($A145="",AND($J145="",$K145="")),"",ROUND(N($J145)-N($K145),2))</f>
        <v/>
      </c>
      <c r="M145" s="13">
        <f>IF(OR($A145="",AND($J145="",$K145="")),"",MIN($J145,$K145))</f>
        <v/>
      </c>
      <c r="Q145">
        <f>IF($A145="","",$D145&amp;"("&amp;SUBSTITUTE($E145," ","")&amp;")")</f>
        <v/>
      </c>
      <c r="R145">
        <f>IF($A145="","",$B145&amp;" - "&amp;$C145)</f>
        <v/>
      </c>
      <c r="S145">
        <f>IF($A145="","",$R145&amp;"|"&amp;$Q145)</f>
        <v/>
      </c>
      <c r="T145">
        <f>IF($A145="","",$S145&amp;"|"&amp;$F145)</f>
        <v/>
      </c>
      <c r="U145">
        <f>IF($A145="","",$R145&amp;"("&amp;$E145&amp;")")</f>
        <v/>
      </c>
      <c r="V145">
        <f>IF($A145="","",$F145&amp;"|"&amp;$U145&amp;"|"&amp;$D145)</f>
        <v/>
      </c>
      <c r="W145">
        <f>IF($T145="","",IF($X145&gt;N($X144),$X145,""))</f>
        <v/>
      </c>
      <c r="X145">
        <f>IF($T145="",N($X144),IF(MATCH($T145,$T$6:$T$6005,0)=ROW()-5,N($X144)+1,N($X144)))</f>
        <v/>
      </c>
      <c r="Z145">
        <f>IF($V145="","",IF($AA145&gt;N($AA144),$AA145,""))</f>
        <v/>
      </c>
      <c r="AA145">
        <f>IF($V145="",N($AA144),IF(MATCH($V145,$V$6:$V$6005,0)=ROW()-5,N($AA144)+1,N($AA144)))</f>
        <v/>
      </c>
    </row>
    <row r="146" ht="21" customHeight="1" s="66">
      <c r="A146" s="56" t="n"/>
      <c r="B146" s="57" t="n"/>
      <c r="C146" s="57" t="n"/>
      <c r="D146" s="57" t="n"/>
      <c r="E146" s="56" t="n"/>
      <c r="F146" s="57" t="n"/>
      <c r="G146" s="57" t="n"/>
      <c r="H146" s="56" t="n"/>
      <c r="I146" s="56" t="n"/>
      <c r="J146" s="58" t="n"/>
      <c r="K146" s="58" t="n"/>
      <c r="L146" s="13">
        <f>IF(OR($A146="",AND($J146="",$K146="")),"",ROUND(N($J146)-N($K146),2))</f>
        <v/>
      </c>
      <c r="M146" s="13">
        <f>IF(OR($A146="",AND($J146="",$K146="")),"",MIN($J146,$K146))</f>
        <v/>
      </c>
      <c r="Q146">
        <f>IF($A146="","",$D146&amp;"("&amp;SUBSTITUTE($E146," ","")&amp;")")</f>
        <v/>
      </c>
      <c r="R146">
        <f>IF($A146="","",$B146&amp;" - "&amp;$C146)</f>
        <v/>
      </c>
      <c r="S146">
        <f>IF($A146="","",$R146&amp;"|"&amp;$Q146)</f>
        <v/>
      </c>
      <c r="T146">
        <f>IF($A146="","",$S146&amp;"|"&amp;$F146)</f>
        <v/>
      </c>
      <c r="U146">
        <f>IF($A146="","",$R146&amp;"("&amp;$E146&amp;")")</f>
        <v/>
      </c>
      <c r="V146">
        <f>IF($A146="","",$F146&amp;"|"&amp;$U146&amp;"|"&amp;$D146)</f>
        <v/>
      </c>
      <c r="W146">
        <f>IF($T146="","",IF($X146&gt;N($X145),$X146,""))</f>
        <v/>
      </c>
      <c r="X146">
        <f>IF($T146="",N($X145),IF(MATCH($T146,$T$6:$T$6005,0)=ROW()-5,N($X145)+1,N($X145)))</f>
        <v/>
      </c>
      <c r="Z146">
        <f>IF($V146="","",IF($AA146&gt;N($AA145),$AA146,""))</f>
        <v/>
      </c>
      <c r="AA146">
        <f>IF($V146="",N($AA145),IF(MATCH($V146,$V$6:$V$6005,0)=ROW()-5,N($AA145)+1,N($AA145)))</f>
        <v/>
      </c>
    </row>
    <row r="147" ht="21" customHeight="1" s="66">
      <c r="A147" s="56" t="n"/>
      <c r="B147" s="57" t="n"/>
      <c r="C147" s="57" t="n"/>
      <c r="D147" s="57" t="n"/>
      <c r="E147" s="56" t="n"/>
      <c r="F147" s="57" t="n"/>
      <c r="G147" s="57" t="n"/>
      <c r="H147" s="56" t="n"/>
      <c r="I147" s="56" t="n"/>
      <c r="J147" s="58" t="n"/>
      <c r="K147" s="58" t="n"/>
      <c r="L147" s="13">
        <f>IF(OR($A147="",AND($J147="",$K147="")),"",ROUND(N($J147)-N($K147),2))</f>
        <v/>
      </c>
      <c r="M147" s="13">
        <f>IF(OR($A147="",AND($J147="",$K147="")),"",MIN($J147,$K147))</f>
        <v/>
      </c>
      <c r="Q147">
        <f>IF($A147="","",$D147&amp;"("&amp;SUBSTITUTE($E147," ","")&amp;")")</f>
        <v/>
      </c>
      <c r="R147">
        <f>IF($A147="","",$B147&amp;" - "&amp;$C147)</f>
        <v/>
      </c>
      <c r="S147">
        <f>IF($A147="","",$R147&amp;"|"&amp;$Q147)</f>
        <v/>
      </c>
      <c r="T147">
        <f>IF($A147="","",$S147&amp;"|"&amp;$F147)</f>
        <v/>
      </c>
      <c r="U147">
        <f>IF($A147="","",$R147&amp;"("&amp;$E147&amp;")")</f>
        <v/>
      </c>
      <c r="V147">
        <f>IF($A147="","",$F147&amp;"|"&amp;$U147&amp;"|"&amp;$D147)</f>
        <v/>
      </c>
      <c r="W147">
        <f>IF($T147="","",IF($X147&gt;N($X146),$X147,""))</f>
        <v/>
      </c>
      <c r="X147">
        <f>IF($T147="",N($X146),IF(MATCH($T147,$T$6:$T$6005,0)=ROW()-5,N($X146)+1,N($X146)))</f>
        <v/>
      </c>
      <c r="Z147">
        <f>IF($V147="","",IF($AA147&gt;N($AA146),$AA147,""))</f>
        <v/>
      </c>
      <c r="AA147">
        <f>IF($V147="",N($AA146),IF(MATCH($V147,$V$6:$V$6005,0)=ROW()-5,N($AA146)+1,N($AA146)))</f>
        <v/>
      </c>
    </row>
    <row r="148" ht="21" customHeight="1" s="66">
      <c r="A148" s="56" t="n"/>
      <c r="B148" s="57" t="n"/>
      <c r="C148" s="57" t="n"/>
      <c r="D148" s="57" t="n"/>
      <c r="E148" s="56" t="n"/>
      <c r="F148" s="57" t="n"/>
      <c r="G148" s="57" t="n"/>
      <c r="H148" s="56" t="n"/>
      <c r="I148" s="56" t="n"/>
      <c r="J148" s="58" t="n"/>
      <c r="K148" s="58" t="n"/>
      <c r="L148" s="13">
        <f>IF(OR($A148="",AND($J148="",$K148="")),"",ROUND(N($J148)-N($K148),2))</f>
        <v/>
      </c>
      <c r="M148" s="13">
        <f>IF(OR($A148="",AND($J148="",$K148="")),"",MIN($J148,$K148))</f>
        <v/>
      </c>
      <c r="Q148">
        <f>IF($A148="","",$D148&amp;"("&amp;SUBSTITUTE($E148," ","")&amp;")")</f>
        <v/>
      </c>
      <c r="R148">
        <f>IF($A148="","",$B148&amp;" - "&amp;$C148)</f>
        <v/>
      </c>
      <c r="S148">
        <f>IF($A148="","",$R148&amp;"|"&amp;$Q148)</f>
        <v/>
      </c>
      <c r="T148">
        <f>IF($A148="","",$S148&amp;"|"&amp;$F148)</f>
        <v/>
      </c>
      <c r="U148">
        <f>IF($A148="","",$R148&amp;"("&amp;$E148&amp;")")</f>
        <v/>
      </c>
      <c r="V148">
        <f>IF($A148="","",$F148&amp;"|"&amp;$U148&amp;"|"&amp;$D148)</f>
        <v/>
      </c>
      <c r="W148">
        <f>IF($T148="","",IF($X148&gt;N($X147),$X148,""))</f>
        <v/>
      </c>
      <c r="X148">
        <f>IF($T148="",N($X147),IF(MATCH($T148,$T$6:$T$6005,0)=ROW()-5,N($X147)+1,N($X147)))</f>
        <v/>
      </c>
      <c r="Z148">
        <f>IF($V148="","",IF($AA148&gt;N($AA147),$AA148,""))</f>
        <v/>
      </c>
      <c r="AA148">
        <f>IF($V148="",N($AA147),IF(MATCH($V148,$V$6:$V$6005,0)=ROW()-5,N($AA147)+1,N($AA147)))</f>
        <v/>
      </c>
    </row>
    <row r="149" ht="21" customHeight="1" s="66">
      <c r="A149" s="56" t="n"/>
      <c r="B149" s="57" t="n"/>
      <c r="C149" s="57" t="n"/>
      <c r="D149" s="57" t="n"/>
      <c r="E149" s="56" t="n"/>
      <c r="F149" s="57" t="n"/>
      <c r="G149" s="57" t="n"/>
      <c r="H149" s="56" t="n"/>
      <c r="I149" s="56" t="n"/>
      <c r="J149" s="58" t="n"/>
      <c r="K149" s="58" t="n"/>
      <c r="L149" s="13">
        <f>IF(OR($A149="",AND($J149="",$K149="")),"",ROUND(N($J149)-N($K149),2))</f>
        <v/>
      </c>
      <c r="M149" s="13">
        <f>IF(OR($A149="",AND($J149="",$K149="")),"",MIN($J149,$K149))</f>
        <v/>
      </c>
      <c r="Q149">
        <f>IF($A149="","",$D149&amp;"("&amp;SUBSTITUTE($E149," ","")&amp;")")</f>
        <v/>
      </c>
      <c r="R149">
        <f>IF($A149="","",$B149&amp;" - "&amp;$C149)</f>
        <v/>
      </c>
      <c r="S149">
        <f>IF($A149="","",$R149&amp;"|"&amp;$Q149)</f>
        <v/>
      </c>
      <c r="T149">
        <f>IF($A149="","",$S149&amp;"|"&amp;$F149)</f>
        <v/>
      </c>
      <c r="U149">
        <f>IF($A149="","",$R149&amp;"("&amp;$E149&amp;")")</f>
        <v/>
      </c>
      <c r="V149">
        <f>IF($A149="","",$F149&amp;"|"&amp;$U149&amp;"|"&amp;$D149)</f>
        <v/>
      </c>
      <c r="W149">
        <f>IF($T149="","",IF($X149&gt;N($X148),$X149,""))</f>
        <v/>
      </c>
      <c r="X149">
        <f>IF($T149="",N($X148),IF(MATCH($T149,$T$6:$T$6005,0)=ROW()-5,N($X148)+1,N($X148)))</f>
        <v/>
      </c>
      <c r="Z149">
        <f>IF($V149="","",IF($AA149&gt;N($AA148),$AA149,""))</f>
        <v/>
      </c>
      <c r="AA149">
        <f>IF($V149="",N($AA148),IF(MATCH($V149,$V$6:$V$6005,0)=ROW()-5,N($AA148)+1,N($AA148)))</f>
        <v/>
      </c>
    </row>
    <row r="150" ht="21" customHeight="1" s="66">
      <c r="A150" s="56" t="n"/>
      <c r="B150" s="57" t="n"/>
      <c r="C150" s="57" t="n"/>
      <c r="D150" s="57" t="n"/>
      <c r="E150" s="56" t="n"/>
      <c r="F150" s="57" t="n"/>
      <c r="G150" s="57" t="n"/>
      <c r="H150" s="56" t="n"/>
      <c r="I150" s="56" t="n"/>
      <c r="J150" s="58" t="n"/>
      <c r="K150" s="58" t="n"/>
      <c r="L150" s="13">
        <f>IF(OR($A150="",AND($J150="",$K150="")),"",ROUND(N($J150)-N($K150),2))</f>
        <v/>
      </c>
      <c r="M150" s="13">
        <f>IF(OR($A150="",AND($J150="",$K150="")),"",MIN($J150,$K150))</f>
        <v/>
      </c>
      <c r="Q150">
        <f>IF($A150="","",$D150&amp;"("&amp;SUBSTITUTE($E150," ","")&amp;")")</f>
        <v/>
      </c>
      <c r="R150">
        <f>IF($A150="","",$B150&amp;" - "&amp;$C150)</f>
        <v/>
      </c>
      <c r="S150">
        <f>IF($A150="","",$R150&amp;"|"&amp;$Q150)</f>
        <v/>
      </c>
      <c r="T150">
        <f>IF($A150="","",$S150&amp;"|"&amp;$F150)</f>
        <v/>
      </c>
      <c r="U150">
        <f>IF($A150="","",$R150&amp;"("&amp;$E150&amp;")")</f>
        <v/>
      </c>
      <c r="V150">
        <f>IF($A150="","",$F150&amp;"|"&amp;$U150&amp;"|"&amp;$D150)</f>
        <v/>
      </c>
      <c r="W150">
        <f>IF($T150="","",IF($X150&gt;N($X149),$X150,""))</f>
        <v/>
      </c>
      <c r="X150">
        <f>IF($T150="",N($X149),IF(MATCH($T150,$T$6:$T$6005,0)=ROW()-5,N($X149)+1,N($X149)))</f>
        <v/>
      </c>
      <c r="Z150">
        <f>IF($V150="","",IF($AA150&gt;N($AA149),$AA150,""))</f>
        <v/>
      </c>
      <c r="AA150">
        <f>IF($V150="",N($AA149),IF(MATCH($V150,$V$6:$V$6005,0)=ROW()-5,N($AA149)+1,N($AA149)))</f>
        <v/>
      </c>
    </row>
    <row r="151" ht="21" customHeight="1" s="66">
      <c r="A151" s="56" t="n"/>
      <c r="B151" s="57" t="n"/>
      <c r="C151" s="57" t="n"/>
      <c r="D151" s="57" t="n"/>
      <c r="E151" s="56" t="n"/>
      <c r="F151" s="57" t="n"/>
      <c r="G151" s="57" t="n"/>
      <c r="H151" s="56" t="n"/>
      <c r="I151" s="56" t="n"/>
      <c r="J151" s="58" t="n"/>
      <c r="K151" s="58" t="n"/>
      <c r="L151" s="13">
        <f>IF(OR($A151="",AND($J151="",$K151="")),"",ROUND(N($J151)-N($K151),2))</f>
        <v/>
      </c>
      <c r="M151" s="13">
        <f>IF(OR($A151="",AND($J151="",$K151="")),"",MIN($J151,$K151))</f>
        <v/>
      </c>
      <c r="Q151">
        <f>IF($A151="","",$D151&amp;"("&amp;SUBSTITUTE($E151," ","")&amp;")")</f>
        <v/>
      </c>
      <c r="R151">
        <f>IF($A151="","",$B151&amp;" - "&amp;$C151)</f>
        <v/>
      </c>
      <c r="S151">
        <f>IF($A151="","",$R151&amp;"|"&amp;$Q151)</f>
        <v/>
      </c>
      <c r="T151">
        <f>IF($A151="","",$S151&amp;"|"&amp;$F151)</f>
        <v/>
      </c>
      <c r="U151">
        <f>IF($A151="","",$R151&amp;"("&amp;$E151&amp;")")</f>
        <v/>
      </c>
      <c r="V151">
        <f>IF($A151="","",$F151&amp;"|"&amp;$U151&amp;"|"&amp;$D151)</f>
        <v/>
      </c>
      <c r="W151">
        <f>IF($T151="","",IF($X151&gt;N($X150),$X151,""))</f>
        <v/>
      </c>
      <c r="X151">
        <f>IF($T151="",N($X150),IF(MATCH($T151,$T$6:$T$6005,0)=ROW()-5,N($X150)+1,N($X150)))</f>
        <v/>
      </c>
      <c r="Z151">
        <f>IF($V151="","",IF($AA151&gt;N($AA150),$AA151,""))</f>
        <v/>
      </c>
      <c r="AA151">
        <f>IF($V151="",N($AA150),IF(MATCH($V151,$V$6:$V$6005,0)=ROW()-5,N($AA150)+1,N($AA150)))</f>
        <v/>
      </c>
    </row>
    <row r="152" ht="21" customHeight="1" s="66">
      <c r="A152" s="56" t="n"/>
      <c r="B152" s="57" t="n"/>
      <c r="C152" s="57" t="n"/>
      <c r="D152" s="57" t="n"/>
      <c r="E152" s="56" t="n"/>
      <c r="F152" s="57" t="n"/>
      <c r="G152" s="57" t="n"/>
      <c r="H152" s="56" t="n"/>
      <c r="I152" s="56" t="n"/>
      <c r="J152" s="58" t="n"/>
      <c r="K152" s="58" t="n"/>
      <c r="L152" s="13">
        <f>IF(OR($A152="",AND($J152="",$K152="")),"",ROUND(N($J152)-N($K152),2))</f>
        <v/>
      </c>
      <c r="M152" s="13">
        <f>IF(OR($A152="",AND($J152="",$K152="")),"",MIN($J152,$K152))</f>
        <v/>
      </c>
      <c r="Q152">
        <f>IF($A152="","",$D152&amp;"("&amp;SUBSTITUTE($E152," ","")&amp;")")</f>
        <v/>
      </c>
      <c r="R152">
        <f>IF($A152="","",$B152&amp;" - "&amp;$C152)</f>
        <v/>
      </c>
      <c r="S152">
        <f>IF($A152="","",$R152&amp;"|"&amp;$Q152)</f>
        <v/>
      </c>
      <c r="T152">
        <f>IF($A152="","",$S152&amp;"|"&amp;$F152)</f>
        <v/>
      </c>
      <c r="U152">
        <f>IF($A152="","",$R152&amp;"("&amp;$E152&amp;")")</f>
        <v/>
      </c>
      <c r="V152">
        <f>IF($A152="","",$F152&amp;"|"&amp;$U152&amp;"|"&amp;$D152)</f>
        <v/>
      </c>
      <c r="W152">
        <f>IF($T152="","",IF($X152&gt;N($X151),$X152,""))</f>
        <v/>
      </c>
      <c r="X152">
        <f>IF($T152="",N($X151),IF(MATCH($T152,$T$6:$T$6005,0)=ROW()-5,N($X151)+1,N($X151)))</f>
        <v/>
      </c>
      <c r="Z152">
        <f>IF($V152="","",IF($AA152&gt;N($AA151),$AA152,""))</f>
        <v/>
      </c>
      <c r="AA152">
        <f>IF($V152="",N($AA151),IF(MATCH($V152,$V$6:$V$6005,0)=ROW()-5,N($AA151)+1,N($AA151)))</f>
        <v/>
      </c>
    </row>
    <row r="153" ht="21" customHeight="1" s="66">
      <c r="A153" s="56" t="n"/>
      <c r="B153" s="57" t="n"/>
      <c r="C153" s="57" t="n"/>
      <c r="D153" s="57" t="n"/>
      <c r="E153" s="56" t="n"/>
      <c r="F153" s="57" t="n"/>
      <c r="G153" s="57" t="n"/>
      <c r="H153" s="56" t="n"/>
      <c r="I153" s="56" t="n"/>
      <c r="J153" s="58" t="n"/>
      <c r="K153" s="58" t="n"/>
      <c r="L153" s="13">
        <f>IF(OR($A153="",AND($J153="",$K153="")),"",ROUND(N($J153)-N($K153),2))</f>
        <v/>
      </c>
      <c r="M153" s="13">
        <f>IF(OR($A153="",AND($J153="",$K153="")),"",MIN($J153,$K153))</f>
        <v/>
      </c>
      <c r="Q153">
        <f>IF($A153="","",$D153&amp;"("&amp;SUBSTITUTE($E153," ","")&amp;")")</f>
        <v/>
      </c>
      <c r="R153">
        <f>IF($A153="","",$B153&amp;" - "&amp;$C153)</f>
        <v/>
      </c>
      <c r="S153">
        <f>IF($A153="","",$R153&amp;"|"&amp;$Q153)</f>
        <v/>
      </c>
      <c r="T153">
        <f>IF($A153="","",$S153&amp;"|"&amp;$F153)</f>
        <v/>
      </c>
      <c r="U153">
        <f>IF($A153="","",$R153&amp;"("&amp;$E153&amp;")")</f>
        <v/>
      </c>
      <c r="V153">
        <f>IF($A153="","",$F153&amp;"|"&amp;$U153&amp;"|"&amp;$D153)</f>
        <v/>
      </c>
      <c r="W153">
        <f>IF($T153="","",IF($X153&gt;N($X152),$X153,""))</f>
        <v/>
      </c>
      <c r="X153">
        <f>IF($T153="",N($X152),IF(MATCH($T153,$T$6:$T$6005,0)=ROW()-5,N($X152)+1,N($X152)))</f>
        <v/>
      </c>
      <c r="Z153">
        <f>IF($V153="","",IF($AA153&gt;N($AA152),$AA153,""))</f>
        <v/>
      </c>
      <c r="AA153">
        <f>IF($V153="",N($AA152),IF(MATCH($V153,$V$6:$V$6005,0)=ROW()-5,N($AA152)+1,N($AA152)))</f>
        <v/>
      </c>
    </row>
    <row r="154" ht="21" customHeight="1" s="66">
      <c r="A154" s="56" t="n"/>
      <c r="B154" s="57" t="n"/>
      <c r="C154" s="57" t="n"/>
      <c r="D154" s="57" t="n"/>
      <c r="E154" s="56" t="n"/>
      <c r="F154" s="57" t="n"/>
      <c r="G154" s="57" t="n"/>
      <c r="H154" s="56" t="n"/>
      <c r="I154" s="56" t="n"/>
      <c r="J154" s="58" t="n"/>
      <c r="K154" s="58" t="n"/>
      <c r="L154" s="13">
        <f>IF(OR($A154="",AND($J154="",$K154="")),"",ROUND(N($J154)-N($K154),2))</f>
        <v/>
      </c>
      <c r="M154" s="13">
        <f>IF(OR($A154="",AND($J154="",$K154="")),"",MIN($J154,$K154))</f>
        <v/>
      </c>
      <c r="Q154">
        <f>IF($A154="","",$D154&amp;"("&amp;SUBSTITUTE($E154," ","")&amp;")")</f>
        <v/>
      </c>
      <c r="R154">
        <f>IF($A154="","",$B154&amp;" - "&amp;$C154)</f>
        <v/>
      </c>
      <c r="S154">
        <f>IF($A154="","",$R154&amp;"|"&amp;$Q154)</f>
        <v/>
      </c>
      <c r="T154">
        <f>IF($A154="","",$S154&amp;"|"&amp;$F154)</f>
        <v/>
      </c>
      <c r="U154">
        <f>IF($A154="","",$R154&amp;"("&amp;$E154&amp;")")</f>
        <v/>
      </c>
      <c r="V154">
        <f>IF($A154="","",$F154&amp;"|"&amp;$U154&amp;"|"&amp;$D154)</f>
        <v/>
      </c>
      <c r="W154">
        <f>IF($T154="","",IF($X154&gt;N($X153),$X154,""))</f>
        <v/>
      </c>
      <c r="X154">
        <f>IF($T154="",N($X153),IF(MATCH($T154,$T$6:$T$6005,0)=ROW()-5,N($X153)+1,N($X153)))</f>
        <v/>
      </c>
      <c r="Z154">
        <f>IF($V154="","",IF($AA154&gt;N($AA153),$AA154,""))</f>
        <v/>
      </c>
      <c r="AA154">
        <f>IF($V154="",N($AA153),IF(MATCH($V154,$V$6:$V$6005,0)=ROW()-5,N($AA153)+1,N($AA153)))</f>
        <v/>
      </c>
    </row>
    <row r="155" ht="21" customHeight="1" s="66">
      <c r="A155" s="56" t="n"/>
      <c r="B155" s="57" t="n"/>
      <c r="C155" s="57" t="n"/>
      <c r="D155" s="57" t="n"/>
      <c r="E155" s="56" t="n"/>
      <c r="F155" s="57" t="n"/>
      <c r="G155" s="57" t="n"/>
      <c r="H155" s="56" t="n"/>
      <c r="I155" s="56" t="n"/>
      <c r="J155" s="58" t="n"/>
      <c r="K155" s="58" t="n"/>
      <c r="L155" s="13">
        <f>IF(OR($A155="",AND($J155="",$K155="")),"",ROUND(N($J155)-N($K155),2))</f>
        <v/>
      </c>
      <c r="M155" s="13">
        <f>IF(OR($A155="",AND($J155="",$K155="")),"",MIN($J155,$K155))</f>
        <v/>
      </c>
      <c r="Q155">
        <f>IF($A155="","",$D155&amp;"("&amp;SUBSTITUTE($E155," ","")&amp;")")</f>
        <v/>
      </c>
      <c r="R155">
        <f>IF($A155="","",$B155&amp;" - "&amp;$C155)</f>
        <v/>
      </c>
      <c r="S155">
        <f>IF($A155="","",$R155&amp;"|"&amp;$Q155)</f>
        <v/>
      </c>
      <c r="T155">
        <f>IF($A155="","",$S155&amp;"|"&amp;$F155)</f>
        <v/>
      </c>
      <c r="U155">
        <f>IF($A155="","",$R155&amp;"("&amp;$E155&amp;")")</f>
        <v/>
      </c>
      <c r="V155">
        <f>IF($A155="","",$F155&amp;"|"&amp;$U155&amp;"|"&amp;$D155)</f>
        <v/>
      </c>
      <c r="W155">
        <f>IF($T155="","",IF($X155&gt;N($X154),$X155,""))</f>
        <v/>
      </c>
      <c r="X155">
        <f>IF($T155="",N($X154),IF(MATCH($T155,$T$6:$T$6005,0)=ROW()-5,N($X154)+1,N($X154)))</f>
        <v/>
      </c>
      <c r="Z155">
        <f>IF($V155="","",IF($AA155&gt;N($AA154),$AA155,""))</f>
        <v/>
      </c>
      <c r="AA155">
        <f>IF($V155="",N($AA154),IF(MATCH($V155,$V$6:$V$6005,0)=ROW()-5,N($AA154)+1,N($AA154)))</f>
        <v/>
      </c>
    </row>
    <row r="156" ht="21" customHeight="1" s="66">
      <c r="A156" s="56" t="n"/>
      <c r="B156" s="57" t="n"/>
      <c r="C156" s="57" t="n"/>
      <c r="D156" s="57" t="n"/>
      <c r="E156" s="56" t="n"/>
      <c r="F156" s="57" t="n"/>
      <c r="G156" s="57" t="n"/>
      <c r="H156" s="56" t="n"/>
      <c r="I156" s="56" t="n"/>
      <c r="J156" s="58" t="n"/>
      <c r="K156" s="58" t="n"/>
      <c r="L156" s="13">
        <f>IF(OR($A156="",AND($J156="",$K156="")),"",ROUND(N($J156)-N($K156),2))</f>
        <v/>
      </c>
      <c r="M156" s="13">
        <f>IF(OR($A156="",AND($J156="",$K156="")),"",MIN($J156,$K156))</f>
        <v/>
      </c>
      <c r="Q156">
        <f>IF($A156="","",$D156&amp;"("&amp;SUBSTITUTE($E156," ","")&amp;")")</f>
        <v/>
      </c>
      <c r="R156">
        <f>IF($A156="","",$B156&amp;" - "&amp;$C156)</f>
        <v/>
      </c>
      <c r="S156">
        <f>IF($A156="","",$R156&amp;"|"&amp;$Q156)</f>
        <v/>
      </c>
      <c r="T156">
        <f>IF($A156="","",$S156&amp;"|"&amp;$F156)</f>
        <v/>
      </c>
      <c r="U156">
        <f>IF($A156="","",$R156&amp;"("&amp;$E156&amp;")")</f>
        <v/>
      </c>
      <c r="V156">
        <f>IF($A156="","",$F156&amp;"|"&amp;$U156&amp;"|"&amp;$D156)</f>
        <v/>
      </c>
      <c r="W156">
        <f>IF($T156="","",IF($X156&gt;N($X155),$X156,""))</f>
        <v/>
      </c>
      <c r="X156">
        <f>IF($T156="",N($X155),IF(MATCH($T156,$T$6:$T$6005,0)=ROW()-5,N($X155)+1,N($X155)))</f>
        <v/>
      </c>
      <c r="Z156">
        <f>IF($V156="","",IF($AA156&gt;N($AA155),$AA156,""))</f>
        <v/>
      </c>
      <c r="AA156">
        <f>IF($V156="",N($AA155),IF(MATCH($V156,$V$6:$V$6005,0)=ROW()-5,N($AA155)+1,N($AA155)))</f>
        <v/>
      </c>
    </row>
    <row r="157" ht="21" customHeight="1" s="66">
      <c r="A157" s="56" t="n"/>
      <c r="B157" s="57" t="n"/>
      <c r="C157" s="57" t="n"/>
      <c r="D157" s="57" t="n"/>
      <c r="E157" s="56" t="n"/>
      <c r="F157" s="57" t="n"/>
      <c r="G157" s="57" t="n"/>
      <c r="H157" s="56" t="n"/>
      <c r="I157" s="56" t="n"/>
      <c r="J157" s="58" t="n"/>
      <c r="K157" s="58" t="n"/>
      <c r="L157" s="13">
        <f>IF(OR($A157="",AND($J157="",$K157="")),"",ROUND(N($J157)-N($K157),2))</f>
        <v/>
      </c>
      <c r="M157" s="13">
        <f>IF(OR($A157="",AND($J157="",$K157="")),"",MIN($J157,$K157))</f>
        <v/>
      </c>
      <c r="Q157">
        <f>IF($A157="","",$D157&amp;"("&amp;SUBSTITUTE($E157," ","")&amp;")")</f>
        <v/>
      </c>
      <c r="R157">
        <f>IF($A157="","",$B157&amp;" - "&amp;$C157)</f>
        <v/>
      </c>
      <c r="S157">
        <f>IF($A157="","",$R157&amp;"|"&amp;$Q157)</f>
        <v/>
      </c>
      <c r="T157">
        <f>IF($A157="","",$S157&amp;"|"&amp;$F157)</f>
        <v/>
      </c>
      <c r="U157">
        <f>IF($A157="","",$R157&amp;"("&amp;$E157&amp;")")</f>
        <v/>
      </c>
      <c r="V157">
        <f>IF($A157="","",$F157&amp;"|"&amp;$U157&amp;"|"&amp;$D157)</f>
        <v/>
      </c>
      <c r="W157">
        <f>IF($T157="","",IF($X157&gt;N($X156),$X157,""))</f>
        <v/>
      </c>
      <c r="X157">
        <f>IF($T157="",N($X156),IF(MATCH($T157,$T$6:$T$6005,0)=ROW()-5,N($X156)+1,N($X156)))</f>
        <v/>
      </c>
      <c r="Z157">
        <f>IF($V157="","",IF($AA157&gt;N($AA156),$AA157,""))</f>
        <v/>
      </c>
      <c r="AA157">
        <f>IF($V157="",N($AA156),IF(MATCH($V157,$V$6:$V$6005,0)=ROW()-5,N($AA156)+1,N($AA156)))</f>
        <v/>
      </c>
    </row>
    <row r="158" ht="21" customHeight="1" s="66">
      <c r="A158" s="56" t="n"/>
      <c r="B158" s="57" t="n"/>
      <c r="C158" s="57" t="n"/>
      <c r="D158" s="57" t="n"/>
      <c r="E158" s="56" t="n"/>
      <c r="F158" s="57" t="n"/>
      <c r="G158" s="57" t="n"/>
      <c r="H158" s="56" t="n"/>
      <c r="I158" s="56" t="n"/>
      <c r="J158" s="58" t="n"/>
      <c r="K158" s="58" t="n"/>
      <c r="L158" s="13">
        <f>IF(OR($A158="",AND($J158="",$K158="")),"",ROUND(N($J158)-N($K158),2))</f>
        <v/>
      </c>
      <c r="M158" s="13">
        <f>IF(OR($A158="",AND($J158="",$K158="")),"",MIN($J158,$K158))</f>
        <v/>
      </c>
      <c r="Q158">
        <f>IF($A158="","",$D158&amp;"("&amp;SUBSTITUTE($E158," ","")&amp;")")</f>
        <v/>
      </c>
      <c r="R158">
        <f>IF($A158="","",$B158&amp;" - "&amp;$C158)</f>
        <v/>
      </c>
      <c r="S158">
        <f>IF($A158="","",$R158&amp;"|"&amp;$Q158)</f>
        <v/>
      </c>
      <c r="T158">
        <f>IF($A158="","",$S158&amp;"|"&amp;$F158)</f>
        <v/>
      </c>
      <c r="U158">
        <f>IF($A158="","",$R158&amp;"("&amp;$E158&amp;")")</f>
        <v/>
      </c>
      <c r="V158">
        <f>IF($A158="","",$F158&amp;"|"&amp;$U158&amp;"|"&amp;$D158)</f>
        <v/>
      </c>
      <c r="W158">
        <f>IF($T158="","",IF($X158&gt;N($X157),$X158,""))</f>
        <v/>
      </c>
      <c r="X158">
        <f>IF($T158="",N($X157),IF(MATCH($T158,$T$6:$T$6005,0)=ROW()-5,N($X157)+1,N($X157)))</f>
        <v/>
      </c>
      <c r="Z158">
        <f>IF($V158="","",IF($AA158&gt;N($AA157),$AA158,""))</f>
        <v/>
      </c>
      <c r="AA158">
        <f>IF($V158="",N($AA157),IF(MATCH($V158,$V$6:$V$6005,0)=ROW()-5,N($AA157)+1,N($AA157)))</f>
        <v/>
      </c>
    </row>
    <row r="159" ht="21" customHeight="1" s="66">
      <c r="A159" s="56" t="n"/>
      <c r="B159" s="57" t="n"/>
      <c r="C159" s="57" t="n"/>
      <c r="D159" s="57" t="n"/>
      <c r="E159" s="56" t="n"/>
      <c r="F159" s="57" t="n"/>
      <c r="G159" s="57" t="n"/>
      <c r="H159" s="56" t="n"/>
      <c r="I159" s="56" t="n"/>
      <c r="J159" s="58" t="n"/>
      <c r="K159" s="58" t="n"/>
      <c r="L159" s="13">
        <f>IF(OR($A159="",AND($J159="",$K159="")),"",ROUND(N($J159)-N($K159),2))</f>
        <v/>
      </c>
      <c r="M159" s="13">
        <f>IF(OR($A159="",AND($J159="",$K159="")),"",MIN($J159,$K159))</f>
        <v/>
      </c>
      <c r="Q159">
        <f>IF($A159="","",$D159&amp;"("&amp;SUBSTITUTE($E159," ","")&amp;")")</f>
        <v/>
      </c>
      <c r="R159">
        <f>IF($A159="","",$B159&amp;" - "&amp;$C159)</f>
        <v/>
      </c>
      <c r="S159">
        <f>IF($A159="","",$R159&amp;"|"&amp;$Q159)</f>
        <v/>
      </c>
      <c r="T159">
        <f>IF($A159="","",$S159&amp;"|"&amp;$F159)</f>
        <v/>
      </c>
      <c r="U159">
        <f>IF($A159="","",$R159&amp;"("&amp;$E159&amp;")")</f>
        <v/>
      </c>
      <c r="V159">
        <f>IF($A159="","",$F159&amp;"|"&amp;$U159&amp;"|"&amp;$D159)</f>
        <v/>
      </c>
      <c r="W159">
        <f>IF($T159="","",IF($X159&gt;N($X158),$X159,""))</f>
        <v/>
      </c>
      <c r="X159">
        <f>IF($T159="",N($X158),IF(MATCH($T159,$T$6:$T$6005,0)=ROW()-5,N($X158)+1,N($X158)))</f>
        <v/>
      </c>
      <c r="Z159">
        <f>IF($V159="","",IF($AA159&gt;N($AA158),$AA159,""))</f>
        <v/>
      </c>
      <c r="AA159">
        <f>IF($V159="",N($AA158),IF(MATCH($V159,$V$6:$V$6005,0)=ROW()-5,N($AA158)+1,N($AA158)))</f>
        <v/>
      </c>
    </row>
    <row r="160" ht="21" customHeight="1" s="66">
      <c r="A160" s="56" t="n"/>
      <c r="B160" s="57" t="n"/>
      <c r="C160" s="57" t="n"/>
      <c r="D160" s="57" t="n"/>
      <c r="E160" s="56" t="n"/>
      <c r="F160" s="57" t="n"/>
      <c r="G160" s="57" t="n"/>
      <c r="H160" s="56" t="n"/>
      <c r="I160" s="56" t="n"/>
      <c r="J160" s="58" t="n"/>
      <c r="K160" s="58" t="n"/>
      <c r="L160" s="13">
        <f>IF(OR($A160="",AND($J160="",$K160="")),"",ROUND(N($J160)-N($K160),2))</f>
        <v/>
      </c>
      <c r="M160" s="13">
        <f>IF(OR($A160="",AND($J160="",$K160="")),"",MIN($J160,$K160))</f>
        <v/>
      </c>
      <c r="Q160">
        <f>IF($A160="","",$D160&amp;"("&amp;SUBSTITUTE($E160," ","")&amp;")")</f>
        <v/>
      </c>
      <c r="R160">
        <f>IF($A160="","",$B160&amp;" - "&amp;$C160)</f>
        <v/>
      </c>
      <c r="S160">
        <f>IF($A160="","",$R160&amp;"|"&amp;$Q160)</f>
        <v/>
      </c>
      <c r="T160">
        <f>IF($A160="","",$S160&amp;"|"&amp;$F160)</f>
        <v/>
      </c>
      <c r="U160">
        <f>IF($A160="","",$R160&amp;"("&amp;$E160&amp;")")</f>
        <v/>
      </c>
      <c r="V160">
        <f>IF($A160="","",$F160&amp;"|"&amp;$U160&amp;"|"&amp;$D160)</f>
        <v/>
      </c>
      <c r="W160">
        <f>IF($T160="","",IF($X160&gt;N($X159),$X160,""))</f>
        <v/>
      </c>
      <c r="X160">
        <f>IF($T160="",N($X159),IF(MATCH($T160,$T$6:$T$6005,0)=ROW()-5,N($X159)+1,N($X159)))</f>
        <v/>
      </c>
      <c r="Z160">
        <f>IF($V160="","",IF($AA160&gt;N($AA159),$AA160,""))</f>
        <v/>
      </c>
      <c r="AA160">
        <f>IF($V160="",N($AA159),IF(MATCH($V160,$V$6:$V$6005,0)=ROW()-5,N($AA159)+1,N($AA159)))</f>
        <v/>
      </c>
    </row>
    <row r="161" ht="21" customHeight="1" s="66">
      <c r="A161" s="56" t="n"/>
      <c r="B161" s="57" t="n"/>
      <c r="C161" s="57" t="n"/>
      <c r="D161" s="57" t="n"/>
      <c r="E161" s="56" t="n"/>
      <c r="F161" s="57" t="n"/>
      <c r="G161" s="57" t="n"/>
      <c r="H161" s="56" t="n"/>
      <c r="I161" s="56" t="n"/>
      <c r="J161" s="58" t="n"/>
      <c r="K161" s="58" t="n"/>
      <c r="L161" s="13">
        <f>IF(OR($A161="",AND($J161="",$K161="")),"",ROUND(N($J161)-N($K161),2))</f>
        <v/>
      </c>
      <c r="M161" s="13">
        <f>IF(OR($A161="",AND($J161="",$K161="")),"",MIN($J161,$K161))</f>
        <v/>
      </c>
      <c r="Q161">
        <f>IF($A161="","",$D161&amp;"("&amp;SUBSTITUTE($E161," ","")&amp;")")</f>
        <v/>
      </c>
      <c r="R161">
        <f>IF($A161="","",$B161&amp;" - "&amp;$C161)</f>
        <v/>
      </c>
      <c r="S161">
        <f>IF($A161="","",$R161&amp;"|"&amp;$Q161)</f>
        <v/>
      </c>
      <c r="T161">
        <f>IF($A161="","",$S161&amp;"|"&amp;$F161)</f>
        <v/>
      </c>
      <c r="U161">
        <f>IF($A161="","",$R161&amp;"("&amp;$E161&amp;")")</f>
        <v/>
      </c>
      <c r="V161">
        <f>IF($A161="","",$F161&amp;"|"&amp;$U161&amp;"|"&amp;$D161)</f>
        <v/>
      </c>
      <c r="W161">
        <f>IF($T161="","",IF($X161&gt;N($X160),$X161,""))</f>
        <v/>
      </c>
      <c r="X161">
        <f>IF($T161="",N($X160),IF(MATCH($T161,$T$6:$T$6005,0)=ROW()-5,N($X160)+1,N($X160)))</f>
        <v/>
      </c>
      <c r="Z161">
        <f>IF($V161="","",IF($AA161&gt;N($AA160),$AA161,""))</f>
        <v/>
      </c>
      <c r="AA161">
        <f>IF($V161="",N($AA160),IF(MATCH($V161,$V$6:$V$6005,0)=ROW()-5,N($AA160)+1,N($AA160)))</f>
        <v/>
      </c>
    </row>
    <row r="162" ht="21" customHeight="1" s="66">
      <c r="A162" s="56" t="n"/>
      <c r="B162" s="57" t="n"/>
      <c r="C162" s="57" t="n"/>
      <c r="D162" s="57" t="n"/>
      <c r="E162" s="56" t="n"/>
      <c r="F162" s="57" t="n"/>
      <c r="G162" s="57" t="n"/>
      <c r="H162" s="56" t="n"/>
      <c r="I162" s="56" t="n"/>
      <c r="J162" s="58" t="n"/>
      <c r="K162" s="58" t="n"/>
      <c r="L162" s="13">
        <f>IF(OR($A162="",AND($J162="",$K162="")),"",ROUND(N($J162)-N($K162),2))</f>
        <v/>
      </c>
      <c r="M162" s="13">
        <f>IF(OR($A162="",AND($J162="",$K162="")),"",MIN($J162,$K162))</f>
        <v/>
      </c>
      <c r="Q162">
        <f>IF($A162="","",$D162&amp;"("&amp;SUBSTITUTE($E162," ","")&amp;")")</f>
        <v/>
      </c>
      <c r="R162">
        <f>IF($A162="","",$B162&amp;" - "&amp;$C162)</f>
        <v/>
      </c>
      <c r="S162">
        <f>IF($A162="","",$R162&amp;"|"&amp;$Q162)</f>
        <v/>
      </c>
      <c r="T162">
        <f>IF($A162="","",$S162&amp;"|"&amp;$F162)</f>
        <v/>
      </c>
      <c r="U162">
        <f>IF($A162="","",$R162&amp;"("&amp;$E162&amp;")")</f>
        <v/>
      </c>
      <c r="V162">
        <f>IF($A162="","",$F162&amp;"|"&amp;$U162&amp;"|"&amp;$D162)</f>
        <v/>
      </c>
      <c r="W162">
        <f>IF($T162="","",IF($X162&gt;N($X161),$X162,""))</f>
        <v/>
      </c>
      <c r="X162">
        <f>IF($T162="",N($X161),IF(MATCH($T162,$T$6:$T$6005,0)=ROW()-5,N($X161)+1,N($X161)))</f>
        <v/>
      </c>
      <c r="Z162">
        <f>IF($V162="","",IF($AA162&gt;N($AA161),$AA162,""))</f>
        <v/>
      </c>
      <c r="AA162">
        <f>IF($V162="",N($AA161),IF(MATCH($V162,$V$6:$V$6005,0)=ROW()-5,N($AA161)+1,N($AA161)))</f>
        <v/>
      </c>
    </row>
    <row r="163" ht="21" customHeight="1" s="66">
      <c r="A163" s="56" t="n"/>
      <c r="B163" s="57" t="n"/>
      <c r="C163" s="57" t="n"/>
      <c r="D163" s="57" t="n"/>
      <c r="E163" s="56" t="n"/>
      <c r="F163" s="57" t="n"/>
      <c r="G163" s="57" t="n"/>
      <c r="H163" s="56" t="n"/>
      <c r="I163" s="56" t="n"/>
      <c r="J163" s="58" t="n"/>
      <c r="K163" s="58" t="n"/>
      <c r="L163" s="13">
        <f>IF(OR($A163="",AND($J163="",$K163="")),"",ROUND(N($J163)-N($K163),2))</f>
        <v/>
      </c>
      <c r="M163" s="13">
        <f>IF(OR($A163="",AND($J163="",$K163="")),"",MIN($J163,$K163))</f>
        <v/>
      </c>
      <c r="Q163">
        <f>IF($A163="","",$D163&amp;"("&amp;SUBSTITUTE($E163," ","")&amp;")")</f>
        <v/>
      </c>
      <c r="R163">
        <f>IF($A163="","",$B163&amp;" - "&amp;$C163)</f>
        <v/>
      </c>
      <c r="S163">
        <f>IF($A163="","",$R163&amp;"|"&amp;$Q163)</f>
        <v/>
      </c>
      <c r="T163">
        <f>IF($A163="","",$S163&amp;"|"&amp;$F163)</f>
        <v/>
      </c>
      <c r="U163">
        <f>IF($A163="","",$R163&amp;"("&amp;$E163&amp;")")</f>
        <v/>
      </c>
      <c r="V163">
        <f>IF($A163="","",$F163&amp;"|"&amp;$U163&amp;"|"&amp;$D163)</f>
        <v/>
      </c>
      <c r="W163">
        <f>IF($T163="","",IF($X163&gt;N($X162),$X163,""))</f>
        <v/>
      </c>
      <c r="X163">
        <f>IF($T163="",N($X162),IF(MATCH($T163,$T$6:$T$6005,0)=ROW()-5,N($X162)+1,N($X162)))</f>
        <v/>
      </c>
      <c r="Z163">
        <f>IF($V163="","",IF($AA163&gt;N($AA162),$AA163,""))</f>
        <v/>
      </c>
      <c r="AA163">
        <f>IF($V163="",N($AA162),IF(MATCH($V163,$V$6:$V$6005,0)=ROW()-5,N($AA162)+1,N($AA162)))</f>
        <v/>
      </c>
    </row>
    <row r="164" ht="21" customHeight="1" s="66">
      <c r="A164" s="56" t="n"/>
      <c r="B164" s="57" t="n"/>
      <c r="C164" s="57" t="n"/>
      <c r="D164" s="57" t="n"/>
      <c r="E164" s="56" t="n"/>
      <c r="F164" s="57" t="n"/>
      <c r="G164" s="57" t="n"/>
      <c r="H164" s="56" t="n"/>
      <c r="I164" s="56" t="n"/>
      <c r="J164" s="58" t="n"/>
      <c r="K164" s="58" t="n"/>
      <c r="L164" s="13">
        <f>IF(OR($A164="",AND($J164="",$K164="")),"",ROUND(N($J164)-N($K164),2))</f>
        <v/>
      </c>
      <c r="M164" s="13">
        <f>IF(OR($A164="",AND($J164="",$K164="")),"",MIN($J164,$K164))</f>
        <v/>
      </c>
      <c r="Q164">
        <f>IF($A164="","",$D164&amp;"("&amp;SUBSTITUTE($E164," ","")&amp;")")</f>
        <v/>
      </c>
      <c r="R164">
        <f>IF($A164="","",$B164&amp;" - "&amp;$C164)</f>
        <v/>
      </c>
      <c r="S164">
        <f>IF($A164="","",$R164&amp;"|"&amp;$Q164)</f>
        <v/>
      </c>
      <c r="T164">
        <f>IF($A164="","",$S164&amp;"|"&amp;$F164)</f>
        <v/>
      </c>
      <c r="U164">
        <f>IF($A164="","",$R164&amp;"("&amp;$E164&amp;")")</f>
        <v/>
      </c>
      <c r="V164">
        <f>IF($A164="","",$F164&amp;"|"&amp;$U164&amp;"|"&amp;$D164)</f>
        <v/>
      </c>
      <c r="W164">
        <f>IF($T164="","",IF($X164&gt;N($X163),$X164,""))</f>
        <v/>
      </c>
      <c r="X164">
        <f>IF($T164="",N($X163),IF(MATCH($T164,$T$6:$T$6005,0)=ROW()-5,N($X163)+1,N($X163)))</f>
        <v/>
      </c>
      <c r="Z164">
        <f>IF($V164="","",IF($AA164&gt;N($AA163),$AA164,""))</f>
        <v/>
      </c>
      <c r="AA164">
        <f>IF($V164="",N($AA163),IF(MATCH($V164,$V$6:$V$6005,0)=ROW()-5,N($AA163)+1,N($AA163)))</f>
        <v/>
      </c>
    </row>
    <row r="165" ht="21" customHeight="1" s="66">
      <c r="A165" s="56" t="n"/>
      <c r="B165" s="57" t="n"/>
      <c r="C165" s="57" t="n"/>
      <c r="D165" s="57" t="n"/>
      <c r="E165" s="56" t="n"/>
      <c r="F165" s="57" t="n"/>
      <c r="G165" s="57" t="n"/>
      <c r="H165" s="56" t="n"/>
      <c r="I165" s="56" t="n"/>
      <c r="J165" s="58" t="n"/>
      <c r="K165" s="58" t="n"/>
      <c r="L165" s="13">
        <f>IF(OR($A165="",AND($J165="",$K165="")),"",ROUND(N($J165)-N($K165),2))</f>
        <v/>
      </c>
      <c r="M165" s="13">
        <f>IF(OR($A165="",AND($J165="",$K165="")),"",MIN($J165,$K165))</f>
        <v/>
      </c>
      <c r="Q165">
        <f>IF($A165="","",$D165&amp;"("&amp;SUBSTITUTE($E165," ","")&amp;")")</f>
        <v/>
      </c>
      <c r="R165">
        <f>IF($A165="","",$B165&amp;" - "&amp;$C165)</f>
        <v/>
      </c>
      <c r="S165">
        <f>IF($A165="","",$R165&amp;"|"&amp;$Q165)</f>
        <v/>
      </c>
      <c r="T165">
        <f>IF($A165="","",$S165&amp;"|"&amp;$F165)</f>
        <v/>
      </c>
      <c r="U165">
        <f>IF($A165="","",$R165&amp;"("&amp;$E165&amp;")")</f>
        <v/>
      </c>
      <c r="V165">
        <f>IF($A165="","",$F165&amp;"|"&amp;$U165&amp;"|"&amp;$D165)</f>
        <v/>
      </c>
      <c r="W165">
        <f>IF($T165="","",IF($X165&gt;N($X164),$X165,""))</f>
        <v/>
      </c>
      <c r="X165">
        <f>IF($T165="",N($X164),IF(MATCH($T165,$T$6:$T$6005,0)=ROW()-5,N($X164)+1,N($X164)))</f>
        <v/>
      </c>
      <c r="Z165">
        <f>IF($V165="","",IF($AA165&gt;N($AA164),$AA165,""))</f>
        <v/>
      </c>
      <c r="AA165">
        <f>IF($V165="",N($AA164),IF(MATCH($V165,$V$6:$V$6005,0)=ROW()-5,N($AA164)+1,N($AA164)))</f>
        <v/>
      </c>
    </row>
    <row r="166" ht="21" customHeight="1" s="66">
      <c r="A166" s="56" t="n"/>
      <c r="B166" s="57" t="n"/>
      <c r="C166" s="57" t="n"/>
      <c r="D166" s="57" t="n"/>
      <c r="E166" s="56" t="n"/>
      <c r="F166" s="57" t="n"/>
      <c r="G166" s="57" t="n"/>
      <c r="H166" s="56" t="n"/>
      <c r="I166" s="56" t="n"/>
      <c r="J166" s="58" t="n"/>
      <c r="K166" s="58" t="n"/>
      <c r="L166" s="13">
        <f>IF(OR($A166="",AND($J166="",$K166="")),"",ROUND(N($J166)-N($K166),2))</f>
        <v/>
      </c>
      <c r="M166" s="13">
        <f>IF(OR($A166="",AND($J166="",$K166="")),"",MIN($J166,$K166))</f>
        <v/>
      </c>
      <c r="Q166">
        <f>IF($A166="","",$D166&amp;"("&amp;SUBSTITUTE($E166," ","")&amp;")")</f>
        <v/>
      </c>
      <c r="R166">
        <f>IF($A166="","",$B166&amp;" - "&amp;$C166)</f>
        <v/>
      </c>
      <c r="S166">
        <f>IF($A166="","",$R166&amp;"|"&amp;$Q166)</f>
        <v/>
      </c>
      <c r="T166">
        <f>IF($A166="","",$S166&amp;"|"&amp;$F166)</f>
        <v/>
      </c>
      <c r="U166">
        <f>IF($A166="","",$R166&amp;"("&amp;$E166&amp;")")</f>
        <v/>
      </c>
      <c r="V166">
        <f>IF($A166="","",$F166&amp;"|"&amp;$U166&amp;"|"&amp;$D166)</f>
        <v/>
      </c>
      <c r="W166">
        <f>IF($T166="","",IF($X166&gt;N($X165),$X166,""))</f>
        <v/>
      </c>
      <c r="X166">
        <f>IF($T166="",N($X165),IF(MATCH($T166,$T$6:$T$6005,0)=ROW()-5,N($X165)+1,N($X165)))</f>
        <v/>
      </c>
      <c r="Z166">
        <f>IF($V166="","",IF($AA166&gt;N($AA165),$AA166,""))</f>
        <v/>
      </c>
      <c r="AA166">
        <f>IF($V166="",N($AA165),IF(MATCH($V166,$V$6:$V$6005,0)=ROW()-5,N($AA165)+1,N($AA165)))</f>
        <v/>
      </c>
    </row>
    <row r="167" ht="21" customHeight="1" s="66">
      <c r="A167" s="56" t="n"/>
      <c r="B167" s="57" t="n"/>
      <c r="C167" s="57" t="n"/>
      <c r="D167" s="57" t="n"/>
      <c r="E167" s="56" t="n"/>
      <c r="F167" s="57" t="n"/>
      <c r="G167" s="57" t="n"/>
      <c r="H167" s="56" t="n"/>
      <c r="I167" s="56" t="n"/>
      <c r="J167" s="58" t="n"/>
      <c r="K167" s="58" t="n"/>
      <c r="L167" s="13">
        <f>IF(OR($A167="",AND($J167="",$K167="")),"",ROUND(N($J167)-N($K167),2))</f>
        <v/>
      </c>
      <c r="M167" s="13">
        <f>IF(OR($A167="",AND($J167="",$K167="")),"",MIN($J167,$K167))</f>
        <v/>
      </c>
      <c r="Q167">
        <f>IF($A167="","",$D167&amp;"("&amp;SUBSTITUTE($E167," ","")&amp;")")</f>
        <v/>
      </c>
      <c r="R167">
        <f>IF($A167="","",$B167&amp;" - "&amp;$C167)</f>
        <v/>
      </c>
      <c r="S167">
        <f>IF($A167="","",$R167&amp;"|"&amp;$Q167)</f>
        <v/>
      </c>
      <c r="T167">
        <f>IF($A167="","",$S167&amp;"|"&amp;$F167)</f>
        <v/>
      </c>
      <c r="U167">
        <f>IF($A167="","",$R167&amp;"("&amp;$E167&amp;")")</f>
        <v/>
      </c>
      <c r="V167">
        <f>IF($A167="","",$F167&amp;"|"&amp;$U167&amp;"|"&amp;$D167)</f>
        <v/>
      </c>
      <c r="W167">
        <f>IF($T167="","",IF($X167&gt;N($X166),$X167,""))</f>
        <v/>
      </c>
      <c r="X167">
        <f>IF($T167="",N($X166),IF(MATCH($T167,$T$6:$T$6005,0)=ROW()-5,N($X166)+1,N($X166)))</f>
        <v/>
      </c>
      <c r="Z167">
        <f>IF($V167="","",IF($AA167&gt;N($AA166),$AA167,""))</f>
        <v/>
      </c>
      <c r="AA167">
        <f>IF($V167="",N($AA166),IF(MATCH($V167,$V$6:$V$6005,0)=ROW()-5,N($AA166)+1,N($AA166)))</f>
        <v/>
      </c>
    </row>
    <row r="168" ht="21" customHeight="1" s="66">
      <c r="A168" s="56" t="n"/>
      <c r="B168" s="57" t="n"/>
      <c r="C168" s="57" t="n"/>
      <c r="D168" s="57" t="n"/>
      <c r="E168" s="56" t="n"/>
      <c r="F168" s="57" t="n"/>
      <c r="G168" s="57" t="n"/>
      <c r="H168" s="56" t="n"/>
      <c r="I168" s="56" t="n"/>
      <c r="J168" s="58" t="n"/>
      <c r="K168" s="58" t="n"/>
      <c r="L168" s="13">
        <f>IF(OR($A168="",AND($J168="",$K168="")),"",ROUND(N($J168)-N($K168),2))</f>
        <v/>
      </c>
      <c r="M168" s="13">
        <f>IF(OR($A168="",AND($J168="",$K168="")),"",MIN($J168,$K168))</f>
        <v/>
      </c>
      <c r="Q168">
        <f>IF($A168="","",$D168&amp;"("&amp;SUBSTITUTE($E168," ","")&amp;")")</f>
        <v/>
      </c>
      <c r="R168">
        <f>IF($A168="","",$B168&amp;" - "&amp;$C168)</f>
        <v/>
      </c>
      <c r="S168">
        <f>IF($A168="","",$R168&amp;"|"&amp;$Q168)</f>
        <v/>
      </c>
      <c r="T168">
        <f>IF($A168="","",$S168&amp;"|"&amp;$F168)</f>
        <v/>
      </c>
      <c r="U168">
        <f>IF($A168="","",$R168&amp;"("&amp;$E168&amp;")")</f>
        <v/>
      </c>
      <c r="V168">
        <f>IF($A168="","",$F168&amp;"|"&amp;$U168&amp;"|"&amp;$D168)</f>
        <v/>
      </c>
      <c r="W168">
        <f>IF($T168="","",IF($X168&gt;N($X167),$X168,""))</f>
        <v/>
      </c>
      <c r="X168">
        <f>IF($T168="",N($X167),IF(MATCH($T168,$T$6:$T$6005,0)=ROW()-5,N($X167)+1,N($X167)))</f>
        <v/>
      </c>
      <c r="Z168">
        <f>IF($V168="","",IF($AA168&gt;N($AA167),$AA168,""))</f>
        <v/>
      </c>
      <c r="AA168">
        <f>IF($V168="",N($AA167),IF(MATCH($V168,$V$6:$V$6005,0)=ROW()-5,N($AA167)+1,N($AA167)))</f>
        <v/>
      </c>
    </row>
    <row r="169" ht="21" customHeight="1" s="66">
      <c r="A169" s="56" t="n"/>
      <c r="B169" s="57" t="n"/>
      <c r="C169" s="57" t="n"/>
      <c r="D169" s="57" t="n"/>
      <c r="E169" s="56" t="n"/>
      <c r="F169" s="57" t="n"/>
      <c r="G169" s="57" t="n"/>
      <c r="H169" s="56" t="n"/>
      <c r="I169" s="56" t="n"/>
      <c r="J169" s="58" t="n"/>
      <c r="K169" s="58" t="n"/>
      <c r="L169" s="13">
        <f>IF(OR($A169="",AND($J169="",$K169="")),"",ROUND(N($J169)-N($K169),2))</f>
        <v/>
      </c>
      <c r="M169" s="13">
        <f>IF(OR($A169="",AND($J169="",$K169="")),"",MIN($J169,$K169))</f>
        <v/>
      </c>
      <c r="Q169">
        <f>IF($A169="","",$D169&amp;"("&amp;SUBSTITUTE($E169," ","")&amp;")")</f>
        <v/>
      </c>
      <c r="R169">
        <f>IF($A169="","",$B169&amp;" - "&amp;$C169)</f>
        <v/>
      </c>
      <c r="S169">
        <f>IF($A169="","",$R169&amp;"|"&amp;$Q169)</f>
        <v/>
      </c>
      <c r="T169">
        <f>IF($A169="","",$S169&amp;"|"&amp;$F169)</f>
        <v/>
      </c>
      <c r="U169">
        <f>IF($A169="","",$R169&amp;"("&amp;$E169&amp;")")</f>
        <v/>
      </c>
      <c r="V169">
        <f>IF($A169="","",$F169&amp;"|"&amp;$U169&amp;"|"&amp;$D169)</f>
        <v/>
      </c>
      <c r="W169">
        <f>IF($T169="","",IF($X169&gt;N($X168),$X169,""))</f>
        <v/>
      </c>
      <c r="X169">
        <f>IF($T169="",N($X168),IF(MATCH($T169,$T$6:$T$6005,0)=ROW()-5,N($X168)+1,N($X168)))</f>
        <v/>
      </c>
      <c r="Z169">
        <f>IF($V169="","",IF($AA169&gt;N($AA168),$AA169,""))</f>
        <v/>
      </c>
      <c r="AA169">
        <f>IF($V169="",N($AA168),IF(MATCH($V169,$V$6:$V$6005,0)=ROW()-5,N($AA168)+1,N($AA168)))</f>
        <v/>
      </c>
    </row>
    <row r="170" ht="21" customHeight="1" s="66">
      <c r="A170" s="56" t="n"/>
      <c r="B170" s="57" t="n"/>
      <c r="C170" s="57" t="n"/>
      <c r="D170" s="57" t="n"/>
      <c r="E170" s="56" t="n"/>
      <c r="F170" s="57" t="n"/>
      <c r="G170" s="57" t="n"/>
      <c r="H170" s="56" t="n"/>
      <c r="I170" s="56" t="n"/>
      <c r="J170" s="58" t="n"/>
      <c r="K170" s="58" t="n"/>
      <c r="L170" s="13">
        <f>IF(OR($A170="",AND($J170="",$K170="")),"",ROUND(N($J170)-N($K170),2))</f>
        <v/>
      </c>
      <c r="M170" s="13">
        <f>IF(OR($A170="",AND($J170="",$K170="")),"",MIN($J170,$K170))</f>
        <v/>
      </c>
      <c r="Q170">
        <f>IF($A170="","",$D170&amp;"("&amp;SUBSTITUTE($E170," ","")&amp;")")</f>
        <v/>
      </c>
      <c r="R170">
        <f>IF($A170="","",$B170&amp;" - "&amp;$C170)</f>
        <v/>
      </c>
      <c r="S170">
        <f>IF($A170="","",$R170&amp;"|"&amp;$Q170)</f>
        <v/>
      </c>
      <c r="T170">
        <f>IF($A170="","",$S170&amp;"|"&amp;$F170)</f>
        <v/>
      </c>
      <c r="U170">
        <f>IF($A170="","",$R170&amp;"("&amp;$E170&amp;")")</f>
        <v/>
      </c>
      <c r="V170">
        <f>IF($A170="","",$F170&amp;"|"&amp;$U170&amp;"|"&amp;$D170)</f>
        <v/>
      </c>
      <c r="W170">
        <f>IF($T170="","",IF($X170&gt;N($X169),$X170,""))</f>
        <v/>
      </c>
      <c r="X170">
        <f>IF($T170="",N($X169),IF(MATCH($T170,$T$6:$T$6005,0)=ROW()-5,N($X169)+1,N($X169)))</f>
        <v/>
      </c>
      <c r="Z170">
        <f>IF($V170="","",IF($AA170&gt;N($AA169),$AA170,""))</f>
        <v/>
      </c>
      <c r="AA170">
        <f>IF($V170="",N($AA169),IF(MATCH($V170,$V$6:$V$6005,0)=ROW()-5,N($AA169)+1,N($AA169)))</f>
        <v/>
      </c>
    </row>
    <row r="171" ht="21" customHeight="1" s="66">
      <c r="A171" s="56" t="n"/>
      <c r="B171" s="57" t="n"/>
      <c r="C171" s="57" t="n"/>
      <c r="D171" s="57" t="n"/>
      <c r="E171" s="56" t="n"/>
      <c r="F171" s="57" t="n"/>
      <c r="G171" s="57" t="n"/>
      <c r="H171" s="56" t="n"/>
      <c r="I171" s="56" t="n"/>
      <c r="J171" s="58" t="n"/>
      <c r="K171" s="58" t="n"/>
      <c r="L171" s="13">
        <f>IF(OR($A171="",AND($J171="",$K171="")),"",ROUND(N($J171)-N($K171),2))</f>
        <v/>
      </c>
      <c r="M171" s="13">
        <f>IF(OR($A171="",AND($J171="",$K171="")),"",MIN($J171,$K171))</f>
        <v/>
      </c>
      <c r="Q171">
        <f>IF($A171="","",$D171&amp;"("&amp;SUBSTITUTE($E171," ","")&amp;")")</f>
        <v/>
      </c>
      <c r="R171">
        <f>IF($A171="","",$B171&amp;" - "&amp;$C171)</f>
        <v/>
      </c>
      <c r="S171">
        <f>IF($A171="","",$R171&amp;"|"&amp;$Q171)</f>
        <v/>
      </c>
      <c r="T171">
        <f>IF($A171="","",$S171&amp;"|"&amp;$F171)</f>
        <v/>
      </c>
      <c r="U171">
        <f>IF($A171="","",$R171&amp;"("&amp;$E171&amp;")")</f>
        <v/>
      </c>
      <c r="V171">
        <f>IF($A171="","",$F171&amp;"|"&amp;$U171&amp;"|"&amp;$D171)</f>
        <v/>
      </c>
      <c r="W171">
        <f>IF($T171="","",IF($X171&gt;N($X170),$X171,""))</f>
        <v/>
      </c>
      <c r="X171">
        <f>IF($T171="",N($X170),IF(MATCH($T171,$T$6:$T$6005,0)=ROW()-5,N($X170)+1,N($X170)))</f>
        <v/>
      </c>
      <c r="Z171">
        <f>IF($V171="","",IF($AA171&gt;N($AA170),$AA171,""))</f>
        <v/>
      </c>
      <c r="AA171">
        <f>IF($V171="",N($AA170),IF(MATCH($V171,$V$6:$V$6005,0)=ROW()-5,N($AA170)+1,N($AA170)))</f>
        <v/>
      </c>
    </row>
    <row r="172" ht="21" customHeight="1" s="66">
      <c r="A172" s="56" t="n"/>
      <c r="B172" s="57" t="n"/>
      <c r="C172" s="57" t="n"/>
      <c r="D172" s="57" t="n"/>
      <c r="E172" s="56" t="n"/>
      <c r="F172" s="57" t="n"/>
      <c r="G172" s="57" t="n"/>
      <c r="H172" s="56" t="n"/>
      <c r="I172" s="56" t="n"/>
      <c r="J172" s="58" t="n"/>
      <c r="K172" s="58" t="n"/>
      <c r="L172" s="13">
        <f>IF(OR($A172="",AND($J172="",$K172="")),"",ROUND(N($J172)-N($K172),2))</f>
        <v/>
      </c>
      <c r="M172" s="13">
        <f>IF(OR($A172="",AND($J172="",$K172="")),"",MIN($J172,$K172))</f>
        <v/>
      </c>
      <c r="Q172">
        <f>IF($A172="","",$D172&amp;"("&amp;SUBSTITUTE($E172," ","")&amp;")")</f>
        <v/>
      </c>
      <c r="R172">
        <f>IF($A172="","",$B172&amp;" - "&amp;$C172)</f>
        <v/>
      </c>
      <c r="S172">
        <f>IF($A172="","",$R172&amp;"|"&amp;$Q172)</f>
        <v/>
      </c>
      <c r="T172">
        <f>IF($A172="","",$S172&amp;"|"&amp;$F172)</f>
        <v/>
      </c>
      <c r="U172">
        <f>IF($A172="","",$R172&amp;"("&amp;$E172&amp;")")</f>
        <v/>
      </c>
      <c r="V172">
        <f>IF($A172="","",$F172&amp;"|"&amp;$U172&amp;"|"&amp;$D172)</f>
        <v/>
      </c>
      <c r="W172">
        <f>IF($T172="","",IF($X172&gt;N($X171),$X172,""))</f>
        <v/>
      </c>
      <c r="X172">
        <f>IF($T172="",N($X171),IF(MATCH($T172,$T$6:$T$6005,0)=ROW()-5,N($X171)+1,N($X171)))</f>
        <v/>
      </c>
      <c r="Z172">
        <f>IF($V172="","",IF($AA172&gt;N($AA171),$AA172,""))</f>
        <v/>
      </c>
      <c r="AA172">
        <f>IF($V172="",N($AA171),IF(MATCH($V172,$V$6:$V$6005,0)=ROW()-5,N($AA171)+1,N($AA171)))</f>
        <v/>
      </c>
    </row>
    <row r="173" ht="21" customHeight="1" s="66">
      <c r="A173" s="56" t="n"/>
      <c r="B173" s="57" t="n"/>
      <c r="C173" s="57" t="n"/>
      <c r="D173" s="57" t="n"/>
      <c r="E173" s="56" t="n"/>
      <c r="F173" s="57" t="n"/>
      <c r="G173" s="57" t="n"/>
      <c r="H173" s="56" t="n"/>
      <c r="I173" s="56" t="n"/>
      <c r="J173" s="58" t="n"/>
      <c r="K173" s="58" t="n"/>
      <c r="L173" s="13">
        <f>IF(OR($A173="",AND($J173="",$K173="")),"",ROUND(N($J173)-N($K173),2))</f>
        <v/>
      </c>
      <c r="M173" s="13">
        <f>IF(OR($A173="",AND($J173="",$K173="")),"",MIN($J173,$K173))</f>
        <v/>
      </c>
      <c r="Q173">
        <f>IF($A173="","",$D173&amp;"("&amp;SUBSTITUTE($E173," ","")&amp;")")</f>
        <v/>
      </c>
      <c r="R173">
        <f>IF($A173="","",$B173&amp;" - "&amp;$C173)</f>
        <v/>
      </c>
      <c r="S173">
        <f>IF($A173="","",$R173&amp;"|"&amp;$Q173)</f>
        <v/>
      </c>
      <c r="T173">
        <f>IF($A173="","",$S173&amp;"|"&amp;$F173)</f>
        <v/>
      </c>
      <c r="U173">
        <f>IF($A173="","",$R173&amp;"("&amp;$E173&amp;")")</f>
        <v/>
      </c>
      <c r="V173">
        <f>IF($A173="","",$F173&amp;"|"&amp;$U173&amp;"|"&amp;$D173)</f>
        <v/>
      </c>
      <c r="W173">
        <f>IF($T173="","",IF($X173&gt;N($X172),$X173,""))</f>
        <v/>
      </c>
      <c r="X173">
        <f>IF($T173="",N($X172),IF(MATCH($T173,$T$6:$T$6005,0)=ROW()-5,N($X172)+1,N($X172)))</f>
        <v/>
      </c>
      <c r="Z173">
        <f>IF($V173="","",IF($AA173&gt;N($AA172),$AA173,""))</f>
        <v/>
      </c>
      <c r="AA173">
        <f>IF($V173="",N($AA172),IF(MATCH($V173,$V$6:$V$6005,0)=ROW()-5,N($AA172)+1,N($AA172)))</f>
        <v/>
      </c>
    </row>
    <row r="174" ht="21" customHeight="1" s="66">
      <c r="A174" s="56" t="n"/>
      <c r="B174" s="57" t="n"/>
      <c r="C174" s="57" t="n"/>
      <c r="D174" s="57" t="n"/>
      <c r="E174" s="56" t="n"/>
      <c r="F174" s="57" t="n"/>
      <c r="G174" s="57" t="n"/>
      <c r="H174" s="56" t="n"/>
      <c r="I174" s="56" t="n"/>
      <c r="J174" s="58" t="n"/>
      <c r="K174" s="58" t="n"/>
      <c r="L174" s="13">
        <f>IF(OR($A174="",AND($J174="",$K174="")),"",ROUND(N($J174)-N($K174),2))</f>
        <v/>
      </c>
      <c r="M174" s="13">
        <f>IF(OR($A174="",AND($J174="",$K174="")),"",MIN($J174,$K174))</f>
        <v/>
      </c>
      <c r="Q174">
        <f>IF($A174="","",$D174&amp;"("&amp;SUBSTITUTE($E174," ","")&amp;")")</f>
        <v/>
      </c>
      <c r="R174">
        <f>IF($A174="","",$B174&amp;" - "&amp;$C174)</f>
        <v/>
      </c>
      <c r="S174">
        <f>IF($A174="","",$R174&amp;"|"&amp;$Q174)</f>
        <v/>
      </c>
      <c r="T174">
        <f>IF($A174="","",$S174&amp;"|"&amp;$F174)</f>
        <v/>
      </c>
      <c r="U174">
        <f>IF($A174="","",$R174&amp;"("&amp;$E174&amp;")")</f>
        <v/>
      </c>
      <c r="V174">
        <f>IF($A174="","",$F174&amp;"|"&amp;$U174&amp;"|"&amp;$D174)</f>
        <v/>
      </c>
      <c r="W174">
        <f>IF($T174="","",IF($X174&gt;N($X173),$X174,""))</f>
        <v/>
      </c>
      <c r="X174">
        <f>IF($T174="",N($X173),IF(MATCH($T174,$T$6:$T$6005,0)=ROW()-5,N($X173)+1,N($X173)))</f>
        <v/>
      </c>
      <c r="Z174">
        <f>IF($V174="","",IF($AA174&gt;N($AA173),$AA174,""))</f>
        <v/>
      </c>
      <c r="AA174">
        <f>IF($V174="",N($AA173),IF(MATCH($V174,$V$6:$V$6005,0)=ROW()-5,N($AA173)+1,N($AA173)))</f>
        <v/>
      </c>
    </row>
    <row r="175" ht="21" customHeight="1" s="66">
      <c r="A175" s="56" t="n"/>
      <c r="B175" s="57" t="n"/>
      <c r="C175" s="57" t="n"/>
      <c r="D175" s="57" t="n"/>
      <c r="E175" s="56" t="n"/>
      <c r="F175" s="57" t="n"/>
      <c r="G175" s="57" t="n"/>
      <c r="H175" s="56" t="n"/>
      <c r="I175" s="56" t="n"/>
      <c r="J175" s="58" t="n"/>
      <c r="K175" s="58" t="n"/>
      <c r="L175" s="13">
        <f>IF(OR($A175="",AND($J175="",$K175="")),"",ROUND(N($J175)-N($K175),2))</f>
        <v/>
      </c>
      <c r="M175" s="13">
        <f>IF(OR($A175="",AND($J175="",$K175="")),"",MIN($J175,$K175))</f>
        <v/>
      </c>
      <c r="Q175">
        <f>IF($A175="","",$D175&amp;"("&amp;SUBSTITUTE($E175," ","")&amp;")")</f>
        <v/>
      </c>
      <c r="R175">
        <f>IF($A175="","",$B175&amp;" - "&amp;$C175)</f>
        <v/>
      </c>
      <c r="S175">
        <f>IF($A175="","",$R175&amp;"|"&amp;$Q175)</f>
        <v/>
      </c>
      <c r="T175">
        <f>IF($A175="","",$S175&amp;"|"&amp;$F175)</f>
        <v/>
      </c>
      <c r="U175">
        <f>IF($A175="","",$R175&amp;"("&amp;$E175&amp;")")</f>
        <v/>
      </c>
      <c r="V175">
        <f>IF($A175="","",$F175&amp;"|"&amp;$U175&amp;"|"&amp;$D175)</f>
        <v/>
      </c>
      <c r="W175">
        <f>IF($T175="","",IF($X175&gt;N($X174),$X175,""))</f>
        <v/>
      </c>
      <c r="X175">
        <f>IF($T175="",N($X174),IF(MATCH($T175,$T$6:$T$6005,0)=ROW()-5,N($X174)+1,N($X174)))</f>
        <v/>
      </c>
      <c r="Z175">
        <f>IF($V175="","",IF($AA175&gt;N($AA174),$AA175,""))</f>
        <v/>
      </c>
      <c r="AA175">
        <f>IF($V175="",N($AA174),IF(MATCH($V175,$V$6:$V$6005,0)=ROW()-5,N($AA174)+1,N($AA174)))</f>
        <v/>
      </c>
    </row>
    <row r="176" ht="21" customHeight="1" s="66">
      <c r="A176" s="56" t="n"/>
      <c r="B176" s="57" t="n"/>
      <c r="C176" s="57" t="n"/>
      <c r="D176" s="57" t="n"/>
      <c r="E176" s="56" t="n"/>
      <c r="F176" s="57" t="n"/>
      <c r="G176" s="57" t="n"/>
      <c r="H176" s="56" t="n"/>
      <c r="I176" s="56" t="n"/>
      <c r="J176" s="58" t="n"/>
      <c r="K176" s="58" t="n"/>
      <c r="L176" s="13">
        <f>IF(OR($A176="",AND($J176="",$K176="")),"",ROUND(N($J176)-N($K176),2))</f>
        <v/>
      </c>
      <c r="M176" s="13">
        <f>IF(OR($A176="",AND($J176="",$K176="")),"",MIN($J176,$K176))</f>
        <v/>
      </c>
      <c r="Q176">
        <f>IF($A176="","",$D176&amp;"("&amp;SUBSTITUTE($E176," ","")&amp;")")</f>
        <v/>
      </c>
      <c r="R176">
        <f>IF($A176="","",$B176&amp;" - "&amp;$C176)</f>
        <v/>
      </c>
      <c r="S176">
        <f>IF($A176="","",$R176&amp;"|"&amp;$Q176)</f>
        <v/>
      </c>
      <c r="T176">
        <f>IF($A176="","",$S176&amp;"|"&amp;$F176)</f>
        <v/>
      </c>
      <c r="U176">
        <f>IF($A176="","",$R176&amp;"("&amp;$E176&amp;")")</f>
        <v/>
      </c>
      <c r="V176">
        <f>IF($A176="","",$F176&amp;"|"&amp;$U176&amp;"|"&amp;$D176)</f>
        <v/>
      </c>
      <c r="W176">
        <f>IF($T176="","",IF($X176&gt;N($X175),$X176,""))</f>
        <v/>
      </c>
      <c r="X176">
        <f>IF($T176="",N($X175),IF(MATCH($T176,$T$6:$T$6005,0)=ROW()-5,N($X175)+1,N($X175)))</f>
        <v/>
      </c>
      <c r="Z176">
        <f>IF($V176="","",IF($AA176&gt;N($AA175),$AA176,""))</f>
        <v/>
      </c>
      <c r="AA176">
        <f>IF($V176="",N($AA175),IF(MATCH($V176,$V$6:$V$6005,0)=ROW()-5,N($AA175)+1,N($AA175)))</f>
        <v/>
      </c>
    </row>
    <row r="177" ht="21" customHeight="1" s="66">
      <c r="A177" s="56" t="n"/>
      <c r="B177" s="57" t="n"/>
      <c r="C177" s="57" t="n"/>
      <c r="D177" s="57" t="n"/>
      <c r="E177" s="56" t="n"/>
      <c r="F177" s="57" t="n"/>
      <c r="G177" s="57" t="n"/>
      <c r="H177" s="56" t="n"/>
      <c r="I177" s="56" t="n"/>
      <c r="J177" s="58" t="n"/>
      <c r="K177" s="58" t="n"/>
      <c r="L177" s="13">
        <f>IF(OR($A177="",AND($J177="",$K177="")),"",ROUND(N($J177)-N($K177),2))</f>
        <v/>
      </c>
      <c r="M177" s="13">
        <f>IF(OR($A177="",AND($J177="",$K177="")),"",MIN($J177,$K177))</f>
        <v/>
      </c>
      <c r="Q177">
        <f>IF($A177="","",$D177&amp;"("&amp;SUBSTITUTE($E177," ","")&amp;")")</f>
        <v/>
      </c>
      <c r="R177">
        <f>IF($A177="","",$B177&amp;" - "&amp;$C177)</f>
        <v/>
      </c>
      <c r="S177">
        <f>IF($A177="","",$R177&amp;"|"&amp;$Q177)</f>
        <v/>
      </c>
      <c r="T177">
        <f>IF($A177="","",$S177&amp;"|"&amp;$F177)</f>
        <v/>
      </c>
      <c r="U177">
        <f>IF($A177="","",$R177&amp;"("&amp;$E177&amp;")")</f>
        <v/>
      </c>
      <c r="V177">
        <f>IF($A177="","",$F177&amp;"|"&amp;$U177&amp;"|"&amp;$D177)</f>
        <v/>
      </c>
      <c r="W177">
        <f>IF($T177="","",IF($X177&gt;N($X176),$X177,""))</f>
        <v/>
      </c>
      <c r="X177">
        <f>IF($T177="",N($X176),IF(MATCH($T177,$T$6:$T$6005,0)=ROW()-5,N($X176)+1,N($X176)))</f>
        <v/>
      </c>
      <c r="Z177">
        <f>IF($V177="","",IF($AA177&gt;N($AA176),$AA177,""))</f>
        <v/>
      </c>
      <c r="AA177">
        <f>IF($V177="",N($AA176),IF(MATCH($V177,$V$6:$V$6005,0)=ROW()-5,N($AA176)+1,N($AA176)))</f>
        <v/>
      </c>
    </row>
    <row r="178" ht="21" customHeight="1" s="66">
      <c r="A178" s="56" t="n"/>
      <c r="B178" s="57" t="n"/>
      <c r="C178" s="57" t="n"/>
      <c r="D178" s="57" t="n"/>
      <c r="E178" s="56" t="n"/>
      <c r="F178" s="57" t="n"/>
      <c r="G178" s="57" t="n"/>
      <c r="H178" s="56" t="n"/>
      <c r="I178" s="56" t="n"/>
      <c r="J178" s="58" t="n"/>
      <c r="K178" s="58" t="n"/>
      <c r="L178" s="13">
        <f>IF(OR($A178="",AND($J178="",$K178="")),"",ROUND(N($J178)-N($K178),2))</f>
        <v/>
      </c>
      <c r="M178" s="13">
        <f>IF(OR($A178="",AND($J178="",$K178="")),"",MIN($J178,$K178))</f>
        <v/>
      </c>
      <c r="Q178">
        <f>IF($A178="","",$D178&amp;"("&amp;SUBSTITUTE($E178," ","")&amp;")")</f>
        <v/>
      </c>
      <c r="R178">
        <f>IF($A178="","",$B178&amp;" - "&amp;$C178)</f>
        <v/>
      </c>
      <c r="S178">
        <f>IF($A178="","",$R178&amp;"|"&amp;$Q178)</f>
        <v/>
      </c>
      <c r="T178">
        <f>IF($A178="","",$S178&amp;"|"&amp;$F178)</f>
        <v/>
      </c>
      <c r="U178">
        <f>IF($A178="","",$R178&amp;"("&amp;$E178&amp;")")</f>
        <v/>
      </c>
      <c r="V178">
        <f>IF($A178="","",$F178&amp;"|"&amp;$U178&amp;"|"&amp;$D178)</f>
        <v/>
      </c>
      <c r="W178">
        <f>IF($T178="","",IF($X178&gt;N($X177),$X178,""))</f>
        <v/>
      </c>
      <c r="X178">
        <f>IF($T178="",N($X177),IF(MATCH($T178,$T$6:$T$6005,0)=ROW()-5,N($X177)+1,N($X177)))</f>
        <v/>
      </c>
      <c r="Z178">
        <f>IF($V178="","",IF($AA178&gt;N($AA177),$AA178,""))</f>
        <v/>
      </c>
      <c r="AA178">
        <f>IF($V178="",N($AA177),IF(MATCH($V178,$V$6:$V$6005,0)=ROW()-5,N($AA177)+1,N($AA177)))</f>
        <v/>
      </c>
    </row>
    <row r="179" ht="21" customHeight="1" s="66">
      <c r="A179" s="56" t="n"/>
      <c r="B179" s="57" t="n"/>
      <c r="C179" s="57" t="n"/>
      <c r="D179" s="57" t="n"/>
      <c r="E179" s="56" t="n"/>
      <c r="F179" s="57" t="n"/>
      <c r="G179" s="57" t="n"/>
      <c r="H179" s="56" t="n"/>
      <c r="I179" s="56" t="n"/>
      <c r="J179" s="58" t="n"/>
      <c r="K179" s="58" t="n"/>
      <c r="L179" s="13">
        <f>IF(OR($A179="",AND($J179="",$K179="")),"",ROUND(N($J179)-N($K179),2))</f>
        <v/>
      </c>
      <c r="M179" s="13">
        <f>IF(OR($A179="",AND($J179="",$K179="")),"",MIN($J179,$K179))</f>
        <v/>
      </c>
      <c r="Q179">
        <f>IF($A179="","",$D179&amp;"("&amp;SUBSTITUTE($E179," ","")&amp;")")</f>
        <v/>
      </c>
      <c r="R179">
        <f>IF($A179="","",$B179&amp;" - "&amp;$C179)</f>
        <v/>
      </c>
      <c r="S179">
        <f>IF($A179="","",$R179&amp;"|"&amp;$Q179)</f>
        <v/>
      </c>
      <c r="T179">
        <f>IF($A179="","",$S179&amp;"|"&amp;$F179)</f>
        <v/>
      </c>
      <c r="U179">
        <f>IF($A179="","",$R179&amp;"("&amp;$E179&amp;")")</f>
        <v/>
      </c>
      <c r="V179">
        <f>IF($A179="","",$F179&amp;"|"&amp;$U179&amp;"|"&amp;$D179)</f>
        <v/>
      </c>
      <c r="W179">
        <f>IF($T179="","",IF($X179&gt;N($X178),$X179,""))</f>
        <v/>
      </c>
      <c r="X179">
        <f>IF($T179="",N($X178),IF(MATCH($T179,$T$6:$T$6005,0)=ROW()-5,N($X178)+1,N($X178)))</f>
        <v/>
      </c>
      <c r="Z179">
        <f>IF($V179="","",IF($AA179&gt;N($AA178),$AA179,""))</f>
        <v/>
      </c>
      <c r="AA179">
        <f>IF($V179="",N($AA178),IF(MATCH($V179,$V$6:$V$6005,0)=ROW()-5,N($AA178)+1,N($AA178)))</f>
        <v/>
      </c>
    </row>
    <row r="180" ht="21" customHeight="1" s="66">
      <c r="A180" s="56" t="n"/>
      <c r="B180" s="57" t="n"/>
      <c r="C180" s="57" t="n"/>
      <c r="D180" s="57" t="n"/>
      <c r="E180" s="56" t="n"/>
      <c r="F180" s="57" t="n"/>
      <c r="G180" s="57" t="n"/>
      <c r="H180" s="56" t="n"/>
      <c r="I180" s="56" t="n"/>
      <c r="J180" s="58" t="n"/>
      <c r="K180" s="58" t="n"/>
      <c r="L180" s="13">
        <f>IF(OR($A180="",AND($J180="",$K180="")),"",ROUND(N($J180)-N($K180),2))</f>
        <v/>
      </c>
      <c r="M180" s="13">
        <f>IF(OR($A180="",AND($J180="",$K180="")),"",MIN($J180,$K180))</f>
        <v/>
      </c>
      <c r="Q180">
        <f>IF($A180="","",$D180&amp;"("&amp;SUBSTITUTE($E180," ","")&amp;")")</f>
        <v/>
      </c>
      <c r="R180">
        <f>IF($A180="","",$B180&amp;" - "&amp;$C180)</f>
        <v/>
      </c>
      <c r="S180">
        <f>IF($A180="","",$R180&amp;"|"&amp;$Q180)</f>
        <v/>
      </c>
      <c r="T180">
        <f>IF($A180="","",$S180&amp;"|"&amp;$F180)</f>
        <v/>
      </c>
      <c r="U180">
        <f>IF($A180="","",$R180&amp;"("&amp;$E180&amp;")")</f>
        <v/>
      </c>
      <c r="V180">
        <f>IF($A180="","",$F180&amp;"|"&amp;$U180&amp;"|"&amp;$D180)</f>
        <v/>
      </c>
      <c r="W180">
        <f>IF($T180="","",IF($X180&gt;N($X179),$X180,""))</f>
        <v/>
      </c>
      <c r="X180">
        <f>IF($T180="",N($X179),IF(MATCH($T180,$T$6:$T$6005,0)=ROW()-5,N($X179)+1,N($X179)))</f>
        <v/>
      </c>
      <c r="Z180">
        <f>IF($V180="","",IF($AA180&gt;N($AA179),$AA180,""))</f>
        <v/>
      </c>
      <c r="AA180">
        <f>IF($V180="",N($AA179),IF(MATCH($V180,$V$6:$V$6005,0)=ROW()-5,N($AA179)+1,N($AA179)))</f>
        <v/>
      </c>
    </row>
    <row r="181" ht="21" customHeight="1" s="66">
      <c r="A181" s="56" t="n"/>
      <c r="B181" s="57" t="n"/>
      <c r="C181" s="57" t="n"/>
      <c r="D181" s="57" t="n"/>
      <c r="E181" s="56" t="n"/>
      <c r="F181" s="57" t="n"/>
      <c r="G181" s="57" t="n"/>
      <c r="H181" s="56" t="n"/>
      <c r="I181" s="56" t="n"/>
      <c r="J181" s="58" t="n"/>
      <c r="K181" s="58" t="n"/>
      <c r="L181" s="13">
        <f>IF(OR($A181="",AND($J181="",$K181="")),"",ROUND(N($J181)-N($K181),2))</f>
        <v/>
      </c>
      <c r="M181" s="13">
        <f>IF(OR($A181="",AND($J181="",$K181="")),"",MIN($J181,$K181))</f>
        <v/>
      </c>
      <c r="Q181">
        <f>IF($A181="","",$D181&amp;"("&amp;SUBSTITUTE($E181," ","")&amp;")")</f>
        <v/>
      </c>
      <c r="R181">
        <f>IF($A181="","",$B181&amp;" - "&amp;$C181)</f>
        <v/>
      </c>
      <c r="S181">
        <f>IF($A181="","",$R181&amp;"|"&amp;$Q181)</f>
        <v/>
      </c>
      <c r="T181">
        <f>IF($A181="","",$S181&amp;"|"&amp;$F181)</f>
        <v/>
      </c>
      <c r="U181">
        <f>IF($A181="","",$R181&amp;"("&amp;$E181&amp;")")</f>
        <v/>
      </c>
      <c r="V181">
        <f>IF($A181="","",$F181&amp;"|"&amp;$U181&amp;"|"&amp;$D181)</f>
        <v/>
      </c>
      <c r="W181">
        <f>IF($T181="","",IF($X181&gt;N($X180),$X181,""))</f>
        <v/>
      </c>
      <c r="X181">
        <f>IF($T181="",N($X180),IF(MATCH($T181,$T$6:$T$6005,0)=ROW()-5,N($X180)+1,N($X180)))</f>
        <v/>
      </c>
      <c r="Z181">
        <f>IF($V181="","",IF($AA181&gt;N($AA180),$AA181,""))</f>
        <v/>
      </c>
      <c r="AA181">
        <f>IF($V181="",N($AA180),IF(MATCH($V181,$V$6:$V$6005,0)=ROW()-5,N($AA180)+1,N($AA180)))</f>
        <v/>
      </c>
    </row>
    <row r="182" ht="21" customHeight="1" s="66">
      <c r="A182" s="56" t="n"/>
      <c r="B182" s="57" t="n"/>
      <c r="C182" s="57" t="n"/>
      <c r="D182" s="57" t="n"/>
      <c r="E182" s="56" t="n"/>
      <c r="F182" s="57" t="n"/>
      <c r="G182" s="57" t="n"/>
      <c r="H182" s="56" t="n"/>
      <c r="I182" s="56" t="n"/>
      <c r="J182" s="58" t="n"/>
      <c r="K182" s="58" t="n"/>
      <c r="L182" s="13">
        <f>IF(OR($A182="",AND($J182="",$K182="")),"",ROUND(N($J182)-N($K182),2))</f>
        <v/>
      </c>
      <c r="M182" s="13">
        <f>IF(OR($A182="",AND($J182="",$K182="")),"",MIN($J182,$K182))</f>
        <v/>
      </c>
      <c r="Q182">
        <f>IF($A182="","",$D182&amp;"("&amp;SUBSTITUTE($E182," ","")&amp;")")</f>
        <v/>
      </c>
      <c r="R182">
        <f>IF($A182="","",$B182&amp;" - "&amp;$C182)</f>
        <v/>
      </c>
      <c r="S182">
        <f>IF($A182="","",$R182&amp;"|"&amp;$Q182)</f>
        <v/>
      </c>
      <c r="T182">
        <f>IF($A182="","",$S182&amp;"|"&amp;$F182)</f>
        <v/>
      </c>
      <c r="U182">
        <f>IF($A182="","",$R182&amp;"("&amp;$E182&amp;")")</f>
        <v/>
      </c>
      <c r="V182">
        <f>IF($A182="","",$F182&amp;"|"&amp;$U182&amp;"|"&amp;$D182)</f>
        <v/>
      </c>
      <c r="W182">
        <f>IF($T182="","",IF($X182&gt;N($X181),$X182,""))</f>
        <v/>
      </c>
      <c r="X182">
        <f>IF($T182="",N($X181),IF(MATCH($T182,$T$6:$T$6005,0)=ROW()-5,N($X181)+1,N($X181)))</f>
        <v/>
      </c>
      <c r="Z182">
        <f>IF($V182="","",IF($AA182&gt;N($AA181),$AA182,""))</f>
        <v/>
      </c>
      <c r="AA182">
        <f>IF($V182="",N($AA181),IF(MATCH($V182,$V$6:$V$6005,0)=ROW()-5,N($AA181)+1,N($AA181)))</f>
        <v/>
      </c>
    </row>
    <row r="183" ht="21" customHeight="1" s="66">
      <c r="A183" s="56" t="n"/>
      <c r="B183" s="57" t="n"/>
      <c r="C183" s="57" t="n"/>
      <c r="D183" s="57" t="n"/>
      <c r="E183" s="56" t="n"/>
      <c r="F183" s="57" t="n"/>
      <c r="G183" s="57" t="n"/>
      <c r="H183" s="56" t="n"/>
      <c r="I183" s="56" t="n"/>
      <c r="J183" s="58" t="n"/>
      <c r="K183" s="58" t="n"/>
      <c r="L183" s="13">
        <f>IF(OR($A183="",AND($J183="",$K183="")),"",ROUND(N($J183)-N($K183),2))</f>
        <v/>
      </c>
      <c r="M183" s="13">
        <f>IF(OR($A183="",AND($J183="",$K183="")),"",MIN($J183,$K183))</f>
        <v/>
      </c>
      <c r="Q183">
        <f>IF($A183="","",$D183&amp;"("&amp;SUBSTITUTE($E183," ","")&amp;")")</f>
        <v/>
      </c>
      <c r="R183">
        <f>IF($A183="","",$B183&amp;" - "&amp;$C183)</f>
        <v/>
      </c>
      <c r="S183">
        <f>IF($A183="","",$R183&amp;"|"&amp;$Q183)</f>
        <v/>
      </c>
      <c r="T183">
        <f>IF($A183="","",$S183&amp;"|"&amp;$F183)</f>
        <v/>
      </c>
      <c r="U183">
        <f>IF($A183="","",$R183&amp;"("&amp;$E183&amp;")")</f>
        <v/>
      </c>
      <c r="V183">
        <f>IF($A183="","",$F183&amp;"|"&amp;$U183&amp;"|"&amp;$D183)</f>
        <v/>
      </c>
      <c r="W183">
        <f>IF($T183="","",IF($X183&gt;N($X182),$X183,""))</f>
        <v/>
      </c>
      <c r="X183">
        <f>IF($T183="",N($X182),IF(MATCH($T183,$T$6:$T$6005,0)=ROW()-5,N($X182)+1,N($X182)))</f>
        <v/>
      </c>
      <c r="Z183">
        <f>IF($V183="","",IF($AA183&gt;N($AA182),$AA183,""))</f>
        <v/>
      </c>
      <c r="AA183">
        <f>IF($V183="",N($AA182),IF(MATCH($V183,$V$6:$V$6005,0)=ROW()-5,N($AA182)+1,N($AA182)))</f>
        <v/>
      </c>
    </row>
    <row r="184" ht="21" customHeight="1" s="66">
      <c r="A184" s="56" t="n"/>
      <c r="B184" s="57" t="n"/>
      <c r="C184" s="57" t="n"/>
      <c r="D184" s="57" t="n"/>
      <c r="E184" s="56" t="n"/>
      <c r="F184" s="57" t="n"/>
      <c r="G184" s="57" t="n"/>
      <c r="H184" s="56" t="n"/>
      <c r="I184" s="56" t="n"/>
      <c r="J184" s="58" t="n"/>
      <c r="K184" s="58" t="n"/>
      <c r="L184" s="13">
        <f>IF(OR($A184="",AND($J184="",$K184="")),"",ROUND(N($J184)-N($K184),2))</f>
        <v/>
      </c>
      <c r="M184" s="13">
        <f>IF(OR($A184="",AND($J184="",$K184="")),"",MIN($J184,$K184))</f>
        <v/>
      </c>
      <c r="Q184">
        <f>IF($A184="","",$D184&amp;"("&amp;SUBSTITUTE($E184," ","")&amp;")")</f>
        <v/>
      </c>
      <c r="R184">
        <f>IF($A184="","",$B184&amp;" - "&amp;$C184)</f>
        <v/>
      </c>
      <c r="S184">
        <f>IF($A184="","",$R184&amp;"|"&amp;$Q184)</f>
        <v/>
      </c>
      <c r="T184">
        <f>IF($A184="","",$S184&amp;"|"&amp;$F184)</f>
        <v/>
      </c>
      <c r="U184">
        <f>IF($A184="","",$R184&amp;"("&amp;$E184&amp;")")</f>
        <v/>
      </c>
      <c r="V184">
        <f>IF($A184="","",$F184&amp;"|"&amp;$U184&amp;"|"&amp;$D184)</f>
        <v/>
      </c>
      <c r="W184">
        <f>IF($T184="","",IF($X184&gt;N($X183),$X184,""))</f>
        <v/>
      </c>
      <c r="X184">
        <f>IF($T184="",N($X183),IF(MATCH($T184,$T$6:$T$6005,0)=ROW()-5,N($X183)+1,N($X183)))</f>
        <v/>
      </c>
      <c r="Z184">
        <f>IF($V184="","",IF($AA184&gt;N($AA183),$AA184,""))</f>
        <v/>
      </c>
      <c r="AA184">
        <f>IF($V184="",N($AA183),IF(MATCH($V184,$V$6:$V$6005,0)=ROW()-5,N($AA183)+1,N($AA183)))</f>
        <v/>
      </c>
    </row>
    <row r="185" ht="21" customHeight="1" s="66">
      <c r="A185" s="56" t="n"/>
      <c r="B185" s="57" t="n"/>
      <c r="C185" s="57" t="n"/>
      <c r="D185" s="57" t="n"/>
      <c r="E185" s="56" t="n"/>
      <c r="F185" s="57" t="n"/>
      <c r="G185" s="57" t="n"/>
      <c r="H185" s="56" t="n"/>
      <c r="I185" s="56" t="n"/>
      <c r="J185" s="58" t="n"/>
      <c r="K185" s="58" t="n"/>
      <c r="L185" s="13">
        <f>IF(OR($A185="",AND($J185="",$K185="")),"",ROUND(N($J185)-N($K185),2))</f>
        <v/>
      </c>
      <c r="M185" s="13">
        <f>IF(OR($A185="",AND($J185="",$K185="")),"",MIN($J185,$K185))</f>
        <v/>
      </c>
      <c r="Q185">
        <f>IF($A185="","",$D185&amp;"("&amp;SUBSTITUTE($E185," ","")&amp;")")</f>
        <v/>
      </c>
      <c r="R185">
        <f>IF($A185="","",$B185&amp;" - "&amp;$C185)</f>
        <v/>
      </c>
      <c r="S185">
        <f>IF($A185="","",$R185&amp;"|"&amp;$Q185)</f>
        <v/>
      </c>
      <c r="T185">
        <f>IF($A185="","",$S185&amp;"|"&amp;$F185)</f>
        <v/>
      </c>
      <c r="U185">
        <f>IF($A185="","",$R185&amp;"("&amp;$E185&amp;")")</f>
        <v/>
      </c>
      <c r="V185">
        <f>IF($A185="","",$F185&amp;"|"&amp;$U185&amp;"|"&amp;$D185)</f>
        <v/>
      </c>
      <c r="W185">
        <f>IF($T185="","",IF($X185&gt;N($X184),$X185,""))</f>
        <v/>
      </c>
      <c r="X185">
        <f>IF($T185="",N($X184),IF(MATCH($T185,$T$6:$T$6005,0)=ROW()-5,N($X184)+1,N($X184)))</f>
        <v/>
      </c>
      <c r="Z185">
        <f>IF($V185="","",IF($AA185&gt;N($AA184),$AA185,""))</f>
        <v/>
      </c>
      <c r="AA185">
        <f>IF($V185="",N($AA184),IF(MATCH($V185,$V$6:$V$6005,0)=ROW()-5,N($AA184)+1,N($AA184)))</f>
        <v/>
      </c>
    </row>
    <row r="186" ht="21" customHeight="1" s="66">
      <c r="A186" s="56" t="n"/>
      <c r="B186" s="57" t="n"/>
      <c r="C186" s="57" t="n"/>
      <c r="D186" s="57" t="n"/>
      <c r="E186" s="56" t="n"/>
      <c r="F186" s="57" t="n"/>
      <c r="G186" s="57" t="n"/>
      <c r="H186" s="56" t="n"/>
      <c r="I186" s="56" t="n"/>
      <c r="J186" s="58" t="n"/>
      <c r="K186" s="58" t="n"/>
      <c r="L186" s="13">
        <f>IF(OR($A186="",AND($J186="",$K186="")),"",ROUND(N($J186)-N($K186),2))</f>
        <v/>
      </c>
      <c r="M186" s="13">
        <f>IF(OR($A186="",AND($J186="",$K186="")),"",MIN($J186,$K186))</f>
        <v/>
      </c>
      <c r="Q186">
        <f>IF($A186="","",$D186&amp;"("&amp;SUBSTITUTE($E186," ","")&amp;")")</f>
        <v/>
      </c>
      <c r="R186">
        <f>IF($A186="","",$B186&amp;" - "&amp;$C186)</f>
        <v/>
      </c>
      <c r="S186">
        <f>IF($A186="","",$R186&amp;"|"&amp;$Q186)</f>
        <v/>
      </c>
      <c r="T186">
        <f>IF($A186="","",$S186&amp;"|"&amp;$F186)</f>
        <v/>
      </c>
      <c r="U186">
        <f>IF($A186="","",$R186&amp;"("&amp;$E186&amp;")")</f>
        <v/>
      </c>
      <c r="V186">
        <f>IF($A186="","",$F186&amp;"|"&amp;$U186&amp;"|"&amp;$D186)</f>
        <v/>
      </c>
      <c r="W186">
        <f>IF($T186="","",IF($X186&gt;N($X185),$X186,""))</f>
        <v/>
      </c>
      <c r="X186">
        <f>IF($T186="",N($X185),IF(MATCH($T186,$T$6:$T$6005,0)=ROW()-5,N($X185)+1,N($X185)))</f>
        <v/>
      </c>
      <c r="Z186">
        <f>IF($V186="","",IF($AA186&gt;N($AA185),$AA186,""))</f>
        <v/>
      </c>
      <c r="AA186">
        <f>IF($V186="",N($AA185),IF(MATCH($V186,$V$6:$V$6005,0)=ROW()-5,N($AA185)+1,N($AA185)))</f>
        <v/>
      </c>
    </row>
    <row r="187" ht="21" customHeight="1" s="66">
      <c r="A187" s="56" t="n"/>
      <c r="B187" s="57" t="n"/>
      <c r="C187" s="57" t="n"/>
      <c r="D187" s="57" t="n"/>
      <c r="E187" s="56" t="n"/>
      <c r="F187" s="57" t="n"/>
      <c r="G187" s="57" t="n"/>
      <c r="H187" s="56" t="n"/>
      <c r="I187" s="56" t="n"/>
      <c r="J187" s="58" t="n"/>
      <c r="K187" s="58" t="n"/>
      <c r="L187" s="13">
        <f>IF(OR($A187="",AND($J187="",$K187="")),"",ROUND(N($J187)-N($K187),2))</f>
        <v/>
      </c>
      <c r="M187" s="13">
        <f>IF(OR($A187="",AND($J187="",$K187="")),"",MIN($J187,$K187))</f>
        <v/>
      </c>
      <c r="Q187">
        <f>IF($A187="","",$D187&amp;"("&amp;SUBSTITUTE($E187," ","")&amp;")")</f>
        <v/>
      </c>
      <c r="R187">
        <f>IF($A187="","",$B187&amp;" - "&amp;$C187)</f>
        <v/>
      </c>
      <c r="S187">
        <f>IF($A187="","",$R187&amp;"|"&amp;$Q187)</f>
        <v/>
      </c>
      <c r="T187">
        <f>IF($A187="","",$S187&amp;"|"&amp;$F187)</f>
        <v/>
      </c>
      <c r="U187">
        <f>IF($A187="","",$R187&amp;"("&amp;$E187&amp;")")</f>
        <v/>
      </c>
      <c r="V187">
        <f>IF($A187="","",$F187&amp;"|"&amp;$U187&amp;"|"&amp;$D187)</f>
        <v/>
      </c>
      <c r="W187">
        <f>IF($T187="","",IF($X187&gt;N($X186),$X187,""))</f>
        <v/>
      </c>
      <c r="X187">
        <f>IF($T187="",N($X186),IF(MATCH($T187,$T$6:$T$6005,0)=ROW()-5,N($X186)+1,N($X186)))</f>
        <v/>
      </c>
      <c r="Z187">
        <f>IF($V187="","",IF($AA187&gt;N($AA186),$AA187,""))</f>
        <v/>
      </c>
      <c r="AA187">
        <f>IF($V187="",N($AA186),IF(MATCH($V187,$V$6:$V$6005,0)=ROW()-5,N($AA186)+1,N($AA186)))</f>
        <v/>
      </c>
    </row>
    <row r="188" ht="21" customHeight="1" s="66">
      <c r="A188" s="56" t="n"/>
      <c r="B188" s="57" t="n"/>
      <c r="C188" s="57" t="n"/>
      <c r="D188" s="57" t="n"/>
      <c r="E188" s="56" t="n"/>
      <c r="F188" s="57" t="n"/>
      <c r="G188" s="57" t="n"/>
      <c r="H188" s="56" t="n"/>
      <c r="I188" s="56" t="n"/>
      <c r="J188" s="58" t="n"/>
      <c r="K188" s="58" t="n"/>
      <c r="L188" s="13">
        <f>IF(OR($A188="",AND($J188="",$K188="")),"",ROUND(N($J188)-N($K188),2))</f>
        <v/>
      </c>
      <c r="M188" s="13">
        <f>IF(OR($A188="",AND($J188="",$K188="")),"",MIN($J188,$K188))</f>
        <v/>
      </c>
      <c r="Q188">
        <f>IF($A188="","",$D188&amp;"("&amp;SUBSTITUTE($E188," ","")&amp;")")</f>
        <v/>
      </c>
      <c r="R188">
        <f>IF($A188="","",$B188&amp;" - "&amp;$C188)</f>
        <v/>
      </c>
      <c r="S188">
        <f>IF($A188="","",$R188&amp;"|"&amp;$Q188)</f>
        <v/>
      </c>
      <c r="T188">
        <f>IF($A188="","",$S188&amp;"|"&amp;$F188)</f>
        <v/>
      </c>
      <c r="U188">
        <f>IF($A188="","",$R188&amp;"("&amp;$E188&amp;")")</f>
        <v/>
      </c>
      <c r="V188">
        <f>IF($A188="","",$F188&amp;"|"&amp;$U188&amp;"|"&amp;$D188)</f>
        <v/>
      </c>
      <c r="W188">
        <f>IF($T188="","",IF($X188&gt;N($X187),$X188,""))</f>
        <v/>
      </c>
      <c r="X188">
        <f>IF($T188="",N($X187),IF(MATCH($T188,$T$6:$T$6005,0)=ROW()-5,N($X187)+1,N($X187)))</f>
        <v/>
      </c>
      <c r="Z188">
        <f>IF($V188="","",IF($AA188&gt;N($AA187),$AA188,""))</f>
        <v/>
      </c>
      <c r="AA188">
        <f>IF($V188="",N($AA187),IF(MATCH($V188,$V$6:$V$6005,0)=ROW()-5,N($AA187)+1,N($AA187)))</f>
        <v/>
      </c>
    </row>
    <row r="189" ht="21" customHeight="1" s="66">
      <c r="A189" s="56" t="n"/>
      <c r="B189" s="57" t="n"/>
      <c r="C189" s="57" t="n"/>
      <c r="D189" s="57" t="n"/>
      <c r="E189" s="56" t="n"/>
      <c r="F189" s="57" t="n"/>
      <c r="G189" s="57" t="n"/>
      <c r="H189" s="56" t="n"/>
      <c r="I189" s="56" t="n"/>
      <c r="J189" s="58" t="n"/>
      <c r="K189" s="58" t="n"/>
      <c r="L189" s="13">
        <f>IF(OR($A189="",AND($J189="",$K189="")),"",ROUND(N($J189)-N($K189),2))</f>
        <v/>
      </c>
      <c r="M189" s="13">
        <f>IF(OR($A189="",AND($J189="",$K189="")),"",MIN($J189,$K189))</f>
        <v/>
      </c>
      <c r="Q189">
        <f>IF($A189="","",$D189&amp;"("&amp;SUBSTITUTE($E189," ","")&amp;")")</f>
        <v/>
      </c>
      <c r="R189">
        <f>IF($A189="","",$B189&amp;" - "&amp;$C189)</f>
        <v/>
      </c>
      <c r="S189">
        <f>IF($A189="","",$R189&amp;"|"&amp;$Q189)</f>
        <v/>
      </c>
      <c r="T189">
        <f>IF($A189="","",$S189&amp;"|"&amp;$F189)</f>
        <v/>
      </c>
      <c r="U189">
        <f>IF($A189="","",$R189&amp;"("&amp;$E189&amp;")")</f>
        <v/>
      </c>
      <c r="V189">
        <f>IF($A189="","",$F189&amp;"|"&amp;$U189&amp;"|"&amp;$D189)</f>
        <v/>
      </c>
      <c r="W189">
        <f>IF($T189="","",IF($X189&gt;N($X188),$X189,""))</f>
        <v/>
      </c>
      <c r="X189">
        <f>IF($T189="",N($X188),IF(MATCH($T189,$T$6:$T$6005,0)=ROW()-5,N($X188)+1,N($X188)))</f>
        <v/>
      </c>
      <c r="Z189">
        <f>IF($V189="","",IF($AA189&gt;N($AA188),$AA189,""))</f>
        <v/>
      </c>
      <c r="AA189">
        <f>IF($V189="",N($AA188),IF(MATCH($V189,$V$6:$V$6005,0)=ROW()-5,N($AA188)+1,N($AA188)))</f>
        <v/>
      </c>
    </row>
    <row r="190" ht="21" customHeight="1" s="66">
      <c r="A190" s="56" t="n"/>
      <c r="B190" s="57" t="n"/>
      <c r="C190" s="57" t="n"/>
      <c r="D190" s="57" t="n"/>
      <c r="E190" s="56" t="n"/>
      <c r="F190" s="57" t="n"/>
      <c r="G190" s="57" t="n"/>
      <c r="H190" s="56" t="n"/>
      <c r="I190" s="56" t="n"/>
      <c r="J190" s="58" t="n"/>
      <c r="K190" s="58" t="n"/>
      <c r="L190" s="13">
        <f>IF(OR($A190="",AND($J190="",$K190="")),"",ROUND(N($J190)-N($K190),2))</f>
        <v/>
      </c>
      <c r="M190" s="13">
        <f>IF(OR($A190="",AND($J190="",$K190="")),"",MIN($J190,$K190))</f>
        <v/>
      </c>
      <c r="Q190">
        <f>IF($A190="","",$D190&amp;"("&amp;SUBSTITUTE($E190," ","")&amp;")")</f>
        <v/>
      </c>
      <c r="R190">
        <f>IF($A190="","",$B190&amp;" - "&amp;$C190)</f>
        <v/>
      </c>
      <c r="S190">
        <f>IF($A190="","",$R190&amp;"|"&amp;$Q190)</f>
        <v/>
      </c>
      <c r="T190">
        <f>IF($A190="","",$S190&amp;"|"&amp;$F190)</f>
        <v/>
      </c>
      <c r="U190">
        <f>IF($A190="","",$R190&amp;"("&amp;$E190&amp;")")</f>
        <v/>
      </c>
      <c r="V190">
        <f>IF($A190="","",$F190&amp;"|"&amp;$U190&amp;"|"&amp;$D190)</f>
        <v/>
      </c>
      <c r="W190">
        <f>IF($T190="","",IF($X190&gt;N($X189),$X190,""))</f>
        <v/>
      </c>
      <c r="X190">
        <f>IF($T190="",N($X189),IF(MATCH($T190,$T$6:$T$6005,0)=ROW()-5,N($X189)+1,N($X189)))</f>
        <v/>
      </c>
      <c r="Z190">
        <f>IF($V190="","",IF($AA190&gt;N($AA189),$AA190,""))</f>
        <v/>
      </c>
      <c r="AA190">
        <f>IF($V190="",N($AA189),IF(MATCH($V190,$V$6:$V$6005,0)=ROW()-5,N($AA189)+1,N($AA189)))</f>
        <v/>
      </c>
    </row>
    <row r="191" ht="21" customHeight="1" s="66">
      <c r="A191" s="56" t="n"/>
      <c r="B191" s="57" t="n"/>
      <c r="C191" s="57" t="n"/>
      <c r="D191" s="57" t="n"/>
      <c r="E191" s="56" t="n"/>
      <c r="F191" s="57" t="n"/>
      <c r="G191" s="57" t="n"/>
      <c r="H191" s="56" t="n"/>
      <c r="I191" s="56" t="n"/>
      <c r="J191" s="58" t="n"/>
      <c r="K191" s="58" t="n"/>
      <c r="L191" s="13">
        <f>IF(OR($A191="",AND($J191="",$K191="")),"",ROUND(N($J191)-N($K191),2))</f>
        <v/>
      </c>
      <c r="M191" s="13">
        <f>IF(OR($A191="",AND($J191="",$K191="")),"",MIN($J191,$K191))</f>
        <v/>
      </c>
      <c r="Q191">
        <f>IF($A191="","",$D191&amp;"("&amp;SUBSTITUTE($E191," ","")&amp;")")</f>
        <v/>
      </c>
      <c r="R191">
        <f>IF($A191="","",$B191&amp;" - "&amp;$C191)</f>
        <v/>
      </c>
      <c r="S191">
        <f>IF($A191="","",$R191&amp;"|"&amp;$Q191)</f>
        <v/>
      </c>
      <c r="T191">
        <f>IF($A191="","",$S191&amp;"|"&amp;$F191)</f>
        <v/>
      </c>
      <c r="U191">
        <f>IF($A191="","",$R191&amp;"("&amp;$E191&amp;")")</f>
        <v/>
      </c>
      <c r="V191">
        <f>IF($A191="","",$F191&amp;"|"&amp;$U191&amp;"|"&amp;$D191)</f>
        <v/>
      </c>
      <c r="W191">
        <f>IF($T191="","",IF($X191&gt;N($X190),$X191,""))</f>
        <v/>
      </c>
      <c r="X191">
        <f>IF($T191="",N($X190),IF(MATCH($T191,$T$6:$T$6005,0)=ROW()-5,N($X190)+1,N($X190)))</f>
        <v/>
      </c>
      <c r="Z191">
        <f>IF($V191="","",IF($AA191&gt;N($AA190),$AA191,""))</f>
        <v/>
      </c>
      <c r="AA191">
        <f>IF($V191="",N($AA190),IF(MATCH($V191,$V$6:$V$6005,0)=ROW()-5,N($AA190)+1,N($AA190)))</f>
        <v/>
      </c>
    </row>
    <row r="192" ht="21" customHeight="1" s="66">
      <c r="A192" s="56" t="n"/>
      <c r="B192" s="57" t="n"/>
      <c r="C192" s="57" t="n"/>
      <c r="D192" s="57" t="n"/>
      <c r="E192" s="56" t="n"/>
      <c r="F192" s="57" t="n"/>
      <c r="G192" s="57" t="n"/>
      <c r="H192" s="56" t="n"/>
      <c r="I192" s="56" t="n"/>
      <c r="J192" s="58" t="n"/>
      <c r="K192" s="58" t="n"/>
      <c r="L192" s="13">
        <f>IF(OR($A192="",AND($J192="",$K192="")),"",ROUND(N($J192)-N($K192),2))</f>
        <v/>
      </c>
      <c r="M192" s="13">
        <f>IF(OR($A192="",AND($J192="",$K192="")),"",MIN($J192,$K192))</f>
        <v/>
      </c>
      <c r="Q192">
        <f>IF($A192="","",$D192&amp;"("&amp;SUBSTITUTE($E192," ","")&amp;")")</f>
        <v/>
      </c>
      <c r="R192">
        <f>IF($A192="","",$B192&amp;" - "&amp;$C192)</f>
        <v/>
      </c>
      <c r="S192">
        <f>IF($A192="","",$R192&amp;"|"&amp;$Q192)</f>
        <v/>
      </c>
      <c r="T192">
        <f>IF($A192="","",$S192&amp;"|"&amp;$F192)</f>
        <v/>
      </c>
      <c r="U192">
        <f>IF($A192="","",$R192&amp;"("&amp;$E192&amp;")")</f>
        <v/>
      </c>
      <c r="V192">
        <f>IF($A192="","",$F192&amp;"|"&amp;$U192&amp;"|"&amp;$D192)</f>
        <v/>
      </c>
      <c r="W192">
        <f>IF($T192="","",IF($X192&gt;N($X191),$X192,""))</f>
        <v/>
      </c>
      <c r="X192">
        <f>IF($T192="",N($X191),IF(MATCH($T192,$T$6:$T$6005,0)=ROW()-5,N($X191)+1,N($X191)))</f>
        <v/>
      </c>
      <c r="Z192">
        <f>IF($V192="","",IF($AA192&gt;N($AA191),$AA192,""))</f>
        <v/>
      </c>
      <c r="AA192">
        <f>IF($V192="",N($AA191),IF(MATCH($V192,$V$6:$V$6005,0)=ROW()-5,N($AA191)+1,N($AA191)))</f>
        <v/>
      </c>
    </row>
    <row r="193" ht="21" customHeight="1" s="66">
      <c r="A193" s="56" t="n"/>
      <c r="B193" s="57" t="n"/>
      <c r="C193" s="57" t="n"/>
      <c r="D193" s="57" t="n"/>
      <c r="E193" s="56" t="n"/>
      <c r="F193" s="57" t="n"/>
      <c r="G193" s="57" t="n"/>
      <c r="H193" s="56" t="n"/>
      <c r="I193" s="56" t="n"/>
      <c r="J193" s="58" t="n"/>
      <c r="K193" s="58" t="n"/>
      <c r="L193" s="13">
        <f>IF(OR($A193="",AND($J193="",$K193="")),"",ROUND(N($J193)-N($K193),2))</f>
        <v/>
      </c>
      <c r="M193" s="13">
        <f>IF(OR($A193="",AND($J193="",$K193="")),"",MIN($J193,$K193))</f>
        <v/>
      </c>
      <c r="Q193">
        <f>IF($A193="","",$D193&amp;"("&amp;SUBSTITUTE($E193," ","")&amp;")")</f>
        <v/>
      </c>
      <c r="R193">
        <f>IF($A193="","",$B193&amp;" - "&amp;$C193)</f>
        <v/>
      </c>
      <c r="S193">
        <f>IF($A193="","",$R193&amp;"|"&amp;$Q193)</f>
        <v/>
      </c>
      <c r="T193">
        <f>IF($A193="","",$S193&amp;"|"&amp;$F193)</f>
        <v/>
      </c>
      <c r="U193">
        <f>IF($A193="","",$R193&amp;"("&amp;$E193&amp;")")</f>
        <v/>
      </c>
      <c r="V193">
        <f>IF($A193="","",$F193&amp;"|"&amp;$U193&amp;"|"&amp;$D193)</f>
        <v/>
      </c>
      <c r="W193">
        <f>IF($T193="","",IF($X193&gt;N($X192),$X193,""))</f>
        <v/>
      </c>
      <c r="X193">
        <f>IF($T193="",N($X192),IF(MATCH($T193,$T$6:$T$6005,0)=ROW()-5,N($X192)+1,N($X192)))</f>
        <v/>
      </c>
      <c r="Z193">
        <f>IF($V193="","",IF($AA193&gt;N($AA192),$AA193,""))</f>
        <v/>
      </c>
      <c r="AA193">
        <f>IF($V193="",N($AA192),IF(MATCH($V193,$V$6:$V$6005,0)=ROW()-5,N($AA192)+1,N($AA192)))</f>
        <v/>
      </c>
    </row>
    <row r="194" ht="21" customHeight="1" s="66">
      <c r="A194" s="56" t="n"/>
      <c r="B194" s="57" t="n"/>
      <c r="C194" s="57" t="n"/>
      <c r="D194" s="57" t="n"/>
      <c r="E194" s="56" t="n"/>
      <c r="F194" s="57" t="n"/>
      <c r="G194" s="57" t="n"/>
      <c r="H194" s="56" t="n"/>
      <c r="I194" s="56" t="n"/>
      <c r="J194" s="58" t="n"/>
      <c r="K194" s="58" t="n"/>
      <c r="L194" s="13">
        <f>IF(OR($A194="",AND($J194="",$K194="")),"",ROUND(N($J194)-N($K194),2))</f>
        <v/>
      </c>
      <c r="M194" s="13">
        <f>IF(OR($A194="",AND($J194="",$K194="")),"",MIN($J194,$K194))</f>
        <v/>
      </c>
      <c r="Q194">
        <f>IF($A194="","",$D194&amp;"("&amp;SUBSTITUTE($E194," ","")&amp;")")</f>
        <v/>
      </c>
      <c r="R194">
        <f>IF($A194="","",$B194&amp;" - "&amp;$C194)</f>
        <v/>
      </c>
      <c r="S194">
        <f>IF($A194="","",$R194&amp;"|"&amp;$Q194)</f>
        <v/>
      </c>
      <c r="T194">
        <f>IF($A194="","",$S194&amp;"|"&amp;$F194)</f>
        <v/>
      </c>
      <c r="U194">
        <f>IF($A194="","",$R194&amp;"("&amp;$E194&amp;")")</f>
        <v/>
      </c>
      <c r="V194">
        <f>IF($A194="","",$F194&amp;"|"&amp;$U194&amp;"|"&amp;$D194)</f>
        <v/>
      </c>
      <c r="W194">
        <f>IF($T194="","",IF($X194&gt;N($X193),$X194,""))</f>
        <v/>
      </c>
      <c r="X194">
        <f>IF($T194="",N($X193),IF(MATCH($T194,$T$6:$T$6005,0)=ROW()-5,N($X193)+1,N($X193)))</f>
        <v/>
      </c>
      <c r="Z194">
        <f>IF($V194="","",IF($AA194&gt;N($AA193),$AA194,""))</f>
        <v/>
      </c>
      <c r="AA194">
        <f>IF($V194="",N($AA193),IF(MATCH($V194,$V$6:$V$6005,0)=ROW()-5,N($AA193)+1,N($AA193)))</f>
        <v/>
      </c>
    </row>
    <row r="195" ht="21" customHeight="1" s="66">
      <c r="A195" s="56" t="n"/>
      <c r="B195" s="57" t="n"/>
      <c r="C195" s="57" t="n"/>
      <c r="D195" s="57" t="n"/>
      <c r="E195" s="56" t="n"/>
      <c r="F195" s="57" t="n"/>
      <c r="G195" s="57" t="n"/>
      <c r="H195" s="56" t="n"/>
      <c r="I195" s="56" t="n"/>
      <c r="J195" s="58" t="n"/>
      <c r="K195" s="58" t="n"/>
      <c r="L195" s="13">
        <f>IF(OR($A195="",AND($J195="",$K195="")),"",ROUND(N($J195)-N($K195),2))</f>
        <v/>
      </c>
      <c r="M195" s="13">
        <f>IF(OR($A195="",AND($J195="",$K195="")),"",MIN($J195,$K195))</f>
        <v/>
      </c>
      <c r="Q195">
        <f>IF($A195="","",$D195&amp;"("&amp;SUBSTITUTE($E195," ","")&amp;")")</f>
        <v/>
      </c>
      <c r="R195">
        <f>IF($A195="","",$B195&amp;" - "&amp;$C195)</f>
        <v/>
      </c>
      <c r="S195">
        <f>IF($A195="","",$R195&amp;"|"&amp;$Q195)</f>
        <v/>
      </c>
      <c r="T195">
        <f>IF($A195="","",$S195&amp;"|"&amp;$F195)</f>
        <v/>
      </c>
      <c r="U195">
        <f>IF($A195="","",$R195&amp;"("&amp;$E195&amp;")")</f>
        <v/>
      </c>
      <c r="V195">
        <f>IF($A195="","",$F195&amp;"|"&amp;$U195&amp;"|"&amp;$D195)</f>
        <v/>
      </c>
      <c r="W195">
        <f>IF($T195="","",IF($X195&gt;N($X194),$X195,""))</f>
        <v/>
      </c>
      <c r="X195">
        <f>IF($T195="",N($X194),IF(MATCH($T195,$T$6:$T$6005,0)=ROW()-5,N($X194)+1,N($X194)))</f>
        <v/>
      </c>
      <c r="Z195">
        <f>IF($V195="","",IF($AA195&gt;N($AA194),$AA195,""))</f>
        <v/>
      </c>
      <c r="AA195">
        <f>IF($V195="",N($AA194),IF(MATCH($V195,$V$6:$V$6005,0)=ROW()-5,N($AA194)+1,N($AA194)))</f>
        <v/>
      </c>
    </row>
    <row r="196" ht="21" customHeight="1" s="66">
      <c r="A196" s="56" t="n"/>
      <c r="B196" s="57" t="n"/>
      <c r="C196" s="57" t="n"/>
      <c r="D196" s="57" t="n"/>
      <c r="E196" s="56" t="n"/>
      <c r="F196" s="57" t="n"/>
      <c r="G196" s="57" t="n"/>
      <c r="H196" s="56" t="n"/>
      <c r="I196" s="56" t="n"/>
      <c r="J196" s="58" t="n"/>
      <c r="K196" s="58" t="n"/>
      <c r="L196" s="13">
        <f>IF(OR($A196="",AND($J196="",$K196="")),"",ROUND(N($J196)-N($K196),2))</f>
        <v/>
      </c>
      <c r="M196" s="13">
        <f>IF(OR($A196="",AND($J196="",$K196="")),"",MIN($J196,$K196))</f>
        <v/>
      </c>
      <c r="Q196">
        <f>IF($A196="","",$D196&amp;"("&amp;SUBSTITUTE($E196," ","")&amp;")")</f>
        <v/>
      </c>
      <c r="R196">
        <f>IF($A196="","",$B196&amp;" - "&amp;$C196)</f>
        <v/>
      </c>
      <c r="S196">
        <f>IF($A196="","",$R196&amp;"|"&amp;$Q196)</f>
        <v/>
      </c>
      <c r="T196">
        <f>IF($A196="","",$S196&amp;"|"&amp;$F196)</f>
        <v/>
      </c>
      <c r="U196">
        <f>IF($A196="","",$R196&amp;"("&amp;$E196&amp;")")</f>
        <v/>
      </c>
      <c r="V196">
        <f>IF($A196="","",$F196&amp;"|"&amp;$U196&amp;"|"&amp;$D196)</f>
        <v/>
      </c>
      <c r="W196">
        <f>IF($T196="","",IF($X196&gt;N($X195),$X196,""))</f>
        <v/>
      </c>
      <c r="X196">
        <f>IF($T196="",N($X195),IF(MATCH($T196,$T$6:$T$6005,0)=ROW()-5,N($X195)+1,N($X195)))</f>
        <v/>
      </c>
      <c r="Z196">
        <f>IF($V196="","",IF($AA196&gt;N($AA195),$AA196,""))</f>
        <v/>
      </c>
      <c r="AA196">
        <f>IF($V196="",N($AA195),IF(MATCH($V196,$V$6:$V$6005,0)=ROW()-5,N($AA195)+1,N($AA195)))</f>
        <v/>
      </c>
    </row>
    <row r="197" ht="21" customHeight="1" s="66">
      <c r="A197" s="56" t="n"/>
      <c r="B197" s="57" t="n"/>
      <c r="C197" s="57" t="n"/>
      <c r="D197" s="57" t="n"/>
      <c r="E197" s="56" t="n"/>
      <c r="F197" s="57" t="n"/>
      <c r="G197" s="57" t="n"/>
      <c r="H197" s="56" t="n"/>
      <c r="I197" s="56" t="n"/>
      <c r="J197" s="58" t="n"/>
      <c r="K197" s="58" t="n"/>
      <c r="L197" s="13">
        <f>IF(OR($A197="",AND($J197="",$K197="")),"",ROUND(N($J197)-N($K197),2))</f>
        <v/>
      </c>
      <c r="M197" s="13">
        <f>IF(OR($A197="",AND($J197="",$K197="")),"",MIN($J197,$K197))</f>
        <v/>
      </c>
      <c r="Q197">
        <f>IF($A197="","",$D197&amp;"("&amp;SUBSTITUTE($E197," ","")&amp;")")</f>
        <v/>
      </c>
      <c r="R197">
        <f>IF($A197="","",$B197&amp;" - "&amp;$C197)</f>
        <v/>
      </c>
      <c r="S197">
        <f>IF($A197="","",$R197&amp;"|"&amp;$Q197)</f>
        <v/>
      </c>
      <c r="T197">
        <f>IF($A197="","",$S197&amp;"|"&amp;$F197)</f>
        <v/>
      </c>
      <c r="U197">
        <f>IF($A197="","",$R197&amp;"("&amp;$E197&amp;")")</f>
        <v/>
      </c>
      <c r="V197">
        <f>IF($A197="","",$F197&amp;"|"&amp;$U197&amp;"|"&amp;$D197)</f>
        <v/>
      </c>
      <c r="W197">
        <f>IF($T197="","",IF($X197&gt;N($X196),$X197,""))</f>
        <v/>
      </c>
      <c r="X197">
        <f>IF($T197="",N($X196),IF(MATCH($T197,$T$6:$T$6005,0)=ROW()-5,N($X196)+1,N($X196)))</f>
        <v/>
      </c>
      <c r="Z197">
        <f>IF($V197="","",IF($AA197&gt;N($AA196),$AA197,""))</f>
        <v/>
      </c>
      <c r="AA197">
        <f>IF($V197="",N($AA196),IF(MATCH($V197,$V$6:$V$6005,0)=ROW()-5,N($AA196)+1,N($AA196)))</f>
        <v/>
      </c>
    </row>
    <row r="198" ht="21" customHeight="1" s="66">
      <c r="A198" s="56" t="n"/>
      <c r="B198" s="57" t="n"/>
      <c r="C198" s="57" t="n"/>
      <c r="D198" s="57" t="n"/>
      <c r="E198" s="56" t="n"/>
      <c r="F198" s="57" t="n"/>
      <c r="G198" s="57" t="n"/>
      <c r="H198" s="56" t="n"/>
      <c r="I198" s="56" t="n"/>
      <c r="J198" s="58" t="n"/>
      <c r="K198" s="58" t="n"/>
      <c r="L198" s="13">
        <f>IF(OR($A198="",AND($J198="",$K198="")),"",ROUND(N($J198)-N($K198),2))</f>
        <v/>
      </c>
      <c r="M198" s="13">
        <f>IF(OR($A198="",AND($J198="",$K198="")),"",MIN($J198,$K198))</f>
        <v/>
      </c>
      <c r="Q198">
        <f>IF($A198="","",$D198&amp;"("&amp;SUBSTITUTE($E198," ","")&amp;")")</f>
        <v/>
      </c>
      <c r="R198">
        <f>IF($A198="","",$B198&amp;" - "&amp;$C198)</f>
        <v/>
      </c>
      <c r="S198">
        <f>IF($A198="","",$R198&amp;"|"&amp;$Q198)</f>
        <v/>
      </c>
      <c r="T198">
        <f>IF($A198="","",$S198&amp;"|"&amp;$F198)</f>
        <v/>
      </c>
      <c r="U198">
        <f>IF($A198="","",$R198&amp;"("&amp;$E198&amp;")")</f>
        <v/>
      </c>
      <c r="V198">
        <f>IF($A198="","",$F198&amp;"|"&amp;$U198&amp;"|"&amp;$D198)</f>
        <v/>
      </c>
      <c r="W198">
        <f>IF($T198="","",IF($X198&gt;N($X197),$X198,""))</f>
        <v/>
      </c>
      <c r="X198">
        <f>IF($T198="",N($X197),IF(MATCH($T198,$T$6:$T$6005,0)=ROW()-5,N($X197)+1,N($X197)))</f>
        <v/>
      </c>
      <c r="Z198">
        <f>IF($V198="","",IF($AA198&gt;N($AA197),$AA198,""))</f>
        <v/>
      </c>
      <c r="AA198">
        <f>IF($V198="",N($AA197),IF(MATCH($V198,$V$6:$V$6005,0)=ROW()-5,N($AA197)+1,N($AA197)))</f>
        <v/>
      </c>
    </row>
    <row r="199" ht="21" customHeight="1" s="66">
      <c r="A199" s="56" t="n"/>
      <c r="B199" s="57" t="n"/>
      <c r="C199" s="57" t="n"/>
      <c r="D199" s="57" t="n"/>
      <c r="E199" s="56" t="n"/>
      <c r="F199" s="57" t="n"/>
      <c r="G199" s="57" t="n"/>
      <c r="H199" s="56" t="n"/>
      <c r="I199" s="56" t="n"/>
      <c r="J199" s="58" t="n"/>
      <c r="K199" s="58" t="n"/>
      <c r="L199" s="13">
        <f>IF(OR($A199="",AND($J199="",$K199="")),"",ROUND(N($J199)-N($K199),2))</f>
        <v/>
      </c>
      <c r="M199" s="13">
        <f>IF(OR($A199="",AND($J199="",$K199="")),"",MIN($J199,$K199))</f>
        <v/>
      </c>
      <c r="Q199">
        <f>IF($A199="","",$D199&amp;"("&amp;SUBSTITUTE($E199," ","")&amp;")")</f>
        <v/>
      </c>
      <c r="R199">
        <f>IF($A199="","",$B199&amp;" - "&amp;$C199)</f>
        <v/>
      </c>
      <c r="S199">
        <f>IF($A199="","",$R199&amp;"|"&amp;$Q199)</f>
        <v/>
      </c>
      <c r="T199">
        <f>IF($A199="","",$S199&amp;"|"&amp;$F199)</f>
        <v/>
      </c>
      <c r="U199">
        <f>IF($A199="","",$R199&amp;"("&amp;$E199&amp;")")</f>
        <v/>
      </c>
      <c r="V199">
        <f>IF($A199="","",$F199&amp;"|"&amp;$U199&amp;"|"&amp;$D199)</f>
        <v/>
      </c>
      <c r="W199">
        <f>IF($T199="","",IF($X199&gt;N($X198),$X199,""))</f>
        <v/>
      </c>
      <c r="X199">
        <f>IF($T199="",N($X198),IF(MATCH($T199,$T$6:$T$6005,0)=ROW()-5,N($X198)+1,N($X198)))</f>
        <v/>
      </c>
      <c r="Z199">
        <f>IF($V199="","",IF($AA199&gt;N($AA198),$AA199,""))</f>
        <v/>
      </c>
      <c r="AA199">
        <f>IF($V199="",N($AA198),IF(MATCH($V199,$V$6:$V$6005,0)=ROW()-5,N($AA198)+1,N($AA198)))</f>
        <v/>
      </c>
    </row>
    <row r="200" ht="21" customHeight="1" s="66">
      <c r="A200" s="56" t="n"/>
      <c r="B200" s="57" t="n"/>
      <c r="C200" s="57" t="n"/>
      <c r="D200" s="57" t="n"/>
      <c r="E200" s="56" t="n"/>
      <c r="F200" s="57" t="n"/>
      <c r="G200" s="57" t="n"/>
      <c r="H200" s="56" t="n"/>
      <c r="I200" s="56" t="n"/>
      <c r="J200" s="58" t="n"/>
      <c r="K200" s="58" t="n"/>
      <c r="L200" s="13">
        <f>IF(OR($A200="",AND($J200="",$K200="")),"",ROUND(N($J200)-N($K200),2))</f>
        <v/>
      </c>
      <c r="M200" s="13">
        <f>IF(OR($A200="",AND($J200="",$K200="")),"",MIN($J200,$K200))</f>
        <v/>
      </c>
      <c r="Q200">
        <f>IF($A200="","",$D200&amp;"("&amp;SUBSTITUTE($E200," ","")&amp;")")</f>
        <v/>
      </c>
      <c r="R200">
        <f>IF($A200="","",$B200&amp;" - "&amp;$C200)</f>
        <v/>
      </c>
      <c r="S200">
        <f>IF($A200="","",$R200&amp;"|"&amp;$Q200)</f>
        <v/>
      </c>
      <c r="T200">
        <f>IF($A200="","",$S200&amp;"|"&amp;$F200)</f>
        <v/>
      </c>
      <c r="U200">
        <f>IF($A200="","",$R200&amp;"("&amp;$E200&amp;")")</f>
        <v/>
      </c>
      <c r="V200">
        <f>IF($A200="","",$F200&amp;"|"&amp;$U200&amp;"|"&amp;$D200)</f>
        <v/>
      </c>
      <c r="W200">
        <f>IF($T200="","",IF($X200&gt;N($X199),$X200,""))</f>
        <v/>
      </c>
      <c r="X200">
        <f>IF($T200="",N($X199),IF(MATCH($T200,$T$6:$T$6005,0)=ROW()-5,N($X199)+1,N($X199)))</f>
        <v/>
      </c>
      <c r="Z200">
        <f>IF($V200="","",IF($AA200&gt;N($AA199),$AA200,""))</f>
        <v/>
      </c>
      <c r="AA200">
        <f>IF($V200="",N($AA199),IF(MATCH($V200,$V$6:$V$6005,0)=ROW()-5,N($AA199)+1,N($AA199)))</f>
        <v/>
      </c>
    </row>
    <row r="201" ht="21" customHeight="1" s="66">
      <c r="A201" s="56" t="n"/>
      <c r="B201" s="57" t="n"/>
      <c r="C201" s="57" t="n"/>
      <c r="D201" s="57" t="n"/>
      <c r="E201" s="56" t="n"/>
      <c r="F201" s="57" t="n"/>
      <c r="G201" s="57" t="n"/>
      <c r="H201" s="56" t="n"/>
      <c r="I201" s="56" t="n"/>
      <c r="J201" s="58" t="n"/>
      <c r="K201" s="58" t="n"/>
      <c r="L201" s="13">
        <f>IF(OR($A201="",AND($J201="",$K201="")),"",ROUND(N($J201)-N($K201),2))</f>
        <v/>
      </c>
      <c r="M201" s="13">
        <f>IF(OR($A201="",AND($J201="",$K201="")),"",MIN($J201,$K201))</f>
        <v/>
      </c>
      <c r="Q201">
        <f>IF($A201="","",$D201&amp;"("&amp;SUBSTITUTE($E201," ","")&amp;")")</f>
        <v/>
      </c>
      <c r="R201">
        <f>IF($A201="","",$B201&amp;" - "&amp;$C201)</f>
        <v/>
      </c>
      <c r="S201">
        <f>IF($A201="","",$R201&amp;"|"&amp;$Q201)</f>
        <v/>
      </c>
      <c r="T201">
        <f>IF($A201="","",$S201&amp;"|"&amp;$F201)</f>
        <v/>
      </c>
      <c r="U201">
        <f>IF($A201="","",$R201&amp;"("&amp;$E201&amp;")")</f>
        <v/>
      </c>
      <c r="V201">
        <f>IF($A201="","",$F201&amp;"|"&amp;$U201&amp;"|"&amp;$D201)</f>
        <v/>
      </c>
      <c r="W201">
        <f>IF($T201="","",IF($X201&gt;N($X200),$X201,""))</f>
        <v/>
      </c>
      <c r="X201">
        <f>IF($T201="",N($X200),IF(MATCH($T201,$T$6:$T$6005,0)=ROW()-5,N($X200)+1,N($X200)))</f>
        <v/>
      </c>
      <c r="Z201">
        <f>IF($V201="","",IF($AA201&gt;N($AA200),$AA201,""))</f>
        <v/>
      </c>
      <c r="AA201">
        <f>IF($V201="",N($AA200),IF(MATCH($V201,$V$6:$V$6005,0)=ROW()-5,N($AA200)+1,N($AA200)))</f>
        <v/>
      </c>
    </row>
    <row r="202" ht="21" customHeight="1" s="66">
      <c r="A202" s="56" t="n"/>
      <c r="B202" s="57" t="n"/>
      <c r="C202" s="57" t="n"/>
      <c r="D202" s="57" t="n"/>
      <c r="E202" s="56" t="n"/>
      <c r="F202" s="57" t="n"/>
      <c r="G202" s="57" t="n"/>
      <c r="H202" s="56" t="n"/>
      <c r="I202" s="56" t="n"/>
      <c r="J202" s="58" t="n"/>
      <c r="K202" s="58" t="n"/>
      <c r="L202" s="13">
        <f>IF(OR($A202="",AND($J202="",$K202="")),"",ROUND(N($J202)-N($K202),2))</f>
        <v/>
      </c>
      <c r="M202" s="13">
        <f>IF(OR($A202="",AND($J202="",$K202="")),"",MIN($J202,$K202))</f>
        <v/>
      </c>
      <c r="Q202">
        <f>IF($A202="","",$D202&amp;"("&amp;SUBSTITUTE($E202," ","")&amp;")")</f>
        <v/>
      </c>
      <c r="R202">
        <f>IF($A202="","",$B202&amp;" - "&amp;$C202)</f>
        <v/>
      </c>
      <c r="S202">
        <f>IF($A202="","",$R202&amp;"|"&amp;$Q202)</f>
        <v/>
      </c>
      <c r="T202">
        <f>IF($A202="","",$S202&amp;"|"&amp;$F202)</f>
        <v/>
      </c>
      <c r="U202">
        <f>IF($A202="","",$R202&amp;"("&amp;$E202&amp;")")</f>
        <v/>
      </c>
      <c r="V202">
        <f>IF($A202="","",$F202&amp;"|"&amp;$U202&amp;"|"&amp;$D202)</f>
        <v/>
      </c>
      <c r="W202">
        <f>IF($T202="","",IF($X202&gt;N($X201),$X202,""))</f>
        <v/>
      </c>
      <c r="X202">
        <f>IF($T202="",N($X201),IF(MATCH($T202,$T$6:$T$6005,0)=ROW()-5,N($X201)+1,N($X201)))</f>
        <v/>
      </c>
      <c r="Z202">
        <f>IF($V202="","",IF($AA202&gt;N($AA201),$AA202,""))</f>
        <v/>
      </c>
      <c r="AA202">
        <f>IF($V202="",N($AA201),IF(MATCH($V202,$V$6:$V$6005,0)=ROW()-5,N($AA201)+1,N($AA201)))</f>
        <v/>
      </c>
    </row>
    <row r="203" ht="21" customHeight="1" s="66">
      <c r="A203" s="56" t="n"/>
      <c r="B203" s="57" t="n"/>
      <c r="C203" s="57" t="n"/>
      <c r="D203" s="57" t="n"/>
      <c r="E203" s="56" t="n"/>
      <c r="F203" s="57" t="n"/>
      <c r="G203" s="57" t="n"/>
      <c r="H203" s="56" t="n"/>
      <c r="I203" s="56" t="n"/>
      <c r="J203" s="58" t="n"/>
      <c r="K203" s="58" t="n"/>
      <c r="L203" s="13">
        <f>IF(OR($A203="",AND($J203="",$K203="")),"",ROUND(N($J203)-N($K203),2))</f>
        <v/>
      </c>
      <c r="M203" s="13">
        <f>IF(OR($A203="",AND($J203="",$K203="")),"",MIN($J203,$K203))</f>
        <v/>
      </c>
      <c r="Q203">
        <f>IF($A203="","",$D203&amp;"("&amp;SUBSTITUTE($E203," ","")&amp;")")</f>
        <v/>
      </c>
      <c r="R203">
        <f>IF($A203="","",$B203&amp;" - "&amp;$C203)</f>
        <v/>
      </c>
      <c r="S203">
        <f>IF($A203="","",$R203&amp;"|"&amp;$Q203)</f>
        <v/>
      </c>
      <c r="T203">
        <f>IF($A203="","",$S203&amp;"|"&amp;$F203)</f>
        <v/>
      </c>
      <c r="U203">
        <f>IF($A203="","",$R203&amp;"("&amp;$E203&amp;")")</f>
        <v/>
      </c>
      <c r="V203">
        <f>IF($A203="","",$F203&amp;"|"&amp;$U203&amp;"|"&amp;$D203)</f>
        <v/>
      </c>
      <c r="W203">
        <f>IF($T203="","",IF($X203&gt;N($X202),$X203,""))</f>
        <v/>
      </c>
      <c r="X203">
        <f>IF($T203="",N($X202),IF(MATCH($T203,$T$6:$T$6005,0)=ROW()-5,N($X202)+1,N($X202)))</f>
        <v/>
      </c>
      <c r="Z203">
        <f>IF($V203="","",IF($AA203&gt;N($AA202),$AA203,""))</f>
        <v/>
      </c>
      <c r="AA203">
        <f>IF($V203="",N($AA202),IF(MATCH($V203,$V$6:$V$6005,0)=ROW()-5,N($AA202)+1,N($AA202)))</f>
        <v/>
      </c>
    </row>
    <row r="204" ht="21" customHeight="1" s="66">
      <c r="A204" s="56" t="n"/>
      <c r="B204" s="57" t="n"/>
      <c r="C204" s="57" t="n"/>
      <c r="D204" s="57" t="n"/>
      <c r="E204" s="56" t="n"/>
      <c r="F204" s="57" t="n"/>
      <c r="G204" s="57" t="n"/>
      <c r="H204" s="56" t="n"/>
      <c r="I204" s="56" t="n"/>
      <c r="J204" s="58" t="n"/>
      <c r="K204" s="58" t="n"/>
      <c r="L204" s="13">
        <f>IF(OR($A204="",AND($J204="",$K204="")),"",ROUND(N($J204)-N($K204),2))</f>
        <v/>
      </c>
      <c r="M204" s="13">
        <f>IF(OR($A204="",AND($J204="",$K204="")),"",MIN($J204,$K204))</f>
        <v/>
      </c>
      <c r="Q204">
        <f>IF($A204="","",$D204&amp;"("&amp;SUBSTITUTE($E204," ","")&amp;")")</f>
        <v/>
      </c>
      <c r="R204">
        <f>IF($A204="","",$B204&amp;" - "&amp;$C204)</f>
        <v/>
      </c>
      <c r="S204">
        <f>IF($A204="","",$R204&amp;"|"&amp;$Q204)</f>
        <v/>
      </c>
      <c r="T204">
        <f>IF($A204="","",$S204&amp;"|"&amp;$F204)</f>
        <v/>
      </c>
      <c r="U204">
        <f>IF($A204="","",$R204&amp;"("&amp;$E204&amp;")")</f>
        <v/>
      </c>
      <c r="V204">
        <f>IF($A204="","",$F204&amp;"|"&amp;$U204&amp;"|"&amp;$D204)</f>
        <v/>
      </c>
      <c r="W204">
        <f>IF($T204="","",IF($X204&gt;N($X203),$X204,""))</f>
        <v/>
      </c>
      <c r="X204">
        <f>IF($T204="",N($X203),IF(MATCH($T204,$T$6:$T$6005,0)=ROW()-5,N($X203)+1,N($X203)))</f>
        <v/>
      </c>
      <c r="Z204">
        <f>IF($V204="","",IF($AA204&gt;N($AA203),$AA204,""))</f>
        <v/>
      </c>
      <c r="AA204">
        <f>IF($V204="",N($AA203),IF(MATCH($V204,$V$6:$V$6005,0)=ROW()-5,N($AA203)+1,N($AA203)))</f>
        <v/>
      </c>
    </row>
    <row r="205" ht="21" customHeight="1" s="66">
      <c r="A205" s="56" t="n"/>
      <c r="B205" s="57" t="n"/>
      <c r="C205" s="57" t="n"/>
      <c r="D205" s="57" t="n"/>
      <c r="E205" s="56" t="n"/>
      <c r="F205" s="57" t="n"/>
      <c r="G205" s="57" t="n"/>
      <c r="H205" s="56" t="n"/>
      <c r="I205" s="56" t="n"/>
      <c r="J205" s="58" t="n"/>
      <c r="K205" s="58" t="n"/>
      <c r="L205" s="13">
        <f>IF(OR($A205="",AND($J205="",$K205="")),"",ROUND(N($J205)-N($K205),2))</f>
        <v/>
      </c>
      <c r="M205" s="13">
        <f>IF(OR($A205="",AND($J205="",$K205="")),"",MIN($J205,$K205))</f>
        <v/>
      </c>
      <c r="Q205">
        <f>IF($A205="","",$D205&amp;"("&amp;SUBSTITUTE($E205," ","")&amp;")")</f>
        <v/>
      </c>
      <c r="R205">
        <f>IF($A205="","",$B205&amp;" - "&amp;$C205)</f>
        <v/>
      </c>
      <c r="S205">
        <f>IF($A205="","",$R205&amp;"|"&amp;$Q205)</f>
        <v/>
      </c>
      <c r="T205">
        <f>IF($A205="","",$S205&amp;"|"&amp;$F205)</f>
        <v/>
      </c>
      <c r="U205">
        <f>IF($A205="","",$R205&amp;"("&amp;$E205&amp;")")</f>
        <v/>
      </c>
      <c r="V205">
        <f>IF($A205="","",$F205&amp;"|"&amp;$U205&amp;"|"&amp;$D205)</f>
        <v/>
      </c>
      <c r="W205">
        <f>IF($T205="","",IF($X205&gt;N($X204),$X205,""))</f>
        <v/>
      </c>
      <c r="X205">
        <f>IF($T205="",N($X204),IF(MATCH($T205,$T$6:$T$6005,0)=ROW()-5,N($X204)+1,N($X204)))</f>
        <v/>
      </c>
      <c r="Z205">
        <f>IF($V205="","",IF($AA205&gt;N($AA204),$AA205,""))</f>
        <v/>
      </c>
      <c r="AA205">
        <f>IF($V205="",N($AA204),IF(MATCH($V205,$V$6:$V$6005,0)=ROW()-5,N($AA204)+1,N($AA204)))</f>
        <v/>
      </c>
    </row>
    <row r="206" ht="21" customHeight="1" s="66">
      <c r="A206" s="56" t="n"/>
      <c r="B206" s="57" t="n"/>
      <c r="C206" s="57" t="n"/>
      <c r="D206" s="57" t="n"/>
      <c r="E206" s="56" t="n"/>
      <c r="F206" s="57" t="n"/>
      <c r="G206" s="57" t="n"/>
      <c r="H206" s="56" t="n"/>
      <c r="I206" s="56" t="n"/>
      <c r="J206" s="58" t="n"/>
      <c r="K206" s="58" t="n"/>
      <c r="L206" s="13">
        <f>IF(OR($A206="",AND($J206="",$K206="")),"",ROUND(N($J206)-N($K206),2))</f>
        <v/>
      </c>
      <c r="M206" s="13">
        <f>IF(OR($A206="",AND($J206="",$K206="")),"",MIN($J206,$K206))</f>
        <v/>
      </c>
      <c r="Q206">
        <f>IF($A206="","",$D206&amp;"("&amp;SUBSTITUTE($E206," ","")&amp;")")</f>
        <v/>
      </c>
      <c r="R206">
        <f>IF($A206="","",$B206&amp;" - "&amp;$C206)</f>
        <v/>
      </c>
      <c r="S206">
        <f>IF($A206="","",$R206&amp;"|"&amp;$Q206)</f>
        <v/>
      </c>
      <c r="T206">
        <f>IF($A206="","",$S206&amp;"|"&amp;$F206)</f>
        <v/>
      </c>
      <c r="U206">
        <f>IF($A206="","",$R206&amp;"("&amp;$E206&amp;")")</f>
        <v/>
      </c>
      <c r="V206">
        <f>IF($A206="","",$F206&amp;"|"&amp;$U206&amp;"|"&amp;$D206)</f>
        <v/>
      </c>
      <c r="W206">
        <f>IF($T206="","",IF($X206&gt;N($X205),$X206,""))</f>
        <v/>
      </c>
      <c r="X206">
        <f>IF($T206="",N($X205),IF(MATCH($T206,$T$6:$T$6005,0)=ROW()-5,N($X205)+1,N($X205)))</f>
        <v/>
      </c>
      <c r="Z206">
        <f>IF($V206="","",IF($AA206&gt;N($AA205),$AA206,""))</f>
        <v/>
      </c>
      <c r="AA206">
        <f>IF($V206="",N($AA205),IF(MATCH($V206,$V$6:$V$6005,0)=ROW()-5,N($AA205)+1,N($AA205)))</f>
        <v/>
      </c>
    </row>
    <row r="207" ht="21" customHeight="1" s="66">
      <c r="A207" s="56" t="n"/>
      <c r="B207" s="57" t="n"/>
      <c r="C207" s="57" t="n"/>
      <c r="D207" s="57" t="n"/>
      <c r="E207" s="56" t="n"/>
      <c r="F207" s="57" t="n"/>
      <c r="G207" s="57" t="n"/>
      <c r="H207" s="56" t="n"/>
      <c r="I207" s="56" t="n"/>
      <c r="J207" s="58" t="n"/>
      <c r="K207" s="58" t="n"/>
      <c r="L207" s="13">
        <f>IF(OR($A207="",AND($J207="",$K207="")),"",ROUND(N($J207)-N($K207),2))</f>
        <v/>
      </c>
      <c r="M207" s="13">
        <f>IF(OR($A207="",AND($J207="",$K207="")),"",MIN($J207,$K207))</f>
        <v/>
      </c>
      <c r="Q207">
        <f>IF($A207="","",$D207&amp;"("&amp;SUBSTITUTE($E207," ","")&amp;")")</f>
        <v/>
      </c>
      <c r="R207">
        <f>IF($A207="","",$B207&amp;" - "&amp;$C207)</f>
        <v/>
      </c>
      <c r="S207">
        <f>IF($A207="","",$R207&amp;"|"&amp;$Q207)</f>
        <v/>
      </c>
      <c r="T207">
        <f>IF($A207="","",$S207&amp;"|"&amp;$F207)</f>
        <v/>
      </c>
      <c r="U207">
        <f>IF($A207="","",$R207&amp;"("&amp;$E207&amp;")")</f>
        <v/>
      </c>
      <c r="V207">
        <f>IF($A207="","",$F207&amp;"|"&amp;$U207&amp;"|"&amp;$D207)</f>
        <v/>
      </c>
      <c r="W207">
        <f>IF($T207="","",IF($X207&gt;N($X206),$X207,""))</f>
        <v/>
      </c>
      <c r="X207">
        <f>IF($T207="",N($X206),IF(MATCH($T207,$T$6:$T$6005,0)=ROW()-5,N($X206)+1,N($X206)))</f>
        <v/>
      </c>
      <c r="Z207">
        <f>IF($V207="","",IF($AA207&gt;N($AA206),$AA207,""))</f>
        <v/>
      </c>
      <c r="AA207">
        <f>IF($V207="",N($AA206),IF(MATCH($V207,$V$6:$V$6005,0)=ROW()-5,N($AA206)+1,N($AA206)))</f>
        <v/>
      </c>
    </row>
    <row r="208" ht="21" customHeight="1" s="66">
      <c r="A208" s="56" t="n"/>
      <c r="B208" s="57" t="n"/>
      <c r="C208" s="57" t="n"/>
      <c r="D208" s="57" t="n"/>
      <c r="E208" s="56" t="n"/>
      <c r="F208" s="57" t="n"/>
      <c r="G208" s="57" t="n"/>
      <c r="H208" s="56" t="n"/>
      <c r="I208" s="56" t="n"/>
      <c r="J208" s="58" t="n"/>
      <c r="K208" s="58" t="n"/>
      <c r="L208" s="13">
        <f>IF(OR($A208="",AND($J208="",$K208="")),"",ROUND(N($J208)-N($K208),2))</f>
        <v/>
      </c>
      <c r="M208" s="13">
        <f>IF(OR($A208="",AND($J208="",$K208="")),"",MIN($J208,$K208))</f>
        <v/>
      </c>
      <c r="Q208">
        <f>IF($A208="","",$D208&amp;"("&amp;SUBSTITUTE($E208," ","")&amp;")")</f>
        <v/>
      </c>
      <c r="R208">
        <f>IF($A208="","",$B208&amp;" - "&amp;$C208)</f>
        <v/>
      </c>
      <c r="S208">
        <f>IF($A208="","",$R208&amp;"|"&amp;$Q208)</f>
        <v/>
      </c>
      <c r="T208">
        <f>IF($A208="","",$S208&amp;"|"&amp;$F208)</f>
        <v/>
      </c>
      <c r="U208">
        <f>IF($A208="","",$R208&amp;"("&amp;$E208&amp;")")</f>
        <v/>
      </c>
      <c r="V208">
        <f>IF($A208="","",$F208&amp;"|"&amp;$U208&amp;"|"&amp;$D208)</f>
        <v/>
      </c>
      <c r="W208">
        <f>IF($T208="","",IF($X208&gt;N($X207),$X208,""))</f>
        <v/>
      </c>
      <c r="X208">
        <f>IF($T208="",N($X207),IF(MATCH($T208,$T$6:$T$6005,0)=ROW()-5,N($X207)+1,N($X207)))</f>
        <v/>
      </c>
      <c r="Z208">
        <f>IF($V208="","",IF($AA208&gt;N($AA207),$AA208,""))</f>
        <v/>
      </c>
      <c r="AA208">
        <f>IF($V208="",N($AA207),IF(MATCH($V208,$V$6:$V$6005,0)=ROW()-5,N($AA207)+1,N($AA207)))</f>
        <v/>
      </c>
    </row>
    <row r="209" ht="21" customHeight="1" s="66">
      <c r="A209" s="56" t="n"/>
      <c r="B209" s="57" t="n"/>
      <c r="C209" s="57" t="n"/>
      <c r="D209" s="57" t="n"/>
      <c r="E209" s="56" t="n"/>
      <c r="F209" s="57" t="n"/>
      <c r="G209" s="57" t="n"/>
      <c r="H209" s="56" t="n"/>
      <c r="I209" s="56" t="n"/>
      <c r="J209" s="58" t="n"/>
      <c r="K209" s="58" t="n"/>
      <c r="L209" s="13">
        <f>IF(OR($A209="",AND($J209="",$K209="")),"",ROUND(N($J209)-N($K209),2))</f>
        <v/>
      </c>
      <c r="M209" s="13">
        <f>IF(OR($A209="",AND($J209="",$K209="")),"",MIN($J209,$K209))</f>
        <v/>
      </c>
      <c r="Q209">
        <f>IF($A209="","",$D209&amp;"("&amp;SUBSTITUTE($E209," ","")&amp;")")</f>
        <v/>
      </c>
      <c r="R209">
        <f>IF($A209="","",$B209&amp;" - "&amp;$C209)</f>
        <v/>
      </c>
      <c r="S209">
        <f>IF($A209="","",$R209&amp;"|"&amp;$Q209)</f>
        <v/>
      </c>
      <c r="T209">
        <f>IF($A209="","",$S209&amp;"|"&amp;$F209)</f>
        <v/>
      </c>
      <c r="U209">
        <f>IF($A209="","",$R209&amp;"("&amp;$E209&amp;")")</f>
        <v/>
      </c>
      <c r="V209">
        <f>IF($A209="","",$F209&amp;"|"&amp;$U209&amp;"|"&amp;$D209)</f>
        <v/>
      </c>
      <c r="W209">
        <f>IF($T209="","",IF($X209&gt;N($X208),$X209,""))</f>
        <v/>
      </c>
      <c r="X209">
        <f>IF($T209="",N($X208),IF(MATCH($T209,$T$6:$T$6005,0)=ROW()-5,N($X208)+1,N($X208)))</f>
        <v/>
      </c>
      <c r="Z209">
        <f>IF($V209="","",IF($AA209&gt;N($AA208),$AA209,""))</f>
        <v/>
      </c>
      <c r="AA209">
        <f>IF($V209="",N($AA208),IF(MATCH($V209,$V$6:$V$6005,0)=ROW()-5,N($AA208)+1,N($AA208)))</f>
        <v/>
      </c>
    </row>
    <row r="210" ht="21" customHeight="1" s="66">
      <c r="A210" s="56" t="n"/>
      <c r="B210" s="57" t="n"/>
      <c r="C210" s="57" t="n"/>
      <c r="D210" s="57" t="n"/>
      <c r="E210" s="56" t="n"/>
      <c r="F210" s="57" t="n"/>
      <c r="G210" s="57" t="n"/>
      <c r="H210" s="56" t="n"/>
      <c r="I210" s="56" t="n"/>
      <c r="J210" s="58" t="n"/>
      <c r="K210" s="58" t="n"/>
      <c r="L210" s="13">
        <f>IF(OR($A210="",AND($J210="",$K210="")),"",ROUND(N($J210)-N($K210),2))</f>
        <v/>
      </c>
      <c r="M210" s="13">
        <f>IF(OR($A210="",AND($J210="",$K210="")),"",MIN($J210,$K210))</f>
        <v/>
      </c>
      <c r="Q210">
        <f>IF($A210="","",$D210&amp;"("&amp;SUBSTITUTE($E210," ","")&amp;")")</f>
        <v/>
      </c>
      <c r="R210">
        <f>IF($A210="","",$B210&amp;" - "&amp;$C210)</f>
        <v/>
      </c>
      <c r="S210">
        <f>IF($A210="","",$R210&amp;"|"&amp;$Q210)</f>
        <v/>
      </c>
      <c r="T210">
        <f>IF($A210="","",$S210&amp;"|"&amp;$F210)</f>
        <v/>
      </c>
      <c r="U210">
        <f>IF($A210="","",$R210&amp;"("&amp;$E210&amp;")")</f>
        <v/>
      </c>
      <c r="V210">
        <f>IF($A210="","",$F210&amp;"|"&amp;$U210&amp;"|"&amp;$D210)</f>
        <v/>
      </c>
      <c r="W210">
        <f>IF($T210="","",IF($X210&gt;N($X209),$X210,""))</f>
        <v/>
      </c>
      <c r="X210">
        <f>IF($T210="",N($X209),IF(MATCH($T210,$T$6:$T$6005,0)=ROW()-5,N($X209)+1,N($X209)))</f>
        <v/>
      </c>
      <c r="Z210">
        <f>IF($V210="","",IF($AA210&gt;N($AA209),$AA210,""))</f>
        <v/>
      </c>
      <c r="AA210">
        <f>IF($V210="",N($AA209),IF(MATCH($V210,$V$6:$V$6005,0)=ROW()-5,N($AA209)+1,N($AA209)))</f>
        <v/>
      </c>
    </row>
    <row r="211" ht="21" customHeight="1" s="66">
      <c r="A211" s="56" t="n"/>
      <c r="B211" s="57" t="n"/>
      <c r="C211" s="57" t="n"/>
      <c r="D211" s="57" t="n"/>
      <c r="E211" s="56" t="n"/>
      <c r="F211" s="57" t="n"/>
      <c r="G211" s="57" t="n"/>
      <c r="H211" s="56" t="n"/>
      <c r="I211" s="56" t="n"/>
      <c r="J211" s="58" t="n"/>
      <c r="K211" s="58" t="n"/>
      <c r="L211" s="13">
        <f>IF(OR($A211="",AND($J211="",$K211="")),"",ROUND(N($J211)-N($K211),2))</f>
        <v/>
      </c>
      <c r="M211" s="13">
        <f>IF(OR($A211="",AND($J211="",$K211="")),"",MIN($J211,$K211))</f>
        <v/>
      </c>
      <c r="Q211">
        <f>IF($A211="","",$D211&amp;"("&amp;SUBSTITUTE($E211," ","")&amp;")")</f>
        <v/>
      </c>
      <c r="R211">
        <f>IF($A211="","",$B211&amp;" - "&amp;$C211)</f>
        <v/>
      </c>
      <c r="S211">
        <f>IF($A211="","",$R211&amp;"|"&amp;$Q211)</f>
        <v/>
      </c>
      <c r="T211">
        <f>IF($A211="","",$S211&amp;"|"&amp;$F211)</f>
        <v/>
      </c>
      <c r="U211">
        <f>IF($A211="","",$R211&amp;"("&amp;$E211&amp;")")</f>
        <v/>
      </c>
      <c r="V211">
        <f>IF($A211="","",$F211&amp;"|"&amp;$U211&amp;"|"&amp;$D211)</f>
        <v/>
      </c>
      <c r="W211">
        <f>IF($T211="","",IF($X211&gt;N($X210),$X211,""))</f>
        <v/>
      </c>
      <c r="X211">
        <f>IF($T211="",N($X210),IF(MATCH($T211,$T$6:$T$6005,0)=ROW()-5,N($X210)+1,N($X210)))</f>
        <v/>
      </c>
      <c r="Z211">
        <f>IF($V211="","",IF($AA211&gt;N($AA210),$AA211,""))</f>
        <v/>
      </c>
      <c r="AA211">
        <f>IF($V211="",N($AA210),IF(MATCH($V211,$V$6:$V$6005,0)=ROW()-5,N($AA210)+1,N($AA210)))</f>
        <v/>
      </c>
    </row>
    <row r="212" ht="21" customHeight="1" s="66">
      <c r="A212" s="56" t="n"/>
      <c r="B212" s="57" t="n"/>
      <c r="C212" s="57" t="n"/>
      <c r="D212" s="57" t="n"/>
      <c r="E212" s="56" t="n"/>
      <c r="F212" s="57" t="n"/>
      <c r="G212" s="57" t="n"/>
      <c r="H212" s="56" t="n"/>
      <c r="I212" s="56" t="n"/>
      <c r="J212" s="58" t="n"/>
      <c r="K212" s="58" t="n"/>
      <c r="L212" s="13">
        <f>IF(OR($A212="",AND($J212="",$K212="")),"",ROUND(N($J212)-N($K212),2))</f>
        <v/>
      </c>
      <c r="M212" s="13">
        <f>IF(OR($A212="",AND($J212="",$K212="")),"",MIN($J212,$K212))</f>
        <v/>
      </c>
      <c r="Q212">
        <f>IF($A212="","",$D212&amp;"("&amp;SUBSTITUTE($E212," ","")&amp;")")</f>
        <v/>
      </c>
      <c r="R212">
        <f>IF($A212="","",$B212&amp;" - "&amp;$C212)</f>
        <v/>
      </c>
      <c r="S212">
        <f>IF($A212="","",$R212&amp;"|"&amp;$Q212)</f>
        <v/>
      </c>
      <c r="T212">
        <f>IF($A212="","",$S212&amp;"|"&amp;$F212)</f>
        <v/>
      </c>
      <c r="U212">
        <f>IF($A212="","",$R212&amp;"("&amp;$E212&amp;")")</f>
        <v/>
      </c>
      <c r="V212">
        <f>IF($A212="","",$F212&amp;"|"&amp;$U212&amp;"|"&amp;$D212)</f>
        <v/>
      </c>
      <c r="W212">
        <f>IF($T212="","",IF($X212&gt;N($X211),$X212,""))</f>
        <v/>
      </c>
      <c r="X212">
        <f>IF($T212="",N($X211),IF(MATCH($T212,$T$6:$T$6005,0)=ROW()-5,N($X211)+1,N($X211)))</f>
        <v/>
      </c>
      <c r="Z212">
        <f>IF($V212="","",IF($AA212&gt;N($AA211),$AA212,""))</f>
        <v/>
      </c>
      <c r="AA212">
        <f>IF($V212="",N($AA211),IF(MATCH($V212,$V$6:$V$6005,0)=ROW()-5,N($AA211)+1,N($AA211)))</f>
        <v/>
      </c>
    </row>
    <row r="213" ht="21" customHeight="1" s="66">
      <c r="A213" s="56" t="n"/>
      <c r="B213" s="57" t="n"/>
      <c r="C213" s="57" t="n"/>
      <c r="D213" s="57" t="n"/>
      <c r="E213" s="56" t="n"/>
      <c r="F213" s="57" t="n"/>
      <c r="G213" s="57" t="n"/>
      <c r="H213" s="56" t="n"/>
      <c r="I213" s="56" t="n"/>
      <c r="J213" s="58" t="n"/>
      <c r="K213" s="58" t="n"/>
      <c r="L213" s="13">
        <f>IF(OR($A213="",AND($J213="",$K213="")),"",ROUND(N($J213)-N($K213),2))</f>
        <v/>
      </c>
      <c r="M213" s="13">
        <f>IF(OR($A213="",AND($J213="",$K213="")),"",MIN($J213,$K213))</f>
        <v/>
      </c>
      <c r="Q213">
        <f>IF($A213="","",$D213&amp;"("&amp;SUBSTITUTE($E213," ","")&amp;")")</f>
        <v/>
      </c>
      <c r="R213">
        <f>IF($A213="","",$B213&amp;" - "&amp;$C213)</f>
        <v/>
      </c>
      <c r="S213">
        <f>IF($A213="","",$R213&amp;"|"&amp;$Q213)</f>
        <v/>
      </c>
      <c r="T213">
        <f>IF($A213="","",$S213&amp;"|"&amp;$F213)</f>
        <v/>
      </c>
      <c r="U213">
        <f>IF($A213="","",$R213&amp;"("&amp;$E213&amp;")")</f>
        <v/>
      </c>
      <c r="V213">
        <f>IF($A213="","",$F213&amp;"|"&amp;$U213&amp;"|"&amp;$D213)</f>
        <v/>
      </c>
      <c r="W213">
        <f>IF($T213="","",IF($X213&gt;N($X212),$X213,""))</f>
        <v/>
      </c>
      <c r="X213">
        <f>IF($T213="",N($X212),IF(MATCH($T213,$T$6:$T$6005,0)=ROW()-5,N($X212)+1,N($X212)))</f>
        <v/>
      </c>
      <c r="Z213">
        <f>IF($V213="","",IF($AA213&gt;N($AA212),$AA213,""))</f>
        <v/>
      </c>
      <c r="AA213">
        <f>IF($V213="",N($AA212),IF(MATCH($V213,$V$6:$V$6005,0)=ROW()-5,N($AA212)+1,N($AA212)))</f>
        <v/>
      </c>
    </row>
    <row r="214" ht="21" customHeight="1" s="66">
      <c r="A214" s="56" t="n"/>
      <c r="B214" s="57" t="n"/>
      <c r="C214" s="57" t="n"/>
      <c r="D214" s="57" t="n"/>
      <c r="E214" s="56" t="n"/>
      <c r="F214" s="57" t="n"/>
      <c r="G214" s="57" t="n"/>
      <c r="H214" s="56" t="n"/>
      <c r="I214" s="56" t="n"/>
      <c r="J214" s="58" t="n"/>
      <c r="K214" s="58" t="n"/>
      <c r="L214" s="13">
        <f>IF(OR($A214="",AND($J214="",$K214="")),"",ROUND(N($J214)-N($K214),2))</f>
        <v/>
      </c>
      <c r="M214" s="13">
        <f>IF(OR($A214="",AND($J214="",$K214="")),"",MIN($J214,$K214))</f>
        <v/>
      </c>
      <c r="Q214">
        <f>IF($A214="","",$D214&amp;"("&amp;SUBSTITUTE($E214," ","")&amp;")")</f>
        <v/>
      </c>
      <c r="R214">
        <f>IF($A214="","",$B214&amp;" - "&amp;$C214)</f>
        <v/>
      </c>
      <c r="S214">
        <f>IF($A214="","",$R214&amp;"|"&amp;$Q214)</f>
        <v/>
      </c>
      <c r="T214">
        <f>IF($A214="","",$S214&amp;"|"&amp;$F214)</f>
        <v/>
      </c>
      <c r="U214">
        <f>IF($A214="","",$R214&amp;"("&amp;$E214&amp;")")</f>
        <v/>
      </c>
      <c r="V214">
        <f>IF($A214="","",$F214&amp;"|"&amp;$U214&amp;"|"&amp;$D214)</f>
        <v/>
      </c>
      <c r="W214">
        <f>IF($T214="","",IF($X214&gt;N($X213),$X214,""))</f>
        <v/>
      </c>
      <c r="X214">
        <f>IF($T214="",N($X213),IF(MATCH($T214,$T$6:$T$6005,0)=ROW()-5,N($X213)+1,N($X213)))</f>
        <v/>
      </c>
      <c r="Z214">
        <f>IF($V214="","",IF($AA214&gt;N($AA213),$AA214,""))</f>
        <v/>
      </c>
      <c r="AA214">
        <f>IF($V214="",N($AA213),IF(MATCH($V214,$V$6:$V$6005,0)=ROW()-5,N($AA213)+1,N($AA213)))</f>
        <v/>
      </c>
    </row>
    <row r="215" ht="21" customHeight="1" s="66">
      <c r="A215" s="56" t="n"/>
      <c r="B215" s="57" t="n"/>
      <c r="C215" s="57" t="n"/>
      <c r="D215" s="57" t="n"/>
      <c r="E215" s="56" t="n"/>
      <c r="F215" s="57" t="n"/>
      <c r="G215" s="57" t="n"/>
      <c r="H215" s="56" t="n"/>
      <c r="I215" s="56" t="n"/>
      <c r="J215" s="58" t="n"/>
      <c r="K215" s="58" t="n"/>
      <c r="L215" s="13">
        <f>IF(OR($A215="",AND($J215="",$K215="")),"",ROUND(N($J215)-N($K215),2))</f>
        <v/>
      </c>
      <c r="M215" s="13">
        <f>IF(OR($A215="",AND($J215="",$K215="")),"",MIN($J215,$K215))</f>
        <v/>
      </c>
      <c r="Q215">
        <f>IF($A215="","",$D215&amp;"("&amp;SUBSTITUTE($E215," ","")&amp;")")</f>
        <v/>
      </c>
      <c r="R215">
        <f>IF($A215="","",$B215&amp;" - "&amp;$C215)</f>
        <v/>
      </c>
      <c r="S215">
        <f>IF($A215="","",$R215&amp;"|"&amp;$Q215)</f>
        <v/>
      </c>
      <c r="T215">
        <f>IF($A215="","",$S215&amp;"|"&amp;$F215)</f>
        <v/>
      </c>
      <c r="U215">
        <f>IF($A215="","",$R215&amp;"("&amp;$E215&amp;")")</f>
        <v/>
      </c>
      <c r="V215">
        <f>IF($A215="","",$F215&amp;"|"&amp;$U215&amp;"|"&amp;$D215)</f>
        <v/>
      </c>
      <c r="W215">
        <f>IF($T215="","",IF($X215&gt;N($X214),$X215,""))</f>
        <v/>
      </c>
      <c r="X215">
        <f>IF($T215="",N($X214),IF(MATCH($T215,$T$6:$T$6005,0)=ROW()-5,N($X214)+1,N($X214)))</f>
        <v/>
      </c>
      <c r="Z215">
        <f>IF($V215="","",IF($AA215&gt;N($AA214),$AA215,""))</f>
        <v/>
      </c>
      <c r="AA215">
        <f>IF($V215="",N($AA214),IF(MATCH($V215,$V$6:$V$6005,0)=ROW()-5,N($AA214)+1,N($AA214)))</f>
        <v/>
      </c>
    </row>
    <row r="216" ht="21" customHeight="1" s="66">
      <c r="A216" s="56" t="n"/>
      <c r="B216" s="57" t="n"/>
      <c r="C216" s="57" t="n"/>
      <c r="D216" s="57" t="n"/>
      <c r="E216" s="56" t="n"/>
      <c r="F216" s="57" t="n"/>
      <c r="G216" s="57" t="n"/>
      <c r="H216" s="56" t="n"/>
      <c r="I216" s="56" t="n"/>
      <c r="J216" s="58" t="n"/>
      <c r="K216" s="58" t="n"/>
      <c r="L216" s="13">
        <f>IF(OR($A216="",AND($J216="",$K216="")),"",ROUND(N($J216)-N($K216),2))</f>
        <v/>
      </c>
      <c r="M216" s="13">
        <f>IF(OR($A216="",AND($J216="",$K216="")),"",MIN($J216,$K216))</f>
        <v/>
      </c>
      <c r="Q216">
        <f>IF($A216="","",$D216&amp;"("&amp;SUBSTITUTE($E216," ","")&amp;")")</f>
        <v/>
      </c>
      <c r="R216">
        <f>IF($A216="","",$B216&amp;" - "&amp;$C216)</f>
        <v/>
      </c>
      <c r="S216">
        <f>IF($A216="","",$R216&amp;"|"&amp;$Q216)</f>
        <v/>
      </c>
      <c r="T216">
        <f>IF($A216="","",$S216&amp;"|"&amp;$F216)</f>
        <v/>
      </c>
      <c r="U216">
        <f>IF($A216="","",$R216&amp;"("&amp;$E216&amp;")")</f>
        <v/>
      </c>
      <c r="V216">
        <f>IF($A216="","",$F216&amp;"|"&amp;$U216&amp;"|"&amp;$D216)</f>
        <v/>
      </c>
      <c r="W216">
        <f>IF($T216="","",IF($X216&gt;N($X215),$X216,""))</f>
        <v/>
      </c>
      <c r="X216">
        <f>IF($T216="",N($X215),IF(MATCH($T216,$T$6:$T$6005,0)=ROW()-5,N($X215)+1,N($X215)))</f>
        <v/>
      </c>
      <c r="Z216">
        <f>IF($V216="","",IF($AA216&gt;N($AA215),$AA216,""))</f>
        <v/>
      </c>
      <c r="AA216">
        <f>IF($V216="",N($AA215),IF(MATCH($V216,$V$6:$V$6005,0)=ROW()-5,N($AA215)+1,N($AA215)))</f>
        <v/>
      </c>
    </row>
    <row r="217" ht="21" customHeight="1" s="66">
      <c r="A217" s="56" t="n"/>
      <c r="B217" s="57" t="n"/>
      <c r="C217" s="57" t="n"/>
      <c r="D217" s="57" t="n"/>
      <c r="E217" s="56" t="n"/>
      <c r="F217" s="57" t="n"/>
      <c r="G217" s="57" t="n"/>
      <c r="H217" s="56" t="n"/>
      <c r="I217" s="56" t="n"/>
      <c r="J217" s="58" t="n"/>
      <c r="K217" s="58" t="n"/>
      <c r="L217" s="13">
        <f>IF(OR($A217="",AND($J217="",$K217="")),"",ROUND(N($J217)-N($K217),2))</f>
        <v/>
      </c>
      <c r="M217" s="13">
        <f>IF(OR($A217="",AND($J217="",$K217="")),"",MIN($J217,$K217))</f>
        <v/>
      </c>
      <c r="Q217">
        <f>IF($A217="","",$D217&amp;"("&amp;SUBSTITUTE($E217," ","")&amp;")")</f>
        <v/>
      </c>
      <c r="R217">
        <f>IF($A217="","",$B217&amp;" - "&amp;$C217)</f>
        <v/>
      </c>
      <c r="S217">
        <f>IF($A217="","",$R217&amp;"|"&amp;$Q217)</f>
        <v/>
      </c>
      <c r="T217">
        <f>IF($A217="","",$S217&amp;"|"&amp;$F217)</f>
        <v/>
      </c>
      <c r="U217">
        <f>IF($A217="","",$R217&amp;"("&amp;$E217&amp;")")</f>
        <v/>
      </c>
      <c r="V217">
        <f>IF($A217="","",$F217&amp;"|"&amp;$U217&amp;"|"&amp;$D217)</f>
        <v/>
      </c>
      <c r="W217">
        <f>IF($T217="","",IF($X217&gt;N($X216),$X217,""))</f>
        <v/>
      </c>
      <c r="X217">
        <f>IF($T217="",N($X216),IF(MATCH($T217,$T$6:$T$6005,0)=ROW()-5,N($X216)+1,N($X216)))</f>
        <v/>
      </c>
      <c r="Z217">
        <f>IF($V217="","",IF($AA217&gt;N($AA216),$AA217,""))</f>
        <v/>
      </c>
      <c r="AA217">
        <f>IF($V217="",N($AA216),IF(MATCH($V217,$V$6:$V$6005,0)=ROW()-5,N($AA216)+1,N($AA216)))</f>
        <v/>
      </c>
    </row>
    <row r="218" ht="21" customHeight="1" s="66">
      <c r="A218" s="56" t="n"/>
      <c r="B218" s="57" t="n"/>
      <c r="C218" s="57" t="n"/>
      <c r="D218" s="57" t="n"/>
      <c r="E218" s="56" t="n"/>
      <c r="F218" s="57" t="n"/>
      <c r="G218" s="57" t="n"/>
      <c r="H218" s="56" t="n"/>
      <c r="I218" s="56" t="n"/>
      <c r="J218" s="58" t="n"/>
      <c r="K218" s="58" t="n"/>
      <c r="L218" s="13">
        <f>IF(OR($A218="",AND($J218="",$K218="")),"",ROUND(N($J218)-N($K218),2))</f>
        <v/>
      </c>
      <c r="M218" s="13">
        <f>IF(OR($A218="",AND($J218="",$K218="")),"",MIN($J218,$K218))</f>
        <v/>
      </c>
      <c r="Q218">
        <f>IF($A218="","",$D218&amp;"("&amp;SUBSTITUTE($E218," ","")&amp;")")</f>
        <v/>
      </c>
      <c r="R218">
        <f>IF($A218="","",$B218&amp;" - "&amp;$C218)</f>
        <v/>
      </c>
      <c r="S218">
        <f>IF($A218="","",$R218&amp;"|"&amp;$Q218)</f>
        <v/>
      </c>
      <c r="T218">
        <f>IF($A218="","",$S218&amp;"|"&amp;$F218)</f>
        <v/>
      </c>
      <c r="U218">
        <f>IF($A218="","",$R218&amp;"("&amp;$E218&amp;")")</f>
        <v/>
      </c>
      <c r="V218">
        <f>IF($A218="","",$F218&amp;"|"&amp;$U218&amp;"|"&amp;$D218)</f>
        <v/>
      </c>
      <c r="W218">
        <f>IF($T218="","",IF($X218&gt;N($X217),$X218,""))</f>
        <v/>
      </c>
      <c r="X218">
        <f>IF($T218="",N($X217),IF(MATCH($T218,$T$6:$T$6005,0)=ROW()-5,N($X217)+1,N($X217)))</f>
        <v/>
      </c>
      <c r="Z218">
        <f>IF($V218="","",IF($AA218&gt;N($AA217),$AA218,""))</f>
        <v/>
      </c>
      <c r="AA218">
        <f>IF($V218="",N($AA217),IF(MATCH($V218,$V$6:$V$6005,0)=ROW()-5,N($AA217)+1,N($AA217)))</f>
        <v/>
      </c>
    </row>
    <row r="219" ht="21" customHeight="1" s="66">
      <c r="A219" s="56" t="n"/>
      <c r="B219" s="57" t="n"/>
      <c r="C219" s="57" t="n"/>
      <c r="D219" s="57" t="n"/>
      <c r="E219" s="56" t="n"/>
      <c r="F219" s="57" t="n"/>
      <c r="G219" s="57" t="n"/>
      <c r="H219" s="56" t="n"/>
      <c r="I219" s="56" t="n"/>
      <c r="J219" s="58" t="n"/>
      <c r="K219" s="58" t="n"/>
      <c r="L219" s="13">
        <f>IF(OR($A219="",AND($J219="",$K219="")),"",ROUND(N($J219)-N($K219),2))</f>
        <v/>
      </c>
      <c r="M219" s="13">
        <f>IF(OR($A219="",AND($J219="",$K219="")),"",MIN($J219,$K219))</f>
        <v/>
      </c>
      <c r="Q219">
        <f>IF($A219="","",$D219&amp;"("&amp;SUBSTITUTE($E219," ","")&amp;")")</f>
        <v/>
      </c>
      <c r="R219">
        <f>IF($A219="","",$B219&amp;" - "&amp;$C219)</f>
        <v/>
      </c>
      <c r="S219">
        <f>IF($A219="","",$R219&amp;"|"&amp;$Q219)</f>
        <v/>
      </c>
      <c r="T219">
        <f>IF($A219="","",$S219&amp;"|"&amp;$F219)</f>
        <v/>
      </c>
      <c r="U219">
        <f>IF($A219="","",$R219&amp;"("&amp;$E219&amp;")")</f>
        <v/>
      </c>
      <c r="V219">
        <f>IF($A219="","",$F219&amp;"|"&amp;$U219&amp;"|"&amp;$D219)</f>
        <v/>
      </c>
      <c r="W219">
        <f>IF($T219="","",IF($X219&gt;N($X218),$X219,""))</f>
        <v/>
      </c>
      <c r="X219">
        <f>IF($T219="",N($X218),IF(MATCH($T219,$T$6:$T$6005,0)=ROW()-5,N($X218)+1,N($X218)))</f>
        <v/>
      </c>
      <c r="Z219">
        <f>IF($V219="","",IF($AA219&gt;N($AA218),$AA219,""))</f>
        <v/>
      </c>
      <c r="AA219">
        <f>IF($V219="",N($AA218),IF(MATCH($V219,$V$6:$V$6005,0)=ROW()-5,N($AA218)+1,N($AA218)))</f>
        <v/>
      </c>
    </row>
    <row r="220" ht="21" customHeight="1" s="66">
      <c r="A220" s="56" t="n"/>
      <c r="B220" s="57" t="n"/>
      <c r="C220" s="57" t="n"/>
      <c r="D220" s="57" t="n"/>
      <c r="E220" s="56" t="n"/>
      <c r="F220" s="57" t="n"/>
      <c r="G220" s="57" t="n"/>
      <c r="H220" s="56" t="n"/>
      <c r="I220" s="56" t="n"/>
      <c r="J220" s="58" t="n"/>
      <c r="K220" s="58" t="n"/>
      <c r="L220" s="13">
        <f>IF(OR($A220="",AND($J220="",$K220="")),"",ROUND(N($J220)-N($K220),2))</f>
        <v/>
      </c>
      <c r="M220" s="13">
        <f>IF(OR($A220="",AND($J220="",$K220="")),"",MIN($J220,$K220))</f>
        <v/>
      </c>
      <c r="Q220">
        <f>IF($A220="","",$D220&amp;"("&amp;SUBSTITUTE($E220," ","")&amp;")")</f>
        <v/>
      </c>
      <c r="R220">
        <f>IF($A220="","",$B220&amp;" - "&amp;$C220)</f>
        <v/>
      </c>
      <c r="S220">
        <f>IF($A220="","",$R220&amp;"|"&amp;$Q220)</f>
        <v/>
      </c>
      <c r="T220">
        <f>IF($A220="","",$S220&amp;"|"&amp;$F220)</f>
        <v/>
      </c>
      <c r="U220">
        <f>IF($A220="","",$R220&amp;"("&amp;$E220&amp;")")</f>
        <v/>
      </c>
      <c r="V220">
        <f>IF($A220="","",$F220&amp;"|"&amp;$U220&amp;"|"&amp;$D220)</f>
        <v/>
      </c>
      <c r="W220">
        <f>IF($T220="","",IF($X220&gt;N($X219),$X220,""))</f>
        <v/>
      </c>
      <c r="X220">
        <f>IF($T220="",N($X219),IF(MATCH($T220,$T$6:$T$6005,0)=ROW()-5,N($X219)+1,N($X219)))</f>
        <v/>
      </c>
      <c r="Z220">
        <f>IF($V220="","",IF($AA220&gt;N($AA219),$AA220,""))</f>
        <v/>
      </c>
      <c r="AA220">
        <f>IF($V220="",N($AA219),IF(MATCH($V220,$V$6:$V$6005,0)=ROW()-5,N($AA219)+1,N($AA219)))</f>
        <v/>
      </c>
    </row>
    <row r="221" ht="21" customHeight="1" s="66">
      <c r="A221" s="56" t="n"/>
      <c r="B221" s="57" t="n"/>
      <c r="C221" s="57" t="n"/>
      <c r="D221" s="57" t="n"/>
      <c r="E221" s="56" t="n"/>
      <c r="F221" s="57" t="n"/>
      <c r="G221" s="57" t="n"/>
      <c r="H221" s="56" t="n"/>
      <c r="I221" s="56" t="n"/>
      <c r="J221" s="58" t="n"/>
      <c r="K221" s="58" t="n"/>
      <c r="L221" s="13">
        <f>IF(OR($A221="",AND($J221="",$K221="")),"",ROUND(N($J221)-N($K221),2))</f>
        <v/>
      </c>
      <c r="M221" s="13">
        <f>IF(OR($A221="",AND($J221="",$K221="")),"",MIN($J221,$K221))</f>
        <v/>
      </c>
      <c r="Q221">
        <f>IF($A221="","",$D221&amp;"("&amp;SUBSTITUTE($E221," ","")&amp;")")</f>
        <v/>
      </c>
      <c r="R221">
        <f>IF($A221="","",$B221&amp;" - "&amp;$C221)</f>
        <v/>
      </c>
      <c r="S221">
        <f>IF($A221="","",$R221&amp;"|"&amp;$Q221)</f>
        <v/>
      </c>
      <c r="T221">
        <f>IF($A221="","",$S221&amp;"|"&amp;$F221)</f>
        <v/>
      </c>
      <c r="U221">
        <f>IF($A221="","",$R221&amp;"("&amp;$E221&amp;")")</f>
        <v/>
      </c>
      <c r="V221">
        <f>IF($A221="","",$F221&amp;"|"&amp;$U221&amp;"|"&amp;$D221)</f>
        <v/>
      </c>
      <c r="W221">
        <f>IF($T221="","",IF($X221&gt;N($X220),$X221,""))</f>
        <v/>
      </c>
      <c r="X221">
        <f>IF($T221="",N($X220),IF(MATCH($T221,$T$6:$T$6005,0)=ROW()-5,N($X220)+1,N($X220)))</f>
        <v/>
      </c>
      <c r="Z221">
        <f>IF($V221="","",IF($AA221&gt;N($AA220),$AA221,""))</f>
        <v/>
      </c>
      <c r="AA221">
        <f>IF($V221="",N($AA220),IF(MATCH($V221,$V$6:$V$6005,0)=ROW()-5,N($AA220)+1,N($AA220)))</f>
        <v/>
      </c>
    </row>
    <row r="222" ht="21" customHeight="1" s="66">
      <c r="A222" s="56" t="n"/>
      <c r="B222" s="57" t="n"/>
      <c r="C222" s="57" t="n"/>
      <c r="D222" s="57" t="n"/>
      <c r="E222" s="56" t="n"/>
      <c r="F222" s="57" t="n"/>
      <c r="G222" s="57" t="n"/>
      <c r="H222" s="56" t="n"/>
      <c r="I222" s="56" t="n"/>
      <c r="J222" s="58" t="n"/>
      <c r="K222" s="58" t="n"/>
      <c r="L222" s="13">
        <f>IF(OR($A222="",AND($J222="",$K222="")),"",ROUND(N($J222)-N($K222),2))</f>
        <v/>
      </c>
      <c r="M222" s="13">
        <f>IF(OR($A222="",AND($J222="",$K222="")),"",MIN($J222,$K222))</f>
        <v/>
      </c>
      <c r="Q222">
        <f>IF($A222="","",$D222&amp;"("&amp;SUBSTITUTE($E222," ","")&amp;")")</f>
        <v/>
      </c>
      <c r="R222">
        <f>IF($A222="","",$B222&amp;" - "&amp;$C222)</f>
        <v/>
      </c>
      <c r="S222">
        <f>IF($A222="","",$R222&amp;"|"&amp;$Q222)</f>
        <v/>
      </c>
      <c r="T222">
        <f>IF($A222="","",$S222&amp;"|"&amp;$F222)</f>
        <v/>
      </c>
      <c r="U222">
        <f>IF($A222="","",$R222&amp;"("&amp;$E222&amp;")")</f>
        <v/>
      </c>
      <c r="V222">
        <f>IF($A222="","",$F222&amp;"|"&amp;$U222&amp;"|"&amp;$D222)</f>
        <v/>
      </c>
      <c r="W222">
        <f>IF($T222="","",IF($X222&gt;N($X221),$X222,""))</f>
        <v/>
      </c>
      <c r="X222">
        <f>IF($T222="",N($X221),IF(MATCH($T222,$T$6:$T$6005,0)=ROW()-5,N($X221)+1,N($X221)))</f>
        <v/>
      </c>
      <c r="Z222">
        <f>IF($V222="","",IF($AA222&gt;N($AA221),$AA222,""))</f>
        <v/>
      </c>
      <c r="AA222">
        <f>IF($V222="",N($AA221),IF(MATCH($V222,$V$6:$V$6005,0)=ROW()-5,N($AA221)+1,N($AA221)))</f>
        <v/>
      </c>
    </row>
    <row r="223" ht="21" customHeight="1" s="66">
      <c r="A223" s="56" t="n"/>
      <c r="B223" s="57" t="n"/>
      <c r="C223" s="57" t="n"/>
      <c r="D223" s="57" t="n"/>
      <c r="E223" s="56" t="n"/>
      <c r="F223" s="57" t="n"/>
      <c r="G223" s="57" t="n"/>
      <c r="H223" s="56" t="n"/>
      <c r="I223" s="56" t="n"/>
      <c r="J223" s="58" t="n"/>
      <c r="K223" s="58" t="n"/>
      <c r="L223" s="13">
        <f>IF(OR($A223="",AND($J223="",$K223="")),"",ROUND(N($J223)-N($K223),2))</f>
        <v/>
      </c>
      <c r="M223" s="13">
        <f>IF(OR($A223="",AND($J223="",$K223="")),"",MIN($J223,$K223))</f>
        <v/>
      </c>
      <c r="Q223">
        <f>IF($A223="","",$D223&amp;"("&amp;SUBSTITUTE($E223," ","")&amp;")")</f>
        <v/>
      </c>
      <c r="R223">
        <f>IF($A223="","",$B223&amp;" - "&amp;$C223)</f>
        <v/>
      </c>
      <c r="S223">
        <f>IF($A223="","",$R223&amp;"|"&amp;$Q223)</f>
        <v/>
      </c>
      <c r="T223">
        <f>IF($A223="","",$S223&amp;"|"&amp;$F223)</f>
        <v/>
      </c>
      <c r="U223">
        <f>IF($A223="","",$R223&amp;"("&amp;$E223&amp;")")</f>
        <v/>
      </c>
      <c r="V223">
        <f>IF($A223="","",$F223&amp;"|"&amp;$U223&amp;"|"&amp;$D223)</f>
        <v/>
      </c>
      <c r="W223">
        <f>IF($T223="","",IF($X223&gt;N($X222),$X223,""))</f>
        <v/>
      </c>
      <c r="X223">
        <f>IF($T223="",N($X222),IF(MATCH($T223,$T$6:$T$6005,0)=ROW()-5,N($X222)+1,N($X222)))</f>
        <v/>
      </c>
      <c r="Z223">
        <f>IF($V223="","",IF($AA223&gt;N($AA222),$AA223,""))</f>
        <v/>
      </c>
      <c r="AA223">
        <f>IF($V223="",N($AA222),IF(MATCH($V223,$V$6:$V$6005,0)=ROW()-5,N($AA222)+1,N($AA222)))</f>
        <v/>
      </c>
    </row>
    <row r="224" ht="21" customHeight="1" s="66">
      <c r="A224" s="56" t="n"/>
      <c r="B224" s="57" t="n"/>
      <c r="C224" s="57" t="n"/>
      <c r="D224" s="57" t="n"/>
      <c r="E224" s="56" t="n"/>
      <c r="F224" s="57" t="n"/>
      <c r="G224" s="57" t="n"/>
      <c r="H224" s="56" t="n"/>
      <c r="I224" s="56" t="n"/>
      <c r="J224" s="58" t="n"/>
      <c r="K224" s="58" t="n"/>
      <c r="L224" s="13">
        <f>IF(OR($A224="",AND($J224="",$K224="")),"",ROUND(N($J224)-N($K224),2))</f>
        <v/>
      </c>
      <c r="M224" s="13">
        <f>IF(OR($A224="",AND($J224="",$K224="")),"",MIN($J224,$K224))</f>
        <v/>
      </c>
      <c r="Q224">
        <f>IF($A224="","",$D224&amp;"("&amp;SUBSTITUTE($E224," ","")&amp;")")</f>
        <v/>
      </c>
      <c r="R224">
        <f>IF($A224="","",$B224&amp;" - "&amp;$C224)</f>
        <v/>
      </c>
      <c r="S224">
        <f>IF($A224="","",$R224&amp;"|"&amp;$Q224)</f>
        <v/>
      </c>
      <c r="T224">
        <f>IF($A224="","",$S224&amp;"|"&amp;$F224)</f>
        <v/>
      </c>
      <c r="U224">
        <f>IF($A224="","",$R224&amp;"("&amp;$E224&amp;")")</f>
        <v/>
      </c>
      <c r="V224">
        <f>IF($A224="","",$F224&amp;"|"&amp;$U224&amp;"|"&amp;$D224)</f>
        <v/>
      </c>
      <c r="W224">
        <f>IF($T224="","",IF($X224&gt;N($X223),$X224,""))</f>
        <v/>
      </c>
      <c r="X224">
        <f>IF($T224="",N($X223),IF(MATCH($T224,$T$6:$T$6005,0)=ROW()-5,N($X223)+1,N($X223)))</f>
        <v/>
      </c>
      <c r="Z224">
        <f>IF($V224="","",IF($AA224&gt;N($AA223),$AA224,""))</f>
        <v/>
      </c>
      <c r="AA224">
        <f>IF($V224="",N($AA223),IF(MATCH($V224,$V$6:$V$6005,0)=ROW()-5,N($AA223)+1,N($AA223)))</f>
        <v/>
      </c>
    </row>
    <row r="225" ht="21" customHeight="1" s="66">
      <c r="A225" s="56" t="n"/>
      <c r="B225" s="57" t="n"/>
      <c r="C225" s="57" t="n"/>
      <c r="D225" s="57" t="n"/>
      <c r="E225" s="56" t="n"/>
      <c r="F225" s="57" t="n"/>
      <c r="G225" s="57" t="n"/>
      <c r="H225" s="56" t="n"/>
      <c r="I225" s="56" t="n"/>
      <c r="J225" s="58" t="n"/>
      <c r="K225" s="58" t="n"/>
      <c r="L225" s="13">
        <f>IF(OR($A225="",AND($J225="",$K225="")),"",ROUND(N($J225)-N($K225),2))</f>
        <v/>
      </c>
      <c r="M225" s="13">
        <f>IF(OR($A225="",AND($J225="",$K225="")),"",MIN($J225,$K225))</f>
        <v/>
      </c>
      <c r="Q225">
        <f>IF($A225="","",$D225&amp;"("&amp;SUBSTITUTE($E225," ","")&amp;")")</f>
        <v/>
      </c>
      <c r="R225">
        <f>IF($A225="","",$B225&amp;" - "&amp;$C225)</f>
        <v/>
      </c>
      <c r="S225">
        <f>IF($A225="","",$R225&amp;"|"&amp;$Q225)</f>
        <v/>
      </c>
      <c r="T225">
        <f>IF($A225="","",$S225&amp;"|"&amp;$F225)</f>
        <v/>
      </c>
      <c r="U225">
        <f>IF($A225="","",$R225&amp;"("&amp;$E225&amp;")")</f>
        <v/>
      </c>
      <c r="V225">
        <f>IF($A225="","",$F225&amp;"|"&amp;$U225&amp;"|"&amp;$D225)</f>
        <v/>
      </c>
      <c r="W225">
        <f>IF($T225="","",IF($X225&gt;N($X224),$X225,""))</f>
        <v/>
      </c>
      <c r="X225">
        <f>IF($T225="",N($X224),IF(MATCH($T225,$T$6:$T$6005,0)=ROW()-5,N($X224)+1,N($X224)))</f>
        <v/>
      </c>
      <c r="Z225">
        <f>IF($V225="","",IF($AA225&gt;N($AA224),$AA225,""))</f>
        <v/>
      </c>
      <c r="AA225">
        <f>IF($V225="",N($AA224),IF(MATCH($V225,$V$6:$V$6005,0)=ROW()-5,N($AA224)+1,N($AA224)))</f>
        <v/>
      </c>
    </row>
    <row r="226" ht="21" customHeight="1" s="66">
      <c r="A226" s="56" t="n"/>
      <c r="B226" s="57" t="n"/>
      <c r="C226" s="57" t="n"/>
      <c r="D226" s="57" t="n"/>
      <c r="E226" s="56" t="n"/>
      <c r="F226" s="57" t="n"/>
      <c r="G226" s="57" t="n"/>
      <c r="H226" s="56" t="n"/>
      <c r="I226" s="56" t="n"/>
      <c r="J226" s="58" t="n"/>
      <c r="K226" s="58" t="n"/>
      <c r="L226" s="13">
        <f>IF(OR($A226="",AND($J226="",$K226="")),"",ROUND(N($J226)-N($K226),2))</f>
        <v/>
      </c>
      <c r="M226" s="13">
        <f>IF(OR($A226="",AND($J226="",$K226="")),"",MIN($J226,$K226))</f>
        <v/>
      </c>
      <c r="Q226">
        <f>IF($A226="","",$D226&amp;"("&amp;SUBSTITUTE($E226," ","")&amp;")")</f>
        <v/>
      </c>
      <c r="R226">
        <f>IF($A226="","",$B226&amp;" - "&amp;$C226)</f>
        <v/>
      </c>
      <c r="S226">
        <f>IF($A226="","",$R226&amp;"|"&amp;$Q226)</f>
        <v/>
      </c>
      <c r="T226">
        <f>IF($A226="","",$S226&amp;"|"&amp;$F226)</f>
        <v/>
      </c>
      <c r="U226">
        <f>IF($A226="","",$R226&amp;"("&amp;$E226&amp;")")</f>
        <v/>
      </c>
      <c r="V226">
        <f>IF($A226="","",$F226&amp;"|"&amp;$U226&amp;"|"&amp;$D226)</f>
        <v/>
      </c>
      <c r="W226">
        <f>IF($T226="","",IF($X226&gt;N($X225),$X226,""))</f>
        <v/>
      </c>
      <c r="X226">
        <f>IF($T226="",N($X225),IF(MATCH($T226,$T$6:$T$6005,0)=ROW()-5,N($X225)+1,N($X225)))</f>
        <v/>
      </c>
      <c r="Z226">
        <f>IF($V226="","",IF($AA226&gt;N($AA225),$AA226,""))</f>
        <v/>
      </c>
      <c r="AA226">
        <f>IF($V226="",N($AA225),IF(MATCH($V226,$V$6:$V$6005,0)=ROW()-5,N($AA225)+1,N($AA225)))</f>
        <v/>
      </c>
    </row>
    <row r="227" ht="21" customHeight="1" s="66">
      <c r="A227" s="56" t="n"/>
      <c r="B227" s="57" t="n"/>
      <c r="C227" s="57" t="n"/>
      <c r="D227" s="57" t="n"/>
      <c r="E227" s="56" t="n"/>
      <c r="F227" s="57" t="n"/>
      <c r="G227" s="57" t="n"/>
      <c r="H227" s="56" t="n"/>
      <c r="I227" s="56" t="n"/>
      <c r="J227" s="58" t="n"/>
      <c r="K227" s="58" t="n"/>
      <c r="L227" s="13">
        <f>IF(OR($A227="",AND($J227="",$K227="")),"",ROUND(N($J227)-N($K227),2))</f>
        <v/>
      </c>
      <c r="M227" s="13">
        <f>IF(OR($A227="",AND($J227="",$K227="")),"",MIN($J227,$K227))</f>
        <v/>
      </c>
      <c r="Q227">
        <f>IF($A227="","",$D227&amp;"("&amp;SUBSTITUTE($E227," ","")&amp;")")</f>
        <v/>
      </c>
      <c r="R227">
        <f>IF($A227="","",$B227&amp;" - "&amp;$C227)</f>
        <v/>
      </c>
      <c r="S227">
        <f>IF($A227="","",$R227&amp;"|"&amp;$Q227)</f>
        <v/>
      </c>
      <c r="T227">
        <f>IF($A227="","",$S227&amp;"|"&amp;$F227)</f>
        <v/>
      </c>
      <c r="U227">
        <f>IF($A227="","",$R227&amp;"("&amp;$E227&amp;")")</f>
        <v/>
      </c>
      <c r="V227">
        <f>IF($A227="","",$F227&amp;"|"&amp;$U227&amp;"|"&amp;$D227)</f>
        <v/>
      </c>
      <c r="W227">
        <f>IF($T227="","",IF($X227&gt;N($X226),$X227,""))</f>
        <v/>
      </c>
      <c r="X227">
        <f>IF($T227="",N($X226),IF(MATCH($T227,$T$6:$T$6005,0)=ROW()-5,N($X226)+1,N($X226)))</f>
        <v/>
      </c>
      <c r="Z227">
        <f>IF($V227="","",IF($AA227&gt;N($AA226),$AA227,""))</f>
        <v/>
      </c>
      <c r="AA227">
        <f>IF($V227="",N($AA226),IF(MATCH($V227,$V$6:$V$6005,0)=ROW()-5,N($AA226)+1,N($AA226)))</f>
        <v/>
      </c>
    </row>
    <row r="228" ht="21" customHeight="1" s="66">
      <c r="A228" s="56" t="n"/>
      <c r="B228" s="57" t="n"/>
      <c r="C228" s="57" t="n"/>
      <c r="D228" s="57" t="n"/>
      <c r="E228" s="56" t="n"/>
      <c r="F228" s="57" t="n"/>
      <c r="G228" s="57" t="n"/>
      <c r="H228" s="56" t="n"/>
      <c r="I228" s="56" t="n"/>
      <c r="J228" s="58" t="n"/>
      <c r="K228" s="58" t="n"/>
      <c r="L228" s="13">
        <f>IF(OR($A228="",AND($J228="",$K228="")),"",ROUND(N($J228)-N($K228),2))</f>
        <v/>
      </c>
      <c r="M228" s="13">
        <f>IF(OR($A228="",AND($J228="",$K228="")),"",MIN($J228,$K228))</f>
        <v/>
      </c>
      <c r="Q228">
        <f>IF($A228="","",$D228&amp;"("&amp;SUBSTITUTE($E228," ","")&amp;")")</f>
        <v/>
      </c>
      <c r="R228">
        <f>IF($A228="","",$B228&amp;" - "&amp;$C228)</f>
        <v/>
      </c>
      <c r="S228">
        <f>IF($A228="","",$R228&amp;"|"&amp;$Q228)</f>
        <v/>
      </c>
      <c r="T228">
        <f>IF($A228="","",$S228&amp;"|"&amp;$F228)</f>
        <v/>
      </c>
      <c r="U228">
        <f>IF($A228="","",$R228&amp;"("&amp;$E228&amp;")")</f>
        <v/>
      </c>
      <c r="V228">
        <f>IF($A228="","",$F228&amp;"|"&amp;$U228&amp;"|"&amp;$D228)</f>
        <v/>
      </c>
      <c r="W228">
        <f>IF($T228="","",IF($X228&gt;N($X227),$X228,""))</f>
        <v/>
      </c>
      <c r="X228">
        <f>IF($T228="",N($X227),IF(MATCH($T228,$T$6:$T$6005,0)=ROW()-5,N($X227)+1,N($X227)))</f>
        <v/>
      </c>
      <c r="Z228">
        <f>IF($V228="","",IF($AA228&gt;N($AA227),$AA228,""))</f>
        <v/>
      </c>
      <c r="AA228">
        <f>IF($V228="",N($AA227),IF(MATCH($V228,$V$6:$V$6005,0)=ROW()-5,N($AA227)+1,N($AA227)))</f>
        <v/>
      </c>
    </row>
    <row r="229" ht="21" customHeight="1" s="66">
      <c r="A229" s="56" t="n"/>
      <c r="B229" s="57" t="n"/>
      <c r="C229" s="57" t="n"/>
      <c r="D229" s="57" t="n"/>
      <c r="E229" s="56" t="n"/>
      <c r="F229" s="57" t="n"/>
      <c r="G229" s="57" t="n"/>
      <c r="H229" s="56" t="n"/>
      <c r="I229" s="56" t="n"/>
      <c r="J229" s="58" t="n"/>
      <c r="K229" s="58" t="n"/>
      <c r="L229" s="13">
        <f>IF(OR($A229="",AND($J229="",$K229="")),"",ROUND(N($J229)-N($K229),2))</f>
        <v/>
      </c>
      <c r="M229" s="13">
        <f>IF(OR($A229="",AND($J229="",$K229="")),"",MIN($J229,$K229))</f>
        <v/>
      </c>
      <c r="Q229">
        <f>IF($A229="","",$D229&amp;"("&amp;SUBSTITUTE($E229," ","")&amp;")")</f>
        <v/>
      </c>
      <c r="R229">
        <f>IF($A229="","",$B229&amp;" - "&amp;$C229)</f>
        <v/>
      </c>
      <c r="S229">
        <f>IF($A229="","",$R229&amp;"|"&amp;$Q229)</f>
        <v/>
      </c>
      <c r="T229">
        <f>IF($A229="","",$S229&amp;"|"&amp;$F229)</f>
        <v/>
      </c>
      <c r="U229">
        <f>IF($A229="","",$R229&amp;"("&amp;$E229&amp;")")</f>
        <v/>
      </c>
      <c r="V229">
        <f>IF($A229="","",$F229&amp;"|"&amp;$U229&amp;"|"&amp;$D229)</f>
        <v/>
      </c>
      <c r="W229">
        <f>IF($T229="","",IF($X229&gt;N($X228),$X229,""))</f>
        <v/>
      </c>
      <c r="X229">
        <f>IF($T229="",N($X228),IF(MATCH($T229,$T$6:$T$6005,0)=ROW()-5,N($X228)+1,N($X228)))</f>
        <v/>
      </c>
      <c r="Z229">
        <f>IF($V229="","",IF($AA229&gt;N($AA228),$AA229,""))</f>
        <v/>
      </c>
      <c r="AA229">
        <f>IF($V229="",N($AA228),IF(MATCH($V229,$V$6:$V$6005,0)=ROW()-5,N($AA228)+1,N($AA228)))</f>
        <v/>
      </c>
    </row>
    <row r="230" ht="21" customHeight="1" s="66">
      <c r="A230" s="56" t="n"/>
      <c r="B230" s="57" t="n"/>
      <c r="C230" s="57" t="n"/>
      <c r="D230" s="57" t="n"/>
      <c r="E230" s="56" t="n"/>
      <c r="F230" s="57" t="n"/>
      <c r="G230" s="57" t="n"/>
      <c r="H230" s="56" t="n"/>
      <c r="I230" s="56" t="n"/>
      <c r="J230" s="58" t="n"/>
      <c r="K230" s="58" t="n"/>
      <c r="L230" s="13">
        <f>IF(OR($A230="",AND($J230="",$K230="")),"",ROUND(N($J230)-N($K230),2))</f>
        <v/>
      </c>
      <c r="M230" s="13">
        <f>IF(OR($A230="",AND($J230="",$K230="")),"",MIN($J230,$K230))</f>
        <v/>
      </c>
      <c r="Q230">
        <f>IF($A230="","",$D230&amp;"("&amp;SUBSTITUTE($E230," ","")&amp;")")</f>
        <v/>
      </c>
      <c r="R230">
        <f>IF($A230="","",$B230&amp;" - "&amp;$C230)</f>
        <v/>
      </c>
      <c r="S230">
        <f>IF($A230="","",$R230&amp;"|"&amp;$Q230)</f>
        <v/>
      </c>
      <c r="T230">
        <f>IF($A230="","",$S230&amp;"|"&amp;$F230)</f>
        <v/>
      </c>
      <c r="U230">
        <f>IF($A230="","",$R230&amp;"("&amp;$E230&amp;")")</f>
        <v/>
      </c>
      <c r="V230">
        <f>IF($A230="","",$F230&amp;"|"&amp;$U230&amp;"|"&amp;$D230)</f>
        <v/>
      </c>
      <c r="W230">
        <f>IF($T230="","",IF($X230&gt;N($X229),$X230,""))</f>
        <v/>
      </c>
      <c r="X230">
        <f>IF($T230="",N($X229),IF(MATCH($T230,$T$6:$T$6005,0)=ROW()-5,N($X229)+1,N($X229)))</f>
        <v/>
      </c>
      <c r="Z230">
        <f>IF($V230="","",IF($AA230&gt;N($AA229),$AA230,""))</f>
        <v/>
      </c>
      <c r="AA230">
        <f>IF($V230="",N($AA229),IF(MATCH($V230,$V$6:$V$6005,0)=ROW()-5,N($AA229)+1,N($AA229)))</f>
        <v/>
      </c>
    </row>
    <row r="231" ht="21" customHeight="1" s="66">
      <c r="A231" s="56" t="n"/>
      <c r="B231" s="57" t="n"/>
      <c r="C231" s="57" t="n"/>
      <c r="D231" s="57" t="n"/>
      <c r="E231" s="56" t="n"/>
      <c r="F231" s="57" t="n"/>
      <c r="G231" s="57" t="n"/>
      <c r="H231" s="56" t="n"/>
      <c r="I231" s="56" t="n"/>
      <c r="J231" s="58" t="n"/>
      <c r="K231" s="58" t="n"/>
      <c r="L231" s="13">
        <f>IF(OR($A231="",AND($J231="",$K231="")),"",ROUND(N($J231)-N($K231),2))</f>
        <v/>
      </c>
      <c r="M231" s="13">
        <f>IF(OR($A231="",AND($J231="",$K231="")),"",MIN($J231,$K231))</f>
        <v/>
      </c>
      <c r="Q231">
        <f>IF($A231="","",$D231&amp;"("&amp;SUBSTITUTE($E231," ","")&amp;")")</f>
        <v/>
      </c>
      <c r="R231">
        <f>IF($A231="","",$B231&amp;" - "&amp;$C231)</f>
        <v/>
      </c>
      <c r="S231">
        <f>IF($A231="","",$R231&amp;"|"&amp;$Q231)</f>
        <v/>
      </c>
      <c r="T231">
        <f>IF($A231="","",$S231&amp;"|"&amp;$F231)</f>
        <v/>
      </c>
      <c r="U231">
        <f>IF($A231="","",$R231&amp;"("&amp;$E231&amp;")")</f>
        <v/>
      </c>
      <c r="V231">
        <f>IF($A231="","",$F231&amp;"|"&amp;$U231&amp;"|"&amp;$D231)</f>
        <v/>
      </c>
      <c r="W231">
        <f>IF($T231="","",IF($X231&gt;N($X230),$X231,""))</f>
        <v/>
      </c>
      <c r="X231">
        <f>IF($T231="",N($X230),IF(MATCH($T231,$T$6:$T$6005,0)=ROW()-5,N($X230)+1,N($X230)))</f>
        <v/>
      </c>
      <c r="Z231">
        <f>IF($V231="","",IF($AA231&gt;N($AA230),$AA231,""))</f>
        <v/>
      </c>
      <c r="AA231">
        <f>IF($V231="",N($AA230),IF(MATCH($V231,$V$6:$V$6005,0)=ROW()-5,N($AA230)+1,N($AA230)))</f>
        <v/>
      </c>
    </row>
    <row r="232" ht="21" customHeight="1" s="66">
      <c r="A232" s="56" t="n"/>
      <c r="B232" s="57" t="n"/>
      <c r="C232" s="57" t="n"/>
      <c r="D232" s="57" t="n"/>
      <c r="E232" s="56" t="n"/>
      <c r="F232" s="57" t="n"/>
      <c r="G232" s="57" t="n"/>
      <c r="H232" s="56" t="n"/>
      <c r="I232" s="56" t="n"/>
      <c r="J232" s="58" t="n"/>
      <c r="K232" s="58" t="n"/>
      <c r="L232" s="13">
        <f>IF(OR($A232="",AND($J232="",$K232="")),"",ROUND(N($J232)-N($K232),2))</f>
        <v/>
      </c>
      <c r="M232" s="13">
        <f>IF(OR($A232="",AND($J232="",$K232="")),"",MIN($J232,$K232))</f>
        <v/>
      </c>
      <c r="Q232">
        <f>IF($A232="","",$D232&amp;"("&amp;SUBSTITUTE($E232," ","")&amp;")")</f>
        <v/>
      </c>
      <c r="R232">
        <f>IF($A232="","",$B232&amp;" - "&amp;$C232)</f>
        <v/>
      </c>
      <c r="S232">
        <f>IF($A232="","",$R232&amp;"|"&amp;$Q232)</f>
        <v/>
      </c>
      <c r="T232">
        <f>IF($A232="","",$S232&amp;"|"&amp;$F232)</f>
        <v/>
      </c>
      <c r="U232">
        <f>IF($A232="","",$R232&amp;"("&amp;$E232&amp;")")</f>
        <v/>
      </c>
      <c r="V232">
        <f>IF($A232="","",$F232&amp;"|"&amp;$U232&amp;"|"&amp;$D232)</f>
        <v/>
      </c>
      <c r="W232">
        <f>IF($T232="","",IF($X232&gt;N($X231),$X232,""))</f>
        <v/>
      </c>
      <c r="X232">
        <f>IF($T232="",N($X231),IF(MATCH($T232,$T$6:$T$6005,0)=ROW()-5,N($X231)+1,N($X231)))</f>
        <v/>
      </c>
      <c r="Z232">
        <f>IF($V232="","",IF($AA232&gt;N($AA231),$AA232,""))</f>
        <v/>
      </c>
      <c r="AA232">
        <f>IF($V232="",N($AA231),IF(MATCH($V232,$V$6:$V$6005,0)=ROW()-5,N($AA231)+1,N($AA231)))</f>
        <v/>
      </c>
    </row>
    <row r="233" ht="21" customHeight="1" s="66">
      <c r="A233" s="56" t="n"/>
      <c r="B233" s="57" t="n"/>
      <c r="C233" s="57" t="n"/>
      <c r="D233" s="57" t="n"/>
      <c r="E233" s="56" t="n"/>
      <c r="F233" s="57" t="n"/>
      <c r="G233" s="57" t="n"/>
      <c r="H233" s="56" t="n"/>
      <c r="I233" s="56" t="n"/>
      <c r="J233" s="58" t="n"/>
      <c r="K233" s="58" t="n"/>
      <c r="L233" s="13">
        <f>IF(OR($A233="",AND($J233="",$K233="")),"",ROUND(N($J233)-N($K233),2))</f>
        <v/>
      </c>
      <c r="M233" s="13">
        <f>IF(OR($A233="",AND($J233="",$K233="")),"",MIN($J233,$K233))</f>
        <v/>
      </c>
      <c r="Q233">
        <f>IF($A233="","",$D233&amp;"("&amp;SUBSTITUTE($E233," ","")&amp;")")</f>
        <v/>
      </c>
      <c r="R233">
        <f>IF($A233="","",$B233&amp;" - "&amp;$C233)</f>
        <v/>
      </c>
      <c r="S233">
        <f>IF($A233="","",$R233&amp;"|"&amp;$Q233)</f>
        <v/>
      </c>
      <c r="T233">
        <f>IF($A233="","",$S233&amp;"|"&amp;$F233)</f>
        <v/>
      </c>
      <c r="U233">
        <f>IF($A233="","",$R233&amp;"("&amp;$E233&amp;")")</f>
        <v/>
      </c>
      <c r="V233">
        <f>IF($A233="","",$F233&amp;"|"&amp;$U233&amp;"|"&amp;$D233)</f>
        <v/>
      </c>
      <c r="W233">
        <f>IF($T233="","",IF($X233&gt;N($X232),$X233,""))</f>
        <v/>
      </c>
      <c r="X233">
        <f>IF($T233="",N($X232),IF(MATCH($T233,$T$6:$T$6005,0)=ROW()-5,N($X232)+1,N($X232)))</f>
        <v/>
      </c>
      <c r="Z233">
        <f>IF($V233="","",IF($AA233&gt;N($AA232),$AA233,""))</f>
        <v/>
      </c>
      <c r="AA233">
        <f>IF($V233="",N($AA232),IF(MATCH($V233,$V$6:$V$6005,0)=ROW()-5,N($AA232)+1,N($AA232)))</f>
        <v/>
      </c>
    </row>
    <row r="234" ht="21" customHeight="1" s="66">
      <c r="A234" s="56" t="n"/>
      <c r="B234" s="57" t="n"/>
      <c r="C234" s="57" t="n"/>
      <c r="D234" s="57" t="n"/>
      <c r="E234" s="56" t="n"/>
      <c r="F234" s="57" t="n"/>
      <c r="G234" s="57" t="n"/>
      <c r="H234" s="56" t="n"/>
      <c r="I234" s="56" t="n"/>
      <c r="J234" s="58" t="n"/>
      <c r="K234" s="58" t="n"/>
      <c r="L234" s="13">
        <f>IF(OR($A234="",AND($J234="",$K234="")),"",ROUND(N($J234)-N($K234),2))</f>
        <v/>
      </c>
      <c r="M234" s="13">
        <f>IF(OR($A234="",AND($J234="",$K234="")),"",MIN($J234,$K234))</f>
        <v/>
      </c>
      <c r="Q234">
        <f>IF($A234="","",$D234&amp;"("&amp;SUBSTITUTE($E234," ","")&amp;")")</f>
        <v/>
      </c>
      <c r="R234">
        <f>IF($A234="","",$B234&amp;" - "&amp;$C234)</f>
        <v/>
      </c>
      <c r="S234">
        <f>IF($A234="","",$R234&amp;"|"&amp;$Q234)</f>
        <v/>
      </c>
      <c r="T234">
        <f>IF($A234="","",$S234&amp;"|"&amp;$F234)</f>
        <v/>
      </c>
      <c r="U234">
        <f>IF($A234="","",$R234&amp;"("&amp;$E234&amp;")")</f>
        <v/>
      </c>
      <c r="V234">
        <f>IF($A234="","",$F234&amp;"|"&amp;$U234&amp;"|"&amp;$D234)</f>
        <v/>
      </c>
      <c r="W234">
        <f>IF($T234="","",IF($X234&gt;N($X233),$X234,""))</f>
        <v/>
      </c>
      <c r="X234">
        <f>IF($T234="",N($X233),IF(MATCH($T234,$T$6:$T$6005,0)=ROW()-5,N($X233)+1,N($X233)))</f>
        <v/>
      </c>
      <c r="Z234">
        <f>IF($V234="","",IF($AA234&gt;N($AA233),$AA234,""))</f>
        <v/>
      </c>
      <c r="AA234">
        <f>IF($V234="",N($AA233),IF(MATCH($V234,$V$6:$V$6005,0)=ROW()-5,N($AA233)+1,N($AA233)))</f>
        <v/>
      </c>
    </row>
    <row r="235" ht="21" customHeight="1" s="66">
      <c r="A235" s="56" t="n"/>
      <c r="B235" s="57" t="n"/>
      <c r="C235" s="57" t="n"/>
      <c r="D235" s="57" t="n"/>
      <c r="E235" s="56" t="n"/>
      <c r="F235" s="57" t="n"/>
      <c r="G235" s="57" t="n"/>
      <c r="H235" s="56" t="n"/>
      <c r="I235" s="56" t="n"/>
      <c r="J235" s="58" t="n"/>
      <c r="K235" s="58" t="n"/>
      <c r="L235" s="13">
        <f>IF(OR($A235="",AND($J235="",$K235="")),"",ROUND(N($J235)-N($K235),2))</f>
        <v/>
      </c>
      <c r="M235" s="13">
        <f>IF(OR($A235="",AND($J235="",$K235="")),"",MIN($J235,$K235))</f>
        <v/>
      </c>
      <c r="Q235">
        <f>IF($A235="","",$D235&amp;"("&amp;SUBSTITUTE($E235," ","")&amp;")")</f>
        <v/>
      </c>
      <c r="R235">
        <f>IF($A235="","",$B235&amp;" - "&amp;$C235)</f>
        <v/>
      </c>
      <c r="S235">
        <f>IF($A235="","",$R235&amp;"|"&amp;$Q235)</f>
        <v/>
      </c>
      <c r="T235">
        <f>IF($A235="","",$S235&amp;"|"&amp;$F235)</f>
        <v/>
      </c>
      <c r="U235">
        <f>IF($A235="","",$R235&amp;"("&amp;$E235&amp;")")</f>
        <v/>
      </c>
      <c r="V235">
        <f>IF($A235="","",$F235&amp;"|"&amp;$U235&amp;"|"&amp;$D235)</f>
        <v/>
      </c>
      <c r="W235">
        <f>IF($T235="","",IF($X235&gt;N($X234),$X235,""))</f>
        <v/>
      </c>
      <c r="X235">
        <f>IF($T235="",N($X234),IF(MATCH($T235,$T$6:$T$6005,0)=ROW()-5,N($X234)+1,N($X234)))</f>
        <v/>
      </c>
      <c r="Z235">
        <f>IF($V235="","",IF($AA235&gt;N($AA234),$AA235,""))</f>
        <v/>
      </c>
      <c r="AA235">
        <f>IF($V235="",N($AA234),IF(MATCH($V235,$V$6:$V$6005,0)=ROW()-5,N($AA234)+1,N($AA234)))</f>
        <v/>
      </c>
    </row>
    <row r="236" ht="21" customHeight="1" s="66">
      <c r="A236" s="56" t="n"/>
      <c r="B236" s="57" t="n"/>
      <c r="C236" s="57" t="n"/>
      <c r="D236" s="57" t="n"/>
      <c r="E236" s="56" t="n"/>
      <c r="F236" s="57" t="n"/>
      <c r="G236" s="57" t="n"/>
      <c r="H236" s="56" t="n"/>
      <c r="I236" s="56" t="n"/>
      <c r="J236" s="58" t="n"/>
      <c r="K236" s="58" t="n"/>
      <c r="L236" s="13">
        <f>IF(OR($A236="",AND($J236="",$K236="")),"",ROUND(N($J236)-N($K236),2))</f>
        <v/>
      </c>
      <c r="M236" s="13">
        <f>IF(OR($A236="",AND($J236="",$K236="")),"",MIN($J236,$K236))</f>
        <v/>
      </c>
      <c r="Q236">
        <f>IF($A236="","",$D236&amp;"("&amp;SUBSTITUTE($E236," ","")&amp;")")</f>
        <v/>
      </c>
      <c r="R236">
        <f>IF($A236="","",$B236&amp;" - "&amp;$C236)</f>
        <v/>
      </c>
      <c r="S236">
        <f>IF($A236="","",$R236&amp;"|"&amp;$Q236)</f>
        <v/>
      </c>
      <c r="T236">
        <f>IF($A236="","",$S236&amp;"|"&amp;$F236)</f>
        <v/>
      </c>
      <c r="U236">
        <f>IF($A236="","",$R236&amp;"("&amp;$E236&amp;")")</f>
        <v/>
      </c>
      <c r="V236">
        <f>IF($A236="","",$F236&amp;"|"&amp;$U236&amp;"|"&amp;$D236)</f>
        <v/>
      </c>
      <c r="W236">
        <f>IF($T236="","",IF($X236&gt;N($X235),$X236,""))</f>
        <v/>
      </c>
      <c r="X236">
        <f>IF($T236="",N($X235),IF(MATCH($T236,$T$6:$T$6005,0)=ROW()-5,N($X235)+1,N($X235)))</f>
        <v/>
      </c>
      <c r="Z236">
        <f>IF($V236="","",IF($AA236&gt;N($AA235),$AA236,""))</f>
        <v/>
      </c>
      <c r="AA236">
        <f>IF($V236="",N($AA235),IF(MATCH($V236,$V$6:$V$6005,0)=ROW()-5,N($AA235)+1,N($AA235)))</f>
        <v/>
      </c>
    </row>
    <row r="237" ht="21" customHeight="1" s="66">
      <c r="A237" s="56" t="n"/>
      <c r="B237" s="57" t="n"/>
      <c r="C237" s="57" t="n"/>
      <c r="D237" s="57" t="n"/>
      <c r="E237" s="56" t="n"/>
      <c r="F237" s="57" t="n"/>
      <c r="G237" s="57" t="n"/>
      <c r="H237" s="56" t="n"/>
      <c r="I237" s="56" t="n"/>
      <c r="J237" s="58" t="n"/>
      <c r="K237" s="58" t="n"/>
      <c r="L237" s="13">
        <f>IF(OR($A237="",AND($J237="",$K237="")),"",ROUND(N($J237)-N($K237),2))</f>
        <v/>
      </c>
      <c r="M237" s="13">
        <f>IF(OR($A237="",AND($J237="",$K237="")),"",MIN($J237,$K237))</f>
        <v/>
      </c>
      <c r="Q237">
        <f>IF($A237="","",$D237&amp;"("&amp;SUBSTITUTE($E237," ","")&amp;")")</f>
        <v/>
      </c>
      <c r="R237">
        <f>IF($A237="","",$B237&amp;" - "&amp;$C237)</f>
        <v/>
      </c>
      <c r="S237">
        <f>IF($A237="","",$R237&amp;"|"&amp;$Q237)</f>
        <v/>
      </c>
      <c r="T237">
        <f>IF($A237="","",$S237&amp;"|"&amp;$F237)</f>
        <v/>
      </c>
      <c r="U237">
        <f>IF($A237="","",$R237&amp;"("&amp;$E237&amp;")")</f>
        <v/>
      </c>
      <c r="V237">
        <f>IF($A237="","",$F237&amp;"|"&amp;$U237&amp;"|"&amp;$D237)</f>
        <v/>
      </c>
      <c r="W237">
        <f>IF($T237="","",IF($X237&gt;N($X236),$X237,""))</f>
        <v/>
      </c>
      <c r="X237">
        <f>IF($T237="",N($X236),IF(MATCH($T237,$T$6:$T$6005,0)=ROW()-5,N($X236)+1,N($X236)))</f>
        <v/>
      </c>
      <c r="Z237">
        <f>IF($V237="","",IF($AA237&gt;N($AA236),$AA237,""))</f>
        <v/>
      </c>
      <c r="AA237">
        <f>IF($V237="",N($AA236),IF(MATCH($V237,$V$6:$V$6005,0)=ROW()-5,N($AA236)+1,N($AA236)))</f>
        <v/>
      </c>
    </row>
    <row r="238" ht="21" customHeight="1" s="66">
      <c r="A238" s="56" t="n"/>
      <c r="B238" s="57" t="n"/>
      <c r="C238" s="57" t="n"/>
      <c r="D238" s="57" t="n"/>
      <c r="E238" s="56" t="n"/>
      <c r="F238" s="57" t="n"/>
      <c r="G238" s="57" t="n"/>
      <c r="H238" s="56" t="n"/>
      <c r="I238" s="56" t="n"/>
      <c r="J238" s="58" t="n"/>
      <c r="K238" s="58" t="n"/>
      <c r="L238" s="13">
        <f>IF(OR($A238="",AND($J238="",$K238="")),"",ROUND(N($J238)-N($K238),2))</f>
        <v/>
      </c>
      <c r="M238" s="13">
        <f>IF(OR($A238="",AND($J238="",$K238="")),"",MIN($J238,$K238))</f>
        <v/>
      </c>
      <c r="Q238">
        <f>IF($A238="","",$D238&amp;"("&amp;SUBSTITUTE($E238," ","")&amp;")")</f>
        <v/>
      </c>
      <c r="R238">
        <f>IF($A238="","",$B238&amp;" - "&amp;$C238)</f>
        <v/>
      </c>
      <c r="S238">
        <f>IF($A238="","",$R238&amp;"|"&amp;$Q238)</f>
        <v/>
      </c>
      <c r="T238">
        <f>IF($A238="","",$S238&amp;"|"&amp;$F238)</f>
        <v/>
      </c>
      <c r="U238">
        <f>IF($A238="","",$R238&amp;"("&amp;$E238&amp;")")</f>
        <v/>
      </c>
      <c r="V238">
        <f>IF($A238="","",$F238&amp;"|"&amp;$U238&amp;"|"&amp;$D238)</f>
        <v/>
      </c>
      <c r="W238">
        <f>IF($T238="","",IF($X238&gt;N($X237),$X238,""))</f>
        <v/>
      </c>
      <c r="X238">
        <f>IF($T238="",N($X237),IF(MATCH($T238,$T$6:$T$6005,0)=ROW()-5,N($X237)+1,N($X237)))</f>
        <v/>
      </c>
      <c r="Z238">
        <f>IF($V238="","",IF($AA238&gt;N($AA237),$AA238,""))</f>
        <v/>
      </c>
      <c r="AA238">
        <f>IF($V238="",N($AA237),IF(MATCH($V238,$V$6:$V$6005,0)=ROW()-5,N($AA237)+1,N($AA237)))</f>
        <v/>
      </c>
    </row>
    <row r="239" ht="21" customHeight="1" s="66">
      <c r="A239" s="56" t="n"/>
      <c r="B239" s="57" t="n"/>
      <c r="C239" s="57" t="n"/>
      <c r="D239" s="57" t="n"/>
      <c r="E239" s="56" t="n"/>
      <c r="F239" s="57" t="n"/>
      <c r="G239" s="57" t="n"/>
      <c r="H239" s="56" t="n"/>
      <c r="I239" s="56" t="n"/>
      <c r="J239" s="58" t="n"/>
      <c r="K239" s="58" t="n"/>
      <c r="L239" s="13">
        <f>IF(OR($A239="",AND($J239="",$K239="")),"",ROUND(N($J239)-N($K239),2))</f>
        <v/>
      </c>
      <c r="M239" s="13">
        <f>IF(OR($A239="",AND($J239="",$K239="")),"",MIN($J239,$K239))</f>
        <v/>
      </c>
      <c r="Q239">
        <f>IF($A239="","",$D239&amp;"("&amp;SUBSTITUTE($E239," ","")&amp;")")</f>
        <v/>
      </c>
      <c r="R239">
        <f>IF($A239="","",$B239&amp;" - "&amp;$C239)</f>
        <v/>
      </c>
      <c r="S239">
        <f>IF($A239="","",$R239&amp;"|"&amp;$Q239)</f>
        <v/>
      </c>
      <c r="T239">
        <f>IF($A239="","",$S239&amp;"|"&amp;$F239)</f>
        <v/>
      </c>
      <c r="U239">
        <f>IF($A239="","",$R239&amp;"("&amp;$E239&amp;")")</f>
        <v/>
      </c>
      <c r="V239">
        <f>IF($A239="","",$F239&amp;"|"&amp;$U239&amp;"|"&amp;$D239)</f>
        <v/>
      </c>
      <c r="W239">
        <f>IF($T239="","",IF($X239&gt;N($X238),$X239,""))</f>
        <v/>
      </c>
      <c r="X239">
        <f>IF($T239="",N($X238),IF(MATCH($T239,$T$6:$T$6005,0)=ROW()-5,N($X238)+1,N($X238)))</f>
        <v/>
      </c>
      <c r="Z239">
        <f>IF($V239="","",IF($AA239&gt;N($AA238),$AA239,""))</f>
        <v/>
      </c>
      <c r="AA239">
        <f>IF($V239="",N($AA238),IF(MATCH($V239,$V$6:$V$6005,0)=ROW()-5,N($AA238)+1,N($AA238)))</f>
        <v/>
      </c>
    </row>
    <row r="240" ht="21" customHeight="1" s="66">
      <c r="A240" s="56" t="n"/>
      <c r="B240" s="57" t="n"/>
      <c r="C240" s="57" t="n"/>
      <c r="D240" s="57" t="n"/>
      <c r="E240" s="56" t="n"/>
      <c r="F240" s="57" t="n"/>
      <c r="G240" s="57" t="n"/>
      <c r="H240" s="56" t="n"/>
      <c r="I240" s="56" t="n"/>
      <c r="J240" s="58" t="n"/>
      <c r="K240" s="58" t="n"/>
      <c r="L240" s="13">
        <f>IF(OR($A240="",AND($J240="",$K240="")),"",ROUND(N($J240)-N($K240),2))</f>
        <v/>
      </c>
      <c r="M240" s="13">
        <f>IF(OR($A240="",AND($J240="",$K240="")),"",MIN($J240,$K240))</f>
        <v/>
      </c>
      <c r="Q240">
        <f>IF($A240="","",$D240&amp;"("&amp;SUBSTITUTE($E240," ","")&amp;")")</f>
        <v/>
      </c>
      <c r="R240">
        <f>IF($A240="","",$B240&amp;" - "&amp;$C240)</f>
        <v/>
      </c>
      <c r="S240">
        <f>IF($A240="","",$R240&amp;"|"&amp;$Q240)</f>
        <v/>
      </c>
      <c r="T240">
        <f>IF($A240="","",$S240&amp;"|"&amp;$F240)</f>
        <v/>
      </c>
      <c r="U240">
        <f>IF($A240="","",$R240&amp;"("&amp;$E240&amp;")")</f>
        <v/>
      </c>
      <c r="V240">
        <f>IF($A240="","",$F240&amp;"|"&amp;$U240&amp;"|"&amp;$D240)</f>
        <v/>
      </c>
      <c r="W240">
        <f>IF($T240="","",IF($X240&gt;N($X239),$X240,""))</f>
        <v/>
      </c>
      <c r="X240">
        <f>IF($T240="",N($X239),IF(MATCH($T240,$T$6:$T$6005,0)=ROW()-5,N($X239)+1,N($X239)))</f>
        <v/>
      </c>
      <c r="Z240">
        <f>IF($V240="","",IF($AA240&gt;N($AA239),$AA240,""))</f>
        <v/>
      </c>
      <c r="AA240">
        <f>IF($V240="",N($AA239),IF(MATCH($V240,$V$6:$V$6005,0)=ROW()-5,N($AA239)+1,N($AA239)))</f>
        <v/>
      </c>
    </row>
    <row r="241" ht="21" customHeight="1" s="66">
      <c r="A241" s="56" t="n"/>
      <c r="B241" s="57" t="n"/>
      <c r="C241" s="57" t="n"/>
      <c r="D241" s="57" t="n"/>
      <c r="E241" s="56" t="n"/>
      <c r="F241" s="57" t="n"/>
      <c r="G241" s="57" t="n"/>
      <c r="H241" s="56" t="n"/>
      <c r="I241" s="56" t="n"/>
      <c r="J241" s="58" t="n"/>
      <c r="K241" s="58" t="n"/>
      <c r="L241" s="13">
        <f>IF(OR($A241="",AND($J241="",$K241="")),"",ROUND(N($J241)-N($K241),2))</f>
        <v/>
      </c>
      <c r="M241" s="13">
        <f>IF(OR($A241="",AND($J241="",$K241="")),"",MIN($J241,$K241))</f>
        <v/>
      </c>
      <c r="Q241">
        <f>IF($A241="","",$D241&amp;"("&amp;SUBSTITUTE($E241," ","")&amp;")")</f>
        <v/>
      </c>
      <c r="R241">
        <f>IF($A241="","",$B241&amp;" - "&amp;$C241)</f>
        <v/>
      </c>
      <c r="S241">
        <f>IF($A241="","",$R241&amp;"|"&amp;$Q241)</f>
        <v/>
      </c>
      <c r="T241">
        <f>IF($A241="","",$S241&amp;"|"&amp;$F241)</f>
        <v/>
      </c>
      <c r="U241">
        <f>IF($A241="","",$R241&amp;"("&amp;$E241&amp;")")</f>
        <v/>
      </c>
      <c r="V241">
        <f>IF($A241="","",$F241&amp;"|"&amp;$U241&amp;"|"&amp;$D241)</f>
        <v/>
      </c>
      <c r="W241">
        <f>IF($T241="","",IF($X241&gt;N($X240),$X241,""))</f>
        <v/>
      </c>
      <c r="X241">
        <f>IF($T241="",N($X240),IF(MATCH($T241,$T$6:$T$6005,0)=ROW()-5,N($X240)+1,N($X240)))</f>
        <v/>
      </c>
      <c r="Z241">
        <f>IF($V241="","",IF($AA241&gt;N($AA240),$AA241,""))</f>
        <v/>
      </c>
      <c r="AA241">
        <f>IF($V241="",N($AA240),IF(MATCH($V241,$V$6:$V$6005,0)=ROW()-5,N($AA240)+1,N($AA240)))</f>
        <v/>
      </c>
    </row>
    <row r="242" ht="21" customHeight="1" s="66">
      <c r="A242" s="56" t="n"/>
      <c r="B242" s="57" t="n"/>
      <c r="C242" s="57" t="n"/>
      <c r="D242" s="57" t="n"/>
      <c r="E242" s="56" t="n"/>
      <c r="F242" s="57" t="n"/>
      <c r="G242" s="57" t="n"/>
      <c r="H242" s="56" t="n"/>
      <c r="I242" s="56" t="n"/>
      <c r="J242" s="58" t="n"/>
      <c r="K242" s="58" t="n"/>
      <c r="L242" s="13">
        <f>IF(OR($A242="",AND($J242="",$K242="")),"",ROUND(N($J242)-N($K242),2))</f>
        <v/>
      </c>
      <c r="M242" s="13">
        <f>IF(OR($A242="",AND($J242="",$K242="")),"",MIN($J242,$K242))</f>
        <v/>
      </c>
      <c r="Q242">
        <f>IF($A242="","",$D242&amp;"("&amp;SUBSTITUTE($E242," ","")&amp;")")</f>
        <v/>
      </c>
      <c r="R242">
        <f>IF($A242="","",$B242&amp;" - "&amp;$C242)</f>
        <v/>
      </c>
      <c r="S242">
        <f>IF($A242="","",$R242&amp;"|"&amp;$Q242)</f>
        <v/>
      </c>
      <c r="T242">
        <f>IF($A242="","",$S242&amp;"|"&amp;$F242)</f>
        <v/>
      </c>
      <c r="U242">
        <f>IF($A242="","",$R242&amp;"("&amp;$E242&amp;")")</f>
        <v/>
      </c>
      <c r="V242">
        <f>IF($A242="","",$F242&amp;"|"&amp;$U242&amp;"|"&amp;$D242)</f>
        <v/>
      </c>
      <c r="W242">
        <f>IF($T242="","",IF($X242&gt;N($X241),$X242,""))</f>
        <v/>
      </c>
      <c r="X242">
        <f>IF($T242="",N($X241),IF(MATCH($T242,$T$6:$T$6005,0)=ROW()-5,N($X241)+1,N($X241)))</f>
        <v/>
      </c>
      <c r="Z242">
        <f>IF($V242="","",IF($AA242&gt;N($AA241),$AA242,""))</f>
        <v/>
      </c>
      <c r="AA242">
        <f>IF($V242="",N($AA241),IF(MATCH($V242,$V$6:$V$6005,0)=ROW()-5,N($AA241)+1,N($AA241)))</f>
        <v/>
      </c>
    </row>
    <row r="243" ht="21" customHeight="1" s="66">
      <c r="A243" s="56" t="n"/>
      <c r="B243" s="57" t="n"/>
      <c r="C243" s="57" t="n"/>
      <c r="D243" s="57" t="n"/>
      <c r="E243" s="56" t="n"/>
      <c r="F243" s="57" t="n"/>
      <c r="G243" s="57" t="n"/>
      <c r="H243" s="56" t="n"/>
      <c r="I243" s="56" t="n"/>
      <c r="J243" s="58" t="n"/>
      <c r="K243" s="58" t="n"/>
      <c r="L243" s="13">
        <f>IF(OR($A243="",AND($J243="",$K243="")),"",ROUND(N($J243)-N($K243),2))</f>
        <v/>
      </c>
      <c r="M243" s="13">
        <f>IF(OR($A243="",AND($J243="",$K243="")),"",MIN($J243,$K243))</f>
        <v/>
      </c>
      <c r="Q243">
        <f>IF($A243="","",$D243&amp;"("&amp;SUBSTITUTE($E243," ","")&amp;")")</f>
        <v/>
      </c>
      <c r="R243">
        <f>IF($A243="","",$B243&amp;" - "&amp;$C243)</f>
        <v/>
      </c>
      <c r="S243">
        <f>IF($A243="","",$R243&amp;"|"&amp;$Q243)</f>
        <v/>
      </c>
      <c r="T243">
        <f>IF($A243="","",$S243&amp;"|"&amp;$F243)</f>
        <v/>
      </c>
      <c r="U243">
        <f>IF($A243="","",$R243&amp;"("&amp;$E243&amp;")")</f>
        <v/>
      </c>
      <c r="V243">
        <f>IF($A243="","",$F243&amp;"|"&amp;$U243&amp;"|"&amp;$D243)</f>
        <v/>
      </c>
      <c r="W243">
        <f>IF($T243="","",IF($X243&gt;N($X242),$X243,""))</f>
        <v/>
      </c>
      <c r="X243">
        <f>IF($T243="",N($X242),IF(MATCH($T243,$T$6:$T$6005,0)=ROW()-5,N($X242)+1,N($X242)))</f>
        <v/>
      </c>
      <c r="Z243">
        <f>IF($V243="","",IF($AA243&gt;N($AA242),$AA243,""))</f>
        <v/>
      </c>
      <c r="AA243">
        <f>IF($V243="",N($AA242),IF(MATCH($V243,$V$6:$V$6005,0)=ROW()-5,N($AA242)+1,N($AA242)))</f>
        <v/>
      </c>
    </row>
    <row r="244" ht="21" customHeight="1" s="66">
      <c r="A244" s="56" t="n"/>
      <c r="B244" s="57" t="n"/>
      <c r="C244" s="57" t="n"/>
      <c r="D244" s="57" t="n"/>
      <c r="E244" s="56" t="n"/>
      <c r="F244" s="57" t="n"/>
      <c r="G244" s="57" t="n"/>
      <c r="H244" s="56" t="n"/>
      <c r="I244" s="56" t="n"/>
      <c r="J244" s="58" t="n"/>
      <c r="K244" s="58" t="n"/>
      <c r="L244" s="13">
        <f>IF(OR($A244="",AND($J244="",$K244="")),"",ROUND(N($J244)-N($K244),2))</f>
        <v/>
      </c>
      <c r="M244" s="13">
        <f>IF(OR($A244="",AND($J244="",$K244="")),"",MIN($J244,$K244))</f>
        <v/>
      </c>
      <c r="Q244">
        <f>IF($A244="","",$D244&amp;"("&amp;SUBSTITUTE($E244," ","")&amp;")")</f>
        <v/>
      </c>
      <c r="R244">
        <f>IF($A244="","",$B244&amp;" - "&amp;$C244)</f>
        <v/>
      </c>
      <c r="S244">
        <f>IF($A244="","",$R244&amp;"|"&amp;$Q244)</f>
        <v/>
      </c>
      <c r="T244">
        <f>IF($A244="","",$S244&amp;"|"&amp;$F244)</f>
        <v/>
      </c>
      <c r="U244">
        <f>IF($A244="","",$R244&amp;"("&amp;$E244&amp;")")</f>
        <v/>
      </c>
      <c r="V244">
        <f>IF($A244="","",$F244&amp;"|"&amp;$U244&amp;"|"&amp;$D244)</f>
        <v/>
      </c>
      <c r="W244">
        <f>IF($T244="","",IF($X244&gt;N($X243),$X244,""))</f>
        <v/>
      </c>
      <c r="X244">
        <f>IF($T244="",N($X243),IF(MATCH($T244,$T$6:$T$6005,0)=ROW()-5,N($X243)+1,N($X243)))</f>
        <v/>
      </c>
      <c r="Z244">
        <f>IF($V244="","",IF($AA244&gt;N($AA243),$AA244,""))</f>
        <v/>
      </c>
      <c r="AA244">
        <f>IF($V244="",N($AA243),IF(MATCH($V244,$V$6:$V$6005,0)=ROW()-5,N($AA243)+1,N($AA243)))</f>
        <v/>
      </c>
    </row>
    <row r="245" ht="21" customHeight="1" s="66">
      <c r="A245" s="56" t="n"/>
      <c r="B245" s="57" t="n"/>
      <c r="C245" s="57" t="n"/>
      <c r="D245" s="57" t="n"/>
      <c r="E245" s="56" t="n"/>
      <c r="F245" s="57" t="n"/>
      <c r="G245" s="57" t="n"/>
      <c r="H245" s="56" t="n"/>
      <c r="I245" s="56" t="n"/>
      <c r="J245" s="58" t="n"/>
      <c r="K245" s="58" t="n"/>
      <c r="L245" s="13">
        <f>IF(OR($A245="",AND($J245="",$K245="")),"",ROUND(N($J245)-N($K245),2))</f>
        <v/>
      </c>
      <c r="M245" s="13">
        <f>IF(OR($A245="",AND($J245="",$K245="")),"",MIN($J245,$K245))</f>
        <v/>
      </c>
      <c r="Q245">
        <f>IF($A245="","",$D245&amp;"("&amp;SUBSTITUTE($E245," ","")&amp;")")</f>
        <v/>
      </c>
      <c r="R245">
        <f>IF($A245="","",$B245&amp;" - "&amp;$C245)</f>
        <v/>
      </c>
      <c r="S245">
        <f>IF($A245="","",$R245&amp;"|"&amp;$Q245)</f>
        <v/>
      </c>
      <c r="T245">
        <f>IF($A245="","",$S245&amp;"|"&amp;$F245)</f>
        <v/>
      </c>
      <c r="U245">
        <f>IF($A245="","",$R245&amp;"("&amp;$E245&amp;")")</f>
        <v/>
      </c>
      <c r="V245">
        <f>IF($A245="","",$F245&amp;"|"&amp;$U245&amp;"|"&amp;$D245)</f>
        <v/>
      </c>
      <c r="W245">
        <f>IF($T245="","",IF($X245&gt;N($X244),$X245,""))</f>
        <v/>
      </c>
      <c r="X245">
        <f>IF($T245="",N($X244),IF(MATCH($T245,$T$6:$T$6005,0)=ROW()-5,N($X244)+1,N($X244)))</f>
        <v/>
      </c>
      <c r="Z245">
        <f>IF($V245="","",IF($AA245&gt;N($AA244),$AA245,""))</f>
        <v/>
      </c>
      <c r="AA245">
        <f>IF($V245="",N($AA244),IF(MATCH($V245,$V$6:$V$6005,0)=ROW()-5,N($AA244)+1,N($AA244)))</f>
        <v/>
      </c>
    </row>
    <row r="246" ht="21" customHeight="1" s="66">
      <c r="A246" s="56" t="n"/>
      <c r="B246" s="57" t="n"/>
      <c r="C246" s="57" t="n"/>
      <c r="D246" s="57" t="n"/>
      <c r="E246" s="56" t="n"/>
      <c r="F246" s="57" t="n"/>
      <c r="G246" s="57" t="n"/>
      <c r="H246" s="56" t="n"/>
      <c r="I246" s="56" t="n"/>
      <c r="J246" s="58" t="n"/>
      <c r="K246" s="58" t="n"/>
      <c r="L246" s="13">
        <f>IF(OR($A246="",AND($J246="",$K246="")),"",ROUND(N($J246)-N($K246),2))</f>
        <v/>
      </c>
      <c r="M246" s="13">
        <f>IF(OR($A246="",AND($J246="",$K246="")),"",MIN($J246,$K246))</f>
        <v/>
      </c>
      <c r="Q246">
        <f>IF($A246="","",$D246&amp;"("&amp;SUBSTITUTE($E246," ","")&amp;")")</f>
        <v/>
      </c>
      <c r="R246">
        <f>IF($A246="","",$B246&amp;" - "&amp;$C246)</f>
        <v/>
      </c>
      <c r="S246">
        <f>IF($A246="","",$R246&amp;"|"&amp;$Q246)</f>
        <v/>
      </c>
      <c r="T246">
        <f>IF($A246="","",$S246&amp;"|"&amp;$F246)</f>
        <v/>
      </c>
      <c r="U246">
        <f>IF($A246="","",$R246&amp;"("&amp;$E246&amp;")")</f>
        <v/>
      </c>
      <c r="V246">
        <f>IF($A246="","",$F246&amp;"|"&amp;$U246&amp;"|"&amp;$D246)</f>
        <v/>
      </c>
      <c r="W246">
        <f>IF($T246="","",IF($X246&gt;N($X245),$X246,""))</f>
        <v/>
      </c>
      <c r="X246">
        <f>IF($T246="",N($X245),IF(MATCH($T246,$T$6:$T$6005,0)=ROW()-5,N($X245)+1,N($X245)))</f>
        <v/>
      </c>
      <c r="Z246">
        <f>IF($V246="","",IF($AA246&gt;N($AA245),$AA246,""))</f>
        <v/>
      </c>
      <c r="AA246">
        <f>IF($V246="",N($AA245),IF(MATCH($V246,$V$6:$V$6005,0)=ROW()-5,N($AA245)+1,N($AA245)))</f>
        <v/>
      </c>
    </row>
    <row r="247" ht="21" customHeight="1" s="66">
      <c r="A247" s="56" t="n"/>
      <c r="B247" s="57" t="n"/>
      <c r="C247" s="57" t="n"/>
      <c r="D247" s="57" t="n"/>
      <c r="E247" s="56" t="n"/>
      <c r="F247" s="57" t="n"/>
      <c r="G247" s="57" t="n"/>
      <c r="H247" s="56" t="n"/>
      <c r="I247" s="56" t="n"/>
      <c r="J247" s="58" t="n"/>
      <c r="K247" s="58" t="n"/>
      <c r="L247" s="13">
        <f>IF(OR($A247="",AND($J247="",$K247="")),"",ROUND(N($J247)-N($K247),2))</f>
        <v/>
      </c>
      <c r="M247" s="13">
        <f>IF(OR($A247="",AND($J247="",$K247="")),"",MIN($J247,$K247))</f>
        <v/>
      </c>
      <c r="Q247">
        <f>IF($A247="","",$D247&amp;"("&amp;SUBSTITUTE($E247," ","")&amp;")")</f>
        <v/>
      </c>
      <c r="R247">
        <f>IF($A247="","",$B247&amp;" - "&amp;$C247)</f>
        <v/>
      </c>
      <c r="S247">
        <f>IF($A247="","",$R247&amp;"|"&amp;$Q247)</f>
        <v/>
      </c>
      <c r="T247">
        <f>IF($A247="","",$S247&amp;"|"&amp;$F247)</f>
        <v/>
      </c>
      <c r="U247">
        <f>IF($A247="","",$R247&amp;"("&amp;$E247&amp;")")</f>
        <v/>
      </c>
      <c r="V247">
        <f>IF($A247="","",$F247&amp;"|"&amp;$U247&amp;"|"&amp;$D247)</f>
        <v/>
      </c>
      <c r="W247">
        <f>IF($T247="","",IF($X247&gt;N($X246),$X247,""))</f>
        <v/>
      </c>
      <c r="X247">
        <f>IF($T247="",N($X246),IF(MATCH($T247,$T$6:$T$6005,0)=ROW()-5,N($X246)+1,N($X246)))</f>
        <v/>
      </c>
      <c r="Z247">
        <f>IF($V247="","",IF($AA247&gt;N($AA246),$AA247,""))</f>
        <v/>
      </c>
      <c r="AA247">
        <f>IF($V247="",N($AA246),IF(MATCH($V247,$V$6:$V$6005,0)=ROW()-5,N($AA246)+1,N($AA246)))</f>
        <v/>
      </c>
    </row>
    <row r="248" ht="21" customHeight="1" s="66">
      <c r="A248" s="56" t="n"/>
      <c r="B248" s="57" t="n"/>
      <c r="C248" s="57" t="n"/>
      <c r="D248" s="57" t="n"/>
      <c r="E248" s="56" t="n"/>
      <c r="F248" s="57" t="n"/>
      <c r="G248" s="57" t="n"/>
      <c r="H248" s="56" t="n"/>
      <c r="I248" s="56" t="n"/>
      <c r="J248" s="58" t="n"/>
      <c r="K248" s="58" t="n"/>
      <c r="L248" s="13">
        <f>IF(OR($A248="",AND($J248="",$K248="")),"",ROUND(N($J248)-N($K248),2))</f>
        <v/>
      </c>
      <c r="M248" s="13">
        <f>IF(OR($A248="",AND($J248="",$K248="")),"",MIN($J248,$K248))</f>
        <v/>
      </c>
      <c r="Q248">
        <f>IF($A248="","",$D248&amp;"("&amp;SUBSTITUTE($E248," ","")&amp;")")</f>
        <v/>
      </c>
      <c r="R248">
        <f>IF($A248="","",$B248&amp;" - "&amp;$C248)</f>
        <v/>
      </c>
      <c r="S248">
        <f>IF($A248="","",$R248&amp;"|"&amp;$Q248)</f>
        <v/>
      </c>
      <c r="T248">
        <f>IF($A248="","",$S248&amp;"|"&amp;$F248)</f>
        <v/>
      </c>
      <c r="U248">
        <f>IF($A248="","",$R248&amp;"("&amp;$E248&amp;")")</f>
        <v/>
      </c>
      <c r="V248">
        <f>IF($A248="","",$F248&amp;"|"&amp;$U248&amp;"|"&amp;$D248)</f>
        <v/>
      </c>
      <c r="W248">
        <f>IF($T248="","",IF($X248&gt;N($X247),$X248,""))</f>
        <v/>
      </c>
      <c r="X248">
        <f>IF($T248="",N($X247),IF(MATCH($T248,$T$6:$T$6005,0)=ROW()-5,N($X247)+1,N($X247)))</f>
        <v/>
      </c>
      <c r="Z248">
        <f>IF($V248="","",IF($AA248&gt;N($AA247),$AA248,""))</f>
        <v/>
      </c>
      <c r="AA248">
        <f>IF($V248="",N($AA247),IF(MATCH($V248,$V$6:$V$6005,0)=ROW()-5,N($AA247)+1,N($AA247)))</f>
        <v/>
      </c>
    </row>
    <row r="249" ht="21" customHeight="1" s="66">
      <c r="A249" s="56" t="n"/>
      <c r="B249" s="57" t="n"/>
      <c r="C249" s="57" t="n"/>
      <c r="D249" s="57" t="n"/>
      <c r="E249" s="56" t="n"/>
      <c r="F249" s="57" t="n"/>
      <c r="G249" s="57" t="n"/>
      <c r="H249" s="56" t="n"/>
      <c r="I249" s="56" t="n"/>
      <c r="J249" s="58" t="n"/>
      <c r="K249" s="58" t="n"/>
      <c r="L249" s="13">
        <f>IF(OR($A249="",AND($J249="",$K249="")),"",ROUND(N($J249)-N($K249),2))</f>
        <v/>
      </c>
      <c r="M249" s="13">
        <f>IF(OR($A249="",AND($J249="",$K249="")),"",MIN($J249,$K249))</f>
        <v/>
      </c>
      <c r="Q249">
        <f>IF($A249="","",$D249&amp;"("&amp;SUBSTITUTE($E249," ","")&amp;")")</f>
        <v/>
      </c>
      <c r="R249">
        <f>IF($A249="","",$B249&amp;" - "&amp;$C249)</f>
        <v/>
      </c>
      <c r="S249">
        <f>IF($A249="","",$R249&amp;"|"&amp;$Q249)</f>
        <v/>
      </c>
      <c r="T249">
        <f>IF($A249="","",$S249&amp;"|"&amp;$F249)</f>
        <v/>
      </c>
      <c r="U249">
        <f>IF($A249="","",$R249&amp;"("&amp;$E249&amp;")")</f>
        <v/>
      </c>
      <c r="V249">
        <f>IF($A249="","",$F249&amp;"|"&amp;$U249&amp;"|"&amp;$D249)</f>
        <v/>
      </c>
      <c r="W249">
        <f>IF($T249="","",IF($X249&gt;N($X248),$X249,""))</f>
        <v/>
      </c>
      <c r="X249">
        <f>IF($T249="",N($X248),IF(MATCH($T249,$T$6:$T$6005,0)=ROW()-5,N($X248)+1,N($X248)))</f>
        <v/>
      </c>
      <c r="Z249">
        <f>IF($V249="","",IF($AA249&gt;N($AA248),$AA249,""))</f>
        <v/>
      </c>
      <c r="AA249">
        <f>IF($V249="",N($AA248),IF(MATCH($V249,$V$6:$V$6005,0)=ROW()-5,N($AA248)+1,N($AA248)))</f>
        <v/>
      </c>
    </row>
    <row r="250" ht="21" customHeight="1" s="66">
      <c r="A250" s="56" t="n"/>
      <c r="B250" s="57" t="n"/>
      <c r="C250" s="57" t="n"/>
      <c r="D250" s="57" t="n"/>
      <c r="E250" s="56" t="n"/>
      <c r="F250" s="57" t="n"/>
      <c r="G250" s="57" t="n"/>
      <c r="H250" s="56" t="n"/>
      <c r="I250" s="56" t="n"/>
      <c r="J250" s="58" t="n"/>
      <c r="K250" s="58" t="n"/>
      <c r="L250" s="13">
        <f>IF(OR($A250="",AND($J250="",$K250="")),"",ROUND(N($J250)-N($K250),2))</f>
        <v/>
      </c>
      <c r="M250" s="13">
        <f>IF(OR($A250="",AND($J250="",$K250="")),"",MIN($J250,$K250))</f>
        <v/>
      </c>
      <c r="Q250">
        <f>IF($A250="","",$D250&amp;"("&amp;SUBSTITUTE($E250," ","")&amp;")")</f>
        <v/>
      </c>
      <c r="R250">
        <f>IF($A250="","",$B250&amp;" - "&amp;$C250)</f>
        <v/>
      </c>
      <c r="S250">
        <f>IF($A250="","",$R250&amp;"|"&amp;$Q250)</f>
        <v/>
      </c>
      <c r="T250">
        <f>IF($A250="","",$S250&amp;"|"&amp;$F250)</f>
        <v/>
      </c>
      <c r="U250">
        <f>IF($A250="","",$R250&amp;"("&amp;$E250&amp;")")</f>
        <v/>
      </c>
      <c r="V250">
        <f>IF($A250="","",$F250&amp;"|"&amp;$U250&amp;"|"&amp;$D250)</f>
        <v/>
      </c>
      <c r="W250">
        <f>IF($T250="","",IF($X250&gt;N($X249),$X250,""))</f>
        <v/>
      </c>
      <c r="X250">
        <f>IF($T250="",N($X249),IF(MATCH($T250,$T$6:$T$6005,0)=ROW()-5,N($X249)+1,N($X249)))</f>
        <v/>
      </c>
      <c r="Z250">
        <f>IF($V250="","",IF($AA250&gt;N($AA249),$AA250,""))</f>
        <v/>
      </c>
      <c r="AA250">
        <f>IF($V250="",N($AA249),IF(MATCH($V250,$V$6:$V$6005,0)=ROW()-5,N($AA249)+1,N($AA249)))</f>
        <v/>
      </c>
    </row>
    <row r="251" ht="21" customHeight="1" s="66">
      <c r="A251" s="56" t="n"/>
      <c r="B251" s="57" t="n"/>
      <c r="C251" s="57" t="n"/>
      <c r="D251" s="57" t="n"/>
      <c r="E251" s="56" t="n"/>
      <c r="F251" s="57" t="n"/>
      <c r="G251" s="57" t="n"/>
      <c r="H251" s="56" t="n"/>
      <c r="I251" s="56" t="n"/>
      <c r="J251" s="58" t="n"/>
      <c r="K251" s="58" t="n"/>
      <c r="L251" s="13">
        <f>IF(OR($A251="",AND($J251="",$K251="")),"",ROUND(N($J251)-N($K251),2))</f>
        <v/>
      </c>
      <c r="M251" s="13">
        <f>IF(OR($A251="",AND($J251="",$K251="")),"",MIN($J251,$K251))</f>
        <v/>
      </c>
      <c r="Q251">
        <f>IF($A251="","",$D251&amp;"("&amp;SUBSTITUTE($E251," ","")&amp;")")</f>
        <v/>
      </c>
      <c r="R251">
        <f>IF($A251="","",$B251&amp;" - "&amp;$C251)</f>
        <v/>
      </c>
      <c r="S251">
        <f>IF($A251="","",$R251&amp;"|"&amp;$Q251)</f>
        <v/>
      </c>
      <c r="T251">
        <f>IF($A251="","",$S251&amp;"|"&amp;$F251)</f>
        <v/>
      </c>
      <c r="U251">
        <f>IF($A251="","",$R251&amp;"("&amp;$E251&amp;")")</f>
        <v/>
      </c>
      <c r="V251">
        <f>IF($A251="","",$F251&amp;"|"&amp;$U251&amp;"|"&amp;$D251)</f>
        <v/>
      </c>
      <c r="W251">
        <f>IF($T251="","",IF($X251&gt;N($X250),$X251,""))</f>
        <v/>
      </c>
      <c r="X251">
        <f>IF($T251="",N($X250),IF(MATCH($T251,$T$6:$T$6005,0)=ROW()-5,N($X250)+1,N($X250)))</f>
        <v/>
      </c>
      <c r="Z251">
        <f>IF($V251="","",IF($AA251&gt;N($AA250),$AA251,""))</f>
        <v/>
      </c>
      <c r="AA251">
        <f>IF($V251="",N($AA250),IF(MATCH($V251,$V$6:$V$6005,0)=ROW()-5,N($AA250)+1,N($AA250)))</f>
        <v/>
      </c>
    </row>
    <row r="252" ht="21" customHeight="1" s="66">
      <c r="A252" s="56" t="n"/>
      <c r="B252" s="57" t="n"/>
      <c r="C252" s="57" t="n"/>
      <c r="D252" s="57" t="n"/>
      <c r="E252" s="56" t="n"/>
      <c r="F252" s="57" t="n"/>
      <c r="G252" s="57" t="n"/>
      <c r="H252" s="56" t="n"/>
      <c r="I252" s="56" t="n"/>
      <c r="J252" s="58" t="n"/>
      <c r="K252" s="58" t="n"/>
      <c r="L252" s="13">
        <f>IF(OR($A252="",AND($J252="",$K252="")),"",ROUND(N($J252)-N($K252),2))</f>
        <v/>
      </c>
      <c r="M252" s="13">
        <f>IF(OR($A252="",AND($J252="",$K252="")),"",MIN($J252,$K252))</f>
        <v/>
      </c>
      <c r="Q252">
        <f>IF($A252="","",$D252&amp;"("&amp;SUBSTITUTE($E252," ","")&amp;")")</f>
        <v/>
      </c>
      <c r="R252">
        <f>IF($A252="","",$B252&amp;" - "&amp;$C252)</f>
        <v/>
      </c>
      <c r="S252">
        <f>IF($A252="","",$R252&amp;"|"&amp;$Q252)</f>
        <v/>
      </c>
      <c r="T252">
        <f>IF($A252="","",$S252&amp;"|"&amp;$F252)</f>
        <v/>
      </c>
      <c r="U252">
        <f>IF($A252="","",$R252&amp;"("&amp;$E252&amp;")")</f>
        <v/>
      </c>
      <c r="V252">
        <f>IF($A252="","",$F252&amp;"|"&amp;$U252&amp;"|"&amp;$D252)</f>
        <v/>
      </c>
      <c r="W252">
        <f>IF($T252="","",IF($X252&gt;N($X251),$X252,""))</f>
        <v/>
      </c>
      <c r="X252">
        <f>IF($T252="",N($X251),IF(MATCH($T252,$T$6:$T$6005,0)=ROW()-5,N($X251)+1,N($X251)))</f>
        <v/>
      </c>
      <c r="Z252">
        <f>IF($V252="","",IF($AA252&gt;N($AA251),$AA252,""))</f>
        <v/>
      </c>
      <c r="AA252">
        <f>IF($V252="",N($AA251),IF(MATCH($V252,$V$6:$V$6005,0)=ROW()-5,N($AA251)+1,N($AA251)))</f>
        <v/>
      </c>
    </row>
    <row r="253" ht="21" customHeight="1" s="66">
      <c r="A253" s="56" t="n"/>
      <c r="B253" s="57" t="n"/>
      <c r="C253" s="57" t="n"/>
      <c r="D253" s="57" t="n"/>
      <c r="E253" s="56" t="n"/>
      <c r="F253" s="57" t="n"/>
      <c r="G253" s="57" t="n"/>
      <c r="H253" s="56" t="n"/>
      <c r="I253" s="56" t="n"/>
      <c r="J253" s="58" t="n"/>
      <c r="K253" s="58" t="n"/>
      <c r="L253" s="13">
        <f>IF(OR($A253="",AND($J253="",$K253="")),"",ROUND(N($J253)-N($K253),2))</f>
        <v/>
      </c>
      <c r="M253" s="13">
        <f>IF(OR($A253="",AND($J253="",$K253="")),"",MIN($J253,$K253))</f>
        <v/>
      </c>
      <c r="Q253">
        <f>IF($A253="","",$D253&amp;"("&amp;SUBSTITUTE($E253," ","")&amp;")")</f>
        <v/>
      </c>
      <c r="R253">
        <f>IF($A253="","",$B253&amp;" - "&amp;$C253)</f>
        <v/>
      </c>
      <c r="S253">
        <f>IF($A253="","",$R253&amp;"|"&amp;$Q253)</f>
        <v/>
      </c>
      <c r="T253">
        <f>IF($A253="","",$S253&amp;"|"&amp;$F253)</f>
        <v/>
      </c>
      <c r="U253">
        <f>IF($A253="","",$R253&amp;"("&amp;$E253&amp;")")</f>
        <v/>
      </c>
      <c r="V253">
        <f>IF($A253="","",$F253&amp;"|"&amp;$U253&amp;"|"&amp;$D253)</f>
        <v/>
      </c>
      <c r="W253">
        <f>IF($T253="","",IF($X253&gt;N($X252),$X253,""))</f>
        <v/>
      </c>
      <c r="X253">
        <f>IF($T253="",N($X252),IF(MATCH($T253,$T$6:$T$6005,0)=ROW()-5,N($X252)+1,N($X252)))</f>
        <v/>
      </c>
      <c r="Z253">
        <f>IF($V253="","",IF($AA253&gt;N($AA252),$AA253,""))</f>
        <v/>
      </c>
      <c r="AA253">
        <f>IF($V253="",N($AA252),IF(MATCH($V253,$V$6:$V$6005,0)=ROW()-5,N($AA252)+1,N($AA252)))</f>
        <v/>
      </c>
    </row>
    <row r="254" ht="21" customHeight="1" s="66">
      <c r="A254" s="56" t="n"/>
      <c r="B254" s="57" t="n"/>
      <c r="C254" s="57" t="n"/>
      <c r="D254" s="57" t="n"/>
      <c r="E254" s="56" t="n"/>
      <c r="F254" s="57" t="n"/>
      <c r="G254" s="57" t="n"/>
      <c r="H254" s="56" t="n"/>
      <c r="I254" s="56" t="n"/>
      <c r="J254" s="58" t="n"/>
      <c r="K254" s="58" t="n"/>
      <c r="L254" s="13">
        <f>IF(OR($A254="",AND($J254="",$K254="")),"",ROUND(N($J254)-N($K254),2))</f>
        <v/>
      </c>
      <c r="M254" s="13">
        <f>IF(OR($A254="",AND($J254="",$K254="")),"",MIN($J254,$K254))</f>
        <v/>
      </c>
      <c r="Q254">
        <f>IF($A254="","",$D254&amp;"("&amp;SUBSTITUTE($E254," ","")&amp;")")</f>
        <v/>
      </c>
      <c r="R254">
        <f>IF($A254="","",$B254&amp;" - "&amp;$C254)</f>
        <v/>
      </c>
      <c r="S254">
        <f>IF($A254="","",$R254&amp;"|"&amp;$Q254)</f>
        <v/>
      </c>
      <c r="T254">
        <f>IF($A254="","",$S254&amp;"|"&amp;$F254)</f>
        <v/>
      </c>
      <c r="U254">
        <f>IF($A254="","",$R254&amp;"("&amp;$E254&amp;")")</f>
        <v/>
      </c>
      <c r="V254">
        <f>IF($A254="","",$F254&amp;"|"&amp;$U254&amp;"|"&amp;$D254)</f>
        <v/>
      </c>
      <c r="W254">
        <f>IF($T254="","",IF($X254&gt;N($X253),$X254,""))</f>
        <v/>
      </c>
      <c r="X254">
        <f>IF($T254="",N($X253),IF(MATCH($T254,$T$6:$T$6005,0)=ROW()-5,N($X253)+1,N($X253)))</f>
        <v/>
      </c>
      <c r="Z254">
        <f>IF($V254="","",IF($AA254&gt;N($AA253),$AA254,""))</f>
        <v/>
      </c>
      <c r="AA254">
        <f>IF($V254="",N($AA253),IF(MATCH($V254,$V$6:$V$6005,0)=ROW()-5,N($AA253)+1,N($AA253)))</f>
        <v/>
      </c>
    </row>
    <row r="255" ht="21" customHeight="1" s="66">
      <c r="A255" s="56" t="n"/>
      <c r="B255" s="57" t="n"/>
      <c r="C255" s="57" t="n"/>
      <c r="D255" s="57" t="n"/>
      <c r="E255" s="56" t="n"/>
      <c r="F255" s="57" t="n"/>
      <c r="G255" s="57" t="n"/>
      <c r="H255" s="56" t="n"/>
      <c r="I255" s="56" t="n"/>
      <c r="J255" s="58" t="n"/>
      <c r="K255" s="58" t="n"/>
      <c r="L255" s="13">
        <f>IF(OR($A255="",AND($J255="",$K255="")),"",ROUND(N($J255)-N($K255),2))</f>
        <v/>
      </c>
      <c r="M255" s="13">
        <f>IF(OR($A255="",AND($J255="",$K255="")),"",MIN($J255,$K255))</f>
        <v/>
      </c>
      <c r="Q255">
        <f>IF($A255="","",$D255&amp;"("&amp;SUBSTITUTE($E255," ","")&amp;")")</f>
        <v/>
      </c>
      <c r="R255">
        <f>IF($A255="","",$B255&amp;" - "&amp;$C255)</f>
        <v/>
      </c>
      <c r="S255">
        <f>IF($A255="","",$R255&amp;"|"&amp;$Q255)</f>
        <v/>
      </c>
      <c r="T255">
        <f>IF($A255="","",$S255&amp;"|"&amp;$F255)</f>
        <v/>
      </c>
      <c r="U255">
        <f>IF($A255="","",$R255&amp;"("&amp;$E255&amp;")")</f>
        <v/>
      </c>
      <c r="V255">
        <f>IF($A255="","",$F255&amp;"|"&amp;$U255&amp;"|"&amp;$D255)</f>
        <v/>
      </c>
      <c r="W255">
        <f>IF($T255="","",IF($X255&gt;N($X254),$X255,""))</f>
        <v/>
      </c>
      <c r="X255">
        <f>IF($T255="",N($X254),IF(MATCH($T255,$T$6:$T$6005,0)=ROW()-5,N($X254)+1,N($X254)))</f>
        <v/>
      </c>
      <c r="Z255">
        <f>IF($V255="","",IF($AA255&gt;N($AA254),$AA255,""))</f>
        <v/>
      </c>
      <c r="AA255">
        <f>IF($V255="",N($AA254),IF(MATCH($V255,$V$6:$V$6005,0)=ROW()-5,N($AA254)+1,N($AA254)))</f>
        <v/>
      </c>
    </row>
    <row r="256" ht="21" customHeight="1" s="66">
      <c r="A256" s="56" t="n"/>
      <c r="B256" s="57" t="n"/>
      <c r="C256" s="57" t="n"/>
      <c r="D256" s="57" t="n"/>
      <c r="E256" s="56" t="n"/>
      <c r="F256" s="57" t="n"/>
      <c r="G256" s="57" t="n"/>
      <c r="H256" s="56" t="n"/>
      <c r="I256" s="56" t="n"/>
      <c r="J256" s="58" t="n"/>
      <c r="K256" s="58" t="n"/>
      <c r="L256" s="13">
        <f>IF(OR($A256="",AND($J256="",$K256="")),"",ROUND(N($J256)-N($K256),2))</f>
        <v/>
      </c>
      <c r="M256" s="13">
        <f>IF(OR($A256="",AND($J256="",$K256="")),"",MIN($J256,$K256))</f>
        <v/>
      </c>
      <c r="Q256">
        <f>IF($A256="","",$D256&amp;"("&amp;SUBSTITUTE($E256," ","")&amp;")")</f>
        <v/>
      </c>
      <c r="R256">
        <f>IF($A256="","",$B256&amp;" - "&amp;$C256)</f>
        <v/>
      </c>
      <c r="S256">
        <f>IF($A256="","",$R256&amp;"|"&amp;$Q256)</f>
        <v/>
      </c>
      <c r="T256">
        <f>IF($A256="","",$S256&amp;"|"&amp;$F256)</f>
        <v/>
      </c>
      <c r="U256">
        <f>IF($A256="","",$R256&amp;"("&amp;$E256&amp;")")</f>
        <v/>
      </c>
      <c r="V256">
        <f>IF($A256="","",$F256&amp;"|"&amp;$U256&amp;"|"&amp;$D256)</f>
        <v/>
      </c>
      <c r="W256">
        <f>IF($T256="","",IF($X256&gt;N($X255),$X256,""))</f>
        <v/>
      </c>
      <c r="X256">
        <f>IF($T256="",N($X255),IF(MATCH($T256,$T$6:$T$6005,0)=ROW()-5,N($X255)+1,N($X255)))</f>
        <v/>
      </c>
      <c r="Z256">
        <f>IF($V256="","",IF($AA256&gt;N($AA255),$AA256,""))</f>
        <v/>
      </c>
      <c r="AA256">
        <f>IF($V256="",N($AA255),IF(MATCH($V256,$V$6:$V$6005,0)=ROW()-5,N($AA255)+1,N($AA255)))</f>
        <v/>
      </c>
    </row>
    <row r="257" ht="21" customHeight="1" s="66">
      <c r="A257" s="56" t="n"/>
      <c r="B257" s="57" t="n"/>
      <c r="C257" s="57" t="n"/>
      <c r="D257" s="57" t="n"/>
      <c r="E257" s="56" t="n"/>
      <c r="F257" s="57" t="n"/>
      <c r="G257" s="57" t="n"/>
      <c r="H257" s="56" t="n"/>
      <c r="I257" s="56" t="n"/>
      <c r="J257" s="58" t="n"/>
      <c r="K257" s="58" t="n"/>
      <c r="L257" s="13">
        <f>IF(OR($A257="",AND($J257="",$K257="")),"",ROUND(N($J257)-N($K257),2))</f>
        <v/>
      </c>
      <c r="M257" s="13">
        <f>IF(OR($A257="",AND($J257="",$K257="")),"",MIN($J257,$K257))</f>
        <v/>
      </c>
      <c r="Q257">
        <f>IF($A257="","",$D257&amp;"("&amp;SUBSTITUTE($E257," ","")&amp;")")</f>
        <v/>
      </c>
      <c r="R257">
        <f>IF($A257="","",$B257&amp;" - "&amp;$C257)</f>
        <v/>
      </c>
      <c r="S257">
        <f>IF($A257="","",$R257&amp;"|"&amp;$Q257)</f>
        <v/>
      </c>
      <c r="T257">
        <f>IF($A257="","",$S257&amp;"|"&amp;$F257)</f>
        <v/>
      </c>
      <c r="U257">
        <f>IF($A257="","",$R257&amp;"("&amp;$E257&amp;")")</f>
        <v/>
      </c>
      <c r="V257">
        <f>IF($A257="","",$F257&amp;"|"&amp;$U257&amp;"|"&amp;$D257)</f>
        <v/>
      </c>
      <c r="W257">
        <f>IF($T257="","",IF($X257&gt;N($X256),$X257,""))</f>
        <v/>
      </c>
      <c r="X257">
        <f>IF($T257="",N($X256),IF(MATCH($T257,$T$6:$T$6005,0)=ROW()-5,N($X256)+1,N($X256)))</f>
        <v/>
      </c>
      <c r="Z257">
        <f>IF($V257="","",IF($AA257&gt;N($AA256),$AA257,""))</f>
        <v/>
      </c>
      <c r="AA257">
        <f>IF($V257="",N($AA256),IF(MATCH($V257,$V$6:$V$6005,0)=ROW()-5,N($AA256)+1,N($AA256)))</f>
        <v/>
      </c>
    </row>
    <row r="258" ht="21" customHeight="1" s="66">
      <c r="A258" s="56" t="n"/>
      <c r="B258" s="57" t="n"/>
      <c r="C258" s="57" t="n"/>
      <c r="D258" s="57" t="n"/>
      <c r="E258" s="56" t="n"/>
      <c r="F258" s="57" t="n"/>
      <c r="G258" s="57" t="n"/>
      <c r="H258" s="56" t="n"/>
      <c r="I258" s="56" t="n"/>
      <c r="J258" s="58" t="n"/>
      <c r="K258" s="58" t="n"/>
      <c r="L258" s="13">
        <f>IF(OR($A258="",AND($J258="",$K258="")),"",ROUND(N($J258)-N($K258),2))</f>
        <v/>
      </c>
      <c r="M258" s="13">
        <f>IF(OR($A258="",AND($J258="",$K258="")),"",MIN($J258,$K258))</f>
        <v/>
      </c>
      <c r="Q258">
        <f>IF($A258="","",$D258&amp;"("&amp;SUBSTITUTE($E258," ","")&amp;")")</f>
        <v/>
      </c>
      <c r="R258">
        <f>IF($A258="","",$B258&amp;" - "&amp;$C258)</f>
        <v/>
      </c>
      <c r="S258">
        <f>IF($A258="","",$R258&amp;"|"&amp;$Q258)</f>
        <v/>
      </c>
      <c r="T258">
        <f>IF($A258="","",$S258&amp;"|"&amp;$F258)</f>
        <v/>
      </c>
      <c r="U258">
        <f>IF($A258="","",$R258&amp;"("&amp;$E258&amp;")")</f>
        <v/>
      </c>
      <c r="V258">
        <f>IF($A258="","",$F258&amp;"|"&amp;$U258&amp;"|"&amp;$D258)</f>
        <v/>
      </c>
      <c r="W258">
        <f>IF($T258="","",IF($X258&gt;N($X257),$X258,""))</f>
        <v/>
      </c>
      <c r="X258">
        <f>IF($T258="",N($X257),IF(MATCH($T258,$T$6:$T$6005,0)=ROW()-5,N($X257)+1,N($X257)))</f>
        <v/>
      </c>
      <c r="Z258">
        <f>IF($V258="","",IF($AA258&gt;N($AA257),$AA258,""))</f>
        <v/>
      </c>
      <c r="AA258">
        <f>IF($V258="",N($AA257),IF(MATCH($V258,$V$6:$V$6005,0)=ROW()-5,N($AA257)+1,N($AA257)))</f>
        <v/>
      </c>
    </row>
    <row r="259" ht="21" customHeight="1" s="66">
      <c r="A259" s="56" t="n"/>
      <c r="B259" s="57" t="n"/>
      <c r="C259" s="57" t="n"/>
      <c r="D259" s="57" t="n"/>
      <c r="E259" s="56" t="n"/>
      <c r="F259" s="57" t="n"/>
      <c r="G259" s="57" t="n"/>
      <c r="H259" s="56" t="n"/>
      <c r="I259" s="56" t="n"/>
      <c r="J259" s="58" t="n"/>
      <c r="K259" s="58" t="n"/>
      <c r="L259" s="13">
        <f>IF(OR($A259="",AND($J259="",$K259="")),"",ROUND(N($J259)-N($K259),2))</f>
        <v/>
      </c>
      <c r="M259" s="13">
        <f>IF(OR($A259="",AND($J259="",$K259="")),"",MIN($J259,$K259))</f>
        <v/>
      </c>
      <c r="Q259">
        <f>IF($A259="","",$D259&amp;"("&amp;SUBSTITUTE($E259," ","")&amp;")")</f>
        <v/>
      </c>
      <c r="R259">
        <f>IF($A259="","",$B259&amp;" - "&amp;$C259)</f>
        <v/>
      </c>
      <c r="S259">
        <f>IF($A259="","",$R259&amp;"|"&amp;$Q259)</f>
        <v/>
      </c>
      <c r="T259">
        <f>IF($A259="","",$S259&amp;"|"&amp;$F259)</f>
        <v/>
      </c>
      <c r="U259">
        <f>IF($A259="","",$R259&amp;"("&amp;$E259&amp;")")</f>
        <v/>
      </c>
      <c r="V259">
        <f>IF($A259="","",$F259&amp;"|"&amp;$U259&amp;"|"&amp;$D259)</f>
        <v/>
      </c>
      <c r="W259">
        <f>IF($T259="","",IF($X259&gt;N($X258),$X259,""))</f>
        <v/>
      </c>
      <c r="X259">
        <f>IF($T259="",N($X258),IF(MATCH($T259,$T$6:$T$6005,0)=ROW()-5,N($X258)+1,N($X258)))</f>
        <v/>
      </c>
      <c r="Z259">
        <f>IF($V259="","",IF($AA259&gt;N($AA258),$AA259,""))</f>
        <v/>
      </c>
      <c r="AA259">
        <f>IF($V259="",N($AA258),IF(MATCH($V259,$V$6:$V$6005,0)=ROW()-5,N($AA258)+1,N($AA258)))</f>
        <v/>
      </c>
    </row>
    <row r="260" ht="21" customHeight="1" s="66">
      <c r="A260" s="56" t="n"/>
      <c r="B260" s="57" t="n"/>
      <c r="C260" s="57" t="n"/>
      <c r="D260" s="57" t="n"/>
      <c r="E260" s="56" t="n"/>
      <c r="F260" s="57" t="n"/>
      <c r="G260" s="57" t="n"/>
      <c r="H260" s="56" t="n"/>
      <c r="I260" s="56" t="n"/>
      <c r="J260" s="58" t="n"/>
      <c r="K260" s="58" t="n"/>
      <c r="L260" s="13">
        <f>IF(OR($A260="",AND($J260="",$K260="")),"",ROUND(N($J260)-N($K260),2))</f>
        <v/>
      </c>
      <c r="M260" s="13">
        <f>IF(OR($A260="",AND($J260="",$K260="")),"",MIN($J260,$K260))</f>
        <v/>
      </c>
      <c r="Q260">
        <f>IF($A260="","",$D260&amp;"("&amp;SUBSTITUTE($E260," ","")&amp;")")</f>
        <v/>
      </c>
      <c r="R260">
        <f>IF($A260="","",$B260&amp;" - "&amp;$C260)</f>
        <v/>
      </c>
      <c r="S260">
        <f>IF($A260="","",$R260&amp;"|"&amp;$Q260)</f>
        <v/>
      </c>
      <c r="T260">
        <f>IF($A260="","",$S260&amp;"|"&amp;$F260)</f>
        <v/>
      </c>
      <c r="U260">
        <f>IF($A260="","",$R260&amp;"("&amp;$E260&amp;")")</f>
        <v/>
      </c>
      <c r="V260">
        <f>IF($A260="","",$F260&amp;"|"&amp;$U260&amp;"|"&amp;$D260)</f>
        <v/>
      </c>
      <c r="W260">
        <f>IF($T260="","",IF($X260&gt;N($X259),$X260,""))</f>
        <v/>
      </c>
      <c r="X260">
        <f>IF($T260="",N($X259),IF(MATCH($T260,$T$6:$T$6005,0)=ROW()-5,N($X259)+1,N($X259)))</f>
        <v/>
      </c>
      <c r="Z260">
        <f>IF($V260="","",IF($AA260&gt;N($AA259),$AA260,""))</f>
        <v/>
      </c>
      <c r="AA260">
        <f>IF($V260="",N($AA259),IF(MATCH($V260,$V$6:$V$6005,0)=ROW()-5,N($AA259)+1,N($AA259)))</f>
        <v/>
      </c>
    </row>
    <row r="261" ht="21" customHeight="1" s="66">
      <c r="A261" s="56" t="n"/>
      <c r="B261" s="57" t="n"/>
      <c r="C261" s="57" t="n"/>
      <c r="D261" s="57" t="n"/>
      <c r="E261" s="56" t="n"/>
      <c r="F261" s="57" t="n"/>
      <c r="G261" s="57" t="n"/>
      <c r="H261" s="56" t="n"/>
      <c r="I261" s="56" t="n"/>
      <c r="J261" s="58" t="n"/>
      <c r="K261" s="58" t="n"/>
      <c r="L261" s="13">
        <f>IF(OR($A261="",AND($J261="",$K261="")),"",ROUND(N($J261)-N($K261),2))</f>
        <v/>
      </c>
      <c r="M261" s="13">
        <f>IF(OR($A261="",AND($J261="",$K261="")),"",MIN($J261,$K261))</f>
        <v/>
      </c>
      <c r="Q261">
        <f>IF($A261="","",$D261&amp;"("&amp;SUBSTITUTE($E261," ","")&amp;")")</f>
        <v/>
      </c>
      <c r="R261">
        <f>IF($A261="","",$B261&amp;" - "&amp;$C261)</f>
        <v/>
      </c>
      <c r="S261">
        <f>IF($A261="","",$R261&amp;"|"&amp;$Q261)</f>
        <v/>
      </c>
      <c r="T261">
        <f>IF($A261="","",$S261&amp;"|"&amp;$F261)</f>
        <v/>
      </c>
      <c r="U261">
        <f>IF($A261="","",$R261&amp;"("&amp;$E261&amp;")")</f>
        <v/>
      </c>
      <c r="V261">
        <f>IF($A261="","",$F261&amp;"|"&amp;$U261&amp;"|"&amp;$D261)</f>
        <v/>
      </c>
      <c r="W261">
        <f>IF($T261="","",IF($X261&gt;N($X260),$X261,""))</f>
        <v/>
      </c>
      <c r="X261">
        <f>IF($T261="",N($X260),IF(MATCH($T261,$T$6:$T$6005,0)=ROW()-5,N($X260)+1,N($X260)))</f>
        <v/>
      </c>
      <c r="Z261">
        <f>IF($V261="","",IF($AA261&gt;N($AA260),$AA261,""))</f>
        <v/>
      </c>
      <c r="AA261">
        <f>IF($V261="",N($AA260),IF(MATCH($V261,$V$6:$V$6005,0)=ROW()-5,N($AA260)+1,N($AA260)))</f>
        <v/>
      </c>
    </row>
    <row r="262" ht="21" customHeight="1" s="66">
      <c r="A262" s="56" t="n"/>
      <c r="B262" s="57" t="n"/>
      <c r="C262" s="57" t="n"/>
      <c r="D262" s="57" t="n"/>
      <c r="E262" s="56" t="n"/>
      <c r="F262" s="57" t="n"/>
      <c r="G262" s="57" t="n"/>
      <c r="H262" s="56" t="n"/>
      <c r="I262" s="56" t="n"/>
      <c r="J262" s="58" t="n"/>
      <c r="K262" s="58" t="n"/>
      <c r="L262" s="13">
        <f>IF(OR($A262="",AND($J262="",$K262="")),"",ROUND(N($J262)-N($K262),2))</f>
        <v/>
      </c>
      <c r="M262" s="13">
        <f>IF(OR($A262="",AND($J262="",$K262="")),"",MIN($J262,$K262))</f>
        <v/>
      </c>
      <c r="Q262">
        <f>IF($A262="","",$D262&amp;"("&amp;SUBSTITUTE($E262," ","")&amp;")")</f>
        <v/>
      </c>
      <c r="R262">
        <f>IF($A262="","",$B262&amp;" - "&amp;$C262)</f>
        <v/>
      </c>
      <c r="S262">
        <f>IF($A262="","",$R262&amp;"|"&amp;$Q262)</f>
        <v/>
      </c>
      <c r="T262">
        <f>IF($A262="","",$S262&amp;"|"&amp;$F262)</f>
        <v/>
      </c>
      <c r="U262">
        <f>IF($A262="","",$R262&amp;"("&amp;$E262&amp;")")</f>
        <v/>
      </c>
      <c r="V262">
        <f>IF($A262="","",$F262&amp;"|"&amp;$U262&amp;"|"&amp;$D262)</f>
        <v/>
      </c>
      <c r="W262">
        <f>IF($T262="","",IF($X262&gt;N($X261),$X262,""))</f>
        <v/>
      </c>
      <c r="X262">
        <f>IF($T262="",N($X261),IF(MATCH($T262,$T$6:$T$6005,0)=ROW()-5,N($X261)+1,N($X261)))</f>
        <v/>
      </c>
      <c r="Z262">
        <f>IF($V262="","",IF($AA262&gt;N($AA261),$AA262,""))</f>
        <v/>
      </c>
      <c r="AA262">
        <f>IF($V262="",N($AA261),IF(MATCH($V262,$V$6:$V$6005,0)=ROW()-5,N($AA261)+1,N($AA261)))</f>
        <v/>
      </c>
    </row>
    <row r="263" ht="21" customHeight="1" s="66">
      <c r="A263" s="56" t="n"/>
      <c r="B263" s="57" t="n"/>
      <c r="C263" s="57" t="n"/>
      <c r="D263" s="57" t="n"/>
      <c r="E263" s="56" t="n"/>
      <c r="F263" s="57" t="n"/>
      <c r="G263" s="57" t="n"/>
      <c r="H263" s="56" t="n"/>
      <c r="I263" s="56" t="n"/>
      <c r="J263" s="58" t="n"/>
      <c r="K263" s="58" t="n"/>
      <c r="L263" s="13">
        <f>IF(OR($A263="",AND($J263="",$K263="")),"",ROUND(N($J263)-N($K263),2))</f>
        <v/>
      </c>
      <c r="M263" s="13">
        <f>IF(OR($A263="",AND($J263="",$K263="")),"",MIN($J263,$K263))</f>
        <v/>
      </c>
      <c r="Q263">
        <f>IF($A263="","",$D263&amp;"("&amp;SUBSTITUTE($E263," ","")&amp;")")</f>
        <v/>
      </c>
      <c r="R263">
        <f>IF($A263="","",$B263&amp;" - "&amp;$C263)</f>
        <v/>
      </c>
      <c r="S263">
        <f>IF($A263="","",$R263&amp;"|"&amp;$Q263)</f>
        <v/>
      </c>
      <c r="T263">
        <f>IF($A263="","",$S263&amp;"|"&amp;$F263)</f>
        <v/>
      </c>
      <c r="U263">
        <f>IF($A263="","",$R263&amp;"("&amp;$E263&amp;")")</f>
        <v/>
      </c>
      <c r="V263">
        <f>IF($A263="","",$F263&amp;"|"&amp;$U263&amp;"|"&amp;$D263)</f>
        <v/>
      </c>
      <c r="W263">
        <f>IF($T263="","",IF($X263&gt;N($X262),$X263,""))</f>
        <v/>
      </c>
      <c r="X263">
        <f>IF($T263="",N($X262),IF(MATCH($T263,$T$6:$T$6005,0)=ROW()-5,N($X262)+1,N($X262)))</f>
        <v/>
      </c>
      <c r="Z263">
        <f>IF($V263="","",IF($AA263&gt;N($AA262),$AA263,""))</f>
        <v/>
      </c>
      <c r="AA263">
        <f>IF($V263="",N($AA262),IF(MATCH($V263,$V$6:$V$6005,0)=ROW()-5,N($AA262)+1,N($AA262)))</f>
        <v/>
      </c>
    </row>
    <row r="264" ht="21" customHeight="1" s="66">
      <c r="A264" s="56" t="n"/>
      <c r="B264" s="57" t="n"/>
      <c r="C264" s="57" t="n"/>
      <c r="D264" s="57" t="n"/>
      <c r="E264" s="56" t="n"/>
      <c r="F264" s="57" t="n"/>
      <c r="G264" s="57" t="n"/>
      <c r="H264" s="56" t="n"/>
      <c r="I264" s="56" t="n"/>
      <c r="J264" s="58" t="n"/>
      <c r="K264" s="58" t="n"/>
      <c r="L264" s="13">
        <f>IF(OR($A264="",AND($J264="",$K264="")),"",ROUND(N($J264)-N($K264),2))</f>
        <v/>
      </c>
      <c r="M264" s="13">
        <f>IF(OR($A264="",AND($J264="",$K264="")),"",MIN($J264,$K264))</f>
        <v/>
      </c>
      <c r="Q264">
        <f>IF($A264="","",$D264&amp;"("&amp;SUBSTITUTE($E264," ","")&amp;")")</f>
        <v/>
      </c>
      <c r="R264">
        <f>IF($A264="","",$B264&amp;" - "&amp;$C264)</f>
        <v/>
      </c>
      <c r="S264">
        <f>IF($A264="","",$R264&amp;"|"&amp;$Q264)</f>
        <v/>
      </c>
      <c r="T264">
        <f>IF($A264="","",$S264&amp;"|"&amp;$F264)</f>
        <v/>
      </c>
      <c r="U264">
        <f>IF($A264="","",$R264&amp;"("&amp;$E264&amp;")")</f>
        <v/>
      </c>
      <c r="V264">
        <f>IF($A264="","",$F264&amp;"|"&amp;$U264&amp;"|"&amp;$D264)</f>
        <v/>
      </c>
      <c r="W264">
        <f>IF($T264="","",IF($X264&gt;N($X263),$X264,""))</f>
        <v/>
      </c>
      <c r="X264">
        <f>IF($T264="",N($X263),IF(MATCH($T264,$T$6:$T$6005,0)=ROW()-5,N($X263)+1,N($X263)))</f>
        <v/>
      </c>
      <c r="Z264">
        <f>IF($V264="","",IF($AA264&gt;N($AA263),$AA264,""))</f>
        <v/>
      </c>
      <c r="AA264">
        <f>IF($V264="",N($AA263),IF(MATCH($V264,$V$6:$V$6005,0)=ROW()-5,N($AA263)+1,N($AA263)))</f>
        <v/>
      </c>
    </row>
    <row r="265" ht="21" customHeight="1" s="66">
      <c r="A265" s="56" t="n"/>
      <c r="B265" s="57" t="n"/>
      <c r="C265" s="57" t="n"/>
      <c r="D265" s="57" t="n"/>
      <c r="E265" s="56" t="n"/>
      <c r="F265" s="57" t="n"/>
      <c r="G265" s="57" t="n"/>
      <c r="H265" s="56" t="n"/>
      <c r="I265" s="56" t="n"/>
      <c r="J265" s="58" t="n"/>
      <c r="K265" s="58" t="n"/>
      <c r="L265" s="13">
        <f>IF(OR($A265="",AND($J265="",$K265="")),"",ROUND(N($J265)-N($K265),2))</f>
        <v/>
      </c>
      <c r="M265" s="13">
        <f>IF(OR($A265="",AND($J265="",$K265="")),"",MIN($J265,$K265))</f>
        <v/>
      </c>
      <c r="Q265">
        <f>IF($A265="","",$D265&amp;"("&amp;SUBSTITUTE($E265," ","")&amp;")")</f>
        <v/>
      </c>
      <c r="R265">
        <f>IF($A265="","",$B265&amp;" - "&amp;$C265)</f>
        <v/>
      </c>
      <c r="S265">
        <f>IF($A265="","",$R265&amp;"|"&amp;$Q265)</f>
        <v/>
      </c>
      <c r="T265">
        <f>IF($A265="","",$S265&amp;"|"&amp;$F265)</f>
        <v/>
      </c>
      <c r="U265">
        <f>IF($A265="","",$R265&amp;"("&amp;$E265&amp;")")</f>
        <v/>
      </c>
      <c r="V265">
        <f>IF($A265="","",$F265&amp;"|"&amp;$U265&amp;"|"&amp;$D265)</f>
        <v/>
      </c>
      <c r="W265">
        <f>IF($T265="","",IF($X265&gt;N($X264),$X265,""))</f>
        <v/>
      </c>
      <c r="X265">
        <f>IF($T265="",N($X264),IF(MATCH($T265,$T$6:$T$6005,0)=ROW()-5,N($X264)+1,N($X264)))</f>
        <v/>
      </c>
      <c r="Z265">
        <f>IF($V265="","",IF($AA265&gt;N($AA264),$AA265,""))</f>
        <v/>
      </c>
      <c r="AA265">
        <f>IF($V265="",N($AA264),IF(MATCH($V265,$V$6:$V$6005,0)=ROW()-5,N($AA264)+1,N($AA264)))</f>
        <v/>
      </c>
    </row>
    <row r="266" ht="21" customHeight="1" s="66">
      <c r="A266" s="56" t="n"/>
      <c r="B266" s="57" t="n"/>
      <c r="C266" s="57" t="n"/>
      <c r="D266" s="57" t="n"/>
      <c r="E266" s="56" t="n"/>
      <c r="F266" s="57" t="n"/>
      <c r="G266" s="57" t="n"/>
      <c r="H266" s="56" t="n"/>
      <c r="I266" s="56" t="n"/>
      <c r="J266" s="58" t="n"/>
      <c r="K266" s="58" t="n"/>
      <c r="L266" s="13">
        <f>IF(OR($A266="",AND($J266="",$K266="")),"",ROUND(N($J266)-N($K266),2))</f>
        <v/>
      </c>
      <c r="M266" s="13">
        <f>IF(OR($A266="",AND($J266="",$K266="")),"",MIN($J266,$K266))</f>
        <v/>
      </c>
      <c r="Q266">
        <f>IF($A266="","",$D266&amp;"("&amp;SUBSTITUTE($E266," ","")&amp;")")</f>
        <v/>
      </c>
      <c r="R266">
        <f>IF($A266="","",$B266&amp;" - "&amp;$C266)</f>
        <v/>
      </c>
      <c r="S266">
        <f>IF($A266="","",$R266&amp;"|"&amp;$Q266)</f>
        <v/>
      </c>
      <c r="T266">
        <f>IF($A266="","",$S266&amp;"|"&amp;$F266)</f>
        <v/>
      </c>
      <c r="U266">
        <f>IF($A266="","",$R266&amp;"("&amp;$E266&amp;")")</f>
        <v/>
      </c>
      <c r="V266">
        <f>IF($A266="","",$F266&amp;"|"&amp;$U266&amp;"|"&amp;$D266)</f>
        <v/>
      </c>
      <c r="W266">
        <f>IF($T266="","",IF($X266&gt;N($X265),$X266,""))</f>
        <v/>
      </c>
      <c r="X266">
        <f>IF($T266="",N($X265),IF(MATCH($T266,$T$6:$T$6005,0)=ROW()-5,N($X265)+1,N($X265)))</f>
        <v/>
      </c>
      <c r="Z266">
        <f>IF($V266="","",IF($AA266&gt;N($AA265),$AA266,""))</f>
        <v/>
      </c>
      <c r="AA266">
        <f>IF($V266="",N($AA265),IF(MATCH($V266,$V$6:$V$6005,0)=ROW()-5,N($AA265)+1,N($AA265)))</f>
        <v/>
      </c>
    </row>
    <row r="267" ht="21" customHeight="1" s="66">
      <c r="A267" s="56" t="n"/>
      <c r="B267" s="57" t="n"/>
      <c r="C267" s="57" t="n"/>
      <c r="D267" s="57" t="n"/>
      <c r="E267" s="56" t="n"/>
      <c r="F267" s="57" t="n"/>
      <c r="G267" s="57" t="n"/>
      <c r="H267" s="56" t="n"/>
      <c r="I267" s="56" t="n"/>
      <c r="J267" s="58" t="n"/>
      <c r="K267" s="58" t="n"/>
      <c r="L267" s="13">
        <f>IF(OR($A267="",AND($J267="",$K267="")),"",ROUND(N($J267)-N($K267),2))</f>
        <v/>
      </c>
      <c r="M267" s="13">
        <f>IF(OR($A267="",AND($J267="",$K267="")),"",MIN($J267,$K267))</f>
        <v/>
      </c>
      <c r="Q267">
        <f>IF($A267="","",$D267&amp;"("&amp;SUBSTITUTE($E267," ","")&amp;")")</f>
        <v/>
      </c>
      <c r="R267">
        <f>IF($A267="","",$B267&amp;" - "&amp;$C267)</f>
        <v/>
      </c>
      <c r="S267">
        <f>IF($A267="","",$R267&amp;"|"&amp;$Q267)</f>
        <v/>
      </c>
      <c r="T267">
        <f>IF($A267="","",$S267&amp;"|"&amp;$F267)</f>
        <v/>
      </c>
      <c r="U267">
        <f>IF($A267="","",$R267&amp;"("&amp;$E267&amp;")")</f>
        <v/>
      </c>
      <c r="V267">
        <f>IF($A267="","",$F267&amp;"|"&amp;$U267&amp;"|"&amp;$D267)</f>
        <v/>
      </c>
      <c r="W267">
        <f>IF($T267="","",IF($X267&gt;N($X266),$X267,""))</f>
        <v/>
      </c>
      <c r="X267">
        <f>IF($T267="",N($X266),IF(MATCH($T267,$T$6:$T$6005,0)=ROW()-5,N($X266)+1,N($X266)))</f>
        <v/>
      </c>
      <c r="Z267">
        <f>IF($V267="","",IF($AA267&gt;N($AA266),$AA267,""))</f>
        <v/>
      </c>
      <c r="AA267">
        <f>IF($V267="",N($AA266),IF(MATCH($V267,$V$6:$V$6005,0)=ROW()-5,N($AA266)+1,N($AA266)))</f>
        <v/>
      </c>
    </row>
    <row r="268" ht="21" customHeight="1" s="66">
      <c r="A268" s="56" t="n"/>
      <c r="B268" s="57" t="n"/>
      <c r="C268" s="57" t="n"/>
      <c r="D268" s="57" t="n"/>
      <c r="E268" s="56" t="n"/>
      <c r="F268" s="57" t="n"/>
      <c r="G268" s="57" t="n"/>
      <c r="H268" s="56" t="n"/>
      <c r="I268" s="56" t="n"/>
      <c r="J268" s="58" t="n"/>
      <c r="K268" s="58" t="n"/>
      <c r="L268" s="13">
        <f>IF(OR($A268="",AND($J268="",$K268="")),"",ROUND(N($J268)-N($K268),2))</f>
        <v/>
      </c>
      <c r="M268" s="13">
        <f>IF(OR($A268="",AND($J268="",$K268="")),"",MIN($J268,$K268))</f>
        <v/>
      </c>
      <c r="Q268">
        <f>IF($A268="","",$D268&amp;"("&amp;SUBSTITUTE($E268," ","")&amp;")")</f>
        <v/>
      </c>
      <c r="R268">
        <f>IF($A268="","",$B268&amp;" - "&amp;$C268)</f>
        <v/>
      </c>
      <c r="S268">
        <f>IF($A268="","",$R268&amp;"|"&amp;$Q268)</f>
        <v/>
      </c>
      <c r="T268">
        <f>IF($A268="","",$S268&amp;"|"&amp;$F268)</f>
        <v/>
      </c>
      <c r="U268">
        <f>IF($A268="","",$R268&amp;"("&amp;$E268&amp;")")</f>
        <v/>
      </c>
      <c r="V268">
        <f>IF($A268="","",$F268&amp;"|"&amp;$U268&amp;"|"&amp;$D268)</f>
        <v/>
      </c>
      <c r="W268">
        <f>IF($T268="","",IF($X268&gt;N($X267),$X268,""))</f>
        <v/>
      </c>
      <c r="X268">
        <f>IF($T268="",N($X267),IF(MATCH($T268,$T$6:$T$6005,0)=ROW()-5,N($X267)+1,N($X267)))</f>
        <v/>
      </c>
      <c r="Z268">
        <f>IF($V268="","",IF($AA268&gt;N($AA267),$AA268,""))</f>
        <v/>
      </c>
      <c r="AA268">
        <f>IF($V268="",N($AA267),IF(MATCH($V268,$V$6:$V$6005,0)=ROW()-5,N($AA267)+1,N($AA267)))</f>
        <v/>
      </c>
    </row>
    <row r="269" ht="21" customHeight="1" s="66">
      <c r="A269" s="56" t="n"/>
      <c r="B269" s="57" t="n"/>
      <c r="C269" s="57" t="n"/>
      <c r="D269" s="57" t="n"/>
      <c r="E269" s="56" t="n"/>
      <c r="F269" s="57" t="n"/>
      <c r="G269" s="57" t="n"/>
      <c r="H269" s="56" t="n"/>
      <c r="I269" s="56" t="n"/>
      <c r="J269" s="58" t="n"/>
      <c r="K269" s="58" t="n"/>
      <c r="L269" s="13">
        <f>IF(OR($A269="",AND($J269="",$K269="")),"",ROUND(N($J269)-N($K269),2))</f>
        <v/>
      </c>
      <c r="M269" s="13">
        <f>IF(OR($A269="",AND($J269="",$K269="")),"",MIN($J269,$K269))</f>
        <v/>
      </c>
      <c r="Q269">
        <f>IF($A269="","",$D269&amp;"("&amp;SUBSTITUTE($E269," ","")&amp;")")</f>
        <v/>
      </c>
      <c r="R269">
        <f>IF($A269="","",$B269&amp;" - "&amp;$C269)</f>
        <v/>
      </c>
      <c r="S269">
        <f>IF($A269="","",$R269&amp;"|"&amp;$Q269)</f>
        <v/>
      </c>
      <c r="T269">
        <f>IF($A269="","",$S269&amp;"|"&amp;$F269)</f>
        <v/>
      </c>
      <c r="U269">
        <f>IF($A269="","",$R269&amp;"("&amp;$E269&amp;")")</f>
        <v/>
      </c>
      <c r="V269">
        <f>IF($A269="","",$F269&amp;"|"&amp;$U269&amp;"|"&amp;$D269)</f>
        <v/>
      </c>
      <c r="W269">
        <f>IF($T269="","",IF($X269&gt;N($X268),$X269,""))</f>
        <v/>
      </c>
      <c r="X269">
        <f>IF($T269="",N($X268),IF(MATCH($T269,$T$6:$T$6005,0)=ROW()-5,N($X268)+1,N($X268)))</f>
        <v/>
      </c>
      <c r="Z269">
        <f>IF($V269="","",IF($AA269&gt;N($AA268),$AA269,""))</f>
        <v/>
      </c>
      <c r="AA269">
        <f>IF($V269="",N($AA268),IF(MATCH($V269,$V$6:$V$6005,0)=ROW()-5,N($AA268)+1,N($AA268)))</f>
        <v/>
      </c>
    </row>
    <row r="270" ht="21" customHeight="1" s="66">
      <c r="A270" s="56" t="n"/>
      <c r="B270" s="57" t="n"/>
      <c r="C270" s="57" t="n"/>
      <c r="D270" s="57" t="n"/>
      <c r="E270" s="56" t="n"/>
      <c r="F270" s="57" t="n"/>
      <c r="G270" s="57" t="n"/>
      <c r="H270" s="56" t="n"/>
      <c r="I270" s="56" t="n"/>
      <c r="J270" s="58" t="n"/>
      <c r="K270" s="58" t="n"/>
      <c r="L270" s="13">
        <f>IF(OR($A270="",AND($J270="",$K270="")),"",ROUND(N($J270)-N($K270),2))</f>
        <v/>
      </c>
      <c r="M270" s="13">
        <f>IF(OR($A270="",AND($J270="",$K270="")),"",MIN($J270,$K270))</f>
        <v/>
      </c>
      <c r="Q270">
        <f>IF($A270="","",$D270&amp;"("&amp;SUBSTITUTE($E270," ","")&amp;")")</f>
        <v/>
      </c>
      <c r="R270">
        <f>IF($A270="","",$B270&amp;" - "&amp;$C270)</f>
        <v/>
      </c>
      <c r="S270">
        <f>IF($A270="","",$R270&amp;"|"&amp;$Q270)</f>
        <v/>
      </c>
      <c r="T270">
        <f>IF($A270="","",$S270&amp;"|"&amp;$F270)</f>
        <v/>
      </c>
      <c r="U270">
        <f>IF($A270="","",$R270&amp;"("&amp;$E270&amp;")")</f>
        <v/>
      </c>
      <c r="V270">
        <f>IF($A270="","",$F270&amp;"|"&amp;$U270&amp;"|"&amp;$D270)</f>
        <v/>
      </c>
      <c r="W270">
        <f>IF($T270="","",IF($X270&gt;N($X269),$X270,""))</f>
        <v/>
      </c>
      <c r="X270">
        <f>IF($T270="",N($X269),IF(MATCH($T270,$T$6:$T$6005,0)=ROW()-5,N($X269)+1,N($X269)))</f>
        <v/>
      </c>
      <c r="Z270">
        <f>IF($V270="","",IF($AA270&gt;N($AA269),$AA270,""))</f>
        <v/>
      </c>
      <c r="AA270">
        <f>IF($V270="",N($AA269),IF(MATCH($V270,$V$6:$V$6005,0)=ROW()-5,N($AA269)+1,N($AA269)))</f>
        <v/>
      </c>
    </row>
    <row r="271" ht="21" customHeight="1" s="66">
      <c r="A271" s="56" t="n"/>
      <c r="B271" s="57" t="n"/>
      <c r="C271" s="57" t="n"/>
      <c r="D271" s="57" t="n"/>
      <c r="E271" s="56" t="n"/>
      <c r="F271" s="57" t="n"/>
      <c r="G271" s="57" t="n"/>
      <c r="H271" s="56" t="n"/>
      <c r="I271" s="56" t="n"/>
      <c r="J271" s="58" t="n"/>
      <c r="K271" s="58" t="n"/>
      <c r="L271" s="13">
        <f>IF(OR($A271="",AND($J271="",$K271="")),"",ROUND(N($J271)-N($K271),2))</f>
        <v/>
      </c>
      <c r="M271" s="13">
        <f>IF(OR($A271="",AND($J271="",$K271="")),"",MIN($J271,$K271))</f>
        <v/>
      </c>
      <c r="Q271">
        <f>IF($A271="","",$D271&amp;"("&amp;SUBSTITUTE($E271," ","")&amp;")")</f>
        <v/>
      </c>
      <c r="R271">
        <f>IF($A271="","",$B271&amp;" - "&amp;$C271)</f>
        <v/>
      </c>
      <c r="S271">
        <f>IF($A271="","",$R271&amp;"|"&amp;$Q271)</f>
        <v/>
      </c>
      <c r="T271">
        <f>IF($A271="","",$S271&amp;"|"&amp;$F271)</f>
        <v/>
      </c>
      <c r="U271">
        <f>IF($A271="","",$R271&amp;"("&amp;$E271&amp;")")</f>
        <v/>
      </c>
      <c r="V271">
        <f>IF($A271="","",$F271&amp;"|"&amp;$U271&amp;"|"&amp;$D271)</f>
        <v/>
      </c>
      <c r="W271">
        <f>IF($T271="","",IF($X271&gt;N($X270),$X271,""))</f>
        <v/>
      </c>
      <c r="X271">
        <f>IF($T271="",N($X270),IF(MATCH($T271,$T$6:$T$6005,0)=ROW()-5,N($X270)+1,N($X270)))</f>
        <v/>
      </c>
      <c r="Z271">
        <f>IF($V271="","",IF($AA271&gt;N($AA270),$AA271,""))</f>
        <v/>
      </c>
      <c r="AA271">
        <f>IF($V271="",N($AA270),IF(MATCH($V271,$V$6:$V$6005,0)=ROW()-5,N($AA270)+1,N($AA270)))</f>
        <v/>
      </c>
    </row>
    <row r="272" ht="21" customHeight="1" s="66">
      <c r="A272" s="56" t="n"/>
      <c r="B272" s="57" t="n"/>
      <c r="C272" s="57" t="n"/>
      <c r="D272" s="57" t="n"/>
      <c r="E272" s="56" t="n"/>
      <c r="F272" s="57" t="n"/>
      <c r="G272" s="57" t="n"/>
      <c r="H272" s="56" t="n"/>
      <c r="I272" s="56" t="n"/>
      <c r="J272" s="58" t="n"/>
      <c r="K272" s="58" t="n"/>
      <c r="L272" s="13">
        <f>IF(OR($A272="",AND($J272="",$K272="")),"",ROUND(N($J272)-N($K272),2))</f>
        <v/>
      </c>
      <c r="M272" s="13">
        <f>IF(OR($A272="",AND($J272="",$K272="")),"",MIN($J272,$K272))</f>
        <v/>
      </c>
      <c r="Q272">
        <f>IF($A272="","",$D272&amp;"("&amp;SUBSTITUTE($E272," ","")&amp;")")</f>
        <v/>
      </c>
      <c r="R272">
        <f>IF($A272="","",$B272&amp;" - "&amp;$C272)</f>
        <v/>
      </c>
      <c r="S272">
        <f>IF($A272="","",$R272&amp;"|"&amp;$Q272)</f>
        <v/>
      </c>
      <c r="T272">
        <f>IF($A272="","",$S272&amp;"|"&amp;$F272)</f>
        <v/>
      </c>
      <c r="U272">
        <f>IF($A272="","",$R272&amp;"("&amp;$E272&amp;")")</f>
        <v/>
      </c>
      <c r="V272">
        <f>IF($A272="","",$F272&amp;"|"&amp;$U272&amp;"|"&amp;$D272)</f>
        <v/>
      </c>
      <c r="W272">
        <f>IF($T272="","",IF($X272&gt;N($X271),$X272,""))</f>
        <v/>
      </c>
      <c r="X272">
        <f>IF($T272="",N($X271),IF(MATCH($T272,$T$6:$T$6005,0)=ROW()-5,N($X271)+1,N($X271)))</f>
        <v/>
      </c>
      <c r="Z272">
        <f>IF($V272="","",IF($AA272&gt;N($AA271),$AA272,""))</f>
        <v/>
      </c>
      <c r="AA272">
        <f>IF($V272="",N($AA271),IF(MATCH($V272,$V$6:$V$6005,0)=ROW()-5,N($AA271)+1,N($AA271)))</f>
        <v/>
      </c>
    </row>
    <row r="273" ht="21" customHeight="1" s="66">
      <c r="A273" s="56" t="n"/>
      <c r="B273" s="57" t="n"/>
      <c r="C273" s="57" t="n"/>
      <c r="D273" s="57" t="n"/>
      <c r="E273" s="56" t="n"/>
      <c r="F273" s="57" t="n"/>
      <c r="G273" s="57" t="n"/>
      <c r="H273" s="56" t="n"/>
      <c r="I273" s="56" t="n"/>
      <c r="J273" s="58" t="n"/>
      <c r="K273" s="58" t="n"/>
      <c r="L273" s="13">
        <f>IF(OR($A273="",AND($J273="",$K273="")),"",ROUND(N($J273)-N($K273),2))</f>
        <v/>
      </c>
      <c r="M273" s="13">
        <f>IF(OR($A273="",AND($J273="",$K273="")),"",MIN($J273,$K273))</f>
        <v/>
      </c>
      <c r="Q273">
        <f>IF($A273="","",$D273&amp;"("&amp;SUBSTITUTE($E273," ","")&amp;")")</f>
        <v/>
      </c>
      <c r="R273">
        <f>IF($A273="","",$B273&amp;" - "&amp;$C273)</f>
        <v/>
      </c>
      <c r="S273">
        <f>IF($A273="","",$R273&amp;"|"&amp;$Q273)</f>
        <v/>
      </c>
      <c r="T273">
        <f>IF($A273="","",$S273&amp;"|"&amp;$F273)</f>
        <v/>
      </c>
      <c r="U273">
        <f>IF($A273="","",$R273&amp;"("&amp;$E273&amp;")")</f>
        <v/>
      </c>
      <c r="V273">
        <f>IF($A273="","",$F273&amp;"|"&amp;$U273&amp;"|"&amp;$D273)</f>
        <v/>
      </c>
      <c r="W273">
        <f>IF($T273="","",IF($X273&gt;N($X272),$X273,""))</f>
        <v/>
      </c>
      <c r="X273">
        <f>IF($T273="",N($X272),IF(MATCH($T273,$T$6:$T$6005,0)=ROW()-5,N($X272)+1,N($X272)))</f>
        <v/>
      </c>
      <c r="Z273">
        <f>IF($V273="","",IF($AA273&gt;N($AA272),$AA273,""))</f>
        <v/>
      </c>
      <c r="AA273">
        <f>IF($V273="",N($AA272),IF(MATCH($V273,$V$6:$V$6005,0)=ROW()-5,N($AA272)+1,N($AA272)))</f>
        <v/>
      </c>
    </row>
    <row r="274" ht="21" customHeight="1" s="66">
      <c r="A274" s="56" t="n"/>
      <c r="B274" s="57" t="n"/>
      <c r="C274" s="57" t="n"/>
      <c r="D274" s="57" t="n"/>
      <c r="E274" s="56" t="n"/>
      <c r="F274" s="57" t="n"/>
      <c r="G274" s="57" t="n"/>
      <c r="H274" s="56" t="n"/>
      <c r="I274" s="56" t="n"/>
      <c r="J274" s="58" t="n"/>
      <c r="K274" s="58" t="n"/>
      <c r="L274" s="13">
        <f>IF(OR($A274="",AND($J274="",$K274="")),"",ROUND(N($J274)-N($K274),2))</f>
        <v/>
      </c>
      <c r="M274" s="13">
        <f>IF(OR($A274="",AND($J274="",$K274="")),"",MIN($J274,$K274))</f>
        <v/>
      </c>
      <c r="Q274">
        <f>IF($A274="","",$D274&amp;"("&amp;SUBSTITUTE($E274," ","")&amp;")")</f>
        <v/>
      </c>
      <c r="R274">
        <f>IF($A274="","",$B274&amp;" - "&amp;$C274)</f>
        <v/>
      </c>
      <c r="S274">
        <f>IF($A274="","",$R274&amp;"|"&amp;$Q274)</f>
        <v/>
      </c>
      <c r="T274">
        <f>IF($A274="","",$S274&amp;"|"&amp;$F274)</f>
        <v/>
      </c>
      <c r="U274">
        <f>IF($A274="","",$R274&amp;"("&amp;$E274&amp;")")</f>
        <v/>
      </c>
      <c r="V274">
        <f>IF($A274="","",$F274&amp;"|"&amp;$U274&amp;"|"&amp;$D274)</f>
        <v/>
      </c>
      <c r="W274">
        <f>IF($T274="","",IF($X274&gt;N($X273),$X274,""))</f>
        <v/>
      </c>
      <c r="X274">
        <f>IF($T274="",N($X273),IF(MATCH($T274,$T$6:$T$6005,0)=ROW()-5,N($X273)+1,N($X273)))</f>
        <v/>
      </c>
      <c r="Z274">
        <f>IF($V274="","",IF($AA274&gt;N($AA273),$AA274,""))</f>
        <v/>
      </c>
      <c r="AA274">
        <f>IF($V274="",N($AA273),IF(MATCH($V274,$V$6:$V$6005,0)=ROW()-5,N($AA273)+1,N($AA273)))</f>
        <v/>
      </c>
    </row>
    <row r="275" ht="21" customHeight="1" s="66">
      <c r="A275" s="56" t="n"/>
      <c r="B275" s="57" t="n"/>
      <c r="C275" s="57" t="n"/>
      <c r="D275" s="57" t="n"/>
      <c r="E275" s="56" t="n"/>
      <c r="F275" s="57" t="n"/>
      <c r="G275" s="57" t="n"/>
      <c r="H275" s="56" t="n"/>
      <c r="I275" s="56" t="n"/>
      <c r="J275" s="58" t="n"/>
      <c r="K275" s="58" t="n"/>
      <c r="L275" s="13">
        <f>IF(OR($A275="",AND($J275="",$K275="")),"",ROUND(N($J275)-N($K275),2))</f>
        <v/>
      </c>
      <c r="M275" s="13">
        <f>IF(OR($A275="",AND($J275="",$K275="")),"",MIN($J275,$K275))</f>
        <v/>
      </c>
      <c r="Q275">
        <f>IF($A275="","",$D275&amp;"("&amp;SUBSTITUTE($E275," ","")&amp;")")</f>
        <v/>
      </c>
      <c r="R275">
        <f>IF($A275="","",$B275&amp;" - "&amp;$C275)</f>
        <v/>
      </c>
      <c r="S275">
        <f>IF($A275="","",$R275&amp;"|"&amp;$Q275)</f>
        <v/>
      </c>
      <c r="T275">
        <f>IF($A275="","",$S275&amp;"|"&amp;$F275)</f>
        <v/>
      </c>
      <c r="U275">
        <f>IF($A275="","",$R275&amp;"("&amp;$E275&amp;")")</f>
        <v/>
      </c>
      <c r="V275">
        <f>IF($A275="","",$F275&amp;"|"&amp;$U275&amp;"|"&amp;$D275)</f>
        <v/>
      </c>
      <c r="W275">
        <f>IF($T275="","",IF($X275&gt;N($X274),$X275,""))</f>
        <v/>
      </c>
      <c r="X275">
        <f>IF($T275="",N($X274),IF(MATCH($T275,$T$6:$T$6005,0)=ROW()-5,N($X274)+1,N($X274)))</f>
        <v/>
      </c>
      <c r="Z275">
        <f>IF($V275="","",IF($AA275&gt;N($AA274),$AA275,""))</f>
        <v/>
      </c>
      <c r="AA275">
        <f>IF($V275="",N($AA274),IF(MATCH($V275,$V$6:$V$6005,0)=ROW()-5,N($AA274)+1,N($AA274)))</f>
        <v/>
      </c>
    </row>
    <row r="276" ht="21" customHeight="1" s="66">
      <c r="A276" s="56" t="n"/>
      <c r="B276" s="57" t="n"/>
      <c r="C276" s="57" t="n"/>
      <c r="D276" s="57" t="n"/>
      <c r="E276" s="56" t="n"/>
      <c r="F276" s="57" t="n"/>
      <c r="G276" s="57" t="n"/>
      <c r="H276" s="56" t="n"/>
      <c r="I276" s="56" t="n"/>
      <c r="J276" s="58" t="n"/>
      <c r="K276" s="58" t="n"/>
      <c r="L276" s="13">
        <f>IF(OR($A276="",AND($J276="",$K276="")),"",ROUND(N($J276)-N($K276),2))</f>
        <v/>
      </c>
      <c r="M276" s="13">
        <f>IF(OR($A276="",AND($J276="",$K276="")),"",MIN($J276,$K276))</f>
        <v/>
      </c>
      <c r="Q276">
        <f>IF($A276="","",$D276&amp;"("&amp;SUBSTITUTE($E276," ","")&amp;")")</f>
        <v/>
      </c>
      <c r="R276">
        <f>IF($A276="","",$B276&amp;" - "&amp;$C276)</f>
        <v/>
      </c>
      <c r="S276">
        <f>IF($A276="","",$R276&amp;"|"&amp;$Q276)</f>
        <v/>
      </c>
      <c r="T276">
        <f>IF($A276="","",$S276&amp;"|"&amp;$F276)</f>
        <v/>
      </c>
      <c r="U276">
        <f>IF($A276="","",$R276&amp;"("&amp;$E276&amp;")")</f>
        <v/>
      </c>
      <c r="V276">
        <f>IF($A276="","",$F276&amp;"|"&amp;$U276&amp;"|"&amp;$D276)</f>
        <v/>
      </c>
      <c r="W276">
        <f>IF($T276="","",IF($X276&gt;N($X275),$X276,""))</f>
        <v/>
      </c>
      <c r="X276">
        <f>IF($T276="",N($X275),IF(MATCH($T276,$T$6:$T$6005,0)=ROW()-5,N($X275)+1,N($X275)))</f>
        <v/>
      </c>
      <c r="Z276">
        <f>IF($V276="","",IF($AA276&gt;N($AA275),$AA276,""))</f>
        <v/>
      </c>
      <c r="AA276">
        <f>IF($V276="",N($AA275),IF(MATCH($V276,$V$6:$V$6005,0)=ROW()-5,N($AA275)+1,N($AA275)))</f>
        <v/>
      </c>
    </row>
    <row r="277" ht="21" customHeight="1" s="66">
      <c r="A277" s="56" t="n"/>
      <c r="B277" s="57" t="n"/>
      <c r="C277" s="57" t="n"/>
      <c r="D277" s="57" t="n"/>
      <c r="E277" s="56" t="n"/>
      <c r="F277" s="57" t="n"/>
      <c r="G277" s="57" t="n"/>
      <c r="H277" s="56" t="n"/>
      <c r="I277" s="56" t="n"/>
      <c r="J277" s="58" t="n"/>
      <c r="K277" s="58" t="n"/>
      <c r="L277" s="13">
        <f>IF(OR($A277="",AND($J277="",$K277="")),"",ROUND(N($J277)-N($K277),2))</f>
        <v/>
      </c>
      <c r="M277" s="13">
        <f>IF(OR($A277="",AND($J277="",$K277="")),"",MIN($J277,$K277))</f>
        <v/>
      </c>
      <c r="Q277">
        <f>IF($A277="","",$D277&amp;"("&amp;SUBSTITUTE($E277," ","")&amp;")")</f>
        <v/>
      </c>
      <c r="R277">
        <f>IF($A277="","",$B277&amp;" - "&amp;$C277)</f>
        <v/>
      </c>
      <c r="S277">
        <f>IF($A277="","",$R277&amp;"|"&amp;$Q277)</f>
        <v/>
      </c>
      <c r="T277">
        <f>IF($A277="","",$S277&amp;"|"&amp;$F277)</f>
        <v/>
      </c>
      <c r="U277">
        <f>IF($A277="","",$R277&amp;"("&amp;$E277&amp;")")</f>
        <v/>
      </c>
      <c r="V277">
        <f>IF($A277="","",$F277&amp;"|"&amp;$U277&amp;"|"&amp;$D277)</f>
        <v/>
      </c>
      <c r="W277">
        <f>IF($T277="","",IF($X277&gt;N($X276),$X277,""))</f>
        <v/>
      </c>
      <c r="X277">
        <f>IF($T277="",N($X276),IF(MATCH($T277,$T$6:$T$6005,0)=ROW()-5,N($X276)+1,N($X276)))</f>
        <v/>
      </c>
      <c r="Z277">
        <f>IF($V277="","",IF($AA277&gt;N($AA276),$AA277,""))</f>
        <v/>
      </c>
      <c r="AA277">
        <f>IF($V277="",N($AA276),IF(MATCH($V277,$V$6:$V$6005,0)=ROW()-5,N($AA276)+1,N($AA276)))</f>
        <v/>
      </c>
    </row>
    <row r="278" ht="21" customHeight="1" s="66">
      <c r="A278" s="56" t="n"/>
      <c r="B278" s="57" t="n"/>
      <c r="C278" s="57" t="n"/>
      <c r="D278" s="57" t="n"/>
      <c r="E278" s="56" t="n"/>
      <c r="F278" s="57" t="n"/>
      <c r="G278" s="57" t="n"/>
      <c r="H278" s="56" t="n"/>
      <c r="I278" s="56" t="n"/>
      <c r="J278" s="58" t="n"/>
      <c r="K278" s="58" t="n"/>
      <c r="L278" s="13">
        <f>IF(OR($A278="",AND($J278="",$K278="")),"",ROUND(N($J278)-N($K278),2))</f>
        <v/>
      </c>
      <c r="M278" s="13">
        <f>IF(OR($A278="",AND($J278="",$K278="")),"",MIN($J278,$K278))</f>
        <v/>
      </c>
      <c r="Q278">
        <f>IF($A278="","",$D278&amp;"("&amp;SUBSTITUTE($E278," ","")&amp;")")</f>
        <v/>
      </c>
      <c r="R278">
        <f>IF($A278="","",$B278&amp;" - "&amp;$C278)</f>
        <v/>
      </c>
      <c r="S278">
        <f>IF($A278="","",$R278&amp;"|"&amp;$Q278)</f>
        <v/>
      </c>
      <c r="T278">
        <f>IF($A278="","",$S278&amp;"|"&amp;$F278)</f>
        <v/>
      </c>
      <c r="U278">
        <f>IF($A278="","",$R278&amp;"("&amp;$E278&amp;")")</f>
        <v/>
      </c>
      <c r="V278">
        <f>IF($A278="","",$F278&amp;"|"&amp;$U278&amp;"|"&amp;$D278)</f>
        <v/>
      </c>
      <c r="W278">
        <f>IF($T278="","",IF($X278&gt;N($X277),$X278,""))</f>
        <v/>
      </c>
      <c r="X278">
        <f>IF($T278="",N($X277),IF(MATCH($T278,$T$6:$T$6005,0)=ROW()-5,N($X277)+1,N($X277)))</f>
        <v/>
      </c>
      <c r="Z278">
        <f>IF($V278="","",IF($AA278&gt;N($AA277),$AA278,""))</f>
        <v/>
      </c>
      <c r="AA278">
        <f>IF($V278="",N($AA277),IF(MATCH($V278,$V$6:$V$6005,0)=ROW()-5,N($AA277)+1,N($AA277)))</f>
        <v/>
      </c>
    </row>
    <row r="279" ht="21" customHeight="1" s="66">
      <c r="A279" s="56" t="n"/>
      <c r="B279" s="57" t="n"/>
      <c r="C279" s="57" t="n"/>
      <c r="D279" s="57" t="n"/>
      <c r="E279" s="56" t="n"/>
      <c r="F279" s="57" t="n"/>
      <c r="G279" s="57" t="n"/>
      <c r="H279" s="56" t="n"/>
      <c r="I279" s="56" t="n"/>
      <c r="J279" s="58" t="n"/>
      <c r="K279" s="58" t="n"/>
      <c r="L279" s="13">
        <f>IF(OR($A279="",AND($J279="",$K279="")),"",ROUND(N($J279)-N($K279),2))</f>
        <v/>
      </c>
      <c r="M279" s="13">
        <f>IF(OR($A279="",AND($J279="",$K279="")),"",MIN($J279,$K279))</f>
        <v/>
      </c>
      <c r="Q279">
        <f>IF($A279="","",$D279&amp;"("&amp;SUBSTITUTE($E279," ","")&amp;")")</f>
        <v/>
      </c>
      <c r="R279">
        <f>IF($A279="","",$B279&amp;" - "&amp;$C279)</f>
        <v/>
      </c>
      <c r="S279">
        <f>IF($A279="","",$R279&amp;"|"&amp;$Q279)</f>
        <v/>
      </c>
      <c r="T279">
        <f>IF($A279="","",$S279&amp;"|"&amp;$F279)</f>
        <v/>
      </c>
      <c r="U279">
        <f>IF($A279="","",$R279&amp;"("&amp;$E279&amp;")")</f>
        <v/>
      </c>
      <c r="V279">
        <f>IF($A279="","",$F279&amp;"|"&amp;$U279&amp;"|"&amp;$D279)</f>
        <v/>
      </c>
      <c r="W279">
        <f>IF($T279="","",IF($X279&gt;N($X278),$X279,""))</f>
        <v/>
      </c>
      <c r="X279">
        <f>IF($T279="",N($X278),IF(MATCH($T279,$T$6:$T$6005,0)=ROW()-5,N($X278)+1,N($X278)))</f>
        <v/>
      </c>
      <c r="Z279">
        <f>IF($V279="","",IF($AA279&gt;N($AA278),$AA279,""))</f>
        <v/>
      </c>
      <c r="AA279">
        <f>IF($V279="",N($AA278),IF(MATCH($V279,$V$6:$V$6005,0)=ROW()-5,N($AA278)+1,N($AA278)))</f>
        <v/>
      </c>
    </row>
    <row r="280" ht="21" customHeight="1" s="66">
      <c r="A280" s="56" t="n"/>
      <c r="B280" s="57" t="n"/>
      <c r="C280" s="57" t="n"/>
      <c r="D280" s="57" t="n"/>
      <c r="E280" s="56" t="n"/>
      <c r="F280" s="57" t="n"/>
      <c r="G280" s="57" t="n"/>
      <c r="H280" s="56" t="n"/>
      <c r="I280" s="56" t="n"/>
      <c r="J280" s="58" t="n"/>
      <c r="K280" s="58" t="n"/>
      <c r="L280" s="13">
        <f>IF(OR($A280="",AND($J280="",$K280="")),"",ROUND(N($J280)-N($K280),2))</f>
        <v/>
      </c>
      <c r="M280" s="13">
        <f>IF(OR($A280="",AND($J280="",$K280="")),"",MIN($J280,$K280))</f>
        <v/>
      </c>
      <c r="Q280">
        <f>IF($A280="","",$D280&amp;"("&amp;SUBSTITUTE($E280," ","")&amp;")")</f>
        <v/>
      </c>
      <c r="R280">
        <f>IF($A280="","",$B280&amp;" - "&amp;$C280)</f>
        <v/>
      </c>
      <c r="S280">
        <f>IF($A280="","",$R280&amp;"|"&amp;$Q280)</f>
        <v/>
      </c>
      <c r="T280">
        <f>IF($A280="","",$S280&amp;"|"&amp;$F280)</f>
        <v/>
      </c>
      <c r="U280">
        <f>IF($A280="","",$R280&amp;"("&amp;$E280&amp;")")</f>
        <v/>
      </c>
      <c r="V280">
        <f>IF($A280="","",$F280&amp;"|"&amp;$U280&amp;"|"&amp;$D280)</f>
        <v/>
      </c>
      <c r="W280">
        <f>IF($T280="","",IF($X280&gt;N($X279),$X280,""))</f>
        <v/>
      </c>
      <c r="X280">
        <f>IF($T280="",N($X279),IF(MATCH($T280,$T$6:$T$6005,0)=ROW()-5,N($X279)+1,N($X279)))</f>
        <v/>
      </c>
      <c r="Z280">
        <f>IF($V280="","",IF($AA280&gt;N($AA279),$AA280,""))</f>
        <v/>
      </c>
      <c r="AA280">
        <f>IF($V280="",N($AA279),IF(MATCH($V280,$V$6:$V$6005,0)=ROW()-5,N($AA279)+1,N($AA279)))</f>
        <v/>
      </c>
    </row>
    <row r="281" ht="21" customHeight="1" s="66">
      <c r="A281" s="56" t="n"/>
      <c r="B281" s="57" t="n"/>
      <c r="C281" s="57" t="n"/>
      <c r="D281" s="57" t="n"/>
      <c r="E281" s="56" t="n"/>
      <c r="F281" s="57" t="n"/>
      <c r="G281" s="57" t="n"/>
      <c r="H281" s="56" t="n"/>
      <c r="I281" s="56" t="n"/>
      <c r="J281" s="58" t="n"/>
      <c r="K281" s="58" t="n"/>
      <c r="L281" s="13">
        <f>IF(OR($A281="",AND($J281="",$K281="")),"",ROUND(N($J281)-N($K281),2))</f>
        <v/>
      </c>
      <c r="M281" s="13">
        <f>IF(OR($A281="",AND($J281="",$K281="")),"",MIN($J281,$K281))</f>
        <v/>
      </c>
      <c r="Q281">
        <f>IF($A281="","",$D281&amp;"("&amp;SUBSTITUTE($E281," ","")&amp;")")</f>
        <v/>
      </c>
      <c r="R281">
        <f>IF($A281="","",$B281&amp;" - "&amp;$C281)</f>
        <v/>
      </c>
      <c r="S281">
        <f>IF($A281="","",$R281&amp;"|"&amp;$Q281)</f>
        <v/>
      </c>
      <c r="T281">
        <f>IF($A281="","",$S281&amp;"|"&amp;$F281)</f>
        <v/>
      </c>
      <c r="U281">
        <f>IF($A281="","",$R281&amp;"("&amp;$E281&amp;")")</f>
        <v/>
      </c>
      <c r="V281">
        <f>IF($A281="","",$F281&amp;"|"&amp;$U281&amp;"|"&amp;$D281)</f>
        <v/>
      </c>
      <c r="W281">
        <f>IF($T281="","",IF($X281&gt;N($X280),$X281,""))</f>
        <v/>
      </c>
      <c r="X281">
        <f>IF($T281="",N($X280),IF(MATCH($T281,$T$6:$T$6005,0)=ROW()-5,N($X280)+1,N($X280)))</f>
        <v/>
      </c>
      <c r="Z281">
        <f>IF($V281="","",IF($AA281&gt;N($AA280),$AA281,""))</f>
        <v/>
      </c>
      <c r="AA281">
        <f>IF($V281="",N($AA280),IF(MATCH($V281,$V$6:$V$6005,0)=ROW()-5,N($AA280)+1,N($AA280)))</f>
        <v/>
      </c>
    </row>
    <row r="282" ht="21" customHeight="1" s="66">
      <c r="A282" s="56" t="n"/>
      <c r="B282" s="57" t="n"/>
      <c r="C282" s="57" t="n"/>
      <c r="D282" s="57" t="n"/>
      <c r="E282" s="56" t="n"/>
      <c r="F282" s="57" t="n"/>
      <c r="G282" s="57" t="n"/>
      <c r="H282" s="56" t="n"/>
      <c r="I282" s="56" t="n"/>
      <c r="J282" s="58" t="n"/>
      <c r="K282" s="58" t="n"/>
      <c r="L282" s="13">
        <f>IF(OR($A282="",AND($J282="",$K282="")),"",ROUND(N($J282)-N($K282),2))</f>
        <v/>
      </c>
      <c r="M282" s="13">
        <f>IF(OR($A282="",AND($J282="",$K282="")),"",MIN($J282,$K282))</f>
        <v/>
      </c>
      <c r="Q282">
        <f>IF($A282="","",$D282&amp;"("&amp;SUBSTITUTE($E282," ","")&amp;")")</f>
        <v/>
      </c>
      <c r="R282">
        <f>IF($A282="","",$B282&amp;" - "&amp;$C282)</f>
        <v/>
      </c>
      <c r="S282">
        <f>IF($A282="","",$R282&amp;"|"&amp;$Q282)</f>
        <v/>
      </c>
      <c r="T282">
        <f>IF($A282="","",$S282&amp;"|"&amp;$F282)</f>
        <v/>
      </c>
      <c r="U282">
        <f>IF($A282="","",$R282&amp;"("&amp;$E282&amp;")")</f>
        <v/>
      </c>
      <c r="V282">
        <f>IF($A282="","",$F282&amp;"|"&amp;$U282&amp;"|"&amp;$D282)</f>
        <v/>
      </c>
      <c r="W282">
        <f>IF($T282="","",IF($X282&gt;N($X281),$X282,""))</f>
        <v/>
      </c>
      <c r="X282">
        <f>IF($T282="",N($X281),IF(MATCH($T282,$T$6:$T$6005,0)=ROW()-5,N($X281)+1,N($X281)))</f>
        <v/>
      </c>
      <c r="Z282">
        <f>IF($V282="","",IF($AA282&gt;N($AA281),$AA282,""))</f>
        <v/>
      </c>
      <c r="AA282">
        <f>IF($V282="",N($AA281),IF(MATCH($V282,$V$6:$V$6005,0)=ROW()-5,N($AA281)+1,N($AA281)))</f>
        <v/>
      </c>
    </row>
    <row r="283" ht="21" customHeight="1" s="66">
      <c r="A283" s="56" t="n"/>
      <c r="B283" s="57" t="n"/>
      <c r="C283" s="57" t="n"/>
      <c r="D283" s="57" t="n"/>
      <c r="E283" s="56" t="n"/>
      <c r="F283" s="57" t="n"/>
      <c r="G283" s="57" t="n"/>
      <c r="H283" s="56" t="n"/>
      <c r="I283" s="56" t="n"/>
      <c r="J283" s="58" t="n"/>
      <c r="K283" s="58" t="n"/>
      <c r="L283" s="13">
        <f>IF(OR($A283="",AND($J283="",$K283="")),"",ROUND(N($J283)-N($K283),2))</f>
        <v/>
      </c>
      <c r="M283" s="13">
        <f>IF(OR($A283="",AND($J283="",$K283="")),"",MIN($J283,$K283))</f>
        <v/>
      </c>
      <c r="Q283">
        <f>IF($A283="","",$D283&amp;"("&amp;SUBSTITUTE($E283," ","")&amp;")")</f>
        <v/>
      </c>
      <c r="R283">
        <f>IF($A283="","",$B283&amp;" - "&amp;$C283)</f>
        <v/>
      </c>
      <c r="S283">
        <f>IF($A283="","",$R283&amp;"|"&amp;$Q283)</f>
        <v/>
      </c>
      <c r="T283">
        <f>IF($A283="","",$S283&amp;"|"&amp;$F283)</f>
        <v/>
      </c>
      <c r="U283">
        <f>IF($A283="","",$R283&amp;"("&amp;$E283&amp;")")</f>
        <v/>
      </c>
      <c r="V283">
        <f>IF($A283="","",$F283&amp;"|"&amp;$U283&amp;"|"&amp;$D283)</f>
        <v/>
      </c>
      <c r="W283">
        <f>IF($T283="","",IF($X283&gt;N($X282),$X283,""))</f>
        <v/>
      </c>
      <c r="X283">
        <f>IF($T283="",N($X282),IF(MATCH($T283,$T$6:$T$6005,0)=ROW()-5,N($X282)+1,N($X282)))</f>
        <v/>
      </c>
      <c r="Z283">
        <f>IF($V283="","",IF($AA283&gt;N($AA282),$AA283,""))</f>
        <v/>
      </c>
      <c r="AA283">
        <f>IF($V283="",N($AA282),IF(MATCH($V283,$V$6:$V$6005,0)=ROW()-5,N($AA282)+1,N($AA282)))</f>
        <v/>
      </c>
    </row>
    <row r="284" ht="21" customHeight="1" s="66">
      <c r="A284" s="56" t="n"/>
      <c r="B284" s="57" t="n"/>
      <c r="C284" s="57" t="n"/>
      <c r="D284" s="57" t="n"/>
      <c r="E284" s="56" t="n"/>
      <c r="F284" s="57" t="n"/>
      <c r="G284" s="57" t="n"/>
      <c r="H284" s="56" t="n"/>
      <c r="I284" s="56" t="n"/>
      <c r="J284" s="58" t="n"/>
      <c r="K284" s="58" t="n"/>
      <c r="L284" s="13">
        <f>IF(OR($A284="",AND($J284="",$K284="")),"",ROUND(N($J284)-N($K284),2))</f>
        <v/>
      </c>
      <c r="M284" s="13">
        <f>IF(OR($A284="",AND($J284="",$K284="")),"",MIN($J284,$K284))</f>
        <v/>
      </c>
      <c r="Q284">
        <f>IF($A284="","",$D284&amp;"("&amp;SUBSTITUTE($E284," ","")&amp;")")</f>
        <v/>
      </c>
      <c r="R284">
        <f>IF($A284="","",$B284&amp;" - "&amp;$C284)</f>
        <v/>
      </c>
      <c r="S284">
        <f>IF($A284="","",$R284&amp;"|"&amp;$Q284)</f>
        <v/>
      </c>
      <c r="T284">
        <f>IF($A284="","",$S284&amp;"|"&amp;$F284)</f>
        <v/>
      </c>
      <c r="U284">
        <f>IF($A284="","",$R284&amp;"("&amp;$E284&amp;")")</f>
        <v/>
      </c>
      <c r="V284">
        <f>IF($A284="","",$F284&amp;"|"&amp;$U284&amp;"|"&amp;$D284)</f>
        <v/>
      </c>
      <c r="W284">
        <f>IF($T284="","",IF($X284&gt;N($X283),$X284,""))</f>
        <v/>
      </c>
      <c r="X284">
        <f>IF($T284="",N($X283),IF(MATCH($T284,$T$6:$T$6005,0)=ROW()-5,N($X283)+1,N($X283)))</f>
        <v/>
      </c>
      <c r="Z284">
        <f>IF($V284="","",IF($AA284&gt;N($AA283),$AA284,""))</f>
        <v/>
      </c>
      <c r="AA284">
        <f>IF($V284="",N($AA283),IF(MATCH($V284,$V$6:$V$6005,0)=ROW()-5,N($AA283)+1,N($AA283)))</f>
        <v/>
      </c>
    </row>
    <row r="285" ht="21" customHeight="1" s="66">
      <c r="A285" s="56" t="n"/>
      <c r="B285" s="57" t="n"/>
      <c r="C285" s="57" t="n"/>
      <c r="D285" s="57" t="n"/>
      <c r="E285" s="56" t="n"/>
      <c r="F285" s="57" t="n"/>
      <c r="G285" s="57" t="n"/>
      <c r="H285" s="56" t="n"/>
      <c r="I285" s="56" t="n"/>
      <c r="J285" s="58" t="n"/>
      <c r="K285" s="58" t="n"/>
      <c r="L285" s="13">
        <f>IF(OR($A285="",AND($J285="",$K285="")),"",ROUND(N($J285)-N($K285),2))</f>
        <v/>
      </c>
      <c r="M285" s="13">
        <f>IF(OR($A285="",AND($J285="",$K285="")),"",MIN($J285,$K285))</f>
        <v/>
      </c>
      <c r="Q285">
        <f>IF($A285="","",$D285&amp;"("&amp;SUBSTITUTE($E285," ","")&amp;")")</f>
        <v/>
      </c>
      <c r="R285">
        <f>IF($A285="","",$B285&amp;" - "&amp;$C285)</f>
        <v/>
      </c>
      <c r="S285">
        <f>IF($A285="","",$R285&amp;"|"&amp;$Q285)</f>
        <v/>
      </c>
      <c r="T285">
        <f>IF($A285="","",$S285&amp;"|"&amp;$F285)</f>
        <v/>
      </c>
      <c r="U285">
        <f>IF($A285="","",$R285&amp;"("&amp;$E285&amp;")")</f>
        <v/>
      </c>
      <c r="V285">
        <f>IF($A285="","",$F285&amp;"|"&amp;$U285&amp;"|"&amp;$D285)</f>
        <v/>
      </c>
      <c r="W285">
        <f>IF($T285="","",IF($X285&gt;N($X284),$X285,""))</f>
        <v/>
      </c>
      <c r="X285">
        <f>IF($T285="",N($X284),IF(MATCH($T285,$T$6:$T$6005,0)=ROW()-5,N($X284)+1,N($X284)))</f>
        <v/>
      </c>
      <c r="Z285">
        <f>IF($V285="","",IF($AA285&gt;N($AA284),$AA285,""))</f>
        <v/>
      </c>
      <c r="AA285">
        <f>IF($V285="",N($AA284),IF(MATCH($V285,$V$6:$V$6005,0)=ROW()-5,N($AA284)+1,N($AA284)))</f>
        <v/>
      </c>
    </row>
    <row r="286" ht="21" customHeight="1" s="66">
      <c r="A286" s="56" t="n"/>
      <c r="B286" s="57" t="n"/>
      <c r="C286" s="57" t="n"/>
      <c r="D286" s="57" t="n"/>
      <c r="E286" s="56" t="n"/>
      <c r="F286" s="57" t="n"/>
      <c r="G286" s="57" t="n"/>
      <c r="H286" s="56" t="n"/>
      <c r="I286" s="56" t="n"/>
      <c r="J286" s="58" t="n"/>
      <c r="K286" s="58" t="n"/>
      <c r="L286" s="13">
        <f>IF(OR($A286="",AND($J286="",$K286="")),"",ROUND(N($J286)-N($K286),2))</f>
        <v/>
      </c>
      <c r="M286" s="13">
        <f>IF(OR($A286="",AND($J286="",$K286="")),"",MIN($J286,$K286))</f>
        <v/>
      </c>
      <c r="Q286">
        <f>IF($A286="","",$D286&amp;"("&amp;SUBSTITUTE($E286," ","")&amp;")")</f>
        <v/>
      </c>
      <c r="R286">
        <f>IF($A286="","",$B286&amp;" - "&amp;$C286)</f>
        <v/>
      </c>
      <c r="S286">
        <f>IF($A286="","",$R286&amp;"|"&amp;$Q286)</f>
        <v/>
      </c>
      <c r="T286">
        <f>IF($A286="","",$S286&amp;"|"&amp;$F286)</f>
        <v/>
      </c>
      <c r="U286">
        <f>IF($A286="","",$R286&amp;"("&amp;$E286&amp;")")</f>
        <v/>
      </c>
      <c r="V286">
        <f>IF($A286="","",$F286&amp;"|"&amp;$U286&amp;"|"&amp;$D286)</f>
        <v/>
      </c>
      <c r="W286">
        <f>IF($T286="","",IF($X286&gt;N($X285),$X286,""))</f>
        <v/>
      </c>
      <c r="X286">
        <f>IF($T286="",N($X285),IF(MATCH($T286,$T$6:$T$6005,0)=ROW()-5,N($X285)+1,N($X285)))</f>
        <v/>
      </c>
      <c r="Z286">
        <f>IF($V286="","",IF($AA286&gt;N($AA285),$AA286,""))</f>
        <v/>
      </c>
      <c r="AA286">
        <f>IF($V286="",N($AA285),IF(MATCH($V286,$V$6:$V$6005,0)=ROW()-5,N($AA285)+1,N($AA285)))</f>
        <v/>
      </c>
    </row>
    <row r="287" ht="21" customHeight="1" s="66">
      <c r="A287" s="56" t="n"/>
      <c r="B287" s="57" t="n"/>
      <c r="C287" s="57" t="n"/>
      <c r="D287" s="57" t="n"/>
      <c r="E287" s="56" t="n"/>
      <c r="F287" s="57" t="n"/>
      <c r="G287" s="57" t="n"/>
      <c r="H287" s="56" t="n"/>
      <c r="I287" s="56" t="n"/>
      <c r="J287" s="58" t="n"/>
      <c r="K287" s="58" t="n"/>
      <c r="L287" s="13">
        <f>IF(OR($A287="",AND($J287="",$K287="")),"",ROUND(N($J287)-N($K287),2))</f>
        <v/>
      </c>
      <c r="M287" s="13">
        <f>IF(OR($A287="",AND($J287="",$K287="")),"",MIN($J287,$K287))</f>
        <v/>
      </c>
      <c r="Q287">
        <f>IF($A287="","",$D287&amp;"("&amp;SUBSTITUTE($E287," ","")&amp;")")</f>
        <v/>
      </c>
      <c r="R287">
        <f>IF($A287="","",$B287&amp;" - "&amp;$C287)</f>
        <v/>
      </c>
      <c r="S287">
        <f>IF($A287="","",$R287&amp;"|"&amp;$Q287)</f>
        <v/>
      </c>
      <c r="T287">
        <f>IF($A287="","",$S287&amp;"|"&amp;$F287)</f>
        <v/>
      </c>
      <c r="U287">
        <f>IF($A287="","",$R287&amp;"("&amp;$E287&amp;")")</f>
        <v/>
      </c>
      <c r="V287">
        <f>IF($A287="","",$F287&amp;"|"&amp;$U287&amp;"|"&amp;$D287)</f>
        <v/>
      </c>
      <c r="W287">
        <f>IF($T287="","",IF($X287&gt;N($X286),$X287,""))</f>
        <v/>
      </c>
      <c r="X287">
        <f>IF($T287="",N($X286),IF(MATCH($T287,$T$6:$T$6005,0)=ROW()-5,N($X286)+1,N($X286)))</f>
        <v/>
      </c>
      <c r="Z287">
        <f>IF($V287="","",IF($AA287&gt;N($AA286),$AA287,""))</f>
        <v/>
      </c>
      <c r="AA287">
        <f>IF($V287="",N($AA286),IF(MATCH($V287,$V$6:$V$6005,0)=ROW()-5,N($AA286)+1,N($AA286)))</f>
        <v/>
      </c>
    </row>
    <row r="288" ht="21" customHeight="1" s="66">
      <c r="A288" s="56" t="n"/>
      <c r="B288" s="57" t="n"/>
      <c r="C288" s="57" t="n"/>
      <c r="D288" s="57" t="n"/>
      <c r="E288" s="56" t="n"/>
      <c r="F288" s="57" t="n"/>
      <c r="G288" s="57" t="n"/>
      <c r="H288" s="56" t="n"/>
      <c r="I288" s="56" t="n"/>
      <c r="J288" s="58" t="n"/>
      <c r="K288" s="58" t="n"/>
      <c r="L288" s="13">
        <f>IF(OR($A288="",AND($J288="",$K288="")),"",ROUND(N($J288)-N($K288),2))</f>
        <v/>
      </c>
      <c r="M288" s="13">
        <f>IF(OR($A288="",AND($J288="",$K288="")),"",MIN($J288,$K288))</f>
        <v/>
      </c>
      <c r="Q288">
        <f>IF($A288="","",$D288&amp;"("&amp;SUBSTITUTE($E288," ","")&amp;")")</f>
        <v/>
      </c>
      <c r="R288">
        <f>IF($A288="","",$B288&amp;" - "&amp;$C288)</f>
        <v/>
      </c>
      <c r="S288">
        <f>IF($A288="","",$R288&amp;"|"&amp;$Q288)</f>
        <v/>
      </c>
      <c r="T288">
        <f>IF($A288="","",$S288&amp;"|"&amp;$F288)</f>
        <v/>
      </c>
      <c r="U288">
        <f>IF($A288="","",$R288&amp;"("&amp;$E288&amp;")")</f>
        <v/>
      </c>
      <c r="V288">
        <f>IF($A288="","",$F288&amp;"|"&amp;$U288&amp;"|"&amp;$D288)</f>
        <v/>
      </c>
      <c r="W288">
        <f>IF($T288="","",IF($X288&gt;N($X287),$X288,""))</f>
        <v/>
      </c>
      <c r="X288">
        <f>IF($T288="",N($X287),IF(MATCH($T288,$T$6:$T$6005,0)=ROW()-5,N($X287)+1,N($X287)))</f>
        <v/>
      </c>
      <c r="Z288">
        <f>IF($V288="","",IF($AA288&gt;N($AA287),$AA288,""))</f>
        <v/>
      </c>
      <c r="AA288">
        <f>IF($V288="",N($AA287),IF(MATCH($V288,$V$6:$V$6005,0)=ROW()-5,N($AA287)+1,N($AA287)))</f>
        <v/>
      </c>
    </row>
    <row r="289" ht="21" customHeight="1" s="66">
      <c r="A289" s="56" t="n"/>
      <c r="B289" s="57" t="n"/>
      <c r="C289" s="57" t="n"/>
      <c r="D289" s="57" t="n"/>
      <c r="E289" s="56" t="n"/>
      <c r="F289" s="57" t="n"/>
      <c r="G289" s="57" t="n"/>
      <c r="H289" s="56" t="n"/>
      <c r="I289" s="56" t="n"/>
      <c r="J289" s="58" t="n"/>
      <c r="K289" s="58" t="n"/>
      <c r="L289" s="13">
        <f>IF(OR($A289="",AND($J289="",$K289="")),"",ROUND(N($J289)-N($K289),2))</f>
        <v/>
      </c>
      <c r="M289" s="13">
        <f>IF(OR($A289="",AND($J289="",$K289="")),"",MIN($J289,$K289))</f>
        <v/>
      </c>
      <c r="Q289">
        <f>IF($A289="","",$D289&amp;"("&amp;SUBSTITUTE($E289," ","")&amp;")")</f>
        <v/>
      </c>
      <c r="R289">
        <f>IF($A289="","",$B289&amp;" - "&amp;$C289)</f>
        <v/>
      </c>
      <c r="S289">
        <f>IF($A289="","",$R289&amp;"|"&amp;$Q289)</f>
        <v/>
      </c>
      <c r="T289">
        <f>IF($A289="","",$S289&amp;"|"&amp;$F289)</f>
        <v/>
      </c>
      <c r="U289">
        <f>IF($A289="","",$R289&amp;"("&amp;$E289&amp;")")</f>
        <v/>
      </c>
      <c r="V289">
        <f>IF($A289="","",$F289&amp;"|"&amp;$U289&amp;"|"&amp;$D289)</f>
        <v/>
      </c>
      <c r="W289">
        <f>IF($T289="","",IF($X289&gt;N($X288),$X289,""))</f>
        <v/>
      </c>
      <c r="X289">
        <f>IF($T289="",N($X288),IF(MATCH($T289,$T$6:$T$6005,0)=ROW()-5,N($X288)+1,N($X288)))</f>
        <v/>
      </c>
      <c r="Z289">
        <f>IF($V289="","",IF($AA289&gt;N($AA288),$AA289,""))</f>
        <v/>
      </c>
      <c r="AA289">
        <f>IF($V289="",N($AA288),IF(MATCH($V289,$V$6:$V$6005,0)=ROW()-5,N($AA288)+1,N($AA288)))</f>
        <v/>
      </c>
    </row>
    <row r="290" ht="21" customHeight="1" s="66">
      <c r="A290" s="56" t="n"/>
      <c r="B290" s="57" t="n"/>
      <c r="C290" s="57" t="n"/>
      <c r="D290" s="57" t="n"/>
      <c r="E290" s="56" t="n"/>
      <c r="F290" s="57" t="n"/>
      <c r="G290" s="57" t="n"/>
      <c r="H290" s="56" t="n"/>
      <c r="I290" s="56" t="n"/>
      <c r="J290" s="58" t="n"/>
      <c r="K290" s="58" t="n"/>
      <c r="L290" s="13">
        <f>IF(OR($A290="",AND($J290="",$K290="")),"",ROUND(N($J290)-N($K290),2))</f>
        <v/>
      </c>
      <c r="M290" s="13">
        <f>IF(OR($A290="",AND($J290="",$K290="")),"",MIN($J290,$K290))</f>
        <v/>
      </c>
      <c r="Q290">
        <f>IF($A290="","",$D290&amp;"("&amp;SUBSTITUTE($E290," ","")&amp;")")</f>
        <v/>
      </c>
      <c r="R290">
        <f>IF($A290="","",$B290&amp;" - "&amp;$C290)</f>
        <v/>
      </c>
      <c r="S290">
        <f>IF($A290="","",$R290&amp;"|"&amp;$Q290)</f>
        <v/>
      </c>
      <c r="T290">
        <f>IF($A290="","",$S290&amp;"|"&amp;$F290)</f>
        <v/>
      </c>
      <c r="U290">
        <f>IF($A290="","",$R290&amp;"("&amp;$E290&amp;")")</f>
        <v/>
      </c>
      <c r="V290">
        <f>IF($A290="","",$F290&amp;"|"&amp;$U290&amp;"|"&amp;$D290)</f>
        <v/>
      </c>
      <c r="W290">
        <f>IF($T290="","",IF($X290&gt;N($X289),$X290,""))</f>
        <v/>
      </c>
      <c r="X290">
        <f>IF($T290="",N($X289),IF(MATCH($T290,$T$6:$T$6005,0)=ROW()-5,N($X289)+1,N($X289)))</f>
        <v/>
      </c>
      <c r="Z290">
        <f>IF($V290="","",IF($AA290&gt;N($AA289),$AA290,""))</f>
        <v/>
      </c>
      <c r="AA290">
        <f>IF($V290="",N($AA289),IF(MATCH($V290,$V$6:$V$6005,0)=ROW()-5,N($AA289)+1,N($AA289)))</f>
        <v/>
      </c>
    </row>
    <row r="291" ht="21" customHeight="1" s="66">
      <c r="A291" s="56" t="n"/>
      <c r="B291" s="57" t="n"/>
      <c r="C291" s="57" t="n"/>
      <c r="D291" s="57" t="n"/>
      <c r="E291" s="56" t="n"/>
      <c r="F291" s="57" t="n"/>
      <c r="G291" s="57" t="n"/>
      <c r="H291" s="56" t="n"/>
      <c r="I291" s="56" t="n"/>
      <c r="J291" s="58" t="n"/>
      <c r="K291" s="58" t="n"/>
      <c r="L291" s="13">
        <f>IF(OR($A291="",AND($J291="",$K291="")),"",ROUND(N($J291)-N($K291),2))</f>
        <v/>
      </c>
      <c r="M291" s="13">
        <f>IF(OR($A291="",AND($J291="",$K291="")),"",MIN($J291,$K291))</f>
        <v/>
      </c>
      <c r="Q291">
        <f>IF($A291="","",$D291&amp;"("&amp;SUBSTITUTE($E291," ","")&amp;")")</f>
        <v/>
      </c>
      <c r="R291">
        <f>IF($A291="","",$B291&amp;" - "&amp;$C291)</f>
        <v/>
      </c>
      <c r="S291">
        <f>IF($A291="","",$R291&amp;"|"&amp;$Q291)</f>
        <v/>
      </c>
      <c r="T291">
        <f>IF($A291="","",$S291&amp;"|"&amp;$F291)</f>
        <v/>
      </c>
      <c r="U291">
        <f>IF($A291="","",$R291&amp;"("&amp;$E291&amp;")")</f>
        <v/>
      </c>
      <c r="V291">
        <f>IF($A291="","",$F291&amp;"|"&amp;$U291&amp;"|"&amp;$D291)</f>
        <v/>
      </c>
      <c r="W291">
        <f>IF($T291="","",IF($X291&gt;N($X290),$X291,""))</f>
        <v/>
      </c>
      <c r="X291">
        <f>IF($T291="",N($X290),IF(MATCH($T291,$T$6:$T$6005,0)=ROW()-5,N($X290)+1,N($X290)))</f>
        <v/>
      </c>
      <c r="Z291">
        <f>IF($V291="","",IF($AA291&gt;N($AA290),$AA291,""))</f>
        <v/>
      </c>
      <c r="AA291">
        <f>IF($V291="",N($AA290),IF(MATCH($V291,$V$6:$V$6005,0)=ROW()-5,N($AA290)+1,N($AA290)))</f>
        <v/>
      </c>
    </row>
    <row r="292" ht="21" customHeight="1" s="66">
      <c r="A292" s="56" t="n"/>
      <c r="B292" s="57" t="n"/>
      <c r="C292" s="57" t="n"/>
      <c r="D292" s="57" t="n"/>
      <c r="E292" s="56" t="n"/>
      <c r="F292" s="57" t="n"/>
      <c r="G292" s="57" t="n"/>
      <c r="H292" s="56" t="n"/>
      <c r="I292" s="56" t="n"/>
      <c r="J292" s="58" t="n"/>
      <c r="K292" s="58" t="n"/>
      <c r="L292" s="13">
        <f>IF(OR($A292="",AND($J292="",$K292="")),"",ROUND(N($J292)-N($K292),2))</f>
        <v/>
      </c>
      <c r="M292" s="13">
        <f>IF(OR($A292="",AND($J292="",$K292="")),"",MIN($J292,$K292))</f>
        <v/>
      </c>
      <c r="Q292">
        <f>IF($A292="","",$D292&amp;"("&amp;SUBSTITUTE($E292," ","")&amp;")")</f>
        <v/>
      </c>
      <c r="R292">
        <f>IF($A292="","",$B292&amp;" - "&amp;$C292)</f>
        <v/>
      </c>
      <c r="S292">
        <f>IF($A292="","",$R292&amp;"|"&amp;$Q292)</f>
        <v/>
      </c>
      <c r="T292">
        <f>IF($A292="","",$S292&amp;"|"&amp;$F292)</f>
        <v/>
      </c>
      <c r="U292">
        <f>IF($A292="","",$R292&amp;"("&amp;$E292&amp;")")</f>
        <v/>
      </c>
      <c r="V292">
        <f>IF($A292="","",$F292&amp;"|"&amp;$U292&amp;"|"&amp;$D292)</f>
        <v/>
      </c>
      <c r="W292">
        <f>IF($T292="","",IF($X292&gt;N($X291),$X292,""))</f>
        <v/>
      </c>
      <c r="X292">
        <f>IF($T292="",N($X291),IF(MATCH($T292,$T$6:$T$6005,0)=ROW()-5,N($X291)+1,N($X291)))</f>
        <v/>
      </c>
      <c r="Z292">
        <f>IF($V292="","",IF($AA292&gt;N($AA291),$AA292,""))</f>
        <v/>
      </c>
      <c r="AA292">
        <f>IF($V292="",N($AA291),IF(MATCH($V292,$V$6:$V$6005,0)=ROW()-5,N($AA291)+1,N($AA291)))</f>
        <v/>
      </c>
    </row>
    <row r="293" ht="21" customHeight="1" s="66">
      <c r="A293" s="56" t="n"/>
      <c r="B293" s="57" t="n"/>
      <c r="C293" s="57" t="n"/>
      <c r="D293" s="57" t="n"/>
      <c r="E293" s="56" t="n"/>
      <c r="F293" s="57" t="n"/>
      <c r="G293" s="57" t="n"/>
      <c r="H293" s="56" t="n"/>
      <c r="I293" s="56" t="n"/>
      <c r="J293" s="58" t="n"/>
      <c r="K293" s="58" t="n"/>
      <c r="L293" s="13">
        <f>IF(OR($A293="",AND($J293="",$K293="")),"",ROUND(N($J293)-N($K293),2))</f>
        <v/>
      </c>
      <c r="M293" s="13">
        <f>IF(OR($A293="",AND($J293="",$K293="")),"",MIN($J293,$K293))</f>
        <v/>
      </c>
      <c r="Q293">
        <f>IF($A293="","",$D293&amp;"("&amp;SUBSTITUTE($E293," ","")&amp;")")</f>
        <v/>
      </c>
      <c r="R293">
        <f>IF($A293="","",$B293&amp;" - "&amp;$C293)</f>
        <v/>
      </c>
      <c r="S293">
        <f>IF($A293="","",$R293&amp;"|"&amp;$Q293)</f>
        <v/>
      </c>
      <c r="T293">
        <f>IF($A293="","",$S293&amp;"|"&amp;$F293)</f>
        <v/>
      </c>
      <c r="U293">
        <f>IF($A293="","",$R293&amp;"("&amp;$E293&amp;")")</f>
        <v/>
      </c>
      <c r="V293">
        <f>IF($A293="","",$F293&amp;"|"&amp;$U293&amp;"|"&amp;$D293)</f>
        <v/>
      </c>
      <c r="W293">
        <f>IF($T293="","",IF($X293&gt;N($X292),$X293,""))</f>
        <v/>
      </c>
      <c r="X293">
        <f>IF($T293="",N($X292),IF(MATCH($T293,$T$6:$T$6005,0)=ROW()-5,N($X292)+1,N($X292)))</f>
        <v/>
      </c>
      <c r="Z293">
        <f>IF($V293="","",IF($AA293&gt;N($AA292),$AA293,""))</f>
        <v/>
      </c>
      <c r="AA293">
        <f>IF($V293="",N($AA292),IF(MATCH($V293,$V$6:$V$6005,0)=ROW()-5,N($AA292)+1,N($AA292)))</f>
        <v/>
      </c>
    </row>
    <row r="294" ht="21" customHeight="1" s="66">
      <c r="A294" s="56" t="n"/>
      <c r="B294" s="57" t="n"/>
      <c r="C294" s="57" t="n"/>
      <c r="D294" s="57" t="n"/>
      <c r="E294" s="56" t="n"/>
      <c r="F294" s="57" t="n"/>
      <c r="G294" s="57" t="n"/>
      <c r="H294" s="56" t="n"/>
      <c r="I294" s="56" t="n"/>
      <c r="J294" s="58" t="n"/>
      <c r="K294" s="58" t="n"/>
      <c r="L294" s="13">
        <f>IF(OR($A294="",AND($J294="",$K294="")),"",ROUND(N($J294)-N($K294),2))</f>
        <v/>
      </c>
      <c r="M294" s="13">
        <f>IF(OR($A294="",AND($J294="",$K294="")),"",MIN($J294,$K294))</f>
        <v/>
      </c>
      <c r="Q294">
        <f>IF($A294="","",$D294&amp;"("&amp;SUBSTITUTE($E294," ","")&amp;")")</f>
        <v/>
      </c>
      <c r="R294">
        <f>IF($A294="","",$B294&amp;" - "&amp;$C294)</f>
        <v/>
      </c>
      <c r="S294">
        <f>IF($A294="","",$R294&amp;"|"&amp;$Q294)</f>
        <v/>
      </c>
      <c r="T294">
        <f>IF($A294="","",$S294&amp;"|"&amp;$F294)</f>
        <v/>
      </c>
      <c r="U294">
        <f>IF($A294="","",$R294&amp;"("&amp;$E294&amp;")")</f>
        <v/>
      </c>
      <c r="V294">
        <f>IF($A294="","",$F294&amp;"|"&amp;$U294&amp;"|"&amp;$D294)</f>
        <v/>
      </c>
      <c r="W294">
        <f>IF($T294="","",IF($X294&gt;N($X293),$X294,""))</f>
        <v/>
      </c>
      <c r="X294">
        <f>IF($T294="",N($X293),IF(MATCH($T294,$T$6:$T$6005,0)=ROW()-5,N($X293)+1,N($X293)))</f>
        <v/>
      </c>
      <c r="Z294">
        <f>IF($V294="","",IF($AA294&gt;N($AA293),$AA294,""))</f>
        <v/>
      </c>
      <c r="AA294">
        <f>IF($V294="",N($AA293),IF(MATCH($V294,$V$6:$V$6005,0)=ROW()-5,N($AA293)+1,N($AA293)))</f>
        <v/>
      </c>
    </row>
    <row r="295" ht="21" customHeight="1" s="66">
      <c r="A295" s="56" t="n"/>
      <c r="B295" s="57" t="n"/>
      <c r="C295" s="57" t="n"/>
      <c r="D295" s="57" t="n"/>
      <c r="E295" s="56" t="n"/>
      <c r="F295" s="57" t="n"/>
      <c r="G295" s="57" t="n"/>
      <c r="H295" s="56" t="n"/>
      <c r="I295" s="56" t="n"/>
      <c r="J295" s="58" t="n"/>
      <c r="K295" s="58" t="n"/>
      <c r="L295" s="13">
        <f>IF(OR($A295="",AND($J295="",$K295="")),"",ROUND(N($J295)-N($K295),2))</f>
        <v/>
      </c>
      <c r="M295" s="13">
        <f>IF(OR($A295="",AND($J295="",$K295="")),"",MIN($J295,$K295))</f>
        <v/>
      </c>
      <c r="Q295">
        <f>IF($A295="","",$D295&amp;"("&amp;SUBSTITUTE($E295," ","")&amp;")")</f>
        <v/>
      </c>
      <c r="R295">
        <f>IF($A295="","",$B295&amp;" - "&amp;$C295)</f>
        <v/>
      </c>
      <c r="S295">
        <f>IF($A295="","",$R295&amp;"|"&amp;$Q295)</f>
        <v/>
      </c>
      <c r="T295">
        <f>IF($A295="","",$S295&amp;"|"&amp;$F295)</f>
        <v/>
      </c>
      <c r="U295">
        <f>IF($A295="","",$R295&amp;"("&amp;$E295&amp;")")</f>
        <v/>
      </c>
      <c r="V295">
        <f>IF($A295="","",$F295&amp;"|"&amp;$U295&amp;"|"&amp;$D295)</f>
        <v/>
      </c>
      <c r="W295">
        <f>IF($T295="","",IF($X295&gt;N($X294),$X295,""))</f>
        <v/>
      </c>
      <c r="X295">
        <f>IF($T295="",N($X294),IF(MATCH($T295,$T$6:$T$6005,0)=ROW()-5,N($X294)+1,N($X294)))</f>
        <v/>
      </c>
      <c r="Z295">
        <f>IF($V295="","",IF($AA295&gt;N($AA294),$AA295,""))</f>
        <v/>
      </c>
      <c r="AA295">
        <f>IF($V295="",N($AA294),IF(MATCH($V295,$V$6:$V$6005,0)=ROW()-5,N($AA294)+1,N($AA294)))</f>
        <v/>
      </c>
    </row>
    <row r="296" ht="21" customHeight="1" s="66">
      <c r="A296" s="56" t="n"/>
      <c r="B296" s="57" t="n"/>
      <c r="C296" s="57" t="n"/>
      <c r="D296" s="57" t="n"/>
      <c r="E296" s="56" t="n"/>
      <c r="F296" s="57" t="n"/>
      <c r="G296" s="57" t="n"/>
      <c r="H296" s="56" t="n"/>
      <c r="I296" s="56" t="n"/>
      <c r="J296" s="58" t="n"/>
      <c r="K296" s="58" t="n"/>
      <c r="L296" s="13">
        <f>IF(OR($A296="",AND($J296="",$K296="")),"",ROUND(N($J296)-N($K296),2))</f>
        <v/>
      </c>
      <c r="M296" s="13">
        <f>IF(OR($A296="",AND($J296="",$K296="")),"",MIN($J296,$K296))</f>
        <v/>
      </c>
      <c r="Q296">
        <f>IF($A296="","",$D296&amp;"("&amp;SUBSTITUTE($E296," ","")&amp;")")</f>
        <v/>
      </c>
      <c r="R296">
        <f>IF($A296="","",$B296&amp;" - "&amp;$C296)</f>
        <v/>
      </c>
      <c r="S296">
        <f>IF($A296="","",$R296&amp;"|"&amp;$Q296)</f>
        <v/>
      </c>
      <c r="T296">
        <f>IF($A296="","",$S296&amp;"|"&amp;$F296)</f>
        <v/>
      </c>
      <c r="U296">
        <f>IF($A296="","",$R296&amp;"("&amp;$E296&amp;")")</f>
        <v/>
      </c>
      <c r="V296">
        <f>IF($A296="","",$F296&amp;"|"&amp;$U296&amp;"|"&amp;$D296)</f>
        <v/>
      </c>
      <c r="W296">
        <f>IF($T296="","",IF($X296&gt;N($X295),$X296,""))</f>
        <v/>
      </c>
      <c r="X296">
        <f>IF($T296="",N($X295),IF(MATCH($T296,$T$6:$T$6005,0)=ROW()-5,N($X295)+1,N($X295)))</f>
        <v/>
      </c>
      <c r="Z296">
        <f>IF($V296="","",IF($AA296&gt;N($AA295),$AA296,""))</f>
        <v/>
      </c>
      <c r="AA296">
        <f>IF($V296="",N($AA295),IF(MATCH($V296,$V$6:$V$6005,0)=ROW()-5,N($AA295)+1,N($AA295)))</f>
        <v/>
      </c>
    </row>
    <row r="297" ht="21" customHeight="1" s="66">
      <c r="A297" s="56" t="n"/>
      <c r="B297" s="57" t="n"/>
      <c r="C297" s="57" t="n"/>
      <c r="D297" s="57" t="n"/>
      <c r="E297" s="56" t="n"/>
      <c r="F297" s="57" t="n"/>
      <c r="G297" s="57" t="n"/>
      <c r="H297" s="56" t="n"/>
      <c r="I297" s="56" t="n"/>
      <c r="J297" s="58" t="n"/>
      <c r="K297" s="58" t="n"/>
      <c r="L297" s="13">
        <f>IF(OR($A297="",AND($J297="",$K297="")),"",ROUND(N($J297)-N($K297),2))</f>
        <v/>
      </c>
      <c r="M297" s="13">
        <f>IF(OR($A297="",AND($J297="",$K297="")),"",MIN($J297,$K297))</f>
        <v/>
      </c>
      <c r="Q297">
        <f>IF($A297="","",$D297&amp;"("&amp;SUBSTITUTE($E297," ","")&amp;")")</f>
        <v/>
      </c>
      <c r="R297">
        <f>IF($A297="","",$B297&amp;" - "&amp;$C297)</f>
        <v/>
      </c>
      <c r="S297">
        <f>IF($A297="","",$R297&amp;"|"&amp;$Q297)</f>
        <v/>
      </c>
      <c r="T297">
        <f>IF($A297="","",$S297&amp;"|"&amp;$F297)</f>
        <v/>
      </c>
      <c r="U297">
        <f>IF($A297="","",$R297&amp;"("&amp;$E297&amp;")")</f>
        <v/>
      </c>
      <c r="V297">
        <f>IF($A297="","",$F297&amp;"|"&amp;$U297&amp;"|"&amp;$D297)</f>
        <v/>
      </c>
      <c r="W297">
        <f>IF($T297="","",IF($X297&gt;N($X296),$X297,""))</f>
        <v/>
      </c>
      <c r="X297">
        <f>IF($T297="",N($X296),IF(MATCH($T297,$T$6:$T$6005,0)=ROW()-5,N($X296)+1,N($X296)))</f>
        <v/>
      </c>
      <c r="Z297">
        <f>IF($V297="","",IF($AA297&gt;N($AA296),$AA297,""))</f>
        <v/>
      </c>
      <c r="AA297">
        <f>IF($V297="",N($AA296),IF(MATCH($V297,$V$6:$V$6005,0)=ROW()-5,N($AA296)+1,N($AA296)))</f>
        <v/>
      </c>
    </row>
    <row r="298" ht="21" customHeight="1" s="66">
      <c r="A298" s="56" t="n"/>
      <c r="B298" s="57" t="n"/>
      <c r="C298" s="57" t="n"/>
      <c r="D298" s="57" t="n"/>
      <c r="E298" s="56" t="n"/>
      <c r="F298" s="57" t="n"/>
      <c r="G298" s="57" t="n"/>
      <c r="H298" s="56" t="n"/>
      <c r="I298" s="56" t="n"/>
      <c r="J298" s="58" t="n"/>
      <c r="K298" s="58" t="n"/>
      <c r="L298" s="13">
        <f>IF(OR($A298="",AND($J298="",$K298="")),"",ROUND(N($J298)-N($K298),2))</f>
        <v/>
      </c>
      <c r="M298" s="13">
        <f>IF(OR($A298="",AND($J298="",$K298="")),"",MIN($J298,$K298))</f>
        <v/>
      </c>
      <c r="Q298">
        <f>IF($A298="","",$D298&amp;"("&amp;SUBSTITUTE($E298," ","")&amp;")")</f>
        <v/>
      </c>
      <c r="R298">
        <f>IF($A298="","",$B298&amp;" - "&amp;$C298)</f>
        <v/>
      </c>
      <c r="S298">
        <f>IF($A298="","",$R298&amp;"|"&amp;$Q298)</f>
        <v/>
      </c>
      <c r="T298">
        <f>IF($A298="","",$S298&amp;"|"&amp;$F298)</f>
        <v/>
      </c>
      <c r="U298">
        <f>IF($A298="","",$R298&amp;"("&amp;$E298&amp;")")</f>
        <v/>
      </c>
      <c r="V298">
        <f>IF($A298="","",$F298&amp;"|"&amp;$U298&amp;"|"&amp;$D298)</f>
        <v/>
      </c>
      <c r="W298">
        <f>IF($T298="","",IF($X298&gt;N($X297),$X298,""))</f>
        <v/>
      </c>
      <c r="X298">
        <f>IF($T298="",N($X297),IF(MATCH($T298,$T$6:$T$6005,0)=ROW()-5,N($X297)+1,N($X297)))</f>
        <v/>
      </c>
      <c r="Z298">
        <f>IF($V298="","",IF($AA298&gt;N($AA297),$AA298,""))</f>
        <v/>
      </c>
      <c r="AA298">
        <f>IF($V298="",N($AA297),IF(MATCH($V298,$V$6:$V$6005,0)=ROW()-5,N($AA297)+1,N($AA297)))</f>
        <v/>
      </c>
    </row>
    <row r="299" ht="21" customHeight="1" s="66">
      <c r="A299" s="56" t="n"/>
      <c r="B299" s="57" t="n"/>
      <c r="C299" s="57" t="n"/>
      <c r="D299" s="57" t="n"/>
      <c r="E299" s="56" t="n"/>
      <c r="F299" s="57" t="n"/>
      <c r="G299" s="57" t="n"/>
      <c r="H299" s="56" t="n"/>
      <c r="I299" s="56" t="n"/>
      <c r="J299" s="58" t="n"/>
      <c r="K299" s="58" t="n"/>
      <c r="L299" s="13">
        <f>IF(OR($A299="",AND($J299="",$K299="")),"",ROUND(N($J299)-N($K299),2))</f>
        <v/>
      </c>
      <c r="M299" s="13">
        <f>IF(OR($A299="",AND($J299="",$K299="")),"",MIN($J299,$K299))</f>
        <v/>
      </c>
      <c r="Q299">
        <f>IF($A299="","",$D299&amp;"("&amp;SUBSTITUTE($E299," ","")&amp;")")</f>
        <v/>
      </c>
      <c r="R299">
        <f>IF($A299="","",$B299&amp;" - "&amp;$C299)</f>
        <v/>
      </c>
      <c r="S299">
        <f>IF($A299="","",$R299&amp;"|"&amp;$Q299)</f>
        <v/>
      </c>
      <c r="T299">
        <f>IF($A299="","",$S299&amp;"|"&amp;$F299)</f>
        <v/>
      </c>
      <c r="U299">
        <f>IF($A299="","",$R299&amp;"("&amp;$E299&amp;")")</f>
        <v/>
      </c>
      <c r="V299">
        <f>IF($A299="","",$F299&amp;"|"&amp;$U299&amp;"|"&amp;$D299)</f>
        <v/>
      </c>
      <c r="W299">
        <f>IF($T299="","",IF($X299&gt;N($X298),$X299,""))</f>
        <v/>
      </c>
      <c r="X299">
        <f>IF($T299="",N($X298),IF(MATCH($T299,$T$6:$T$6005,0)=ROW()-5,N($X298)+1,N($X298)))</f>
        <v/>
      </c>
      <c r="Z299">
        <f>IF($V299="","",IF($AA299&gt;N($AA298),$AA299,""))</f>
        <v/>
      </c>
      <c r="AA299">
        <f>IF($V299="",N($AA298),IF(MATCH($V299,$V$6:$V$6005,0)=ROW()-5,N($AA298)+1,N($AA298)))</f>
        <v/>
      </c>
    </row>
    <row r="300" ht="21" customHeight="1" s="66">
      <c r="A300" s="56" t="n"/>
      <c r="B300" s="57" t="n"/>
      <c r="C300" s="57" t="n"/>
      <c r="D300" s="57" t="n"/>
      <c r="E300" s="56" t="n"/>
      <c r="F300" s="57" t="n"/>
      <c r="G300" s="57" t="n"/>
      <c r="H300" s="56" t="n"/>
      <c r="I300" s="56" t="n"/>
      <c r="J300" s="58" t="n"/>
      <c r="K300" s="58" t="n"/>
      <c r="L300" s="13">
        <f>IF(OR($A300="",AND($J300="",$K300="")),"",ROUND(N($J300)-N($K300),2))</f>
        <v/>
      </c>
      <c r="M300" s="13">
        <f>IF(OR($A300="",AND($J300="",$K300="")),"",MIN($J300,$K300))</f>
        <v/>
      </c>
      <c r="Q300">
        <f>IF($A300="","",$D300&amp;"("&amp;SUBSTITUTE($E300," ","")&amp;")")</f>
        <v/>
      </c>
      <c r="R300">
        <f>IF($A300="","",$B300&amp;" - "&amp;$C300)</f>
        <v/>
      </c>
      <c r="S300">
        <f>IF($A300="","",$R300&amp;"|"&amp;$Q300)</f>
        <v/>
      </c>
      <c r="T300">
        <f>IF($A300="","",$S300&amp;"|"&amp;$F300)</f>
        <v/>
      </c>
      <c r="U300">
        <f>IF($A300="","",$R300&amp;"("&amp;$E300&amp;")")</f>
        <v/>
      </c>
      <c r="V300">
        <f>IF($A300="","",$F300&amp;"|"&amp;$U300&amp;"|"&amp;$D300)</f>
        <v/>
      </c>
      <c r="W300">
        <f>IF($T300="","",IF($X300&gt;N($X299),$X300,""))</f>
        <v/>
      </c>
      <c r="X300">
        <f>IF($T300="",N($X299),IF(MATCH($T300,$T$6:$T$6005,0)=ROW()-5,N($X299)+1,N($X299)))</f>
        <v/>
      </c>
      <c r="Z300">
        <f>IF($V300="","",IF($AA300&gt;N($AA299),$AA300,""))</f>
        <v/>
      </c>
      <c r="AA300">
        <f>IF($V300="",N($AA299),IF(MATCH($V300,$V$6:$V$6005,0)=ROW()-5,N($AA299)+1,N($AA299)))</f>
        <v/>
      </c>
    </row>
    <row r="301" ht="21" customHeight="1" s="66">
      <c r="A301" s="56" t="n"/>
      <c r="B301" s="57" t="n"/>
      <c r="C301" s="57" t="n"/>
      <c r="D301" s="57" t="n"/>
      <c r="E301" s="56" t="n"/>
      <c r="F301" s="57" t="n"/>
      <c r="G301" s="57" t="n"/>
      <c r="H301" s="56" t="n"/>
      <c r="I301" s="56" t="n"/>
      <c r="J301" s="58" t="n"/>
      <c r="K301" s="58" t="n"/>
      <c r="L301" s="13">
        <f>IF(OR($A301="",AND($J301="",$K301="")),"",ROUND(N($J301)-N($K301),2))</f>
        <v/>
      </c>
      <c r="M301" s="13">
        <f>IF(OR($A301="",AND($J301="",$K301="")),"",MIN($J301,$K301))</f>
        <v/>
      </c>
      <c r="Q301">
        <f>IF($A301="","",$D301&amp;"("&amp;SUBSTITUTE($E301," ","")&amp;")")</f>
        <v/>
      </c>
      <c r="R301">
        <f>IF($A301="","",$B301&amp;" - "&amp;$C301)</f>
        <v/>
      </c>
      <c r="S301">
        <f>IF($A301="","",$R301&amp;"|"&amp;$Q301)</f>
        <v/>
      </c>
      <c r="T301">
        <f>IF($A301="","",$S301&amp;"|"&amp;$F301)</f>
        <v/>
      </c>
      <c r="U301">
        <f>IF($A301="","",$R301&amp;"("&amp;$E301&amp;")")</f>
        <v/>
      </c>
      <c r="V301">
        <f>IF($A301="","",$F301&amp;"|"&amp;$U301&amp;"|"&amp;$D301)</f>
        <v/>
      </c>
      <c r="W301">
        <f>IF($T301="","",IF($X301&gt;N($X300),$X301,""))</f>
        <v/>
      </c>
      <c r="X301">
        <f>IF($T301="",N($X300),IF(MATCH($T301,$T$6:$T$6005,0)=ROW()-5,N($X300)+1,N($X300)))</f>
        <v/>
      </c>
      <c r="Z301">
        <f>IF($V301="","",IF($AA301&gt;N($AA300),$AA301,""))</f>
        <v/>
      </c>
      <c r="AA301">
        <f>IF($V301="",N($AA300),IF(MATCH($V301,$V$6:$V$6005,0)=ROW()-5,N($AA300)+1,N($AA300)))</f>
        <v/>
      </c>
    </row>
    <row r="302" ht="21" customHeight="1" s="66">
      <c r="A302" s="56" t="n"/>
      <c r="B302" s="57" t="n"/>
      <c r="C302" s="57" t="n"/>
      <c r="D302" s="57" t="n"/>
      <c r="E302" s="56" t="n"/>
      <c r="F302" s="57" t="n"/>
      <c r="G302" s="57" t="n"/>
      <c r="H302" s="56" t="n"/>
      <c r="I302" s="56" t="n"/>
      <c r="J302" s="58" t="n"/>
      <c r="K302" s="58" t="n"/>
      <c r="L302" s="13">
        <f>IF(OR($A302="",AND($J302="",$K302="")),"",ROUND(N($J302)-N($K302),2))</f>
        <v/>
      </c>
      <c r="M302" s="13">
        <f>IF(OR($A302="",AND($J302="",$K302="")),"",MIN($J302,$K302))</f>
        <v/>
      </c>
      <c r="Q302">
        <f>IF($A302="","",$D302&amp;"("&amp;SUBSTITUTE($E302," ","")&amp;")")</f>
        <v/>
      </c>
      <c r="R302">
        <f>IF($A302="","",$B302&amp;" - "&amp;$C302)</f>
        <v/>
      </c>
      <c r="S302">
        <f>IF($A302="","",$R302&amp;"|"&amp;$Q302)</f>
        <v/>
      </c>
      <c r="T302">
        <f>IF($A302="","",$S302&amp;"|"&amp;$F302)</f>
        <v/>
      </c>
      <c r="U302">
        <f>IF($A302="","",$R302&amp;"("&amp;$E302&amp;")")</f>
        <v/>
      </c>
      <c r="V302">
        <f>IF($A302="","",$F302&amp;"|"&amp;$U302&amp;"|"&amp;$D302)</f>
        <v/>
      </c>
      <c r="W302">
        <f>IF($T302="","",IF($X302&gt;N($X301),$X302,""))</f>
        <v/>
      </c>
      <c r="X302">
        <f>IF($T302="",N($X301),IF(MATCH($T302,$T$6:$T$6005,0)=ROW()-5,N($X301)+1,N($X301)))</f>
        <v/>
      </c>
      <c r="Z302">
        <f>IF($V302="","",IF($AA302&gt;N($AA301),$AA302,""))</f>
        <v/>
      </c>
      <c r="AA302">
        <f>IF($V302="",N($AA301),IF(MATCH($V302,$V$6:$V$6005,0)=ROW()-5,N($AA301)+1,N($AA301)))</f>
        <v/>
      </c>
    </row>
    <row r="303" ht="21" customHeight="1" s="66">
      <c r="A303" s="56" t="n"/>
      <c r="B303" s="57" t="n"/>
      <c r="C303" s="57" t="n"/>
      <c r="D303" s="57" t="n"/>
      <c r="E303" s="56" t="n"/>
      <c r="F303" s="57" t="n"/>
      <c r="G303" s="57" t="n"/>
      <c r="H303" s="56" t="n"/>
      <c r="I303" s="56" t="n"/>
      <c r="J303" s="58" t="n"/>
      <c r="K303" s="58" t="n"/>
      <c r="L303" s="13">
        <f>IF(OR($A303="",AND($J303="",$K303="")),"",ROUND(N($J303)-N($K303),2))</f>
        <v/>
      </c>
      <c r="M303" s="13">
        <f>IF(OR($A303="",AND($J303="",$K303="")),"",MIN($J303,$K303))</f>
        <v/>
      </c>
      <c r="Q303">
        <f>IF($A303="","",$D303&amp;"("&amp;SUBSTITUTE($E303," ","")&amp;")")</f>
        <v/>
      </c>
      <c r="R303">
        <f>IF($A303="","",$B303&amp;" - "&amp;$C303)</f>
        <v/>
      </c>
      <c r="S303">
        <f>IF($A303="","",$R303&amp;"|"&amp;$Q303)</f>
        <v/>
      </c>
      <c r="T303">
        <f>IF($A303="","",$S303&amp;"|"&amp;$F303)</f>
        <v/>
      </c>
      <c r="U303">
        <f>IF($A303="","",$R303&amp;"("&amp;$E303&amp;")")</f>
        <v/>
      </c>
      <c r="V303">
        <f>IF($A303="","",$F303&amp;"|"&amp;$U303&amp;"|"&amp;$D303)</f>
        <v/>
      </c>
      <c r="W303">
        <f>IF($T303="","",IF($X303&gt;N($X302),$X303,""))</f>
        <v/>
      </c>
      <c r="X303">
        <f>IF($T303="",N($X302),IF(MATCH($T303,$T$6:$T$6005,0)=ROW()-5,N($X302)+1,N($X302)))</f>
        <v/>
      </c>
      <c r="Z303">
        <f>IF($V303="","",IF($AA303&gt;N($AA302),$AA303,""))</f>
        <v/>
      </c>
      <c r="AA303">
        <f>IF($V303="",N($AA302),IF(MATCH($V303,$V$6:$V$6005,0)=ROW()-5,N($AA302)+1,N($AA302)))</f>
        <v/>
      </c>
    </row>
    <row r="304" ht="21" customHeight="1" s="66">
      <c r="A304" s="56" t="n"/>
      <c r="B304" s="57" t="n"/>
      <c r="C304" s="57" t="n"/>
      <c r="D304" s="57" t="n"/>
      <c r="E304" s="56" t="n"/>
      <c r="F304" s="57" t="n"/>
      <c r="G304" s="57" t="n"/>
      <c r="H304" s="56" t="n"/>
      <c r="I304" s="56" t="n"/>
      <c r="J304" s="58" t="n"/>
      <c r="K304" s="58" t="n"/>
      <c r="L304" s="13">
        <f>IF(OR($A304="",AND($J304="",$K304="")),"",ROUND(N($J304)-N($K304),2))</f>
        <v/>
      </c>
      <c r="M304" s="13">
        <f>IF(OR($A304="",AND($J304="",$K304="")),"",MIN($J304,$K304))</f>
        <v/>
      </c>
      <c r="Q304">
        <f>IF($A304="","",$D304&amp;"("&amp;SUBSTITUTE($E304," ","")&amp;")")</f>
        <v/>
      </c>
      <c r="R304">
        <f>IF($A304="","",$B304&amp;" - "&amp;$C304)</f>
        <v/>
      </c>
      <c r="S304">
        <f>IF($A304="","",$R304&amp;"|"&amp;$Q304)</f>
        <v/>
      </c>
      <c r="T304">
        <f>IF($A304="","",$S304&amp;"|"&amp;$F304)</f>
        <v/>
      </c>
      <c r="U304">
        <f>IF($A304="","",$R304&amp;"("&amp;$E304&amp;")")</f>
        <v/>
      </c>
      <c r="V304">
        <f>IF($A304="","",$F304&amp;"|"&amp;$U304&amp;"|"&amp;$D304)</f>
        <v/>
      </c>
      <c r="W304">
        <f>IF($T304="","",IF($X304&gt;N($X303),$X304,""))</f>
        <v/>
      </c>
      <c r="X304">
        <f>IF($T304="",N($X303),IF(MATCH($T304,$T$6:$T$6005,0)=ROW()-5,N($X303)+1,N($X303)))</f>
        <v/>
      </c>
      <c r="Z304">
        <f>IF($V304="","",IF($AA304&gt;N($AA303),$AA304,""))</f>
        <v/>
      </c>
      <c r="AA304">
        <f>IF($V304="",N($AA303),IF(MATCH($V304,$V$6:$V$6005,0)=ROW()-5,N($AA303)+1,N($AA303)))</f>
        <v/>
      </c>
    </row>
    <row r="305" ht="21" customHeight="1" s="66">
      <c r="A305" s="56" t="n"/>
      <c r="B305" s="57" t="n"/>
      <c r="C305" s="57" t="n"/>
      <c r="D305" s="57" t="n"/>
      <c r="E305" s="56" t="n"/>
      <c r="F305" s="57" t="n"/>
      <c r="G305" s="57" t="n"/>
      <c r="H305" s="56" t="n"/>
      <c r="I305" s="56" t="n"/>
      <c r="J305" s="58" t="n"/>
      <c r="K305" s="58" t="n"/>
      <c r="L305" s="13">
        <f>IF(OR($A305="",AND($J305="",$K305="")),"",ROUND(N($J305)-N($K305),2))</f>
        <v/>
      </c>
      <c r="M305" s="13">
        <f>IF(OR($A305="",AND($J305="",$K305="")),"",MIN($J305,$K305))</f>
        <v/>
      </c>
      <c r="Q305">
        <f>IF($A305="","",$D305&amp;"("&amp;SUBSTITUTE($E305," ","")&amp;")")</f>
        <v/>
      </c>
      <c r="R305">
        <f>IF($A305="","",$B305&amp;" - "&amp;$C305)</f>
        <v/>
      </c>
      <c r="S305">
        <f>IF($A305="","",$R305&amp;"|"&amp;$Q305)</f>
        <v/>
      </c>
      <c r="T305">
        <f>IF($A305="","",$S305&amp;"|"&amp;$F305)</f>
        <v/>
      </c>
      <c r="U305">
        <f>IF($A305="","",$R305&amp;"("&amp;$E305&amp;")")</f>
        <v/>
      </c>
      <c r="V305">
        <f>IF($A305="","",$F305&amp;"|"&amp;$U305&amp;"|"&amp;$D305)</f>
        <v/>
      </c>
      <c r="W305">
        <f>IF($T305="","",IF($X305&gt;N($X304),$X305,""))</f>
        <v/>
      </c>
      <c r="X305">
        <f>IF($T305="",N($X304),IF(MATCH($T305,$T$6:$T$6005,0)=ROW()-5,N($X304)+1,N($X304)))</f>
        <v/>
      </c>
      <c r="Z305">
        <f>IF($V305="","",IF($AA305&gt;N($AA304),$AA305,""))</f>
        <v/>
      </c>
      <c r="AA305">
        <f>IF($V305="",N($AA304),IF(MATCH($V305,$V$6:$V$6005,0)=ROW()-5,N($AA304)+1,N($AA304)))</f>
        <v/>
      </c>
    </row>
    <row r="306" ht="21" customHeight="1" s="66">
      <c r="A306" s="56" t="n"/>
      <c r="B306" s="57" t="n"/>
      <c r="C306" s="57" t="n"/>
      <c r="D306" s="57" t="n"/>
      <c r="E306" s="56" t="n"/>
      <c r="F306" s="57" t="n"/>
      <c r="G306" s="57" t="n"/>
      <c r="H306" s="56" t="n"/>
      <c r="I306" s="56" t="n"/>
      <c r="J306" s="58" t="n"/>
      <c r="K306" s="58" t="n"/>
      <c r="L306" s="13">
        <f>IF(OR($A306="",AND($J306="",$K306="")),"",ROUND(N($J306)-N($K306),2))</f>
        <v/>
      </c>
      <c r="M306" s="13">
        <f>IF(OR($A306="",AND($J306="",$K306="")),"",MIN($J306,$K306))</f>
        <v/>
      </c>
      <c r="Q306">
        <f>IF($A306="","",$D306&amp;"("&amp;SUBSTITUTE($E306," ","")&amp;")")</f>
        <v/>
      </c>
      <c r="R306">
        <f>IF($A306="","",$B306&amp;" - "&amp;$C306)</f>
        <v/>
      </c>
      <c r="S306">
        <f>IF($A306="","",$R306&amp;"|"&amp;$Q306)</f>
        <v/>
      </c>
      <c r="T306">
        <f>IF($A306="","",$S306&amp;"|"&amp;$F306)</f>
        <v/>
      </c>
      <c r="U306">
        <f>IF($A306="","",$R306&amp;"("&amp;$E306&amp;")")</f>
        <v/>
      </c>
      <c r="V306">
        <f>IF($A306="","",$F306&amp;"|"&amp;$U306&amp;"|"&amp;$D306)</f>
        <v/>
      </c>
      <c r="W306">
        <f>IF($T306="","",IF($X306&gt;N($X305),$X306,""))</f>
        <v/>
      </c>
      <c r="X306">
        <f>IF($T306="",N($X305),IF(MATCH($T306,$T$6:$T$6005,0)=ROW()-5,N($X305)+1,N($X305)))</f>
        <v/>
      </c>
      <c r="Z306">
        <f>IF($V306="","",IF($AA306&gt;N($AA305),$AA306,""))</f>
        <v/>
      </c>
      <c r="AA306">
        <f>IF($V306="",N($AA305),IF(MATCH($V306,$V$6:$V$6005,0)=ROW()-5,N($AA305)+1,N($AA305)))</f>
        <v/>
      </c>
    </row>
    <row r="307" ht="21" customHeight="1" s="66">
      <c r="A307" s="56" t="n"/>
      <c r="B307" s="57" t="n"/>
      <c r="C307" s="57" t="n"/>
      <c r="D307" s="57" t="n"/>
      <c r="E307" s="56" t="n"/>
      <c r="F307" s="57" t="n"/>
      <c r="G307" s="57" t="n"/>
      <c r="H307" s="56" t="n"/>
      <c r="I307" s="56" t="n"/>
      <c r="J307" s="58" t="n"/>
      <c r="K307" s="58" t="n"/>
      <c r="L307" s="13">
        <f>IF(OR($A307="",AND($J307="",$K307="")),"",ROUND(N($J307)-N($K307),2))</f>
        <v/>
      </c>
      <c r="M307" s="13">
        <f>IF(OR($A307="",AND($J307="",$K307="")),"",MIN($J307,$K307))</f>
        <v/>
      </c>
      <c r="Q307">
        <f>IF($A307="","",$D307&amp;"("&amp;SUBSTITUTE($E307," ","")&amp;")")</f>
        <v/>
      </c>
      <c r="R307">
        <f>IF($A307="","",$B307&amp;" - "&amp;$C307)</f>
        <v/>
      </c>
      <c r="S307">
        <f>IF($A307="","",$R307&amp;"|"&amp;$Q307)</f>
        <v/>
      </c>
      <c r="T307">
        <f>IF($A307="","",$S307&amp;"|"&amp;$F307)</f>
        <v/>
      </c>
      <c r="U307">
        <f>IF($A307="","",$R307&amp;"("&amp;$E307&amp;")")</f>
        <v/>
      </c>
      <c r="V307">
        <f>IF($A307="","",$F307&amp;"|"&amp;$U307&amp;"|"&amp;$D307)</f>
        <v/>
      </c>
      <c r="W307">
        <f>IF($T307="","",IF($X307&gt;N($X306),$X307,""))</f>
        <v/>
      </c>
      <c r="X307">
        <f>IF($T307="",N($X306),IF(MATCH($T307,$T$6:$T$6005,0)=ROW()-5,N($X306)+1,N($X306)))</f>
        <v/>
      </c>
      <c r="Z307">
        <f>IF($V307="","",IF($AA307&gt;N($AA306),$AA307,""))</f>
        <v/>
      </c>
      <c r="AA307">
        <f>IF($V307="",N($AA306),IF(MATCH($V307,$V$6:$V$6005,0)=ROW()-5,N($AA306)+1,N($AA306)))</f>
        <v/>
      </c>
    </row>
    <row r="308" ht="21" customHeight="1" s="66">
      <c r="A308" s="56" t="n"/>
      <c r="B308" s="57" t="n"/>
      <c r="C308" s="57" t="n"/>
      <c r="D308" s="57" t="n"/>
      <c r="E308" s="56" t="n"/>
      <c r="F308" s="57" t="n"/>
      <c r="G308" s="57" t="n"/>
      <c r="H308" s="56" t="n"/>
      <c r="I308" s="56" t="n"/>
      <c r="J308" s="58" t="n"/>
      <c r="K308" s="58" t="n"/>
      <c r="L308" s="13">
        <f>IF(OR($A308="",AND($J308="",$K308="")),"",ROUND(N($J308)-N($K308),2))</f>
        <v/>
      </c>
      <c r="M308" s="13">
        <f>IF(OR($A308="",AND($J308="",$K308="")),"",MIN($J308,$K308))</f>
        <v/>
      </c>
      <c r="Q308">
        <f>IF($A308="","",$D308&amp;"("&amp;SUBSTITUTE($E308," ","")&amp;")")</f>
        <v/>
      </c>
      <c r="R308">
        <f>IF($A308="","",$B308&amp;" - "&amp;$C308)</f>
        <v/>
      </c>
      <c r="S308">
        <f>IF($A308="","",$R308&amp;"|"&amp;$Q308)</f>
        <v/>
      </c>
      <c r="T308">
        <f>IF($A308="","",$S308&amp;"|"&amp;$F308)</f>
        <v/>
      </c>
      <c r="U308">
        <f>IF($A308="","",$R308&amp;"("&amp;$E308&amp;")")</f>
        <v/>
      </c>
      <c r="V308">
        <f>IF($A308="","",$F308&amp;"|"&amp;$U308&amp;"|"&amp;$D308)</f>
        <v/>
      </c>
      <c r="W308">
        <f>IF($T308="","",IF($X308&gt;N($X307),$X308,""))</f>
        <v/>
      </c>
      <c r="X308">
        <f>IF($T308="",N($X307),IF(MATCH($T308,$T$6:$T$6005,0)=ROW()-5,N($X307)+1,N($X307)))</f>
        <v/>
      </c>
      <c r="Z308">
        <f>IF($V308="","",IF($AA308&gt;N($AA307),$AA308,""))</f>
        <v/>
      </c>
      <c r="AA308">
        <f>IF($V308="",N($AA307),IF(MATCH($V308,$V$6:$V$6005,0)=ROW()-5,N($AA307)+1,N($AA307)))</f>
        <v/>
      </c>
    </row>
    <row r="309" ht="21" customHeight="1" s="66">
      <c r="A309" s="56" t="n"/>
      <c r="B309" s="57" t="n"/>
      <c r="C309" s="57" t="n"/>
      <c r="D309" s="57" t="n"/>
      <c r="E309" s="56" t="n"/>
      <c r="F309" s="57" t="n"/>
      <c r="G309" s="57" t="n"/>
      <c r="H309" s="56" t="n"/>
      <c r="I309" s="56" t="n"/>
      <c r="J309" s="58" t="n"/>
      <c r="K309" s="58" t="n"/>
      <c r="L309" s="13">
        <f>IF(OR($A309="",AND($J309="",$K309="")),"",ROUND(N($J309)-N($K309),2))</f>
        <v/>
      </c>
      <c r="M309" s="13">
        <f>IF(OR($A309="",AND($J309="",$K309="")),"",MIN($J309,$K309))</f>
        <v/>
      </c>
      <c r="Q309">
        <f>IF($A309="","",$D309&amp;"("&amp;SUBSTITUTE($E309," ","")&amp;")")</f>
        <v/>
      </c>
      <c r="R309">
        <f>IF($A309="","",$B309&amp;" - "&amp;$C309)</f>
        <v/>
      </c>
      <c r="S309">
        <f>IF($A309="","",$R309&amp;"|"&amp;$Q309)</f>
        <v/>
      </c>
      <c r="T309">
        <f>IF($A309="","",$S309&amp;"|"&amp;$F309)</f>
        <v/>
      </c>
      <c r="U309">
        <f>IF($A309="","",$R309&amp;"("&amp;$E309&amp;")")</f>
        <v/>
      </c>
      <c r="V309">
        <f>IF($A309="","",$F309&amp;"|"&amp;$U309&amp;"|"&amp;$D309)</f>
        <v/>
      </c>
      <c r="W309">
        <f>IF($T309="","",IF($X309&gt;N($X308),$X309,""))</f>
        <v/>
      </c>
      <c r="X309">
        <f>IF($T309="",N($X308),IF(MATCH($T309,$T$6:$T$6005,0)=ROW()-5,N($X308)+1,N($X308)))</f>
        <v/>
      </c>
      <c r="Z309">
        <f>IF($V309="","",IF($AA309&gt;N($AA308),$AA309,""))</f>
        <v/>
      </c>
      <c r="AA309">
        <f>IF($V309="",N($AA308),IF(MATCH($V309,$V$6:$V$6005,0)=ROW()-5,N($AA308)+1,N($AA308)))</f>
        <v/>
      </c>
    </row>
    <row r="310" ht="21" customHeight="1" s="66">
      <c r="A310" s="56" t="n"/>
      <c r="B310" s="57" t="n"/>
      <c r="C310" s="57" t="n"/>
      <c r="D310" s="57" t="n"/>
      <c r="E310" s="56" t="n"/>
      <c r="F310" s="57" t="n"/>
      <c r="G310" s="57" t="n"/>
      <c r="H310" s="56" t="n"/>
      <c r="I310" s="56" t="n"/>
      <c r="J310" s="58" t="n"/>
      <c r="K310" s="58" t="n"/>
      <c r="L310" s="13">
        <f>IF(OR($A310="",AND($J310="",$K310="")),"",ROUND(N($J310)-N($K310),2))</f>
        <v/>
      </c>
      <c r="M310" s="13">
        <f>IF(OR($A310="",AND($J310="",$K310="")),"",MIN($J310,$K310))</f>
        <v/>
      </c>
      <c r="Q310">
        <f>IF($A310="","",$D310&amp;"("&amp;SUBSTITUTE($E310," ","")&amp;")")</f>
        <v/>
      </c>
      <c r="R310">
        <f>IF($A310="","",$B310&amp;" - "&amp;$C310)</f>
        <v/>
      </c>
      <c r="S310">
        <f>IF($A310="","",$R310&amp;"|"&amp;$Q310)</f>
        <v/>
      </c>
      <c r="T310">
        <f>IF($A310="","",$S310&amp;"|"&amp;$F310)</f>
        <v/>
      </c>
      <c r="U310">
        <f>IF($A310="","",$R310&amp;"("&amp;$E310&amp;")")</f>
        <v/>
      </c>
      <c r="V310">
        <f>IF($A310="","",$F310&amp;"|"&amp;$U310&amp;"|"&amp;$D310)</f>
        <v/>
      </c>
      <c r="W310">
        <f>IF($T310="","",IF($X310&gt;N($X309),$X310,""))</f>
        <v/>
      </c>
      <c r="X310">
        <f>IF($T310="",N($X309),IF(MATCH($T310,$T$6:$T$6005,0)=ROW()-5,N($X309)+1,N($X309)))</f>
        <v/>
      </c>
      <c r="Z310">
        <f>IF($V310="","",IF($AA310&gt;N($AA309),$AA310,""))</f>
        <v/>
      </c>
      <c r="AA310">
        <f>IF($V310="",N($AA309),IF(MATCH($V310,$V$6:$V$6005,0)=ROW()-5,N($AA309)+1,N($AA309)))</f>
        <v/>
      </c>
    </row>
    <row r="311" ht="21" customHeight="1" s="66">
      <c r="A311" s="56" t="n"/>
      <c r="B311" s="57" t="n"/>
      <c r="C311" s="57" t="n"/>
      <c r="D311" s="57" t="n"/>
      <c r="E311" s="56" t="n"/>
      <c r="F311" s="57" t="n"/>
      <c r="G311" s="57" t="n"/>
      <c r="H311" s="56" t="n"/>
      <c r="I311" s="56" t="n"/>
      <c r="J311" s="58" t="n"/>
      <c r="K311" s="58" t="n"/>
      <c r="L311" s="13">
        <f>IF(OR($A311="",AND($J311="",$K311="")),"",ROUND(N($J311)-N($K311),2))</f>
        <v/>
      </c>
      <c r="M311" s="13">
        <f>IF(OR($A311="",AND($J311="",$K311="")),"",MIN($J311,$K311))</f>
        <v/>
      </c>
      <c r="Q311">
        <f>IF($A311="","",$D311&amp;"("&amp;SUBSTITUTE($E311," ","")&amp;")")</f>
        <v/>
      </c>
      <c r="R311">
        <f>IF($A311="","",$B311&amp;" - "&amp;$C311)</f>
        <v/>
      </c>
      <c r="S311">
        <f>IF($A311="","",$R311&amp;"|"&amp;$Q311)</f>
        <v/>
      </c>
      <c r="T311">
        <f>IF($A311="","",$S311&amp;"|"&amp;$F311)</f>
        <v/>
      </c>
      <c r="U311">
        <f>IF($A311="","",$R311&amp;"("&amp;$E311&amp;")")</f>
        <v/>
      </c>
      <c r="V311">
        <f>IF($A311="","",$F311&amp;"|"&amp;$U311&amp;"|"&amp;$D311)</f>
        <v/>
      </c>
      <c r="W311">
        <f>IF($T311="","",IF($X311&gt;N($X310),$X311,""))</f>
        <v/>
      </c>
      <c r="X311">
        <f>IF($T311="",N($X310),IF(MATCH($T311,$T$6:$T$6005,0)=ROW()-5,N($X310)+1,N($X310)))</f>
        <v/>
      </c>
      <c r="Z311">
        <f>IF($V311="","",IF($AA311&gt;N($AA310),$AA311,""))</f>
        <v/>
      </c>
      <c r="AA311">
        <f>IF($V311="",N($AA310),IF(MATCH($V311,$V$6:$V$6005,0)=ROW()-5,N($AA310)+1,N($AA310)))</f>
        <v/>
      </c>
    </row>
    <row r="312" ht="21" customHeight="1" s="66">
      <c r="A312" s="56" t="n"/>
      <c r="B312" s="57" t="n"/>
      <c r="C312" s="57" t="n"/>
      <c r="D312" s="57" t="n"/>
      <c r="E312" s="56" t="n"/>
      <c r="F312" s="57" t="n"/>
      <c r="G312" s="57" t="n"/>
      <c r="H312" s="56" t="n"/>
      <c r="I312" s="56" t="n"/>
      <c r="J312" s="58" t="n"/>
      <c r="K312" s="58" t="n"/>
      <c r="L312" s="13">
        <f>IF(OR($A312="",AND($J312="",$K312="")),"",ROUND(N($J312)-N($K312),2))</f>
        <v/>
      </c>
      <c r="M312" s="13">
        <f>IF(OR($A312="",AND($J312="",$K312="")),"",MIN($J312,$K312))</f>
        <v/>
      </c>
      <c r="Q312">
        <f>IF($A312="","",$D312&amp;"("&amp;SUBSTITUTE($E312," ","")&amp;")")</f>
        <v/>
      </c>
      <c r="R312">
        <f>IF($A312="","",$B312&amp;" - "&amp;$C312)</f>
        <v/>
      </c>
      <c r="S312">
        <f>IF($A312="","",$R312&amp;"|"&amp;$Q312)</f>
        <v/>
      </c>
      <c r="T312">
        <f>IF($A312="","",$S312&amp;"|"&amp;$F312)</f>
        <v/>
      </c>
      <c r="U312">
        <f>IF($A312="","",$R312&amp;"("&amp;$E312&amp;")")</f>
        <v/>
      </c>
      <c r="V312">
        <f>IF($A312="","",$F312&amp;"|"&amp;$U312&amp;"|"&amp;$D312)</f>
        <v/>
      </c>
      <c r="W312">
        <f>IF($T312="","",IF($X312&gt;N($X311),$X312,""))</f>
        <v/>
      </c>
      <c r="X312">
        <f>IF($T312="",N($X311),IF(MATCH($T312,$T$6:$T$6005,0)=ROW()-5,N($X311)+1,N($X311)))</f>
        <v/>
      </c>
      <c r="Z312">
        <f>IF($V312="","",IF($AA312&gt;N($AA311),$AA312,""))</f>
        <v/>
      </c>
      <c r="AA312">
        <f>IF($V312="",N($AA311),IF(MATCH($V312,$V$6:$V$6005,0)=ROW()-5,N($AA311)+1,N($AA311)))</f>
        <v/>
      </c>
    </row>
    <row r="313" ht="21" customHeight="1" s="66">
      <c r="A313" s="56" t="n"/>
      <c r="B313" s="57" t="n"/>
      <c r="C313" s="57" t="n"/>
      <c r="D313" s="57" t="n"/>
      <c r="E313" s="56" t="n"/>
      <c r="F313" s="57" t="n"/>
      <c r="G313" s="57" t="n"/>
      <c r="H313" s="56" t="n"/>
      <c r="I313" s="56" t="n"/>
      <c r="J313" s="58" t="n"/>
      <c r="K313" s="58" t="n"/>
      <c r="L313" s="13">
        <f>IF(OR($A313="",AND($J313="",$K313="")),"",ROUND(N($J313)-N($K313),2))</f>
        <v/>
      </c>
      <c r="M313" s="13">
        <f>IF(OR($A313="",AND($J313="",$K313="")),"",MIN($J313,$K313))</f>
        <v/>
      </c>
      <c r="Q313">
        <f>IF($A313="","",$D313&amp;"("&amp;SUBSTITUTE($E313," ","")&amp;")")</f>
        <v/>
      </c>
      <c r="R313">
        <f>IF($A313="","",$B313&amp;" - "&amp;$C313)</f>
        <v/>
      </c>
      <c r="S313">
        <f>IF($A313="","",$R313&amp;"|"&amp;$Q313)</f>
        <v/>
      </c>
      <c r="T313">
        <f>IF($A313="","",$S313&amp;"|"&amp;$F313)</f>
        <v/>
      </c>
      <c r="U313">
        <f>IF($A313="","",$R313&amp;"("&amp;$E313&amp;")")</f>
        <v/>
      </c>
      <c r="V313">
        <f>IF($A313="","",$F313&amp;"|"&amp;$U313&amp;"|"&amp;$D313)</f>
        <v/>
      </c>
      <c r="W313">
        <f>IF($T313="","",IF($X313&gt;N($X312),$X313,""))</f>
        <v/>
      </c>
      <c r="X313">
        <f>IF($T313="",N($X312),IF(MATCH($T313,$T$6:$T$6005,0)=ROW()-5,N($X312)+1,N($X312)))</f>
        <v/>
      </c>
      <c r="Z313">
        <f>IF($V313="","",IF($AA313&gt;N($AA312),$AA313,""))</f>
        <v/>
      </c>
      <c r="AA313">
        <f>IF($V313="",N($AA312),IF(MATCH($V313,$V$6:$V$6005,0)=ROW()-5,N($AA312)+1,N($AA312)))</f>
        <v/>
      </c>
    </row>
    <row r="314" ht="21" customHeight="1" s="66">
      <c r="A314" s="56" t="n"/>
      <c r="B314" s="57" t="n"/>
      <c r="C314" s="57" t="n"/>
      <c r="D314" s="57" t="n"/>
      <c r="E314" s="56" t="n"/>
      <c r="F314" s="57" t="n"/>
      <c r="G314" s="57" t="n"/>
      <c r="H314" s="56" t="n"/>
      <c r="I314" s="56" t="n"/>
      <c r="J314" s="58" t="n"/>
      <c r="K314" s="58" t="n"/>
      <c r="L314" s="13">
        <f>IF(OR($A314="",AND($J314="",$K314="")),"",ROUND(N($J314)-N($K314),2))</f>
        <v/>
      </c>
      <c r="M314" s="13">
        <f>IF(OR($A314="",AND($J314="",$K314="")),"",MIN($J314,$K314))</f>
        <v/>
      </c>
      <c r="Q314">
        <f>IF($A314="","",$D314&amp;"("&amp;SUBSTITUTE($E314," ","")&amp;")")</f>
        <v/>
      </c>
      <c r="R314">
        <f>IF($A314="","",$B314&amp;" - "&amp;$C314)</f>
        <v/>
      </c>
      <c r="S314">
        <f>IF($A314="","",$R314&amp;"|"&amp;$Q314)</f>
        <v/>
      </c>
      <c r="T314">
        <f>IF($A314="","",$S314&amp;"|"&amp;$F314)</f>
        <v/>
      </c>
      <c r="U314">
        <f>IF($A314="","",$R314&amp;"("&amp;$E314&amp;")")</f>
        <v/>
      </c>
      <c r="V314">
        <f>IF($A314="","",$F314&amp;"|"&amp;$U314&amp;"|"&amp;$D314)</f>
        <v/>
      </c>
      <c r="W314">
        <f>IF($T314="","",IF($X314&gt;N($X313),$X314,""))</f>
        <v/>
      </c>
      <c r="X314">
        <f>IF($T314="",N($X313),IF(MATCH($T314,$T$6:$T$6005,0)=ROW()-5,N($X313)+1,N($X313)))</f>
        <v/>
      </c>
      <c r="Z314">
        <f>IF($V314="","",IF($AA314&gt;N($AA313),$AA314,""))</f>
        <v/>
      </c>
      <c r="AA314">
        <f>IF($V314="",N($AA313),IF(MATCH($V314,$V$6:$V$6005,0)=ROW()-5,N($AA313)+1,N($AA313)))</f>
        <v/>
      </c>
    </row>
    <row r="315" ht="21" customHeight="1" s="66">
      <c r="A315" s="56" t="n"/>
      <c r="B315" s="57" t="n"/>
      <c r="C315" s="57" t="n"/>
      <c r="D315" s="57" t="n"/>
      <c r="E315" s="56" t="n"/>
      <c r="F315" s="57" t="n"/>
      <c r="G315" s="57" t="n"/>
      <c r="H315" s="56" t="n"/>
      <c r="I315" s="56" t="n"/>
      <c r="J315" s="58" t="n"/>
      <c r="K315" s="58" t="n"/>
      <c r="L315" s="13">
        <f>IF(OR($A315="",AND($J315="",$K315="")),"",ROUND(N($J315)-N($K315),2))</f>
        <v/>
      </c>
      <c r="M315" s="13">
        <f>IF(OR($A315="",AND($J315="",$K315="")),"",MIN($J315,$K315))</f>
        <v/>
      </c>
      <c r="Q315">
        <f>IF($A315="","",$D315&amp;"("&amp;SUBSTITUTE($E315," ","")&amp;")")</f>
        <v/>
      </c>
      <c r="R315">
        <f>IF($A315="","",$B315&amp;" - "&amp;$C315)</f>
        <v/>
      </c>
      <c r="S315">
        <f>IF($A315="","",$R315&amp;"|"&amp;$Q315)</f>
        <v/>
      </c>
      <c r="T315">
        <f>IF($A315="","",$S315&amp;"|"&amp;$F315)</f>
        <v/>
      </c>
      <c r="U315">
        <f>IF($A315="","",$R315&amp;"("&amp;$E315&amp;")")</f>
        <v/>
      </c>
      <c r="V315">
        <f>IF($A315="","",$F315&amp;"|"&amp;$U315&amp;"|"&amp;$D315)</f>
        <v/>
      </c>
      <c r="W315">
        <f>IF($T315="","",IF($X315&gt;N($X314),$X315,""))</f>
        <v/>
      </c>
      <c r="X315">
        <f>IF($T315="",N($X314),IF(MATCH($T315,$T$6:$T$6005,0)=ROW()-5,N($X314)+1,N($X314)))</f>
        <v/>
      </c>
      <c r="Z315">
        <f>IF($V315="","",IF($AA315&gt;N($AA314),$AA315,""))</f>
        <v/>
      </c>
      <c r="AA315">
        <f>IF($V315="",N($AA314),IF(MATCH($V315,$V$6:$V$6005,0)=ROW()-5,N($AA314)+1,N($AA314)))</f>
        <v/>
      </c>
    </row>
    <row r="316" ht="21" customHeight="1" s="66">
      <c r="A316" s="56" t="n"/>
      <c r="B316" s="57" t="n"/>
      <c r="C316" s="57" t="n"/>
      <c r="D316" s="57" t="n"/>
      <c r="E316" s="56" t="n"/>
      <c r="F316" s="57" t="n"/>
      <c r="G316" s="57" t="n"/>
      <c r="H316" s="56" t="n"/>
      <c r="I316" s="56" t="n"/>
      <c r="J316" s="58" t="n"/>
      <c r="K316" s="58" t="n"/>
      <c r="L316" s="13">
        <f>IF(OR($A316="",AND($J316="",$K316="")),"",ROUND(N($J316)-N($K316),2))</f>
        <v/>
      </c>
      <c r="M316" s="13">
        <f>IF(OR($A316="",AND($J316="",$K316="")),"",MIN($J316,$K316))</f>
        <v/>
      </c>
      <c r="Q316">
        <f>IF($A316="","",$D316&amp;"("&amp;SUBSTITUTE($E316," ","")&amp;")")</f>
        <v/>
      </c>
      <c r="R316">
        <f>IF($A316="","",$B316&amp;" - "&amp;$C316)</f>
        <v/>
      </c>
      <c r="S316">
        <f>IF($A316="","",$R316&amp;"|"&amp;$Q316)</f>
        <v/>
      </c>
      <c r="T316">
        <f>IF($A316="","",$S316&amp;"|"&amp;$F316)</f>
        <v/>
      </c>
      <c r="U316">
        <f>IF($A316="","",$R316&amp;"("&amp;$E316&amp;")")</f>
        <v/>
      </c>
      <c r="V316">
        <f>IF($A316="","",$F316&amp;"|"&amp;$U316&amp;"|"&amp;$D316)</f>
        <v/>
      </c>
      <c r="W316">
        <f>IF($T316="","",IF($X316&gt;N($X315),$X316,""))</f>
        <v/>
      </c>
      <c r="X316">
        <f>IF($T316="",N($X315),IF(MATCH($T316,$T$6:$T$6005,0)=ROW()-5,N($X315)+1,N($X315)))</f>
        <v/>
      </c>
      <c r="Z316">
        <f>IF($V316="","",IF($AA316&gt;N($AA315),$AA316,""))</f>
        <v/>
      </c>
      <c r="AA316">
        <f>IF($V316="",N($AA315),IF(MATCH($V316,$V$6:$V$6005,0)=ROW()-5,N($AA315)+1,N($AA315)))</f>
        <v/>
      </c>
    </row>
    <row r="317" ht="21" customHeight="1" s="66">
      <c r="A317" s="56" t="n"/>
      <c r="B317" s="57" t="n"/>
      <c r="C317" s="57" t="n"/>
      <c r="D317" s="57" t="n"/>
      <c r="E317" s="56" t="n"/>
      <c r="F317" s="57" t="n"/>
      <c r="G317" s="57" t="n"/>
      <c r="H317" s="56" t="n"/>
      <c r="I317" s="56" t="n"/>
      <c r="J317" s="58" t="n"/>
      <c r="K317" s="58" t="n"/>
      <c r="L317" s="13">
        <f>IF(OR($A317="",AND($J317="",$K317="")),"",ROUND(N($J317)-N($K317),2))</f>
        <v/>
      </c>
      <c r="M317" s="13">
        <f>IF(OR($A317="",AND($J317="",$K317="")),"",MIN($J317,$K317))</f>
        <v/>
      </c>
      <c r="Q317">
        <f>IF($A317="","",$D317&amp;"("&amp;SUBSTITUTE($E317," ","")&amp;")")</f>
        <v/>
      </c>
      <c r="R317">
        <f>IF($A317="","",$B317&amp;" - "&amp;$C317)</f>
        <v/>
      </c>
      <c r="S317">
        <f>IF($A317="","",$R317&amp;"|"&amp;$Q317)</f>
        <v/>
      </c>
      <c r="T317">
        <f>IF($A317="","",$S317&amp;"|"&amp;$F317)</f>
        <v/>
      </c>
      <c r="U317">
        <f>IF($A317="","",$R317&amp;"("&amp;$E317&amp;")")</f>
        <v/>
      </c>
      <c r="V317">
        <f>IF($A317="","",$F317&amp;"|"&amp;$U317&amp;"|"&amp;$D317)</f>
        <v/>
      </c>
      <c r="W317">
        <f>IF($T317="","",IF($X317&gt;N($X316),$X317,""))</f>
        <v/>
      </c>
      <c r="X317">
        <f>IF($T317="",N($X316),IF(MATCH($T317,$T$6:$T$6005,0)=ROW()-5,N($X316)+1,N($X316)))</f>
        <v/>
      </c>
      <c r="Z317">
        <f>IF($V317="","",IF($AA317&gt;N($AA316),$AA317,""))</f>
        <v/>
      </c>
      <c r="AA317">
        <f>IF($V317="",N($AA316),IF(MATCH($V317,$V$6:$V$6005,0)=ROW()-5,N($AA316)+1,N($AA316)))</f>
        <v/>
      </c>
    </row>
    <row r="318" ht="21" customHeight="1" s="66">
      <c r="A318" s="56" t="n"/>
      <c r="B318" s="57" t="n"/>
      <c r="C318" s="57" t="n"/>
      <c r="D318" s="57" t="n"/>
      <c r="E318" s="56" t="n"/>
      <c r="F318" s="57" t="n"/>
      <c r="G318" s="57" t="n"/>
      <c r="H318" s="56" t="n"/>
      <c r="I318" s="56" t="n"/>
      <c r="J318" s="58" t="n"/>
      <c r="K318" s="58" t="n"/>
      <c r="L318" s="13">
        <f>IF(OR($A318="",AND($J318="",$K318="")),"",ROUND(N($J318)-N($K318),2))</f>
        <v/>
      </c>
      <c r="M318" s="13">
        <f>IF(OR($A318="",AND($J318="",$K318="")),"",MIN($J318,$K318))</f>
        <v/>
      </c>
      <c r="Q318">
        <f>IF($A318="","",$D318&amp;"("&amp;SUBSTITUTE($E318," ","")&amp;")")</f>
        <v/>
      </c>
      <c r="R318">
        <f>IF($A318="","",$B318&amp;" - "&amp;$C318)</f>
        <v/>
      </c>
      <c r="S318">
        <f>IF($A318="","",$R318&amp;"|"&amp;$Q318)</f>
        <v/>
      </c>
      <c r="T318">
        <f>IF($A318="","",$S318&amp;"|"&amp;$F318)</f>
        <v/>
      </c>
      <c r="U318">
        <f>IF($A318="","",$R318&amp;"("&amp;$E318&amp;")")</f>
        <v/>
      </c>
      <c r="V318">
        <f>IF($A318="","",$F318&amp;"|"&amp;$U318&amp;"|"&amp;$D318)</f>
        <v/>
      </c>
      <c r="W318">
        <f>IF($T318="","",IF($X318&gt;N($X317),$X318,""))</f>
        <v/>
      </c>
      <c r="X318">
        <f>IF($T318="",N($X317),IF(MATCH($T318,$T$6:$T$6005,0)=ROW()-5,N($X317)+1,N($X317)))</f>
        <v/>
      </c>
      <c r="Z318">
        <f>IF($V318="","",IF($AA318&gt;N($AA317),$AA318,""))</f>
        <v/>
      </c>
      <c r="AA318">
        <f>IF($V318="",N($AA317),IF(MATCH($V318,$V$6:$V$6005,0)=ROW()-5,N($AA317)+1,N($AA317)))</f>
        <v/>
      </c>
    </row>
    <row r="319" ht="21" customHeight="1" s="66">
      <c r="A319" s="56" t="n"/>
      <c r="B319" s="57" t="n"/>
      <c r="C319" s="57" t="n"/>
      <c r="D319" s="57" t="n"/>
      <c r="E319" s="56" t="n"/>
      <c r="F319" s="57" t="n"/>
      <c r="G319" s="57" t="n"/>
      <c r="H319" s="56" t="n"/>
      <c r="I319" s="56" t="n"/>
      <c r="J319" s="58" t="n"/>
      <c r="K319" s="58" t="n"/>
      <c r="L319" s="13">
        <f>IF(OR($A319="",AND($J319="",$K319="")),"",ROUND(N($J319)-N($K319),2))</f>
        <v/>
      </c>
      <c r="M319" s="13">
        <f>IF(OR($A319="",AND($J319="",$K319="")),"",MIN($J319,$K319))</f>
        <v/>
      </c>
      <c r="Q319">
        <f>IF($A319="","",$D319&amp;"("&amp;SUBSTITUTE($E319," ","")&amp;")")</f>
        <v/>
      </c>
      <c r="R319">
        <f>IF($A319="","",$B319&amp;" - "&amp;$C319)</f>
        <v/>
      </c>
      <c r="S319">
        <f>IF($A319="","",$R319&amp;"|"&amp;$Q319)</f>
        <v/>
      </c>
      <c r="T319">
        <f>IF($A319="","",$S319&amp;"|"&amp;$F319)</f>
        <v/>
      </c>
      <c r="U319">
        <f>IF($A319="","",$R319&amp;"("&amp;$E319&amp;")")</f>
        <v/>
      </c>
      <c r="V319">
        <f>IF($A319="","",$F319&amp;"|"&amp;$U319&amp;"|"&amp;$D319)</f>
        <v/>
      </c>
      <c r="W319">
        <f>IF($T319="","",IF($X319&gt;N($X318),$X319,""))</f>
        <v/>
      </c>
      <c r="X319">
        <f>IF($T319="",N($X318),IF(MATCH($T319,$T$6:$T$6005,0)=ROW()-5,N($X318)+1,N($X318)))</f>
        <v/>
      </c>
      <c r="Z319">
        <f>IF($V319="","",IF($AA319&gt;N($AA318),$AA319,""))</f>
        <v/>
      </c>
      <c r="AA319">
        <f>IF($V319="",N($AA318),IF(MATCH($V319,$V$6:$V$6005,0)=ROW()-5,N($AA318)+1,N($AA318)))</f>
        <v/>
      </c>
    </row>
    <row r="320" ht="21" customHeight="1" s="66">
      <c r="A320" s="56" t="n"/>
      <c r="B320" s="57" t="n"/>
      <c r="C320" s="57" t="n"/>
      <c r="D320" s="57" t="n"/>
      <c r="E320" s="56" t="n"/>
      <c r="F320" s="57" t="n"/>
      <c r="G320" s="57" t="n"/>
      <c r="H320" s="56" t="n"/>
      <c r="I320" s="56" t="n"/>
      <c r="J320" s="58" t="n"/>
      <c r="K320" s="58" t="n"/>
      <c r="L320" s="13">
        <f>IF(OR($A320="",AND($J320="",$K320="")),"",ROUND(N($J320)-N($K320),2))</f>
        <v/>
      </c>
      <c r="M320" s="13">
        <f>IF(OR($A320="",AND($J320="",$K320="")),"",MIN($J320,$K320))</f>
        <v/>
      </c>
      <c r="Q320">
        <f>IF($A320="","",$D320&amp;"("&amp;SUBSTITUTE($E320," ","")&amp;")")</f>
        <v/>
      </c>
      <c r="R320">
        <f>IF($A320="","",$B320&amp;" - "&amp;$C320)</f>
        <v/>
      </c>
      <c r="S320">
        <f>IF($A320="","",$R320&amp;"|"&amp;$Q320)</f>
        <v/>
      </c>
      <c r="T320">
        <f>IF($A320="","",$S320&amp;"|"&amp;$F320)</f>
        <v/>
      </c>
      <c r="U320">
        <f>IF($A320="","",$R320&amp;"("&amp;$E320&amp;")")</f>
        <v/>
      </c>
      <c r="V320">
        <f>IF($A320="","",$F320&amp;"|"&amp;$U320&amp;"|"&amp;$D320)</f>
        <v/>
      </c>
      <c r="W320">
        <f>IF($T320="","",IF($X320&gt;N($X319),$X320,""))</f>
        <v/>
      </c>
      <c r="X320">
        <f>IF($T320="",N($X319),IF(MATCH($T320,$T$6:$T$6005,0)=ROW()-5,N($X319)+1,N($X319)))</f>
        <v/>
      </c>
      <c r="Z320">
        <f>IF($V320="","",IF($AA320&gt;N($AA319),$AA320,""))</f>
        <v/>
      </c>
      <c r="AA320">
        <f>IF($V320="",N($AA319),IF(MATCH($V320,$V$6:$V$6005,0)=ROW()-5,N($AA319)+1,N($AA319)))</f>
        <v/>
      </c>
    </row>
    <row r="321" ht="21" customHeight="1" s="66">
      <c r="A321" s="56" t="n"/>
      <c r="B321" s="57" t="n"/>
      <c r="C321" s="57" t="n"/>
      <c r="D321" s="57" t="n"/>
      <c r="E321" s="56" t="n"/>
      <c r="F321" s="57" t="n"/>
      <c r="G321" s="57" t="n"/>
      <c r="H321" s="56" t="n"/>
      <c r="I321" s="56" t="n"/>
      <c r="J321" s="58" t="n"/>
      <c r="K321" s="58" t="n"/>
      <c r="L321" s="13">
        <f>IF(OR($A321="",AND($J321="",$K321="")),"",ROUND(N($J321)-N($K321),2))</f>
        <v/>
      </c>
      <c r="M321" s="13">
        <f>IF(OR($A321="",AND($J321="",$K321="")),"",MIN($J321,$K321))</f>
        <v/>
      </c>
      <c r="Q321">
        <f>IF($A321="","",$D321&amp;"("&amp;SUBSTITUTE($E321," ","")&amp;")")</f>
        <v/>
      </c>
      <c r="R321">
        <f>IF($A321="","",$B321&amp;" - "&amp;$C321)</f>
        <v/>
      </c>
      <c r="S321">
        <f>IF($A321="","",$R321&amp;"|"&amp;$Q321)</f>
        <v/>
      </c>
      <c r="T321">
        <f>IF($A321="","",$S321&amp;"|"&amp;$F321)</f>
        <v/>
      </c>
      <c r="U321">
        <f>IF($A321="","",$R321&amp;"("&amp;$E321&amp;")")</f>
        <v/>
      </c>
      <c r="V321">
        <f>IF($A321="","",$F321&amp;"|"&amp;$U321&amp;"|"&amp;$D321)</f>
        <v/>
      </c>
      <c r="W321">
        <f>IF($T321="","",IF($X321&gt;N($X320),$X321,""))</f>
        <v/>
      </c>
      <c r="X321">
        <f>IF($T321="",N($X320),IF(MATCH($T321,$T$6:$T$6005,0)=ROW()-5,N($X320)+1,N($X320)))</f>
        <v/>
      </c>
      <c r="Z321">
        <f>IF($V321="","",IF($AA321&gt;N($AA320),$AA321,""))</f>
        <v/>
      </c>
      <c r="AA321">
        <f>IF($V321="",N($AA320),IF(MATCH($V321,$V$6:$V$6005,0)=ROW()-5,N($AA320)+1,N($AA320)))</f>
        <v/>
      </c>
    </row>
    <row r="322" ht="21" customHeight="1" s="66">
      <c r="A322" s="56" t="n"/>
      <c r="B322" s="57" t="n"/>
      <c r="C322" s="57" t="n"/>
      <c r="D322" s="57" t="n"/>
      <c r="E322" s="56" t="n"/>
      <c r="F322" s="57" t="n"/>
      <c r="G322" s="57" t="n"/>
      <c r="H322" s="56" t="n"/>
      <c r="I322" s="56" t="n"/>
      <c r="J322" s="58" t="n"/>
      <c r="K322" s="58" t="n"/>
      <c r="L322" s="13">
        <f>IF(OR($A322="",AND($J322="",$K322="")),"",ROUND(N($J322)-N($K322),2))</f>
        <v/>
      </c>
      <c r="M322" s="13">
        <f>IF(OR($A322="",AND($J322="",$K322="")),"",MIN($J322,$K322))</f>
        <v/>
      </c>
      <c r="Q322">
        <f>IF($A322="","",$D322&amp;"("&amp;SUBSTITUTE($E322," ","")&amp;")")</f>
        <v/>
      </c>
      <c r="R322">
        <f>IF($A322="","",$B322&amp;" - "&amp;$C322)</f>
        <v/>
      </c>
      <c r="S322">
        <f>IF($A322="","",$R322&amp;"|"&amp;$Q322)</f>
        <v/>
      </c>
      <c r="T322">
        <f>IF($A322="","",$S322&amp;"|"&amp;$F322)</f>
        <v/>
      </c>
      <c r="U322">
        <f>IF($A322="","",$R322&amp;"("&amp;$E322&amp;")")</f>
        <v/>
      </c>
      <c r="V322">
        <f>IF($A322="","",$F322&amp;"|"&amp;$U322&amp;"|"&amp;$D322)</f>
        <v/>
      </c>
      <c r="W322">
        <f>IF($T322="","",IF($X322&gt;N($X321),$X322,""))</f>
        <v/>
      </c>
      <c r="X322">
        <f>IF($T322="",N($X321),IF(MATCH($T322,$T$6:$T$6005,0)=ROW()-5,N($X321)+1,N($X321)))</f>
        <v/>
      </c>
      <c r="Z322">
        <f>IF($V322="","",IF($AA322&gt;N($AA321),$AA322,""))</f>
        <v/>
      </c>
      <c r="AA322">
        <f>IF($V322="",N($AA321),IF(MATCH($V322,$V$6:$V$6005,0)=ROW()-5,N($AA321)+1,N($AA321)))</f>
        <v/>
      </c>
    </row>
    <row r="323" ht="21" customHeight="1" s="66">
      <c r="A323" s="56" t="n"/>
      <c r="B323" s="57" t="n"/>
      <c r="C323" s="57" t="n"/>
      <c r="D323" s="57" t="n"/>
      <c r="E323" s="56" t="n"/>
      <c r="F323" s="57" t="n"/>
      <c r="G323" s="57" t="n"/>
      <c r="H323" s="56" t="n"/>
      <c r="I323" s="56" t="n"/>
      <c r="J323" s="58" t="n"/>
      <c r="K323" s="58" t="n"/>
      <c r="L323" s="13">
        <f>IF(OR($A323="",AND($J323="",$K323="")),"",ROUND(N($J323)-N($K323),2))</f>
        <v/>
      </c>
      <c r="M323" s="13">
        <f>IF(OR($A323="",AND($J323="",$K323="")),"",MIN($J323,$K323))</f>
        <v/>
      </c>
      <c r="Q323">
        <f>IF($A323="","",$D323&amp;"("&amp;SUBSTITUTE($E323," ","")&amp;")")</f>
        <v/>
      </c>
      <c r="R323">
        <f>IF($A323="","",$B323&amp;" - "&amp;$C323)</f>
        <v/>
      </c>
      <c r="S323">
        <f>IF($A323="","",$R323&amp;"|"&amp;$Q323)</f>
        <v/>
      </c>
      <c r="T323">
        <f>IF($A323="","",$S323&amp;"|"&amp;$F323)</f>
        <v/>
      </c>
      <c r="U323">
        <f>IF($A323="","",$R323&amp;"("&amp;$E323&amp;")")</f>
        <v/>
      </c>
      <c r="V323">
        <f>IF($A323="","",$F323&amp;"|"&amp;$U323&amp;"|"&amp;$D323)</f>
        <v/>
      </c>
      <c r="W323">
        <f>IF($T323="","",IF($X323&gt;N($X322),$X323,""))</f>
        <v/>
      </c>
      <c r="X323">
        <f>IF($T323="",N($X322),IF(MATCH($T323,$T$6:$T$6005,0)=ROW()-5,N($X322)+1,N($X322)))</f>
        <v/>
      </c>
      <c r="Z323">
        <f>IF($V323="","",IF($AA323&gt;N($AA322),$AA323,""))</f>
        <v/>
      </c>
      <c r="AA323">
        <f>IF($V323="",N($AA322),IF(MATCH($V323,$V$6:$V$6005,0)=ROW()-5,N($AA322)+1,N($AA322)))</f>
        <v/>
      </c>
    </row>
    <row r="324" ht="21" customHeight="1" s="66">
      <c r="A324" s="56" t="n"/>
      <c r="B324" s="57" t="n"/>
      <c r="C324" s="57" t="n"/>
      <c r="D324" s="57" t="n"/>
      <c r="E324" s="56" t="n"/>
      <c r="F324" s="57" t="n"/>
      <c r="G324" s="57" t="n"/>
      <c r="H324" s="56" t="n"/>
      <c r="I324" s="56" t="n"/>
      <c r="J324" s="58" t="n"/>
      <c r="K324" s="58" t="n"/>
      <c r="L324" s="13">
        <f>IF(OR($A324="",AND($J324="",$K324="")),"",ROUND(N($J324)-N($K324),2))</f>
        <v/>
      </c>
      <c r="M324" s="13">
        <f>IF(OR($A324="",AND($J324="",$K324="")),"",MIN($J324,$K324))</f>
        <v/>
      </c>
      <c r="Q324">
        <f>IF($A324="","",$D324&amp;"("&amp;SUBSTITUTE($E324," ","")&amp;")")</f>
        <v/>
      </c>
      <c r="R324">
        <f>IF($A324="","",$B324&amp;" - "&amp;$C324)</f>
        <v/>
      </c>
      <c r="S324">
        <f>IF($A324="","",$R324&amp;"|"&amp;$Q324)</f>
        <v/>
      </c>
      <c r="T324">
        <f>IF($A324="","",$S324&amp;"|"&amp;$F324)</f>
        <v/>
      </c>
      <c r="U324">
        <f>IF($A324="","",$R324&amp;"("&amp;$E324&amp;")")</f>
        <v/>
      </c>
      <c r="V324">
        <f>IF($A324="","",$F324&amp;"|"&amp;$U324&amp;"|"&amp;$D324)</f>
        <v/>
      </c>
      <c r="W324">
        <f>IF($T324="","",IF($X324&gt;N($X323),$X324,""))</f>
        <v/>
      </c>
      <c r="X324">
        <f>IF($T324="",N($X323),IF(MATCH($T324,$T$6:$T$6005,0)=ROW()-5,N($X323)+1,N($X323)))</f>
        <v/>
      </c>
      <c r="Z324">
        <f>IF($V324="","",IF($AA324&gt;N($AA323),$AA324,""))</f>
        <v/>
      </c>
      <c r="AA324">
        <f>IF($V324="",N($AA323),IF(MATCH($V324,$V$6:$V$6005,0)=ROW()-5,N($AA323)+1,N($AA323)))</f>
        <v/>
      </c>
    </row>
    <row r="325" ht="21" customHeight="1" s="66">
      <c r="A325" s="56" t="n"/>
      <c r="B325" s="57" t="n"/>
      <c r="C325" s="57" t="n"/>
      <c r="D325" s="57" t="n"/>
      <c r="E325" s="56" t="n"/>
      <c r="F325" s="57" t="n"/>
      <c r="G325" s="57" t="n"/>
      <c r="H325" s="56" t="n"/>
      <c r="I325" s="56" t="n"/>
      <c r="J325" s="58" t="n"/>
      <c r="K325" s="58" t="n"/>
      <c r="L325" s="13">
        <f>IF(OR($A325="",AND($J325="",$K325="")),"",ROUND(N($J325)-N($K325),2))</f>
        <v/>
      </c>
      <c r="M325" s="13">
        <f>IF(OR($A325="",AND($J325="",$K325="")),"",MIN($J325,$K325))</f>
        <v/>
      </c>
      <c r="Q325">
        <f>IF($A325="","",$D325&amp;"("&amp;SUBSTITUTE($E325," ","")&amp;")")</f>
        <v/>
      </c>
      <c r="R325">
        <f>IF($A325="","",$B325&amp;" - "&amp;$C325)</f>
        <v/>
      </c>
      <c r="S325">
        <f>IF($A325="","",$R325&amp;"|"&amp;$Q325)</f>
        <v/>
      </c>
      <c r="T325">
        <f>IF($A325="","",$S325&amp;"|"&amp;$F325)</f>
        <v/>
      </c>
      <c r="U325">
        <f>IF($A325="","",$R325&amp;"("&amp;$E325&amp;")")</f>
        <v/>
      </c>
      <c r="V325">
        <f>IF($A325="","",$F325&amp;"|"&amp;$U325&amp;"|"&amp;$D325)</f>
        <v/>
      </c>
      <c r="W325">
        <f>IF($T325="","",IF($X325&gt;N($X324),$X325,""))</f>
        <v/>
      </c>
      <c r="X325">
        <f>IF($T325="",N($X324),IF(MATCH($T325,$T$6:$T$6005,0)=ROW()-5,N($X324)+1,N($X324)))</f>
        <v/>
      </c>
      <c r="Z325">
        <f>IF($V325="","",IF($AA325&gt;N($AA324),$AA325,""))</f>
        <v/>
      </c>
      <c r="AA325">
        <f>IF($V325="",N($AA324),IF(MATCH($V325,$V$6:$V$6005,0)=ROW()-5,N($AA324)+1,N($AA324)))</f>
        <v/>
      </c>
    </row>
    <row r="326" ht="21" customHeight="1" s="66">
      <c r="A326" s="56" t="n"/>
      <c r="B326" s="57" t="n"/>
      <c r="C326" s="57" t="n"/>
      <c r="D326" s="57" t="n"/>
      <c r="E326" s="56" t="n"/>
      <c r="F326" s="57" t="n"/>
      <c r="G326" s="57" t="n"/>
      <c r="H326" s="56" t="n"/>
      <c r="I326" s="56" t="n"/>
      <c r="J326" s="58" t="n"/>
      <c r="K326" s="58" t="n"/>
      <c r="L326" s="13">
        <f>IF(OR($A326="",AND($J326="",$K326="")),"",ROUND(N($J326)-N($K326),2))</f>
        <v/>
      </c>
      <c r="M326" s="13">
        <f>IF(OR($A326="",AND($J326="",$K326="")),"",MIN($J326,$K326))</f>
        <v/>
      </c>
      <c r="Q326">
        <f>IF($A326="","",$D326&amp;"("&amp;SUBSTITUTE($E326," ","")&amp;")")</f>
        <v/>
      </c>
      <c r="R326">
        <f>IF($A326="","",$B326&amp;" - "&amp;$C326)</f>
        <v/>
      </c>
      <c r="S326">
        <f>IF($A326="","",$R326&amp;"|"&amp;$Q326)</f>
        <v/>
      </c>
      <c r="T326">
        <f>IF($A326="","",$S326&amp;"|"&amp;$F326)</f>
        <v/>
      </c>
      <c r="U326">
        <f>IF($A326="","",$R326&amp;"("&amp;$E326&amp;")")</f>
        <v/>
      </c>
      <c r="V326">
        <f>IF($A326="","",$F326&amp;"|"&amp;$U326&amp;"|"&amp;$D326)</f>
        <v/>
      </c>
      <c r="W326">
        <f>IF($T326="","",IF($X326&gt;N($X325),$X326,""))</f>
        <v/>
      </c>
      <c r="X326">
        <f>IF($T326="",N($X325),IF(MATCH($T326,$T$6:$T$6005,0)=ROW()-5,N($X325)+1,N($X325)))</f>
        <v/>
      </c>
      <c r="Z326">
        <f>IF($V326="","",IF($AA326&gt;N($AA325),$AA326,""))</f>
        <v/>
      </c>
      <c r="AA326">
        <f>IF($V326="",N($AA325),IF(MATCH($V326,$V$6:$V$6005,0)=ROW()-5,N($AA325)+1,N($AA325)))</f>
        <v/>
      </c>
    </row>
    <row r="327" ht="21" customHeight="1" s="66">
      <c r="A327" s="56" t="n"/>
      <c r="B327" s="57" t="n"/>
      <c r="C327" s="57" t="n"/>
      <c r="D327" s="57" t="n"/>
      <c r="E327" s="56" t="n"/>
      <c r="F327" s="57" t="n"/>
      <c r="G327" s="57" t="n"/>
      <c r="H327" s="56" t="n"/>
      <c r="I327" s="56" t="n"/>
      <c r="J327" s="58" t="n"/>
      <c r="K327" s="58" t="n"/>
      <c r="L327" s="13">
        <f>IF(OR($A327="",AND($J327="",$K327="")),"",ROUND(N($J327)-N($K327),2))</f>
        <v/>
      </c>
      <c r="M327" s="13">
        <f>IF(OR($A327="",AND($J327="",$K327="")),"",MIN($J327,$K327))</f>
        <v/>
      </c>
      <c r="Q327">
        <f>IF($A327="","",$D327&amp;"("&amp;SUBSTITUTE($E327," ","")&amp;")")</f>
        <v/>
      </c>
      <c r="R327">
        <f>IF($A327="","",$B327&amp;" - "&amp;$C327)</f>
        <v/>
      </c>
      <c r="S327">
        <f>IF($A327="","",$R327&amp;"|"&amp;$Q327)</f>
        <v/>
      </c>
      <c r="T327">
        <f>IF($A327="","",$S327&amp;"|"&amp;$F327)</f>
        <v/>
      </c>
      <c r="U327">
        <f>IF($A327="","",$R327&amp;"("&amp;$E327&amp;")")</f>
        <v/>
      </c>
      <c r="V327">
        <f>IF($A327="","",$F327&amp;"|"&amp;$U327&amp;"|"&amp;$D327)</f>
        <v/>
      </c>
      <c r="W327">
        <f>IF($T327="","",IF($X327&gt;N($X326),$X327,""))</f>
        <v/>
      </c>
      <c r="X327">
        <f>IF($T327="",N($X326),IF(MATCH($T327,$T$6:$T$6005,0)=ROW()-5,N($X326)+1,N($X326)))</f>
        <v/>
      </c>
      <c r="Z327">
        <f>IF($V327="","",IF($AA327&gt;N($AA326),$AA327,""))</f>
        <v/>
      </c>
      <c r="AA327">
        <f>IF($V327="",N($AA326),IF(MATCH($V327,$V$6:$V$6005,0)=ROW()-5,N($AA326)+1,N($AA326)))</f>
        <v/>
      </c>
    </row>
    <row r="328" ht="21" customHeight="1" s="66">
      <c r="A328" s="56" t="n"/>
      <c r="B328" s="57" t="n"/>
      <c r="C328" s="57" t="n"/>
      <c r="D328" s="57" t="n"/>
      <c r="E328" s="56" t="n"/>
      <c r="F328" s="57" t="n"/>
      <c r="G328" s="57" t="n"/>
      <c r="H328" s="56" t="n"/>
      <c r="I328" s="56" t="n"/>
      <c r="J328" s="58" t="n"/>
      <c r="K328" s="58" t="n"/>
      <c r="L328" s="13">
        <f>IF(OR($A328="",AND($J328="",$K328="")),"",ROUND(N($J328)-N($K328),2))</f>
        <v/>
      </c>
      <c r="M328" s="13">
        <f>IF(OR($A328="",AND($J328="",$K328="")),"",MIN($J328,$K328))</f>
        <v/>
      </c>
      <c r="Q328">
        <f>IF($A328="","",$D328&amp;"("&amp;SUBSTITUTE($E328," ","")&amp;")")</f>
        <v/>
      </c>
      <c r="R328">
        <f>IF($A328="","",$B328&amp;" - "&amp;$C328)</f>
        <v/>
      </c>
      <c r="S328">
        <f>IF($A328="","",$R328&amp;"|"&amp;$Q328)</f>
        <v/>
      </c>
      <c r="T328">
        <f>IF($A328="","",$S328&amp;"|"&amp;$F328)</f>
        <v/>
      </c>
      <c r="U328">
        <f>IF($A328="","",$R328&amp;"("&amp;$E328&amp;")")</f>
        <v/>
      </c>
      <c r="V328">
        <f>IF($A328="","",$F328&amp;"|"&amp;$U328&amp;"|"&amp;$D328)</f>
        <v/>
      </c>
      <c r="W328">
        <f>IF($T328="","",IF($X328&gt;N($X327),$X328,""))</f>
        <v/>
      </c>
      <c r="X328">
        <f>IF($T328="",N($X327),IF(MATCH($T328,$T$6:$T$6005,0)=ROW()-5,N($X327)+1,N($X327)))</f>
        <v/>
      </c>
      <c r="Z328">
        <f>IF($V328="","",IF($AA328&gt;N($AA327),$AA328,""))</f>
        <v/>
      </c>
      <c r="AA328">
        <f>IF($V328="",N($AA327),IF(MATCH($V328,$V$6:$V$6005,0)=ROW()-5,N($AA327)+1,N($AA327)))</f>
        <v/>
      </c>
    </row>
    <row r="329" ht="21" customHeight="1" s="66">
      <c r="A329" s="56" t="n"/>
      <c r="B329" s="57" t="n"/>
      <c r="C329" s="57" t="n"/>
      <c r="D329" s="57" t="n"/>
      <c r="E329" s="56" t="n"/>
      <c r="F329" s="57" t="n"/>
      <c r="G329" s="57" t="n"/>
      <c r="H329" s="56" t="n"/>
      <c r="I329" s="56" t="n"/>
      <c r="J329" s="58" t="n"/>
      <c r="K329" s="58" t="n"/>
      <c r="L329" s="13">
        <f>IF(OR($A329="",AND($J329="",$K329="")),"",ROUND(N($J329)-N($K329),2))</f>
        <v/>
      </c>
      <c r="M329" s="13">
        <f>IF(OR($A329="",AND($J329="",$K329="")),"",MIN($J329,$K329))</f>
        <v/>
      </c>
      <c r="Q329">
        <f>IF($A329="","",$D329&amp;"("&amp;SUBSTITUTE($E329," ","")&amp;")")</f>
        <v/>
      </c>
      <c r="R329">
        <f>IF($A329="","",$B329&amp;" - "&amp;$C329)</f>
        <v/>
      </c>
      <c r="S329">
        <f>IF($A329="","",$R329&amp;"|"&amp;$Q329)</f>
        <v/>
      </c>
      <c r="T329">
        <f>IF($A329="","",$S329&amp;"|"&amp;$F329)</f>
        <v/>
      </c>
      <c r="U329">
        <f>IF($A329="","",$R329&amp;"("&amp;$E329&amp;")")</f>
        <v/>
      </c>
      <c r="V329">
        <f>IF($A329="","",$F329&amp;"|"&amp;$U329&amp;"|"&amp;$D329)</f>
        <v/>
      </c>
      <c r="W329">
        <f>IF($T329="","",IF($X329&gt;N($X328),$X329,""))</f>
        <v/>
      </c>
      <c r="X329">
        <f>IF($T329="",N($X328),IF(MATCH($T329,$T$6:$T$6005,0)=ROW()-5,N($X328)+1,N($X328)))</f>
        <v/>
      </c>
      <c r="Z329">
        <f>IF($V329="","",IF($AA329&gt;N($AA328),$AA329,""))</f>
        <v/>
      </c>
      <c r="AA329">
        <f>IF($V329="",N($AA328),IF(MATCH($V329,$V$6:$V$6005,0)=ROW()-5,N($AA328)+1,N($AA328)))</f>
        <v/>
      </c>
    </row>
    <row r="330" ht="21" customHeight="1" s="66">
      <c r="A330" s="56" t="n"/>
      <c r="B330" s="57" t="n"/>
      <c r="C330" s="57" t="n"/>
      <c r="D330" s="57" t="n"/>
      <c r="E330" s="56" t="n"/>
      <c r="F330" s="57" t="n"/>
      <c r="G330" s="57" t="n"/>
      <c r="H330" s="56" t="n"/>
      <c r="I330" s="56" t="n"/>
      <c r="J330" s="58" t="n"/>
      <c r="K330" s="58" t="n"/>
      <c r="L330" s="13">
        <f>IF(OR($A330="",AND($J330="",$K330="")),"",ROUND(N($J330)-N($K330),2))</f>
        <v/>
      </c>
      <c r="M330" s="13">
        <f>IF(OR($A330="",AND($J330="",$K330="")),"",MIN($J330,$K330))</f>
        <v/>
      </c>
      <c r="Q330">
        <f>IF($A330="","",$D330&amp;"("&amp;SUBSTITUTE($E330," ","")&amp;")")</f>
        <v/>
      </c>
      <c r="R330">
        <f>IF($A330="","",$B330&amp;" - "&amp;$C330)</f>
        <v/>
      </c>
      <c r="S330">
        <f>IF($A330="","",$R330&amp;"|"&amp;$Q330)</f>
        <v/>
      </c>
      <c r="T330">
        <f>IF($A330="","",$S330&amp;"|"&amp;$F330)</f>
        <v/>
      </c>
      <c r="U330">
        <f>IF($A330="","",$R330&amp;"("&amp;$E330&amp;")")</f>
        <v/>
      </c>
      <c r="V330">
        <f>IF($A330="","",$F330&amp;"|"&amp;$U330&amp;"|"&amp;$D330)</f>
        <v/>
      </c>
      <c r="W330">
        <f>IF($T330="","",IF($X330&gt;N($X329),$X330,""))</f>
        <v/>
      </c>
      <c r="X330">
        <f>IF($T330="",N($X329),IF(MATCH($T330,$T$6:$T$6005,0)=ROW()-5,N($X329)+1,N($X329)))</f>
        <v/>
      </c>
      <c r="Z330">
        <f>IF($V330="","",IF($AA330&gt;N($AA329),$AA330,""))</f>
        <v/>
      </c>
      <c r="AA330">
        <f>IF($V330="",N($AA329),IF(MATCH($V330,$V$6:$V$6005,0)=ROW()-5,N($AA329)+1,N($AA329)))</f>
        <v/>
      </c>
    </row>
    <row r="331" ht="21" customHeight="1" s="66">
      <c r="A331" s="56" t="n"/>
      <c r="B331" s="57" t="n"/>
      <c r="C331" s="57" t="n"/>
      <c r="D331" s="57" t="n"/>
      <c r="E331" s="56" t="n"/>
      <c r="F331" s="57" t="n"/>
      <c r="G331" s="57" t="n"/>
      <c r="H331" s="56" t="n"/>
      <c r="I331" s="56" t="n"/>
      <c r="J331" s="58" t="n"/>
      <c r="K331" s="58" t="n"/>
      <c r="L331" s="13">
        <f>IF(OR($A331="",AND($J331="",$K331="")),"",ROUND(N($J331)-N($K331),2))</f>
        <v/>
      </c>
      <c r="M331" s="13">
        <f>IF(OR($A331="",AND($J331="",$K331="")),"",MIN($J331,$K331))</f>
        <v/>
      </c>
      <c r="Q331">
        <f>IF($A331="","",$D331&amp;"("&amp;SUBSTITUTE($E331," ","")&amp;")")</f>
        <v/>
      </c>
      <c r="R331">
        <f>IF($A331="","",$B331&amp;" - "&amp;$C331)</f>
        <v/>
      </c>
      <c r="S331">
        <f>IF($A331="","",$R331&amp;"|"&amp;$Q331)</f>
        <v/>
      </c>
      <c r="T331">
        <f>IF($A331="","",$S331&amp;"|"&amp;$F331)</f>
        <v/>
      </c>
      <c r="U331">
        <f>IF($A331="","",$R331&amp;"("&amp;$E331&amp;")")</f>
        <v/>
      </c>
      <c r="V331">
        <f>IF($A331="","",$F331&amp;"|"&amp;$U331&amp;"|"&amp;$D331)</f>
        <v/>
      </c>
      <c r="W331">
        <f>IF($T331="","",IF($X331&gt;N($X330),$X331,""))</f>
        <v/>
      </c>
      <c r="X331">
        <f>IF($T331="",N($X330),IF(MATCH($T331,$T$6:$T$6005,0)=ROW()-5,N($X330)+1,N($X330)))</f>
        <v/>
      </c>
      <c r="Z331">
        <f>IF($V331="","",IF($AA331&gt;N($AA330),$AA331,""))</f>
        <v/>
      </c>
      <c r="AA331">
        <f>IF($V331="",N($AA330),IF(MATCH($V331,$V$6:$V$6005,0)=ROW()-5,N($AA330)+1,N($AA330)))</f>
        <v/>
      </c>
    </row>
    <row r="332" ht="21" customHeight="1" s="66">
      <c r="A332" s="56" t="n"/>
      <c r="B332" s="57" t="n"/>
      <c r="C332" s="57" t="n"/>
      <c r="D332" s="57" t="n"/>
      <c r="E332" s="56" t="n"/>
      <c r="F332" s="57" t="n"/>
      <c r="G332" s="57" t="n"/>
      <c r="H332" s="56" t="n"/>
      <c r="I332" s="56" t="n"/>
      <c r="J332" s="58" t="n"/>
      <c r="K332" s="58" t="n"/>
      <c r="L332" s="13">
        <f>IF(OR($A332="",AND($J332="",$K332="")),"",ROUND(N($J332)-N($K332),2))</f>
        <v/>
      </c>
      <c r="M332" s="13">
        <f>IF(OR($A332="",AND($J332="",$K332="")),"",MIN($J332,$K332))</f>
        <v/>
      </c>
      <c r="Q332">
        <f>IF($A332="","",$D332&amp;"("&amp;SUBSTITUTE($E332," ","")&amp;")")</f>
        <v/>
      </c>
      <c r="R332">
        <f>IF($A332="","",$B332&amp;" - "&amp;$C332)</f>
        <v/>
      </c>
      <c r="S332">
        <f>IF($A332="","",$R332&amp;"|"&amp;$Q332)</f>
        <v/>
      </c>
      <c r="T332">
        <f>IF($A332="","",$S332&amp;"|"&amp;$F332)</f>
        <v/>
      </c>
      <c r="U332">
        <f>IF($A332="","",$R332&amp;"("&amp;$E332&amp;")")</f>
        <v/>
      </c>
      <c r="V332">
        <f>IF($A332="","",$F332&amp;"|"&amp;$U332&amp;"|"&amp;$D332)</f>
        <v/>
      </c>
      <c r="W332">
        <f>IF($T332="","",IF($X332&gt;N($X331),$X332,""))</f>
        <v/>
      </c>
      <c r="X332">
        <f>IF($T332="",N($X331),IF(MATCH($T332,$T$6:$T$6005,0)=ROW()-5,N($X331)+1,N($X331)))</f>
        <v/>
      </c>
      <c r="Z332">
        <f>IF($V332="","",IF($AA332&gt;N($AA331),$AA332,""))</f>
        <v/>
      </c>
      <c r="AA332">
        <f>IF($V332="",N($AA331),IF(MATCH($V332,$V$6:$V$6005,0)=ROW()-5,N($AA331)+1,N($AA331)))</f>
        <v/>
      </c>
    </row>
    <row r="333" ht="21" customHeight="1" s="66">
      <c r="A333" s="56" t="n"/>
      <c r="B333" s="57" t="n"/>
      <c r="C333" s="57" t="n"/>
      <c r="D333" s="57" t="n"/>
      <c r="E333" s="56" t="n"/>
      <c r="F333" s="57" t="n"/>
      <c r="G333" s="57" t="n"/>
      <c r="H333" s="56" t="n"/>
      <c r="I333" s="56" t="n"/>
      <c r="J333" s="58" t="n"/>
      <c r="K333" s="58" t="n"/>
      <c r="L333" s="13">
        <f>IF(OR($A333="",AND($J333="",$K333="")),"",ROUND(N($J333)-N($K333),2))</f>
        <v/>
      </c>
      <c r="M333" s="13">
        <f>IF(OR($A333="",AND($J333="",$K333="")),"",MIN($J333,$K333))</f>
        <v/>
      </c>
      <c r="Q333">
        <f>IF($A333="","",$D333&amp;"("&amp;SUBSTITUTE($E333," ","")&amp;")")</f>
        <v/>
      </c>
      <c r="R333">
        <f>IF($A333="","",$B333&amp;" - "&amp;$C333)</f>
        <v/>
      </c>
      <c r="S333">
        <f>IF($A333="","",$R333&amp;"|"&amp;$Q333)</f>
        <v/>
      </c>
      <c r="T333">
        <f>IF($A333="","",$S333&amp;"|"&amp;$F333)</f>
        <v/>
      </c>
      <c r="U333">
        <f>IF($A333="","",$R333&amp;"("&amp;$E333&amp;")")</f>
        <v/>
      </c>
      <c r="V333">
        <f>IF($A333="","",$F333&amp;"|"&amp;$U333&amp;"|"&amp;$D333)</f>
        <v/>
      </c>
      <c r="W333">
        <f>IF($T333="","",IF($X333&gt;N($X332),$X333,""))</f>
        <v/>
      </c>
      <c r="X333">
        <f>IF($T333="",N($X332),IF(MATCH($T333,$T$6:$T$6005,0)=ROW()-5,N($X332)+1,N($X332)))</f>
        <v/>
      </c>
      <c r="Z333">
        <f>IF($V333="","",IF($AA333&gt;N($AA332),$AA333,""))</f>
        <v/>
      </c>
      <c r="AA333">
        <f>IF($V333="",N($AA332),IF(MATCH($V333,$V$6:$V$6005,0)=ROW()-5,N($AA332)+1,N($AA332)))</f>
        <v/>
      </c>
    </row>
    <row r="334" ht="21" customHeight="1" s="66">
      <c r="A334" s="56" t="n"/>
      <c r="B334" s="57" t="n"/>
      <c r="C334" s="57" t="n"/>
      <c r="D334" s="57" t="n"/>
      <c r="E334" s="56" t="n"/>
      <c r="F334" s="57" t="n"/>
      <c r="G334" s="57" t="n"/>
      <c r="H334" s="56" t="n"/>
      <c r="I334" s="56" t="n"/>
      <c r="J334" s="58" t="n"/>
      <c r="K334" s="58" t="n"/>
      <c r="L334" s="13">
        <f>IF(OR($A334="",AND($J334="",$K334="")),"",ROUND(N($J334)-N($K334),2))</f>
        <v/>
      </c>
      <c r="M334" s="13">
        <f>IF(OR($A334="",AND($J334="",$K334="")),"",MIN($J334,$K334))</f>
        <v/>
      </c>
      <c r="Q334">
        <f>IF($A334="","",$D334&amp;"("&amp;SUBSTITUTE($E334," ","")&amp;")")</f>
        <v/>
      </c>
      <c r="R334">
        <f>IF($A334="","",$B334&amp;" - "&amp;$C334)</f>
        <v/>
      </c>
      <c r="S334">
        <f>IF($A334="","",$R334&amp;"|"&amp;$Q334)</f>
        <v/>
      </c>
      <c r="T334">
        <f>IF($A334="","",$S334&amp;"|"&amp;$F334)</f>
        <v/>
      </c>
      <c r="U334">
        <f>IF($A334="","",$R334&amp;"("&amp;$E334&amp;")")</f>
        <v/>
      </c>
      <c r="V334">
        <f>IF($A334="","",$F334&amp;"|"&amp;$U334&amp;"|"&amp;$D334)</f>
        <v/>
      </c>
      <c r="W334">
        <f>IF($T334="","",IF($X334&gt;N($X333),$X334,""))</f>
        <v/>
      </c>
      <c r="X334">
        <f>IF($T334="",N($X333),IF(MATCH($T334,$T$6:$T$6005,0)=ROW()-5,N($X333)+1,N($X333)))</f>
        <v/>
      </c>
      <c r="Z334">
        <f>IF($V334="","",IF($AA334&gt;N($AA333),$AA334,""))</f>
        <v/>
      </c>
      <c r="AA334">
        <f>IF($V334="",N($AA333),IF(MATCH($V334,$V$6:$V$6005,0)=ROW()-5,N($AA333)+1,N($AA333)))</f>
        <v/>
      </c>
    </row>
    <row r="335" ht="21" customHeight="1" s="66">
      <c r="A335" s="56" t="n"/>
      <c r="B335" s="57" t="n"/>
      <c r="C335" s="57" t="n"/>
      <c r="D335" s="57" t="n"/>
      <c r="E335" s="56" t="n"/>
      <c r="F335" s="57" t="n"/>
      <c r="G335" s="57" t="n"/>
      <c r="H335" s="56" t="n"/>
      <c r="I335" s="56" t="n"/>
      <c r="J335" s="58" t="n"/>
      <c r="K335" s="58" t="n"/>
      <c r="L335" s="13">
        <f>IF(OR($A335="",AND($J335="",$K335="")),"",ROUND(N($J335)-N($K335),2))</f>
        <v/>
      </c>
      <c r="M335" s="13">
        <f>IF(OR($A335="",AND($J335="",$K335="")),"",MIN($J335,$K335))</f>
        <v/>
      </c>
      <c r="Q335">
        <f>IF($A335="","",$D335&amp;"("&amp;SUBSTITUTE($E335," ","")&amp;")")</f>
        <v/>
      </c>
      <c r="R335">
        <f>IF($A335="","",$B335&amp;" - "&amp;$C335)</f>
        <v/>
      </c>
      <c r="S335">
        <f>IF($A335="","",$R335&amp;"|"&amp;$Q335)</f>
        <v/>
      </c>
      <c r="T335">
        <f>IF($A335="","",$S335&amp;"|"&amp;$F335)</f>
        <v/>
      </c>
      <c r="U335">
        <f>IF($A335="","",$R335&amp;"("&amp;$E335&amp;")")</f>
        <v/>
      </c>
      <c r="V335">
        <f>IF($A335="","",$F335&amp;"|"&amp;$U335&amp;"|"&amp;$D335)</f>
        <v/>
      </c>
      <c r="W335">
        <f>IF($T335="","",IF($X335&gt;N($X334),$X335,""))</f>
        <v/>
      </c>
      <c r="X335">
        <f>IF($T335="",N($X334),IF(MATCH($T335,$T$6:$T$6005,0)=ROW()-5,N($X334)+1,N($X334)))</f>
        <v/>
      </c>
      <c r="Z335">
        <f>IF($V335="","",IF($AA335&gt;N($AA334),$AA335,""))</f>
        <v/>
      </c>
      <c r="AA335">
        <f>IF($V335="",N($AA334),IF(MATCH($V335,$V$6:$V$6005,0)=ROW()-5,N($AA334)+1,N($AA334)))</f>
        <v/>
      </c>
    </row>
    <row r="336" ht="21" customHeight="1" s="66">
      <c r="A336" s="56" t="n"/>
      <c r="B336" s="57" t="n"/>
      <c r="C336" s="57" t="n"/>
      <c r="D336" s="57" t="n"/>
      <c r="E336" s="56" t="n"/>
      <c r="F336" s="57" t="n"/>
      <c r="G336" s="57" t="n"/>
      <c r="H336" s="56" t="n"/>
      <c r="I336" s="56" t="n"/>
      <c r="J336" s="58" t="n"/>
      <c r="K336" s="58" t="n"/>
      <c r="L336" s="13">
        <f>IF(OR($A336="",AND($J336="",$K336="")),"",ROUND(N($J336)-N($K336),2))</f>
        <v/>
      </c>
      <c r="M336" s="13">
        <f>IF(OR($A336="",AND($J336="",$K336="")),"",MIN($J336,$K336))</f>
        <v/>
      </c>
      <c r="Q336">
        <f>IF($A336="","",$D336&amp;"("&amp;SUBSTITUTE($E336," ","")&amp;")")</f>
        <v/>
      </c>
      <c r="R336">
        <f>IF($A336="","",$B336&amp;" - "&amp;$C336)</f>
        <v/>
      </c>
      <c r="S336">
        <f>IF($A336="","",$R336&amp;"|"&amp;$Q336)</f>
        <v/>
      </c>
      <c r="T336">
        <f>IF($A336="","",$S336&amp;"|"&amp;$F336)</f>
        <v/>
      </c>
      <c r="U336">
        <f>IF($A336="","",$R336&amp;"("&amp;$E336&amp;")")</f>
        <v/>
      </c>
      <c r="V336">
        <f>IF($A336="","",$F336&amp;"|"&amp;$U336&amp;"|"&amp;$D336)</f>
        <v/>
      </c>
      <c r="W336">
        <f>IF($T336="","",IF($X336&gt;N($X335),$X336,""))</f>
        <v/>
      </c>
      <c r="X336">
        <f>IF($T336="",N($X335),IF(MATCH($T336,$T$6:$T$6005,0)=ROW()-5,N($X335)+1,N($X335)))</f>
        <v/>
      </c>
      <c r="Z336">
        <f>IF($V336="","",IF($AA336&gt;N($AA335),$AA336,""))</f>
        <v/>
      </c>
      <c r="AA336">
        <f>IF($V336="",N($AA335),IF(MATCH($V336,$V$6:$V$6005,0)=ROW()-5,N($AA335)+1,N($AA335)))</f>
        <v/>
      </c>
    </row>
    <row r="337" ht="21" customHeight="1" s="66">
      <c r="A337" s="56" t="n"/>
      <c r="B337" s="57" t="n"/>
      <c r="C337" s="57" t="n"/>
      <c r="D337" s="57" t="n"/>
      <c r="E337" s="56" t="n"/>
      <c r="F337" s="57" t="n"/>
      <c r="G337" s="57" t="n"/>
      <c r="H337" s="56" t="n"/>
      <c r="I337" s="56" t="n"/>
      <c r="J337" s="58" t="n"/>
      <c r="K337" s="58" t="n"/>
      <c r="L337" s="13">
        <f>IF(OR($A337="",AND($J337="",$K337="")),"",ROUND(N($J337)-N($K337),2))</f>
        <v/>
      </c>
      <c r="M337" s="13">
        <f>IF(OR($A337="",AND($J337="",$K337="")),"",MIN($J337,$K337))</f>
        <v/>
      </c>
      <c r="Q337">
        <f>IF($A337="","",$D337&amp;"("&amp;SUBSTITUTE($E337," ","")&amp;")")</f>
        <v/>
      </c>
      <c r="R337">
        <f>IF($A337="","",$B337&amp;" - "&amp;$C337)</f>
        <v/>
      </c>
      <c r="S337">
        <f>IF($A337="","",$R337&amp;"|"&amp;$Q337)</f>
        <v/>
      </c>
      <c r="T337">
        <f>IF($A337="","",$S337&amp;"|"&amp;$F337)</f>
        <v/>
      </c>
      <c r="U337">
        <f>IF($A337="","",$R337&amp;"("&amp;$E337&amp;")")</f>
        <v/>
      </c>
      <c r="V337">
        <f>IF($A337="","",$F337&amp;"|"&amp;$U337&amp;"|"&amp;$D337)</f>
        <v/>
      </c>
      <c r="W337">
        <f>IF($T337="","",IF($X337&gt;N($X336),$X337,""))</f>
        <v/>
      </c>
      <c r="X337">
        <f>IF($T337="",N($X336),IF(MATCH($T337,$T$6:$T$6005,0)=ROW()-5,N($X336)+1,N($X336)))</f>
        <v/>
      </c>
      <c r="Z337">
        <f>IF($V337="","",IF($AA337&gt;N($AA336),$AA337,""))</f>
        <v/>
      </c>
      <c r="AA337">
        <f>IF($V337="",N($AA336),IF(MATCH($V337,$V$6:$V$6005,0)=ROW()-5,N($AA336)+1,N($AA336)))</f>
        <v/>
      </c>
    </row>
    <row r="338" ht="21" customHeight="1" s="66">
      <c r="A338" s="56" t="n"/>
      <c r="B338" s="57" t="n"/>
      <c r="C338" s="57" t="n"/>
      <c r="D338" s="57" t="n"/>
      <c r="E338" s="56" t="n"/>
      <c r="F338" s="57" t="n"/>
      <c r="G338" s="57" t="n"/>
      <c r="H338" s="56" t="n"/>
      <c r="I338" s="56" t="n"/>
      <c r="J338" s="58" t="n"/>
      <c r="K338" s="58" t="n"/>
      <c r="L338" s="13">
        <f>IF(OR($A338="",AND($J338="",$K338="")),"",ROUND(N($J338)-N($K338),2))</f>
        <v/>
      </c>
      <c r="M338" s="13">
        <f>IF(OR($A338="",AND($J338="",$K338="")),"",MIN($J338,$K338))</f>
        <v/>
      </c>
      <c r="Q338">
        <f>IF($A338="","",$D338&amp;"("&amp;SUBSTITUTE($E338," ","")&amp;")")</f>
        <v/>
      </c>
      <c r="R338">
        <f>IF($A338="","",$B338&amp;" - "&amp;$C338)</f>
        <v/>
      </c>
      <c r="S338">
        <f>IF($A338="","",$R338&amp;"|"&amp;$Q338)</f>
        <v/>
      </c>
      <c r="T338">
        <f>IF($A338="","",$S338&amp;"|"&amp;$F338)</f>
        <v/>
      </c>
      <c r="U338">
        <f>IF($A338="","",$R338&amp;"("&amp;$E338&amp;")")</f>
        <v/>
      </c>
      <c r="V338">
        <f>IF($A338="","",$F338&amp;"|"&amp;$U338&amp;"|"&amp;$D338)</f>
        <v/>
      </c>
      <c r="W338">
        <f>IF($T338="","",IF($X338&gt;N($X337),$X338,""))</f>
        <v/>
      </c>
      <c r="X338">
        <f>IF($T338="",N($X337),IF(MATCH($T338,$T$6:$T$6005,0)=ROW()-5,N($X337)+1,N($X337)))</f>
        <v/>
      </c>
      <c r="Z338">
        <f>IF($V338="","",IF($AA338&gt;N($AA337),$AA338,""))</f>
        <v/>
      </c>
      <c r="AA338">
        <f>IF($V338="",N($AA337),IF(MATCH($V338,$V$6:$V$6005,0)=ROW()-5,N($AA337)+1,N($AA337)))</f>
        <v/>
      </c>
    </row>
    <row r="339" ht="21" customHeight="1" s="66">
      <c r="A339" s="56" t="n"/>
      <c r="B339" s="57" t="n"/>
      <c r="C339" s="57" t="n"/>
      <c r="D339" s="57" t="n"/>
      <c r="E339" s="56" t="n"/>
      <c r="F339" s="57" t="n"/>
      <c r="G339" s="57" t="n"/>
      <c r="H339" s="56" t="n"/>
      <c r="I339" s="56" t="n"/>
      <c r="J339" s="58" t="n"/>
      <c r="K339" s="58" t="n"/>
      <c r="L339" s="13">
        <f>IF(OR($A339="",AND($J339="",$K339="")),"",ROUND(N($J339)-N($K339),2))</f>
        <v/>
      </c>
      <c r="M339" s="13">
        <f>IF(OR($A339="",AND($J339="",$K339="")),"",MIN($J339,$K339))</f>
        <v/>
      </c>
      <c r="Q339">
        <f>IF($A339="","",$D339&amp;"("&amp;SUBSTITUTE($E339," ","")&amp;")")</f>
        <v/>
      </c>
      <c r="R339">
        <f>IF($A339="","",$B339&amp;" - "&amp;$C339)</f>
        <v/>
      </c>
      <c r="S339">
        <f>IF($A339="","",$R339&amp;"|"&amp;$Q339)</f>
        <v/>
      </c>
      <c r="T339">
        <f>IF($A339="","",$S339&amp;"|"&amp;$F339)</f>
        <v/>
      </c>
      <c r="U339">
        <f>IF($A339="","",$R339&amp;"("&amp;$E339&amp;")")</f>
        <v/>
      </c>
      <c r="V339">
        <f>IF($A339="","",$F339&amp;"|"&amp;$U339&amp;"|"&amp;$D339)</f>
        <v/>
      </c>
      <c r="W339">
        <f>IF($T339="","",IF($X339&gt;N($X338),$X339,""))</f>
        <v/>
      </c>
      <c r="X339">
        <f>IF($T339="",N($X338),IF(MATCH($T339,$T$6:$T$6005,0)=ROW()-5,N($X338)+1,N($X338)))</f>
        <v/>
      </c>
      <c r="Z339">
        <f>IF($V339="","",IF($AA339&gt;N($AA338),$AA339,""))</f>
        <v/>
      </c>
      <c r="AA339">
        <f>IF($V339="",N($AA338),IF(MATCH($V339,$V$6:$V$6005,0)=ROW()-5,N($AA338)+1,N($AA338)))</f>
        <v/>
      </c>
    </row>
    <row r="340" ht="21" customHeight="1" s="66">
      <c r="A340" s="56" t="n"/>
      <c r="B340" s="57" t="n"/>
      <c r="C340" s="57" t="n"/>
      <c r="D340" s="57" t="n"/>
      <c r="E340" s="56" t="n"/>
      <c r="F340" s="57" t="n"/>
      <c r="G340" s="57" t="n"/>
      <c r="H340" s="56" t="n"/>
      <c r="I340" s="56" t="n"/>
      <c r="J340" s="58" t="n"/>
      <c r="K340" s="58" t="n"/>
      <c r="L340" s="13">
        <f>IF(OR($A340="",AND($J340="",$K340="")),"",ROUND(N($J340)-N($K340),2))</f>
        <v/>
      </c>
      <c r="M340" s="13">
        <f>IF(OR($A340="",AND($J340="",$K340="")),"",MIN($J340,$K340))</f>
        <v/>
      </c>
      <c r="Q340">
        <f>IF($A340="","",$D340&amp;"("&amp;SUBSTITUTE($E340," ","")&amp;")")</f>
        <v/>
      </c>
      <c r="R340">
        <f>IF($A340="","",$B340&amp;" - "&amp;$C340)</f>
        <v/>
      </c>
      <c r="S340">
        <f>IF($A340="","",$R340&amp;"|"&amp;$Q340)</f>
        <v/>
      </c>
      <c r="T340">
        <f>IF($A340="","",$S340&amp;"|"&amp;$F340)</f>
        <v/>
      </c>
      <c r="U340">
        <f>IF($A340="","",$R340&amp;"("&amp;$E340&amp;")")</f>
        <v/>
      </c>
      <c r="V340">
        <f>IF($A340="","",$F340&amp;"|"&amp;$U340&amp;"|"&amp;$D340)</f>
        <v/>
      </c>
      <c r="W340">
        <f>IF($T340="","",IF($X340&gt;N($X339),$X340,""))</f>
        <v/>
      </c>
      <c r="X340">
        <f>IF($T340="",N($X339),IF(MATCH($T340,$T$6:$T$6005,0)=ROW()-5,N($X339)+1,N($X339)))</f>
        <v/>
      </c>
      <c r="Z340">
        <f>IF($V340="","",IF($AA340&gt;N($AA339),$AA340,""))</f>
        <v/>
      </c>
      <c r="AA340">
        <f>IF($V340="",N($AA339),IF(MATCH($V340,$V$6:$V$6005,0)=ROW()-5,N($AA339)+1,N($AA339)))</f>
        <v/>
      </c>
    </row>
    <row r="341" ht="21" customHeight="1" s="66">
      <c r="A341" s="56" t="n"/>
      <c r="B341" s="57" t="n"/>
      <c r="C341" s="57" t="n"/>
      <c r="D341" s="57" t="n"/>
      <c r="E341" s="56" t="n"/>
      <c r="F341" s="57" t="n"/>
      <c r="G341" s="57" t="n"/>
      <c r="H341" s="56" t="n"/>
      <c r="I341" s="56" t="n"/>
      <c r="J341" s="58" t="n"/>
      <c r="K341" s="58" t="n"/>
      <c r="L341" s="13">
        <f>IF(OR($A341="",AND($J341="",$K341="")),"",ROUND(N($J341)-N($K341),2))</f>
        <v/>
      </c>
      <c r="M341" s="13">
        <f>IF(OR($A341="",AND($J341="",$K341="")),"",MIN($J341,$K341))</f>
        <v/>
      </c>
      <c r="Q341">
        <f>IF($A341="","",$D341&amp;"("&amp;SUBSTITUTE($E341," ","")&amp;")")</f>
        <v/>
      </c>
      <c r="R341">
        <f>IF($A341="","",$B341&amp;" - "&amp;$C341)</f>
        <v/>
      </c>
      <c r="S341">
        <f>IF($A341="","",$R341&amp;"|"&amp;$Q341)</f>
        <v/>
      </c>
      <c r="T341">
        <f>IF($A341="","",$S341&amp;"|"&amp;$F341)</f>
        <v/>
      </c>
      <c r="U341">
        <f>IF($A341="","",$R341&amp;"("&amp;$E341&amp;")")</f>
        <v/>
      </c>
      <c r="V341">
        <f>IF($A341="","",$F341&amp;"|"&amp;$U341&amp;"|"&amp;$D341)</f>
        <v/>
      </c>
      <c r="W341">
        <f>IF($T341="","",IF($X341&gt;N($X340),$X341,""))</f>
        <v/>
      </c>
      <c r="X341">
        <f>IF($T341="",N($X340),IF(MATCH($T341,$T$6:$T$6005,0)=ROW()-5,N($X340)+1,N($X340)))</f>
        <v/>
      </c>
      <c r="Z341">
        <f>IF($V341="","",IF($AA341&gt;N($AA340),$AA341,""))</f>
        <v/>
      </c>
      <c r="AA341">
        <f>IF($V341="",N($AA340),IF(MATCH($V341,$V$6:$V$6005,0)=ROW()-5,N($AA340)+1,N($AA340)))</f>
        <v/>
      </c>
    </row>
    <row r="342" ht="21" customHeight="1" s="66">
      <c r="A342" s="56" t="n"/>
      <c r="B342" s="57" t="n"/>
      <c r="C342" s="57" t="n"/>
      <c r="D342" s="57" t="n"/>
      <c r="E342" s="56" t="n"/>
      <c r="F342" s="57" t="n"/>
      <c r="G342" s="57" t="n"/>
      <c r="H342" s="56" t="n"/>
      <c r="I342" s="56" t="n"/>
      <c r="J342" s="58" t="n"/>
      <c r="K342" s="58" t="n"/>
      <c r="L342" s="13">
        <f>IF(OR($A342="",AND($J342="",$K342="")),"",ROUND(N($J342)-N($K342),2))</f>
        <v/>
      </c>
      <c r="M342" s="13">
        <f>IF(OR($A342="",AND($J342="",$K342="")),"",MIN($J342,$K342))</f>
        <v/>
      </c>
      <c r="Q342">
        <f>IF($A342="","",$D342&amp;"("&amp;SUBSTITUTE($E342," ","")&amp;")")</f>
        <v/>
      </c>
      <c r="R342">
        <f>IF($A342="","",$B342&amp;" - "&amp;$C342)</f>
        <v/>
      </c>
      <c r="S342">
        <f>IF($A342="","",$R342&amp;"|"&amp;$Q342)</f>
        <v/>
      </c>
      <c r="T342">
        <f>IF($A342="","",$S342&amp;"|"&amp;$F342)</f>
        <v/>
      </c>
      <c r="U342">
        <f>IF($A342="","",$R342&amp;"("&amp;$E342&amp;")")</f>
        <v/>
      </c>
      <c r="V342">
        <f>IF($A342="","",$F342&amp;"|"&amp;$U342&amp;"|"&amp;$D342)</f>
        <v/>
      </c>
      <c r="W342">
        <f>IF($T342="","",IF($X342&gt;N($X341),$X342,""))</f>
        <v/>
      </c>
      <c r="X342">
        <f>IF($T342="",N($X341),IF(MATCH($T342,$T$6:$T$6005,0)=ROW()-5,N($X341)+1,N($X341)))</f>
        <v/>
      </c>
      <c r="Z342">
        <f>IF($V342="","",IF($AA342&gt;N($AA341),$AA342,""))</f>
        <v/>
      </c>
      <c r="AA342">
        <f>IF($V342="",N($AA341),IF(MATCH($V342,$V$6:$V$6005,0)=ROW()-5,N($AA341)+1,N($AA341)))</f>
        <v/>
      </c>
    </row>
    <row r="343" ht="21" customHeight="1" s="66">
      <c r="A343" s="56" t="n"/>
      <c r="B343" s="57" t="n"/>
      <c r="C343" s="57" t="n"/>
      <c r="D343" s="57" t="n"/>
      <c r="E343" s="56" t="n"/>
      <c r="F343" s="57" t="n"/>
      <c r="G343" s="57" t="n"/>
      <c r="H343" s="56" t="n"/>
      <c r="I343" s="56" t="n"/>
      <c r="J343" s="58" t="n"/>
      <c r="K343" s="58" t="n"/>
      <c r="L343" s="13">
        <f>IF(OR($A343="",AND($J343="",$K343="")),"",ROUND(N($J343)-N($K343),2))</f>
        <v/>
      </c>
      <c r="M343" s="13">
        <f>IF(OR($A343="",AND($J343="",$K343="")),"",MIN($J343,$K343))</f>
        <v/>
      </c>
      <c r="Q343">
        <f>IF($A343="","",$D343&amp;"("&amp;SUBSTITUTE($E343," ","")&amp;")")</f>
        <v/>
      </c>
      <c r="R343">
        <f>IF($A343="","",$B343&amp;" - "&amp;$C343)</f>
        <v/>
      </c>
      <c r="S343">
        <f>IF($A343="","",$R343&amp;"|"&amp;$Q343)</f>
        <v/>
      </c>
      <c r="T343">
        <f>IF($A343="","",$S343&amp;"|"&amp;$F343)</f>
        <v/>
      </c>
      <c r="U343">
        <f>IF($A343="","",$R343&amp;"("&amp;$E343&amp;")")</f>
        <v/>
      </c>
      <c r="V343">
        <f>IF($A343="","",$F343&amp;"|"&amp;$U343&amp;"|"&amp;$D343)</f>
        <v/>
      </c>
      <c r="W343">
        <f>IF($T343="","",IF($X343&gt;N($X342),$X343,""))</f>
        <v/>
      </c>
      <c r="X343">
        <f>IF($T343="",N($X342),IF(MATCH($T343,$T$6:$T$6005,0)=ROW()-5,N($X342)+1,N($X342)))</f>
        <v/>
      </c>
      <c r="Z343">
        <f>IF($V343="","",IF($AA343&gt;N($AA342),$AA343,""))</f>
        <v/>
      </c>
      <c r="AA343">
        <f>IF($V343="",N($AA342),IF(MATCH($V343,$V$6:$V$6005,0)=ROW()-5,N($AA342)+1,N($AA342)))</f>
        <v/>
      </c>
    </row>
    <row r="344" ht="21" customHeight="1" s="66">
      <c r="A344" s="56" t="n"/>
      <c r="B344" s="57" t="n"/>
      <c r="C344" s="57" t="n"/>
      <c r="D344" s="57" t="n"/>
      <c r="E344" s="56" t="n"/>
      <c r="F344" s="57" t="n"/>
      <c r="G344" s="57" t="n"/>
      <c r="H344" s="56" t="n"/>
      <c r="I344" s="56" t="n"/>
      <c r="J344" s="58" t="n"/>
      <c r="K344" s="58" t="n"/>
      <c r="L344" s="13">
        <f>IF(OR($A344="",AND($J344="",$K344="")),"",ROUND(N($J344)-N($K344),2))</f>
        <v/>
      </c>
      <c r="M344" s="13">
        <f>IF(OR($A344="",AND($J344="",$K344="")),"",MIN($J344,$K344))</f>
        <v/>
      </c>
      <c r="Q344">
        <f>IF($A344="","",$D344&amp;"("&amp;SUBSTITUTE($E344," ","")&amp;")")</f>
        <v/>
      </c>
      <c r="R344">
        <f>IF($A344="","",$B344&amp;" - "&amp;$C344)</f>
        <v/>
      </c>
      <c r="S344">
        <f>IF($A344="","",$R344&amp;"|"&amp;$Q344)</f>
        <v/>
      </c>
      <c r="T344">
        <f>IF($A344="","",$S344&amp;"|"&amp;$F344)</f>
        <v/>
      </c>
      <c r="U344">
        <f>IF($A344="","",$R344&amp;"("&amp;$E344&amp;")")</f>
        <v/>
      </c>
      <c r="V344">
        <f>IF($A344="","",$F344&amp;"|"&amp;$U344&amp;"|"&amp;$D344)</f>
        <v/>
      </c>
      <c r="W344">
        <f>IF($T344="","",IF($X344&gt;N($X343),$X344,""))</f>
        <v/>
      </c>
      <c r="X344">
        <f>IF($T344="",N($X343),IF(MATCH($T344,$T$6:$T$6005,0)=ROW()-5,N($X343)+1,N($X343)))</f>
        <v/>
      </c>
      <c r="Z344">
        <f>IF($V344="","",IF($AA344&gt;N($AA343),$AA344,""))</f>
        <v/>
      </c>
      <c r="AA344">
        <f>IF($V344="",N($AA343),IF(MATCH($V344,$V$6:$V$6005,0)=ROW()-5,N($AA343)+1,N($AA343)))</f>
        <v/>
      </c>
    </row>
    <row r="345" ht="21" customHeight="1" s="66">
      <c r="A345" s="56" t="n"/>
      <c r="B345" s="57" t="n"/>
      <c r="C345" s="57" t="n"/>
      <c r="D345" s="57" t="n"/>
      <c r="E345" s="56" t="n"/>
      <c r="F345" s="57" t="n"/>
      <c r="G345" s="57" t="n"/>
      <c r="H345" s="56" t="n"/>
      <c r="I345" s="56" t="n"/>
      <c r="J345" s="58" t="n"/>
      <c r="K345" s="58" t="n"/>
      <c r="L345" s="13">
        <f>IF(OR($A345="",AND($J345="",$K345="")),"",ROUND(N($J345)-N($K345),2))</f>
        <v/>
      </c>
      <c r="M345" s="13">
        <f>IF(OR($A345="",AND($J345="",$K345="")),"",MIN($J345,$K345))</f>
        <v/>
      </c>
      <c r="Q345">
        <f>IF($A345="","",$D345&amp;"("&amp;SUBSTITUTE($E345," ","")&amp;")")</f>
        <v/>
      </c>
      <c r="R345">
        <f>IF($A345="","",$B345&amp;" - "&amp;$C345)</f>
        <v/>
      </c>
      <c r="S345">
        <f>IF($A345="","",$R345&amp;"|"&amp;$Q345)</f>
        <v/>
      </c>
      <c r="T345">
        <f>IF($A345="","",$S345&amp;"|"&amp;$F345)</f>
        <v/>
      </c>
      <c r="U345">
        <f>IF($A345="","",$R345&amp;"("&amp;$E345&amp;")")</f>
        <v/>
      </c>
      <c r="V345">
        <f>IF($A345="","",$F345&amp;"|"&amp;$U345&amp;"|"&amp;$D345)</f>
        <v/>
      </c>
      <c r="W345">
        <f>IF($T345="","",IF($X345&gt;N($X344),$X345,""))</f>
        <v/>
      </c>
      <c r="X345">
        <f>IF($T345="",N($X344),IF(MATCH($T345,$T$6:$T$6005,0)=ROW()-5,N($X344)+1,N($X344)))</f>
        <v/>
      </c>
      <c r="Z345">
        <f>IF($V345="","",IF($AA345&gt;N($AA344),$AA345,""))</f>
        <v/>
      </c>
      <c r="AA345">
        <f>IF($V345="",N($AA344),IF(MATCH($V345,$V$6:$V$6005,0)=ROW()-5,N($AA344)+1,N($AA344)))</f>
        <v/>
      </c>
    </row>
    <row r="346" ht="21" customHeight="1" s="66">
      <c r="A346" s="56" t="n"/>
      <c r="B346" s="57" t="n"/>
      <c r="C346" s="57" t="n"/>
      <c r="D346" s="57" t="n"/>
      <c r="E346" s="56" t="n"/>
      <c r="F346" s="57" t="n"/>
      <c r="G346" s="57" t="n"/>
      <c r="H346" s="56" t="n"/>
      <c r="I346" s="56" t="n"/>
      <c r="J346" s="58" t="n"/>
      <c r="K346" s="58" t="n"/>
      <c r="L346" s="13">
        <f>IF(OR($A346="",AND($J346="",$K346="")),"",ROUND(N($J346)-N($K346),2))</f>
        <v/>
      </c>
      <c r="M346" s="13">
        <f>IF(OR($A346="",AND($J346="",$K346="")),"",MIN($J346,$K346))</f>
        <v/>
      </c>
      <c r="Q346">
        <f>IF($A346="","",$D346&amp;"("&amp;SUBSTITUTE($E346," ","")&amp;")")</f>
        <v/>
      </c>
      <c r="R346">
        <f>IF($A346="","",$B346&amp;" - "&amp;$C346)</f>
        <v/>
      </c>
      <c r="S346">
        <f>IF($A346="","",$R346&amp;"|"&amp;$Q346)</f>
        <v/>
      </c>
      <c r="T346">
        <f>IF($A346="","",$S346&amp;"|"&amp;$F346)</f>
        <v/>
      </c>
      <c r="U346">
        <f>IF($A346="","",$R346&amp;"("&amp;$E346&amp;")")</f>
        <v/>
      </c>
      <c r="V346">
        <f>IF($A346="","",$F346&amp;"|"&amp;$U346&amp;"|"&amp;$D346)</f>
        <v/>
      </c>
      <c r="W346">
        <f>IF($T346="","",IF($X346&gt;N($X345),$X346,""))</f>
        <v/>
      </c>
      <c r="X346">
        <f>IF($T346="",N($X345),IF(MATCH($T346,$T$6:$T$6005,0)=ROW()-5,N($X345)+1,N($X345)))</f>
        <v/>
      </c>
      <c r="Z346">
        <f>IF($V346="","",IF($AA346&gt;N($AA345),$AA346,""))</f>
        <v/>
      </c>
      <c r="AA346">
        <f>IF($V346="",N($AA345),IF(MATCH($V346,$V$6:$V$6005,0)=ROW()-5,N($AA345)+1,N($AA345)))</f>
        <v/>
      </c>
    </row>
    <row r="347" ht="21" customHeight="1" s="66">
      <c r="A347" s="56" t="n"/>
      <c r="B347" s="57" t="n"/>
      <c r="C347" s="57" t="n"/>
      <c r="D347" s="57" t="n"/>
      <c r="E347" s="56" t="n"/>
      <c r="F347" s="57" t="n"/>
      <c r="G347" s="57" t="n"/>
      <c r="H347" s="56" t="n"/>
      <c r="I347" s="56" t="n"/>
      <c r="J347" s="58" t="n"/>
      <c r="K347" s="58" t="n"/>
      <c r="L347" s="13">
        <f>IF(OR($A347="",AND($J347="",$K347="")),"",ROUND(N($J347)-N($K347),2))</f>
        <v/>
      </c>
      <c r="M347" s="13">
        <f>IF(OR($A347="",AND($J347="",$K347="")),"",MIN($J347,$K347))</f>
        <v/>
      </c>
      <c r="Q347">
        <f>IF($A347="","",$D347&amp;"("&amp;SUBSTITUTE($E347," ","")&amp;")")</f>
        <v/>
      </c>
      <c r="R347">
        <f>IF($A347="","",$B347&amp;" - "&amp;$C347)</f>
        <v/>
      </c>
      <c r="S347">
        <f>IF($A347="","",$R347&amp;"|"&amp;$Q347)</f>
        <v/>
      </c>
      <c r="T347">
        <f>IF($A347="","",$S347&amp;"|"&amp;$F347)</f>
        <v/>
      </c>
      <c r="U347">
        <f>IF($A347="","",$R347&amp;"("&amp;$E347&amp;")")</f>
        <v/>
      </c>
      <c r="V347">
        <f>IF($A347="","",$F347&amp;"|"&amp;$U347&amp;"|"&amp;$D347)</f>
        <v/>
      </c>
      <c r="W347">
        <f>IF($T347="","",IF($X347&gt;N($X346),$X347,""))</f>
        <v/>
      </c>
      <c r="X347">
        <f>IF($T347="",N($X346),IF(MATCH($T347,$T$6:$T$6005,0)=ROW()-5,N($X346)+1,N($X346)))</f>
        <v/>
      </c>
      <c r="Z347">
        <f>IF($V347="","",IF($AA347&gt;N($AA346),$AA347,""))</f>
        <v/>
      </c>
      <c r="AA347">
        <f>IF($V347="",N($AA346),IF(MATCH($V347,$V$6:$V$6005,0)=ROW()-5,N($AA346)+1,N($AA346)))</f>
        <v/>
      </c>
    </row>
    <row r="348" ht="21" customHeight="1" s="66">
      <c r="A348" s="56" t="n"/>
      <c r="B348" s="57" t="n"/>
      <c r="C348" s="57" t="n"/>
      <c r="D348" s="57" t="n"/>
      <c r="E348" s="56" t="n"/>
      <c r="F348" s="57" t="n"/>
      <c r="G348" s="57" t="n"/>
      <c r="H348" s="56" t="n"/>
      <c r="I348" s="56" t="n"/>
      <c r="J348" s="58" t="n"/>
      <c r="K348" s="58" t="n"/>
      <c r="L348" s="13">
        <f>IF(OR($A348="",AND($J348="",$K348="")),"",ROUND(N($J348)-N($K348),2))</f>
        <v/>
      </c>
      <c r="M348" s="13">
        <f>IF(OR($A348="",AND($J348="",$K348="")),"",MIN($J348,$K348))</f>
        <v/>
      </c>
      <c r="Q348">
        <f>IF($A348="","",$D348&amp;"("&amp;SUBSTITUTE($E348," ","")&amp;")")</f>
        <v/>
      </c>
      <c r="R348">
        <f>IF($A348="","",$B348&amp;" - "&amp;$C348)</f>
        <v/>
      </c>
      <c r="S348">
        <f>IF($A348="","",$R348&amp;"|"&amp;$Q348)</f>
        <v/>
      </c>
      <c r="T348">
        <f>IF($A348="","",$S348&amp;"|"&amp;$F348)</f>
        <v/>
      </c>
      <c r="U348">
        <f>IF($A348="","",$R348&amp;"("&amp;$E348&amp;")")</f>
        <v/>
      </c>
      <c r="V348">
        <f>IF($A348="","",$F348&amp;"|"&amp;$U348&amp;"|"&amp;$D348)</f>
        <v/>
      </c>
      <c r="W348">
        <f>IF($T348="","",IF($X348&gt;N($X347),$X348,""))</f>
        <v/>
      </c>
      <c r="X348">
        <f>IF($T348="",N($X347),IF(MATCH($T348,$T$6:$T$6005,0)=ROW()-5,N($X347)+1,N($X347)))</f>
        <v/>
      </c>
      <c r="Z348">
        <f>IF($V348="","",IF($AA348&gt;N($AA347),$AA348,""))</f>
        <v/>
      </c>
      <c r="AA348">
        <f>IF($V348="",N($AA347),IF(MATCH($V348,$V$6:$V$6005,0)=ROW()-5,N($AA347)+1,N($AA347)))</f>
        <v/>
      </c>
    </row>
    <row r="349" ht="21" customHeight="1" s="66">
      <c r="A349" s="56" t="n"/>
      <c r="B349" s="57" t="n"/>
      <c r="C349" s="57" t="n"/>
      <c r="D349" s="57" t="n"/>
      <c r="E349" s="56" t="n"/>
      <c r="F349" s="57" t="n"/>
      <c r="G349" s="57" t="n"/>
      <c r="H349" s="56" t="n"/>
      <c r="I349" s="56" t="n"/>
      <c r="J349" s="58" t="n"/>
      <c r="K349" s="58" t="n"/>
      <c r="L349" s="13">
        <f>IF(OR($A349="",AND($J349="",$K349="")),"",ROUND(N($J349)-N($K349),2))</f>
        <v/>
      </c>
      <c r="M349" s="13">
        <f>IF(OR($A349="",AND($J349="",$K349="")),"",MIN($J349,$K349))</f>
        <v/>
      </c>
      <c r="Q349">
        <f>IF($A349="","",$D349&amp;"("&amp;SUBSTITUTE($E349," ","")&amp;")")</f>
        <v/>
      </c>
      <c r="R349">
        <f>IF($A349="","",$B349&amp;" - "&amp;$C349)</f>
        <v/>
      </c>
      <c r="S349">
        <f>IF($A349="","",$R349&amp;"|"&amp;$Q349)</f>
        <v/>
      </c>
      <c r="T349">
        <f>IF($A349="","",$S349&amp;"|"&amp;$F349)</f>
        <v/>
      </c>
      <c r="U349">
        <f>IF($A349="","",$R349&amp;"("&amp;$E349&amp;")")</f>
        <v/>
      </c>
      <c r="V349">
        <f>IF($A349="","",$F349&amp;"|"&amp;$U349&amp;"|"&amp;$D349)</f>
        <v/>
      </c>
      <c r="W349">
        <f>IF($T349="","",IF($X349&gt;N($X348),$X349,""))</f>
        <v/>
      </c>
      <c r="X349">
        <f>IF($T349="",N($X348),IF(MATCH($T349,$T$6:$T$6005,0)=ROW()-5,N($X348)+1,N($X348)))</f>
        <v/>
      </c>
      <c r="Z349">
        <f>IF($V349="","",IF($AA349&gt;N($AA348),$AA349,""))</f>
        <v/>
      </c>
      <c r="AA349">
        <f>IF($V349="",N($AA348),IF(MATCH($V349,$V$6:$V$6005,0)=ROW()-5,N($AA348)+1,N($AA348)))</f>
        <v/>
      </c>
    </row>
    <row r="350" ht="21" customHeight="1" s="66">
      <c r="A350" s="56" t="n"/>
      <c r="B350" s="57" t="n"/>
      <c r="C350" s="57" t="n"/>
      <c r="D350" s="57" t="n"/>
      <c r="E350" s="56" t="n"/>
      <c r="F350" s="57" t="n"/>
      <c r="G350" s="57" t="n"/>
      <c r="H350" s="56" t="n"/>
      <c r="I350" s="56" t="n"/>
      <c r="J350" s="58" t="n"/>
      <c r="K350" s="58" t="n"/>
      <c r="L350" s="13">
        <f>IF(OR($A350="",AND($J350="",$K350="")),"",ROUND(N($J350)-N($K350),2))</f>
        <v/>
      </c>
      <c r="M350" s="13">
        <f>IF(OR($A350="",AND($J350="",$K350="")),"",MIN($J350,$K350))</f>
        <v/>
      </c>
      <c r="Q350">
        <f>IF($A350="","",$D350&amp;"("&amp;SUBSTITUTE($E350," ","")&amp;")")</f>
        <v/>
      </c>
      <c r="R350">
        <f>IF($A350="","",$B350&amp;" - "&amp;$C350)</f>
        <v/>
      </c>
      <c r="S350">
        <f>IF($A350="","",$R350&amp;"|"&amp;$Q350)</f>
        <v/>
      </c>
      <c r="T350">
        <f>IF($A350="","",$S350&amp;"|"&amp;$F350)</f>
        <v/>
      </c>
      <c r="U350">
        <f>IF($A350="","",$R350&amp;"("&amp;$E350&amp;")")</f>
        <v/>
      </c>
      <c r="V350">
        <f>IF($A350="","",$F350&amp;"|"&amp;$U350&amp;"|"&amp;$D350)</f>
        <v/>
      </c>
      <c r="W350">
        <f>IF($T350="","",IF($X350&gt;N($X349),$X350,""))</f>
        <v/>
      </c>
      <c r="X350">
        <f>IF($T350="",N($X349),IF(MATCH($T350,$T$6:$T$6005,0)=ROW()-5,N($X349)+1,N($X349)))</f>
        <v/>
      </c>
      <c r="Z350">
        <f>IF($V350="","",IF($AA350&gt;N($AA349),$AA350,""))</f>
        <v/>
      </c>
      <c r="AA350">
        <f>IF($V350="",N($AA349),IF(MATCH($V350,$V$6:$V$6005,0)=ROW()-5,N($AA349)+1,N($AA349)))</f>
        <v/>
      </c>
    </row>
    <row r="351" ht="21" customHeight="1" s="66">
      <c r="A351" s="56" t="n"/>
      <c r="B351" s="57" t="n"/>
      <c r="C351" s="57" t="n"/>
      <c r="D351" s="57" t="n"/>
      <c r="E351" s="56" t="n"/>
      <c r="F351" s="57" t="n"/>
      <c r="G351" s="57" t="n"/>
      <c r="H351" s="56" t="n"/>
      <c r="I351" s="56" t="n"/>
      <c r="J351" s="58" t="n"/>
      <c r="K351" s="58" t="n"/>
      <c r="L351" s="13">
        <f>IF(OR($A351="",AND($J351="",$K351="")),"",ROUND(N($J351)-N($K351),2))</f>
        <v/>
      </c>
      <c r="M351" s="13">
        <f>IF(OR($A351="",AND($J351="",$K351="")),"",MIN($J351,$K351))</f>
        <v/>
      </c>
      <c r="Q351">
        <f>IF($A351="","",$D351&amp;"("&amp;SUBSTITUTE($E351," ","")&amp;")")</f>
        <v/>
      </c>
      <c r="R351">
        <f>IF($A351="","",$B351&amp;" - "&amp;$C351)</f>
        <v/>
      </c>
      <c r="S351">
        <f>IF($A351="","",$R351&amp;"|"&amp;$Q351)</f>
        <v/>
      </c>
      <c r="T351">
        <f>IF($A351="","",$S351&amp;"|"&amp;$F351)</f>
        <v/>
      </c>
      <c r="U351">
        <f>IF($A351="","",$R351&amp;"("&amp;$E351&amp;")")</f>
        <v/>
      </c>
      <c r="V351">
        <f>IF($A351="","",$F351&amp;"|"&amp;$U351&amp;"|"&amp;$D351)</f>
        <v/>
      </c>
      <c r="W351">
        <f>IF($T351="","",IF($X351&gt;N($X350),$X351,""))</f>
        <v/>
      </c>
      <c r="X351">
        <f>IF($T351="",N($X350),IF(MATCH($T351,$T$6:$T$6005,0)=ROW()-5,N($X350)+1,N($X350)))</f>
        <v/>
      </c>
      <c r="Z351">
        <f>IF($V351="","",IF($AA351&gt;N($AA350),$AA351,""))</f>
        <v/>
      </c>
      <c r="AA351">
        <f>IF($V351="",N($AA350),IF(MATCH($V351,$V$6:$V$6005,0)=ROW()-5,N($AA350)+1,N($AA350)))</f>
        <v/>
      </c>
    </row>
    <row r="352" ht="21" customHeight="1" s="66">
      <c r="A352" s="56" t="n"/>
      <c r="B352" s="57" t="n"/>
      <c r="C352" s="57" t="n"/>
      <c r="D352" s="57" t="n"/>
      <c r="E352" s="56" t="n"/>
      <c r="F352" s="57" t="n"/>
      <c r="G352" s="57" t="n"/>
      <c r="H352" s="56" t="n"/>
      <c r="I352" s="56" t="n"/>
      <c r="J352" s="58" t="n"/>
      <c r="K352" s="58" t="n"/>
      <c r="L352" s="13">
        <f>IF(OR($A352="",AND($J352="",$K352="")),"",ROUND(N($J352)-N($K352),2))</f>
        <v/>
      </c>
      <c r="M352" s="13">
        <f>IF(OR($A352="",AND($J352="",$K352="")),"",MIN($J352,$K352))</f>
        <v/>
      </c>
      <c r="Q352">
        <f>IF($A352="","",$D352&amp;"("&amp;SUBSTITUTE($E352," ","")&amp;")")</f>
        <v/>
      </c>
      <c r="R352">
        <f>IF($A352="","",$B352&amp;" - "&amp;$C352)</f>
        <v/>
      </c>
      <c r="S352">
        <f>IF($A352="","",$R352&amp;"|"&amp;$Q352)</f>
        <v/>
      </c>
      <c r="T352">
        <f>IF($A352="","",$S352&amp;"|"&amp;$F352)</f>
        <v/>
      </c>
      <c r="U352">
        <f>IF($A352="","",$R352&amp;"("&amp;$E352&amp;")")</f>
        <v/>
      </c>
      <c r="V352">
        <f>IF($A352="","",$F352&amp;"|"&amp;$U352&amp;"|"&amp;$D352)</f>
        <v/>
      </c>
      <c r="W352">
        <f>IF($T352="","",IF($X352&gt;N($X351),$X352,""))</f>
        <v/>
      </c>
      <c r="X352">
        <f>IF($T352="",N($X351),IF(MATCH($T352,$T$6:$T$6005,0)=ROW()-5,N($X351)+1,N($X351)))</f>
        <v/>
      </c>
      <c r="Z352">
        <f>IF($V352="","",IF($AA352&gt;N($AA351),$AA352,""))</f>
        <v/>
      </c>
      <c r="AA352">
        <f>IF($V352="",N($AA351),IF(MATCH($V352,$V$6:$V$6005,0)=ROW()-5,N($AA351)+1,N($AA351)))</f>
        <v/>
      </c>
    </row>
    <row r="353" ht="21" customHeight="1" s="66">
      <c r="A353" s="56" t="n"/>
      <c r="B353" s="57" t="n"/>
      <c r="C353" s="57" t="n"/>
      <c r="D353" s="57" t="n"/>
      <c r="E353" s="56" t="n"/>
      <c r="F353" s="57" t="n"/>
      <c r="G353" s="57" t="n"/>
      <c r="H353" s="56" t="n"/>
      <c r="I353" s="56" t="n"/>
      <c r="J353" s="58" t="n"/>
      <c r="K353" s="58" t="n"/>
      <c r="L353" s="13">
        <f>IF(OR($A353="",AND($J353="",$K353="")),"",ROUND(N($J353)-N($K353),2))</f>
        <v/>
      </c>
      <c r="M353" s="13">
        <f>IF(OR($A353="",AND($J353="",$K353="")),"",MIN($J353,$K353))</f>
        <v/>
      </c>
      <c r="Q353">
        <f>IF($A353="","",$D353&amp;"("&amp;SUBSTITUTE($E353," ","")&amp;")")</f>
        <v/>
      </c>
      <c r="R353">
        <f>IF($A353="","",$B353&amp;" - "&amp;$C353)</f>
        <v/>
      </c>
      <c r="S353">
        <f>IF($A353="","",$R353&amp;"|"&amp;$Q353)</f>
        <v/>
      </c>
      <c r="T353">
        <f>IF($A353="","",$S353&amp;"|"&amp;$F353)</f>
        <v/>
      </c>
      <c r="U353">
        <f>IF($A353="","",$R353&amp;"("&amp;$E353&amp;")")</f>
        <v/>
      </c>
      <c r="V353">
        <f>IF($A353="","",$F353&amp;"|"&amp;$U353&amp;"|"&amp;$D353)</f>
        <v/>
      </c>
      <c r="W353">
        <f>IF($T353="","",IF($X353&gt;N($X352),$X353,""))</f>
        <v/>
      </c>
      <c r="X353">
        <f>IF($T353="",N($X352),IF(MATCH($T353,$T$6:$T$6005,0)=ROW()-5,N($X352)+1,N($X352)))</f>
        <v/>
      </c>
      <c r="Z353">
        <f>IF($V353="","",IF($AA353&gt;N($AA352),$AA353,""))</f>
        <v/>
      </c>
      <c r="AA353">
        <f>IF($V353="",N($AA352),IF(MATCH($V353,$V$6:$V$6005,0)=ROW()-5,N($AA352)+1,N($AA352)))</f>
        <v/>
      </c>
    </row>
    <row r="354" ht="21" customHeight="1" s="66">
      <c r="A354" s="56" t="n"/>
      <c r="B354" s="57" t="n"/>
      <c r="C354" s="57" t="n"/>
      <c r="D354" s="57" t="n"/>
      <c r="E354" s="56" t="n"/>
      <c r="F354" s="57" t="n"/>
      <c r="G354" s="57" t="n"/>
      <c r="H354" s="56" t="n"/>
      <c r="I354" s="56" t="n"/>
      <c r="J354" s="58" t="n"/>
      <c r="K354" s="58" t="n"/>
      <c r="L354" s="13">
        <f>IF(OR($A354="",AND($J354="",$K354="")),"",ROUND(N($J354)-N($K354),2))</f>
        <v/>
      </c>
      <c r="M354" s="13">
        <f>IF(OR($A354="",AND($J354="",$K354="")),"",MIN($J354,$K354))</f>
        <v/>
      </c>
      <c r="Q354">
        <f>IF($A354="","",$D354&amp;"("&amp;SUBSTITUTE($E354," ","")&amp;")")</f>
        <v/>
      </c>
      <c r="R354">
        <f>IF($A354="","",$B354&amp;" - "&amp;$C354)</f>
        <v/>
      </c>
      <c r="S354">
        <f>IF($A354="","",$R354&amp;"|"&amp;$Q354)</f>
        <v/>
      </c>
      <c r="T354">
        <f>IF($A354="","",$S354&amp;"|"&amp;$F354)</f>
        <v/>
      </c>
      <c r="U354">
        <f>IF($A354="","",$R354&amp;"("&amp;$E354&amp;")")</f>
        <v/>
      </c>
      <c r="V354">
        <f>IF($A354="","",$F354&amp;"|"&amp;$U354&amp;"|"&amp;$D354)</f>
        <v/>
      </c>
      <c r="W354">
        <f>IF($T354="","",IF($X354&gt;N($X353),$X354,""))</f>
        <v/>
      </c>
      <c r="X354">
        <f>IF($T354="",N($X353),IF(MATCH($T354,$T$6:$T$6005,0)=ROW()-5,N($X353)+1,N($X353)))</f>
        <v/>
      </c>
      <c r="Z354">
        <f>IF($V354="","",IF($AA354&gt;N($AA353),$AA354,""))</f>
        <v/>
      </c>
      <c r="AA354">
        <f>IF($V354="",N($AA353),IF(MATCH($V354,$V$6:$V$6005,0)=ROW()-5,N($AA353)+1,N($AA353)))</f>
        <v/>
      </c>
    </row>
    <row r="355" ht="21" customHeight="1" s="66">
      <c r="A355" s="56" t="n"/>
      <c r="B355" s="57" t="n"/>
      <c r="C355" s="57" t="n"/>
      <c r="D355" s="57" t="n"/>
      <c r="E355" s="56" t="n"/>
      <c r="F355" s="57" t="n"/>
      <c r="G355" s="57" t="n"/>
      <c r="H355" s="56" t="n"/>
      <c r="I355" s="56" t="n"/>
      <c r="J355" s="58" t="n"/>
      <c r="K355" s="58" t="n"/>
      <c r="L355" s="13">
        <f>IF(OR($A355="",AND($J355="",$K355="")),"",ROUND(N($J355)-N($K355),2))</f>
        <v/>
      </c>
      <c r="M355" s="13">
        <f>IF(OR($A355="",AND($J355="",$K355="")),"",MIN($J355,$K355))</f>
        <v/>
      </c>
      <c r="Q355">
        <f>IF($A355="","",$D355&amp;"("&amp;SUBSTITUTE($E355," ","")&amp;")")</f>
        <v/>
      </c>
      <c r="R355">
        <f>IF($A355="","",$B355&amp;" - "&amp;$C355)</f>
        <v/>
      </c>
      <c r="S355">
        <f>IF($A355="","",$R355&amp;"|"&amp;$Q355)</f>
        <v/>
      </c>
      <c r="T355">
        <f>IF($A355="","",$S355&amp;"|"&amp;$F355)</f>
        <v/>
      </c>
      <c r="U355">
        <f>IF($A355="","",$R355&amp;"("&amp;$E355&amp;")")</f>
        <v/>
      </c>
      <c r="V355">
        <f>IF($A355="","",$F355&amp;"|"&amp;$U355&amp;"|"&amp;$D355)</f>
        <v/>
      </c>
      <c r="W355">
        <f>IF($T355="","",IF($X355&gt;N($X354),$X355,""))</f>
        <v/>
      </c>
      <c r="X355">
        <f>IF($T355="",N($X354),IF(MATCH($T355,$T$6:$T$6005,0)=ROW()-5,N($X354)+1,N($X354)))</f>
        <v/>
      </c>
      <c r="Z355">
        <f>IF($V355="","",IF($AA355&gt;N($AA354),$AA355,""))</f>
        <v/>
      </c>
      <c r="AA355">
        <f>IF($V355="",N($AA354),IF(MATCH($V355,$V$6:$V$6005,0)=ROW()-5,N($AA354)+1,N($AA354)))</f>
        <v/>
      </c>
    </row>
    <row r="356" ht="21" customHeight="1" s="66">
      <c r="A356" s="56" t="n"/>
      <c r="B356" s="57" t="n"/>
      <c r="C356" s="57" t="n"/>
      <c r="D356" s="57" t="n"/>
      <c r="E356" s="56" t="n"/>
      <c r="F356" s="57" t="n"/>
      <c r="G356" s="57" t="n"/>
      <c r="H356" s="56" t="n"/>
      <c r="I356" s="56" t="n"/>
      <c r="J356" s="58" t="n"/>
      <c r="K356" s="58" t="n"/>
      <c r="L356" s="13">
        <f>IF(OR($A356="",AND($J356="",$K356="")),"",ROUND(N($J356)-N($K356),2))</f>
        <v/>
      </c>
      <c r="M356" s="13">
        <f>IF(OR($A356="",AND($J356="",$K356="")),"",MIN($J356,$K356))</f>
        <v/>
      </c>
      <c r="Q356">
        <f>IF($A356="","",$D356&amp;"("&amp;SUBSTITUTE($E356," ","")&amp;")")</f>
        <v/>
      </c>
      <c r="R356">
        <f>IF($A356="","",$B356&amp;" - "&amp;$C356)</f>
        <v/>
      </c>
      <c r="S356">
        <f>IF($A356="","",$R356&amp;"|"&amp;$Q356)</f>
        <v/>
      </c>
      <c r="T356">
        <f>IF($A356="","",$S356&amp;"|"&amp;$F356)</f>
        <v/>
      </c>
      <c r="U356">
        <f>IF($A356="","",$R356&amp;"("&amp;$E356&amp;")")</f>
        <v/>
      </c>
      <c r="V356">
        <f>IF($A356="","",$F356&amp;"|"&amp;$U356&amp;"|"&amp;$D356)</f>
        <v/>
      </c>
      <c r="W356">
        <f>IF($T356="","",IF($X356&gt;N($X355),$X356,""))</f>
        <v/>
      </c>
      <c r="X356">
        <f>IF($T356="",N($X355),IF(MATCH($T356,$T$6:$T$6005,0)=ROW()-5,N($X355)+1,N($X355)))</f>
        <v/>
      </c>
      <c r="Z356">
        <f>IF($V356="","",IF($AA356&gt;N($AA355),$AA356,""))</f>
        <v/>
      </c>
      <c r="AA356">
        <f>IF($V356="",N($AA355),IF(MATCH($V356,$V$6:$V$6005,0)=ROW()-5,N($AA355)+1,N($AA355)))</f>
        <v/>
      </c>
    </row>
    <row r="357" ht="21" customHeight="1" s="66">
      <c r="A357" s="56" t="n"/>
      <c r="B357" s="57" t="n"/>
      <c r="C357" s="57" t="n"/>
      <c r="D357" s="57" t="n"/>
      <c r="E357" s="56" t="n"/>
      <c r="F357" s="57" t="n"/>
      <c r="G357" s="57" t="n"/>
      <c r="H357" s="56" t="n"/>
      <c r="I357" s="56" t="n"/>
      <c r="J357" s="58" t="n"/>
      <c r="K357" s="58" t="n"/>
      <c r="L357" s="13">
        <f>IF(OR($A357="",AND($J357="",$K357="")),"",ROUND(N($J357)-N($K357),2))</f>
        <v/>
      </c>
      <c r="M357" s="13">
        <f>IF(OR($A357="",AND($J357="",$K357="")),"",MIN($J357,$K357))</f>
        <v/>
      </c>
      <c r="Q357">
        <f>IF($A357="","",$D357&amp;"("&amp;SUBSTITUTE($E357," ","")&amp;")")</f>
        <v/>
      </c>
      <c r="R357">
        <f>IF($A357="","",$B357&amp;" - "&amp;$C357)</f>
        <v/>
      </c>
      <c r="S357">
        <f>IF($A357="","",$R357&amp;"|"&amp;$Q357)</f>
        <v/>
      </c>
      <c r="T357">
        <f>IF($A357="","",$S357&amp;"|"&amp;$F357)</f>
        <v/>
      </c>
      <c r="U357">
        <f>IF($A357="","",$R357&amp;"("&amp;$E357&amp;")")</f>
        <v/>
      </c>
      <c r="V357">
        <f>IF($A357="","",$F357&amp;"|"&amp;$U357&amp;"|"&amp;$D357)</f>
        <v/>
      </c>
      <c r="W357">
        <f>IF($T357="","",IF($X357&gt;N($X356),$X357,""))</f>
        <v/>
      </c>
      <c r="X357">
        <f>IF($T357="",N($X356),IF(MATCH($T357,$T$6:$T$6005,0)=ROW()-5,N($X356)+1,N($X356)))</f>
        <v/>
      </c>
      <c r="Z357">
        <f>IF($V357="","",IF($AA357&gt;N($AA356),$AA357,""))</f>
        <v/>
      </c>
      <c r="AA357">
        <f>IF($V357="",N($AA356),IF(MATCH($V357,$V$6:$V$6005,0)=ROW()-5,N($AA356)+1,N($AA356)))</f>
        <v/>
      </c>
    </row>
    <row r="358" ht="21" customHeight="1" s="66">
      <c r="A358" s="56" t="n"/>
      <c r="B358" s="57" t="n"/>
      <c r="C358" s="57" t="n"/>
      <c r="D358" s="57" t="n"/>
      <c r="E358" s="56" t="n"/>
      <c r="F358" s="57" t="n"/>
      <c r="G358" s="57" t="n"/>
      <c r="H358" s="56" t="n"/>
      <c r="I358" s="56" t="n"/>
      <c r="J358" s="58" t="n"/>
      <c r="K358" s="58" t="n"/>
      <c r="L358" s="13">
        <f>IF(OR($A358="",AND($J358="",$K358="")),"",ROUND(N($J358)-N($K358),2))</f>
        <v/>
      </c>
      <c r="M358" s="13">
        <f>IF(OR($A358="",AND($J358="",$K358="")),"",MIN($J358,$K358))</f>
        <v/>
      </c>
      <c r="Q358">
        <f>IF($A358="","",$D358&amp;"("&amp;SUBSTITUTE($E358," ","")&amp;")")</f>
        <v/>
      </c>
      <c r="R358">
        <f>IF($A358="","",$B358&amp;" - "&amp;$C358)</f>
        <v/>
      </c>
      <c r="S358">
        <f>IF($A358="","",$R358&amp;"|"&amp;$Q358)</f>
        <v/>
      </c>
      <c r="T358">
        <f>IF($A358="","",$S358&amp;"|"&amp;$F358)</f>
        <v/>
      </c>
      <c r="U358">
        <f>IF($A358="","",$R358&amp;"("&amp;$E358&amp;")")</f>
        <v/>
      </c>
      <c r="V358">
        <f>IF($A358="","",$F358&amp;"|"&amp;$U358&amp;"|"&amp;$D358)</f>
        <v/>
      </c>
      <c r="W358">
        <f>IF($T358="","",IF($X358&gt;N($X357),$X358,""))</f>
        <v/>
      </c>
      <c r="X358">
        <f>IF($T358="",N($X357),IF(MATCH($T358,$T$6:$T$6005,0)=ROW()-5,N($X357)+1,N($X357)))</f>
        <v/>
      </c>
      <c r="Z358">
        <f>IF($V358="","",IF($AA358&gt;N($AA357),$AA358,""))</f>
        <v/>
      </c>
      <c r="AA358">
        <f>IF($V358="",N($AA357),IF(MATCH($V358,$V$6:$V$6005,0)=ROW()-5,N($AA357)+1,N($AA357)))</f>
        <v/>
      </c>
    </row>
    <row r="359" ht="21" customHeight="1" s="66">
      <c r="A359" s="56" t="n"/>
      <c r="B359" s="57" t="n"/>
      <c r="C359" s="57" t="n"/>
      <c r="D359" s="57" t="n"/>
      <c r="E359" s="56" t="n"/>
      <c r="F359" s="57" t="n"/>
      <c r="G359" s="57" t="n"/>
      <c r="H359" s="56" t="n"/>
      <c r="I359" s="56" t="n"/>
      <c r="J359" s="58" t="n"/>
      <c r="K359" s="58" t="n"/>
      <c r="L359" s="13">
        <f>IF(OR($A359="",AND($J359="",$K359="")),"",ROUND(N($J359)-N($K359),2))</f>
        <v/>
      </c>
      <c r="M359" s="13">
        <f>IF(OR($A359="",AND($J359="",$K359="")),"",MIN($J359,$K359))</f>
        <v/>
      </c>
      <c r="Q359">
        <f>IF($A359="","",$D359&amp;"("&amp;SUBSTITUTE($E359," ","")&amp;")")</f>
        <v/>
      </c>
      <c r="R359">
        <f>IF($A359="","",$B359&amp;" - "&amp;$C359)</f>
        <v/>
      </c>
      <c r="S359">
        <f>IF($A359="","",$R359&amp;"|"&amp;$Q359)</f>
        <v/>
      </c>
      <c r="T359">
        <f>IF($A359="","",$S359&amp;"|"&amp;$F359)</f>
        <v/>
      </c>
      <c r="U359">
        <f>IF($A359="","",$R359&amp;"("&amp;$E359&amp;")")</f>
        <v/>
      </c>
      <c r="V359">
        <f>IF($A359="","",$F359&amp;"|"&amp;$U359&amp;"|"&amp;$D359)</f>
        <v/>
      </c>
      <c r="W359">
        <f>IF($T359="","",IF($X359&gt;N($X358),$X359,""))</f>
        <v/>
      </c>
      <c r="X359">
        <f>IF($T359="",N($X358),IF(MATCH($T359,$T$6:$T$6005,0)=ROW()-5,N($X358)+1,N($X358)))</f>
        <v/>
      </c>
      <c r="Z359">
        <f>IF($V359="","",IF($AA359&gt;N($AA358),$AA359,""))</f>
        <v/>
      </c>
      <c r="AA359">
        <f>IF($V359="",N($AA358),IF(MATCH($V359,$V$6:$V$6005,0)=ROW()-5,N($AA358)+1,N($AA358)))</f>
        <v/>
      </c>
    </row>
    <row r="360" ht="21" customHeight="1" s="66">
      <c r="A360" s="56" t="n"/>
      <c r="B360" s="57" t="n"/>
      <c r="C360" s="57" t="n"/>
      <c r="D360" s="57" t="n"/>
      <c r="E360" s="56" t="n"/>
      <c r="F360" s="57" t="n"/>
      <c r="G360" s="57" t="n"/>
      <c r="H360" s="56" t="n"/>
      <c r="I360" s="56" t="n"/>
      <c r="J360" s="58" t="n"/>
      <c r="K360" s="58" t="n"/>
      <c r="L360" s="13">
        <f>IF(OR($A360="",AND($J360="",$K360="")),"",ROUND(N($J360)-N($K360),2))</f>
        <v/>
      </c>
      <c r="M360" s="13">
        <f>IF(OR($A360="",AND($J360="",$K360="")),"",MIN($J360,$K360))</f>
        <v/>
      </c>
      <c r="Q360">
        <f>IF($A360="","",$D360&amp;"("&amp;SUBSTITUTE($E360," ","")&amp;")")</f>
        <v/>
      </c>
      <c r="R360">
        <f>IF($A360="","",$B360&amp;" - "&amp;$C360)</f>
        <v/>
      </c>
      <c r="S360">
        <f>IF($A360="","",$R360&amp;"|"&amp;$Q360)</f>
        <v/>
      </c>
      <c r="T360">
        <f>IF($A360="","",$S360&amp;"|"&amp;$F360)</f>
        <v/>
      </c>
      <c r="U360">
        <f>IF($A360="","",$R360&amp;"("&amp;$E360&amp;")")</f>
        <v/>
      </c>
      <c r="V360">
        <f>IF($A360="","",$F360&amp;"|"&amp;$U360&amp;"|"&amp;$D360)</f>
        <v/>
      </c>
      <c r="W360">
        <f>IF($T360="","",IF($X360&gt;N($X359),$X360,""))</f>
        <v/>
      </c>
      <c r="X360">
        <f>IF($T360="",N($X359),IF(MATCH($T360,$T$6:$T$6005,0)=ROW()-5,N($X359)+1,N($X359)))</f>
        <v/>
      </c>
      <c r="Z360">
        <f>IF($V360="","",IF($AA360&gt;N($AA359),$AA360,""))</f>
        <v/>
      </c>
      <c r="AA360">
        <f>IF($V360="",N($AA359),IF(MATCH($V360,$V$6:$V$6005,0)=ROW()-5,N($AA359)+1,N($AA359)))</f>
        <v/>
      </c>
    </row>
    <row r="361" ht="21" customHeight="1" s="66">
      <c r="A361" s="56" t="n"/>
      <c r="B361" s="57" t="n"/>
      <c r="C361" s="57" t="n"/>
      <c r="D361" s="57" t="n"/>
      <c r="E361" s="56" t="n"/>
      <c r="F361" s="57" t="n"/>
      <c r="G361" s="57" t="n"/>
      <c r="H361" s="56" t="n"/>
      <c r="I361" s="56" t="n"/>
      <c r="J361" s="58" t="n"/>
      <c r="K361" s="58" t="n"/>
      <c r="L361" s="13">
        <f>IF(OR($A361="",AND($J361="",$K361="")),"",ROUND(N($J361)-N($K361),2))</f>
        <v/>
      </c>
      <c r="M361" s="13">
        <f>IF(OR($A361="",AND($J361="",$K361="")),"",MIN($J361,$K361))</f>
        <v/>
      </c>
      <c r="Q361">
        <f>IF($A361="","",$D361&amp;"("&amp;SUBSTITUTE($E361," ","")&amp;")")</f>
        <v/>
      </c>
      <c r="R361">
        <f>IF($A361="","",$B361&amp;" - "&amp;$C361)</f>
        <v/>
      </c>
      <c r="S361">
        <f>IF($A361="","",$R361&amp;"|"&amp;$Q361)</f>
        <v/>
      </c>
      <c r="T361">
        <f>IF($A361="","",$S361&amp;"|"&amp;$F361)</f>
        <v/>
      </c>
      <c r="U361">
        <f>IF($A361="","",$R361&amp;"("&amp;$E361&amp;")")</f>
        <v/>
      </c>
      <c r="V361">
        <f>IF($A361="","",$F361&amp;"|"&amp;$U361&amp;"|"&amp;$D361)</f>
        <v/>
      </c>
      <c r="W361">
        <f>IF($T361="","",IF($X361&gt;N($X360),$X361,""))</f>
        <v/>
      </c>
      <c r="X361">
        <f>IF($T361="",N($X360),IF(MATCH($T361,$T$6:$T$6005,0)=ROW()-5,N($X360)+1,N($X360)))</f>
        <v/>
      </c>
      <c r="Z361">
        <f>IF($V361="","",IF($AA361&gt;N($AA360),$AA361,""))</f>
        <v/>
      </c>
      <c r="AA361">
        <f>IF($V361="",N($AA360),IF(MATCH($V361,$V$6:$V$6005,0)=ROW()-5,N($AA360)+1,N($AA360)))</f>
        <v/>
      </c>
    </row>
    <row r="362" ht="21" customHeight="1" s="66">
      <c r="A362" s="56" t="n"/>
      <c r="B362" s="57" t="n"/>
      <c r="C362" s="57" t="n"/>
      <c r="D362" s="57" t="n"/>
      <c r="E362" s="56" t="n"/>
      <c r="F362" s="57" t="n"/>
      <c r="G362" s="57" t="n"/>
      <c r="H362" s="56" t="n"/>
      <c r="I362" s="56" t="n"/>
      <c r="J362" s="58" t="n"/>
      <c r="K362" s="58" t="n"/>
      <c r="L362" s="13">
        <f>IF(OR($A362="",AND($J362="",$K362="")),"",ROUND(N($J362)-N($K362),2))</f>
        <v/>
      </c>
      <c r="M362" s="13">
        <f>IF(OR($A362="",AND($J362="",$K362="")),"",MIN($J362,$K362))</f>
        <v/>
      </c>
      <c r="Q362">
        <f>IF($A362="","",$D362&amp;"("&amp;SUBSTITUTE($E362," ","")&amp;")")</f>
        <v/>
      </c>
      <c r="R362">
        <f>IF($A362="","",$B362&amp;" - "&amp;$C362)</f>
        <v/>
      </c>
      <c r="S362">
        <f>IF($A362="","",$R362&amp;"|"&amp;$Q362)</f>
        <v/>
      </c>
      <c r="T362">
        <f>IF($A362="","",$S362&amp;"|"&amp;$F362)</f>
        <v/>
      </c>
      <c r="U362">
        <f>IF($A362="","",$R362&amp;"("&amp;$E362&amp;")")</f>
        <v/>
      </c>
      <c r="V362">
        <f>IF($A362="","",$F362&amp;"|"&amp;$U362&amp;"|"&amp;$D362)</f>
        <v/>
      </c>
      <c r="W362">
        <f>IF($T362="","",IF($X362&gt;N($X361),$X362,""))</f>
        <v/>
      </c>
      <c r="X362">
        <f>IF($T362="",N($X361),IF(MATCH($T362,$T$6:$T$6005,0)=ROW()-5,N($X361)+1,N($X361)))</f>
        <v/>
      </c>
      <c r="Z362">
        <f>IF($V362="","",IF($AA362&gt;N($AA361),$AA362,""))</f>
        <v/>
      </c>
      <c r="AA362">
        <f>IF($V362="",N($AA361),IF(MATCH($V362,$V$6:$V$6005,0)=ROW()-5,N($AA361)+1,N($AA361)))</f>
        <v/>
      </c>
    </row>
    <row r="363" ht="21" customHeight="1" s="66">
      <c r="A363" s="56" t="n"/>
      <c r="B363" s="57" t="n"/>
      <c r="C363" s="57" t="n"/>
      <c r="D363" s="57" t="n"/>
      <c r="E363" s="56" t="n"/>
      <c r="F363" s="57" t="n"/>
      <c r="G363" s="57" t="n"/>
      <c r="H363" s="56" t="n"/>
      <c r="I363" s="56" t="n"/>
      <c r="J363" s="58" t="n"/>
      <c r="K363" s="58" t="n"/>
      <c r="L363" s="13">
        <f>IF(OR($A363="",AND($J363="",$K363="")),"",ROUND(N($J363)-N($K363),2))</f>
        <v/>
      </c>
      <c r="M363" s="13">
        <f>IF(OR($A363="",AND($J363="",$K363="")),"",MIN($J363,$K363))</f>
        <v/>
      </c>
      <c r="Q363">
        <f>IF($A363="","",$D363&amp;"("&amp;SUBSTITUTE($E363," ","")&amp;")")</f>
        <v/>
      </c>
      <c r="R363">
        <f>IF($A363="","",$B363&amp;" - "&amp;$C363)</f>
        <v/>
      </c>
      <c r="S363">
        <f>IF($A363="","",$R363&amp;"|"&amp;$Q363)</f>
        <v/>
      </c>
      <c r="T363">
        <f>IF($A363="","",$S363&amp;"|"&amp;$F363)</f>
        <v/>
      </c>
      <c r="U363">
        <f>IF($A363="","",$R363&amp;"("&amp;$E363&amp;")")</f>
        <v/>
      </c>
      <c r="V363">
        <f>IF($A363="","",$F363&amp;"|"&amp;$U363&amp;"|"&amp;$D363)</f>
        <v/>
      </c>
      <c r="W363">
        <f>IF($T363="","",IF($X363&gt;N($X362),$X363,""))</f>
        <v/>
      </c>
      <c r="X363">
        <f>IF($T363="",N($X362),IF(MATCH($T363,$T$6:$T$6005,0)=ROW()-5,N($X362)+1,N($X362)))</f>
        <v/>
      </c>
      <c r="Z363">
        <f>IF($V363="","",IF($AA363&gt;N($AA362),$AA363,""))</f>
        <v/>
      </c>
      <c r="AA363">
        <f>IF($V363="",N($AA362),IF(MATCH($V363,$V$6:$V$6005,0)=ROW()-5,N($AA362)+1,N($AA362)))</f>
        <v/>
      </c>
    </row>
    <row r="364" ht="21" customHeight="1" s="66">
      <c r="A364" s="56" t="n"/>
      <c r="B364" s="57" t="n"/>
      <c r="C364" s="57" t="n"/>
      <c r="D364" s="57" t="n"/>
      <c r="E364" s="56" t="n"/>
      <c r="F364" s="57" t="n"/>
      <c r="G364" s="57" t="n"/>
      <c r="H364" s="56" t="n"/>
      <c r="I364" s="56" t="n"/>
      <c r="J364" s="58" t="n"/>
      <c r="K364" s="58" t="n"/>
      <c r="L364" s="13">
        <f>IF(OR($A364="",AND($J364="",$K364="")),"",ROUND(N($J364)-N($K364),2))</f>
        <v/>
      </c>
      <c r="M364" s="13">
        <f>IF(OR($A364="",AND($J364="",$K364="")),"",MIN($J364,$K364))</f>
        <v/>
      </c>
      <c r="Q364">
        <f>IF($A364="","",$D364&amp;"("&amp;SUBSTITUTE($E364," ","")&amp;")")</f>
        <v/>
      </c>
      <c r="R364">
        <f>IF($A364="","",$B364&amp;" - "&amp;$C364)</f>
        <v/>
      </c>
      <c r="S364">
        <f>IF($A364="","",$R364&amp;"|"&amp;$Q364)</f>
        <v/>
      </c>
      <c r="T364">
        <f>IF($A364="","",$S364&amp;"|"&amp;$F364)</f>
        <v/>
      </c>
      <c r="U364">
        <f>IF($A364="","",$R364&amp;"("&amp;$E364&amp;")")</f>
        <v/>
      </c>
      <c r="V364">
        <f>IF($A364="","",$F364&amp;"|"&amp;$U364&amp;"|"&amp;$D364)</f>
        <v/>
      </c>
      <c r="W364">
        <f>IF($T364="","",IF($X364&gt;N($X363),$X364,""))</f>
        <v/>
      </c>
      <c r="X364">
        <f>IF($T364="",N($X363),IF(MATCH($T364,$T$6:$T$6005,0)=ROW()-5,N($X363)+1,N($X363)))</f>
        <v/>
      </c>
      <c r="Z364">
        <f>IF($V364="","",IF($AA364&gt;N($AA363),$AA364,""))</f>
        <v/>
      </c>
      <c r="AA364">
        <f>IF($V364="",N($AA363),IF(MATCH($V364,$V$6:$V$6005,0)=ROW()-5,N($AA363)+1,N($AA363)))</f>
        <v/>
      </c>
    </row>
    <row r="365" ht="21" customHeight="1" s="66">
      <c r="A365" s="56" t="n"/>
      <c r="B365" s="57" t="n"/>
      <c r="C365" s="57" t="n"/>
      <c r="D365" s="57" t="n"/>
      <c r="E365" s="56" t="n"/>
      <c r="F365" s="57" t="n"/>
      <c r="G365" s="57" t="n"/>
      <c r="H365" s="56" t="n"/>
      <c r="I365" s="56" t="n"/>
      <c r="J365" s="58" t="n"/>
      <c r="K365" s="58" t="n"/>
      <c r="L365" s="13">
        <f>IF(OR($A365="",AND($J365="",$K365="")),"",ROUND(N($J365)-N($K365),2))</f>
        <v/>
      </c>
      <c r="M365" s="13">
        <f>IF(OR($A365="",AND($J365="",$K365="")),"",MIN($J365,$K365))</f>
        <v/>
      </c>
      <c r="Q365">
        <f>IF($A365="","",$D365&amp;"("&amp;SUBSTITUTE($E365," ","")&amp;")")</f>
        <v/>
      </c>
      <c r="R365">
        <f>IF($A365="","",$B365&amp;" - "&amp;$C365)</f>
        <v/>
      </c>
      <c r="S365">
        <f>IF($A365="","",$R365&amp;"|"&amp;$Q365)</f>
        <v/>
      </c>
      <c r="T365">
        <f>IF($A365="","",$S365&amp;"|"&amp;$F365)</f>
        <v/>
      </c>
      <c r="U365">
        <f>IF($A365="","",$R365&amp;"("&amp;$E365&amp;")")</f>
        <v/>
      </c>
      <c r="V365">
        <f>IF($A365="","",$F365&amp;"|"&amp;$U365&amp;"|"&amp;$D365)</f>
        <v/>
      </c>
      <c r="W365">
        <f>IF($T365="","",IF($X365&gt;N($X364),$X365,""))</f>
        <v/>
      </c>
      <c r="X365">
        <f>IF($T365="",N($X364),IF(MATCH($T365,$T$6:$T$6005,0)=ROW()-5,N($X364)+1,N($X364)))</f>
        <v/>
      </c>
      <c r="Z365">
        <f>IF($V365="","",IF($AA365&gt;N($AA364),$AA365,""))</f>
        <v/>
      </c>
      <c r="AA365">
        <f>IF($V365="",N($AA364),IF(MATCH($V365,$V$6:$V$6005,0)=ROW()-5,N($AA364)+1,N($AA364)))</f>
        <v/>
      </c>
    </row>
    <row r="366" ht="21" customHeight="1" s="66">
      <c r="A366" s="56" t="n"/>
      <c r="B366" s="57" t="n"/>
      <c r="C366" s="57" t="n"/>
      <c r="D366" s="57" t="n"/>
      <c r="E366" s="56" t="n"/>
      <c r="F366" s="57" t="n"/>
      <c r="G366" s="57" t="n"/>
      <c r="H366" s="56" t="n"/>
      <c r="I366" s="56" t="n"/>
      <c r="J366" s="58" t="n"/>
      <c r="K366" s="58" t="n"/>
      <c r="L366" s="13">
        <f>IF(OR($A366="",AND($J366="",$K366="")),"",ROUND(N($J366)-N($K366),2))</f>
        <v/>
      </c>
      <c r="M366" s="13">
        <f>IF(OR($A366="",AND($J366="",$K366="")),"",MIN($J366,$K366))</f>
        <v/>
      </c>
      <c r="Q366">
        <f>IF($A366="","",$D366&amp;"("&amp;SUBSTITUTE($E366," ","")&amp;")")</f>
        <v/>
      </c>
      <c r="R366">
        <f>IF($A366="","",$B366&amp;" - "&amp;$C366)</f>
        <v/>
      </c>
      <c r="S366">
        <f>IF($A366="","",$R366&amp;"|"&amp;$Q366)</f>
        <v/>
      </c>
      <c r="T366">
        <f>IF($A366="","",$S366&amp;"|"&amp;$F366)</f>
        <v/>
      </c>
      <c r="U366">
        <f>IF($A366="","",$R366&amp;"("&amp;$E366&amp;")")</f>
        <v/>
      </c>
      <c r="V366">
        <f>IF($A366="","",$F366&amp;"|"&amp;$U366&amp;"|"&amp;$D366)</f>
        <v/>
      </c>
      <c r="W366">
        <f>IF($T366="","",IF($X366&gt;N($X365),$X366,""))</f>
        <v/>
      </c>
      <c r="X366">
        <f>IF($T366="",N($X365),IF(MATCH($T366,$T$6:$T$6005,0)=ROW()-5,N($X365)+1,N($X365)))</f>
        <v/>
      </c>
      <c r="Z366">
        <f>IF($V366="","",IF($AA366&gt;N($AA365),$AA366,""))</f>
        <v/>
      </c>
      <c r="AA366">
        <f>IF($V366="",N($AA365),IF(MATCH($V366,$V$6:$V$6005,0)=ROW()-5,N($AA365)+1,N($AA365)))</f>
        <v/>
      </c>
    </row>
    <row r="367" ht="21" customHeight="1" s="66">
      <c r="A367" s="56" t="n"/>
      <c r="B367" s="57" t="n"/>
      <c r="C367" s="57" t="n"/>
      <c r="D367" s="57" t="n"/>
      <c r="E367" s="56" t="n"/>
      <c r="F367" s="57" t="n"/>
      <c r="G367" s="57" t="n"/>
      <c r="H367" s="56" t="n"/>
      <c r="I367" s="56" t="n"/>
      <c r="J367" s="58" t="n"/>
      <c r="K367" s="58" t="n"/>
      <c r="L367" s="13">
        <f>IF(OR($A367="",AND($J367="",$K367="")),"",ROUND(N($J367)-N($K367),2))</f>
        <v/>
      </c>
      <c r="M367" s="13">
        <f>IF(OR($A367="",AND($J367="",$K367="")),"",MIN($J367,$K367))</f>
        <v/>
      </c>
      <c r="Q367">
        <f>IF($A367="","",$D367&amp;"("&amp;SUBSTITUTE($E367," ","")&amp;")")</f>
        <v/>
      </c>
      <c r="R367">
        <f>IF($A367="","",$B367&amp;" - "&amp;$C367)</f>
        <v/>
      </c>
      <c r="S367">
        <f>IF($A367="","",$R367&amp;"|"&amp;$Q367)</f>
        <v/>
      </c>
      <c r="T367">
        <f>IF($A367="","",$S367&amp;"|"&amp;$F367)</f>
        <v/>
      </c>
      <c r="U367">
        <f>IF($A367="","",$R367&amp;"("&amp;$E367&amp;")")</f>
        <v/>
      </c>
      <c r="V367">
        <f>IF($A367="","",$F367&amp;"|"&amp;$U367&amp;"|"&amp;$D367)</f>
        <v/>
      </c>
      <c r="W367">
        <f>IF($T367="","",IF($X367&gt;N($X366),$X367,""))</f>
        <v/>
      </c>
      <c r="X367">
        <f>IF($T367="",N($X366),IF(MATCH($T367,$T$6:$T$6005,0)=ROW()-5,N($X366)+1,N($X366)))</f>
        <v/>
      </c>
      <c r="Z367">
        <f>IF($V367="","",IF($AA367&gt;N($AA366),$AA367,""))</f>
        <v/>
      </c>
      <c r="AA367">
        <f>IF($V367="",N($AA366),IF(MATCH($V367,$V$6:$V$6005,0)=ROW()-5,N($AA366)+1,N($AA366)))</f>
        <v/>
      </c>
    </row>
    <row r="368" ht="21" customHeight="1" s="66">
      <c r="A368" s="56" t="n"/>
      <c r="B368" s="57" t="n"/>
      <c r="C368" s="57" t="n"/>
      <c r="D368" s="57" t="n"/>
      <c r="E368" s="56" t="n"/>
      <c r="F368" s="57" t="n"/>
      <c r="G368" s="57" t="n"/>
      <c r="H368" s="56" t="n"/>
      <c r="I368" s="56" t="n"/>
      <c r="J368" s="58" t="n"/>
      <c r="K368" s="58" t="n"/>
      <c r="L368" s="13">
        <f>IF(OR($A368="",AND($J368="",$K368="")),"",ROUND(N($J368)-N($K368),2))</f>
        <v/>
      </c>
      <c r="M368" s="13">
        <f>IF(OR($A368="",AND($J368="",$K368="")),"",MIN($J368,$K368))</f>
        <v/>
      </c>
      <c r="Q368">
        <f>IF($A368="","",$D368&amp;"("&amp;SUBSTITUTE($E368," ","")&amp;")")</f>
        <v/>
      </c>
      <c r="R368">
        <f>IF($A368="","",$B368&amp;" - "&amp;$C368)</f>
        <v/>
      </c>
      <c r="S368">
        <f>IF($A368="","",$R368&amp;"|"&amp;$Q368)</f>
        <v/>
      </c>
      <c r="T368">
        <f>IF($A368="","",$S368&amp;"|"&amp;$F368)</f>
        <v/>
      </c>
      <c r="U368">
        <f>IF($A368="","",$R368&amp;"("&amp;$E368&amp;")")</f>
        <v/>
      </c>
      <c r="V368">
        <f>IF($A368="","",$F368&amp;"|"&amp;$U368&amp;"|"&amp;$D368)</f>
        <v/>
      </c>
      <c r="W368">
        <f>IF($T368="","",IF($X368&gt;N($X367),$X368,""))</f>
        <v/>
      </c>
      <c r="X368">
        <f>IF($T368="",N($X367),IF(MATCH($T368,$T$6:$T$6005,0)=ROW()-5,N($X367)+1,N($X367)))</f>
        <v/>
      </c>
      <c r="Z368">
        <f>IF($V368="","",IF($AA368&gt;N($AA367),$AA368,""))</f>
        <v/>
      </c>
      <c r="AA368">
        <f>IF($V368="",N($AA367),IF(MATCH($V368,$V$6:$V$6005,0)=ROW()-5,N($AA367)+1,N($AA367)))</f>
        <v/>
      </c>
    </row>
    <row r="369" ht="21" customHeight="1" s="66">
      <c r="A369" s="56" t="n"/>
      <c r="B369" s="57" t="n"/>
      <c r="C369" s="57" t="n"/>
      <c r="D369" s="57" t="n"/>
      <c r="E369" s="56" t="n"/>
      <c r="F369" s="57" t="n"/>
      <c r="G369" s="57" t="n"/>
      <c r="H369" s="56" t="n"/>
      <c r="I369" s="56" t="n"/>
      <c r="J369" s="58" t="n"/>
      <c r="K369" s="58" t="n"/>
      <c r="L369" s="13">
        <f>IF(OR($A369="",AND($J369="",$K369="")),"",ROUND(N($J369)-N($K369),2))</f>
        <v/>
      </c>
      <c r="M369" s="13">
        <f>IF(OR($A369="",AND($J369="",$K369="")),"",MIN($J369,$K369))</f>
        <v/>
      </c>
      <c r="Q369">
        <f>IF($A369="","",$D369&amp;"("&amp;SUBSTITUTE($E369," ","")&amp;")")</f>
        <v/>
      </c>
      <c r="R369">
        <f>IF($A369="","",$B369&amp;" - "&amp;$C369)</f>
        <v/>
      </c>
      <c r="S369">
        <f>IF($A369="","",$R369&amp;"|"&amp;$Q369)</f>
        <v/>
      </c>
      <c r="T369">
        <f>IF($A369="","",$S369&amp;"|"&amp;$F369)</f>
        <v/>
      </c>
      <c r="U369">
        <f>IF($A369="","",$R369&amp;"("&amp;$E369&amp;")")</f>
        <v/>
      </c>
      <c r="V369">
        <f>IF($A369="","",$F369&amp;"|"&amp;$U369&amp;"|"&amp;$D369)</f>
        <v/>
      </c>
      <c r="W369">
        <f>IF($T369="","",IF($X369&gt;N($X368),$X369,""))</f>
        <v/>
      </c>
      <c r="X369">
        <f>IF($T369="",N($X368),IF(MATCH($T369,$T$6:$T$6005,0)=ROW()-5,N($X368)+1,N($X368)))</f>
        <v/>
      </c>
      <c r="Z369">
        <f>IF($V369="","",IF($AA369&gt;N($AA368),$AA369,""))</f>
        <v/>
      </c>
      <c r="AA369">
        <f>IF($V369="",N($AA368),IF(MATCH($V369,$V$6:$V$6005,0)=ROW()-5,N($AA368)+1,N($AA368)))</f>
        <v/>
      </c>
    </row>
    <row r="370" ht="21" customHeight="1" s="66">
      <c r="A370" s="56" t="n"/>
      <c r="B370" s="57" t="n"/>
      <c r="C370" s="57" t="n"/>
      <c r="D370" s="57" t="n"/>
      <c r="E370" s="56" t="n"/>
      <c r="F370" s="57" t="n"/>
      <c r="G370" s="57" t="n"/>
      <c r="H370" s="56" t="n"/>
      <c r="I370" s="56" t="n"/>
      <c r="J370" s="58" t="n"/>
      <c r="K370" s="58" t="n"/>
      <c r="L370" s="13">
        <f>IF(OR($A370="",AND($J370="",$K370="")),"",ROUND(N($J370)-N($K370),2))</f>
        <v/>
      </c>
      <c r="M370" s="13">
        <f>IF(OR($A370="",AND($J370="",$K370="")),"",MIN($J370,$K370))</f>
        <v/>
      </c>
      <c r="Q370">
        <f>IF($A370="","",$D370&amp;"("&amp;SUBSTITUTE($E370," ","")&amp;")")</f>
        <v/>
      </c>
      <c r="R370">
        <f>IF($A370="","",$B370&amp;" - "&amp;$C370)</f>
        <v/>
      </c>
      <c r="S370">
        <f>IF($A370="","",$R370&amp;"|"&amp;$Q370)</f>
        <v/>
      </c>
      <c r="T370">
        <f>IF($A370="","",$S370&amp;"|"&amp;$F370)</f>
        <v/>
      </c>
      <c r="U370">
        <f>IF($A370="","",$R370&amp;"("&amp;$E370&amp;")")</f>
        <v/>
      </c>
      <c r="V370">
        <f>IF($A370="","",$F370&amp;"|"&amp;$U370&amp;"|"&amp;$D370)</f>
        <v/>
      </c>
      <c r="W370">
        <f>IF($T370="","",IF($X370&gt;N($X369),$X370,""))</f>
        <v/>
      </c>
      <c r="X370">
        <f>IF($T370="",N($X369),IF(MATCH($T370,$T$6:$T$6005,0)=ROW()-5,N($X369)+1,N($X369)))</f>
        <v/>
      </c>
      <c r="Z370">
        <f>IF($V370="","",IF($AA370&gt;N($AA369),$AA370,""))</f>
        <v/>
      </c>
      <c r="AA370">
        <f>IF($V370="",N($AA369),IF(MATCH($V370,$V$6:$V$6005,0)=ROW()-5,N($AA369)+1,N($AA369)))</f>
        <v/>
      </c>
    </row>
    <row r="371" ht="21" customHeight="1" s="66">
      <c r="A371" s="56" t="n"/>
      <c r="B371" s="57" t="n"/>
      <c r="C371" s="57" t="n"/>
      <c r="D371" s="57" t="n"/>
      <c r="E371" s="56" t="n"/>
      <c r="F371" s="57" t="n"/>
      <c r="G371" s="57" t="n"/>
      <c r="H371" s="56" t="n"/>
      <c r="I371" s="56" t="n"/>
      <c r="J371" s="58" t="n"/>
      <c r="K371" s="58" t="n"/>
      <c r="L371" s="13">
        <f>IF(OR($A371="",AND($J371="",$K371="")),"",ROUND(N($J371)-N($K371),2))</f>
        <v/>
      </c>
      <c r="M371" s="13">
        <f>IF(OR($A371="",AND($J371="",$K371="")),"",MIN($J371,$K371))</f>
        <v/>
      </c>
      <c r="Q371">
        <f>IF($A371="","",$D371&amp;"("&amp;SUBSTITUTE($E371," ","")&amp;")")</f>
        <v/>
      </c>
      <c r="R371">
        <f>IF($A371="","",$B371&amp;" - "&amp;$C371)</f>
        <v/>
      </c>
      <c r="S371">
        <f>IF($A371="","",$R371&amp;"|"&amp;$Q371)</f>
        <v/>
      </c>
      <c r="T371">
        <f>IF($A371="","",$S371&amp;"|"&amp;$F371)</f>
        <v/>
      </c>
      <c r="U371">
        <f>IF($A371="","",$R371&amp;"("&amp;$E371&amp;")")</f>
        <v/>
      </c>
      <c r="V371">
        <f>IF($A371="","",$F371&amp;"|"&amp;$U371&amp;"|"&amp;$D371)</f>
        <v/>
      </c>
      <c r="W371">
        <f>IF($T371="","",IF($X371&gt;N($X370),$X371,""))</f>
        <v/>
      </c>
      <c r="X371">
        <f>IF($T371="",N($X370),IF(MATCH($T371,$T$6:$T$6005,0)=ROW()-5,N($X370)+1,N($X370)))</f>
        <v/>
      </c>
      <c r="Z371">
        <f>IF($V371="","",IF($AA371&gt;N($AA370),$AA371,""))</f>
        <v/>
      </c>
      <c r="AA371">
        <f>IF($V371="",N($AA370),IF(MATCH($V371,$V$6:$V$6005,0)=ROW()-5,N($AA370)+1,N($AA370)))</f>
        <v/>
      </c>
    </row>
    <row r="372" ht="21" customHeight="1" s="66">
      <c r="A372" s="56" t="n"/>
      <c r="B372" s="57" t="n"/>
      <c r="C372" s="57" t="n"/>
      <c r="D372" s="57" t="n"/>
      <c r="E372" s="56" t="n"/>
      <c r="F372" s="57" t="n"/>
      <c r="G372" s="57" t="n"/>
      <c r="H372" s="56" t="n"/>
      <c r="I372" s="56" t="n"/>
      <c r="J372" s="58" t="n"/>
      <c r="K372" s="58" t="n"/>
      <c r="L372" s="13">
        <f>IF(OR($A372="",AND($J372="",$K372="")),"",ROUND(N($J372)-N($K372),2))</f>
        <v/>
      </c>
      <c r="M372" s="13">
        <f>IF(OR($A372="",AND($J372="",$K372="")),"",MIN($J372,$K372))</f>
        <v/>
      </c>
      <c r="Q372">
        <f>IF($A372="","",$D372&amp;"("&amp;SUBSTITUTE($E372," ","")&amp;")")</f>
        <v/>
      </c>
      <c r="R372">
        <f>IF($A372="","",$B372&amp;" - "&amp;$C372)</f>
        <v/>
      </c>
      <c r="S372">
        <f>IF($A372="","",$R372&amp;"|"&amp;$Q372)</f>
        <v/>
      </c>
      <c r="T372">
        <f>IF($A372="","",$S372&amp;"|"&amp;$F372)</f>
        <v/>
      </c>
      <c r="U372">
        <f>IF($A372="","",$R372&amp;"("&amp;$E372&amp;")")</f>
        <v/>
      </c>
      <c r="V372">
        <f>IF($A372="","",$F372&amp;"|"&amp;$U372&amp;"|"&amp;$D372)</f>
        <v/>
      </c>
      <c r="W372">
        <f>IF($T372="","",IF($X372&gt;N($X371),$X372,""))</f>
        <v/>
      </c>
      <c r="X372">
        <f>IF($T372="",N($X371),IF(MATCH($T372,$T$6:$T$6005,0)=ROW()-5,N($X371)+1,N($X371)))</f>
        <v/>
      </c>
      <c r="Z372">
        <f>IF($V372="","",IF($AA372&gt;N($AA371),$AA372,""))</f>
        <v/>
      </c>
      <c r="AA372">
        <f>IF($V372="",N($AA371),IF(MATCH($V372,$V$6:$V$6005,0)=ROW()-5,N($AA371)+1,N($AA371)))</f>
        <v/>
      </c>
    </row>
    <row r="373" ht="21" customHeight="1" s="66">
      <c r="A373" s="56" t="n"/>
      <c r="B373" s="57" t="n"/>
      <c r="C373" s="57" t="n"/>
      <c r="D373" s="57" t="n"/>
      <c r="E373" s="56" t="n"/>
      <c r="F373" s="57" t="n"/>
      <c r="G373" s="57" t="n"/>
      <c r="H373" s="56" t="n"/>
      <c r="I373" s="56" t="n"/>
      <c r="J373" s="58" t="n"/>
      <c r="K373" s="58" t="n"/>
      <c r="L373" s="13">
        <f>IF(OR($A373="",AND($J373="",$K373="")),"",ROUND(N($J373)-N($K373),2))</f>
        <v/>
      </c>
      <c r="M373" s="13">
        <f>IF(OR($A373="",AND($J373="",$K373="")),"",MIN($J373,$K373))</f>
        <v/>
      </c>
      <c r="Q373">
        <f>IF($A373="","",$D373&amp;"("&amp;SUBSTITUTE($E373," ","")&amp;")")</f>
        <v/>
      </c>
      <c r="R373">
        <f>IF($A373="","",$B373&amp;" - "&amp;$C373)</f>
        <v/>
      </c>
      <c r="S373">
        <f>IF($A373="","",$R373&amp;"|"&amp;$Q373)</f>
        <v/>
      </c>
      <c r="T373">
        <f>IF($A373="","",$S373&amp;"|"&amp;$F373)</f>
        <v/>
      </c>
      <c r="U373">
        <f>IF($A373="","",$R373&amp;"("&amp;$E373&amp;")")</f>
        <v/>
      </c>
      <c r="V373">
        <f>IF($A373="","",$F373&amp;"|"&amp;$U373&amp;"|"&amp;$D373)</f>
        <v/>
      </c>
      <c r="W373">
        <f>IF($T373="","",IF($X373&gt;N($X372),$X373,""))</f>
        <v/>
      </c>
      <c r="X373">
        <f>IF($T373="",N($X372),IF(MATCH($T373,$T$6:$T$6005,0)=ROW()-5,N($X372)+1,N($X372)))</f>
        <v/>
      </c>
      <c r="Z373">
        <f>IF($V373="","",IF($AA373&gt;N($AA372),$AA373,""))</f>
        <v/>
      </c>
      <c r="AA373">
        <f>IF($V373="",N($AA372),IF(MATCH($V373,$V$6:$V$6005,0)=ROW()-5,N($AA372)+1,N($AA372)))</f>
        <v/>
      </c>
    </row>
    <row r="374" ht="21" customHeight="1" s="66">
      <c r="A374" s="56" t="n"/>
      <c r="B374" s="57" t="n"/>
      <c r="C374" s="57" t="n"/>
      <c r="D374" s="57" t="n"/>
      <c r="E374" s="56" t="n"/>
      <c r="F374" s="57" t="n"/>
      <c r="G374" s="57" t="n"/>
      <c r="H374" s="56" t="n"/>
      <c r="I374" s="56" t="n"/>
      <c r="J374" s="58" t="n"/>
      <c r="K374" s="58" t="n"/>
      <c r="L374" s="13">
        <f>IF(OR($A374="",AND($J374="",$K374="")),"",ROUND(N($J374)-N($K374),2))</f>
        <v/>
      </c>
      <c r="M374" s="13">
        <f>IF(OR($A374="",AND($J374="",$K374="")),"",MIN($J374,$K374))</f>
        <v/>
      </c>
      <c r="Q374">
        <f>IF($A374="","",$D374&amp;"("&amp;SUBSTITUTE($E374," ","")&amp;")")</f>
        <v/>
      </c>
      <c r="R374">
        <f>IF($A374="","",$B374&amp;" - "&amp;$C374)</f>
        <v/>
      </c>
      <c r="S374">
        <f>IF($A374="","",$R374&amp;"|"&amp;$Q374)</f>
        <v/>
      </c>
      <c r="T374">
        <f>IF($A374="","",$S374&amp;"|"&amp;$F374)</f>
        <v/>
      </c>
      <c r="U374">
        <f>IF($A374="","",$R374&amp;"("&amp;$E374&amp;")")</f>
        <v/>
      </c>
      <c r="V374">
        <f>IF($A374="","",$F374&amp;"|"&amp;$U374&amp;"|"&amp;$D374)</f>
        <v/>
      </c>
      <c r="W374">
        <f>IF($T374="","",IF($X374&gt;N($X373),$X374,""))</f>
        <v/>
      </c>
      <c r="X374">
        <f>IF($T374="",N($X373),IF(MATCH($T374,$T$6:$T$6005,0)=ROW()-5,N($X373)+1,N($X373)))</f>
        <v/>
      </c>
      <c r="Z374">
        <f>IF($V374="","",IF($AA374&gt;N($AA373),$AA374,""))</f>
        <v/>
      </c>
      <c r="AA374">
        <f>IF($V374="",N($AA373),IF(MATCH($V374,$V$6:$V$6005,0)=ROW()-5,N($AA373)+1,N($AA373)))</f>
        <v/>
      </c>
    </row>
    <row r="375" ht="21" customHeight="1" s="66">
      <c r="A375" s="56" t="n"/>
      <c r="B375" s="57" t="n"/>
      <c r="C375" s="57" t="n"/>
      <c r="D375" s="57" t="n"/>
      <c r="E375" s="56" t="n"/>
      <c r="F375" s="57" t="n"/>
      <c r="G375" s="57" t="n"/>
      <c r="H375" s="56" t="n"/>
      <c r="I375" s="56" t="n"/>
      <c r="J375" s="58" t="n"/>
      <c r="K375" s="58" t="n"/>
      <c r="L375" s="13">
        <f>IF(OR($A375="",AND($J375="",$K375="")),"",ROUND(N($J375)-N($K375),2))</f>
        <v/>
      </c>
      <c r="M375" s="13">
        <f>IF(OR($A375="",AND($J375="",$K375="")),"",MIN($J375,$K375))</f>
        <v/>
      </c>
      <c r="Q375">
        <f>IF($A375="","",$D375&amp;"("&amp;SUBSTITUTE($E375," ","")&amp;")")</f>
        <v/>
      </c>
      <c r="R375">
        <f>IF($A375="","",$B375&amp;" - "&amp;$C375)</f>
        <v/>
      </c>
      <c r="S375">
        <f>IF($A375="","",$R375&amp;"|"&amp;$Q375)</f>
        <v/>
      </c>
      <c r="T375">
        <f>IF($A375="","",$S375&amp;"|"&amp;$F375)</f>
        <v/>
      </c>
      <c r="U375">
        <f>IF($A375="","",$R375&amp;"("&amp;$E375&amp;")")</f>
        <v/>
      </c>
      <c r="V375">
        <f>IF($A375="","",$F375&amp;"|"&amp;$U375&amp;"|"&amp;$D375)</f>
        <v/>
      </c>
      <c r="W375">
        <f>IF($T375="","",IF($X375&gt;N($X374),$X375,""))</f>
        <v/>
      </c>
      <c r="X375">
        <f>IF($T375="",N($X374),IF(MATCH($T375,$T$6:$T$6005,0)=ROW()-5,N($X374)+1,N($X374)))</f>
        <v/>
      </c>
      <c r="Z375">
        <f>IF($V375="","",IF($AA375&gt;N($AA374),$AA375,""))</f>
        <v/>
      </c>
      <c r="AA375">
        <f>IF($V375="",N($AA374),IF(MATCH($V375,$V$6:$V$6005,0)=ROW()-5,N($AA374)+1,N($AA374)))</f>
        <v/>
      </c>
    </row>
    <row r="376" ht="21" customHeight="1" s="66">
      <c r="A376" s="56" t="n"/>
      <c r="B376" s="57" t="n"/>
      <c r="C376" s="57" t="n"/>
      <c r="D376" s="57" t="n"/>
      <c r="E376" s="56" t="n"/>
      <c r="F376" s="57" t="n"/>
      <c r="G376" s="57" t="n"/>
      <c r="H376" s="56" t="n"/>
      <c r="I376" s="56" t="n"/>
      <c r="J376" s="58" t="n"/>
      <c r="K376" s="58" t="n"/>
      <c r="L376" s="13">
        <f>IF(OR($A376="",AND($J376="",$K376="")),"",ROUND(N($J376)-N($K376),2))</f>
        <v/>
      </c>
      <c r="M376" s="13">
        <f>IF(OR($A376="",AND($J376="",$K376="")),"",MIN($J376,$K376))</f>
        <v/>
      </c>
      <c r="Q376">
        <f>IF($A376="","",$D376&amp;"("&amp;SUBSTITUTE($E376," ","")&amp;")")</f>
        <v/>
      </c>
      <c r="R376">
        <f>IF($A376="","",$B376&amp;" - "&amp;$C376)</f>
        <v/>
      </c>
      <c r="S376">
        <f>IF($A376="","",$R376&amp;"|"&amp;$Q376)</f>
        <v/>
      </c>
      <c r="T376">
        <f>IF($A376="","",$S376&amp;"|"&amp;$F376)</f>
        <v/>
      </c>
      <c r="U376">
        <f>IF($A376="","",$R376&amp;"("&amp;$E376&amp;")")</f>
        <v/>
      </c>
      <c r="V376">
        <f>IF($A376="","",$F376&amp;"|"&amp;$U376&amp;"|"&amp;$D376)</f>
        <v/>
      </c>
      <c r="W376">
        <f>IF($T376="","",IF($X376&gt;N($X375),$X376,""))</f>
        <v/>
      </c>
      <c r="X376">
        <f>IF($T376="",N($X375),IF(MATCH($T376,$T$6:$T$6005,0)=ROW()-5,N($X375)+1,N($X375)))</f>
        <v/>
      </c>
      <c r="Z376">
        <f>IF($V376="","",IF($AA376&gt;N($AA375),$AA376,""))</f>
        <v/>
      </c>
      <c r="AA376">
        <f>IF($V376="",N($AA375),IF(MATCH($V376,$V$6:$V$6005,0)=ROW()-5,N($AA375)+1,N($AA375)))</f>
        <v/>
      </c>
    </row>
    <row r="377" ht="21" customHeight="1" s="66">
      <c r="A377" s="56" t="n"/>
      <c r="B377" s="57" t="n"/>
      <c r="C377" s="57" t="n"/>
      <c r="D377" s="57" t="n"/>
      <c r="E377" s="56" t="n"/>
      <c r="F377" s="57" t="n"/>
      <c r="G377" s="57" t="n"/>
      <c r="H377" s="56" t="n"/>
      <c r="I377" s="56" t="n"/>
      <c r="J377" s="58" t="n"/>
      <c r="K377" s="58" t="n"/>
      <c r="L377" s="13">
        <f>IF(OR($A377="",AND($J377="",$K377="")),"",ROUND(N($J377)-N($K377),2))</f>
        <v/>
      </c>
      <c r="M377" s="13">
        <f>IF(OR($A377="",AND($J377="",$K377="")),"",MIN($J377,$K377))</f>
        <v/>
      </c>
      <c r="Q377">
        <f>IF($A377="","",$D377&amp;"("&amp;SUBSTITUTE($E377," ","")&amp;")")</f>
        <v/>
      </c>
      <c r="R377">
        <f>IF($A377="","",$B377&amp;" - "&amp;$C377)</f>
        <v/>
      </c>
      <c r="S377">
        <f>IF($A377="","",$R377&amp;"|"&amp;$Q377)</f>
        <v/>
      </c>
      <c r="T377">
        <f>IF($A377="","",$S377&amp;"|"&amp;$F377)</f>
        <v/>
      </c>
      <c r="U377">
        <f>IF($A377="","",$R377&amp;"("&amp;$E377&amp;")")</f>
        <v/>
      </c>
      <c r="V377">
        <f>IF($A377="","",$F377&amp;"|"&amp;$U377&amp;"|"&amp;$D377)</f>
        <v/>
      </c>
      <c r="W377">
        <f>IF($T377="","",IF($X377&gt;N($X376),$X377,""))</f>
        <v/>
      </c>
      <c r="X377">
        <f>IF($T377="",N($X376),IF(MATCH($T377,$T$6:$T$6005,0)=ROW()-5,N($X376)+1,N($X376)))</f>
        <v/>
      </c>
      <c r="Z377">
        <f>IF($V377="","",IF($AA377&gt;N($AA376),$AA377,""))</f>
        <v/>
      </c>
      <c r="AA377">
        <f>IF($V377="",N($AA376),IF(MATCH($V377,$V$6:$V$6005,0)=ROW()-5,N($AA376)+1,N($AA376)))</f>
        <v/>
      </c>
    </row>
    <row r="378" ht="21" customHeight="1" s="66">
      <c r="A378" s="56" t="n"/>
      <c r="B378" s="57" t="n"/>
      <c r="C378" s="57" t="n"/>
      <c r="D378" s="57" t="n"/>
      <c r="E378" s="56" t="n"/>
      <c r="F378" s="57" t="n"/>
      <c r="G378" s="57" t="n"/>
      <c r="H378" s="56" t="n"/>
      <c r="I378" s="56" t="n"/>
      <c r="J378" s="58" t="n"/>
      <c r="K378" s="58" t="n"/>
      <c r="L378" s="13">
        <f>IF(OR($A378="",AND($J378="",$K378="")),"",ROUND(N($J378)-N($K378),2))</f>
        <v/>
      </c>
      <c r="M378" s="13">
        <f>IF(OR($A378="",AND($J378="",$K378="")),"",MIN($J378,$K378))</f>
        <v/>
      </c>
      <c r="Q378">
        <f>IF($A378="","",$D378&amp;"("&amp;SUBSTITUTE($E378," ","")&amp;")")</f>
        <v/>
      </c>
      <c r="R378">
        <f>IF($A378="","",$B378&amp;" - "&amp;$C378)</f>
        <v/>
      </c>
      <c r="S378">
        <f>IF($A378="","",$R378&amp;"|"&amp;$Q378)</f>
        <v/>
      </c>
      <c r="T378">
        <f>IF($A378="","",$S378&amp;"|"&amp;$F378)</f>
        <v/>
      </c>
      <c r="U378">
        <f>IF($A378="","",$R378&amp;"("&amp;$E378&amp;")")</f>
        <v/>
      </c>
      <c r="V378">
        <f>IF($A378="","",$F378&amp;"|"&amp;$U378&amp;"|"&amp;$D378)</f>
        <v/>
      </c>
      <c r="W378">
        <f>IF($T378="","",IF($X378&gt;N($X377),$X378,""))</f>
        <v/>
      </c>
      <c r="X378">
        <f>IF($T378="",N($X377),IF(MATCH($T378,$T$6:$T$6005,0)=ROW()-5,N($X377)+1,N($X377)))</f>
        <v/>
      </c>
      <c r="Z378">
        <f>IF($V378="","",IF($AA378&gt;N($AA377),$AA378,""))</f>
        <v/>
      </c>
      <c r="AA378">
        <f>IF($V378="",N($AA377),IF(MATCH($V378,$V$6:$V$6005,0)=ROW()-5,N($AA377)+1,N($AA377)))</f>
        <v/>
      </c>
    </row>
    <row r="379" ht="21" customHeight="1" s="66">
      <c r="A379" s="56" t="n"/>
      <c r="B379" s="57" t="n"/>
      <c r="C379" s="57" t="n"/>
      <c r="D379" s="57" t="n"/>
      <c r="E379" s="56" t="n"/>
      <c r="F379" s="57" t="n"/>
      <c r="G379" s="57" t="n"/>
      <c r="H379" s="56" t="n"/>
      <c r="I379" s="56" t="n"/>
      <c r="J379" s="58" t="n"/>
      <c r="K379" s="58" t="n"/>
      <c r="L379" s="13">
        <f>IF(OR($A379="",AND($J379="",$K379="")),"",ROUND(N($J379)-N($K379),2))</f>
        <v/>
      </c>
      <c r="M379" s="13">
        <f>IF(OR($A379="",AND($J379="",$K379="")),"",MIN($J379,$K379))</f>
        <v/>
      </c>
      <c r="Q379">
        <f>IF($A379="","",$D379&amp;"("&amp;SUBSTITUTE($E379," ","")&amp;")")</f>
        <v/>
      </c>
      <c r="R379">
        <f>IF($A379="","",$B379&amp;" - "&amp;$C379)</f>
        <v/>
      </c>
      <c r="S379">
        <f>IF($A379="","",$R379&amp;"|"&amp;$Q379)</f>
        <v/>
      </c>
      <c r="T379">
        <f>IF($A379="","",$S379&amp;"|"&amp;$F379)</f>
        <v/>
      </c>
      <c r="U379">
        <f>IF($A379="","",$R379&amp;"("&amp;$E379&amp;")")</f>
        <v/>
      </c>
      <c r="V379">
        <f>IF($A379="","",$F379&amp;"|"&amp;$U379&amp;"|"&amp;$D379)</f>
        <v/>
      </c>
      <c r="W379">
        <f>IF($T379="","",IF($X379&gt;N($X378),$X379,""))</f>
        <v/>
      </c>
      <c r="X379">
        <f>IF($T379="",N($X378),IF(MATCH($T379,$T$6:$T$6005,0)=ROW()-5,N($X378)+1,N($X378)))</f>
        <v/>
      </c>
      <c r="Z379">
        <f>IF($V379="","",IF($AA379&gt;N($AA378),$AA379,""))</f>
        <v/>
      </c>
      <c r="AA379">
        <f>IF($V379="",N($AA378),IF(MATCH($V379,$V$6:$V$6005,0)=ROW()-5,N($AA378)+1,N($AA378)))</f>
        <v/>
      </c>
    </row>
    <row r="380" ht="21" customHeight="1" s="66">
      <c r="A380" s="56" t="n"/>
      <c r="B380" s="57" t="n"/>
      <c r="C380" s="57" t="n"/>
      <c r="D380" s="57" t="n"/>
      <c r="E380" s="56" t="n"/>
      <c r="F380" s="57" t="n"/>
      <c r="G380" s="57" t="n"/>
      <c r="H380" s="56" t="n"/>
      <c r="I380" s="56" t="n"/>
      <c r="J380" s="58" t="n"/>
      <c r="K380" s="58" t="n"/>
      <c r="L380" s="13">
        <f>IF(OR($A380="",AND($J380="",$K380="")),"",ROUND(N($J380)-N($K380),2))</f>
        <v/>
      </c>
      <c r="M380" s="13">
        <f>IF(OR($A380="",AND($J380="",$K380="")),"",MIN($J380,$K380))</f>
        <v/>
      </c>
      <c r="Q380">
        <f>IF($A380="","",$D380&amp;"("&amp;SUBSTITUTE($E380," ","")&amp;")")</f>
        <v/>
      </c>
      <c r="R380">
        <f>IF($A380="","",$B380&amp;" - "&amp;$C380)</f>
        <v/>
      </c>
      <c r="S380">
        <f>IF($A380="","",$R380&amp;"|"&amp;$Q380)</f>
        <v/>
      </c>
      <c r="T380">
        <f>IF($A380="","",$S380&amp;"|"&amp;$F380)</f>
        <v/>
      </c>
      <c r="U380">
        <f>IF($A380="","",$R380&amp;"("&amp;$E380&amp;")")</f>
        <v/>
      </c>
      <c r="V380">
        <f>IF($A380="","",$F380&amp;"|"&amp;$U380&amp;"|"&amp;$D380)</f>
        <v/>
      </c>
      <c r="W380">
        <f>IF($T380="","",IF($X380&gt;N($X379),$X380,""))</f>
        <v/>
      </c>
      <c r="X380">
        <f>IF($T380="",N($X379),IF(MATCH($T380,$T$6:$T$6005,0)=ROW()-5,N($X379)+1,N($X379)))</f>
        <v/>
      </c>
      <c r="Z380">
        <f>IF($V380="","",IF($AA380&gt;N($AA379),$AA380,""))</f>
        <v/>
      </c>
      <c r="AA380">
        <f>IF($V380="",N($AA379),IF(MATCH($V380,$V$6:$V$6005,0)=ROW()-5,N($AA379)+1,N($AA379)))</f>
        <v/>
      </c>
    </row>
    <row r="381" ht="21" customHeight="1" s="66">
      <c r="A381" s="56" t="n"/>
      <c r="B381" s="57" t="n"/>
      <c r="C381" s="57" t="n"/>
      <c r="D381" s="57" t="n"/>
      <c r="E381" s="56" t="n"/>
      <c r="F381" s="57" t="n"/>
      <c r="G381" s="57" t="n"/>
      <c r="H381" s="56" t="n"/>
      <c r="I381" s="56" t="n"/>
      <c r="J381" s="58" t="n"/>
      <c r="K381" s="58" t="n"/>
      <c r="L381" s="13">
        <f>IF(OR($A381="",AND($J381="",$K381="")),"",ROUND(N($J381)-N($K381),2))</f>
        <v/>
      </c>
      <c r="M381" s="13">
        <f>IF(OR($A381="",AND($J381="",$K381="")),"",MIN($J381,$K381))</f>
        <v/>
      </c>
      <c r="Q381">
        <f>IF($A381="","",$D381&amp;"("&amp;SUBSTITUTE($E381," ","")&amp;")")</f>
        <v/>
      </c>
      <c r="R381">
        <f>IF($A381="","",$B381&amp;" - "&amp;$C381)</f>
        <v/>
      </c>
      <c r="S381">
        <f>IF($A381="","",$R381&amp;"|"&amp;$Q381)</f>
        <v/>
      </c>
      <c r="T381">
        <f>IF($A381="","",$S381&amp;"|"&amp;$F381)</f>
        <v/>
      </c>
      <c r="U381">
        <f>IF($A381="","",$R381&amp;"("&amp;$E381&amp;")")</f>
        <v/>
      </c>
      <c r="V381">
        <f>IF($A381="","",$F381&amp;"|"&amp;$U381&amp;"|"&amp;$D381)</f>
        <v/>
      </c>
      <c r="W381">
        <f>IF($T381="","",IF($X381&gt;N($X380),$X381,""))</f>
        <v/>
      </c>
      <c r="X381">
        <f>IF($T381="",N($X380),IF(MATCH($T381,$T$6:$T$6005,0)=ROW()-5,N($X380)+1,N($X380)))</f>
        <v/>
      </c>
      <c r="Z381">
        <f>IF($V381="","",IF($AA381&gt;N($AA380),$AA381,""))</f>
        <v/>
      </c>
      <c r="AA381">
        <f>IF($V381="",N($AA380),IF(MATCH($V381,$V$6:$V$6005,0)=ROW()-5,N($AA380)+1,N($AA380)))</f>
        <v/>
      </c>
    </row>
    <row r="382" ht="21" customHeight="1" s="66">
      <c r="A382" s="56" t="n"/>
      <c r="B382" s="57" t="n"/>
      <c r="C382" s="57" t="n"/>
      <c r="D382" s="57" t="n"/>
      <c r="E382" s="56" t="n"/>
      <c r="F382" s="57" t="n"/>
      <c r="G382" s="57" t="n"/>
      <c r="H382" s="56" t="n"/>
      <c r="I382" s="56" t="n"/>
      <c r="J382" s="58" t="n"/>
      <c r="K382" s="58" t="n"/>
      <c r="L382" s="13">
        <f>IF(OR($A382="",AND($J382="",$K382="")),"",ROUND(N($J382)-N($K382),2))</f>
        <v/>
      </c>
      <c r="M382" s="13">
        <f>IF(OR($A382="",AND($J382="",$K382="")),"",MIN($J382,$K382))</f>
        <v/>
      </c>
      <c r="Q382">
        <f>IF($A382="","",$D382&amp;"("&amp;SUBSTITUTE($E382," ","")&amp;")")</f>
        <v/>
      </c>
      <c r="R382">
        <f>IF($A382="","",$B382&amp;" - "&amp;$C382)</f>
        <v/>
      </c>
      <c r="S382">
        <f>IF($A382="","",$R382&amp;"|"&amp;$Q382)</f>
        <v/>
      </c>
      <c r="T382">
        <f>IF($A382="","",$S382&amp;"|"&amp;$F382)</f>
        <v/>
      </c>
      <c r="U382">
        <f>IF($A382="","",$R382&amp;"("&amp;$E382&amp;")")</f>
        <v/>
      </c>
      <c r="V382">
        <f>IF($A382="","",$F382&amp;"|"&amp;$U382&amp;"|"&amp;$D382)</f>
        <v/>
      </c>
      <c r="W382">
        <f>IF($T382="","",IF($X382&gt;N($X381),$X382,""))</f>
        <v/>
      </c>
      <c r="X382">
        <f>IF($T382="",N($X381),IF(MATCH($T382,$T$6:$T$6005,0)=ROW()-5,N($X381)+1,N($X381)))</f>
        <v/>
      </c>
      <c r="Z382">
        <f>IF($V382="","",IF($AA382&gt;N($AA381),$AA382,""))</f>
        <v/>
      </c>
      <c r="AA382">
        <f>IF($V382="",N($AA381),IF(MATCH($V382,$V$6:$V$6005,0)=ROW()-5,N($AA381)+1,N($AA381)))</f>
        <v/>
      </c>
    </row>
    <row r="383" ht="21" customHeight="1" s="66">
      <c r="A383" s="56" t="n"/>
      <c r="B383" s="57" t="n"/>
      <c r="C383" s="57" t="n"/>
      <c r="D383" s="57" t="n"/>
      <c r="E383" s="56" t="n"/>
      <c r="F383" s="57" t="n"/>
      <c r="G383" s="57" t="n"/>
      <c r="H383" s="56" t="n"/>
      <c r="I383" s="56" t="n"/>
      <c r="J383" s="58" t="n"/>
      <c r="K383" s="58" t="n"/>
      <c r="L383" s="13">
        <f>IF(OR($A383="",AND($J383="",$K383="")),"",ROUND(N($J383)-N($K383),2))</f>
        <v/>
      </c>
      <c r="M383" s="13">
        <f>IF(OR($A383="",AND($J383="",$K383="")),"",MIN($J383,$K383))</f>
        <v/>
      </c>
      <c r="Q383">
        <f>IF($A383="","",$D383&amp;"("&amp;SUBSTITUTE($E383," ","")&amp;")")</f>
        <v/>
      </c>
      <c r="R383">
        <f>IF($A383="","",$B383&amp;" - "&amp;$C383)</f>
        <v/>
      </c>
      <c r="S383">
        <f>IF($A383="","",$R383&amp;"|"&amp;$Q383)</f>
        <v/>
      </c>
      <c r="T383">
        <f>IF($A383="","",$S383&amp;"|"&amp;$F383)</f>
        <v/>
      </c>
      <c r="U383">
        <f>IF($A383="","",$R383&amp;"("&amp;$E383&amp;")")</f>
        <v/>
      </c>
      <c r="V383">
        <f>IF($A383="","",$F383&amp;"|"&amp;$U383&amp;"|"&amp;$D383)</f>
        <v/>
      </c>
      <c r="W383">
        <f>IF($T383="","",IF($X383&gt;N($X382),$X383,""))</f>
        <v/>
      </c>
      <c r="X383">
        <f>IF($T383="",N($X382),IF(MATCH($T383,$T$6:$T$6005,0)=ROW()-5,N($X382)+1,N($X382)))</f>
        <v/>
      </c>
      <c r="Z383">
        <f>IF($V383="","",IF($AA383&gt;N($AA382),$AA383,""))</f>
        <v/>
      </c>
      <c r="AA383">
        <f>IF($V383="",N($AA382),IF(MATCH($V383,$V$6:$V$6005,0)=ROW()-5,N($AA382)+1,N($AA382)))</f>
        <v/>
      </c>
    </row>
    <row r="384" ht="21" customHeight="1" s="66">
      <c r="A384" s="56" t="n"/>
      <c r="B384" s="57" t="n"/>
      <c r="C384" s="57" t="n"/>
      <c r="D384" s="57" t="n"/>
      <c r="E384" s="56" t="n"/>
      <c r="F384" s="57" t="n"/>
      <c r="G384" s="57" t="n"/>
      <c r="H384" s="56" t="n"/>
      <c r="I384" s="56" t="n"/>
      <c r="J384" s="58" t="n"/>
      <c r="K384" s="58" t="n"/>
      <c r="L384" s="13">
        <f>IF(OR($A384="",AND($J384="",$K384="")),"",ROUND(N($J384)-N($K384),2))</f>
        <v/>
      </c>
      <c r="M384" s="13">
        <f>IF(OR($A384="",AND($J384="",$K384="")),"",MIN($J384,$K384))</f>
        <v/>
      </c>
      <c r="Q384">
        <f>IF($A384="","",$D384&amp;"("&amp;SUBSTITUTE($E384," ","")&amp;")")</f>
        <v/>
      </c>
      <c r="R384">
        <f>IF($A384="","",$B384&amp;" - "&amp;$C384)</f>
        <v/>
      </c>
      <c r="S384">
        <f>IF($A384="","",$R384&amp;"|"&amp;$Q384)</f>
        <v/>
      </c>
      <c r="T384">
        <f>IF($A384="","",$S384&amp;"|"&amp;$F384)</f>
        <v/>
      </c>
      <c r="U384">
        <f>IF($A384="","",$R384&amp;"("&amp;$E384&amp;")")</f>
        <v/>
      </c>
      <c r="V384">
        <f>IF($A384="","",$F384&amp;"|"&amp;$U384&amp;"|"&amp;$D384)</f>
        <v/>
      </c>
      <c r="W384">
        <f>IF($T384="","",IF($X384&gt;N($X383),$X384,""))</f>
        <v/>
      </c>
      <c r="X384">
        <f>IF($T384="",N($X383),IF(MATCH($T384,$T$6:$T$6005,0)=ROW()-5,N($X383)+1,N($X383)))</f>
        <v/>
      </c>
      <c r="Z384">
        <f>IF($V384="","",IF($AA384&gt;N($AA383),$AA384,""))</f>
        <v/>
      </c>
      <c r="AA384">
        <f>IF($V384="",N($AA383),IF(MATCH($V384,$V$6:$V$6005,0)=ROW()-5,N($AA383)+1,N($AA383)))</f>
        <v/>
      </c>
    </row>
    <row r="385" ht="21" customHeight="1" s="66">
      <c r="A385" s="56" t="n"/>
      <c r="B385" s="57" t="n"/>
      <c r="C385" s="57" t="n"/>
      <c r="D385" s="57" t="n"/>
      <c r="E385" s="56" t="n"/>
      <c r="F385" s="57" t="n"/>
      <c r="G385" s="57" t="n"/>
      <c r="H385" s="56" t="n"/>
      <c r="I385" s="56" t="n"/>
      <c r="J385" s="58" t="n"/>
      <c r="K385" s="58" t="n"/>
      <c r="L385" s="13">
        <f>IF(OR($A385="",AND($J385="",$K385="")),"",ROUND(N($J385)-N($K385),2))</f>
        <v/>
      </c>
      <c r="M385" s="13">
        <f>IF(OR($A385="",AND($J385="",$K385="")),"",MIN($J385,$K385))</f>
        <v/>
      </c>
      <c r="Q385">
        <f>IF($A385="","",$D385&amp;"("&amp;SUBSTITUTE($E385," ","")&amp;")")</f>
        <v/>
      </c>
      <c r="R385">
        <f>IF($A385="","",$B385&amp;" - "&amp;$C385)</f>
        <v/>
      </c>
      <c r="S385">
        <f>IF($A385="","",$R385&amp;"|"&amp;$Q385)</f>
        <v/>
      </c>
      <c r="T385">
        <f>IF($A385="","",$S385&amp;"|"&amp;$F385)</f>
        <v/>
      </c>
      <c r="U385">
        <f>IF($A385="","",$R385&amp;"("&amp;$E385&amp;")")</f>
        <v/>
      </c>
      <c r="V385">
        <f>IF($A385="","",$F385&amp;"|"&amp;$U385&amp;"|"&amp;$D385)</f>
        <v/>
      </c>
      <c r="W385">
        <f>IF($T385="","",IF($X385&gt;N($X384),$X385,""))</f>
        <v/>
      </c>
      <c r="X385">
        <f>IF($T385="",N($X384),IF(MATCH($T385,$T$6:$T$6005,0)=ROW()-5,N($X384)+1,N($X384)))</f>
        <v/>
      </c>
      <c r="Z385">
        <f>IF($V385="","",IF($AA385&gt;N($AA384),$AA385,""))</f>
        <v/>
      </c>
      <c r="AA385">
        <f>IF($V385="",N($AA384),IF(MATCH($V385,$V$6:$V$6005,0)=ROW()-5,N($AA384)+1,N($AA384)))</f>
        <v/>
      </c>
    </row>
    <row r="386" ht="21" customHeight="1" s="66">
      <c r="A386" s="56" t="n"/>
      <c r="B386" s="57" t="n"/>
      <c r="C386" s="57" t="n"/>
      <c r="D386" s="57" t="n"/>
      <c r="E386" s="56" t="n"/>
      <c r="F386" s="57" t="n"/>
      <c r="G386" s="57" t="n"/>
      <c r="H386" s="56" t="n"/>
      <c r="I386" s="56" t="n"/>
      <c r="J386" s="58" t="n"/>
      <c r="K386" s="58" t="n"/>
      <c r="L386" s="13">
        <f>IF(OR($A386="",AND($J386="",$K386="")),"",ROUND(N($J386)-N($K386),2))</f>
        <v/>
      </c>
      <c r="M386" s="13">
        <f>IF(OR($A386="",AND($J386="",$K386="")),"",MIN($J386,$K386))</f>
        <v/>
      </c>
      <c r="Q386">
        <f>IF($A386="","",$D386&amp;"("&amp;SUBSTITUTE($E386," ","")&amp;")")</f>
        <v/>
      </c>
      <c r="R386">
        <f>IF($A386="","",$B386&amp;" - "&amp;$C386)</f>
        <v/>
      </c>
      <c r="S386">
        <f>IF($A386="","",$R386&amp;"|"&amp;$Q386)</f>
        <v/>
      </c>
      <c r="T386">
        <f>IF($A386="","",$S386&amp;"|"&amp;$F386)</f>
        <v/>
      </c>
      <c r="U386">
        <f>IF($A386="","",$R386&amp;"("&amp;$E386&amp;")")</f>
        <v/>
      </c>
      <c r="V386">
        <f>IF($A386="","",$F386&amp;"|"&amp;$U386&amp;"|"&amp;$D386)</f>
        <v/>
      </c>
      <c r="W386">
        <f>IF($T386="","",IF($X386&gt;N($X385),$X386,""))</f>
        <v/>
      </c>
      <c r="X386">
        <f>IF($T386="",N($X385),IF(MATCH($T386,$T$6:$T$6005,0)=ROW()-5,N($X385)+1,N($X385)))</f>
        <v/>
      </c>
      <c r="Z386">
        <f>IF($V386="","",IF($AA386&gt;N($AA385),$AA386,""))</f>
        <v/>
      </c>
      <c r="AA386">
        <f>IF($V386="",N($AA385),IF(MATCH($V386,$V$6:$V$6005,0)=ROW()-5,N($AA385)+1,N($AA385)))</f>
        <v/>
      </c>
    </row>
    <row r="387" ht="21" customHeight="1" s="66">
      <c r="A387" s="56" t="n"/>
      <c r="B387" s="57" t="n"/>
      <c r="C387" s="57" t="n"/>
      <c r="D387" s="57" t="n"/>
      <c r="E387" s="56" t="n"/>
      <c r="F387" s="57" t="n"/>
      <c r="G387" s="57" t="n"/>
      <c r="H387" s="56" t="n"/>
      <c r="I387" s="56" t="n"/>
      <c r="J387" s="58" t="n"/>
      <c r="K387" s="58" t="n"/>
      <c r="L387" s="13">
        <f>IF(OR($A387="",AND($J387="",$K387="")),"",ROUND(N($J387)-N($K387),2))</f>
        <v/>
      </c>
      <c r="M387" s="13">
        <f>IF(OR($A387="",AND($J387="",$K387="")),"",MIN($J387,$K387))</f>
        <v/>
      </c>
      <c r="Q387">
        <f>IF($A387="","",$D387&amp;"("&amp;SUBSTITUTE($E387," ","")&amp;")")</f>
        <v/>
      </c>
      <c r="R387">
        <f>IF($A387="","",$B387&amp;" - "&amp;$C387)</f>
        <v/>
      </c>
      <c r="S387">
        <f>IF($A387="","",$R387&amp;"|"&amp;$Q387)</f>
        <v/>
      </c>
      <c r="T387">
        <f>IF($A387="","",$S387&amp;"|"&amp;$F387)</f>
        <v/>
      </c>
      <c r="U387">
        <f>IF($A387="","",$R387&amp;"("&amp;$E387&amp;")")</f>
        <v/>
      </c>
      <c r="V387">
        <f>IF($A387="","",$F387&amp;"|"&amp;$U387&amp;"|"&amp;$D387)</f>
        <v/>
      </c>
      <c r="W387">
        <f>IF($T387="","",IF($X387&gt;N($X386),$X387,""))</f>
        <v/>
      </c>
      <c r="X387">
        <f>IF($T387="",N($X386),IF(MATCH($T387,$T$6:$T$6005,0)=ROW()-5,N($X386)+1,N($X386)))</f>
        <v/>
      </c>
      <c r="Z387">
        <f>IF($V387="","",IF($AA387&gt;N($AA386),$AA387,""))</f>
        <v/>
      </c>
      <c r="AA387">
        <f>IF($V387="",N($AA386),IF(MATCH($V387,$V$6:$V$6005,0)=ROW()-5,N($AA386)+1,N($AA386)))</f>
        <v/>
      </c>
    </row>
    <row r="388" ht="21" customHeight="1" s="66">
      <c r="A388" s="56" t="n"/>
      <c r="B388" s="57" t="n"/>
      <c r="C388" s="57" t="n"/>
      <c r="D388" s="57" t="n"/>
      <c r="E388" s="56" t="n"/>
      <c r="F388" s="57" t="n"/>
      <c r="G388" s="57" t="n"/>
      <c r="H388" s="56" t="n"/>
      <c r="I388" s="56" t="n"/>
      <c r="J388" s="58" t="n"/>
      <c r="K388" s="58" t="n"/>
      <c r="L388" s="13">
        <f>IF(OR($A388="",AND($J388="",$K388="")),"",ROUND(N($J388)-N($K388),2))</f>
        <v/>
      </c>
      <c r="M388" s="13">
        <f>IF(OR($A388="",AND($J388="",$K388="")),"",MIN($J388,$K388))</f>
        <v/>
      </c>
      <c r="Q388">
        <f>IF($A388="","",$D388&amp;"("&amp;SUBSTITUTE($E388," ","")&amp;")")</f>
        <v/>
      </c>
      <c r="R388">
        <f>IF($A388="","",$B388&amp;" - "&amp;$C388)</f>
        <v/>
      </c>
      <c r="S388">
        <f>IF($A388="","",$R388&amp;"|"&amp;$Q388)</f>
        <v/>
      </c>
      <c r="T388">
        <f>IF($A388="","",$S388&amp;"|"&amp;$F388)</f>
        <v/>
      </c>
      <c r="U388">
        <f>IF($A388="","",$R388&amp;"("&amp;$E388&amp;")")</f>
        <v/>
      </c>
      <c r="V388">
        <f>IF($A388="","",$F388&amp;"|"&amp;$U388&amp;"|"&amp;$D388)</f>
        <v/>
      </c>
      <c r="W388">
        <f>IF($T388="","",IF($X388&gt;N($X387),$X388,""))</f>
        <v/>
      </c>
      <c r="X388">
        <f>IF($T388="",N($X387),IF(MATCH($T388,$T$6:$T$6005,0)=ROW()-5,N($X387)+1,N($X387)))</f>
        <v/>
      </c>
      <c r="Z388">
        <f>IF($V388="","",IF($AA388&gt;N($AA387),$AA388,""))</f>
        <v/>
      </c>
      <c r="AA388">
        <f>IF($V388="",N($AA387),IF(MATCH($V388,$V$6:$V$6005,0)=ROW()-5,N($AA387)+1,N($AA387)))</f>
        <v/>
      </c>
    </row>
    <row r="389" ht="21" customHeight="1" s="66">
      <c r="A389" s="56" t="n"/>
      <c r="B389" s="57" t="n"/>
      <c r="C389" s="57" t="n"/>
      <c r="D389" s="57" t="n"/>
      <c r="E389" s="56" t="n"/>
      <c r="F389" s="57" t="n"/>
      <c r="G389" s="57" t="n"/>
      <c r="H389" s="56" t="n"/>
      <c r="I389" s="56" t="n"/>
      <c r="J389" s="58" t="n"/>
      <c r="K389" s="58" t="n"/>
      <c r="L389" s="13">
        <f>IF(OR($A389="",AND($J389="",$K389="")),"",ROUND(N($J389)-N($K389),2))</f>
        <v/>
      </c>
      <c r="M389" s="13">
        <f>IF(OR($A389="",AND($J389="",$K389="")),"",MIN($J389,$K389))</f>
        <v/>
      </c>
      <c r="Q389">
        <f>IF($A389="","",$D389&amp;"("&amp;SUBSTITUTE($E389," ","")&amp;")")</f>
        <v/>
      </c>
      <c r="R389">
        <f>IF($A389="","",$B389&amp;" - "&amp;$C389)</f>
        <v/>
      </c>
      <c r="S389">
        <f>IF($A389="","",$R389&amp;"|"&amp;$Q389)</f>
        <v/>
      </c>
      <c r="T389">
        <f>IF($A389="","",$S389&amp;"|"&amp;$F389)</f>
        <v/>
      </c>
      <c r="U389">
        <f>IF($A389="","",$R389&amp;"("&amp;$E389&amp;")")</f>
        <v/>
      </c>
      <c r="V389">
        <f>IF($A389="","",$F389&amp;"|"&amp;$U389&amp;"|"&amp;$D389)</f>
        <v/>
      </c>
      <c r="W389">
        <f>IF($T389="","",IF($X389&gt;N($X388),$X389,""))</f>
        <v/>
      </c>
      <c r="X389">
        <f>IF($T389="",N($X388),IF(MATCH($T389,$T$6:$T$6005,0)=ROW()-5,N($X388)+1,N($X388)))</f>
        <v/>
      </c>
      <c r="Z389">
        <f>IF($V389="","",IF($AA389&gt;N($AA388),$AA389,""))</f>
        <v/>
      </c>
      <c r="AA389">
        <f>IF($V389="",N($AA388),IF(MATCH($V389,$V$6:$V$6005,0)=ROW()-5,N($AA388)+1,N($AA388)))</f>
        <v/>
      </c>
    </row>
    <row r="390" ht="21" customHeight="1" s="66">
      <c r="A390" s="56" t="n"/>
      <c r="B390" s="57" t="n"/>
      <c r="C390" s="57" t="n"/>
      <c r="D390" s="57" t="n"/>
      <c r="E390" s="56" t="n"/>
      <c r="F390" s="57" t="n"/>
      <c r="G390" s="57" t="n"/>
      <c r="H390" s="56" t="n"/>
      <c r="I390" s="56" t="n"/>
      <c r="J390" s="58" t="n"/>
      <c r="K390" s="58" t="n"/>
      <c r="L390" s="13">
        <f>IF(OR($A390="",AND($J390="",$K390="")),"",ROUND(N($J390)-N($K390),2))</f>
        <v/>
      </c>
      <c r="M390" s="13">
        <f>IF(OR($A390="",AND($J390="",$K390="")),"",MIN($J390,$K390))</f>
        <v/>
      </c>
      <c r="Q390">
        <f>IF($A390="","",$D390&amp;"("&amp;SUBSTITUTE($E390," ","")&amp;")")</f>
        <v/>
      </c>
      <c r="R390">
        <f>IF($A390="","",$B390&amp;" - "&amp;$C390)</f>
        <v/>
      </c>
      <c r="S390">
        <f>IF($A390="","",$R390&amp;"|"&amp;$Q390)</f>
        <v/>
      </c>
      <c r="T390">
        <f>IF($A390="","",$S390&amp;"|"&amp;$F390)</f>
        <v/>
      </c>
      <c r="U390">
        <f>IF($A390="","",$R390&amp;"("&amp;$E390&amp;")")</f>
        <v/>
      </c>
      <c r="V390">
        <f>IF($A390="","",$F390&amp;"|"&amp;$U390&amp;"|"&amp;$D390)</f>
        <v/>
      </c>
      <c r="W390">
        <f>IF($T390="","",IF($X390&gt;N($X389),$X390,""))</f>
        <v/>
      </c>
      <c r="X390">
        <f>IF($T390="",N($X389),IF(MATCH($T390,$T$6:$T$6005,0)=ROW()-5,N($X389)+1,N($X389)))</f>
        <v/>
      </c>
      <c r="Z390">
        <f>IF($V390="","",IF($AA390&gt;N($AA389),$AA390,""))</f>
        <v/>
      </c>
      <c r="AA390">
        <f>IF($V390="",N($AA389),IF(MATCH($V390,$V$6:$V$6005,0)=ROW()-5,N($AA389)+1,N($AA389)))</f>
        <v/>
      </c>
    </row>
    <row r="391" ht="21" customHeight="1" s="66">
      <c r="A391" s="56" t="n"/>
      <c r="B391" s="57" t="n"/>
      <c r="C391" s="57" t="n"/>
      <c r="D391" s="57" t="n"/>
      <c r="E391" s="56" t="n"/>
      <c r="F391" s="57" t="n"/>
      <c r="G391" s="57" t="n"/>
      <c r="H391" s="56" t="n"/>
      <c r="I391" s="56" t="n"/>
      <c r="J391" s="58" t="n"/>
      <c r="K391" s="58" t="n"/>
      <c r="L391" s="13">
        <f>IF(OR($A391="",AND($J391="",$K391="")),"",ROUND(N($J391)-N($K391),2))</f>
        <v/>
      </c>
      <c r="M391" s="13">
        <f>IF(OR($A391="",AND($J391="",$K391="")),"",MIN($J391,$K391))</f>
        <v/>
      </c>
      <c r="Q391">
        <f>IF($A391="","",$D391&amp;"("&amp;SUBSTITUTE($E391," ","")&amp;")")</f>
        <v/>
      </c>
      <c r="R391">
        <f>IF($A391="","",$B391&amp;" - "&amp;$C391)</f>
        <v/>
      </c>
      <c r="S391">
        <f>IF($A391="","",$R391&amp;"|"&amp;$Q391)</f>
        <v/>
      </c>
      <c r="T391">
        <f>IF($A391="","",$S391&amp;"|"&amp;$F391)</f>
        <v/>
      </c>
      <c r="U391">
        <f>IF($A391="","",$R391&amp;"("&amp;$E391&amp;")")</f>
        <v/>
      </c>
      <c r="V391">
        <f>IF($A391="","",$F391&amp;"|"&amp;$U391&amp;"|"&amp;$D391)</f>
        <v/>
      </c>
      <c r="W391">
        <f>IF($T391="","",IF($X391&gt;N($X390),$X391,""))</f>
        <v/>
      </c>
      <c r="X391">
        <f>IF($T391="",N($X390),IF(MATCH($T391,$T$6:$T$6005,0)=ROW()-5,N($X390)+1,N($X390)))</f>
        <v/>
      </c>
      <c r="Z391">
        <f>IF($V391="","",IF($AA391&gt;N($AA390),$AA391,""))</f>
        <v/>
      </c>
      <c r="AA391">
        <f>IF($V391="",N($AA390),IF(MATCH($V391,$V$6:$V$6005,0)=ROW()-5,N($AA390)+1,N($AA390)))</f>
        <v/>
      </c>
    </row>
    <row r="392" ht="21" customHeight="1" s="66">
      <c r="A392" s="56" t="n"/>
      <c r="B392" s="57" t="n"/>
      <c r="C392" s="57" t="n"/>
      <c r="D392" s="57" t="n"/>
      <c r="E392" s="56" t="n"/>
      <c r="F392" s="57" t="n"/>
      <c r="G392" s="57" t="n"/>
      <c r="H392" s="56" t="n"/>
      <c r="I392" s="56" t="n"/>
      <c r="J392" s="58" t="n"/>
      <c r="K392" s="58" t="n"/>
      <c r="L392" s="13">
        <f>IF(OR($A392="",AND($J392="",$K392="")),"",ROUND(N($J392)-N($K392),2))</f>
        <v/>
      </c>
      <c r="M392" s="13">
        <f>IF(OR($A392="",AND($J392="",$K392="")),"",MIN($J392,$K392))</f>
        <v/>
      </c>
      <c r="Q392">
        <f>IF($A392="","",$D392&amp;"("&amp;SUBSTITUTE($E392," ","")&amp;")")</f>
        <v/>
      </c>
      <c r="R392">
        <f>IF($A392="","",$B392&amp;" - "&amp;$C392)</f>
        <v/>
      </c>
      <c r="S392">
        <f>IF($A392="","",$R392&amp;"|"&amp;$Q392)</f>
        <v/>
      </c>
      <c r="T392">
        <f>IF($A392="","",$S392&amp;"|"&amp;$F392)</f>
        <v/>
      </c>
      <c r="U392">
        <f>IF($A392="","",$R392&amp;"("&amp;$E392&amp;")")</f>
        <v/>
      </c>
      <c r="V392">
        <f>IF($A392="","",$F392&amp;"|"&amp;$U392&amp;"|"&amp;$D392)</f>
        <v/>
      </c>
      <c r="W392">
        <f>IF($T392="","",IF($X392&gt;N($X391),$X392,""))</f>
        <v/>
      </c>
      <c r="X392">
        <f>IF($T392="",N($X391),IF(MATCH($T392,$T$6:$T$6005,0)=ROW()-5,N($X391)+1,N($X391)))</f>
        <v/>
      </c>
      <c r="Z392">
        <f>IF($V392="","",IF($AA392&gt;N($AA391),$AA392,""))</f>
        <v/>
      </c>
      <c r="AA392">
        <f>IF($V392="",N($AA391),IF(MATCH($V392,$V$6:$V$6005,0)=ROW()-5,N($AA391)+1,N($AA391)))</f>
        <v/>
      </c>
    </row>
    <row r="393" ht="21" customHeight="1" s="66">
      <c r="A393" s="56" t="n"/>
      <c r="B393" s="57" t="n"/>
      <c r="C393" s="57" t="n"/>
      <c r="D393" s="57" t="n"/>
      <c r="E393" s="56" t="n"/>
      <c r="F393" s="57" t="n"/>
      <c r="G393" s="57" t="n"/>
      <c r="H393" s="56" t="n"/>
      <c r="I393" s="56" t="n"/>
      <c r="J393" s="58" t="n"/>
      <c r="K393" s="58" t="n"/>
      <c r="L393" s="13">
        <f>IF(OR($A393="",AND($J393="",$K393="")),"",ROUND(N($J393)-N($K393),2))</f>
        <v/>
      </c>
      <c r="M393" s="13">
        <f>IF(OR($A393="",AND($J393="",$K393="")),"",MIN($J393,$K393))</f>
        <v/>
      </c>
      <c r="Q393">
        <f>IF($A393="","",$D393&amp;"("&amp;SUBSTITUTE($E393," ","")&amp;")")</f>
        <v/>
      </c>
      <c r="R393">
        <f>IF($A393="","",$B393&amp;" - "&amp;$C393)</f>
        <v/>
      </c>
      <c r="S393">
        <f>IF($A393="","",$R393&amp;"|"&amp;$Q393)</f>
        <v/>
      </c>
      <c r="T393">
        <f>IF($A393="","",$S393&amp;"|"&amp;$F393)</f>
        <v/>
      </c>
      <c r="U393">
        <f>IF($A393="","",$R393&amp;"("&amp;$E393&amp;")")</f>
        <v/>
      </c>
      <c r="V393">
        <f>IF($A393="","",$F393&amp;"|"&amp;$U393&amp;"|"&amp;$D393)</f>
        <v/>
      </c>
      <c r="W393">
        <f>IF($T393="","",IF($X393&gt;N($X392),$X393,""))</f>
        <v/>
      </c>
      <c r="X393">
        <f>IF($T393="",N($X392),IF(MATCH($T393,$T$6:$T$6005,0)=ROW()-5,N($X392)+1,N($X392)))</f>
        <v/>
      </c>
      <c r="Z393">
        <f>IF($V393="","",IF($AA393&gt;N($AA392),$AA393,""))</f>
        <v/>
      </c>
      <c r="AA393">
        <f>IF($V393="",N($AA392),IF(MATCH($V393,$V$6:$V$6005,0)=ROW()-5,N($AA392)+1,N($AA392)))</f>
        <v/>
      </c>
    </row>
    <row r="394" ht="21" customHeight="1" s="66">
      <c r="A394" s="56" t="n"/>
      <c r="B394" s="57" t="n"/>
      <c r="C394" s="57" t="n"/>
      <c r="D394" s="57" t="n"/>
      <c r="E394" s="56" t="n"/>
      <c r="F394" s="57" t="n"/>
      <c r="G394" s="57" t="n"/>
      <c r="H394" s="56" t="n"/>
      <c r="I394" s="56" t="n"/>
      <c r="J394" s="58" t="n"/>
      <c r="K394" s="58" t="n"/>
      <c r="L394" s="13">
        <f>IF(OR($A394="",AND($J394="",$K394="")),"",ROUND(N($J394)-N($K394),2))</f>
        <v/>
      </c>
      <c r="M394" s="13">
        <f>IF(OR($A394="",AND($J394="",$K394="")),"",MIN($J394,$K394))</f>
        <v/>
      </c>
      <c r="Q394">
        <f>IF($A394="","",$D394&amp;"("&amp;SUBSTITUTE($E394," ","")&amp;")")</f>
        <v/>
      </c>
      <c r="R394">
        <f>IF($A394="","",$B394&amp;" - "&amp;$C394)</f>
        <v/>
      </c>
      <c r="S394">
        <f>IF($A394="","",$R394&amp;"|"&amp;$Q394)</f>
        <v/>
      </c>
      <c r="T394">
        <f>IF($A394="","",$S394&amp;"|"&amp;$F394)</f>
        <v/>
      </c>
      <c r="U394">
        <f>IF($A394="","",$R394&amp;"("&amp;$E394&amp;")")</f>
        <v/>
      </c>
      <c r="V394">
        <f>IF($A394="","",$F394&amp;"|"&amp;$U394&amp;"|"&amp;$D394)</f>
        <v/>
      </c>
      <c r="W394">
        <f>IF($T394="","",IF($X394&gt;N($X393),$X394,""))</f>
        <v/>
      </c>
      <c r="X394">
        <f>IF($T394="",N($X393),IF(MATCH($T394,$T$6:$T$6005,0)=ROW()-5,N($X393)+1,N($X393)))</f>
        <v/>
      </c>
      <c r="Z394">
        <f>IF($V394="","",IF($AA394&gt;N($AA393),$AA394,""))</f>
        <v/>
      </c>
      <c r="AA394">
        <f>IF($V394="",N($AA393),IF(MATCH($V394,$V$6:$V$6005,0)=ROW()-5,N($AA393)+1,N($AA393)))</f>
        <v/>
      </c>
    </row>
    <row r="395" ht="21" customHeight="1" s="66">
      <c r="A395" s="56" t="n"/>
      <c r="B395" s="57" t="n"/>
      <c r="C395" s="57" t="n"/>
      <c r="D395" s="57" t="n"/>
      <c r="E395" s="56" t="n"/>
      <c r="F395" s="57" t="n"/>
      <c r="G395" s="57" t="n"/>
      <c r="H395" s="56" t="n"/>
      <c r="I395" s="56" t="n"/>
      <c r="J395" s="58" t="n"/>
      <c r="K395" s="58" t="n"/>
      <c r="L395" s="13">
        <f>IF(OR($A395="",AND($J395="",$K395="")),"",ROUND(N($J395)-N($K395),2))</f>
        <v/>
      </c>
      <c r="M395" s="13">
        <f>IF(OR($A395="",AND($J395="",$K395="")),"",MIN($J395,$K395))</f>
        <v/>
      </c>
      <c r="Q395">
        <f>IF($A395="","",$D395&amp;"("&amp;SUBSTITUTE($E395," ","")&amp;")")</f>
        <v/>
      </c>
      <c r="R395">
        <f>IF($A395="","",$B395&amp;" - "&amp;$C395)</f>
        <v/>
      </c>
      <c r="S395">
        <f>IF($A395="","",$R395&amp;"|"&amp;$Q395)</f>
        <v/>
      </c>
      <c r="T395">
        <f>IF($A395="","",$S395&amp;"|"&amp;$F395)</f>
        <v/>
      </c>
      <c r="U395">
        <f>IF($A395="","",$R395&amp;"("&amp;$E395&amp;")")</f>
        <v/>
      </c>
      <c r="V395">
        <f>IF($A395="","",$F395&amp;"|"&amp;$U395&amp;"|"&amp;$D395)</f>
        <v/>
      </c>
      <c r="W395">
        <f>IF($T395="","",IF($X395&gt;N($X394),$X395,""))</f>
        <v/>
      </c>
      <c r="X395">
        <f>IF($T395="",N($X394),IF(MATCH($T395,$T$6:$T$6005,0)=ROW()-5,N($X394)+1,N($X394)))</f>
        <v/>
      </c>
      <c r="Z395">
        <f>IF($V395="","",IF($AA395&gt;N($AA394),$AA395,""))</f>
        <v/>
      </c>
      <c r="AA395">
        <f>IF($V395="",N($AA394),IF(MATCH($V395,$V$6:$V$6005,0)=ROW()-5,N($AA394)+1,N($AA394)))</f>
        <v/>
      </c>
    </row>
    <row r="396" ht="21" customHeight="1" s="66">
      <c r="A396" s="56" t="n"/>
      <c r="B396" s="57" t="n"/>
      <c r="C396" s="57" t="n"/>
      <c r="D396" s="57" t="n"/>
      <c r="E396" s="56" t="n"/>
      <c r="F396" s="57" t="n"/>
      <c r="G396" s="57" t="n"/>
      <c r="H396" s="56" t="n"/>
      <c r="I396" s="56" t="n"/>
      <c r="J396" s="58" t="n"/>
      <c r="K396" s="58" t="n"/>
      <c r="L396" s="13">
        <f>IF(OR($A396="",AND($J396="",$K396="")),"",ROUND(N($J396)-N($K396),2))</f>
        <v/>
      </c>
      <c r="M396" s="13">
        <f>IF(OR($A396="",AND($J396="",$K396="")),"",MIN($J396,$K396))</f>
        <v/>
      </c>
      <c r="Q396">
        <f>IF($A396="","",$D396&amp;"("&amp;SUBSTITUTE($E396," ","")&amp;")")</f>
        <v/>
      </c>
      <c r="R396">
        <f>IF($A396="","",$B396&amp;" - "&amp;$C396)</f>
        <v/>
      </c>
      <c r="S396">
        <f>IF($A396="","",$R396&amp;"|"&amp;$Q396)</f>
        <v/>
      </c>
      <c r="T396">
        <f>IF($A396="","",$S396&amp;"|"&amp;$F396)</f>
        <v/>
      </c>
      <c r="U396">
        <f>IF($A396="","",$R396&amp;"("&amp;$E396&amp;")")</f>
        <v/>
      </c>
      <c r="V396">
        <f>IF($A396="","",$F396&amp;"|"&amp;$U396&amp;"|"&amp;$D396)</f>
        <v/>
      </c>
      <c r="W396">
        <f>IF($T396="","",IF($X396&gt;N($X395),$X396,""))</f>
        <v/>
      </c>
      <c r="X396">
        <f>IF($T396="",N($X395),IF(MATCH($T396,$T$6:$T$6005,0)=ROW()-5,N($X395)+1,N($X395)))</f>
        <v/>
      </c>
      <c r="Z396">
        <f>IF($V396="","",IF($AA396&gt;N($AA395),$AA396,""))</f>
        <v/>
      </c>
      <c r="AA396">
        <f>IF($V396="",N($AA395),IF(MATCH($V396,$V$6:$V$6005,0)=ROW()-5,N($AA395)+1,N($AA395)))</f>
        <v/>
      </c>
    </row>
    <row r="397" ht="21" customHeight="1" s="66">
      <c r="A397" s="56" t="n"/>
      <c r="B397" s="57" t="n"/>
      <c r="C397" s="57" t="n"/>
      <c r="D397" s="57" t="n"/>
      <c r="E397" s="56" t="n"/>
      <c r="F397" s="57" t="n"/>
      <c r="G397" s="57" t="n"/>
      <c r="H397" s="56" t="n"/>
      <c r="I397" s="56" t="n"/>
      <c r="J397" s="58" t="n"/>
      <c r="K397" s="58" t="n"/>
      <c r="L397" s="13">
        <f>IF(OR($A397="",AND($J397="",$K397="")),"",ROUND(N($J397)-N($K397),2))</f>
        <v/>
      </c>
      <c r="M397" s="13">
        <f>IF(OR($A397="",AND($J397="",$K397="")),"",MIN($J397,$K397))</f>
        <v/>
      </c>
      <c r="Q397">
        <f>IF($A397="","",$D397&amp;"("&amp;SUBSTITUTE($E397," ","")&amp;")")</f>
        <v/>
      </c>
      <c r="R397">
        <f>IF($A397="","",$B397&amp;" - "&amp;$C397)</f>
        <v/>
      </c>
      <c r="S397">
        <f>IF($A397="","",$R397&amp;"|"&amp;$Q397)</f>
        <v/>
      </c>
      <c r="T397">
        <f>IF($A397="","",$S397&amp;"|"&amp;$F397)</f>
        <v/>
      </c>
      <c r="U397">
        <f>IF($A397="","",$R397&amp;"("&amp;$E397&amp;")")</f>
        <v/>
      </c>
      <c r="V397">
        <f>IF($A397="","",$F397&amp;"|"&amp;$U397&amp;"|"&amp;$D397)</f>
        <v/>
      </c>
      <c r="W397">
        <f>IF($T397="","",IF($X397&gt;N($X396),$X397,""))</f>
        <v/>
      </c>
      <c r="X397">
        <f>IF($T397="",N($X396),IF(MATCH($T397,$T$6:$T$6005,0)=ROW()-5,N($X396)+1,N($X396)))</f>
        <v/>
      </c>
      <c r="Z397">
        <f>IF($V397="","",IF($AA397&gt;N($AA396),$AA397,""))</f>
        <v/>
      </c>
      <c r="AA397">
        <f>IF($V397="",N($AA396),IF(MATCH($V397,$V$6:$V$6005,0)=ROW()-5,N($AA396)+1,N($AA396)))</f>
        <v/>
      </c>
    </row>
    <row r="398" ht="21" customHeight="1" s="66">
      <c r="A398" s="56" t="n"/>
      <c r="B398" s="57" t="n"/>
      <c r="C398" s="57" t="n"/>
      <c r="D398" s="57" t="n"/>
      <c r="E398" s="56" t="n"/>
      <c r="F398" s="57" t="n"/>
      <c r="G398" s="57" t="n"/>
      <c r="H398" s="56" t="n"/>
      <c r="I398" s="56" t="n"/>
      <c r="J398" s="58" t="n"/>
      <c r="K398" s="58" t="n"/>
      <c r="L398" s="13">
        <f>IF(OR($A398="",AND($J398="",$K398="")),"",ROUND(N($J398)-N($K398),2))</f>
        <v/>
      </c>
      <c r="M398" s="13">
        <f>IF(OR($A398="",AND($J398="",$K398="")),"",MIN($J398,$K398))</f>
        <v/>
      </c>
      <c r="Q398">
        <f>IF($A398="","",$D398&amp;"("&amp;SUBSTITUTE($E398," ","")&amp;")")</f>
        <v/>
      </c>
      <c r="R398">
        <f>IF($A398="","",$B398&amp;" - "&amp;$C398)</f>
        <v/>
      </c>
      <c r="S398">
        <f>IF($A398="","",$R398&amp;"|"&amp;$Q398)</f>
        <v/>
      </c>
      <c r="T398">
        <f>IF($A398="","",$S398&amp;"|"&amp;$F398)</f>
        <v/>
      </c>
      <c r="U398">
        <f>IF($A398="","",$R398&amp;"("&amp;$E398&amp;")")</f>
        <v/>
      </c>
      <c r="V398">
        <f>IF($A398="","",$F398&amp;"|"&amp;$U398&amp;"|"&amp;$D398)</f>
        <v/>
      </c>
      <c r="W398">
        <f>IF($T398="","",IF($X398&gt;N($X397),$X398,""))</f>
        <v/>
      </c>
      <c r="X398">
        <f>IF($T398="",N($X397),IF(MATCH($T398,$T$6:$T$6005,0)=ROW()-5,N($X397)+1,N($X397)))</f>
        <v/>
      </c>
      <c r="Z398">
        <f>IF($V398="","",IF($AA398&gt;N($AA397),$AA398,""))</f>
        <v/>
      </c>
      <c r="AA398">
        <f>IF($V398="",N($AA397),IF(MATCH($V398,$V$6:$V$6005,0)=ROW()-5,N($AA397)+1,N($AA397)))</f>
        <v/>
      </c>
    </row>
    <row r="399" ht="21" customHeight="1" s="66">
      <c r="A399" s="56" t="n"/>
      <c r="B399" s="57" t="n"/>
      <c r="C399" s="57" t="n"/>
      <c r="D399" s="57" t="n"/>
      <c r="E399" s="56" t="n"/>
      <c r="F399" s="57" t="n"/>
      <c r="G399" s="57" t="n"/>
      <c r="H399" s="56" t="n"/>
      <c r="I399" s="56" t="n"/>
      <c r="J399" s="58" t="n"/>
      <c r="K399" s="58" t="n"/>
      <c r="L399" s="13">
        <f>IF(OR($A399="",AND($J399="",$K399="")),"",ROUND(N($J399)-N($K399),2))</f>
        <v/>
      </c>
      <c r="M399" s="13">
        <f>IF(OR($A399="",AND($J399="",$K399="")),"",MIN($J399,$K399))</f>
        <v/>
      </c>
      <c r="Q399">
        <f>IF($A399="","",$D399&amp;"("&amp;SUBSTITUTE($E399," ","")&amp;")")</f>
        <v/>
      </c>
      <c r="R399">
        <f>IF($A399="","",$B399&amp;" - "&amp;$C399)</f>
        <v/>
      </c>
      <c r="S399">
        <f>IF($A399="","",$R399&amp;"|"&amp;$Q399)</f>
        <v/>
      </c>
      <c r="T399">
        <f>IF($A399="","",$S399&amp;"|"&amp;$F399)</f>
        <v/>
      </c>
      <c r="U399">
        <f>IF($A399="","",$R399&amp;"("&amp;$E399&amp;")")</f>
        <v/>
      </c>
      <c r="V399">
        <f>IF($A399="","",$F399&amp;"|"&amp;$U399&amp;"|"&amp;$D399)</f>
        <v/>
      </c>
      <c r="W399">
        <f>IF($T399="","",IF($X399&gt;N($X398),$X399,""))</f>
        <v/>
      </c>
      <c r="X399">
        <f>IF($T399="",N($X398),IF(MATCH($T399,$T$6:$T$6005,0)=ROW()-5,N($X398)+1,N($X398)))</f>
        <v/>
      </c>
      <c r="Z399">
        <f>IF($V399="","",IF($AA399&gt;N($AA398),$AA399,""))</f>
        <v/>
      </c>
      <c r="AA399">
        <f>IF($V399="",N($AA398),IF(MATCH($V399,$V$6:$V$6005,0)=ROW()-5,N($AA398)+1,N($AA398)))</f>
        <v/>
      </c>
    </row>
    <row r="400" ht="21" customHeight="1" s="66">
      <c r="A400" s="56" t="n"/>
      <c r="B400" s="57" t="n"/>
      <c r="C400" s="57" t="n"/>
      <c r="D400" s="57" t="n"/>
      <c r="E400" s="56" t="n"/>
      <c r="F400" s="57" t="n"/>
      <c r="G400" s="57" t="n"/>
      <c r="H400" s="56" t="n"/>
      <c r="I400" s="56" t="n"/>
      <c r="J400" s="58" t="n"/>
      <c r="K400" s="58" t="n"/>
      <c r="L400" s="13">
        <f>IF(OR($A400="",AND($J400="",$K400="")),"",ROUND(N($J400)-N($K400),2))</f>
        <v/>
      </c>
      <c r="M400" s="13">
        <f>IF(OR($A400="",AND($J400="",$K400="")),"",MIN($J400,$K400))</f>
        <v/>
      </c>
      <c r="Q400">
        <f>IF($A400="","",$D400&amp;"("&amp;SUBSTITUTE($E400," ","")&amp;")")</f>
        <v/>
      </c>
      <c r="R400">
        <f>IF($A400="","",$B400&amp;" - "&amp;$C400)</f>
        <v/>
      </c>
      <c r="S400">
        <f>IF($A400="","",$R400&amp;"|"&amp;$Q400)</f>
        <v/>
      </c>
      <c r="T400">
        <f>IF($A400="","",$S400&amp;"|"&amp;$F400)</f>
        <v/>
      </c>
      <c r="U400">
        <f>IF($A400="","",$R400&amp;"("&amp;$E400&amp;")")</f>
        <v/>
      </c>
      <c r="V400">
        <f>IF($A400="","",$F400&amp;"|"&amp;$U400&amp;"|"&amp;$D400)</f>
        <v/>
      </c>
      <c r="W400">
        <f>IF($T400="","",IF($X400&gt;N($X399),$X400,""))</f>
        <v/>
      </c>
      <c r="X400">
        <f>IF($T400="",N($X399),IF(MATCH($T400,$T$6:$T$6005,0)=ROW()-5,N($X399)+1,N($X399)))</f>
        <v/>
      </c>
      <c r="Z400">
        <f>IF($V400="","",IF($AA400&gt;N($AA399),$AA400,""))</f>
        <v/>
      </c>
      <c r="AA400">
        <f>IF($V400="",N($AA399),IF(MATCH($V400,$V$6:$V$6005,0)=ROW()-5,N($AA399)+1,N($AA399)))</f>
        <v/>
      </c>
    </row>
    <row r="401" ht="21" customHeight="1" s="66">
      <c r="A401" s="56" t="n"/>
      <c r="B401" s="57" t="n"/>
      <c r="C401" s="57" t="n"/>
      <c r="D401" s="57" t="n"/>
      <c r="E401" s="56" t="n"/>
      <c r="F401" s="57" t="n"/>
      <c r="G401" s="57" t="n"/>
      <c r="H401" s="56" t="n"/>
      <c r="I401" s="56" t="n"/>
      <c r="J401" s="58" t="n"/>
      <c r="K401" s="58" t="n"/>
      <c r="L401" s="13">
        <f>IF(OR($A401="",AND($J401="",$K401="")),"",ROUND(N($J401)-N($K401),2))</f>
        <v/>
      </c>
      <c r="M401" s="13">
        <f>IF(OR($A401="",AND($J401="",$K401="")),"",MIN($J401,$K401))</f>
        <v/>
      </c>
      <c r="Q401">
        <f>IF($A401="","",$D401&amp;"("&amp;SUBSTITUTE($E401," ","")&amp;")")</f>
        <v/>
      </c>
      <c r="R401">
        <f>IF($A401="","",$B401&amp;" - "&amp;$C401)</f>
        <v/>
      </c>
      <c r="S401">
        <f>IF($A401="","",$R401&amp;"|"&amp;$Q401)</f>
        <v/>
      </c>
      <c r="T401">
        <f>IF($A401="","",$S401&amp;"|"&amp;$F401)</f>
        <v/>
      </c>
      <c r="U401">
        <f>IF($A401="","",$R401&amp;"("&amp;$E401&amp;")")</f>
        <v/>
      </c>
      <c r="V401">
        <f>IF($A401="","",$F401&amp;"|"&amp;$U401&amp;"|"&amp;$D401)</f>
        <v/>
      </c>
      <c r="W401">
        <f>IF($T401="","",IF($X401&gt;N($X400),$X401,""))</f>
        <v/>
      </c>
      <c r="X401">
        <f>IF($T401="",N($X400),IF(MATCH($T401,$T$6:$T$6005,0)=ROW()-5,N($X400)+1,N($X400)))</f>
        <v/>
      </c>
      <c r="Z401">
        <f>IF($V401="","",IF($AA401&gt;N($AA400),$AA401,""))</f>
        <v/>
      </c>
      <c r="AA401">
        <f>IF($V401="",N($AA400),IF(MATCH($V401,$V$6:$V$6005,0)=ROW()-5,N($AA400)+1,N($AA400)))</f>
        <v/>
      </c>
    </row>
    <row r="402" ht="21" customHeight="1" s="66">
      <c r="A402" s="56" t="n"/>
      <c r="B402" s="57" t="n"/>
      <c r="C402" s="57" t="n"/>
      <c r="D402" s="57" t="n"/>
      <c r="E402" s="56" t="n"/>
      <c r="F402" s="57" t="n"/>
      <c r="G402" s="57" t="n"/>
      <c r="H402" s="56" t="n"/>
      <c r="I402" s="56" t="n"/>
      <c r="J402" s="58" t="n"/>
      <c r="K402" s="58" t="n"/>
      <c r="L402" s="13">
        <f>IF(OR($A402="",AND($J402="",$K402="")),"",ROUND(N($J402)-N($K402),2))</f>
        <v/>
      </c>
      <c r="M402" s="13">
        <f>IF(OR($A402="",AND($J402="",$K402="")),"",MIN($J402,$K402))</f>
        <v/>
      </c>
      <c r="Q402">
        <f>IF($A402="","",$D402&amp;"("&amp;SUBSTITUTE($E402," ","")&amp;")")</f>
        <v/>
      </c>
      <c r="R402">
        <f>IF($A402="","",$B402&amp;" - "&amp;$C402)</f>
        <v/>
      </c>
      <c r="S402">
        <f>IF($A402="","",$R402&amp;"|"&amp;$Q402)</f>
        <v/>
      </c>
      <c r="T402">
        <f>IF($A402="","",$S402&amp;"|"&amp;$F402)</f>
        <v/>
      </c>
      <c r="U402">
        <f>IF($A402="","",$R402&amp;"("&amp;$E402&amp;")")</f>
        <v/>
      </c>
      <c r="V402">
        <f>IF($A402="","",$F402&amp;"|"&amp;$U402&amp;"|"&amp;$D402)</f>
        <v/>
      </c>
      <c r="W402">
        <f>IF($T402="","",IF($X402&gt;N($X401),$X402,""))</f>
        <v/>
      </c>
      <c r="X402">
        <f>IF($T402="",N($X401),IF(MATCH($T402,$T$6:$T$6005,0)=ROW()-5,N($X401)+1,N($X401)))</f>
        <v/>
      </c>
      <c r="Z402">
        <f>IF($V402="","",IF($AA402&gt;N($AA401),$AA402,""))</f>
        <v/>
      </c>
      <c r="AA402">
        <f>IF($V402="",N($AA401),IF(MATCH($V402,$V$6:$V$6005,0)=ROW()-5,N($AA401)+1,N($AA401)))</f>
        <v/>
      </c>
    </row>
    <row r="403" ht="21" customHeight="1" s="66">
      <c r="A403" s="56" t="n"/>
      <c r="B403" s="57" t="n"/>
      <c r="C403" s="57" t="n"/>
      <c r="D403" s="57" t="n"/>
      <c r="E403" s="56" t="n"/>
      <c r="F403" s="57" t="n"/>
      <c r="G403" s="57" t="n"/>
      <c r="H403" s="56" t="n"/>
      <c r="I403" s="56" t="n"/>
      <c r="J403" s="58" t="n"/>
      <c r="K403" s="58" t="n"/>
      <c r="L403" s="13">
        <f>IF(OR($A403="",AND($J403="",$K403="")),"",ROUND(N($J403)-N($K403),2))</f>
        <v/>
      </c>
      <c r="M403" s="13">
        <f>IF(OR($A403="",AND($J403="",$K403="")),"",MIN($J403,$K403))</f>
        <v/>
      </c>
      <c r="Q403">
        <f>IF($A403="","",$D403&amp;"("&amp;SUBSTITUTE($E403," ","")&amp;")")</f>
        <v/>
      </c>
      <c r="R403">
        <f>IF($A403="","",$B403&amp;" - "&amp;$C403)</f>
        <v/>
      </c>
      <c r="S403">
        <f>IF($A403="","",$R403&amp;"|"&amp;$Q403)</f>
        <v/>
      </c>
      <c r="T403">
        <f>IF($A403="","",$S403&amp;"|"&amp;$F403)</f>
        <v/>
      </c>
      <c r="U403">
        <f>IF($A403="","",$R403&amp;"("&amp;$E403&amp;")")</f>
        <v/>
      </c>
      <c r="V403">
        <f>IF($A403="","",$F403&amp;"|"&amp;$U403&amp;"|"&amp;$D403)</f>
        <v/>
      </c>
      <c r="W403">
        <f>IF($T403="","",IF($X403&gt;N($X402),$X403,""))</f>
        <v/>
      </c>
      <c r="X403">
        <f>IF($T403="",N($X402),IF(MATCH($T403,$T$6:$T$6005,0)=ROW()-5,N($X402)+1,N($X402)))</f>
        <v/>
      </c>
      <c r="Z403">
        <f>IF($V403="","",IF($AA403&gt;N($AA402),$AA403,""))</f>
        <v/>
      </c>
      <c r="AA403">
        <f>IF($V403="",N($AA402),IF(MATCH($V403,$V$6:$V$6005,0)=ROW()-5,N($AA402)+1,N($AA402)))</f>
        <v/>
      </c>
    </row>
    <row r="404" ht="21" customHeight="1" s="66">
      <c r="A404" s="56" t="n"/>
      <c r="B404" s="57" t="n"/>
      <c r="C404" s="57" t="n"/>
      <c r="D404" s="57" t="n"/>
      <c r="E404" s="56" t="n"/>
      <c r="F404" s="57" t="n"/>
      <c r="G404" s="57" t="n"/>
      <c r="H404" s="56" t="n"/>
      <c r="I404" s="56" t="n"/>
      <c r="J404" s="58" t="n"/>
      <c r="K404" s="58" t="n"/>
      <c r="L404" s="13">
        <f>IF(OR($A404="",AND($J404="",$K404="")),"",ROUND(N($J404)-N($K404),2))</f>
        <v/>
      </c>
      <c r="M404" s="13">
        <f>IF(OR($A404="",AND($J404="",$K404="")),"",MIN($J404,$K404))</f>
        <v/>
      </c>
      <c r="Q404">
        <f>IF($A404="","",$D404&amp;"("&amp;SUBSTITUTE($E404," ","")&amp;")")</f>
        <v/>
      </c>
      <c r="R404">
        <f>IF($A404="","",$B404&amp;" - "&amp;$C404)</f>
        <v/>
      </c>
      <c r="S404">
        <f>IF($A404="","",$R404&amp;"|"&amp;$Q404)</f>
        <v/>
      </c>
      <c r="T404">
        <f>IF($A404="","",$S404&amp;"|"&amp;$F404)</f>
        <v/>
      </c>
      <c r="U404">
        <f>IF($A404="","",$R404&amp;"("&amp;$E404&amp;")")</f>
        <v/>
      </c>
      <c r="V404">
        <f>IF($A404="","",$F404&amp;"|"&amp;$U404&amp;"|"&amp;$D404)</f>
        <v/>
      </c>
      <c r="W404">
        <f>IF($T404="","",IF($X404&gt;N($X403),$X404,""))</f>
        <v/>
      </c>
      <c r="X404">
        <f>IF($T404="",N($X403),IF(MATCH($T404,$T$6:$T$6005,0)=ROW()-5,N($X403)+1,N($X403)))</f>
        <v/>
      </c>
      <c r="Z404">
        <f>IF($V404="","",IF($AA404&gt;N($AA403),$AA404,""))</f>
        <v/>
      </c>
      <c r="AA404">
        <f>IF($V404="",N($AA403),IF(MATCH($V404,$V$6:$V$6005,0)=ROW()-5,N($AA403)+1,N($AA403)))</f>
        <v/>
      </c>
    </row>
    <row r="405" ht="21" customHeight="1" s="66">
      <c r="A405" s="56" t="n"/>
      <c r="B405" s="57" t="n"/>
      <c r="C405" s="57" t="n"/>
      <c r="D405" s="57" t="n"/>
      <c r="E405" s="56" t="n"/>
      <c r="F405" s="57" t="n"/>
      <c r="G405" s="57" t="n"/>
      <c r="H405" s="56" t="n"/>
      <c r="I405" s="56" t="n"/>
      <c r="J405" s="58" t="n"/>
      <c r="K405" s="58" t="n"/>
      <c r="L405" s="13">
        <f>IF(OR($A405="",AND($J405="",$K405="")),"",ROUND(N($J405)-N($K405),2))</f>
        <v/>
      </c>
      <c r="M405" s="13">
        <f>IF(OR($A405="",AND($J405="",$K405="")),"",MIN($J405,$K405))</f>
        <v/>
      </c>
      <c r="Q405">
        <f>IF($A405="","",$D405&amp;"("&amp;SUBSTITUTE($E405," ","")&amp;")")</f>
        <v/>
      </c>
      <c r="R405">
        <f>IF($A405="","",$B405&amp;" - "&amp;$C405)</f>
        <v/>
      </c>
      <c r="S405">
        <f>IF($A405="","",$R405&amp;"|"&amp;$Q405)</f>
        <v/>
      </c>
      <c r="T405">
        <f>IF($A405="","",$S405&amp;"|"&amp;$F405)</f>
        <v/>
      </c>
      <c r="U405">
        <f>IF($A405="","",$R405&amp;"("&amp;$E405&amp;")")</f>
        <v/>
      </c>
      <c r="V405">
        <f>IF($A405="","",$F405&amp;"|"&amp;$U405&amp;"|"&amp;$D405)</f>
        <v/>
      </c>
      <c r="W405">
        <f>IF($T405="","",IF($X405&gt;N($X404),$X405,""))</f>
        <v/>
      </c>
      <c r="X405">
        <f>IF($T405="",N($X404),IF(MATCH($T405,$T$6:$T$6005,0)=ROW()-5,N($X404)+1,N($X404)))</f>
        <v/>
      </c>
      <c r="Z405">
        <f>IF($V405="","",IF($AA405&gt;N($AA404),$AA405,""))</f>
        <v/>
      </c>
      <c r="AA405">
        <f>IF($V405="",N($AA404),IF(MATCH($V405,$V$6:$V$6005,0)=ROW()-5,N($AA404)+1,N($AA404)))</f>
        <v/>
      </c>
    </row>
    <row r="406" ht="21" customHeight="1" s="66">
      <c r="A406" s="56" t="n"/>
      <c r="B406" s="57" t="n"/>
      <c r="C406" s="57" t="n"/>
      <c r="D406" s="57" t="n"/>
      <c r="E406" s="56" t="n"/>
      <c r="F406" s="57" t="n"/>
      <c r="G406" s="57" t="n"/>
      <c r="H406" s="56" t="n"/>
      <c r="I406" s="56" t="n"/>
      <c r="J406" s="58" t="n"/>
      <c r="K406" s="58" t="n"/>
      <c r="L406" s="13">
        <f>IF(OR($A406="",AND($J406="",$K406="")),"",ROUND(N($J406)-N($K406),2))</f>
        <v/>
      </c>
      <c r="M406" s="13">
        <f>IF(OR($A406="",AND($J406="",$K406="")),"",MIN($J406,$K406))</f>
        <v/>
      </c>
      <c r="Q406">
        <f>IF($A406="","",$D406&amp;"("&amp;SUBSTITUTE($E406," ","")&amp;")")</f>
        <v/>
      </c>
      <c r="R406">
        <f>IF($A406="","",$B406&amp;" - "&amp;$C406)</f>
        <v/>
      </c>
      <c r="S406">
        <f>IF($A406="","",$R406&amp;"|"&amp;$Q406)</f>
        <v/>
      </c>
      <c r="T406">
        <f>IF($A406="","",$S406&amp;"|"&amp;$F406)</f>
        <v/>
      </c>
      <c r="U406">
        <f>IF($A406="","",$R406&amp;"("&amp;$E406&amp;")")</f>
        <v/>
      </c>
      <c r="V406">
        <f>IF($A406="","",$F406&amp;"|"&amp;$U406&amp;"|"&amp;$D406)</f>
        <v/>
      </c>
      <c r="W406">
        <f>IF($T406="","",IF($X406&gt;N($X405),$X406,""))</f>
        <v/>
      </c>
      <c r="X406">
        <f>IF($T406="",N($X405),IF(MATCH($T406,$T$6:$T$6005,0)=ROW()-5,N($X405)+1,N($X405)))</f>
        <v/>
      </c>
      <c r="Z406">
        <f>IF($V406="","",IF($AA406&gt;N($AA405),$AA406,""))</f>
        <v/>
      </c>
      <c r="AA406">
        <f>IF($V406="",N($AA405),IF(MATCH($V406,$V$6:$V$6005,0)=ROW()-5,N($AA405)+1,N($AA405)))</f>
        <v/>
      </c>
    </row>
    <row r="407" ht="21" customHeight="1" s="66">
      <c r="A407" s="56" t="n"/>
      <c r="B407" s="57" t="n"/>
      <c r="C407" s="57" t="n"/>
      <c r="D407" s="57" t="n"/>
      <c r="E407" s="56" t="n"/>
      <c r="F407" s="57" t="n"/>
      <c r="G407" s="57" t="n"/>
      <c r="H407" s="56" t="n"/>
      <c r="I407" s="56" t="n"/>
      <c r="J407" s="58" t="n"/>
      <c r="K407" s="58" t="n"/>
      <c r="L407" s="13">
        <f>IF(OR($A407="",AND($J407="",$K407="")),"",ROUND(N($J407)-N($K407),2))</f>
        <v/>
      </c>
      <c r="M407" s="13">
        <f>IF(OR($A407="",AND($J407="",$K407="")),"",MIN($J407,$K407))</f>
        <v/>
      </c>
      <c r="Q407">
        <f>IF($A407="","",$D407&amp;"("&amp;SUBSTITUTE($E407," ","")&amp;")")</f>
        <v/>
      </c>
      <c r="R407">
        <f>IF($A407="","",$B407&amp;" - "&amp;$C407)</f>
        <v/>
      </c>
      <c r="S407">
        <f>IF($A407="","",$R407&amp;"|"&amp;$Q407)</f>
        <v/>
      </c>
      <c r="T407">
        <f>IF($A407="","",$S407&amp;"|"&amp;$F407)</f>
        <v/>
      </c>
      <c r="U407">
        <f>IF($A407="","",$R407&amp;"("&amp;$E407&amp;")")</f>
        <v/>
      </c>
      <c r="V407">
        <f>IF($A407="","",$F407&amp;"|"&amp;$U407&amp;"|"&amp;$D407)</f>
        <v/>
      </c>
      <c r="W407">
        <f>IF($T407="","",IF($X407&gt;N($X406),$X407,""))</f>
        <v/>
      </c>
      <c r="X407">
        <f>IF($T407="",N($X406),IF(MATCH($T407,$T$6:$T$6005,0)=ROW()-5,N($X406)+1,N($X406)))</f>
        <v/>
      </c>
      <c r="Z407">
        <f>IF($V407="","",IF($AA407&gt;N($AA406),$AA407,""))</f>
        <v/>
      </c>
      <c r="AA407">
        <f>IF($V407="",N($AA406),IF(MATCH($V407,$V$6:$V$6005,0)=ROW()-5,N($AA406)+1,N($AA406)))</f>
        <v/>
      </c>
    </row>
    <row r="408" ht="21" customHeight="1" s="66">
      <c r="A408" s="56" t="n"/>
      <c r="B408" s="57" t="n"/>
      <c r="C408" s="57" t="n"/>
      <c r="D408" s="57" t="n"/>
      <c r="E408" s="56" t="n"/>
      <c r="F408" s="57" t="n"/>
      <c r="G408" s="57" t="n"/>
      <c r="H408" s="56" t="n"/>
      <c r="I408" s="56" t="n"/>
      <c r="J408" s="58" t="n"/>
      <c r="K408" s="58" t="n"/>
      <c r="L408" s="13">
        <f>IF(OR($A408="",AND($J408="",$K408="")),"",ROUND(N($J408)-N($K408),2))</f>
        <v/>
      </c>
      <c r="M408" s="13">
        <f>IF(OR($A408="",AND($J408="",$K408="")),"",MIN($J408,$K408))</f>
        <v/>
      </c>
      <c r="Q408">
        <f>IF($A408="","",$D408&amp;"("&amp;SUBSTITUTE($E408," ","")&amp;")")</f>
        <v/>
      </c>
      <c r="R408">
        <f>IF($A408="","",$B408&amp;" - "&amp;$C408)</f>
        <v/>
      </c>
      <c r="S408">
        <f>IF($A408="","",$R408&amp;"|"&amp;$Q408)</f>
        <v/>
      </c>
      <c r="T408">
        <f>IF($A408="","",$S408&amp;"|"&amp;$F408)</f>
        <v/>
      </c>
      <c r="U408">
        <f>IF($A408="","",$R408&amp;"("&amp;$E408&amp;")")</f>
        <v/>
      </c>
      <c r="V408">
        <f>IF($A408="","",$F408&amp;"|"&amp;$U408&amp;"|"&amp;$D408)</f>
        <v/>
      </c>
      <c r="W408">
        <f>IF($T408="","",IF($X408&gt;N($X407),$X408,""))</f>
        <v/>
      </c>
      <c r="X408">
        <f>IF($T408="",N($X407),IF(MATCH($T408,$T$6:$T$6005,0)=ROW()-5,N($X407)+1,N($X407)))</f>
        <v/>
      </c>
      <c r="Z408">
        <f>IF($V408="","",IF($AA408&gt;N($AA407),$AA408,""))</f>
        <v/>
      </c>
      <c r="AA408">
        <f>IF($V408="",N($AA407),IF(MATCH($V408,$V$6:$V$6005,0)=ROW()-5,N($AA407)+1,N($AA407)))</f>
        <v/>
      </c>
    </row>
    <row r="409" ht="21" customHeight="1" s="66">
      <c r="A409" s="56" t="n"/>
      <c r="B409" s="57" t="n"/>
      <c r="C409" s="57" t="n"/>
      <c r="D409" s="57" t="n"/>
      <c r="E409" s="56" t="n"/>
      <c r="F409" s="57" t="n"/>
      <c r="G409" s="57" t="n"/>
      <c r="H409" s="56" t="n"/>
      <c r="I409" s="56" t="n"/>
      <c r="J409" s="58" t="n"/>
      <c r="K409" s="58" t="n"/>
      <c r="L409" s="13">
        <f>IF(OR($A409="",AND($J409="",$K409="")),"",ROUND(N($J409)-N($K409),2))</f>
        <v/>
      </c>
      <c r="M409" s="13">
        <f>IF(OR($A409="",AND($J409="",$K409="")),"",MIN($J409,$K409))</f>
        <v/>
      </c>
      <c r="Q409">
        <f>IF($A409="","",$D409&amp;"("&amp;SUBSTITUTE($E409," ","")&amp;")")</f>
        <v/>
      </c>
      <c r="R409">
        <f>IF($A409="","",$B409&amp;" - "&amp;$C409)</f>
        <v/>
      </c>
      <c r="S409">
        <f>IF($A409="","",$R409&amp;"|"&amp;$Q409)</f>
        <v/>
      </c>
      <c r="T409">
        <f>IF($A409="","",$S409&amp;"|"&amp;$F409)</f>
        <v/>
      </c>
      <c r="U409">
        <f>IF($A409="","",$R409&amp;"("&amp;$E409&amp;")")</f>
        <v/>
      </c>
      <c r="V409">
        <f>IF($A409="","",$F409&amp;"|"&amp;$U409&amp;"|"&amp;$D409)</f>
        <v/>
      </c>
      <c r="W409">
        <f>IF($T409="","",IF($X409&gt;N($X408),$X409,""))</f>
        <v/>
      </c>
      <c r="X409">
        <f>IF($T409="",N($X408),IF(MATCH($T409,$T$6:$T$6005,0)=ROW()-5,N($X408)+1,N($X408)))</f>
        <v/>
      </c>
      <c r="Z409">
        <f>IF($V409="","",IF($AA409&gt;N($AA408),$AA409,""))</f>
        <v/>
      </c>
      <c r="AA409">
        <f>IF($V409="",N($AA408),IF(MATCH($V409,$V$6:$V$6005,0)=ROW()-5,N($AA408)+1,N($AA408)))</f>
        <v/>
      </c>
    </row>
    <row r="410" ht="21" customHeight="1" s="66">
      <c r="A410" s="56" t="n"/>
      <c r="B410" s="57" t="n"/>
      <c r="C410" s="57" t="n"/>
      <c r="D410" s="57" t="n"/>
      <c r="E410" s="56" t="n"/>
      <c r="F410" s="57" t="n"/>
      <c r="G410" s="57" t="n"/>
      <c r="H410" s="56" t="n"/>
      <c r="I410" s="56" t="n"/>
      <c r="J410" s="58" t="n"/>
      <c r="K410" s="58" t="n"/>
      <c r="L410" s="13">
        <f>IF(OR($A410="",AND($J410="",$K410="")),"",ROUND(N($J410)-N($K410),2))</f>
        <v/>
      </c>
      <c r="M410" s="13">
        <f>IF(OR($A410="",AND($J410="",$K410="")),"",MIN($J410,$K410))</f>
        <v/>
      </c>
      <c r="Q410">
        <f>IF($A410="","",$D410&amp;"("&amp;SUBSTITUTE($E410," ","")&amp;")")</f>
        <v/>
      </c>
      <c r="R410">
        <f>IF($A410="","",$B410&amp;" - "&amp;$C410)</f>
        <v/>
      </c>
      <c r="S410">
        <f>IF($A410="","",$R410&amp;"|"&amp;$Q410)</f>
        <v/>
      </c>
      <c r="T410">
        <f>IF($A410="","",$S410&amp;"|"&amp;$F410)</f>
        <v/>
      </c>
      <c r="U410">
        <f>IF($A410="","",$R410&amp;"("&amp;$E410&amp;")")</f>
        <v/>
      </c>
      <c r="V410">
        <f>IF($A410="","",$F410&amp;"|"&amp;$U410&amp;"|"&amp;$D410)</f>
        <v/>
      </c>
      <c r="W410">
        <f>IF($T410="","",IF($X410&gt;N($X409),$X410,""))</f>
        <v/>
      </c>
      <c r="X410">
        <f>IF($T410="",N($X409),IF(MATCH($T410,$T$6:$T$6005,0)=ROW()-5,N($X409)+1,N($X409)))</f>
        <v/>
      </c>
      <c r="Z410">
        <f>IF($V410="","",IF($AA410&gt;N($AA409),$AA410,""))</f>
        <v/>
      </c>
      <c r="AA410">
        <f>IF($V410="",N($AA409),IF(MATCH($V410,$V$6:$V$6005,0)=ROW()-5,N($AA409)+1,N($AA409)))</f>
        <v/>
      </c>
    </row>
    <row r="411" ht="21" customHeight="1" s="66">
      <c r="A411" s="56" t="n"/>
      <c r="B411" s="57" t="n"/>
      <c r="C411" s="57" t="n"/>
      <c r="D411" s="57" t="n"/>
      <c r="E411" s="56" t="n"/>
      <c r="F411" s="57" t="n"/>
      <c r="G411" s="57" t="n"/>
      <c r="H411" s="56" t="n"/>
      <c r="I411" s="56" t="n"/>
      <c r="J411" s="58" t="n"/>
      <c r="K411" s="58" t="n"/>
      <c r="L411" s="13">
        <f>IF(OR($A411="",AND($J411="",$K411="")),"",ROUND(N($J411)-N($K411),2))</f>
        <v/>
      </c>
      <c r="M411" s="13">
        <f>IF(OR($A411="",AND($J411="",$K411="")),"",MIN($J411,$K411))</f>
        <v/>
      </c>
      <c r="Q411">
        <f>IF($A411="","",$D411&amp;"("&amp;SUBSTITUTE($E411," ","")&amp;")")</f>
        <v/>
      </c>
      <c r="R411">
        <f>IF($A411="","",$B411&amp;" - "&amp;$C411)</f>
        <v/>
      </c>
      <c r="S411">
        <f>IF($A411="","",$R411&amp;"|"&amp;$Q411)</f>
        <v/>
      </c>
      <c r="T411">
        <f>IF($A411="","",$S411&amp;"|"&amp;$F411)</f>
        <v/>
      </c>
      <c r="U411">
        <f>IF($A411="","",$R411&amp;"("&amp;$E411&amp;")")</f>
        <v/>
      </c>
      <c r="V411">
        <f>IF($A411="","",$F411&amp;"|"&amp;$U411&amp;"|"&amp;$D411)</f>
        <v/>
      </c>
      <c r="W411">
        <f>IF($T411="","",IF($X411&gt;N($X410),$X411,""))</f>
        <v/>
      </c>
      <c r="X411">
        <f>IF($T411="",N($X410),IF(MATCH($T411,$T$6:$T$6005,0)=ROW()-5,N($X410)+1,N($X410)))</f>
        <v/>
      </c>
      <c r="Z411">
        <f>IF($V411="","",IF($AA411&gt;N($AA410),$AA411,""))</f>
        <v/>
      </c>
      <c r="AA411">
        <f>IF($V411="",N($AA410),IF(MATCH($V411,$V$6:$V$6005,0)=ROW()-5,N($AA410)+1,N($AA410)))</f>
        <v/>
      </c>
    </row>
    <row r="412" ht="21" customHeight="1" s="66">
      <c r="A412" s="56" t="n"/>
      <c r="B412" s="57" t="n"/>
      <c r="C412" s="57" t="n"/>
      <c r="D412" s="57" t="n"/>
      <c r="E412" s="56" t="n"/>
      <c r="F412" s="57" t="n"/>
      <c r="G412" s="57" t="n"/>
      <c r="H412" s="56" t="n"/>
      <c r="I412" s="56" t="n"/>
      <c r="J412" s="58" t="n"/>
      <c r="K412" s="58" t="n"/>
      <c r="L412" s="13">
        <f>IF(OR($A412="",AND($J412="",$K412="")),"",ROUND(N($J412)-N($K412),2))</f>
        <v/>
      </c>
      <c r="M412" s="13">
        <f>IF(OR($A412="",AND($J412="",$K412="")),"",MIN($J412,$K412))</f>
        <v/>
      </c>
      <c r="Q412">
        <f>IF($A412="","",$D412&amp;"("&amp;SUBSTITUTE($E412," ","")&amp;")")</f>
        <v/>
      </c>
      <c r="R412">
        <f>IF($A412="","",$B412&amp;" - "&amp;$C412)</f>
        <v/>
      </c>
      <c r="S412">
        <f>IF($A412="","",$R412&amp;"|"&amp;$Q412)</f>
        <v/>
      </c>
      <c r="T412">
        <f>IF($A412="","",$S412&amp;"|"&amp;$F412)</f>
        <v/>
      </c>
      <c r="U412">
        <f>IF($A412="","",$R412&amp;"("&amp;$E412&amp;")")</f>
        <v/>
      </c>
      <c r="V412">
        <f>IF($A412="","",$F412&amp;"|"&amp;$U412&amp;"|"&amp;$D412)</f>
        <v/>
      </c>
      <c r="W412">
        <f>IF($T412="","",IF($X412&gt;N($X411),$X412,""))</f>
        <v/>
      </c>
      <c r="X412">
        <f>IF($T412="",N($X411),IF(MATCH($T412,$T$6:$T$6005,0)=ROW()-5,N($X411)+1,N($X411)))</f>
        <v/>
      </c>
      <c r="Z412">
        <f>IF($V412="","",IF($AA412&gt;N($AA411),$AA412,""))</f>
        <v/>
      </c>
      <c r="AA412">
        <f>IF($V412="",N($AA411),IF(MATCH($V412,$V$6:$V$6005,0)=ROW()-5,N($AA411)+1,N($AA411)))</f>
        <v/>
      </c>
    </row>
    <row r="413" ht="21" customHeight="1" s="66">
      <c r="A413" s="56" t="n"/>
      <c r="B413" s="57" t="n"/>
      <c r="C413" s="57" t="n"/>
      <c r="D413" s="57" t="n"/>
      <c r="E413" s="56" t="n"/>
      <c r="F413" s="57" t="n"/>
      <c r="G413" s="57" t="n"/>
      <c r="H413" s="56" t="n"/>
      <c r="I413" s="56" t="n"/>
      <c r="J413" s="58" t="n"/>
      <c r="K413" s="58" t="n"/>
      <c r="L413" s="13">
        <f>IF(OR($A413="",AND($J413="",$K413="")),"",ROUND(N($J413)-N($K413),2))</f>
        <v/>
      </c>
      <c r="M413" s="13">
        <f>IF(OR($A413="",AND($J413="",$K413="")),"",MIN($J413,$K413))</f>
        <v/>
      </c>
      <c r="Q413">
        <f>IF($A413="","",$D413&amp;"("&amp;SUBSTITUTE($E413," ","")&amp;")")</f>
        <v/>
      </c>
      <c r="R413">
        <f>IF($A413="","",$B413&amp;" - "&amp;$C413)</f>
        <v/>
      </c>
      <c r="S413">
        <f>IF($A413="","",$R413&amp;"|"&amp;$Q413)</f>
        <v/>
      </c>
      <c r="T413">
        <f>IF($A413="","",$S413&amp;"|"&amp;$F413)</f>
        <v/>
      </c>
      <c r="U413">
        <f>IF($A413="","",$R413&amp;"("&amp;$E413&amp;")")</f>
        <v/>
      </c>
      <c r="V413">
        <f>IF($A413="","",$F413&amp;"|"&amp;$U413&amp;"|"&amp;$D413)</f>
        <v/>
      </c>
      <c r="W413">
        <f>IF($T413="","",IF($X413&gt;N($X412),$X413,""))</f>
        <v/>
      </c>
      <c r="X413">
        <f>IF($T413="",N($X412),IF(MATCH($T413,$T$6:$T$6005,0)=ROW()-5,N($X412)+1,N($X412)))</f>
        <v/>
      </c>
      <c r="Z413">
        <f>IF($V413="","",IF($AA413&gt;N($AA412),$AA413,""))</f>
        <v/>
      </c>
      <c r="AA413">
        <f>IF($V413="",N($AA412),IF(MATCH($V413,$V$6:$V$6005,0)=ROW()-5,N($AA412)+1,N($AA412)))</f>
        <v/>
      </c>
    </row>
    <row r="414" ht="21" customHeight="1" s="66">
      <c r="A414" s="56" t="n"/>
      <c r="B414" s="57" t="n"/>
      <c r="C414" s="57" t="n"/>
      <c r="D414" s="57" t="n"/>
      <c r="E414" s="56" t="n"/>
      <c r="F414" s="57" t="n"/>
      <c r="G414" s="57" t="n"/>
      <c r="H414" s="56" t="n"/>
      <c r="I414" s="56" t="n"/>
      <c r="J414" s="58" t="n"/>
      <c r="K414" s="58" t="n"/>
      <c r="L414" s="13">
        <f>IF(OR($A414="",AND($J414="",$K414="")),"",ROUND(N($J414)-N($K414),2))</f>
        <v/>
      </c>
      <c r="M414" s="13">
        <f>IF(OR($A414="",AND($J414="",$K414="")),"",MIN($J414,$K414))</f>
        <v/>
      </c>
      <c r="Q414">
        <f>IF($A414="","",$D414&amp;"("&amp;SUBSTITUTE($E414," ","")&amp;")")</f>
        <v/>
      </c>
      <c r="R414">
        <f>IF($A414="","",$B414&amp;" - "&amp;$C414)</f>
        <v/>
      </c>
      <c r="S414">
        <f>IF($A414="","",$R414&amp;"|"&amp;$Q414)</f>
        <v/>
      </c>
      <c r="T414">
        <f>IF($A414="","",$S414&amp;"|"&amp;$F414)</f>
        <v/>
      </c>
      <c r="U414">
        <f>IF($A414="","",$R414&amp;"("&amp;$E414&amp;")")</f>
        <v/>
      </c>
      <c r="V414">
        <f>IF($A414="","",$F414&amp;"|"&amp;$U414&amp;"|"&amp;$D414)</f>
        <v/>
      </c>
      <c r="W414">
        <f>IF($T414="","",IF($X414&gt;N($X413),$X414,""))</f>
        <v/>
      </c>
      <c r="X414">
        <f>IF($T414="",N($X413),IF(MATCH($T414,$T$6:$T$6005,0)=ROW()-5,N($X413)+1,N($X413)))</f>
        <v/>
      </c>
      <c r="Z414">
        <f>IF($V414="","",IF($AA414&gt;N($AA413),$AA414,""))</f>
        <v/>
      </c>
      <c r="AA414">
        <f>IF($V414="",N($AA413),IF(MATCH($V414,$V$6:$V$6005,0)=ROW()-5,N($AA413)+1,N($AA413)))</f>
        <v/>
      </c>
    </row>
    <row r="415" ht="21" customHeight="1" s="66">
      <c r="A415" s="56" t="n"/>
      <c r="B415" s="57" t="n"/>
      <c r="C415" s="57" t="n"/>
      <c r="D415" s="57" t="n"/>
      <c r="E415" s="56" t="n"/>
      <c r="F415" s="57" t="n"/>
      <c r="G415" s="57" t="n"/>
      <c r="H415" s="56" t="n"/>
      <c r="I415" s="56" t="n"/>
      <c r="J415" s="58" t="n"/>
      <c r="K415" s="58" t="n"/>
      <c r="L415" s="13">
        <f>IF(OR($A415="",AND($J415="",$K415="")),"",ROUND(N($J415)-N($K415),2))</f>
        <v/>
      </c>
      <c r="M415" s="13">
        <f>IF(OR($A415="",AND($J415="",$K415="")),"",MIN($J415,$K415))</f>
        <v/>
      </c>
      <c r="Q415">
        <f>IF($A415="","",$D415&amp;"("&amp;SUBSTITUTE($E415," ","")&amp;")")</f>
        <v/>
      </c>
      <c r="R415">
        <f>IF($A415="","",$B415&amp;" - "&amp;$C415)</f>
        <v/>
      </c>
      <c r="S415">
        <f>IF($A415="","",$R415&amp;"|"&amp;$Q415)</f>
        <v/>
      </c>
      <c r="T415">
        <f>IF($A415="","",$S415&amp;"|"&amp;$F415)</f>
        <v/>
      </c>
      <c r="U415">
        <f>IF($A415="","",$R415&amp;"("&amp;$E415&amp;")")</f>
        <v/>
      </c>
      <c r="V415">
        <f>IF($A415="","",$F415&amp;"|"&amp;$U415&amp;"|"&amp;$D415)</f>
        <v/>
      </c>
      <c r="W415">
        <f>IF($T415="","",IF($X415&gt;N($X414),$X415,""))</f>
        <v/>
      </c>
      <c r="X415">
        <f>IF($T415="",N($X414),IF(MATCH($T415,$T$6:$T$6005,0)=ROW()-5,N($X414)+1,N($X414)))</f>
        <v/>
      </c>
      <c r="Z415">
        <f>IF($V415="","",IF($AA415&gt;N($AA414),$AA415,""))</f>
        <v/>
      </c>
      <c r="AA415">
        <f>IF($V415="",N($AA414),IF(MATCH($V415,$V$6:$V$6005,0)=ROW()-5,N($AA414)+1,N($AA414)))</f>
        <v/>
      </c>
    </row>
    <row r="416" ht="21" customHeight="1" s="66">
      <c r="A416" s="56" t="n"/>
      <c r="B416" s="57" t="n"/>
      <c r="C416" s="57" t="n"/>
      <c r="D416" s="57" t="n"/>
      <c r="E416" s="56" t="n"/>
      <c r="F416" s="57" t="n"/>
      <c r="G416" s="57" t="n"/>
      <c r="H416" s="56" t="n"/>
      <c r="I416" s="56" t="n"/>
      <c r="J416" s="58" t="n"/>
      <c r="K416" s="58" t="n"/>
      <c r="L416" s="13">
        <f>IF(OR($A416="",AND($J416="",$K416="")),"",ROUND(N($J416)-N($K416),2))</f>
        <v/>
      </c>
      <c r="M416" s="13">
        <f>IF(OR($A416="",AND($J416="",$K416="")),"",MIN($J416,$K416))</f>
        <v/>
      </c>
      <c r="Q416">
        <f>IF($A416="","",$D416&amp;"("&amp;SUBSTITUTE($E416," ","")&amp;")")</f>
        <v/>
      </c>
      <c r="R416">
        <f>IF($A416="","",$B416&amp;" - "&amp;$C416)</f>
        <v/>
      </c>
      <c r="S416">
        <f>IF($A416="","",$R416&amp;"|"&amp;$Q416)</f>
        <v/>
      </c>
      <c r="T416">
        <f>IF($A416="","",$S416&amp;"|"&amp;$F416)</f>
        <v/>
      </c>
      <c r="U416">
        <f>IF($A416="","",$R416&amp;"("&amp;$E416&amp;")")</f>
        <v/>
      </c>
      <c r="V416">
        <f>IF($A416="","",$F416&amp;"|"&amp;$U416&amp;"|"&amp;$D416)</f>
        <v/>
      </c>
      <c r="W416">
        <f>IF($T416="","",IF($X416&gt;N($X415),$X416,""))</f>
        <v/>
      </c>
      <c r="X416">
        <f>IF($T416="",N($X415),IF(MATCH($T416,$T$6:$T$6005,0)=ROW()-5,N($X415)+1,N($X415)))</f>
        <v/>
      </c>
      <c r="Z416">
        <f>IF($V416="","",IF($AA416&gt;N($AA415),$AA416,""))</f>
        <v/>
      </c>
      <c r="AA416">
        <f>IF($V416="",N($AA415),IF(MATCH($V416,$V$6:$V$6005,0)=ROW()-5,N($AA415)+1,N($AA415)))</f>
        <v/>
      </c>
    </row>
    <row r="417" ht="21" customHeight="1" s="66">
      <c r="A417" s="56" t="n"/>
      <c r="B417" s="57" t="n"/>
      <c r="C417" s="57" t="n"/>
      <c r="D417" s="57" t="n"/>
      <c r="E417" s="56" t="n"/>
      <c r="F417" s="57" t="n"/>
      <c r="G417" s="57" t="n"/>
      <c r="H417" s="56" t="n"/>
      <c r="I417" s="56" t="n"/>
      <c r="J417" s="58" t="n"/>
      <c r="K417" s="58" t="n"/>
      <c r="L417" s="13">
        <f>IF(OR($A417="",AND($J417="",$K417="")),"",ROUND(N($J417)-N($K417),2))</f>
        <v/>
      </c>
      <c r="M417" s="13">
        <f>IF(OR($A417="",AND($J417="",$K417="")),"",MIN($J417,$K417))</f>
        <v/>
      </c>
      <c r="Q417">
        <f>IF($A417="","",$D417&amp;"("&amp;SUBSTITUTE($E417," ","")&amp;")")</f>
        <v/>
      </c>
      <c r="R417">
        <f>IF($A417="","",$B417&amp;" - "&amp;$C417)</f>
        <v/>
      </c>
      <c r="S417">
        <f>IF($A417="","",$R417&amp;"|"&amp;$Q417)</f>
        <v/>
      </c>
      <c r="T417">
        <f>IF($A417="","",$S417&amp;"|"&amp;$F417)</f>
        <v/>
      </c>
      <c r="U417">
        <f>IF($A417="","",$R417&amp;"("&amp;$E417&amp;")")</f>
        <v/>
      </c>
      <c r="V417">
        <f>IF($A417="","",$F417&amp;"|"&amp;$U417&amp;"|"&amp;$D417)</f>
        <v/>
      </c>
      <c r="W417">
        <f>IF($T417="","",IF($X417&gt;N($X416),$X417,""))</f>
        <v/>
      </c>
      <c r="X417">
        <f>IF($T417="",N($X416),IF(MATCH($T417,$T$6:$T$6005,0)=ROW()-5,N($X416)+1,N($X416)))</f>
        <v/>
      </c>
      <c r="Z417">
        <f>IF($V417="","",IF($AA417&gt;N($AA416),$AA417,""))</f>
        <v/>
      </c>
      <c r="AA417">
        <f>IF($V417="",N($AA416),IF(MATCH($V417,$V$6:$V$6005,0)=ROW()-5,N($AA416)+1,N($AA416)))</f>
        <v/>
      </c>
    </row>
    <row r="418" ht="21" customHeight="1" s="66">
      <c r="A418" s="56" t="n"/>
      <c r="B418" s="57" t="n"/>
      <c r="C418" s="57" t="n"/>
      <c r="D418" s="57" t="n"/>
      <c r="E418" s="56" t="n"/>
      <c r="F418" s="57" t="n"/>
      <c r="G418" s="57" t="n"/>
      <c r="H418" s="56" t="n"/>
      <c r="I418" s="56" t="n"/>
      <c r="J418" s="58" t="n"/>
      <c r="K418" s="58" t="n"/>
      <c r="L418" s="13">
        <f>IF(OR($A418="",AND($J418="",$K418="")),"",ROUND(N($J418)-N($K418),2))</f>
        <v/>
      </c>
      <c r="M418" s="13">
        <f>IF(OR($A418="",AND($J418="",$K418="")),"",MIN($J418,$K418))</f>
        <v/>
      </c>
      <c r="Q418">
        <f>IF($A418="","",$D418&amp;"("&amp;SUBSTITUTE($E418," ","")&amp;")")</f>
        <v/>
      </c>
      <c r="R418">
        <f>IF($A418="","",$B418&amp;" - "&amp;$C418)</f>
        <v/>
      </c>
      <c r="S418">
        <f>IF($A418="","",$R418&amp;"|"&amp;$Q418)</f>
        <v/>
      </c>
      <c r="T418">
        <f>IF($A418="","",$S418&amp;"|"&amp;$F418)</f>
        <v/>
      </c>
      <c r="U418">
        <f>IF($A418="","",$R418&amp;"("&amp;$E418&amp;")")</f>
        <v/>
      </c>
      <c r="V418">
        <f>IF($A418="","",$F418&amp;"|"&amp;$U418&amp;"|"&amp;$D418)</f>
        <v/>
      </c>
      <c r="W418">
        <f>IF($T418="","",IF($X418&gt;N($X417),$X418,""))</f>
        <v/>
      </c>
      <c r="X418">
        <f>IF($T418="",N($X417),IF(MATCH($T418,$T$6:$T$6005,0)=ROW()-5,N($X417)+1,N($X417)))</f>
        <v/>
      </c>
      <c r="Z418">
        <f>IF($V418="","",IF($AA418&gt;N($AA417),$AA418,""))</f>
        <v/>
      </c>
      <c r="AA418">
        <f>IF($V418="",N($AA417),IF(MATCH($V418,$V$6:$V$6005,0)=ROW()-5,N($AA417)+1,N($AA417)))</f>
        <v/>
      </c>
    </row>
    <row r="419" ht="21" customHeight="1" s="66">
      <c r="A419" s="56" t="n"/>
      <c r="B419" s="57" t="n"/>
      <c r="C419" s="57" t="n"/>
      <c r="D419" s="57" t="n"/>
      <c r="E419" s="56" t="n"/>
      <c r="F419" s="57" t="n"/>
      <c r="G419" s="57" t="n"/>
      <c r="H419" s="56" t="n"/>
      <c r="I419" s="56" t="n"/>
      <c r="J419" s="58" t="n"/>
      <c r="K419" s="58" t="n"/>
      <c r="L419" s="13">
        <f>IF(OR($A419="",AND($J419="",$K419="")),"",ROUND(N($J419)-N($K419),2))</f>
        <v/>
      </c>
      <c r="M419" s="13">
        <f>IF(OR($A419="",AND($J419="",$K419="")),"",MIN($J419,$K419))</f>
        <v/>
      </c>
      <c r="Q419">
        <f>IF($A419="","",$D419&amp;"("&amp;SUBSTITUTE($E419," ","")&amp;")")</f>
        <v/>
      </c>
      <c r="R419">
        <f>IF($A419="","",$B419&amp;" - "&amp;$C419)</f>
        <v/>
      </c>
      <c r="S419">
        <f>IF($A419="","",$R419&amp;"|"&amp;$Q419)</f>
        <v/>
      </c>
      <c r="T419">
        <f>IF($A419="","",$S419&amp;"|"&amp;$F419)</f>
        <v/>
      </c>
      <c r="U419">
        <f>IF($A419="","",$R419&amp;"("&amp;$E419&amp;")")</f>
        <v/>
      </c>
      <c r="V419">
        <f>IF($A419="","",$F419&amp;"|"&amp;$U419&amp;"|"&amp;$D419)</f>
        <v/>
      </c>
      <c r="W419">
        <f>IF($T419="","",IF($X419&gt;N($X418),$X419,""))</f>
        <v/>
      </c>
      <c r="X419">
        <f>IF($T419="",N($X418),IF(MATCH($T419,$T$6:$T$6005,0)=ROW()-5,N($X418)+1,N($X418)))</f>
        <v/>
      </c>
      <c r="Z419">
        <f>IF($V419="","",IF($AA419&gt;N($AA418),$AA419,""))</f>
        <v/>
      </c>
      <c r="AA419">
        <f>IF($V419="",N($AA418),IF(MATCH($V419,$V$6:$V$6005,0)=ROW()-5,N($AA418)+1,N($AA418)))</f>
        <v/>
      </c>
    </row>
    <row r="420" ht="21" customHeight="1" s="66">
      <c r="A420" s="56" t="n"/>
      <c r="B420" s="57" t="n"/>
      <c r="C420" s="57" t="n"/>
      <c r="D420" s="57" t="n"/>
      <c r="E420" s="56" t="n"/>
      <c r="F420" s="57" t="n"/>
      <c r="G420" s="57" t="n"/>
      <c r="H420" s="56" t="n"/>
      <c r="I420" s="56" t="n"/>
      <c r="J420" s="58" t="n"/>
      <c r="K420" s="58" t="n"/>
      <c r="L420" s="13">
        <f>IF(OR($A420="",AND($J420="",$K420="")),"",ROUND(N($J420)-N($K420),2))</f>
        <v/>
      </c>
      <c r="M420" s="13">
        <f>IF(OR($A420="",AND($J420="",$K420="")),"",MIN($J420,$K420))</f>
        <v/>
      </c>
      <c r="Q420">
        <f>IF($A420="","",$D420&amp;"("&amp;SUBSTITUTE($E420," ","")&amp;")")</f>
        <v/>
      </c>
      <c r="R420">
        <f>IF($A420="","",$B420&amp;" - "&amp;$C420)</f>
        <v/>
      </c>
      <c r="S420">
        <f>IF($A420="","",$R420&amp;"|"&amp;$Q420)</f>
        <v/>
      </c>
      <c r="T420">
        <f>IF($A420="","",$S420&amp;"|"&amp;$F420)</f>
        <v/>
      </c>
      <c r="U420">
        <f>IF($A420="","",$R420&amp;"("&amp;$E420&amp;")")</f>
        <v/>
      </c>
      <c r="V420">
        <f>IF($A420="","",$F420&amp;"|"&amp;$U420&amp;"|"&amp;$D420)</f>
        <v/>
      </c>
      <c r="W420">
        <f>IF($T420="","",IF($X420&gt;N($X419),$X420,""))</f>
        <v/>
      </c>
      <c r="X420">
        <f>IF($T420="",N($X419),IF(MATCH($T420,$T$6:$T$6005,0)=ROW()-5,N($X419)+1,N($X419)))</f>
        <v/>
      </c>
      <c r="Z420">
        <f>IF($V420="","",IF($AA420&gt;N($AA419),$AA420,""))</f>
        <v/>
      </c>
      <c r="AA420">
        <f>IF($V420="",N($AA419),IF(MATCH($V420,$V$6:$V$6005,0)=ROW()-5,N($AA419)+1,N($AA419)))</f>
        <v/>
      </c>
    </row>
    <row r="421" ht="21" customHeight="1" s="66">
      <c r="A421" s="56" t="n"/>
      <c r="B421" s="57" t="n"/>
      <c r="C421" s="57" t="n"/>
      <c r="D421" s="57" t="n"/>
      <c r="E421" s="56" t="n"/>
      <c r="F421" s="57" t="n"/>
      <c r="G421" s="57" t="n"/>
      <c r="H421" s="56" t="n"/>
      <c r="I421" s="56" t="n"/>
      <c r="J421" s="58" t="n"/>
      <c r="K421" s="58" t="n"/>
      <c r="L421" s="13">
        <f>IF(OR($A421="",AND($J421="",$K421="")),"",ROUND(N($J421)-N($K421),2))</f>
        <v/>
      </c>
      <c r="M421" s="13">
        <f>IF(OR($A421="",AND($J421="",$K421="")),"",MIN($J421,$K421))</f>
        <v/>
      </c>
      <c r="Q421">
        <f>IF($A421="","",$D421&amp;"("&amp;SUBSTITUTE($E421," ","")&amp;")")</f>
        <v/>
      </c>
      <c r="R421">
        <f>IF($A421="","",$B421&amp;" - "&amp;$C421)</f>
        <v/>
      </c>
      <c r="S421">
        <f>IF($A421="","",$R421&amp;"|"&amp;$Q421)</f>
        <v/>
      </c>
      <c r="T421">
        <f>IF($A421="","",$S421&amp;"|"&amp;$F421)</f>
        <v/>
      </c>
      <c r="U421">
        <f>IF($A421="","",$R421&amp;"("&amp;$E421&amp;")")</f>
        <v/>
      </c>
      <c r="V421">
        <f>IF($A421="","",$F421&amp;"|"&amp;$U421&amp;"|"&amp;$D421)</f>
        <v/>
      </c>
      <c r="W421">
        <f>IF($T421="","",IF($X421&gt;N($X420),$X421,""))</f>
        <v/>
      </c>
      <c r="X421">
        <f>IF($T421="",N($X420),IF(MATCH($T421,$T$6:$T$6005,0)=ROW()-5,N($X420)+1,N($X420)))</f>
        <v/>
      </c>
      <c r="Z421">
        <f>IF($V421="","",IF($AA421&gt;N($AA420),$AA421,""))</f>
        <v/>
      </c>
      <c r="AA421">
        <f>IF($V421="",N($AA420),IF(MATCH($V421,$V$6:$V$6005,0)=ROW()-5,N($AA420)+1,N($AA420)))</f>
        <v/>
      </c>
    </row>
    <row r="422" ht="21" customHeight="1" s="66">
      <c r="A422" s="56" t="n"/>
      <c r="B422" s="57" t="n"/>
      <c r="C422" s="57" t="n"/>
      <c r="D422" s="57" t="n"/>
      <c r="E422" s="56" t="n"/>
      <c r="F422" s="57" t="n"/>
      <c r="G422" s="57" t="n"/>
      <c r="H422" s="56" t="n"/>
      <c r="I422" s="56" t="n"/>
      <c r="J422" s="58" t="n"/>
      <c r="K422" s="58" t="n"/>
      <c r="L422" s="13">
        <f>IF(OR($A422="",AND($J422="",$K422="")),"",ROUND(N($J422)-N($K422),2))</f>
        <v/>
      </c>
      <c r="M422" s="13">
        <f>IF(OR($A422="",AND($J422="",$K422="")),"",MIN($J422,$K422))</f>
        <v/>
      </c>
      <c r="Q422">
        <f>IF($A422="","",$D422&amp;"("&amp;SUBSTITUTE($E422," ","")&amp;")")</f>
        <v/>
      </c>
      <c r="R422">
        <f>IF($A422="","",$B422&amp;" - "&amp;$C422)</f>
        <v/>
      </c>
      <c r="S422">
        <f>IF($A422="","",$R422&amp;"|"&amp;$Q422)</f>
        <v/>
      </c>
      <c r="T422">
        <f>IF($A422="","",$S422&amp;"|"&amp;$F422)</f>
        <v/>
      </c>
      <c r="U422">
        <f>IF($A422="","",$R422&amp;"("&amp;$E422&amp;")")</f>
        <v/>
      </c>
      <c r="V422">
        <f>IF($A422="","",$F422&amp;"|"&amp;$U422&amp;"|"&amp;$D422)</f>
        <v/>
      </c>
      <c r="W422">
        <f>IF($T422="","",IF($X422&gt;N($X421),$X422,""))</f>
        <v/>
      </c>
      <c r="X422">
        <f>IF($T422="",N($X421),IF(MATCH($T422,$T$6:$T$6005,0)=ROW()-5,N($X421)+1,N($X421)))</f>
        <v/>
      </c>
      <c r="Z422">
        <f>IF($V422="","",IF($AA422&gt;N($AA421),$AA422,""))</f>
        <v/>
      </c>
      <c r="AA422">
        <f>IF($V422="",N($AA421),IF(MATCH($V422,$V$6:$V$6005,0)=ROW()-5,N($AA421)+1,N($AA421)))</f>
        <v/>
      </c>
    </row>
    <row r="423" ht="21" customHeight="1" s="66">
      <c r="A423" s="56" t="n"/>
      <c r="B423" s="57" t="n"/>
      <c r="C423" s="57" t="n"/>
      <c r="D423" s="57" t="n"/>
      <c r="E423" s="56" t="n"/>
      <c r="F423" s="57" t="n"/>
      <c r="G423" s="57" t="n"/>
      <c r="H423" s="56" t="n"/>
      <c r="I423" s="56" t="n"/>
      <c r="J423" s="58" t="n"/>
      <c r="K423" s="58" t="n"/>
      <c r="L423" s="13">
        <f>IF(OR($A423="",AND($J423="",$K423="")),"",ROUND(N($J423)-N($K423),2))</f>
        <v/>
      </c>
      <c r="M423" s="13">
        <f>IF(OR($A423="",AND($J423="",$K423="")),"",MIN($J423,$K423))</f>
        <v/>
      </c>
      <c r="Q423">
        <f>IF($A423="","",$D423&amp;"("&amp;SUBSTITUTE($E423," ","")&amp;")")</f>
        <v/>
      </c>
      <c r="R423">
        <f>IF($A423="","",$B423&amp;" - "&amp;$C423)</f>
        <v/>
      </c>
      <c r="S423">
        <f>IF($A423="","",$R423&amp;"|"&amp;$Q423)</f>
        <v/>
      </c>
      <c r="T423">
        <f>IF($A423="","",$S423&amp;"|"&amp;$F423)</f>
        <v/>
      </c>
      <c r="U423">
        <f>IF($A423="","",$R423&amp;"("&amp;$E423&amp;")")</f>
        <v/>
      </c>
      <c r="V423">
        <f>IF($A423="","",$F423&amp;"|"&amp;$U423&amp;"|"&amp;$D423)</f>
        <v/>
      </c>
      <c r="W423">
        <f>IF($T423="","",IF($X423&gt;N($X422),$X423,""))</f>
        <v/>
      </c>
      <c r="X423">
        <f>IF($T423="",N($X422),IF(MATCH($T423,$T$6:$T$6005,0)=ROW()-5,N($X422)+1,N($X422)))</f>
        <v/>
      </c>
      <c r="Z423">
        <f>IF($V423="","",IF($AA423&gt;N($AA422),$AA423,""))</f>
        <v/>
      </c>
      <c r="AA423">
        <f>IF($V423="",N($AA422),IF(MATCH($V423,$V$6:$V$6005,0)=ROW()-5,N($AA422)+1,N($AA422)))</f>
        <v/>
      </c>
    </row>
    <row r="424" ht="21" customHeight="1" s="66">
      <c r="A424" s="56" t="n"/>
      <c r="B424" s="57" t="n"/>
      <c r="C424" s="57" t="n"/>
      <c r="D424" s="57" t="n"/>
      <c r="E424" s="56" t="n"/>
      <c r="F424" s="57" t="n"/>
      <c r="G424" s="57" t="n"/>
      <c r="H424" s="56" t="n"/>
      <c r="I424" s="56" t="n"/>
      <c r="J424" s="58" t="n"/>
      <c r="K424" s="58" t="n"/>
      <c r="L424" s="13">
        <f>IF(OR($A424="",AND($J424="",$K424="")),"",ROUND(N($J424)-N($K424),2))</f>
        <v/>
      </c>
      <c r="M424" s="13">
        <f>IF(OR($A424="",AND($J424="",$K424="")),"",MIN($J424,$K424))</f>
        <v/>
      </c>
      <c r="Q424">
        <f>IF($A424="","",$D424&amp;"("&amp;SUBSTITUTE($E424," ","")&amp;")")</f>
        <v/>
      </c>
      <c r="R424">
        <f>IF($A424="","",$B424&amp;" - "&amp;$C424)</f>
        <v/>
      </c>
      <c r="S424">
        <f>IF($A424="","",$R424&amp;"|"&amp;$Q424)</f>
        <v/>
      </c>
      <c r="T424">
        <f>IF($A424="","",$S424&amp;"|"&amp;$F424)</f>
        <v/>
      </c>
      <c r="U424">
        <f>IF($A424="","",$R424&amp;"("&amp;$E424&amp;")")</f>
        <v/>
      </c>
      <c r="V424">
        <f>IF($A424="","",$F424&amp;"|"&amp;$U424&amp;"|"&amp;$D424)</f>
        <v/>
      </c>
      <c r="W424">
        <f>IF($T424="","",IF($X424&gt;N($X423),$X424,""))</f>
        <v/>
      </c>
      <c r="X424">
        <f>IF($T424="",N($X423),IF(MATCH($T424,$T$6:$T$6005,0)=ROW()-5,N($X423)+1,N($X423)))</f>
        <v/>
      </c>
      <c r="Z424">
        <f>IF($V424="","",IF($AA424&gt;N($AA423),$AA424,""))</f>
        <v/>
      </c>
      <c r="AA424">
        <f>IF($V424="",N($AA423),IF(MATCH($V424,$V$6:$V$6005,0)=ROW()-5,N($AA423)+1,N($AA423)))</f>
        <v/>
      </c>
    </row>
    <row r="425" ht="21" customHeight="1" s="66">
      <c r="A425" s="56" t="n"/>
      <c r="B425" s="57" t="n"/>
      <c r="C425" s="57" t="n"/>
      <c r="D425" s="57" t="n"/>
      <c r="E425" s="56" t="n"/>
      <c r="F425" s="57" t="n"/>
      <c r="G425" s="57" t="n"/>
      <c r="H425" s="56" t="n"/>
      <c r="I425" s="56" t="n"/>
      <c r="J425" s="58" t="n"/>
      <c r="K425" s="58" t="n"/>
      <c r="L425" s="13">
        <f>IF(OR($A425="",AND($J425="",$K425="")),"",ROUND(N($J425)-N($K425),2))</f>
        <v/>
      </c>
      <c r="M425" s="13">
        <f>IF(OR($A425="",AND($J425="",$K425="")),"",MIN($J425,$K425))</f>
        <v/>
      </c>
      <c r="Q425">
        <f>IF($A425="","",$D425&amp;"("&amp;SUBSTITUTE($E425," ","")&amp;")")</f>
        <v/>
      </c>
      <c r="R425">
        <f>IF($A425="","",$B425&amp;" - "&amp;$C425)</f>
        <v/>
      </c>
      <c r="S425">
        <f>IF($A425="","",$R425&amp;"|"&amp;$Q425)</f>
        <v/>
      </c>
      <c r="T425">
        <f>IF($A425="","",$S425&amp;"|"&amp;$F425)</f>
        <v/>
      </c>
      <c r="U425">
        <f>IF($A425="","",$R425&amp;"("&amp;$E425&amp;")")</f>
        <v/>
      </c>
      <c r="V425">
        <f>IF($A425="","",$F425&amp;"|"&amp;$U425&amp;"|"&amp;$D425)</f>
        <v/>
      </c>
      <c r="W425">
        <f>IF($T425="","",IF($X425&gt;N($X424),$X425,""))</f>
        <v/>
      </c>
      <c r="X425">
        <f>IF($T425="",N($X424),IF(MATCH($T425,$T$6:$T$6005,0)=ROW()-5,N($X424)+1,N($X424)))</f>
        <v/>
      </c>
      <c r="Z425">
        <f>IF($V425="","",IF($AA425&gt;N($AA424),$AA425,""))</f>
        <v/>
      </c>
      <c r="AA425">
        <f>IF($V425="",N($AA424),IF(MATCH($V425,$V$6:$V$6005,0)=ROW()-5,N($AA424)+1,N($AA424)))</f>
        <v/>
      </c>
    </row>
    <row r="426" ht="21" customHeight="1" s="66">
      <c r="A426" s="56" t="n"/>
      <c r="B426" s="57" t="n"/>
      <c r="C426" s="57" t="n"/>
      <c r="D426" s="57" t="n"/>
      <c r="E426" s="56" t="n"/>
      <c r="F426" s="57" t="n"/>
      <c r="G426" s="57" t="n"/>
      <c r="H426" s="56" t="n"/>
      <c r="I426" s="56" t="n"/>
      <c r="J426" s="58" t="n"/>
      <c r="K426" s="58" t="n"/>
      <c r="L426" s="13">
        <f>IF(OR($A426="",AND($J426="",$K426="")),"",ROUND(N($J426)-N($K426),2))</f>
        <v/>
      </c>
      <c r="M426" s="13">
        <f>IF(OR($A426="",AND($J426="",$K426="")),"",MIN($J426,$K426))</f>
        <v/>
      </c>
      <c r="Q426">
        <f>IF($A426="","",$D426&amp;"("&amp;SUBSTITUTE($E426," ","")&amp;")")</f>
        <v/>
      </c>
      <c r="R426">
        <f>IF($A426="","",$B426&amp;" - "&amp;$C426)</f>
        <v/>
      </c>
      <c r="S426">
        <f>IF($A426="","",$R426&amp;"|"&amp;$Q426)</f>
        <v/>
      </c>
      <c r="T426">
        <f>IF($A426="","",$S426&amp;"|"&amp;$F426)</f>
        <v/>
      </c>
      <c r="U426">
        <f>IF($A426="","",$R426&amp;"("&amp;$E426&amp;")")</f>
        <v/>
      </c>
      <c r="V426">
        <f>IF($A426="","",$F426&amp;"|"&amp;$U426&amp;"|"&amp;$D426)</f>
        <v/>
      </c>
      <c r="W426">
        <f>IF($T426="","",IF($X426&gt;N($X425),$X426,""))</f>
        <v/>
      </c>
      <c r="X426">
        <f>IF($T426="",N($X425),IF(MATCH($T426,$T$6:$T$6005,0)=ROW()-5,N($X425)+1,N($X425)))</f>
        <v/>
      </c>
      <c r="Z426">
        <f>IF($V426="","",IF($AA426&gt;N($AA425),$AA426,""))</f>
        <v/>
      </c>
      <c r="AA426">
        <f>IF($V426="",N($AA425),IF(MATCH($V426,$V$6:$V$6005,0)=ROW()-5,N($AA425)+1,N($AA425)))</f>
        <v/>
      </c>
    </row>
    <row r="427" ht="21" customHeight="1" s="66">
      <c r="A427" s="56" t="n"/>
      <c r="B427" s="57" t="n"/>
      <c r="C427" s="57" t="n"/>
      <c r="D427" s="57" t="n"/>
      <c r="E427" s="56" t="n"/>
      <c r="F427" s="57" t="n"/>
      <c r="G427" s="57" t="n"/>
      <c r="H427" s="56" t="n"/>
      <c r="I427" s="56" t="n"/>
      <c r="J427" s="58" t="n"/>
      <c r="K427" s="58" t="n"/>
      <c r="L427" s="13">
        <f>IF(OR($A427="",AND($J427="",$K427="")),"",ROUND(N($J427)-N($K427),2))</f>
        <v/>
      </c>
      <c r="M427" s="13">
        <f>IF(OR($A427="",AND($J427="",$K427="")),"",MIN($J427,$K427))</f>
        <v/>
      </c>
      <c r="Q427">
        <f>IF($A427="","",$D427&amp;"("&amp;SUBSTITUTE($E427," ","")&amp;")")</f>
        <v/>
      </c>
      <c r="R427">
        <f>IF($A427="","",$B427&amp;" - "&amp;$C427)</f>
        <v/>
      </c>
      <c r="S427">
        <f>IF($A427="","",$R427&amp;"|"&amp;$Q427)</f>
        <v/>
      </c>
      <c r="T427">
        <f>IF($A427="","",$S427&amp;"|"&amp;$F427)</f>
        <v/>
      </c>
      <c r="U427">
        <f>IF($A427="","",$R427&amp;"("&amp;$E427&amp;")")</f>
        <v/>
      </c>
      <c r="V427">
        <f>IF($A427="","",$F427&amp;"|"&amp;$U427&amp;"|"&amp;$D427)</f>
        <v/>
      </c>
      <c r="W427">
        <f>IF($T427="","",IF($X427&gt;N($X426),$X427,""))</f>
        <v/>
      </c>
      <c r="X427">
        <f>IF($T427="",N($X426),IF(MATCH($T427,$T$6:$T$6005,0)=ROW()-5,N($X426)+1,N($X426)))</f>
        <v/>
      </c>
      <c r="Z427">
        <f>IF($V427="","",IF($AA427&gt;N($AA426),$AA427,""))</f>
        <v/>
      </c>
      <c r="AA427">
        <f>IF($V427="",N($AA426),IF(MATCH($V427,$V$6:$V$6005,0)=ROW()-5,N($AA426)+1,N($AA426)))</f>
        <v/>
      </c>
    </row>
    <row r="428" ht="21" customHeight="1" s="66">
      <c r="A428" s="56" t="n"/>
      <c r="B428" s="57" t="n"/>
      <c r="C428" s="57" t="n"/>
      <c r="D428" s="57" t="n"/>
      <c r="E428" s="56" t="n"/>
      <c r="F428" s="57" t="n"/>
      <c r="G428" s="57" t="n"/>
      <c r="H428" s="56" t="n"/>
      <c r="I428" s="56" t="n"/>
      <c r="J428" s="58" t="n"/>
      <c r="K428" s="58" t="n"/>
      <c r="L428" s="13">
        <f>IF(OR($A428="",AND($J428="",$K428="")),"",ROUND(N($J428)-N($K428),2))</f>
        <v/>
      </c>
      <c r="M428" s="13">
        <f>IF(OR($A428="",AND($J428="",$K428="")),"",MIN($J428,$K428))</f>
        <v/>
      </c>
      <c r="Q428">
        <f>IF($A428="","",$D428&amp;"("&amp;SUBSTITUTE($E428," ","")&amp;")")</f>
        <v/>
      </c>
      <c r="R428">
        <f>IF($A428="","",$B428&amp;" - "&amp;$C428)</f>
        <v/>
      </c>
      <c r="S428">
        <f>IF($A428="","",$R428&amp;"|"&amp;$Q428)</f>
        <v/>
      </c>
      <c r="T428">
        <f>IF($A428="","",$S428&amp;"|"&amp;$F428)</f>
        <v/>
      </c>
      <c r="U428">
        <f>IF($A428="","",$R428&amp;"("&amp;$E428&amp;")")</f>
        <v/>
      </c>
      <c r="V428">
        <f>IF($A428="","",$F428&amp;"|"&amp;$U428&amp;"|"&amp;$D428)</f>
        <v/>
      </c>
      <c r="W428">
        <f>IF($T428="","",IF($X428&gt;N($X427),$X428,""))</f>
        <v/>
      </c>
      <c r="X428">
        <f>IF($T428="",N($X427),IF(MATCH($T428,$T$6:$T$6005,0)=ROW()-5,N($X427)+1,N($X427)))</f>
        <v/>
      </c>
      <c r="Z428">
        <f>IF($V428="","",IF($AA428&gt;N($AA427),$AA428,""))</f>
        <v/>
      </c>
      <c r="AA428">
        <f>IF($V428="",N($AA427),IF(MATCH($V428,$V$6:$V$6005,0)=ROW()-5,N($AA427)+1,N($AA427)))</f>
        <v/>
      </c>
    </row>
    <row r="429" ht="21" customHeight="1" s="66">
      <c r="A429" s="56" t="n"/>
      <c r="B429" s="57" t="n"/>
      <c r="C429" s="57" t="n"/>
      <c r="D429" s="57" t="n"/>
      <c r="E429" s="56" t="n"/>
      <c r="F429" s="57" t="n"/>
      <c r="G429" s="57" t="n"/>
      <c r="H429" s="56" t="n"/>
      <c r="I429" s="56" t="n"/>
      <c r="J429" s="58" t="n"/>
      <c r="K429" s="58" t="n"/>
      <c r="L429" s="13">
        <f>IF(OR($A429="",AND($J429="",$K429="")),"",ROUND(N($J429)-N($K429),2))</f>
        <v/>
      </c>
      <c r="M429" s="13">
        <f>IF(OR($A429="",AND($J429="",$K429="")),"",MIN($J429,$K429))</f>
        <v/>
      </c>
      <c r="Q429">
        <f>IF($A429="","",$D429&amp;"("&amp;SUBSTITUTE($E429," ","")&amp;")")</f>
        <v/>
      </c>
      <c r="R429">
        <f>IF($A429="","",$B429&amp;" - "&amp;$C429)</f>
        <v/>
      </c>
      <c r="S429">
        <f>IF($A429="","",$R429&amp;"|"&amp;$Q429)</f>
        <v/>
      </c>
      <c r="T429">
        <f>IF($A429="","",$S429&amp;"|"&amp;$F429)</f>
        <v/>
      </c>
      <c r="U429">
        <f>IF($A429="","",$R429&amp;"("&amp;$E429&amp;")")</f>
        <v/>
      </c>
      <c r="V429">
        <f>IF($A429="","",$F429&amp;"|"&amp;$U429&amp;"|"&amp;$D429)</f>
        <v/>
      </c>
      <c r="W429">
        <f>IF($T429="","",IF($X429&gt;N($X428),$X429,""))</f>
        <v/>
      </c>
      <c r="X429">
        <f>IF($T429="",N($X428),IF(MATCH($T429,$T$6:$T$6005,0)=ROW()-5,N($X428)+1,N($X428)))</f>
        <v/>
      </c>
      <c r="Z429">
        <f>IF($V429="","",IF($AA429&gt;N($AA428),$AA429,""))</f>
        <v/>
      </c>
      <c r="AA429">
        <f>IF($V429="",N($AA428),IF(MATCH($V429,$V$6:$V$6005,0)=ROW()-5,N($AA428)+1,N($AA428)))</f>
        <v/>
      </c>
    </row>
    <row r="430" ht="21" customHeight="1" s="66">
      <c r="A430" s="56" t="n"/>
      <c r="B430" s="57" t="n"/>
      <c r="C430" s="57" t="n"/>
      <c r="D430" s="57" t="n"/>
      <c r="E430" s="56" t="n"/>
      <c r="F430" s="57" t="n"/>
      <c r="G430" s="57" t="n"/>
      <c r="H430" s="56" t="n"/>
      <c r="I430" s="56" t="n"/>
      <c r="J430" s="58" t="n"/>
      <c r="K430" s="58" t="n"/>
      <c r="L430" s="13">
        <f>IF(OR($A430="",AND($J430="",$K430="")),"",ROUND(N($J430)-N($K430),2))</f>
        <v/>
      </c>
      <c r="M430" s="13">
        <f>IF(OR($A430="",AND($J430="",$K430="")),"",MIN($J430,$K430))</f>
        <v/>
      </c>
      <c r="Q430">
        <f>IF($A430="","",$D430&amp;"("&amp;SUBSTITUTE($E430," ","")&amp;")")</f>
        <v/>
      </c>
      <c r="R430">
        <f>IF($A430="","",$B430&amp;" - "&amp;$C430)</f>
        <v/>
      </c>
      <c r="S430">
        <f>IF($A430="","",$R430&amp;"|"&amp;$Q430)</f>
        <v/>
      </c>
      <c r="T430">
        <f>IF($A430="","",$S430&amp;"|"&amp;$F430)</f>
        <v/>
      </c>
      <c r="U430">
        <f>IF($A430="","",$R430&amp;"("&amp;$E430&amp;")")</f>
        <v/>
      </c>
      <c r="V430">
        <f>IF($A430="","",$F430&amp;"|"&amp;$U430&amp;"|"&amp;$D430)</f>
        <v/>
      </c>
      <c r="W430">
        <f>IF($T430="","",IF($X430&gt;N($X429),$X430,""))</f>
        <v/>
      </c>
      <c r="X430">
        <f>IF($T430="",N($X429),IF(MATCH($T430,$T$6:$T$6005,0)=ROW()-5,N($X429)+1,N($X429)))</f>
        <v/>
      </c>
      <c r="Z430">
        <f>IF($V430="","",IF($AA430&gt;N($AA429),$AA430,""))</f>
        <v/>
      </c>
      <c r="AA430">
        <f>IF($V430="",N($AA429),IF(MATCH($V430,$V$6:$V$6005,0)=ROW()-5,N($AA429)+1,N($AA429)))</f>
        <v/>
      </c>
    </row>
    <row r="431" ht="21" customHeight="1" s="66">
      <c r="A431" s="56" t="n"/>
      <c r="B431" s="57" t="n"/>
      <c r="C431" s="57" t="n"/>
      <c r="D431" s="57" t="n"/>
      <c r="E431" s="56" t="n"/>
      <c r="F431" s="57" t="n"/>
      <c r="G431" s="57" t="n"/>
      <c r="H431" s="56" t="n"/>
      <c r="I431" s="56" t="n"/>
      <c r="J431" s="58" t="n"/>
      <c r="K431" s="58" t="n"/>
      <c r="L431" s="13">
        <f>IF(OR($A431="",AND($J431="",$K431="")),"",ROUND(N($J431)-N($K431),2))</f>
        <v/>
      </c>
      <c r="M431" s="13">
        <f>IF(OR($A431="",AND($J431="",$K431="")),"",MIN($J431,$K431))</f>
        <v/>
      </c>
      <c r="Q431">
        <f>IF($A431="","",$D431&amp;"("&amp;SUBSTITUTE($E431," ","")&amp;")")</f>
        <v/>
      </c>
      <c r="R431">
        <f>IF($A431="","",$B431&amp;" - "&amp;$C431)</f>
        <v/>
      </c>
      <c r="S431">
        <f>IF($A431="","",$R431&amp;"|"&amp;$Q431)</f>
        <v/>
      </c>
      <c r="T431">
        <f>IF($A431="","",$S431&amp;"|"&amp;$F431)</f>
        <v/>
      </c>
      <c r="U431">
        <f>IF($A431="","",$R431&amp;"("&amp;$E431&amp;")")</f>
        <v/>
      </c>
      <c r="V431">
        <f>IF($A431="","",$F431&amp;"|"&amp;$U431&amp;"|"&amp;$D431)</f>
        <v/>
      </c>
      <c r="W431">
        <f>IF($T431="","",IF($X431&gt;N($X430),$X431,""))</f>
        <v/>
      </c>
      <c r="X431">
        <f>IF($T431="",N($X430),IF(MATCH($T431,$T$6:$T$6005,0)=ROW()-5,N($X430)+1,N($X430)))</f>
        <v/>
      </c>
      <c r="Z431">
        <f>IF($V431="","",IF($AA431&gt;N($AA430),$AA431,""))</f>
        <v/>
      </c>
      <c r="AA431">
        <f>IF($V431="",N($AA430),IF(MATCH($V431,$V$6:$V$6005,0)=ROW()-5,N($AA430)+1,N($AA430)))</f>
        <v/>
      </c>
    </row>
    <row r="432" ht="21" customHeight="1" s="66">
      <c r="A432" s="56" t="n"/>
      <c r="B432" s="57" t="n"/>
      <c r="C432" s="57" t="n"/>
      <c r="D432" s="57" t="n"/>
      <c r="E432" s="56" t="n"/>
      <c r="F432" s="57" t="n"/>
      <c r="G432" s="57" t="n"/>
      <c r="H432" s="56" t="n"/>
      <c r="I432" s="56" t="n"/>
      <c r="J432" s="58" t="n"/>
      <c r="K432" s="58" t="n"/>
      <c r="L432" s="13">
        <f>IF(OR($A432="",AND($J432="",$K432="")),"",ROUND(N($J432)-N($K432),2))</f>
        <v/>
      </c>
      <c r="M432" s="13">
        <f>IF(OR($A432="",AND($J432="",$K432="")),"",MIN($J432,$K432))</f>
        <v/>
      </c>
      <c r="Q432">
        <f>IF($A432="","",$D432&amp;"("&amp;SUBSTITUTE($E432," ","")&amp;")")</f>
        <v/>
      </c>
      <c r="R432">
        <f>IF($A432="","",$B432&amp;" - "&amp;$C432)</f>
        <v/>
      </c>
      <c r="S432">
        <f>IF($A432="","",$R432&amp;"|"&amp;$Q432)</f>
        <v/>
      </c>
      <c r="T432">
        <f>IF($A432="","",$S432&amp;"|"&amp;$F432)</f>
        <v/>
      </c>
      <c r="U432">
        <f>IF($A432="","",$R432&amp;"("&amp;$E432&amp;")")</f>
        <v/>
      </c>
      <c r="V432">
        <f>IF($A432="","",$F432&amp;"|"&amp;$U432&amp;"|"&amp;$D432)</f>
        <v/>
      </c>
      <c r="W432">
        <f>IF($T432="","",IF($X432&gt;N($X431),$X432,""))</f>
        <v/>
      </c>
      <c r="X432">
        <f>IF($T432="",N($X431),IF(MATCH($T432,$T$6:$T$6005,0)=ROW()-5,N($X431)+1,N($X431)))</f>
        <v/>
      </c>
      <c r="Z432">
        <f>IF($V432="","",IF($AA432&gt;N($AA431),$AA432,""))</f>
        <v/>
      </c>
      <c r="AA432">
        <f>IF($V432="",N($AA431),IF(MATCH($V432,$V$6:$V$6005,0)=ROW()-5,N($AA431)+1,N($AA431)))</f>
        <v/>
      </c>
    </row>
    <row r="433" ht="21" customHeight="1" s="66">
      <c r="A433" s="56" t="n"/>
      <c r="B433" s="57" t="n"/>
      <c r="C433" s="57" t="n"/>
      <c r="D433" s="57" t="n"/>
      <c r="E433" s="56" t="n"/>
      <c r="F433" s="57" t="n"/>
      <c r="G433" s="57" t="n"/>
      <c r="H433" s="56" t="n"/>
      <c r="I433" s="56" t="n"/>
      <c r="J433" s="58" t="n"/>
      <c r="K433" s="58" t="n"/>
      <c r="L433" s="13">
        <f>IF(OR($A433="",AND($J433="",$K433="")),"",ROUND(N($J433)-N($K433),2))</f>
        <v/>
      </c>
      <c r="M433" s="13">
        <f>IF(OR($A433="",AND($J433="",$K433="")),"",MIN($J433,$K433))</f>
        <v/>
      </c>
      <c r="Q433">
        <f>IF($A433="","",$D433&amp;"("&amp;SUBSTITUTE($E433," ","")&amp;")")</f>
        <v/>
      </c>
      <c r="R433">
        <f>IF($A433="","",$B433&amp;" - "&amp;$C433)</f>
        <v/>
      </c>
      <c r="S433">
        <f>IF($A433="","",$R433&amp;"|"&amp;$Q433)</f>
        <v/>
      </c>
      <c r="T433">
        <f>IF($A433="","",$S433&amp;"|"&amp;$F433)</f>
        <v/>
      </c>
      <c r="U433">
        <f>IF($A433="","",$R433&amp;"("&amp;$E433&amp;")")</f>
        <v/>
      </c>
      <c r="V433">
        <f>IF($A433="","",$F433&amp;"|"&amp;$U433&amp;"|"&amp;$D433)</f>
        <v/>
      </c>
      <c r="W433">
        <f>IF($T433="","",IF($X433&gt;N($X432),$X433,""))</f>
        <v/>
      </c>
      <c r="X433">
        <f>IF($T433="",N($X432),IF(MATCH($T433,$T$6:$T$6005,0)=ROW()-5,N($X432)+1,N($X432)))</f>
        <v/>
      </c>
      <c r="Z433">
        <f>IF($V433="","",IF($AA433&gt;N($AA432),$AA433,""))</f>
        <v/>
      </c>
      <c r="AA433">
        <f>IF($V433="",N($AA432),IF(MATCH($V433,$V$6:$V$6005,0)=ROW()-5,N($AA432)+1,N($AA432)))</f>
        <v/>
      </c>
    </row>
    <row r="434" ht="21" customHeight="1" s="66">
      <c r="A434" s="56" t="n"/>
      <c r="B434" s="57" t="n"/>
      <c r="C434" s="57" t="n"/>
      <c r="D434" s="57" t="n"/>
      <c r="E434" s="56" t="n"/>
      <c r="F434" s="57" t="n"/>
      <c r="G434" s="57" t="n"/>
      <c r="H434" s="56" t="n"/>
      <c r="I434" s="56" t="n"/>
      <c r="J434" s="58" t="n"/>
      <c r="K434" s="58" t="n"/>
      <c r="L434" s="13">
        <f>IF(OR($A434="",AND($J434="",$K434="")),"",ROUND(N($J434)-N($K434),2))</f>
        <v/>
      </c>
      <c r="M434" s="13">
        <f>IF(OR($A434="",AND($J434="",$K434="")),"",MIN($J434,$K434))</f>
        <v/>
      </c>
      <c r="Q434">
        <f>IF($A434="","",$D434&amp;"("&amp;SUBSTITUTE($E434," ","")&amp;")")</f>
        <v/>
      </c>
      <c r="R434">
        <f>IF($A434="","",$B434&amp;" - "&amp;$C434)</f>
        <v/>
      </c>
      <c r="S434">
        <f>IF($A434="","",$R434&amp;"|"&amp;$Q434)</f>
        <v/>
      </c>
      <c r="T434">
        <f>IF($A434="","",$S434&amp;"|"&amp;$F434)</f>
        <v/>
      </c>
      <c r="U434">
        <f>IF($A434="","",$R434&amp;"("&amp;$E434&amp;")")</f>
        <v/>
      </c>
      <c r="V434">
        <f>IF($A434="","",$F434&amp;"|"&amp;$U434&amp;"|"&amp;$D434)</f>
        <v/>
      </c>
      <c r="W434">
        <f>IF($T434="","",IF($X434&gt;N($X433),$X434,""))</f>
        <v/>
      </c>
      <c r="X434">
        <f>IF($T434="",N($X433),IF(MATCH($T434,$T$6:$T$6005,0)=ROW()-5,N($X433)+1,N($X433)))</f>
        <v/>
      </c>
      <c r="Z434">
        <f>IF($V434="","",IF($AA434&gt;N($AA433),$AA434,""))</f>
        <v/>
      </c>
      <c r="AA434">
        <f>IF($V434="",N($AA433),IF(MATCH($V434,$V$6:$V$6005,0)=ROW()-5,N($AA433)+1,N($AA433)))</f>
        <v/>
      </c>
    </row>
    <row r="435" ht="21" customHeight="1" s="66">
      <c r="A435" s="56" t="n"/>
      <c r="B435" s="57" t="n"/>
      <c r="C435" s="57" t="n"/>
      <c r="D435" s="57" t="n"/>
      <c r="E435" s="56" t="n"/>
      <c r="F435" s="57" t="n"/>
      <c r="G435" s="57" t="n"/>
      <c r="H435" s="56" t="n"/>
      <c r="I435" s="56" t="n"/>
      <c r="J435" s="58" t="n"/>
      <c r="K435" s="58" t="n"/>
      <c r="L435" s="13">
        <f>IF(OR($A435="",AND($J435="",$K435="")),"",ROUND(N($J435)-N($K435),2))</f>
        <v/>
      </c>
      <c r="M435" s="13">
        <f>IF(OR($A435="",AND($J435="",$K435="")),"",MIN($J435,$K435))</f>
        <v/>
      </c>
      <c r="Q435">
        <f>IF($A435="","",$D435&amp;"("&amp;SUBSTITUTE($E435," ","")&amp;")")</f>
        <v/>
      </c>
      <c r="R435">
        <f>IF($A435="","",$B435&amp;" - "&amp;$C435)</f>
        <v/>
      </c>
      <c r="S435">
        <f>IF($A435="","",$R435&amp;"|"&amp;$Q435)</f>
        <v/>
      </c>
      <c r="T435">
        <f>IF($A435="","",$S435&amp;"|"&amp;$F435)</f>
        <v/>
      </c>
      <c r="U435">
        <f>IF($A435="","",$R435&amp;"("&amp;$E435&amp;")")</f>
        <v/>
      </c>
      <c r="V435">
        <f>IF($A435="","",$F435&amp;"|"&amp;$U435&amp;"|"&amp;$D435)</f>
        <v/>
      </c>
      <c r="W435">
        <f>IF($T435="","",IF($X435&gt;N($X434),$X435,""))</f>
        <v/>
      </c>
      <c r="X435">
        <f>IF($T435="",N($X434),IF(MATCH($T435,$T$6:$T$6005,0)=ROW()-5,N($X434)+1,N($X434)))</f>
        <v/>
      </c>
      <c r="Z435">
        <f>IF($V435="","",IF($AA435&gt;N($AA434),$AA435,""))</f>
        <v/>
      </c>
      <c r="AA435">
        <f>IF($V435="",N($AA434),IF(MATCH($V435,$V$6:$V$6005,0)=ROW()-5,N($AA434)+1,N($AA434)))</f>
        <v/>
      </c>
    </row>
    <row r="436" ht="21" customHeight="1" s="66">
      <c r="A436" s="56" t="n"/>
      <c r="B436" s="57" t="n"/>
      <c r="C436" s="57" t="n"/>
      <c r="D436" s="57" t="n"/>
      <c r="E436" s="56" t="n"/>
      <c r="F436" s="57" t="n"/>
      <c r="G436" s="57" t="n"/>
      <c r="H436" s="56" t="n"/>
      <c r="I436" s="56" t="n"/>
      <c r="J436" s="58" t="n"/>
      <c r="K436" s="58" t="n"/>
      <c r="L436" s="13">
        <f>IF(OR($A436="",AND($J436="",$K436="")),"",ROUND(N($J436)-N($K436),2))</f>
        <v/>
      </c>
      <c r="M436" s="13">
        <f>IF(OR($A436="",AND($J436="",$K436="")),"",MIN($J436,$K436))</f>
        <v/>
      </c>
      <c r="Q436">
        <f>IF($A436="","",$D436&amp;"("&amp;SUBSTITUTE($E436," ","")&amp;")")</f>
        <v/>
      </c>
      <c r="R436">
        <f>IF($A436="","",$B436&amp;" - "&amp;$C436)</f>
        <v/>
      </c>
      <c r="S436">
        <f>IF($A436="","",$R436&amp;"|"&amp;$Q436)</f>
        <v/>
      </c>
      <c r="T436">
        <f>IF($A436="","",$S436&amp;"|"&amp;$F436)</f>
        <v/>
      </c>
      <c r="U436">
        <f>IF($A436="","",$R436&amp;"("&amp;$E436&amp;")")</f>
        <v/>
      </c>
      <c r="V436">
        <f>IF($A436="","",$F436&amp;"|"&amp;$U436&amp;"|"&amp;$D436)</f>
        <v/>
      </c>
      <c r="W436">
        <f>IF($T436="","",IF($X436&gt;N($X435),$X436,""))</f>
        <v/>
      </c>
      <c r="X436">
        <f>IF($T436="",N($X435),IF(MATCH($T436,$T$6:$T$6005,0)=ROW()-5,N($X435)+1,N($X435)))</f>
        <v/>
      </c>
      <c r="Z436">
        <f>IF($V436="","",IF($AA436&gt;N($AA435),$AA436,""))</f>
        <v/>
      </c>
      <c r="AA436">
        <f>IF($V436="",N($AA435),IF(MATCH($V436,$V$6:$V$6005,0)=ROW()-5,N($AA435)+1,N($AA435)))</f>
        <v/>
      </c>
    </row>
    <row r="437" ht="21" customHeight="1" s="66">
      <c r="A437" s="56" t="n"/>
      <c r="B437" s="57" t="n"/>
      <c r="C437" s="57" t="n"/>
      <c r="D437" s="57" t="n"/>
      <c r="E437" s="56" t="n"/>
      <c r="F437" s="57" t="n"/>
      <c r="G437" s="57" t="n"/>
      <c r="H437" s="56" t="n"/>
      <c r="I437" s="56" t="n"/>
      <c r="J437" s="58" t="n"/>
      <c r="K437" s="58" t="n"/>
      <c r="L437" s="13">
        <f>IF(OR($A437="",AND($J437="",$K437="")),"",ROUND(N($J437)-N($K437),2))</f>
        <v/>
      </c>
      <c r="M437" s="13">
        <f>IF(OR($A437="",AND($J437="",$K437="")),"",MIN($J437,$K437))</f>
        <v/>
      </c>
      <c r="Q437">
        <f>IF($A437="","",$D437&amp;"("&amp;SUBSTITUTE($E437," ","")&amp;")")</f>
        <v/>
      </c>
      <c r="R437">
        <f>IF($A437="","",$B437&amp;" - "&amp;$C437)</f>
        <v/>
      </c>
      <c r="S437">
        <f>IF($A437="","",$R437&amp;"|"&amp;$Q437)</f>
        <v/>
      </c>
      <c r="T437">
        <f>IF($A437="","",$S437&amp;"|"&amp;$F437)</f>
        <v/>
      </c>
      <c r="U437">
        <f>IF($A437="","",$R437&amp;"("&amp;$E437&amp;")")</f>
        <v/>
      </c>
      <c r="V437">
        <f>IF($A437="","",$F437&amp;"|"&amp;$U437&amp;"|"&amp;$D437)</f>
        <v/>
      </c>
      <c r="W437">
        <f>IF($T437="","",IF($X437&gt;N($X436),$X437,""))</f>
        <v/>
      </c>
      <c r="X437">
        <f>IF($T437="",N($X436),IF(MATCH($T437,$T$6:$T$6005,0)=ROW()-5,N($X436)+1,N($X436)))</f>
        <v/>
      </c>
      <c r="Z437">
        <f>IF($V437="","",IF($AA437&gt;N($AA436),$AA437,""))</f>
        <v/>
      </c>
      <c r="AA437">
        <f>IF($V437="",N($AA436),IF(MATCH($V437,$V$6:$V$6005,0)=ROW()-5,N($AA436)+1,N($AA436)))</f>
        <v/>
      </c>
    </row>
    <row r="438" ht="21" customHeight="1" s="66">
      <c r="A438" s="56" t="n"/>
      <c r="B438" s="57" t="n"/>
      <c r="C438" s="57" t="n"/>
      <c r="D438" s="57" t="n"/>
      <c r="E438" s="56" t="n"/>
      <c r="F438" s="57" t="n"/>
      <c r="G438" s="57" t="n"/>
      <c r="H438" s="56" t="n"/>
      <c r="I438" s="56" t="n"/>
      <c r="J438" s="58" t="n"/>
      <c r="K438" s="58" t="n"/>
      <c r="L438" s="13">
        <f>IF(OR($A438="",AND($J438="",$K438="")),"",ROUND(N($J438)-N($K438),2))</f>
        <v/>
      </c>
      <c r="M438" s="13">
        <f>IF(OR($A438="",AND($J438="",$K438="")),"",MIN($J438,$K438))</f>
        <v/>
      </c>
      <c r="Q438">
        <f>IF($A438="","",$D438&amp;"("&amp;SUBSTITUTE($E438," ","")&amp;")")</f>
        <v/>
      </c>
      <c r="R438">
        <f>IF($A438="","",$B438&amp;" - "&amp;$C438)</f>
        <v/>
      </c>
      <c r="S438">
        <f>IF($A438="","",$R438&amp;"|"&amp;$Q438)</f>
        <v/>
      </c>
      <c r="T438">
        <f>IF($A438="","",$S438&amp;"|"&amp;$F438)</f>
        <v/>
      </c>
      <c r="U438">
        <f>IF($A438="","",$R438&amp;"("&amp;$E438&amp;")")</f>
        <v/>
      </c>
      <c r="V438">
        <f>IF($A438="","",$F438&amp;"|"&amp;$U438&amp;"|"&amp;$D438)</f>
        <v/>
      </c>
      <c r="W438">
        <f>IF($T438="","",IF($X438&gt;N($X437),$X438,""))</f>
        <v/>
      </c>
      <c r="X438">
        <f>IF($T438="",N($X437),IF(MATCH($T438,$T$6:$T$6005,0)=ROW()-5,N($X437)+1,N($X437)))</f>
        <v/>
      </c>
      <c r="Z438">
        <f>IF($V438="","",IF($AA438&gt;N($AA437),$AA438,""))</f>
        <v/>
      </c>
      <c r="AA438">
        <f>IF($V438="",N($AA437),IF(MATCH($V438,$V$6:$V$6005,0)=ROW()-5,N($AA437)+1,N($AA437)))</f>
        <v/>
      </c>
    </row>
    <row r="439" ht="21" customHeight="1" s="66">
      <c r="A439" s="56" t="n"/>
      <c r="B439" s="57" t="n"/>
      <c r="C439" s="57" t="n"/>
      <c r="D439" s="57" t="n"/>
      <c r="E439" s="56" t="n"/>
      <c r="F439" s="57" t="n"/>
      <c r="G439" s="57" t="n"/>
      <c r="H439" s="56" t="n"/>
      <c r="I439" s="56" t="n"/>
      <c r="J439" s="58" t="n"/>
      <c r="K439" s="58" t="n"/>
      <c r="L439" s="13">
        <f>IF(OR($A439="",AND($J439="",$K439="")),"",ROUND(N($J439)-N($K439),2))</f>
        <v/>
      </c>
      <c r="M439" s="13">
        <f>IF(OR($A439="",AND($J439="",$K439="")),"",MIN($J439,$K439))</f>
        <v/>
      </c>
      <c r="Q439">
        <f>IF($A439="","",$D439&amp;"("&amp;SUBSTITUTE($E439," ","")&amp;")")</f>
        <v/>
      </c>
      <c r="R439">
        <f>IF($A439="","",$B439&amp;" - "&amp;$C439)</f>
        <v/>
      </c>
      <c r="S439">
        <f>IF($A439="","",$R439&amp;"|"&amp;$Q439)</f>
        <v/>
      </c>
      <c r="T439">
        <f>IF($A439="","",$S439&amp;"|"&amp;$F439)</f>
        <v/>
      </c>
      <c r="U439">
        <f>IF($A439="","",$R439&amp;"("&amp;$E439&amp;")")</f>
        <v/>
      </c>
      <c r="V439">
        <f>IF($A439="","",$F439&amp;"|"&amp;$U439&amp;"|"&amp;$D439)</f>
        <v/>
      </c>
      <c r="W439">
        <f>IF($T439="","",IF($X439&gt;N($X438),$X439,""))</f>
        <v/>
      </c>
      <c r="X439">
        <f>IF($T439="",N($X438),IF(MATCH($T439,$T$6:$T$6005,0)=ROW()-5,N($X438)+1,N($X438)))</f>
        <v/>
      </c>
      <c r="Z439">
        <f>IF($V439="","",IF($AA439&gt;N($AA438),$AA439,""))</f>
        <v/>
      </c>
      <c r="AA439">
        <f>IF($V439="",N($AA438),IF(MATCH($V439,$V$6:$V$6005,0)=ROW()-5,N($AA438)+1,N($AA438)))</f>
        <v/>
      </c>
    </row>
    <row r="440" ht="21" customHeight="1" s="66">
      <c r="A440" s="56" t="n"/>
      <c r="B440" s="57" t="n"/>
      <c r="C440" s="57" t="n"/>
      <c r="D440" s="57" t="n"/>
      <c r="E440" s="56" t="n"/>
      <c r="F440" s="57" t="n"/>
      <c r="G440" s="57" t="n"/>
      <c r="H440" s="56" t="n"/>
      <c r="I440" s="56" t="n"/>
      <c r="J440" s="58" t="n"/>
      <c r="K440" s="58" t="n"/>
      <c r="L440" s="13">
        <f>IF(OR($A440="",AND($J440="",$K440="")),"",ROUND(N($J440)-N($K440),2))</f>
        <v/>
      </c>
      <c r="M440" s="13">
        <f>IF(OR($A440="",AND($J440="",$K440="")),"",MIN($J440,$K440))</f>
        <v/>
      </c>
      <c r="Q440">
        <f>IF($A440="","",$D440&amp;"("&amp;SUBSTITUTE($E440," ","")&amp;")")</f>
        <v/>
      </c>
      <c r="R440">
        <f>IF($A440="","",$B440&amp;" - "&amp;$C440)</f>
        <v/>
      </c>
      <c r="S440">
        <f>IF($A440="","",$R440&amp;"|"&amp;$Q440)</f>
        <v/>
      </c>
      <c r="T440">
        <f>IF($A440="","",$S440&amp;"|"&amp;$F440)</f>
        <v/>
      </c>
      <c r="U440">
        <f>IF($A440="","",$R440&amp;"("&amp;$E440&amp;")")</f>
        <v/>
      </c>
      <c r="V440">
        <f>IF($A440="","",$F440&amp;"|"&amp;$U440&amp;"|"&amp;$D440)</f>
        <v/>
      </c>
      <c r="W440">
        <f>IF($T440="","",IF($X440&gt;N($X439),$X440,""))</f>
        <v/>
      </c>
      <c r="X440">
        <f>IF($T440="",N($X439),IF(MATCH($T440,$T$6:$T$6005,0)=ROW()-5,N($X439)+1,N($X439)))</f>
        <v/>
      </c>
      <c r="Z440">
        <f>IF($V440="","",IF($AA440&gt;N($AA439),$AA440,""))</f>
        <v/>
      </c>
      <c r="AA440">
        <f>IF($V440="",N($AA439),IF(MATCH($V440,$V$6:$V$6005,0)=ROW()-5,N($AA439)+1,N($AA439)))</f>
        <v/>
      </c>
    </row>
    <row r="441" ht="21" customHeight="1" s="66">
      <c r="A441" s="56" t="n"/>
      <c r="B441" s="57" t="n"/>
      <c r="C441" s="57" t="n"/>
      <c r="D441" s="57" t="n"/>
      <c r="E441" s="56" t="n"/>
      <c r="F441" s="57" t="n"/>
      <c r="G441" s="57" t="n"/>
      <c r="H441" s="56" t="n"/>
      <c r="I441" s="56" t="n"/>
      <c r="J441" s="58" t="n"/>
      <c r="K441" s="58" t="n"/>
      <c r="L441" s="13">
        <f>IF(OR($A441="",AND($J441="",$K441="")),"",ROUND(N($J441)-N($K441),2))</f>
        <v/>
      </c>
      <c r="M441" s="13">
        <f>IF(OR($A441="",AND($J441="",$K441="")),"",MIN($J441,$K441))</f>
        <v/>
      </c>
      <c r="Q441">
        <f>IF($A441="","",$D441&amp;"("&amp;SUBSTITUTE($E441," ","")&amp;")")</f>
        <v/>
      </c>
      <c r="R441">
        <f>IF($A441="","",$B441&amp;" - "&amp;$C441)</f>
        <v/>
      </c>
      <c r="S441">
        <f>IF($A441="","",$R441&amp;"|"&amp;$Q441)</f>
        <v/>
      </c>
      <c r="T441">
        <f>IF($A441="","",$S441&amp;"|"&amp;$F441)</f>
        <v/>
      </c>
      <c r="U441">
        <f>IF($A441="","",$R441&amp;"("&amp;$E441&amp;")")</f>
        <v/>
      </c>
      <c r="V441">
        <f>IF($A441="","",$F441&amp;"|"&amp;$U441&amp;"|"&amp;$D441)</f>
        <v/>
      </c>
      <c r="W441">
        <f>IF($T441="","",IF($X441&gt;N($X440),$X441,""))</f>
        <v/>
      </c>
      <c r="X441">
        <f>IF($T441="",N($X440),IF(MATCH($T441,$T$6:$T$6005,0)=ROW()-5,N($X440)+1,N($X440)))</f>
        <v/>
      </c>
      <c r="Z441">
        <f>IF($V441="","",IF($AA441&gt;N($AA440),$AA441,""))</f>
        <v/>
      </c>
      <c r="AA441">
        <f>IF($V441="",N($AA440),IF(MATCH($V441,$V$6:$V$6005,0)=ROW()-5,N($AA440)+1,N($AA440)))</f>
        <v/>
      </c>
    </row>
    <row r="442" ht="21" customHeight="1" s="66">
      <c r="A442" s="56" t="n"/>
      <c r="B442" s="57" t="n"/>
      <c r="C442" s="57" t="n"/>
      <c r="D442" s="57" t="n"/>
      <c r="E442" s="56" t="n"/>
      <c r="F442" s="57" t="n"/>
      <c r="G442" s="57" t="n"/>
      <c r="H442" s="56" t="n"/>
      <c r="I442" s="56" t="n"/>
      <c r="J442" s="58" t="n"/>
      <c r="K442" s="58" t="n"/>
      <c r="L442" s="13">
        <f>IF(OR($A442="",AND($J442="",$K442="")),"",ROUND(N($J442)-N($K442),2))</f>
        <v/>
      </c>
      <c r="M442" s="13">
        <f>IF(OR($A442="",AND($J442="",$K442="")),"",MIN($J442,$K442))</f>
        <v/>
      </c>
      <c r="Q442">
        <f>IF($A442="","",$D442&amp;"("&amp;SUBSTITUTE($E442," ","")&amp;")")</f>
        <v/>
      </c>
      <c r="R442">
        <f>IF($A442="","",$B442&amp;" - "&amp;$C442)</f>
        <v/>
      </c>
      <c r="S442">
        <f>IF($A442="","",$R442&amp;"|"&amp;$Q442)</f>
        <v/>
      </c>
      <c r="T442">
        <f>IF($A442="","",$S442&amp;"|"&amp;$F442)</f>
        <v/>
      </c>
      <c r="U442">
        <f>IF($A442="","",$R442&amp;"("&amp;$E442&amp;")")</f>
        <v/>
      </c>
      <c r="V442">
        <f>IF($A442="","",$F442&amp;"|"&amp;$U442&amp;"|"&amp;$D442)</f>
        <v/>
      </c>
      <c r="W442">
        <f>IF($T442="","",IF($X442&gt;N($X441),$X442,""))</f>
        <v/>
      </c>
      <c r="X442">
        <f>IF($T442="",N($X441),IF(MATCH($T442,$T$6:$T$6005,0)=ROW()-5,N($X441)+1,N($X441)))</f>
        <v/>
      </c>
      <c r="Z442">
        <f>IF($V442="","",IF($AA442&gt;N($AA441),$AA442,""))</f>
        <v/>
      </c>
      <c r="AA442">
        <f>IF($V442="",N($AA441),IF(MATCH($V442,$V$6:$V$6005,0)=ROW()-5,N($AA441)+1,N($AA441)))</f>
        <v/>
      </c>
    </row>
    <row r="443" ht="21" customHeight="1" s="66">
      <c r="A443" s="56" t="n"/>
      <c r="B443" s="57" t="n"/>
      <c r="C443" s="57" t="n"/>
      <c r="D443" s="57" t="n"/>
      <c r="E443" s="56" t="n"/>
      <c r="F443" s="57" t="n"/>
      <c r="G443" s="57" t="n"/>
      <c r="H443" s="56" t="n"/>
      <c r="I443" s="56" t="n"/>
      <c r="J443" s="58" t="n"/>
      <c r="K443" s="58" t="n"/>
      <c r="L443" s="13">
        <f>IF(OR($A443="",AND($J443="",$K443="")),"",ROUND(N($J443)-N($K443),2))</f>
        <v/>
      </c>
      <c r="M443" s="13">
        <f>IF(OR($A443="",AND($J443="",$K443="")),"",MIN($J443,$K443))</f>
        <v/>
      </c>
      <c r="Q443">
        <f>IF($A443="","",$D443&amp;"("&amp;SUBSTITUTE($E443," ","")&amp;")")</f>
        <v/>
      </c>
      <c r="R443">
        <f>IF($A443="","",$B443&amp;" - "&amp;$C443)</f>
        <v/>
      </c>
      <c r="S443">
        <f>IF($A443="","",$R443&amp;"|"&amp;$Q443)</f>
        <v/>
      </c>
      <c r="T443">
        <f>IF($A443="","",$S443&amp;"|"&amp;$F443)</f>
        <v/>
      </c>
      <c r="U443">
        <f>IF($A443="","",$R443&amp;"("&amp;$E443&amp;")")</f>
        <v/>
      </c>
      <c r="V443">
        <f>IF($A443="","",$F443&amp;"|"&amp;$U443&amp;"|"&amp;$D443)</f>
        <v/>
      </c>
      <c r="W443">
        <f>IF($T443="","",IF($X443&gt;N($X442),$X443,""))</f>
        <v/>
      </c>
      <c r="X443">
        <f>IF($T443="",N($X442),IF(MATCH($T443,$T$6:$T$6005,0)=ROW()-5,N($X442)+1,N($X442)))</f>
        <v/>
      </c>
      <c r="Z443">
        <f>IF($V443="","",IF($AA443&gt;N($AA442),$AA443,""))</f>
        <v/>
      </c>
      <c r="AA443">
        <f>IF($V443="",N($AA442),IF(MATCH($V443,$V$6:$V$6005,0)=ROW()-5,N($AA442)+1,N($AA442)))</f>
        <v/>
      </c>
    </row>
    <row r="444" ht="21" customHeight="1" s="66">
      <c r="A444" s="56" t="n"/>
      <c r="B444" s="57" t="n"/>
      <c r="C444" s="57" t="n"/>
      <c r="D444" s="57" t="n"/>
      <c r="E444" s="56" t="n"/>
      <c r="F444" s="57" t="n"/>
      <c r="G444" s="57" t="n"/>
      <c r="H444" s="56" t="n"/>
      <c r="I444" s="56" t="n"/>
      <c r="J444" s="58" t="n"/>
      <c r="K444" s="58" t="n"/>
      <c r="L444" s="13">
        <f>IF(OR($A444="",AND($J444="",$K444="")),"",ROUND(N($J444)-N($K444),2))</f>
        <v/>
      </c>
      <c r="M444" s="13">
        <f>IF(OR($A444="",AND($J444="",$K444="")),"",MIN($J444,$K444))</f>
        <v/>
      </c>
      <c r="Q444">
        <f>IF($A444="","",$D444&amp;"("&amp;SUBSTITUTE($E444," ","")&amp;")")</f>
        <v/>
      </c>
      <c r="R444">
        <f>IF($A444="","",$B444&amp;" - "&amp;$C444)</f>
        <v/>
      </c>
      <c r="S444">
        <f>IF($A444="","",$R444&amp;"|"&amp;$Q444)</f>
        <v/>
      </c>
      <c r="T444">
        <f>IF($A444="","",$S444&amp;"|"&amp;$F444)</f>
        <v/>
      </c>
      <c r="U444">
        <f>IF($A444="","",$R444&amp;"("&amp;$E444&amp;")")</f>
        <v/>
      </c>
      <c r="V444">
        <f>IF($A444="","",$F444&amp;"|"&amp;$U444&amp;"|"&amp;$D444)</f>
        <v/>
      </c>
      <c r="W444">
        <f>IF($T444="","",IF($X444&gt;N($X443),$X444,""))</f>
        <v/>
      </c>
      <c r="X444">
        <f>IF($T444="",N($X443),IF(MATCH($T444,$T$6:$T$6005,0)=ROW()-5,N($X443)+1,N($X443)))</f>
        <v/>
      </c>
      <c r="Z444">
        <f>IF($V444="","",IF($AA444&gt;N($AA443),$AA444,""))</f>
        <v/>
      </c>
      <c r="AA444">
        <f>IF($V444="",N($AA443),IF(MATCH($V444,$V$6:$V$6005,0)=ROW()-5,N($AA443)+1,N($AA443)))</f>
        <v/>
      </c>
    </row>
    <row r="445" ht="21" customHeight="1" s="66">
      <c r="A445" s="56" t="n"/>
      <c r="B445" s="57" t="n"/>
      <c r="C445" s="57" t="n"/>
      <c r="D445" s="57" t="n"/>
      <c r="E445" s="56" t="n"/>
      <c r="F445" s="57" t="n"/>
      <c r="G445" s="57" t="n"/>
      <c r="H445" s="56" t="n"/>
      <c r="I445" s="56" t="n"/>
      <c r="J445" s="58" t="n"/>
      <c r="K445" s="58" t="n"/>
      <c r="L445" s="13">
        <f>IF(OR($A445="",AND($J445="",$K445="")),"",ROUND(N($J445)-N($K445),2))</f>
        <v/>
      </c>
      <c r="M445" s="13">
        <f>IF(OR($A445="",AND($J445="",$K445="")),"",MIN($J445,$K445))</f>
        <v/>
      </c>
      <c r="Q445">
        <f>IF($A445="","",$D445&amp;"("&amp;SUBSTITUTE($E445," ","")&amp;")")</f>
        <v/>
      </c>
      <c r="R445">
        <f>IF($A445="","",$B445&amp;" - "&amp;$C445)</f>
        <v/>
      </c>
      <c r="S445">
        <f>IF($A445="","",$R445&amp;"|"&amp;$Q445)</f>
        <v/>
      </c>
      <c r="T445">
        <f>IF($A445="","",$S445&amp;"|"&amp;$F445)</f>
        <v/>
      </c>
      <c r="U445">
        <f>IF($A445="","",$R445&amp;"("&amp;$E445&amp;")")</f>
        <v/>
      </c>
      <c r="V445">
        <f>IF($A445="","",$F445&amp;"|"&amp;$U445&amp;"|"&amp;$D445)</f>
        <v/>
      </c>
      <c r="W445">
        <f>IF($T445="","",IF($X445&gt;N($X444),$X445,""))</f>
        <v/>
      </c>
      <c r="X445">
        <f>IF($T445="",N($X444),IF(MATCH($T445,$T$6:$T$6005,0)=ROW()-5,N($X444)+1,N($X444)))</f>
        <v/>
      </c>
      <c r="Z445">
        <f>IF($V445="","",IF($AA445&gt;N($AA444),$AA445,""))</f>
        <v/>
      </c>
      <c r="AA445">
        <f>IF($V445="",N($AA444),IF(MATCH($V445,$V$6:$V$6005,0)=ROW()-5,N($AA444)+1,N($AA444)))</f>
        <v/>
      </c>
    </row>
    <row r="446" ht="21" customHeight="1" s="66">
      <c r="A446" s="56" t="n"/>
      <c r="B446" s="57" t="n"/>
      <c r="C446" s="57" t="n"/>
      <c r="D446" s="57" t="n"/>
      <c r="E446" s="56" t="n"/>
      <c r="F446" s="57" t="n"/>
      <c r="G446" s="57" t="n"/>
      <c r="H446" s="56" t="n"/>
      <c r="I446" s="56" t="n"/>
      <c r="J446" s="58" t="n"/>
      <c r="K446" s="58" t="n"/>
      <c r="L446" s="13">
        <f>IF(OR($A446="",AND($J446="",$K446="")),"",ROUND(N($J446)-N($K446),2))</f>
        <v/>
      </c>
      <c r="M446" s="13">
        <f>IF(OR($A446="",AND($J446="",$K446="")),"",MIN($J446,$K446))</f>
        <v/>
      </c>
      <c r="Q446">
        <f>IF($A446="","",$D446&amp;"("&amp;SUBSTITUTE($E446," ","")&amp;")")</f>
        <v/>
      </c>
      <c r="R446">
        <f>IF($A446="","",$B446&amp;" - "&amp;$C446)</f>
        <v/>
      </c>
      <c r="S446">
        <f>IF($A446="","",$R446&amp;"|"&amp;$Q446)</f>
        <v/>
      </c>
      <c r="T446">
        <f>IF($A446="","",$S446&amp;"|"&amp;$F446)</f>
        <v/>
      </c>
      <c r="U446">
        <f>IF($A446="","",$R446&amp;"("&amp;$E446&amp;")")</f>
        <v/>
      </c>
      <c r="V446">
        <f>IF($A446="","",$F446&amp;"|"&amp;$U446&amp;"|"&amp;$D446)</f>
        <v/>
      </c>
      <c r="W446">
        <f>IF($T446="","",IF($X446&gt;N($X445),$X446,""))</f>
        <v/>
      </c>
      <c r="X446">
        <f>IF($T446="",N($X445),IF(MATCH($T446,$T$6:$T$6005,0)=ROW()-5,N($X445)+1,N($X445)))</f>
        <v/>
      </c>
      <c r="Z446">
        <f>IF($V446="","",IF($AA446&gt;N($AA445),$AA446,""))</f>
        <v/>
      </c>
      <c r="AA446">
        <f>IF($V446="",N($AA445),IF(MATCH($V446,$V$6:$V$6005,0)=ROW()-5,N($AA445)+1,N($AA445)))</f>
        <v/>
      </c>
    </row>
    <row r="447" ht="21" customHeight="1" s="66">
      <c r="A447" s="56" t="n"/>
      <c r="B447" s="57" t="n"/>
      <c r="C447" s="57" t="n"/>
      <c r="D447" s="57" t="n"/>
      <c r="E447" s="56" t="n"/>
      <c r="F447" s="57" t="n"/>
      <c r="G447" s="57" t="n"/>
      <c r="H447" s="56" t="n"/>
      <c r="I447" s="56" t="n"/>
      <c r="J447" s="58" t="n"/>
      <c r="K447" s="58" t="n"/>
      <c r="L447" s="13">
        <f>IF(OR($A447="",AND($J447="",$K447="")),"",ROUND(N($J447)-N($K447),2))</f>
        <v/>
      </c>
      <c r="M447" s="13">
        <f>IF(OR($A447="",AND($J447="",$K447="")),"",MIN($J447,$K447))</f>
        <v/>
      </c>
      <c r="Q447">
        <f>IF($A447="","",$D447&amp;"("&amp;SUBSTITUTE($E447," ","")&amp;")")</f>
        <v/>
      </c>
      <c r="R447">
        <f>IF($A447="","",$B447&amp;" - "&amp;$C447)</f>
        <v/>
      </c>
      <c r="S447">
        <f>IF($A447="","",$R447&amp;"|"&amp;$Q447)</f>
        <v/>
      </c>
      <c r="T447">
        <f>IF($A447="","",$S447&amp;"|"&amp;$F447)</f>
        <v/>
      </c>
      <c r="U447">
        <f>IF($A447="","",$R447&amp;"("&amp;$E447&amp;")")</f>
        <v/>
      </c>
      <c r="V447">
        <f>IF($A447="","",$F447&amp;"|"&amp;$U447&amp;"|"&amp;$D447)</f>
        <v/>
      </c>
      <c r="W447">
        <f>IF($T447="","",IF($X447&gt;N($X446),$X447,""))</f>
        <v/>
      </c>
      <c r="X447">
        <f>IF($T447="",N($X446),IF(MATCH($T447,$T$6:$T$6005,0)=ROW()-5,N($X446)+1,N($X446)))</f>
        <v/>
      </c>
      <c r="Z447">
        <f>IF($V447="","",IF($AA447&gt;N($AA446),$AA447,""))</f>
        <v/>
      </c>
      <c r="AA447">
        <f>IF($V447="",N($AA446),IF(MATCH($V447,$V$6:$V$6005,0)=ROW()-5,N($AA446)+1,N($AA446)))</f>
        <v/>
      </c>
    </row>
    <row r="448" ht="21" customHeight="1" s="66">
      <c r="A448" s="56" t="n"/>
      <c r="B448" s="57" t="n"/>
      <c r="C448" s="57" t="n"/>
      <c r="D448" s="57" t="n"/>
      <c r="E448" s="56" t="n"/>
      <c r="F448" s="57" t="n"/>
      <c r="G448" s="57" t="n"/>
      <c r="H448" s="56" t="n"/>
      <c r="I448" s="56" t="n"/>
      <c r="J448" s="58" t="n"/>
      <c r="K448" s="58" t="n"/>
      <c r="L448" s="13">
        <f>IF(OR($A448="",AND($J448="",$K448="")),"",ROUND(N($J448)-N($K448),2))</f>
        <v/>
      </c>
      <c r="M448" s="13">
        <f>IF(OR($A448="",AND($J448="",$K448="")),"",MIN($J448,$K448))</f>
        <v/>
      </c>
      <c r="Q448">
        <f>IF($A448="","",$D448&amp;"("&amp;SUBSTITUTE($E448," ","")&amp;")")</f>
        <v/>
      </c>
      <c r="R448">
        <f>IF($A448="","",$B448&amp;" - "&amp;$C448)</f>
        <v/>
      </c>
      <c r="S448">
        <f>IF($A448="","",$R448&amp;"|"&amp;$Q448)</f>
        <v/>
      </c>
      <c r="T448">
        <f>IF($A448="","",$S448&amp;"|"&amp;$F448)</f>
        <v/>
      </c>
      <c r="U448">
        <f>IF($A448="","",$R448&amp;"("&amp;$E448&amp;")")</f>
        <v/>
      </c>
      <c r="V448">
        <f>IF($A448="","",$F448&amp;"|"&amp;$U448&amp;"|"&amp;$D448)</f>
        <v/>
      </c>
      <c r="W448">
        <f>IF($T448="","",IF($X448&gt;N($X447),$X448,""))</f>
        <v/>
      </c>
      <c r="X448">
        <f>IF($T448="",N($X447),IF(MATCH($T448,$T$6:$T$6005,0)=ROW()-5,N($X447)+1,N($X447)))</f>
        <v/>
      </c>
      <c r="Z448">
        <f>IF($V448="","",IF($AA448&gt;N($AA447),$AA448,""))</f>
        <v/>
      </c>
      <c r="AA448">
        <f>IF($V448="",N($AA447),IF(MATCH($V448,$V$6:$V$6005,0)=ROW()-5,N($AA447)+1,N($AA447)))</f>
        <v/>
      </c>
    </row>
    <row r="449" ht="21" customHeight="1" s="66">
      <c r="A449" s="56" t="n"/>
      <c r="B449" s="57" t="n"/>
      <c r="C449" s="57" t="n"/>
      <c r="D449" s="57" t="n"/>
      <c r="E449" s="56" t="n"/>
      <c r="F449" s="57" t="n"/>
      <c r="G449" s="57" t="n"/>
      <c r="H449" s="56" t="n"/>
      <c r="I449" s="56" t="n"/>
      <c r="J449" s="58" t="n"/>
      <c r="K449" s="58" t="n"/>
      <c r="L449" s="13">
        <f>IF(OR($A449="",AND($J449="",$K449="")),"",ROUND(N($J449)-N($K449),2))</f>
        <v/>
      </c>
      <c r="M449" s="13">
        <f>IF(OR($A449="",AND($J449="",$K449="")),"",MIN($J449,$K449))</f>
        <v/>
      </c>
      <c r="Q449">
        <f>IF($A449="","",$D449&amp;"("&amp;SUBSTITUTE($E449," ","")&amp;")")</f>
        <v/>
      </c>
      <c r="R449">
        <f>IF($A449="","",$B449&amp;" - "&amp;$C449)</f>
        <v/>
      </c>
      <c r="S449">
        <f>IF($A449="","",$R449&amp;"|"&amp;$Q449)</f>
        <v/>
      </c>
      <c r="T449">
        <f>IF($A449="","",$S449&amp;"|"&amp;$F449)</f>
        <v/>
      </c>
      <c r="U449">
        <f>IF($A449="","",$R449&amp;"("&amp;$E449&amp;")")</f>
        <v/>
      </c>
      <c r="V449">
        <f>IF($A449="","",$F449&amp;"|"&amp;$U449&amp;"|"&amp;$D449)</f>
        <v/>
      </c>
      <c r="W449">
        <f>IF($T449="","",IF($X449&gt;N($X448),$X449,""))</f>
        <v/>
      </c>
      <c r="X449">
        <f>IF($T449="",N($X448),IF(MATCH($T449,$T$6:$T$6005,0)=ROW()-5,N($X448)+1,N($X448)))</f>
        <v/>
      </c>
      <c r="Z449">
        <f>IF($V449="","",IF($AA449&gt;N($AA448),$AA449,""))</f>
        <v/>
      </c>
      <c r="AA449">
        <f>IF($V449="",N($AA448),IF(MATCH($V449,$V$6:$V$6005,0)=ROW()-5,N($AA448)+1,N($AA448)))</f>
        <v/>
      </c>
    </row>
    <row r="450" ht="21" customHeight="1" s="66">
      <c r="A450" s="56" t="n"/>
      <c r="B450" s="57" t="n"/>
      <c r="C450" s="57" t="n"/>
      <c r="D450" s="57" t="n"/>
      <c r="E450" s="56" t="n"/>
      <c r="F450" s="57" t="n"/>
      <c r="G450" s="57" t="n"/>
      <c r="H450" s="56" t="n"/>
      <c r="I450" s="56" t="n"/>
      <c r="J450" s="58" t="n"/>
      <c r="K450" s="58" t="n"/>
      <c r="L450" s="13">
        <f>IF(OR($A450="",AND($J450="",$K450="")),"",ROUND(N($J450)-N($K450),2))</f>
        <v/>
      </c>
      <c r="M450" s="13">
        <f>IF(OR($A450="",AND($J450="",$K450="")),"",MIN($J450,$K450))</f>
        <v/>
      </c>
      <c r="Q450">
        <f>IF($A450="","",$D450&amp;"("&amp;SUBSTITUTE($E450," ","")&amp;")")</f>
        <v/>
      </c>
      <c r="R450">
        <f>IF($A450="","",$B450&amp;" - "&amp;$C450)</f>
        <v/>
      </c>
      <c r="S450">
        <f>IF($A450="","",$R450&amp;"|"&amp;$Q450)</f>
        <v/>
      </c>
      <c r="T450">
        <f>IF($A450="","",$S450&amp;"|"&amp;$F450)</f>
        <v/>
      </c>
      <c r="U450">
        <f>IF($A450="","",$R450&amp;"("&amp;$E450&amp;")")</f>
        <v/>
      </c>
      <c r="V450">
        <f>IF($A450="","",$F450&amp;"|"&amp;$U450&amp;"|"&amp;$D450)</f>
        <v/>
      </c>
      <c r="W450">
        <f>IF($T450="","",IF($X450&gt;N($X449),$X450,""))</f>
        <v/>
      </c>
      <c r="X450">
        <f>IF($T450="",N($X449),IF(MATCH($T450,$T$6:$T$6005,0)=ROW()-5,N($X449)+1,N($X449)))</f>
        <v/>
      </c>
      <c r="Z450">
        <f>IF($V450="","",IF($AA450&gt;N($AA449),$AA450,""))</f>
        <v/>
      </c>
      <c r="AA450">
        <f>IF($V450="",N($AA449),IF(MATCH($V450,$V$6:$V$6005,0)=ROW()-5,N($AA449)+1,N($AA449)))</f>
        <v/>
      </c>
    </row>
    <row r="451" ht="21" customHeight="1" s="66">
      <c r="A451" s="56" t="n"/>
      <c r="B451" s="57" t="n"/>
      <c r="C451" s="57" t="n"/>
      <c r="D451" s="57" t="n"/>
      <c r="E451" s="56" t="n"/>
      <c r="F451" s="57" t="n"/>
      <c r="G451" s="57" t="n"/>
      <c r="H451" s="56" t="n"/>
      <c r="I451" s="56" t="n"/>
      <c r="J451" s="58" t="n"/>
      <c r="K451" s="58" t="n"/>
      <c r="L451" s="13">
        <f>IF(OR($A451="",AND($J451="",$K451="")),"",ROUND(N($J451)-N($K451),2))</f>
        <v/>
      </c>
      <c r="M451" s="13">
        <f>IF(OR($A451="",AND($J451="",$K451="")),"",MIN($J451,$K451))</f>
        <v/>
      </c>
      <c r="Q451">
        <f>IF($A451="","",$D451&amp;"("&amp;SUBSTITUTE($E451," ","")&amp;")")</f>
        <v/>
      </c>
      <c r="R451">
        <f>IF($A451="","",$B451&amp;" - "&amp;$C451)</f>
        <v/>
      </c>
      <c r="S451">
        <f>IF($A451="","",$R451&amp;"|"&amp;$Q451)</f>
        <v/>
      </c>
      <c r="T451">
        <f>IF($A451="","",$S451&amp;"|"&amp;$F451)</f>
        <v/>
      </c>
      <c r="U451">
        <f>IF($A451="","",$R451&amp;"("&amp;$E451&amp;")")</f>
        <v/>
      </c>
      <c r="V451">
        <f>IF($A451="","",$F451&amp;"|"&amp;$U451&amp;"|"&amp;$D451)</f>
        <v/>
      </c>
      <c r="W451">
        <f>IF($T451="","",IF($X451&gt;N($X450),$X451,""))</f>
        <v/>
      </c>
      <c r="X451">
        <f>IF($T451="",N($X450),IF(MATCH($T451,$T$6:$T$6005,0)=ROW()-5,N($X450)+1,N($X450)))</f>
        <v/>
      </c>
      <c r="Z451">
        <f>IF($V451="","",IF($AA451&gt;N($AA450),$AA451,""))</f>
        <v/>
      </c>
      <c r="AA451">
        <f>IF($V451="",N($AA450),IF(MATCH($V451,$V$6:$V$6005,0)=ROW()-5,N($AA450)+1,N($AA450)))</f>
        <v/>
      </c>
    </row>
    <row r="452" ht="21" customHeight="1" s="66">
      <c r="A452" s="56" t="n"/>
      <c r="B452" s="57" t="n"/>
      <c r="C452" s="57" t="n"/>
      <c r="D452" s="57" t="n"/>
      <c r="E452" s="56" t="n"/>
      <c r="F452" s="57" t="n"/>
      <c r="G452" s="57" t="n"/>
      <c r="H452" s="56" t="n"/>
      <c r="I452" s="56" t="n"/>
      <c r="J452" s="58" t="n"/>
      <c r="K452" s="58" t="n"/>
      <c r="L452" s="13">
        <f>IF(OR($A452="",AND($J452="",$K452="")),"",ROUND(N($J452)-N($K452),2))</f>
        <v/>
      </c>
      <c r="M452" s="13">
        <f>IF(OR($A452="",AND($J452="",$K452="")),"",MIN($J452,$K452))</f>
        <v/>
      </c>
      <c r="Q452">
        <f>IF($A452="","",$D452&amp;"("&amp;SUBSTITUTE($E452," ","")&amp;")")</f>
        <v/>
      </c>
      <c r="R452">
        <f>IF($A452="","",$B452&amp;" - "&amp;$C452)</f>
        <v/>
      </c>
      <c r="S452">
        <f>IF($A452="","",$R452&amp;"|"&amp;$Q452)</f>
        <v/>
      </c>
      <c r="T452">
        <f>IF($A452="","",$S452&amp;"|"&amp;$F452)</f>
        <v/>
      </c>
      <c r="U452">
        <f>IF($A452="","",$R452&amp;"("&amp;$E452&amp;")")</f>
        <v/>
      </c>
      <c r="V452">
        <f>IF($A452="","",$F452&amp;"|"&amp;$U452&amp;"|"&amp;$D452)</f>
        <v/>
      </c>
      <c r="W452">
        <f>IF($T452="","",IF($X452&gt;N($X451),$X452,""))</f>
        <v/>
      </c>
      <c r="X452">
        <f>IF($T452="",N($X451),IF(MATCH($T452,$T$6:$T$6005,0)=ROW()-5,N($X451)+1,N($X451)))</f>
        <v/>
      </c>
      <c r="Z452">
        <f>IF($V452="","",IF($AA452&gt;N($AA451),$AA452,""))</f>
        <v/>
      </c>
      <c r="AA452">
        <f>IF($V452="",N($AA451),IF(MATCH($V452,$V$6:$V$6005,0)=ROW()-5,N($AA451)+1,N($AA451)))</f>
        <v/>
      </c>
    </row>
    <row r="453" ht="21" customHeight="1" s="66">
      <c r="A453" s="56" t="n"/>
      <c r="B453" s="57" t="n"/>
      <c r="C453" s="57" t="n"/>
      <c r="D453" s="57" t="n"/>
      <c r="E453" s="56" t="n"/>
      <c r="F453" s="57" t="n"/>
      <c r="G453" s="57" t="n"/>
      <c r="H453" s="56" t="n"/>
      <c r="I453" s="56" t="n"/>
      <c r="J453" s="58" t="n"/>
      <c r="K453" s="58" t="n"/>
      <c r="L453" s="13">
        <f>IF(OR($A453="",AND($J453="",$K453="")),"",ROUND(N($J453)-N($K453),2))</f>
        <v/>
      </c>
      <c r="M453" s="13">
        <f>IF(OR($A453="",AND($J453="",$K453="")),"",MIN($J453,$K453))</f>
        <v/>
      </c>
      <c r="Q453">
        <f>IF($A453="","",$D453&amp;"("&amp;SUBSTITUTE($E453," ","")&amp;")")</f>
        <v/>
      </c>
      <c r="R453">
        <f>IF($A453="","",$B453&amp;" - "&amp;$C453)</f>
        <v/>
      </c>
      <c r="S453">
        <f>IF($A453="","",$R453&amp;"|"&amp;$Q453)</f>
        <v/>
      </c>
      <c r="T453">
        <f>IF($A453="","",$S453&amp;"|"&amp;$F453)</f>
        <v/>
      </c>
      <c r="U453">
        <f>IF($A453="","",$R453&amp;"("&amp;$E453&amp;")")</f>
        <v/>
      </c>
      <c r="V453">
        <f>IF($A453="","",$F453&amp;"|"&amp;$U453&amp;"|"&amp;$D453)</f>
        <v/>
      </c>
      <c r="W453">
        <f>IF($T453="","",IF($X453&gt;N($X452),$X453,""))</f>
        <v/>
      </c>
      <c r="X453">
        <f>IF($T453="",N($X452),IF(MATCH($T453,$T$6:$T$6005,0)=ROW()-5,N($X452)+1,N($X452)))</f>
        <v/>
      </c>
      <c r="Z453">
        <f>IF($V453="","",IF($AA453&gt;N($AA452),$AA453,""))</f>
        <v/>
      </c>
      <c r="AA453">
        <f>IF($V453="",N($AA452),IF(MATCH($V453,$V$6:$V$6005,0)=ROW()-5,N($AA452)+1,N($AA452)))</f>
        <v/>
      </c>
    </row>
    <row r="454" ht="21" customHeight="1" s="66">
      <c r="A454" s="56" t="n"/>
      <c r="B454" s="57" t="n"/>
      <c r="C454" s="57" t="n"/>
      <c r="D454" s="57" t="n"/>
      <c r="E454" s="56" t="n"/>
      <c r="F454" s="57" t="n"/>
      <c r="G454" s="57" t="n"/>
      <c r="H454" s="56" t="n"/>
      <c r="I454" s="56" t="n"/>
      <c r="J454" s="58" t="n"/>
      <c r="K454" s="58" t="n"/>
      <c r="L454" s="13">
        <f>IF(OR($A454="",AND($J454="",$K454="")),"",ROUND(N($J454)-N($K454),2))</f>
        <v/>
      </c>
      <c r="M454" s="13">
        <f>IF(OR($A454="",AND($J454="",$K454="")),"",MIN($J454,$K454))</f>
        <v/>
      </c>
      <c r="Q454">
        <f>IF($A454="","",$D454&amp;"("&amp;SUBSTITUTE($E454," ","")&amp;")")</f>
        <v/>
      </c>
      <c r="R454">
        <f>IF($A454="","",$B454&amp;" - "&amp;$C454)</f>
        <v/>
      </c>
      <c r="S454">
        <f>IF($A454="","",$R454&amp;"|"&amp;$Q454)</f>
        <v/>
      </c>
      <c r="T454">
        <f>IF($A454="","",$S454&amp;"|"&amp;$F454)</f>
        <v/>
      </c>
      <c r="U454">
        <f>IF($A454="","",$R454&amp;"("&amp;$E454&amp;")")</f>
        <v/>
      </c>
      <c r="V454">
        <f>IF($A454="","",$F454&amp;"|"&amp;$U454&amp;"|"&amp;$D454)</f>
        <v/>
      </c>
      <c r="W454">
        <f>IF($T454="","",IF($X454&gt;N($X453),$X454,""))</f>
        <v/>
      </c>
      <c r="X454">
        <f>IF($T454="",N($X453),IF(MATCH($T454,$T$6:$T$6005,0)=ROW()-5,N($X453)+1,N($X453)))</f>
        <v/>
      </c>
      <c r="Z454">
        <f>IF($V454="","",IF($AA454&gt;N($AA453),$AA454,""))</f>
        <v/>
      </c>
      <c r="AA454">
        <f>IF($V454="",N($AA453),IF(MATCH($V454,$V$6:$V$6005,0)=ROW()-5,N($AA453)+1,N($AA453)))</f>
        <v/>
      </c>
    </row>
    <row r="455" ht="21" customHeight="1" s="66">
      <c r="A455" s="56" t="n"/>
      <c r="B455" s="57" t="n"/>
      <c r="C455" s="57" t="n"/>
      <c r="D455" s="57" t="n"/>
      <c r="E455" s="56" t="n"/>
      <c r="F455" s="57" t="n"/>
      <c r="G455" s="57" t="n"/>
      <c r="H455" s="56" t="n"/>
      <c r="I455" s="56" t="n"/>
      <c r="J455" s="58" t="n"/>
      <c r="K455" s="58" t="n"/>
      <c r="L455" s="13">
        <f>IF(OR($A455="",AND($J455="",$K455="")),"",ROUND(N($J455)-N($K455),2))</f>
        <v/>
      </c>
      <c r="M455" s="13">
        <f>IF(OR($A455="",AND($J455="",$K455="")),"",MIN($J455,$K455))</f>
        <v/>
      </c>
      <c r="Q455">
        <f>IF($A455="","",$D455&amp;"("&amp;SUBSTITUTE($E455," ","")&amp;")")</f>
        <v/>
      </c>
      <c r="R455">
        <f>IF($A455="","",$B455&amp;" - "&amp;$C455)</f>
        <v/>
      </c>
      <c r="S455">
        <f>IF($A455="","",$R455&amp;"|"&amp;$Q455)</f>
        <v/>
      </c>
      <c r="T455">
        <f>IF($A455="","",$S455&amp;"|"&amp;$F455)</f>
        <v/>
      </c>
      <c r="U455">
        <f>IF($A455="","",$R455&amp;"("&amp;$E455&amp;")")</f>
        <v/>
      </c>
      <c r="V455">
        <f>IF($A455="","",$F455&amp;"|"&amp;$U455&amp;"|"&amp;$D455)</f>
        <v/>
      </c>
      <c r="W455">
        <f>IF($T455="","",IF($X455&gt;N($X454),$X455,""))</f>
        <v/>
      </c>
      <c r="X455">
        <f>IF($T455="",N($X454),IF(MATCH($T455,$T$6:$T$6005,0)=ROW()-5,N($X454)+1,N($X454)))</f>
        <v/>
      </c>
      <c r="Z455">
        <f>IF($V455="","",IF($AA455&gt;N($AA454),$AA455,""))</f>
        <v/>
      </c>
      <c r="AA455">
        <f>IF($V455="",N($AA454),IF(MATCH($V455,$V$6:$V$6005,0)=ROW()-5,N($AA454)+1,N($AA454)))</f>
        <v/>
      </c>
    </row>
    <row r="456" ht="21" customHeight="1" s="66">
      <c r="A456" s="56" t="n"/>
      <c r="B456" s="57" t="n"/>
      <c r="C456" s="57" t="n"/>
      <c r="D456" s="57" t="n"/>
      <c r="E456" s="56" t="n"/>
      <c r="F456" s="57" t="n"/>
      <c r="G456" s="57" t="n"/>
      <c r="H456" s="56" t="n"/>
      <c r="I456" s="56" t="n"/>
      <c r="J456" s="58" t="n"/>
      <c r="K456" s="58" t="n"/>
      <c r="L456" s="13">
        <f>IF(OR($A456="",AND($J456="",$K456="")),"",ROUND(N($J456)-N($K456),2))</f>
        <v/>
      </c>
      <c r="M456" s="13">
        <f>IF(OR($A456="",AND($J456="",$K456="")),"",MIN($J456,$K456))</f>
        <v/>
      </c>
      <c r="Q456">
        <f>IF($A456="","",$D456&amp;"("&amp;SUBSTITUTE($E456," ","")&amp;")")</f>
        <v/>
      </c>
      <c r="R456">
        <f>IF($A456="","",$B456&amp;" - "&amp;$C456)</f>
        <v/>
      </c>
      <c r="S456">
        <f>IF($A456="","",$R456&amp;"|"&amp;$Q456)</f>
        <v/>
      </c>
      <c r="T456">
        <f>IF($A456="","",$S456&amp;"|"&amp;$F456)</f>
        <v/>
      </c>
      <c r="U456">
        <f>IF($A456="","",$R456&amp;"("&amp;$E456&amp;")")</f>
        <v/>
      </c>
      <c r="V456">
        <f>IF($A456="","",$F456&amp;"|"&amp;$U456&amp;"|"&amp;$D456)</f>
        <v/>
      </c>
      <c r="W456">
        <f>IF($T456="","",IF($X456&gt;N($X455),$X456,""))</f>
        <v/>
      </c>
      <c r="X456">
        <f>IF($T456="",N($X455),IF(MATCH($T456,$T$6:$T$6005,0)=ROW()-5,N($X455)+1,N($X455)))</f>
        <v/>
      </c>
      <c r="Z456">
        <f>IF($V456="","",IF($AA456&gt;N($AA455),$AA456,""))</f>
        <v/>
      </c>
      <c r="AA456">
        <f>IF($V456="",N($AA455),IF(MATCH($V456,$V$6:$V$6005,0)=ROW()-5,N($AA455)+1,N($AA455)))</f>
        <v/>
      </c>
    </row>
    <row r="457" ht="21" customHeight="1" s="66">
      <c r="A457" s="56" t="n"/>
      <c r="B457" s="57" t="n"/>
      <c r="C457" s="57" t="n"/>
      <c r="D457" s="57" t="n"/>
      <c r="E457" s="56" t="n"/>
      <c r="F457" s="57" t="n"/>
      <c r="G457" s="57" t="n"/>
      <c r="H457" s="56" t="n"/>
      <c r="I457" s="56" t="n"/>
      <c r="J457" s="58" t="n"/>
      <c r="K457" s="58" t="n"/>
      <c r="L457" s="13">
        <f>IF(OR($A457="",AND($J457="",$K457="")),"",ROUND(N($J457)-N($K457),2))</f>
        <v/>
      </c>
      <c r="M457" s="13">
        <f>IF(OR($A457="",AND($J457="",$K457="")),"",MIN($J457,$K457))</f>
        <v/>
      </c>
      <c r="Q457">
        <f>IF($A457="","",$D457&amp;"("&amp;SUBSTITUTE($E457," ","")&amp;")")</f>
        <v/>
      </c>
      <c r="R457">
        <f>IF($A457="","",$B457&amp;" - "&amp;$C457)</f>
        <v/>
      </c>
      <c r="S457">
        <f>IF($A457="","",$R457&amp;"|"&amp;$Q457)</f>
        <v/>
      </c>
      <c r="T457">
        <f>IF($A457="","",$S457&amp;"|"&amp;$F457)</f>
        <v/>
      </c>
      <c r="U457">
        <f>IF($A457="","",$R457&amp;"("&amp;$E457&amp;")")</f>
        <v/>
      </c>
      <c r="V457">
        <f>IF($A457="","",$F457&amp;"|"&amp;$U457&amp;"|"&amp;$D457)</f>
        <v/>
      </c>
      <c r="W457">
        <f>IF($T457="","",IF($X457&gt;N($X456),$X457,""))</f>
        <v/>
      </c>
      <c r="X457">
        <f>IF($T457="",N($X456),IF(MATCH($T457,$T$6:$T$6005,0)=ROW()-5,N($X456)+1,N($X456)))</f>
        <v/>
      </c>
      <c r="Z457">
        <f>IF($V457="","",IF($AA457&gt;N($AA456),$AA457,""))</f>
        <v/>
      </c>
      <c r="AA457">
        <f>IF($V457="",N($AA456),IF(MATCH($V457,$V$6:$V$6005,0)=ROW()-5,N($AA456)+1,N($AA456)))</f>
        <v/>
      </c>
    </row>
    <row r="458" ht="21" customHeight="1" s="66">
      <c r="A458" s="56" t="n"/>
      <c r="B458" s="57" t="n"/>
      <c r="C458" s="57" t="n"/>
      <c r="D458" s="57" t="n"/>
      <c r="E458" s="56" t="n"/>
      <c r="F458" s="57" t="n"/>
      <c r="G458" s="57" t="n"/>
      <c r="H458" s="56" t="n"/>
      <c r="I458" s="56" t="n"/>
      <c r="J458" s="58" t="n"/>
      <c r="K458" s="58" t="n"/>
      <c r="L458" s="13">
        <f>IF(OR($A458="",AND($J458="",$K458="")),"",ROUND(N($J458)-N($K458),2))</f>
        <v/>
      </c>
      <c r="M458" s="13">
        <f>IF(OR($A458="",AND($J458="",$K458="")),"",MIN($J458,$K458))</f>
        <v/>
      </c>
      <c r="Q458">
        <f>IF($A458="","",$D458&amp;"("&amp;SUBSTITUTE($E458," ","")&amp;")")</f>
        <v/>
      </c>
      <c r="R458">
        <f>IF($A458="","",$B458&amp;" - "&amp;$C458)</f>
        <v/>
      </c>
      <c r="S458">
        <f>IF($A458="","",$R458&amp;"|"&amp;$Q458)</f>
        <v/>
      </c>
      <c r="T458">
        <f>IF($A458="","",$S458&amp;"|"&amp;$F458)</f>
        <v/>
      </c>
      <c r="U458">
        <f>IF($A458="","",$R458&amp;"("&amp;$E458&amp;")")</f>
        <v/>
      </c>
      <c r="V458">
        <f>IF($A458="","",$F458&amp;"|"&amp;$U458&amp;"|"&amp;$D458)</f>
        <v/>
      </c>
      <c r="W458">
        <f>IF($T458="","",IF($X458&gt;N($X457),$X458,""))</f>
        <v/>
      </c>
      <c r="X458">
        <f>IF($T458="",N($X457),IF(MATCH($T458,$T$6:$T$6005,0)=ROW()-5,N($X457)+1,N($X457)))</f>
        <v/>
      </c>
      <c r="Z458">
        <f>IF($V458="","",IF($AA458&gt;N($AA457),$AA458,""))</f>
        <v/>
      </c>
      <c r="AA458">
        <f>IF($V458="",N($AA457),IF(MATCH($V458,$V$6:$V$6005,0)=ROW()-5,N($AA457)+1,N($AA457)))</f>
        <v/>
      </c>
    </row>
    <row r="459" ht="21" customHeight="1" s="66">
      <c r="A459" s="56" t="n"/>
      <c r="B459" s="57" t="n"/>
      <c r="C459" s="57" t="n"/>
      <c r="D459" s="57" t="n"/>
      <c r="E459" s="56" t="n"/>
      <c r="F459" s="57" t="n"/>
      <c r="G459" s="57" t="n"/>
      <c r="H459" s="56" t="n"/>
      <c r="I459" s="56" t="n"/>
      <c r="J459" s="58" t="n"/>
      <c r="K459" s="58" t="n"/>
      <c r="L459" s="13">
        <f>IF(OR($A459="",AND($J459="",$K459="")),"",ROUND(N($J459)-N($K459),2))</f>
        <v/>
      </c>
      <c r="M459" s="13">
        <f>IF(OR($A459="",AND($J459="",$K459="")),"",MIN($J459,$K459))</f>
        <v/>
      </c>
      <c r="Q459">
        <f>IF($A459="","",$D459&amp;"("&amp;SUBSTITUTE($E459," ","")&amp;")")</f>
        <v/>
      </c>
      <c r="R459">
        <f>IF($A459="","",$B459&amp;" - "&amp;$C459)</f>
        <v/>
      </c>
      <c r="S459">
        <f>IF($A459="","",$R459&amp;"|"&amp;$Q459)</f>
        <v/>
      </c>
      <c r="T459">
        <f>IF($A459="","",$S459&amp;"|"&amp;$F459)</f>
        <v/>
      </c>
      <c r="U459">
        <f>IF($A459="","",$R459&amp;"("&amp;$E459&amp;")")</f>
        <v/>
      </c>
      <c r="V459">
        <f>IF($A459="","",$F459&amp;"|"&amp;$U459&amp;"|"&amp;$D459)</f>
        <v/>
      </c>
      <c r="W459">
        <f>IF($T459="","",IF($X459&gt;N($X458),$X459,""))</f>
        <v/>
      </c>
      <c r="X459">
        <f>IF($T459="",N($X458),IF(MATCH($T459,$T$6:$T$6005,0)=ROW()-5,N($X458)+1,N($X458)))</f>
        <v/>
      </c>
      <c r="Z459">
        <f>IF($V459="","",IF($AA459&gt;N($AA458),$AA459,""))</f>
        <v/>
      </c>
      <c r="AA459">
        <f>IF($V459="",N($AA458),IF(MATCH($V459,$V$6:$V$6005,0)=ROW()-5,N($AA458)+1,N($AA458)))</f>
        <v/>
      </c>
    </row>
    <row r="460" ht="21" customHeight="1" s="66">
      <c r="A460" s="56" t="n"/>
      <c r="B460" s="57" t="n"/>
      <c r="C460" s="57" t="n"/>
      <c r="D460" s="57" t="n"/>
      <c r="E460" s="56" t="n"/>
      <c r="F460" s="57" t="n"/>
      <c r="G460" s="57" t="n"/>
      <c r="H460" s="56" t="n"/>
      <c r="I460" s="56" t="n"/>
      <c r="J460" s="58" t="n"/>
      <c r="K460" s="58" t="n"/>
      <c r="L460" s="13">
        <f>IF(OR($A460="",AND($J460="",$K460="")),"",ROUND(N($J460)-N($K460),2))</f>
        <v/>
      </c>
      <c r="M460" s="13">
        <f>IF(OR($A460="",AND($J460="",$K460="")),"",MIN($J460,$K460))</f>
        <v/>
      </c>
      <c r="Q460">
        <f>IF($A460="","",$D460&amp;"("&amp;SUBSTITUTE($E460," ","")&amp;")")</f>
        <v/>
      </c>
      <c r="R460">
        <f>IF($A460="","",$B460&amp;" - "&amp;$C460)</f>
        <v/>
      </c>
      <c r="S460">
        <f>IF($A460="","",$R460&amp;"|"&amp;$Q460)</f>
        <v/>
      </c>
      <c r="T460">
        <f>IF($A460="","",$S460&amp;"|"&amp;$F460)</f>
        <v/>
      </c>
      <c r="U460">
        <f>IF($A460="","",$R460&amp;"("&amp;$E460&amp;")")</f>
        <v/>
      </c>
      <c r="V460">
        <f>IF($A460="","",$F460&amp;"|"&amp;$U460&amp;"|"&amp;$D460)</f>
        <v/>
      </c>
      <c r="W460">
        <f>IF($T460="","",IF($X460&gt;N($X459),$X460,""))</f>
        <v/>
      </c>
      <c r="X460">
        <f>IF($T460="",N($X459),IF(MATCH($T460,$T$6:$T$6005,0)=ROW()-5,N($X459)+1,N($X459)))</f>
        <v/>
      </c>
      <c r="Z460">
        <f>IF($V460="","",IF($AA460&gt;N($AA459),$AA460,""))</f>
        <v/>
      </c>
      <c r="AA460">
        <f>IF($V460="",N($AA459),IF(MATCH($V460,$V$6:$V$6005,0)=ROW()-5,N($AA459)+1,N($AA459)))</f>
        <v/>
      </c>
    </row>
    <row r="461" ht="21" customHeight="1" s="66">
      <c r="A461" s="56" t="n"/>
      <c r="B461" s="57" t="n"/>
      <c r="C461" s="57" t="n"/>
      <c r="D461" s="57" t="n"/>
      <c r="E461" s="56" t="n"/>
      <c r="F461" s="57" t="n"/>
      <c r="G461" s="57" t="n"/>
      <c r="H461" s="56" t="n"/>
      <c r="I461" s="56" t="n"/>
      <c r="J461" s="58" t="n"/>
      <c r="K461" s="58" t="n"/>
      <c r="L461" s="13">
        <f>IF(OR($A461="",AND($J461="",$K461="")),"",ROUND(N($J461)-N($K461),2))</f>
        <v/>
      </c>
      <c r="M461" s="13">
        <f>IF(OR($A461="",AND($J461="",$K461="")),"",MIN($J461,$K461))</f>
        <v/>
      </c>
      <c r="Q461">
        <f>IF($A461="","",$D461&amp;"("&amp;SUBSTITUTE($E461," ","")&amp;")")</f>
        <v/>
      </c>
      <c r="R461">
        <f>IF($A461="","",$B461&amp;" - "&amp;$C461)</f>
        <v/>
      </c>
      <c r="S461">
        <f>IF($A461="","",$R461&amp;"|"&amp;$Q461)</f>
        <v/>
      </c>
      <c r="T461">
        <f>IF($A461="","",$S461&amp;"|"&amp;$F461)</f>
        <v/>
      </c>
      <c r="U461">
        <f>IF($A461="","",$R461&amp;"("&amp;$E461&amp;")")</f>
        <v/>
      </c>
      <c r="V461">
        <f>IF($A461="","",$F461&amp;"|"&amp;$U461&amp;"|"&amp;$D461)</f>
        <v/>
      </c>
      <c r="W461">
        <f>IF($T461="","",IF($X461&gt;N($X460),$X461,""))</f>
        <v/>
      </c>
      <c r="X461">
        <f>IF($T461="",N($X460),IF(MATCH($T461,$T$6:$T$6005,0)=ROW()-5,N($X460)+1,N($X460)))</f>
        <v/>
      </c>
      <c r="Z461">
        <f>IF($V461="","",IF($AA461&gt;N($AA460),$AA461,""))</f>
        <v/>
      </c>
      <c r="AA461">
        <f>IF($V461="",N($AA460),IF(MATCH($V461,$V$6:$V$6005,0)=ROW()-5,N($AA460)+1,N($AA460)))</f>
        <v/>
      </c>
    </row>
    <row r="462" ht="21" customHeight="1" s="66">
      <c r="A462" s="56" t="n"/>
      <c r="B462" s="57" t="n"/>
      <c r="C462" s="57" t="n"/>
      <c r="D462" s="57" t="n"/>
      <c r="E462" s="56" t="n"/>
      <c r="F462" s="57" t="n"/>
      <c r="G462" s="57" t="n"/>
      <c r="H462" s="56" t="n"/>
      <c r="I462" s="56" t="n"/>
      <c r="J462" s="58" t="n"/>
      <c r="K462" s="58" t="n"/>
      <c r="L462" s="13">
        <f>IF(OR($A462="",AND($J462="",$K462="")),"",ROUND(N($J462)-N($K462),2))</f>
        <v/>
      </c>
      <c r="M462" s="13">
        <f>IF(OR($A462="",AND($J462="",$K462="")),"",MIN($J462,$K462))</f>
        <v/>
      </c>
      <c r="Q462">
        <f>IF($A462="","",$D462&amp;"("&amp;SUBSTITUTE($E462," ","")&amp;")")</f>
        <v/>
      </c>
      <c r="R462">
        <f>IF($A462="","",$B462&amp;" - "&amp;$C462)</f>
        <v/>
      </c>
      <c r="S462">
        <f>IF($A462="","",$R462&amp;"|"&amp;$Q462)</f>
        <v/>
      </c>
      <c r="T462">
        <f>IF($A462="","",$S462&amp;"|"&amp;$F462)</f>
        <v/>
      </c>
      <c r="U462">
        <f>IF($A462="","",$R462&amp;"("&amp;$E462&amp;")")</f>
        <v/>
      </c>
      <c r="V462">
        <f>IF($A462="","",$F462&amp;"|"&amp;$U462&amp;"|"&amp;$D462)</f>
        <v/>
      </c>
      <c r="W462">
        <f>IF($T462="","",IF($X462&gt;N($X461),$X462,""))</f>
        <v/>
      </c>
      <c r="X462">
        <f>IF($T462="",N($X461),IF(MATCH($T462,$T$6:$T$6005,0)=ROW()-5,N($X461)+1,N($X461)))</f>
        <v/>
      </c>
      <c r="Z462">
        <f>IF($V462="","",IF($AA462&gt;N($AA461),$AA462,""))</f>
        <v/>
      </c>
      <c r="AA462">
        <f>IF($V462="",N($AA461),IF(MATCH($V462,$V$6:$V$6005,0)=ROW()-5,N($AA461)+1,N($AA461)))</f>
        <v/>
      </c>
    </row>
    <row r="463" ht="21" customHeight="1" s="66">
      <c r="A463" s="56" t="n"/>
      <c r="B463" s="57" t="n"/>
      <c r="C463" s="57" t="n"/>
      <c r="D463" s="57" t="n"/>
      <c r="E463" s="56" t="n"/>
      <c r="F463" s="57" t="n"/>
      <c r="G463" s="57" t="n"/>
      <c r="H463" s="56" t="n"/>
      <c r="I463" s="56" t="n"/>
      <c r="J463" s="58" t="n"/>
      <c r="K463" s="58" t="n"/>
      <c r="L463" s="13">
        <f>IF(OR($A463="",AND($J463="",$K463="")),"",ROUND(N($J463)-N($K463),2))</f>
        <v/>
      </c>
      <c r="M463" s="13">
        <f>IF(OR($A463="",AND($J463="",$K463="")),"",MIN($J463,$K463))</f>
        <v/>
      </c>
      <c r="Q463">
        <f>IF($A463="","",$D463&amp;"("&amp;SUBSTITUTE($E463," ","")&amp;")")</f>
        <v/>
      </c>
      <c r="R463">
        <f>IF($A463="","",$B463&amp;" - "&amp;$C463)</f>
        <v/>
      </c>
      <c r="S463">
        <f>IF($A463="","",$R463&amp;"|"&amp;$Q463)</f>
        <v/>
      </c>
      <c r="T463">
        <f>IF($A463="","",$S463&amp;"|"&amp;$F463)</f>
        <v/>
      </c>
      <c r="U463">
        <f>IF($A463="","",$R463&amp;"("&amp;$E463&amp;")")</f>
        <v/>
      </c>
      <c r="V463">
        <f>IF($A463="","",$F463&amp;"|"&amp;$U463&amp;"|"&amp;$D463)</f>
        <v/>
      </c>
      <c r="W463">
        <f>IF($T463="","",IF($X463&gt;N($X462),$X463,""))</f>
        <v/>
      </c>
      <c r="X463">
        <f>IF($T463="",N($X462),IF(MATCH($T463,$T$6:$T$6005,0)=ROW()-5,N($X462)+1,N($X462)))</f>
        <v/>
      </c>
      <c r="Z463">
        <f>IF($V463="","",IF($AA463&gt;N($AA462),$AA463,""))</f>
        <v/>
      </c>
      <c r="AA463">
        <f>IF($V463="",N($AA462),IF(MATCH($V463,$V$6:$V$6005,0)=ROW()-5,N($AA462)+1,N($AA462)))</f>
        <v/>
      </c>
    </row>
    <row r="464" ht="21" customHeight="1" s="66">
      <c r="A464" s="56" t="n"/>
      <c r="B464" s="57" t="n"/>
      <c r="C464" s="57" t="n"/>
      <c r="D464" s="57" t="n"/>
      <c r="E464" s="56" t="n"/>
      <c r="F464" s="57" t="n"/>
      <c r="G464" s="57" t="n"/>
      <c r="H464" s="56" t="n"/>
      <c r="I464" s="56" t="n"/>
      <c r="J464" s="58" t="n"/>
      <c r="K464" s="58" t="n"/>
      <c r="L464" s="13">
        <f>IF(OR($A464="",AND($J464="",$K464="")),"",ROUND(N($J464)-N($K464),2))</f>
        <v/>
      </c>
      <c r="M464" s="13">
        <f>IF(OR($A464="",AND($J464="",$K464="")),"",MIN($J464,$K464))</f>
        <v/>
      </c>
      <c r="Q464">
        <f>IF($A464="","",$D464&amp;"("&amp;SUBSTITUTE($E464," ","")&amp;")")</f>
        <v/>
      </c>
      <c r="R464">
        <f>IF($A464="","",$B464&amp;" - "&amp;$C464)</f>
        <v/>
      </c>
      <c r="S464">
        <f>IF($A464="","",$R464&amp;"|"&amp;$Q464)</f>
        <v/>
      </c>
      <c r="T464">
        <f>IF($A464="","",$S464&amp;"|"&amp;$F464)</f>
        <v/>
      </c>
      <c r="U464">
        <f>IF($A464="","",$R464&amp;"("&amp;$E464&amp;")")</f>
        <v/>
      </c>
      <c r="V464">
        <f>IF($A464="","",$F464&amp;"|"&amp;$U464&amp;"|"&amp;$D464)</f>
        <v/>
      </c>
      <c r="W464">
        <f>IF($T464="","",IF($X464&gt;N($X463),$X464,""))</f>
        <v/>
      </c>
      <c r="X464">
        <f>IF($T464="",N($X463),IF(MATCH($T464,$T$6:$T$6005,0)=ROW()-5,N($X463)+1,N($X463)))</f>
        <v/>
      </c>
      <c r="Z464">
        <f>IF($V464="","",IF($AA464&gt;N($AA463),$AA464,""))</f>
        <v/>
      </c>
      <c r="AA464">
        <f>IF($V464="",N($AA463),IF(MATCH($V464,$V$6:$V$6005,0)=ROW()-5,N($AA463)+1,N($AA463)))</f>
        <v/>
      </c>
    </row>
    <row r="465" ht="21" customHeight="1" s="66">
      <c r="A465" s="56" t="n"/>
      <c r="B465" s="57" t="n"/>
      <c r="C465" s="57" t="n"/>
      <c r="D465" s="57" t="n"/>
      <c r="E465" s="56" t="n"/>
      <c r="F465" s="57" t="n"/>
      <c r="G465" s="57" t="n"/>
      <c r="H465" s="56" t="n"/>
      <c r="I465" s="56" t="n"/>
      <c r="J465" s="58" t="n"/>
      <c r="K465" s="58" t="n"/>
      <c r="L465" s="13">
        <f>IF(OR($A465="",AND($J465="",$K465="")),"",ROUND(N($J465)-N($K465),2))</f>
        <v/>
      </c>
      <c r="M465" s="13">
        <f>IF(OR($A465="",AND($J465="",$K465="")),"",MIN($J465,$K465))</f>
        <v/>
      </c>
      <c r="Q465">
        <f>IF($A465="","",$D465&amp;"("&amp;SUBSTITUTE($E465," ","")&amp;")")</f>
        <v/>
      </c>
      <c r="R465">
        <f>IF($A465="","",$B465&amp;" - "&amp;$C465)</f>
        <v/>
      </c>
      <c r="S465">
        <f>IF($A465="","",$R465&amp;"|"&amp;$Q465)</f>
        <v/>
      </c>
      <c r="T465">
        <f>IF($A465="","",$S465&amp;"|"&amp;$F465)</f>
        <v/>
      </c>
      <c r="U465">
        <f>IF($A465="","",$R465&amp;"("&amp;$E465&amp;")")</f>
        <v/>
      </c>
      <c r="V465">
        <f>IF($A465="","",$F465&amp;"|"&amp;$U465&amp;"|"&amp;$D465)</f>
        <v/>
      </c>
      <c r="W465">
        <f>IF($T465="","",IF($X465&gt;N($X464),$X465,""))</f>
        <v/>
      </c>
      <c r="X465">
        <f>IF($T465="",N($X464),IF(MATCH($T465,$T$6:$T$6005,0)=ROW()-5,N($X464)+1,N($X464)))</f>
        <v/>
      </c>
      <c r="Z465">
        <f>IF($V465="","",IF($AA465&gt;N($AA464),$AA465,""))</f>
        <v/>
      </c>
      <c r="AA465">
        <f>IF($V465="",N($AA464),IF(MATCH($V465,$V$6:$V$6005,0)=ROW()-5,N($AA464)+1,N($AA464)))</f>
        <v/>
      </c>
    </row>
    <row r="466" ht="21" customHeight="1" s="66">
      <c r="A466" s="56" t="n"/>
      <c r="B466" s="57" t="n"/>
      <c r="C466" s="57" t="n"/>
      <c r="D466" s="57" t="n"/>
      <c r="E466" s="56" t="n"/>
      <c r="F466" s="57" t="n"/>
      <c r="G466" s="57" t="n"/>
      <c r="H466" s="56" t="n"/>
      <c r="I466" s="56" t="n"/>
      <c r="J466" s="58" t="n"/>
      <c r="K466" s="58" t="n"/>
      <c r="L466" s="13">
        <f>IF(OR($A466="",AND($J466="",$K466="")),"",ROUND(N($J466)-N($K466),2))</f>
        <v/>
      </c>
      <c r="M466" s="13">
        <f>IF(OR($A466="",AND($J466="",$K466="")),"",MIN($J466,$K466))</f>
        <v/>
      </c>
      <c r="Q466">
        <f>IF($A466="","",$D466&amp;"("&amp;SUBSTITUTE($E466," ","")&amp;")")</f>
        <v/>
      </c>
      <c r="R466">
        <f>IF($A466="","",$B466&amp;" - "&amp;$C466)</f>
        <v/>
      </c>
      <c r="S466">
        <f>IF($A466="","",$R466&amp;"|"&amp;$Q466)</f>
        <v/>
      </c>
      <c r="T466">
        <f>IF($A466="","",$S466&amp;"|"&amp;$F466)</f>
        <v/>
      </c>
      <c r="U466">
        <f>IF($A466="","",$R466&amp;"("&amp;$E466&amp;")")</f>
        <v/>
      </c>
      <c r="V466">
        <f>IF($A466="","",$F466&amp;"|"&amp;$U466&amp;"|"&amp;$D466)</f>
        <v/>
      </c>
      <c r="W466">
        <f>IF($T466="","",IF($X466&gt;N($X465),$X466,""))</f>
        <v/>
      </c>
      <c r="X466">
        <f>IF($T466="",N($X465),IF(MATCH($T466,$T$6:$T$6005,0)=ROW()-5,N($X465)+1,N($X465)))</f>
        <v/>
      </c>
      <c r="Z466">
        <f>IF($V466="","",IF($AA466&gt;N($AA465),$AA466,""))</f>
        <v/>
      </c>
      <c r="AA466">
        <f>IF($V466="",N($AA465),IF(MATCH($V466,$V$6:$V$6005,0)=ROW()-5,N($AA465)+1,N($AA465)))</f>
        <v/>
      </c>
    </row>
    <row r="467" ht="21" customHeight="1" s="66">
      <c r="A467" s="56" t="n"/>
      <c r="B467" s="57" t="n"/>
      <c r="C467" s="57" t="n"/>
      <c r="D467" s="57" t="n"/>
      <c r="E467" s="56" t="n"/>
      <c r="F467" s="57" t="n"/>
      <c r="G467" s="57" t="n"/>
      <c r="H467" s="56" t="n"/>
      <c r="I467" s="56" t="n"/>
      <c r="J467" s="58" t="n"/>
      <c r="K467" s="58" t="n"/>
      <c r="L467" s="13">
        <f>IF(OR($A467="",AND($J467="",$K467="")),"",ROUND(N($J467)-N($K467),2))</f>
        <v/>
      </c>
      <c r="M467" s="13">
        <f>IF(OR($A467="",AND($J467="",$K467="")),"",MIN($J467,$K467))</f>
        <v/>
      </c>
      <c r="Q467">
        <f>IF($A467="","",$D467&amp;"("&amp;SUBSTITUTE($E467," ","")&amp;")")</f>
        <v/>
      </c>
      <c r="R467">
        <f>IF($A467="","",$B467&amp;" - "&amp;$C467)</f>
        <v/>
      </c>
      <c r="S467">
        <f>IF($A467="","",$R467&amp;"|"&amp;$Q467)</f>
        <v/>
      </c>
      <c r="T467">
        <f>IF($A467="","",$S467&amp;"|"&amp;$F467)</f>
        <v/>
      </c>
      <c r="U467">
        <f>IF($A467="","",$R467&amp;"("&amp;$E467&amp;")")</f>
        <v/>
      </c>
      <c r="V467">
        <f>IF($A467="","",$F467&amp;"|"&amp;$U467&amp;"|"&amp;$D467)</f>
        <v/>
      </c>
      <c r="W467">
        <f>IF($T467="","",IF($X467&gt;N($X466),$X467,""))</f>
        <v/>
      </c>
      <c r="X467">
        <f>IF($T467="",N($X466),IF(MATCH($T467,$T$6:$T$6005,0)=ROW()-5,N($X466)+1,N($X466)))</f>
        <v/>
      </c>
      <c r="Z467">
        <f>IF($V467="","",IF($AA467&gt;N($AA466),$AA467,""))</f>
        <v/>
      </c>
      <c r="AA467">
        <f>IF($V467="",N($AA466),IF(MATCH($V467,$V$6:$V$6005,0)=ROW()-5,N($AA466)+1,N($AA466)))</f>
        <v/>
      </c>
    </row>
    <row r="468" ht="21" customHeight="1" s="66">
      <c r="A468" s="56" t="n"/>
      <c r="B468" s="57" t="n"/>
      <c r="C468" s="57" t="n"/>
      <c r="D468" s="57" t="n"/>
      <c r="E468" s="56" t="n"/>
      <c r="F468" s="57" t="n"/>
      <c r="G468" s="57" t="n"/>
      <c r="H468" s="56" t="n"/>
      <c r="I468" s="56" t="n"/>
      <c r="J468" s="58" t="n"/>
      <c r="K468" s="58" t="n"/>
      <c r="L468" s="13">
        <f>IF(OR($A468="",AND($J468="",$K468="")),"",ROUND(N($J468)-N($K468),2))</f>
        <v/>
      </c>
      <c r="M468" s="13">
        <f>IF(OR($A468="",AND($J468="",$K468="")),"",MIN($J468,$K468))</f>
        <v/>
      </c>
      <c r="Q468">
        <f>IF($A468="","",$D468&amp;"("&amp;SUBSTITUTE($E468," ","")&amp;")")</f>
        <v/>
      </c>
      <c r="R468">
        <f>IF($A468="","",$B468&amp;" - "&amp;$C468)</f>
        <v/>
      </c>
      <c r="S468">
        <f>IF($A468="","",$R468&amp;"|"&amp;$Q468)</f>
        <v/>
      </c>
      <c r="T468">
        <f>IF($A468="","",$S468&amp;"|"&amp;$F468)</f>
        <v/>
      </c>
      <c r="U468">
        <f>IF($A468="","",$R468&amp;"("&amp;$E468&amp;")")</f>
        <v/>
      </c>
      <c r="V468">
        <f>IF($A468="","",$F468&amp;"|"&amp;$U468&amp;"|"&amp;$D468)</f>
        <v/>
      </c>
      <c r="W468">
        <f>IF($T468="","",IF($X468&gt;N($X467),$X468,""))</f>
        <v/>
      </c>
      <c r="X468">
        <f>IF($T468="",N($X467),IF(MATCH($T468,$T$6:$T$6005,0)=ROW()-5,N($X467)+1,N($X467)))</f>
        <v/>
      </c>
      <c r="Z468">
        <f>IF($V468="","",IF($AA468&gt;N($AA467),$AA468,""))</f>
        <v/>
      </c>
      <c r="AA468">
        <f>IF($V468="",N($AA467),IF(MATCH($V468,$V$6:$V$6005,0)=ROW()-5,N($AA467)+1,N($AA467)))</f>
        <v/>
      </c>
    </row>
    <row r="469" ht="21" customHeight="1" s="66">
      <c r="A469" s="56" t="n"/>
      <c r="B469" s="57" t="n"/>
      <c r="C469" s="57" t="n"/>
      <c r="D469" s="57" t="n"/>
      <c r="E469" s="56" t="n"/>
      <c r="F469" s="57" t="n"/>
      <c r="G469" s="57" t="n"/>
      <c r="H469" s="56" t="n"/>
      <c r="I469" s="56" t="n"/>
      <c r="J469" s="58" t="n"/>
      <c r="K469" s="58" t="n"/>
      <c r="L469" s="13">
        <f>IF(OR($A469="",AND($J469="",$K469="")),"",ROUND(N($J469)-N($K469),2))</f>
        <v/>
      </c>
      <c r="M469" s="13">
        <f>IF(OR($A469="",AND($J469="",$K469="")),"",MIN($J469,$K469))</f>
        <v/>
      </c>
      <c r="Q469">
        <f>IF($A469="","",$D469&amp;"("&amp;SUBSTITUTE($E469," ","")&amp;")")</f>
        <v/>
      </c>
      <c r="R469">
        <f>IF($A469="","",$B469&amp;" - "&amp;$C469)</f>
        <v/>
      </c>
      <c r="S469">
        <f>IF($A469="","",$R469&amp;"|"&amp;$Q469)</f>
        <v/>
      </c>
      <c r="T469">
        <f>IF($A469="","",$S469&amp;"|"&amp;$F469)</f>
        <v/>
      </c>
      <c r="U469">
        <f>IF($A469="","",$R469&amp;"("&amp;$E469&amp;")")</f>
        <v/>
      </c>
      <c r="V469">
        <f>IF($A469="","",$F469&amp;"|"&amp;$U469&amp;"|"&amp;$D469)</f>
        <v/>
      </c>
      <c r="W469">
        <f>IF($T469="","",IF($X469&gt;N($X468),$X469,""))</f>
        <v/>
      </c>
      <c r="X469">
        <f>IF($T469="",N($X468),IF(MATCH($T469,$T$6:$T$6005,0)=ROW()-5,N($X468)+1,N($X468)))</f>
        <v/>
      </c>
      <c r="Z469">
        <f>IF($V469="","",IF($AA469&gt;N($AA468),$AA469,""))</f>
        <v/>
      </c>
      <c r="AA469">
        <f>IF($V469="",N($AA468),IF(MATCH($V469,$V$6:$V$6005,0)=ROW()-5,N($AA468)+1,N($AA468)))</f>
        <v/>
      </c>
    </row>
    <row r="470" ht="21" customHeight="1" s="66">
      <c r="A470" s="56" t="n"/>
      <c r="B470" s="57" t="n"/>
      <c r="C470" s="57" t="n"/>
      <c r="D470" s="57" t="n"/>
      <c r="E470" s="56" t="n"/>
      <c r="F470" s="57" t="n"/>
      <c r="G470" s="57" t="n"/>
      <c r="H470" s="56" t="n"/>
      <c r="I470" s="56" t="n"/>
      <c r="J470" s="58" t="n"/>
      <c r="K470" s="58" t="n"/>
      <c r="L470" s="13">
        <f>IF(OR($A470="",AND($J470="",$K470="")),"",ROUND(N($J470)-N($K470),2))</f>
        <v/>
      </c>
      <c r="M470" s="13">
        <f>IF(OR($A470="",AND($J470="",$K470="")),"",MIN($J470,$K470))</f>
        <v/>
      </c>
      <c r="Q470">
        <f>IF($A470="","",$D470&amp;"("&amp;SUBSTITUTE($E470," ","")&amp;")")</f>
        <v/>
      </c>
      <c r="R470">
        <f>IF($A470="","",$B470&amp;" - "&amp;$C470)</f>
        <v/>
      </c>
      <c r="S470">
        <f>IF($A470="","",$R470&amp;"|"&amp;$Q470)</f>
        <v/>
      </c>
      <c r="T470">
        <f>IF($A470="","",$S470&amp;"|"&amp;$F470)</f>
        <v/>
      </c>
      <c r="U470">
        <f>IF($A470="","",$R470&amp;"("&amp;$E470&amp;")")</f>
        <v/>
      </c>
      <c r="V470">
        <f>IF($A470="","",$F470&amp;"|"&amp;$U470&amp;"|"&amp;$D470)</f>
        <v/>
      </c>
      <c r="W470">
        <f>IF($T470="","",IF($X470&gt;N($X469),$X470,""))</f>
        <v/>
      </c>
      <c r="X470">
        <f>IF($T470="",N($X469),IF(MATCH($T470,$T$6:$T$6005,0)=ROW()-5,N($X469)+1,N($X469)))</f>
        <v/>
      </c>
      <c r="Z470">
        <f>IF($V470="","",IF($AA470&gt;N($AA469),$AA470,""))</f>
        <v/>
      </c>
      <c r="AA470">
        <f>IF($V470="",N($AA469),IF(MATCH($V470,$V$6:$V$6005,0)=ROW()-5,N($AA469)+1,N($AA469)))</f>
        <v/>
      </c>
    </row>
    <row r="471" ht="21" customHeight="1" s="66">
      <c r="A471" s="56" t="n"/>
      <c r="B471" s="57" t="n"/>
      <c r="C471" s="57" t="n"/>
      <c r="D471" s="57" t="n"/>
      <c r="E471" s="56" t="n"/>
      <c r="F471" s="57" t="n"/>
      <c r="G471" s="57" t="n"/>
      <c r="H471" s="56" t="n"/>
      <c r="I471" s="56" t="n"/>
      <c r="J471" s="58" t="n"/>
      <c r="K471" s="58" t="n"/>
      <c r="L471" s="13">
        <f>IF(OR($A471="",AND($J471="",$K471="")),"",ROUND(N($J471)-N($K471),2))</f>
        <v/>
      </c>
      <c r="M471" s="13">
        <f>IF(OR($A471="",AND($J471="",$K471="")),"",MIN($J471,$K471))</f>
        <v/>
      </c>
      <c r="Q471">
        <f>IF($A471="","",$D471&amp;"("&amp;SUBSTITUTE($E471," ","")&amp;")")</f>
        <v/>
      </c>
      <c r="R471">
        <f>IF($A471="","",$B471&amp;" - "&amp;$C471)</f>
        <v/>
      </c>
      <c r="S471">
        <f>IF($A471="","",$R471&amp;"|"&amp;$Q471)</f>
        <v/>
      </c>
      <c r="T471">
        <f>IF($A471="","",$S471&amp;"|"&amp;$F471)</f>
        <v/>
      </c>
      <c r="U471">
        <f>IF($A471="","",$R471&amp;"("&amp;$E471&amp;")")</f>
        <v/>
      </c>
      <c r="V471">
        <f>IF($A471="","",$F471&amp;"|"&amp;$U471&amp;"|"&amp;$D471)</f>
        <v/>
      </c>
      <c r="W471">
        <f>IF($T471="","",IF($X471&gt;N($X470),$X471,""))</f>
        <v/>
      </c>
      <c r="X471">
        <f>IF($T471="",N($X470),IF(MATCH($T471,$T$6:$T$6005,0)=ROW()-5,N($X470)+1,N($X470)))</f>
        <v/>
      </c>
      <c r="Z471">
        <f>IF($V471="","",IF($AA471&gt;N($AA470),$AA471,""))</f>
        <v/>
      </c>
      <c r="AA471">
        <f>IF($V471="",N($AA470),IF(MATCH($V471,$V$6:$V$6005,0)=ROW()-5,N($AA470)+1,N($AA470)))</f>
        <v/>
      </c>
    </row>
    <row r="472" ht="21" customHeight="1" s="66">
      <c r="A472" s="56" t="n"/>
      <c r="B472" s="57" t="n"/>
      <c r="C472" s="57" t="n"/>
      <c r="D472" s="57" t="n"/>
      <c r="E472" s="56" t="n"/>
      <c r="F472" s="57" t="n"/>
      <c r="G472" s="57" t="n"/>
      <c r="H472" s="56" t="n"/>
      <c r="I472" s="56" t="n"/>
      <c r="J472" s="58" t="n"/>
      <c r="K472" s="58" t="n"/>
      <c r="L472" s="13">
        <f>IF(OR($A472="",AND($J472="",$K472="")),"",ROUND(N($J472)-N($K472),2))</f>
        <v/>
      </c>
      <c r="M472" s="13">
        <f>IF(OR($A472="",AND($J472="",$K472="")),"",MIN($J472,$K472))</f>
        <v/>
      </c>
      <c r="Q472">
        <f>IF($A472="","",$D472&amp;"("&amp;SUBSTITUTE($E472," ","")&amp;")")</f>
        <v/>
      </c>
      <c r="R472">
        <f>IF($A472="","",$B472&amp;" - "&amp;$C472)</f>
        <v/>
      </c>
      <c r="S472">
        <f>IF($A472="","",$R472&amp;"|"&amp;$Q472)</f>
        <v/>
      </c>
      <c r="T472">
        <f>IF($A472="","",$S472&amp;"|"&amp;$F472)</f>
        <v/>
      </c>
      <c r="U472">
        <f>IF($A472="","",$R472&amp;"("&amp;$E472&amp;")")</f>
        <v/>
      </c>
      <c r="V472">
        <f>IF($A472="","",$F472&amp;"|"&amp;$U472&amp;"|"&amp;$D472)</f>
        <v/>
      </c>
      <c r="W472">
        <f>IF($T472="","",IF($X472&gt;N($X471),$X472,""))</f>
        <v/>
      </c>
      <c r="X472">
        <f>IF($T472="",N($X471),IF(MATCH($T472,$T$6:$T$6005,0)=ROW()-5,N($X471)+1,N($X471)))</f>
        <v/>
      </c>
      <c r="Z472">
        <f>IF($V472="","",IF($AA472&gt;N($AA471),$AA472,""))</f>
        <v/>
      </c>
      <c r="AA472">
        <f>IF($V472="",N($AA471),IF(MATCH($V472,$V$6:$V$6005,0)=ROW()-5,N($AA471)+1,N($AA471)))</f>
        <v/>
      </c>
    </row>
    <row r="473" ht="21" customHeight="1" s="66">
      <c r="A473" s="56" t="n"/>
      <c r="B473" s="57" t="n"/>
      <c r="C473" s="57" t="n"/>
      <c r="D473" s="57" t="n"/>
      <c r="E473" s="56" t="n"/>
      <c r="F473" s="57" t="n"/>
      <c r="G473" s="57" t="n"/>
      <c r="H473" s="56" t="n"/>
      <c r="I473" s="56" t="n"/>
      <c r="J473" s="58" t="n"/>
      <c r="K473" s="58" t="n"/>
      <c r="L473" s="13">
        <f>IF(OR($A473="",AND($J473="",$K473="")),"",ROUND(N($J473)-N($K473),2))</f>
        <v/>
      </c>
      <c r="M473" s="13">
        <f>IF(OR($A473="",AND($J473="",$K473="")),"",MIN($J473,$K473))</f>
        <v/>
      </c>
      <c r="Q473">
        <f>IF($A473="","",$D473&amp;"("&amp;SUBSTITUTE($E473," ","")&amp;")")</f>
        <v/>
      </c>
      <c r="R473">
        <f>IF($A473="","",$B473&amp;" - "&amp;$C473)</f>
        <v/>
      </c>
      <c r="S473">
        <f>IF($A473="","",$R473&amp;"|"&amp;$Q473)</f>
        <v/>
      </c>
      <c r="T473">
        <f>IF($A473="","",$S473&amp;"|"&amp;$F473)</f>
        <v/>
      </c>
      <c r="U473">
        <f>IF($A473="","",$R473&amp;"("&amp;$E473&amp;")")</f>
        <v/>
      </c>
      <c r="V473">
        <f>IF($A473="","",$F473&amp;"|"&amp;$U473&amp;"|"&amp;$D473)</f>
        <v/>
      </c>
      <c r="W473">
        <f>IF($T473="","",IF($X473&gt;N($X472),$X473,""))</f>
        <v/>
      </c>
      <c r="X473">
        <f>IF($T473="",N($X472),IF(MATCH($T473,$T$6:$T$6005,0)=ROW()-5,N($X472)+1,N($X472)))</f>
        <v/>
      </c>
      <c r="Z473">
        <f>IF($V473="","",IF($AA473&gt;N($AA472),$AA473,""))</f>
        <v/>
      </c>
      <c r="AA473">
        <f>IF($V473="",N($AA472),IF(MATCH($V473,$V$6:$V$6005,0)=ROW()-5,N($AA472)+1,N($AA472)))</f>
        <v/>
      </c>
    </row>
    <row r="474" ht="21" customHeight="1" s="66">
      <c r="A474" s="56" t="n"/>
      <c r="B474" s="57" t="n"/>
      <c r="C474" s="57" t="n"/>
      <c r="D474" s="57" t="n"/>
      <c r="E474" s="56" t="n"/>
      <c r="F474" s="57" t="n"/>
      <c r="G474" s="57" t="n"/>
      <c r="H474" s="56" t="n"/>
      <c r="I474" s="56" t="n"/>
      <c r="J474" s="58" t="n"/>
      <c r="K474" s="58" t="n"/>
      <c r="L474" s="13">
        <f>IF(OR($A474="",AND($J474="",$K474="")),"",ROUND(N($J474)-N($K474),2))</f>
        <v/>
      </c>
      <c r="M474" s="13">
        <f>IF(OR($A474="",AND($J474="",$K474="")),"",MIN($J474,$K474))</f>
        <v/>
      </c>
      <c r="Q474">
        <f>IF($A474="","",$D474&amp;"("&amp;SUBSTITUTE($E474," ","")&amp;")")</f>
        <v/>
      </c>
      <c r="R474">
        <f>IF($A474="","",$B474&amp;" - "&amp;$C474)</f>
        <v/>
      </c>
      <c r="S474">
        <f>IF($A474="","",$R474&amp;"|"&amp;$Q474)</f>
        <v/>
      </c>
      <c r="T474">
        <f>IF($A474="","",$S474&amp;"|"&amp;$F474)</f>
        <v/>
      </c>
      <c r="U474">
        <f>IF($A474="","",$R474&amp;"("&amp;$E474&amp;")")</f>
        <v/>
      </c>
      <c r="V474">
        <f>IF($A474="","",$F474&amp;"|"&amp;$U474&amp;"|"&amp;$D474)</f>
        <v/>
      </c>
      <c r="W474">
        <f>IF($T474="","",IF($X474&gt;N($X473),$X474,""))</f>
        <v/>
      </c>
      <c r="X474">
        <f>IF($T474="",N($X473),IF(MATCH($T474,$T$6:$T$6005,0)=ROW()-5,N($X473)+1,N($X473)))</f>
        <v/>
      </c>
      <c r="Z474">
        <f>IF($V474="","",IF($AA474&gt;N($AA473),$AA474,""))</f>
        <v/>
      </c>
      <c r="AA474">
        <f>IF($V474="",N($AA473),IF(MATCH($V474,$V$6:$V$6005,0)=ROW()-5,N($AA473)+1,N($AA473)))</f>
        <v/>
      </c>
    </row>
    <row r="475" ht="21" customHeight="1" s="66">
      <c r="A475" s="56" t="n"/>
      <c r="B475" s="57" t="n"/>
      <c r="C475" s="57" t="n"/>
      <c r="D475" s="57" t="n"/>
      <c r="E475" s="56" t="n"/>
      <c r="F475" s="57" t="n"/>
      <c r="G475" s="57" t="n"/>
      <c r="H475" s="56" t="n"/>
      <c r="I475" s="56" t="n"/>
      <c r="J475" s="58" t="n"/>
      <c r="K475" s="58" t="n"/>
      <c r="L475" s="13">
        <f>IF(OR($A475="",AND($J475="",$K475="")),"",ROUND(N($J475)-N($K475),2))</f>
        <v/>
      </c>
      <c r="M475" s="13">
        <f>IF(OR($A475="",AND($J475="",$K475="")),"",MIN($J475,$K475))</f>
        <v/>
      </c>
      <c r="Q475">
        <f>IF($A475="","",$D475&amp;"("&amp;SUBSTITUTE($E475," ","")&amp;")")</f>
        <v/>
      </c>
      <c r="R475">
        <f>IF($A475="","",$B475&amp;" - "&amp;$C475)</f>
        <v/>
      </c>
      <c r="S475">
        <f>IF($A475="","",$R475&amp;"|"&amp;$Q475)</f>
        <v/>
      </c>
      <c r="T475">
        <f>IF($A475="","",$S475&amp;"|"&amp;$F475)</f>
        <v/>
      </c>
      <c r="U475">
        <f>IF($A475="","",$R475&amp;"("&amp;$E475&amp;")")</f>
        <v/>
      </c>
      <c r="V475">
        <f>IF($A475="","",$F475&amp;"|"&amp;$U475&amp;"|"&amp;$D475)</f>
        <v/>
      </c>
      <c r="W475">
        <f>IF($T475="","",IF($X475&gt;N($X474),$X475,""))</f>
        <v/>
      </c>
      <c r="X475">
        <f>IF($T475="",N($X474),IF(MATCH($T475,$T$6:$T$6005,0)=ROW()-5,N($X474)+1,N($X474)))</f>
        <v/>
      </c>
      <c r="Z475">
        <f>IF($V475="","",IF($AA475&gt;N($AA474),$AA475,""))</f>
        <v/>
      </c>
      <c r="AA475">
        <f>IF($V475="",N($AA474),IF(MATCH($V475,$V$6:$V$6005,0)=ROW()-5,N($AA474)+1,N($AA474)))</f>
        <v/>
      </c>
    </row>
    <row r="476" ht="21" customHeight="1" s="66">
      <c r="A476" s="56" t="n"/>
      <c r="B476" s="57" t="n"/>
      <c r="C476" s="57" t="n"/>
      <c r="D476" s="57" t="n"/>
      <c r="E476" s="56" t="n"/>
      <c r="F476" s="57" t="n"/>
      <c r="G476" s="57" t="n"/>
      <c r="H476" s="56" t="n"/>
      <c r="I476" s="56" t="n"/>
      <c r="J476" s="58" t="n"/>
      <c r="K476" s="58" t="n"/>
      <c r="L476" s="13">
        <f>IF(OR($A476="",AND($J476="",$K476="")),"",ROUND(N($J476)-N($K476),2))</f>
        <v/>
      </c>
      <c r="M476" s="13">
        <f>IF(OR($A476="",AND($J476="",$K476="")),"",MIN($J476,$K476))</f>
        <v/>
      </c>
      <c r="Q476">
        <f>IF($A476="","",$D476&amp;"("&amp;SUBSTITUTE($E476," ","")&amp;")")</f>
        <v/>
      </c>
      <c r="R476">
        <f>IF($A476="","",$B476&amp;" - "&amp;$C476)</f>
        <v/>
      </c>
      <c r="S476">
        <f>IF($A476="","",$R476&amp;"|"&amp;$Q476)</f>
        <v/>
      </c>
      <c r="T476">
        <f>IF($A476="","",$S476&amp;"|"&amp;$F476)</f>
        <v/>
      </c>
      <c r="U476">
        <f>IF($A476="","",$R476&amp;"("&amp;$E476&amp;")")</f>
        <v/>
      </c>
      <c r="V476">
        <f>IF($A476="","",$F476&amp;"|"&amp;$U476&amp;"|"&amp;$D476)</f>
        <v/>
      </c>
      <c r="W476">
        <f>IF($T476="","",IF($X476&gt;N($X475),$X476,""))</f>
        <v/>
      </c>
      <c r="X476">
        <f>IF($T476="",N($X475),IF(MATCH($T476,$T$6:$T$6005,0)=ROW()-5,N($X475)+1,N($X475)))</f>
        <v/>
      </c>
      <c r="Z476">
        <f>IF($V476="","",IF($AA476&gt;N($AA475),$AA476,""))</f>
        <v/>
      </c>
      <c r="AA476">
        <f>IF($V476="",N($AA475),IF(MATCH($V476,$V$6:$V$6005,0)=ROW()-5,N($AA475)+1,N($AA475)))</f>
        <v/>
      </c>
    </row>
    <row r="477" ht="21" customHeight="1" s="66">
      <c r="A477" s="56" t="n"/>
      <c r="B477" s="57" t="n"/>
      <c r="C477" s="57" t="n"/>
      <c r="D477" s="57" t="n"/>
      <c r="E477" s="56" t="n"/>
      <c r="F477" s="57" t="n"/>
      <c r="G477" s="57" t="n"/>
      <c r="H477" s="56" t="n"/>
      <c r="I477" s="56" t="n"/>
      <c r="J477" s="58" t="n"/>
      <c r="K477" s="58" t="n"/>
      <c r="L477" s="13">
        <f>IF(OR($A477="",AND($J477="",$K477="")),"",ROUND(N($J477)-N($K477),2))</f>
        <v/>
      </c>
      <c r="M477" s="13">
        <f>IF(OR($A477="",AND($J477="",$K477="")),"",MIN($J477,$K477))</f>
        <v/>
      </c>
      <c r="Q477">
        <f>IF($A477="","",$D477&amp;"("&amp;SUBSTITUTE($E477," ","")&amp;")")</f>
        <v/>
      </c>
      <c r="R477">
        <f>IF($A477="","",$B477&amp;" - "&amp;$C477)</f>
        <v/>
      </c>
      <c r="S477">
        <f>IF($A477="","",$R477&amp;"|"&amp;$Q477)</f>
        <v/>
      </c>
      <c r="T477">
        <f>IF($A477="","",$S477&amp;"|"&amp;$F477)</f>
        <v/>
      </c>
      <c r="U477">
        <f>IF($A477="","",$R477&amp;"("&amp;$E477&amp;")")</f>
        <v/>
      </c>
      <c r="V477">
        <f>IF($A477="","",$F477&amp;"|"&amp;$U477&amp;"|"&amp;$D477)</f>
        <v/>
      </c>
      <c r="W477">
        <f>IF($T477="","",IF($X477&gt;N($X476),$X477,""))</f>
        <v/>
      </c>
      <c r="X477">
        <f>IF($T477="",N($X476),IF(MATCH($T477,$T$6:$T$6005,0)=ROW()-5,N($X476)+1,N($X476)))</f>
        <v/>
      </c>
      <c r="Z477">
        <f>IF($V477="","",IF($AA477&gt;N($AA476),$AA477,""))</f>
        <v/>
      </c>
      <c r="AA477">
        <f>IF($V477="",N($AA476),IF(MATCH($V477,$V$6:$V$6005,0)=ROW()-5,N($AA476)+1,N($AA476)))</f>
        <v/>
      </c>
    </row>
    <row r="478" ht="21" customHeight="1" s="66">
      <c r="A478" s="56" t="n"/>
      <c r="B478" s="57" t="n"/>
      <c r="C478" s="57" t="n"/>
      <c r="D478" s="57" t="n"/>
      <c r="E478" s="56" t="n"/>
      <c r="F478" s="57" t="n"/>
      <c r="G478" s="57" t="n"/>
      <c r="H478" s="56" t="n"/>
      <c r="I478" s="56" t="n"/>
      <c r="J478" s="58" t="n"/>
      <c r="K478" s="58" t="n"/>
      <c r="L478" s="13">
        <f>IF(OR($A478="",AND($J478="",$K478="")),"",ROUND(N($J478)-N($K478),2))</f>
        <v/>
      </c>
      <c r="M478" s="13">
        <f>IF(OR($A478="",AND($J478="",$K478="")),"",MIN($J478,$K478))</f>
        <v/>
      </c>
      <c r="Q478">
        <f>IF($A478="","",$D478&amp;"("&amp;SUBSTITUTE($E478," ","")&amp;")")</f>
        <v/>
      </c>
      <c r="R478">
        <f>IF($A478="","",$B478&amp;" - "&amp;$C478)</f>
        <v/>
      </c>
      <c r="S478">
        <f>IF($A478="","",$R478&amp;"|"&amp;$Q478)</f>
        <v/>
      </c>
      <c r="T478">
        <f>IF($A478="","",$S478&amp;"|"&amp;$F478)</f>
        <v/>
      </c>
      <c r="U478">
        <f>IF($A478="","",$R478&amp;"("&amp;$E478&amp;")")</f>
        <v/>
      </c>
      <c r="V478">
        <f>IF($A478="","",$F478&amp;"|"&amp;$U478&amp;"|"&amp;$D478)</f>
        <v/>
      </c>
      <c r="W478">
        <f>IF($T478="","",IF($X478&gt;N($X477),$X478,""))</f>
        <v/>
      </c>
      <c r="X478">
        <f>IF($T478="",N($X477),IF(MATCH($T478,$T$6:$T$6005,0)=ROW()-5,N($X477)+1,N($X477)))</f>
        <v/>
      </c>
      <c r="Z478">
        <f>IF($V478="","",IF($AA478&gt;N($AA477),$AA478,""))</f>
        <v/>
      </c>
      <c r="AA478">
        <f>IF($V478="",N($AA477),IF(MATCH($V478,$V$6:$V$6005,0)=ROW()-5,N($AA477)+1,N($AA477)))</f>
        <v/>
      </c>
    </row>
    <row r="479" ht="21" customHeight="1" s="66">
      <c r="A479" s="56" t="n"/>
      <c r="B479" s="57" t="n"/>
      <c r="C479" s="57" t="n"/>
      <c r="D479" s="57" t="n"/>
      <c r="E479" s="56" t="n"/>
      <c r="F479" s="57" t="n"/>
      <c r="G479" s="57" t="n"/>
      <c r="H479" s="56" t="n"/>
      <c r="I479" s="56" t="n"/>
      <c r="J479" s="58" t="n"/>
      <c r="K479" s="58" t="n"/>
      <c r="L479" s="13">
        <f>IF(OR($A479="",AND($J479="",$K479="")),"",ROUND(N($J479)-N($K479),2))</f>
        <v/>
      </c>
      <c r="M479" s="13">
        <f>IF(OR($A479="",AND($J479="",$K479="")),"",MIN($J479,$K479))</f>
        <v/>
      </c>
      <c r="Q479">
        <f>IF($A479="","",$D479&amp;"("&amp;SUBSTITUTE($E479," ","")&amp;")")</f>
        <v/>
      </c>
      <c r="R479">
        <f>IF($A479="","",$B479&amp;" - "&amp;$C479)</f>
        <v/>
      </c>
      <c r="S479">
        <f>IF($A479="","",$R479&amp;"|"&amp;$Q479)</f>
        <v/>
      </c>
      <c r="T479">
        <f>IF($A479="","",$S479&amp;"|"&amp;$F479)</f>
        <v/>
      </c>
      <c r="U479">
        <f>IF($A479="","",$R479&amp;"("&amp;$E479&amp;")")</f>
        <v/>
      </c>
      <c r="V479">
        <f>IF($A479="","",$F479&amp;"|"&amp;$U479&amp;"|"&amp;$D479)</f>
        <v/>
      </c>
      <c r="W479">
        <f>IF($T479="","",IF($X479&gt;N($X478),$X479,""))</f>
        <v/>
      </c>
      <c r="X479">
        <f>IF($T479="",N($X478),IF(MATCH($T479,$T$6:$T$6005,0)=ROW()-5,N($X478)+1,N($X478)))</f>
        <v/>
      </c>
      <c r="Z479">
        <f>IF($V479="","",IF($AA479&gt;N($AA478),$AA479,""))</f>
        <v/>
      </c>
      <c r="AA479">
        <f>IF($V479="",N($AA478),IF(MATCH($V479,$V$6:$V$6005,0)=ROW()-5,N($AA478)+1,N($AA478)))</f>
        <v/>
      </c>
    </row>
    <row r="480" ht="21" customHeight="1" s="66">
      <c r="A480" s="56" t="n"/>
      <c r="B480" s="57" t="n"/>
      <c r="C480" s="57" t="n"/>
      <c r="D480" s="57" t="n"/>
      <c r="E480" s="56" t="n"/>
      <c r="F480" s="57" t="n"/>
      <c r="G480" s="57" t="n"/>
      <c r="H480" s="56" t="n"/>
      <c r="I480" s="56" t="n"/>
      <c r="J480" s="58" t="n"/>
      <c r="K480" s="58" t="n"/>
      <c r="L480" s="13">
        <f>IF(OR($A480="",AND($J480="",$K480="")),"",ROUND(N($J480)-N($K480),2))</f>
        <v/>
      </c>
      <c r="M480" s="13">
        <f>IF(OR($A480="",AND($J480="",$K480="")),"",MIN($J480,$K480))</f>
        <v/>
      </c>
      <c r="Q480">
        <f>IF($A480="","",$D480&amp;"("&amp;SUBSTITUTE($E480," ","")&amp;")")</f>
        <v/>
      </c>
      <c r="R480">
        <f>IF($A480="","",$B480&amp;" - "&amp;$C480)</f>
        <v/>
      </c>
      <c r="S480">
        <f>IF($A480="","",$R480&amp;"|"&amp;$Q480)</f>
        <v/>
      </c>
      <c r="T480">
        <f>IF($A480="","",$S480&amp;"|"&amp;$F480)</f>
        <v/>
      </c>
      <c r="U480">
        <f>IF($A480="","",$R480&amp;"("&amp;$E480&amp;")")</f>
        <v/>
      </c>
      <c r="V480">
        <f>IF($A480="","",$F480&amp;"|"&amp;$U480&amp;"|"&amp;$D480)</f>
        <v/>
      </c>
      <c r="W480">
        <f>IF($T480="","",IF($X480&gt;N($X479),$X480,""))</f>
        <v/>
      </c>
      <c r="X480">
        <f>IF($T480="",N($X479),IF(MATCH($T480,$T$6:$T$6005,0)=ROW()-5,N($X479)+1,N($X479)))</f>
        <v/>
      </c>
      <c r="Z480">
        <f>IF($V480="","",IF($AA480&gt;N($AA479),$AA480,""))</f>
        <v/>
      </c>
      <c r="AA480">
        <f>IF($V480="",N($AA479),IF(MATCH($V480,$V$6:$V$6005,0)=ROW()-5,N($AA479)+1,N($AA479)))</f>
        <v/>
      </c>
    </row>
    <row r="481" ht="21" customHeight="1" s="66">
      <c r="A481" s="56" t="n"/>
      <c r="B481" s="57" t="n"/>
      <c r="C481" s="57" t="n"/>
      <c r="D481" s="57" t="n"/>
      <c r="E481" s="56" t="n"/>
      <c r="F481" s="57" t="n"/>
      <c r="G481" s="57" t="n"/>
      <c r="H481" s="56" t="n"/>
      <c r="I481" s="56" t="n"/>
      <c r="J481" s="58" t="n"/>
      <c r="K481" s="58" t="n"/>
      <c r="L481" s="13">
        <f>IF(OR($A481="",AND($J481="",$K481="")),"",ROUND(N($J481)-N($K481),2))</f>
        <v/>
      </c>
      <c r="M481" s="13">
        <f>IF(OR($A481="",AND($J481="",$K481="")),"",MIN($J481,$K481))</f>
        <v/>
      </c>
      <c r="Q481">
        <f>IF($A481="","",$D481&amp;"("&amp;SUBSTITUTE($E481," ","")&amp;")")</f>
        <v/>
      </c>
      <c r="R481">
        <f>IF($A481="","",$B481&amp;" - "&amp;$C481)</f>
        <v/>
      </c>
      <c r="S481">
        <f>IF($A481="","",$R481&amp;"|"&amp;$Q481)</f>
        <v/>
      </c>
      <c r="T481">
        <f>IF($A481="","",$S481&amp;"|"&amp;$F481)</f>
        <v/>
      </c>
      <c r="U481">
        <f>IF($A481="","",$R481&amp;"("&amp;$E481&amp;")")</f>
        <v/>
      </c>
      <c r="V481">
        <f>IF($A481="","",$F481&amp;"|"&amp;$U481&amp;"|"&amp;$D481)</f>
        <v/>
      </c>
      <c r="W481">
        <f>IF($T481="","",IF($X481&gt;N($X480),$X481,""))</f>
        <v/>
      </c>
      <c r="X481">
        <f>IF($T481="",N($X480),IF(MATCH($T481,$T$6:$T$6005,0)=ROW()-5,N($X480)+1,N($X480)))</f>
        <v/>
      </c>
      <c r="Z481">
        <f>IF($V481="","",IF($AA481&gt;N($AA480),$AA481,""))</f>
        <v/>
      </c>
      <c r="AA481">
        <f>IF($V481="",N($AA480),IF(MATCH($V481,$V$6:$V$6005,0)=ROW()-5,N($AA480)+1,N($AA480)))</f>
        <v/>
      </c>
    </row>
    <row r="482" ht="21" customHeight="1" s="66">
      <c r="A482" s="56" t="n"/>
      <c r="B482" s="57" t="n"/>
      <c r="C482" s="57" t="n"/>
      <c r="D482" s="57" t="n"/>
      <c r="E482" s="56" t="n"/>
      <c r="F482" s="57" t="n"/>
      <c r="G482" s="57" t="n"/>
      <c r="H482" s="56" t="n"/>
      <c r="I482" s="56" t="n"/>
      <c r="J482" s="58" t="n"/>
      <c r="K482" s="58" t="n"/>
      <c r="L482" s="13">
        <f>IF(OR($A482="",AND($J482="",$K482="")),"",ROUND(N($J482)-N($K482),2))</f>
        <v/>
      </c>
      <c r="M482" s="13">
        <f>IF(OR($A482="",AND($J482="",$K482="")),"",MIN($J482,$K482))</f>
        <v/>
      </c>
      <c r="Q482">
        <f>IF($A482="","",$D482&amp;"("&amp;SUBSTITUTE($E482," ","")&amp;")")</f>
        <v/>
      </c>
      <c r="R482">
        <f>IF($A482="","",$B482&amp;" - "&amp;$C482)</f>
        <v/>
      </c>
      <c r="S482">
        <f>IF($A482="","",$R482&amp;"|"&amp;$Q482)</f>
        <v/>
      </c>
      <c r="T482">
        <f>IF($A482="","",$S482&amp;"|"&amp;$F482)</f>
        <v/>
      </c>
      <c r="U482">
        <f>IF($A482="","",$R482&amp;"("&amp;$E482&amp;")")</f>
        <v/>
      </c>
      <c r="V482">
        <f>IF($A482="","",$F482&amp;"|"&amp;$U482&amp;"|"&amp;$D482)</f>
        <v/>
      </c>
      <c r="W482">
        <f>IF($T482="","",IF($X482&gt;N($X481),$X482,""))</f>
        <v/>
      </c>
      <c r="X482">
        <f>IF($T482="",N($X481),IF(MATCH($T482,$T$6:$T$6005,0)=ROW()-5,N($X481)+1,N($X481)))</f>
        <v/>
      </c>
      <c r="Z482">
        <f>IF($V482="","",IF($AA482&gt;N($AA481),$AA482,""))</f>
        <v/>
      </c>
      <c r="AA482">
        <f>IF($V482="",N($AA481),IF(MATCH($V482,$V$6:$V$6005,0)=ROW()-5,N($AA481)+1,N($AA481)))</f>
        <v/>
      </c>
    </row>
    <row r="483" ht="21" customHeight="1" s="66">
      <c r="A483" s="56" t="n"/>
      <c r="B483" s="57" t="n"/>
      <c r="C483" s="57" t="n"/>
      <c r="D483" s="57" t="n"/>
      <c r="E483" s="56" t="n"/>
      <c r="F483" s="57" t="n"/>
      <c r="G483" s="57" t="n"/>
      <c r="H483" s="56" t="n"/>
      <c r="I483" s="56" t="n"/>
      <c r="J483" s="58" t="n"/>
      <c r="K483" s="58" t="n"/>
      <c r="L483" s="13">
        <f>IF(OR($A483="",AND($J483="",$K483="")),"",ROUND(N($J483)-N($K483),2))</f>
        <v/>
      </c>
      <c r="M483" s="13">
        <f>IF(OR($A483="",AND($J483="",$K483="")),"",MIN($J483,$K483))</f>
        <v/>
      </c>
      <c r="Q483">
        <f>IF($A483="","",$D483&amp;"("&amp;SUBSTITUTE($E483," ","")&amp;")")</f>
        <v/>
      </c>
      <c r="R483">
        <f>IF($A483="","",$B483&amp;" - "&amp;$C483)</f>
        <v/>
      </c>
      <c r="S483">
        <f>IF($A483="","",$R483&amp;"|"&amp;$Q483)</f>
        <v/>
      </c>
      <c r="T483">
        <f>IF($A483="","",$S483&amp;"|"&amp;$F483)</f>
        <v/>
      </c>
      <c r="U483">
        <f>IF($A483="","",$R483&amp;"("&amp;$E483&amp;")")</f>
        <v/>
      </c>
      <c r="V483">
        <f>IF($A483="","",$F483&amp;"|"&amp;$U483&amp;"|"&amp;$D483)</f>
        <v/>
      </c>
      <c r="W483">
        <f>IF($T483="","",IF($X483&gt;N($X482),$X483,""))</f>
        <v/>
      </c>
      <c r="X483">
        <f>IF($T483="",N($X482),IF(MATCH($T483,$T$6:$T$6005,0)=ROW()-5,N($X482)+1,N($X482)))</f>
        <v/>
      </c>
      <c r="Z483">
        <f>IF($V483="","",IF($AA483&gt;N($AA482),$AA483,""))</f>
        <v/>
      </c>
      <c r="AA483">
        <f>IF($V483="",N($AA482),IF(MATCH($V483,$V$6:$V$6005,0)=ROW()-5,N($AA482)+1,N($AA482)))</f>
        <v/>
      </c>
    </row>
    <row r="484" ht="21" customHeight="1" s="66">
      <c r="A484" s="56" t="n"/>
      <c r="B484" s="57" t="n"/>
      <c r="C484" s="57" t="n"/>
      <c r="D484" s="57" t="n"/>
      <c r="E484" s="56" t="n"/>
      <c r="F484" s="57" t="n"/>
      <c r="G484" s="57" t="n"/>
      <c r="H484" s="56" t="n"/>
      <c r="I484" s="56" t="n"/>
      <c r="J484" s="58" t="n"/>
      <c r="K484" s="58" t="n"/>
      <c r="L484" s="13">
        <f>IF(OR($A484="",AND($J484="",$K484="")),"",ROUND(N($J484)-N($K484),2))</f>
        <v/>
      </c>
      <c r="M484" s="13">
        <f>IF(OR($A484="",AND($J484="",$K484="")),"",MIN($J484,$K484))</f>
        <v/>
      </c>
      <c r="Q484">
        <f>IF($A484="","",$D484&amp;"("&amp;SUBSTITUTE($E484," ","")&amp;")")</f>
        <v/>
      </c>
      <c r="R484">
        <f>IF($A484="","",$B484&amp;" - "&amp;$C484)</f>
        <v/>
      </c>
      <c r="S484">
        <f>IF($A484="","",$R484&amp;"|"&amp;$Q484)</f>
        <v/>
      </c>
      <c r="T484">
        <f>IF($A484="","",$S484&amp;"|"&amp;$F484)</f>
        <v/>
      </c>
      <c r="U484">
        <f>IF($A484="","",$R484&amp;"("&amp;$E484&amp;")")</f>
        <v/>
      </c>
      <c r="V484">
        <f>IF($A484="","",$F484&amp;"|"&amp;$U484&amp;"|"&amp;$D484)</f>
        <v/>
      </c>
      <c r="W484">
        <f>IF($T484="","",IF($X484&gt;N($X483),$X484,""))</f>
        <v/>
      </c>
      <c r="X484">
        <f>IF($T484="",N($X483),IF(MATCH($T484,$T$6:$T$6005,0)=ROW()-5,N($X483)+1,N($X483)))</f>
        <v/>
      </c>
      <c r="Z484">
        <f>IF($V484="","",IF($AA484&gt;N($AA483),$AA484,""))</f>
        <v/>
      </c>
      <c r="AA484">
        <f>IF($V484="",N($AA483),IF(MATCH($V484,$V$6:$V$6005,0)=ROW()-5,N($AA483)+1,N($AA483)))</f>
        <v/>
      </c>
    </row>
    <row r="485" ht="21" customHeight="1" s="66">
      <c r="A485" s="56" t="n"/>
      <c r="B485" s="57" t="n"/>
      <c r="C485" s="57" t="n"/>
      <c r="D485" s="57" t="n"/>
      <c r="E485" s="56" t="n"/>
      <c r="F485" s="57" t="n"/>
      <c r="G485" s="57" t="n"/>
      <c r="H485" s="56" t="n"/>
      <c r="I485" s="56" t="n"/>
      <c r="J485" s="58" t="n"/>
      <c r="K485" s="58" t="n"/>
      <c r="L485" s="13">
        <f>IF(OR($A485="",AND($J485="",$K485="")),"",ROUND(N($J485)-N($K485),2))</f>
        <v/>
      </c>
      <c r="M485" s="13">
        <f>IF(OR($A485="",AND($J485="",$K485="")),"",MIN($J485,$K485))</f>
        <v/>
      </c>
      <c r="Q485">
        <f>IF($A485="","",$D485&amp;"("&amp;SUBSTITUTE($E485," ","")&amp;")")</f>
        <v/>
      </c>
      <c r="R485">
        <f>IF($A485="","",$B485&amp;" - "&amp;$C485)</f>
        <v/>
      </c>
      <c r="S485">
        <f>IF($A485="","",$R485&amp;"|"&amp;$Q485)</f>
        <v/>
      </c>
      <c r="T485">
        <f>IF($A485="","",$S485&amp;"|"&amp;$F485)</f>
        <v/>
      </c>
      <c r="U485">
        <f>IF($A485="","",$R485&amp;"("&amp;$E485&amp;")")</f>
        <v/>
      </c>
      <c r="V485">
        <f>IF($A485="","",$F485&amp;"|"&amp;$U485&amp;"|"&amp;$D485)</f>
        <v/>
      </c>
      <c r="W485">
        <f>IF($T485="","",IF($X485&gt;N($X484),$X485,""))</f>
        <v/>
      </c>
      <c r="X485">
        <f>IF($T485="",N($X484),IF(MATCH($T485,$T$6:$T$6005,0)=ROW()-5,N($X484)+1,N($X484)))</f>
        <v/>
      </c>
      <c r="Z485">
        <f>IF($V485="","",IF($AA485&gt;N($AA484),$AA485,""))</f>
        <v/>
      </c>
      <c r="AA485">
        <f>IF($V485="",N($AA484),IF(MATCH($V485,$V$6:$V$6005,0)=ROW()-5,N($AA484)+1,N($AA484)))</f>
        <v/>
      </c>
    </row>
    <row r="486" ht="21" customHeight="1" s="66">
      <c r="A486" s="56" t="n"/>
      <c r="B486" s="57" t="n"/>
      <c r="C486" s="57" t="n"/>
      <c r="D486" s="57" t="n"/>
      <c r="E486" s="56" t="n"/>
      <c r="F486" s="57" t="n"/>
      <c r="G486" s="57" t="n"/>
      <c r="H486" s="56" t="n"/>
      <c r="I486" s="56" t="n"/>
      <c r="J486" s="58" t="n"/>
      <c r="K486" s="58" t="n"/>
      <c r="L486" s="13">
        <f>IF(OR($A486="",AND($J486="",$K486="")),"",ROUND(N($J486)-N($K486),2))</f>
        <v/>
      </c>
      <c r="M486" s="13">
        <f>IF(OR($A486="",AND($J486="",$K486="")),"",MIN($J486,$K486))</f>
        <v/>
      </c>
      <c r="Q486">
        <f>IF($A486="","",$D486&amp;"("&amp;SUBSTITUTE($E486," ","")&amp;")")</f>
        <v/>
      </c>
      <c r="R486">
        <f>IF($A486="","",$B486&amp;" - "&amp;$C486)</f>
        <v/>
      </c>
      <c r="S486">
        <f>IF($A486="","",$R486&amp;"|"&amp;$Q486)</f>
        <v/>
      </c>
      <c r="T486">
        <f>IF($A486="","",$S486&amp;"|"&amp;$F486)</f>
        <v/>
      </c>
      <c r="U486">
        <f>IF($A486="","",$R486&amp;"("&amp;$E486&amp;")")</f>
        <v/>
      </c>
      <c r="V486">
        <f>IF($A486="","",$F486&amp;"|"&amp;$U486&amp;"|"&amp;$D486)</f>
        <v/>
      </c>
      <c r="W486">
        <f>IF($T486="","",IF($X486&gt;N($X485),$X486,""))</f>
        <v/>
      </c>
      <c r="X486">
        <f>IF($T486="",N($X485),IF(MATCH($T486,$T$6:$T$6005,0)=ROW()-5,N($X485)+1,N($X485)))</f>
        <v/>
      </c>
      <c r="Z486">
        <f>IF($V486="","",IF($AA486&gt;N($AA485),$AA486,""))</f>
        <v/>
      </c>
      <c r="AA486">
        <f>IF($V486="",N($AA485),IF(MATCH($V486,$V$6:$V$6005,0)=ROW()-5,N($AA485)+1,N($AA485)))</f>
        <v/>
      </c>
    </row>
    <row r="487" ht="21" customHeight="1" s="66">
      <c r="A487" s="56" t="n"/>
      <c r="B487" s="57" t="n"/>
      <c r="C487" s="57" t="n"/>
      <c r="D487" s="57" t="n"/>
      <c r="E487" s="56" t="n"/>
      <c r="F487" s="57" t="n"/>
      <c r="G487" s="57" t="n"/>
      <c r="H487" s="56" t="n"/>
      <c r="I487" s="56" t="n"/>
      <c r="J487" s="58" t="n"/>
      <c r="K487" s="58" t="n"/>
      <c r="L487" s="13">
        <f>IF(OR($A487="",AND($J487="",$K487="")),"",ROUND(N($J487)-N($K487),2))</f>
        <v/>
      </c>
      <c r="M487" s="13">
        <f>IF(OR($A487="",AND($J487="",$K487="")),"",MIN($J487,$K487))</f>
        <v/>
      </c>
      <c r="Q487">
        <f>IF($A487="","",$D487&amp;"("&amp;SUBSTITUTE($E487," ","")&amp;")")</f>
        <v/>
      </c>
      <c r="R487">
        <f>IF($A487="","",$B487&amp;" - "&amp;$C487)</f>
        <v/>
      </c>
      <c r="S487">
        <f>IF($A487="","",$R487&amp;"|"&amp;$Q487)</f>
        <v/>
      </c>
      <c r="T487">
        <f>IF($A487="","",$S487&amp;"|"&amp;$F487)</f>
        <v/>
      </c>
      <c r="U487">
        <f>IF($A487="","",$R487&amp;"("&amp;$E487&amp;")")</f>
        <v/>
      </c>
      <c r="V487">
        <f>IF($A487="","",$F487&amp;"|"&amp;$U487&amp;"|"&amp;$D487)</f>
        <v/>
      </c>
      <c r="W487">
        <f>IF($T487="","",IF($X487&gt;N($X486),$X487,""))</f>
        <v/>
      </c>
      <c r="X487">
        <f>IF($T487="",N($X486),IF(MATCH($T487,$T$6:$T$6005,0)=ROW()-5,N($X486)+1,N($X486)))</f>
        <v/>
      </c>
      <c r="Z487">
        <f>IF($V487="","",IF($AA487&gt;N($AA486),$AA487,""))</f>
        <v/>
      </c>
      <c r="AA487">
        <f>IF($V487="",N($AA486),IF(MATCH($V487,$V$6:$V$6005,0)=ROW()-5,N($AA486)+1,N($AA486)))</f>
        <v/>
      </c>
    </row>
    <row r="488" ht="21" customHeight="1" s="66">
      <c r="A488" s="56" t="n"/>
      <c r="B488" s="57" t="n"/>
      <c r="C488" s="57" t="n"/>
      <c r="D488" s="57" t="n"/>
      <c r="E488" s="56" t="n"/>
      <c r="F488" s="57" t="n"/>
      <c r="G488" s="57" t="n"/>
      <c r="H488" s="56" t="n"/>
      <c r="I488" s="56" t="n"/>
      <c r="J488" s="58" t="n"/>
      <c r="K488" s="58" t="n"/>
      <c r="L488" s="13">
        <f>IF(OR($A488="",AND($J488="",$K488="")),"",ROUND(N($J488)-N($K488),2))</f>
        <v/>
      </c>
      <c r="M488" s="13">
        <f>IF(OR($A488="",AND($J488="",$K488="")),"",MIN($J488,$K488))</f>
        <v/>
      </c>
      <c r="Q488">
        <f>IF($A488="","",$D488&amp;"("&amp;SUBSTITUTE($E488," ","")&amp;")")</f>
        <v/>
      </c>
      <c r="R488">
        <f>IF($A488="","",$B488&amp;" - "&amp;$C488)</f>
        <v/>
      </c>
      <c r="S488">
        <f>IF($A488="","",$R488&amp;"|"&amp;$Q488)</f>
        <v/>
      </c>
      <c r="T488">
        <f>IF($A488="","",$S488&amp;"|"&amp;$F488)</f>
        <v/>
      </c>
      <c r="U488">
        <f>IF($A488="","",$R488&amp;"("&amp;$E488&amp;")")</f>
        <v/>
      </c>
      <c r="V488">
        <f>IF($A488="","",$F488&amp;"|"&amp;$U488&amp;"|"&amp;$D488)</f>
        <v/>
      </c>
      <c r="W488">
        <f>IF($T488="","",IF($X488&gt;N($X487),$X488,""))</f>
        <v/>
      </c>
      <c r="X488">
        <f>IF($T488="",N($X487),IF(MATCH($T488,$T$6:$T$6005,0)=ROW()-5,N($X487)+1,N($X487)))</f>
        <v/>
      </c>
      <c r="Z488">
        <f>IF($V488="","",IF($AA488&gt;N($AA487),$AA488,""))</f>
        <v/>
      </c>
      <c r="AA488">
        <f>IF($V488="",N($AA487),IF(MATCH($V488,$V$6:$V$6005,0)=ROW()-5,N($AA487)+1,N($AA487)))</f>
        <v/>
      </c>
    </row>
    <row r="489" ht="21" customHeight="1" s="66">
      <c r="A489" s="56" t="n"/>
      <c r="B489" s="57" t="n"/>
      <c r="C489" s="57" t="n"/>
      <c r="D489" s="57" t="n"/>
      <c r="E489" s="56" t="n"/>
      <c r="F489" s="57" t="n"/>
      <c r="G489" s="57" t="n"/>
      <c r="H489" s="56" t="n"/>
      <c r="I489" s="56" t="n"/>
      <c r="J489" s="58" t="n"/>
      <c r="K489" s="58" t="n"/>
      <c r="L489" s="13">
        <f>IF(OR($A489="",AND($J489="",$K489="")),"",ROUND(N($J489)-N($K489),2))</f>
        <v/>
      </c>
      <c r="M489" s="13">
        <f>IF(OR($A489="",AND($J489="",$K489="")),"",MIN($J489,$K489))</f>
        <v/>
      </c>
      <c r="Q489">
        <f>IF($A489="","",$D489&amp;"("&amp;SUBSTITUTE($E489," ","")&amp;")")</f>
        <v/>
      </c>
      <c r="R489">
        <f>IF($A489="","",$B489&amp;" - "&amp;$C489)</f>
        <v/>
      </c>
      <c r="S489">
        <f>IF($A489="","",$R489&amp;"|"&amp;$Q489)</f>
        <v/>
      </c>
      <c r="T489">
        <f>IF($A489="","",$S489&amp;"|"&amp;$F489)</f>
        <v/>
      </c>
      <c r="U489">
        <f>IF($A489="","",$R489&amp;"("&amp;$E489&amp;")")</f>
        <v/>
      </c>
      <c r="V489">
        <f>IF($A489="","",$F489&amp;"|"&amp;$U489&amp;"|"&amp;$D489)</f>
        <v/>
      </c>
      <c r="W489">
        <f>IF($T489="","",IF($X489&gt;N($X488),$X489,""))</f>
        <v/>
      </c>
      <c r="X489">
        <f>IF($T489="",N($X488),IF(MATCH($T489,$T$6:$T$6005,0)=ROW()-5,N($X488)+1,N($X488)))</f>
        <v/>
      </c>
      <c r="Z489">
        <f>IF($V489="","",IF($AA489&gt;N($AA488),$AA489,""))</f>
        <v/>
      </c>
      <c r="AA489">
        <f>IF($V489="",N($AA488),IF(MATCH($V489,$V$6:$V$6005,0)=ROW()-5,N($AA488)+1,N($AA488)))</f>
        <v/>
      </c>
    </row>
    <row r="490" ht="21" customHeight="1" s="66">
      <c r="A490" s="56" t="n"/>
      <c r="B490" s="57" t="n"/>
      <c r="C490" s="57" t="n"/>
      <c r="D490" s="57" t="n"/>
      <c r="E490" s="56" t="n"/>
      <c r="F490" s="57" t="n"/>
      <c r="G490" s="57" t="n"/>
      <c r="H490" s="56" t="n"/>
      <c r="I490" s="56" t="n"/>
      <c r="J490" s="58" t="n"/>
      <c r="K490" s="58" t="n"/>
      <c r="L490" s="13">
        <f>IF(OR($A490="",AND($J490="",$K490="")),"",ROUND(N($J490)-N($K490),2))</f>
        <v/>
      </c>
      <c r="M490" s="13">
        <f>IF(OR($A490="",AND($J490="",$K490="")),"",MIN($J490,$K490))</f>
        <v/>
      </c>
      <c r="Q490">
        <f>IF($A490="","",$D490&amp;"("&amp;SUBSTITUTE($E490," ","")&amp;")")</f>
        <v/>
      </c>
      <c r="R490">
        <f>IF($A490="","",$B490&amp;" - "&amp;$C490)</f>
        <v/>
      </c>
      <c r="S490">
        <f>IF($A490="","",$R490&amp;"|"&amp;$Q490)</f>
        <v/>
      </c>
      <c r="T490">
        <f>IF($A490="","",$S490&amp;"|"&amp;$F490)</f>
        <v/>
      </c>
      <c r="U490">
        <f>IF($A490="","",$R490&amp;"("&amp;$E490&amp;")")</f>
        <v/>
      </c>
      <c r="V490">
        <f>IF($A490="","",$F490&amp;"|"&amp;$U490&amp;"|"&amp;$D490)</f>
        <v/>
      </c>
      <c r="W490">
        <f>IF($T490="","",IF($X490&gt;N($X489),$X490,""))</f>
        <v/>
      </c>
      <c r="X490">
        <f>IF($T490="",N($X489),IF(MATCH($T490,$T$6:$T$6005,0)=ROW()-5,N($X489)+1,N($X489)))</f>
        <v/>
      </c>
      <c r="Z490">
        <f>IF($V490="","",IF($AA490&gt;N($AA489),$AA490,""))</f>
        <v/>
      </c>
      <c r="AA490">
        <f>IF($V490="",N($AA489),IF(MATCH($V490,$V$6:$V$6005,0)=ROW()-5,N($AA489)+1,N($AA489)))</f>
        <v/>
      </c>
    </row>
    <row r="491" ht="21" customHeight="1" s="66">
      <c r="A491" s="56" t="n"/>
      <c r="B491" s="57" t="n"/>
      <c r="C491" s="57" t="n"/>
      <c r="D491" s="57" t="n"/>
      <c r="E491" s="56" t="n"/>
      <c r="F491" s="57" t="n"/>
      <c r="G491" s="57" t="n"/>
      <c r="H491" s="56" t="n"/>
      <c r="I491" s="56" t="n"/>
      <c r="J491" s="58" t="n"/>
      <c r="K491" s="58" t="n"/>
      <c r="L491" s="13">
        <f>IF(OR($A491="",AND($J491="",$K491="")),"",ROUND(N($J491)-N($K491),2))</f>
        <v/>
      </c>
      <c r="M491" s="13">
        <f>IF(OR($A491="",AND($J491="",$K491="")),"",MIN($J491,$K491))</f>
        <v/>
      </c>
      <c r="Q491">
        <f>IF($A491="","",$D491&amp;"("&amp;SUBSTITUTE($E491," ","")&amp;")")</f>
        <v/>
      </c>
      <c r="R491">
        <f>IF($A491="","",$B491&amp;" - "&amp;$C491)</f>
        <v/>
      </c>
      <c r="S491">
        <f>IF($A491="","",$R491&amp;"|"&amp;$Q491)</f>
        <v/>
      </c>
      <c r="T491">
        <f>IF($A491="","",$S491&amp;"|"&amp;$F491)</f>
        <v/>
      </c>
      <c r="U491">
        <f>IF($A491="","",$R491&amp;"("&amp;$E491&amp;")")</f>
        <v/>
      </c>
      <c r="V491">
        <f>IF($A491="","",$F491&amp;"|"&amp;$U491&amp;"|"&amp;$D491)</f>
        <v/>
      </c>
      <c r="W491">
        <f>IF($T491="","",IF($X491&gt;N($X490),$X491,""))</f>
        <v/>
      </c>
      <c r="X491">
        <f>IF($T491="",N($X490),IF(MATCH($T491,$T$6:$T$6005,0)=ROW()-5,N($X490)+1,N($X490)))</f>
        <v/>
      </c>
      <c r="Z491">
        <f>IF($V491="","",IF($AA491&gt;N($AA490),$AA491,""))</f>
        <v/>
      </c>
      <c r="AA491">
        <f>IF($V491="",N($AA490),IF(MATCH($V491,$V$6:$V$6005,0)=ROW()-5,N($AA490)+1,N($AA490)))</f>
        <v/>
      </c>
    </row>
    <row r="492" ht="21" customHeight="1" s="66">
      <c r="A492" s="56" t="n"/>
      <c r="B492" s="57" t="n"/>
      <c r="C492" s="57" t="n"/>
      <c r="D492" s="57" t="n"/>
      <c r="E492" s="56" t="n"/>
      <c r="F492" s="57" t="n"/>
      <c r="G492" s="57" t="n"/>
      <c r="H492" s="56" t="n"/>
      <c r="I492" s="56" t="n"/>
      <c r="J492" s="58" t="n"/>
      <c r="K492" s="58" t="n"/>
      <c r="L492" s="13">
        <f>IF(OR($A492="",AND($J492="",$K492="")),"",ROUND(N($J492)-N($K492),2))</f>
        <v/>
      </c>
      <c r="M492" s="13">
        <f>IF(OR($A492="",AND($J492="",$K492="")),"",MIN($J492,$K492))</f>
        <v/>
      </c>
      <c r="Q492">
        <f>IF($A492="","",$D492&amp;"("&amp;SUBSTITUTE($E492," ","")&amp;")")</f>
        <v/>
      </c>
      <c r="R492">
        <f>IF($A492="","",$B492&amp;" - "&amp;$C492)</f>
        <v/>
      </c>
      <c r="S492">
        <f>IF($A492="","",$R492&amp;"|"&amp;$Q492)</f>
        <v/>
      </c>
      <c r="T492">
        <f>IF($A492="","",$S492&amp;"|"&amp;$F492)</f>
        <v/>
      </c>
      <c r="U492">
        <f>IF($A492="","",$R492&amp;"("&amp;$E492&amp;")")</f>
        <v/>
      </c>
      <c r="V492">
        <f>IF($A492="","",$F492&amp;"|"&amp;$U492&amp;"|"&amp;$D492)</f>
        <v/>
      </c>
      <c r="W492">
        <f>IF($T492="","",IF($X492&gt;N($X491),$X492,""))</f>
        <v/>
      </c>
      <c r="X492">
        <f>IF($T492="",N($X491),IF(MATCH($T492,$T$6:$T$6005,0)=ROW()-5,N($X491)+1,N($X491)))</f>
        <v/>
      </c>
      <c r="Z492">
        <f>IF($V492="","",IF($AA492&gt;N($AA491),$AA492,""))</f>
        <v/>
      </c>
      <c r="AA492">
        <f>IF($V492="",N($AA491),IF(MATCH($V492,$V$6:$V$6005,0)=ROW()-5,N($AA491)+1,N($AA491)))</f>
        <v/>
      </c>
    </row>
    <row r="493" ht="21" customHeight="1" s="66">
      <c r="A493" s="56" t="n"/>
      <c r="B493" s="57" t="n"/>
      <c r="C493" s="57" t="n"/>
      <c r="D493" s="57" t="n"/>
      <c r="E493" s="56" t="n"/>
      <c r="F493" s="57" t="n"/>
      <c r="G493" s="57" t="n"/>
      <c r="H493" s="56" t="n"/>
      <c r="I493" s="56" t="n"/>
      <c r="J493" s="58" t="n"/>
      <c r="K493" s="58" t="n"/>
      <c r="L493" s="13">
        <f>IF(OR($A493="",AND($J493="",$K493="")),"",ROUND(N($J493)-N($K493),2))</f>
        <v/>
      </c>
      <c r="M493" s="13">
        <f>IF(OR($A493="",AND($J493="",$K493="")),"",MIN($J493,$K493))</f>
        <v/>
      </c>
      <c r="Q493">
        <f>IF($A493="","",$D493&amp;"("&amp;SUBSTITUTE($E493," ","")&amp;")")</f>
        <v/>
      </c>
      <c r="R493">
        <f>IF($A493="","",$B493&amp;" - "&amp;$C493)</f>
        <v/>
      </c>
      <c r="S493">
        <f>IF($A493="","",$R493&amp;"|"&amp;$Q493)</f>
        <v/>
      </c>
      <c r="T493">
        <f>IF($A493="","",$S493&amp;"|"&amp;$F493)</f>
        <v/>
      </c>
      <c r="U493">
        <f>IF($A493="","",$R493&amp;"("&amp;$E493&amp;")")</f>
        <v/>
      </c>
      <c r="V493">
        <f>IF($A493="","",$F493&amp;"|"&amp;$U493&amp;"|"&amp;$D493)</f>
        <v/>
      </c>
      <c r="W493">
        <f>IF($T493="","",IF($X493&gt;N($X492),$X493,""))</f>
        <v/>
      </c>
      <c r="X493">
        <f>IF($T493="",N($X492),IF(MATCH($T493,$T$6:$T$6005,0)=ROW()-5,N($X492)+1,N($X492)))</f>
        <v/>
      </c>
      <c r="Z493">
        <f>IF($V493="","",IF($AA493&gt;N($AA492),$AA493,""))</f>
        <v/>
      </c>
      <c r="AA493">
        <f>IF($V493="",N($AA492),IF(MATCH($V493,$V$6:$V$6005,0)=ROW()-5,N($AA492)+1,N($AA492)))</f>
        <v/>
      </c>
    </row>
    <row r="494" ht="21" customHeight="1" s="66">
      <c r="A494" s="56" t="n"/>
      <c r="B494" s="57" t="n"/>
      <c r="C494" s="57" t="n"/>
      <c r="D494" s="57" t="n"/>
      <c r="E494" s="56" t="n"/>
      <c r="F494" s="57" t="n"/>
      <c r="G494" s="57" t="n"/>
      <c r="H494" s="56" t="n"/>
      <c r="I494" s="56" t="n"/>
      <c r="J494" s="58" t="n"/>
      <c r="K494" s="58" t="n"/>
      <c r="L494" s="13">
        <f>IF(OR($A494="",AND($J494="",$K494="")),"",ROUND(N($J494)-N($K494),2))</f>
        <v/>
      </c>
      <c r="M494" s="13">
        <f>IF(OR($A494="",AND($J494="",$K494="")),"",MIN($J494,$K494))</f>
        <v/>
      </c>
      <c r="Q494">
        <f>IF($A494="","",$D494&amp;"("&amp;SUBSTITUTE($E494," ","")&amp;")")</f>
        <v/>
      </c>
      <c r="R494">
        <f>IF($A494="","",$B494&amp;" - "&amp;$C494)</f>
        <v/>
      </c>
      <c r="S494">
        <f>IF($A494="","",$R494&amp;"|"&amp;$Q494)</f>
        <v/>
      </c>
      <c r="T494">
        <f>IF($A494="","",$S494&amp;"|"&amp;$F494)</f>
        <v/>
      </c>
      <c r="U494">
        <f>IF($A494="","",$R494&amp;"("&amp;$E494&amp;")")</f>
        <v/>
      </c>
      <c r="V494">
        <f>IF($A494="","",$F494&amp;"|"&amp;$U494&amp;"|"&amp;$D494)</f>
        <v/>
      </c>
      <c r="W494">
        <f>IF($T494="","",IF($X494&gt;N($X493),$X494,""))</f>
        <v/>
      </c>
      <c r="X494">
        <f>IF($T494="",N($X493),IF(MATCH($T494,$T$6:$T$6005,0)=ROW()-5,N($X493)+1,N($X493)))</f>
        <v/>
      </c>
      <c r="Z494">
        <f>IF($V494="","",IF($AA494&gt;N($AA493),$AA494,""))</f>
        <v/>
      </c>
      <c r="AA494">
        <f>IF($V494="",N($AA493),IF(MATCH($V494,$V$6:$V$6005,0)=ROW()-5,N($AA493)+1,N($AA493)))</f>
        <v/>
      </c>
    </row>
    <row r="495" ht="21" customHeight="1" s="66">
      <c r="A495" s="56" t="n"/>
      <c r="B495" s="57" t="n"/>
      <c r="C495" s="57" t="n"/>
      <c r="D495" s="57" t="n"/>
      <c r="E495" s="56" t="n"/>
      <c r="F495" s="57" t="n"/>
      <c r="G495" s="57" t="n"/>
      <c r="H495" s="56" t="n"/>
      <c r="I495" s="56" t="n"/>
      <c r="J495" s="58" t="n"/>
      <c r="K495" s="58" t="n"/>
      <c r="L495" s="13">
        <f>IF(OR($A495="",AND($J495="",$K495="")),"",ROUND(N($J495)-N($K495),2))</f>
        <v/>
      </c>
      <c r="M495" s="13">
        <f>IF(OR($A495="",AND($J495="",$K495="")),"",MIN($J495,$K495))</f>
        <v/>
      </c>
      <c r="Q495">
        <f>IF($A495="","",$D495&amp;"("&amp;SUBSTITUTE($E495," ","")&amp;")")</f>
        <v/>
      </c>
      <c r="R495">
        <f>IF($A495="","",$B495&amp;" - "&amp;$C495)</f>
        <v/>
      </c>
      <c r="S495">
        <f>IF($A495="","",$R495&amp;"|"&amp;$Q495)</f>
        <v/>
      </c>
      <c r="T495">
        <f>IF($A495="","",$S495&amp;"|"&amp;$F495)</f>
        <v/>
      </c>
      <c r="U495">
        <f>IF($A495="","",$R495&amp;"("&amp;$E495&amp;")")</f>
        <v/>
      </c>
      <c r="V495">
        <f>IF($A495="","",$F495&amp;"|"&amp;$U495&amp;"|"&amp;$D495)</f>
        <v/>
      </c>
      <c r="W495">
        <f>IF($T495="","",IF($X495&gt;N($X494),$X495,""))</f>
        <v/>
      </c>
      <c r="X495">
        <f>IF($T495="",N($X494),IF(MATCH($T495,$T$6:$T$6005,0)=ROW()-5,N($X494)+1,N($X494)))</f>
        <v/>
      </c>
      <c r="Z495">
        <f>IF($V495="","",IF($AA495&gt;N($AA494),$AA495,""))</f>
        <v/>
      </c>
      <c r="AA495">
        <f>IF($V495="",N($AA494),IF(MATCH($V495,$V$6:$V$6005,0)=ROW()-5,N($AA494)+1,N($AA494)))</f>
        <v/>
      </c>
    </row>
    <row r="496" ht="21" customHeight="1" s="66">
      <c r="A496" s="56" t="n"/>
      <c r="B496" s="57" t="n"/>
      <c r="C496" s="57" t="n"/>
      <c r="D496" s="57" t="n"/>
      <c r="E496" s="56" t="n"/>
      <c r="F496" s="57" t="n"/>
      <c r="G496" s="57" t="n"/>
      <c r="H496" s="56" t="n"/>
      <c r="I496" s="56" t="n"/>
      <c r="J496" s="58" t="n"/>
      <c r="K496" s="58" t="n"/>
      <c r="L496" s="13">
        <f>IF(OR($A496="",AND($J496="",$K496="")),"",ROUND(N($J496)-N($K496),2))</f>
        <v/>
      </c>
      <c r="M496" s="13">
        <f>IF(OR($A496="",AND($J496="",$K496="")),"",MIN($J496,$K496))</f>
        <v/>
      </c>
      <c r="Q496">
        <f>IF($A496="","",$D496&amp;"("&amp;SUBSTITUTE($E496," ","")&amp;")")</f>
        <v/>
      </c>
      <c r="R496">
        <f>IF($A496="","",$B496&amp;" - "&amp;$C496)</f>
        <v/>
      </c>
      <c r="S496">
        <f>IF($A496="","",$R496&amp;"|"&amp;$Q496)</f>
        <v/>
      </c>
      <c r="T496">
        <f>IF($A496="","",$S496&amp;"|"&amp;$F496)</f>
        <v/>
      </c>
      <c r="U496">
        <f>IF($A496="","",$R496&amp;"("&amp;$E496&amp;")")</f>
        <v/>
      </c>
      <c r="V496">
        <f>IF($A496="","",$F496&amp;"|"&amp;$U496&amp;"|"&amp;$D496)</f>
        <v/>
      </c>
      <c r="W496">
        <f>IF($T496="","",IF($X496&gt;N($X495),$X496,""))</f>
        <v/>
      </c>
      <c r="X496">
        <f>IF($T496="",N($X495),IF(MATCH($T496,$T$6:$T$6005,0)=ROW()-5,N($X495)+1,N($X495)))</f>
        <v/>
      </c>
      <c r="Z496">
        <f>IF($V496="","",IF($AA496&gt;N($AA495),$AA496,""))</f>
        <v/>
      </c>
      <c r="AA496">
        <f>IF($V496="",N($AA495),IF(MATCH($V496,$V$6:$V$6005,0)=ROW()-5,N($AA495)+1,N($AA495)))</f>
        <v/>
      </c>
    </row>
    <row r="497" ht="21" customHeight="1" s="66">
      <c r="A497" s="56" t="n"/>
      <c r="B497" s="57" t="n"/>
      <c r="C497" s="57" t="n"/>
      <c r="D497" s="57" t="n"/>
      <c r="E497" s="56" t="n"/>
      <c r="F497" s="57" t="n"/>
      <c r="G497" s="57" t="n"/>
      <c r="H497" s="56" t="n"/>
      <c r="I497" s="56" t="n"/>
      <c r="J497" s="58" t="n"/>
      <c r="K497" s="58" t="n"/>
      <c r="L497" s="13">
        <f>IF(OR($A497="",AND($J497="",$K497="")),"",ROUND(N($J497)-N($K497),2))</f>
        <v/>
      </c>
      <c r="M497" s="13">
        <f>IF(OR($A497="",AND($J497="",$K497="")),"",MIN($J497,$K497))</f>
        <v/>
      </c>
      <c r="Q497">
        <f>IF($A497="","",$D497&amp;"("&amp;SUBSTITUTE($E497," ","")&amp;")")</f>
        <v/>
      </c>
      <c r="R497">
        <f>IF($A497="","",$B497&amp;" - "&amp;$C497)</f>
        <v/>
      </c>
      <c r="S497">
        <f>IF($A497="","",$R497&amp;"|"&amp;$Q497)</f>
        <v/>
      </c>
      <c r="T497">
        <f>IF($A497="","",$S497&amp;"|"&amp;$F497)</f>
        <v/>
      </c>
      <c r="U497">
        <f>IF($A497="","",$R497&amp;"("&amp;$E497&amp;")")</f>
        <v/>
      </c>
      <c r="V497">
        <f>IF($A497="","",$F497&amp;"|"&amp;$U497&amp;"|"&amp;$D497)</f>
        <v/>
      </c>
      <c r="W497">
        <f>IF($T497="","",IF($X497&gt;N($X496),$X497,""))</f>
        <v/>
      </c>
      <c r="X497">
        <f>IF($T497="",N($X496),IF(MATCH($T497,$T$6:$T$6005,0)=ROW()-5,N($X496)+1,N($X496)))</f>
        <v/>
      </c>
      <c r="Z497">
        <f>IF($V497="","",IF($AA497&gt;N($AA496),$AA497,""))</f>
        <v/>
      </c>
      <c r="AA497">
        <f>IF($V497="",N($AA496),IF(MATCH($V497,$V$6:$V$6005,0)=ROW()-5,N($AA496)+1,N($AA496)))</f>
        <v/>
      </c>
    </row>
    <row r="498" ht="21" customHeight="1" s="66">
      <c r="A498" s="56" t="n"/>
      <c r="B498" s="57" t="n"/>
      <c r="C498" s="57" t="n"/>
      <c r="D498" s="57" t="n"/>
      <c r="E498" s="56" t="n"/>
      <c r="F498" s="57" t="n"/>
      <c r="G498" s="57" t="n"/>
      <c r="H498" s="56" t="n"/>
      <c r="I498" s="56" t="n"/>
      <c r="J498" s="58" t="n"/>
      <c r="K498" s="58" t="n"/>
      <c r="L498" s="13">
        <f>IF(OR($A498="",AND($J498="",$K498="")),"",ROUND(N($J498)-N($K498),2))</f>
        <v/>
      </c>
      <c r="M498" s="13">
        <f>IF(OR($A498="",AND($J498="",$K498="")),"",MIN($J498,$K498))</f>
        <v/>
      </c>
      <c r="Q498">
        <f>IF($A498="","",$D498&amp;"("&amp;SUBSTITUTE($E498," ","")&amp;")")</f>
        <v/>
      </c>
      <c r="R498">
        <f>IF($A498="","",$B498&amp;" - "&amp;$C498)</f>
        <v/>
      </c>
      <c r="S498">
        <f>IF($A498="","",$R498&amp;"|"&amp;$Q498)</f>
        <v/>
      </c>
      <c r="T498">
        <f>IF($A498="","",$S498&amp;"|"&amp;$F498)</f>
        <v/>
      </c>
      <c r="U498">
        <f>IF($A498="","",$R498&amp;"("&amp;$E498&amp;")")</f>
        <v/>
      </c>
      <c r="V498">
        <f>IF($A498="","",$F498&amp;"|"&amp;$U498&amp;"|"&amp;$D498)</f>
        <v/>
      </c>
      <c r="W498">
        <f>IF($T498="","",IF($X498&gt;N($X497),$X498,""))</f>
        <v/>
      </c>
      <c r="X498">
        <f>IF($T498="",N($X497),IF(MATCH($T498,$T$6:$T$6005,0)=ROW()-5,N($X497)+1,N($X497)))</f>
        <v/>
      </c>
      <c r="Z498">
        <f>IF($V498="","",IF($AA498&gt;N($AA497),$AA498,""))</f>
        <v/>
      </c>
      <c r="AA498">
        <f>IF($V498="",N($AA497),IF(MATCH($V498,$V$6:$V$6005,0)=ROW()-5,N($AA497)+1,N($AA497)))</f>
        <v/>
      </c>
    </row>
    <row r="499" ht="21" customHeight="1" s="66">
      <c r="A499" s="56" t="n"/>
      <c r="B499" s="57" t="n"/>
      <c r="C499" s="57" t="n"/>
      <c r="D499" s="57" t="n"/>
      <c r="E499" s="56" t="n"/>
      <c r="F499" s="57" t="n"/>
      <c r="G499" s="57" t="n"/>
      <c r="H499" s="56" t="n"/>
      <c r="I499" s="56" t="n"/>
      <c r="J499" s="58" t="n"/>
      <c r="K499" s="58" t="n"/>
      <c r="L499" s="13">
        <f>IF(OR($A499="",AND($J499="",$K499="")),"",ROUND(N($J499)-N($K499),2))</f>
        <v/>
      </c>
      <c r="M499" s="13">
        <f>IF(OR($A499="",AND($J499="",$K499="")),"",MIN($J499,$K499))</f>
        <v/>
      </c>
      <c r="Q499">
        <f>IF($A499="","",$D499&amp;"("&amp;SUBSTITUTE($E499," ","")&amp;")")</f>
        <v/>
      </c>
      <c r="R499">
        <f>IF($A499="","",$B499&amp;" - "&amp;$C499)</f>
        <v/>
      </c>
      <c r="S499">
        <f>IF($A499="","",$R499&amp;"|"&amp;$Q499)</f>
        <v/>
      </c>
      <c r="T499">
        <f>IF($A499="","",$S499&amp;"|"&amp;$F499)</f>
        <v/>
      </c>
      <c r="U499">
        <f>IF($A499="","",$R499&amp;"("&amp;$E499&amp;")")</f>
        <v/>
      </c>
      <c r="V499">
        <f>IF($A499="","",$F499&amp;"|"&amp;$U499&amp;"|"&amp;$D499)</f>
        <v/>
      </c>
      <c r="W499">
        <f>IF($T499="","",IF($X499&gt;N($X498),$X499,""))</f>
        <v/>
      </c>
      <c r="X499">
        <f>IF($T499="",N($X498),IF(MATCH($T499,$T$6:$T$6005,0)=ROW()-5,N($X498)+1,N($X498)))</f>
        <v/>
      </c>
      <c r="Z499">
        <f>IF($V499="","",IF($AA499&gt;N($AA498),$AA499,""))</f>
        <v/>
      </c>
      <c r="AA499">
        <f>IF($V499="",N($AA498),IF(MATCH($V499,$V$6:$V$6005,0)=ROW()-5,N($AA498)+1,N($AA498)))</f>
        <v/>
      </c>
    </row>
    <row r="500" ht="21" customHeight="1" s="66">
      <c r="A500" s="56" t="n"/>
      <c r="B500" s="57" t="n"/>
      <c r="C500" s="57" t="n"/>
      <c r="D500" s="57" t="n"/>
      <c r="E500" s="56" t="n"/>
      <c r="F500" s="57" t="n"/>
      <c r="G500" s="57" t="n"/>
      <c r="H500" s="56" t="n"/>
      <c r="I500" s="56" t="n"/>
      <c r="J500" s="58" t="n"/>
      <c r="K500" s="58" t="n"/>
      <c r="L500" s="13">
        <f>IF(OR($A500="",AND($J500="",$K500="")),"",ROUND(N($J500)-N($K500),2))</f>
        <v/>
      </c>
      <c r="M500" s="13">
        <f>IF(OR($A500="",AND($J500="",$K500="")),"",MIN($J500,$K500))</f>
        <v/>
      </c>
      <c r="Q500">
        <f>IF($A500="","",$D500&amp;"("&amp;SUBSTITUTE($E500," ","")&amp;")")</f>
        <v/>
      </c>
      <c r="R500">
        <f>IF($A500="","",$B500&amp;" - "&amp;$C500)</f>
        <v/>
      </c>
      <c r="S500">
        <f>IF($A500="","",$R500&amp;"|"&amp;$Q500)</f>
        <v/>
      </c>
      <c r="T500">
        <f>IF($A500="","",$S500&amp;"|"&amp;$F500)</f>
        <v/>
      </c>
      <c r="U500">
        <f>IF($A500="","",$R500&amp;"("&amp;$E500&amp;")")</f>
        <v/>
      </c>
      <c r="V500">
        <f>IF($A500="","",$F500&amp;"|"&amp;$U500&amp;"|"&amp;$D500)</f>
        <v/>
      </c>
      <c r="W500">
        <f>IF($T500="","",IF($X500&gt;N($X499),$X500,""))</f>
        <v/>
      </c>
      <c r="X500">
        <f>IF($T500="",N($X499),IF(MATCH($T500,$T$6:$T$6005,0)=ROW()-5,N($X499)+1,N($X499)))</f>
        <v/>
      </c>
      <c r="Z500">
        <f>IF($V500="","",IF($AA500&gt;N($AA499),$AA500,""))</f>
        <v/>
      </c>
      <c r="AA500">
        <f>IF($V500="",N($AA499),IF(MATCH($V500,$V$6:$V$6005,0)=ROW()-5,N($AA499)+1,N($AA499)))</f>
        <v/>
      </c>
    </row>
    <row r="501" ht="21" customHeight="1" s="66">
      <c r="A501" s="56" t="n"/>
      <c r="B501" s="57" t="n"/>
      <c r="C501" s="57" t="n"/>
      <c r="D501" s="57" t="n"/>
      <c r="E501" s="56" t="n"/>
      <c r="F501" s="57" t="n"/>
      <c r="G501" s="57" t="n"/>
      <c r="H501" s="56" t="n"/>
      <c r="I501" s="56" t="n"/>
      <c r="J501" s="58" t="n"/>
      <c r="K501" s="58" t="n"/>
      <c r="L501" s="13">
        <f>IF(OR($A501="",AND($J501="",$K501="")),"",ROUND(N($J501)-N($K501),2))</f>
        <v/>
      </c>
      <c r="M501" s="13">
        <f>IF(OR($A501="",AND($J501="",$K501="")),"",MIN($J501,$K501))</f>
        <v/>
      </c>
      <c r="Q501">
        <f>IF($A501="","",$D501&amp;"("&amp;SUBSTITUTE($E501," ","")&amp;")")</f>
        <v/>
      </c>
      <c r="R501">
        <f>IF($A501="","",$B501&amp;" - "&amp;$C501)</f>
        <v/>
      </c>
      <c r="S501">
        <f>IF($A501="","",$R501&amp;"|"&amp;$Q501)</f>
        <v/>
      </c>
      <c r="T501">
        <f>IF($A501="","",$S501&amp;"|"&amp;$F501)</f>
        <v/>
      </c>
      <c r="U501">
        <f>IF($A501="","",$R501&amp;"("&amp;$E501&amp;")")</f>
        <v/>
      </c>
      <c r="V501">
        <f>IF($A501="","",$F501&amp;"|"&amp;$U501&amp;"|"&amp;$D501)</f>
        <v/>
      </c>
      <c r="W501">
        <f>IF($T501="","",IF($X501&gt;N($X500),$X501,""))</f>
        <v/>
      </c>
      <c r="X501">
        <f>IF($T501="",N($X500),IF(MATCH($T501,$T$6:$T$6005,0)=ROW()-5,N($X500)+1,N($X500)))</f>
        <v/>
      </c>
      <c r="Z501">
        <f>IF($V501="","",IF($AA501&gt;N($AA500),$AA501,""))</f>
        <v/>
      </c>
      <c r="AA501">
        <f>IF($V501="",N($AA500),IF(MATCH($V501,$V$6:$V$6005,0)=ROW()-5,N($AA500)+1,N($AA500)))</f>
        <v/>
      </c>
    </row>
    <row r="502" ht="21" customHeight="1" s="66">
      <c r="A502" s="56" t="n"/>
      <c r="B502" s="57" t="n"/>
      <c r="C502" s="57" t="n"/>
      <c r="D502" s="57" t="n"/>
      <c r="E502" s="56" t="n"/>
      <c r="F502" s="57" t="n"/>
      <c r="G502" s="57" t="n"/>
      <c r="H502" s="56" t="n"/>
      <c r="I502" s="56" t="n"/>
      <c r="J502" s="58" t="n"/>
      <c r="K502" s="58" t="n"/>
      <c r="L502" s="13">
        <f>IF(OR($A502="",AND($J502="",$K502="")),"",ROUND(N($J502)-N($K502),2))</f>
        <v/>
      </c>
      <c r="M502" s="13">
        <f>IF(OR($A502="",AND($J502="",$K502="")),"",MIN($J502,$K502))</f>
        <v/>
      </c>
      <c r="Q502">
        <f>IF($A502="","",$D502&amp;"("&amp;SUBSTITUTE($E502," ","")&amp;")")</f>
        <v/>
      </c>
      <c r="R502">
        <f>IF($A502="","",$B502&amp;" - "&amp;$C502)</f>
        <v/>
      </c>
      <c r="S502">
        <f>IF($A502="","",$R502&amp;"|"&amp;$Q502)</f>
        <v/>
      </c>
      <c r="T502">
        <f>IF($A502="","",$S502&amp;"|"&amp;$F502)</f>
        <v/>
      </c>
      <c r="U502">
        <f>IF($A502="","",$R502&amp;"("&amp;$E502&amp;")")</f>
        <v/>
      </c>
      <c r="V502">
        <f>IF($A502="","",$F502&amp;"|"&amp;$U502&amp;"|"&amp;$D502)</f>
        <v/>
      </c>
      <c r="W502">
        <f>IF($T502="","",IF($X502&gt;N($X501),$X502,""))</f>
        <v/>
      </c>
      <c r="X502">
        <f>IF($T502="",N($X501),IF(MATCH($T502,$T$6:$T$6005,0)=ROW()-5,N($X501)+1,N($X501)))</f>
        <v/>
      </c>
      <c r="Z502">
        <f>IF($V502="","",IF($AA502&gt;N($AA501),$AA502,""))</f>
        <v/>
      </c>
      <c r="AA502">
        <f>IF($V502="",N($AA501),IF(MATCH($V502,$V$6:$V$6005,0)=ROW()-5,N($AA501)+1,N($AA501)))</f>
        <v/>
      </c>
    </row>
    <row r="503" ht="21" customHeight="1" s="66">
      <c r="A503" s="56" t="n"/>
      <c r="B503" s="57" t="n"/>
      <c r="C503" s="57" t="n"/>
      <c r="D503" s="57" t="n"/>
      <c r="E503" s="56" t="n"/>
      <c r="F503" s="57" t="n"/>
      <c r="G503" s="57" t="n"/>
      <c r="H503" s="56" t="n"/>
      <c r="I503" s="56" t="n"/>
      <c r="J503" s="58" t="n"/>
      <c r="K503" s="58" t="n"/>
      <c r="L503" s="13">
        <f>IF(OR($A503="",AND($J503="",$K503="")),"",ROUND(N($J503)-N($K503),2))</f>
        <v/>
      </c>
      <c r="M503" s="13">
        <f>IF(OR($A503="",AND($J503="",$K503="")),"",MIN($J503,$K503))</f>
        <v/>
      </c>
      <c r="Q503">
        <f>IF($A503="","",$D503&amp;"("&amp;SUBSTITUTE($E503," ","")&amp;")")</f>
        <v/>
      </c>
      <c r="R503">
        <f>IF($A503="","",$B503&amp;" - "&amp;$C503)</f>
        <v/>
      </c>
      <c r="S503">
        <f>IF($A503="","",$R503&amp;"|"&amp;$Q503)</f>
        <v/>
      </c>
      <c r="T503">
        <f>IF($A503="","",$S503&amp;"|"&amp;$F503)</f>
        <v/>
      </c>
      <c r="U503">
        <f>IF($A503="","",$R503&amp;"("&amp;$E503&amp;")")</f>
        <v/>
      </c>
      <c r="V503">
        <f>IF($A503="","",$F503&amp;"|"&amp;$U503&amp;"|"&amp;$D503)</f>
        <v/>
      </c>
      <c r="W503">
        <f>IF($T503="","",IF($X503&gt;N($X502),$X503,""))</f>
        <v/>
      </c>
      <c r="X503">
        <f>IF($T503="",N($X502),IF(MATCH($T503,$T$6:$T$6005,0)=ROW()-5,N($X502)+1,N($X502)))</f>
        <v/>
      </c>
      <c r="Z503">
        <f>IF($V503="","",IF($AA503&gt;N($AA502),$AA503,""))</f>
        <v/>
      </c>
      <c r="AA503">
        <f>IF($V503="",N($AA502),IF(MATCH($V503,$V$6:$V$6005,0)=ROW()-5,N($AA502)+1,N($AA502)))</f>
        <v/>
      </c>
    </row>
    <row r="504" ht="21" customHeight="1" s="66">
      <c r="A504" s="56" t="n"/>
      <c r="B504" s="57" t="n"/>
      <c r="C504" s="57" t="n"/>
      <c r="D504" s="57" t="n"/>
      <c r="E504" s="56" t="n"/>
      <c r="F504" s="57" t="n"/>
      <c r="G504" s="57" t="n"/>
      <c r="H504" s="56" t="n"/>
      <c r="I504" s="56" t="n"/>
      <c r="J504" s="58" t="n"/>
      <c r="K504" s="58" t="n"/>
      <c r="L504" s="13">
        <f>IF(OR($A504="",AND($J504="",$K504="")),"",ROUND(N($J504)-N($K504),2))</f>
        <v/>
      </c>
      <c r="M504" s="13">
        <f>IF(OR($A504="",AND($J504="",$K504="")),"",MIN($J504,$K504))</f>
        <v/>
      </c>
      <c r="Q504">
        <f>IF($A504="","",$D504&amp;"("&amp;SUBSTITUTE($E504," ","")&amp;")")</f>
        <v/>
      </c>
      <c r="R504">
        <f>IF($A504="","",$B504&amp;" - "&amp;$C504)</f>
        <v/>
      </c>
      <c r="S504">
        <f>IF($A504="","",$R504&amp;"|"&amp;$Q504)</f>
        <v/>
      </c>
      <c r="T504">
        <f>IF($A504="","",$S504&amp;"|"&amp;$F504)</f>
        <v/>
      </c>
      <c r="U504">
        <f>IF($A504="","",$R504&amp;"("&amp;$E504&amp;")")</f>
        <v/>
      </c>
      <c r="V504">
        <f>IF($A504="","",$F504&amp;"|"&amp;$U504&amp;"|"&amp;$D504)</f>
        <v/>
      </c>
      <c r="W504">
        <f>IF($T504="","",IF($X504&gt;N($X503),$X504,""))</f>
        <v/>
      </c>
      <c r="X504">
        <f>IF($T504="",N($X503),IF(MATCH($T504,$T$6:$T$6005,0)=ROW()-5,N($X503)+1,N($X503)))</f>
        <v/>
      </c>
      <c r="Z504">
        <f>IF($V504="","",IF($AA504&gt;N($AA503),$AA504,""))</f>
        <v/>
      </c>
      <c r="AA504">
        <f>IF($V504="",N($AA503),IF(MATCH($V504,$V$6:$V$6005,0)=ROW()-5,N($AA503)+1,N($AA503)))</f>
        <v/>
      </c>
    </row>
    <row r="505" ht="21" customHeight="1" s="66">
      <c r="A505" s="56" t="n"/>
      <c r="B505" s="57" t="n"/>
      <c r="C505" s="57" t="n"/>
      <c r="D505" s="57" t="n"/>
      <c r="E505" s="56" t="n"/>
      <c r="F505" s="57" t="n"/>
      <c r="G505" s="57" t="n"/>
      <c r="H505" s="56" t="n"/>
      <c r="I505" s="56" t="n"/>
      <c r="J505" s="58" t="n"/>
      <c r="K505" s="58" t="n"/>
      <c r="L505" s="13">
        <f>IF(OR($A505="",AND($J505="",$K505="")),"",ROUND(N($J505)-N($K505),2))</f>
        <v/>
      </c>
      <c r="M505" s="13">
        <f>IF(OR($A505="",AND($J505="",$K505="")),"",MIN($J505,$K505))</f>
        <v/>
      </c>
      <c r="Q505">
        <f>IF($A505="","",$D505&amp;"("&amp;SUBSTITUTE($E505," ","")&amp;")")</f>
        <v/>
      </c>
      <c r="R505">
        <f>IF($A505="","",$B505&amp;" - "&amp;$C505)</f>
        <v/>
      </c>
      <c r="S505">
        <f>IF($A505="","",$R505&amp;"|"&amp;$Q505)</f>
        <v/>
      </c>
      <c r="T505">
        <f>IF($A505="","",$S505&amp;"|"&amp;$F505)</f>
        <v/>
      </c>
      <c r="U505">
        <f>IF($A505="","",$R505&amp;"("&amp;$E505&amp;")")</f>
        <v/>
      </c>
      <c r="V505">
        <f>IF($A505="","",$F505&amp;"|"&amp;$U505&amp;"|"&amp;$D505)</f>
        <v/>
      </c>
      <c r="W505">
        <f>IF($T505="","",IF($X505&gt;N($X504),$X505,""))</f>
        <v/>
      </c>
      <c r="X505">
        <f>IF($T505="",N($X504),IF(MATCH($T505,$T$6:$T$6005,0)=ROW()-5,N($X504)+1,N($X504)))</f>
        <v/>
      </c>
      <c r="Z505">
        <f>IF($V505="","",IF($AA505&gt;N($AA504),$AA505,""))</f>
        <v/>
      </c>
      <c r="AA505">
        <f>IF($V505="",N($AA504),IF(MATCH($V505,$V$6:$V$6005,0)=ROW()-5,N($AA504)+1,N($AA504)))</f>
        <v/>
      </c>
    </row>
    <row r="506" ht="21" customHeight="1" s="66">
      <c r="A506" s="56" t="n"/>
      <c r="B506" s="57" t="n"/>
      <c r="C506" s="57" t="n"/>
      <c r="D506" s="57" t="n"/>
      <c r="E506" s="56" t="n"/>
      <c r="F506" s="57" t="n"/>
      <c r="G506" s="57" t="n"/>
      <c r="H506" s="56" t="n"/>
      <c r="I506" s="56" t="n"/>
      <c r="J506" s="58" t="n"/>
      <c r="K506" s="58" t="n"/>
      <c r="L506" s="13">
        <f>IF(OR($A506="",AND($J506="",$K506="")),"",ROUND(N($J506)-N($K506),2))</f>
        <v/>
      </c>
      <c r="M506" s="13">
        <f>IF(OR($A506="",AND($J506="",$K506="")),"",MIN($J506,$K506))</f>
        <v/>
      </c>
      <c r="Q506">
        <f>IF($A506="","",$D506&amp;"("&amp;SUBSTITUTE($E506," ","")&amp;")")</f>
        <v/>
      </c>
      <c r="R506">
        <f>IF($A506="","",$B506&amp;" - "&amp;$C506)</f>
        <v/>
      </c>
      <c r="S506">
        <f>IF($A506="","",$R506&amp;"|"&amp;$Q506)</f>
        <v/>
      </c>
      <c r="T506">
        <f>IF($A506="","",$S506&amp;"|"&amp;$F506)</f>
        <v/>
      </c>
      <c r="U506">
        <f>IF($A506="","",$R506&amp;"("&amp;$E506&amp;")")</f>
        <v/>
      </c>
      <c r="V506">
        <f>IF($A506="","",$F506&amp;"|"&amp;$U506&amp;"|"&amp;$D506)</f>
        <v/>
      </c>
      <c r="W506">
        <f>IF($T506="","",IF($X506&gt;N($X505),$X506,""))</f>
        <v/>
      </c>
      <c r="X506">
        <f>IF($T506="",N($X505),IF(MATCH($T506,$T$6:$T$6005,0)=ROW()-5,N($X505)+1,N($X505)))</f>
        <v/>
      </c>
      <c r="Z506">
        <f>IF($V506="","",IF($AA506&gt;N($AA505),$AA506,""))</f>
        <v/>
      </c>
      <c r="AA506">
        <f>IF($V506="",N($AA505),IF(MATCH($V506,$V$6:$V$6005,0)=ROW()-5,N($AA505)+1,N($AA505)))</f>
        <v/>
      </c>
    </row>
    <row r="507" ht="21" customHeight="1" s="66">
      <c r="A507" s="56" t="n"/>
      <c r="B507" s="57" t="n"/>
      <c r="C507" s="57" t="n"/>
      <c r="D507" s="57" t="n"/>
      <c r="E507" s="56" t="n"/>
      <c r="F507" s="57" t="n"/>
      <c r="G507" s="57" t="n"/>
      <c r="H507" s="56" t="n"/>
      <c r="I507" s="56" t="n"/>
      <c r="J507" s="58" t="n"/>
      <c r="K507" s="58" t="n"/>
      <c r="L507" s="13">
        <f>IF(OR($A507="",AND($J507="",$K507="")),"",ROUND(N($J507)-N($K507),2))</f>
        <v/>
      </c>
      <c r="M507" s="13">
        <f>IF(OR($A507="",AND($J507="",$K507="")),"",MIN($J507,$K507))</f>
        <v/>
      </c>
      <c r="Q507">
        <f>IF($A507="","",$D507&amp;"("&amp;SUBSTITUTE($E507," ","")&amp;")")</f>
        <v/>
      </c>
      <c r="R507">
        <f>IF($A507="","",$B507&amp;" - "&amp;$C507)</f>
        <v/>
      </c>
      <c r="S507">
        <f>IF($A507="","",$R507&amp;"|"&amp;$Q507)</f>
        <v/>
      </c>
      <c r="T507">
        <f>IF($A507="","",$S507&amp;"|"&amp;$F507)</f>
        <v/>
      </c>
      <c r="U507">
        <f>IF($A507="","",$R507&amp;"("&amp;$E507&amp;")")</f>
        <v/>
      </c>
      <c r="V507">
        <f>IF($A507="","",$F507&amp;"|"&amp;$U507&amp;"|"&amp;$D507)</f>
        <v/>
      </c>
      <c r="W507">
        <f>IF($T507="","",IF($X507&gt;N($X506),$X507,""))</f>
        <v/>
      </c>
      <c r="X507">
        <f>IF($T507="",N($X506),IF(MATCH($T507,$T$6:$T$6005,0)=ROW()-5,N($X506)+1,N($X506)))</f>
        <v/>
      </c>
      <c r="Z507">
        <f>IF($V507="","",IF($AA507&gt;N($AA506),$AA507,""))</f>
        <v/>
      </c>
      <c r="AA507">
        <f>IF($V507="",N($AA506),IF(MATCH($V507,$V$6:$V$6005,0)=ROW()-5,N($AA506)+1,N($AA506)))</f>
        <v/>
      </c>
    </row>
    <row r="508" ht="21" customHeight="1" s="66">
      <c r="A508" s="56" t="n"/>
      <c r="B508" s="57" t="n"/>
      <c r="C508" s="57" t="n"/>
      <c r="D508" s="57" t="n"/>
      <c r="E508" s="56" t="n"/>
      <c r="F508" s="57" t="n"/>
      <c r="G508" s="57" t="n"/>
      <c r="H508" s="56" t="n"/>
      <c r="I508" s="56" t="n"/>
      <c r="J508" s="58" t="n"/>
      <c r="K508" s="58" t="n"/>
      <c r="L508" s="13">
        <f>IF(OR($A508="",AND($J508="",$K508="")),"",ROUND(N($J508)-N($K508),2))</f>
        <v/>
      </c>
      <c r="M508" s="13">
        <f>IF(OR($A508="",AND($J508="",$K508="")),"",MIN($J508,$K508))</f>
        <v/>
      </c>
      <c r="Q508">
        <f>IF($A508="","",$D508&amp;"("&amp;SUBSTITUTE($E508," ","")&amp;")")</f>
        <v/>
      </c>
      <c r="R508">
        <f>IF($A508="","",$B508&amp;" - "&amp;$C508)</f>
        <v/>
      </c>
      <c r="S508">
        <f>IF($A508="","",$R508&amp;"|"&amp;$Q508)</f>
        <v/>
      </c>
      <c r="T508">
        <f>IF($A508="","",$S508&amp;"|"&amp;$F508)</f>
        <v/>
      </c>
      <c r="U508">
        <f>IF($A508="","",$R508&amp;"("&amp;$E508&amp;")")</f>
        <v/>
      </c>
      <c r="V508">
        <f>IF($A508="","",$F508&amp;"|"&amp;$U508&amp;"|"&amp;$D508)</f>
        <v/>
      </c>
      <c r="W508">
        <f>IF($T508="","",IF($X508&gt;N($X507),$X508,""))</f>
        <v/>
      </c>
      <c r="X508">
        <f>IF($T508="",N($X507),IF(MATCH($T508,$T$6:$T$6005,0)=ROW()-5,N($X507)+1,N($X507)))</f>
        <v/>
      </c>
      <c r="Z508">
        <f>IF($V508="","",IF($AA508&gt;N($AA507),$AA508,""))</f>
        <v/>
      </c>
      <c r="AA508">
        <f>IF($V508="",N($AA507),IF(MATCH($V508,$V$6:$V$6005,0)=ROW()-5,N($AA507)+1,N($AA507)))</f>
        <v/>
      </c>
    </row>
    <row r="509" ht="21" customHeight="1" s="66">
      <c r="A509" s="56" t="n"/>
      <c r="B509" s="57" t="n"/>
      <c r="C509" s="57" t="n"/>
      <c r="D509" s="57" t="n"/>
      <c r="E509" s="56" t="n"/>
      <c r="F509" s="57" t="n"/>
      <c r="G509" s="57" t="n"/>
      <c r="H509" s="56" t="n"/>
      <c r="I509" s="56" t="n"/>
      <c r="J509" s="58" t="n"/>
      <c r="K509" s="58" t="n"/>
      <c r="L509" s="13">
        <f>IF(OR($A509="",AND($J509="",$K509="")),"",ROUND(N($J509)-N($K509),2))</f>
        <v/>
      </c>
      <c r="M509" s="13">
        <f>IF(OR($A509="",AND($J509="",$K509="")),"",MIN($J509,$K509))</f>
        <v/>
      </c>
      <c r="Q509">
        <f>IF($A509="","",$D509&amp;"("&amp;SUBSTITUTE($E509," ","")&amp;")")</f>
        <v/>
      </c>
      <c r="R509">
        <f>IF($A509="","",$B509&amp;" - "&amp;$C509)</f>
        <v/>
      </c>
      <c r="S509">
        <f>IF($A509="","",$R509&amp;"|"&amp;$Q509)</f>
        <v/>
      </c>
      <c r="T509">
        <f>IF($A509="","",$S509&amp;"|"&amp;$F509)</f>
        <v/>
      </c>
      <c r="U509">
        <f>IF($A509="","",$R509&amp;"("&amp;$E509&amp;")")</f>
        <v/>
      </c>
      <c r="V509">
        <f>IF($A509="","",$F509&amp;"|"&amp;$U509&amp;"|"&amp;$D509)</f>
        <v/>
      </c>
      <c r="W509">
        <f>IF($T509="","",IF($X509&gt;N($X508),$X509,""))</f>
        <v/>
      </c>
      <c r="X509">
        <f>IF($T509="",N($X508),IF(MATCH($T509,$T$6:$T$6005,0)=ROW()-5,N($X508)+1,N($X508)))</f>
        <v/>
      </c>
      <c r="Z509">
        <f>IF($V509="","",IF($AA509&gt;N($AA508),$AA509,""))</f>
        <v/>
      </c>
      <c r="AA509">
        <f>IF($V509="",N($AA508),IF(MATCH($V509,$V$6:$V$6005,0)=ROW()-5,N($AA508)+1,N($AA508)))</f>
        <v/>
      </c>
    </row>
    <row r="510" ht="21" customHeight="1" s="66">
      <c r="A510" s="56" t="n"/>
      <c r="B510" s="57" t="n"/>
      <c r="C510" s="57" t="n"/>
      <c r="D510" s="57" t="n"/>
      <c r="E510" s="56" t="n"/>
      <c r="F510" s="57" t="n"/>
      <c r="G510" s="57" t="n"/>
      <c r="H510" s="56" t="n"/>
      <c r="I510" s="56" t="n"/>
      <c r="J510" s="58" t="n"/>
      <c r="K510" s="58" t="n"/>
      <c r="L510" s="13">
        <f>IF(OR($A510="",AND($J510="",$K510="")),"",ROUND(N($J510)-N($K510),2))</f>
        <v/>
      </c>
      <c r="M510" s="13">
        <f>IF(OR($A510="",AND($J510="",$K510="")),"",MIN($J510,$K510))</f>
        <v/>
      </c>
      <c r="Q510">
        <f>IF($A510="","",$D510&amp;"("&amp;SUBSTITUTE($E510," ","")&amp;")")</f>
        <v/>
      </c>
      <c r="R510">
        <f>IF($A510="","",$B510&amp;" - "&amp;$C510)</f>
        <v/>
      </c>
      <c r="S510">
        <f>IF($A510="","",$R510&amp;"|"&amp;$Q510)</f>
        <v/>
      </c>
      <c r="T510">
        <f>IF($A510="","",$S510&amp;"|"&amp;$F510)</f>
        <v/>
      </c>
      <c r="U510">
        <f>IF($A510="","",$R510&amp;"("&amp;$E510&amp;")")</f>
        <v/>
      </c>
      <c r="V510">
        <f>IF($A510="","",$F510&amp;"|"&amp;$U510&amp;"|"&amp;$D510)</f>
        <v/>
      </c>
      <c r="W510">
        <f>IF($T510="","",IF($X510&gt;N($X509),$X510,""))</f>
        <v/>
      </c>
      <c r="X510">
        <f>IF($T510="",N($X509),IF(MATCH($T510,$T$6:$T$6005,0)=ROW()-5,N($X509)+1,N($X509)))</f>
        <v/>
      </c>
      <c r="Z510">
        <f>IF($V510="","",IF($AA510&gt;N($AA509),$AA510,""))</f>
        <v/>
      </c>
      <c r="AA510">
        <f>IF($V510="",N($AA509),IF(MATCH($V510,$V$6:$V$6005,0)=ROW()-5,N($AA509)+1,N($AA509)))</f>
        <v/>
      </c>
    </row>
    <row r="511" ht="21" customHeight="1" s="66">
      <c r="A511" s="56" t="n"/>
      <c r="B511" s="57" t="n"/>
      <c r="C511" s="57" t="n"/>
      <c r="D511" s="57" t="n"/>
      <c r="E511" s="56" t="n"/>
      <c r="F511" s="57" t="n"/>
      <c r="G511" s="57" t="n"/>
      <c r="H511" s="56" t="n"/>
      <c r="I511" s="56" t="n"/>
      <c r="J511" s="58" t="n"/>
      <c r="K511" s="58" t="n"/>
      <c r="L511" s="13">
        <f>IF(OR($A511="",AND($J511="",$K511="")),"",ROUND(N($J511)-N($K511),2))</f>
        <v/>
      </c>
      <c r="M511" s="13">
        <f>IF(OR($A511="",AND($J511="",$K511="")),"",MIN($J511,$K511))</f>
        <v/>
      </c>
      <c r="Q511">
        <f>IF($A511="","",$D511&amp;"("&amp;SUBSTITUTE($E511," ","")&amp;")")</f>
        <v/>
      </c>
      <c r="R511">
        <f>IF($A511="","",$B511&amp;" - "&amp;$C511)</f>
        <v/>
      </c>
      <c r="S511">
        <f>IF($A511="","",$R511&amp;"|"&amp;$Q511)</f>
        <v/>
      </c>
      <c r="T511">
        <f>IF($A511="","",$S511&amp;"|"&amp;$F511)</f>
        <v/>
      </c>
      <c r="U511">
        <f>IF($A511="","",$R511&amp;"("&amp;$E511&amp;")")</f>
        <v/>
      </c>
      <c r="V511">
        <f>IF($A511="","",$F511&amp;"|"&amp;$U511&amp;"|"&amp;$D511)</f>
        <v/>
      </c>
      <c r="W511">
        <f>IF($T511="","",IF($X511&gt;N($X510),$X511,""))</f>
        <v/>
      </c>
      <c r="X511">
        <f>IF($T511="",N($X510),IF(MATCH($T511,$T$6:$T$6005,0)=ROW()-5,N($X510)+1,N($X510)))</f>
        <v/>
      </c>
      <c r="Z511">
        <f>IF($V511="","",IF($AA511&gt;N($AA510),$AA511,""))</f>
        <v/>
      </c>
      <c r="AA511">
        <f>IF($V511="",N($AA510),IF(MATCH($V511,$V$6:$V$6005,0)=ROW()-5,N($AA510)+1,N($AA510)))</f>
        <v/>
      </c>
    </row>
    <row r="512" ht="21" customHeight="1" s="66">
      <c r="A512" s="56" t="n"/>
      <c r="B512" s="57" t="n"/>
      <c r="C512" s="57" t="n"/>
      <c r="D512" s="57" t="n"/>
      <c r="E512" s="56" t="n"/>
      <c r="F512" s="57" t="n"/>
      <c r="G512" s="57" t="n"/>
      <c r="H512" s="56" t="n"/>
      <c r="I512" s="56" t="n"/>
      <c r="J512" s="58" t="n"/>
      <c r="K512" s="58" t="n"/>
      <c r="L512" s="13">
        <f>IF(OR($A512="",AND($J512="",$K512="")),"",ROUND(N($J512)-N($K512),2))</f>
        <v/>
      </c>
      <c r="M512" s="13">
        <f>IF(OR($A512="",AND($J512="",$K512="")),"",MIN($J512,$K512))</f>
        <v/>
      </c>
      <c r="Q512">
        <f>IF($A512="","",$D512&amp;"("&amp;SUBSTITUTE($E512," ","")&amp;")")</f>
        <v/>
      </c>
      <c r="R512">
        <f>IF($A512="","",$B512&amp;" - "&amp;$C512)</f>
        <v/>
      </c>
      <c r="S512">
        <f>IF($A512="","",$R512&amp;"|"&amp;$Q512)</f>
        <v/>
      </c>
      <c r="T512">
        <f>IF($A512="","",$S512&amp;"|"&amp;$F512)</f>
        <v/>
      </c>
      <c r="U512">
        <f>IF($A512="","",$R512&amp;"("&amp;$E512&amp;")")</f>
        <v/>
      </c>
      <c r="V512">
        <f>IF($A512="","",$F512&amp;"|"&amp;$U512&amp;"|"&amp;$D512)</f>
        <v/>
      </c>
      <c r="W512">
        <f>IF($T512="","",IF($X512&gt;N($X511),$X512,""))</f>
        <v/>
      </c>
      <c r="X512">
        <f>IF($T512="",N($X511),IF(MATCH($T512,$T$6:$T$6005,0)=ROW()-5,N($X511)+1,N($X511)))</f>
        <v/>
      </c>
      <c r="Z512">
        <f>IF($V512="","",IF($AA512&gt;N($AA511),$AA512,""))</f>
        <v/>
      </c>
      <c r="AA512">
        <f>IF($V512="",N($AA511),IF(MATCH($V512,$V$6:$V$6005,0)=ROW()-5,N($AA511)+1,N($AA511)))</f>
        <v/>
      </c>
    </row>
    <row r="513" ht="21" customHeight="1" s="66">
      <c r="A513" s="56" t="n"/>
      <c r="B513" s="57" t="n"/>
      <c r="C513" s="57" t="n"/>
      <c r="D513" s="57" t="n"/>
      <c r="E513" s="56" t="n"/>
      <c r="F513" s="57" t="n"/>
      <c r="G513" s="57" t="n"/>
      <c r="H513" s="56" t="n"/>
      <c r="I513" s="56" t="n"/>
      <c r="J513" s="58" t="n"/>
      <c r="K513" s="58" t="n"/>
      <c r="L513" s="13">
        <f>IF(OR($A513="",AND($J513="",$K513="")),"",ROUND(N($J513)-N($K513),2))</f>
        <v/>
      </c>
      <c r="M513" s="13">
        <f>IF(OR($A513="",AND($J513="",$K513="")),"",MIN($J513,$K513))</f>
        <v/>
      </c>
      <c r="Q513">
        <f>IF($A513="","",$D513&amp;"("&amp;SUBSTITUTE($E513," ","")&amp;")")</f>
        <v/>
      </c>
      <c r="R513">
        <f>IF($A513="","",$B513&amp;" - "&amp;$C513)</f>
        <v/>
      </c>
      <c r="S513">
        <f>IF($A513="","",$R513&amp;"|"&amp;$Q513)</f>
        <v/>
      </c>
      <c r="T513">
        <f>IF($A513="","",$S513&amp;"|"&amp;$F513)</f>
        <v/>
      </c>
      <c r="U513">
        <f>IF($A513="","",$R513&amp;"("&amp;$E513&amp;")")</f>
        <v/>
      </c>
      <c r="V513">
        <f>IF($A513="","",$F513&amp;"|"&amp;$U513&amp;"|"&amp;$D513)</f>
        <v/>
      </c>
      <c r="W513">
        <f>IF($T513="","",IF($X513&gt;N($X512),$X513,""))</f>
        <v/>
      </c>
      <c r="X513">
        <f>IF($T513="",N($X512),IF(MATCH($T513,$T$6:$T$6005,0)=ROW()-5,N($X512)+1,N($X512)))</f>
        <v/>
      </c>
      <c r="Z513">
        <f>IF($V513="","",IF($AA513&gt;N($AA512),$AA513,""))</f>
        <v/>
      </c>
      <c r="AA513">
        <f>IF($V513="",N($AA512),IF(MATCH($V513,$V$6:$V$6005,0)=ROW()-5,N($AA512)+1,N($AA512)))</f>
        <v/>
      </c>
    </row>
    <row r="514" ht="21" customHeight="1" s="66">
      <c r="A514" s="56" t="n"/>
      <c r="B514" s="57" t="n"/>
      <c r="C514" s="57" t="n"/>
      <c r="D514" s="57" t="n"/>
      <c r="E514" s="56" t="n"/>
      <c r="F514" s="57" t="n"/>
      <c r="G514" s="57" t="n"/>
      <c r="H514" s="56" t="n"/>
      <c r="I514" s="56" t="n"/>
      <c r="J514" s="58" t="n"/>
      <c r="K514" s="58" t="n"/>
      <c r="L514" s="13">
        <f>IF(OR($A514="",AND($J514="",$K514="")),"",ROUND(N($J514)-N($K514),2))</f>
        <v/>
      </c>
      <c r="M514" s="13">
        <f>IF(OR($A514="",AND($J514="",$K514="")),"",MIN($J514,$K514))</f>
        <v/>
      </c>
      <c r="Q514">
        <f>IF($A514="","",$D514&amp;"("&amp;SUBSTITUTE($E514," ","")&amp;")")</f>
        <v/>
      </c>
      <c r="R514">
        <f>IF($A514="","",$B514&amp;" - "&amp;$C514)</f>
        <v/>
      </c>
      <c r="S514">
        <f>IF($A514="","",$R514&amp;"|"&amp;$Q514)</f>
        <v/>
      </c>
      <c r="T514">
        <f>IF($A514="","",$S514&amp;"|"&amp;$F514)</f>
        <v/>
      </c>
      <c r="U514">
        <f>IF($A514="","",$R514&amp;"("&amp;$E514&amp;")")</f>
        <v/>
      </c>
      <c r="V514">
        <f>IF($A514="","",$F514&amp;"|"&amp;$U514&amp;"|"&amp;$D514)</f>
        <v/>
      </c>
      <c r="W514">
        <f>IF($T514="","",IF($X514&gt;N($X513),$X514,""))</f>
        <v/>
      </c>
      <c r="X514">
        <f>IF($T514="",N($X513),IF(MATCH($T514,$T$6:$T$6005,0)=ROW()-5,N($X513)+1,N($X513)))</f>
        <v/>
      </c>
      <c r="Z514">
        <f>IF($V514="","",IF($AA514&gt;N($AA513),$AA514,""))</f>
        <v/>
      </c>
      <c r="AA514">
        <f>IF($V514="",N($AA513),IF(MATCH($V514,$V$6:$V$6005,0)=ROW()-5,N($AA513)+1,N($AA513)))</f>
        <v/>
      </c>
    </row>
    <row r="515" ht="21" customHeight="1" s="66">
      <c r="A515" s="56" t="n"/>
      <c r="B515" s="57" t="n"/>
      <c r="C515" s="57" t="n"/>
      <c r="D515" s="57" t="n"/>
      <c r="E515" s="56" t="n"/>
      <c r="F515" s="57" t="n"/>
      <c r="G515" s="57" t="n"/>
      <c r="H515" s="56" t="n"/>
      <c r="I515" s="56" t="n"/>
      <c r="J515" s="58" t="n"/>
      <c r="K515" s="58" t="n"/>
      <c r="L515" s="13">
        <f>IF(OR($A515="",AND($J515="",$K515="")),"",ROUND(N($J515)-N($K515),2))</f>
        <v/>
      </c>
      <c r="M515" s="13">
        <f>IF(OR($A515="",AND($J515="",$K515="")),"",MIN($J515,$K515))</f>
        <v/>
      </c>
      <c r="Q515">
        <f>IF($A515="","",$D515&amp;"("&amp;SUBSTITUTE($E515," ","")&amp;")")</f>
        <v/>
      </c>
      <c r="R515">
        <f>IF($A515="","",$B515&amp;" - "&amp;$C515)</f>
        <v/>
      </c>
      <c r="S515">
        <f>IF($A515="","",$R515&amp;"|"&amp;$Q515)</f>
        <v/>
      </c>
      <c r="T515">
        <f>IF($A515="","",$S515&amp;"|"&amp;$F515)</f>
        <v/>
      </c>
      <c r="U515">
        <f>IF($A515="","",$R515&amp;"("&amp;$E515&amp;")")</f>
        <v/>
      </c>
      <c r="V515">
        <f>IF($A515="","",$F515&amp;"|"&amp;$U515&amp;"|"&amp;$D515)</f>
        <v/>
      </c>
      <c r="W515">
        <f>IF($T515="","",IF($X515&gt;N($X514),$X515,""))</f>
        <v/>
      </c>
      <c r="X515">
        <f>IF($T515="",N($X514),IF(MATCH($T515,$T$6:$T$6005,0)=ROW()-5,N($X514)+1,N($X514)))</f>
        <v/>
      </c>
      <c r="Z515">
        <f>IF($V515="","",IF($AA515&gt;N($AA514),$AA515,""))</f>
        <v/>
      </c>
      <c r="AA515">
        <f>IF($V515="",N($AA514),IF(MATCH($V515,$V$6:$V$6005,0)=ROW()-5,N($AA514)+1,N($AA514)))</f>
        <v/>
      </c>
    </row>
    <row r="516" ht="21" customHeight="1" s="66">
      <c r="A516" s="56" t="n"/>
      <c r="B516" s="57" t="n"/>
      <c r="C516" s="57" t="n"/>
      <c r="D516" s="57" t="n"/>
      <c r="E516" s="56" t="n"/>
      <c r="F516" s="57" t="n"/>
      <c r="G516" s="57" t="n"/>
      <c r="H516" s="56" t="n"/>
      <c r="I516" s="56" t="n"/>
      <c r="J516" s="58" t="n"/>
      <c r="K516" s="58" t="n"/>
      <c r="L516" s="13">
        <f>IF(OR($A516="",AND($J516="",$K516="")),"",ROUND(N($J516)-N($K516),2))</f>
        <v/>
      </c>
      <c r="M516" s="13">
        <f>IF(OR($A516="",AND($J516="",$K516="")),"",MIN($J516,$K516))</f>
        <v/>
      </c>
      <c r="Q516">
        <f>IF($A516="","",$D516&amp;"("&amp;SUBSTITUTE($E516," ","")&amp;")")</f>
        <v/>
      </c>
      <c r="R516">
        <f>IF($A516="","",$B516&amp;" - "&amp;$C516)</f>
        <v/>
      </c>
      <c r="S516">
        <f>IF($A516="","",$R516&amp;"|"&amp;$Q516)</f>
        <v/>
      </c>
      <c r="T516">
        <f>IF($A516="","",$S516&amp;"|"&amp;$F516)</f>
        <v/>
      </c>
      <c r="U516">
        <f>IF($A516="","",$R516&amp;"("&amp;$E516&amp;")")</f>
        <v/>
      </c>
      <c r="V516">
        <f>IF($A516="","",$F516&amp;"|"&amp;$U516&amp;"|"&amp;$D516)</f>
        <v/>
      </c>
      <c r="W516">
        <f>IF($T516="","",IF($X516&gt;N($X515),$X516,""))</f>
        <v/>
      </c>
      <c r="X516">
        <f>IF($T516="",N($X515),IF(MATCH($T516,$T$6:$T$6005,0)=ROW()-5,N($X515)+1,N($X515)))</f>
        <v/>
      </c>
      <c r="Z516">
        <f>IF($V516="","",IF($AA516&gt;N($AA515),$AA516,""))</f>
        <v/>
      </c>
      <c r="AA516">
        <f>IF($V516="",N($AA515),IF(MATCH($V516,$V$6:$V$6005,0)=ROW()-5,N($AA515)+1,N($AA515)))</f>
        <v/>
      </c>
    </row>
    <row r="517" ht="21" customHeight="1" s="66">
      <c r="A517" s="56" t="n"/>
      <c r="B517" s="57" t="n"/>
      <c r="C517" s="57" t="n"/>
      <c r="D517" s="57" t="n"/>
      <c r="E517" s="56" t="n"/>
      <c r="F517" s="57" t="n"/>
      <c r="G517" s="57" t="n"/>
      <c r="H517" s="56" t="n"/>
      <c r="I517" s="56" t="n"/>
      <c r="J517" s="58" t="n"/>
      <c r="K517" s="58" t="n"/>
      <c r="L517" s="13">
        <f>IF(OR($A517="",AND($J517="",$K517="")),"",ROUND(N($J517)-N($K517),2))</f>
        <v/>
      </c>
      <c r="M517" s="13">
        <f>IF(OR($A517="",AND($J517="",$K517="")),"",MIN($J517,$K517))</f>
        <v/>
      </c>
      <c r="Q517">
        <f>IF($A517="","",$D517&amp;"("&amp;SUBSTITUTE($E517," ","")&amp;")")</f>
        <v/>
      </c>
      <c r="R517">
        <f>IF($A517="","",$B517&amp;" - "&amp;$C517)</f>
        <v/>
      </c>
      <c r="S517">
        <f>IF($A517="","",$R517&amp;"|"&amp;$Q517)</f>
        <v/>
      </c>
      <c r="T517">
        <f>IF($A517="","",$S517&amp;"|"&amp;$F517)</f>
        <v/>
      </c>
      <c r="U517">
        <f>IF($A517="","",$R517&amp;"("&amp;$E517&amp;")")</f>
        <v/>
      </c>
      <c r="V517">
        <f>IF($A517="","",$F517&amp;"|"&amp;$U517&amp;"|"&amp;$D517)</f>
        <v/>
      </c>
      <c r="W517">
        <f>IF($T517="","",IF($X517&gt;N($X516),$X517,""))</f>
        <v/>
      </c>
      <c r="X517">
        <f>IF($T517="",N($X516),IF(MATCH($T517,$T$6:$T$6005,0)=ROW()-5,N($X516)+1,N($X516)))</f>
        <v/>
      </c>
      <c r="Z517">
        <f>IF($V517="","",IF($AA517&gt;N($AA516),$AA517,""))</f>
        <v/>
      </c>
      <c r="AA517">
        <f>IF($V517="",N($AA516),IF(MATCH($V517,$V$6:$V$6005,0)=ROW()-5,N($AA516)+1,N($AA516)))</f>
        <v/>
      </c>
    </row>
    <row r="518" ht="21" customHeight="1" s="66">
      <c r="A518" s="56" t="n"/>
      <c r="B518" s="57" t="n"/>
      <c r="C518" s="57" t="n"/>
      <c r="D518" s="57" t="n"/>
      <c r="E518" s="56" t="n"/>
      <c r="F518" s="57" t="n"/>
      <c r="G518" s="57" t="n"/>
      <c r="H518" s="56" t="n"/>
      <c r="I518" s="56" t="n"/>
      <c r="J518" s="58" t="n"/>
      <c r="K518" s="58" t="n"/>
      <c r="L518" s="13">
        <f>IF(OR($A518="",AND($J518="",$K518="")),"",ROUND(N($J518)-N($K518),2))</f>
        <v/>
      </c>
      <c r="M518" s="13">
        <f>IF(OR($A518="",AND($J518="",$K518="")),"",MIN($J518,$K518))</f>
        <v/>
      </c>
      <c r="Q518">
        <f>IF($A518="","",$D518&amp;"("&amp;SUBSTITUTE($E518," ","")&amp;")")</f>
        <v/>
      </c>
      <c r="R518">
        <f>IF($A518="","",$B518&amp;" - "&amp;$C518)</f>
        <v/>
      </c>
      <c r="S518">
        <f>IF($A518="","",$R518&amp;"|"&amp;$Q518)</f>
        <v/>
      </c>
      <c r="T518">
        <f>IF($A518="","",$S518&amp;"|"&amp;$F518)</f>
        <v/>
      </c>
      <c r="U518">
        <f>IF($A518="","",$R518&amp;"("&amp;$E518&amp;")")</f>
        <v/>
      </c>
      <c r="V518">
        <f>IF($A518="","",$F518&amp;"|"&amp;$U518&amp;"|"&amp;$D518)</f>
        <v/>
      </c>
      <c r="W518">
        <f>IF($T518="","",IF($X518&gt;N($X517),$X518,""))</f>
        <v/>
      </c>
      <c r="X518">
        <f>IF($T518="",N($X517),IF(MATCH($T518,$T$6:$T$6005,0)=ROW()-5,N($X517)+1,N($X517)))</f>
        <v/>
      </c>
      <c r="Z518">
        <f>IF($V518="","",IF($AA518&gt;N($AA517),$AA518,""))</f>
        <v/>
      </c>
      <c r="AA518">
        <f>IF($V518="",N($AA517),IF(MATCH($V518,$V$6:$V$6005,0)=ROW()-5,N($AA517)+1,N($AA517)))</f>
        <v/>
      </c>
    </row>
    <row r="519" ht="21" customHeight="1" s="66">
      <c r="A519" s="56" t="n"/>
      <c r="B519" s="57" t="n"/>
      <c r="C519" s="57" t="n"/>
      <c r="D519" s="57" t="n"/>
      <c r="E519" s="56" t="n"/>
      <c r="F519" s="57" t="n"/>
      <c r="G519" s="57" t="n"/>
      <c r="H519" s="56" t="n"/>
      <c r="I519" s="56" t="n"/>
      <c r="J519" s="58" t="n"/>
      <c r="K519" s="58" t="n"/>
      <c r="L519" s="13">
        <f>IF(OR($A519="",AND($J519="",$K519="")),"",ROUND(N($J519)-N($K519),2))</f>
        <v/>
      </c>
      <c r="M519" s="13">
        <f>IF(OR($A519="",AND($J519="",$K519="")),"",MIN($J519,$K519))</f>
        <v/>
      </c>
      <c r="Q519">
        <f>IF($A519="","",$D519&amp;"("&amp;SUBSTITUTE($E519," ","")&amp;")")</f>
        <v/>
      </c>
      <c r="R519">
        <f>IF($A519="","",$B519&amp;" - "&amp;$C519)</f>
        <v/>
      </c>
      <c r="S519">
        <f>IF($A519="","",$R519&amp;"|"&amp;$Q519)</f>
        <v/>
      </c>
      <c r="T519">
        <f>IF($A519="","",$S519&amp;"|"&amp;$F519)</f>
        <v/>
      </c>
      <c r="U519">
        <f>IF($A519="","",$R519&amp;"("&amp;$E519&amp;")")</f>
        <v/>
      </c>
      <c r="V519">
        <f>IF($A519="","",$F519&amp;"|"&amp;$U519&amp;"|"&amp;$D519)</f>
        <v/>
      </c>
      <c r="W519">
        <f>IF($T519="","",IF($X519&gt;N($X518),$X519,""))</f>
        <v/>
      </c>
      <c r="X519">
        <f>IF($T519="",N($X518),IF(MATCH($T519,$T$6:$T$6005,0)=ROW()-5,N($X518)+1,N($X518)))</f>
        <v/>
      </c>
      <c r="Z519">
        <f>IF($V519="","",IF($AA519&gt;N($AA518),$AA519,""))</f>
        <v/>
      </c>
      <c r="AA519">
        <f>IF($V519="",N($AA518),IF(MATCH($V519,$V$6:$V$6005,0)=ROW()-5,N($AA518)+1,N($AA518)))</f>
        <v/>
      </c>
    </row>
    <row r="520" ht="21" customHeight="1" s="66">
      <c r="A520" s="56" t="n"/>
      <c r="B520" s="57" t="n"/>
      <c r="C520" s="57" t="n"/>
      <c r="D520" s="57" t="n"/>
      <c r="E520" s="56" t="n"/>
      <c r="F520" s="57" t="n"/>
      <c r="G520" s="57" t="n"/>
      <c r="H520" s="56" t="n"/>
      <c r="I520" s="56" t="n"/>
      <c r="J520" s="58" t="n"/>
      <c r="K520" s="58" t="n"/>
      <c r="L520" s="13">
        <f>IF(OR($A520="",AND($J520="",$K520="")),"",ROUND(N($J520)-N($K520),2))</f>
        <v/>
      </c>
      <c r="M520" s="13">
        <f>IF(OR($A520="",AND($J520="",$K520="")),"",MIN($J520,$K520))</f>
        <v/>
      </c>
      <c r="Q520">
        <f>IF($A520="","",$D520&amp;"("&amp;SUBSTITUTE($E520," ","")&amp;")")</f>
        <v/>
      </c>
      <c r="R520">
        <f>IF($A520="","",$B520&amp;" - "&amp;$C520)</f>
        <v/>
      </c>
      <c r="S520">
        <f>IF($A520="","",$R520&amp;"|"&amp;$Q520)</f>
        <v/>
      </c>
      <c r="T520">
        <f>IF($A520="","",$S520&amp;"|"&amp;$F520)</f>
        <v/>
      </c>
      <c r="U520">
        <f>IF($A520="","",$R520&amp;"("&amp;$E520&amp;")")</f>
        <v/>
      </c>
      <c r="V520">
        <f>IF($A520="","",$F520&amp;"|"&amp;$U520&amp;"|"&amp;$D520)</f>
        <v/>
      </c>
      <c r="W520">
        <f>IF($T520="","",IF($X520&gt;N($X519),$X520,""))</f>
        <v/>
      </c>
      <c r="X520">
        <f>IF($T520="",N($X519),IF(MATCH($T520,$T$6:$T$6005,0)=ROW()-5,N($X519)+1,N($X519)))</f>
        <v/>
      </c>
      <c r="Z520">
        <f>IF($V520="","",IF($AA520&gt;N($AA519),$AA520,""))</f>
        <v/>
      </c>
      <c r="AA520">
        <f>IF($V520="",N($AA519),IF(MATCH($V520,$V$6:$V$6005,0)=ROW()-5,N($AA519)+1,N($AA519)))</f>
        <v/>
      </c>
    </row>
    <row r="521" ht="21" customHeight="1" s="66">
      <c r="A521" s="56" t="n"/>
      <c r="B521" s="57" t="n"/>
      <c r="C521" s="57" t="n"/>
      <c r="D521" s="57" t="n"/>
      <c r="E521" s="56" t="n"/>
      <c r="F521" s="57" t="n"/>
      <c r="G521" s="57" t="n"/>
      <c r="H521" s="56" t="n"/>
      <c r="I521" s="56" t="n"/>
      <c r="J521" s="58" t="n"/>
      <c r="K521" s="58" t="n"/>
      <c r="L521" s="13">
        <f>IF(OR($A521="",AND($J521="",$K521="")),"",ROUND(N($J521)-N($K521),2))</f>
        <v/>
      </c>
      <c r="M521" s="13">
        <f>IF(OR($A521="",AND($J521="",$K521="")),"",MIN($J521,$K521))</f>
        <v/>
      </c>
      <c r="Q521">
        <f>IF($A521="","",$D521&amp;"("&amp;SUBSTITUTE($E521," ","")&amp;")")</f>
        <v/>
      </c>
      <c r="R521">
        <f>IF($A521="","",$B521&amp;" - "&amp;$C521)</f>
        <v/>
      </c>
      <c r="S521">
        <f>IF($A521="","",$R521&amp;"|"&amp;$Q521)</f>
        <v/>
      </c>
      <c r="T521">
        <f>IF($A521="","",$S521&amp;"|"&amp;$F521)</f>
        <v/>
      </c>
      <c r="U521">
        <f>IF($A521="","",$R521&amp;"("&amp;$E521&amp;")")</f>
        <v/>
      </c>
      <c r="V521">
        <f>IF($A521="","",$F521&amp;"|"&amp;$U521&amp;"|"&amp;$D521)</f>
        <v/>
      </c>
      <c r="W521">
        <f>IF($T521="","",IF($X521&gt;N($X520),$X521,""))</f>
        <v/>
      </c>
      <c r="X521">
        <f>IF($T521="",N($X520),IF(MATCH($T521,$T$6:$T$6005,0)=ROW()-5,N($X520)+1,N($X520)))</f>
        <v/>
      </c>
      <c r="Z521">
        <f>IF($V521="","",IF($AA521&gt;N($AA520),$AA521,""))</f>
        <v/>
      </c>
      <c r="AA521">
        <f>IF($V521="",N($AA520),IF(MATCH($V521,$V$6:$V$6005,0)=ROW()-5,N($AA520)+1,N($AA520)))</f>
        <v/>
      </c>
    </row>
    <row r="522" ht="21" customHeight="1" s="66">
      <c r="A522" s="56" t="n"/>
      <c r="B522" s="57" t="n"/>
      <c r="C522" s="57" t="n"/>
      <c r="D522" s="57" t="n"/>
      <c r="E522" s="56" t="n"/>
      <c r="F522" s="57" t="n"/>
      <c r="G522" s="57" t="n"/>
      <c r="H522" s="56" t="n"/>
      <c r="I522" s="56" t="n"/>
      <c r="J522" s="58" t="n"/>
      <c r="K522" s="58" t="n"/>
      <c r="L522" s="13">
        <f>IF(OR($A522="",AND($J522="",$K522="")),"",ROUND(N($J522)-N($K522),2))</f>
        <v/>
      </c>
      <c r="M522" s="13">
        <f>IF(OR($A522="",AND($J522="",$K522="")),"",MIN($J522,$K522))</f>
        <v/>
      </c>
      <c r="Q522">
        <f>IF($A522="","",$D522&amp;"("&amp;SUBSTITUTE($E522," ","")&amp;")")</f>
        <v/>
      </c>
      <c r="R522">
        <f>IF($A522="","",$B522&amp;" - "&amp;$C522)</f>
        <v/>
      </c>
      <c r="S522">
        <f>IF($A522="","",$R522&amp;"|"&amp;$Q522)</f>
        <v/>
      </c>
      <c r="T522">
        <f>IF($A522="","",$S522&amp;"|"&amp;$F522)</f>
        <v/>
      </c>
      <c r="U522">
        <f>IF($A522="","",$R522&amp;"("&amp;$E522&amp;")")</f>
        <v/>
      </c>
      <c r="V522">
        <f>IF($A522="","",$F522&amp;"|"&amp;$U522&amp;"|"&amp;$D522)</f>
        <v/>
      </c>
      <c r="W522">
        <f>IF($T522="","",IF($X522&gt;N($X521),$X522,""))</f>
        <v/>
      </c>
      <c r="X522">
        <f>IF($T522="",N($X521),IF(MATCH($T522,$T$6:$T$6005,0)=ROW()-5,N($X521)+1,N($X521)))</f>
        <v/>
      </c>
      <c r="Z522">
        <f>IF($V522="","",IF($AA522&gt;N($AA521),$AA522,""))</f>
        <v/>
      </c>
      <c r="AA522">
        <f>IF($V522="",N($AA521),IF(MATCH($V522,$V$6:$V$6005,0)=ROW()-5,N($AA521)+1,N($AA521)))</f>
        <v/>
      </c>
    </row>
    <row r="523" ht="21" customHeight="1" s="66">
      <c r="A523" s="56" t="n"/>
      <c r="B523" s="57" t="n"/>
      <c r="C523" s="57" t="n"/>
      <c r="D523" s="57" t="n"/>
      <c r="E523" s="56" t="n"/>
      <c r="F523" s="57" t="n"/>
      <c r="G523" s="57" t="n"/>
      <c r="H523" s="56" t="n"/>
      <c r="I523" s="56" t="n"/>
      <c r="J523" s="58" t="n"/>
      <c r="K523" s="58" t="n"/>
      <c r="L523" s="13">
        <f>IF(OR($A523="",AND($J523="",$K523="")),"",ROUND(N($J523)-N($K523),2))</f>
        <v/>
      </c>
      <c r="M523" s="13">
        <f>IF(OR($A523="",AND($J523="",$K523="")),"",MIN($J523,$K523))</f>
        <v/>
      </c>
      <c r="Q523">
        <f>IF($A523="","",$D523&amp;"("&amp;SUBSTITUTE($E523," ","")&amp;")")</f>
        <v/>
      </c>
      <c r="R523">
        <f>IF($A523="","",$B523&amp;" - "&amp;$C523)</f>
        <v/>
      </c>
      <c r="S523">
        <f>IF($A523="","",$R523&amp;"|"&amp;$Q523)</f>
        <v/>
      </c>
      <c r="T523">
        <f>IF($A523="","",$S523&amp;"|"&amp;$F523)</f>
        <v/>
      </c>
      <c r="U523">
        <f>IF($A523="","",$R523&amp;"("&amp;$E523&amp;")")</f>
        <v/>
      </c>
      <c r="V523">
        <f>IF($A523="","",$F523&amp;"|"&amp;$U523&amp;"|"&amp;$D523)</f>
        <v/>
      </c>
      <c r="W523">
        <f>IF($T523="","",IF($X523&gt;N($X522),$X523,""))</f>
        <v/>
      </c>
      <c r="X523">
        <f>IF($T523="",N($X522),IF(MATCH($T523,$T$6:$T$6005,0)=ROW()-5,N($X522)+1,N($X522)))</f>
        <v/>
      </c>
      <c r="Z523">
        <f>IF($V523="","",IF($AA523&gt;N($AA522),$AA523,""))</f>
        <v/>
      </c>
      <c r="AA523">
        <f>IF($V523="",N($AA522),IF(MATCH($V523,$V$6:$V$6005,0)=ROW()-5,N($AA522)+1,N($AA522)))</f>
        <v/>
      </c>
    </row>
    <row r="524" ht="21" customHeight="1" s="66">
      <c r="A524" s="56" t="n"/>
      <c r="B524" s="57" t="n"/>
      <c r="C524" s="57" t="n"/>
      <c r="D524" s="57" t="n"/>
      <c r="E524" s="56" t="n"/>
      <c r="F524" s="57" t="n"/>
      <c r="G524" s="57" t="n"/>
      <c r="H524" s="56" t="n"/>
      <c r="I524" s="56" t="n"/>
      <c r="J524" s="58" t="n"/>
      <c r="K524" s="58" t="n"/>
      <c r="L524" s="13">
        <f>IF(OR($A524="",AND($J524="",$K524="")),"",ROUND(N($J524)-N($K524),2))</f>
        <v/>
      </c>
      <c r="M524" s="13">
        <f>IF(OR($A524="",AND($J524="",$K524="")),"",MIN($J524,$K524))</f>
        <v/>
      </c>
      <c r="Q524">
        <f>IF($A524="","",$D524&amp;"("&amp;SUBSTITUTE($E524," ","")&amp;")")</f>
        <v/>
      </c>
      <c r="R524">
        <f>IF($A524="","",$B524&amp;" - "&amp;$C524)</f>
        <v/>
      </c>
      <c r="S524">
        <f>IF($A524="","",$R524&amp;"|"&amp;$Q524)</f>
        <v/>
      </c>
      <c r="T524">
        <f>IF($A524="","",$S524&amp;"|"&amp;$F524)</f>
        <v/>
      </c>
      <c r="U524">
        <f>IF($A524="","",$R524&amp;"("&amp;$E524&amp;")")</f>
        <v/>
      </c>
      <c r="V524">
        <f>IF($A524="","",$F524&amp;"|"&amp;$U524&amp;"|"&amp;$D524)</f>
        <v/>
      </c>
      <c r="W524">
        <f>IF($T524="","",IF($X524&gt;N($X523),$X524,""))</f>
        <v/>
      </c>
      <c r="X524">
        <f>IF($T524="",N($X523),IF(MATCH($T524,$T$6:$T$6005,0)=ROW()-5,N($X523)+1,N($X523)))</f>
        <v/>
      </c>
      <c r="Z524">
        <f>IF($V524="","",IF($AA524&gt;N($AA523),$AA524,""))</f>
        <v/>
      </c>
      <c r="AA524">
        <f>IF($V524="",N($AA523),IF(MATCH($V524,$V$6:$V$6005,0)=ROW()-5,N($AA523)+1,N($AA523)))</f>
        <v/>
      </c>
    </row>
    <row r="525" ht="21" customHeight="1" s="66">
      <c r="A525" s="56" t="n"/>
      <c r="B525" s="57" t="n"/>
      <c r="C525" s="57" t="n"/>
      <c r="D525" s="57" t="n"/>
      <c r="E525" s="56" t="n"/>
      <c r="F525" s="57" t="n"/>
      <c r="G525" s="57" t="n"/>
      <c r="H525" s="56" t="n"/>
      <c r="I525" s="56" t="n"/>
      <c r="J525" s="58" t="n"/>
      <c r="K525" s="58" t="n"/>
      <c r="L525" s="13">
        <f>IF(OR($A525="",AND($J525="",$K525="")),"",ROUND(N($J525)-N($K525),2))</f>
        <v/>
      </c>
      <c r="M525" s="13">
        <f>IF(OR($A525="",AND($J525="",$K525="")),"",MIN($J525,$K525))</f>
        <v/>
      </c>
      <c r="Q525">
        <f>IF($A525="","",$D525&amp;"("&amp;SUBSTITUTE($E525," ","")&amp;")")</f>
        <v/>
      </c>
      <c r="R525">
        <f>IF($A525="","",$B525&amp;" - "&amp;$C525)</f>
        <v/>
      </c>
      <c r="S525">
        <f>IF($A525="","",$R525&amp;"|"&amp;$Q525)</f>
        <v/>
      </c>
      <c r="T525">
        <f>IF($A525="","",$S525&amp;"|"&amp;$F525)</f>
        <v/>
      </c>
      <c r="U525">
        <f>IF($A525="","",$R525&amp;"("&amp;$E525&amp;")")</f>
        <v/>
      </c>
      <c r="V525">
        <f>IF($A525="","",$F525&amp;"|"&amp;$U525&amp;"|"&amp;$D525)</f>
        <v/>
      </c>
      <c r="W525">
        <f>IF($T525="","",IF($X525&gt;N($X524),$X525,""))</f>
        <v/>
      </c>
      <c r="X525">
        <f>IF($T525="",N($X524),IF(MATCH($T525,$T$6:$T$6005,0)=ROW()-5,N($X524)+1,N($X524)))</f>
        <v/>
      </c>
      <c r="Z525">
        <f>IF($V525="","",IF($AA525&gt;N($AA524),$AA525,""))</f>
        <v/>
      </c>
      <c r="AA525">
        <f>IF($V525="",N($AA524),IF(MATCH($V525,$V$6:$V$6005,0)=ROW()-5,N($AA524)+1,N($AA524)))</f>
        <v/>
      </c>
    </row>
    <row r="526" ht="21" customHeight="1" s="66">
      <c r="A526" s="56" t="n"/>
      <c r="B526" s="57" t="n"/>
      <c r="C526" s="57" t="n"/>
      <c r="D526" s="57" t="n"/>
      <c r="E526" s="56" t="n"/>
      <c r="F526" s="57" t="n"/>
      <c r="G526" s="57" t="n"/>
      <c r="H526" s="56" t="n"/>
      <c r="I526" s="56" t="n"/>
      <c r="J526" s="58" t="n"/>
      <c r="K526" s="58" t="n"/>
      <c r="L526" s="13">
        <f>IF(OR($A526="",AND($J526="",$K526="")),"",ROUND(N($J526)-N($K526),2))</f>
        <v/>
      </c>
      <c r="M526" s="13">
        <f>IF(OR($A526="",AND($J526="",$K526="")),"",MIN($J526,$K526))</f>
        <v/>
      </c>
      <c r="Q526">
        <f>IF($A526="","",$D526&amp;"("&amp;SUBSTITUTE($E526," ","")&amp;")")</f>
        <v/>
      </c>
      <c r="R526">
        <f>IF($A526="","",$B526&amp;" - "&amp;$C526)</f>
        <v/>
      </c>
      <c r="S526">
        <f>IF($A526="","",$R526&amp;"|"&amp;$Q526)</f>
        <v/>
      </c>
      <c r="T526">
        <f>IF($A526="","",$S526&amp;"|"&amp;$F526)</f>
        <v/>
      </c>
      <c r="U526">
        <f>IF($A526="","",$R526&amp;"("&amp;$E526&amp;")")</f>
        <v/>
      </c>
      <c r="V526">
        <f>IF($A526="","",$F526&amp;"|"&amp;$U526&amp;"|"&amp;$D526)</f>
        <v/>
      </c>
      <c r="W526">
        <f>IF($T526="","",IF($X526&gt;N($X525),$X526,""))</f>
        <v/>
      </c>
      <c r="X526">
        <f>IF($T526="",N($X525),IF(MATCH($T526,$T$6:$T$6005,0)=ROW()-5,N($X525)+1,N($X525)))</f>
        <v/>
      </c>
      <c r="Z526">
        <f>IF($V526="","",IF($AA526&gt;N($AA525),$AA526,""))</f>
        <v/>
      </c>
      <c r="AA526">
        <f>IF($V526="",N($AA525),IF(MATCH($V526,$V$6:$V$6005,0)=ROW()-5,N($AA525)+1,N($AA525)))</f>
        <v/>
      </c>
    </row>
    <row r="527" ht="21" customHeight="1" s="66">
      <c r="A527" s="56" t="n"/>
      <c r="B527" s="57" t="n"/>
      <c r="C527" s="57" t="n"/>
      <c r="D527" s="57" t="n"/>
      <c r="E527" s="56" t="n"/>
      <c r="F527" s="57" t="n"/>
      <c r="G527" s="57" t="n"/>
      <c r="H527" s="56" t="n"/>
      <c r="I527" s="56" t="n"/>
      <c r="J527" s="58" t="n"/>
      <c r="K527" s="58" t="n"/>
      <c r="L527" s="13">
        <f>IF(OR($A527="",AND($J527="",$K527="")),"",ROUND(N($J527)-N($K527),2))</f>
        <v/>
      </c>
      <c r="M527" s="13">
        <f>IF(OR($A527="",AND($J527="",$K527="")),"",MIN($J527,$K527))</f>
        <v/>
      </c>
      <c r="Q527">
        <f>IF($A527="","",$D527&amp;"("&amp;SUBSTITUTE($E527," ","")&amp;")")</f>
        <v/>
      </c>
      <c r="R527">
        <f>IF($A527="","",$B527&amp;" - "&amp;$C527)</f>
        <v/>
      </c>
      <c r="S527">
        <f>IF($A527="","",$R527&amp;"|"&amp;$Q527)</f>
        <v/>
      </c>
      <c r="T527">
        <f>IF($A527="","",$S527&amp;"|"&amp;$F527)</f>
        <v/>
      </c>
      <c r="U527">
        <f>IF($A527="","",$R527&amp;"("&amp;$E527&amp;")")</f>
        <v/>
      </c>
      <c r="V527">
        <f>IF($A527="","",$F527&amp;"|"&amp;$U527&amp;"|"&amp;$D527)</f>
        <v/>
      </c>
      <c r="W527">
        <f>IF($T527="","",IF($X527&gt;N($X526),$X527,""))</f>
        <v/>
      </c>
      <c r="X527">
        <f>IF($T527="",N($X526),IF(MATCH($T527,$T$6:$T$6005,0)=ROW()-5,N($X526)+1,N($X526)))</f>
        <v/>
      </c>
      <c r="Z527">
        <f>IF($V527="","",IF($AA527&gt;N($AA526),$AA527,""))</f>
        <v/>
      </c>
      <c r="AA527">
        <f>IF($V527="",N($AA526),IF(MATCH($V527,$V$6:$V$6005,0)=ROW()-5,N($AA526)+1,N($AA526)))</f>
        <v/>
      </c>
    </row>
    <row r="528" ht="21" customHeight="1" s="66">
      <c r="A528" s="56" t="n"/>
      <c r="B528" s="57" t="n"/>
      <c r="C528" s="57" t="n"/>
      <c r="D528" s="57" t="n"/>
      <c r="E528" s="56" t="n"/>
      <c r="F528" s="57" t="n"/>
      <c r="G528" s="57" t="n"/>
      <c r="H528" s="56" t="n"/>
      <c r="I528" s="56" t="n"/>
      <c r="J528" s="58" t="n"/>
      <c r="K528" s="58" t="n"/>
      <c r="L528" s="13">
        <f>IF(OR($A528="",AND($J528="",$K528="")),"",ROUND(N($J528)-N($K528),2))</f>
        <v/>
      </c>
      <c r="M528" s="13">
        <f>IF(OR($A528="",AND($J528="",$K528="")),"",MIN($J528,$K528))</f>
        <v/>
      </c>
      <c r="Q528">
        <f>IF($A528="","",$D528&amp;"("&amp;SUBSTITUTE($E528," ","")&amp;")")</f>
        <v/>
      </c>
      <c r="R528">
        <f>IF($A528="","",$B528&amp;" - "&amp;$C528)</f>
        <v/>
      </c>
      <c r="S528">
        <f>IF($A528="","",$R528&amp;"|"&amp;$Q528)</f>
        <v/>
      </c>
      <c r="T528">
        <f>IF($A528="","",$S528&amp;"|"&amp;$F528)</f>
        <v/>
      </c>
      <c r="U528">
        <f>IF($A528="","",$R528&amp;"("&amp;$E528&amp;")")</f>
        <v/>
      </c>
      <c r="V528">
        <f>IF($A528="","",$F528&amp;"|"&amp;$U528&amp;"|"&amp;$D528)</f>
        <v/>
      </c>
      <c r="W528">
        <f>IF($T528="","",IF($X528&gt;N($X527),$X528,""))</f>
        <v/>
      </c>
      <c r="X528">
        <f>IF($T528="",N($X527),IF(MATCH($T528,$T$6:$T$6005,0)=ROW()-5,N($X527)+1,N($X527)))</f>
        <v/>
      </c>
      <c r="Z528">
        <f>IF($V528="","",IF($AA528&gt;N($AA527),$AA528,""))</f>
        <v/>
      </c>
      <c r="AA528">
        <f>IF($V528="",N($AA527),IF(MATCH($V528,$V$6:$V$6005,0)=ROW()-5,N($AA527)+1,N($AA527)))</f>
        <v/>
      </c>
    </row>
    <row r="529" ht="21" customHeight="1" s="66">
      <c r="A529" s="56" t="n"/>
      <c r="B529" s="57" t="n"/>
      <c r="C529" s="57" t="n"/>
      <c r="D529" s="57" t="n"/>
      <c r="E529" s="56" t="n"/>
      <c r="F529" s="57" t="n"/>
      <c r="G529" s="57" t="n"/>
      <c r="H529" s="56" t="n"/>
      <c r="I529" s="56" t="n"/>
      <c r="J529" s="58" t="n"/>
      <c r="K529" s="58" t="n"/>
      <c r="L529" s="13">
        <f>IF(OR($A529="",AND($J529="",$K529="")),"",ROUND(N($J529)-N($K529),2))</f>
        <v/>
      </c>
      <c r="M529" s="13">
        <f>IF(OR($A529="",AND($J529="",$K529="")),"",MIN($J529,$K529))</f>
        <v/>
      </c>
      <c r="Q529">
        <f>IF($A529="","",$D529&amp;"("&amp;SUBSTITUTE($E529," ","")&amp;")")</f>
        <v/>
      </c>
      <c r="R529">
        <f>IF($A529="","",$B529&amp;" - "&amp;$C529)</f>
        <v/>
      </c>
      <c r="S529">
        <f>IF($A529="","",$R529&amp;"|"&amp;$Q529)</f>
        <v/>
      </c>
      <c r="T529">
        <f>IF($A529="","",$S529&amp;"|"&amp;$F529)</f>
        <v/>
      </c>
      <c r="U529">
        <f>IF($A529="","",$R529&amp;"("&amp;$E529&amp;")")</f>
        <v/>
      </c>
      <c r="V529">
        <f>IF($A529="","",$F529&amp;"|"&amp;$U529&amp;"|"&amp;$D529)</f>
        <v/>
      </c>
      <c r="W529">
        <f>IF($T529="","",IF($X529&gt;N($X528),$X529,""))</f>
        <v/>
      </c>
      <c r="X529">
        <f>IF($T529="",N($X528),IF(MATCH($T529,$T$6:$T$6005,0)=ROW()-5,N($X528)+1,N($X528)))</f>
        <v/>
      </c>
      <c r="Z529">
        <f>IF($V529="","",IF($AA529&gt;N($AA528),$AA529,""))</f>
        <v/>
      </c>
      <c r="AA529">
        <f>IF($V529="",N($AA528),IF(MATCH($V529,$V$6:$V$6005,0)=ROW()-5,N($AA528)+1,N($AA528)))</f>
        <v/>
      </c>
    </row>
    <row r="530" ht="21" customHeight="1" s="66">
      <c r="A530" s="56" t="n"/>
      <c r="B530" s="57" t="n"/>
      <c r="C530" s="57" t="n"/>
      <c r="D530" s="57" t="n"/>
      <c r="E530" s="56" t="n"/>
      <c r="F530" s="57" t="n"/>
      <c r="G530" s="57" t="n"/>
      <c r="H530" s="56" t="n"/>
      <c r="I530" s="56" t="n"/>
      <c r="J530" s="58" t="n"/>
      <c r="K530" s="58" t="n"/>
      <c r="L530" s="13">
        <f>IF(OR($A530="",AND($J530="",$K530="")),"",ROUND(N($J530)-N($K530),2))</f>
        <v/>
      </c>
      <c r="M530" s="13">
        <f>IF(OR($A530="",AND($J530="",$K530="")),"",MIN($J530,$K530))</f>
        <v/>
      </c>
      <c r="Q530">
        <f>IF($A530="","",$D530&amp;"("&amp;SUBSTITUTE($E530," ","")&amp;")")</f>
        <v/>
      </c>
      <c r="R530">
        <f>IF($A530="","",$B530&amp;" - "&amp;$C530)</f>
        <v/>
      </c>
      <c r="S530">
        <f>IF($A530="","",$R530&amp;"|"&amp;$Q530)</f>
        <v/>
      </c>
      <c r="T530">
        <f>IF($A530="","",$S530&amp;"|"&amp;$F530)</f>
        <v/>
      </c>
      <c r="U530">
        <f>IF($A530="","",$R530&amp;"("&amp;$E530&amp;")")</f>
        <v/>
      </c>
      <c r="V530">
        <f>IF($A530="","",$F530&amp;"|"&amp;$U530&amp;"|"&amp;$D530)</f>
        <v/>
      </c>
      <c r="W530">
        <f>IF($T530="","",IF($X530&gt;N($X529),$X530,""))</f>
        <v/>
      </c>
      <c r="X530">
        <f>IF($T530="",N($X529),IF(MATCH($T530,$T$6:$T$6005,0)=ROW()-5,N($X529)+1,N($X529)))</f>
        <v/>
      </c>
      <c r="Z530">
        <f>IF($V530="","",IF($AA530&gt;N($AA529),$AA530,""))</f>
        <v/>
      </c>
      <c r="AA530">
        <f>IF($V530="",N($AA529),IF(MATCH($V530,$V$6:$V$6005,0)=ROW()-5,N($AA529)+1,N($AA529)))</f>
        <v/>
      </c>
    </row>
    <row r="531" ht="21" customHeight="1" s="66">
      <c r="A531" s="56" t="n"/>
      <c r="B531" s="57" t="n"/>
      <c r="C531" s="57" t="n"/>
      <c r="D531" s="57" t="n"/>
      <c r="E531" s="56" t="n"/>
      <c r="F531" s="57" t="n"/>
      <c r="G531" s="57" t="n"/>
      <c r="H531" s="56" t="n"/>
      <c r="I531" s="56" t="n"/>
      <c r="J531" s="58" t="n"/>
      <c r="K531" s="58" t="n"/>
      <c r="L531" s="13">
        <f>IF(OR($A531="",AND($J531="",$K531="")),"",ROUND(N($J531)-N($K531),2))</f>
        <v/>
      </c>
      <c r="M531" s="13">
        <f>IF(OR($A531="",AND($J531="",$K531="")),"",MIN($J531,$K531))</f>
        <v/>
      </c>
      <c r="Q531">
        <f>IF($A531="","",$D531&amp;"("&amp;SUBSTITUTE($E531," ","")&amp;")")</f>
        <v/>
      </c>
      <c r="R531">
        <f>IF($A531="","",$B531&amp;" - "&amp;$C531)</f>
        <v/>
      </c>
      <c r="S531">
        <f>IF($A531="","",$R531&amp;"|"&amp;$Q531)</f>
        <v/>
      </c>
      <c r="T531">
        <f>IF($A531="","",$S531&amp;"|"&amp;$F531)</f>
        <v/>
      </c>
      <c r="U531">
        <f>IF($A531="","",$R531&amp;"("&amp;$E531&amp;")")</f>
        <v/>
      </c>
      <c r="V531">
        <f>IF($A531="","",$F531&amp;"|"&amp;$U531&amp;"|"&amp;$D531)</f>
        <v/>
      </c>
      <c r="W531">
        <f>IF($T531="","",IF($X531&gt;N($X530),$X531,""))</f>
        <v/>
      </c>
      <c r="X531">
        <f>IF($T531="",N($X530),IF(MATCH($T531,$T$6:$T$6005,0)=ROW()-5,N($X530)+1,N($X530)))</f>
        <v/>
      </c>
      <c r="Z531">
        <f>IF($V531="","",IF($AA531&gt;N($AA530),$AA531,""))</f>
        <v/>
      </c>
      <c r="AA531">
        <f>IF($V531="",N($AA530),IF(MATCH($V531,$V$6:$V$6005,0)=ROW()-5,N($AA530)+1,N($AA530)))</f>
        <v/>
      </c>
    </row>
    <row r="532" ht="21" customHeight="1" s="66">
      <c r="A532" s="56" t="n"/>
      <c r="B532" s="57" t="n"/>
      <c r="C532" s="57" t="n"/>
      <c r="D532" s="57" t="n"/>
      <c r="E532" s="56" t="n"/>
      <c r="F532" s="57" t="n"/>
      <c r="G532" s="57" t="n"/>
      <c r="H532" s="56" t="n"/>
      <c r="I532" s="56" t="n"/>
      <c r="J532" s="58" t="n"/>
      <c r="K532" s="58" t="n"/>
      <c r="L532" s="13">
        <f>IF(OR($A532="",AND($J532="",$K532="")),"",ROUND(N($J532)-N($K532),2))</f>
        <v/>
      </c>
      <c r="M532" s="13">
        <f>IF(OR($A532="",AND($J532="",$K532="")),"",MIN($J532,$K532))</f>
        <v/>
      </c>
      <c r="Q532">
        <f>IF($A532="","",$D532&amp;"("&amp;SUBSTITUTE($E532," ","")&amp;")")</f>
        <v/>
      </c>
      <c r="R532">
        <f>IF($A532="","",$B532&amp;" - "&amp;$C532)</f>
        <v/>
      </c>
      <c r="S532">
        <f>IF($A532="","",$R532&amp;"|"&amp;$Q532)</f>
        <v/>
      </c>
      <c r="T532">
        <f>IF($A532="","",$S532&amp;"|"&amp;$F532)</f>
        <v/>
      </c>
      <c r="U532">
        <f>IF($A532="","",$R532&amp;"("&amp;$E532&amp;")")</f>
        <v/>
      </c>
      <c r="V532">
        <f>IF($A532="","",$F532&amp;"|"&amp;$U532&amp;"|"&amp;$D532)</f>
        <v/>
      </c>
      <c r="W532">
        <f>IF($T532="","",IF($X532&gt;N($X531),$X532,""))</f>
        <v/>
      </c>
      <c r="X532">
        <f>IF($T532="",N($X531),IF(MATCH($T532,$T$6:$T$6005,0)=ROW()-5,N($X531)+1,N($X531)))</f>
        <v/>
      </c>
      <c r="Z532">
        <f>IF($V532="","",IF($AA532&gt;N($AA531),$AA532,""))</f>
        <v/>
      </c>
      <c r="AA532">
        <f>IF($V532="",N($AA531),IF(MATCH($V532,$V$6:$V$6005,0)=ROW()-5,N($AA531)+1,N($AA531)))</f>
        <v/>
      </c>
    </row>
    <row r="533" ht="21" customHeight="1" s="66">
      <c r="A533" s="56" t="n"/>
      <c r="B533" s="57" t="n"/>
      <c r="C533" s="57" t="n"/>
      <c r="D533" s="57" t="n"/>
      <c r="E533" s="56" t="n"/>
      <c r="F533" s="57" t="n"/>
      <c r="G533" s="57" t="n"/>
      <c r="H533" s="56" t="n"/>
      <c r="I533" s="56" t="n"/>
      <c r="J533" s="58" t="n"/>
      <c r="K533" s="58" t="n"/>
      <c r="L533" s="13">
        <f>IF(OR($A533="",AND($J533="",$K533="")),"",ROUND(N($J533)-N($K533),2))</f>
        <v/>
      </c>
      <c r="M533" s="13">
        <f>IF(OR($A533="",AND($J533="",$K533="")),"",MIN($J533,$K533))</f>
        <v/>
      </c>
      <c r="Q533">
        <f>IF($A533="","",$D533&amp;"("&amp;SUBSTITUTE($E533," ","")&amp;")")</f>
        <v/>
      </c>
      <c r="R533">
        <f>IF($A533="","",$B533&amp;" - "&amp;$C533)</f>
        <v/>
      </c>
      <c r="S533">
        <f>IF($A533="","",$R533&amp;"|"&amp;$Q533)</f>
        <v/>
      </c>
      <c r="T533">
        <f>IF($A533="","",$S533&amp;"|"&amp;$F533)</f>
        <v/>
      </c>
      <c r="U533">
        <f>IF($A533="","",$R533&amp;"("&amp;$E533&amp;")")</f>
        <v/>
      </c>
      <c r="V533">
        <f>IF($A533="","",$F533&amp;"|"&amp;$U533&amp;"|"&amp;$D533)</f>
        <v/>
      </c>
      <c r="W533">
        <f>IF($T533="","",IF($X533&gt;N($X532),$X533,""))</f>
        <v/>
      </c>
      <c r="X533">
        <f>IF($T533="",N($X532),IF(MATCH($T533,$T$6:$T$6005,0)=ROW()-5,N($X532)+1,N($X532)))</f>
        <v/>
      </c>
      <c r="Z533">
        <f>IF($V533="","",IF($AA533&gt;N($AA532),$AA533,""))</f>
        <v/>
      </c>
      <c r="AA533">
        <f>IF($V533="",N($AA532),IF(MATCH($V533,$V$6:$V$6005,0)=ROW()-5,N($AA532)+1,N($AA532)))</f>
        <v/>
      </c>
    </row>
    <row r="534" ht="21" customHeight="1" s="66">
      <c r="A534" s="56" t="n"/>
      <c r="B534" s="57" t="n"/>
      <c r="C534" s="57" t="n"/>
      <c r="D534" s="57" t="n"/>
      <c r="E534" s="56" t="n"/>
      <c r="F534" s="57" t="n"/>
      <c r="G534" s="57" t="n"/>
      <c r="H534" s="56" t="n"/>
      <c r="I534" s="56" t="n"/>
      <c r="J534" s="58" t="n"/>
      <c r="K534" s="58" t="n"/>
      <c r="L534" s="13">
        <f>IF(OR($A534="",AND($J534="",$K534="")),"",ROUND(N($J534)-N($K534),2))</f>
        <v/>
      </c>
      <c r="M534" s="13">
        <f>IF(OR($A534="",AND($J534="",$K534="")),"",MIN($J534,$K534))</f>
        <v/>
      </c>
      <c r="Q534">
        <f>IF($A534="","",$D534&amp;"("&amp;SUBSTITUTE($E534," ","")&amp;")")</f>
        <v/>
      </c>
      <c r="R534">
        <f>IF($A534="","",$B534&amp;" - "&amp;$C534)</f>
        <v/>
      </c>
      <c r="S534">
        <f>IF($A534="","",$R534&amp;"|"&amp;$Q534)</f>
        <v/>
      </c>
      <c r="T534">
        <f>IF($A534="","",$S534&amp;"|"&amp;$F534)</f>
        <v/>
      </c>
      <c r="U534">
        <f>IF($A534="","",$R534&amp;"("&amp;$E534&amp;")")</f>
        <v/>
      </c>
      <c r="V534">
        <f>IF($A534="","",$F534&amp;"|"&amp;$U534&amp;"|"&amp;$D534)</f>
        <v/>
      </c>
      <c r="W534">
        <f>IF($T534="","",IF($X534&gt;N($X533),$X534,""))</f>
        <v/>
      </c>
      <c r="X534">
        <f>IF($T534="",N($X533),IF(MATCH($T534,$T$6:$T$6005,0)=ROW()-5,N($X533)+1,N($X533)))</f>
        <v/>
      </c>
      <c r="Z534">
        <f>IF($V534="","",IF($AA534&gt;N($AA533),$AA534,""))</f>
        <v/>
      </c>
      <c r="AA534">
        <f>IF($V534="",N($AA533),IF(MATCH($V534,$V$6:$V$6005,0)=ROW()-5,N($AA533)+1,N($AA533)))</f>
        <v/>
      </c>
    </row>
    <row r="535" ht="21" customHeight="1" s="66">
      <c r="A535" s="56" t="n"/>
      <c r="B535" s="57" t="n"/>
      <c r="C535" s="57" t="n"/>
      <c r="D535" s="57" t="n"/>
      <c r="E535" s="56" t="n"/>
      <c r="F535" s="57" t="n"/>
      <c r="G535" s="57" t="n"/>
      <c r="H535" s="56" t="n"/>
      <c r="I535" s="56" t="n"/>
      <c r="J535" s="58" t="n"/>
      <c r="K535" s="58" t="n"/>
      <c r="L535" s="13">
        <f>IF(OR($A535="",AND($J535="",$K535="")),"",ROUND(N($J535)-N($K535),2))</f>
        <v/>
      </c>
      <c r="M535" s="13">
        <f>IF(OR($A535="",AND($J535="",$K535="")),"",MIN($J535,$K535))</f>
        <v/>
      </c>
      <c r="Q535">
        <f>IF($A535="","",$D535&amp;"("&amp;SUBSTITUTE($E535," ","")&amp;")")</f>
        <v/>
      </c>
      <c r="R535">
        <f>IF($A535="","",$B535&amp;" - "&amp;$C535)</f>
        <v/>
      </c>
      <c r="S535">
        <f>IF($A535="","",$R535&amp;"|"&amp;$Q535)</f>
        <v/>
      </c>
      <c r="T535">
        <f>IF($A535="","",$S535&amp;"|"&amp;$F535)</f>
        <v/>
      </c>
      <c r="U535">
        <f>IF($A535="","",$R535&amp;"("&amp;$E535&amp;")")</f>
        <v/>
      </c>
      <c r="V535">
        <f>IF($A535="","",$F535&amp;"|"&amp;$U535&amp;"|"&amp;$D535)</f>
        <v/>
      </c>
      <c r="W535">
        <f>IF($T535="","",IF($X535&gt;N($X534),$X535,""))</f>
        <v/>
      </c>
      <c r="X535">
        <f>IF($T535="",N($X534),IF(MATCH($T535,$T$6:$T$6005,0)=ROW()-5,N($X534)+1,N($X534)))</f>
        <v/>
      </c>
      <c r="Z535">
        <f>IF($V535="","",IF($AA535&gt;N($AA534),$AA535,""))</f>
        <v/>
      </c>
      <c r="AA535">
        <f>IF($V535="",N($AA534),IF(MATCH($V535,$V$6:$V$6005,0)=ROW()-5,N($AA534)+1,N($AA534)))</f>
        <v/>
      </c>
    </row>
    <row r="536" ht="21" customHeight="1" s="66">
      <c r="A536" s="56" t="n"/>
      <c r="B536" s="57" t="n"/>
      <c r="C536" s="57" t="n"/>
      <c r="D536" s="57" t="n"/>
      <c r="E536" s="56" t="n"/>
      <c r="F536" s="57" t="n"/>
      <c r="G536" s="57" t="n"/>
      <c r="H536" s="56" t="n"/>
      <c r="I536" s="56" t="n"/>
      <c r="J536" s="58" t="n"/>
      <c r="K536" s="58" t="n"/>
      <c r="L536" s="13">
        <f>IF(OR($A536="",AND($J536="",$K536="")),"",ROUND(N($J536)-N($K536),2))</f>
        <v/>
      </c>
      <c r="M536" s="13">
        <f>IF(OR($A536="",AND($J536="",$K536="")),"",MIN($J536,$K536))</f>
        <v/>
      </c>
      <c r="Q536">
        <f>IF($A536="","",$D536&amp;"("&amp;SUBSTITUTE($E536," ","")&amp;")")</f>
        <v/>
      </c>
      <c r="R536">
        <f>IF($A536="","",$B536&amp;" - "&amp;$C536)</f>
        <v/>
      </c>
      <c r="S536">
        <f>IF($A536="","",$R536&amp;"|"&amp;$Q536)</f>
        <v/>
      </c>
      <c r="T536">
        <f>IF($A536="","",$S536&amp;"|"&amp;$F536)</f>
        <v/>
      </c>
      <c r="U536">
        <f>IF($A536="","",$R536&amp;"("&amp;$E536&amp;")")</f>
        <v/>
      </c>
      <c r="V536">
        <f>IF($A536="","",$F536&amp;"|"&amp;$U536&amp;"|"&amp;$D536)</f>
        <v/>
      </c>
      <c r="W536">
        <f>IF($T536="","",IF($X536&gt;N($X535),$X536,""))</f>
        <v/>
      </c>
      <c r="X536">
        <f>IF($T536="",N($X535),IF(MATCH($T536,$T$6:$T$6005,0)=ROW()-5,N($X535)+1,N($X535)))</f>
        <v/>
      </c>
      <c r="Z536">
        <f>IF($V536="","",IF($AA536&gt;N($AA535),$AA536,""))</f>
        <v/>
      </c>
      <c r="AA536">
        <f>IF($V536="",N($AA535),IF(MATCH($V536,$V$6:$V$6005,0)=ROW()-5,N($AA535)+1,N($AA535)))</f>
        <v/>
      </c>
    </row>
    <row r="537" ht="21" customHeight="1" s="66">
      <c r="A537" s="56" t="n"/>
      <c r="B537" s="57" t="n"/>
      <c r="C537" s="57" t="n"/>
      <c r="D537" s="57" t="n"/>
      <c r="E537" s="56" t="n"/>
      <c r="F537" s="57" t="n"/>
      <c r="G537" s="57" t="n"/>
      <c r="H537" s="56" t="n"/>
      <c r="I537" s="56" t="n"/>
      <c r="J537" s="58" t="n"/>
      <c r="K537" s="58" t="n"/>
      <c r="L537" s="13">
        <f>IF(OR($A537="",AND($J537="",$K537="")),"",ROUND(N($J537)-N($K537),2))</f>
        <v/>
      </c>
      <c r="M537" s="13">
        <f>IF(OR($A537="",AND($J537="",$K537="")),"",MIN($J537,$K537))</f>
        <v/>
      </c>
      <c r="Q537">
        <f>IF($A537="","",$D537&amp;"("&amp;SUBSTITUTE($E537," ","")&amp;")")</f>
        <v/>
      </c>
      <c r="R537">
        <f>IF($A537="","",$B537&amp;" - "&amp;$C537)</f>
        <v/>
      </c>
      <c r="S537">
        <f>IF($A537="","",$R537&amp;"|"&amp;$Q537)</f>
        <v/>
      </c>
      <c r="T537">
        <f>IF($A537="","",$S537&amp;"|"&amp;$F537)</f>
        <v/>
      </c>
      <c r="U537">
        <f>IF($A537="","",$R537&amp;"("&amp;$E537&amp;")")</f>
        <v/>
      </c>
      <c r="V537">
        <f>IF($A537="","",$F537&amp;"|"&amp;$U537&amp;"|"&amp;$D537)</f>
        <v/>
      </c>
      <c r="W537">
        <f>IF($T537="","",IF($X537&gt;N($X536),$X537,""))</f>
        <v/>
      </c>
      <c r="X537">
        <f>IF($T537="",N($X536),IF(MATCH($T537,$T$6:$T$6005,0)=ROW()-5,N($X536)+1,N($X536)))</f>
        <v/>
      </c>
      <c r="Z537">
        <f>IF($V537="","",IF($AA537&gt;N($AA536),$AA537,""))</f>
        <v/>
      </c>
      <c r="AA537">
        <f>IF($V537="",N($AA536),IF(MATCH($V537,$V$6:$V$6005,0)=ROW()-5,N($AA536)+1,N($AA536)))</f>
        <v/>
      </c>
    </row>
    <row r="538" ht="21" customHeight="1" s="66">
      <c r="A538" s="56" t="n"/>
      <c r="B538" s="57" t="n"/>
      <c r="C538" s="57" t="n"/>
      <c r="D538" s="57" t="n"/>
      <c r="E538" s="56" t="n"/>
      <c r="F538" s="57" t="n"/>
      <c r="G538" s="57" t="n"/>
      <c r="H538" s="56" t="n"/>
      <c r="I538" s="56" t="n"/>
      <c r="J538" s="58" t="n"/>
      <c r="K538" s="58" t="n"/>
      <c r="L538" s="13">
        <f>IF(OR($A538="",AND($J538="",$K538="")),"",ROUND(N($J538)-N($K538),2))</f>
        <v/>
      </c>
      <c r="M538" s="13">
        <f>IF(OR($A538="",AND($J538="",$K538="")),"",MIN($J538,$K538))</f>
        <v/>
      </c>
      <c r="Q538">
        <f>IF($A538="","",$D538&amp;"("&amp;SUBSTITUTE($E538," ","")&amp;")")</f>
        <v/>
      </c>
      <c r="R538">
        <f>IF($A538="","",$B538&amp;" - "&amp;$C538)</f>
        <v/>
      </c>
      <c r="S538">
        <f>IF($A538="","",$R538&amp;"|"&amp;$Q538)</f>
        <v/>
      </c>
      <c r="T538">
        <f>IF($A538="","",$S538&amp;"|"&amp;$F538)</f>
        <v/>
      </c>
      <c r="U538">
        <f>IF($A538="","",$R538&amp;"("&amp;$E538&amp;")")</f>
        <v/>
      </c>
      <c r="V538">
        <f>IF($A538="","",$F538&amp;"|"&amp;$U538&amp;"|"&amp;$D538)</f>
        <v/>
      </c>
      <c r="W538">
        <f>IF($T538="","",IF($X538&gt;N($X537),$X538,""))</f>
        <v/>
      </c>
      <c r="X538">
        <f>IF($T538="",N($X537),IF(MATCH($T538,$T$6:$T$6005,0)=ROW()-5,N($X537)+1,N($X537)))</f>
        <v/>
      </c>
      <c r="Z538">
        <f>IF($V538="","",IF($AA538&gt;N($AA537),$AA538,""))</f>
        <v/>
      </c>
      <c r="AA538">
        <f>IF($V538="",N($AA537),IF(MATCH($V538,$V$6:$V$6005,0)=ROW()-5,N($AA537)+1,N($AA537)))</f>
        <v/>
      </c>
    </row>
    <row r="539" ht="21" customHeight="1" s="66">
      <c r="A539" s="56" t="n"/>
      <c r="B539" s="57" t="n"/>
      <c r="C539" s="57" t="n"/>
      <c r="D539" s="57" t="n"/>
      <c r="E539" s="56" t="n"/>
      <c r="F539" s="57" t="n"/>
      <c r="G539" s="57" t="n"/>
      <c r="H539" s="56" t="n"/>
      <c r="I539" s="56" t="n"/>
      <c r="J539" s="58" t="n"/>
      <c r="K539" s="58" t="n"/>
      <c r="L539" s="13">
        <f>IF(OR($A539="",AND($J539="",$K539="")),"",ROUND(N($J539)-N($K539),2))</f>
        <v/>
      </c>
      <c r="M539" s="13">
        <f>IF(OR($A539="",AND($J539="",$K539="")),"",MIN($J539,$K539))</f>
        <v/>
      </c>
      <c r="Q539">
        <f>IF($A539="","",$D539&amp;"("&amp;SUBSTITUTE($E539," ","")&amp;")")</f>
        <v/>
      </c>
      <c r="R539">
        <f>IF($A539="","",$B539&amp;" - "&amp;$C539)</f>
        <v/>
      </c>
      <c r="S539">
        <f>IF($A539="","",$R539&amp;"|"&amp;$Q539)</f>
        <v/>
      </c>
      <c r="T539">
        <f>IF($A539="","",$S539&amp;"|"&amp;$F539)</f>
        <v/>
      </c>
      <c r="U539">
        <f>IF($A539="","",$R539&amp;"("&amp;$E539&amp;")")</f>
        <v/>
      </c>
      <c r="V539">
        <f>IF($A539="","",$F539&amp;"|"&amp;$U539&amp;"|"&amp;$D539)</f>
        <v/>
      </c>
      <c r="W539">
        <f>IF($T539="","",IF($X539&gt;N($X538),$X539,""))</f>
        <v/>
      </c>
      <c r="X539">
        <f>IF($T539="",N($X538),IF(MATCH($T539,$T$6:$T$6005,0)=ROW()-5,N($X538)+1,N($X538)))</f>
        <v/>
      </c>
      <c r="Z539">
        <f>IF($V539="","",IF($AA539&gt;N($AA538),$AA539,""))</f>
        <v/>
      </c>
      <c r="AA539">
        <f>IF($V539="",N($AA538),IF(MATCH($V539,$V$6:$V$6005,0)=ROW()-5,N($AA538)+1,N($AA538)))</f>
        <v/>
      </c>
    </row>
    <row r="540" ht="21" customHeight="1" s="66">
      <c r="A540" s="56" t="n"/>
      <c r="B540" s="57" t="n"/>
      <c r="C540" s="57" t="n"/>
      <c r="D540" s="57" t="n"/>
      <c r="E540" s="56" t="n"/>
      <c r="F540" s="57" t="n"/>
      <c r="G540" s="57" t="n"/>
      <c r="H540" s="56" t="n"/>
      <c r="I540" s="56" t="n"/>
      <c r="J540" s="58" t="n"/>
      <c r="K540" s="58" t="n"/>
      <c r="L540" s="13">
        <f>IF(OR($A540="",AND($J540="",$K540="")),"",ROUND(N($J540)-N($K540),2))</f>
        <v/>
      </c>
      <c r="M540" s="13">
        <f>IF(OR($A540="",AND($J540="",$K540="")),"",MIN($J540,$K540))</f>
        <v/>
      </c>
      <c r="Q540">
        <f>IF($A540="","",$D540&amp;"("&amp;SUBSTITUTE($E540," ","")&amp;")")</f>
        <v/>
      </c>
      <c r="R540">
        <f>IF($A540="","",$B540&amp;" - "&amp;$C540)</f>
        <v/>
      </c>
      <c r="S540">
        <f>IF($A540="","",$R540&amp;"|"&amp;$Q540)</f>
        <v/>
      </c>
      <c r="T540">
        <f>IF($A540="","",$S540&amp;"|"&amp;$F540)</f>
        <v/>
      </c>
      <c r="U540">
        <f>IF($A540="","",$R540&amp;"("&amp;$E540&amp;")")</f>
        <v/>
      </c>
      <c r="V540">
        <f>IF($A540="","",$F540&amp;"|"&amp;$U540&amp;"|"&amp;$D540)</f>
        <v/>
      </c>
      <c r="W540">
        <f>IF($T540="","",IF($X540&gt;N($X539),$X540,""))</f>
        <v/>
      </c>
      <c r="X540">
        <f>IF($T540="",N($X539),IF(MATCH($T540,$T$6:$T$6005,0)=ROW()-5,N($X539)+1,N($X539)))</f>
        <v/>
      </c>
      <c r="Z540">
        <f>IF($V540="","",IF($AA540&gt;N($AA539),$AA540,""))</f>
        <v/>
      </c>
      <c r="AA540">
        <f>IF($V540="",N($AA539),IF(MATCH($V540,$V$6:$V$6005,0)=ROW()-5,N($AA539)+1,N($AA539)))</f>
        <v/>
      </c>
    </row>
    <row r="541" ht="21" customHeight="1" s="66">
      <c r="A541" s="56" t="n"/>
      <c r="B541" s="57" t="n"/>
      <c r="C541" s="57" t="n"/>
      <c r="D541" s="57" t="n"/>
      <c r="E541" s="56" t="n"/>
      <c r="F541" s="57" t="n"/>
      <c r="G541" s="57" t="n"/>
      <c r="H541" s="56" t="n"/>
      <c r="I541" s="56" t="n"/>
      <c r="J541" s="58" t="n"/>
      <c r="K541" s="58" t="n"/>
      <c r="L541" s="13">
        <f>IF(OR($A541="",AND($J541="",$K541="")),"",ROUND(N($J541)-N($K541),2))</f>
        <v/>
      </c>
      <c r="M541" s="13">
        <f>IF(OR($A541="",AND($J541="",$K541="")),"",MIN($J541,$K541))</f>
        <v/>
      </c>
      <c r="Q541">
        <f>IF($A541="","",$D541&amp;"("&amp;SUBSTITUTE($E541," ","")&amp;")")</f>
        <v/>
      </c>
      <c r="R541">
        <f>IF($A541="","",$B541&amp;" - "&amp;$C541)</f>
        <v/>
      </c>
      <c r="S541">
        <f>IF($A541="","",$R541&amp;"|"&amp;$Q541)</f>
        <v/>
      </c>
      <c r="T541">
        <f>IF($A541="","",$S541&amp;"|"&amp;$F541)</f>
        <v/>
      </c>
      <c r="U541">
        <f>IF($A541="","",$R541&amp;"("&amp;$E541&amp;")")</f>
        <v/>
      </c>
      <c r="V541">
        <f>IF($A541="","",$F541&amp;"|"&amp;$U541&amp;"|"&amp;$D541)</f>
        <v/>
      </c>
      <c r="W541">
        <f>IF($T541="","",IF($X541&gt;N($X540),$X541,""))</f>
        <v/>
      </c>
      <c r="X541">
        <f>IF($T541="",N($X540),IF(MATCH($T541,$T$6:$T$6005,0)=ROW()-5,N($X540)+1,N($X540)))</f>
        <v/>
      </c>
      <c r="Z541">
        <f>IF($V541="","",IF($AA541&gt;N($AA540),$AA541,""))</f>
        <v/>
      </c>
      <c r="AA541">
        <f>IF($V541="",N($AA540),IF(MATCH($V541,$V$6:$V$6005,0)=ROW()-5,N($AA540)+1,N($AA540)))</f>
        <v/>
      </c>
    </row>
    <row r="542" ht="21" customHeight="1" s="66">
      <c r="A542" s="56" t="n"/>
      <c r="B542" s="57" t="n"/>
      <c r="C542" s="57" t="n"/>
      <c r="D542" s="57" t="n"/>
      <c r="E542" s="56" t="n"/>
      <c r="F542" s="57" t="n"/>
      <c r="G542" s="57" t="n"/>
      <c r="H542" s="56" t="n"/>
      <c r="I542" s="56" t="n"/>
      <c r="J542" s="58" t="n"/>
      <c r="K542" s="58" t="n"/>
      <c r="L542" s="13">
        <f>IF(OR($A542="",AND($J542="",$K542="")),"",ROUND(N($J542)-N($K542),2))</f>
        <v/>
      </c>
      <c r="M542" s="13">
        <f>IF(OR($A542="",AND($J542="",$K542="")),"",MIN($J542,$K542))</f>
        <v/>
      </c>
      <c r="Q542">
        <f>IF($A542="","",$D542&amp;"("&amp;SUBSTITUTE($E542," ","")&amp;")")</f>
        <v/>
      </c>
      <c r="R542">
        <f>IF($A542="","",$B542&amp;" - "&amp;$C542)</f>
        <v/>
      </c>
      <c r="S542">
        <f>IF($A542="","",$R542&amp;"|"&amp;$Q542)</f>
        <v/>
      </c>
      <c r="T542">
        <f>IF($A542="","",$S542&amp;"|"&amp;$F542)</f>
        <v/>
      </c>
      <c r="U542">
        <f>IF($A542="","",$R542&amp;"("&amp;$E542&amp;")")</f>
        <v/>
      </c>
      <c r="V542">
        <f>IF($A542="","",$F542&amp;"|"&amp;$U542&amp;"|"&amp;$D542)</f>
        <v/>
      </c>
      <c r="W542">
        <f>IF($T542="","",IF($X542&gt;N($X541),$X542,""))</f>
        <v/>
      </c>
      <c r="X542">
        <f>IF($T542="",N($X541),IF(MATCH($T542,$T$6:$T$6005,0)=ROW()-5,N($X541)+1,N($X541)))</f>
        <v/>
      </c>
      <c r="Z542">
        <f>IF($V542="","",IF($AA542&gt;N($AA541),$AA542,""))</f>
        <v/>
      </c>
      <c r="AA542">
        <f>IF($V542="",N($AA541),IF(MATCH($V542,$V$6:$V$6005,0)=ROW()-5,N($AA541)+1,N($AA541)))</f>
        <v/>
      </c>
    </row>
    <row r="543" ht="21" customHeight="1" s="66">
      <c r="A543" s="56" t="n"/>
      <c r="B543" s="57" t="n"/>
      <c r="C543" s="57" t="n"/>
      <c r="D543" s="57" t="n"/>
      <c r="E543" s="56" t="n"/>
      <c r="F543" s="57" t="n"/>
      <c r="G543" s="57" t="n"/>
      <c r="H543" s="56" t="n"/>
      <c r="I543" s="56" t="n"/>
      <c r="J543" s="58" t="n"/>
      <c r="K543" s="58" t="n"/>
      <c r="L543" s="13">
        <f>IF(OR($A543="",AND($J543="",$K543="")),"",ROUND(N($J543)-N($K543),2))</f>
        <v/>
      </c>
      <c r="M543" s="13">
        <f>IF(OR($A543="",AND($J543="",$K543="")),"",MIN($J543,$K543))</f>
        <v/>
      </c>
      <c r="Q543">
        <f>IF($A543="","",$D543&amp;"("&amp;SUBSTITUTE($E543," ","")&amp;")")</f>
        <v/>
      </c>
      <c r="R543">
        <f>IF($A543="","",$B543&amp;" - "&amp;$C543)</f>
        <v/>
      </c>
      <c r="S543">
        <f>IF($A543="","",$R543&amp;"|"&amp;$Q543)</f>
        <v/>
      </c>
      <c r="T543">
        <f>IF($A543="","",$S543&amp;"|"&amp;$F543)</f>
        <v/>
      </c>
      <c r="U543">
        <f>IF($A543="","",$R543&amp;"("&amp;$E543&amp;")")</f>
        <v/>
      </c>
      <c r="V543">
        <f>IF($A543="","",$F543&amp;"|"&amp;$U543&amp;"|"&amp;$D543)</f>
        <v/>
      </c>
      <c r="W543">
        <f>IF($T543="","",IF($X543&gt;N($X542),$X543,""))</f>
        <v/>
      </c>
      <c r="X543">
        <f>IF($T543="",N($X542),IF(MATCH($T543,$T$6:$T$6005,0)=ROW()-5,N($X542)+1,N($X542)))</f>
        <v/>
      </c>
      <c r="Z543">
        <f>IF($V543="","",IF($AA543&gt;N($AA542),$AA543,""))</f>
        <v/>
      </c>
      <c r="AA543">
        <f>IF($V543="",N($AA542),IF(MATCH($V543,$V$6:$V$6005,0)=ROW()-5,N($AA542)+1,N($AA542)))</f>
        <v/>
      </c>
    </row>
    <row r="544" ht="21" customHeight="1" s="66">
      <c r="A544" s="56" t="n"/>
      <c r="B544" s="57" t="n"/>
      <c r="C544" s="57" t="n"/>
      <c r="D544" s="57" t="n"/>
      <c r="E544" s="56" t="n"/>
      <c r="F544" s="57" t="n"/>
      <c r="G544" s="57" t="n"/>
      <c r="H544" s="56" t="n"/>
      <c r="I544" s="56" t="n"/>
      <c r="J544" s="58" t="n"/>
      <c r="K544" s="58" t="n"/>
      <c r="L544" s="13">
        <f>IF(OR($A544="",AND($J544="",$K544="")),"",ROUND(N($J544)-N($K544),2))</f>
        <v/>
      </c>
      <c r="M544" s="13">
        <f>IF(OR($A544="",AND($J544="",$K544="")),"",MIN($J544,$K544))</f>
        <v/>
      </c>
      <c r="Q544">
        <f>IF($A544="","",$D544&amp;"("&amp;SUBSTITUTE($E544," ","")&amp;")")</f>
        <v/>
      </c>
      <c r="R544">
        <f>IF($A544="","",$B544&amp;" - "&amp;$C544)</f>
        <v/>
      </c>
      <c r="S544">
        <f>IF($A544="","",$R544&amp;"|"&amp;$Q544)</f>
        <v/>
      </c>
      <c r="T544">
        <f>IF($A544="","",$S544&amp;"|"&amp;$F544)</f>
        <v/>
      </c>
      <c r="U544">
        <f>IF($A544="","",$R544&amp;"("&amp;$E544&amp;")")</f>
        <v/>
      </c>
      <c r="V544">
        <f>IF($A544="","",$F544&amp;"|"&amp;$U544&amp;"|"&amp;$D544)</f>
        <v/>
      </c>
      <c r="W544">
        <f>IF($T544="","",IF($X544&gt;N($X543),$X544,""))</f>
        <v/>
      </c>
      <c r="X544">
        <f>IF($T544="",N($X543),IF(MATCH($T544,$T$6:$T$6005,0)=ROW()-5,N($X543)+1,N($X543)))</f>
        <v/>
      </c>
      <c r="Z544">
        <f>IF($V544="","",IF($AA544&gt;N($AA543),$AA544,""))</f>
        <v/>
      </c>
      <c r="AA544">
        <f>IF($V544="",N($AA543),IF(MATCH($V544,$V$6:$V$6005,0)=ROW()-5,N($AA543)+1,N($AA543)))</f>
        <v/>
      </c>
    </row>
    <row r="545" ht="21" customHeight="1" s="66">
      <c r="A545" s="56" t="n"/>
      <c r="B545" s="57" t="n"/>
      <c r="C545" s="57" t="n"/>
      <c r="D545" s="57" t="n"/>
      <c r="E545" s="56" t="n"/>
      <c r="F545" s="57" t="n"/>
      <c r="G545" s="57" t="n"/>
      <c r="H545" s="56" t="n"/>
      <c r="I545" s="56" t="n"/>
      <c r="J545" s="58" t="n"/>
      <c r="K545" s="58" t="n"/>
      <c r="L545" s="13">
        <f>IF(OR($A545="",AND($J545="",$K545="")),"",ROUND(N($J545)-N($K545),2))</f>
        <v/>
      </c>
      <c r="M545" s="13">
        <f>IF(OR($A545="",AND($J545="",$K545="")),"",MIN($J545,$K545))</f>
        <v/>
      </c>
      <c r="Q545">
        <f>IF($A545="","",$D545&amp;"("&amp;SUBSTITUTE($E545," ","")&amp;")")</f>
        <v/>
      </c>
      <c r="R545">
        <f>IF($A545="","",$B545&amp;" - "&amp;$C545)</f>
        <v/>
      </c>
      <c r="S545">
        <f>IF($A545="","",$R545&amp;"|"&amp;$Q545)</f>
        <v/>
      </c>
      <c r="T545">
        <f>IF($A545="","",$S545&amp;"|"&amp;$F545)</f>
        <v/>
      </c>
      <c r="U545">
        <f>IF($A545="","",$R545&amp;"("&amp;$E545&amp;")")</f>
        <v/>
      </c>
      <c r="V545">
        <f>IF($A545="","",$F545&amp;"|"&amp;$U545&amp;"|"&amp;$D545)</f>
        <v/>
      </c>
      <c r="W545">
        <f>IF($T545="","",IF($X545&gt;N($X544),$X545,""))</f>
        <v/>
      </c>
      <c r="X545">
        <f>IF($T545="",N($X544),IF(MATCH($T545,$T$6:$T$6005,0)=ROW()-5,N($X544)+1,N($X544)))</f>
        <v/>
      </c>
      <c r="Z545">
        <f>IF($V545="","",IF($AA545&gt;N($AA544),$AA545,""))</f>
        <v/>
      </c>
      <c r="AA545">
        <f>IF($V545="",N($AA544),IF(MATCH($V545,$V$6:$V$6005,0)=ROW()-5,N($AA544)+1,N($AA544)))</f>
        <v/>
      </c>
    </row>
    <row r="546" ht="21" customHeight="1" s="66">
      <c r="A546" s="56" t="n"/>
      <c r="B546" s="57" t="n"/>
      <c r="C546" s="57" t="n"/>
      <c r="D546" s="57" t="n"/>
      <c r="E546" s="56" t="n"/>
      <c r="F546" s="57" t="n"/>
      <c r="G546" s="57" t="n"/>
      <c r="H546" s="56" t="n"/>
      <c r="I546" s="56" t="n"/>
      <c r="J546" s="58" t="n"/>
      <c r="K546" s="58" t="n"/>
      <c r="L546" s="13">
        <f>IF(OR($A546="",AND($J546="",$K546="")),"",ROUND(N($J546)-N($K546),2))</f>
        <v/>
      </c>
      <c r="M546" s="13">
        <f>IF(OR($A546="",AND($J546="",$K546="")),"",MIN($J546,$K546))</f>
        <v/>
      </c>
      <c r="Q546">
        <f>IF($A546="","",$D546&amp;"("&amp;SUBSTITUTE($E546," ","")&amp;")")</f>
        <v/>
      </c>
      <c r="R546">
        <f>IF($A546="","",$B546&amp;" - "&amp;$C546)</f>
        <v/>
      </c>
      <c r="S546">
        <f>IF($A546="","",$R546&amp;"|"&amp;$Q546)</f>
        <v/>
      </c>
      <c r="T546">
        <f>IF($A546="","",$S546&amp;"|"&amp;$F546)</f>
        <v/>
      </c>
      <c r="U546">
        <f>IF($A546="","",$R546&amp;"("&amp;$E546&amp;")")</f>
        <v/>
      </c>
      <c r="V546">
        <f>IF($A546="","",$F546&amp;"|"&amp;$U546&amp;"|"&amp;$D546)</f>
        <v/>
      </c>
      <c r="W546">
        <f>IF($T546="","",IF($X546&gt;N($X545),$X546,""))</f>
        <v/>
      </c>
      <c r="X546">
        <f>IF($T546="",N($X545),IF(MATCH($T546,$T$6:$T$6005,0)=ROW()-5,N($X545)+1,N($X545)))</f>
        <v/>
      </c>
      <c r="Z546">
        <f>IF($V546="","",IF($AA546&gt;N($AA545),$AA546,""))</f>
        <v/>
      </c>
      <c r="AA546">
        <f>IF($V546="",N($AA545),IF(MATCH($V546,$V$6:$V$6005,0)=ROW()-5,N($AA545)+1,N($AA545)))</f>
        <v/>
      </c>
    </row>
    <row r="547" ht="21" customHeight="1" s="66">
      <c r="A547" s="56" t="n"/>
      <c r="B547" s="57" t="n"/>
      <c r="C547" s="57" t="n"/>
      <c r="D547" s="57" t="n"/>
      <c r="E547" s="56" t="n"/>
      <c r="F547" s="57" t="n"/>
      <c r="G547" s="57" t="n"/>
      <c r="H547" s="56" t="n"/>
      <c r="I547" s="56" t="n"/>
      <c r="J547" s="58" t="n"/>
      <c r="K547" s="58" t="n"/>
      <c r="L547" s="13">
        <f>IF(OR($A547="",AND($J547="",$K547="")),"",ROUND(N($J547)-N($K547),2))</f>
        <v/>
      </c>
      <c r="M547" s="13">
        <f>IF(OR($A547="",AND($J547="",$K547="")),"",MIN($J547,$K547))</f>
        <v/>
      </c>
      <c r="Q547">
        <f>IF($A547="","",$D547&amp;"("&amp;SUBSTITUTE($E547," ","")&amp;")")</f>
        <v/>
      </c>
      <c r="R547">
        <f>IF($A547="","",$B547&amp;" - "&amp;$C547)</f>
        <v/>
      </c>
      <c r="S547">
        <f>IF($A547="","",$R547&amp;"|"&amp;$Q547)</f>
        <v/>
      </c>
      <c r="T547">
        <f>IF($A547="","",$S547&amp;"|"&amp;$F547)</f>
        <v/>
      </c>
      <c r="U547">
        <f>IF($A547="","",$R547&amp;"("&amp;$E547&amp;")")</f>
        <v/>
      </c>
      <c r="V547">
        <f>IF($A547="","",$F547&amp;"|"&amp;$U547&amp;"|"&amp;$D547)</f>
        <v/>
      </c>
      <c r="W547">
        <f>IF($T547="","",IF($X547&gt;N($X546),$X547,""))</f>
        <v/>
      </c>
      <c r="X547">
        <f>IF($T547="",N($X546),IF(MATCH($T547,$T$6:$T$6005,0)=ROW()-5,N($X546)+1,N($X546)))</f>
        <v/>
      </c>
      <c r="Z547">
        <f>IF($V547="","",IF($AA547&gt;N($AA546),$AA547,""))</f>
        <v/>
      </c>
      <c r="AA547">
        <f>IF($V547="",N($AA546),IF(MATCH($V547,$V$6:$V$6005,0)=ROW()-5,N($AA546)+1,N($AA546)))</f>
        <v/>
      </c>
    </row>
    <row r="548" ht="21" customHeight="1" s="66">
      <c r="A548" s="56" t="n"/>
      <c r="B548" s="57" t="n"/>
      <c r="C548" s="57" t="n"/>
      <c r="D548" s="57" t="n"/>
      <c r="E548" s="56" t="n"/>
      <c r="F548" s="57" t="n"/>
      <c r="G548" s="57" t="n"/>
      <c r="H548" s="56" t="n"/>
      <c r="I548" s="56" t="n"/>
      <c r="J548" s="58" t="n"/>
      <c r="K548" s="58" t="n"/>
      <c r="L548" s="13">
        <f>IF(OR($A548="",AND($J548="",$K548="")),"",ROUND(N($J548)-N($K548),2))</f>
        <v/>
      </c>
      <c r="M548" s="13">
        <f>IF(OR($A548="",AND($J548="",$K548="")),"",MIN($J548,$K548))</f>
        <v/>
      </c>
      <c r="Q548">
        <f>IF($A548="","",$D548&amp;"("&amp;SUBSTITUTE($E548," ","")&amp;")")</f>
        <v/>
      </c>
      <c r="R548">
        <f>IF($A548="","",$B548&amp;" - "&amp;$C548)</f>
        <v/>
      </c>
      <c r="S548">
        <f>IF($A548="","",$R548&amp;"|"&amp;$Q548)</f>
        <v/>
      </c>
      <c r="T548">
        <f>IF($A548="","",$S548&amp;"|"&amp;$F548)</f>
        <v/>
      </c>
      <c r="U548">
        <f>IF($A548="","",$R548&amp;"("&amp;$E548&amp;")")</f>
        <v/>
      </c>
      <c r="V548">
        <f>IF($A548="","",$F548&amp;"|"&amp;$U548&amp;"|"&amp;$D548)</f>
        <v/>
      </c>
      <c r="W548">
        <f>IF($T548="","",IF($X548&gt;N($X547),$X548,""))</f>
        <v/>
      </c>
      <c r="X548">
        <f>IF($T548="",N($X547),IF(MATCH($T548,$T$6:$T$6005,0)=ROW()-5,N($X547)+1,N($X547)))</f>
        <v/>
      </c>
      <c r="Z548">
        <f>IF($V548="","",IF($AA548&gt;N($AA547),$AA548,""))</f>
        <v/>
      </c>
      <c r="AA548">
        <f>IF($V548="",N($AA547),IF(MATCH($V548,$V$6:$V$6005,0)=ROW()-5,N($AA547)+1,N($AA547)))</f>
        <v/>
      </c>
    </row>
    <row r="549" ht="21" customHeight="1" s="66">
      <c r="A549" s="56" t="n"/>
      <c r="B549" s="57" t="n"/>
      <c r="C549" s="57" t="n"/>
      <c r="D549" s="57" t="n"/>
      <c r="E549" s="56" t="n"/>
      <c r="F549" s="57" t="n"/>
      <c r="G549" s="57" t="n"/>
      <c r="H549" s="56" t="n"/>
      <c r="I549" s="56" t="n"/>
      <c r="J549" s="58" t="n"/>
      <c r="K549" s="58" t="n"/>
      <c r="L549" s="13">
        <f>IF(OR($A549="",AND($J549="",$K549="")),"",ROUND(N($J549)-N($K549),2))</f>
        <v/>
      </c>
      <c r="M549" s="13">
        <f>IF(OR($A549="",AND($J549="",$K549="")),"",MIN($J549,$K549))</f>
        <v/>
      </c>
      <c r="Q549">
        <f>IF($A549="","",$D549&amp;"("&amp;SUBSTITUTE($E549," ","")&amp;")")</f>
        <v/>
      </c>
      <c r="R549">
        <f>IF($A549="","",$B549&amp;" - "&amp;$C549)</f>
        <v/>
      </c>
      <c r="S549">
        <f>IF($A549="","",$R549&amp;"|"&amp;$Q549)</f>
        <v/>
      </c>
      <c r="T549">
        <f>IF($A549="","",$S549&amp;"|"&amp;$F549)</f>
        <v/>
      </c>
      <c r="U549">
        <f>IF($A549="","",$R549&amp;"("&amp;$E549&amp;")")</f>
        <v/>
      </c>
      <c r="V549">
        <f>IF($A549="","",$F549&amp;"|"&amp;$U549&amp;"|"&amp;$D549)</f>
        <v/>
      </c>
      <c r="W549">
        <f>IF($T549="","",IF($X549&gt;N($X548),$X549,""))</f>
        <v/>
      </c>
      <c r="X549">
        <f>IF($T549="",N($X548),IF(MATCH($T549,$T$6:$T$6005,0)=ROW()-5,N($X548)+1,N($X548)))</f>
        <v/>
      </c>
      <c r="Z549">
        <f>IF($V549="","",IF($AA549&gt;N($AA548),$AA549,""))</f>
        <v/>
      </c>
      <c r="AA549">
        <f>IF($V549="",N($AA548),IF(MATCH($V549,$V$6:$V$6005,0)=ROW()-5,N($AA548)+1,N($AA548)))</f>
        <v/>
      </c>
    </row>
    <row r="550" ht="21" customHeight="1" s="66">
      <c r="A550" s="56" t="n"/>
      <c r="B550" s="57" t="n"/>
      <c r="C550" s="57" t="n"/>
      <c r="D550" s="57" t="n"/>
      <c r="E550" s="56" t="n"/>
      <c r="F550" s="57" t="n"/>
      <c r="G550" s="57" t="n"/>
      <c r="H550" s="56" t="n"/>
      <c r="I550" s="56" t="n"/>
      <c r="J550" s="58" t="n"/>
      <c r="K550" s="58" t="n"/>
      <c r="L550" s="13">
        <f>IF(OR($A550="",AND($J550="",$K550="")),"",ROUND(N($J550)-N($K550),2))</f>
        <v/>
      </c>
      <c r="M550" s="13">
        <f>IF(OR($A550="",AND($J550="",$K550="")),"",MIN($J550,$K550))</f>
        <v/>
      </c>
      <c r="Q550">
        <f>IF($A550="","",$D550&amp;"("&amp;SUBSTITUTE($E550," ","")&amp;")")</f>
        <v/>
      </c>
      <c r="R550">
        <f>IF($A550="","",$B550&amp;" - "&amp;$C550)</f>
        <v/>
      </c>
      <c r="S550">
        <f>IF($A550="","",$R550&amp;"|"&amp;$Q550)</f>
        <v/>
      </c>
      <c r="T550">
        <f>IF($A550="","",$S550&amp;"|"&amp;$F550)</f>
        <v/>
      </c>
      <c r="U550">
        <f>IF($A550="","",$R550&amp;"("&amp;$E550&amp;")")</f>
        <v/>
      </c>
      <c r="V550">
        <f>IF($A550="","",$F550&amp;"|"&amp;$U550&amp;"|"&amp;$D550)</f>
        <v/>
      </c>
      <c r="W550">
        <f>IF($T550="","",IF($X550&gt;N($X549),$X550,""))</f>
        <v/>
      </c>
      <c r="X550">
        <f>IF($T550="",N($X549),IF(MATCH($T550,$T$6:$T$6005,0)=ROW()-5,N($X549)+1,N($X549)))</f>
        <v/>
      </c>
      <c r="Z550">
        <f>IF($V550="","",IF($AA550&gt;N($AA549),$AA550,""))</f>
        <v/>
      </c>
      <c r="AA550">
        <f>IF($V550="",N($AA549),IF(MATCH($V550,$V$6:$V$6005,0)=ROW()-5,N($AA549)+1,N($AA549)))</f>
        <v/>
      </c>
    </row>
    <row r="551" ht="21" customHeight="1" s="66">
      <c r="A551" s="56" t="n"/>
      <c r="B551" s="57" t="n"/>
      <c r="C551" s="57" t="n"/>
      <c r="D551" s="57" t="n"/>
      <c r="E551" s="56" t="n"/>
      <c r="F551" s="57" t="n"/>
      <c r="G551" s="57" t="n"/>
      <c r="H551" s="56" t="n"/>
      <c r="I551" s="56" t="n"/>
      <c r="J551" s="58" t="n"/>
      <c r="K551" s="58" t="n"/>
      <c r="L551" s="13">
        <f>IF(OR($A551="",AND($J551="",$K551="")),"",ROUND(N($J551)-N($K551),2))</f>
        <v/>
      </c>
      <c r="M551" s="13">
        <f>IF(OR($A551="",AND($J551="",$K551="")),"",MIN($J551,$K551))</f>
        <v/>
      </c>
      <c r="Q551">
        <f>IF($A551="","",$D551&amp;"("&amp;SUBSTITUTE($E551," ","")&amp;")")</f>
        <v/>
      </c>
      <c r="R551">
        <f>IF($A551="","",$B551&amp;" - "&amp;$C551)</f>
        <v/>
      </c>
      <c r="S551">
        <f>IF($A551="","",$R551&amp;"|"&amp;$Q551)</f>
        <v/>
      </c>
      <c r="T551">
        <f>IF($A551="","",$S551&amp;"|"&amp;$F551)</f>
        <v/>
      </c>
      <c r="U551">
        <f>IF($A551="","",$R551&amp;"("&amp;$E551&amp;")")</f>
        <v/>
      </c>
      <c r="V551">
        <f>IF($A551="","",$F551&amp;"|"&amp;$U551&amp;"|"&amp;$D551)</f>
        <v/>
      </c>
      <c r="W551">
        <f>IF($T551="","",IF($X551&gt;N($X550),$X551,""))</f>
        <v/>
      </c>
      <c r="X551">
        <f>IF($T551="",N($X550),IF(MATCH($T551,$T$6:$T$6005,0)=ROW()-5,N($X550)+1,N($X550)))</f>
        <v/>
      </c>
      <c r="Z551">
        <f>IF($V551="","",IF($AA551&gt;N($AA550),$AA551,""))</f>
        <v/>
      </c>
      <c r="AA551">
        <f>IF($V551="",N($AA550),IF(MATCH($V551,$V$6:$V$6005,0)=ROW()-5,N($AA550)+1,N($AA550)))</f>
        <v/>
      </c>
    </row>
    <row r="552" ht="21" customHeight="1" s="66">
      <c r="A552" s="56" t="n"/>
      <c r="B552" s="57" t="n"/>
      <c r="C552" s="57" t="n"/>
      <c r="D552" s="57" t="n"/>
      <c r="E552" s="56" t="n"/>
      <c r="F552" s="57" t="n"/>
      <c r="G552" s="57" t="n"/>
      <c r="H552" s="56" t="n"/>
      <c r="I552" s="56" t="n"/>
      <c r="J552" s="58" t="n"/>
      <c r="K552" s="58" t="n"/>
      <c r="L552" s="13">
        <f>IF(OR($A552="",AND($J552="",$K552="")),"",ROUND(N($J552)-N($K552),2))</f>
        <v/>
      </c>
      <c r="M552" s="13">
        <f>IF(OR($A552="",AND($J552="",$K552="")),"",MIN($J552,$K552))</f>
        <v/>
      </c>
      <c r="Q552">
        <f>IF($A552="","",$D552&amp;"("&amp;SUBSTITUTE($E552," ","")&amp;")")</f>
        <v/>
      </c>
      <c r="R552">
        <f>IF($A552="","",$B552&amp;" - "&amp;$C552)</f>
        <v/>
      </c>
      <c r="S552">
        <f>IF($A552="","",$R552&amp;"|"&amp;$Q552)</f>
        <v/>
      </c>
      <c r="T552">
        <f>IF($A552="","",$S552&amp;"|"&amp;$F552)</f>
        <v/>
      </c>
      <c r="U552">
        <f>IF($A552="","",$R552&amp;"("&amp;$E552&amp;")")</f>
        <v/>
      </c>
      <c r="V552">
        <f>IF($A552="","",$F552&amp;"|"&amp;$U552&amp;"|"&amp;$D552)</f>
        <v/>
      </c>
      <c r="W552">
        <f>IF($T552="","",IF($X552&gt;N($X551),$X552,""))</f>
        <v/>
      </c>
      <c r="X552">
        <f>IF($T552="",N($X551),IF(MATCH($T552,$T$6:$T$6005,0)=ROW()-5,N($X551)+1,N($X551)))</f>
        <v/>
      </c>
      <c r="Z552">
        <f>IF($V552="","",IF($AA552&gt;N($AA551),$AA552,""))</f>
        <v/>
      </c>
      <c r="AA552">
        <f>IF($V552="",N($AA551),IF(MATCH($V552,$V$6:$V$6005,0)=ROW()-5,N($AA551)+1,N($AA551)))</f>
        <v/>
      </c>
    </row>
    <row r="553" ht="21" customHeight="1" s="66">
      <c r="A553" s="56" t="n"/>
      <c r="B553" s="57" t="n"/>
      <c r="C553" s="57" t="n"/>
      <c r="D553" s="57" t="n"/>
      <c r="E553" s="56" t="n"/>
      <c r="F553" s="57" t="n"/>
      <c r="G553" s="57" t="n"/>
      <c r="H553" s="56" t="n"/>
      <c r="I553" s="56" t="n"/>
      <c r="J553" s="58" t="n"/>
      <c r="K553" s="58" t="n"/>
      <c r="L553" s="13">
        <f>IF(OR($A553="",AND($J553="",$K553="")),"",ROUND(N($J553)-N($K553),2))</f>
        <v/>
      </c>
      <c r="M553" s="13">
        <f>IF(OR($A553="",AND($J553="",$K553="")),"",MIN($J553,$K553))</f>
        <v/>
      </c>
      <c r="Q553">
        <f>IF($A553="","",$D553&amp;"("&amp;SUBSTITUTE($E553," ","")&amp;")")</f>
        <v/>
      </c>
      <c r="R553">
        <f>IF($A553="","",$B553&amp;" - "&amp;$C553)</f>
        <v/>
      </c>
      <c r="S553">
        <f>IF($A553="","",$R553&amp;"|"&amp;$Q553)</f>
        <v/>
      </c>
      <c r="T553">
        <f>IF($A553="","",$S553&amp;"|"&amp;$F553)</f>
        <v/>
      </c>
      <c r="U553">
        <f>IF($A553="","",$R553&amp;"("&amp;$E553&amp;")")</f>
        <v/>
      </c>
      <c r="V553">
        <f>IF($A553="","",$F553&amp;"|"&amp;$U553&amp;"|"&amp;$D553)</f>
        <v/>
      </c>
      <c r="W553">
        <f>IF($T553="","",IF($X553&gt;N($X552),$X553,""))</f>
        <v/>
      </c>
      <c r="X553">
        <f>IF($T553="",N($X552),IF(MATCH($T553,$T$6:$T$6005,0)=ROW()-5,N($X552)+1,N($X552)))</f>
        <v/>
      </c>
      <c r="Z553">
        <f>IF($V553="","",IF($AA553&gt;N($AA552),$AA553,""))</f>
        <v/>
      </c>
      <c r="AA553">
        <f>IF($V553="",N($AA552),IF(MATCH($V553,$V$6:$V$6005,0)=ROW()-5,N($AA552)+1,N($AA552)))</f>
        <v/>
      </c>
    </row>
    <row r="554" ht="21" customHeight="1" s="66">
      <c r="A554" s="56" t="n"/>
      <c r="B554" s="57" t="n"/>
      <c r="C554" s="57" t="n"/>
      <c r="D554" s="57" t="n"/>
      <c r="E554" s="56" t="n"/>
      <c r="F554" s="57" t="n"/>
      <c r="G554" s="57" t="n"/>
      <c r="H554" s="56" t="n"/>
      <c r="I554" s="56" t="n"/>
      <c r="J554" s="58" t="n"/>
      <c r="K554" s="58" t="n"/>
      <c r="L554" s="13">
        <f>IF(OR($A554="",AND($J554="",$K554="")),"",ROUND(N($J554)-N($K554),2))</f>
        <v/>
      </c>
      <c r="M554" s="13">
        <f>IF(OR($A554="",AND($J554="",$K554="")),"",MIN($J554,$K554))</f>
        <v/>
      </c>
      <c r="Q554">
        <f>IF($A554="","",$D554&amp;"("&amp;SUBSTITUTE($E554," ","")&amp;")")</f>
        <v/>
      </c>
      <c r="R554">
        <f>IF($A554="","",$B554&amp;" - "&amp;$C554)</f>
        <v/>
      </c>
      <c r="S554">
        <f>IF($A554="","",$R554&amp;"|"&amp;$Q554)</f>
        <v/>
      </c>
      <c r="T554">
        <f>IF($A554="","",$S554&amp;"|"&amp;$F554)</f>
        <v/>
      </c>
      <c r="U554">
        <f>IF($A554="","",$R554&amp;"("&amp;$E554&amp;")")</f>
        <v/>
      </c>
      <c r="V554">
        <f>IF($A554="","",$F554&amp;"|"&amp;$U554&amp;"|"&amp;$D554)</f>
        <v/>
      </c>
      <c r="W554">
        <f>IF($T554="","",IF($X554&gt;N($X553),$X554,""))</f>
        <v/>
      </c>
      <c r="X554">
        <f>IF($T554="",N($X553),IF(MATCH($T554,$T$6:$T$6005,0)=ROW()-5,N($X553)+1,N($X553)))</f>
        <v/>
      </c>
      <c r="Z554">
        <f>IF($V554="","",IF($AA554&gt;N($AA553),$AA554,""))</f>
        <v/>
      </c>
      <c r="AA554">
        <f>IF($V554="",N($AA553),IF(MATCH($V554,$V$6:$V$6005,0)=ROW()-5,N($AA553)+1,N($AA553)))</f>
        <v/>
      </c>
    </row>
    <row r="555" ht="21" customHeight="1" s="66">
      <c r="A555" s="56" t="n"/>
      <c r="B555" s="57" t="n"/>
      <c r="C555" s="57" t="n"/>
      <c r="D555" s="57" t="n"/>
      <c r="E555" s="56" t="n"/>
      <c r="F555" s="57" t="n"/>
      <c r="G555" s="57" t="n"/>
      <c r="H555" s="56" t="n"/>
      <c r="I555" s="56" t="n"/>
      <c r="J555" s="58" t="n"/>
      <c r="K555" s="58" t="n"/>
      <c r="L555" s="13">
        <f>IF(OR($A555="",AND($J555="",$K555="")),"",ROUND(N($J555)-N($K555),2))</f>
        <v/>
      </c>
      <c r="M555" s="13">
        <f>IF(OR($A555="",AND($J555="",$K555="")),"",MIN($J555,$K555))</f>
        <v/>
      </c>
      <c r="Q555">
        <f>IF($A555="","",$D555&amp;"("&amp;SUBSTITUTE($E555," ","")&amp;")")</f>
        <v/>
      </c>
      <c r="R555">
        <f>IF($A555="","",$B555&amp;" - "&amp;$C555)</f>
        <v/>
      </c>
      <c r="S555">
        <f>IF($A555="","",$R555&amp;"|"&amp;$Q555)</f>
        <v/>
      </c>
      <c r="T555">
        <f>IF($A555="","",$S555&amp;"|"&amp;$F555)</f>
        <v/>
      </c>
      <c r="U555">
        <f>IF($A555="","",$R555&amp;"("&amp;$E555&amp;")")</f>
        <v/>
      </c>
      <c r="V555">
        <f>IF($A555="","",$F555&amp;"|"&amp;$U555&amp;"|"&amp;$D555)</f>
        <v/>
      </c>
      <c r="W555">
        <f>IF($T555="","",IF($X555&gt;N($X554),$X555,""))</f>
        <v/>
      </c>
      <c r="X555">
        <f>IF($T555="",N($X554),IF(MATCH($T555,$T$6:$T$6005,0)=ROW()-5,N($X554)+1,N($X554)))</f>
        <v/>
      </c>
      <c r="Z555">
        <f>IF($V555="","",IF($AA555&gt;N($AA554),$AA555,""))</f>
        <v/>
      </c>
      <c r="AA555">
        <f>IF($V555="",N($AA554),IF(MATCH($V555,$V$6:$V$6005,0)=ROW()-5,N($AA554)+1,N($AA554)))</f>
        <v/>
      </c>
    </row>
    <row r="556" ht="21" customHeight="1" s="66">
      <c r="A556" s="56" t="n"/>
      <c r="B556" s="57" t="n"/>
      <c r="C556" s="57" t="n"/>
      <c r="D556" s="57" t="n"/>
      <c r="E556" s="56" t="n"/>
      <c r="F556" s="57" t="n"/>
      <c r="G556" s="57" t="n"/>
      <c r="H556" s="56" t="n"/>
      <c r="I556" s="56" t="n"/>
      <c r="J556" s="58" t="n"/>
      <c r="K556" s="58" t="n"/>
      <c r="L556" s="13">
        <f>IF(OR($A556="",AND($J556="",$K556="")),"",ROUND(N($J556)-N($K556),2))</f>
        <v/>
      </c>
      <c r="M556" s="13">
        <f>IF(OR($A556="",AND($J556="",$K556="")),"",MIN($J556,$K556))</f>
        <v/>
      </c>
      <c r="Q556">
        <f>IF($A556="","",$D556&amp;"("&amp;SUBSTITUTE($E556," ","")&amp;")")</f>
        <v/>
      </c>
      <c r="R556">
        <f>IF($A556="","",$B556&amp;" - "&amp;$C556)</f>
        <v/>
      </c>
      <c r="S556">
        <f>IF($A556="","",$R556&amp;"|"&amp;$Q556)</f>
        <v/>
      </c>
      <c r="T556">
        <f>IF($A556="","",$S556&amp;"|"&amp;$F556)</f>
        <v/>
      </c>
      <c r="U556">
        <f>IF($A556="","",$R556&amp;"("&amp;$E556&amp;")")</f>
        <v/>
      </c>
      <c r="V556">
        <f>IF($A556="","",$F556&amp;"|"&amp;$U556&amp;"|"&amp;$D556)</f>
        <v/>
      </c>
      <c r="W556">
        <f>IF($T556="","",IF($X556&gt;N($X555),$X556,""))</f>
        <v/>
      </c>
      <c r="X556">
        <f>IF($T556="",N($X555),IF(MATCH($T556,$T$6:$T$6005,0)=ROW()-5,N($X555)+1,N($X555)))</f>
        <v/>
      </c>
      <c r="Z556">
        <f>IF($V556="","",IF($AA556&gt;N($AA555),$AA556,""))</f>
        <v/>
      </c>
      <c r="AA556">
        <f>IF($V556="",N($AA555),IF(MATCH($V556,$V$6:$V$6005,0)=ROW()-5,N($AA555)+1,N($AA555)))</f>
        <v/>
      </c>
    </row>
    <row r="557" ht="21" customHeight="1" s="66">
      <c r="A557" s="56" t="n"/>
      <c r="B557" s="57" t="n"/>
      <c r="C557" s="57" t="n"/>
      <c r="D557" s="57" t="n"/>
      <c r="E557" s="56" t="n"/>
      <c r="F557" s="57" t="n"/>
      <c r="G557" s="57" t="n"/>
      <c r="H557" s="56" t="n"/>
      <c r="I557" s="56" t="n"/>
      <c r="J557" s="58" t="n"/>
      <c r="K557" s="58" t="n"/>
      <c r="L557" s="13">
        <f>IF(OR($A557="",AND($J557="",$K557="")),"",ROUND(N($J557)-N($K557),2))</f>
        <v/>
      </c>
      <c r="M557" s="13">
        <f>IF(OR($A557="",AND($J557="",$K557="")),"",MIN($J557,$K557))</f>
        <v/>
      </c>
      <c r="Q557">
        <f>IF($A557="","",$D557&amp;"("&amp;SUBSTITUTE($E557," ","")&amp;")")</f>
        <v/>
      </c>
      <c r="R557">
        <f>IF($A557="","",$B557&amp;" - "&amp;$C557)</f>
        <v/>
      </c>
      <c r="S557">
        <f>IF($A557="","",$R557&amp;"|"&amp;$Q557)</f>
        <v/>
      </c>
      <c r="T557">
        <f>IF($A557="","",$S557&amp;"|"&amp;$F557)</f>
        <v/>
      </c>
      <c r="U557">
        <f>IF($A557="","",$R557&amp;"("&amp;$E557&amp;")")</f>
        <v/>
      </c>
      <c r="V557">
        <f>IF($A557="","",$F557&amp;"|"&amp;$U557&amp;"|"&amp;$D557)</f>
        <v/>
      </c>
      <c r="W557">
        <f>IF($T557="","",IF($X557&gt;N($X556),$X557,""))</f>
        <v/>
      </c>
      <c r="X557">
        <f>IF($T557="",N($X556),IF(MATCH($T557,$T$6:$T$6005,0)=ROW()-5,N($X556)+1,N($X556)))</f>
        <v/>
      </c>
      <c r="Z557">
        <f>IF($V557="","",IF($AA557&gt;N($AA556),$AA557,""))</f>
        <v/>
      </c>
      <c r="AA557">
        <f>IF($V557="",N($AA556),IF(MATCH($V557,$V$6:$V$6005,0)=ROW()-5,N($AA556)+1,N($AA556)))</f>
        <v/>
      </c>
    </row>
    <row r="558" ht="21" customHeight="1" s="66">
      <c r="A558" s="56" t="n"/>
      <c r="B558" s="57" t="n"/>
      <c r="C558" s="57" t="n"/>
      <c r="D558" s="57" t="n"/>
      <c r="E558" s="56" t="n"/>
      <c r="F558" s="57" t="n"/>
      <c r="G558" s="57" t="n"/>
      <c r="H558" s="56" t="n"/>
      <c r="I558" s="56" t="n"/>
      <c r="J558" s="58" t="n"/>
      <c r="K558" s="58" t="n"/>
      <c r="L558" s="13">
        <f>IF(OR($A558="",AND($J558="",$K558="")),"",ROUND(N($J558)-N($K558),2))</f>
        <v/>
      </c>
      <c r="M558" s="13">
        <f>IF(OR($A558="",AND($J558="",$K558="")),"",MIN($J558,$K558))</f>
        <v/>
      </c>
      <c r="Q558">
        <f>IF($A558="","",$D558&amp;"("&amp;SUBSTITUTE($E558," ","")&amp;")")</f>
        <v/>
      </c>
      <c r="R558">
        <f>IF($A558="","",$B558&amp;" - "&amp;$C558)</f>
        <v/>
      </c>
      <c r="S558">
        <f>IF($A558="","",$R558&amp;"|"&amp;$Q558)</f>
        <v/>
      </c>
      <c r="T558">
        <f>IF($A558="","",$S558&amp;"|"&amp;$F558)</f>
        <v/>
      </c>
      <c r="U558">
        <f>IF($A558="","",$R558&amp;"("&amp;$E558&amp;")")</f>
        <v/>
      </c>
      <c r="V558">
        <f>IF($A558="","",$F558&amp;"|"&amp;$U558&amp;"|"&amp;$D558)</f>
        <v/>
      </c>
      <c r="W558">
        <f>IF($T558="","",IF($X558&gt;N($X557),$X558,""))</f>
        <v/>
      </c>
      <c r="X558">
        <f>IF($T558="",N($X557),IF(MATCH($T558,$T$6:$T$6005,0)=ROW()-5,N($X557)+1,N($X557)))</f>
        <v/>
      </c>
      <c r="Z558">
        <f>IF($V558="","",IF($AA558&gt;N($AA557),$AA558,""))</f>
        <v/>
      </c>
      <c r="AA558">
        <f>IF($V558="",N($AA557),IF(MATCH($V558,$V$6:$V$6005,0)=ROW()-5,N($AA557)+1,N($AA557)))</f>
        <v/>
      </c>
    </row>
    <row r="559" ht="21" customHeight="1" s="66">
      <c r="A559" s="56" t="n"/>
      <c r="B559" s="57" t="n"/>
      <c r="C559" s="57" t="n"/>
      <c r="D559" s="57" t="n"/>
      <c r="E559" s="56" t="n"/>
      <c r="F559" s="57" t="n"/>
      <c r="G559" s="57" t="n"/>
      <c r="H559" s="56" t="n"/>
      <c r="I559" s="56" t="n"/>
      <c r="J559" s="58" t="n"/>
      <c r="K559" s="58" t="n"/>
      <c r="L559" s="13">
        <f>IF(OR($A559="",AND($J559="",$K559="")),"",ROUND(N($J559)-N($K559),2))</f>
        <v/>
      </c>
      <c r="M559" s="13">
        <f>IF(OR($A559="",AND($J559="",$K559="")),"",MIN($J559,$K559))</f>
        <v/>
      </c>
      <c r="Q559">
        <f>IF($A559="","",$D559&amp;"("&amp;SUBSTITUTE($E559," ","")&amp;")")</f>
        <v/>
      </c>
      <c r="R559">
        <f>IF($A559="","",$B559&amp;" - "&amp;$C559)</f>
        <v/>
      </c>
      <c r="S559">
        <f>IF($A559="","",$R559&amp;"|"&amp;$Q559)</f>
        <v/>
      </c>
      <c r="T559">
        <f>IF($A559="","",$S559&amp;"|"&amp;$F559)</f>
        <v/>
      </c>
      <c r="U559">
        <f>IF($A559="","",$R559&amp;"("&amp;$E559&amp;")")</f>
        <v/>
      </c>
      <c r="V559">
        <f>IF($A559="","",$F559&amp;"|"&amp;$U559&amp;"|"&amp;$D559)</f>
        <v/>
      </c>
      <c r="W559">
        <f>IF($T559="","",IF($X559&gt;N($X558),$X559,""))</f>
        <v/>
      </c>
      <c r="X559">
        <f>IF($T559="",N($X558),IF(MATCH($T559,$T$6:$T$6005,0)=ROW()-5,N($X558)+1,N($X558)))</f>
        <v/>
      </c>
      <c r="Z559">
        <f>IF($V559="","",IF($AA559&gt;N($AA558),$AA559,""))</f>
        <v/>
      </c>
      <c r="AA559">
        <f>IF($V559="",N($AA558),IF(MATCH($V559,$V$6:$V$6005,0)=ROW()-5,N($AA558)+1,N($AA558)))</f>
        <v/>
      </c>
    </row>
    <row r="560" ht="21" customHeight="1" s="66">
      <c r="A560" s="56" t="n"/>
      <c r="B560" s="57" t="n"/>
      <c r="C560" s="57" t="n"/>
      <c r="D560" s="57" t="n"/>
      <c r="E560" s="56" t="n"/>
      <c r="F560" s="57" t="n"/>
      <c r="G560" s="57" t="n"/>
      <c r="H560" s="56" t="n"/>
      <c r="I560" s="56" t="n"/>
      <c r="J560" s="58" t="n"/>
      <c r="K560" s="58" t="n"/>
      <c r="L560" s="13">
        <f>IF(OR($A560="",AND($J560="",$K560="")),"",ROUND(N($J560)-N($K560),2))</f>
        <v/>
      </c>
      <c r="M560" s="13">
        <f>IF(OR($A560="",AND($J560="",$K560="")),"",MIN($J560,$K560))</f>
        <v/>
      </c>
      <c r="Q560">
        <f>IF($A560="","",$D560&amp;"("&amp;SUBSTITUTE($E560," ","")&amp;")")</f>
        <v/>
      </c>
      <c r="R560">
        <f>IF($A560="","",$B560&amp;" - "&amp;$C560)</f>
        <v/>
      </c>
      <c r="S560">
        <f>IF($A560="","",$R560&amp;"|"&amp;$Q560)</f>
        <v/>
      </c>
      <c r="T560">
        <f>IF($A560="","",$S560&amp;"|"&amp;$F560)</f>
        <v/>
      </c>
      <c r="U560">
        <f>IF($A560="","",$R560&amp;"("&amp;$E560&amp;")")</f>
        <v/>
      </c>
      <c r="V560">
        <f>IF($A560="","",$F560&amp;"|"&amp;$U560&amp;"|"&amp;$D560)</f>
        <v/>
      </c>
      <c r="W560">
        <f>IF($T560="","",IF($X560&gt;N($X559),$X560,""))</f>
        <v/>
      </c>
      <c r="X560">
        <f>IF($T560="",N($X559),IF(MATCH($T560,$T$6:$T$6005,0)=ROW()-5,N($X559)+1,N($X559)))</f>
        <v/>
      </c>
      <c r="Z560">
        <f>IF($V560="","",IF($AA560&gt;N($AA559),$AA560,""))</f>
        <v/>
      </c>
      <c r="AA560">
        <f>IF($V560="",N($AA559),IF(MATCH($V560,$V$6:$V$6005,0)=ROW()-5,N($AA559)+1,N($AA559)))</f>
        <v/>
      </c>
    </row>
    <row r="561" ht="21" customHeight="1" s="66">
      <c r="A561" s="56" t="n"/>
      <c r="B561" s="57" t="n"/>
      <c r="C561" s="57" t="n"/>
      <c r="D561" s="57" t="n"/>
      <c r="E561" s="56" t="n"/>
      <c r="F561" s="57" t="n"/>
      <c r="G561" s="57" t="n"/>
      <c r="H561" s="56" t="n"/>
      <c r="I561" s="56" t="n"/>
      <c r="J561" s="58" t="n"/>
      <c r="K561" s="58" t="n"/>
      <c r="L561" s="13">
        <f>IF(OR($A561="",AND($J561="",$K561="")),"",ROUND(N($J561)-N($K561),2))</f>
        <v/>
      </c>
      <c r="M561" s="13">
        <f>IF(OR($A561="",AND($J561="",$K561="")),"",MIN($J561,$K561))</f>
        <v/>
      </c>
      <c r="Q561">
        <f>IF($A561="","",$D561&amp;"("&amp;SUBSTITUTE($E561," ","")&amp;")")</f>
        <v/>
      </c>
      <c r="R561">
        <f>IF($A561="","",$B561&amp;" - "&amp;$C561)</f>
        <v/>
      </c>
      <c r="S561">
        <f>IF($A561="","",$R561&amp;"|"&amp;$Q561)</f>
        <v/>
      </c>
      <c r="T561">
        <f>IF($A561="","",$S561&amp;"|"&amp;$F561)</f>
        <v/>
      </c>
      <c r="U561">
        <f>IF($A561="","",$R561&amp;"("&amp;$E561&amp;")")</f>
        <v/>
      </c>
      <c r="V561">
        <f>IF($A561="","",$F561&amp;"|"&amp;$U561&amp;"|"&amp;$D561)</f>
        <v/>
      </c>
      <c r="W561">
        <f>IF($T561="","",IF($X561&gt;N($X560),$X561,""))</f>
        <v/>
      </c>
      <c r="X561">
        <f>IF($T561="",N($X560),IF(MATCH($T561,$T$6:$T$6005,0)=ROW()-5,N($X560)+1,N($X560)))</f>
        <v/>
      </c>
      <c r="Z561">
        <f>IF($V561="","",IF($AA561&gt;N($AA560),$AA561,""))</f>
        <v/>
      </c>
      <c r="AA561">
        <f>IF($V561="",N($AA560),IF(MATCH($V561,$V$6:$V$6005,0)=ROW()-5,N($AA560)+1,N($AA560)))</f>
        <v/>
      </c>
    </row>
    <row r="562" ht="21" customHeight="1" s="66">
      <c r="A562" s="56" t="n"/>
      <c r="B562" s="57" t="n"/>
      <c r="C562" s="57" t="n"/>
      <c r="D562" s="57" t="n"/>
      <c r="E562" s="56" t="n"/>
      <c r="F562" s="57" t="n"/>
      <c r="G562" s="57" t="n"/>
      <c r="H562" s="56" t="n"/>
      <c r="I562" s="56" t="n"/>
      <c r="J562" s="58" t="n"/>
      <c r="K562" s="58" t="n"/>
      <c r="L562" s="13">
        <f>IF(OR($A562="",AND($J562="",$K562="")),"",ROUND(N($J562)-N($K562),2))</f>
        <v/>
      </c>
      <c r="M562" s="13">
        <f>IF(OR($A562="",AND($J562="",$K562="")),"",MIN($J562,$K562))</f>
        <v/>
      </c>
      <c r="Q562">
        <f>IF($A562="","",$D562&amp;"("&amp;SUBSTITUTE($E562," ","")&amp;")")</f>
        <v/>
      </c>
      <c r="R562">
        <f>IF($A562="","",$B562&amp;" - "&amp;$C562)</f>
        <v/>
      </c>
      <c r="S562">
        <f>IF($A562="","",$R562&amp;"|"&amp;$Q562)</f>
        <v/>
      </c>
      <c r="T562">
        <f>IF($A562="","",$S562&amp;"|"&amp;$F562)</f>
        <v/>
      </c>
      <c r="U562">
        <f>IF($A562="","",$R562&amp;"("&amp;$E562&amp;")")</f>
        <v/>
      </c>
      <c r="V562">
        <f>IF($A562="","",$F562&amp;"|"&amp;$U562&amp;"|"&amp;$D562)</f>
        <v/>
      </c>
      <c r="W562">
        <f>IF($T562="","",IF($X562&gt;N($X561),$X562,""))</f>
        <v/>
      </c>
      <c r="X562">
        <f>IF($T562="",N($X561),IF(MATCH($T562,$T$6:$T$6005,0)=ROW()-5,N($X561)+1,N($X561)))</f>
        <v/>
      </c>
      <c r="Z562">
        <f>IF($V562="","",IF($AA562&gt;N($AA561),$AA562,""))</f>
        <v/>
      </c>
      <c r="AA562">
        <f>IF($V562="",N($AA561),IF(MATCH($V562,$V$6:$V$6005,0)=ROW()-5,N($AA561)+1,N($AA561)))</f>
        <v/>
      </c>
    </row>
    <row r="563" ht="21" customHeight="1" s="66">
      <c r="A563" s="56" t="n"/>
      <c r="B563" s="57" t="n"/>
      <c r="C563" s="57" t="n"/>
      <c r="D563" s="57" t="n"/>
      <c r="E563" s="56" t="n"/>
      <c r="F563" s="57" t="n"/>
      <c r="G563" s="57" t="n"/>
      <c r="H563" s="56" t="n"/>
      <c r="I563" s="56" t="n"/>
      <c r="J563" s="58" t="n"/>
      <c r="K563" s="58" t="n"/>
      <c r="L563" s="13">
        <f>IF(OR($A563="",AND($J563="",$K563="")),"",ROUND(N($J563)-N($K563),2))</f>
        <v/>
      </c>
      <c r="M563" s="13">
        <f>IF(OR($A563="",AND($J563="",$K563="")),"",MIN($J563,$K563))</f>
        <v/>
      </c>
      <c r="Q563">
        <f>IF($A563="","",$D563&amp;"("&amp;SUBSTITUTE($E563," ","")&amp;")")</f>
        <v/>
      </c>
      <c r="R563">
        <f>IF($A563="","",$B563&amp;" - "&amp;$C563)</f>
        <v/>
      </c>
      <c r="S563">
        <f>IF($A563="","",$R563&amp;"|"&amp;$Q563)</f>
        <v/>
      </c>
      <c r="T563">
        <f>IF($A563="","",$S563&amp;"|"&amp;$F563)</f>
        <v/>
      </c>
      <c r="U563">
        <f>IF($A563="","",$R563&amp;"("&amp;$E563&amp;")")</f>
        <v/>
      </c>
      <c r="V563">
        <f>IF($A563="","",$F563&amp;"|"&amp;$U563&amp;"|"&amp;$D563)</f>
        <v/>
      </c>
      <c r="W563">
        <f>IF($T563="","",IF($X563&gt;N($X562),$X563,""))</f>
        <v/>
      </c>
      <c r="X563">
        <f>IF($T563="",N($X562),IF(MATCH($T563,$T$6:$T$6005,0)=ROW()-5,N($X562)+1,N($X562)))</f>
        <v/>
      </c>
      <c r="Z563">
        <f>IF($V563="","",IF($AA563&gt;N($AA562),$AA563,""))</f>
        <v/>
      </c>
      <c r="AA563">
        <f>IF($V563="",N($AA562),IF(MATCH($V563,$V$6:$V$6005,0)=ROW()-5,N($AA562)+1,N($AA562)))</f>
        <v/>
      </c>
    </row>
    <row r="564" ht="21" customHeight="1" s="66">
      <c r="A564" s="56" t="n"/>
      <c r="B564" s="57" t="n"/>
      <c r="C564" s="57" t="n"/>
      <c r="D564" s="57" t="n"/>
      <c r="E564" s="56" t="n"/>
      <c r="F564" s="57" t="n"/>
      <c r="G564" s="57" t="n"/>
      <c r="H564" s="56" t="n"/>
      <c r="I564" s="56" t="n"/>
      <c r="J564" s="58" t="n"/>
      <c r="K564" s="58" t="n"/>
      <c r="L564" s="13">
        <f>IF(OR($A564="",AND($J564="",$K564="")),"",ROUND(N($J564)-N($K564),2))</f>
        <v/>
      </c>
      <c r="M564" s="13">
        <f>IF(OR($A564="",AND($J564="",$K564="")),"",MIN($J564,$K564))</f>
        <v/>
      </c>
      <c r="Q564">
        <f>IF($A564="","",$D564&amp;"("&amp;SUBSTITUTE($E564," ","")&amp;")")</f>
        <v/>
      </c>
      <c r="R564">
        <f>IF($A564="","",$B564&amp;" - "&amp;$C564)</f>
        <v/>
      </c>
      <c r="S564">
        <f>IF($A564="","",$R564&amp;"|"&amp;$Q564)</f>
        <v/>
      </c>
      <c r="T564">
        <f>IF($A564="","",$S564&amp;"|"&amp;$F564)</f>
        <v/>
      </c>
      <c r="U564">
        <f>IF($A564="","",$R564&amp;"("&amp;$E564&amp;")")</f>
        <v/>
      </c>
      <c r="V564">
        <f>IF($A564="","",$F564&amp;"|"&amp;$U564&amp;"|"&amp;$D564)</f>
        <v/>
      </c>
      <c r="W564">
        <f>IF($T564="","",IF($X564&gt;N($X563),$X564,""))</f>
        <v/>
      </c>
      <c r="X564">
        <f>IF($T564="",N($X563),IF(MATCH($T564,$T$6:$T$6005,0)=ROW()-5,N($X563)+1,N($X563)))</f>
        <v/>
      </c>
      <c r="Z564">
        <f>IF($V564="","",IF($AA564&gt;N($AA563),$AA564,""))</f>
        <v/>
      </c>
      <c r="AA564">
        <f>IF($V564="",N($AA563),IF(MATCH($V564,$V$6:$V$6005,0)=ROW()-5,N($AA563)+1,N($AA563)))</f>
        <v/>
      </c>
    </row>
    <row r="565" ht="21" customHeight="1" s="66">
      <c r="A565" s="56" t="n"/>
      <c r="B565" s="57" t="n"/>
      <c r="C565" s="57" t="n"/>
      <c r="D565" s="57" t="n"/>
      <c r="E565" s="56" t="n"/>
      <c r="F565" s="57" t="n"/>
      <c r="G565" s="57" t="n"/>
      <c r="H565" s="56" t="n"/>
      <c r="I565" s="56" t="n"/>
      <c r="J565" s="58" t="n"/>
      <c r="K565" s="58" t="n"/>
      <c r="L565" s="13">
        <f>IF(OR($A565="",AND($J565="",$K565="")),"",ROUND(N($J565)-N($K565),2))</f>
        <v/>
      </c>
      <c r="M565" s="13">
        <f>IF(OR($A565="",AND($J565="",$K565="")),"",MIN($J565,$K565))</f>
        <v/>
      </c>
      <c r="Q565">
        <f>IF($A565="","",$D565&amp;"("&amp;SUBSTITUTE($E565," ","")&amp;")")</f>
        <v/>
      </c>
      <c r="R565">
        <f>IF($A565="","",$B565&amp;" - "&amp;$C565)</f>
        <v/>
      </c>
      <c r="S565">
        <f>IF($A565="","",$R565&amp;"|"&amp;$Q565)</f>
        <v/>
      </c>
      <c r="T565">
        <f>IF($A565="","",$S565&amp;"|"&amp;$F565)</f>
        <v/>
      </c>
      <c r="U565">
        <f>IF($A565="","",$R565&amp;"("&amp;$E565&amp;")")</f>
        <v/>
      </c>
      <c r="V565">
        <f>IF($A565="","",$F565&amp;"|"&amp;$U565&amp;"|"&amp;$D565)</f>
        <v/>
      </c>
      <c r="W565">
        <f>IF($T565="","",IF($X565&gt;N($X564),$X565,""))</f>
        <v/>
      </c>
      <c r="X565">
        <f>IF($T565="",N($X564),IF(MATCH($T565,$T$6:$T$6005,0)=ROW()-5,N($X564)+1,N($X564)))</f>
        <v/>
      </c>
      <c r="Z565">
        <f>IF($V565="","",IF($AA565&gt;N($AA564),$AA565,""))</f>
        <v/>
      </c>
      <c r="AA565">
        <f>IF($V565="",N($AA564),IF(MATCH($V565,$V$6:$V$6005,0)=ROW()-5,N($AA564)+1,N($AA564)))</f>
        <v/>
      </c>
    </row>
    <row r="566" ht="21" customHeight="1" s="66">
      <c r="A566" s="56" t="n"/>
      <c r="B566" s="57" t="n"/>
      <c r="C566" s="57" t="n"/>
      <c r="D566" s="57" t="n"/>
      <c r="E566" s="56" t="n"/>
      <c r="F566" s="57" t="n"/>
      <c r="G566" s="57" t="n"/>
      <c r="H566" s="56" t="n"/>
      <c r="I566" s="56" t="n"/>
      <c r="J566" s="58" t="n"/>
      <c r="K566" s="58" t="n"/>
      <c r="L566" s="13">
        <f>IF(OR($A566="",AND($J566="",$K566="")),"",ROUND(N($J566)-N($K566),2))</f>
        <v/>
      </c>
      <c r="M566" s="13">
        <f>IF(OR($A566="",AND($J566="",$K566="")),"",MIN($J566,$K566))</f>
        <v/>
      </c>
      <c r="Q566">
        <f>IF($A566="","",$D566&amp;"("&amp;SUBSTITUTE($E566," ","")&amp;")")</f>
        <v/>
      </c>
      <c r="R566">
        <f>IF($A566="","",$B566&amp;" - "&amp;$C566)</f>
        <v/>
      </c>
      <c r="S566">
        <f>IF($A566="","",$R566&amp;"|"&amp;$Q566)</f>
        <v/>
      </c>
      <c r="T566">
        <f>IF($A566="","",$S566&amp;"|"&amp;$F566)</f>
        <v/>
      </c>
      <c r="U566">
        <f>IF($A566="","",$R566&amp;"("&amp;$E566&amp;")")</f>
        <v/>
      </c>
      <c r="V566">
        <f>IF($A566="","",$F566&amp;"|"&amp;$U566&amp;"|"&amp;$D566)</f>
        <v/>
      </c>
      <c r="W566">
        <f>IF($T566="","",IF($X566&gt;N($X565),$X566,""))</f>
        <v/>
      </c>
      <c r="X566">
        <f>IF($T566="",N($X565),IF(MATCH($T566,$T$6:$T$6005,0)=ROW()-5,N($X565)+1,N($X565)))</f>
        <v/>
      </c>
      <c r="Z566">
        <f>IF($V566="","",IF($AA566&gt;N($AA565),$AA566,""))</f>
        <v/>
      </c>
      <c r="AA566">
        <f>IF($V566="",N($AA565),IF(MATCH($V566,$V$6:$V$6005,0)=ROW()-5,N($AA565)+1,N($AA565)))</f>
        <v/>
      </c>
    </row>
    <row r="567" ht="21" customHeight="1" s="66">
      <c r="A567" s="56" t="n"/>
      <c r="B567" s="57" t="n"/>
      <c r="C567" s="57" t="n"/>
      <c r="D567" s="57" t="n"/>
      <c r="E567" s="56" t="n"/>
      <c r="F567" s="57" t="n"/>
      <c r="G567" s="57" t="n"/>
      <c r="H567" s="56" t="n"/>
      <c r="I567" s="56" t="n"/>
      <c r="J567" s="58" t="n"/>
      <c r="K567" s="58" t="n"/>
      <c r="L567" s="13">
        <f>IF(OR($A567="",AND($J567="",$K567="")),"",ROUND(N($J567)-N($K567),2))</f>
        <v/>
      </c>
      <c r="M567" s="13">
        <f>IF(OR($A567="",AND($J567="",$K567="")),"",MIN($J567,$K567))</f>
        <v/>
      </c>
      <c r="Q567">
        <f>IF($A567="","",$D567&amp;"("&amp;SUBSTITUTE($E567," ","")&amp;")")</f>
        <v/>
      </c>
      <c r="R567">
        <f>IF($A567="","",$B567&amp;" - "&amp;$C567)</f>
        <v/>
      </c>
      <c r="S567">
        <f>IF($A567="","",$R567&amp;"|"&amp;$Q567)</f>
        <v/>
      </c>
      <c r="T567">
        <f>IF($A567="","",$S567&amp;"|"&amp;$F567)</f>
        <v/>
      </c>
      <c r="U567">
        <f>IF($A567="","",$R567&amp;"("&amp;$E567&amp;")")</f>
        <v/>
      </c>
      <c r="V567">
        <f>IF($A567="","",$F567&amp;"|"&amp;$U567&amp;"|"&amp;$D567)</f>
        <v/>
      </c>
      <c r="W567">
        <f>IF($T567="","",IF($X567&gt;N($X566),$X567,""))</f>
        <v/>
      </c>
      <c r="X567">
        <f>IF($T567="",N($X566),IF(MATCH($T567,$T$6:$T$6005,0)=ROW()-5,N($X566)+1,N($X566)))</f>
        <v/>
      </c>
      <c r="Z567">
        <f>IF($V567="","",IF($AA567&gt;N($AA566),$AA567,""))</f>
        <v/>
      </c>
      <c r="AA567">
        <f>IF($V567="",N($AA566),IF(MATCH($V567,$V$6:$V$6005,0)=ROW()-5,N($AA566)+1,N($AA566)))</f>
        <v/>
      </c>
    </row>
    <row r="568" ht="21" customHeight="1" s="66">
      <c r="A568" s="56" t="n"/>
      <c r="B568" s="57" t="n"/>
      <c r="C568" s="57" t="n"/>
      <c r="D568" s="57" t="n"/>
      <c r="E568" s="56" t="n"/>
      <c r="F568" s="57" t="n"/>
      <c r="G568" s="57" t="n"/>
      <c r="H568" s="56" t="n"/>
      <c r="I568" s="56" t="n"/>
      <c r="J568" s="58" t="n"/>
      <c r="K568" s="58" t="n"/>
      <c r="L568" s="13">
        <f>IF(OR($A568="",AND($J568="",$K568="")),"",ROUND(N($J568)-N($K568),2))</f>
        <v/>
      </c>
      <c r="M568" s="13">
        <f>IF(OR($A568="",AND($J568="",$K568="")),"",MIN($J568,$K568))</f>
        <v/>
      </c>
      <c r="Q568">
        <f>IF($A568="","",$D568&amp;"("&amp;SUBSTITUTE($E568," ","")&amp;")")</f>
        <v/>
      </c>
      <c r="R568">
        <f>IF($A568="","",$B568&amp;" - "&amp;$C568)</f>
        <v/>
      </c>
      <c r="S568">
        <f>IF($A568="","",$R568&amp;"|"&amp;$Q568)</f>
        <v/>
      </c>
      <c r="T568">
        <f>IF($A568="","",$S568&amp;"|"&amp;$F568)</f>
        <v/>
      </c>
      <c r="U568">
        <f>IF($A568="","",$R568&amp;"("&amp;$E568&amp;")")</f>
        <v/>
      </c>
      <c r="V568">
        <f>IF($A568="","",$F568&amp;"|"&amp;$U568&amp;"|"&amp;$D568)</f>
        <v/>
      </c>
      <c r="W568">
        <f>IF($T568="","",IF($X568&gt;N($X567),$X568,""))</f>
        <v/>
      </c>
      <c r="X568">
        <f>IF($T568="",N($X567),IF(MATCH($T568,$T$6:$T$6005,0)=ROW()-5,N($X567)+1,N($X567)))</f>
        <v/>
      </c>
      <c r="Z568">
        <f>IF($V568="","",IF($AA568&gt;N($AA567),$AA568,""))</f>
        <v/>
      </c>
      <c r="AA568">
        <f>IF($V568="",N($AA567),IF(MATCH($V568,$V$6:$V$6005,0)=ROW()-5,N($AA567)+1,N($AA567)))</f>
        <v/>
      </c>
    </row>
    <row r="569" ht="21" customHeight="1" s="66">
      <c r="A569" s="56" t="n"/>
      <c r="B569" s="57" t="n"/>
      <c r="C569" s="57" t="n"/>
      <c r="D569" s="57" t="n"/>
      <c r="E569" s="56" t="n"/>
      <c r="F569" s="57" t="n"/>
      <c r="G569" s="57" t="n"/>
      <c r="H569" s="56" t="n"/>
      <c r="I569" s="56" t="n"/>
      <c r="J569" s="58" t="n"/>
      <c r="K569" s="58" t="n"/>
      <c r="L569" s="13">
        <f>IF(OR($A569="",AND($J569="",$K569="")),"",ROUND(N($J569)-N($K569),2))</f>
        <v/>
      </c>
      <c r="M569" s="13">
        <f>IF(OR($A569="",AND($J569="",$K569="")),"",MIN($J569,$K569))</f>
        <v/>
      </c>
      <c r="Q569">
        <f>IF($A569="","",$D569&amp;"("&amp;SUBSTITUTE($E569," ","")&amp;")")</f>
        <v/>
      </c>
      <c r="R569">
        <f>IF($A569="","",$B569&amp;" - "&amp;$C569)</f>
        <v/>
      </c>
      <c r="S569">
        <f>IF($A569="","",$R569&amp;"|"&amp;$Q569)</f>
        <v/>
      </c>
      <c r="T569">
        <f>IF($A569="","",$S569&amp;"|"&amp;$F569)</f>
        <v/>
      </c>
      <c r="U569">
        <f>IF($A569="","",$R569&amp;"("&amp;$E569&amp;")")</f>
        <v/>
      </c>
      <c r="V569">
        <f>IF($A569="","",$F569&amp;"|"&amp;$U569&amp;"|"&amp;$D569)</f>
        <v/>
      </c>
      <c r="W569">
        <f>IF($T569="","",IF($X569&gt;N($X568),$X569,""))</f>
        <v/>
      </c>
      <c r="X569">
        <f>IF($T569="",N($X568),IF(MATCH($T569,$T$6:$T$6005,0)=ROW()-5,N($X568)+1,N($X568)))</f>
        <v/>
      </c>
      <c r="Z569">
        <f>IF($V569="","",IF($AA569&gt;N($AA568),$AA569,""))</f>
        <v/>
      </c>
      <c r="AA569">
        <f>IF($V569="",N($AA568),IF(MATCH($V569,$V$6:$V$6005,0)=ROW()-5,N($AA568)+1,N($AA568)))</f>
        <v/>
      </c>
    </row>
    <row r="570" ht="21" customHeight="1" s="66">
      <c r="A570" s="56" t="n"/>
      <c r="B570" s="57" t="n"/>
      <c r="C570" s="57" t="n"/>
      <c r="D570" s="57" t="n"/>
      <c r="E570" s="56" t="n"/>
      <c r="F570" s="57" t="n"/>
      <c r="G570" s="57" t="n"/>
      <c r="H570" s="56" t="n"/>
      <c r="I570" s="56" t="n"/>
      <c r="J570" s="58" t="n"/>
      <c r="K570" s="58" t="n"/>
      <c r="L570" s="13">
        <f>IF(OR($A570="",AND($J570="",$K570="")),"",ROUND(N($J570)-N($K570),2))</f>
        <v/>
      </c>
      <c r="M570" s="13">
        <f>IF(OR($A570="",AND($J570="",$K570="")),"",MIN($J570,$K570))</f>
        <v/>
      </c>
      <c r="Q570">
        <f>IF($A570="","",$D570&amp;"("&amp;SUBSTITUTE($E570," ","")&amp;")")</f>
        <v/>
      </c>
      <c r="R570">
        <f>IF($A570="","",$B570&amp;" - "&amp;$C570)</f>
        <v/>
      </c>
      <c r="S570">
        <f>IF($A570="","",$R570&amp;"|"&amp;$Q570)</f>
        <v/>
      </c>
      <c r="T570">
        <f>IF($A570="","",$S570&amp;"|"&amp;$F570)</f>
        <v/>
      </c>
      <c r="U570">
        <f>IF($A570="","",$R570&amp;"("&amp;$E570&amp;")")</f>
        <v/>
      </c>
      <c r="V570">
        <f>IF($A570="","",$F570&amp;"|"&amp;$U570&amp;"|"&amp;$D570)</f>
        <v/>
      </c>
      <c r="W570">
        <f>IF($T570="","",IF($X570&gt;N($X569),$X570,""))</f>
        <v/>
      </c>
      <c r="X570">
        <f>IF($T570="",N($X569),IF(MATCH($T570,$T$6:$T$6005,0)=ROW()-5,N($X569)+1,N($X569)))</f>
        <v/>
      </c>
      <c r="Z570">
        <f>IF($V570="","",IF($AA570&gt;N($AA569),$AA570,""))</f>
        <v/>
      </c>
      <c r="AA570">
        <f>IF($V570="",N($AA569),IF(MATCH($V570,$V$6:$V$6005,0)=ROW()-5,N($AA569)+1,N($AA569)))</f>
        <v/>
      </c>
    </row>
    <row r="571" ht="21" customHeight="1" s="66">
      <c r="A571" s="56" t="n"/>
      <c r="B571" s="57" t="n"/>
      <c r="C571" s="57" t="n"/>
      <c r="D571" s="57" t="n"/>
      <c r="E571" s="56" t="n"/>
      <c r="F571" s="57" t="n"/>
      <c r="G571" s="57" t="n"/>
      <c r="H571" s="56" t="n"/>
      <c r="I571" s="56" t="n"/>
      <c r="J571" s="58" t="n"/>
      <c r="K571" s="58" t="n"/>
      <c r="L571" s="13">
        <f>IF(OR($A571="",AND($J571="",$K571="")),"",ROUND(N($J571)-N($K571),2))</f>
        <v/>
      </c>
      <c r="M571" s="13">
        <f>IF(OR($A571="",AND($J571="",$K571="")),"",MIN($J571,$K571))</f>
        <v/>
      </c>
      <c r="Q571">
        <f>IF($A571="","",$D571&amp;"("&amp;SUBSTITUTE($E571," ","")&amp;")")</f>
        <v/>
      </c>
      <c r="R571">
        <f>IF($A571="","",$B571&amp;" - "&amp;$C571)</f>
        <v/>
      </c>
      <c r="S571">
        <f>IF($A571="","",$R571&amp;"|"&amp;$Q571)</f>
        <v/>
      </c>
      <c r="T571">
        <f>IF($A571="","",$S571&amp;"|"&amp;$F571)</f>
        <v/>
      </c>
      <c r="U571">
        <f>IF($A571="","",$R571&amp;"("&amp;$E571&amp;")")</f>
        <v/>
      </c>
      <c r="V571">
        <f>IF($A571="","",$F571&amp;"|"&amp;$U571&amp;"|"&amp;$D571)</f>
        <v/>
      </c>
      <c r="W571">
        <f>IF($T571="","",IF($X571&gt;N($X570),$X571,""))</f>
        <v/>
      </c>
      <c r="X571">
        <f>IF($T571="",N($X570),IF(MATCH($T571,$T$6:$T$6005,0)=ROW()-5,N($X570)+1,N($X570)))</f>
        <v/>
      </c>
      <c r="Z571">
        <f>IF($V571="","",IF($AA571&gt;N($AA570),$AA571,""))</f>
        <v/>
      </c>
      <c r="AA571">
        <f>IF($V571="",N($AA570),IF(MATCH($V571,$V$6:$V$6005,0)=ROW()-5,N($AA570)+1,N($AA570)))</f>
        <v/>
      </c>
    </row>
    <row r="572" ht="21" customHeight="1" s="66">
      <c r="A572" s="56" t="n"/>
      <c r="B572" s="57" t="n"/>
      <c r="C572" s="57" t="n"/>
      <c r="D572" s="57" t="n"/>
      <c r="E572" s="56" t="n"/>
      <c r="F572" s="57" t="n"/>
      <c r="G572" s="57" t="n"/>
      <c r="H572" s="56" t="n"/>
      <c r="I572" s="56" t="n"/>
      <c r="J572" s="58" t="n"/>
      <c r="K572" s="58" t="n"/>
      <c r="L572" s="13">
        <f>IF(OR($A572="",AND($J572="",$K572="")),"",ROUND(N($J572)-N($K572),2))</f>
        <v/>
      </c>
      <c r="M572" s="13">
        <f>IF(OR($A572="",AND($J572="",$K572="")),"",MIN($J572,$K572))</f>
        <v/>
      </c>
      <c r="Q572">
        <f>IF($A572="","",$D572&amp;"("&amp;SUBSTITUTE($E572," ","")&amp;")")</f>
        <v/>
      </c>
      <c r="R572">
        <f>IF($A572="","",$B572&amp;" - "&amp;$C572)</f>
        <v/>
      </c>
      <c r="S572">
        <f>IF($A572="","",$R572&amp;"|"&amp;$Q572)</f>
        <v/>
      </c>
      <c r="T572">
        <f>IF($A572="","",$S572&amp;"|"&amp;$F572)</f>
        <v/>
      </c>
      <c r="U572">
        <f>IF($A572="","",$R572&amp;"("&amp;$E572&amp;")")</f>
        <v/>
      </c>
      <c r="V572">
        <f>IF($A572="","",$F572&amp;"|"&amp;$U572&amp;"|"&amp;$D572)</f>
        <v/>
      </c>
      <c r="W572">
        <f>IF($T572="","",IF($X572&gt;N($X571),$X572,""))</f>
        <v/>
      </c>
      <c r="X572">
        <f>IF($T572="",N($X571),IF(MATCH($T572,$T$6:$T$6005,0)=ROW()-5,N($X571)+1,N($X571)))</f>
        <v/>
      </c>
      <c r="Z572">
        <f>IF($V572="","",IF($AA572&gt;N($AA571),$AA572,""))</f>
        <v/>
      </c>
      <c r="AA572">
        <f>IF($V572="",N($AA571),IF(MATCH($V572,$V$6:$V$6005,0)=ROW()-5,N($AA571)+1,N($AA571)))</f>
        <v/>
      </c>
    </row>
    <row r="573" ht="21" customHeight="1" s="66">
      <c r="A573" s="56" t="n"/>
      <c r="B573" s="57" t="n"/>
      <c r="C573" s="57" t="n"/>
      <c r="D573" s="57" t="n"/>
      <c r="E573" s="56" t="n"/>
      <c r="F573" s="57" t="n"/>
      <c r="G573" s="57" t="n"/>
      <c r="H573" s="56" t="n"/>
      <c r="I573" s="56" t="n"/>
      <c r="J573" s="58" t="n"/>
      <c r="K573" s="58" t="n"/>
      <c r="L573" s="13">
        <f>IF(OR($A573="",AND($J573="",$K573="")),"",ROUND(N($J573)-N($K573),2))</f>
        <v/>
      </c>
      <c r="M573" s="13">
        <f>IF(OR($A573="",AND($J573="",$K573="")),"",MIN($J573,$K573))</f>
        <v/>
      </c>
      <c r="Q573">
        <f>IF($A573="","",$D573&amp;"("&amp;SUBSTITUTE($E573," ","")&amp;")")</f>
        <v/>
      </c>
      <c r="R573">
        <f>IF($A573="","",$B573&amp;" - "&amp;$C573)</f>
        <v/>
      </c>
      <c r="S573">
        <f>IF($A573="","",$R573&amp;"|"&amp;$Q573)</f>
        <v/>
      </c>
      <c r="T573">
        <f>IF($A573="","",$S573&amp;"|"&amp;$F573)</f>
        <v/>
      </c>
      <c r="U573">
        <f>IF($A573="","",$R573&amp;"("&amp;$E573&amp;")")</f>
        <v/>
      </c>
      <c r="V573">
        <f>IF($A573="","",$F573&amp;"|"&amp;$U573&amp;"|"&amp;$D573)</f>
        <v/>
      </c>
      <c r="W573">
        <f>IF($T573="","",IF($X573&gt;N($X572),$X573,""))</f>
        <v/>
      </c>
      <c r="X573">
        <f>IF($T573="",N($X572),IF(MATCH($T573,$T$6:$T$6005,0)=ROW()-5,N($X572)+1,N($X572)))</f>
        <v/>
      </c>
      <c r="Z573">
        <f>IF($V573="","",IF($AA573&gt;N($AA572),$AA573,""))</f>
        <v/>
      </c>
      <c r="AA573">
        <f>IF($V573="",N($AA572),IF(MATCH($V573,$V$6:$V$6005,0)=ROW()-5,N($AA572)+1,N($AA572)))</f>
        <v/>
      </c>
    </row>
    <row r="574" ht="21" customHeight="1" s="66">
      <c r="A574" s="56" t="n"/>
      <c r="B574" s="57" t="n"/>
      <c r="C574" s="57" t="n"/>
      <c r="D574" s="57" t="n"/>
      <c r="E574" s="56" t="n"/>
      <c r="F574" s="57" t="n"/>
      <c r="G574" s="57" t="n"/>
      <c r="H574" s="56" t="n"/>
      <c r="I574" s="56" t="n"/>
      <c r="J574" s="58" t="n"/>
      <c r="K574" s="58" t="n"/>
      <c r="L574" s="13">
        <f>IF(OR($A574="",AND($J574="",$K574="")),"",ROUND(N($J574)-N($K574),2))</f>
        <v/>
      </c>
      <c r="M574" s="13">
        <f>IF(OR($A574="",AND($J574="",$K574="")),"",MIN($J574,$K574))</f>
        <v/>
      </c>
      <c r="Q574">
        <f>IF($A574="","",$D574&amp;"("&amp;SUBSTITUTE($E574," ","")&amp;")")</f>
        <v/>
      </c>
      <c r="R574">
        <f>IF($A574="","",$B574&amp;" - "&amp;$C574)</f>
        <v/>
      </c>
      <c r="S574">
        <f>IF($A574="","",$R574&amp;"|"&amp;$Q574)</f>
        <v/>
      </c>
      <c r="T574">
        <f>IF($A574="","",$S574&amp;"|"&amp;$F574)</f>
        <v/>
      </c>
      <c r="U574">
        <f>IF($A574="","",$R574&amp;"("&amp;$E574&amp;")")</f>
        <v/>
      </c>
      <c r="V574">
        <f>IF($A574="","",$F574&amp;"|"&amp;$U574&amp;"|"&amp;$D574)</f>
        <v/>
      </c>
      <c r="W574">
        <f>IF($T574="","",IF($X574&gt;N($X573),$X574,""))</f>
        <v/>
      </c>
      <c r="X574">
        <f>IF($T574="",N($X573),IF(MATCH($T574,$T$6:$T$6005,0)=ROW()-5,N($X573)+1,N($X573)))</f>
        <v/>
      </c>
      <c r="Z574">
        <f>IF($V574="","",IF($AA574&gt;N($AA573),$AA574,""))</f>
        <v/>
      </c>
      <c r="AA574">
        <f>IF($V574="",N($AA573),IF(MATCH($V574,$V$6:$V$6005,0)=ROW()-5,N($AA573)+1,N($AA573)))</f>
        <v/>
      </c>
    </row>
    <row r="575" ht="21" customHeight="1" s="66">
      <c r="A575" s="56" t="n"/>
      <c r="B575" s="57" t="n"/>
      <c r="C575" s="57" t="n"/>
      <c r="D575" s="57" t="n"/>
      <c r="E575" s="56" t="n"/>
      <c r="F575" s="57" t="n"/>
      <c r="G575" s="57" t="n"/>
      <c r="H575" s="56" t="n"/>
      <c r="I575" s="56" t="n"/>
      <c r="J575" s="58" t="n"/>
      <c r="K575" s="58" t="n"/>
      <c r="L575" s="13">
        <f>IF(OR($A575="",AND($J575="",$K575="")),"",ROUND(N($J575)-N($K575),2))</f>
        <v/>
      </c>
      <c r="M575" s="13">
        <f>IF(OR($A575="",AND($J575="",$K575="")),"",MIN($J575,$K575))</f>
        <v/>
      </c>
      <c r="Q575">
        <f>IF($A575="","",$D575&amp;"("&amp;SUBSTITUTE($E575," ","")&amp;")")</f>
        <v/>
      </c>
      <c r="R575">
        <f>IF($A575="","",$B575&amp;" - "&amp;$C575)</f>
        <v/>
      </c>
      <c r="S575">
        <f>IF($A575="","",$R575&amp;"|"&amp;$Q575)</f>
        <v/>
      </c>
      <c r="T575">
        <f>IF($A575="","",$S575&amp;"|"&amp;$F575)</f>
        <v/>
      </c>
      <c r="U575">
        <f>IF($A575="","",$R575&amp;"("&amp;$E575&amp;")")</f>
        <v/>
      </c>
      <c r="V575">
        <f>IF($A575="","",$F575&amp;"|"&amp;$U575&amp;"|"&amp;$D575)</f>
        <v/>
      </c>
      <c r="W575">
        <f>IF($T575="","",IF($X575&gt;N($X574),$X575,""))</f>
        <v/>
      </c>
      <c r="X575">
        <f>IF($T575="",N($X574),IF(MATCH($T575,$T$6:$T$6005,0)=ROW()-5,N($X574)+1,N($X574)))</f>
        <v/>
      </c>
      <c r="Z575">
        <f>IF($V575="","",IF($AA575&gt;N($AA574),$AA575,""))</f>
        <v/>
      </c>
      <c r="AA575">
        <f>IF($V575="",N($AA574),IF(MATCH($V575,$V$6:$V$6005,0)=ROW()-5,N($AA574)+1,N($AA574)))</f>
        <v/>
      </c>
    </row>
    <row r="576" ht="21" customHeight="1" s="66">
      <c r="A576" s="56" t="n"/>
      <c r="B576" s="57" t="n"/>
      <c r="C576" s="57" t="n"/>
      <c r="D576" s="57" t="n"/>
      <c r="E576" s="56" t="n"/>
      <c r="F576" s="57" t="n"/>
      <c r="G576" s="57" t="n"/>
      <c r="H576" s="56" t="n"/>
      <c r="I576" s="56" t="n"/>
      <c r="J576" s="58" t="n"/>
      <c r="K576" s="58" t="n"/>
      <c r="L576" s="13">
        <f>IF(OR($A576="",AND($J576="",$K576="")),"",ROUND(N($J576)-N($K576),2))</f>
        <v/>
      </c>
      <c r="M576" s="13">
        <f>IF(OR($A576="",AND($J576="",$K576="")),"",MIN($J576,$K576))</f>
        <v/>
      </c>
      <c r="Q576">
        <f>IF($A576="","",$D576&amp;"("&amp;SUBSTITUTE($E576," ","")&amp;")")</f>
        <v/>
      </c>
      <c r="R576">
        <f>IF($A576="","",$B576&amp;" - "&amp;$C576)</f>
        <v/>
      </c>
      <c r="S576">
        <f>IF($A576="","",$R576&amp;"|"&amp;$Q576)</f>
        <v/>
      </c>
      <c r="T576">
        <f>IF($A576="","",$S576&amp;"|"&amp;$F576)</f>
        <v/>
      </c>
      <c r="U576">
        <f>IF($A576="","",$R576&amp;"("&amp;$E576&amp;")")</f>
        <v/>
      </c>
      <c r="V576">
        <f>IF($A576="","",$F576&amp;"|"&amp;$U576&amp;"|"&amp;$D576)</f>
        <v/>
      </c>
      <c r="W576">
        <f>IF($T576="","",IF($X576&gt;N($X575),$X576,""))</f>
        <v/>
      </c>
      <c r="X576">
        <f>IF($T576="",N($X575),IF(MATCH($T576,$T$6:$T$6005,0)=ROW()-5,N($X575)+1,N($X575)))</f>
        <v/>
      </c>
      <c r="Z576">
        <f>IF($V576="","",IF($AA576&gt;N($AA575),$AA576,""))</f>
        <v/>
      </c>
      <c r="AA576">
        <f>IF($V576="",N($AA575),IF(MATCH($V576,$V$6:$V$6005,0)=ROW()-5,N($AA575)+1,N($AA575)))</f>
        <v/>
      </c>
    </row>
    <row r="577" ht="21" customHeight="1" s="66">
      <c r="A577" s="56" t="n"/>
      <c r="B577" s="57" t="n"/>
      <c r="C577" s="57" t="n"/>
      <c r="D577" s="57" t="n"/>
      <c r="E577" s="56" t="n"/>
      <c r="F577" s="57" t="n"/>
      <c r="G577" s="57" t="n"/>
      <c r="H577" s="56" t="n"/>
      <c r="I577" s="56" t="n"/>
      <c r="J577" s="58" t="n"/>
      <c r="K577" s="58" t="n"/>
      <c r="L577" s="13">
        <f>IF(OR($A577="",AND($J577="",$K577="")),"",ROUND(N($J577)-N($K577),2))</f>
        <v/>
      </c>
      <c r="M577" s="13">
        <f>IF(OR($A577="",AND($J577="",$K577="")),"",MIN($J577,$K577))</f>
        <v/>
      </c>
      <c r="Q577">
        <f>IF($A577="","",$D577&amp;"("&amp;SUBSTITUTE($E577," ","")&amp;")")</f>
        <v/>
      </c>
      <c r="R577">
        <f>IF($A577="","",$B577&amp;" - "&amp;$C577)</f>
        <v/>
      </c>
      <c r="S577">
        <f>IF($A577="","",$R577&amp;"|"&amp;$Q577)</f>
        <v/>
      </c>
      <c r="T577">
        <f>IF($A577="","",$S577&amp;"|"&amp;$F577)</f>
        <v/>
      </c>
      <c r="U577">
        <f>IF($A577="","",$R577&amp;"("&amp;$E577&amp;")")</f>
        <v/>
      </c>
      <c r="V577">
        <f>IF($A577="","",$F577&amp;"|"&amp;$U577&amp;"|"&amp;$D577)</f>
        <v/>
      </c>
      <c r="W577">
        <f>IF($T577="","",IF($X577&gt;N($X576),$X577,""))</f>
        <v/>
      </c>
      <c r="X577">
        <f>IF($T577="",N($X576),IF(MATCH($T577,$T$6:$T$6005,0)=ROW()-5,N($X576)+1,N($X576)))</f>
        <v/>
      </c>
      <c r="Z577">
        <f>IF($V577="","",IF($AA577&gt;N($AA576),$AA577,""))</f>
        <v/>
      </c>
      <c r="AA577">
        <f>IF($V577="",N($AA576),IF(MATCH($V577,$V$6:$V$6005,0)=ROW()-5,N($AA576)+1,N($AA576)))</f>
        <v/>
      </c>
    </row>
    <row r="578" ht="21" customHeight="1" s="66">
      <c r="A578" s="56" t="n"/>
      <c r="B578" s="57" t="n"/>
      <c r="C578" s="57" t="n"/>
      <c r="D578" s="57" t="n"/>
      <c r="E578" s="56" t="n"/>
      <c r="F578" s="57" t="n"/>
      <c r="G578" s="57" t="n"/>
      <c r="H578" s="56" t="n"/>
      <c r="I578" s="56" t="n"/>
      <c r="J578" s="58" t="n"/>
      <c r="K578" s="58" t="n"/>
      <c r="L578" s="13">
        <f>IF(OR($A578="",AND($J578="",$K578="")),"",ROUND(N($J578)-N($K578),2))</f>
        <v/>
      </c>
      <c r="M578" s="13">
        <f>IF(OR($A578="",AND($J578="",$K578="")),"",MIN($J578,$K578))</f>
        <v/>
      </c>
      <c r="Q578">
        <f>IF($A578="","",$D578&amp;"("&amp;SUBSTITUTE($E578," ","")&amp;")")</f>
        <v/>
      </c>
      <c r="R578">
        <f>IF($A578="","",$B578&amp;" - "&amp;$C578)</f>
        <v/>
      </c>
      <c r="S578">
        <f>IF($A578="","",$R578&amp;"|"&amp;$Q578)</f>
        <v/>
      </c>
      <c r="T578">
        <f>IF($A578="","",$S578&amp;"|"&amp;$F578)</f>
        <v/>
      </c>
      <c r="U578">
        <f>IF($A578="","",$R578&amp;"("&amp;$E578&amp;")")</f>
        <v/>
      </c>
      <c r="V578">
        <f>IF($A578="","",$F578&amp;"|"&amp;$U578&amp;"|"&amp;$D578)</f>
        <v/>
      </c>
      <c r="W578">
        <f>IF($T578="","",IF($X578&gt;N($X577),$X578,""))</f>
        <v/>
      </c>
      <c r="X578">
        <f>IF($T578="",N($X577),IF(MATCH($T578,$T$6:$T$6005,0)=ROW()-5,N($X577)+1,N($X577)))</f>
        <v/>
      </c>
      <c r="Z578">
        <f>IF($V578="","",IF($AA578&gt;N($AA577),$AA578,""))</f>
        <v/>
      </c>
      <c r="AA578">
        <f>IF($V578="",N($AA577),IF(MATCH($V578,$V$6:$V$6005,0)=ROW()-5,N($AA577)+1,N($AA577)))</f>
        <v/>
      </c>
    </row>
    <row r="579" ht="21" customHeight="1" s="66">
      <c r="A579" s="56" t="n"/>
      <c r="B579" s="57" t="n"/>
      <c r="C579" s="57" t="n"/>
      <c r="D579" s="57" t="n"/>
      <c r="E579" s="56" t="n"/>
      <c r="F579" s="57" t="n"/>
      <c r="G579" s="57" t="n"/>
      <c r="H579" s="56" t="n"/>
      <c r="I579" s="56" t="n"/>
      <c r="J579" s="58" t="n"/>
      <c r="K579" s="58" t="n"/>
      <c r="L579" s="13">
        <f>IF(OR($A579="",AND($J579="",$K579="")),"",ROUND(N($J579)-N($K579),2))</f>
        <v/>
      </c>
      <c r="M579" s="13">
        <f>IF(OR($A579="",AND($J579="",$K579="")),"",MIN($J579,$K579))</f>
        <v/>
      </c>
      <c r="Q579">
        <f>IF($A579="","",$D579&amp;"("&amp;SUBSTITUTE($E579," ","")&amp;")")</f>
        <v/>
      </c>
      <c r="R579">
        <f>IF($A579="","",$B579&amp;" - "&amp;$C579)</f>
        <v/>
      </c>
      <c r="S579">
        <f>IF($A579="","",$R579&amp;"|"&amp;$Q579)</f>
        <v/>
      </c>
      <c r="T579">
        <f>IF($A579="","",$S579&amp;"|"&amp;$F579)</f>
        <v/>
      </c>
      <c r="U579">
        <f>IF($A579="","",$R579&amp;"("&amp;$E579&amp;")")</f>
        <v/>
      </c>
      <c r="V579">
        <f>IF($A579="","",$F579&amp;"|"&amp;$U579&amp;"|"&amp;$D579)</f>
        <v/>
      </c>
      <c r="W579">
        <f>IF($T579="","",IF($X579&gt;N($X578),$X579,""))</f>
        <v/>
      </c>
      <c r="X579">
        <f>IF($T579="",N($X578),IF(MATCH($T579,$T$6:$T$6005,0)=ROW()-5,N($X578)+1,N($X578)))</f>
        <v/>
      </c>
      <c r="Z579">
        <f>IF($V579="","",IF($AA579&gt;N($AA578),$AA579,""))</f>
        <v/>
      </c>
      <c r="AA579">
        <f>IF($V579="",N($AA578),IF(MATCH($V579,$V$6:$V$6005,0)=ROW()-5,N($AA578)+1,N($AA578)))</f>
        <v/>
      </c>
    </row>
    <row r="580" ht="21" customHeight="1" s="66">
      <c r="A580" s="56" t="n"/>
      <c r="B580" s="57" t="n"/>
      <c r="C580" s="57" t="n"/>
      <c r="D580" s="57" t="n"/>
      <c r="E580" s="56" t="n"/>
      <c r="F580" s="57" t="n"/>
      <c r="G580" s="57" t="n"/>
      <c r="H580" s="56" t="n"/>
      <c r="I580" s="56" t="n"/>
      <c r="J580" s="58" t="n"/>
      <c r="K580" s="58" t="n"/>
      <c r="L580" s="13">
        <f>IF(OR($A580="",AND($J580="",$K580="")),"",ROUND(N($J580)-N($K580),2))</f>
        <v/>
      </c>
      <c r="M580" s="13">
        <f>IF(OR($A580="",AND($J580="",$K580="")),"",MIN($J580,$K580))</f>
        <v/>
      </c>
      <c r="Q580">
        <f>IF($A580="","",$D580&amp;"("&amp;SUBSTITUTE($E580," ","")&amp;")")</f>
        <v/>
      </c>
      <c r="R580">
        <f>IF($A580="","",$B580&amp;" - "&amp;$C580)</f>
        <v/>
      </c>
      <c r="S580">
        <f>IF($A580="","",$R580&amp;"|"&amp;$Q580)</f>
        <v/>
      </c>
      <c r="T580">
        <f>IF($A580="","",$S580&amp;"|"&amp;$F580)</f>
        <v/>
      </c>
      <c r="U580">
        <f>IF($A580="","",$R580&amp;"("&amp;$E580&amp;")")</f>
        <v/>
      </c>
      <c r="V580">
        <f>IF($A580="","",$F580&amp;"|"&amp;$U580&amp;"|"&amp;$D580)</f>
        <v/>
      </c>
      <c r="W580">
        <f>IF($T580="","",IF($X580&gt;N($X579),$X580,""))</f>
        <v/>
      </c>
      <c r="X580">
        <f>IF($T580="",N($X579),IF(MATCH($T580,$T$6:$T$6005,0)=ROW()-5,N($X579)+1,N($X579)))</f>
        <v/>
      </c>
      <c r="Z580">
        <f>IF($V580="","",IF($AA580&gt;N($AA579),$AA580,""))</f>
        <v/>
      </c>
      <c r="AA580">
        <f>IF($V580="",N($AA579),IF(MATCH($V580,$V$6:$V$6005,0)=ROW()-5,N($AA579)+1,N($AA579)))</f>
        <v/>
      </c>
    </row>
    <row r="581" ht="21" customHeight="1" s="66">
      <c r="A581" s="56" t="n"/>
      <c r="B581" s="57" t="n"/>
      <c r="C581" s="57" t="n"/>
      <c r="D581" s="57" t="n"/>
      <c r="E581" s="56" t="n"/>
      <c r="F581" s="57" t="n"/>
      <c r="G581" s="57" t="n"/>
      <c r="H581" s="56" t="n"/>
      <c r="I581" s="56" t="n"/>
      <c r="J581" s="58" t="n"/>
      <c r="K581" s="58" t="n"/>
      <c r="L581" s="13">
        <f>IF(OR($A581="",AND($J581="",$K581="")),"",ROUND(N($J581)-N($K581),2))</f>
        <v/>
      </c>
      <c r="M581" s="13">
        <f>IF(OR($A581="",AND($J581="",$K581="")),"",MIN($J581,$K581))</f>
        <v/>
      </c>
      <c r="Q581">
        <f>IF($A581="","",$D581&amp;"("&amp;SUBSTITUTE($E581," ","")&amp;")")</f>
        <v/>
      </c>
      <c r="R581">
        <f>IF($A581="","",$B581&amp;" - "&amp;$C581)</f>
        <v/>
      </c>
      <c r="S581">
        <f>IF($A581="","",$R581&amp;"|"&amp;$Q581)</f>
        <v/>
      </c>
      <c r="T581">
        <f>IF($A581="","",$S581&amp;"|"&amp;$F581)</f>
        <v/>
      </c>
      <c r="U581">
        <f>IF($A581="","",$R581&amp;"("&amp;$E581&amp;")")</f>
        <v/>
      </c>
      <c r="V581">
        <f>IF($A581="","",$F581&amp;"|"&amp;$U581&amp;"|"&amp;$D581)</f>
        <v/>
      </c>
      <c r="W581">
        <f>IF($T581="","",IF($X581&gt;N($X580),$X581,""))</f>
        <v/>
      </c>
      <c r="X581">
        <f>IF($T581="",N($X580),IF(MATCH($T581,$T$6:$T$6005,0)=ROW()-5,N($X580)+1,N($X580)))</f>
        <v/>
      </c>
      <c r="Z581">
        <f>IF($V581="","",IF($AA581&gt;N($AA580),$AA581,""))</f>
        <v/>
      </c>
      <c r="AA581">
        <f>IF($V581="",N($AA580),IF(MATCH($V581,$V$6:$V$6005,0)=ROW()-5,N($AA580)+1,N($AA580)))</f>
        <v/>
      </c>
    </row>
    <row r="582" ht="21" customHeight="1" s="66">
      <c r="A582" s="56" t="n"/>
      <c r="B582" s="57" t="n"/>
      <c r="C582" s="57" t="n"/>
      <c r="D582" s="57" t="n"/>
      <c r="E582" s="56" t="n"/>
      <c r="F582" s="57" t="n"/>
      <c r="G582" s="57" t="n"/>
      <c r="H582" s="56" t="n"/>
      <c r="I582" s="56" t="n"/>
      <c r="J582" s="58" t="n"/>
      <c r="K582" s="58" t="n"/>
      <c r="L582" s="13">
        <f>IF(OR($A582="",AND($J582="",$K582="")),"",ROUND(N($J582)-N($K582),2))</f>
        <v/>
      </c>
      <c r="M582" s="13">
        <f>IF(OR($A582="",AND($J582="",$K582="")),"",MIN($J582,$K582))</f>
        <v/>
      </c>
      <c r="Q582">
        <f>IF($A582="","",$D582&amp;"("&amp;SUBSTITUTE($E582," ","")&amp;")")</f>
        <v/>
      </c>
      <c r="R582">
        <f>IF($A582="","",$B582&amp;" - "&amp;$C582)</f>
        <v/>
      </c>
      <c r="S582">
        <f>IF($A582="","",$R582&amp;"|"&amp;$Q582)</f>
        <v/>
      </c>
      <c r="T582">
        <f>IF($A582="","",$S582&amp;"|"&amp;$F582)</f>
        <v/>
      </c>
      <c r="U582">
        <f>IF($A582="","",$R582&amp;"("&amp;$E582&amp;")")</f>
        <v/>
      </c>
      <c r="V582">
        <f>IF($A582="","",$F582&amp;"|"&amp;$U582&amp;"|"&amp;$D582)</f>
        <v/>
      </c>
      <c r="W582">
        <f>IF($T582="","",IF($X582&gt;N($X581),$X582,""))</f>
        <v/>
      </c>
      <c r="X582">
        <f>IF($T582="",N($X581),IF(MATCH($T582,$T$6:$T$6005,0)=ROW()-5,N($X581)+1,N($X581)))</f>
        <v/>
      </c>
      <c r="Z582">
        <f>IF($V582="","",IF($AA582&gt;N($AA581),$AA582,""))</f>
        <v/>
      </c>
      <c r="AA582">
        <f>IF($V582="",N($AA581),IF(MATCH($V582,$V$6:$V$6005,0)=ROW()-5,N($AA581)+1,N($AA581)))</f>
        <v/>
      </c>
    </row>
    <row r="583" ht="21" customHeight="1" s="66">
      <c r="A583" s="56" t="n"/>
      <c r="B583" s="57" t="n"/>
      <c r="C583" s="57" t="n"/>
      <c r="D583" s="57" t="n"/>
      <c r="E583" s="56" t="n"/>
      <c r="F583" s="57" t="n"/>
      <c r="G583" s="57" t="n"/>
      <c r="H583" s="56" t="n"/>
      <c r="I583" s="56" t="n"/>
      <c r="J583" s="58" t="n"/>
      <c r="K583" s="58" t="n"/>
      <c r="L583" s="13">
        <f>IF(OR($A583="",AND($J583="",$K583="")),"",ROUND(N($J583)-N($K583),2))</f>
        <v/>
      </c>
      <c r="M583" s="13">
        <f>IF(OR($A583="",AND($J583="",$K583="")),"",MIN($J583,$K583))</f>
        <v/>
      </c>
      <c r="Q583">
        <f>IF($A583="","",$D583&amp;"("&amp;SUBSTITUTE($E583," ","")&amp;")")</f>
        <v/>
      </c>
      <c r="R583">
        <f>IF($A583="","",$B583&amp;" - "&amp;$C583)</f>
        <v/>
      </c>
      <c r="S583">
        <f>IF($A583="","",$R583&amp;"|"&amp;$Q583)</f>
        <v/>
      </c>
      <c r="T583">
        <f>IF($A583="","",$S583&amp;"|"&amp;$F583)</f>
        <v/>
      </c>
      <c r="U583">
        <f>IF($A583="","",$R583&amp;"("&amp;$E583&amp;")")</f>
        <v/>
      </c>
      <c r="V583">
        <f>IF($A583="","",$F583&amp;"|"&amp;$U583&amp;"|"&amp;$D583)</f>
        <v/>
      </c>
      <c r="W583">
        <f>IF($T583="","",IF($X583&gt;N($X582),$X583,""))</f>
        <v/>
      </c>
      <c r="X583">
        <f>IF($T583="",N($X582),IF(MATCH($T583,$T$6:$T$6005,0)=ROW()-5,N($X582)+1,N($X582)))</f>
        <v/>
      </c>
      <c r="Z583">
        <f>IF($V583="","",IF($AA583&gt;N($AA582),$AA583,""))</f>
        <v/>
      </c>
      <c r="AA583">
        <f>IF($V583="",N($AA582),IF(MATCH($V583,$V$6:$V$6005,0)=ROW()-5,N($AA582)+1,N($AA582)))</f>
        <v/>
      </c>
    </row>
    <row r="584" ht="21" customHeight="1" s="66">
      <c r="A584" s="56" t="n"/>
      <c r="B584" s="57" t="n"/>
      <c r="C584" s="57" t="n"/>
      <c r="D584" s="57" t="n"/>
      <c r="E584" s="56" t="n"/>
      <c r="F584" s="57" t="n"/>
      <c r="G584" s="57" t="n"/>
      <c r="H584" s="56" t="n"/>
      <c r="I584" s="56" t="n"/>
      <c r="J584" s="58" t="n"/>
      <c r="K584" s="58" t="n"/>
      <c r="L584" s="13">
        <f>IF(OR($A584="",AND($J584="",$K584="")),"",ROUND(N($J584)-N($K584),2))</f>
        <v/>
      </c>
      <c r="M584" s="13">
        <f>IF(OR($A584="",AND($J584="",$K584="")),"",MIN($J584,$K584))</f>
        <v/>
      </c>
      <c r="Q584">
        <f>IF($A584="","",$D584&amp;"("&amp;SUBSTITUTE($E584," ","")&amp;")")</f>
        <v/>
      </c>
      <c r="R584">
        <f>IF($A584="","",$B584&amp;" - "&amp;$C584)</f>
        <v/>
      </c>
      <c r="S584">
        <f>IF($A584="","",$R584&amp;"|"&amp;$Q584)</f>
        <v/>
      </c>
      <c r="T584">
        <f>IF($A584="","",$S584&amp;"|"&amp;$F584)</f>
        <v/>
      </c>
      <c r="U584">
        <f>IF($A584="","",$R584&amp;"("&amp;$E584&amp;")")</f>
        <v/>
      </c>
      <c r="V584">
        <f>IF($A584="","",$F584&amp;"|"&amp;$U584&amp;"|"&amp;$D584)</f>
        <v/>
      </c>
      <c r="W584">
        <f>IF($T584="","",IF($X584&gt;N($X583),$X584,""))</f>
        <v/>
      </c>
      <c r="X584">
        <f>IF($T584="",N($X583),IF(MATCH($T584,$T$6:$T$6005,0)=ROW()-5,N($X583)+1,N($X583)))</f>
        <v/>
      </c>
      <c r="Z584">
        <f>IF($V584="","",IF($AA584&gt;N($AA583),$AA584,""))</f>
        <v/>
      </c>
      <c r="AA584">
        <f>IF($V584="",N($AA583),IF(MATCH($V584,$V$6:$V$6005,0)=ROW()-5,N($AA583)+1,N($AA583)))</f>
        <v/>
      </c>
    </row>
    <row r="585" ht="21" customHeight="1" s="66">
      <c r="A585" s="56" t="n"/>
      <c r="B585" s="57" t="n"/>
      <c r="C585" s="57" t="n"/>
      <c r="D585" s="57" t="n"/>
      <c r="E585" s="56" t="n"/>
      <c r="F585" s="57" t="n"/>
      <c r="G585" s="57" t="n"/>
      <c r="H585" s="56" t="n"/>
      <c r="I585" s="56" t="n"/>
      <c r="J585" s="58" t="n"/>
      <c r="K585" s="58" t="n"/>
      <c r="L585" s="13">
        <f>IF(OR($A585="",AND($J585="",$K585="")),"",ROUND(N($J585)-N($K585),2))</f>
        <v/>
      </c>
      <c r="M585" s="13">
        <f>IF(OR($A585="",AND($J585="",$K585="")),"",MIN($J585,$K585))</f>
        <v/>
      </c>
      <c r="Q585">
        <f>IF($A585="","",$D585&amp;"("&amp;SUBSTITUTE($E585," ","")&amp;")")</f>
        <v/>
      </c>
      <c r="R585">
        <f>IF($A585="","",$B585&amp;" - "&amp;$C585)</f>
        <v/>
      </c>
      <c r="S585">
        <f>IF($A585="","",$R585&amp;"|"&amp;$Q585)</f>
        <v/>
      </c>
      <c r="T585">
        <f>IF($A585="","",$S585&amp;"|"&amp;$F585)</f>
        <v/>
      </c>
      <c r="U585">
        <f>IF($A585="","",$R585&amp;"("&amp;$E585&amp;")")</f>
        <v/>
      </c>
      <c r="V585">
        <f>IF($A585="","",$F585&amp;"|"&amp;$U585&amp;"|"&amp;$D585)</f>
        <v/>
      </c>
      <c r="W585">
        <f>IF($T585="","",IF($X585&gt;N($X584),$X585,""))</f>
        <v/>
      </c>
      <c r="X585">
        <f>IF($T585="",N($X584),IF(MATCH($T585,$T$6:$T$6005,0)=ROW()-5,N($X584)+1,N($X584)))</f>
        <v/>
      </c>
      <c r="Z585">
        <f>IF($V585="","",IF($AA585&gt;N($AA584),$AA585,""))</f>
        <v/>
      </c>
      <c r="AA585">
        <f>IF($V585="",N($AA584),IF(MATCH($V585,$V$6:$V$6005,0)=ROW()-5,N($AA584)+1,N($AA584)))</f>
        <v/>
      </c>
    </row>
    <row r="586" ht="21" customHeight="1" s="66">
      <c r="A586" s="56" t="n"/>
      <c r="B586" s="57" t="n"/>
      <c r="C586" s="57" t="n"/>
      <c r="D586" s="57" t="n"/>
      <c r="E586" s="56" t="n"/>
      <c r="F586" s="57" t="n"/>
      <c r="G586" s="57" t="n"/>
      <c r="H586" s="56" t="n"/>
      <c r="I586" s="56" t="n"/>
      <c r="J586" s="58" t="n"/>
      <c r="K586" s="58" t="n"/>
      <c r="L586" s="13">
        <f>IF(OR($A586="",AND($J586="",$K586="")),"",ROUND(N($J586)-N($K586),2))</f>
        <v/>
      </c>
      <c r="M586" s="13">
        <f>IF(OR($A586="",AND($J586="",$K586="")),"",MIN($J586,$K586))</f>
        <v/>
      </c>
      <c r="Q586">
        <f>IF($A586="","",$D586&amp;"("&amp;SUBSTITUTE($E586," ","")&amp;")")</f>
        <v/>
      </c>
      <c r="R586">
        <f>IF($A586="","",$B586&amp;" - "&amp;$C586)</f>
        <v/>
      </c>
      <c r="S586">
        <f>IF($A586="","",$R586&amp;"|"&amp;$Q586)</f>
        <v/>
      </c>
      <c r="T586">
        <f>IF($A586="","",$S586&amp;"|"&amp;$F586)</f>
        <v/>
      </c>
      <c r="U586">
        <f>IF($A586="","",$R586&amp;"("&amp;$E586&amp;")")</f>
        <v/>
      </c>
      <c r="V586">
        <f>IF($A586="","",$F586&amp;"|"&amp;$U586&amp;"|"&amp;$D586)</f>
        <v/>
      </c>
      <c r="W586">
        <f>IF($T586="","",IF($X586&gt;N($X585),$X586,""))</f>
        <v/>
      </c>
      <c r="X586">
        <f>IF($T586="",N($X585),IF(MATCH($T586,$T$6:$T$6005,0)=ROW()-5,N($X585)+1,N($X585)))</f>
        <v/>
      </c>
      <c r="Z586">
        <f>IF($V586="","",IF($AA586&gt;N($AA585),$AA586,""))</f>
        <v/>
      </c>
      <c r="AA586">
        <f>IF($V586="",N($AA585),IF(MATCH($V586,$V$6:$V$6005,0)=ROW()-5,N($AA585)+1,N($AA585)))</f>
        <v/>
      </c>
    </row>
    <row r="587" ht="21" customHeight="1" s="66">
      <c r="A587" s="56" t="n"/>
      <c r="B587" s="57" t="n"/>
      <c r="C587" s="57" t="n"/>
      <c r="D587" s="57" t="n"/>
      <c r="E587" s="56" t="n"/>
      <c r="F587" s="57" t="n"/>
      <c r="G587" s="57" t="n"/>
      <c r="H587" s="56" t="n"/>
      <c r="I587" s="56" t="n"/>
      <c r="J587" s="58" t="n"/>
      <c r="K587" s="58" t="n"/>
      <c r="L587" s="13">
        <f>IF(OR($A587="",AND($J587="",$K587="")),"",ROUND(N($J587)-N($K587),2))</f>
        <v/>
      </c>
      <c r="M587" s="13">
        <f>IF(OR($A587="",AND($J587="",$K587="")),"",MIN($J587,$K587))</f>
        <v/>
      </c>
      <c r="Q587">
        <f>IF($A587="","",$D587&amp;"("&amp;SUBSTITUTE($E587," ","")&amp;")")</f>
        <v/>
      </c>
      <c r="R587">
        <f>IF($A587="","",$B587&amp;" - "&amp;$C587)</f>
        <v/>
      </c>
      <c r="S587">
        <f>IF($A587="","",$R587&amp;"|"&amp;$Q587)</f>
        <v/>
      </c>
      <c r="T587">
        <f>IF($A587="","",$S587&amp;"|"&amp;$F587)</f>
        <v/>
      </c>
      <c r="U587">
        <f>IF($A587="","",$R587&amp;"("&amp;$E587&amp;")")</f>
        <v/>
      </c>
      <c r="V587">
        <f>IF($A587="","",$F587&amp;"|"&amp;$U587&amp;"|"&amp;$D587)</f>
        <v/>
      </c>
      <c r="W587">
        <f>IF($T587="","",IF($X587&gt;N($X586),$X587,""))</f>
        <v/>
      </c>
      <c r="X587">
        <f>IF($T587="",N($X586),IF(MATCH($T587,$T$6:$T$6005,0)=ROW()-5,N($X586)+1,N($X586)))</f>
        <v/>
      </c>
      <c r="Z587">
        <f>IF($V587="","",IF($AA587&gt;N($AA586),$AA587,""))</f>
        <v/>
      </c>
      <c r="AA587">
        <f>IF($V587="",N($AA586),IF(MATCH($V587,$V$6:$V$6005,0)=ROW()-5,N($AA586)+1,N($AA586)))</f>
        <v/>
      </c>
    </row>
    <row r="588" ht="21" customHeight="1" s="66">
      <c r="A588" s="56" t="n"/>
      <c r="B588" s="57" t="n"/>
      <c r="C588" s="57" t="n"/>
      <c r="D588" s="57" t="n"/>
      <c r="E588" s="56" t="n"/>
      <c r="F588" s="57" t="n"/>
      <c r="G588" s="57" t="n"/>
      <c r="H588" s="56" t="n"/>
      <c r="I588" s="56" t="n"/>
      <c r="J588" s="58" t="n"/>
      <c r="K588" s="58" t="n"/>
      <c r="L588" s="13">
        <f>IF(OR($A588="",AND($J588="",$K588="")),"",ROUND(N($J588)-N($K588),2))</f>
        <v/>
      </c>
      <c r="M588" s="13">
        <f>IF(OR($A588="",AND($J588="",$K588="")),"",MIN($J588,$K588))</f>
        <v/>
      </c>
      <c r="Q588">
        <f>IF($A588="","",$D588&amp;"("&amp;SUBSTITUTE($E588," ","")&amp;")")</f>
        <v/>
      </c>
      <c r="R588">
        <f>IF($A588="","",$B588&amp;" - "&amp;$C588)</f>
        <v/>
      </c>
      <c r="S588">
        <f>IF($A588="","",$R588&amp;"|"&amp;$Q588)</f>
        <v/>
      </c>
      <c r="T588">
        <f>IF($A588="","",$S588&amp;"|"&amp;$F588)</f>
        <v/>
      </c>
      <c r="U588">
        <f>IF($A588="","",$R588&amp;"("&amp;$E588&amp;")")</f>
        <v/>
      </c>
      <c r="V588">
        <f>IF($A588="","",$F588&amp;"|"&amp;$U588&amp;"|"&amp;$D588)</f>
        <v/>
      </c>
      <c r="W588">
        <f>IF($T588="","",IF($X588&gt;N($X587),$X588,""))</f>
        <v/>
      </c>
      <c r="X588">
        <f>IF($T588="",N($X587),IF(MATCH($T588,$T$6:$T$6005,0)=ROW()-5,N($X587)+1,N($X587)))</f>
        <v/>
      </c>
      <c r="Z588">
        <f>IF($V588="","",IF($AA588&gt;N($AA587),$AA588,""))</f>
        <v/>
      </c>
      <c r="AA588">
        <f>IF($V588="",N($AA587),IF(MATCH($V588,$V$6:$V$6005,0)=ROW()-5,N($AA587)+1,N($AA587)))</f>
        <v/>
      </c>
    </row>
    <row r="589" ht="21" customHeight="1" s="66">
      <c r="A589" s="56" t="n"/>
      <c r="B589" s="57" t="n"/>
      <c r="C589" s="57" t="n"/>
      <c r="D589" s="57" t="n"/>
      <c r="E589" s="56" t="n"/>
      <c r="F589" s="57" t="n"/>
      <c r="G589" s="57" t="n"/>
      <c r="H589" s="56" t="n"/>
      <c r="I589" s="56" t="n"/>
      <c r="J589" s="58" t="n"/>
      <c r="K589" s="58" t="n"/>
      <c r="L589" s="13">
        <f>IF(OR($A589="",AND($J589="",$K589="")),"",ROUND(N($J589)-N($K589),2))</f>
        <v/>
      </c>
      <c r="M589" s="13">
        <f>IF(OR($A589="",AND($J589="",$K589="")),"",MIN($J589,$K589))</f>
        <v/>
      </c>
      <c r="Q589">
        <f>IF($A589="","",$D589&amp;"("&amp;SUBSTITUTE($E589," ","")&amp;")")</f>
        <v/>
      </c>
      <c r="R589">
        <f>IF($A589="","",$B589&amp;" - "&amp;$C589)</f>
        <v/>
      </c>
      <c r="S589">
        <f>IF($A589="","",$R589&amp;"|"&amp;$Q589)</f>
        <v/>
      </c>
      <c r="T589">
        <f>IF($A589="","",$S589&amp;"|"&amp;$F589)</f>
        <v/>
      </c>
      <c r="U589">
        <f>IF($A589="","",$R589&amp;"("&amp;$E589&amp;")")</f>
        <v/>
      </c>
      <c r="V589">
        <f>IF($A589="","",$F589&amp;"|"&amp;$U589&amp;"|"&amp;$D589)</f>
        <v/>
      </c>
      <c r="W589">
        <f>IF($T589="","",IF($X589&gt;N($X588),$X589,""))</f>
        <v/>
      </c>
      <c r="X589">
        <f>IF($T589="",N($X588),IF(MATCH($T589,$T$6:$T$6005,0)=ROW()-5,N($X588)+1,N($X588)))</f>
        <v/>
      </c>
      <c r="Z589">
        <f>IF($V589="","",IF($AA589&gt;N($AA588),$AA589,""))</f>
        <v/>
      </c>
      <c r="AA589">
        <f>IF($V589="",N($AA588),IF(MATCH($V589,$V$6:$V$6005,0)=ROW()-5,N($AA588)+1,N($AA588)))</f>
        <v/>
      </c>
    </row>
    <row r="590" ht="21" customHeight="1" s="66">
      <c r="A590" s="56" t="n"/>
      <c r="B590" s="57" t="n"/>
      <c r="C590" s="57" t="n"/>
      <c r="D590" s="57" t="n"/>
      <c r="E590" s="56" t="n"/>
      <c r="F590" s="57" t="n"/>
      <c r="G590" s="57" t="n"/>
      <c r="H590" s="56" t="n"/>
      <c r="I590" s="56" t="n"/>
      <c r="J590" s="58" t="n"/>
      <c r="K590" s="58" t="n"/>
      <c r="L590" s="13">
        <f>IF(OR($A590="",AND($J590="",$K590="")),"",ROUND(N($J590)-N($K590),2))</f>
        <v/>
      </c>
      <c r="M590" s="13">
        <f>IF(OR($A590="",AND($J590="",$K590="")),"",MIN($J590,$K590))</f>
        <v/>
      </c>
      <c r="Q590">
        <f>IF($A590="","",$D590&amp;"("&amp;SUBSTITUTE($E590," ","")&amp;")")</f>
        <v/>
      </c>
      <c r="R590">
        <f>IF($A590="","",$B590&amp;" - "&amp;$C590)</f>
        <v/>
      </c>
      <c r="S590">
        <f>IF($A590="","",$R590&amp;"|"&amp;$Q590)</f>
        <v/>
      </c>
      <c r="T590">
        <f>IF($A590="","",$S590&amp;"|"&amp;$F590)</f>
        <v/>
      </c>
      <c r="U590">
        <f>IF($A590="","",$R590&amp;"("&amp;$E590&amp;")")</f>
        <v/>
      </c>
      <c r="V590">
        <f>IF($A590="","",$F590&amp;"|"&amp;$U590&amp;"|"&amp;$D590)</f>
        <v/>
      </c>
      <c r="W590">
        <f>IF($T590="","",IF($X590&gt;N($X589),$X590,""))</f>
        <v/>
      </c>
      <c r="X590">
        <f>IF($T590="",N($X589),IF(MATCH($T590,$T$6:$T$6005,0)=ROW()-5,N($X589)+1,N($X589)))</f>
        <v/>
      </c>
      <c r="Z590">
        <f>IF($V590="","",IF($AA590&gt;N($AA589),$AA590,""))</f>
        <v/>
      </c>
      <c r="AA590">
        <f>IF($V590="",N($AA589),IF(MATCH($V590,$V$6:$V$6005,0)=ROW()-5,N($AA589)+1,N($AA589)))</f>
        <v/>
      </c>
    </row>
    <row r="591" ht="21" customHeight="1" s="66">
      <c r="A591" s="56" t="n"/>
      <c r="B591" s="57" t="n"/>
      <c r="C591" s="57" t="n"/>
      <c r="D591" s="57" t="n"/>
      <c r="E591" s="56" t="n"/>
      <c r="F591" s="57" t="n"/>
      <c r="G591" s="57" t="n"/>
      <c r="H591" s="56" t="n"/>
      <c r="I591" s="56" t="n"/>
      <c r="J591" s="58" t="n"/>
      <c r="K591" s="58" t="n"/>
      <c r="L591" s="13">
        <f>IF(OR($A591="",AND($J591="",$K591="")),"",ROUND(N($J591)-N($K591),2))</f>
        <v/>
      </c>
      <c r="M591" s="13">
        <f>IF(OR($A591="",AND($J591="",$K591="")),"",MIN($J591,$K591))</f>
        <v/>
      </c>
      <c r="Q591">
        <f>IF($A591="","",$D591&amp;"("&amp;SUBSTITUTE($E591," ","")&amp;")")</f>
        <v/>
      </c>
      <c r="R591">
        <f>IF($A591="","",$B591&amp;" - "&amp;$C591)</f>
        <v/>
      </c>
      <c r="S591">
        <f>IF($A591="","",$R591&amp;"|"&amp;$Q591)</f>
        <v/>
      </c>
      <c r="T591">
        <f>IF($A591="","",$S591&amp;"|"&amp;$F591)</f>
        <v/>
      </c>
      <c r="U591">
        <f>IF($A591="","",$R591&amp;"("&amp;$E591&amp;")")</f>
        <v/>
      </c>
      <c r="V591">
        <f>IF($A591="","",$F591&amp;"|"&amp;$U591&amp;"|"&amp;$D591)</f>
        <v/>
      </c>
      <c r="W591">
        <f>IF($T591="","",IF($X591&gt;N($X590),$X591,""))</f>
        <v/>
      </c>
      <c r="X591">
        <f>IF($T591="",N($X590),IF(MATCH($T591,$T$6:$T$6005,0)=ROW()-5,N($X590)+1,N($X590)))</f>
        <v/>
      </c>
      <c r="Z591">
        <f>IF($V591="","",IF($AA591&gt;N($AA590),$AA591,""))</f>
        <v/>
      </c>
      <c r="AA591">
        <f>IF($V591="",N($AA590),IF(MATCH($V591,$V$6:$V$6005,0)=ROW()-5,N($AA590)+1,N($AA590)))</f>
        <v/>
      </c>
    </row>
    <row r="592" ht="21" customHeight="1" s="66">
      <c r="A592" s="56" t="n"/>
      <c r="B592" s="57" t="n"/>
      <c r="C592" s="57" t="n"/>
      <c r="D592" s="57" t="n"/>
      <c r="E592" s="56" t="n"/>
      <c r="F592" s="57" t="n"/>
      <c r="G592" s="57" t="n"/>
      <c r="H592" s="56" t="n"/>
      <c r="I592" s="56" t="n"/>
      <c r="J592" s="58" t="n"/>
      <c r="K592" s="58" t="n"/>
      <c r="L592" s="13">
        <f>IF(OR($A592="",AND($J592="",$K592="")),"",ROUND(N($J592)-N($K592),2))</f>
        <v/>
      </c>
      <c r="M592" s="13">
        <f>IF(OR($A592="",AND($J592="",$K592="")),"",MIN($J592,$K592))</f>
        <v/>
      </c>
      <c r="Q592">
        <f>IF($A592="","",$D592&amp;"("&amp;SUBSTITUTE($E592," ","")&amp;")")</f>
        <v/>
      </c>
      <c r="R592">
        <f>IF($A592="","",$B592&amp;" - "&amp;$C592)</f>
        <v/>
      </c>
      <c r="S592">
        <f>IF($A592="","",$R592&amp;"|"&amp;$Q592)</f>
        <v/>
      </c>
      <c r="T592">
        <f>IF($A592="","",$S592&amp;"|"&amp;$F592)</f>
        <v/>
      </c>
      <c r="U592">
        <f>IF($A592="","",$R592&amp;"("&amp;$E592&amp;")")</f>
        <v/>
      </c>
      <c r="V592">
        <f>IF($A592="","",$F592&amp;"|"&amp;$U592&amp;"|"&amp;$D592)</f>
        <v/>
      </c>
      <c r="W592">
        <f>IF($T592="","",IF($X592&gt;N($X591),$X592,""))</f>
        <v/>
      </c>
      <c r="X592">
        <f>IF($T592="",N($X591),IF(MATCH($T592,$T$6:$T$6005,0)=ROW()-5,N($X591)+1,N($X591)))</f>
        <v/>
      </c>
      <c r="Z592">
        <f>IF($V592="","",IF($AA592&gt;N($AA591),$AA592,""))</f>
        <v/>
      </c>
      <c r="AA592">
        <f>IF($V592="",N($AA591),IF(MATCH($V592,$V$6:$V$6005,0)=ROW()-5,N($AA591)+1,N($AA591)))</f>
        <v/>
      </c>
    </row>
    <row r="593" ht="21" customHeight="1" s="66">
      <c r="A593" s="56" t="n"/>
      <c r="B593" s="57" t="n"/>
      <c r="C593" s="57" t="n"/>
      <c r="D593" s="57" t="n"/>
      <c r="E593" s="56" t="n"/>
      <c r="F593" s="57" t="n"/>
      <c r="G593" s="57" t="n"/>
      <c r="H593" s="56" t="n"/>
      <c r="I593" s="56" t="n"/>
      <c r="J593" s="58" t="n"/>
      <c r="K593" s="58" t="n"/>
      <c r="L593" s="13">
        <f>IF(OR($A593="",AND($J593="",$K593="")),"",ROUND(N($J593)-N($K593),2))</f>
        <v/>
      </c>
      <c r="M593" s="13">
        <f>IF(OR($A593="",AND($J593="",$K593="")),"",MIN($J593,$K593))</f>
        <v/>
      </c>
      <c r="Q593">
        <f>IF($A593="","",$D593&amp;"("&amp;SUBSTITUTE($E593," ","")&amp;")")</f>
        <v/>
      </c>
      <c r="R593">
        <f>IF($A593="","",$B593&amp;" - "&amp;$C593)</f>
        <v/>
      </c>
      <c r="S593">
        <f>IF($A593="","",$R593&amp;"|"&amp;$Q593)</f>
        <v/>
      </c>
      <c r="T593">
        <f>IF($A593="","",$S593&amp;"|"&amp;$F593)</f>
        <v/>
      </c>
      <c r="U593">
        <f>IF($A593="","",$R593&amp;"("&amp;$E593&amp;")")</f>
        <v/>
      </c>
      <c r="V593">
        <f>IF($A593="","",$F593&amp;"|"&amp;$U593&amp;"|"&amp;$D593)</f>
        <v/>
      </c>
      <c r="W593">
        <f>IF($T593="","",IF($X593&gt;N($X592),$X593,""))</f>
        <v/>
      </c>
      <c r="X593">
        <f>IF($T593="",N($X592),IF(MATCH($T593,$T$6:$T$6005,0)=ROW()-5,N($X592)+1,N($X592)))</f>
        <v/>
      </c>
      <c r="Z593">
        <f>IF($V593="","",IF($AA593&gt;N($AA592),$AA593,""))</f>
        <v/>
      </c>
      <c r="AA593">
        <f>IF($V593="",N($AA592),IF(MATCH($V593,$V$6:$V$6005,0)=ROW()-5,N($AA592)+1,N($AA592)))</f>
        <v/>
      </c>
    </row>
    <row r="594" ht="21" customHeight="1" s="66">
      <c r="A594" s="56" t="n"/>
      <c r="B594" s="57" t="n"/>
      <c r="C594" s="57" t="n"/>
      <c r="D594" s="57" t="n"/>
      <c r="E594" s="56" t="n"/>
      <c r="F594" s="57" t="n"/>
      <c r="G594" s="57" t="n"/>
      <c r="H594" s="56" t="n"/>
      <c r="I594" s="56" t="n"/>
      <c r="J594" s="58" t="n"/>
      <c r="K594" s="58" t="n"/>
      <c r="L594" s="13">
        <f>IF(OR($A594="",AND($J594="",$K594="")),"",ROUND(N($J594)-N($K594),2))</f>
        <v/>
      </c>
      <c r="M594" s="13">
        <f>IF(OR($A594="",AND($J594="",$K594="")),"",MIN($J594,$K594))</f>
        <v/>
      </c>
      <c r="Q594">
        <f>IF($A594="","",$D594&amp;"("&amp;SUBSTITUTE($E594," ","")&amp;")")</f>
        <v/>
      </c>
      <c r="R594">
        <f>IF($A594="","",$B594&amp;" - "&amp;$C594)</f>
        <v/>
      </c>
      <c r="S594">
        <f>IF($A594="","",$R594&amp;"|"&amp;$Q594)</f>
        <v/>
      </c>
      <c r="T594">
        <f>IF($A594="","",$S594&amp;"|"&amp;$F594)</f>
        <v/>
      </c>
      <c r="U594">
        <f>IF($A594="","",$R594&amp;"("&amp;$E594&amp;")")</f>
        <v/>
      </c>
      <c r="V594">
        <f>IF($A594="","",$F594&amp;"|"&amp;$U594&amp;"|"&amp;$D594)</f>
        <v/>
      </c>
      <c r="W594">
        <f>IF($T594="","",IF($X594&gt;N($X593),$X594,""))</f>
        <v/>
      </c>
      <c r="X594">
        <f>IF($T594="",N($X593),IF(MATCH($T594,$T$6:$T$6005,0)=ROW()-5,N($X593)+1,N($X593)))</f>
        <v/>
      </c>
      <c r="Z594">
        <f>IF($V594="","",IF($AA594&gt;N($AA593),$AA594,""))</f>
        <v/>
      </c>
      <c r="AA594">
        <f>IF($V594="",N($AA593),IF(MATCH($V594,$V$6:$V$6005,0)=ROW()-5,N($AA593)+1,N($AA593)))</f>
        <v/>
      </c>
    </row>
    <row r="595" ht="21" customHeight="1" s="66">
      <c r="A595" s="56" t="n"/>
      <c r="B595" s="57" t="n"/>
      <c r="C595" s="57" t="n"/>
      <c r="D595" s="57" t="n"/>
      <c r="E595" s="56" t="n"/>
      <c r="F595" s="57" t="n"/>
      <c r="G595" s="57" t="n"/>
      <c r="H595" s="56" t="n"/>
      <c r="I595" s="56" t="n"/>
      <c r="J595" s="58" t="n"/>
      <c r="K595" s="58" t="n"/>
      <c r="L595" s="13">
        <f>IF(OR($A595="",AND($J595="",$K595="")),"",ROUND(N($J595)-N($K595),2))</f>
        <v/>
      </c>
      <c r="M595" s="13">
        <f>IF(OR($A595="",AND($J595="",$K595="")),"",MIN($J595,$K595))</f>
        <v/>
      </c>
      <c r="Q595">
        <f>IF($A595="","",$D595&amp;"("&amp;SUBSTITUTE($E595," ","")&amp;")")</f>
        <v/>
      </c>
      <c r="R595">
        <f>IF($A595="","",$B595&amp;" - "&amp;$C595)</f>
        <v/>
      </c>
      <c r="S595">
        <f>IF($A595="","",$R595&amp;"|"&amp;$Q595)</f>
        <v/>
      </c>
      <c r="T595">
        <f>IF($A595="","",$S595&amp;"|"&amp;$F595)</f>
        <v/>
      </c>
      <c r="U595">
        <f>IF($A595="","",$R595&amp;"("&amp;$E595&amp;")")</f>
        <v/>
      </c>
      <c r="V595">
        <f>IF($A595="","",$F595&amp;"|"&amp;$U595&amp;"|"&amp;$D595)</f>
        <v/>
      </c>
      <c r="W595">
        <f>IF($T595="","",IF($X595&gt;N($X594),$X595,""))</f>
        <v/>
      </c>
      <c r="X595">
        <f>IF($T595="",N($X594),IF(MATCH($T595,$T$6:$T$6005,0)=ROW()-5,N($X594)+1,N($X594)))</f>
        <v/>
      </c>
      <c r="Z595">
        <f>IF($V595="","",IF($AA595&gt;N($AA594),$AA595,""))</f>
        <v/>
      </c>
      <c r="AA595">
        <f>IF($V595="",N($AA594),IF(MATCH($V595,$V$6:$V$6005,0)=ROW()-5,N($AA594)+1,N($AA594)))</f>
        <v/>
      </c>
    </row>
    <row r="596" ht="21" customHeight="1" s="66">
      <c r="A596" s="56" t="n"/>
      <c r="B596" s="57" t="n"/>
      <c r="C596" s="57" t="n"/>
      <c r="D596" s="57" t="n"/>
      <c r="E596" s="56" t="n"/>
      <c r="F596" s="57" t="n"/>
      <c r="G596" s="57" t="n"/>
      <c r="H596" s="56" t="n"/>
      <c r="I596" s="56" t="n"/>
      <c r="J596" s="58" t="n"/>
      <c r="K596" s="58" t="n"/>
      <c r="L596" s="13">
        <f>IF(OR($A596="",AND($J596="",$K596="")),"",ROUND(N($J596)-N($K596),2))</f>
        <v/>
      </c>
      <c r="M596" s="13">
        <f>IF(OR($A596="",AND($J596="",$K596="")),"",MIN($J596,$K596))</f>
        <v/>
      </c>
      <c r="Q596">
        <f>IF($A596="","",$D596&amp;"("&amp;SUBSTITUTE($E596," ","")&amp;")")</f>
        <v/>
      </c>
      <c r="R596">
        <f>IF($A596="","",$B596&amp;" - "&amp;$C596)</f>
        <v/>
      </c>
      <c r="S596">
        <f>IF($A596="","",$R596&amp;"|"&amp;$Q596)</f>
        <v/>
      </c>
      <c r="T596">
        <f>IF($A596="","",$S596&amp;"|"&amp;$F596)</f>
        <v/>
      </c>
      <c r="U596">
        <f>IF($A596="","",$R596&amp;"("&amp;$E596&amp;")")</f>
        <v/>
      </c>
      <c r="V596">
        <f>IF($A596="","",$F596&amp;"|"&amp;$U596&amp;"|"&amp;$D596)</f>
        <v/>
      </c>
      <c r="W596">
        <f>IF($T596="","",IF($X596&gt;N($X595),$X596,""))</f>
        <v/>
      </c>
      <c r="X596">
        <f>IF($T596="",N($X595),IF(MATCH($T596,$T$6:$T$6005,0)=ROW()-5,N($X595)+1,N($X595)))</f>
        <v/>
      </c>
      <c r="Z596">
        <f>IF($V596="","",IF($AA596&gt;N($AA595),$AA596,""))</f>
        <v/>
      </c>
      <c r="AA596">
        <f>IF($V596="",N($AA595),IF(MATCH($V596,$V$6:$V$6005,0)=ROW()-5,N($AA595)+1,N($AA595)))</f>
        <v/>
      </c>
    </row>
    <row r="597" ht="21" customHeight="1" s="66">
      <c r="A597" s="56" t="n"/>
      <c r="B597" s="57" t="n"/>
      <c r="C597" s="57" t="n"/>
      <c r="D597" s="57" t="n"/>
      <c r="E597" s="56" t="n"/>
      <c r="F597" s="57" t="n"/>
      <c r="G597" s="57" t="n"/>
      <c r="H597" s="56" t="n"/>
      <c r="I597" s="56" t="n"/>
      <c r="J597" s="58" t="n"/>
      <c r="K597" s="58" t="n"/>
      <c r="L597" s="13">
        <f>IF(OR($A597="",AND($J597="",$K597="")),"",ROUND(N($J597)-N($K597),2))</f>
        <v/>
      </c>
      <c r="M597" s="13">
        <f>IF(OR($A597="",AND($J597="",$K597="")),"",MIN($J597,$K597))</f>
        <v/>
      </c>
      <c r="Q597">
        <f>IF($A597="","",$D597&amp;"("&amp;SUBSTITUTE($E597," ","")&amp;")")</f>
        <v/>
      </c>
      <c r="R597">
        <f>IF($A597="","",$B597&amp;" - "&amp;$C597)</f>
        <v/>
      </c>
      <c r="S597">
        <f>IF($A597="","",$R597&amp;"|"&amp;$Q597)</f>
        <v/>
      </c>
      <c r="T597">
        <f>IF($A597="","",$S597&amp;"|"&amp;$F597)</f>
        <v/>
      </c>
      <c r="U597">
        <f>IF($A597="","",$R597&amp;"("&amp;$E597&amp;")")</f>
        <v/>
      </c>
      <c r="V597">
        <f>IF($A597="","",$F597&amp;"|"&amp;$U597&amp;"|"&amp;$D597)</f>
        <v/>
      </c>
      <c r="W597">
        <f>IF($T597="","",IF($X597&gt;N($X596),$X597,""))</f>
        <v/>
      </c>
      <c r="X597">
        <f>IF($T597="",N($X596),IF(MATCH($T597,$T$6:$T$6005,0)=ROW()-5,N($X596)+1,N($X596)))</f>
        <v/>
      </c>
      <c r="Z597">
        <f>IF($V597="","",IF($AA597&gt;N($AA596),$AA597,""))</f>
        <v/>
      </c>
      <c r="AA597">
        <f>IF($V597="",N($AA596),IF(MATCH($V597,$V$6:$V$6005,0)=ROW()-5,N($AA596)+1,N($AA596)))</f>
        <v/>
      </c>
    </row>
    <row r="598" ht="21" customHeight="1" s="66">
      <c r="A598" s="56" t="n"/>
      <c r="B598" s="57" t="n"/>
      <c r="C598" s="57" t="n"/>
      <c r="D598" s="57" t="n"/>
      <c r="E598" s="56" t="n"/>
      <c r="F598" s="57" t="n"/>
      <c r="G598" s="57" t="n"/>
      <c r="H598" s="56" t="n"/>
      <c r="I598" s="56" t="n"/>
      <c r="J598" s="58" t="n"/>
      <c r="K598" s="58" t="n"/>
      <c r="L598" s="13">
        <f>IF(OR($A598="",AND($J598="",$K598="")),"",ROUND(N($J598)-N($K598),2))</f>
        <v/>
      </c>
      <c r="M598" s="13">
        <f>IF(OR($A598="",AND($J598="",$K598="")),"",MIN($J598,$K598))</f>
        <v/>
      </c>
      <c r="Q598">
        <f>IF($A598="","",$D598&amp;"("&amp;SUBSTITUTE($E598," ","")&amp;")")</f>
        <v/>
      </c>
      <c r="R598">
        <f>IF($A598="","",$B598&amp;" - "&amp;$C598)</f>
        <v/>
      </c>
      <c r="S598">
        <f>IF($A598="","",$R598&amp;"|"&amp;$Q598)</f>
        <v/>
      </c>
      <c r="T598">
        <f>IF($A598="","",$S598&amp;"|"&amp;$F598)</f>
        <v/>
      </c>
      <c r="U598">
        <f>IF($A598="","",$R598&amp;"("&amp;$E598&amp;")")</f>
        <v/>
      </c>
      <c r="V598">
        <f>IF($A598="","",$F598&amp;"|"&amp;$U598&amp;"|"&amp;$D598)</f>
        <v/>
      </c>
      <c r="W598">
        <f>IF($T598="","",IF($X598&gt;N($X597),$X598,""))</f>
        <v/>
      </c>
      <c r="X598">
        <f>IF($T598="",N($X597),IF(MATCH($T598,$T$6:$T$6005,0)=ROW()-5,N($X597)+1,N($X597)))</f>
        <v/>
      </c>
      <c r="Z598">
        <f>IF($V598="","",IF($AA598&gt;N($AA597),$AA598,""))</f>
        <v/>
      </c>
      <c r="AA598">
        <f>IF($V598="",N($AA597),IF(MATCH($V598,$V$6:$V$6005,0)=ROW()-5,N($AA597)+1,N($AA597)))</f>
        <v/>
      </c>
    </row>
    <row r="599" ht="21" customHeight="1" s="66">
      <c r="A599" s="56" t="n"/>
      <c r="B599" s="57" t="n"/>
      <c r="C599" s="57" t="n"/>
      <c r="D599" s="57" t="n"/>
      <c r="E599" s="56" t="n"/>
      <c r="F599" s="57" t="n"/>
      <c r="G599" s="57" t="n"/>
      <c r="H599" s="56" t="n"/>
      <c r="I599" s="56" t="n"/>
      <c r="J599" s="58" t="n"/>
      <c r="K599" s="58" t="n"/>
      <c r="L599" s="13">
        <f>IF(OR($A599="",AND($J599="",$K599="")),"",ROUND(N($J599)-N($K599),2))</f>
        <v/>
      </c>
      <c r="M599" s="13">
        <f>IF(OR($A599="",AND($J599="",$K599="")),"",MIN($J599,$K599))</f>
        <v/>
      </c>
      <c r="Q599">
        <f>IF($A599="","",$D599&amp;"("&amp;SUBSTITUTE($E599," ","")&amp;")")</f>
        <v/>
      </c>
      <c r="R599">
        <f>IF($A599="","",$B599&amp;" - "&amp;$C599)</f>
        <v/>
      </c>
      <c r="S599">
        <f>IF($A599="","",$R599&amp;"|"&amp;$Q599)</f>
        <v/>
      </c>
      <c r="T599">
        <f>IF($A599="","",$S599&amp;"|"&amp;$F599)</f>
        <v/>
      </c>
      <c r="U599">
        <f>IF($A599="","",$R599&amp;"("&amp;$E599&amp;")")</f>
        <v/>
      </c>
      <c r="V599">
        <f>IF($A599="","",$F599&amp;"|"&amp;$U599&amp;"|"&amp;$D599)</f>
        <v/>
      </c>
      <c r="W599">
        <f>IF($T599="","",IF($X599&gt;N($X598),$X599,""))</f>
        <v/>
      </c>
      <c r="X599">
        <f>IF($T599="",N($X598),IF(MATCH($T599,$T$6:$T$6005,0)=ROW()-5,N($X598)+1,N($X598)))</f>
        <v/>
      </c>
      <c r="Z599">
        <f>IF($V599="","",IF($AA599&gt;N($AA598),$AA599,""))</f>
        <v/>
      </c>
      <c r="AA599">
        <f>IF($V599="",N($AA598),IF(MATCH($V599,$V$6:$V$6005,0)=ROW()-5,N($AA598)+1,N($AA598)))</f>
        <v/>
      </c>
    </row>
    <row r="600" ht="21" customHeight="1" s="66">
      <c r="A600" s="56" t="n"/>
      <c r="B600" s="57" t="n"/>
      <c r="C600" s="57" t="n"/>
      <c r="D600" s="57" t="n"/>
      <c r="E600" s="56" t="n"/>
      <c r="F600" s="57" t="n"/>
      <c r="G600" s="57" t="n"/>
      <c r="H600" s="56" t="n"/>
      <c r="I600" s="56" t="n"/>
      <c r="J600" s="58" t="n"/>
      <c r="K600" s="58" t="n"/>
      <c r="L600" s="13">
        <f>IF(OR($A600="",AND($J600="",$K600="")),"",ROUND(N($J600)-N($K600),2))</f>
        <v/>
      </c>
      <c r="M600" s="13">
        <f>IF(OR($A600="",AND($J600="",$K600="")),"",MIN($J600,$K600))</f>
        <v/>
      </c>
      <c r="Q600">
        <f>IF($A600="","",$D600&amp;"("&amp;SUBSTITUTE($E600," ","")&amp;")")</f>
        <v/>
      </c>
      <c r="R600">
        <f>IF($A600="","",$B600&amp;" - "&amp;$C600)</f>
        <v/>
      </c>
      <c r="S600">
        <f>IF($A600="","",$R600&amp;"|"&amp;$Q600)</f>
        <v/>
      </c>
      <c r="T600">
        <f>IF($A600="","",$S600&amp;"|"&amp;$F600)</f>
        <v/>
      </c>
      <c r="U600">
        <f>IF($A600="","",$R600&amp;"("&amp;$E600&amp;")")</f>
        <v/>
      </c>
      <c r="V600">
        <f>IF($A600="","",$F600&amp;"|"&amp;$U600&amp;"|"&amp;$D600)</f>
        <v/>
      </c>
      <c r="W600">
        <f>IF($T600="","",IF($X600&gt;N($X599),$X600,""))</f>
        <v/>
      </c>
      <c r="X600">
        <f>IF($T600="",N($X599),IF(MATCH($T600,$T$6:$T$6005,0)=ROW()-5,N($X599)+1,N($X599)))</f>
        <v/>
      </c>
      <c r="Z600">
        <f>IF($V600="","",IF($AA600&gt;N($AA599),$AA600,""))</f>
        <v/>
      </c>
      <c r="AA600">
        <f>IF($V600="",N($AA599),IF(MATCH($V600,$V$6:$V$6005,0)=ROW()-5,N($AA599)+1,N($AA599)))</f>
        <v/>
      </c>
    </row>
    <row r="601" ht="21" customHeight="1" s="66">
      <c r="A601" s="56" t="n"/>
      <c r="B601" s="57" t="n"/>
      <c r="C601" s="57" t="n"/>
      <c r="D601" s="57" t="n"/>
      <c r="E601" s="56" t="n"/>
      <c r="F601" s="57" t="n"/>
      <c r="G601" s="57" t="n"/>
      <c r="H601" s="56" t="n"/>
      <c r="I601" s="56" t="n"/>
      <c r="J601" s="58" t="n"/>
      <c r="K601" s="58" t="n"/>
      <c r="L601" s="13">
        <f>IF(OR($A601="",AND($J601="",$K601="")),"",ROUND(N($J601)-N($K601),2))</f>
        <v/>
      </c>
      <c r="M601" s="13">
        <f>IF(OR($A601="",AND($J601="",$K601="")),"",MIN($J601,$K601))</f>
        <v/>
      </c>
      <c r="Q601">
        <f>IF($A601="","",$D601&amp;"("&amp;SUBSTITUTE($E601," ","")&amp;")")</f>
        <v/>
      </c>
      <c r="R601">
        <f>IF($A601="","",$B601&amp;" - "&amp;$C601)</f>
        <v/>
      </c>
      <c r="S601">
        <f>IF($A601="","",$R601&amp;"|"&amp;$Q601)</f>
        <v/>
      </c>
      <c r="T601">
        <f>IF($A601="","",$S601&amp;"|"&amp;$F601)</f>
        <v/>
      </c>
      <c r="U601">
        <f>IF($A601="","",$R601&amp;"("&amp;$E601&amp;")")</f>
        <v/>
      </c>
      <c r="V601">
        <f>IF($A601="","",$F601&amp;"|"&amp;$U601&amp;"|"&amp;$D601)</f>
        <v/>
      </c>
      <c r="W601">
        <f>IF($T601="","",IF($X601&gt;N($X600),$X601,""))</f>
        <v/>
      </c>
      <c r="X601">
        <f>IF($T601="",N($X600),IF(MATCH($T601,$T$6:$T$6005,0)=ROW()-5,N($X600)+1,N($X600)))</f>
        <v/>
      </c>
      <c r="Z601">
        <f>IF($V601="","",IF($AA601&gt;N($AA600),$AA601,""))</f>
        <v/>
      </c>
      <c r="AA601">
        <f>IF($V601="",N($AA600),IF(MATCH($V601,$V$6:$V$6005,0)=ROW()-5,N($AA600)+1,N($AA600)))</f>
        <v/>
      </c>
    </row>
    <row r="602" ht="21" customHeight="1" s="66">
      <c r="A602" s="56" t="n"/>
      <c r="B602" s="57" t="n"/>
      <c r="C602" s="57" t="n"/>
      <c r="D602" s="57" t="n"/>
      <c r="E602" s="56" t="n"/>
      <c r="F602" s="57" t="n"/>
      <c r="G602" s="57" t="n"/>
      <c r="H602" s="56" t="n"/>
      <c r="I602" s="56" t="n"/>
      <c r="J602" s="58" t="n"/>
      <c r="K602" s="58" t="n"/>
      <c r="L602" s="13">
        <f>IF(OR($A602="",AND($J602="",$K602="")),"",ROUND(N($J602)-N($K602),2))</f>
        <v/>
      </c>
      <c r="M602" s="13">
        <f>IF(OR($A602="",AND($J602="",$K602="")),"",MIN($J602,$K602))</f>
        <v/>
      </c>
      <c r="Q602">
        <f>IF($A602="","",$D602&amp;"("&amp;SUBSTITUTE($E602," ","")&amp;")")</f>
        <v/>
      </c>
      <c r="R602">
        <f>IF($A602="","",$B602&amp;" - "&amp;$C602)</f>
        <v/>
      </c>
      <c r="S602">
        <f>IF($A602="","",$R602&amp;"|"&amp;$Q602)</f>
        <v/>
      </c>
      <c r="T602">
        <f>IF($A602="","",$S602&amp;"|"&amp;$F602)</f>
        <v/>
      </c>
      <c r="U602">
        <f>IF($A602="","",$R602&amp;"("&amp;$E602&amp;")")</f>
        <v/>
      </c>
      <c r="V602">
        <f>IF($A602="","",$F602&amp;"|"&amp;$U602&amp;"|"&amp;$D602)</f>
        <v/>
      </c>
      <c r="W602">
        <f>IF($T602="","",IF($X602&gt;N($X601),$X602,""))</f>
        <v/>
      </c>
      <c r="X602">
        <f>IF($T602="",N($X601),IF(MATCH($T602,$T$6:$T$6005,0)=ROW()-5,N($X601)+1,N($X601)))</f>
        <v/>
      </c>
      <c r="Z602">
        <f>IF($V602="","",IF($AA602&gt;N($AA601),$AA602,""))</f>
        <v/>
      </c>
      <c r="AA602">
        <f>IF($V602="",N($AA601),IF(MATCH($V602,$V$6:$V$6005,0)=ROW()-5,N($AA601)+1,N($AA601)))</f>
        <v/>
      </c>
    </row>
    <row r="603" ht="21" customHeight="1" s="66">
      <c r="A603" s="56" t="n"/>
      <c r="B603" s="57" t="n"/>
      <c r="C603" s="57" t="n"/>
      <c r="D603" s="57" t="n"/>
      <c r="E603" s="56" t="n"/>
      <c r="F603" s="57" t="n"/>
      <c r="G603" s="57" t="n"/>
      <c r="H603" s="56" t="n"/>
      <c r="I603" s="56" t="n"/>
      <c r="J603" s="58" t="n"/>
      <c r="K603" s="58" t="n"/>
      <c r="L603" s="13">
        <f>IF(OR($A603="",AND($J603="",$K603="")),"",ROUND(N($J603)-N($K603),2))</f>
        <v/>
      </c>
      <c r="M603" s="13">
        <f>IF(OR($A603="",AND($J603="",$K603="")),"",MIN($J603,$K603))</f>
        <v/>
      </c>
      <c r="Q603">
        <f>IF($A603="","",$D603&amp;"("&amp;SUBSTITUTE($E603," ","")&amp;")")</f>
        <v/>
      </c>
      <c r="R603">
        <f>IF($A603="","",$B603&amp;" - "&amp;$C603)</f>
        <v/>
      </c>
      <c r="S603">
        <f>IF($A603="","",$R603&amp;"|"&amp;$Q603)</f>
        <v/>
      </c>
      <c r="T603">
        <f>IF($A603="","",$S603&amp;"|"&amp;$F603)</f>
        <v/>
      </c>
      <c r="U603">
        <f>IF($A603="","",$R603&amp;"("&amp;$E603&amp;")")</f>
        <v/>
      </c>
      <c r="V603">
        <f>IF($A603="","",$F603&amp;"|"&amp;$U603&amp;"|"&amp;$D603)</f>
        <v/>
      </c>
      <c r="W603">
        <f>IF($T603="","",IF($X603&gt;N($X602),$X603,""))</f>
        <v/>
      </c>
      <c r="X603">
        <f>IF($T603="",N($X602),IF(MATCH($T603,$T$6:$T$6005,0)=ROW()-5,N($X602)+1,N($X602)))</f>
        <v/>
      </c>
      <c r="Z603">
        <f>IF($V603="","",IF($AA603&gt;N($AA602),$AA603,""))</f>
        <v/>
      </c>
      <c r="AA603">
        <f>IF($V603="",N($AA602),IF(MATCH($V603,$V$6:$V$6005,0)=ROW()-5,N($AA602)+1,N($AA602)))</f>
        <v/>
      </c>
    </row>
    <row r="604" ht="21" customHeight="1" s="66">
      <c r="A604" s="56" t="n"/>
      <c r="B604" s="57" t="n"/>
      <c r="C604" s="57" t="n"/>
      <c r="D604" s="57" t="n"/>
      <c r="E604" s="56" t="n"/>
      <c r="F604" s="57" t="n"/>
      <c r="G604" s="57" t="n"/>
      <c r="H604" s="56" t="n"/>
      <c r="I604" s="56" t="n"/>
      <c r="J604" s="58" t="n"/>
      <c r="K604" s="58" t="n"/>
      <c r="L604" s="13">
        <f>IF(OR($A604="",AND($J604="",$K604="")),"",ROUND(N($J604)-N($K604),2))</f>
        <v/>
      </c>
      <c r="M604" s="13">
        <f>IF(OR($A604="",AND($J604="",$K604="")),"",MIN($J604,$K604))</f>
        <v/>
      </c>
      <c r="Q604">
        <f>IF($A604="","",$D604&amp;"("&amp;SUBSTITUTE($E604," ","")&amp;")")</f>
        <v/>
      </c>
      <c r="R604">
        <f>IF($A604="","",$B604&amp;" - "&amp;$C604)</f>
        <v/>
      </c>
      <c r="S604">
        <f>IF($A604="","",$R604&amp;"|"&amp;$Q604)</f>
        <v/>
      </c>
      <c r="T604">
        <f>IF($A604="","",$S604&amp;"|"&amp;$F604)</f>
        <v/>
      </c>
      <c r="U604">
        <f>IF($A604="","",$R604&amp;"("&amp;$E604&amp;")")</f>
        <v/>
      </c>
      <c r="V604">
        <f>IF($A604="","",$F604&amp;"|"&amp;$U604&amp;"|"&amp;$D604)</f>
        <v/>
      </c>
      <c r="W604">
        <f>IF($T604="","",IF($X604&gt;N($X603),$X604,""))</f>
        <v/>
      </c>
      <c r="X604">
        <f>IF($T604="",N($X603),IF(MATCH($T604,$T$6:$T$6005,0)=ROW()-5,N($X603)+1,N($X603)))</f>
        <v/>
      </c>
      <c r="Z604">
        <f>IF($V604="","",IF($AA604&gt;N($AA603),$AA604,""))</f>
        <v/>
      </c>
      <c r="AA604">
        <f>IF($V604="",N($AA603),IF(MATCH($V604,$V$6:$V$6005,0)=ROW()-5,N($AA603)+1,N($AA603)))</f>
        <v/>
      </c>
    </row>
    <row r="605" ht="21" customHeight="1" s="66">
      <c r="A605" s="56" t="n"/>
      <c r="B605" s="57" t="n"/>
      <c r="C605" s="57" t="n"/>
      <c r="D605" s="57" t="n"/>
      <c r="E605" s="56" t="n"/>
      <c r="F605" s="57" t="n"/>
      <c r="G605" s="57" t="n"/>
      <c r="H605" s="56" t="n"/>
      <c r="I605" s="56" t="n"/>
      <c r="J605" s="58" t="n"/>
      <c r="K605" s="58" t="n"/>
      <c r="L605" s="13">
        <f>IF(OR($A605="",AND($J605="",$K605="")),"",ROUND(N($J605)-N($K605),2))</f>
        <v/>
      </c>
      <c r="M605" s="13">
        <f>IF(OR($A605="",AND($J605="",$K605="")),"",MIN($J605,$K605))</f>
        <v/>
      </c>
      <c r="Q605">
        <f>IF($A605="","",$D605&amp;"("&amp;SUBSTITUTE($E605," ","")&amp;")")</f>
        <v/>
      </c>
      <c r="R605">
        <f>IF($A605="","",$B605&amp;" - "&amp;$C605)</f>
        <v/>
      </c>
      <c r="S605">
        <f>IF($A605="","",$R605&amp;"|"&amp;$Q605)</f>
        <v/>
      </c>
      <c r="T605">
        <f>IF($A605="","",$S605&amp;"|"&amp;$F605)</f>
        <v/>
      </c>
      <c r="U605">
        <f>IF($A605="","",$R605&amp;"("&amp;$E605&amp;")")</f>
        <v/>
      </c>
      <c r="V605">
        <f>IF($A605="","",$F605&amp;"|"&amp;$U605&amp;"|"&amp;$D605)</f>
        <v/>
      </c>
      <c r="W605">
        <f>IF($T605="","",IF($X605&gt;N($X604),$X605,""))</f>
        <v/>
      </c>
      <c r="X605">
        <f>IF($T605="",N($X604),IF(MATCH($T605,$T$6:$T$6005,0)=ROW()-5,N($X604)+1,N($X604)))</f>
        <v/>
      </c>
      <c r="Z605">
        <f>IF($V605="","",IF($AA605&gt;N($AA604),$AA605,""))</f>
        <v/>
      </c>
      <c r="AA605">
        <f>IF($V605="",N($AA604),IF(MATCH($V605,$V$6:$V$6005,0)=ROW()-5,N($AA604)+1,N($AA604)))</f>
        <v/>
      </c>
    </row>
    <row r="606" ht="21" customHeight="1" s="66">
      <c r="A606" s="56" t="n"/>
      <c r="B606" s="57" t="n"/>
      <c r="C606" s="57" t="n"/>
      <c r="D606" s="57" t="n"/>
      <c r="E606" s="56" t="n"/>
      <c r="F606" s="57" t="n"/>
      <c r="G606" s="57" t="n"/>
      <c r="H606" s="56" t="n"/>
      <c r="I606" s="56" t="n"/>
      <c r="J606" s="58" t="n"/>
      <c r="K606" s="58" t="n"/>
      <c r="L606" s="13">
        <f>IF(OR($A606="",AND($J606="",$K606="")),"",ROUND(N($J606)-N($K606),2))</f>
        <v/>
      </c>
      <c r="M606" s="13">
        <f>IF(OR($A606="",AND($J606="",$K606="")),"",MIN($J606,$K606))</f>
        <v/>
      </c>
      <c r="Q606">
        <f>IF($A606="","",$D606&amp;"("&amp;SUBSTITUTE($E606," ","")&amp;")")</f>
        <v/>
      </c>
      <c r="R606">
        <f>IF($A606="","",$B606&amp;" - "&amp;$C606)</f>
        <v/>
      </c>
      <c r="S606">
        <f>IF($A606="","",$R606&amp;"|"&amp;$Q606)</f>
        <v/>
      </c>
      <c r="T606">
        <f>IF($A606="","",$S606&amp;"|"&amp;$F606)</f>
        <v/>
      </c>
      <c r="U606">
        <f>IF($A606="","",$R606&amp;"("&amp;$E606&amp;")")</f>
        <v/>
      </c>
      <c r="V606">
        <f>IF($A606="","",$F606&amp;"|"&amp;$U606&amp;"|"&amp;$D606)</f>
        <v/>
      </c>
      <c r="W606">
        <f>IF($T606="","",IF($X606&gt;N($X605),$X606,""))</f>
        <v/>
      </c>
      <c r="X606">
        <f>IF($T606="",N($X605),IF(MATCH($T606,$T$6:$T$6005,0)=ROW()-5,N($X605)+1,N($X605)))</f>
        <v/>
      </c>
      <c r="Z606">
        <f>IF($V606="","",IF($AA606&gt;N($AA605),$AA606,""))</f>
        <v/>
      </c>
      <c r="AA606">
        <f>IF($V606="",N($AA605),IF(MATCH($V606,$V$6:$V$6005,0)=ROW()-5,N($AA605)+1,N($AA605)))</f>
        <v/>
      </c>
    </row>
    <row r="607" ht="21" customHeight="1" s="66">
      <c r="A607" s="56" t="n"/>
      <c r="B607" s="57" t="n"/>
      <c r="C607" s="57" t="n"/>
      <c r="D607" s="57" t="n"/>
      <c r="E607" s="56" t="n"/>
      <c r="F607" s="57" t="n"/>
      <c r="G607" s="57" t="n"/>
      <c r="H607" s="56" t="n"/>
      <c r="I607" s="56" t="n"/>
      <c r="J607" s="58" t="n"/>
      <c r="K607" s="58" t="n"/>
      <c r="L607" s="13">
        <f>IF(OR($A607="",AND($J607="",$K607="")),"",ROUND(N($J607)-N($K607),2))</f>
        <v/>
      </c>
      <c r="M607" s="13">
        <f>IF(OR($A607="",AND($J607="",$K607="")),"",MIN($J607,$K607))</f>
        <v/>
      </c>
      <c r="Q607">
        <f>IF($A607="","",$D607&amp;"("&amp;SUBSTITUTE($E607," ","")&amp;")")</f>
        <v/>
      </c>
      <c r="R607">
        <f>IF($A607="","",$B607&amp;" - "&amp;$C607)</f>
        <v/>
      </c>
      <c r="S607">
        <f>IF($A607="","",$R607&amp;"|"&amp;$Q607)</f>
        <v/>
      </c>
      <c r="T607">
        <f>IF($A607="","",$S607&amp;"|"&amp;$F607)</f>
        <v/>
      </c>
      <c r="U607">
        <f>IF($A607="","",$R607&amp;"("&amp;$E607&amp;")")</f>
        <v/>
      </c>
      <c r="V607">
        <f>IF($A607="","",$F607&amp;"|"&amp;$U607&amp;"|"&amp;$D607)</f>
        <v/>
      </c>
      <c r="W607">
        <f>IF($T607="","",IF($X607&gt;N($X606),$X607,""))</f>
        <v/>
      </c>
      <c r="X607">
        <f>IF($T607="",N($X606),IF(MATCH($T607,$T$6:$T$6005,0)=ROW()-5,N($X606)+1,N($X606)))</f>
        <v/>
      </c>
      <c r="Z607">
        <f>IF($V607="","",IF($AA607&gt;N($AA606),$AA607,""))</f>
        <v/>
      </c>
      <c r="AA607">
        <f>IF($V607="",N($AA606),IF(MATCH($V607,$V$6:$V$6005,0)=ROW()-5,N($AA606)+1,N($AA606)))</f>
        <v/>
      </c>
    </row>
    <row r="608" ht="21" customHeight="1" s="66">
      <c r="A608" s="56" t="n"/>
      <c r="B608" s="57" t="n"/>
      <c r="C608" s="57" t="n"/>
      <c r="D608" s="57" t="n"/>
      <c r="E608" s="56" t="n"/>
      <c r="F608" s="57" t="n"/>
      <c r="G608" s="57" t="n"/>
      <c r="H608" s="56" t="n"/>
      <c r="I608" s="56" t="n"/>
      <c r="J608" s="58" t="n"/>
      <c r="K608" s="58" t="n"/>
      <c r="L608" s="13">
        <f>IF(OR($A608="",AND($J608="",$K608="")),"",ROUND(N($J608)-N($K608),2))</f>
        <v/>
      </c>
      <c r="M608" s="13">
        <f>IF(OR($A608="",AND($J608="",$K608="")),"",MIN($J608,$K608))</f>
        <v/>
      </c>
      <c r="Q608">
        <f>IF($A608="","",$D608&amp;"("&amp;SUBSTITUTE($E608," ","")&amp;")")</f>
        <v/>
      </c>
      <c r="R608">
        <f>IF($A608="","",$B608&amp;" - "&amp;$C608)</f>
        <v/>
      </c>
      <c r="S608">
        <f>IF($A608="","",$R608&amp;"|"&amp;$Q608)</f>
        <v/>
      </c>
      <c r="T608">
        <f>IF($A608="","",$S608&amp;"|"&amp;$F608)</f>
        <v/>
      </c>
      <c r="U608">
        <f>IF($A608="","",$R608&amp;"("&amp;$E608&amp;")")</f>
        <v/>
      </c>
      <c r="V608">
        <f>IF($A608="","",$F608&amp;"|"&amp;$U608&amp;"|"&amp;$D608)</f>
        <v/>
      </c>
      <c r="W608">
        <f>IF($T608="","",IF($X608&gt;N($X607),$X608,""))</f>
        <v/>
      </c>
      <c r="X608">
        <f>IF($T608="",N($X607),IF(MATCH($T608,$T$6:$T$6005,0)=ROW()-5,N($X607)+1,N($X607)))</f>
        <v/>
      </c>
      <c r="Z608">
        <f>IF($V608="","",IF($AA608&gt;N($AA607),$AA608,""))</f>
        <v/>
      </c>
      <c r="AA608">
        <f>IF($V608="",N($AA607),IF(MATCH($V608,$V$6:$V$6005,0)=ROW()-5,N($AA607)+1,N($AA607)))</f>
        <v/>
      </c>
    </row>
    <row r="609" ht="21" customHeight="1" s="66">
      <c r="A609" s="56" t="n"/>
      <c r="B609" s="57" t="n"/>
      <c r="C609" s="57" t="n"/>
      <c r="D609" s="57" t="n"/>
      <c r="E609" s="56" t="n"/>
      <c r="F609" s="57" t="n"/>
      <c r="G609" s="57" t="n"/>
      <c r="H609" s="56" t="n"/>
      <c r="I609" s="56" t="n"/>
      <c r="J609" s="58" t="n"/>
      <c r="K609" s="58" t="n"/>
      <c r="L609" s="13">
        <f>IF(OR($A609="",AND($J609="",$K609="")),"",ROUND(N($J609)-N($K609),2))</f>
        <v/>
      </c>
      <c r="M609" s="13">
        <f>IF(OR($A609="",AND($J609="",$K609="")),"",MIN($J609,$K609))</f>
        <v/>
      </c>
      <c r="Q609">
        <f>IF($A609="","",$D609&amp;"("&amp;SUBSTITUTE($E609," ","")&amp;")")</f>
        <v/>
      </c>
      <c r="R609">
        <f>IF($A609="","",$B609&amp;" - "&amp;$C609)</f>
        <v/>
      </c>
      <c r="S609">
        <f>IF($A609="","",$R609&amp;"|"&amp;$Q609)</f>
        <v/>
      </c>
      <c r="T609">
        <f>IF($A609="","",$S609&amp;"|"&amp;$F609)</f>
        <v/>
      </c>
      <c r="U609">
        <f>IF($A609="","",$R609&amp;"("&amp;$E609&amp;")")</f>
        <v/>
      </c>
      <c r="V609">
        <f>IF($A609="","",$F609&amp;"|"&amp;$U609&amp;"|"&amp;$D609)</f>
        <v/>
      </c>
      <c r="W609">
        <f>IF($T609="","",IF($X609&gt;N($X608),$X609,""))</f>
        <v/>
      </c>
      <c r="X609">
        <f>IF($T609="",N($X608),IF(MATCH($T609,$T$6:$T$6005,0)=ROW()-5,N($X608)+1,N($X608)))</f>
        <v/>
      </c>
      <c r="Z609">
        <f>IF($V609="","",IF($AA609&gt;N($AA608),$AA609,""))</f>
        <v/>
      </c>
      <c r="AA609">
        <f>IF($V609="",N($AA608),IF(MATCH($V609,$V$6:$V$6005,0)=ROW()-5,N($AA608)+1,N($AA608)))</f>
        <v/>
      </c>
    </row>
    <row r="610" ht="21" customHeight="1" s="66">
      <c r="A610" s="56" t="n"/>
      <c r="B610" s="57" t="n"/>
      <c r="C610" s="57" t="n"/>
      <c r="D610" s="57" t="n"/>
      <c r="E610" s="56" t="n"/>
      <c r="F610" s="57" t="n"/>
      <c r="G610" s="57" t="n"/>
      <c r="H610" s="56" t="n"/>
      <c r="I610" s="56" t="n"/>
      <c r="J610" s="58" t="n"/>
      <c r="K610" s="58" t="n"/>
      <c r="L610" s="13">
        <f>IF(OR($A610="",AND($J610="",$K610="")),"",ROUND(N($J610)-N($K610),2))</f>
        <v/>
      </c>
      <c r="M610" s="13">
        <f>IF(OR($A610="",AND($J610="",$K610="")),"",MIN($J610,$K610))</f>
        <v/>
      </c>
      <c r="Q610">
        <f>IF($A610="","",$D610&amp;"("&amp;SUBSTITUTE($E610," ","")&amp;")")</f>
        <v/>
      </c>
      <c r="R610">
        <f>IF($A610="","",$B610&amp;" - "&amp;$C610)</f>
        <v/>
      </c>
      <c r="S610">
        <f>IF($A610="","",$R610&amp;"|"&amp;$Q610)</f>
        <v/>
      </c>
      <c r="T610">
        <f>IF($A610="","",$S610&amp;"|"&amp;$F610)</f>
        <v/>
      </c>
      <c r="U610">
        <f>IF($A610="","",$R610&amp;"("&amp;$E610&amp;")")</f>
        <v/>
      </c>
      <c r="V610">
        <f>IF($A610="","",$F610&amp;"|"&amp;$U610&amp;"|"&amp;$D610)</f>
        <v/>
      </c>
      <c r="W610">
        <f>IF($T610="","",IF($X610&gt;N($X609),$X610,""))</f>
        <v/>
      </c>
      <c r="X610">
        <f>IF($T610="",N($X609),IF(MATCH($T610,$T$6:$T$6005,0)=ROW()-5,N($X609)+1,N($X609)))</f>
        <v/>
      </c>
      <c r="Z610">
        <f>IF($V610="","",IF($AA610&gt;N($AA609),$AA610,""))</f>
        <v/>
      </c>
      <c r="AA610">
        <f>IF($V610="",N($AA609),IF(MATCH($V610,$V$6:$V$6005,0)=ROW()-5,N($AA609)+1,N($AA609)))</f>
        <v/>
      </c>
    </row>
    <row r="611" ht="21" customHeight="1" s="66">
      <c r="A611" s="56" t="n"/>
      <c r="B611" s="57" t="n"/>
      <c r="C611" s="57" t="n"/>
      <c r="D611" s="57" t="n"/>
      <c r="E611" s="56" t="n"/>
      <c r="F611" s="57" t="n"/>
      <c r="G611" s="57" t="n"/>
      <c r="H611" s="56" t="n"/>
      <c r="I611" s="56" t="n"/>
      <c r="J611" s="58" t="n"/>
      <c r="K611" s="58" t="n"/>
      <c r="L611" s="13">
        <f>IF(OR($A611="",AND($J611="",$K611="")),"",ROUND(N($J611)-N($K611),2))</f>
        <v/>
      </c>
      <c r="M611" s="13">
        <f>IF(OR($A611="",AND($J611="",$K611="")),"",MIN($J611,$K611))</f>
        <v/>
      </c>
      <c r="Q611">
        <f>IF($A611="","",$D611&amp;"("&amp;SUBSTITUTE($E611," ","")&amp;")")</f>
        <v/>
      </c>
      <c r="R611">
        <f>IF($A611="","",$B611&amp;" - "&amp;$C611)</f>
        <v/>
      </c>
      <c r="S611">
        <f>IF($A611="","",$R611&amp;"|"&amp;$Q611)</f>
        <v/>
      </c>
      <c r="T611">
        <f>IF($A611="","",$S611&amp;"|"&amp;$F611)</f>
        <v/>
      </c>
      <c r="U611">
        <f>IF($A611="","",$R611&amp;"("&amp;$E611&amp;")")</f>
        <v/>
      </c>
      <c r="V611">
        <f>IF($A611="","",$F611&amp;"|"&amp;$U611&amp;"|"&amp;$D611)</f>
        <v/>
      </c>
      <c r="W611">
        <f>IF($T611="","",IF($X611&gt;N($X610),$X611,""))</f>
        <v/>
      </c>
      <c r="X611">
        <f>IF($T611="",N($X610),IF(MATCH($T611,$T$6:$T$6005,0)=ROW()-5,N($X610)+1,N($X610)))</f>
        <v/>
      </c>
      <c r="Z611">
        <f>IF($V611="","",IF($AA611&gt;N($AA610),$AA611,""))</f>
        <v/>
      </c>
      <c r="AA611">
        <f>IF($V611="",N($AA610),IF(MATCH($V611,$V$6:$V$6005,0)=ROW()-5,N($AA610)+1,N($AA610)))</f>
        <v/>
      </c>
    </row>
    <row r="612" ht="21" customHeight="1" s="66">
      <c r="A612" s="56" t="n"/>
      <c r="B612" s="57" t="n"/>
      <c r="C612" s="57" t="n"/>
      <c r="D612" s="57" t="n"/>
      <c r="E612" s="56" t="n"/>
      <c r="F612" s="57" t="n"/>
      <c r="G612" s="57" t="n"/>
      <c r="H612" s="56" t="n"/>
      <c r="I612" s="56" t="n"/>
      <c r="J612" s="58" t="n"/>
      <c r="K612" s="58" t="n"/>
      <c r="L612" s="13">
        <f>IF(OR($A612="",AND($J612="",$K612="")),"",ROUND(N($J612)-N($K612),2))</f>
        <v/>
      </c>
      <c r="M612" s="13">
        <f>IF(OR($A612="",AND($J612="",$K612="")),"",MIN($J612,$K612))</f>
        <v/>
      </c>
      <c r="Q612">
        <f>IF($A612="","",$D612&amp;"("&amp;SUBSTITUTE($E612," ","")&amp;")")</f>
        <v/>
      </c>
      <c r="R612">
        <f>IF($A612="","",$B612&amp;" - "&amp;$C612)</f>
        <v/>
      </c>
      <c r="S612">
        <f>IF($A612="","",$R612&amp;"|"&amp;$Q612)</f>
        <v/>
      </c>
      <c r="T612">
        <f>IF($A612="","",$S612&amp;"|"&amp;$F612)</f>
        <v/>
      </c>
      <c r="U612">
        <f>IF($A612="","",$R612&amp;"("&amp;$E612&amp;")")</f>
        <v/>
      </c>
      <c r="V612">
        <f>IF($A612="","",$F612&amp;"|"&amp;$U612&amp;"|"&amp;$D612)</f>
        <v/>
      </c>
      <c r="W612">
        <f>IF($T612="","",IF($X612&gt;N($X611),$X612,""))</f>
        <v/>
      </c>
      <c r="X612">
        <f>IF($T612="",N($X611),IF(MATCH($T612,$T$6:$T$6005,0)=ROW()-5,N($X611)+1,N($X611)))</f>
        <v/>
      </c>
      <c r="Z612">
        <f>IF($V612="","",IF($AA612&gt;N($AA611),$AA612,""))</f>
        <v/>
      </c>
      <c r="AA612">
        <f>IF($V612="",N($AA611),IF(MATCH($V612,$V$6:$V$6005,0)=ROW()-5,N($AA611)+1,N($AA611)))</f>
        <v/>
      </c>
    </row>
    <row r="613" ht="21" customHeight="1" s="66">
      <c r="A613" s="56" t="n"/>
      <c r="B613" s="57" t="n"/>
      <c r="C613" s="57" t="n"/>
      <c r="D613" s="57" t="n"/>
      <c r="E613" s="56" t="n"/>
      <c r="F613" s="57" t="n"/>
      <c r="G613" s="57" t="n"/>
      <c r="H613" s="56" t="n"/>
      <c r="I613" s="56" t="n"/>
      <c r="J613" s="58" t="n"/>
      <c r="K613" s="58" t="n"/>
      <c r="L613" s="13">
        <f>IF(OR($A613="",AND($J613="",$K613="")),"",ROUND(N($J613)-N($K613),2))</f>
        <v/>
      </c>
      <c r="M613" s="13">
        <f>IF(OR($A613="",AND($J613="",$K613="")),"",MIN($J613,$K613))</f>
        <v/>
      </c>
      <c r="Q613">
        <f>IF($A613="","",$D613&amp;"("&amp;SUBSTITUTE($E613," ","")&amp;")")</f>
        <v/>
      </c>
      <c r="R613">
        <f>IF($A613="","",$B613&amp;" - "&amp;$C613)</f>
        <v/>
      </c>
      <c r="S613">
        <f>IF($A613="","",$R613&amp;"|"&amp;$Q613)</f>
        <v/>
      </c>
      <c r="T613">
        <f>IF($A613="","",$S613&amp;"|"&amp;$F613)</f>
        <v/>
      </c>
      <c r="U613">
        <f>IF($A613="","",$R613&amp;"("&amp;$E613&amp;")")</f>
        <v/>
      </c>
      <c r="V613">
        <f>IF($A613="","",$F613&amp;"|"&amp;$U613&amp;"|"&amp;$D613)</f>
        <v/>
      </c>
      <c r="W613">
        <f>IF($T613="","",IF($X613&gt;N($X612),$X613,""))</f>
        <v/>
      </c>
      <c r="X613">
        <f>IF($T613="",N($X612),IF(MATCH($T613,$T$6:$T$6005,0)=ROW()-5,N($X612)+1,N($X612)))</f>
        <v/>
      </c>
      <c r="Z613">
        <f>IF($V613="","",IF($AA613&gt;N($AA612),$AA613,""))</f>
        <v/>
      </c>
      <c r="AA613">
        <f>IF($V613="",N($AA612),IF(MATCH($V613,$V$6:$V$6005,0)=ROW()-5,N($AA612)+1,N($AA612)))</f>
        <v/>
      </c>
    </row>
    <row r="614" ht="21" customHeight="1" s="66">
      <c r="A614" s="56" t="n"/>
      <c r="B614" s="57" t="n"/>
      <c r="C614" s="57" t="n"/>
      <c r="D614" s="57" t="n"/>
      <c r="E614" s="56" t="n"/>
      <c r="F614" s="57" t="n"/>
      <c r="G614" s="57" t="n"/>
      <c r="H614" s="56" t="n"/>
      <c r="I614" s="56" t="n"/>
      <c r="J614" s="58" t="n"/>
      <c r="K614" s="58" t="n"/>
      <c r="L614" s="13">
        <f>IF(OR($A614="",AND($J614="",$K614="")),"",ROUND(N($J614)-N($K614),2))</f>
        <v/>
      </c>
      <c r="M614" s="13">
        <f>IF(OR($A614="",AND($J614="",$K614="")),"",MIN($J614,$K614))</f>
        <v/>
      </c>
      <c r="Q614">
        <f>IF($A614="","",$D614&amp;"("&amp;SUBSTITUTE($E614," ","")&amp;")")</f>
        <v/>
      </c>
      <c r="R614">
        <f>IF($A614="","",$B614&amp;" - "&amp;$C614)</f>
        <v/>
      </c>
      <c r="S614">
        <f>IF($A614="","",$R614&amp;"|"&amp;$Q614)</f>
        <v/>
      </c>
      <c r="T614">
        <f>IF($A614="","",$S614&amp;"|"&amp;$F614)</f>
        <v/>
      </c>
      <c r="U614">
        <f>IF($A614="","",$R614&amp;"("&amp;$E614&amp;")")</f>
        <v/>
      </c>
      <c r="V614">
        <f>IF($A614="","",$F614&amp;"|"&amp;$U614&amp;"|"&amp;$D614)</f>
        <v/>
      </c>
      <c r="W614">
        <f>IF($T614="","",IF($X614&gt;N($X613),$X614,""))</f>
        <v/>
      </c>
      <c r="X614">
        <f>IF($T614="",N($X613),IF(MATCH($T614,$T$6:$T$6005,0)=ROW()-5,N($X613)+1,N($X613)))</f>
        <v/>
      </c>
      <c r="Z614">
        <f>IF($V614="","",IF($AA614&gt;N($AA613),$AA614,""))</f>
        <v/>
      </c>
      <c r="AA614">
        <f>IF($V614="",N($AA613),IF(MATCH($V614,$V$6:$V$6005,0)=ROW()-5,N($AA613)+1,N($AA613)))</f>
        <v/>
      </c>
    </row>
    <row r="615" ht="21" customHeight="1" s="66">
      <c r="A615" s="56" t="n"/>
      <c r="B615" s="57" t="n"/>
      <c r="C615" s="57" t="n"/>
      <c r="D615" s="57" t="n"/>
      <c r="E615" s="56" t="n"/>
      <c r="F615" s="57" t="n"/>
      <c r="G615" s="57" t="n"/>
      <c r="H615" s="56" t="n"/>
      <c r="I615" s="56" t="n"/>
      <c r="J615" s="58" t="n"/>
      <c r="K615" s="58" t="n"/>
      <c r="L615" s="13">
        <f>IF(OR($A615="",AND($J615="",$K615="")),"",ROUND(N($J615)-N($K615),2))</f>
        <v/>
      </c>
      <c r="M615" s="13">
        <f>IF(OR($A615="",AND($J615="",$K615="")),"",MIN($J615,$K615))</f>
        <v/>
      </c>
      <c r="Q615">
        <f>IF($A615="","",$D615&amp;"("&amp;SUBSTITUTE($E615," ","")&amp;")")</f>
        <v/>
      </c>
      <c r="R615">
        <f>IF($A615="","",$B615&amp;" - "&amp;$C615)</f>
        <v/>
      </c>
      <c r="S615">
        <f>IF($A615="","",$R615&amp;"|"&amp;$Q615)</f>
        <v/>
      </c>
      <c r="T615">
        <f>IF($A615="","",$S615&amp;"|"&amp;$F615)</f>
        <v/>
      </c>
      <c r="U615">
        <f>IF($A615="","",$R615&amp;"("&amp;$E615&amp;")")</f>
        <v/>
      </c>
      <c r="V615">
        <f>IF($A615="","",$F615&amp;"|"&amp;$U615&amp;"|"&amp;$D615)</f>
        <v/>
      </c>
      <c r="W615">
        <f>IF($T615="","",IF($X615&gt;N($X614),$X615,""))</f>
        <v/>
      </c>
      <c r="X615">
        <f>IF($T615="",N($X614),IF(MATCH($T615,$T$6:$T$6005,0)=ROW()-5,N($X614)+1,N($X614)))</f>
        <v/>
      </c>
      <c r="Z615">
        <f>IF($V615="","",IF($AA615&gt;N($AA614),$AA615,""))</f>
        <v/>
      </c>
      <c r="AA615">
        <f>IF($V615="",N($AA614),IF(MATCH($V615,$V$6:$V$6005,0)=ROW()-5,N($AA614)+1,N($AA614)))</f>
        <v/>
      </c>
    </row>
    <row r="616" ht="21" customHeight="1" s="66">
      <c r="A616" s="56" t="n"/>
      <c r="B616" s="57" t="n"/>
      <c r="C616" s="57" t="n"/>
      <c r="D616" s="57" t="n"/>
      <c r="E616" s="56" t="n"/>
      <c r="F616" s="57" t="n"/>
      <c r="G616" s="57" t="n"/>
      <c r="H616" s="56" t="n"/>
      <c r="I616" s="56" t="n"/>
      <c r="J616" s="58" t="n"/>
      <c r="K616" s="58" t="n"/>
      <c r="L616" s="13">
        <f>IF(OR($A616="",AND($J616="",$K616="")),"",ROUND(N($J616)-N($K616),2))</f>
        <v/>
      </c>
      <c r="M616" s="13">
        <f>IF(OR($A616="",AND($J616="",$K616="")),"",MIN($J616,$K616))</f>
        <v/>
      </c>
      <c r="Q616">
        <f>IF($A616="","",$D616&amp;"("&amp;SUBSTITUTE($E616," ","")&amp;")")</f>
        <v/>
      </c>
      <c r="R616">
        <f>IF($A616="","",$B616&amp;" - "&amp;$C616)</f>
        <v/>
      </c>
      <c r="S616">
        <f>IF($A616="","",$R616&amp;"|"&amp;$Q616)</f>
        <v/>
      </c>
      <c r="T616">
        <f>IF($A616="","",$S616&amp;"|"&amp;$F616)</f>
        <v/>
      </c>
      <c r="U616">
        <f>IF($A616="","",$R616&amp;"("&amp;$E616&amp;")")</f>
        <v/>
      </c>
      <c r="V616">
        <f>IF($A616="","",$F616&amp;"|"&amp;$U616&amp;"|"&amp;$D616)</f>
        <v/>
      </c>
      <c r="W616">
        <f>IF($T616="","",IF($X616&gt;N($X615),$X616,""))</f>
        <v/>
      </c>
      <c r="X616">
        <f>IF($T616="",N($X615),IF(MATCH($T616,$T$6:$T$6005,0)=ROW()-5,N($X615)+1,N($X615)))</f>
        <v/>
      </c>
      <c r="Z616">
        <f>IF($V616="","",IF($AA616&gt;N($AA615),$AA616,""))</f>
        <v/>
      </c>
      <c r="AA616">
        <f>IF($V616="",N($AA615),IF(MATCH($V616,$V$6:$V$6005,0)=ROW()-5,N($AA615)+1,N($AA615)))</f>
        <v/>
      </c>
    </row>
    <row r="617" ht="21" customHeight="1" s="66">
      <c r="A617" s="56" t="n"/>
      <c r="B617" s="57" t="n"/>
      <c r="C617" s="57" t="n"/>
      <c r="D617" s="57" t="n"/>
      <c r="E617" s="56" t="n"/>
      <c r="F617" s="57" t="n"/>
      <c r="G617" s="57" t="n"/>
      <c r="H617" s="56" t="n"/>
      <c r="I617" s="56" t="n"/>
      <c r="J617" s="58" t="n"/>
      <c r="K617" s="58" t="n"/>
      <c r="L617" s="13">
        <f>IF(OR($A617="",AND($J617="",$K617="")),"",ROUND(N($J617)-N($K617),2))</f>
        <v/>
      </c>
      <c r="M617" s="13">
        <f>IF(OR($A617="",AND($J617="",$K617="")),"",MIN($J617,$K617))</f>
        <v/>
      </c>
      <c r="Q617">
        <f>IF($A617="","",$D617&amp;"("&amp;SUBSTITUTE($E617," ","")&amp;")")</f>
        <v/>
      </c>
      <c r="R617">
        <f>IF($A617="","",$B617&amp;" - "&amp;$C617)</f>
        <v/>
      </c>
      <c r="S617">
        <f>IF($A617="","",$R617&amp;"|"&amp;$Q617)</f>
        <v/>
      </c>
      <c r="T617">
        <f>IF($A617="","",$S617&amp;"|"&amp;$F617)</f>
        <v/>
      </c>
      <c r="U617">
        <f>IF($A617="","",$R617&amp;"("&amp;$E617&amp;")")</f>
        <v/>
      </c>
      <c r="V617">
        <f>IF($A617="","",$F617&amp;"|"&amp;$U617&amp;"|"&amp;$D617)</f>
        <v/>
      </c>
      <c r="W617">
        <f>IF($T617="","",IF($X617&gt;N($X616),$X617,""))</f>
        <v/>
      </c>
      <c r="X617">
        <f>IF($T617="",N($X616),IF(MATCH($T617,$T$6:$T$6005,0)=ROW()-5,N($X616)+1,N($X616)))</f>
        <v/>
      </c>
      <c r="Z617">
        <f>IF($V617="","",IF($AA617&gt;N($AA616),$AA617,""))</f>
        <v/>
      </c>
      <c r="AA617">
        <f>IF($V617="",N($AA616),IF(MATCH($V617,$V$6:$V$6005,0)=ROW()-5,N($AA616)+1,N($AA616)))</f>
        <v/>
      </c>
    </row>
    <row r="618" ht="21" customHeight="1" s="66">
      <c r="A618" s="56" t="n"/>
      <c r="B618" s="57" t="n"/>
      <c r="C618" s="57" t="n"/>
      <c r="D618" s="57" t="n"/>
      <c r="E618" s="56" t="n"/>
      <c r="F618" s="57" t="n"/>
      <c r="G618" s="57" t="n"/>
      <c r="H618" s="56" t="n"/>
      <c r="I618" s="56" t="n"/>
      <c r="J618" s="58" t="n"/>
      <c r="K618" s="58" t="n"/>
      <c r="L618" s="13">
        <f>IF(OR($A618="",AND($J618="",$K618="")),"",ROUND(N($J618)-N($K618),2))</f>
        <v/>
      </c>
      <c r="M618" s="13">
        <f>IF(OR($A618="",AND($J618="",$K618="")),"",MIN($J618,$K618))</f>
        <v/>
      </c>
      <c r="Q618">
        <f>IF($A618="","",$D618&amp;"("&amp;SUBSTITUTE($E618," ","")&amp;")")</f>
        <v/>
      </c>
      <c r="R618">
        <f>IF($A618="","",$B618&amp;" - "&amp;$C618)</f>
        <v/>
      </c>
      <c r="S618">
        <f>IF($A618="","",$R618&amp;"|"&amp;$Q618)</f>
        <v/>
      </c>
      <c r="T618">
        <f>IF($A618="","",$S618&amp;"|"&amp;$F618)</f>
        <v/>
      </c>
      <c r="U618">
        <f>IF($A618="","",$R618&amp;"("&amp;$E618&amp;")")</f>
        <v/>
      </c>
      <c r="V618">
        <f>IF($A618="","",$F618&amp;"|"&amp;$U618&amp;"|"&amp;$D618)</f>
        <v/>
      </c>
      <c r="W618">
        <f>IF($T618="","",IF($X618&gt;N($X617),$X618,""))</f>
        <v/>
      </c>
      <c r="X618">
        <f>IF($T618="",N($X617),IF(MATCH($T618,$T$6:$T$6005,0)=ROW()-5,N($X617)+1,N($X617)))</f>
        <v/>
      </c>
      <c r="Z618">
        <f>IF($V618="","",IF($AA618&gt;N($AA617),$AA618,""))</f>
        <v/>
      </c>
      <c r="AA618">
        <f>IF($V618="",N($AA617),IF(MATCH($V618,$V$6:$V$6005,0)=ROW()-5,N($AA617)+1,N($AA617)))</f>
        <v/>
      </c>
    </row>
    <row r="619" ht="21" customHeight="1" s="66">
      <c r="A619" s="56" t="n"/>
      <c r="B619" s="57" t="n"/>
      <c r="C619" s="57" t="n"/>
      <c r="D619" s="57" t="n"/>
      <c r="E619" s="56" t="n"/>
      <c r="F619" s="57" t="n"/>
      <c r="G619" s="57" t="n"/>
      <c r="H619" s="56" t="n"/>
      <c r="I619" s="56" t="n"/>
      <c r="J619" s="58" t="n"/>
      <c r="K619" s="58" t="n"/>
      <c r="L619" s="13">
        <f>IF(OR($A619="",AND($J619="",$K619="")),"",ROUND(N($J619)-N($K619),2))</f>
        <v/>
      </c>
      <c r="M619" s="13">
        <f>IF(OR($A619="",AND($J619="",$K619="")),"",MIN($J619,$K619))</f>
        <v/>
      </c>
      <c r="Q619">
        <f>IF($A619="","",$D619&amp;"("&amp;SUBSTITUTE($E619," ","")&amp;")")</f>
        <v/>
      </c>
      <c r="R619">
        <f>IF($A619="","",$B619&amp;" - "&amp;$C619)</f>
        <v/>
      </c>
      <c r="S619">
        <f>IF($A619="","",$R619&amp;"|"&amp;$Q619)</f>
        <v/>
      </c>
      <c r="T619">
        <f>IF($A619="","",$S619&amp;"|"&amp;$F619)</f>
        <v/>
      </c>
      <c r="U619">
        <f>IF($A619="","",$R619&amp;"("&amp;$E619&amp;")")</f>
        <v/>
      </c>
      <c r="V619">
        <f>IF($A619="","",$F619&amp;"|"&amp;$U619&amp;"|"&amp;$D619)</f>
        <v/>
      </c>
      <c r="W619">
        <f>IF($T619="","",IF($X619&gt;N($X618),$X619,""))</f>
        <v/>
      </c>
      <c r="X619">
        <f>IF($T619="",N($X618),IF(MATCH($T619,$T$6:$T$6005,0)=ROW()-5,N($X618)+1,N($X618)))</f>
        <v/>
      </c>
      <c r="Z619">
        <f>IF($V619="","",IF($AA619&gt;N($AA618),$AA619,""))</f>
        <v/>
      </c>
      <c r="AA619">
        <f>IF($V619="",N($AA618),IF(MATCH($V619,$V$6:$V$6005,0)=ROW()-5,N($AA618)+1,N($AA618)))</f>
        <v/>
      </c>
    </row>
    <row r="620" ht="21" customHeight="1" s="66">
      <c r="A620" s="56" t="n"/>
      <c r="B620" s="57" t="n"/>
      <c r="C620" s="57" t="n"/>
      <c r="D620" s="57" t="n"/>
      <c r="E620" s="56" t="n"/>
      <c r="F620" s="57" t="n"/>
      <c r="G620" s="57" t="n"/>
      <c r="H620" s="56" t="n"/>
      <c r="I620" s="56" t="n"/>
      <c r="J620" s="58" t="n"/>
      <c r="K620" s="58" t="n"/>
      <c r="L620" s="13">
        <f>IF(OR($A620="",AND($J620="",$K620="")),"",ROUND(N($J620)-N($K620),2))</f>
        <v/>
      </c>
      <c r="M620" s="13">
        <f>IF(OR($A620="",AND($J620="",$K620="")),"",MIN($J620,$K620))</f>
        <v/>
      </c>
      <c r="Q620">
        <f>IF($A620="","",$D620&amp;"("&amp;SUBSTITUTE($E620," ","")&amp;")")</f>
        <v/>
      </c>
      <c r="R620">
        <f>IF($A620="","",$B620&amp;" - "&amp;$C620)</f>
        <v/>
      </c>
      <c r="S620">
        <f>IF($A620="","",$R620&amp;"|"&amp;$Q620)</f>
        <v/>
      </c>
      <c r="T620">
        <f>IF($A620="","",$S620&amp;"|"&amp;$F620)</f>
        <v/>
      </c>
      <c r="U620">
        <f>IF($A620="","",$R620&amp;"("&amp;$E620&amp;")")</f>
        <v/>
      </c>
      <c r="V620">
        <f>IF($A620="","",$F620&amp;"|"&amp;$U620&amp;"|"&amp;$D620)</f>
        <v/>
      </c>
      <c r="W620">
        <f>IF($T620="","",IF($X620&gt;N($X619),$X620,""))</f>
        <v/>
      </c>
      <c r="X620">
        <f>IF($T620="",N($X619),IF(MATCH($T620,$T$6:$T$6005,0)=ROW()-5,N($X619)+1,N($X619)))</f>
        <v/>
      </c>
      <c r="Z620">
        <f>IF($V620="","",IF($AA620&gt;N($AA619),$AA620,""))</f>
        <v/>
      </c>
      <c r="AA620">
        <f>IF($V620="",N($AA619),IF(MATCH($V620,$V$6:$V$6005,0)=ROW()-5,N($AA619)+1,N($AA619)))</f>
        <v/>
      </c>
    </row>
    <row r="621" ht="21" customHeight="1" s="66">
      <c r="A621" s="56" t="n"/>
      <c r="B621" s="57" t="n"/>
      <c r="C621" s="57" t="n"/>
      <c r="D621" s="57" t="n"/>
      <c r="E621" s="56" t="n"/>
      <c r="F621" s="57" t="n"/>
      <c r="G621" s="57" t="n"/>
      <c r="H621" s="56" t="n"/>
      <c r="I621" s="56" t="n"/>
      <c r="J621" s="58" t="n"/>
      <c r="K621" s="58" t="n"/>
      <c r="L621" s="13">
        <f>IF(OR($A621="",AND($J621="",$K621="")),"",ROUND(N($J621)-N($K621),2))</f>
        <v/>
      </c>
      <c r="M621" s="13">
        <f>IF(OR($A621="",AND($J621="",$K621="")),"",MIN($J621,$K621))</f>
        <v/>
      </c>
      <c r="Q621">
        <f>IF($A621="","",$D621&amp;"("&amp;SUBSTITUTE($E621," ","")&amp;")")</f>
        <v/>
      </c>
      <c r="R621">
        <f>IF($A621="","",$B621&amp;" - "&amp;$C621)</f>
        <v/>
      </c>
      <c r="S621">
        <f>IF($A621="","",$R621&amp;"|"&amp;$Q621)</f>
        <v/>
      </c>
      <c r="T621">
        <f>IF($A621="","",$S621&amp;"|"&amp;$F621)</f>
        <v/>
      </c>
      <c r="U621">
        <f>IF($A621="","",$R621&amp;"("&amp;$E621&amp;")")</f>
        <v/>
      </c>
      <c r="V621">
        <f>IF($A621="","",$F621&amp;"|"&amp;$U621&amp;"|"&amp;$D621)</f>
        <v/>
      </c>
      <c r="W621">
        <f>IF($T621="","",IF($X621&gt;N($X620),$X621,""))</f>
        <v/>
      </c>
      <c r="X621">
        <f>IF($T621="",N($X620),IF(MATCH($T621,$T$6:$T$6005,0)=ROW()-5,N($X620)+1,N($X620)))</f>
        <v/>
      </c>
      <c r="Z621">
        <f>IF($V621="","",IF($AA621&gt;N($AA620),$AA621,""))</f>
        <v/>
      </c>
      <c r="AA621">
        <f>IF($V621="",N($AA620),IF(MATCH($V621,$V$6:$V$6005,0)=ROW()-5,N($AA620)+1,N($AA620)))</f>
        <v/>
      </c>
    </row>
    <row r="622" ht="21" customHeight="1" s="66">
      <c r="A622" s="56" t="n"/>
      <c r="B622" s="57" t="n"/>
      <c r="C622" s="57" t="n"/>
      <c r="D622" s="57" t="n"/>
      <c r="E622" s="56" t="n"/>
      <c r="F622" s="57" t="n"/>
      <c r="G622" s="57" t="n"/>
      <c r="H622" s="56" t="n"/>
      <c r="I622" s="56" t="n"/>
      <c r="J622" s="58" t="n"/>
      <c r="K622" s="58" t="n"/>
      <c r="L622" s="13">
        <f>IF(OR($A622="",AND($J622="",$K622="")),"",ROUND(N($J622)-N($K622),2))</f>
        <v/>
      </c>
      <c r="M622" s="13">
        <f>IF(OR($A622="",AND($J622="",$K622="")),"",MIN($J622,$K622))</f>
        <v/>
      </c>
      <c r="Q622">
        <f>IF($A622="","",$D622&amp;"("&amp;SUBSTITUTE($E622," ","")&amp;")")</f>
        <v/>
      </c>
      <c r="R622">
        <f>IF($A622="","",$B622&amp;" - "&amp;$C622)</f>
        <v/>
      </c>
      <c r="S622">
        <f>IF($A622="","",$R622&amp;"|"&amp;$Q622)</f>
        <v/>
      </c>
      <c r="T622">
        <f>IF($A622="","",$S622&amp;"|"&amp;$F622)</f>
        <v/>
      </c>
      <c r="U622">
        <f>IF($A622="","",$R622&amp;"("&amp;$E622&amp;")")</f>
        <v/>
      </c>
      <c r="V622">
        <f>IF($A622="","",$F622&amp;"|"&amp;$U622&amp;"|"&amp;$D622)</f>
        <v/>
      </c>
      <c r="W622">
        <f>IF($T622="","",IF($X622&gt;N($X621),$X622,""))</f>
        <v/>
      </c>
      <c r="X622">
        <f>IF($T622="",N($X621),IF(MATCH($T622,$T$6:$T$6005,0)=ROW()-5,N($X621)+1,N($X621)))</f>
        <v/>
      </c>
      <c r="Z622">
        <f>IF($V622="","",IF($AA622&gt;N($AA621),$AA622,""))</f>
        <v/>
      </c>
      <c r="AA622">
        <f>IF($V622="",N($AA621),IF(MATCH($V622,$V$6:$V$6005,0)=ROW()-5,N($AA621)+1,N($AA621)))</f>
        <v/>
      </c>
    </row>
    <row r="623" ht="21" customHeight="1" s="66">
      <c r="A623" s="56" t="n"/>
      <c r="B623" s="57" t="n"/>
      <c r="C623" s="57" t="n"/>
      <c r="D623" s="57" t="n"/>
      <c r="E623" s="56" t="n"/>
      <c r="F623" s="57" t="n"/>
      <c r="G623" s="57" t="n"/>
      <c r="H623" s="56" t="n"/>
      <c r="I623" s="56" t="n"/>
      <c r="J623" s="58" t="n"/>
      <c r="K623" s="58" t="n"/>
      <c r="L623" s="13">
        <f>IF(OR($A623="",AND($J623="",$K623="")),"",ROUND(N($J623)-N($K623),2))</f>
        <v/>
      </c>
      <c r="M623" s="13">
        <f>IF(OR($A623="",AND($J623="",$K623="")),"",MIN($J623,$K623))</f>
        <v/>
      </c>
      <c r="Q623">
        <f>IF($A623="","",$D623&amp;"("&amp;SUBSTITUTE($E623," ","")&amp;")")</f>
        <v/>
      </c>
      <c r="R623">
        <f>IF($A623="","",$B623&amp;" - "&amp;$C623)</f>
        <v/>
      </c>
      <c r="S623">
        <f>IF($A623="","",$R623&amp;"|"&amp;$Q623)</f>
        <v/>
      </c>
      <c r="T623">
        <f>IF($A623="","",$S623&amp;"|"&amp;$F623)</f>
        <v/>
      </c>
      <c r="U623">
        <f>IF($A623="","",$R623&amp;"("&amp;$E623&amp;")")</f>
        <v/>
      </c>
      <c r="V623">
        <f>IF($A623="","",$F623&amp;"|"&amp;$U623&amp;"|"&amp;$D623)</f>
        <v/>
      </c>
      <c r="W623">
        <f>IF($T623="","",IF($X623&gt;N($X622),$X623,""))</f>
        <v/>
      </c>
      <c r="X623">
        <f>IF($T623="",N($X622),IF(MATCH($T623,$T$6:$T$6005,0)=ROW()-5,N($X622)+1,N($X622)))</f>
        <v/>
      </c>
      <c r="Z623">
        <f>IF($V623="","",IF($AA623&gt;N($AA622),$AA623,""))</f>
        <v/>
      </c>
      <c r="AA623">
        <f>IF($V623="",N($AA622),IF(MATCH($V623,$V$6:$V$6005,0)=ROW()-5,N($AA622)+1,N($AA622)))</f>
        <v/>
      </c>
    </row>
    <row r="624" ht="21" customHeight="1" s="66">
      <c r="A624" s="56" t="n"/>
      <c r="B624" s="57" t="n"/>
      <c r="C624" s="57" t="n"/>
      <c r="D624" s="57" t="n"/>
      <c r="E624" s="56" t="n"/>
      <c r="F624" s="57" t="n"/>
      <c r="G624" s="57" t="n"/>
      <c r="H624" s="56" t="n"/>
      <c r="I624" s="56" t="n"/>
      <c r="J624" s="58" t="n"/>
      <c r="K624" s="58" t="n"/>
      <c r="L624" s="13">
        <f>IF(OR($A624="",AND($J624="",$K624="")),"",ROUND(N($J624)-N($K624),2))</f>
        <v/>
      </c>
      <c r="M624" s="13">
        <f>IF(OR($A624="",AND($J624="",$K624="")),"",MIN($J624,$K624))</f>
        <v/>
      </c>
      <c r="Q624">
        <f>IF($A624="","",$D624&amp;"("&amp;SUBSTITUTE($E624," ","")&amp;")")</f>
        <v/>
      </c>
      <c r="R624">
        <f>IF($A624="","",$B624&amp;" - "&amp;$C624)</f>
        <v/>
      </c>
      <c r="S624">
        <f>IF($A624="","",$R624&amp;"|"&amp;$Q624)</f>
        <v/>
      </c>
      <c r="T624">
        <f>IF($A624="","",$S624&amp;"|"&amp;$F624)</f>
        <v/>
      </c>
      <c r="U624">
        <f>IF($A624="","",$R624&amp;"("&amp;$E624&amp;")")</f>
        <v/>
      </c>
      <c r="V624">
        <f>IF($A624="","",$F624&amp;"|"&amp;$U624&amp;"|"&amp;$D624)</f>
        <v/>
      </c>
      <c r="W624">
        <f>IF($T624="","",IF($X624&gt;N($X623),$X624,""))</f>
        <v/>
      </c>
      <c r="X624">
        <f>IF($T624="",N($X623),IF(MATCH($T624,$T$6:$T$6005,0)=ROW()-5,N($X623)+1,N($X623)))</f>
        <v/>
      </c>
      <c r="Z624">
        <f>IF($V624="","",IF($AA624&gt;N($AA623),$AA624,""))</f>
        <v/>
      </c>
      <c r="AA624">
        <f>IF($V624="",N($AA623),IF(MATCH($V624,$V$6:$V$6005,0)=ROW()-5,N($AA623)+1,N($AA623)))</f>
        <v/>
      </c>
    </row>
    <row r="625" ht="21" customHeight="1" s="66">
      <c r="A625" s="56" t="n"/>
      <c r="B625" s="57" t="n"/>
      <c r="C625" s="57" t="n"/>
      <c r="D625" s="57" t="n"/>
      <c r="E625" s="56" t="n"/>
      <c r="F625" s="57" t="n"/>
      <c r="G625" s="57" t="n"/>
      <c r="H625" s="56" t="n"/>
      <c r="I625" s="56" t="n"/>
      <c r="J625" s="58" t="n"/>
      <c r="K625" s="58" t="n"/>
      <c r="L625" s="13">
        <f>IF(OR($A625="",AND($J625="",$K625="")),"",ROUND(N($J625)-N($K625),2))</f>
        <v/>
      </c>
      <c r="M625" s="13">
        <f>IF(OR($A625="",AND($J625="",$K625="")),"",MIN($J625,$K625))</f>
        <v/>
      </c>
      <c r="Q625">
        <f>IF($A625="","",$D625&amp;"("&amp;SUBSTITUTE($E625," ","")&amp;")")</f>
        <v/>
      </c>
      <c r="R625">
        <f>IF($A625="","",$B625&amp;" - "&amp;$C625)</f>
        <v/>
      </c>
      <c r="S625">
        <f>IF($A625="","",$R625&amp;"|"&amp;$Q625)</f>
        <v/>
      </c>
      <c r="T625">
        <f>IF($A625="","",$S625&amp;"|"&amp;$F625)</f>
        <v/>
      </c>
      <c r="U625">
        <f>IF($A625="","",$R625&amp;"("&amp;$E625&amp;")")</f>
        <v/>
      </c>
      <c r="V625">
        <f>IF($A625="","",$F625&amp;"|"&amp;$U625&amp;"|"&amp;$D625)</f>
        <v/>
      </c>
      <c r="W625">
        <f>IF($T625="","",IF($X625&gt;N($X624),$X625,""))</f>
        <v/>
      </c>
      <c r="X625">
        <f>IF($T625="",N($X624),IF(MATCH($T625,$T$6:$T$6005,0)=ROW()-5,N($X624)+1,N($X624)))</f>
        <v/>
      </c>
      <c r="Z625">
        <f>IF($V625="","",IF($AA625&gt;N($AA624),$AA625,""))</f>
        <v/>
      </c>
      <c r="AA625">
        <f>IF($V625="",N($AA624),IF(MATCH($V625,$V$6:$V$6005,0)=ROW()-5,N($AA624)+1,N($AA624)))</f>
        <v/>
      </c>
    </row>
    <row r="626" ht="21" customHeight="1" s="66">
      <c r="A626" s="56" t="n"/>
      <c r="B626" s="57" t="n"/>
      <c r="C626" s="57" t="n"/>
      <c r="D626" s="57" t="n"/>
      <c r="E626" s="56" t="n"/>
      <c r="F626" s="57" t="n"/>
      <c r="G626" s="57" t="n"/>
      <c r="H626" s="56" t="n"/>
      <c r="I626" s="56" t="n"/>
      <c r="J626" s="58" t="n"/>
      <c r="K626" s="58" t="n"/>
      <c r="L626" s="13">
        <f>IF(OR($A626="",AND($J626="",$K626="")),"",ROUND(N($J626)-N($K626),2))</f>
        <v/>
      </c>
      <c r="M626" s="13">
        <f>IF(OR($A626="",AND($J626="",$K626="")),"",MIN($J626,$K626))</f>
        <v/>
      </c>
      <c r="Q626">
        <f>IF($A626="","",$D626&amp;"("&amp;SUBSTITUTE($E626," ","")&amp;")")</f>
        <v/>
      </c>
      <c r="R626">
        <f>IF($A626="","",$B626&amp;" - "&amp;$C626)</f>
        <v/>
      </c>
      <c r="S626">
        <f>IF($A626="","",$R626&amp;"|"&amp;$Q626)</f>
        <v/>
      </c>
      <c r="T626">
        <f>IF($A626="","",$S626&amp;"|"&amp;$F626)</f>
        <v/>
      </c>
      <c r="U626">
        <f>IF($A626="","",$R626&amp;"("&amp;$E626&amp;")")</f>
        <v/>
      </c>
      <c r="V626">
        <f>IF($A626="","",$F626&amp;"|"&amp;$U626&amp;"|"&amp;$D626)</f>
        <v/>
      </c>
      <c r="W626">
        <f>IF($T626="","",IF($X626&gt;N($X625),$X626,""))</f>
        <v/>
      </c>
      <c r="X626">
        <f>IF($T626="",N($X625),IF(MATCH($T626,$T$6:$T$6005,0)=ROW()-5,N($X625)+1,N($X625)))</f>
        <v/>
      </c>
      <c r="Z626">
        <f>IF($V626="","",IF($AA626&gt;N($AA625),$AA626,""))</f>
        <v/>
      </c>
      <c r="AA626">
        <f>IF($V626="",N($AA625),IF(MATCH($V626,$V$6:$V$6005,0)=ROW()-5,N($AA625)+1,N($AA625)))</f>
        <v/>
      </c>
    </row>
    <row r="627" ht="21" customHeight="1" s="66">
      <c r="A627" s="56" t="n"/>
      <c r="B627" s="57" t="n"/>
      <c r="C627" s="57" t="n"/>
      <c r="D627" s="57" t="n"/>
      <c r="E627" s="56" t="n"/>
      <c r="F627" s="57" t="n"/>
      <c r="G627" s="57" t="n"/>
      <c r="H627" s="56" t="n"/>
      <c r="I627" s="56" t="n"/>
      <c r="J627" s="58" t="n"/>
      <c r="K627" s="58" t="n"/>
      <c r="L627" s="13">
        <f>IF(OR($A627="",AND($J627="",$K627="")),"",ROUND(N($J627)-N($K627),2))</f>
        <v/>
      </c>
      <c r="M627" s="13">
        <f>IF(OR($A627="",AND($J627="",$K627="")),"",MIN($J627,$K627))</f>
        <v/>
      </c>
      <c r="Q627">
        <f>IF($A627="","",$D627&amp;"("&amp;SUBSTITUTE($E627," ","")&amp;")")</f>
        <v/>
      </c>
      <c r="R627">
        <f>IF($A627="","",$B627&amp;" - "&amp;$C627)</f>
        <v/>
      </c>
      <c r="S627">
        <f>IF($A627="","",$R627&amp;"|"&amp;$Q627)</f>
        <v/>
      </c>
      <c r="T627">
        <f>IF($A627="","",$S627&amp;"|"&amp;$F627)</f>
        <v/>
      </c>
      <c r="U627">
        <f>IF($A627="","",$R627&amp;"("&amp;$E627&amp;")")</f>
        <v/>
      </c>
      <c r="V627">
        <f>IF($A627="","",$F627&amp;"|"&amp;$U627&amp;"|"&amp;$D627)</f>
        <v/>
      </c>
      <c r="W627">
        <f>IF($T627="","",IF($X627&gt;N($X626),$X627,""))</f>
        <v/>
      </c>
      <c r="X627">
        <f>IF($T627="",N($X626),IF(MATCH($T627,$T$6:$T$6005,0)=ROW()-5,N($X626)+1,N($X626)))</f>
        <v/>
      </c>
      <c r="Z627">
        <f>IF($V627="","",IF($AA627&gt;N($AA626),$AA627,""))</f>
        <v/>
      </c>
      <c r="AA627">
        <f>IF($V627="",N($AA626),IF(MATCH($V627,$V$6:$V$6005,0)=ROW()-5,N($AA626)+1,N($AA626)))</f>
        <v/>
      </c>
    </row>
    <row r="628" ht="21" customHeight="1" s="66">
      <c r="A628" s="56" t="n"/>
      <c r="B628" s="57" t="n"/>
      <c r="C628" s="57" t="n"/>
      <c r="D628" s="57" t="n"/>
      <c r="E628" s="56" t="n"/>
      <c r="F628" s="57" t="n"/>
      <c r="G628" s="57" t="n"/>
      <c r="H628" s="56" t="n"/>
      <c r="I628" s="56" t="n"/>
      <c r="J628" s="58" t="n"/>
      <c r="K628" s="58" t="n"/>
      <c r="L628" s="13">
        <f>IF(OR($A628="",AND($J628="",$K628="")),"",ROUND(N($J628)-N($K628),2))</f>
        <v/>
      </c>
      <c r="M628" s="13">
        <f>IF(OR($A628="",AND($J628="",$K628="")),"",MIN($J628,$K628))</f>
        <v/>
      </c>
      <c r="Q628">
        <f>IF($A628="","",$D628&amp;"("&amp;SUBSTITUTE($E628," ","")&amp;")")</f>
        <v/>
      </c>
      <c r="R628">
        <f>IF($A628="","",$B628&amp;" - "&amp;$C628)</f>
        <v/>
      </c>
      <c r="S628">
        <f>IF($A628="","",$R628&amp;"|"&amp;$Q628)</f>
        <v/>
      </c>
      <c r="T628">
        <f>IF($A628="","",$S628&amp;"|"&amp;$F628)</f>
        <v/>
      </c>
      <c r="U628">
        <f>IF($A628="","",$R628&amp;"("&amp;$E628&amp;")")</f>
        <v/>
      </c>
      <c r="V628">
        <f>IF($A628="","",$F628&amp;"|"&amp;$U628&amp;"|"&amp;$D628)</f>
        <v/>
      </c>
      <c r="W628">
        <f>IF($T628="","",IF($X628&gt;N($X627),$X628,""))</f>
        <v/>
      </c>
      <c r="X628">
        <f>IF($T628="",N($X627),IF(MATCH($T628,$T$6:$T$6005,0)=ROW()-5,N($X627)+1,N($X627)))</f>
        <v/>
      </c>
      <c r="Z628">
        <f>IF($V628="","",IF($AA628&gt;N($AA627),$AA628,""))</f>
        <v/>
      </c>
      <c r="AA628">
        <f>IF($V628="",N($AA627),IF(MATCH($V628,$V$6:$V$6005,0)=ROW()-5,N($AA627)+1,N($AA627)))</f>
        <v/>
      </c>
    </row>
    <row r="629" ht="21" customHeight="1" s="66">
      <c r="A629" s="56" t="n"/>
      <c r="B629" s="57" t="n"/>
      <c r="C629" s="57" t="n"/>
      <c r="D629" s="57" t="n"/>
      <c r="E629" s="56" t="n"/>
      <c r="F629" s="57" t="n"/>
      <c r="G629" s="57" t="n"/>
      <c r="H629" s="56" t="n"/>
      <c r="I629" s="56" t="n"/>
      <c r="J629" s="58" t="n"/>
      <c r="K629" s="58" t="n"/>
      <c r="L629" s="13">
        <f>IF(OR($A629="",AND($J629="",$K629="")),"",ROUND(N($J629)-N($K629),2))</f>
        <v/>
      </c>
      <c r="M629" s="13">
        <f>IF(OR($A629="",AND($J629="",$K629="")),"",MIN($J629,$K629))</f>
        <v/>
      </c>
      <c r="Q629">
        <f>IF($A629="","",$D629&amp;"("&amp;SUBSTITUTE($E629," ","")&amp;")")</f>
        <v/>
      </c>
      <c r="R629">
        <f>IF($A629="","",$B629&amp;" - "&amp;$C629)</f>
        <v/>
      </c>
      <c r="S629">
        <f>IF($A629="","",$R629&amp;"|"&amp;$Q629)</f>
        <v/>
      </c>
      <c r="T629">
        <f>IF($A629="","",$S629&amp;"|"&amp;$F629)</f>
        <v/>
      </c>
      <c r="U629">
        <f>IF($A629="","",$R629&amp;"("&amp;$E629&amp;")")</f>
        <v/>
      </c>
      <c r="V629">
        <f>IF($A629="","",$F629&amp;"|"&amp;$U629&amp;"|"&amp;$D629)</f>
        <v/>
      </c>
      <c r="W629">
        <f>IF($T629="","",IF($X629&gt;N($X628),$X629,""))</f>
        <v/>
      </c>
      <c r="X629">
        <f>IF($T629="",N($X628),IF(MATCH($T629,$T$6:$T$6005,0)=ROW()-5,N($X628)+1,N($X628)))</f>
        <v/>
      </c>
      <c r="Z629">
        <f>IF($V629="","",IF($AA629&gt;N($AA628),$AA629,""))</f>
        <v/>
      </c>
      <c r="AA629">
        <f>IF($V629="",N($AA628),IF(MATCH($V629,$V$6:$V$6005,0)=ROW()-5,N($AA628)+1,N($AA628)))</f>
        <v/>
      </c>
    </row>
    <row r="630" ht="21" customHeight="1" s="66">
      <c r="A630" s="56" t="n"/>
      <c r="B630" s="57" t="n"/>
      <c r="C630" s="57" t="n"/>
      <c r="D630" s="57" t="n"/>
      <c r="E630" s="56" t="n"/>
      <c r="F630" s="57" t="n"/>
      <c r="G630" s="57" t="n"/>
      <c r="H630" s="56" t="n"/>
      <c r="I630" s="56" t="n"/>
      <c r="J630" s="58" t="n"/>
      <c r="K630" s="58" t="n"/>
      <c r="L630" s="13">
        <f>IF(OR($A630="",AND($J630="",$K630="")),"",ROUND(N($J630)-N($K630),2))</f>
        <v/>
      </c>
      <c r="M630" s="13">
        <f>IF(OR($A630="",AND($J630="",$K630="")),"",MIN($J630,$K630))</f>
        <v/>
      </c>
      <c r="Q630">
        <f>IF($A630="","",$D630&amp;"("&amp;SUBSTITUTE($E630," ","")&amp;")")</f>
        <v/>
      </c>
      <c r="R630">
        <f>IF($A630="","",$B630&amp;" - "&amp;$C630)</f>
        <v/>
      </c>
      <c r="S630">
        <f>IF($A630="","",$R630&amp;"|"&amp;$Q630)</f>
        <v/>
      </c>
      <c r="T630">
        <f>IF($A630="","",$S630&amp;"|"&amp;$F630)</f>
        <v/>
      </c>
      <c r="U630">
        <f>IF($A630="","",$R630&amp;"("&amp;$E630&amp;")")</f>
        <v/>
      </c>
      <c r="V630">
        <f>IF($A630="","",$F630&amp;"|"&amp;$U630&amp;"|"&amp;$D630)</f>
        <v/>
      </c>
      <c r="W630">
        <f>IF($T630="","",IF($X630&gt;N($X629),$X630,""))</f>
        <v/>
      </c>
      <c r="X630">
        <f>IF($T630="",N($X629),IF(MATCH($T630,$T$6:$T$6005,0)=ROW()-5,N($X629)+1,N($X629)))</f>
        <v/>
      </c>
      <c r="Z630">
        <f>IF($V630="","",IF($AA630&gt;N($AA629),$AA630,""))</f>
        <v/>
      </c>
      <c r="AA630">
        <f>IF($V630="",N($AA629),IF(MATCH($V630,$V$6:$V$6005,0)=ROW()-5,N($AA629)+1,N($AA629)))</f>
        <v/>
      </c>
    </row>
    <row r="631" ht="21" customHeight="1" s="66">
      <c r="A631" s="56" t="n"/>
      <c r="B631" s="57" t="n"/>
      <c r="C631" s="57" t="n"/>
      <c r="D631" s="57" t="n"/>
      <c r="E631" s="56" t="n"/>
      <c r="F631" s="57" t="n"/>
      <c r="G631" s="57" t="n"/>
      <c r="H631" s="56" t="n"/>
      <c r="I631" s="56" t="n"/>
      <c r="J631" s="58" t="n"/>
      <c r="K631" s="58" t="n"/>
      <c r="L631" s="13">
        <f>IF(OR($A631="",AND($J631="",$K631="")),"",ROUND(N($J631)-N($K631),2))</f>
        <v/>
      </c>
      <c r="M631" s="13">
        <f>IF(OR($A631="",AND($J631="",$K631="")),"",MIN($J631,$K631))</f>
        <v/>
      </c>
      <c r="Q631">
        <f>IF($A631="","",$D631&amp;"("&amp;SUBSTITUTE($E631," ","")&amp;")")</f>
        <v/>
      </c>
      <c r="R631">
        <f>IF($A631="","",$B631&amp;" - "&amp;$C631)</f>
        <v/>
      </c>
      <c r="S631">
        <f>IF($A631="","",$R631&amp;"|"&amp;$Q631)</f>
        <v/>
      </c>
      <c r="T631">
        <f>IF($A631="","",$S631&amp;"|"&amp;$F631)</f>
        <v/>
      </c>
      <c r="U631">
        <f>IF($A631="","",$R631&amp;"("&amp;$E631&amp;")")</f>
        <v/>
      </c>
      <c r="V631">
        <f>IF($A631="","",$F631&amp;"|"&amp;$U631&amp;"|"&amp;$D631)</f>
        <v/>
      </c>
      <c r="W631">
        <f>IF($T631="","",IF($X631&gt;N($X630),$X631,""))</f>
        <v/>
      </c>
      <c r="X631">
        <f>IF($T631="",N($X630),IF(MATCH($T631,$T$6:$T$6005,0)=ROW()-5,N($X630)+1,N($X630)))</f>
        <v/>
      </c>
      <c r="Z631">
        <f>IF($V631="","",IF($AA631&gt;N($AA630),$AA631,""))</f>
        <v/>
      </c>
      <c r="AA631">
        <f>IF($V631="",N($AA630),IF(MATCH($V631,$V$6:$V$6005,0)=ROW()-5,N($AA630)+1,N($AA630)))</f>
        <v/>
      </c>
    </row>
    <row r="632" ht="21" customHeight="1" s="66">
      <c r="A632" s="56" t="n"/>
      <c r="B632" s="57" t="n"/>
      <c r="C632" s="57" t="n"/>
      <c r="D632" s="57" t="n"/>
      <c r="E632" s="56" t="n"/>
      <c r="F632" s="57" t="n"/>
      <c r="G632" s="57" t="n"/>
      <c r="H632" s="56" t="n"/>
      <c r="I632" s="56" t="n"/>
      <c r="J632" s="58" t="n"/>
      <c r="K632" s="58" t="n"/>
      <c r="L632" s="13">
        <f>IF(OR($A632="",AND($J632="",$K632="")),"",ROUND(N($J632)-N($K632),2))</f>
        <v/>
      </c>
      <c r="M632" s="13">
        <f>IF(OR($A632="",AND($J632="",$K632="")),"",MIN($J632,$K632))</f>
        <v/>
      </c>
      <c r="Q632">
        <f>IF($A632="","",$D632&amp;"("&amp;SUBSTITUTE($E632," ","")&amp;")")</f>
        <v/>
      </c>
      <c r="R632">
        <f>IF($A632="","",$B632&amp;" - "&amp;$C632)</f>
        <v/>
      </c>
      <c r="S632">
        <f>IF($A632="","",$R632&amp;"|"&amp;$Q632)</f>
        <v/>
      </c>
      <c r="T632">
        <f>IF($A632="","",$S632&amp;"|"&amp;$F632)</f>
        <v/>
      </c>
      <c r="U632">
        <f>IF($A632="","",$R632&amp;"("&amp;$E632&amp;")")</f>
        <v/>
      </c>
      <c r="V632">
        <f>IF($A632="","",$F632&amp;"|"&amp;$U632&amp;"|"&amp;$D632)</f>
        <v/>
      </c>
      <c r="W632">
        <f>IF($T632="","",IF($X632&gt;N($X631),$X632,""))</f>
        <v/>
      </c>
      <c r="X632">
        <f>IF($T632="",N($X631),IF(MATCH($T632,$T$6:$T$6005,0)=ROW()-5,N($X631)+1,N($X631)))</f>
        <v/>
      </c>
      <c r="Z632">
        <f>IF($V632="","",IF($AA632&gt;N($AA631),$AA632,""))</f>
        <v/>
      </c>
      <c r="AA632">
        <f>IF($V632="",N($AA631),IF(MATCH($V632,$V$6:$V$6005,0)=ROW()-5,N($AA631)+1,N($AA631)))</f>
        <v/>
      </c>
    </row>
    <row r="633" ht="21" customHeight="1" s="66">
      <c r="A633" s="56" t="n"/>
      <c r="B633" s="57" t="n"/>
      <c r="C633" s="57" t="n"/>
      <c r="D633" s="57" t="n"/>
      <c r="E633" s="56" t="n"/>
      <c r="F633" s="57" t="n"/>
      <c r="G633" s="57" t="n"/>
      <c r="H633" s="56" t="n"/>
      <c r="I633" s="56" t="n"/>
      <c r="J633" s="58" t="n"/>
      <c r="K633" s="58" t="n"/>
      <c r="L633" s="13">
        <f>IF(OR($A633="",AND($J633="",$K633="")),"",ROUND(N($J633)-N($K633),2))</f>
        <v/>
      </c>
      <c r="M633" s="13">
        <f>IF(OR($A633="",AND($J633="",$K633="")),"",MIN($J633,$K633))</f>
        <v/>
      </c>
      <c r="Q633">
        <f>IF($A633="","",$D633&amp;"("&amp;SUBSTITUTE($E633," ","")&amp;")")</f>
        <v/>
      </c>
      <c r="R633">
        <f>IF($A633="","",$B633&amp;" - "&amp;$C633)</f>
        <v/>
      </c>
      <c r="S633">
        <f>IF($A633="","",$R633&amp;"|"&amp;$Q633)</f>
        <v/>
      </c>
      <c r="T633">
        <f>IF($A633="","",$S633&amp;"|"&amp;$F633)</f>
        <v/>
      </c>
      <c r="U633">
        <f>IF($A633="","",$R633&amp;"("&amp;$E633&amp;")")</f>
        <v/>
      </c>
      <c r="V633">
        <f>IF($A633="","",$F633&amp;"|"&amp;$U633&amp;"|"&amp;$D633)</f>
        <v/>
      </c>
      <c r="W633">
        <f>IF($T633="","",IF($X633&gt;N($X632),$X633,""))</f>
        <v/>
      </c>
      <c r="X633">
        <f>IF($T633="",N($X632),IF(MATCH($T633,$T$6:$T$6005,0)=ROW()-5,N($X632)+1,N($X632)))</f>
        <v/>
      </c>
      <c r="Z633">
        <f>IF($V633="","",IF($AA633&gt;N($AA632),$AA633,""))</f>
        <v/>
      </c>
      <c r="AA633">
        <f>IF($V633="",N($AA632),IF(MATCH($V633,$V$6:$V$6005,0)=ROW()-5,N($AA632)+1,N($AA632)))</f>
        <v/>
      </c>
    </row>
    <row r="634" ht="21" customHeight="1" s="66">
      <c r="A634" s="56" t="n"/>
      <c r="B634" s="57" t="n"/>
      <c r="C634" s="57" t="n"/>
      <c r="D634" s="57" t="n"/>
      <c r="E634" s="56" t="n"/>
      <c r="F634" s="57" t="n"/>
      <c r="G634" s="57" t="n"/>
      <c r="H634" s="56" t="n"/>
      <c r="I634" s="56" t="n"/>
      <c r="J634" s="58" t="n"/>
      <c r="K634" s="58" t="n"/>
      <c r="L634" s="13">
        <f>IF(OR($A634="",AND($J634="",$K634="")),"",ROUND(N($J634)-N($K634),2))</f>
        <v/>
      </c>
      <c r="M634" s="13">
        <f>IF(OR($A634="",AND($J634="",$K634="")),"",MIN($J634,$K634))</f>
        <v/>
      </c>
      <c r="Q634">
        <f>IF($A634="","",$D634&amp;"("&amp;SUBSTITUTE($E634," ","")&amp;")")</f>
        <v/>
      </c>
      <c r="R634">
        <f>IF($A634="","",$B634&amp;" - "&amp;$C634)</f>
        <v/>
      </c>
      <c r="S634">
        <f>IF($A634="","",$R634&amp;"|"&amp;$Q634)</f>
        <v/>
      </c>
      <c r="T634">
        <f>IF($A634="","",$S634&amp;"|"&amp;$F634)</f>
        <v/>
      </c>
      <c r="U634">
        <f>IF($A634="","",$R634&amp;"("&amp;$E634&amp;")")</f>
        <v/>
      </c>
      <c r="V634">
        <f>IF($A634="","",$F634&amp;"|"&amp;$U634&amp;"|"&amp;$D634)</f>
        <v/>
      </c>
      <c r="W634">
        <f>IF($T634="","",IF($X634&gt;N($X633),$X634,""))</f>
        <v/>
      </c>
      <c r="X634">
        <f>IF($T634="",N($X633),IF(MATCH($T634,$T$6:$T$6005,0)=ROW()-5,N($X633)+1,N($X633)))</f>
        <v/>
      </c>
      <c r="Z634">
        <f>IF($V634="","",IF($AA634&gt;N($AA633),$AA634,""))</f>
        <v/>
      </c>
      <c r="AA634">
        <f>IF($V634="",N($AA633),IF(MATCH($V634,$V$6:$V$6005,0)=ROW()-5,N($AA633)+1,N($AA633)))</f>
        <v/>
      </c>
    </row>
    <row r="635" ht="21" customHeight="1" s="66">
      <c r="A635" s="56" t="n"/>
      <c r="B635" s="57" t="n"/>
      <c r="C635" s="57" t="n"/>
      <c r="D635" s="57" t="n"/>
      <c r="E635" s="56" t="n"/>
      <c r="F635" s="57" t="n"/>
      <c r="G635" s="57" t="n"/>
      <c r="H635" s="56" t="n"/>
      <c r="I635" s="56" t="n"/>
      <c r="J635" s="58" t="n"/>
      <c r="K635" s="58" t="n"/>
      <c r="L635" s="13">
        <f>IF(OR($A635="",AND($J635="",$K635="")),"",ROUND(N($J635)-N($K635),2))</f>
        <v/>
      </c>
      <c r="M635" s="13">
        <f>IF(OR($A635="",AND($J635="",$K635="")),"",MIN($J635,$K635))</f>
        <v/>
      </c>
      <c r="Q635">
        <f>IF($A635="","",$D635&amp;"("&amp;SUBSTITUTE($E635," ","")&amp;")")</f>
        <v/>
      </c>
      <c r="R635">
        <f>IF($A635="","",$B635&amp;" - "&amp;$C635)</f>
        <v/>
      </c>
      <c r="S635">
        <f>IF($A635="","",$R635&amp;"|"&amp;$Q635)</f>
        <v/>
      </c>
      <c r="T635">
        <f>IF($A635="","",$S635&amp;"|"&amp;$F635)</f>
        <v/>
      </c>
      <c r="U635">
        <f>IF($A635="","",$R635&amp;"("&amp;$E635&amp;")")</f>
        <v/>
      </c>
      <c r="V635">
        <f>IF($A635="","",$F635&amp;"|"&amp;$U635&amp;"|"&amp;$D635)</f>
        <v/>
      </c>
      <c r="W635">
        <f>IF($T635="","",IF($X635&gt;N($X634),$X635,""))</f>
        <v/>
      </c>
      <c r="X635">
        <f>IF($T635="",N($X634),IF(MATCH($T635,$T$6:$T$6005,0)=ROW()-5,N($X634)+1,N($X634)))</f>
        <v/>
      </c>
      <c r="Z635">
        <f>IF($V635="","",IF($AA635&gt;N($AA634),$AA635,""))</f>
        <v/>
      </c>
      <c r="AA635">
        <f>IF($V635="",N($AA634),IF(MATCH($V635,$V$6:$V$6005,0)=ROW()-5,N($AA634)+1,N($AA634)))</f>
        <v/>
      </c>
    </row>
    <row r="636" ht="21" customHeight="1" s="66">
      <c r="A636" s="56" t="n"/>
      <c r="B636" s="57" t="n"/>
      <c r="C636" s="57" t="n"/>
      <c r="D636" s="57" t="n"/>
      <c r="E636" s="56" t="n"/>
      <c r="F636" s="57" t="n"/>
      <c r="G636" s="57" t="n"/>
      <c r="H636" s="56" t="n"/>
      <c r="I636" s="56" t="n"/>
      <c r="J636" s="58" t="n"/>
      <c r="K636" s="58" t="n"/>
      <c r="L636" s="13">
        <f>IF(OR($A636="",AND($J636="",$K636="")),"",ROUND(N($J636)-N($K636),2))</f>
        <v/>
      </c>
      <c r="M636" s="13">
        <f>IF(OR($A636="",AND($J636="",$K636="")),"",MIN($J636,$K636))</f>
        <v/>
      </c>
      <c r="Q636">
        <f>IF($A636="","",$D636&amp;"("&amp;SUBSTITUTE($E636," ","")&amp;")")</f>
        <v/>
      </c>
      <c r="R636">
        <f>IF($A636="","",$B636&amp;" - "&amp;$C636)</f>
        <v/>
      </c>
      <c r="S636">
        <f>IF($A636="","",$R636&amp;"|"&amp;$Q636)</f>
        <v/>
      </c>
      <c r="T636">
        <f>IF($A636="","",$S636&amp;"|"&amp;$F636)</f>
        <v/>
      </c>
      <c r="U636">
        <f>IF($A636="","",$R636&amp;"("&amp;$E636&amp;")")</f>
        <v/>
      </c>
      <c r="V636">
        <f>IF($A636="","",$F636&amp;"|"&amp;$U636&amp;"|"&amp;$D636)</f>
        <v/>
      </c>
      <c r="W636">
        <f>IF($T636="","",IF($X636&gt;N($X635),$X636,""))</f>
        <v/>
      </c>
      <c r="X636">
        <f>IF($T636="",N($X635),IF(MATCH($T636,$T$6:$T$6005,0)=ROW()-5,N($X635)+1,N($X635)))</f>
        <v/>
      </c>
      <c r="Z636">
        <f>IF($V636="","",IF($AA636&gt;N($AA635),$AA636,""))</f>
        <v/>
      </c>
      <c r="AA636">
        <f>IF($V636="",N($AA635),IF(MATCH($V636,$V$6:$V$6005,0)=ROW()-5,N($AA635)+1,N($AA635)))</f>
        <v/>
      </c>
    </row>
    <row r="637" ht="21" customHeight="1" s="66">
      <c r="A637" s="56" t="n"/>
      <c r="B637" s="57" t="n"/>
      <c r="C637" s="57" t="n"/>
      <c r="D637" s="57" t="n"/>
      <c r="E637" s="56" t="n"/>
      <c r="F637" s="57" t="n"/>
      <c r="G637" s="57" t="n"/>
      <c r="H637" s="56" t="n"/>
      <c r="I637" s="56" t="n"/>
      <c r="J637" s="58" t="n"/>
      <c r="K637" s="58" t="n"/>
      <c r="L637" s="13">
        <f>IF(OR($A637="",AND($J637="",$K637="")),"",ROUND(N($J637)-N($K637),2))</f>
        <v/>
      </c>
      <c r="M637" s="13">
        <f>IF(OR($A637="",AND($J637="",$K637="")),"",MIN($J637,$K637))</f>
        <v/>
      </c>
      <c r="Q637">
        <f>IF($A637="","",$D637&amp;"("&amp;SUBSTITUTE($E637," ","")&amp;")")</f>
        <v/>
      </c>
      <c r="R637">
        <f>IF($A637="","",$B637&amp;" - "&amp;$C637)</f>
        <v/>
      </c>
      <c r="S637">
        <f>IF($A637="","",$R637&amp;"|"&amp;$Q637)</f>
        <v/>
      </c>
      <c r="T637">
        <f>IF($A637="","",$S637&amp;"|"&amp;$F637)</f>
        <v/>
      </c>
      <c r="U637">
        <f>IF($A637="","",$R637&amp;"("&amp;$E637&amp;")")</f>
        <v/>
      </c>
      <c r="V637">
        <f>IF($A637="","",$F637&amp;"|"&amp;$U637&amp;"|"&amp;$D637)</f>
        <v/>
      </c>
      <c r="W637">
        <f>IF($T637="","",IF($X637&gt;N($X636),$X637,""))</f>
        <v/>
      </c>
      <c r="X637">
        <f>IF($T637="",N($X636),IF(MATCH($T637,$T$6:$T$6005,0)=ROW()-5,N($X636)+1,N($X636)))</f>
        <v/>
      </c>
      <c r="Z637">
        <f>IF($V637="","",IF($AA637&gt;N($AA636),$AA637,""))</f>
        <v/>
      </c>
      <c r="AA637">
        <f>IF($V637="",N($AA636),IF(MATCH($V637,$V$6:$V$6005,0)=ROW()-5,N($AA636)+1,N($AA636)))</f>
        <v/>
      </c>
    </row>
    <row r="638" ht="21" customHeight="1" s="66">
      <c r="A638" s="56" t="n"/>
      <c r="B638" s="57" t="n"/>
      <c r="C638" s="57" t="n"/>
      <c r="D638" s="57" t="n"/>
      <c r="E638" s="56" t="n"/>
      <c r="F638" s="57" t="n"/>
      <c r="G638" s="57" t="n"/>
      <c r="H638" s="56" t="n"/>
      <c r="I638" s="56" t="n"/>
      <c r="J638" s="58" t="n"/>
      <c r="K638" s="58" t="n"/>
      <c r="L638" s="13">
        <f>IF(OR($A638="",AND($J638="",$K638="")),"",ROUND(N($J638)-N($K638),2))</f>
        <v/>
      </c>
      <c r="M638" s="13">
        <f>IF(OR($A638="",AND($J638="",$K638="")),"",MIN($J638,$K638))</f>
        <v/>
      </c>
      <c r="Q638">
        <f>IF($A638="","",$D638&amp;"("&amp;SUBSTITUTE($E638," ","")&amp;")")</f>
        <v/>
      </c>
      <c r="R638">
        <f>IF($A638="","",$B638&amp;" - "&amp;$C638)</f>
        <v/>
      </c>
      <c r="S638">
        <f>IF($A638="","",$R638&amp;"|"&amp;$Q638)</f>
        <v/>
      </c>
      <c r="T638">
        <f>IF($A638="","",$S638&amp;"|"&amp;$F638)</f>
        <v/>
      </c>
      <c r="U638">
        <f>IF($A638="","",$R638&amp;"("&amp;$E638&amp;")")</f>
        <v/>
      </c>
      <c r="V638">
        <f>IF($A638="","",$F638&amp;"|"&amp;$U638&amp;"|"&amp;$D638)</f>
        <v/>
      </c>
      <c r="W638">
        <f>IF($T638="","",IF($X638&gt;N($X637),$X638,""))</f>
        <v/>
      </c>
      <c r="X638">
        <f>IF($T638="",N($X637),IF(MATCH($T638,$T$6:$T$6005,0)=ROW()-5,N($X637)+1,N($X637)))</f>
        <v/>
      </c>
      <c r="Z638">
        <f>IF($V638="","",IF($AA638&gt;N($AA637),$AA638,""))</f>
        <v/>
      </c>
      <c r="AA638">
        <f>IF($V638="",N($AA637),IF(MATCH($V638,$V$6:$V$6005,0)=ROW()-5,N($AA637)+1,N($AA637)))</f>
        <v/>
      </c>
    </row>
    <row r="639" ht="21" customHeight="1" s="66">
      <c r="A639" s="56" t="n"/>
      <c r="B639" s="57" t="n"/>
      <c r="C639" s="57" t="n"/>
      <c r="D639" s="57" t="n"/>
      <c r="E639" s="56" t="n"/>
      <c r="F639" s="57" t="n"/>
      <c r="G639" s="57" t="n"/>
      <c r="H639" s="56" t="n"/>
      <c r="I639" s="56" t="n"/>
      <c r="J639" s="58" t="n"/>
      <c r="K639" s="58" t="n"/>
      <c r="L639" s="13">
        <f>IF(OR($A639="",AND($J639="",$K639="")),"",ROUND(N($J639)-N($K639),2))</f>
        <v/>
      </c>
      <c r="M639" s="13">
        <f>IF(OR($A639="",AND($J639="",$K639="")),"",MIN($J639,$K639))</f>
        <v/>
      </c>
      <c r="Q639">
        <f>IF($A639="","",$D639&amp;"("&amp;SUBSTITUTE($E639," ","")&amp;")")</f>
        <v/>
      </c>
      <c r="R639">
        <f>IF($A639="","",$B639&amp;" - "&amp;$C639)</f>
        <v/>
      </c>
      <c r="S639">
        <f>IF($A639="","",$R639&amp;"|"&amp;$Q639)</f>
        <v/>
      </c>
      <c r="T639">
        <f>IF($A639="","",$S639&amp;"|"&amp;$F639)</f>
        <v/>
      </c>
      <c r="U639">
        <f>IF($A639="","",$R639&amp;"("&amp;$E639&amp;")")</f>
        <v/>
      </c>
      <c r="V639">
        <f>IF($A639="","",$F639&amp;"|"&amp;$U639&amp;"|"&amp;$D639)</f>
        <v/>
      </c>
      <c r="W639">
        <f>IF($T639="","",IF($X639&gt;N($X638),$X639,""))</f>
        <v/>
      </c>
      <c r="X639">
        <f>IF($T639="",N($X638),IF(MATCH($T639,$T$6:$T$6005,0)=ROW()-5,N($X638)+1,N($X638)))</f>
        <v/>
      </c>
      <c r="Z639">
        <f>IF($V639="","",IF($AA639&gt;N($AA638),$AA639,""))</f>
        <v/>
      </c>
      <c r="AA639">
        <f>IF($V639="",N($AA638),IF(MATCH($V639,$V$6:$V$6005,0)=ROW()-5,N($AA638)+1,N($AA638)))</f>
        <v/>
      </c>
    </row>
    <row r="640" ht="21" customHeight="1" s="66">
      <c r="A640" s="56" t="n"/>
      <c r="B640" s="57" t="n"/>
      <c r="C640" s="57" t="n"/>
      <c r="D640" s="57" t="n"/>
      <c r="E640" s="56" t="n"/>
      <c r="F640" s="57" t="n"/>
      <c r="G640" s="57" t="n"/>
      <c r="H640" s="56" t="n"/>
      <c r="I640" s="56" t="n"/>
      <c r="J640" s="58" t="n"/>
      <c r="K640" s="58" t="n"/>
      <c r="L640" s="13">
        <f>IF(OR($A640="",AND($J640="",$K640="")),"",ROUND(N($J640)-N($K640),2))</f>
        <v/>
      </c>
      <c r="M640" s="13">
        <f>IF(OR($A640="",AND($J640="",$K640="")),"",MIN($J640,$K640))</f>
        <v/>
      </c>
      <c r="Q640">
        <f>IF($A640="","",$D640&amp;"("&amp;SUBSTITUTE($E640," ","")&amp;")")</f>
        <v/>
      </c>
      <c r="R640">
        <f>IF($A640="","",$B640&amp;" - "&amp;$C640)</f>
        <v/>
      </c>
      <c r="S640">
        <f>IF($A640="","",$R640&amp;"|"&amp;$Q640)</f>
        <v/>
      </c>
      <c r="T640">
        <f>IF($A640="","",$S640&amp;"|"&amp;$F640)</f>
        <v/>
      </c>
      <c r="U640">
        <f>IF($A640="","",$R640&amp;"("&amp;$E640&amp;")")</f>
        <v/>
      </c>
      <c r="V640">
        <f>IF($A640="","",$F640&amp;"|"&amp;$U640&amp;"|"&amp;$D640)</f>
        <v/>
      </c>
      <c r="W640">
        <f>IF($T640="","",IF($X640&gt;N($X639),$X640,""))</f>
        <v/>
      </c>
      <c r="X640">
        <f>IF($T640="",N($X639),IF(MATCH($T640,$T$6:$T$6005,0)=ROW()-5,N($X639)+1,N($X639)))</f>
        <v/>
      </c>
      <c r="Z640">
        <f>IF($V640="","",IF($AA640&gt;N($AA639),$AA640,""))</f>
        <v/>
      </c>
      <c r="AA640">
        <f>IF($V640="",N($AA639),IF(MATCH($V640,$V$6:$V$6005,0)=ROW()-5,N($AA639)+1,N($AA639)))</f>
        <v/>
      </c>
    </row>
    <row r="641" ht="21" customHeight="1" s="66">
      <c r="A641" s="56" t="n"/>
      <c r="B641" s="57" t="n"/>
      <c r="C641" s="57" t="n"/>
      <c r="D641" s="57" t="n"/>
      <c r="E641" s="56" t="n"/>
      <c r="F641" s="57" t="n"/>
      <c r="G641" s="57" t="n"/>
      <c r="H641" s="56" t="n"/>
      <c r="I641" s="56" t="n"/>
      <c r="J641" s="58" t="n"/>
      <c r="K641" s="58" t="n"/>
      <c r="L641" s="13">
        <f>IF(OR($A641="",AND($J641="",$K641="")),"",ROUND(N($J641)-N($K641),2))</f>
        <v/>
      </c>
      <c r="M641" s="13">
        <f>IF(OR($A641="",AND($J641="",$K641="")),"",MIN($J641,$K641))</f>
        <v/>
      </c>
      <c r="Q641">
        <f>IF($A641="","",$D641&amp;"("&amp;SUBSTITUTE($E641," ","")&amp;")")</f>
        <v/>
      </c>
      <c r="R641">
        <f>IF($A641="","",$B641&amp;" - "&amp;$C641)</f>
        <v/>
      </c>
      <c r="S641">
        <f>IF($A641="","",$R641&amp;"|"&amp;$Q641)</f>
        <v/>
      </c>
      <c r="T641">
        <f>IF($A641="","",$S641&amp;"|"&amp;$F641)</f>
        <v/>
      </c>
      <c r="U641">
        <f>IF($A641="","",$R641&amp;"("&amp;$E641&amp;")")</f>
        <v/>
      </c>
      <c r="V641">
        <f>IF($A641="","",$F641&amp;"|"&amp;$U641&amp;"|"&amp;$D641)</f>
        <v/>
      </c>
      <c r="W641">
        <f>IF($T641="","",IF($X641&gt;N($X640),$X641,""))</f>
        <v/>
      </c>
      <c r="X641">
        <f>IF($T641="",N($X640),IF(MATCH($T641,$T$6:$T$6005,0)=ROW()-5,N($X640)+1,N($X640)))</f>
        <v/>
      </c>
      <c r="Z641">
        <f>IF($V641="","",IF($AA641&gt;N($AA640),$AA641,""))</f>
        <v/>
      </c>
      <c r="AA641">
        <f>IF($V641="",N($AA640),IF(MATCH($V641,$V$6:$V$6005,0)=ROW()-5,N($AA640)+1,N($AA640)))</f>
        <v/>
      </c>
    </row>
    <row r="642" ht="21" customHeight="1" s="66">
      <c r="A642" s="56" t="n"/>
      <c r="B642" s="57" t="n"/>
      <c r="C642" s="57" t="n"/>
      <c r="D642" s="57" t="n"/>
      <c r="E642" s="56" t="n"/>
      <c r="F642" s="57" t="n"/>
      <c r="G642" s="57" t="n"/>
      <c r="H642" s="56" t="n"/>
      <c r="I642" s="56" t="n"/>
      <c r="J642" s="58" t="n"/>
      <c r="K642" s="58" t="n"/>
      <c r="L642" s="13">
        <f>IF(OR($A642="",AND($J642="",$K642="")),"",ROUND(N($J642)-N($K642),2))</f>
        <v/>
      </c>
      <c r="M642" s="13">
        <f>IF(OR($A642="",AND($J642="",$K642="")),"",MIN($J642,$K642))</f>
        <v/>
      </c>
      <c r="Q642">
        <f>IF($A642="","",$D642&amp;"("&amp;SUBSTITUTE($E642," ","")&amp;")")</f>
        <v/>
      </c>
      <c r="R642">
        <f>IF($A642="","",$B642&amp;" - "&amp;$C642)</f>
        <v/>
      </c>
      <c r="S642">
        <f>IF($A642="","",$R642&amp;"|"&amp;$Q642)</f>
        <v/>
      </c>
      <c r="T642">
        <f>IF($A642="","",$S642&amp;"|"&amp;$F642)</f>
        <v/>
      </c>
      <c r="U642">
        <f>IF($A642="","",$R642&amp;"("&amp;$E642&amp;")")</f>
        <v/>
      </c>
      <c r="V642">
        <f>IF($A642="","",$F642&amp;"|"&amp;$U642&amp;"|"&amp;$D642)</f>
        <v/>
      </c>
      <c r="W642">
        <f>IF($T642="","",IF($X642&gt;N($X641),$X642,""))</f>
        <v/>
      </c>
      <c r="X642">
        <f>IF($T642="",N($X641),IF(MATCH($T642,$T$6:$T$6005,0)=ROW()-5,N($X641)+1,N($X641)))</f>
        <v/>
      </c>
      <c r="Z642">
        <f>IF($V642="","",IF($AA642&gt;N($AA641),$AA642,""))</f>
        <v/>
      </c>
      <c r="AA642">
        <f>IF($V642="",N($AA641),IF(MATCH($V642,$V$6:$V$6005,0)=ROW()-5,N($AA641)+1,N($AA641)))</f>
        <v/>
      </c>
    </row>
    <row r="643" ht="21" customHeight="1" s="66">
      <c r="A643" s="56" t="n"/>
      <c r="B643" s="57" t="n"/>
      <c r="C643" s="57" t="n"/>
      <c r="D643" s="57" t="n"/>
      <c r="E643" s="56" t="n"/>
      <c r="F643" s="57" t="n"/>
      <c r="G643" s="57" t="n"/>
      <c r="H643" s="56" t="n"/>
      <c r="I643" s="56" t="n"/>
      <c r="J643" s="58" t="n"/>
      <c r="K643" s="58" t="n"/>
      <c r="L643" s="13">
        <f>IF(OR($A643="",AND($J643="",$K643="")),"",ROUND(N($J643)-N($K643),2))</f>
        <v/>
      </c>
      <c r="M643" s="13">
        <f>IF(OR($A643="",AND($J643="",$K643="")),"",MIN($J643,$K643))</f>
        <v/>
      </c>
      <c r="Q643">
        <f>IF($A643="","",$D643&amp;"("&amp;SUBSTITUTE($E643," ","")&amp;")")</f>
        <v/>
      </c>
      <c r="R643">
        <f>IF($A643="","",$B643&amp;" - "&amp;$C643)</f>
        <v/>
      </c>
      <c r="S643">
        <f>IF($A643="","",$R643&amp;"|"&amp;$Q643)</f>
        <v/>
      </c>
      <c r="T643">
        <f>IF($A643="","",$S643&amp;"|"&amp;$F643)</f>
        <v/>
      </c>
      <c r="U643">
        <f>IF($A643="","",$R643&amp;"("&amp;$E643&amp;")")</f>
        <v/>
      </c>
      <c r="V643">
        <f>IF($A643="","",$F643&amp;"|"&amp;$U643&amp;"|"&amp;$D643)</f>
        <v/>
      </c>
      <c r="W643">
        <f>IF($T643="","",IF($X643&gt;N($X642),$X643,""))</f>
        <v/>
      </c>
      <c r="X643">
        <f>IF($T643="",N($X642),IF(MATCH($T643,$T$6:$T$6005,0)=ROW()-5,N($X642)+1,N($X642)))</f>
        <v/>
      </c>
      <c r="Z643">
        <f>IF($V643="","",IF($AA643&gt;N($AA642),$AA643,""))</f>
        <v/>
      </c>
      <c r="AA643">
        <f>IF($V643="",N($AA642),IF(MATCH($V643,$V$6:$V$6005,0)=ROW()-5,N($AA642)+1,N($AA642)))</f>
        <v/>
      </c>
    </row>
    <row r="644" ht="21" customHeight="1" s="66">
      <c r="A644" s="56" t="n"/>
      <c r="B644" s="57" t="n"/>
      <c r="C644" s="57" t="n"/>
      <c r="D644" s="57" t="n"/>
      <c r="E644" s="56" t="n"/>
      <c r="F644" s="57" t="n"/>
      <c r="G644" s="57" t="n"/>
      <c r="H644" s="56" t="n"/>
      <c r="I644" s="56" t="n"/>
      <c r="J644" s="58" t="n"/>
      <c r="K644" s="58" t="n"/>
      <c r="L644" s="13">
        <f>IF(OR($A644="",AND($J644="",$K644="")),"",ROUND(N($J644)-N($K644),2))</f>
        <v/>
      </c>
      <c r="M644" s="13">
        <f>IF(OR($A644="",AND($J644="",$K644="")),"",MIN($J644,$K644))</f>
        <v/>
      </c>
      <c r="Q644">
        <f>IF($A644="","",$D644&amp;"("&amp;SUBSTITUTE($E644," ","")&amp;")")</f>
        <v/>
      </c>
      <c r="R644">
        <f>IF($A644="","",$B644&amp;" - "&amp;$C644)</f>
        <v/>
      </c>
      <c r="S644">
        <f>IF($A644="","",$R644&amp;"|"&amp;$Q644)</f>
        <v/>
      </c>
      <c r="T644">
        <f>IF($A644="","",$S644&amp;"|"&amp;$F644)</f>
        <v/>
      </c>
      <c r="U644">
        <f>IF($A644="","",$R644&amp;"("&amp;$E644&amp;")")</f>
        <v/>
      </c>
      <c r="V644">
        <f>IF($A644="","",$F644&amp;"|"&amp;$U644&amp;"|"&amp;$D644)</f>
        <v/>
      </c>
      <c r="W644">
        <f>IF($T644="","",IF($X644&gt;N($X643),$X644,""))</f>
        <v/>
      </c>
      <c r="X644">
        <f>IF($T644="",N($X643),IF(MATCH($T644,$T$6:$T$6005,0)=ROW()-5,N($X643)+1,N($X643)))</f>
        <v/>
      </c>
      <c r="Z644">
        <f>IF($V644="","",IF($AA644&gt;N($AA643),$AA644,""))</f>
        <v/>
      </c>
      <c r="AA644">
        <f>IF($V644="",N($AA643),IF(MATCH($V644,$V$6:$V$6005,0)=ROW()-5,N($AA643)+1,N($AA643)))</f>
        <v/>
      </c>
    </row>
    <row r="645" ht="21" customHeight="1" s="66">
      <c r="A645" s="56" t="n"/>
      <c r="B645" s="57" t="n"/>
      <c r="C645" s="57" t="n"/>
      <c r="D645" s="57" t="n"/>
      <c r="E645" s="56" t="n"/>
      <c r="F645" s="57" t="n"/>
      <c r="G645" s="57" t="n"/>
      <c r="H645" s="56" t="n"/>
      <c r="I645" s="56" t="n"/>
      <c r="J645" s="58" t="n"/>
      <c r="K645" s="58" t="n"/>
      <c r="L645" s="13">
        <f>IF(OR($A645="",AND($J645="",$K645="")),"",ROUND(N($J645)-N($K645),2))</f>
        <v/>
      </c>
      <c r="M645" s="13">
        <f>IF(OR($A645="",AND($J645="",$K645="")),"",MIN($J645,$K645))</f>
        <v/>
      </c>
      <c r="Q645">
        <f>IF($A645="","",$D645&amp;"("&amp;SUBSTITUTE($E645," ","")&amp;")")</f>
        <v/>
      </c>
      <c r="R645">
        <f>IF($A645="","",$B645&amp;" - "&amp;$C645)</f>
        <v/>
      </c>
      <c r="S645">
        <f>IF($A645="","",$R645&amp;"|"&amp;$Q645)</f>
        <v/>
      </c>
      <c r="T645">
        <f>IF($A645="","",$S645&amp;"|"&amp;$F645)</f>
        <v/>
      </c>
      <c r="U645">
        <f>IF($A645="","",$R645&amp;"("&amp;$E645&amp;")")</f>
        <v/>
      </c>
      <c r="V645">
        <f>IF($A645="","",$F645&amp;"|"&amp;$U645&amp;"|"&amp;$D645)</f>
        <v/>
      </c>
      <c r="W645">
        <f>IF($T645="","",IF($X645&gt;N($X644),$X645,""))</f>
        <v/>
      </c>
      <c r="X645">
        <f>IF($T645="",N($X644),IF(MATCH($T645,$T$6:$T$6005,0)=ROW()-5,N($X644)+1,N($X644)))</f>
        <v/>
      </c>
      <c r="Z645">
        <f>IF($V645="","",IF($AA645&gt;N($AA644),$AA645,""))</f>
        <v/>
      </c>
      <c r="AA645">
        <f>IF($V645="",N($AA644),IF(MATCH($V645,$V$6:$V$6005,0)=ROW()-5,N($AA644)+1,N($AA644)))</f>
        <v/>
      </c>
    </row>
    <row r="646" ht="21" customHeight="1" s="66">
      <c r="A646" s="56" t="n"/>
      <c r="B646" s="57" t="n"/>
      <c r="C646" s="57" t="n"/>
      <c r="D646" s="57" t="n"/>
      <c r="E646" s="56" t="n"/>
      <c r="F646" s="57" t="n"/>
      <c r="G646" s="57" t="n"/>
      <c r="H646" s="56" t="n"/>
      <c r="I646" s="56" t="n"/>
      <c r="J646" s="58" t="n"/>
      <c r="K646" s="58" t="n"/>
      <c r="L646" s="13">
        <f>IF(OR($A646="",AND($J646="",$K646="")),"",ROUND(N($J646)-N($K646),2))</f>
        <v/>
      </c>
      <c r="M646" s="13">
        <f>IF(OR($A646="",AND($J646="",$K646="")),"",MIN($J646,$K646))</f>
        <v/>
      </c>
      <c r="Q646">
        <f>IF($A646="","",$D646&amp;"("&amp;SUBSTITUTE($E646," ","")&amp;")")</f>
        <v/>
      </c>
      <c r="R646">
        <f>IF($A646="","",$B646&amp;" - "&amp;$C646)</f>
        <v/>
      </c>
      <c r="S646">
        <f>IF($A646="","",$R646&amp;"|"&amp;$Q646)</f>
        <v/>
      </c>
      <c r="T646">
        <f>IF($A646="","",$S646&amp;"|"&amp;$F646)</f>
        <v/>
      </c>
      <c r="U646">
        <f>IF($A646="","",$R646&amp;"("&amp;$E646&amp;")")</f>
        <v/>
      </c>
      <c r="V646">
        <f>IF($A646="","",$F646&amp;"|"&amp;$U646&amp;"|"&amp;$D646)</f>
        <v/>
      </c>
      <c r="W646">
        <f>IF($T646="","",IF($X646&gt;N($X645),$X646,""))</f>
        <v/>
      </c>
      <c r="X646">
        <f>IF($T646="",N($X645),IF(MATCH($T646,$T$6:$T$6005,0)=ROW()-5,N($X645)+1,N($X645)))</f>
        <v/>
      </c>
      <c r="Z646">
        <f>IF($V646="","",IF($AA646&gt;N($AA645),$AA646,""))</f>
        <v/>
      </c>
      <c r="AA646">
        <f>IF($V646="",N($AA645),IF(MATCH($V646,$V$6:$V$6005,0)=ROW()-5,N($AA645)+1,N($AA645)))</f>
        <v/>
      </c>
    </row>
    <row r="647" ht="21" customHeight="1" s="66">
      <c r="A647" s="56" t="n"/>
      <c r="B647" s="57" t="n"/>
      <c r="C647" s="57" t="n"/>
      <c r="D647" s="57" t="n"/>
      <c r="E647" s="56" t="n"/>
      <c r="F647" s="57" t="n"/>
      <c r="G647" s="57" t="n"/>
      <c r="H647" s="56" t="n"/>
      <c r="I647" s="56" t="n"/>
      <c r="J647" s="58" t="n"/>
      <c r="K647" s="58" t="n"/>
      <c r="L647" s="13">
        <f>IF(OR($A647="",AND($J647="",$K647="")),"",ROUND(N($J647)-N($K647),2))</f>
        <v/>
      </c>
      <c r="M647" s="13">
        <f>IF(OR($A647="",AND($J647="",$K647="")),"",MIN($J647,$K647))</f>
        <v/>
      </c>
      <c r="Q647">
        <f>IF($A647="","",$D647&amp;"("&amp;SUBSTITUTE($E647," ","")&amp;")")</f>
        <v/>
      </c>
      <c r="R647">
        <f>IF($A647="","",$B647&amp;" - "&amp;$C647)</f>
        <v/>
      </c>
      <c r="S647">
        <f>IF($A647="","",$R647&amp;"|"&amp;$Q647)</f>
        <v/>
      </c>
      <c r="T647">
        <f>IF($A647="","",$S647&amp;"|"&amp;$F647)</f>
        <v/>
      </c>
      <c r="U647">
        <f>IF($A647="","",$R647&amp;"("&amp;$E647&amp;")")</f>
        <v/>
      </c>
      <c r="V647">
        <f>IF($A647="","",$F647&amp;"|"&amp;$U647&amp;"|"&amp;$D647)</f>
        <v/>
      </c>
      <c r="W647">
        <f>IF($T647="","",IF($X647&gt;N($X646),$X647,""))</f>
        <v/>
      </c>
      <c r="X647">
        <f>IF($T647="",N($X646),IF(MATCH($T647,$T$6:$T$6005,0)=ROW()-5,N($X646)+1,N($X646)))</f>
        <v/>
      </c>
      <c r="Z647">
        <f>IF($V647="","",IF($AA647&gt;N($AA646),$AA647,""))</f>
        <v/>
      </c>
      <c r="AA647">
        <f>IF($V647="",N($AA646),IF(MATCH($V647,$V$6:$V$6005,0)=ROW()-5,N($AA646)+1,N($AA646)))</f>
        <v/>
      </c>
    </row>
    <row r="648" ht="21" customHeight="1" s="66">
      <c r="A648" s="56" t="n"/>
      <c r="B648" s="57" t="n"/>
      <c r="C648" s="57" t="n"/>
      <c r="D648" s="57" t="n"/>
      <c r="E648" s="56" t="n"/>
      <c r="F648" s="57" t="n"/>
      <c r="G648" s="57" t="n"/>
      <c r="H648" s="56" t="n"/>
      <c r="I648" s="56" t="n"/>
      <c r="J648" s="58" t="n"/>
      <c r="K648" s="58" t="n"/>
      <c r="L648" s="13">
        <f>IF(OR($A648="",AND($J648="",$K648="")),"",ROUND(N($J648)-N($K648),2))</f>
        <v/>
      </c>
      <c r="M648" s="13">
        <f>IF(OR($A648="",AND($J648="",$K648="")),"",MIN($J648,$K648))</f>
        <v/>
      </c>
      <c r="Q648">
        <f>IF($A648="","",$D648&amp;"("&amp;SUBSTITUTE($E648," ","")&amp;")")</f>
        <v/>
      </c>
      <c r="R648">
        <f>IF($A648="","",$B648&amp;" - "&amp;$C648)</f>
        <v/>
      </c>
      <c r="S648">
        <f>IF($A648="","",$R648&amp;"|"&amp;$Q648)</f>
        <v/>
      </c>
      <c r="T648">
        <f>IF($A648="","",$S648&amp;"|"&amp;$F648)</f>
        <v/>
      </c>
      <c r="U648">
        <f>IF($A648="","",$R648&amp;"("&amp;$E648&amp;")")</f>
        <v/>
      </c>
      <c r="V648">
        <f>IF($A648="","",$F648&amp;"|"&amp;$U648&amp;"|"&amp;$D648)</f>
        <v/>
      </c>
      <c r="W648">
        <f>IF($T648="","",IF($X648&gt;N($X647),$X648,""))</f>
        <v/>
      </c>
      <c r="X648">
        <f>IF($T648="",N($X647),IF(MATCH($T648,$T$6:$T$6005,0)=ROW()-5,N($X647)+1,N($X647)))</f>
        <v/>
      </c>
      <c r="Z648">
        <f>IF($V648="","",IF($AA648&gt;N($AA647),$AA648,""))</f>
        <v/>
      </c>
      <c r="AA648">
        <f>IF($V648="",N($AA647),IF(MATCH($V648,$V$6:$V$6005,0)=ROW()-5,N($AA647)+1,N($AA647)))</f>
        <v/>
      </c>
    </row>
    <row r="649" ht="21" customHeight="1" s="66">
      <c r="A649" s="56" t="n"/>
      <c r="B649" s="57" t="n"/>
      <c r="C649" s="57" t="n"/>
      <c r="D649" s="57" t="n"/>
      <c r="E649" s="56" t="n"/>
      <c r="F649" s="57" t="n"/>
      <c r="G649" s="57" t="n"/>
      <c r="H649" s="56" t="n"/>
      <c r="I649" s="56" t="n"/>
      <c r="J649" s="58" t="n"/>
      <c r="K649" s="58" t="n"/>
      <c r="L649" s="13">
        <f>IF(OR($A649="",AND($J649="",$K649="")),"",ROUND(N($J649)-N($K649),2))</f>
        <v/>
      </c>
      <c r="M649" s="13">
        <f>IF(OR($A649="",AND($J649="",$K649="")),"",MIN($J649,$K649))</f>
        <v/>
      </c>
      <c r="Q649">
        <f>IF($A649="","",$D649&amp;"("&amp;SUBSTITUTE($E649," ","")&amp;")")</f>
        <v/>
      </c>
      <c r="R649">
        <f>IF($A649="","",$B649&amp;" - "&amp;$C649)</f>
        <v/>
      </c>
      <c r="S649">
        <f>IF($A649="","",$R649&amp;"|"&amp;$Q649)</f>
        <v/>
      </c>
      <c r="T649">
        <f>IF($A649="","",$S649&amp;"|"&amp;$F649)</f>
        <v/>
      </c>
      <c r="U649">
        <f>IF($A649="","",$R649&amp;"("&amp;$E649&amp;")")</f>
        <v/>
      </c>
      <c r="V649">
        <f>IF($A649="","",$F649&amp;"|"&amp;$U649&amp;"|"&amp;$D649)</f>
        <v/>
      </c>
      <c r="W649">
        <f>IF($T649="","",IF($X649&gt;N($X648),$X649,""))</f>
        <v/>
      </c>
      <c r="X649">
        <f>IF($T649="",N($X648),IF(MATCH($T649,$T$6:$T$6005,0)=ROW()-5,N($X648)+1,N($X648)))</f>
        <v/>
      </c>
      <c r="Z649">
        <f>IF($V649="","",IF($AA649&gt;N($AA648),$AA649,""))</f>
        <v/>
      </c>
      <c r="AA649">
        <f>IF($V649="",N($AA648),IF(MATCH($V649,$V$6:$V$6005,0)=ROW()-5,N($AA648)+1,N($AA648)))</f>
        <v/>
      </c>
    </row>
    <row r="650" ht="21" customHeight="1" s="66">
      <c r="A650" s="56" t="n"/>
      <c r="B650" s="57" t="n"/>
      <c r="C650" s="57" t="n"/>
      <c r="D650" s="57" t="n"/>
      <c r="E650" s="56" t="n"/>
      <c r="F650" s="57" t="n"/>
      <c r="G650" s="57" t="n"/>
      <c r="H650" s="56" t="n"/>
      <c r="I650" s="56" t="n"/>
      <c r="J650" s="58" t="n"/>
      <c r="K650" s="58" t="n"/>
      <c r="L650" s="13">
        <f>IF(OR($A650="",AND($J650="",$K650="")),"",ROUND(N($J650)-N($K650),2))</f>
        <v/>
      </c>
      <c r="M650" s="13">
        <f>IF(OR($A650="",AND($J650="",$K650="")),"",MIN($J650,$K650))</f>
        <v/>
      </c>
      <c r="Q650">
        <f>IF($A650="","",$D650&amp;"("&amp;SUBSTITUTE($E650," ","")&amp;")")</f>
        <v/>
      </c>
      <c r="R650">
        <f>IF($A650="","",$B650&amp;" - "&amp;$C650)</f>
        <v/>
      </c>
      <c r="S650">
        <f>IF($A650="","",$R650&amp;"|"&amp;$Q650)</f>
        <v/>
      </c>
      <c r="T650">
        <f>IF($A650="","",$S650&amp;"|"&amp;$F650)</f>
        <v/>
      </c>
      <c r="U650">
        <f>IF($A650="","",$R650&amp;"("&amp;$E650&amp;")")</f>
        <v/>
      </c>
      <c r="V650">
        <f>IF($A650="","",$F650&amp;"|"&amp;$U650&amp;"|"&amp;$D650)</f>
        <v/>
      </c>
      <c r="W650">
        <f>IF($T650="","",IF($X650&gt;N($X649),$X650,""))</f>
        <v/>
      </c>
      <c r="X650">
        <f>IF($T650="",N($X649),IF(MATCH($T650,$T$6:$T$6005,0)=ROW()-5,N($X649)+1,N($X649)))</f>
        <v/>
      </c>
      <c r="Z650">
        <f>IF($V650="","",IF($AA650&gt;N($AA649),$AA650,""))</f>
        <v/>
      </c>
      <c r="AA650">
        <f>IF($V650="",N($AA649),IF(MATCH($V650,$V$6:$V$6005,0)=ROW()-5,N($AA649)+1,N($AA649)))</f>
        <v/>
      </c>
    </row>
    <row r="651" ht="21" customHeight="1" s="66">
      <c r="A651" s="56" t="n"/>
      <c r="B651" s="57" t="n"/>
      <c r="C651" s="57" t="n"/>
      <c r="D651" s="57" t="n"/>
      <c r="E651" s="56" t="n"/>
      <c r="F651" s="57" t="n"/>
      <c r="G651" s="57" t="n"/>
      <c r="H651" s="56" t="n"/>
      <c r="I651" s="56" t="n"/>
      <c r="J651" s="58" t="n"/>
      <c r="K651" s="58" t="n"/>
      <c r="L651" s="13">
        <f>IF(OR($A651="",AND($J651="",$K651="")),"",ROUND(N($J651)-N($K651),2))</f>
        <v/>
      </c>
      <c r="M651" s="13">
        <f>IF(OR($A651="",AND($J651="",$K651="")),"",MIN($J651,$K651))</f>
        <v/>
      </c>
      <c r="Q651">
        <f>IF($A651="","",$D651&amp;"("&amp;SUBSTITUTE($E651," ","")&amp;")")</f>
        <v/>
      </c>
      <c r="R651">
        <f>IF($A651="","",$B651&amp;" - "&amp;$C651)</f>
        <v/>
      </c>
      <c r="S651">
        <f>IF($A651="","",$R651&amp;"|"&amp;$Q651)</f>
        <v/>
      </c>
      <c r="T651">
        <f>IF($A651="","",$S651&amp;"|"&amp;$F651)</f>
        <v/>
      </c>
      <c r="U651">
        <f>IF($A651="","",$R651&amp;"("&amp;$E651&amp;")")</f>
        <v/>
      </c>
      <c r="V651">
        <f>IF($A651="","",$F651&amp;"|"&amp;$U651&amp;"|"&amp;$D651)</f>
        <v/>
      </c>
      <c r="W651">
        <f>IF($T651="","",IF($X651&gt;N($X650),$X651,""))</f>
        <v/>
      </c>
      <c r="X651">
        <f>IF($T651="",N($X650),IF(MATCH($T651,$T$6:$T$6005,0)=ROW()-5,N($X650)+1,N($X650)))</f>
        <v/>
      </c>
      <c r="Z651">
        <f>IF($V651="","",IF($AA651&gt;N($AA650),$AA651,""))</f>
        <v/>
      </c>
      <c r="AA651">
        <f>IF($V651="",N($AA650),IF(MATCH($V651,$V$6:$V$6005,0)=ROW()-5,N($AA650)+1,N($AA650)))</f>
        <v/>
      </c>
    </row>
    <row r="652" ht="21" customHeight="1" s="66">
      <c r="A652" s="56" t="n"/>
      <c r="B652" s="57" t="n"/>
      <c r="C652" s="57" t="n"/>
      <c r="D652" s="57" t="n"/>
      <c r="E652" s="56" t="n"/>
      <c r="F652" s="57" t="n"/>
      <c r="G652" s="57" t="n"/>
      <c r="H652" s="56" t="n"/>
      <c r="I652" s="56" t="n"/>
      <c r="J652" s="58" t="n"/>
      <c r="K652" s="58" t="n"/>
      <c r="L652" s="13">
        <f>IF(OR($A652="",AND($J652="",$K652="")),"",ROUND(N($J652)-N($K652),2))</f>
        <v/>
      </c>
      <c r="M652" s="13">
        <f>IF(OR($A652="",AND($J652="",$K652="")),"",MIN($J652,$K652))</f>
        <v/>
      </c>
      <c r="Q652">
        <f>IF($A652="","",$D652&amp;"("&amp;SUBSTITUTE($E652," ","")&amp;")")</f>
        <v/>
      </c>
      <c r="R652">
        <f>IF($A652="","",$B652&amp;" - "&amp;$C652)</f>
        <v/>
      </c>
      <c r="S652">
        <f>IF($A652="","",$R652&amp;"|"&amp;$Q652)</f>
        <v/>
      </c>
      <c r="T652">
        <f>IF($A652="","",$S652&amp;"|"&amp;$F652)</f>
        <v/>
      </c>
      <c r="U652">
        <f>IF($A652="","",$R652&amp;"("&amp;$E652&amp;")")</f>
        <v/>
      </c>
      <c r="V652">
        <f>IF($A652="","",$F652&amp;"|"&amp;$U652&amp;"|"&amp;$D652)</f>
        <v/>
      </c>
      <c r="W652">
        <f>IF($T652="","",IF($X652&gt;N($X651),$X652,""))</f>
        <v/>
      </c>
      <c r="X652">
        <f>IF($T652="",N($X651),IF(MATCH($T652,$T$6:$T$6005,0)=ROW()-5,N($X651)+1,N($X651)))</f>
        <v/>
      </c>
      <c r="Z652">
        <f>IF($V652="","",IF($AA652&gt;N($AA651),$AA652,""))</f>
        <v/>
      </c>
      <c r="AA652">
        <f>IF($V652="",N($AA651),IF(MATCH($V652,$V$6:$V$6005,0)=ROW()-5,N($AA651)+1,N($AA651)))</f>
        <v/>
      </c>
    </row>
    <row r="653" ht="21" customHeight="1" s="66">
      <c r="A653" s="56" t="n"/>
      <c r="B653" s="57" t="n"/>
      <c r="C653" s="57" t="n"/>
      <c r="D653" s="57" t="n"/>
      <c r="E653" s="56" t="n"/>
      <c r="F653" s="57" t="n"/>
      <c r="G653" s="57" t="n"/>
      <c r="H653" s="56" t="n"/>
      <c r="I653" s="56" t="n"/>
      <c r="J653" s="58" t="n"/>
      <c r="K653" s="58" t="n"/>
      <c r="L653" s="13">
        <f>IF(OR($A653="",AND($J653="",$K653="")),"",ROUND(N($J653)-N($K653),2))</f>
        <v/>
      </c>
      <c r="M653" s="13">
        <f>IF(OR($A653="",AND($J653="",$K653="")),"",MIN($J653,$K653))</f>
        <v/>
      </c>
      <c r="Q653">
        <f>IF($A653="","",$D653&amp;"("&amp;SUBSTITUTE($E653," ","")&amp;")")</f>
        <v/>
      </c>
      <c r="R653">
        <f>IF($A653="","",$B653&amp;" - "&amp;$C653)</f>
        <v/>
      </c>
      <c r="S653">
        <f>IF($A653="","",$R653&amp;"|"&amp;$Q653)</f>
        <v/>
      </c>
      <c r="T653">
        <f>IF($A653="","",$S653&amp;"|"&amp;$F653)</f>
        <v/>
      </c>
      <c r="U653">
        <f>IF($A653="","",$R653&amp;"("&amp;$E653&amp;")")</f>
        <v/>
      </c>
      <c r="V653">
        <f>IF($A653="","",$F653&amp;"|"&amp;$U653&amp;"|"&amp;$D653)</f>
        <v/>
      </c>
      <c r="W653">
        <f>IF($T653="","",IF($X653&gt;N($X652),$X653,""))</f>
        <v/>
      </c>
      <c r="X653">
        <f>IF($T653="",N($X652),IF(MATCH($T653,$T$6:$T$6005,0)=ROW()-5,N($X652)+1,N($X652)))</f>
        <v/>
      </c>
      <c r="Z653">
        <f>IF($V653="","",IF($AA653&gt;N($AA652),$AA653,""))</f>
        <v/>
      </c>
      <c r="AA653">
        <f>IF($V653="",N($AA652),IF(MATCH($V653,$V$6:$V$6005,0)=ROW()-5,N($AA652)+1,N($AA652)))</f>
        <v/>
      </c>
    </row>
    <row r="654" ht="21" customHeight="1" s="66">
      <c r="A654" s="56" t="n"/>
      <c r="B654" s="57" t="n"/>
      <c r="C654" s="57" t="n"/>
      <c r="D654" s="57" t="n"/>
      <c r="E654" s="56" t="n"/>
      <c r="F654" s="57" t="n"/>
      <c r="G654" s="57" t="n"/>
      <c r="H654" s="56" t="n"/>
      <c r="I654" s="56" t="n"/>
      <c r="J654" s="58" t="n"/>
      <c r="K654" s="58" t="n"/>
      <c r="L654" s="13">
        <f>IF(OR($A654="",AND($J654="",$K654="")),"",ROUND(N($J654)-N($K654),2))</f>
        <v/>
      </c>
      <c r="M654" s="13">
        <f>IF(OR($A654="",AND($J654="",$K654="")),"",MIN($J654,$K654))</f>
        <v/>
      </c>
      <c r="Q654">
        <f>IF($A654="","",$D654&amp;"("&amp;SUBSTITUTE($E654," ","")&amp;")")</f>
        <v/>
      </c>
      <c r="R654">
        <f>IF($A654="","",$B654&amp;" - "&amp;$C654)</f>
        <v/>
      </c>
      <c r="S654">
        <f>IF($A654="","",$R654&amp;"|"&amp;$Q654)</f>
        <v/>
      </c>
      <c r="T654">
        <f>IF($A654="","",$S654&amp;"|"&amp;$F654)</f>
        <v/>
      </c>
      <c r="U654">
        <f>IF($A654="","",$R654&amp;"("&amp;$E654&amp;")")</f>
        <v/>
      </c>
      <c r="V654">
        <f>IF($A654="","",$F654&amp;"|"&amp;$U654&amp;"|"&amp;$D654)</f>
        <v/>
      </c>
      <c r="W654">
        <f>IF($T654="","",IF($X654&gt;N($X653),$X654,""))</f>
        <v/>
      </c>
      <c r="X654">
        <f>IF($T654="",N($X653),IF(MATCH($T654,$T$6:$T$6005,0)=ROW()-5,N($X653)+1,N($X653)))</f>
        <v/>
      </c>
      <c r="Z654">
        <f>IF($V654="","",IF($AA654&gt;N($AA653),$AA654,""))</f>
        <v/>
      </c>
      <c r="AA654">
        <f>IF($V654="",N($AA653),IF(MATCH($V654,$V$6:$V$6005,0)=ROW()-5,N($AA653)+1,N($AA653)))</f>
        <v/>
      </c>
    </row>
    <row r="655" ht="21" customHeight="1" s="66">
      <c r="A655" s="56" t="n"/>
      <c r="B655" s="57" t="n"/>
      <c r="C655" s="57" t="n"/>
      <c r="D655" s="57" t="n"/>
      <c r="E655" s="56" t="n"/>
      <c r="F655" s="57" t="n"/>
      <c r="G655" s="57" t="n"/>
      <c r="H655" s="56" t="n"/>
      <c r="I655" s="56" t="n"/>
      <c r="J655" s="58" t="n"/>
      <c r="K655" s="58" t="n"/>
      <c r="L655" s="13">
        <f>IF(OR($A655="",AND($J655="",$K655="")),"",ROUND(N($J655)-N($K655),2))</f>
        <v/>
      </c>
      <c r="M655" s="13">
        <f>IF(OR($A655="",AND($J655="",$K655="")),"",MIN($J655,$K655))</f>
        <v/>
      </c>
      <c r="Q655">
        <f>IF($A655="","",$D655&amp;"("&amp;SUBSTITUTE($E655," ","")&amp;")")</f>
        <v/>
      </c>
      <c r="R655">
        <f>IF($A655="","",$B655&amp;" - "&amp;$C655)</f>
        <v/>
      </c>
      <c r="S655">
        <f>IF($A655="","",$R655&amp;"|"&amp;$Q655)</f>
        <v/>
      </c>
      <c r="T655">
        <f>IF($A655="","",$S655&amp;"|"&amp;$F655)</f>
        <v/>
      </c>
      <c r="U655">
        <f>IF($A655="","",$R655&amp;"("&amp;$E655&amp;")")</f>
        <v/>
      </c>
      <c r="V655">
        <f>IF($A655="","",$F655&amp;"|"&amp;$U655&amp;"|"&amp;$D655)</f>
        <v/>
      </c>
      <c r="W655">
        <f>IF($T655="","",IF($X655&gt;N($X654),$X655,""))</f>
        <v/>
      </c>
      <c r="X655">
        <f>IF($T655="",N($X654),IF(MATCH($T655,$T$6:$T$6005,0)=ROW()-5,N($X654)+1,N($X654)))</f>
        <v/>
      </c>
      <c r="Z655">
        <f>IF($V655="","",IF($AA655&gt;N($AA654),$AA655,""))</f>
        <v/>
      </c>
      <c r="AA655">
        <f>IF($V655="",N($AA654),IF(MATCH($V655,$V$6:$V$6005,0)=ROW()-5,N($AA654)+1,N($AA654)))</f>
        <v/>
      </c>
    </row>
    <row r="656" ht="21" customHeight="1" s="66">
      <c r="A656" s="56" t="n"/>
      <c r="B656" s="57" t="n"/>
      <c r="C656" s="57" t="n"/>
      <c r="D656" s="57" t="n"/>
      <c r="E656" s="56" t="n"/>
      <c r="F656" s="57" t="n"/>
      <c r="G656" s="57" t="n"/>
      <c r="H656" s="56" t="n"/>
      <c r="I656" s="56" t="n"/>
      <c r="J656" s="58" t="n"/>
      <c r="K656" s="58" t="n"/>
      <c r="L656" s="13">
        <f>IF(OR($A656="",AND($J656="",$K656="")),"",ROUND(N($J656)-N($K656),2))</f>
        <v/>
      </c>
      <c r="M656" s="13">
        <f>IF(OR($A656="",AND($J656="",$K656="")),"",MIN($J656,$K656))</f>
        <v/>
      </c>
      <c r="Q656">
        <f>IF($A656="","",$D656&amp;"("&amp;SUBSTITUTE($E656," ","")&amp;")")</f>
        <v/>
      </c>
      <c r="R656">
        <f>IF($A656="","",$B656&amp;" - "&amp;$C656)</f>
        <v/>
      </c>
      <c r="S656">
        <f>IF($A656="","",$R656&amp;"|"&amp;$Q656)</f>
        <v/>
      </c>
      <c r="T656">
        <f>IF($A656="","",$S656&amp;"|"&amp;$F656)</f>
        <v/>
      </c>
      <c r="U656">
        <f>IF($A656="","",$R656&amp;"("&amp;$E656&amp;")")</f>
        <v/>
      </c>
      <c r="V656">
        <f>IF($A656="","",$F656&amp;"|"&amp;$U656&amp;"|"&amp;$D656)</f>
        <v/>
      </c>
      <c r="W656">
        <f>IF($T656="","",IF($X656&gt;N($X655),$X656,""))</f>
        <v/>
      </c>
      <c r="X656">
        <f>IF($T656="",N($X655),IF(MATCH($T656,$T$6:$T$6005,0)=ROW()-5,N($X655)+1,N($X655)))</f>
        <v/>
      </c>
      <c r="Z656">
        <f>IF($V656="","",IF($AA656&gt;N($AA655),$AA656,""))</f>
        <v/>
      </c>
      <c r="AA656">
        <f>IF($V656="",N($AA655),IF(MATCH($V656,$V$6:$V$6005,0)=ROW()-5,N($AA655)+1,N($AA655)))</f>
        <v/>
      </c>
    </row>
    <row r="657" ht="21" customHeight="1" s="66">
      <c r="A657" s="56" t="n"/>
      <c r="B657" s="57" t="n"/>
      <c r="C657" s="57" t="n"/>
      <c r="D657" s="57" t="n"/>
      <c r="E657" s="56" t="n"/>
      <c r="F657" s="57" t="n"/>
      <c r="G657" s="57" t="n"/>
      <c r="H657" s="56" t="n"/>
      <c r="I657" s="56" t="n"/>
      <c r="J657" s="58" t="n"/>
      <c r="K657" s="58" t="n"/>
      <c r="L657" s="13">
        <f>IF(OR($A657="",AND($J657="",$K657="")),"",ROUND(N($J657)-N($K657),2))</f>
        <v/>
      </c>
      <c r="M657" s="13">
        <f>IF(OR($A657="",AND($J657="",$K657="")),"",MIN($J657,$K657))</f>
        <v/>
      </c>
      <c r="Q657">
        <f>IF($A657="","",$D657&amp;"("&amp;SUBSTITUTE($E657," ","")&amp;")")</f>
        <v/>
      </c>
      <c r="R657">
        <f>IF($A657="","",$B657&amp;" - "&amp;$C657)</f>
        <v/>
      </c>
      <c r="S657">
        <f>IF($A657="","",$R657&amp;"|"&amp;$Q657)</f>
        <v/>
      </c>
      <c r="T657">
        <f>IF($A657="","",$S657&amp;"|"&amp;$F657)</f>
        <v/>
      </c>
      <c r="U657">
        <f>IF($A657="","",$R657&amp;"("&amp;$E657&amp;")")</f>
        <v/>
      </c>
      <c r="V657">
        <f>IF($A657="","",$F657&amp;"|"&amp;$U657&amp;"|"&amp;$D657)</f>
        <v/>
      </c>
      <c r="W657">
        <f>IF($T657="","",IF($X657&gt;N($X656),$X657,""))</f>
        <v/>
      </c>
      <c r="X657">
        <f>IF($T657="",N($X656),IF(MATCH($T657,$T$6:$T$6005,0)=ROW()-5,N($X656)+1,N($X656)))</f>
        <v/>
      </c>
      <c r="Z657">
        <f>IF($V657="","",IF($AA657&gt;N($AA656),$AA657,""))</f>
        <v/>
      </c>
      <c r="AA657">
        <f>IF($V657="",N($AA656),IF(MATCH($V657,$V$6:$V$6005,0)=ROW()-5,N($AA656)+1,N($AA656)))</f>
        <v/>
      </c>
    </row>
    <row r="658" ht="21" customHeight="1" s="66">
      <c r="A658" s="56" t="n"/>
      <c r="B658" s="57" t="n"/>
      <c r="C658" s="57" t="n"/>
      <c r="D658" s="57" t="n"/>
      <c r="E658" s="56" t="n"/>
      <c r="F658" s="57" t="n"/>
      <c r="G658" s="57" t="n"/>
      <c r="H658" s="56" t="n"/>
      <c r="I658" s="56" t="n"/>
      <c r="J658" s="58" t="n"/>
      <c r="K658" s="58" t="n"/>
      <c r="L658" s="13">
        <f>IF(OR($A658="",AND($J658="",$K658="")),"",ROUND(N($J658)-N($K658),2))</f>
        <v/>
      </c>
      <c r="M658" s="13">
        <f>IF(OR($A658="",AND($J658="",$K658="")),"",MIN($J658,$K658))</f>
        <v/>
      </c>
      <c r="Q658">
        <f>IF($A658="","",$D658&amp;"("&amp;SUBSTITUTE($E658," ","")&amp;")")</f>
        <v/>
      </c>
      <c r="R658">
        <f>IF($A658="","",$B658&amp;" - "&amp;$C658)</f>
        <v/>
      </c>
      <c r="S658">
        <f>IF($A658="","",$R658&amp;"|"&amp;$Q658)</f>
        <v/>
      </c>
      <c r="T658">
        <f>IF($A658="","",$S658&amp;"|"&amp;$F658)</f>
        <v/>
      </c>
      <c r="U658">
        <f>IF($A658="","",$R658&amp;"("&amp;$E658&amp;")")</f>
        <v/>
      </c>
      <c r="V658">
        <f>IF($A658="","",$F658&amp;"|"&amp;$U658&amp;"|"&amp;$D658)</f>
        <v/>
      </c>
      <c r="W658">
        <f>IF($T658="","",IF($X658&gt;N($X657),$X658,""))</f>
        <v/>
      </c>
      <c r="X658">
        <f>IF($T658="",N($X657),IF(MATCH($T658,$T$6:$T$6005,0)=ROW()-5,N($X657)+1,N($X657)))</f>
        <v/>
      </c>
      <c r="Z658">
        <f>IF($V658="","",IF($AA658&gt;N($AA657),$AA658,""))</f>
        <v/>
      </c>
      <c r="AA658">
        <f>IF($V658="",N($AA657),IF(MATCH($V658,$V$6:$V$6005,0)=ROW()-5,N($AA657)+1,N($AA657)))</f>
        <v/>
      </c>
    </row>
    <row r="659" ht="21" customHeight="1" s="66">
      <c r="A659" s="56" t="n"/>
      <c r="B659" s="57" t="n"/>
      <c r="C659" s="57" t="n"/>
      <c r="D659" s="57" t="n"/>
      <c r="E659" s="56" t="n"/>
      <c r="F659" s="57" t="n"/>
      <c r="G659" s="57" t="n"/>
      <c r="H659" s="56" t="n"/>
      <c r="I659" s="56" t="n"/>
      <c r="J659" s="58" t="n"/>
      <c r="K659" s="58" t="n"/>
      <c r="L659" s="13">
        <f>IF(OR($A659="",AND($J659="",$K659="")),"",ROUND(N($J659)-N($K659),2))</f>
        <v/>
      </c>
      <c r="M659" s="13">
        <f>IF(OR($A659="",AND($J659="",$K659="")),"",MIN($J659,$K659))</f>
        <v/>
      </c>
      <c r="Q659">
        <f>IF($A659="","",$D659&amp;"("&amp;SUBSTITUTE($E659," ","")&amp;")")</f>
        <v/>
      </c>
      <c r="R659">
        <f>IF($A659="","",$B659&amp;" - "&amp;$C659)</f>
        <v/>
      </c>
      <c r="S659">
        <f>IF($A659="","",$R659&amp;"|"&amp;$Q659)</f>
        <v/>
      </c>
      <c r="T659">
        <f>IF($A659="","",$S659&amp;"|"&amp;$F659)</f>
        <v/>
      </c>
      <c r="U659">
        <f>IF($A659="","",$R659&amp;"("&amp;$E659&amp;")")</f>
        <v/>
      </c>
      <c r="V659">
        <f>IF($A659="","",$F659&amp;"|"&amp;$U659&amp;"|"&amp;$D659)</f>
        <v/>
      </c>
      <c r="W659">
        <f>IF($T659="","",IF($X659&gt;N($X658),$X659,""))</f>
        <v/>
      </c>
      <c r="X659">
        <f>IF($T659="",N($X658),IF(MATCH($T659,$T$6:$T$6005,0)=ROW()-5,N($X658)+1,N($X658)))</f>
        <v/>
      </c>
      <c r="Z659">
        <f>IF($V659="","",IF($AA659&gt;N($AA658),$AA659,""))</f>
        <v/>
      </c>
      <c r="AA659">
        <f>IF($V659="",N($AA658),IF(MATCH($V659,$V$6:$V$6005,0)=ROW()-5,N($AA658)+1,N($AA658)))</f>
        <v/>
      </c>
    </row>
    <row r="660" ht="21" customHeight="1" s="66">
      <c r="A660" s="56" t="n"/>
      <c r="B660" s="57" t="n"/>
      <c r="C660" s="57" t="n"/>
      <c r="D660" s="57" t="n"/>
      <c r="E660" s="56" t="n"/>
      <c r="F660" s="57" t="n"/>
      <c r="G660" s="57" t="n"/>
      <c r="H660" s="56" t="n"/>
      <c r="I660" s="56" t="n"/>
      <c r="J660" s="58" t="n"/>
      <c r="K660" s="58" t="n"/>
      <c r="L660" s="13">
        <f>IF(OR($A660="",AND($J660="",$K660="")),"",ROUND(N($J660)-N($K660),2))</f>
        <v/>
      </c>
      <c r="M660" s="13">
        <f>IF(OR($A660="",AND($J660="",$K660="")),"",MIN($J660,$K660))</f>
        <v/>
      </c>
      <c r="Q660">
        <f>IF($A660="","",$D660&amp;"("&amp;SUBSTITUTE($E660," ","")&amp;")")</f>
        <v/>
      </c>
      <c r="R660">
        <f>IF($A660="","",$B660&amp;" - "&amp;$C660)</f>
        <v/>
      </c>
      <c r="S660">
        <f>IF($A660="","",$R660&amp;"|"&amp;$Q660)</f>
        <v/>
      </c>
      <c r="T660">
        <f>IF($A660="","",$S660&amp;"|"&amp;$F660)</f>
        <v/>
      </c>
      <c r="U660">
        <f>IF($A660="","",$R660&amp;"("&amp;$E660&amp;")")</f>
        <v/>
      </c>
      <c r="V660">
        <f>IF($A660="","",$F660&amp;"|"&amp;$U660&amp;"|"&amp;$D660)</f>
        <v/>
      </c>
      <c r="W660">
        <f>IF($T660="","",IF($X660&gt;N($X659),$X660,""))</f>
        <v/>
      </c>
      <c r="X660">
        <f>IF($T660="",N($X659),IF(MATCH($T660,$T$6:$T$6005,0)=ROW()-5,N($X659)+1,N($X659)))</f>
        <v/>
      </c>
      <c r="Z660">
        <f>IF($V660="","",IF($AA660&gt;N($AA659),$AA660,""))</f>
        <v/>
      </c>
      <c r="AA660">
        <f>IF($V660="",N($AA659),IF(MATCH($V660,$V$6:$V$6005,0)=ROW()-5,N($AA659)+1,N($AA659)))</f>
        <v/>
      </c>
    </row>
    <row r="661" ht="21" customHeight="1" s="66">
      <c r="A661" s="56" t="n"/>
      <c r="B661" s="57" t="n"/>
      <c r="C661" s="57" t="n"/>
      <c r="D661" s="57" t="n"/>
      <c r="E661" s="56" t="n"/>
      <c r="F661" s="57" t="n"/>
      <c r="G661" s="57" t="n"/>
      <c r="H661" s="56" t="n"/>
      <c r="I661" s="56" t="n"/>
      <c r="J661" s="58" t="n"/>
      <c r="K661" s="58" t="n"/>
      <c r="L661" s="13">
        <f>IF(OR($A661="",AND($J661="",$K661="")),"",ROUND(N($J661)-N($K661),2))</f>
        <v/>
      </c>
      <c r="M661" s="13">
        <f>IF(OR($A661="",AND($J661="",$K661="")),"",MIN($J661,$K661))</f>
        <v/>
      </c>
      <c r="Q661">
        <f>IF($A661="","",$D661&amp;"("&amp;SUBSTITUTE($E661," ","")&amp;")")</f>
        <v/>
      </c>
      <c r="R661">
        <f>IF($A661="","",$B661&amp;" - "&amp;$C661)</f>
        <v/>
      </c>
      <c r="S661">
        <f>IF($A661="","",$R661&amp;"|"&amp;$Q661)</f>
        <v/>
      </c>
      <c r="T661">
        <f>IF($A661="","",$S661&amp;"|"&amp;$F661)</f>
        <v/>
      </c>
      <c r="U661">
        <f>IF($A661="","",$R661&amp;"("&amp;$E661&amp;")")</f>
        <v/>
      </c>
      <c r="V661">
        <f>IF($A661="","",$F661&amp;"|"&amp;$U661&amp;"|"&amp;$D661)</f>
        <v/>
      </c>
      <c r="W661">
        <f>IF($T661="","",IF($X661&gt;N($X660),$X661,""))</f>
        <v/>
      </c>
      <c r="X661">
        <f>IF($T661="",N($X660),IF(MATCH($T661,$T$6:$T$6005,0)=ROW()-5,N($X660)+1,N($X660)))</f>
        <v/>
      </c>
      <c r="Z661">
        <f>IF($V661="","",IF($AA661&gt;N($AA660),$AA661,""))</f>
        <v/>
      </c>
      <c r="AA661">
        <f>IF($V661="",N($AA660),IF(MATCH($V661,$V$6:$V$6005,0)=ROW()-5,N($AA660)+1,N($AA660)))</f>
        <v/>
      </c>
    </row>
    <row r="662" ht="21" customHeight="1" s="66">
      <c r="A662" s="56" t="n"/>
      <c r="B662" s="57" t="n"/>
      <c r="C662" s="57" t="n"/>
      <c r="D662" s="57" t="n"/>
      <c r="E662" s="56" t="n"/>
      <c r="F662" s="57" t="n"/>
      <c r="G662" s="57" t="n"/>
      <c r="H662" s="56" t="n"/>
      <c r="I662" s="56" t="n"/>
      <c r="J662" s="58" t="n"/>
      <c r="K662" s="58" t="n"/>
      <c r="L662" s="13">
        <f>IF(OR($A662="",AND($J662="",$K662="")),"",ROUND(N($J662)-N($K662),2))</f>
        <v/>
      </c>
      <c r="M662" s="13">
        <f>IF(OR($A662="",AND($J662="",$K662="")),"",MIN($J662,$K662))</f>
        <v/>
      </c>
      <c r="Q662">
        <f>IF($A662="","",$D662&amp;"("&amp;SUBSTITUTE($E662," ","")&amp;")")</f>
        <v/>
      </c>
      <c r="R662">
        <f>IF($A662="","",$B662&amp;" - "&amp;$C662)</f>
        <v/>
      </c>
      <c r="S662">
        <f>IF($A662="","",$R662&amp;"|"&amp;$Q662)</f>
        <v/>
      </c>
      <c r="T662">
        <f>IF($A662="","",$S662&amp;"|"&amp;$F662)</f>
        <v/>
      </c>
      <c r="U662">
        <f>IF($A662="","",$R662&amp;"("&amp;$E662&amp;")")</f>
        <v/>
      </c>
      <c r="V662">
        <f>IF($A662="","",$F662&amp;"|"&amp;$U662&amp;"|"&amp;$D662)</f>
        <v/>
      </c>
      <c r="W662">
        <f>IF($T662="","",IF($X662&gt;N($X661),$X662,""))</f>
        <v/>
      </c>
      <c r="X662">
        <f>IF($T662="",N($X661),IF(MATCH($T662,$T$6:$T$6005,0)=ROW()-5,N($X661)+1,N($X661)))</f>
        <v/>
      </c>
      <c r="Z662">
        <f>IF($V662="","",IF($AA662&gt;N($AA661),$AA662,""))</f>
        <v/>
      </c>
      <c r="AA662">
        <f>IF($V662="",N($AA661),IF(MATCH($V662,$V$6:$V$6005,0)=ROW()-5,N($AA661)+1,N($AA661)))</f>
        <v/>
      </c>
    </row>
    <row r="663" ht="21" customHeight="1" s="66">
      <c r="A663" s="56" t="n"/>
      <c r="B663" s="57" t="n"/>
      <c r="C663" s="57" t="n"/>
      <c r="D663" s="57" t="n"/>
      <c r="E663" s="56" t="n"/>
      <c r="F663" s="57" t="n"/>
      <c r="G663" s="57" t="n"/>
      <c r="H663" s="56" t="n"/>
      <c r="I663" s="56" t="n"/>
      <c r="J663" s="58" t="n"/>
      <c r="K663" s="58" t="n"/>
      <c r="L663" s="13">
        <f>IF(OR($A663="",AND($J663="",$K663="")),"",ROUND(N($J663)-N($K663),2))</f>
        <v/>
      </c>
      <c r="M663" s="13">
        <f>IF(OR($A663="",AND($J663="",$K663="")),"",MIN($J663,$K663))</f>
        <v/>
      </c>
      <c r="Q663">
        <f>IF($A663="","",$D663&amp;"("&amp;SUBSTITUTE($E663," ","")&amp;")")</f>
        <v/>
      </c>
      <c r="R663">
        <f>IF($A663="","",$B663&amp;" - "&amp;$C663)</f>
        <v/>
      </c>
      <c r="S663">
        <f>IF($A663="","",$R663&amp;"|"&amp;$Q663)</f>
        <v/>
      </c>
      <c r="T663">
        <f>IF($A663="","",$S663&amp;"|"&amp;$F663)</f>
        <v/>
      </c>
      <c r="U663">
        <f>IF($A663="","",$R663&amp;"("&amp;$E663&amp;")")</f>
        <v/>
      </c>
      <c r="V663">
        <f>IF($A663="","",$F663&amp;"|"&amp;$U663&amp;"|"&amp;$D663)</f>
        <v/>
      </c>
      <c r="W663">
        <f>IF($T663="","",IF($X663&gt;N($X662),$X663,""))</f>
        <v/>
      </c>
      <c r="X663">
        <f>IF($T663="",N($X662),IF(MATCH($T663,$T$6:$T$6005,0)=ROW()-5,N($X662)+1,N($X662)))</f>
        <v/>
      </c>
      <c r="Z663">
        <f>IF($V663="","",IF($AA663&gt;N($AA662),$AA663,""))</f>
        <v/>
      </c>
      <c r="AA663">
        <f>IF($V663="",N($AA662),IF(MATCH($V663,$V$6:$V$6005,0)=ROW()-5,N($AA662)+1,N($AA662)))</f>
        <v/>
      </c>
    </row>
    <row r="664" ht="21" customHeight="1" s="66">
      <c r="A664" s="56" t="n"/>
      <c r="B664" s="57" t="n"/>
      <c r="C664" s="57" t="n"/>
      <c r="D664" s="57" t="n"/>
      <c r="E664" s="56" t="n"/>
      <c r="F664" s="57" t="n"/>
      <c r="G664" s="57" t="n"/>
      <c r="H664" s="56" t="n"/>
      <c r="I664" s="56" t="n"/>
      <c r="J664" s="58" t="n"/>
      <c r="K664" s="58" t="n"/>
      <c r="L664" s="13">
        <f>IF(OR($A664="",AND($J664="",$K664="")),"",ROUND(N($J664)-N($K664),2))</f>
        <v/>
      </c>
      <c r="M664" s="13">
        <f>IF(OR($A664="",AND($J664="",$K664="")),"",MIN($J664,$K664))</f>
        <v/>
      </c>
      <c r="Q664">
        <f>IF($A664="","",$D664&amp;"("&amp;SUBSTITUTE($E664," ","")&amp;")")</f>
        <v/>
      </c>
      <c r="R664">
        <f>IF($A664="","",$B664&amp;" - "&amp;$C664)</f>
        <v/>
      </c>
      <c r="S664">
        <f>IF($A664="","",$R664&amp;"|"&amp;$Q664)</f>
        <v/>
      </c>
      <c r="T664">
        <f>IF($A664="","",$S664&amp;"|"&amp;$F664)</f>
        <v/>
      </c>
      <c r="U664">
        <f>IF($A664="","",$R664&amp;"("&amp;$E664&amp;")")</f>
        <v/>
      </c>
      <c r="V664">
        <f>IF($A664="","",$F664&amp;"|"&amp;$U664&amp;"|"&amp;$D664)</f>
        <v/>
      </c>
      <c r="W664">
        <f>IF($T664="","",IF($X664&gt;N($X663),$X664,""))</f>
        <v/>
      </c>
      <c r="X664">
        <f>IF($T664="",N($X663),IF(MATCH($T664,$T$6:$T$6005,0)=ROW()-5,N($X663)+1,N($X663)))</f>
        <v/>
      </c>
      <c r="Z664">
        <f>IF($V664="","",IF($AA664&gt;N($AA663),$AA664,""))</f>
        <v/>
      </c>
      <c r="AA664">
        <f>IF($V664="",N($AA663),IF(MATCH($V664,$V$6:$V$6005,0)=ROW()-5,N($AA663)+1,N($AA663)))</f>
        <v/>
      </c>
    </row>
    <row r="665" ht="21" customHeight="1" s="66">
      <c r="A665" s="56" t="n"/>
      <c r="B665" s="57" t="n"/>
      <c r="C665" s="57" t="n"/>
      <c r="D665" s="57" t="n"/>
      <c r="E665" s="56" t="n"/>
      <c r="F665" s="57" t="n"/>
      <c r="G665" s="57" t="n"/>
      <c r="H665" s="56" t="n"/>
      <c r="I665" s="56" t="n"/>
      <c r="J665" s="58" t="n"/>
      <c r="K665" s="58" t="n"/>
      <c r="L665" s="13">
        <f>IF(OR($A665="",AND($J665="",$K665="")),"",ROUND(N($J665)-N($K665),2))</f>
        <v/>
      </c>
      <c r="M665" s="13">
        <f>IF(OR($A665="",AND($J665="",$K665="")),"",MIN($J665,$K665))</f>
        <v/>
      </c>
      <c r="Q665">
        <f>IF($A665="","",$D665&amp;"("&amp;SUBSTITUTE($E665," ","")&amp;")")</f>
        <v/>
      </c>
      <c r="R665">
        <f>IF($A665="","",$B665&amp;" - "&amp;$C665)</f>
        <v/>
      </c>
      <c r="S665">
        <f>IF($A665="","",$R665&amp;"|"&amp;$Q665)</f>
        <v/>
      </c>
      <c r="T665">
        <f>IF($A665="","",$S665&amp;"|"&amp;$F665)</f>
        <v/>
      </c>
      <c r="U665">
        <f>IF($A665="","",$R665&amp;"("&amp;$E665&amp;")")</f>
        <v/>
      </c>
      <c r="V665">
        <f>IF($A665="","",$F665&amp;"|"&amp;$U665&amp;"|"&amp;$D665)</f>
        <v/>
      </c>
      <c r="W665">
        <f>IF($T665="","",IF($X665&gt;N($X664),$X665,""))</f>
        <v/>
      </c>
      <c r="X665">
        <f>IF($T665="",N($X664),IF(MATCH($T665,$T$6:$T$6005,0)=ROW()-5,N($X664)+1,N($X664)))</f>
        <v/>
      </c>
      <c r="Z665">
        <f>IF($V665="","",IF($AA665&gt;N($AA664),$AA665,""))</f>
        <v/>
      </c>
      <c r="AA665">
        <f>IF($V665="",N($AA664),IF(MATCH($V665,$V$6:$V$6005,0)=ROW()-5,N($AA664)+1,N($AA664)))</f>
        <v/>
      </c>
    </row>
    <row r="666" ht="21" customHeight="1" s="66">
      <c r="A666" s="56" t="n"/>
      <c r="B666" s="57" t="n"/>
      <c r="C666" s="57" t="n"/>
      <c r="D666" s="57" t="n"/>
      <c r="E666" s="56" t="n"/>
      <c r="F666" s="57" t="n"/>
      <c r="G666" s="57" t="n"/>
      <c r="H666" s="56" t="n"/>
      <c r="I666" s="56" t="n"/>
      <c r="J666" s="58" t="n"/>
      <c r="K666" s="58" t="n"/>
      <c r="L666" s="13">
        <f>IF(OR($A666="",AND($J666="",$K666="")),"",ROUND(N($J666)-N($K666),2))</f>
        <v/>
      </c>
      <c r="M666" s="13">
        <f>IF(OR($A666="",AND($J666="",$K666="")),"",MIN($J666,$K666))</f>
        <v/>
      </c>
      <c r="Q666">
        <f>IF($A666="","",$D666&amp;"("&amp;SUBSTITUTE($E666," ","")&amp;")")</f>
        <v/>
      </c>
      <c r="R666">
        <f>IF($A666="","",$B666&amp;" - "&amp;$C666)</f>
        <v/>
      </c>
      <c r="S666">
        <f>IF($A666="","",$R666&amp;"|"&amp;$Q666)</f>
        <v/>
      </c>
      <c r="T666">
        <f>IF($A666="","",$S666&amp;"|"&amp;$F666)</f>
        <v/>
      </c>
      <c r="U666">
        <f>IF($A666="","",$R666&amp;"("&amp;$E666&amp;")")</f>
        <v/>
      </c>
      <c r="V666">
        <f>IF($A666="","",$F666&amp;"|"&amp;$U666&amp;"|"&amp;$D666)</f>
        <v/>
      </c>
      <c r="W666">
        <f>IF($T666="","",IF($X666&gt;N($X665),$X666,""))</f>
        <v/>
      </c>
      <c r="X666">
        <f>IF($T666="",N($X665),IF(MATCH($T666,$T$6:$T$6005,0)=ROW()-5,N($X665)+1,N($X665)))</f>
        <v/>
      </c>
      <c r="Z666">
        <f>IF($V666="","",IF($AA666&gt;N($AA665),$AA666,""))</f>
        <v/>
      </c>
      <c r="AA666">
        <f>IF($V666="",N($AA665),IF(MATCH($V666,$V$6:$V$6005,0)=ROW()-5,N($AA665)+1,N($AA665)))</f>
        <v/>
      </c>
    </row>
    <row r="667" ht="21" customHeight="1" s="66">
      <c r="A667" s="56" t="n"/>
      <c r="B667" s="57" t="n"/>
      <c r="C667" s="57" t="n"/>
      <c r="D667" s="57" t="n"/>
      <c r="E667" s="56" t="n"/>
      <c r="F667" s="57" t="n"/>
      <c r="G667" s="57" t="n"/>
      <c r="H667" s="56" t="n"/>
      <c r="I667" s="56" t="n"/>
      <c r="J667" s="58" t="n"/>
      <c r="K667" s="58" t="n"/>
      <c r="L667" s="13">
        <f>IF(OR($A667="",AND($J667="",$K667="")),"",ROUND(N($J667)-N($K667),2))</f>
        <v/>
      </c>
      <c r="M667" s="13">
        <f>IF(OR($A667="",AND($J667="",$K667="")),"",MIN($J667,$K667))</f>
        <v/>
      </c>
      <c r="Q667">
        <f>IF($A667="","",$D667&amp;"("&amp;SUBSTITUTE($E667," ","")&amp;")")</f>
        <v/>
      </c>
      <c r="R667">
        <f>IF($A667="","",$B667&amp;" - "&amp;$C667)</f>
        <v/>
      </c>
      <c r="S667">
        <f>IF($A667="","",$R667&amp;"|"&amp;$Q667)</f>
        <v/>
      </c>
      <c r="T667">
        <f>IF($A667="","",$S667&amp;"|"&amp;$F667)</f>
        <v/>
      </c>
      <c r="U667">
        <f>IF($A667="","",$R667&amp;"("&amp;$E667&amp;")")</f>
        <v/>
      </c>
      <c r="V667">
        <f>IF($A667="","",$F667&amp;"|"&amp;$U667&amp;"|"&amp;$D667)</f>
        <v/>
      </c>
      <c r="W667">
        <f>IF($T667="","",IF($X667&gt;N($X666),$X667,""))</f>
        <v/>
      </c>
      <c r="X667">
        <f>IF($T667="",N($X666),IF(MATCH($T667,$T$6:$T$6005,0)=ROW()-5,N($X666)+1,N($X666)))</f>
        <v/>
      </c>
      <c r="Z667">
        <f>IF($V667="","",IF($AA667&gt;N($AA666),$AA667,""))</f>
        <v/>
      </c>
      <c r="AA667">
        <f>IF($V667="",N($AA666),IF(MATCH($V667,$V$6:$V$6005,0)=ROW()-5,N($AA666)+1,N($AA666)))</f>
        <v/>
      </c>
    </row>
    <row r="668" ht="21" customHeight="1" s="66">
      <c r="A668" s="56" t="n"/>
      <c r="B668" s="57" t="n"/>
      <c r="C668" s="57" t="n"/>
      <c r="D668" s="57" t="n"/>
      <c r="E668" s="56" t="n"/>
      <c r="F668" s="57" t="n"/>
      <c r="G668" s="57" t="n"/>
      <c r="H668" s="56" t="n"/>
      <c r="I668" s="56" t="n"/>
      <c r="J668" s="58" t="n"/>
      <c r="K668" s="58" t="n"/>
      <c r="L668" s="13">
        <f>IF(OR($A668="",AND($J668="",$K668="")),"",ROUND(N($J668)-N($K668),2))</f>
        <v/>
      </c>
      <c r="M668" s="13">
        <f>IF(OR($A668="",AND($J668="",$K668="")),"",MIN($J668,$K668))</f>
        <v/>
      </c>
      <c r="Q668">
        <f>IF($A668="","",$D668&amp;"("&amp;SUBSTITUTE($E668," ","")&amp;")")</f>
        <v/>
      </c>
      <c r="R668">
        <f>IF($A668="","",$B668&amp;" - "&amp;$C668)</f>
        <v/>
      </c>
      <c r="S668">
        <f>IF($A668="","",$R668&amp;"|"&amp;$Q668)</f>
        <v/>
      </c>
      <c r="T668">
        <f>IF($A668="","",$S668&amp;"|"&amp;$F668)</f>
        <v/>
      </c>
      <c r="U668">
        <f>IF($A668="","",$R668&amp;"("&amp;$E668&amp;")")</f>
        <v/>
      </c>
      <c r="V668">
        <f>IF($A668="","",$F668&amp;"|"&amp;$U668&amp;"|"&amp;$D668)</f>
        <v/>
      </c>
      <c r="W668">
        <f>IF($T668="","",IF($X668&gt;N($X667),$X668,""))</f>
        <v/>
      </c>
      <c r="X668">
        <f>IF($T668="",N($X667),IF(MATCH($T668,$T$6:$T$6005,0)=ROW()-5,N($X667)+1,N($X667)))</f>
        <v/>
      </c>
      <c r="Z668">
        <f>IF($V668="","",IF($AA668&gt;N($AA667),$AA668,""))</f>
        <v/>
      </c>
      <c r="AA668">
        <f>IF($V668="",N($AA667),IF(MATCH($V668,$V$6:$V$6005,0)=ROW()-5,N($AA667)+1,N($AA667)))</f>
        <v/>
      </c>
    </row>
    <row r="669" ht="21" customHeight="1" s="66">
      <c r="A669" s="56" t="n"/>
      <c r="B669" s="57" t="n"/>
      <c r="C669" s="57" t="n"/>
      <c r="D669" s="57" t="n"/>
      <c r="E669" s="56" t="n"/>
      <c r="F669" s="57" t="n"/>
      <c r="G669" s="57" t="n"/>
      <c r="H669" s="56" t="n"/>
      <c r="I669" s="56" t="n"/>
      <c r="J669" s="58" t="n"/>
      <c r="K669" s="58" t="n"/>
      <c r="L669" s="13">
        <f>IF(OR($A669="",AND($J669="",$K669="")),"",ROUND(N($J669)-N($K669),2))</f>
        <v/>
      </c>
      <c r="M669" s="13">
        <f>IF(OR($A669="",AND($J669="",$K669="")),"",MIN($J669,$K669))</f>
        <v/>
      </c>
      <c r="Q669">
        <f>IF($A669="","",$D669&amp;"("&amp;SUBSTITUTE($E669," ","")&amp;")")</f>
        <v/>
      </c>
      <c r="R669">
        <f>IF($A669="","",$B669&amp;" - "&amp;$C669)</f>
        <v/>
      </c>
      <c r="S669">
        <f>IF($A669="","",$R669&amp;"|"&amp;$Q669)</f>
        <v/>
      </c>
      <c r="T669">
        <f>IF($A669="","",$S669&amp;"|"&amp;$F669)</f>
        <v/>
      </c>
      <c r="U669">
        <f>IF($A669="","",$R669&amp;"("&amp;$E669&amp;")")</f>
        <v/>
      </c>
      <c r="V669">
        <f>IF($A669="","",$F669&amp;"|"&amp;$U669&amp;"|"&amp;$D669)</f>
        <v/>
      </c>
      <c r="W669">
        <f>IF($T669="","",IF($X669&gt;N($X668),$X669,""))</f>
        <v/>
      </c>
      <c r="X669">
        <f>IF($T669="",N($X668),IF(MATCH($T669,$T$6:$T$6005,0)=ROW()-5,N($X668)+1,N($X668)))</f>
        <v/>
      </c>
      <c r="Z669">
        <f>IF($V669="","",IF($AA669&gt;N($AA668),$AA669,""))</f>
        <v/>
      </c>
      <c r="AA669">
        <f>IF($V669="",N($AA668),IF(MATCH($V669,$V$6:$V$6005,0)=ROW()-5,N($AA668)+1,N($AA668)))</f>
        <v/>
      </c>
    </row>
    <row r="670" ht="21" customHeight="1" s="66">
      <c r="A670" s="56" t="n"/>
      <c r="B670" s="57" t="n"/>
      <c r="C670" s="57" t="n"/>
      <c r="D670" s="57" t="n"/>
      <c r="E670" s="56" t="n"/>
      <c r="F670" s="57" t="n"/>
      <c r="G670" s="57" t="n"/>
      <c r="H670" s="56" t="n"/>
      <c r="I670" s="56" t="n"/>
      <c r="J670" s="58" t="n"/>
      <c r="K670" s="58" t="n"/>
      <c r="L670" s="13">
        <f>IF(OR($A670="",AND($J670="",$K670="")),"",ROUND(N($J670)-N($K670),2))</f>
        <v/>
      </c>
      <c r="M670" s="13">
        <f>IF(OR($A670="",AND($J670="",$K670="")),"",MIN($J670,$K670))</f>
        <v/>
      </c>
      <c r="Q670">
        <f>IF($A670="","",$D670&amp;"("&amp;SUBSTITUTE($E670," ","")&amp;")")</f>
        <v/>
      </c>
      <c r="R670">
        <f>IF($A670="","",$B670&amp;" - "&amp;$C670)</f>
        <v/>
      </c>
      <c r="S670">
        <f>IF($A670="","",$R670&amp;"|"&amp;$Q670)</f>
        <v/>
      </c>
      <c r="T670">
        <f>IF($A670="","",$S670&amp;"|"&amp;$F670)</f>
        <v/>
      </c>
      <c r="U670">
        <f>IF($A670="","",$R670&amp;"("&amp;$E670&amp;")")</f>
        <v/>
      </c>
      <c r="V670">
        <f>IF($A670="","",$F670&amp;"|"&amp;$U670&amp;"|"&amp;$D670)</f>
        <v/>
      </c>
      <c r="W670">
        <f>IF($T670="","",IF($X670&gt;N($X669),$X670,""))</f>
        <v/>
      </c>
      <c r="X670">
        <f>IF($T670="",N($X669),IF(MATCH($T670,$T$6:$T$6005,0)=ROW()-5,N($X669)+1,N($X669)))</f>
        <v/>
      </c>
      <c r="Z670">
        <f>IF($V670="","",IF($AA670&gt;N($AA669),$AA670,""))</f>
        <v/>
      </c>
      <c r="AA670">
        <f>IF($V670="",N($AA669),IF(MATCH($V670,$V$6:$V$6005,0)=ROW()-5,N($AA669)+1,N($AA669)))</f>
        <v/>
      </c>
    </row>
    <row r="671" ht="21" customHeight="1" s="66">
      <c r="A671" s="56" t="n"/>
      <c r="B671" s="57" t="n"/>
      <c r="C671" s="57" t="n"/>
      <c r="D671" s="57" t="n"/>
      <c r="E671" s="56" t="n"/>
      <c r="F671" s="57" t="n"/>
      <c r="G671" s="57" t="n"/>
      <c r="H671" s="56" t="n"/>
      <c r="I671" s="56" t="n"/>
      <c r="J671" s="58" t="n"/>
      <c r="K671" s="58" t="n"/>
      <c r="L671" s="13">
        <f>IF(OR($A671="",AND($J671="",$K671="")),"",ROUND(N($J671)-N($K671),2))</f>
        <v/>
      </c>
      <c r="M671" s="13">
        <f>IF(OR($A671="",AND($J671="",$K671="")),"",MIN($J671,$K671))</f>
        <v/>
      </c>
      <c r="Q671">
        <f>IF($A671="","",$D671&amp;"("&amp;SUBSTITUTE($E671," ","")&amp;")")</f>
        <v/>
      </c>
      <c r="R671">
        <f>IF($A671="","",$B671&amp;" - "&amp;$C671)</f>
        <v/>
      </c>
      <c r="S671">
        <f>IF($A671="","",$R671&amp;"|"&amp;$Q671)</f>
        <v/>
      </c>
      <c r="T671">
        <f>IF($A671="","",$S671&amp;"|"&amp;$F671)</f>
        <v/>
      </c>
      <c r="U671">
        <f>IF($A671="","",$R671&amp;"("&amp;$E671&amp;")")</f>
        <v/>
      </c>
      <c r="V671">
        <f>IF($A671="","",$F671&amp;"|"&amp;$U671&amp;"|"&amp;$D671)</f>
        <v/>
      </c>
      <c r="W671">
        <f>IF($T671="","",IF($X671&gt;N($X670),$X671,""))</f>
        <v/>
      </c>
      <c r="X671">
        <f>IF($T671="",N($X670),IF(MATCH($T671,$T$6:$T$6005,0)=ROW()-5,N($X670)+1,N($X670)))</f>
        <v/>
      </c>
      <c r="Z671">
        <f>IF($V671="","",IF($AA671&gt;N($AA670),$AA671,""))</f>
        <v/>
      </c>
      <c r="AA671">
        <f>IF($V671="",N($AA670),IF(MATCH($V671,$V$6:$V$6005,0)=ROW()-5,N($AA670)+1,N($AA670)))</f>
        <v/>
      </c>
    </row>
    <row r="672" ht="21" customHeight="1" s="66">
      <c r="A672" s="56" t="n"/>
      <c r="B672" s="57" t="n"/>
      <c r="C672" s="57" t="n"/>
      <c r="D672" s="57" t="n"/>
      <c r="E672" s="56" t="n"/>
      <c r="F672" s="57" t="n"/>
      <c r="G672" s="57" t="n"/>
      <c r="H672" s="56" t="n"/>
      <c r="I672" s="56" t="n"/>
      <c r="J672" s="58" t="n"/>
      <c r="K672" s="58" t="n"/>
      <c r="L672" s="13">
        <f>IF(OR($A672="",AND($J672="",$K672="")),"",ROUND(N($J672)-N($K672),2))</f>
        <v/>
      </c>
      <c r="M672" s="13">
        <f>IF(OR($A672="",AND($J672="",$K672="")),"",MIN($J672,$K672))</f>
        <v/>
      </c>
      <c r="Q672">
        <f>IF($A672="","",$D672&amp;"("&amp;SUBSTITUTE($E672," ","")&amp;")")</f>
        <v/>
      </c>
      <c r="R672">
        <f>IF($A672="","",$B672&amp;" - "&amp;$C672)</f>
        <v/>
      </c>
      <c r="S672">
        <f>IF($A672="","",$R672&amp;"|"&amp;$Q672)</f>
        <v/>
      </c>
      <c r="T672">
        <f>IF($A672="","",$S672&amp;"|"&amp;$F672)</f>
        <v/>
      </c>
      <c r="U672">
        <f>IF($A672="","",$R672&amp;"("&amp;$E672&amp;")")</f>
        <v/>
      </c>
      <c r="V672">
        <f>IF($A672="","",$F672&amp;"|"&amp;$U672&amp;"|"&amp;$D672)</f>
        <v/>
      </c>
      <c r="W672">
        <f>IF($T672="","",IF($X672&gt;N($X671),$X672,""))</f>
        <v/>
      </c>
      <c r="X672">
        <f>IF($T672="",N($X671),IF(MATCH($T672,$T$6:$T$6005,0)=ROW()-5,N($X671)+1,N($X671)))</f>
        <v/>
      </c>
      <c r="Z672">
        <f>IF($V672="","",IF($AA672&gt;N($AA671),$AA672,""))</f>
        <v/>
      </c>
      <c r="AA672">
        <f>IF($V672="",N($AA671),IF(MATCH($V672,$V$6:$V$6005,0)=ROW()-5,N($AA671)+1,N($AA671)))</f>
        <v/>
      </c>
    </row>
    <row r="673" ht="21" customHeight="1" s="66">
      <c r="A673" s="56" t="n"/>
      <c r="B673" s="57" t="n"/>
      <c r="C673" s="57" t="n"/>
      <c r="D673" s="57" t="n"/>
      <c r="E673" s="56" t="n"/>
      <c r="F673" s="57" t="n"/>
      <c r="G673" s="57" t="n"/>
      <c r="H673" s="56" t="n"/>
      <c r="I673" s="56" t="n"/>
      <c r="J673" s="58" t="n"/>
      <c r="K673" s="58" t="n"/>
      <c r="L673" s="13">
        <f>IF(OR($A673="",AND($J673="",$K673="")),"",ROUND(N($J673)-N($K673),2))</f>
        <v/>
      </c>
      <c r="M673" s="13">
        <f>IF(OR($A673="",AND($J673="",$K673="")),"",MIN($J673,$K673))</f>
        <v/>
      </c>
      <c r="Q673">
        <f>IF($A673="","",$D673&amp;"("&amp;SUBSTITUTE($E673," ","")&amp;")")</f>
        <v/>
      </c>
      <c r="R673">
        <f>IF($A673="","",$B673&amp;" - "&amp;$C673)</f>
        <v/>
      </c>
      <c r="S673">
        <f>IF($A673="","",$R673&amp;"|"&amp;$Q673)</f>
        <v/>
      </c>
      <c r="T673">
        <f>IF($A673="","",$S673&amp;"|"&amp;$F673)</f>
        <v/>
      </c>
      <c r="U673">
        <f>IF($A673="","",$R673&amp;"("&amp;$E673&amp;")")</f>
        <v/>
      </c>
      <c r="V673">
        <f>IF($A673="","",$F673&amp;"|"&amp;$U673&amp;"|"&amp;$D673)</f>
        <v/>
      </c>
      <c r="W673">
        <f>IF($T673="","",IF($X673&gt;N($X672),$X673,""))</f>
        <v/>
      </c>
      <c r="X673">
        <f>IF($T673="",N($X672),IF(MATCH($T673,$T$6:$T$6005,0)=ROW()-5,N($X672)+1,N($X672)))</f>
        <v/>
      </c>
      <c r="Z673">
        <f>IF($V673="","",IF($AA673&gt;N($AA672),$AA673,""))</f>
        <v/>
      </c>
      <c r="AA673">
        <f>IF($V673="",N($AA672),IF(MATCH($V673,$V$6:$V$6005,0)=ROW()-5,N($AA672)+1,N($AA672)))</f>
        <v/>
      </c>
    </row>
    <row r="674" ht="21" customHeight="1" s="66">
      <c r="A674" s="56" t="n"/>
      <c r="B674" s="57" t="n"/>
      <c r="C674" s="57" t="n"/>
      <c r="D674" s="57" t="n"/>
      <c r="E674" s="56" t="n"/>
      <c r="F674" s="57" t="n"/>
      <c r="G674" s="57" t="n"/>
      <c r="H674" s="56" t="n"/>
      <c r="I674" s="56" t="n"/>
      <c r="J674" s="58" t="n"/>
      <c r="K674" s="58" t="n"/>
      <c r="L674" s="13">
        <f>IF(OR($A674="",AND($J674="",$K674="")),"",ROUND(N($J674)-N($K674),2))</f>
        <v/>
      </c>
      <c r="M674" s="13">
        <f>IF(OR($A674="",AND($J674="",$K674="")),"",MIN($J674,$K674))</f>
        <v/>
      </c>
      <c r="Q674">
        <f>IF($A674="","",$D674&amp;"("&amp;SUBSTITUTE($E674," ","")&amp;")")</f>
        <v/>
      </c>
      <c r="R674">
        <f>IF($A674="","",$B674&amp;" - "&amp;$C674)</f>
        <v/>
      </c>
      <c r="S674">
        <f>IF($A674="","",$R674&amp;"|"&amp;$Q674)</f>
        <v/>
      </c>
      <c r="T674">
        <f>IF($A674="","",$S674&amp;"|"&amp;$F674)</f>
        <v/>
      </c>
      <c r="U674">
        <f>IF($A674="","",$R674&amp;"("&amp;$E674&amp;")")</f>
        <v/>
      </c>
      <c r="V674">
        <f>IF($A674="","",$F674&amp;"|"&amp;$U674&amp;"|"&amp;$D674)</f>
        <v/>
      </c>
      <c r="W674">
        <f>IF($T674="","",IF($X674&gt;N($X673),$X674,""))</f>
        <v/>
      </c>
      <c r="X674">
        <f>IF($T674="",N($X673),IF(MATCH($T674,$T$6:$T$6005,0)=ROW()-5,N($X673)+1,N($X673)))</f>
        <v/>
      </c>
      <c r="Z674">
        <f>IF($V674="","",IF($AA674&gt;N($AA673),$AA674,""))</f>
        <v/>
      </c>
      <c r="AA674">
        <f>IF($V674="",N($AA673),IF(MATCH($V674,$V$6:$V$6005,0)=ROW()-5,N($AA673)+1,N($AA673)))</f>
        <v/>
      </c>
    </row>
    <row r="675" ht="21" customHeight="1" s="66">
      <c r="A675" s="56" t="n"/>
      <c r="B675" s="57" t="n"/>
      <c r="C675" s="57" t="n"/>
      <c r="D675" s="57" t="n"/>
      <c r="E675" s="56" t="n"/>
      <c r="F675" s="57" t="n"/>
      <c r="G675" s="57" t="n"/>
      <c r="H675" s="56" t="n"/>
      <c r="I675" s="56" t="n"/>
      <c r="J675" s="58" t="n"/>
      <c r="K675" s="58" t="n"/>
      <c r="L675" s="13">
        <f>IF(OR($A675="",AND($J675="",$K675="")),"",ROUND(N($J675)-N($K675),2))</f>
        <v/>
      </c>
      <c r="M675" s="13">
        <f>IF(OR($A675="",AND($J675="",$K675="")),"",MIN($J675,$K675))</f>
        <v/>
      </c>
      <c r="Q675">
        <f>IF($A675="","",$D675&amp;"("&amp;SUBSTITUTE($E675," ","")&amp;")")</f>
        <v/>
      </c>
      <c r="R675">
        <f>IF($A675="","",$B675&amp;" - "&amp;$C675)</f>
        <v/>
      </c>
      <c r="S675">
        <f>IF($A675="","",$R675&amp;"|"&amp;$Q675)</f>
        <v/>
      </c>
      <c r="T675">
        <f>IF($A675="","",$S675&amp;"|"&amp;$F675)</f>
        <v/>
      </c>
      <c r="U675">
        <f>IF($A675="","",$R675&amp;"("&amp;$E675&amp;")")</f>
        <v/>
      </c>
      <c r="V675">
        <f>IF($A675="","",$F675&amp;"|"&amp;$U675&amp;"|"&amp;$D675)</f>
        <v/>
      </c>
      <c r="W675">
        <f>IF($T675="","",IF($X675&gt;N($X674),$X675,""))</f>
        <v/>
      </c>
      <c r="X675">
        <f>IF($T675="",N($X674),IF(MATCH($T675,$T$6:$T$6005,0)=ROW()-5,N($X674)+1,N($X674)))</f>
        <v/>
      </c>
      <c r="Z675">
        <f>IF($V675="","",IF($AA675&gt;N($AA674),$AA675,""))</f>
        <v/>
      </c>
      <c r="AA675">
        <f>IF($V675="",N($AA674),IF(MATCH($V675,$V$6:$V$6005,0)=ROW()-5,N($AA674)+1,N($AA674)))</f>
        <v/>
      </c>
    </row>
    <row r="676" ht="21" customHeight="1" s="66">
      <c r="A676" s="56" t="n"/>
      <c r="B676" s="57" t="n"/>
      <c r="C676" s="57" t="n"/>
      <c r="D676" s="57" t="n"/>
      <c r="E676" s="56" t="n"/>
      <c r="F676" s="57" t="n"/>
      <c r="G676" s="57" t="n"/>
      <c r="H676" s="56" t="n"/>
      <c r="I676" s="56" t="n"/>
      <c r="J676" s="58" t="n"/>
      <c r="K676" s="58" t="n"/>
      <c r="L676" s="13">
        <f>IF(OR($A676="",AND($J676="",$K676="")),"",ROUND(N($J676)-N($K676),2))</f>
        <v/>
      </c>
      <c r="M676" s="13">
        <f>IF(OR($A676="",AND($J676="",$K676="")),"",MIN($J676,$K676))</f>
        <v/>
      </c>
      <c r="Q676">
        <f>IF($A676="","",$D676&amp;"("&amp;SUBSTITUTE($E676," ","")&amp;")")</f>
        <v/>
      </c>
      <c r="R676">
        <f>IF($A676="","",$B676&amp;" - "&amp;$C676)</f>
        <v/>
      </c>
      <c r="S676">
        <f>IF($A676="","",$R676&amp;"|"&amp;$Q676)</f>
        <v/>
      </c>
      <c r="T676">
        <f>IF($A676="","",$S676&amp;"|"&amp;$F676)</f>
        <v/>
      </c>
      <c r="U676">
        <f>IF($A676="","",$R676&amp;"("&amp;$E676&amp;")")</f>
        <v/>
      </c>
      <c r="V676">
        <f>IF($A676="","",$F676&amp;"|"&amp;$U676&amp;"|"&amp;$D676)</f>
        <v/>
      </c>
      <c r="W676">
        <f>IF($T676="","",IF($X676&gt;N($X675),$X676,""))</f>
        <v/>
      </c>
      <c r="X676">
        <f>IF($T676="",N($X675),IF(MATCH($T676,$T$6:$T$6005,0)=ROW()-5,N($X675)+1,N($X675)))</f>
        <v/>
      </c>
      <c r="Z676">
        <f>IF($V676="","",IF($AA676&gt;N($AA675),$AA676,""))</f>
        <v/>
      </c>
      <c r="AA676">
        <f>IF($V676="",N($AA675),IF(MATCH($V676,$V$6:$V$6005,0)=ROW()-5,N($AA675)+1,N($AA675)))</f>
        <v/>
      </c>
    </row>
    <row r="677" ht="21" customHeight="1" s="66">
      <c r="A677" s="56" t="n"/>
      <c r="B677" s="57" t="n"/>
      <c r="C677" s="57" t="n"/>
      <c r="D677" s="57" t="n"/>
      <c r="E677" s="56" t="n"/>
      <c r="F677" s="57" t="n"/>
      <c r="G677" s="57" t="n"/>
      <c r="H677" s="56" t="n"/>
      <c r="I677" s="56" t="n"/>
      <c r="J677" s="58" t="n"/>
      <c r="K677" s="58" t="n"/>
      <c r="L677" s="13">
        <f>IF(OR($A677="",AND($J677="",$K677="")),"",ROUND(N($J677)-N($K677),2))</f>
        <v/>
      </c>
      <c r="M677" s="13">
        <f>IF(OR($A677="",AND($J677="",$K677="")),"",MIN($J677,$K677))</f>
        <v/>
      </c>
      <c r="Q677">
        <f>IF($A677="","",$D677&amp;"("&amp;SUBSTITUTE($E677," ","")&amp;")")</f>
        <v/>
      </c>
      <c r="R677">
        <f>IF($A677="","",$B677&amp;" - "&amp;$C677)</f>
        <v/>
      </c>
      <c r="S677">
        <f>IF($A677="","",$R677&amp;"|"&amp;$Q677)</f>
        <v/>
      </c>
      <c r="T677">
        <f>IF($A677="","",$S677&amp;"|"&amp;$F677)</f>
        <v/>
      </c>
      <c r="U677">
        <f>IF($A677="","",$R677&amp;"("&amp;$E677&amp;")")</f>
        <v/>
      </c>
      <c r="V677">
        <f>IF($A677="","",$F677&amp;"|"&amp;$U677&amp;"|"&amp;$D677)</f>
        <v/>
      </c>
      <c r="W677">
        <f>IF($T677="","",IF($X677&gt;N($X676),$X677,""))</f>
        <v/>
      </c>
      <c r="X677">
        <f>IF($T677="",N($X676),IF(MATCH($T677,$T$6:$T$6005,0)=ROW()-5,N($X676)+1,N($X676)))</f>
        <v/>
      </c>
      <c r="Z677">
        <f>IF($V677="","",IF($AA677&gt;N($AA676),$AA677,""))</f>
        <v/>
      </c>
      <c r="AA677">
        <f>IF($V677="",N($AA676),IF(MATCH($V677,$V$6:$V$6005,0)=ROW()-5,N($AA676)+1,N($AA676)))</f>
        <v/>
      </c>
    </row>
    <row r="678" ht="21" customHeight="1" s="66">
      <c r="A678" s="56" t="n"/>
      <c r="B678" s="57" t="n"/>
      <c r="C678" s="57" t="n"/>
      <c r="D678" s="57" t="n"/>
      <c r="E678" s="56" t="n"/>
      <c r="F678" s="57" t="n"/>
      <c r="G678" s="57" t="n"/>
      <c r="H678" s="56" t="n"/>
      <c r="I678" s="56" t="n"/>
      <c r="J678" s="58" t="n"/>
      <c r="K678" s="58" t="n"/>
      <c r="L678" s="13">
        <f>IF(OR($A678="",AND($J678="",$K678="")),"",ROUND(N($J678)-N($K678),2))</f>
        <v/>
      </c>
      <c r="M678" s="13">
        <f>IF(OR($A678="",AND($J678="",$K678="")),"",MIN($J678,$K678))</f>
        <v/>
      </c>
      <c r="Q678">
        <f>IF($A678="","",$D678&amp;"("&amp;SUBSTITUTE($E678," ","")&amp;")")</f>
        <v/>
      </c>
      <c r="R678">
        <f>IF($A678="","",$B678&amp;" - "&amp;$C678)</f>
        <v/>
      </c>
      <c r="S678">
        <f>IF($A678="","",$R678&amp;"|"&amp;$Q678)</f>
        <v/>
      </c>
      <c r="T678">
        <f>IF($A678="","",$S678&amp;"|"&amp;$F678)</f>
        <v/>
      </c>
      <c r="U678">
        <f>IF($A678="","",$R678&amp;"("&amp;$E678&amp;")")</f>
        <v/>
      </c>
      <c r="V678">
        <f>IF($A678="","",$F678&amp;"|"&amp;$U678&amp;"|"&amp;$D678)</f>
        <v/>
      </c>
      <c r="W678">
        <f>IF($T678="","",IF($X678&gt;N($X677),$X678,""))</f>
        <v/>
      </c>
      <c r="X678">
        <f>IF($T678="",N($X677),IF(MATCH($T678,$T$6:$T$6005,0)=ROW()-5,N($X677)+1,N($X677)))</f>
        <v/>
      </c>
      <c r="Z678">
        <f>IF($V678="","",IF($AA678&gt;N($AA677),$AA678,""))</f>
        <v/>
      </c>
      <c r="AA678">
        <f>IF($V678="",N($AA677),IF(MATCH($V678,$V$6:$V$6005,0)=ROW()-5,N($AA677)+1,N($AA677)))</f>
        <v/>
      </c>
    </row>
    <row r="679" ht="21" customHeight="1" s="66">
      <c r="A679" s="56" t="n"/>
      <c r="B679" s="57" t="n"/>
      <c r="C679" s="57" t="n"/>
      <c r="D679" s="57" t="n"/>
      <c r="E679" s="56" t="n"/>
      <c r="F679" s="57" t="n"/>
      <c r="G679" s="57" t="n"/>
      <c r="H679" s="56" t="n"/>
      <c r="I679" s="56" t="n"/>
      <c r="J679" s="58" t="n"/>
      <c r="K679" s="58" t="n"/>
      <c r="L679" s="13">
        <f>IF(OR($A679="",AND($J679="",$K679="")),"",ROUND(N($J679)-N($K679),2))</f>
        <v/>
      </c>
      <c r="M679" s="13">
        <f>IF(OR($A679="",AND($J679="",$K679="")),"",MIN($J679,$K679))</f>
        <v/>
      </c>
      <c r="Q679">
        <f>IF($A679="","",$D679&amp;"("&amp;SUBSTITUTE($E679," ","")&amp;")")</f>
        <v/>
      </c>
      <c r="R679">
        <f>IF($A679="","",$B679&amp;" - "&amp;$C679)</f>
        <v/>
      </c>
      <c r="S679">
        <f>IF($A679="","",$R679&amp;"|"&amp;$Q679)</f>
        <v/>
      </c>
      <c r="T679">
        <f>IF($A679="","",$S679&amp;"|"&amp;$F679)</f>
        <v/>
      </c>
      <c r="U679">
        <f>IF($A679="","",$R679&amp;"("&amp;$E679&amp;")")</f>
        <v/>
      </c>
      <c r="V679">
        <f>IF($A679="","",$F679&amp;"|"&amp;$U679&amp;"|"&amp;$D679)</f>
        <v/>
      </c>
      <c r="W679">
        <f>IF($T679="","",IF($X679&gt;N($X678),$X679,""))</f>
        <v/>
      </c>
      <c r="X679">
        <f>IF($T679="",N($X678),IF(MATCH($T679,$T$6:$T$6005,0)=ROW()-5,N($X678)+1,N($X678)))</f>
        <v/>
      </c>
      <c r="Z679">
        <f>IF($V679="","",IF($AA679&gt;N($AA678),$AA679,""))</f>
        <v/>
      </c>
      <c r="AA679">
        <f>IF($V679="",N($AA678),IF(MATCH($V679,$V$6:$V$6005,0)=ROW()-5,N($AA678)+1,N($AA678)))</f>
        <v/>
      </c>
    </row>
    <row r="680" ht="21" customHeight="1" s="66">
      <c r="A680" s="56" t="n"/>
      <c r="B680" s="57" t="n"/>
      <c r="C680" s="57" t="n"/>
      <c r="D680" s="57" t="n"/>
      <c r="E680" s="56" t="n"/>
      <c r="F680" s="57" t="n"/>
      <c r="G680" s="57" t="n"/>
      <c r="H680" s="56" t="n"/>
      <c r="I680" s="56" t="n"/>
      <c r="J680" s="58" t="n"/>
      <c r="K680" s="58" t="n"/>
      <c r="L680" s="13">
        <f>IF(OR($A680="",AND($J680="",$K680="")),"",ROUND(N($J680)-N($K680),2))</f>
        <v/>
      </c>
      <c r="M680" s="13">
        <f>IF(OR($A680="",AND($J680="",$K680="")),"",MIN($J680,$K680))</f>
        <v/>
      </c>
      <c r="Q680">
        <f>IF($A680="","",$D680&amp;"("&amp;SUBSTITUTE($E680," ","")&amp;")")</f>
        <v/>
      </c>
      <c r="R680">
        <f>IF($A680="","",$B680&amp;" - "&amp;$C680)</f>
        <v/>
      </c>
      <c r="S680">
        <f>IF($A680="","",$R680&amp;"|"&amp;$Q680)</f>
        <v/>
      </c>
      <c r="T680">
        <f>IF($A680="","",$S680&amp;"|"&amp;$F680)</f>
        <v/>
      </c>
      <c r="U680">
        <f>IF($A680="","",$R680&amp;"("&amp;$E680&amp;")")</f>
        <v/>
      </c>
      <c r="V680">
        <f>IF($A680="","",$F680&amp;"|"&amp;$U680&amp;"|"&amp;$D680)</f>
        <v/>
      </c>
      <c r="W680">
        <f>IF($T680="","",IF($X680&gt;N($X679),$X680,""))</f>
        <v/>
      </c>
      <c r="X680">
        <f>IF($T680="",N($X679),IF(MATCH($T680,$T$6:$T$6005,0)=ROW()-5,N($X679)+1,N($X679)))</f>
        <v/>
      </c>
      <c r="Z680">
        <f>IF($V680="","",IF($AA680&gt;N($AA679),$AA680,""))</f>
        <v/>
      </c>
      <c r="AA680">
        <f>IF($V680="",N($AA679),IF(MATCH($V680,$V$6:$V$6005,0)=ROW()-5,N($AA679)+1,N($AA679)))</f>
        <v/>
      </c>
    </row>
    <row r="681" ht="21" customHeight="1" s="66">
      <c r="A681" s="56" t="n"/>
      <c r="B681" s="57" t="n"/>
      <c r="C681" s="57" t="n"/>
      <c r="D681" s="57" t="n"/>
      <c r="E681" s="56" t="n"/>
      <c r="F681" s="57" t="n"/>
      <c r="G681" s="57" t="n"/>
      <c r="H681" s="56" t="n"/>
      <c r="I681" s="56" t="n"/>
      <c r="J681" s="58" t="n"/>
      <c r="K681" s="58" t="n"/>
      <c r="L681" s="13">
        <f>IF(OR($A681="",AND($J681="",$K681="")),"",ROUND(N($J681)-N($K681),2))</f>
        <v/>
      </c>
      <c r="M681" s="13">
        <f>IF(OR($A681="",AND($J681="",$K681="")),"",MIN($J681,$K681))</f>
        <v/>
      </c>
      <c r="Q681">
        <f>IF($A681="","",$D681&amp;"("&amp;SUBSTITUTE($E681," ","")&amp;")")</f>
        <v/>
      </c>
      <c r="R681">
        <f>IF($A681="","",$B681&amp;" - "&amp;$C681)</f>
        <v/>
      </c>
      <c r="S681">
        <f>IF($A681="","",$R681&amp;"|"&amp;$Q681)</f>
        <v/>
      </c>
      <c r="T681">
        <f>IF($A681="","",$S681&amp;"|"&amp;$F681)</f>
        <v/>
      </c>
      <c r="U681">
        <f>IF($A681="","",$R681&amp;"("&amp;$E681&amp;")")</f>
        <v/>
      </c>
      <c r="V681">
        <f>IF($A681="","",$F681&amp;"|"&amp;$U681&amp;"|"&amp;$D681)</f>
        <v/>
      </c>
      <c r="W681">
        <f>IF($T681="","",IF($X681&gt;N($X680),$X681,""))</f>
        <v/>
      </c>
      <c r="X681">
        <f>IF($T681="",N($X680),IF(MATCH($T681,$T$6:$T$6005,0)=ROW()-5,N($X680)+1,N($X680)))</f>
        <v/>
      </c>
      <c r="Z681">
        <f>IF($V681="","",IF($AA681&gt;N($AA680),$AA681,""))</f>
        <v/>
      </c>
      <c r="AA681">
        <f>IF($V681="",N($AA680),IF(MATCH($V681,$V$6:$V$6005,0)=ROW()-5,N($AA680)+1,N($AA680)))</f>
        <v/>
      </c>
    </row>
    <row r="682" ht="21" customHeight="1" s="66">
      <c r="A682" s="56" t="n"/>
      <c r="B682" s="57" t="n"/>
      <c r="C682" s="57" t="n"/>
      <c r="D682" s="57" t="n"/>
      <c r="E682" s="56" t="n"/>
      <c r="F682" s="57" t="n"/>
      <c r="G682" s="57" t="n"/>
      <c r="H682" s="56" t="n"/>
      <c r="I682" s="56" t="n"/>
      <c r="J682" s="58" t="n"/>
      <c r="K682" s="58" t="n"/>
      <c r="L682" s="13">
        <f>IF(OR($A682="",AND($J682="",$K682="")),"",ROUND(N($J682)-N($K682),2))</f>
        <v/>
      </c>
      <c r="M682" s="13">
        <f>IF(OR($A682="",AND($J682="",$K682="")),"",MIN($J682,$K682))</f>
        <v/>
      </c>
      <c r="Q682">
        <f>IF($A682="","",$D682&amp;"("&amp;SUBSTITUTE($E682," ","")&amp;")")</f>
        <v/>
      </c>
      <c r="R682">
        <f>IF($A682="","",$B682&amp;" - "&amp;$C682)</f>
        <v/>
      </c>
      <c r="S682">
        <f>IF($A682="","",$R682&amp;"|"&amp;$Q682)</f>
        <v/>
      </c>
      <c r="T682">
        <f>IF($A682="","",$S682&amp;"|"&amp;$F682)</f>
        <v/>
      </c>
      <c r="U682">
        <f>IF($A682="","",$R682&amp;"("&amp;$E682&amp;")")</f>
        <v/>
      </c>
      <c r="V682">
        <f>IF($A682="","",$F682&amp;"|"&amp;$U682&amp;"|"&amp;$D682)</f>
        <v/>
      </c>
      <c r="W682">
        <f>IF($T682="","",IF($X682&gt;N($X681),$X682,""))</f>
        <v/>
      </c>
      <c r="X682">
        <f>IF($T682="",N($X681),IF(MATCH($T682,$T$6:$T$6005,0)=ROW()-5,N($X681)+1,N($X681)))</f>
        <v/>
      </c>
      <c r="Z682">
        <f>IF($V682="","",IF($AA682&gt;N($AA681),$AA682,""))</f>
        <v/>
      </c>
      <c r="AA682">
        <f>IF($V682="",N($AA681),IF(MATCH($V682,$V$6:$V$6005,0)=ROW()-5,N($AA681)+1,N($AA681)))</f>
        <v/>
      </c>
    </row>
    <row r="683" ht="21" customHeight="1" s="66">
      <c r="A683" s="56" t="n"/>
      <c r="B683" s="57" t="n"/>
      <c r="C683" s="57" t="n"/>
      <c r="D683" s="57" t="n"/>
      <c r="E683" s="56" t="n"/>
      <c r="F683" s="57" t="n"/>
      <c r="G683" s="57" t="n"/>
      <c r="H683" s="56" t="n"/>
      <c r="I683" s="56" t="n"/>
      <c r="J683" s="58" t="n"/>
      <c r="K683" s="58" t="n"/>
      <c r="L683" s="13">
        <f>IF(OR($A683="",AND($J683="",$K683="")),"",ROUND(N($J683)-N($K683),2))</f>
        <v/>
      </c>
      <c r="M683" s="13">
        <f>IF(OR($A683="",AND($J683="",$K683="")),"",MIN($J683,$K683))</f>
        <v/>
      </c>
      <c r="Q683">
        <f>IF($A683="","",$D683&amp;"("&amp;SUBSTITUTE($E683," ","")&amp;")")</f>
        <v/>
      </c>
      <c r="R683">
        <f>IF($A683="","",$B683&amp;" - "&amp;$C683)</f>
        <v/>
      </c>
      <c r="S683">
        <f>IF($A683="","",$R683&amp;"|"&amp;$Q683)</f>
        <v/>
      </c>
      <c r="T683">
        <f>IF($A683="","",$S683&amp;"|"&amp;$F683)</f>
        <v/>
      </c>
      <c r="U683">
        <f>IF($A683="","",$R683&amp;"("&amp;$E683&amp;")")</f>
        <v/>
      </c>
      <c r="V683">
        <f>IF($A683="","",$F683&amp;"|"&amp;$U683&amp;"|"&amp;$D683)</f>
        <v/>
      </c>
      <c r="W683">
        <f>IF($T683="","",IF($X683&gt;N($X682),$X683,""))</f>
        <v/>
      </c>
      <c r="X683">
        <f>IF($T683="",N($X682),IF(MATCH($T683,$T$6:$T$6005,0)=ROW()-5,N($X682)+1,N($X682)))</f>
        <v/>
      </c>
      <c r="Z683">
        <f>IF($V683="","",IF($AA683&gt;N($AA682),$AA683,""))</f>
        <v/>
      </c>
      <c r="AA683">
        <f>IF($V683="",N($AA682),IF(MATCH($V683,$V$6:$V$6005,0)=ROW()-5,N($AA682)+1,N($AA682)))</f>
        <v/>
      </c>
    </row>
    <row r="684" ht="21" customHeight="1" s="66">
      <c r="A684" s="56" t="n"/>
      <c r="B684" s="57" t="n"/>
      <c r="C684" s="57" t="n"/>
      <c r="D684" s="57" t="n"/>
      <c r="E684" s="56" t="n"/>
      <c r="F684" s="57" t="n"/>
      <c r="G684" s="57" t="n"/>
      <c r="H684" s="56" t="n"/>
      <c r="I684" s="56" t="n"/>
      <c r="J684" s="58" t="n"/>
      <c r="K684" s="58" t="n"/>
      <c r="L684" s="13">
        <f>IF(OR($A684="",AND($J684="",$K684="")),"",ROUND(N($J684)-N($K684),2))</f>
        <v/>
      </c>
      <c r="M684" s="13">
        <f>IF(OR($A684="",AND($J684="",$K684="")),"",MIN($J684,$K684))</f>
        <v/>
      </c>
      <c r="Q684">
        <f>IF($A684="","",$D684&amp;"("&amp;SUBSTITUTE($E684," ","")&amp;")")</f>
        <v/>
      </c>
      <c r="R684">
        <f>IF($A684="","",$B684&amp;" - "&amp;$C684)</f>
        <v/>
      </c>
      <c r="S684">
        <f>IF($A684="","",$R684&amp;"|"&amp;$Q684)</f>
        <v/>
      </c>
      <c r="T684">
        <f>IF($A684="","",$S684&amp;"|"&amp;$F684)</f>
        <v/>
      </c>
      <c r="U684">
        <f>IF($A684="","",$R684&amp;"("&amp;$E684&amp;")")</f>
        <v/>
      </c>
      <c r="V684">
        <f>IF($A684="","",$F684&amp;"|"&amp;$U684&amp;"|"&amp;$D684)</f>
        <v/>
      </c>
      <c r="W684">
        <f>IF($T684="","",IF($X684&gt;N($X683),$X684,""))</f>
        <v/>
      </c>
      <c r="X684">
        <f>IF($T684="",N($X683),IF(MATCH($T684,$T$6:$T$6005,0)=ROW()-5,N($X683)+1,N($X683)))</f>
        <v/>
      </c>
      <c r="Z684">
        <f>IF($V684="","",IF($AA684&gt;N($AA683),$AA684,""))</f>
        <v/>
      </c>
      <c r="AA684">
        <f>IF($V684="",N($AA683),IF(MATCH($V684,$V$6:$V$6005,0)=ROW()-5,N($AA683)+1,N($AA683)))</f>
        <v/>
      </c>
    </row>
    <row r="685" ht="21" customHeight="1" s="66">
      <c r="A685" s="56" t="n"/>
      <c r="B685" s="57" t="n"/>
      <c r="C685" s="57" t="n"/>
      <c r="D685" s="57" t="n"/>
      <c r="E685" s="56" t="n"/>
      <c r="F685" s="57" t="n"/>
      <c r="G685" s="57" t="n"/>
      <c r="H685" s="56" t="n"/>
      <c r="I685" s="56" t="n"/>
      <c r="J685" s="58" t="n"/>
      <c r="K685" s="58" t="n"/>
      <c r="L685" s="13">
        <f>IF(OR($A685="",AND($J685="",$K685="")),"",ROUND(N($J685)-N($K685),2))</f>
        <v/>
      </c>
      <c r="M685" s="13">
        <f>IF(OR($A685="",AND($J685="",$K685="")),"",MIN($J685,$K685))</f>
        <v/>
      </c>
      <c r="Q685">
        <f>IF($A685="","",$D685&amp;"("&amp;SUBSTITUTE($E685," ","")&amp;")")</f>
        <v/>
      </c>
      <c r="R685">
        <f>IF($A685="","",$B685&amp;" - "&amp;$C685)</f>
        <v/>
      </c>
      <c r="S685">
        <f>IF($A685="","",$R685&amp;"|"&amp;$Q685)</f>
        <v/>
      </c>
      <c r="T685">
        <f>IF($A685="","",$S685&amp;"|"&amp;$F685)</f>
        <v/>
      </c>
      <c r="U685">
        <f>IF($A685="","",$R685&amp;"("&amp;$E685&amp;")")</f>
        <v/>
      </c>
      <c r="V685">
        <f>IF($A685="","",$F685&amp;"|"&amp;$U685&amp;"|"&amp;$D685)</f>
        <v/>
      </c>
      <c r="W685">
        <f>IF($T685="","",IF($X685&gt;N($X684),$X685,""))</f>
        <v/>
      </c>
      <c r="X685">
        <f>IF($T685="",N($X684),IF(MATCH($T685,$T$6:$T$6005,0)=ROW()-5,N($X684)+1,N($X684)))</f>
        <v/>
      </c>
      <c r="Z685">
        <f>IF($V685="","",IF($AA685&gt;N($AA684),$AA685,""))</f>
        <v/>
      </c>
      <c r="AA685">
        <f>IF($V685="",N($AA684),IF(MATCH($V685,$V$6:$V$6005,0)=ROW()-5,N($AA684)+1,N($AA684)))</f>
        <v/>
      </c>
    </row>
    <row r="686" ht="21" customHeight="1" s="66">
      <c r="A686" s="56" t="n"/>
      <c r="B686" s="57" t="n"/>
      <c r="C686" s="57" t="n"/>
      <c r="D686" s="57" t="n"/>
      <c r="E686" s="56" t="n"/>
      <c r="F686" s="57" t="n"/>
      <c r="G686" s="57" t="n"/>
      <c r="H686" s="56" t="n"/>
      <c r="I686" s="56" t="n"/>
      <c r="J686" s="58" t="n"/>
      <c r="K686" s="58" t="n"/>
      <c r="L686" s="13">
        <f>IF(OR($A686="",AND($J686="",$K686="")),"",ROUND(N($J686)-N($K686),2))</f>
        <v/>
      </c>
      <c r="M686" s="13">
        <f>IF(OR($A686="",AND($J686="",$K686="")),"",MIN($J686,$K686))</f>
        <v/>
      </c>
      <c r="Q686">
        <f>IF($A686="","",$D686&amp;"("&amp;SUBSTITUTE($E686," ","")&amp;")")</f>
        <v/>
      </c>
      <c r="R686">
        <f>IF($A686="","",$B686&amp;" - "&amp;$C686)</f>
        <v/>
      </c>
      <c r="S686">
        <f>IF($A686="","",$R686&amp;"|"&amp;$Q686)</f>
        <v/>
      </c>
      <c r="T686">
        <f>IF($A686="","",$S686&amp;"|"&amp;$F686)</f>
        <v/>
      </c>
      <c r="U686">
        <f>IF($A686="","",$R686&amp;"("&amp;$E686&amp;")")</f>
        <v/>
      </c>
      <c r="V686">
        <f>IF($A686="","",$F686&amp;"|"&amp;$U686&amp;"|"&amp;$D686)</f>
        <v/>
      </c>
      <c r="W686">
        <f>IF($T686="","",IF($X686&gt;N($X685),$X686,""))</f>
        <v/>
      </c>
      <c r="X686">
        <f>IF($T686="",N($X685),IF(MATCH($T686,$T$6:$T$6005,0)=ROW()-5,N($X685)+1,N($X685)))</f>
        <v/>
      </c>
      <c r="Z686">
        <f>IF($V686="","",IF($AA686&gt;N($AA685),$AA686,""))</f>
        <v/>
      </c>
      <c r="AA686">
        <f>IF($V686="",N($AA685),IF(MATCH($V686,$V$6:$V$6005,0)=ROW()-5,N($AA685)+1,N($AA685)))</f>
        <v/>
      </c>
    </row>
    <row r="687" ht="21" customHeight="1" s="66">
      <c r="A687" s="56" t="n"/>
      <c r="B687" s="57" t="n"/>
      <c r="C687" s="57" t="n"/>
      <c r="D687" s="57" t="n"/>
      <c r="E687" s="56" t="n"/>
      <c r="F687" s="57" t="n"/>
      <c r="G687" s="57" t="n"/>
      <c r="H687" s="56" t="n"/>
      <c r="I687" s="56" t="n"/>
      <c r="J687" s="58" t="n"/>
      <c r="K687" s="58" t="n"/>
      <c r="L687" s="13">
        <f>IF(OR($A687="",AND($J687="",$K687="")),"",ROUND(N($J687)-N($K687),2))</f>
        <v/>
      </c>
      <c r="M687" s="13">
        <f>IF(OR($A687="",AND($J687="",$K687="")),"",MIN($J687,$K687))</f>
        <v/>
      </c>
      <c r="Q687">
        <f>IF($A687="","",$D687&amp;"("&amp;SUBSTITUTE($E687," ","")&amp;")")</f>
        <v/>
      </c>
      <c r="R687">
        <f>IF($A687="","",$B687&amp;" - "&amp;$C687)</f>
        <v/>
      </c>
      <c r="S687">
        <f>IF($A687="","",$R687&amp;"|"&amp;$Q687)</f>
        <v/>
      </c>
      <c r="T687">
        <f>IF($A687="","",$S687&amp;"|"&amp;$F687)</f>
        <v/>
      </c>
      <c r="U687">
        <f>IF($A687="","",$R687&amp;"("&amp;$E687&amp;")")</f>
        <v/>
      </c>
      <c r="V687">
        <f>IF($A687="","",$F687&amp;"|"&amp;$U687&amp;"|"&amp;$D687)</f>
        <v/>
      </c>
      <c r="W687">
        <f>IF($T687="","",IF($X687&gt;N($X686),$X687,""))</f>
        <v/>
      </c>
      <c r="X687">
        <f>IF($T687="",N($X686),IF(MATCH($T687,$T$6:$T$6005,0)=ROW()-5,N($X686)+1,N($X686)))</f>
        <v/>
      </c>
      <c r="Z687">
        <f>IF($V687="","",IF($AA687&gt;N($AA686),$AA687,""))</f>
        <v/>
      </c>
      <c r="AA687">
        <f>IF($V687="",N($AA686),IF(MATCH($V687,$V$6:$V$6005,0)=ROW()-5,N($AA686)+1,N($AA686)))</f>
        <v/>
      </c>
    </row>
    <row r="688" ht="21" customHeight="1" s="66">
      <c r="A688" s="56" t="n"/>
      <c r="B688" s="57" t="n"/>
      <c r="C688" s="57" t="n"/>
      <c r="D688" s="57" t="n"/>
      <c r="E688" s="56" t="n"/>
      <c r="F688" s="57" t="n"/>
      <c r="G688" s="57" t="n"/>
      <c r="H688" s="56" t="n"/>
      <c r="I688" s="56" t="n"/>
      <c r="J688" s="58" t="n"/>
      <c r="K688" s="58" t="n"/>
      <c r="L688" s="13">
        <f>IF(OR($A688="",AND($J688="",$K688="")),"",ROUND(N($J688)-N($K688),2))</f>
        <v/>
      </c>
      <c r="M688" s="13">
        <f>IF(OR($A688="",AND($J688="",$K688="")),"",MIN($J688,$K688))</f>
        <v/>
      </c>
      <c r="Q688">
        <f>IF($A688="","",$D688&amp;"("&amp;SUBSTITUTE($E688," ","")&amp;")")</f>
        <v/>
      </c>
      <c r="R688">
        <f>IF($A688="","",$B688&amp;" - "&amp;$C688)</f>
        <v/>
      </c>
      <c r="S688">
        <f>IF($A688="","",$R688&amp;"|"&amp;$Q688)</f>
        <v/>
      </c>
      <c r="T688">
        <f>IF($A688="","",$S688&amp;"|"&amp;$F688)</f>
        <v/>
      </c>
      <c r="U688">
        <f>IF($A688="","",$R688&amp;"("&amp;$E688&amp;")")</f>
        <v/>
      </c>
      <c r="V688">
        <f>IF($A688="","",$F688&amp;"|"&amp;$U688&amp;"|"&amp;$D688)</f>
        <v/>
      </c>
      <c r="W688">
        <f>IF($T688="","",IF($X688&gt;N($X687),$X688,""))</f>
        <v/>
      </c>
      <c r="X688">
        <f>IF($T688="",N($X687),IF(MATCH($T688,$T$6:$T$6005,0)=ROW()-5,N($X687)+1,N($X687)))</f>
        <v/>
      </c>
      <c r="Z688">
        <f>IF($V688="","",IF($AA688&gt;N($AA687),$AA688,""))</f>
        <v/>
      </c>
      <c r="AA688">
        <f>IF($V688="",N($AA687),IF(MATCH($V688,$V$6:$V$6005,0)=ROW()-5,N($AA687)+1,N($AA687)))</f>
        <v/>
      </c>
    </row>
    <row r="689" ht="21" customHeight="1" s="66">
      <c r="A689" s="56" t="n"/>
      <c r="B689" s="57" t="n"/>
      <c r="C689" s="57" t="n"/>
      <c r="D689" s="57" t="n"/>
      <c r="E689" s="56" t="n"/>
      <c r="F689" s="57" t="n"/>
      <c r="G689" s="57" t="n"/>
      <c r="H689" s="56" t="n"/>
      <c r="I689" s="56" t="n"/>
      <c r="J689" s="58" t="n"/>
      <c r="K689" s="58" t="n"/>
      <c r="L689" s="13">
        <f>IF(OR($A689="",AND($J689="",$K689="")),"",ROUND(N($J689)-N($K689),2))</f>
        <v/>
      </c>
      <c r="M689" s="13">
        <f>IF(OR($A689="",AND($J689="",$K689="")),"",MIN($J689,$K689))</f>
        <v/>
      </c>
      <c r="Q689">
        <f>IF($A689="","",$D689&amp;"("&amp;SUBSTITUTE($E689," ","")&amp;")")</f>
        <v/>
      </c>
      <c r="R689">
        <f>IF($A689="","",$B689&amp;" - "&amp;$C689)</f>
        <v/>
      </c>
      <c r="S689">
        <f>IF($A689="","",$R689&amp;"|"&amp;$Q689)</f>
        <v/>
      </c>
      <c r="T689">
        <f>IF($A689="","",$S689&amp;"|"&amp;$F689)</f>
        <v/>
      </c>
      <c r="U689">
        <f>IF($A689="","",$R689&amp;"("&amp;$E689&amp;")")</f>
        <v/>
      </c>
      <c r="V689">
        <f>IF($A689="","",$F689&amp;"|"&amp;$U689&amp;"|"&amp;$D689)</f>
        <v/>
      </c>
      <c r="W689">
        <f>IF($T689="","",IF($X689&gt;N($X688),$X689,""))</f>
        <v/>
      </c>
      <c r="X689">
        <f>IF($T689="",N($X688),IF(MATCH($T689,$T$6:$T$6005,0)=ROW()-5,N($X688)+1,N($X688)))</f>
        <v/>
      </c>
      <c r="Z689">
        <f>IF($V689="","",IF($AA689&gt;N($AA688),$AA689,""))</f>
        <v/>
      </c>
      <c r="AA689">
        <f>IF($V689="",N($AA688),IF(MATCH($V689,$V$6:$V$6005,0)=ROW()-5,N($AA688)+1,N($AA688)))</f>
        <v/>
      </c>
    </row>
    <row r="690" ht="21" customHeight="1" s="66">
      <c r="A690" s="56" t="n"/>
      <c r="B690" s="57" t="n"/>
      <c r="C690" s="57" t="n"/>
      <c r="D690" s="57" t="n"/>
      <c r="E690" s="56" t="n"/>
      <c r="F690" s="57" t="n"/>
      <c r="G690" s="57" t="n"/>
      <c r="H690" s="56" t="n"/>
      <c r="I690" s="56" t="n"/>
      <c r="J690" s="58" t="n"/>
      <c r="K690" s="58" t="n"/>
      <c r="L690" s="13">
        <f>IF(OR($A690="",AND($J690="",$K690="")),"",ROUND(N($J690)-N($K690),2))</f>
        <v/>
      </c>
      <c r="M690" s="13">
        <f>IF(OR($A690="",AND($J690="",$K690="")),"",MIN($J690,$K690))</f>
        <v/>
      </c>
      <c r="Q690">
        <f>IF($A690="","",$D690&amp;"("&amp;SUBSTITUTE($E690," ","")&amp;")")</f>
        <v/>
      </c>
      <c r="R690">
        <f>IF($A690="","",$B690&amp;" - "&amp;$C690)</f>
        <v/>
      </c>
      <c r="S690">
        <f>IF($A690="","",$R690&amp;"|"&amp;$Q690)</f>
        <v/>
      </c>
      <c r="T690">
        <f>IF($A690="","",$S690&amp;"|"&amp;$F690)</f>
        <v/>
      </c>
      <c r="U690">
        <f>IF($A690="","",$R690&amp;"("&amp;$E690&amp;")")</f>
        <v/>
      </c>
      <c r="V690">
        <f>IF($A690="","",$F690&amp;"|"&amp;$U690&amp;"|"&amp;$D690)</f>
        <v/>
      </c>
      <c r="W690">
        <f>IF($T690="","",IF($X690&gt;N($X689),$X690,""))</f>
        <v/>
      </c>
      <c r="X690">
        <f>IF($T690="",N($X689),IF(MATCH($T690,$T$6:$T$6005,0)=ROW()-5,N($X689)+1,N($X689)))</f>
        <v/>
      </c>
      <c r="Z690">
        <f>IF($V690="","",IF($AA690&gt;N($AA689),$AA690,""))</f>
        <v/>
      </c>
      <c r="AA690">
        <f>IF($V690="",N($AA689),IF(MATCH($V690,$V$6:$V$6005,0)=ROW()-5,N($AA689)+1,N($AA689)))</f>
        <v/>
      </c>
    </row>
    <row r="691" ht="21" customHeight="1" s="66">
      <c r="A691" s="56" t="n"/>
      <c r="B691" s="57" t="n"/>
      <c r="C691" s="57" t="n"/>
      <c r="D691" s="57" t="n"/>
      <c r="E691" s="56" t="n"/>
      <c r="F691" s="57" t="n"/>
      <c r="G691" s="57" t="n"/>
      <c r="H691" s="56" t="n"/>
      <c r="I691" s="56" t="n"/>
      <c r="J691" s="58" t="n"/>
      <c r="K691" s="58" t="n"/>
      <c r="L691" s="13">
        <f>IF(OR($A691="",AND($J691="",$K691="")),"",ROUND(N($J691)-N($K691),2))</f>
        <v/>
      </c>
      <c r="M691" s="13">
        <f>IF(OR($A691="",AND($J691="",$K691="")),"",MIN($J691,$K691))</f>
        <v/>
      </c>
      <c r="Q691">
        <f>IF($A691="","",$D691&amp;"("&amp;SUBSTITUTE($E691," ","")&amp;")")</f>
        <v/>
      </c>
      <c r="R691">
        <f>IF($A691="","",$B691&amp;" - "&amp;$C691)</f>
        <v/>
      </c>
      <c r="S691">
        <f>IF($A691="","",$R691&amp;"|"&amp;$Q691)</f>
        <v/>
      </c>
      <c r="T691">
        <f>IF($A691="","",$S691&amp;"|"&amp;$F691)</f>
        <v/>
      </c>
      <c r="U691">
        <f>IF($A691="","",$R691&amp;"("&amp;$E691&amp;")")</f>
        <v/>
      </c>
      <c r="V691">
        <f>IF($A691="","",$F691&amp;"|"&amp;$U691&amp;"|"&amp;$D691)</f>
        <v/>
      </c>
      <c r="W691">
        <f>IF($T691="","",IF($X691&gt;N($X690),$X691,""))</f>
        <v/>
      </c>
      <c r="X691">
        <f>IF($T691="",N($X690),IF(MATCH($T691,$T$6:$T$6005,0)=ROW()-5,N($X690)+1,N($X690)))</f>
        <v/>
      </c>
      <c r="Z691">
        <f>IF($V691="","",IF($AA691&gt;N($AA690),$AA691,""))</f>
        <v/>
      </c>
      <c r="AA691">
        <f>IF($V691="",N($AA690),IF(MATCH($V691,$V$6:$V$6005,0)=ROW()-5,N($AA690)+1,N($AA690)))</f>
        <v/>
      </c>
    </row>
    <row r="692" ht="21" customHeight="1" s="66">
      <c r="A692" s="56" t="n"/>
      <c r="B692" s="57" t="n"/>
      <c r="C692" s="57" t="n"/>
      <c r="D692" s="57" t="n"/>
      <c r="E692" s="56" t="n"/>
      <c r="F692" s="57" t="n"/>
      <c r="G692" s="57" t="n"/>
      <c r="H692" s="56" t="n"/>
      <c r="I692" s="56" t="n"/>
      <c r="J692" s="58" t="n"/>
      <c r="K692" s="58" t="n"/>
      <c r="L692" s="13">
        <f>IF(OR($A692="",AND($J692="",$K692="")),"",ROUND(N($J692)-N($K692),2))</f>
        <v/>
      </c>
      <c r="M692" s="13">
        <f>IF(OR($A692="",AND($J692="",$K692="")),"",MIN($J692,$K692))</f>
        <v/>
      </c>
      <c r="Q692">
        <f>IF($A692="","",$D692&amp;"("&amp;SUBSTITUTE($E692," ","")&amp;")")</f>
        <v/>
      </c>
      <c r="R692">
        <f>IF($A692="","",$B692&amp;" - "&amp;$C692)</f>
        <v/>
      </c>
      <c r="S692">
        <f>IF($A692="","",$R692&amp;"|"&amp;$Q692)</f>
        <v/>
      </c>
      <c r="T692">
        <f>IF($A692="","",$S692&amp;"|"&amp;$F692)</f>
        <v/>
      </c>
      <c r="U692">
        <f>IF($A692="","",$R692&amp;"("&amp;$E692&amp;")")</f>
        <v/>
      </c>
      <c r="V692">
        <f>IF($A692="","",$F692&amp;"|"&amp;$U692&amp;"|"&amp;$D692)</f>
        <v/>
      </c>
      <c r="W692">
        <f>IF($T692="","",IF($X692&gt;N($X691),$X692,""))</f>
        <v/>
      </c>
      <c r="X692">
        <f>IF($T692="",N($X691),IF(MATCH($T692,$T$6:$T$6005,0)=ROW()-5,N($X691)+1,N($X691)))</f>
        <v/>
      </c>
      <c r="Z692">
        <f>IF($V692="","",IF($AA692&gt;N($AA691),$AA692,""))</f>
        <v/>
      </c>
      <c r="AA692">
        <f>IF($V692="",N($AA691),IF(MATCH($V692,$V$6:$V$6005,0)=ROW()-5,N($AA691)+1,N($AA691)))</f>
        <v/>
      </c>
    </row>
    <row r="693" ht="21" customHeight="1" s="66">
      <c r="A693" s="56" t="n"/>
      <c r="B693" s="57" t="n"/>
      <c r="C693" s="57" t="n"/>
      <c r="D693" s="57" t="n"/>
      <c r="E693" s="56" t="n"/>
      <c r="F693" s="57" t="n"/>
      <c r="G693" s="57" t="n"/>
      <c r="H693" s="56" t="n"/>
      <c r="I693" s="56" t="n"/>
      <c r="J693" s="58" t="n"/>
      <c r="K693" s="58" t="n"/>
      <c r="L693" s="13">
        <f>IF(OR($A693="",AND($J693="",$K693="")),"",ROUND(N($J693)-N($K693),2))</f>
        <v/>
      </c>
      <c r="M693" s="13">
        <f>IF(OR($A693="",AND($J693="",$K693="")),"",MIN($J693,$K693))</f>
        <v/>
      </c>
      <c r="Q693">
        <f>IF($A693="","",$D693&amp;"("&amp;SUBSTITUTE($E693," ","")&amp;")")</f>
        <v/>
      </c>
      <c r="R693">
        <f>IF($A693="","",$B693&amp;" - "&amp;$C693)</f>
        <v/>
      </c>
      <c r="S693">
        <f>IF($A693="","",$R693&amp;"|"&amp;$Q693)</f>
        <v/>
      </c>
      <c r="T693">
        <f>IF($A693="","",$S693&amp;"|"&amp;$F693)</f>
        <v/>
      </c>
      <c r="U693">
        <f>IF($A693="","",$R693&amp;"("&amp;$E693&amp;")")</f>
        <v/>
      </c>
      <c r="V693">
        <f>IF($A693="","",$F693&amp;"|"&amp;$U693&amp;"|"&amp;$D693)</f>
        <v/>
      </c>
      <c r="W693">
        <f>IF($T693="","",IF($X693&gt;N($X692),$X693,""))</f>
        <v/>
      </c>
      <c r="X693">
        <f>IF($T693="",N($X692),IF(MATCH($T693,$T$6:$T$6005,0)=ROW()-5,N($X692)+1,N($X692)))</f>
        <v/>
      </c>
      <c r="Z693">
        <f>IF($V693="","",IF($AA693&gt;N($AA692),$AA693,""))</f>
        <v/>
      </c>
      <c r="AA693">
        <f>IF($V693="",N($AA692),IF(MATCH($V693,$V$6:$V$6005,0)=ROW()-5,N($AA692)+1,N($AA692)))</f>
        <v/>
      </c>
    </row>
    <row r="694" ht="21" customHeight="1" s="66">
      <c r="A694" s="56" t="n"/>
      <c r="B694" s="57" t="n"/>
      <c r="C694" s="57" t="n"/>
      <c r="D694" s="57" t="n"/>
      <c r="E694" s="56" t="n"/>
      <c r="F694" s="57" t="n"/>
      <c r="G694" s="57" t="n"/>
      <c r="H694" s="56" t="n"/>
      <c r="I694" s="56" t="n"/>
      <c r="J694" s="58" t="n"/>
      <c r="K694" s="58" t="n"/>
      <c r="L694" s="13">
        <f>IF(OR($A694="",AND($J694="",$K694="")),"",ROUND(N($J694)-N($K694),2))</f>
        <v/>
      </c>
      <c r="M694" s="13">
        <f>IF(OR($A694="",AND($J694="",$K694="")),"",MIN($J694,$K694))</f>
        <v/>
      </c>
      <c r="Q694">
        <f>IF($A694="","",$D694&amp;"("&amp;SUBSTITUTE($E694," ","")&amp;")")</f>
        <v/>
      </c>
      <c r="R694">
        <f>IF($A694="","",$B694&amp;" - "&amp;$C694)</f>
        <v/>
      </c>
      <c r="S694">
        <f>IF($A694="","",$R694&amp;"|"&amp;$Q694)</f>
        <v/>
      </c>
      <c r="T694">
        <f>IF($A694="","",$S694&amp;"|"&amp;$F694)</f>
        <v/>
      </c>
      <c r="U694">
        <f>IF($A694="","",$R694&amp;"("&amp;$E694&amp;")")</f>
        <v/>
      </c>
      <c r="V694">
        <f>IF($A694="","",$F694&amp;"|"&amp;$U694&amp;"|"&amp;$D694)</f>
        <v/>
      </c>
      <c r="W694">
        <f>IF($T694="","",IF($X694&gt;N($X693),$X694,""))</f>
        <v/>
      </c>
      <c r="X694">
        <f>IF($T694="",N($X693),IF(MATCH($T694,$T$6:$T$6005,0)=ROW()-5,N($X693)+1,N($X693)))</f>
        <v/>
      </c>
      <c r="Z694">
        <f>IF($V694="","",IF($AA694&gt;N($AA693),$AA694,""))</f>
        <v/>
      </c>
      <c r="AA694">
        <f>IF($V694="",N($AA693),IF(MATCH($V694,$V$6:$V$6005,0)=ROW()-5,N($AA693)+1,N($AA693)))</f>
        <v/>
      </c>
    </row>
    <row r="695" ht="21" customHeight="1" s="66">
      <c r="A695" s="56" t="n"/>
      <c r="B695" s="57" t="n"/>
      <c r="C695" s="57" t="n"/>
      <c r="D695" s="57" t="n"/>
      <c r="E695" s="56" t="n"/>
      <c r="F695" s="57" t="n"/>
      <c r="G695" s="57" t="n"/>
      <c r="H695" s="56" t="n"/>
      <c r="I695" s="56" t="n"/>
      <c r="J695" s="58" t="n"/>
      <c r="K695" s="58" t="n"/>
      <c r="L695" s="13">
        <f>IF(OR($A695="",AND($J695="",$K695="")),"",ROUND(N($J695)-N($K695),2))</f>
        <v/>
      </c>
      <c r="M695" s="13">
        <f>IF(OR($A695="",AND($J695="",$K695="")),"",MIN($J695,$K695))</f>
        <v/>
      </c>
      <c r="Q695">
        <f>IF($A695="","",$D695&amp;"("&amp;SUBSTITUTE($E695," ","")&amp;")")</f>
        <v/>
      </c>
      <c r="R695">
        <f>IF($A695="","",$B695&amp;" - "&amp;$C695)</f>
        <v/>
      </c>
      <c r="S695">
        <f>IF($A695="","",$R695&amp;"|"&amp;$Q695)</f>
        <v/>
      </c>
      <c r="T695">
        <f>IF($A695="","",$S695&amp;"|"&amp;$F695)</f>
        <v/>
      </c>
      <c r="U695">
        <f>IF($A695="","",$R695&amp;"("&amp;$E695&amp;")")</f>
        <v/>
      </c>
      <c r="V695">
        <f>IF($A695="","",$F695&amp;"|"&amp;$U695&amp;"|"&amp;$D695)</f>
        <v/>
      </c>
      <c r="W695">
        <f>IF($T695="","",IF($X695&gt;N($X694),$X695,""))</f>
        <v/>
      </c>
      <c r="X695">
        <f>IF($T695="",N($X694),IF(MATCH($T695,$T$6:$T$6005,0)=ROW()-5,N($X694)+1,N($X694)))</f>
        <v/>
      </c>
      <c r="Z695">
        <f>IF($V695="","",IF($AA695&gt;N($AA694),$AA695,""))</f>
        <v/>
      </c>
      <c r="AA695">
        <f>IF($V695="",N($AA694),IF(MATCH($V695,$V$6:$V$6005,0)=ROW()-5,N($AA694)+1,N($AA694)))</f>
        <v/>
      </c>
    </row>
    <row r="696" ht="21" customHeight="1" s="66">
      <c r="A696" s="56" t="n"/>
      <c r="B696" s="57" t="n"/>
      <c r="C696" s="57" t="n"/>
      <c r="D696" s="57" t="n"/>
      <c r="E696" s="56" t="n"/>
      <c r="F696" s="57" t="n"/>
      <c r="G696" s="57" t="n"/>
      <c r="H696" s="56" t="n"/>
      <c r="I696" s="56" t="n"/>
      <c r="J696" s="58" t="n"/>
      <c r="K696" s="58" t="n"/>
      <c r="L696" s="13">
        <f>IF(OR($A696="",AND($J696="",$K696="")),"",ROUND(N($J696)-N($K696),2))</f>
        <v/>
      </c>
      <c r="M696" s="13">
        <f>IF(OR($A696="",AND($J696="",$K696="")),"",MIN($J696,$K696))</f>
        <v/>
      </c>
      <c r="Q696">
        <f>IF($A696="","",$D696&amp;"("&amp;SUBSTITUTE($E696," ","")&amp;")")</f>
        <v/>
      </c>
      <c r="R696">
        <f>IF($A696="","",$B696&amp;" - "&amp;$C696)</f>
        <v/>
      </c>
      <c r="S696">
        <f>IF($A696="","",$R696&amp;"|"&amp;$Q696)</f>
        <v/>
      </c>
      <c r="T696">
        <f>IF($A696="","",$S696&amp;"|"&amp;$F696)</f>
        <v/>
      </c>
      <c r="U696">
        <f>IF($A696="","",$R696&amp;"("&amp;$E696&amp;")")</f>
        <v/>
      </c>
      <c r="V696">
        <f>IF($A696="","",$F696&amp;"|"&amp;$U696&amp;"|"&amp;$D696)</f>
        <v/>
      </c>
      <c r="W696">
        <f>IF($T696="","",IF($X696&gt;N($X695),$X696,""))</f>
        <v/>
      </c>
      <c r="X696">
        <f>IF($T696="",N($X695),IF(MATCH($T696,$T$6:$T$6005,0)=ROW()-5,N($X695)+1,N($X695)))</f>
        <v/>
      </c>
      <c r="Z696">
        <f>IF($V696="","",IF($AA696&gt;N($AA695),$AA696,""))</f>
        <v/>
      </c>
      <c r="AA696">
        <f>IF($V696="",N($AA695),IF(MATCH($V696,$V$6:$V$6005,0)=ROW()-5,N($AA695)+1,N($AA695)))</f>
        <v/>
      </c>
    </row>
    <row r="697" ht="21" customHeight="1" s="66">
      <c r="A697" s="56" t="n"/>
      <c r="B697" s="57" t="n"/>
      <c r="C697" s="57" t="n"/>
      <c r="D697" s="57" t="n"/>
      <c r="E697" s="56" t="n"/>
      <c r="F697" s="57" t="n"/>
      <c r="G697" s="57" t="n"/>
      <c r="H697" s="56" t="n"/>
      <c r="I697" s="56" t="n"/>
      <c r="J697" s="58" t="n"/>
      <c r="K697" s="58" t="n"/>
      <c r="L697" s="13">
        <f>IF(OR($A697="",AND($J697="",$K697="")),"",ROUND(N($J697)-N($K697),2))</f>
        <v/>
      </c>
      <c r="M697" s="13">
        <f>IF(OR($A697="",AND($J697="",$K697="")),"",MIN($J697,$K697))</f>
        <v/>
      </c>
      <c r="Q697">
        <f>IF($A697="","",$D697&amp;"("&amp;SUBSTITUTE($E697," ","")&amp;")")</f>
        <v/>
      </c>
      <c r="R697">
        <f>IF($A697="","",$B697&amp;" - "&amp;$C697)</f>
        <v/>
      </c>
      <c r="S697">
        <f>IF($A697="","",$R697&amp;"|"&amp;$Q697)</f>
        <v/>
      </c>
      <c r="T697">
        <f>IF($A697="","",$S697&amp;"|"&amp;$F697)</f>
        <v/>
      </c>
      <c r="U697">
        <f>IF($A697="","",$R697&amp;"("&amp;$E697&amp;")")</f>
        <v/>
      </c>
      <c r="V697">
        <f>IF($A697="","",$F697&amp;"|"&amp;$U697&amp;"|"&amp;$D697)</f>
        <v/>
      </c>
      <c r="W697">
        <f>IF($T697="","",IF($X697&gt;N($X696),$X697,""))</f>
        <v/>
      </c>
      <c r="X697">
        <f>IF($T697="",N($X696),IF(MATCH($T697,$T$6:$T$6005,0)=ROW()-5,N($X696)+1,N($X696)))</f>
        <v/>
      </c>
      <c r="Z697">
        <f>IF($V697="","",IF($AA697&gt;N($AA696),$AA697,""))</f>
        <v/>
      </c>
      <c r="AA697">
        <f>IF($V697="",N($AA696),IF(MATCH($V697,$V$6:$V$6005,0)=ROW()-5,N($AA696)+1,N($AA696)))</f>
        <v/>
      </c>
    </row>
    <row r="698" ht="21" customHeight="1" s="66">
      <c r="A698" s="56" t="n"/>
      <c r="B698" s="57" t="n"/>
      <c r="C698" s="57" t="n"/>
      <c r="D698" s="57" t="n"/>
      <c r="E698" s="56" t="n"/>
      <c r="F698" s="57" t="n"/>
      <c r="G698" s="57" t="n"/>
      <c r="H698" s="56" t="n"/>
      <c r="I698" s="56" t="n"/>
      <c r="J698" s="58" t="n"/>
      <c r="K698" s="58" t="n"/>
      <c r="L698" s="13">
        <f>IF(OR($A698="",AND($J698="",$K698="")),"",ROUND(N($J698)-N($K698),2))</f>
        <v/>
      </c>
      <c r="M698" s="13">
        <f>IF(OR($A698="",AND($J698="",$K698="")),"",MIN($J698,$K698))</f>
        <v/>
      </c>
      <c r="Q698">
        <f>IF($A698="","",$D698&amp;"("&amp;SUBSTITUTE($E698," ","")&amp;")")</f>
        <v/>
      </c>
      <c r="R698">
        <f>IF($A698="","",$B698&amp;" - "&amp;$C698)</f>
        <v/>
      </c>
      <c r="S698">
        <f>IF($A698="","",$R698&amp;"|"&amp;$Q698)</f>
        <v/>
      </c>
      <c r="T698">
        <f>IF($A698="","",$S698&amp;"|"&amp;$F698)</f>
        <v/>
      </c>
      <c r="U698">
        <f>IF($A698="","",$R698&amp;"("&amp;$E698&amp;")")</f>
        <v/>
      </c>
      <c r="V698">
        <f>IF($A698="","",$F698&amp;"|"&amp;$U698&amp;"|"&amp;$D698)</f>
        <v/>
      </c>
      <c r="W698">
        <f>IF($T698="","",IF($X698&gt;N($X697),$X698,""))</f>
        <v/>
      </c>
      <c r="X698">
        <f>IF($T698="",N($X697),IF(MATCH($T698,$T$6:$T$6005,0)=ROW()-5,N($X697)+1,N($X697)))</f>
        <v/>
      </c>
      <c r="Z698">
        <f>IF($V698="","",IF($AA698&gt;N($AA697),$AA698,""))</f>
        <v/>
      </c>
      <c r="AA698">
        <f>IF($V698="",N($AA697),IF(MATCH($V698,$V$6:$V$6005,0)=ROW()-5,N($AA697)+1,N($AA697)))</f>
        <v/>
      </c>
    </row>
    <row r="699" ht="21" customHeight="1" s="66">
      <c r="A699" s="56" t="n"/>
      <c r="B699" s="57" t="n"/>
      <c r="C699" s="57" t="n"/>
      <c r="D699" s="57" t="n"/>
      <c r="E699" s="56" t="n"/>
      <c r="F699" s="57" t="n"/>
      <c r="G699" s="57" t="n"/>
      <c r="H699" s="56" t="n"/>
      <c r="I699" s="56" t="n"/>
      <c r="J699" s="58" t="n"/>
      <c r="K699" s="58" t="n"/>
      <c r="L699" s="13">
        <f>IF(OR($A699="",AND($J699="",$K699="")),"",ROUND(N($J699)-N($K699),2))</f>
        <v/>
      </c>
      <c r="M699" s="13">
        <f>IF(OR($A699="",AND($J699="",$K699="")),"",MIN($J699,$K699))</f>
        <v/>
      </c>
      <c r="Q699">
        <f>IF($A699="","",$D699&amp;"("&amp;SUBSTITUTE($E699," ","")&amp;")")</f>
        <v/>
      </c>
      <c r="R699">
        <f>IF($A699="","",$B699&amp;" - "&amp;$C699)</f>
        <v/>
      </c>
      <c r="S699">
        <f>IF($A699="","",$R699&amp;"|"&amp;$Q699)</f>
        <v/>
      </c>
      <c r="T699">
        <f>IF($A699="","",$S699&amp;"|"&amp;$F699)</f>
        <v/>
      </c>
      <c r="U699">
        <f>IF($A699="","",$R699&amp;"("&amp;$E699&amp;")")</f>
        <v/>
      </c>
      <c r="V699">
        <f>IF($A699="","",$F699&amp;"|"&amp;$U699&amp;"|"&amp;$D699)</f>
        <v/>
      </c>
      <c r="W699">
        <f>IF($T699="","",IF($X699&gt;N($X698),$X699,""))</f>
        <v/>
      </c>
      <c r="X699">
        <f>IF($T699="",N($X698),IF(MATCH($T699,$T$6:$T$6005,0)=ROW()-5,N($X698)+1,N($X698)))</f>
        <v/>
      </c>
      <c r="Z699">
        <f>IF($V699="","",IF($AA699&gt;N($AA698),$AA699,""))</f>
        <v/>
      </c>
      <c r="AA699">
        <f>IF($V699="",N($AA698),IF(MATCH($V699,$V$6:$V$6005,0)=ROW()-5,N($AA698)+1,N($AA698)))</f>
        <v/>
      </c>
    </row>
    <row r="700" ht="21" customHeight="1" s="66">
      <c r="A700" s="56" t="n"/>
      <c r="B700" s="57" t="n"/>
      <c r="C700" s="57" t="n"/>
      <c r="D700" s="57" t="n"/>
      <c r="E700" s="56" t="n"/>
      <c r="F700" s="57" t="n"/>
      <c r="G700" s="57" t="n"/>
      <c r="H700" s="56" t="n"/>
      <c r="I700" s="56" t="n"/>
      <c r="J700" s="58" t="n"/>
      <c r="K700" s="58" t="n"/>
      <c r="L700" s="13">
        <f>IF(OR($A700="",AND($J700="",$K700="")),"",ROUND(N($J700)-N($K700),2))</f>
        <v/>
      </c>
      <c r="M700" s="13">
        <f>IF(OR($A700="",AND($J700="",$K700="")),"",MIN($J700,$K700))</f>
        <v/>
      </c>
      <c r="Q700">
        <f>IF($A700="","",$D700&amp;"("&amp;SUBSTITUTE($E700," ","")&amp;")")</f>
        <v/>
      </c>
      <c r="R700">
        <f>IF($A700="","",$B700&amp;" - "&amp;$C700)</f>
        <v/>
      </c>
      <c r="S700">
        <f>IF($A700="","",$R700&amp;"|"&amp;$Q700)</f>
        <v/>
      </c>
      <c r="T700">
        <f>IF($A700="","",$S700&amp;"|"&amp;$F700)</f>
        <v/>
      </c>
      <c r="U700">
        <f>IF($A700="","",$R700&amp;"("&amp;$E700&amp;")")</f>
        <v/>
      </c>
      <c r="V700">
        <f>IF($A700="","",$F700&amp;"|"&amp;$U700&amp;"|"&amp;$D700)</f>
        <v/>
      </c>
      <c r="W700">
        <f>IF($T700="","",IF($X700&gt;N($X699),$X700,""))</f>
        <v/>
      </c>
      <c r="X700">
        <f>IF($T700="",N($X699),IF(MATCH($T700,$T$6:$T$6005,0)=ROW()-5,N($X699)+1,N($X699)))</f>
        <v/>
      </c>
      <c r="Z700">
        <f>IF($V700="","",IF($AA700&gt;N($AA699),$AA700,""))</f>
        <v/>
      </c>
      <c r="AA700">
        <f>IF($V700="",N($AA699),IF(MATCH($V700,$V$6:$V$6005,0)=ROW()-5,N($AA699)+1,N($AA699)))</f>
        <v/>
      </c>
    </row>
    <row r="701" ht="21" customHeight="1" s="66">
      <c r="A701" s="56" t="n"/>
      <c r="B701" s="57" t="n"/>
      <c r="C701" s="57" t="n"/>
      <c r="D701" s="57" t="n"/>
      <c r="E701" s="56" t="n"/>
      <c r="F701" s="57" t="n"/>
      <c r="G701" s="57" t="n"/>
      <c r="H701" s="56" t="n"/>
      <c r="I701" s="56" t="n"/>
      <c r="J701" s="58" t="n"/>
      <c r="K701" s="58" t="n"/>
      <c r="L701" s="13">
        <f>IF(OR($A701="",AND($J701="",$K701="")),"",ROUND(N($J701)-N($K701),2))</f>
        <v/>
      </c>
      <c r="M701" s="13">
        <f>IF(OR($A701="",AND($J701="",$K701="")),"",MIN($J701,$K701))</f>
        <v/>
      </c>
      <c r="Q701">
        <f>IF($A701="","",$D701&amp;"("&amp;SUBSTITUTE($E701," ","")&amp;")")</f>
        <v/>
      </c>
      <c r="R701">
        <f>IF($A701="","",$B701&amp;" - "&amp;$C701)</f>
        <v/>
      </c>
      <c r="S701">
        <f>IF($A701="","",$R701&amp;"|"&amp;$Q701)</f>
        <v/>
      </c>
      <c r="T701">
        <f>IF($A701="","",$S701&amp;"|"&amp;$F701)</f>
        <v/>
      </c>
      <c r="U701">
        <f>IF($A701="","",$R701&amp;"("&amp;$E701&amp;")")</f>
        <v/>
      </c>
      <c r="V701">
        <f>IF($A701="","",$F701&amp;"|"&amp;$U701&amp;"|"&amp;$D701)</f>
        <v/>
      </c>
      <c r="W701">
        <f>IF($T701="","",IF($X701&gt;N($X700),$X701,""))</f>
        <v/>
      </c>
      <c r="X701">
        <f>IF($T701="",N($X700),IF(MATCH($T701,$T$6:$T$6005,0)=ROW()-5,N($X700)+1,N($X700)))</f>
        <v/>
      </c>
      <c r="Z701">
        <f>IF($V701="","",IF($AA701&gt;N($AA700),$AA701,""))</f>
        <v/>
      </c>
      <c r="AA701">
        <f>IF($V701="",N($AA700),IF(MATCH($V701,$V$6:$V$6005,0)=ROW()-5,N($AA700)+1,N($AA700)))</f>
        <v/>
      </c>
    </row>
    <row r="702" ht="21" customHeight="1" s="66">
      <c r="A702" s="56" t="n"/>
      <c r="B702" s="57" t="n"/>
      <c r="C702" s="57" t="n"/>
      <c r="D702" s="57" t="n"/>
      <c r="E702" s="56" t="n"/>
      <c r="F702" s="57" t="n"/>
      <c r="G702" s="57" t="n"/>
      <c r="H702" s="56" t="n"/>
      <c r="I702" s="56" t="n"/>
      <c r="J702" s="58" t="n"/>
      <c r="K702" s="58" t="n"/>
      <c r="L702" s="13">
        <f>IF(OR($A702="",AND($J702="",$K702="")),"",ROUND(N($J702)-N($K702),2))</f>
        <v/>
      </c>
      <c r="M702" s="13">
        <f>IF(OR($A702="",AND($J702="",$K702="")),"",MIN($J702,$K702))</f>
        <v/>
      </c>
      <c r="Q702">
        <f>IF($A702="","",$D702&amp;"("&amp;SUBSTITUTE($E702," ","")&amp;")")</f>
        <v/>
      </c>
      <c r="R702">
        <f>IF($A702="","",$B702&amp;" - "&amp;$C702)</f>
        <v/>
      </c>
      <c r="S702">
        <f>IF($A702="","",$R702&amp;"|"&amp;$Q702)</f>
        <v/>
      </c>
      <c r="T702">
        <f>IF($A702="","",$S702&amp;"|"&amp;$F702)</f>
        <v/>
      </c>
      <c r="U702">
        <f>IF($A702="","",$R702&amp;"("&amp;$E702&amp;")")</f>
        <v/>
      </c>
      <c r="V702">
        <f>IF($A702="","",$F702&amp;"|"&amp;$U702&amp;"|"&amp;$D702)</f>
        <v/>
      </c>
      <c r="W702">
        <f>IF($T702="","",IF($X702&gt;N($X701),$X702,""))</f>
        <v/>
      </c>
      <c r="X702">
        <f>IF($T702="",N($X701),IF(MATCH($T702,$T$6:$T$6005,0)=ROW()-5,N($X701)+1,N($X701)))</f>
        <v/>
      </c>
      <c r="Z702">
        <f>IF($V702="","",IF($AA702&gt;N($AA701),$AA702,""))</f>
        <v/>
      </c>
      <c r="AA702">
        <f>IF($V702="",N($AA701),IF(MATCH($V702,$V$6:$V$6005,0)=ROW()-5,N($AA701)+1,N($AA701)))</f>
        <v/>
      </c>
    </row>
    <row r="703" ht="21" customHeight="1" s="66">
      <c r="A703" s="56" t="n"/>
      <c r="B703" s="57" t="n"/>
      <c r="C703" s="57" t="n"/>
      <c r="D703" s="57" t="n"/>
      <c r="E703" s="56" t="n"/>
      <c r="F703" s="57" t="n"/>
      <c r="G703" s="57" t="n"/>
      <c r="H703" s="56" t="n"/>
      <c r="I703" s="56" t="n"/>
      <c r="J703" s="58" t="n"/>
      <c r="K703" s="58" t="n"/>
      <c r="L703" s="13">
        <f>IF(OR($A703="",AND($J703="",$K703="")),"",ROUND(N($J703)-N($K703),2))</f>
        <v/>
      </c>
      <c r="M703" s="13">
        <f>IF(OR($A703="",AND($J703="",$K703="")),"",MIN($J703,$K703))</f>
        <v/>
      </c>
      <c r="Q703">
        <f>IF($A703="","",$D703&amp;"("&amp;SUBSTITUTE($E703," ","")&amp;")")</f>
        <v/>
      </c>
      <c r="R703">
        <f>IF($A703="","",$B703&amp;" - "&amp;$C703)</f>
        <v/>
      </c>
      <c r="S703">
        <f>IF($A703="","",$R703&amp;"|"&amp;$Q703)</f>
        <v/>
      </c>
      <c r="T703">
        <f>IF($A703="","",$S703&amp;"|"&amp;$F703)</f>
        <v/>
      </c>
      <c r="U703">
        <f>IF($A703="","",$R703&amp;"("&amp;$E703&amp;")")</f>
        <v/>
      </c>
      <c r="V703">
        <f>IF($A703="","",$F703&amp;"|"&amp;$U703&amp;"|"&amp;$D703)</f>
        <v/>
      </c>
      <c r="W703">
        <f>IF($T703="","",IF($X703&gt;N($X702),$X703,""))</f>
        <v/>
      </c>
      <c r="X703">
        <f>IF($T703="",N($X702),IF(MATCH($T703,$T$6:$T$6005,0)=ROW()-5,N($X702)+1,N($X702)))</f>
        <v/>
      </c>
      <c r="Z703">
        <f>IF($V703="","",IF($AA703&gt;N($AA702),$AA703,""))</f>
        <v/>
      </c>
      <c r="AA703">
        <f>IF($V703="",N($AA702),IF(MATCH($V703,$V$6:$V$6005,0)=ROW()-5,N($AA702)+1,N($AA702)))</f>
        <v/>
      </c>
    </row>
    <row r="704" ht="21" customHeight="1" s="66">
      <c r="A704" s="56" t="n"/>
      <c r="B704" s="57" t="n"/>
      <c r="C704" s="57" t="n"/>
      <c r="D704" s="57" t="n"/>
      <c r="E704" s="56" t="n"/>
      <c r="F704" s="57" t="n"/>
      <c r="G704" s="57" t="n"/>
      <c r="H704" s="56" t="n"/>
      <c r="I704" s="56" t="n"/>
      <c r="J704" s="58" t="n"/>
      <c r="K704" s="58" t="n"/>
      <c r="L704" s="13">
        <f>IF(OR($A704="",AND($J704="",$K704="")),"",ROUND(N($J704)-N($K704),2))</f>
        <v/>
      </c>
      <c r="M704" s="13">
        <f>IF(OR($A704="",AND($J704="",$K704="")),"",MIN($J704,$K704))</f>
        <v/>
      </c>
      <c r="Q704">
        <f>IF($A704="","",$D704&amp;"("&amp;SUBSTITUTE($E704," ","")&amp;")")</f>
        <v/>
      </c>
      <c r="R704">
        <f>IF($A704="","",$B704&amp;" - "&amp;$C704)</f>
        <v/>
      </c>
      <c r="S704">
        <f>IF($A704="","",$R704&amp;"|"&amp;$Q704)</f>
        <v/>
      </c>
      <c r="T704">
        <f>IF($A704="","",$S704&amp;"|"&amp;$F704)</f>
        <v/>
      </c>
      <c r="U704">
        <f>IF($A704="","",$R704&amp;"("&amp;$E704&amp;")")</f>
        <v/>
      </c>
      <c r="V704">
        <f>IF($A704="","",$F704&amp;"|"&amp;$U704&amp;"|"&amp;$D704)</f>
        <v/>
      </c>
      <c r="W704">
        <f>IF($T704="","",IF($X704&gt;N($X703),$X704,""))</f>
        <v/>
      </c>
      <c r="X704">
        <f>IF($T704="",N($X703),IF(MATCH($T704,$T$6:$T$6005,0)=ROW()-5,N($X703)+1,N($X703)))</f>
        <v/>
      </c>
      <c r="Z704">
        <f>IF($V704="","",IF($AA704&gt;N($AA703),$AA704,""))</f>
        <v/>
      </c>
      <c r="AA704">
        <f>IF($V704="",N($AA703),IF(MATCH($V704,$V$6:$V$6005,0)=ROW()-5,N($AA703)+1,N($AA703)))</f>
        <v/>
      </c>
    </row>
    <row r="705" ht="21" customHeight="1" s="66">
      <c r="A705" s="56" t="n"/>
      <c r="B705" s="57" t="n"/>
      <c r="C705" s="57" t="n"/>
      <c r="D705" s="57" t="n"/>
      <c r="E705" s="56" t="n"/>
      <c r="F705" s="57" t="n"/>
      <c r="G705" s="57" t="n"/>
      <c r="H705" s="56" t="n"/>
      <c r="I705" s="56" t="n"/>
      <c r="J705" s="58" t="n"/>
      <c r="K705" s="58" t="n"/>
      <c r="L705" s="13">
        <f>IF(OR($A705="",AND($J705="",$K705="")),"",ROUND(N($J705)-N($K705),2))</f>
        <v/>
      </c>
      <c r="M705" s="13">
        <f>IF(OR($A705="",AND($J705="",$K705="")),"",MIN($J705,$K705))</f>
        <v/>
      </c>
      <c r="Q705">
        <f>IF($A705="","",$D705&amp;"("&amp;SUBSTITUTE($E705," ","")&amp;")")</f>
        <v/>
      </c>
      <c r="R705">
        <f>IF($A705="","",$B705&amp;" - "&amp;$C705)</f>
        <v/>
      </c>
      <c r="S705">
        <f>IF($A705="","",$R705&amp;"|"&amp;$Q705)</f>
        <v/>
      </c>
      <c r="T705">
        <f>IF($A705="","",$S705&amp;"|"&amp;$F705)</f>
        <v/>
      </c>
      <c r="U705">
        <f>IF($A705="","",$R705&amp;"("&amp;$E705&amp;")")</f>
        <v/>
      </c>
      <c r="V705">
        <f>IF($A705="","",$F705&amp;"|"&amp;$U705&amp;"|"&amp;$D705)</f>
        <v/>
      </c>
      <c r="W705">
        <f>IF($T705="","",IF($X705&gt;N($X704),$X705,""))</f>
        <v/>
      </c>
      <c r="X705">
        <f>IF($T705="",N($X704),IF(MATCH($T705,$T$6:$T$6005,0)=ROW()-5,N($X704)+1,N($X704)))</f>
        <v/>
      </c>
      <c r="Z705">
        <f>IF($V705="","",IF($AA705&gt;N($AA704),$AA705,""))</f>
        <v/>
      </c>
      <c r="AA705">
        <f>IF($V705="",N($AA704),IF(MATCH($V705,$V$6:$V$6005,0)=ROW()-5,N($AA704)+1,N($AA704)))</f>
        <v/>
      </c>
    </row>
    <row r="706" ht="21" customHeight="1" s="66">
      <c r="A706" s="56" t="n"/>
      <c r="B706" s="57" t="n"/>
      <c r="C706" s="57" t="n"/>
      <c r="D706" s="57" t="n"/>
      <c r="E706" s="56" t="n"/>
      <c r="F706" s="57" t="n"/>
      <c r="G706" s="57" t="n"/>
      <c r="H706" s="56" t="n"/>
      <c r="I706" s="56" t="n"/>
      <c r="J706" s="58" t="n"/>
      <c r="K706" s="58" t="n"/>
      <c r="L706" s="13">
        <f>IF(OR($A706="",AND($J706="",$K706="")),"",ROUND(N($J706)-N($K706),2))</f>
        <v/>
      </c>
      <c r="M706" s="13">
        <f>IF(OR($A706="",AND($J706="",$K706="")),"",MIN($J706,$K706))</f>
        <v/>
      </c>
      <c r="Q706">
        <f>IF($A706="","",$D706&amp;"("&amp;SUBSTITUTE($E706," ","")&amp;")")</f>
        <v/>
      </c>
      <c r="R706">
        <f>IF($A706="","",$B706&amp;" - "&amp;$C706)</f>
        <v/>
      </c>
      <c r="S706">
        <f>IF($A706="","",$R706&amp;"|"&amp;$Q706)</f>
        <v/>
      </c>
      <c r="T706">
        <f>IF($A706="","",$S706&amp;"|"&amp;$F706)</f>
        <v/>
      </c>
      <c r="U706">
        <f>IF($A706="","",$R706&amp;"("&amp;$E706&amp;")")</f>
        <v/>
      </c>
      <c r="V706">
        <f>IF($A706="","",$F706&amp;"|"&amp;$U706&amp;"|"&amp;$D706)</f>
        <v/>
      </c>
      <c r="W706">
        <f>IF($T706="","",IF($X706&gt;N($X705),$X706,""))</f>
        <v/>
      </c>
      <c r="X706">
        <f>IF($T706="",N($X705),IF(MATCH($T706,$T$6:$T$6005,0)=ROW()-5,N($X705)+1,N($X705)))</f>
        <v/>
      </c>
      <c r="Z706">
        <f>IF($V706="","",IF($AA706&gt;N($AA705),$AA706,""))</f>
        <v/>
      </c>
      <c r="AA706">
        <f>IF($V706="",N($AA705),IF(MATCH($V706,$V$6:$V$6005,0)=ROW()-5,N($AA705)+1,N($AA705)))</f>
        <v/>
      </c>
    </row>
    <row r="707" ht="21" customHeight="1" s="66">
      <c r="A707" s="56" t="n"/>
      <c r="B707" s="57" t="n"/>
      <c r="C707" s="57" t="n"/>
      <c r="D707" s="57" t="n"/>
      <c r="E707" s="56" t="n"/>
      <c r="F707" s="57" t="n"/>
      <c r="G707" s="57" t="n"/>
      <c r="H707" s="56" t="n"/>
      <c r="I707" s="56" t="n"/>
      <c r="J707" s="58" t="n"/>
      <c r="K707" s="58" t="n"/>
      <c r="L707" s="13">
        <f>IF(OR($A707="",AND($J707="",$K707="")),"",ROUND(N($J707)-N($K707),2))</f>
        <v/>
      </c>
      <c r="M707" s="13">
        <f>IF(OR($A707="",AND($J707="",$K707="")),"",MIN($J707,$K707))</f>
        <v/>
      </c>
      <c r="Q707">
        <f>IF($A707="","",$D707&amp;"("&amp;SUBSTITUTE($E707," ","")&amp;")")</f>
        <v/>
      </c>
      <c r="R707">
        <f>IF($A707="","",$B707&amp;" - "&amp;$C707)</f>
        <v/>
      </c>
      <c r="S707">
        <f>IF($A707="","",$R707&amp;"|"&amp;$Q707)</f>
        <v/>
      </c>
      <c r="T707">
        <f>IF($A707="","",$S707&amp;"|"&amp;$F707)</f>
        <v/>
      </c>
      <c r="U707">
        <f>IF($A707="","",$R707&amp;"("&amp;$E707&amp;")")</f>
        <v/>
      </c>
      <c r="V707">
        <f>IF($A707="","",$F707&amp;"|"&amp;$U707&amp;"|"&amp;$D707)</f>
        <v/>
      </c>
      <c r="W707">
        <f>IF($T707="","",IF($X707&gt;N($X706),$X707,""))</f>
        <v/>
      </c>
      <c r="X707">
        <f>IF($T707="",N($X706),IF(MATCH($T707,$T$6:$T$6005,0)=ROW()-5,N($X706)+1,N($X706)))</f>
        <v/>
      </c>
      <c r="Z707">
        <f>IF($V707="","",IF($AA707&gt;N($AA706),$AA707,""))</f>
        <v/>
      </c>
      <c r="AA707">
        <f>IF($V707="",N($AA706),IF(MATCH($V707,$V$6:$V$6005,0)=ROW()-5,N($AA706)+1,N($AA706)))</f>
        <v/>
      </c>
    </row>
    <row r="708" ht="21" customHeight="1" s="66">
      <c r="A708" s="56" t="n"/>
      <c r="B708" s="57" t="n"/>
      <c r="C708" s="57" t="n"/>
      <c r="D708" s="57" t="n"/>
      <c r="E708" s="56" t="n"/>
      <c r="F708" s="57" t="n"/>
      <c r="G708" s="57" t="n"/>
      <c r="H708" s="56" t="n"/>
      <c r="I708" s="56" t="n"/>
      <c r="J708" s="58" t="n"/>
      <c r="K708" s="58" t="n"/>
      <c r="L708" s="13">
        <f>IF(OR($A708="",AND($J708="",$K708="")),"",ROUND(N($J708)-N($K708),2))</f>
        <v/>
      </c>
      <c r="M708" s="13">
        <f>IF(OR($A708="",AND($J708="",$K708="")),"",MIN($J708,$K708))</f>
        <v/>
      </c>
      <c r="Q708">
        <f>IF($A708="","",$D708&amp;"("&amp;SUBSTITUTE($E708," ","")&amp;")")</f>
        <v/>
      </c>
      <c r="R708">
        <f>IF($A708="","",$B708&amp;" - "&amp;$C708)</f>
        <v/>
      </c>
      <c r="S708">
        <f>IF($A708="","",$R708&amp;"|"&amp;$Q708)</f>
        <v/>
      </c>
      <c r="T708">
        <f>IF($A708="","",$S708&amp;"|"&amp;$F708)</f>
        <v/>
      </c>
      <c r="U708">
        <f>IF($A708="","",$R708&amp;"("&amp;$E708&amp;")")</f>
        <v/>
      </c>
      <c r="V708">
        <f>IF($A708="","",$F708&amp;"|"&amp;$U708&amp;"|"&amp;$D708)</f>
        <v/>
      </c>
      <c r="W708">
        <f>IF($T708="","",IF($X708&gt;N($X707),$X708,""))</f>
        <v/>
      </c>
      <c r="X708">
        <f>IF($T708="",N($X707),IF(MATCH($T708,$T$6:$T$6005,0)=ROW()-5,N($X707)+1,N($X707)))</f>
        <v/>
      </c>
      <c r="Z708">
        <f>IF($V708="","",IF($AA708&gt;N($AA707),$AA708,""))</f>
        <v/>
      </c>
      <c r="AA708">
        <f>IF($V708="",N($AA707),IF(MATCH($V708,$V$6:$V$6005,0)=ROW()-5,N($AA707)+1,N($AA707)))</f>
        <v/>
      </c>
    </row>
    <row r="709" ht="21" customHeight="1" s="66">
      <c r="A709" s="56" t="n"/>
      <c r="B709" s="57" t="n"/>
      <c r="C709" s="57" t="n"/>
      <c r="D709" s="57" t="n"/>
      <c r="E709" s="56" t="n"/>
      <c r="F709" s="57" t="n"/>
      <c r="G709" s="57" t="n"/>
      <c r="H709" s="56" t="n"/>
      <c r="I709" s="56" t="n"/>
      <c r="J709" s="58" t="n"/>
      <c r="K709" s="58" t="n"/>
      <c r="L709" s="13">
        <f>IF(OR($A709="",AND($J709="",$K709="")),"",ROUND(N($J709)-N($K709),2))</f>
        <v/>
      </c>
      <c r="M709" s="13">
        <f>IF(OR($A709="",AND($J709="",$K709="")),"",MIN($J709,$K709))</f>
        <v/>
      </c>
      <c r="Q709">
        <f>IF($A709="","",$D709&amp;"("&amp;SUBSTITUTE($E709," ","")&amp;")")</f>
        <v/>
      </c>
      <c r="R709">
        <f>IF($A709="","",$B709&amp;" - "&amp;$C709)</f>
        <v/>
      </c>
      <c r="S709">
        <f>IF($A709="","",$R709&amp;"|"&amp;$Q709)</f>
        <v/>
      </c>
      <c r="T709">
        <f>IF($A709="","",$S709&amp;"|"&amp;$F709)</f>
        <v/>
      </c>
      <c r="U709">
        <f>IF($A709="","",$R709&amp;"("&amp;$E709&amp;")")</f>
        <v/>
      </c>
      <c r="V709">
        <f>IF($A709="","",$F709&amp;"|"&amp;$U709&amp;"|"&amp;$D709)</f>
        <v/>
      </c>
      <c r="W709">
        <f>IF($T709="","",IF($X709&gt;N($X708),$X709,""))</f>
        <v/>
      </c>
      <c r="X709">
        <f>IF($T709="",N($X708),IF(MATCH($T709,$T$6:$T$6005,0)=ROW()-5,N($X708)+1,N($X708)))</f>
        <v/>
      </c>
      <c r="Z709">
        <f>IF($V709="","",IF($AA709&gt;N($AA708),$AA709,""))</f>
        <v/>
      </c>
      <c r="AA709">
        <f>IF($V709="",N($AA708),IF(MATCH($V709,$V$6:$V$6005,0)=ROW()-5,N($AA708)+1,N($AA708)))</f>
        <v/>
      </c>
    </row>
    <row r="710" ht="21" customHeight="1" s="66">
      <c r="A710" s="56" t="n"/>
      <c r="B710" s="57" t="n"/>
      <c r="C710" s="57" t="n"/>
      <c r="D710" s="57" t="n"/>
      <c r="E710" s="56" t="n"/>
      <c r="F710" s="57" t="n"/>
      <c r="G710" s="57" t="n"/>
      <c r="H710" s="56" t="n"/>
      <c r="I710" s="56" t="n"/>
      <c r="J710" s="58" t="n"/>
      <c r="K710" s="58" t="n"/>
      <c r="L710" s="13">
        <f>IF(OR($A710="",AND($J710="",$K710="")),"",ROUND(N($J710)-N($K710),2))</f>
        <v/>
      </c>
      <c r="M710" s="13">
        <f>IF(OR($A710="",AND($J710="",$K710="")),"",MIN($J710,$K710))</f>
        <v/>
      </c>
      <c r="Q710">
        <f>IF($A710="","",$D710&amp;"("&amp;SUBSTITUTE($E710," ","")&amp;")")</f>
        <v/>
      </c>
      <c r="R710">
        <f>IF($A710="","",$B710&amp;" - "&amp;$C710)</f>
        <v/>
      </c>
      <c r="S710">
        <f>IF($A710="","",$R710&amp;"|"&amp;$Q710)</f>
        <v/>
      </c>
      <c r="T710">
        <f>IF($A710="","",$S710&amp;"|"&amp;$F710)</f>
        <v/>
      </c>
      <c r="U710">
        <f>IF($A710="","",$R710&amp;"("&amp;$E710&amp;")")</f>
        <v/>
      </c>
      <c r="V710">
        <f>IF($A710="","",$F710&amp;"|"&amp;$U710&amp;"|"&amp;$D710)</f>
        <v/>
      </c>
      <c r="W710">
        <f>IF($T710="","",IF($X710&gt;N($X709),$X710,""))</f>
        <v/>
      </c>
      <c r="X710">
        <f>IF($T710="",N($X709),IF(MATCH($T710,$T$6:$T$6005,0)=ROW()-5,N($X709)+1,N($X709)))</f>
        <v/>
      </c>
      <c r="Z710">
        <f>IF($V710="","",IF($AA710&gt;N($AA709),$AA710,""))</f>
        <v/>
      </c>
      <c r="AA710">
        <f>IF($V710="",N($AA709),IF(MATCH($V710,$V$6:$V$6005,0)=ROW()-5,N($AA709)+1,N($AA709)))</f>
        <v/>
      </c>
    </row>
    <row r="711" ht="21" customHeight="1" s="66">
      <c r="A711" s="56" t="n"/>
      <c r="B711" s="57" t="n"/>
      <c r="C711" s="57" t="n"/>
      <c r="D711" s="57" t="n"/>
      <c r="E711" s="56" t="n"/>
      <c r="F711" s="57" t="n"/>
      <c r="G711" s="57" t="n"/>
      <c r="H711" s="56" t="n"/>
      <c r="I711" s="56" t="n"/>
      <c r="J711" s="58" t="n"/>
      <c r="K711" s="58" t="n"/>
      <c r="L711" s="13">
        <f>IF(OR($A711="",AND($J711="",$K711="")),"",ROUND(N($J711)-N($K711),2))</f>
        <v/>
      </c>
      <c r="M711" s="13">
        <f>IF(OR($A711="",AND($J711="",$K711="")),"",MIN($J711,$K711))</f>
        <v/>
      </c>
      <c r="Q711">
        <f>IF($A711="","",$D711&amp;"("&amp;SUBSTITUTE($E711," ","")&amp;")")</f>
        <v/>
      </c>
      <c r="R711">
        <f>IF($A711="","",$B711&amp;" - "&amp;$C711)</f>
        <v/>
      </c>
      <c r="S711">
        <f>IF($A711="","",$R711&amp;"|"&amp;$Q711)</f>
        <v/>
      </c>
      <c r="T711">
        <f>IF($A711="","",$S711&amp;"|"&amp;$F711)</f>
        <v/>
      </c>
      <c r="U711">
        <f>IF($A711="","",$R711&amp;"("&amp;$E711&amp;")")</f>
        <v/>
      </c>
      <c r="V711">
        <f>IF($A711="","",$F711&amp;"|"&amp;$U711&amp;"|"&amp;$D711)</f>
        <v/>
      </c>
      <c r="W711">
        <f>IF($T711="","",IF($X711&gt;N($X710),$X711,""))</f>
        <v/>
      </c>
      <c r="X711">
        <f>IF($T711="",N($X710),IF(MATCH($T711,$T$6:$T$6005,0)=ROW()-5,N($X710)+1,N($X710)))</f>
        <v/>
      </c>
      <c r="Z711">
        <f>IF($V711="","",IF($AA711&gt;N($AA710),$AA711,""))</f>
        <v/>
      </c>
      <c r="AA711">
        <f>IF($V711="",N($AA710),IF(MATCH($V711,$V$6:$V$6005,0)=ROW()-5,N($AA710)+1,N($AA710)))</f>
        <v/>
      </c>
    </row>
    <row r="712" ht="21" customHeight="1" s="66">
      <c r="A712" s="56" t="n"/>
      <c r="B712" s="57" t="n"/>
      <c r="C712" s="57" t="n"/>
      <c r="D712" s="57" t="n"/>
      <c r="E712" s="56" t="n"/>
      <c r="F712" s="57" t="n"/>
      <c r="G712" s="57" t="n"/>
      <c r="H712" s="56" t="n"/>
      <c r="I712" s="56" t="n"/>
      <c r="J712" s="58" t="n"/>
      <c r="K712" s="58" t="n"/>
      <c r="L712" s="13">
        <f>IF(OR($A712="",AND($J712="",$K712="")),"",ROUND(N($J712)-N($K712),2))</f>
        <v/>
      </c>
      <c r="M712" s="13">
        <f>IF(OR($A712="",AND($J712="",$K712="")),"",MIN($J712,$K712))</f>
        <v/>
      </c>
      <c r="Q712">
        <f>IF($A712="","",$D712&amp;"("&amp;SUBSTITUTE($E712," ","")&amp;")")</f>
        <v/>
      </c>
      <c r="R712">
        <f>IF($A712="","",$B712&amp;" - "&amp;$C712)</f>
        <v/>
      </c>
      <c r="S712">
        <f>IF($A712="","",$R712&amp;"|"&amp;$Q712)</f>
        <v/>
      </c>
      <c r="T712">
        <f>IF($A712="","",$S712&amp;"|"&amp;$F712)</f>
        <v/>
      </c>
      <c r="U712">
        <f>IF($A712="","",$R712&amp;"("&amp;$E712&amp;")")</f>
        <v/>
      </c>
      <c r="V712">
        <f>IF($A712="","",$F712&amp;"|"&amp;$U712&amp;"|"&amp;$D712)</f>
        <v/>
      </c>
      <c r="W712">
        <f>IF($T712="","",IF($X712&gt;N($X711),$X712,""))</f>
        <v/>
      </c>
      <c r="X712">
        <f>IF($T712="",N($X711),IF(MATCH($T712,$T$6:$T$6005,0)=ROW()-5,N($X711)+1,N($X711)))</f>
        <v/>
      </c>
      <c r="Z712">
        <f>IF($V712="","",IF($AA712&gt;N($AA711),$AA712,""))</f>
        <v/>
      </c>
      <c r="AA712">
        <f>IF($V712="",N($AA711),IF(MATCH($V712,$V$6:$V$6005,0)=ROW()-5,N($AA711)+1,N($AA711)))</f>
        <v/>
      </c>
    </row>
    <row r="713" ht="21" customHeight="1" s="66">
      <c r="A713" s="56" t="n"/>
      <c r="B713" s="57" t="n"/>
      <c r="C713" s="57" t="n"/>
      <c r="D713" s="57" t="n"/>
      <c r="E713" s="56" t="n"/>
      <c r="F713" s="57" t="n"/>
      <c r="G713" s="57" t="n"/>
      <c r="H713" s="56" t="n"/>
      <c r="I713" s="56" t="n"/>
      <c r="J713" s="58" t="n"/>
      <c r="K713" s="58" t="n"/>
      <c r="L713" s="13">
        <f>IF(OR($A713="",AND($J713="",$K713="")),"",ROUND(N($J713)-N($K713),2))</f>
        <v/>
      </c>
      <c r="M713" s="13">
        <f>IF(OR($A713="",AND($J713="",$K713="")),"",MIN($J713,$K713))</f>
        <v/>
      </c>
      <c r="Q713">
        <f>IF($A713="","",$D713&amp;"("&amp;SUBSTITUTE($E713," ","")&amp;")")</f>
        <v/>
      </c>
      <c r="R713">
        <f>IF($A713="","",$B713&amp;" - "&amp;$C713)</f>
        <v/>
      </c>
      <c r="S713">
        <f>IF($A713="","",$R713&amp;"|"&amp;$Q713)</f>
        <v/>
      </c>
      <c r="T713">
        <f>IF($A713="","",$S713&amp;"|"&amp;$F713)</f>
        <v/>
      </c>
      <c r="U713">
        <f>IF($A713="","",$R713&amp;"("&amp;$E713&amp;")")</f>
        <v/>
      </c>
      <c r="V713">
        <f>IF($A713="","",$F713&amp;"|"&amp;$U713&amp;"|"&amp;$D713)</f>
        <v/>
      </c>
      <c r="W713">
        <f>IF($T713="","",IF($X713&gt;N($X712),$X713,""))</f>
        <v/>
      </c>
      <c r="X713">
        <f>IF($T713="",N($X712),IF(MATCH($T713,$T$6:$T$6005,0)=ROW()-5,N($X712)+1,N($X712)))</f>
        <v/>
      </c>
      <c r="Z713">
        <f>IF($V713="","",IF($AA713&gt;N($AA712),$AA713,""))</f>
        <v/>
      </c>
      <c r="AA713">
        <f>IF($V713="",N($AA712),IF(MATCH($V713,$V$6:$V$6005,0)=ROW()-5,N($AA712)+1,N($AA712)))</f>
        <v/>
      </c>
    </row>
    <row r="714" ht="21" customHeight="1" s="66">
      <c r="A714" s="56" t="n"/>
      <c r="B714" s="57" t="n"/>
      <c r="C714" s="57" t="n"/>
      <c r="D714" s="57" t="n"/>
      <c r="E714" s="56" t="n"/>
      <c r="F714" s="57" t="n"/>
      <c r="G714" s="57" t="n"/>
      <c r="H714" s="56" t="n"/>
      <c r="I714" s="56" t="n"/>
      <c r="J714" s="58" t="n"/>
      <c r="K714" s="58" t="n"/>
      <c r="L714" s="13">
        <f>IF(OR($A714="",AND($J714="",$K714="")),"",ROUND(N($J714)-N($K714),2))</f>
        <v/>
      </c>
      <c r="M714" s="13">
        <f>IF(OR($A714="",AND($J714="",$K714="")),"",MIN($J714,$K714))</f>
        <v/>
      </c>
      <c r="Q714">
        <f>IF($A714="","",$D714&amp;"("&amp;SUBSTITUTE($E714," ","")&amp;")")</f>
        <v/>
      </c>
      <c r="R714">
        <f>IF($A714="","",$B714&amp;" - "&amp;$C714)</f>
        <v/>
      </c>
      <c r="S714">
        <f>IF($A714="","",$R714&amp;"|"&amp;$Q714)</f>
        <v/>
      </c>
      <c r="T714">
        <f>IF($A714="","",$S714&amp;"|"&amp;$F714)</f>
        <v/>
      </c>
      <c r="U714">
        <f>IF($A714="","",$R714&amp;"("&amp;$E714&amp;")")</f>
        <v/>
      </c>
      <c r="V714">
        <f>IF($A714="","",$F714&amp;"|"&amp;$U714&amp;"|"&amp;$D714)</f>
        <v/>
      </c>
      <c r="W714">
        <f>IF($T714="","",IF($X714&gt;N($X713),$X714,""))</f>
        <v/>
      </c>
      <c r="X714">
        <f>IF($T714="",N($X713),IF(MATCH($T714,$T$6:$T$6005,0)=ROW()-5,N($X713)+1,N($X713)))</f>
        <v/>
      </c>
      <c r="Z714">
        <f>IF($V714="","",IF($AA714&gt;N($AA713),$AA714,""))</f>
        <v/>
      </c>
      <c r="AA714">
        <f>IF($V714="",N($AA713),IF(MATCH($V714,$V$6:$V$6005,0)=ROW()-5,N($AA713)+1,N($AA713)))</f>
        <v/>
      </c>
    </row>
    <row r="715" ht="21" customHeight="1" s="66">
      <c r="A715" s="56" t="n"/>
      <c r="B715" s="57" t="n"/>
      <c r="C715" s="57" t="n"/>
      <c r="D715" s="57" t="n"/>
      <c r="E715" s="56" t="n"/>
      <c r="F715" s="57" t="n"/>
      <c r="G715" s="57" t="n"/>
      <c r="H715" s="56" t="n"/>
      <c r="I715" s="56" t="n"/>
      <c r="J715" s="58" t="n"/>
      <c r="K715" s="58" t="n"/>
      <c r="L715" s="13">
        <f>IF(OR($A715="",AND($J715="",$K715="")),"",ROUND(N($J715)-N($K715),2))</f>
        <v/>
      </c>
      <c r="M715" s="13">
        <f>IF(OR($A715="",AND($J715="",$K715="")),"",MIN($J715,$K715))</f>
        <v/>
      </c>
      <c r="Q715">
        <f>IF($A715="","",$D715&amp;"("&amp;SUBSTITUTE($E715," ","")&amp;")")</f>
        <v/>
      </c>
      <c r="R715">
        <f>IF($A715="","",$B715&amp;" - "&amp;$C715)</f>
        <v/>
      </c>
      <c r="S715">
        <f>IF($A715="","",$R715&amp;"|"&amp;$Q715)</f>
        <v/>
      </c>
      <c r="T715">
        <f>IF($A715="","",$S715&amp;"|"&amp;$F715)</f>
        <v/>
      </c>
      <c r="U715">
        <f>IF($A715="","",$R715&amp;"("&amp;$E715&amp;")")</f>
        <v/>
      </c>
      <c r="V715">
        <f>IF($A715="","",$F715&amp;"|"&amp;$U715&amp;"|"&amp;$D715)</f>
        <v/>
      </c>
      <c r="W715">
        <f>IF($T715="","",IF($X715&gt;N($X714),$X715,""))</f>
        <v/>
      </c>
      <c r="X715">
        <f>IF($T715="",N($X714),IF(MATCH($T715,$T$6:$T$6005,0)=ROW()-5,N($X714)+1,N($X714)))</f>
        <v/>
      </c>
      <c r="Z715">
        <f>IF($V715="","",IF($AA715&gt;N($AA714),$AA715,""))</f>
        <v/>
      </c>
      <c r="AA715">
        <f>IF($V715="",N($AA714),IF(MATCH($V715,$V$6:$V$6005,0)=ROW()-5,N($AA714)+1,N($AA714)))</f>
        <v/>
      </c>
    </row>
    <row r="716" ht="21" customHeight="1" s="66">
      <c r="A716" s="56" t="n"/>
      <c r="B716" s="57" t="n"/>
      <c r="C716" s="57" t="n"/>
      <c r="D716" s="57" t="n"/>
      <c r="E716" s="56" t="n"/>
      <c r="F716" s="57" t="n"/>
      <c r="G716" s="57" t="n"/>
      <c r="H716" s="56" t="n"/>
      <c r="I716" s="56" t="n"/>
      <c r="J716" s="58" t="n"/>
      <c r="K716" s="58" t="n"/>
      <c r="L716" s="13">
        <f>IF(OR($A716="",AND($J716="",$K716="")),"",ROUND(N($J716)-N($K716),2))</f>
        <v/>
      </c>
      <c r="M716" s="13">
        <f>IF(OR($A716="",AND($J716="",$K716="")),"",MIN($J716,$K716))</f>
        <v/>
      </c>
      <c r="Q716">
        <f>IF($A716="","",$D716&amp;"("&amp;SUBSTITUTE($E716," ","")&amp;")")</f>
        <v/>
      </c>
      <c r="R716">
        <f>IF($A716="","",$B716&amp;" - "&amp;$C716)</f>
        <v/>
      </c>
      <c r="S716">
        <f>IF($A716="","",$R716&amp;"|"&amp;$Q716)</f>
        <v/>
      </c>
      <c r="T716">
        <f>IF($A716="","",$S716&amp;"|"&amp;$F716)</f>
        <v/>
      </c>
      <c r="U716">
        <f>IF($A716="","",$R716&amp;"("&amp;$E716&amp;")")</f>
        <v/>
      </c>
      <c r="V716">
        <f>IF($A716="","",$F716&amp;"|"&amp;$U716&amp;"|"&amp;$D716)</f>
        <v/>
      </c>
      <c r="W716">
        <f>IF($T716="","",IF($X716&gt;N($X715),$X716,""))</f>
        <v/>
      </c>
      <c r="X716">
        <f>IF($T716="",N($X715),IF(MATCH($T716,$T$6:$T$6005,0)=ROW()-5,N($X715)+1,N($X715)))</f>
        <v/>
      </c>
      <c r="Z716">
        <f>IF($V716="","",IF($AA716&gt;N($AA715),$AA716,""))</f>
        <v/>
      </c>
      <c r="AA716">
        <f>IF($V716="",N($AA715),IF(MATCH($V716,$V$6:$V$6005,0)=ROW()-5,N($AA715)+1,N($AA715)))</f>
        <v/>
      </c>
    </row>
    <row r="717" ht="21" customHeight="1" s="66">
      <c r="A717" s="56" t="n"/>
      <c r="B717" s="57" t="n"/>
      <c r="C717" s="57" t="n"/>
      <c r="D717" s="57" t="n"/>
      <c r="E717" s="56" t="n"/>
      <c r="F717" s="57" t="n"/>
      <c r="G717" s="57" t="n"/>
      <c r="H717" s="56" t="n"/>
      <c r="I717" s="56" t="n"/>
      <c r="J717" s="58" t="n"/>
      <c r="K717" s="58" t="n"/>
      <c r="L717" s="13">
        <f>IF(OR($A717="",AND($J717="",$K717="")),"",ROUND(N($J717)-N($K717),2))</f>
        <v/>
      </c>
      <c r="M717" s="13">
        <f>IF(OR($A717="",AND($J717="",$K717="")),"",MIN($J717,$K717))</f>
        <v/>
      </c>
      <c r="Q717">
        <f>IF($A717="","",$D717&amp;"("&amp;SUBSTITUTE($E717," ","")&amp;")")</f>
        <v/>
      </c>
      <c r="R717">
        <f>IF($A717="","",$B717&amp;" - "&amp;$C717)</f>
        <v/>
      </c>
      <c r="S717">
        <f>IF($A717="","",$R717&amp;"|"&amp;$Q717)</f>
        <v/>
      </c>
      <c r="T717">
        <f>IF($A717="","",$S717&amp;"|"&amp;$F717)</f>
        <v/>
      </c>
      <c r="U717">
        <f>IF($A717="","",$R717&amp;"("&amp;$E717&amp;")")</f>
        <v/>
      </c>
      <c r="V717">
        <f>IF($A717="","",$F717&amp;"|"&amp;$U717&amp;"|"&amp;$D717)</f>
        <v/>
      </c>
      <c r="W717">
        <f>IF($T717="","",IF($X717&gt;N($X716),$X717,""))</f>
        <v/>
      </c>
      <c r="X717">
        <f>IF($T717="",N($X716),IF(MATCH($T717,$T$6:$T$6005,0)=ROW()-5,N($X716)+1,N($X716)))</f>
        <v/>
      </c>
      <c r="Z717">
        <f>IF($V717="","",IF($AA717&gt;N($AA716),$AA717,""))</f>
        <v/>
      </c>
      <c r="AA717">
        <f>IF($V717="",N($AA716),IF(MATCH($V717,$V$6:$V$6005,0)=ROW()-5,N($AA716)+1,N($AA716)))</f>
        <v/>
      </c>
    </row>
    <row r="718" ht="21" customHeight="1" s="66">
      <c r="A718" s="56" t="n"/>
      <c r="B718" s="57" t="n"/>
      <c r="C718" s="57" t="n"/>
      <c r="D718" s="57" t="n"/>
      <c r="E718" s="56" t="n"/>
      <c r="F718" s="57" t="n"/>
      <c r="G718" s="57" t="n"/>
      <c r="H718" s="56" t="n"/>
      <c r="I718" s="56" t="n"/>
      <c r="J718" s="58" t="n"/>
      <c r="K718" s="58" t="n"/>
      <c r="L718" s="13">
        <f>IF(OR($A718="",AND($J718="",$K718="")),"",ROUND(N($J718)-N($K718),2))</f>
        <v/>
      </c>
      <c r="M718" s="13">
        <f>IF(OR($A718="",AND($J718="",$K718="")),"",MIN($J718,$K718))</f>
        <v/>
      </c>
      <c r="Q718">
        <f>IF($A718="","",$D718&amp;"("&amp;SUBSTITUTE($E718," ","")&amp;")")</f>
        <v/>
      </c>
      <c r="R718">
        <f>IF($A718="","",$B718&amp;" - "&amp;$C718)</f>
        <v/>
      </c>
      <c r="S718">
        <f>IF($A718="","",$R718&amp;"|"&amp;$Q718)</f>
        <v/>
      </c>
      <c r="T718">
        <f>IF($A718="","",$S718&amp;"|"&amp;$F718)</f>
        <v/>
      </c>
      <c r="U718">
        <f>IF($A718="","",$R718&amp;"("&amp;$E718&amp;")")</f>
        <v/>
      </c>
      <c r="V718">
        <f>IF($A718="","",$F718&amp;"|"&amp;$U718&amp;"|"&amp;$D718)</f>
        <v/>
      </c>
      <c r="W718">
        <f>IF($T718="","",IF($X718&gt;N($X717),$X718,""))</f>
        <v/>
      </c>
      <c r="X718">
        <f>IF($T718="",N($X717),IF(MATCH($T718,$T$6:$T$6005,0)=ROW()-5,N($X717)+1,N($X717)))</f>
        <v/>
      </c>
      <c r="Z718">
        <f>IF($V718="","",IF($AA718&gt;N($AA717),$AA718,""))</f>
        <v/>
      </c>
      <c r="AA718">
        <f>IF($V718="",N($AA717),IF(MATCH($V718,$V$6:$V$6005,0)=ROW()-5,N($AA717)+1,N($AA717)))</f>
        <v/>
      </c>
    </row>
    <row r="719" ht="21" customHeight="1" s="66">
      <c r="A719" s="56" t="n"/>
      <c r="B719" s="57" t="n"/>
      <c r="C719" s="57" t="n"/>
      <c r="D719" s="57" t="n"/>
      <c r="E719" s="56" t="n"/>
      <c r="F719" s="57" t="n"/>
      <c r="G719" s="57" t="n"/>
      <c r="H719" s="56" t="n"/>
      <c r="I719" s="56" t="n"/>
      <c r="J719" s="58" t="n"/>
      <c r="K719" s="58" t="n"/>
      <c r="L719" s="13">
        <f>IF(OR($A719="",AND($J719="",$K719="")),"",ROUND(N($J719)-N($K719),2))</f>
        <v/>
      </c>
      <c r="M719" s="13">
        <f>IF(OR($A719="",AND($J719="",$K719="")),"",MIN($J719,$K719))</f>
        <v/>
      </c>
      <c r="Q719">
        <f>IF($A719="","",$D719&amp;"("&amp;SUBSTITUTE($E719," ","")&amp;")")</f>
        <v/>
      </c>
      <c r="R719">
        <f>IF($A719="","",$B719&amp;" - "&amp;$C719)</f>
        <v/>
      </c>
      <c r="S719">
        <f>IF($A719="","",$R719&amp;"|"&amp;$Q719)</f>
        <v/>
      </c>
      <c r="T719">
        <f>IF($A719="","",$S719&amp;"|"&amp;$F719)</f>
        <v/>
      </c>
      <c r="U719">
        <f>IF($A719="","",$R719&amp;"("&amp;$E719&amp;")")</f>
        <v/>
      </c>
      <c r="V719">
        <f>IF($A719="","",$F719&amp;"|"&amp;$U719&amp;"|"&amp;$D719)</f>
        <v/>
      </c>
      <c r="W719">
        <f>IF($T719="","",IF($X719&gt;N($X718),$X719,""))</f>
        <v/>
      </c>
      <c r="X719">
        <f>IF($T719="",N($X718),IF(MATCH($T719,$T$6:$T$6005,0)=ROW()-5,N($X718)+1,N($X718)))</f>
        <v/>
      </c>
      <c r="Z719">
        <f>IF($V719="","",IF($AA719&gt;N($AA718),$AA719,""))</f>
        <v/>
      </c>
      <c r="AA719">
        <f>IF($V719="",N($AA718),IF(MATCH($V719,$V$6:$V$6005,0)=ROW()-5,N($AA718)+1,N($AA718)))</f>
        <v/>
      </c>
    </row>
    <row r="720" ht="21" customHeight="1" s="66">
      <c r="A720" s="56" t="n"/>
      <c r="B720" s="57" t="n"/>
      <c r="C720" s="57" t="n"/>
      <c r="D720" s="57" t="n"/>
      <c r="E720" s="56" t="n"/>
      <c r="F720" s="57" t="n"/>
      <c r="G720" s="57" t="n"/>
      <c r="H720" s="56" t="n"/>
      <c r="I720" s="56" t="n"/>
      <c r="J720" s="58" t="n"/>
      <c r="K720" s="58" t="n"/>
      <c r="L720" s="13">
        <f>IF(OR($A720="",AND($J720="",$K720="")),"",ROUND(N($J720)-N($K720),2))</f>
        <v/>
      </c>
      <c r="M720" s="13">
        <f>IF(OR($A720="",AND($J720="",$K720="")),"",MIN($J720,$K720))</f>
        <v/>
      </c>
      <c r="Q720">
        <f>IF($A720="","",$D720&amp;"("&amp;SUBSTITUTE($E720," ","")&amp;")")</f>
        <v/>
      </c>
      <c r="R720">
        <f>IF($A720="","",$B720&amp;" - "&amp;$C720)</f>
        <v/>
      </c>
      <c r="S720">
        <f>IF($A720="","",$R720&amp;"|"&amp;$Q720)</f>
        <v/>
      </c>
      <c r="T720">
        <f>IF($A720="","",$S720&amp;"|"&amp;$F720)</f>
        <v/>
      </c>
      <c r="U720">
        <f>IF($A720="","",$R720&amp;"("&amp;$E720&amp;")")</f>
        <v/>
      </c>
      <c r="V720">
        <f>IF($A720="","",$F720&amp;"|"&amp;$U720&amp;"|"&amp;$D720)</f>
        <v/>
      </c>
      <c r="W720">
        <f>IF($T720="","",IF($X720&gt;N($X719),$X720,""))</f>
        <v/>
      </c>
      <c r="X720">
        <f>IF($T720="",N($X719),IF(MATCH($T720,$T$6:$T$6005,0)=ROW()-5,N($X719)+1,N($X719)))</f>
        <v/>
      </c>
      <c r="Z720">
        <f>IF($V720="","",IF($AA720&gt;N($AA719),$AA720,""))</f>
        <v/>
      </c>
      <c r="AA720">
        <f>IF($V720="",N($AA719),IF(MATCH($V720,$V$6:$V$6005,0)=ROW()-5,N($AA719)+1,N($AA719)))</f>
        <v/>
      </c>
    </row>
    <row r="721" ht="21" customHeight="1" s="66">
      <c r="A721" s="56" t="n"/>
      <c r="B721" s="57" t="n"/>
      <c r="C721" s="57" t="n"/>
      <c r="D721" s="57" t="n"/>
      <c r="E721" s="56" t="n"/>
      <c r="F721" s="57" t="n"/>
      <c r="G721" s="57" t="n"/>
      <c r="H721" s="56" t="n"/>
      <c r="I721" s="56" t="n"/>
      <c r="J721" s="58" t="n"/>
      <c r="K721" s="58" t="n"/>
      <c r="L721" s="13">
        <f>IF(OR($A721="",AND($J721="",$K721="")),"",ROUND(N($J721)-N($K721),2))</f>
        <v/>
      </c>
      <c r="M721" s="13">
        <f>IF(OR($A721="",AND($J721="",$K721="")),"",MIN($J721,$K721))</f>
        <v/>
      </c>
      <c r="Q721">
        <f>IF($A721="","",$D721&amp;"("&amp;SUBSTITUTE($E721," ","")&amp;")")</f>
        <v/>
      </c>
      <c r="R721">
        <f>IF($A721="","",$B721&amp;" - "&amp;$C721)</f>
        <v/>
      </c>
      <c r="S721">
        <f>IF($A721="","",$R721&amp;"|"&amp;$Q721)</f>
        <v/>
      </c>
      <c r="T721">
        <f>IF($A721="","",$S721&amp;"|"&amp;$F721)</f>
        <v/>
      </c>
      <c r="U721">
        <f>IF($A721="","",$R721&amp;"("&amp;$E721&amp;")")</f>
        <v/>
      </c>
      <c r="V721">
        <f>IF($A721="","",$F721&amp;"|"&amp;$U721&amp;"|"&amp;$D721)</f>
        <v/>
      </c>
      <c r="W721">
        <f>IF($T721="","",IF($X721&gt;N($X720),$X721,""))</f>
        <v/>
      </c>
      <c r="X721">
        <f>IF($T721="",N($X720),IF(MATCH($T721,$T$6:$T$6005,0)=ROW()-5,N($X720)+1,N($X720)))</f>
        <v/>
      </c>
      <c r="Z721">
        <f>IF($V721="","",IF($AA721&gt;N($AA720),$AA721,""))</f>
        <v/>
      </c>
      <c r="AA721">
        <f>IF($V721="",N($AA720),IF(MATCH($V721,$V$6:$V$6005,0)=ROW()-5,N($AA720)+1,N($AA720)))</f>
        <v/>
      </c>
    </row>
    <row r="722" ht="21" customHeight="1" s="66">
      <c r="A722" s="56" t="n"/>
      <c r="B722" s="57" t="n"/>
      <c r="C722" s="57" t="n"/>
      <c r="D722" s="57" t="n"/>
      <c r="E722" s="56" t="n"/>
      <c r="F722" s="57" t="n"/>
      <c r="G722" s="57" t="n"/>
      <c r="H722" s="56" t="n"/>
      <c r="I722" s="56" t="n"/>
      <c r="J722" s="58" t="n"/>
      <c r="K722" s="58" t="n"/>
      <c r="L722" s="13">
        <f>IF(OR($A722="",AND($J722="",$K722="")),"",ROUND(N($J722)-N($K722),2))</f>
        <v/>
      </c>
      <c r="M722" s="13">
        <f>IF(OR($A722="",AND($J722="",$K722="")),"",MIN($J722,$K722))</f>
        <v/>
      </c>
      <c r="Q722">
        <f>IF($A722="","",$D722&amp;"("&amp;SUBSTITUTE($E722," ","")&amp;")")</f>
        <v/>
      </c>
      <c r="R722">
        <f>IF($A722="","",$B722&amp;" - "&amp;$C722)</f>
        <v/>
      </c>
      <c r="S722">
        <f>IF($A722="","",$R722&amp;"|"&amp;$Q722)</f>
        <v/>
      </c>
      <c r="T722">
        <f>IF($A722="","",$S722&amp;"|"&amp;$F722)</f>
        <v/>
      </c>
      <c r="U722">
        <f>IF($A722="","",$R722&amp;"("&amp;$E722&amp;")")</f>
        <v/>
      </c>
      <c r="V722">
        <f>IF($A722="","",$F722&amp;"|"&amp;$U722&amp;"|"&amp;$D722)</f>
        <v/>
      </c>
      <c r="W722">
        <f>IF($T722="","",IF($X722&gt;N($X721),$X722,""))</f>
        <v/>
      </c>
      <c r="X722">
        <f>IF($T722="",N($X721),IF(MATCH($T722,$T$6:$T$6005,0)=ROW()-5,N($X721)+1,N($X721)))</f>
        <v/>
      </c>
      <c r="Z722">
        <f>IF($V722="","",IF($AA722&gt;N($AA721),$AA722,""))</f>
        <v/>
      </c>
      <c r="AA722">
        <f>IF($V722="",N($AA721),IF(MATCH($V722,$V$6:$V$6005,0)=ROW()-5,N($AA721)+1,N($AA721)))</f>
        <v/>
      </c>
    </row>
    <row r="723" ht="21" customHeight="1" s="66">
      <c r="A723" s="56" t="n"/>
      <c r="B723" s="57" t="n"/>
      <c r="C723" s="57" t="n"/>
      <c r="D723" s="57" t="n"/>
      <c r="E723" s="56" t="n"/>
      <c r="F723" s="57" t="n"/>
      <c r="G723" s="57" t="n"/>
      <c r="H723" s="56" t="n"/>
      <c r="I723" s="56" t="n"/>
      <c r="J723" s="58" t="n"/>
      <c r="K723" s="58" t="n"/>
      <c r="L723" s="13">
        <f>IF(OR($A723="",AND($J723="",$K723="")),"",ROUND(N($J723)-N($K723),2))</f>
        <v/>
      </c>
      <c r="M723" s="13">
        <f>IF(OR($A723="",AND($J723="",$K723="")),"",MIN($J723,$K723))</f>
        <v/>
      </c>
      <c r="Q723">
        <f>IF($A723="","",$D723&amp;"("&amp;SUBSTITUTE($E723," ","")&amp;")")</f>
        <v/>
      </c>
      <c r="R723">
        <f>IF($A723="","",$B723&amp;" - "&amp;$C723)</f>
        <v/>
      </c>
      <c r="S723">
        <f>IF($A723="","",$R723&amp;"|"&amp;$Q723)</f>
        <v/>
      </c>
      <c r="T723">
        <f>IF($A723="","",$S723&amp;"|"&amp;$F723)</f>
        <v/>
      </c>
      <c r="U723">
        <f>IF($A723="","",$R723&amp;"("&amp;$E723&amp;")")</f>
        <v/>
      </c>
      <c r="V723">
        <f>IF($A723="","",$F723&amp;"|"&amp;$U723&amp;"|"&amp;$D723)</f>
        <v/>
      </c>
      <c r="W723">
        <f>IF($T723="","",IF($X723&gt;N($X722),$X723,""))</f>
        <v/>
      </c>
      <c r="X723">
        <f>IF($T723="",N($X722),IF(MATCH($T723,$T$6:$T$6005,0)=ROW()-5,N($X722)+1,N($X722)))</f>
        <v/>
      </c>
      <c r="Z723">
        <f>IF($V723="","",IF($AA723&gt;N($AA722),$AA723,""))</f>
        <v/>
      </c>
      <c r="AA723">
        <f>IF($V723="",N($AA722),IF(MATCH($V723,$V$6:$V$6005,0)=ROW()-5,N($AA722)+1,N($AA722)))</f>
        <v/>
      </c>
    </row>
    <row r="724" ht="21" customHeight="1" s="66">
      <c r="A724" s="56" t="n"/>
      <c r="B724" s="57" t="n"/>
      <c r="C724" s="57" t="n"/>
      <c r="D724" s="57" t="n"/>
      <c r="E724" s="56" t="n"/>
      <c r="F724" s="57" t="n"/>
      <c r="G724" s="57" t="n"/>
      <c r="H724" s="56" t="n"/>
      <c r="I724" s="56" t="n"/>
      <c r="J724" s="58" t="n"/>
      <c r="K724" s="58" t="n"/>
      <c r="L724" s="13">
        <f>IF(OR($A724="",AND($J724="",$K724="")),"",ROUND(N($J724)-N($K724),2))</f>
        <v/>
      </c>
      <c r="M724" s="13">
        <f>IF(OR($A724="",AND($J724="",$K724="")),"",MIN($J724,$K724))</f>
        <v/>
      </c>
      <c r="Q724">
        <f>IF($A724="","",$D724&amp;"("&amp;SUBSTITUTE($E724," ","")&amp;")")</f>
        <v/>
      </c>
      <c r="R724">
        <f>IF($A724="","",$B724&amp;" - "&amp;$C724)</f>
        <v/>
      </c>
      <c r="S724">
        <f>IF($A724="","",$R724&amp;"|"&amp;$Q724)</f>
        <v/>
      </c>
      <c r="T724">
        <f>IF($A724="","",$S724&amp;"|"&amp;$F724)</f>
        <v/>
      </c>
      <c r="U724">
        <f>IF($A724="","",$R724&amp;"("&amp;$E724&amp;")")</f>
        <v/>
      </c>
      <c r="V724">
        <f>IF($A724="","",$F724&amp;"|"&amp;$U724&amp;"|"&amp;$D724)</f>
        <v/>
      </c>
      <c r="W724">
        <f>IF($T724="","",IF($X724&gt;N($X723),$X724,""))</f>
        <v/>
      </c>
      <c r="X724">
        <f>IF($T724="",N($X723),IF(MATCH($T724,$T$6:$T$6005,0)=ROW()-5,N($X723)+1,N($X723)))</f>
        <v/>
      </c>
      <c r="Z724">
        <f>IF($V724="","",IF($AA724&gt;N($AA723),$AA724,""))</f>
        <v/>
      </c>
      <c r="AA724">
        <f>IF($V724="",N($AA723),IF(MATCH($V724,$V$6:$V$6005,0)=ROW()-5,N($AA723)+1,N($AA723)))</f>
        <v/>
      </c>
    </row>
    <row r="725" ht="21" customHeight="1" s="66">
      <c r="A725" s="56" t="n"/>
      <c r="B725" s="57" t="n"/>
      <c r="C725" s="57" t="n"/>
      <c r="D725" s="57" t="n"/>
      <c r="E725" s="56" t="n"/>
      <c r="F725" s="57" t="n"/>
      <c r="G725" s="57" t="n"/>
      <c r="H725" s="56" t="n"/>
      <c r="I725" s="56" t="n"/>
      <c r="J725" s="58" t="n"/>
      <c r="K725" s="58" t="n"/>
      <c r="L725" s="13">
        <f>IF(OR($A725="",AND($J725="",$K725="")),"",ROUND(N($J725)-N($K725),2))</f>
        <v/>
      </c>
      <c r="M725" s="13">
        <f>IF(OR($A725="",AND($J725="",$K725="")),"",MIN($J725,$K725))</f>
        <v/>
      </c>
      <c r="Q725">
        <f>IF($A725="","",$D725&amp;"("&amp;SUBSTITUTE($E725," ","")&amp;")")</f>
        <v/>
      </c>
      <c r="R725">
        <f>IF($A725="","",$B725&amp;" - "&amp;$C725)</f>
        <v/>
      </c>
      <c r="S725">
        <f>IF($A725="","",$R725&amp;"|"&amp;$Q725)</f>
        <v/>
      </c>
      <c r="T725">
        <f>IF($A725="","",$S725&amp;"|"&amp;$F725)</f>
        <v/>
      </c>
      <c r="U725">
        <f>IF($A725="","",$R725&amp;"("&amp;$E725&amp;")")</f>
        <v/>
      </c>
      <c r="V725">
        <f>IF($A725="","",$F725&amp;"|"&amp;$U725&amp;"|"&amp;$D725)</f>
        <v/>
      </c>
      <c r="W725">
        <f>IF($T725="","",IF($X725&gt;N($X724),$X725,""))</f>
        <v/>
      </c>
      <c r="X725">
        <f>IF($T725="",N($X724),IF(MATCH($T725,$T$6:$T$6005,0)=ROW()-5,N($X724)+1,N($X724)))</f>
        <v/>
      </c>
      <c r="Z725">
        <f>IF($V725="","",IF($AA725&gt;N($AA724),$AA725,""))</f>
        <v/>
      </c>
      <c r="AA725">
        <f>IF($V725="",N($AA724),IF(MATCH($V725,$V$6:$V$6005,0)=ROW()-5,N($AA724)+1,N($AA724)))</f>
        <v/>
      </c>
    </row>
    <row r="726" ht="21" customHeight="1" s="66">
      <c r="A726" s="56" t="n"/>
      <c r="B726" s="57" t="n"/>
      <c r="C726" s="57" t="n"/>
      <c r="D726" s="57" t="n"/>
      <c r="E726" s="56" t="n"/>
      <c r="F726" s="57" t="n"/>
      <c r="G726" s="57" t="n"/>
      <c r="H726" s="56" t="n"/>
      <c r="I726" s="56" t="n"/>
      <c r="J726" s="58" t="n"/>
      <c r="K726" s="58" t="n"/>
      <c r="L726" s="13">
        <f>IF(OR($A726="",AND($J726="",$K726="")),"",ROUND(N($J726)-N($K726),2))</f>
        <v/>
      </c>
      <c r="M726" s="13">
        <f>IF(OR($A726="",AND($J726="",$K726="")),"",MIN($J726,$K726))</f>
        <v/>
      </c>
      <c r="Q726">
        <f>IF($A726="","",$D726&amp;"("&amp;SUBSTITUTE($E726," ","")&amp;")")</f>
        <v/>
      </c>
      <c r="R726">
        <f>IF($A726="","",$B726&amp;" - "&amp;$C726)</f>
        <v/>
      </c>
      <c r="S726">
        <f>IF($A726="","",$R726&amp;"|"&amp;$Q726)</f>
        <v/>
      </c>
      <c r="T726">
        <f>IF($A726="","",$S726&amp;"|"&amp;$F726)</f>
        <v/>
      </c>
      <c r="U726">
        <f>IF($A726="","",$R726&amp;"("&amp;$E726&amp;")")</f>
        <v/>
      </c>
      <c r="V726">
        <f>IF($A726="","",$F726&amp;"|"&amp;$U726&amp;"|"&amp;$D726)</f>
        <v/>
      </c>
      <c r="W726">
        <f>IF($T726="","",IF($X726&gt;N($X725),$X726,""))</f>
        <v/>
      </c>
      <c r="X726">
        <f>IF($T726="",N($X725),IF(MATCH($T726,$T$6:$T$6005,0)=ROW()-5,N($X725)+1,N($X725)))</f>
        <v/>
      </c>
      <c r="Z726">
        <f>IF($V726="","",IF($AA726&gt;N($AA725),$AA726,""))</f>
        <v/>
      </c>
      <c r="AA726">
        <f>IF($V726="",N($AA725),IF(MATCH($V726,$V$6:$V$6005,0)=ROW()-5,N($AA725)+1,N($AA725)))</f>
        <v/>
      </c>
    </row>
    <row r="727" ht="21" customHeight="1" s="66">
      <c r="A727" s="56" t="n"/>
      <c r="B727" s="57" t="n"/>
      <c r="C727" s="57" t="n"/>
      <c r="D727" s="57" t="n"/>
      <c r="E727" s="56" t="n"/>
      <c r="F727" s="57" t="n"/>
      <c r="G727" s="57" t="n"/>
      <c r="H727" s="56" t="n"/>
      <c r="I727" s="56" t="n"/>
      <c r="J727" s="58" t="n"/>
      <c r="K727" s="58" t="n"/>
      <c r="L727" s="13">
        <f>IF(OR($A727="",AND($J727="",$K727="")),"",ROUND(N($J727)-N($K727),2))</f>
        <v/>
      </c>
      <c r="M727" s="13">
        <f>IF(OR($A727="",AND($J727="",$K727="")),"",MIN($J727,$K727))</f>
        <v/>
      </c>
      <c r="Q727">
        <f>IF($A727="","",$D727&amp;"("&amp;SUBSTITUTE($E727," ","")&amp;")")</f>
        <v/>
      </c>
      <c r="R727">
        <f>IF($A727="","",$B727&amp;" - "&amp;$C727)</f>
        <v/>
      </c>
      <c r="S727">
        <f>IF($A727="","",$R727&amp;"|"&amp;$Q727)</f>
        <v/>
      </c>
      <c r="T727">
        <f>IF($A727="","",$S727&amp;"|"&amp;$F727)</f>
        <v/>
      </c>
      <c r="U727">
        <f>IF($A727="","",$R727&amp;"("&amp;$E727&amp;")")</f>
        <v/>
      </c>
      <c r="V727">
        <f>IF($A727="","",$F727&amp;"|"&amp;$U727&amp;"|"&amp;$D727)</f>
        <v/>
      </c>
      <c r="W727">
        <f>IF($T727="","",IF($X727&gt;N($X726),$X727,""))</f>
        <v/>
      </c>
      <c r="X727">
        <f>IF($T727="",N($X726),IF(MATCH($T727,$T$6:$T$6005,0)=ROW()-5,N($X726)+1,N($X726)))</f>
        <v/>
      </c>
      <c r="Z727">
        <f>IF($V727="","",IF($AA727&gt;N($AA726),$AA727,""))</f>
        <v/>
      </c>
      <c r="AA727">
        <f>IF($V727="",N($AA726),IF(MATCH($V727,$V$6:$V$6005,0)=ROW()-5,N($AA726)+1,N($AA726)))</f>
        <v/>
      </c>
    </row>
    <row r="728" ht="21" customHeight="1" s="66">
      <c r="A728" s="56" t="n"/>
      <c r="B728" s="57" t="n"/>
      <c r="C728" s="57" t="n"/>
      <c r="D728" s="57" t="n"/>
      <c r="E728" s="56" t="n"/>
      <c r="F728" s="57" t="n"/>
      <c r="G728" s="57" t="n"/>
      <c r="H728" s="56" t="n"/>
      <c r="I728" s="56" t="n"/>
      <c r="J728" s="58" t="n"/>
      <c r="K728" s="58" t="n"/>
      <c r="L728" s="13">
        <f>IF(OR($A728="",AND($J728="",$K728="")),"",ROUND(N($J728)-N($K728),2))</f>
        <v/>
      </c>
      <c r="M728" s="13">
        <f>IF(OR($A728="",AND($J728="",$K728="")),"",MIN($J728,$K728))</f>
        <v/>
      </c>
      <c r="Q728">
        <f>IF($A728="","",$D728&amp;"("&amp;SUBSTITUTE($E728," ","")&amp;")")</f>
        <v/>
      </c>
      <c r="R728">
        <f>IF($A728="","",$B728&amp;" - "&amp;$C728)</f>
        <v/>
      </c>
      <c r="S728">
        <f>IF($A728="","",$R728&amp;"|"&amp;$Q728)</f>
        <v/>
      </c>
      <c r="T728">
        <f>IF($A728="","",$S728&amp;"|"&amp;$F728)</f>
        <v/>
      </c>
      <c r="U728">
        <f>IF($A728="","",$R728&amp;"("&amp;$E728&amp;")")</f>
        <v/>
      </c>
      <c r="V728">
        <f>IF($A728="","",$F728&amp;"|"&amp;$U728&amp;"|"&amp;$D728)</f>
        <v/>
      </c>
      <c r="W728">
        <f>IF($T728="","",IF($X728&gt;N($X727),$X728,""))</f>
        <v/>
      </c>
      <c r="X728">
        <f>IF($T728="",N($X727),IF(MATCH($T728,$T$6:$T$6005,0)=ROW()-5,N($X727)+1,N($X727)))</f>
        <v/>
      </c>
      <c r="Z728">
        <f>IF($V728="","",IF($AA728&gt;N($AA727),$AA728,""))</f>
        <v/>
      </c>
      <c r="AA728">
        <f>IF($V728="",N($AA727),IF(MATCH($V728,$V$6:$V$6005,0)=ROW()-5,N($AA727)+1,N($AA727)))</f>
        <v/>
      </c>
    </row>
    <row r="729" ht="21" customHeight="1" s="66">
      <c r="A729" s="56" t="n"/>
      <c r="B729" s="57" t="n"/>
      <c r="C729" s="57" t="n"/>
      <c r="D729" s="57" t="n"/>
      <c r="E729" s="56" t="n"/>
      <c r="F729" s="57" t="n"/>
      <c r="G729" s="57" t="n"/>
      <c r="H729" s="56" t="n"/>
      <c r="I729" s="56" t="n"/>
      <c r="J729" s="58" t="n"/>
      <c r="K729" s="58" t="n"/>
      <c r="L729" s="13">
        <f>IF(OR($A729="",AND($J729="",$K729="")),"",ROUND(N($J729)-N($K729),2))</f>
        <v/>
      </c>
      <c r="M729" s="13">
        <f>IF(OR($A729="",AND($J729="",$K729="")),"",MIN($J729,$K729))</f>
        <v/>
      </c>
      <c r="Q729">
        <f>IF($A729="","",$D729&amp;"("&amp;SUBSTITUTE($E729," ","")&amp;")")</f>
        <v/>
      </c>
      <c r="R729">
        <f>IF($A729="","",$B729&amp;" - "&amp;$C729)</f>
        <v/>
      </c>
      <c r="S729">
        <f>IF($A729="","",$R729&amp;"|"&amp;$Q729)</f>
        <v/>
      </c>
      <c r="T729">
        <f>IF($A729="","",$S729&amp;"|"&amp;$F729)</f>
        <v/>
      </c>
      <c r="U729">
        <f>IF($A729="","",$R729&amp;"("&amp;$E729&amp;")")</f>
        <v/>
      </c>
      <c r="V729">
        <f>IF($A729="","",$F729&amp;"|"&amp;$U729&amp;"|"&amp;$D729)</f>
        <v/>
      </c>
      <c r="W729">
        <f>IF($T729="","",IF($X729&gt;N($X728),$X729,""))</f>
        <v/>
      </c>
      <c r="X729">
        <f>IF($T729="",N($X728),IF(MATCH($T729,$T$6:$T$6005,0)=ROW()-5,N($X728)+1,N($X728)))</f>
        <v/>
      </c>
      <c r="Z729">
        <f>IF($V729="","",IF($AA729&gt;N($AA728),$AA729,""))</f>
        <v/>
      </c>
      <c r="AA729">
        <f>IF($V729="",N($AA728),IF(MATCH($V729,$V$6:$V$6005,0)=ROW()-5,N($AA728)+1,N($AA728)))</f>
        <v/>
      </c>
    </row>
    <row r="730" ht="21" customHeight="1" s="66">
      <c r="A730" s="56" t="n"/>
      <c r="B730" s="57" t="n"/>
      <c r="C730" s="57" t="n"/>
      <c r="D730" s="57" t="n"/>
      <c r="E730" s="56" t="n"/>
      <c r="F730" s="57" t="n"/>
      <c r="G730" s="57" t="n"/>
      <c r="H730" s="56" t="n"/>
      <c r="I730" s="56" t="n"/>
      <c r="J730" s="58" t="n"/>
      <c r="K730" s="58" t="n"/>
      <c r="L730" s="13">
        <f>IF(OR($A730="",AND($J730="",$K730="")),"",ROUND(N($J730)-N($K730),2))</f>
        <v/>
      </c>
      <c r="M730" s="13">
        <f>IF(OR($A730="",AND($J730="",$K730="")),"",MIN($J730,$K730))</f>
        <v/>
      </c>
      <c r="Q730">
        <f>IF($A730="","",$D730&amp;"("&amp;SUBSTITUTE($E730," ","")&amp;")")</f>
        <v/>
      </c>
      <c r="R730">
        <f>IF($A730="","",$B730&amp;" - "&amp;$C730)</f>
        <v/>
      </c>
      <c r="S730">
        <f>IF($A730="","",$R730&amp;"|"&amp;$Q730)</f>
        <v/>
      </c>
      <c r="T730">
        <f>IF($A730="","",$S730&amp;"|"&amp;$F730)</f>
        <v/>
      </c>
      <c r="U730">
        <f>IF($A730="","",$R730&amp;"("&amp;$E730&amp;")")</f>
        <v/>
      </c>
      <c r="V730">
        <f>IF($A730="","",$F730&amp;"|"&amp;$U730&amp;"|"&amp;$D730)</f>
        <v/>
      </c>
      <c r="W730">
        <f>IF($T730="","",IF($X730&gt;N($X729),$X730,""))</f>
        <v/>
      </c>
      <c r="X730">
        <f>IF($T730="",N($X729),IF(MATCH($T730,$T$6:$T$6005,0)=ROW()-5,N($X729)+1,N($X729)))</f>
        <v/>
      </c>
      <c r="Z730">
        <f>IF($V730="","",IF($AA730&gt;N($AA729),$AA730,""))</f>
        <v/>
      </c>
      <c r="AA730">
        <f>IF($V730="",N($AA729),IF(MATCH($V730,$V$6:$V$6005,0)=ROW()-5,N($AA729)+1,N($AA729)))</f>
        <v/>
      </c>
    </row>
    <row r="731" ht="21" customHeight="1" s="66">
      <c r="A731" s="56" t="n"/>
      <c r="B731" s="57" t="n"/>
      <c r="C731" s="57" t="n"/>
      <c r="D731" s="57" t="n"/>
      <c r="E731" s="56" t="n"/>
      <c r="F731" s="57" t="n"/>
      <c r="G731" s="57" t="n"/>
      <c r="H731" s="56" t="n"/>
      <c r="I731" s="56" t="n"/>
      <c r="J731" s="58" t="n"/>
      <c r="K731" s="58" t="n"/>
      <c r="L731" s="13">
        <f>IF(OR($A731="",AND($J731="",$K731="")),"",ROUND(N($J731)-N($K731),2))</f>
        <v/>
      </c>
      <c r="M731" s="13">
        <f>IF(OR($A731="",AND($J731="",$K731="")),"",MIN($J731,$K731))</f>
        <v/>
      </c>
      <c r="Q731">
        <f>IF($A731="","",$D731&amp;"("&amp;SUBSTITUTE($E731," ","")&amp;")")</f>
        <v/>
      </c>
      <c r="R731">
        <f>IF($A731="","",$B731&amp;" - "&amp;$C731)</f>
        <v/>
      </c>
      <c r="S731">
        <f>IF($A731="","",$R731&amp;"|"&amp;$Q731)</f>
        <v/>
      </c>
      <c r="T731">
        <f>IF($A731="","",$S731&amp;"|"&amp;$F731)</f>
        <v/>
      </c>
      <c r="U731">
        <f>IF($A731="","",$R731&amp;"("&amp;$E731&amp;")")</f>
        <v/>
      </c>
      <c r="V731">
        <f>IF($A731="","",$F731&amp;"|"&amp;$U731&amp;"|"&amp;$D731)</f>
        <v/>
      </c>
      <c r="W731">
        <f>IF($T731="","",IF($X731&gt;N($X730),$X731,""))</f>
        <v/>
      </c>
      <c r="X731">
        <f>IF($T731="",N($X730),IF(MATCH($T731,$T$6:$T$6005,0)=ROW()-5,N($X730)+1,N($X730)))</f>
        <v/>
      </c>
      <c r="Z731">
        <f>IF($V731="","",IF($AA731&gt;N($AA730),$AA731,""))</f>
        <v/>
      </c>
      <c r="AA731">
        <f>IF($V731="",N($AA730),IF(MATCH($V731,$V$6:$V$6005,0)=ROW()-5,N($AA730)+1,N($AA730)))</f>
        <v/>
      </c>
    </row>
    <row r="732" ht="21" customHeight="1" s="66">
      <c r="A732" s="56" t="n"/>
      <c r="B732" s="57" t="n"/>
      <c r="C732" s="57" t="n"/>
      <c r="D732" s="57" t="n"/>
      <c r="E732" s="56" t="n"/>
      <c r="F732" s="57" t="n"/>
      <c r="G732" s="57" t="n"/>
      <c r="H732" s="56" t="n"/>
      <c r="I732" s="56" t="n"/>
      <c r="J732" s="58" t="n"/>
      <c r="K732" s="58" t="n"/>
      <c r="L732" s="13">
        <f>IF(OR($A732="",AND($J732="",$K732="")),"",ROUND(N($J732)-N($K732),2))</f>
        <v/>
      </c>
      <c r="M732" s="13">
        <f>IF(OR($A732="",AND($J732="",$K732="")),"",MIN($J732,$K732))</f>
        <v/>
      </c>
      <c r="Q732">
        <f>IF($A732="","",$D732&amp;"("&amp;SUBSTITUTE($E732," ","")&amp;")")</f>
        <v/>
      </c>
      <c r="R732">
        <f>IF($A732="","",$B732&amp;" - "&amp;$C732)</f>
        <v/>
      </c>
      <c r="S732">
        <f>IF($A732="","",$R732&amp;"|"&amp;$Q732)</f>
        <v/>
      </c>
      <c r="T732">
        <f>IF($A732="","",$S732&amp;"|"&amp;$F732)</f>
        <v/>
      </c>
      <c r="U732">
        <f>IF($A732="","",$R732&amp;"("&amp;$E732&amp;")")</f>
        <v/>
      </c>
      <c r="V732">
        <f>IF($A732="","",$F732&amp;"|"&amp;$U732&amp;"|"&amp;$D732)</f>
        <v/>
      </c>
      <c r="W732">
        <f>IF($T732="","",IF($X732&gt;N($X731),$X732,""))</f>
        <v/>
      </c>
      <c r="X732">
        <f>IF($T732="",N($X731),IF(MATCH($T732,$T$6:$T$6005,0)=ROW()-5,N($X731)+1,N($X731)))</f>
        <v/>
      </c>
      <c r="Z732">
        <f>IF($V732="","",IF($AA732&gt;N($AA731),$AA732,""))</f>
        <v/>
      </c>
      <c r="AA732">
        <f>IF($V732="",N($AA731),IF(MATCH($V732,$V$6:$V$6005,0)=ROW()-5,N($AA731)+1,N($AA731)))</f>
        <v/>
      </c>
    </row>
    <row r="733" ht="21" customHeight="1" s="66">
      <c r="A733" s="56" t="n"/>
      <c r="B733" s="57" t="n"/>
      <c r="C733" s="57" t="n"/>
      <c r="D733" s="57" t="n"/>
      <c r="E733" s="56" t="n"/>
      <c r="F733" s="57" t="n"/>
      <c r="G733" s="57" t="n"/>
      <c r="H733" s="56" t="n"/>
      <c r="I733" s="56" t="n"/>
      <c r="J733" s="58" t="n"/>
      <c r="K733" s="58" t="n"/>
      <c r="L733" s="13">
        <f>IF(OR($A733="",AND($J733="",$K733="")),"",ROUND(N($J733)-N($K733),2))</f>
        <v/>
      </c>
      <c r="M733" s="13">
        <f>IF(OR($A733="",AND($J733="",$K733="")),"",MIN($J733,$K733))</f>
        <v/>
      </c>
      <c r="Q733">
        <f>IF($A733="","",$D733&amp;"("&amp;SUBSTITUTE($E733," ","")&amp;")")</f>
        <v/>
      </c>
      <c r="R733">
        <f>IF($A733="","",$B733&amp;" - "&amp;$C733)</f>
        <v/>
      </c>
      <c r="S733">
        <f>IF($A733="","",$R733&amp;"|"&amp;$Q733)</f>
        <v/>
      </c>
      <c r="T733">
        <f>IF($A733="","",$S733&amp;"|"&amp;$F733)</f>
        <v/>
      </c>
      <c r="U733">
        <f>IF($A733="","",$R733&amp;"("&amp;$E733&amp;")")</f>
        <v/>
      </c>
      <c r="V733">
        <f>IF($A733="","",$F733&amp;"|"&amp;$U733&amp;"|"&amp;$D733)</f>
        <v/>
      </c>
      <c r="W733">
        <f>IF($T733="","",IF($X733&gt;N($X732),$X733,""))</f>
        <v/>
      </c>
      <c r="X733">
        <f>IF($T733="",N($X732),IF(MATCH($T733,$T$6:$T$6005,0)=ROW()-5,N($X732)+1,N($X732)))</f>
        <v/>
      </c>
      <c r="Z733">
        <f>IF($V733="","",IF($AA733&gt;N($AA732),$AA733,""))</f>
        <v/>
      </c>
      <c r="AA733">
        <f>IF($V733="",N($AA732),IF(MATCH($V733,$V$6:$V$6005,0)=ROW()-5,N($AA732)+1,N($AA732)))</f>
        <v/>
      </c>
    </row>
    <row r="734" ht="21" customHeight="1" s="66">
      <c r="A734" s="56" t="n"/>
      <c r="B734" s="57" t="n"/>
      <c r="C734" s="57" t="n"/>
      <c r="D734" s="57" t="n"/>
      <c r="E734" s="56" t="n"/>
      <c r="F734" s="57" t="n"/>
      <c r="G734" s="57" t="n"/>
      <c r="H734" s="56" t="n"/>
      <c r="I734" s="56" t="n"/>
      <c r="J734" s="58" t="n"/>
      <c r="K734" s="58" t="n"/>
      <c r="L734" s="13">
        <f>IF(OR($A734="",AND($J734="",$K734="")),"",ROUND(N($J734)-N($K734),2))</f>
        <v/>
      </c>
      <c r="M734" s="13">
        <f>IF(OR($A734="",AND($J734="",$K734="")),"",MIN($J734,$K734))</f>
        <v/>
      </c>
      <c r="Q734">
        <f>IF($A734="","",$D734&amp;"("&amp;SUBSTITUTE($E734," ","")&amp;")")</f>
        <v/>
      </c>
      <c r="R734">
        <f>IF($A734="","",$B734&amp;" - "&amp;$C734)</f>
        <v/>
      </c>
      <c r="S734">
        <f>IF($A734="","",$R734&amp;"|"&amp;$Q734)</f>
        <v/>
      </c>
      <c r="T734">
        <f>IF($A734="","",$S734&amp;"|"&amp;$F734)</f>
        <v/>
      </c>
      <c r="U734">
        <f>IF($A734="","",$R734&amp;"("&amp;$E734&amp;")")</f>
        <v/>
      </c>
      <c r="V734">
        <f>IF($A734="","",$F734&amp;"|"&amp;$U734&amp;"|"&amp;$D734)</f>
        <v/>
      </c>
      <c r="W734">
        <f>IF($T734="","",IF($X734&gt;N($X733),$X734,""))</f>
        <v/>
      </c>
      <c r="X734">
        <f>IF($T734="",N($X733),IF(MATCH($T734,$T$6:$T$6005,0)=ROW()-5,N($X733)+1,N($X733)))</f>
        <v/>
      </c>
      <c r="Z734">
        <f>IF($V734="","",IF($AA734&gt;N($AA733),$AA734,""))</f>
        <v/>
      </c>
      <c r="AA734">
        <f>IF($V734="",N($AA733),IF(MATCH($V734,$V$6:$V$6005,0)=ROW()-5,N($AA733)+1,N($AA733)))</f>
        <v/>
      </c>
    </row>
    <row r="735" ht="21" customHeight="1" s="66">
      <c r="A735" s="56" t="n"/>
      <c r="B735" s="57" t="n"/>
      <c r="C735" s="57" t="n"/>
      <c r="D735" s="57" t="n"/>
      <c r="E735" s="56" t="n"/>
      <c r="F735" s="57" t="n"/>
      <c r="G735" s="57" t="n"/>
      <c r="H735" s="56" t="n"/>
      <c r="I735" s="56" t="n"/>
      <c r="J735" s="58" t="n"/>
      <c r="K735" s="58" t="n"/>
      <c r="L735" s="13">
        <f>IF(OR($A735="",AND($J735="",$K735="")),"",ROUND(N($J735)-N($K735),2))</f>
        <v/>
      </c>
      <c r="M735" s="13">
        <f>IF(OR($A735="",AND($J735="",$K735="")),"",MIN($J735,$K735))</f>
        <v/>
      </c>
      <c r="Q735">
        <f>IF($A735="","",$D735&amp;"("&amp;SUBSTITUTE($E735," ","")&amp;")")</f>
        <v/>
      </c>
      <c r="R735">
        <f>IF($A735="","",$B735&amp;" - "&amp;$C735)</f>
        <v/>
      </c>
      <c r="S735">
        <f>IF($A735="","",$R735&amp;"|"&amp;$Q735)</f>
        <v/>
      </c>
      <c r="T735">
        <f>IF($A735="","",$S735&amp;"|"&amp;$F735)</f>
        <v/>
      </c>
      <c r="U735">
        <f>IF($A735="","",$R735&amp;"("&amp;$E735&amp;")")</f>
        <v/>
      </c>
      <c r="V735">
        <f>IF($A735="","",$F735&amp;"|"&amp;$U735&amp;"|"&amp;$D735)</f>
        <v/>
      </c>
      <c r="W735">
        <f>IF($T735="","",IF($X735&gt;N($X734),$X735,""))</f>
        <v/>
      </c>
      <c r="X735">
        <f>IF($T735="",N($X734),IF(MATCH($T735,$T$6:$T$6005,0)=ROW()-5,N($X734)+1,N($X734)))</f>
        <v/>
      </c>
      <c r="Z735">
        <f>IF($V735="","",IF($AA735&gt;N($AA734),$AA735,""))</f>
        <v/>
      </c>
      <c r="AA735">
        <f>IF($V735="",N($AA734),IF(MATCH($V735,$V$6:$V$6005,0)=ROW()-5,N($AA734)+1,N($AA734)))</f>
        <v/>
      </c>
    </row>
    <row r="736" ht="21" customHeight="1" s="66">
      <c r="A736" s="56" t="n"/>
      <c r="B736" s="57" t="n"/>
      <c r="C736" s="57" t="n"/>
      <c r="D736" s="57" t="n"/>
      <c r="E736" s="56" t="n"/>
      <c r="F736" s="57" t="n"/>
      <c r="G736" s="57" t="n"/>
      <c r="H736" s="56" t="n"/>
      <c r="I736" s="56" t="n"/>
      <c r="J736" s="58" t="n"/>
      <c r="K736" s="58" t="n"/>
      <c r="L736" s="13">
        <f>IF(OR($A736="",AND($J736="",$K736="")),"",ROUND(N($J736)-N($K736),2))</f>
        <v/>
      </c>
      <c r="M736" s="13">
        <f>IF(OR($A736="",AND($J736="",$K736="")),"",MIN($J736,$K736))</f>
        <v/>
      </c>
      <c r="Q736">
        <f>IF($A736="","",$D736&amp;"("&amp;SUBSTITUTE($E736," ","")&amp;")")</f>
        <v/>
      </c>
      <c r="R736">
        <f>IF($A736="","",$B736&amp;" - "&amp;$C736)</f>
        <v/>
      </c>
      <c r="S736">
        <f>IF($A736="","",$R736&amp;"|"&amp;$Q736)</f>
        <v/>
      </c>
      <c r="T736">
        <f>IF($A736="","",$S736&amp;"|"&amp;$F736)</f>
        <v/>
      </c>
      <c r="U736">
        <f>IF($A736="","",$R736&amp;"("&amp;$E736&amp;")")</f>
        <v/>
      </c>
      <c r="V736">
        <f>IF($A736="","",$F736&amp;"|"&amp;$U736&amp;"|"&amp;$D736)</f>
        <v/>
      </c>
      <c r="W736">
        <f>IF($T736="","",IF($X736&gt;N($X735),$X736,""))</f>
        <v/>
      </c>
      <c r="X736">
        <f>IF($T736="",N($X735),IF(MATCH($T736,$T$6:$T$6005,0)=ROW()-5,N($X735)+1,N($X735)))</f>
        <v/>
      </c>
      <c r="Z736">
        <f>IF($V736="","",IF($AA736&gt;N($AA735),$AA736,""))</f>
        <v/>
      </c>
      <c r="AA736">
        <f>IF($V736="",N($AA735),IF(MATCH($V736,$V$6:$V$6005,0)=ROW()-5,N($AA735)+1,N($AA735)))</f>
        <v/>
      </c>
    </row>
    <row r="737" ht="21" customHeight="1" s="66">
      <c r="A737" s="56" t="n"/>
      <c r="B737" s="57" t="n"/>
      <c r="C737" s="57" t="n"/>
      <c r="D737" s="57" t="n"/>
      <c r="E737" s="56" t="n"/>
      <c r="F737" s="57" t="n"/>
      <c r="G737" s="57" t="n"/>
      <c r="H737" s="56" t="n"/>
      <c r="I737" s="56" t="n"/>
      <c r="J737" s="58" t="n"/>
      <c r="K737" s="58" t="n"/>
      <c r="L737" s="13">
        <f>IF(OR($A737="",AND($J737="",$K737="")),"",ROUND(N($J737)-N($K737),2))</f>
        <v/>
      </c>
      <c r="M737" s="13">
        <f>IF(OR($A737="",AND($J737="",$K737="")),"",MIN($J737,$K737))</f>
        <v/>
      </c>
      <c r="Q737">
        <f>IF($A737="","",$D737&amp;"("&amp;SUBSTITUTE($E737," ","")&amp;")")</f>
        <v/>
      </c>
      <c r="R737">
        <f>IF($A737="","",$B737&amp;" - "&amp;$C737)</f>
        <v/>
      </c>
      <c r="S737">
        <f>IF($A737="","",$R737&amp;"|"&amp;$Q737)</f>
        <v/>
      </c>
      <c r="T737">
        <f>IF($A737="","",$S737&amp;"|"&amp;$F737)</f>
        <v/>
      </c>
      <c r="U737">
        <f>IF($A737="","",$R737&amp;"("&amp;$E737&amp;")")</f>
        <v/>
      </c>
      <c r="V737">
        <f>IF($A737="","",$F737&amp;"|"&amp;$U737&amp;"|"&amp;$D737)</f>
        <v/>
      </c>
      <c r="W737">
        <f>IF($T737="","",IF($X737&gt;N($X736),$X737,""))</f>
        <v/>
      </c>
      <c r="X737">
        <f>IF($T737="",N($X736),IF(MATCH($T737,$T$6:$T$6005,0)=ROW()-5,N($X736)+1,N($X736)))</f>
        <v/>
      </c>
      <c r="Z737">
        <f>IF($V737="","",IF($AA737&gt;N($AA736),$AA737,""))</f>
        <v/>
      </c>
      <c r="AA737">
        <f>IF($V737="",N($AA736),IF(MATCH($V737,$V$6:$V$6005,0)=ROW()-5,N($AA736)+1,N($AA736)))</f>
        <v/>
      </c>
    </row>
    <row r="738" ht="21" customHeight="1" s="66">
      <c r="A738" s="56" t="n"/>
      <c r="B738" s="57" t="n"/>
      <c r="C738" s="57" t="n"/>
      <c r="D738" s="57" t="n"/>
      <c r="E738" s="56" t="n"/>
      <c r="F738" s="57" t="n"/>
      <c r="G738" s="57" t="n"/>
      <c r="H738" s="56" t="n"/>
      <c r="I738" s="56" t="n"/>
      <c r="J738" s="58" t="n"/>
      <c r="K738" s="58" t="n"/>
      <c r="L738" s="13">
        <f>IF(OR($A738="",AND($J738="",$K738="")),"",ROUND(N($J738)-N($K738),2))</f>
        <v/>
      </c>
      <c r="M738" s="13">
        <f>IF(OR($A738="",AND($J738="",$K738="")),"",MIN($J738,$K738))</f>
        <v/>
      </c>
      <c r="Q738">
        <f>IF($A738="","",$D738&amp;"("&amp;SUBSTITUTE($E738," ","")&amp;")")</f>
        <v/>
      </c>
      <c r="R738">
        <f>IF($A738="","",$B738&amp;" - "&amp;$C738)</f>
        <v/>
      </c>
      <c r="S738">
        <f>IF($A738="","",$R738&amp;"|"&amp;$Q738)</f>
        <v/>
      </c>
      <c r="T738">
        <f>IF($A738="","",$S738&amp;"|"&amp;$F738)</f>
        <v/>
      </c>
      <c r="U738">
        <f>IF($A738="","",$R738&amp;"("&amp;$E738&amp;")")</f>
        <v/>
      </c>
      <c r="V738">
        <f>IF($A738="","",$F738&amp;"|"&amp;$U738&amp;"|"&amp;$D738)</f>
        <v/>
      </c>
      <c r="W738">
        <f>IF($T738="","",IF($X738&gt;N($X737),$X738,""))</f>
        <v/>
      </c>
      <c r="X738">
        <f>IF($T738="",N($X737),IF(MATCH($T738,$T$6:$T$6005,0)=ROW()-5,N($X737)+1,N($X737)))</f>
        <v/>
      </c>
      <c r="Z738">
        <f>IF($V738="","",IF($AA738&gt;N($AA737),$AA738,""))</f>
        <v/>
      </c>
      <c r="AA738">
        <f>IF($V738="",N($AA737),IF(MATCH($V738,$V$6:$V$6005,0)=ROW()-5,N($AA737)+1,N($AA737)))</f>
        <v/>
      </c>
    </row>
    <row r="739" ht="21" customHeight="1" s="66">
      <c r="A739" s="56" t="n"/>
      <c r="B739" s="57" t="n"/>
      <c r="C739" s="57" t="n"/>
      <c r="D739" s="57" t="n"/>
      <c r="E739" s="56" t="n"/>
      <c r="F739" s="57" t="n"/>
      <c r="G739" s="57" t="n"/>
      <c r="H739" s="56" t="n"/>
      <c r="I739" s="56" t="n"/>
      <c r="J739" s="58" t="n"/>
      <c r="K739" s="58" t="n"/>
      <c r="L739" s="13">
        <f>IF(OR($A739="",AND($J739="",$K739="")),"",ROUND(N($J739)-N($K739),2))</f>
        <v/>
      </c>
      <c r="M739" s="13">
        <f>IF(OR($A739="",AND($J739="",$K739="")),"",MIN($J739,$K739))</f>
        <v/>
      </c>
      <c r="Q739">
        <f>IF($A739="","",$D739&amp;"("&amp;SUBSTITUTE($E739," ","")&amp;")")</f>
        <v/>
      </c>
      <c r="R739">
        <f>IF($A739="","",$B739&amp;" - "&amp;$C739)</f>
        <v/>
      </c>
      <c r="S739">
        <f>IF($A739="","",$R739&amp;"|"&amp;$Q739)</f>
        <v/>
      </c>
      <c r="T739">
        <f>IF($A739="","",$S739&amp;"|"&amp;$F739)</f>
        <v/>
      </c>
      <c r="U739">
        <f>IF($A739="","",$R739&amp;"("&amp;$E739&amp;")")</f>
        <v/>
      </c>
      <c r="V739">
        <f>IF($A739="","",$F739&amp;"|"&amp;$U739&amp;"|"&amp;$D739)</f>
        <v/>
      </c>
      <c r="W739">
        <f>IF($T739="","",IF($X739&gt;N($X738),$X739,""))</f>
        <v/>
      </c>
      <c r="X739">
        <f>IF($T739="",N($X738),IF(MATCH($T739,$T$6:$T$6005,0)=ROW()-5,N($X738)+1,N($X738)))</f>
        <v/>
      </c>
      <c r="Z739">
        <f>IF($V739="","",IF($AA739&gt;N($AA738),$AA739,""))</f>
        <v/>
      </c>
      <c r="AA739">
        <f>IF($V739="",N($AA738),IF(MATCH($V739,$V$6:$V$6005,0)=ROW()-5,N($AA738)+1,N($AA738)))</f>
        <v/>
      </c>
    </row>
    <row r="740" ht="21" customHeight="1" s="66">
      <c r="A740" s="56" t="n"/>
      <c r="B740" s="57" t="n"/>
      <c r="C740" s="57" t="n"/>
      <c r="D740" s="57" t="n"/>
      <c r="E740" s="56" t="n"/>
      <c r="F740" s="57" t="n"/>
      <c r="G740" s="57" t="n"/>
      <c r="H740" s="56" t="n"/>
      <c r="I740" s="56" t="n"/>
      <c r="J740" s="58" t="n"/>
      <c r="K740" s="58" t="n"/>
      <c r="L740" s="13">
        <f>IF(OR($A740="",AND($J740="",$K740="")),"",ROUND(N($J740)-N($K740),2))</f>
        <v/>
      </c>
      <c r="M740" s="13">
        <f>IF(OR($A740="",AND($J740="",$K740="")),"",MIN($J740,$K740))</f>
        <v/>
      </c>
      <c r="Q740">
        <f>IF($A740="","",$D740&amp;"("&amp;SUBSTITUTE($E740," ","")&amp;")")</f>
        <v/>
      </c>
      <c r="R740">
        <f>IF($A740="","",$B740&amp;" - "&amp;$C740)</f>
        <v/>
      </c>
      <c r="S740">
        <f>IF($A740="","",$R740&amp;"|"&amp;$Q740)</f>
        <v/>
      </c>
      <c r="T740">
        <f>IF($A740="","",$S740&amp;"|"&amp;$F740)</f>
        <v/>
      </c>
      <c r="U740">
        <f>IF($A740="","",$R740&amp;"("&amp;$E740&amp;")")</f>
        <v/>
      </c>
      <c r="V740">
        <f>IF($A740="","",$F740&amp;"|"&amp;$U740&amp;"|"&amp;$D740)</f>
        <v/>
      </c>
      <c r="W740">
        <f>IF($T740="","",IF($X740&gt;N($X739),$X740,""))</f>
        <v/>
      </c>
      <c r="X740">
        <f>IF($T740="",N($X739),IF(MATCH($T740,$T$6:$T$6005,0)=ROW()-5,N($X739)+1,N($X739)))</f>
        <v/>
      </c>
      <c r="Z740">
        <f>IF($V740="","",IF($AA740&gt;N($AA739),$AA740,""))</f>
        <v/>
      </c>
      <c r="AA740">
        <f>IF($V740="",N($AA739),IF(MATCH($V740,$V$6:$V$6005,0)=ROW()-5,N($AA739)+1,N($AA739)))</f>
        <v/>
      </c>
    </row>
    <row r="741" ht="21" customHeight="1" s="66">
      <c r="A741" s="56" t="n"/>
      <c r="B741" s="57" t="n"/>
      <c r="C741" s="57" t="n"/>
      <c r="D741" s="57" t="n"/>
      <c r="E741" s="56" t="n"/>
      <c r="F741" s="57" t="n"/>
      <c r="G741" s="57" t="n"/>
      <c r="H741" s="56" t="n"/>
      <c r="I741" s="56" t="n"/>
      <c r="J741" s="58" t="n"/>
      <c r="K741" s="58" t="n"/>
      <c r="L741" s="13">
        <f>IF(OR($A741="",AND($J741="",$K741="")),"",ROUND(N($J741)-N($K741),2))</f>
        <v/>
      </c>
      <c r="M741" s="13">
        <f>IF(OR($A741="",AND($J741="",$K741="")),"",MIN($J741,$K741))</f>
        <v/>
      </c>
      <c r="Q741">
        <f>IF($A741="","",$D741&amp;"("&amp;SUBSTITUTE($E741," ","")&amp;")")</f>
        <v/>
      </c>
      <c r="R741">
        <f>IF($A741="","",$B741&amp;" - "&amp;$C741)</f>
        <v/>
      </c>
      <c r="S741">
        <f>IF($A741="","",$R741&amp;"|"&amp;$Q741)</f>
        <v/>
      </c>
      <c r="T741">
        <f>IF($A741="","",$S741&amp;"|"&amp;$F741)</f>
        <v/>
      </c>
      <c r="U741">
        <f>IF($A741="","",$R741&amp;"("&amp;$E741&amp;")")</f>
        <v/>
      </c>
      <c r="V741">
        <f>IF($A741="","",$F741&amp;"|"&amp;$U741&amp;"|"&amp;$D741)</f>
        <v/>
      </c>
      <c r="W741">
        <f>IF($T741="","",IF($X741&gt;N($X740),$X741,""))</f>
        <v/>
      </c>
      <c r="X741">
        <f>IF($T741="",N($X740),IF(MATCH($T741,$T$6:$T$6005,0)=ROW()-5,N($X740)+1,N($X740)))</f>
        <v/>
      </c>
      <c r="Z741">
        <f>IF($V741="","",IF($AA741&gt;N($AA740),$AA741,""))</f>
        <v/>
      </c>
      <c r="AA741">
        <f>IF($V741="",N($AA740),IF(MATCH($V741,$V$6:$V$6005,0)=ROW()-5,N($AA740)+1,N($AA740)))</f>
        <v/>
      </c>
    </row>
    <row r="742" ht="21" customHeight="1" s="66">
      <c r="A742" s="56" t="n"/>
      <c r="B742" s="57" t="n"/>
      <c r="C742" s="57" t="n"/>
      <c r="D742" s="57" t="n"/>
      <c r="E742" s="56" t="n"/>
      <c r="F742" s="57" t="n"/>
      <c r="G742" s="57" t="n"/>
      <c r="H742" s="56" t="n"/>
      <c r="I742" s="56" t="n"/>
      <c r="J742" s="58" t="n"/>
      <c r="K742" s="58" t="n"/>
      <c r="L742" s="13">
        <f>IF(OR($A742="",AND($J742="",$K742="")),"",ROUND(N($J742)-N($K742),2))</f>
        <v/>
      </c>
      <c r="M742" s="13">
        <f>IF(OR($A742="",AND($J742="",$K742="")),"",MIN($J742,$K742))</f>
        <v/>
      </c>
      <c r="Q742">
        <f>IF($A742="","",$D742&amp;"("&amp;SUBSTITUTE($E742," ","")&amp;")")</f>
        <v/>
      </c>
      <c r="R742">
        <f>IF($A742="","",$B742&amp;" - "&amp;$C742)</f>
        <v/>
      </c>
      <c r="S742">
        <f>IF($A742="","",$R742&amp;"|"&amp;$Q742)</f>
        <v/>
      </c>
      <c r="T742">
        <f>IF($A742="","",$S742&amp;"|"&amp;$F742)</f>
        <v/>
      </c>
      <c r="U742">
        <f>IF($A742="","",$R742&amp;"("&amp;$E742&amp;")")</f>
        <v/>
      </c>
      <c r="V742">
        <f>IF($A742="","",$F742&amp;"|"&amp;$U742&amp;"|"&amp;$D742)</f>
        <v/>
      </c>
      <c r="W742">
        <f>IF($T742="","",IF($X742&gt;N($X741),$X742,""))</f>
        <v/>
      </c>
      <c r="X742">
        <f>IF($T742="",N($X741),IF(MATCH($T742,$T$6:$T$6005,0)=ROW()-5,N($X741)+1,N($X741)))</f>
        <v/>
      </c>
      <c r="Z742">
        <f>IF($V742="","",IF($AA742&gt;N($AA741),$AA742,""))</f>
        <v/>
      </c>
      <c r="AA742">
        <f>IF($V742="",N($AA741),IF(MATCH($V742,$V$6:$V$6005,0)=ROW()-5,N($AA741)+1,N($AA741)))</f>
        <v/>
      </c>
    </row>
    <row r="743" ht="21" customHeight="1" s="66">
      <c r="A743" s="56" t="n"/>
      <c r="B743" s="57" t="n"/>
      <c r="C743" s="57" t="n"/>
      <c r="D743" s="57" t="n"/>
      <c r="E743" s="56" t="n"/>
      <c r="F743" s="57" t="n"/>
      <c r="G743" s="57" t="n"/>
      <c r="H743" s="56" t="n"/>
      <c r="I743" s="56" t="n"/>
      <c r="J743" s="58" t="n"/>
      <c r="K743" s="58" t="n"/>
      <c r="L743" s="13">
        <f>IF(OR($A743="",AND($J743="",$K743="")),"",ROUND(N($J743)-N($K743),2))</f>
        <v/>
      </c>
      <c r="M743" s="13">
        <f>IF(OR($A743="",AND($J743="",$K743="")),"",MIN($J743,$K743))</f>
        <v/>
      </c>
      <c r="Q743">
        <f>IF($A743="","",$D743&amp;"("&amp;SUBSTITUTE($E743," ","")&amp;")")</f>
        <v/>
      </c>
      <c r="R743">
        <f>IF($A743="","",$B743&amp;" - "&amp;$C743)</f>
        <v/>
      </c>
      <c r="S743">
        <f>IF($A743="","",$R743&amp;"|"&amp;$Q743)</f>
        <v/>
      </c>
      <c r="T743">
        <f>IF($A743="","",$S743&amp;"|"&amp;$F743)</f>
        <v/>
      </c>
      <c r="U743">
        <f>IF($A743="","",$R743&amp;"("&amp;$E743&amp;")")</f>
        <v/>
      </c>
      <c r="V743">
        <f>IF($A743="","",$F743&amp;"|"&amp;$U743&amp;"|"&amp;$D743)</f>
        <v/>
      </c>
      <c r="W743">
        <f>IF($T743="","",IF($X743&gt;N($X742),$X743,""))</f>
        <v/>
      </c>
      <c r="X743">
        <f>IF($T743="",N($X742),IF(MATCH($T743,$T$6:$T$6005,0)=ROW()-5,N($X742)+1,N($X742)))</f>
        <v/>
      </c>
      <c r="Z743">
        <f>IF($V743="","",IF($AA743&gt;N($AA742),$AA743,""))</f>
        <v/>
      </c>
      <c r="AA743">
        <f>IF($V743="",N($AA742),IF(MATCH($V743,$V$6:$V$6005,0)=ROW()-5,N($AA742)+1,N($AA742)))</f>
        <v/>
      </c>
    </row>
    <row r="744" ht="21" customHeight="1" s="66">
      <c r="A744" s="56" t="n"/>
      <c r="B744" s="57" t="n"/>
      <c r="C744" s="57" t="n"/>
      <c r="D744" s="57" t="n"/>
      <c r="E744" s="56" t="n"/>
      <c r="F744" s="57" t="n"/>
      <c r="G744" s="57" t="n"/>
      <c r="H744" s="56" t="n"/>
      <c r="I744" s="56" t="n"/>
      <c r="J744" s="58" t="n"/>
      <c r="K744" s="58" t="n"/>
      <c r="L744" s="13">
        <f>IF(OR($A744="",AND($J744="",$K744="")),"",ROUND(N($J744)-N($K744),2))</f>
        <v/>
      </c>
      <c r="M744" s="13">
        <f>IF(OR($A744="",AND($J744="",$K744="")),"",MIN($J744,$K744))</f>
        <v/>
      </c>
      <c r="Q744">
        <f>IF($A744="","",$D744&amp;"("&amp;SUBSTITUTE($E744," ","")&amp;")")</f>
        <v/>
      </c>
      <c r="R744">
        <f>IF($A744="","",$B744&amp;" - "&amp;$C744)</f>
        <v/>
      </c>
      <c r="S744">
        <f>IF($A744="","",$R744&amp;"|"&amp;$Q744)</f>
        <v/>
      </c>
      <c r="T744">
        <f>IF($A744="","",$S744&amp;"|"&amp;$F744)</f>
        <v/>
      </c>
      <c r="U744">
        <f>IF($A744="","",$R744&amp;"("&amp;$E744&amp;")")</f>
        <v/>
      </c>
      <c r="V744">
        <f>IF($A744="","",$F744&amp;"|"&amp;$U744&amp;"|"&amp;$D744)</f>
        <v/>
      </c>
      <c r="W744">
        <f>IF($T744="","",IF($X744&gt;N($X743),$X744,""))</f>
        <v/>
      </c>
      <c r="X744">
        <f>IF($T744="",N($X743),IF(MATCH($T744,$T$6:$T$6005,0)=ROW()-5,N($X743)+1,N($X743)))</f>
        <v/>
      </c>
      <c r="Z744">
        <f>IF($V744="","",IF($AA744&gt;N($AA743),$AA744,""))</f>
        <v/>
      </c>
      <c r="AA744">
        <f>IF($V744="",N($AA743),IF(MATCH($V744,$V$6:$V$6005,0)=ROW()-5,N($AA743)+1,N($AA743)))</f>
        <v/>
      </c>
    </row>
    <row r="745" ht="21" customHeight="1" s="66">
      <c r="A745" s="56" t="n"/>
      <c r="B745" s="57" t="n"/>
      <c r="C745" s="57" t="n"/>
      <c r="D745" s="57" t="n"/>
      <c r="E745" s="56" t="n"/>
      <c r="F745" s="57" t="n"/>
      <c r="G745" s="57" t="n"/>
      <c r="H745" s="56" t="n"/>
      <c r="I745" s="56" t="n"/>
      <c r="J745" s="58" t="n"/>
      <c r="K745" s="58" t="n"/>
      <c r="L745" s="13">
        <f>IF(OR($A745="",AND($J745="",$K745="")),"",ROUND(N($J745)-N($K745),2))</f>
        <v/>
      </c>
      <c r="M745" s="13">
        <f>IF(OR($A745="",AND($J745="",$K745="")),"",MIN($J745,$K745))</f>
        <v/>
      </c>
      <c r="Q745">
        <f>IF($A745="","",$D745&amp;"("&amp;SUBSTITUTE($E745," ","")&amp;")")</f>
        <v/>
      </c>
      <c r="R745">
        <f>IF($A745="","",$B745&amp;" - "&amp;$C745)</f>
        <v/>
      </c>
      <c r="S745">
        <f>IF($A745="","",$R745&amp;"|"&amp;$Q745)</f>
        <v/>
      </c>
      <c r="T745">
        <f>IF($A745="","",$S745&amp;"|"&amp;$F745)</f>
        <v/>
      </c>
      <c r="U745">
        <f>IF($A745="","",$R745&amp;"("&amp;$E745&amp;")")</f>
        <v/>
      </c>
      <c r="V745">
        <f>IF($A745="","",$F745&amp;"|"&amp;$U745&amp;"|"&amp;$D745)</f>
        <v/>
      </c>
      <c r="W745">
        <f>IF($T745="","",IF($X745&gt;N($X744),$X745,""))</f>
        <v/>
      </c>
      <c r="X745">
        <f>IF($T745="",N($X744),IF(MATCH($T745,$T$6:$T$6005,0)=ROW()-5,N($X744)+1,N($X744)))</f>
        <v/>
      </c>
      <c r="Z745">
        <f>IF($V745="","",IF($AA745&gt;N($AA744),$AA745,""))</f>
        <v/>
      </c>
      <c r="AA745">
        <f>IF($V745="",N($AA744),IF(MATCH($V745,$V$6:$V$6005,0)=ROW()-5,N($AA744)+1,N($AA744)))</f>
        <v/>
      </c>
    </row>
    <row r="746" ht="21" customHeight="1" s="66">
      <c r="A746" s="56" t="n"/>
      <c r="B746" s="57" t="n"/>
      <c r="C746" s="57" t="n"/>
      <c r="D746" s="57" t="n"/>
      <c r="E746" s="56" t="n"/>
      <c r="F746" s="57" t="n"/>
      <c r="G746" s="57" t="n"/>
      <c r="H746" s="56" t="n"/>
      <c r="I746" s="56" t="n"/>
      <c r="J746" s="58" t="n"/>
      <c r="K746" s="58" t="n"/>
      <c r="L746" s="13">
        <f>IF(OR($A746="",AND($J746="",$K746="")),"",ROUND(N($J746)-N($K746),2))</f>
        <v/>
      </c>
      <c r="M746" s="13">
        <f>IF(OR($A746="",AND($J746="",$K746="")),"",MIN($J746,$K746))</f>
        <v/>
      </c>
      <c r="Q746">
        <f>IF($A746="","",$D746&amp;"("&amp;SUBSTITUTE($E746," ","")&amp;")")</f>
        <v/>
      </c>
      <c r="R746">
        <f>IF($A746="","",$B746&amp;" - "&amp;$C746)</f>
        <v/>
      </c>
      <c r="S746">
        <f>IF($A746="","",$R746&amp;"|"&amp;$Q746)</f>
        <v/>
      </c>
      <c r="T746">
        <f>IF($A746="","",$S746&amp;"|"&amp;$F746)</f>
        <v/>
      </c>
      <c r="U746">
        <f>IF($A746="","",$R746&amp;"("&amp;$E746&amp;")")</f>
        <v/>
      </c>
      <c r="V746">
        <f>IF($A746="","",$F746&amp;"|"&amp;$U746&amp;"|"&amp;$D746)</f>
        <v/>
      </c>
      <c r="W746">
        <f>IF($T746="","",IF($X746&gt;N($X745),$X746,""))</f>
        <v/>
      </c>
      <c r="X746">
        <f>IF($T746="",N($X745),IF(MATCH($T746,$T$6:$T$6005,0)=ROW()-5,N($X745)+1,N($X745)))</f>
        <v/>
      </c>
      <c r="Z746">
        <f>IF($V746="","",IF($AA746&gt;N($AA745),$AA746,""))</f>
        <v/>
      </c>
      <c r="AA746">
        <f>IF($V746="",N($AA745),IF(MATCH($V746,$V$6:$V$6005,0)=ROW()-5,N($AA745)+1,N($AA745)))</f>
        <v/>
      </c>
    </row>
    <row r="747" ht="21" customHeight="1" s="66">
      <c r="A747" s="56" t="n"/>
      <c r="B747" s="57" t="n"/>
      <c r="C747" s="57" t="n"/>
      <c r="D747" s="57" t="n"/>
      <c r="E747" s="56" t="n"/>
      <c r="F747" s="57" t="n"/>
      <c r="G747" s="57" t="n"/>
      <c r="H747" s="56" t="n"/>
      <c r="I747" s="56" t="n"/>
      <c r="J747" s="58" t="n"/>
      <c r="K747" s="58" t="n"/>
      <c r="L747" s="13">
        <f>IF(OR($A747="",AND($J747="",$K747="")),"",ROUND(N($J747)-N($K747),2))</f>
        <v/>
      </c>
      <c r="M747" s="13">
        <f>IF(OR($A747="",AND($J747="",$K747="")),"",MIN($J747,$K747))</f>
        <v/>
      </c>
      <c r="Q747">
        <f>IF($A747="","",$D747&amp;"("&amp;SUBSTITUTE($E747," ","")&amp;")")</f>
        <v/>
      </c>
      <c r="R747">
        <f>IF($A747="","",$B747&amp;" - "&amp;$C747)</f>
        <v/>
      </c>
      <c r="S747">
        <f>IF($A747="","",$R747&amp;"|"&amp;$Q747)</f>
        <v/>
      </c>
      <c r="T747">
        <f>IF($A747="","",$S747&amp;"|"&amp;$F747)</f>
        <v/>
      </c>
      <c r="U747">
        <f>IF($A747="","",$R747&amp;"("&amp;$E747&amp;")")</f>
        <v/>
      </c>
      <c r="V747">
        <f>IF($A747="","",$F747&amp;"|"&amp;$U747&amp;"|"&amp;$D747)</f>
        <v/>
      </c>
      <c r="W747">
        <f>IF($T747="","",IF($X747&gt;N($X746),$X747,""))</f>
        <v/>
      </c>
      <c r="X747">
        <f>IF($T747="",N($X746),IF(MATCH($T747,$T$6:$T$6005,0)=ROW()-5,N($X746)+1,N($X746)))</f>
        <v/>
      </c>
      <c r="Z747">
        <f>IF($V747="","",IF($AA747&gt;N($AA746),$AA747,""))</f>
        <v/>
      </c>
      <c r="AA747">
        <f>IF($V747="",N($AA746),IF(MATCH($V747,$V$6:$V$6005,0)=ROW()-5,N($AA746)+1,N($AA746)))</f>
        <v/>
      </c>
    </row>
    <row r="748" ht="21" customHeight="1" s="66">
      <c r="A748" s="56" t="n"/>
      <c r="B748" s="57" t="n"/>
      <c r="C748" s="57" t="n"/>
      <c r="D748" s="57" t="n"/>
      <c r="E748" s="56" t="n"/>
      <c r="F748" s="57" t="n"/>
      <c r="G748" s="57" t="n"/>
      <c r="H748" s="56" t="n"/>
      <c r="I748" s="56" t="n"/>
      <c r="J748" s="58" t="n"/>
      <c r="K748" s="58" t="n"/>
      <c r="L748" s="13">
        <f>IF(OR($A748="",AND($J748="",$K748="")),"",ROUND(N($J748)-N($K748),2))</f>
        <v/>
      </c>
      <c r="M748" s="13">
        <f>IF(OR($A748="",AND($J748="",$K748="")),"",MIN($J748,$K748))</f>
        <v/>
      </c>
      <c r="Q748">
        <f>IF($A748="","",$D748&amp;"("&amp;SUBSTITUTE($E748," ","")&amp;")")</f>
        <v/>
      </c>
      <c r="R748">
        <f>IF($A748="","",$B748&amp;" - "&amp;$C748)</f>
        <v/>
      </c>
      <c r="S748">
        <f>IF($A748="","",$R748&amp;"|"&amp;$Q748)</f>
        <v/>
      </c>
      <c r="T748">
        <f>IF($A748="","",$S748&amp;"|"&amp;$F748)</f>
        <v/>
      </c>
      <c r="U748">
        <f>IF($A748="","",$R748&amp;"("&amp;$E748&amp;")")</f>
        <v/>
      </c>
      <c r="V748">
        <f>IF($A748="","",$F748&amp;"|"&amp;$U748&amp;"|"&amp;$D748)</f>
        <v/>
      </c>
      <c r="W748">
        <f>IF($T748="","",IF($X748&gt;N($X747),$X748,""))</f>
        <v/>
      </c>
      <c r="X748">
        <f>IF($T748="",N($X747),IF(MATCH($T748,$T$6:$T$6005,0)=ROW()-5,N($X747)+1,N($X747)))</f>
        <v/>
      </c>
      <c r="Z748">
        <f>IF($V748="","",IF($AA748&gt;N($AA747),$AA748,""))</f>
        <v/>
      </c>
      <c r="AA748">
        <f>IF($V748="",N($AA747),IF(MATCH($V748,$V$6:$V$6005,0)=ROW()-5,N($AA747)+1,N($AA747)))</f>
        <v/>
      </c>
    </row>
    <row r="749" ht="21" customHeight="1" s="66">
      <c r="A749" s="56" t="n"/>
      <c r="B749" s="57" t="n"/>
      <c r="C749" s="57" t="n"/>
      <c r="D749" s="57" t="n"/>
      <c r="E749" s="56" t="n"/>
      <c r="F749" s="57" t="n"/>
      <c r="G749" s="57" t="n"/>
      <c r="H749" s="56" t="n"/>
      <c r="I749" s="56" t="n"/>
      <c r="J749" s="58" t="n"/>
      <c r="K749" s="58" t="n"/>
      <c r="L749" s="13">
        <f>IF(OR($A749="",AND($J749="",$K749="")),"",ROUND(N($J749)-N($K749),2))</f>
        <v/>
      </c>
      <c r="M749" s="13">
        <f>IF(OR($A749="",AND($J749="",$K749="")),"",MIN($J749,$K749))</f>
        <v/>
      </c>
      <c r="Q749">
        <f>IF($A749="","",$D749&amp;"("&amp;SUBSTITUTE($E749," ","")&amp;")")</f>
        <v/>
      </c>
      <c r="R749">
        <f>IF($A749="","",$B749&amp;" - "&amp;$C749)</f>
        <v/>
      </c>
      <c r="S749">
        <f>IF($A749="","",$R749&amp;"|"&amp;$Q749)</f>
        <v/>
      </c>
      <c r="T749">
        <f>IF($A749="","",$S749&amp;"|"&amp;$F749)</f>
        <v/>
      </c>
      <c r="U749">
        <f>IF($A749="","",$R749&amp;"("&amp;$E749&amp;")")</f>
        <v/>
      </c>
      <c r="V749">
        <f>IF($A749="","",$F749&amp;"|"&amp;$U749&amp;"|"&amp;$D749)</f>
        <v/>
      </c>
      <c r="W749">
        <f>IF($T749="","",IF($X749&gt;N($X748),$X749,""))</f>
        <v/>
      </c>
      <c r="X749">
        <f>IF($T749="",N($X748),IF(MATCH($T749,$T$6:$T$6005,0)=ROW()-5,N($X748)+1,N($X748)))</f>
        <v/>
      </c>
      <c r="Z749">
        <f>IF($V749="","",IF($AA749&gt;N($AA748),$AA749,""))</f>
        <v/>
      </c>
      <c r="AA749">
        <f>IF($V749="",N($AA748),IF(MATCH($V749,$V$6:$V$6005,0)=ROW()-5,N($AA748)+1,N($AA748)))</f>
        <v/>
      </c>
    </row>
    <row r="750" ht="21" customHeight="1" s="66">
      <c r="A750" s="56" t="n"/>
      <c r="B750" s="57" t="n"/>
      <c r="C750" s="57" t="n"/>
      <c r="D750" s="57" t="n"/>
      <c r="E750" s="56" t="n"/>
      <c r="F750" s="57" t="n"/>
      <c r="G750" s="57" t="n"/>
      <c r="H750" s="56" t="n"/>
      <c r="I750" s="56" t="n"/>
      <c r="J750" s="58" t="n"/>
      <c r="K750" s="58" t="n"/>
      <c r="L750" s="13">
        <f>IF(OR($A750="",AND($J750="",$K750="")),"",ROUND(N($J750)-N($K750),2))</f>
        <v/>
      </c>
      <c r="M750" s="13">
        <f>IF(OR($A750="",AND($J750="",$K750="")),"",MIN($J750,$K750))</f>
        <v/>
      </c>
      <c r="Q750">
        <f>IF($A750="","",$D750&amp;"("&amp;SUBSTITUTE($E750," ","")&amp;")")</f>
        <v/>
      </c>
      <c r="R750">
        <f>IF($A750="","",$B750&amp;" - "&amp;$C750)</f>
        <v/>
      </c>
      <c r="S750">
        <f>IF($A750="","",$R750&amp;"|"&amp;$Q750)</f>
        <v/>
      </c>
      <c r="T750">
        <f>IF($A750="","",$S750&amp;"|"&amp;$F750)</f>
        <v/>
      </c>
      <c r="U750">
        <f>IF($A750="","",$R750&amp;"("&amp;$E750&amp;")")</f>
        <v/>
      </c>
      <c r="V750">
        <f>IF($A750="","",$F750&amp;"|"&amp;$U750&amp;"|"&amp;$D750)</f>
        <v/>
      </c>
      <c r="W750">
        <f>IF($T750="","",IF($X750&gt;N($X749),$X750,""))</f>
        <v/>
      </c>
      <c r="X750">
        <f>IF($T750="",N($X749),IF(MATCH($T750,$T$6:$T$6005,0)=ROW()-5,N($X749)+1,N($X749)))</f>
        <v/>
      </c>
      <c r="Z750">
        <f>IF($V750="","",IF($AA750&gt;N($AA749),$AA750,""))</f>
        <v/>
      </c>
      <c r="AA750">
        <f>IF($V750="",N($AA749),IF(MATCH($V750,$V$6:$V$6005,0)=ROW()-5,N($AA749)+1,N($AA749)))</f>
        <v/>
      </c>
    </row>
    <row r="751" ht="21" customHeight="1" s="66">
      <c r="A751" s="56" t="n"/>
      <c r="B751" s="57" t="n"/>
      <c r="C751" s="57" t="n"/>
      <c r="D751" s="57" t="n"/>
      <c r="E751" s="56" t="n"/>
      <c r="F751" s="57" t="n"/>
      <c r="G751" s="57" t="n"/>
      <c r="H751" s="56" t="n"/>
      <c r="I751" s="56" t="n"/>
      <c r="J751" s="58" t="n"/>
      <c r="K751" s="58" t="n"/>
      <c r="L751" s="13">
        <f>IF(OR($A751="",AND($J751="",$K751="")),"",ROUND(N($J751)-N($K751),2))</f>
        <v/>
      </c>
      <c r="M751" s="13">
        <f>IF(OR($A751="",AND($J751="",$K751="")),"",MIN($J751,$K751))</f>
        <v/>
      </c>
      <c r="Q751">
        <f>IF($A751="","",$D751&amp;"("&amp;SUBSTITUTE($E751," ","")&amp;")")</f>
        <v/>
      </c>
      <c r="R751">
        <f>IF($A751="","",$B751&amp;" - "&amp;$C751)</f>
        <v/>
      </c>
      <c r="S751">
        <f>IF($A751="","",$R751&amp;"|"&amp;$Q751)</f>
        <v/>
      </c>
      <c r="T751">
        <f>IF($A751="","",$S751&amp;"|"&amp;$F751)</f>
        <v/>
      </c>
      <c r="U751">
        <f>IF($A751="","",$R751&amp;"("&amp;$E751&amp;")")</f>
        <v/>
      </c>
      <c r="V751">
        <f>IF($A751="","",$F751&amp;"|"&amp;$U751&amp;"|"&amp;$D751)</f>
        <v/>
      </c>
      <c r="W751">
        <f>IF($T751="","",IF($X751&gt;N($X750),$X751,""))</f>
        <v/>
      </c>
      <c r="X751">
        <f>IF($T751="",N($X750),IF(MATCH($T751,$T$6:$T$6005,0)=ROW()-5,N($X750)+1,N($X750)))</f>
        <v/>
      </c>
      <c r="Z751">
        <f>IF($V751="","",IF($AA751&gt;N($AA750),$AA751,""))</f>
        <v/>
      </c>
      <c r="AA751">
        <f>IF($V751="",N($AA750),IF(MATCH($V751,$V$6:$V$6005,0)=ROW()-5,N($AA750)+1,N($AA750)))</f>
        <v/>
      </c>
    </row>
    <row r="752" ht="21" customHeight="1" s="66">
      <c r="A752" s="56" t="n"/>
      <c r="B752" s="57" t="n"/>
      <c r="C752" s="57" t="n"/>
      <c r="D752" s="57" t="n"/>
      <c r="E752" s="56" t="n"/>
      <c r="F752" s="57" t="n"/>
      <c r="G752" s="57" t="n"/>
      <c r="H752" s="56" t="n"/>
      <c r="I752" s="56" t="n"/>
      <c r="J752" s="58" t="n"/>
      <c r="K752" s="58" t="n"/>
      <c r="L752" s="13">
        <f>IF(OR($A752="",AND($J752="",$K752="")),"",ROUND(N($J752)-N($K752),2))</f>
        <v/>
      </c>
      <c r="M752" s="13">
        <f>IF(OR($A752="",AND($J752="",$K752="")),"",MIN($J752,$K752))</f>
        <v/>
      </c>
      <c r="Q752">
        <f>IF($A752="","",$D752&amp;"("&amp;SUBSTITUTE($E752," ","")&amp;")")</f>
        <v/>
      </c>
      <c r="R752">
        <f>IF($A752="","",$B752&amp;" - "&amp;$C752)</f>
        <v/>
      </c>
      <c r="S752">
        <f>IF($A752="","",$R752&amp;"|"&amp;$Q752)</f>
        <v/>
      </c>
      <c r="T752">
        <f>IF($A752="","",$S752&amp;"|"&amp;$F752)</f>
        <v/>
      </c>
      <c r="U752">
        <f>IF($A752="","",$R752&amp;"("&amp;$E752&amp;")")</f>
        <v/>
      </c>
      <c r="V752">
        <f>IF($A752="","",$F752&amp;"|"&amp;$U752&amp;"|"&amp;$D752)</f>
        <v/>
      </c>
      <c r="W752">
        <f>IF($T752="","",IF($X752&gt;N($X751),$X752,""))</f>
        <v/>
      </c>
      <c r="X752">
        <f>IF($T752="",N($X751),IF(MATCH($T752,$T$6:$T$6005,0)=ROW()-5,N($X751)+1,N($X751)))</f>
        <v/>
      </c>
      <c r="Z752">
        <f>IF($V752="","",IF($AA752&gt;N($AA751),$AA752,""))</f>
        <v/>
      </c>
      <c r="AA752">
        <f>IF($V752="",N($AA751),IF(MATCH($V752,$V$6:$V$6005,0)=ROW()-5,N($AA751)+1,N($AA751)))</f>
        <v/>
      </c>
    </row>
    <row r="753" ht="21" customHeight="1" s="66">
      <c r="A753" s="56" t="n"/>
      <c r="B753" s="57" t="n"/>
      <c r="C753" s="57" t="n"/>
      <c r="D753" s="57" t="n"/>
      <c r="E753" s="56" t="n"/>
      <c r="F753" s="57" t="n"/>
      <c r="G753" s="57" t="n"/>
      <c r="H753" s="56" t="n"/>
      <c r="I753" s="56" t="n"/>
      <c r="J753" s="58" t="n"/>
      <c r="K753" s="58" t="n"/>
      <c r="L753" s="13">
        <f>IF(OR($A753="",AND($J753="",$K753="")),"",ROUND(N($J753)-N($K753),2))</f>
        <v/>
      </c>
      <c r="M753" s="13">
        <f>IF(OR($A753="",AND($J753="",$K753="")),"",MIN($J753,$K753))</f>
        <v/>
      </c>
      <c r="Q753">
        <f>IF($A753="","",$D753&amp;"("&amp;SUBSTITUTE($E753," ","")&amp;")")</f>
        <v/>
      </c>
      <c r="R753">
        <f>IF($A753="","",$B753&amp;" - "&amp;$C753)</f>
        <v/>
      </c>
      <c r="S753">
        <f>IF($A753="","",$R753&amp;"|"&amp;$Q753)</f>
        <v/>
      </c>
      <c r="T753">
        <f>IF($A753="","",$S753&amp;"|"&amp;$F753)</f>
        <v/>
      </c>
      <c r="U753">
        <f>IF($A753="","",$R753&amp;"("&amp;$E753&amp;")")</f>
        <v/>
      </c>
      <c r="V753">
        <f>IF($A753="","",$F753&amp;"|"&amp;$U753&amp;"|"&amp;$D753)</f>
        <v/>
      </c>
      <c r="W753">
        <f>IF($T753="","",IF($X753&gt;N($X752),$X753,""))</f>
        <v/>
      </c>
      <c r="X753">
        <f>IF($T753="",N($X752),IF(MATCH($T753,$T$6:$T$6005,0)=ROW()-5,N($X752)+1,N($X752)))</f>
        <v/>
      </c>
      <c r="Z753">
        <f>IF($V753="","",IF($AA753&gt;N($AA752),$AA753,""))</f>
        <v/>
      </c>
      <c r="AA753">
        <f>IF($V753="",N($AA752),IF(MATCH($V753,$V$6:$V$6005,0)=ROW()-5,N($AA752)+1,N($AA752)))</f>
        <v/>
      </c>
    </row>
    <row r="754" ht="21" customHeight="1" s="66">
      <c r="A754" s="56" t="n"/>
      <c r="B754" s="57" t="n"/>
      <c r="C754" s="57" t="n"/>
      <c r="D754" s="57" t="n"/>
      <c r="E754" s="56" t="n"/>
      <c r="F754" s="57" t="n"/>
      <c r="G754" s="57" t="n"/>
      <c r="H754" s="56" t="n"/>
      <c r="I754" s="56" t="n"/>
      <c r="J754" s="58" t="n"/>
      <c r="K754" s="58" t="n"/>
      <c r="L754" s="13">
        <f>IF(OR($A754="",AND($J754="",$K754="")),"",ROUND(N($J754)-N($K754),2))</f>
        <v/>
      </c>
      <c r="M754" s="13">
        <f>IF(OR($A754="",AND($J754="",$K754="")),"",MIN($J754,$K754))</f>
        <v/>
      </c>
      <c r="Q754">
        <f>IF($A754="","",$D754&amp;"("&amp;SUBSTITUTE($E754," ","")&amp;")")</f>
        <v/>
      </c>
      <c r="R754">
        <f>IF($A754="","",$B754&amp;" - "&amp;$C754)</f>
        <v/>
      </c>
      <c r="S754">
        <f>IF($A754="","",$R754&amp;"|"&amp;$Q754)</f>
        <v/>
      </c>
      <c r="T754">
        <f>IF($A754="","",$S754&amp;"|"&amp;$F754)</f>
        <v/>
      </c>
      <c r="U754">
        <f>IF($A754="","",$R754&amp;"("&amp;$E754&amp;")")</f>
        <v/>
      </c>
      <c r="V754">
        <f>IF($A754="","",$F754&amp;"|"&amp;$U754&amp;"|"&amp;$D754)</f>
        <v/>
      </c>
      <c r="W754">
        <f>IF($T754="","",IF($X754&gt;N($X753),$X754,""))</f>
        <v/>
      </c>
      <c r="X754">
        <f>IF($T754="",N($X753),IF(MATCH($T754,$T$6:$T$6005,0)=ROW()-5,N($X753)+1,N($X753)))</f>
        <v/>
      </c>
      <c r="Z754">
        <f>IF($V754="","",IF($AA754&gt;N($AA753),$AA754,""))</f>
        <v/>
      </c>
      <c r="AA754">
        <f>IF($V754="",N($AA753),IF(MATCH($V754,$V$6:$V$6005,0)=ROW()-5,N($AA753)+1,N($AA753)))</f>
        <v/>
      </c>
    </row>
    <row r="755" ht="21" customHeight="1" s="66">
      <c r="A755" s="56" t="n"/>
      <c r="B755" s="57" t="n"/>
      <c r="C755" s="57" t="n"/>
      <c r="D755" s="57" t="n"/>
      <c r="E755" s="56" t="n"/>
      <c r="F755" s="57" t="n"/>
      <c r="G755" s="57" t="n"/>
      <c r="H755" s="56" t="n"/>
      <c r="I755" s="56" t="n"/>
      <c r="J755" s="58" t="n"/>
      <c r="K755" s="58" t="n"/>
      <c r="L755" s="13">
        <f>IF(OR($A755="",AND($J755="",$K755="")),"",ROUND(N($J755)-N($K755),2))</f>
        <v/>
      </c>
      <c r="M755" s="13">
        <f>IF(OR($A755="",AND($J755="",$K755="")),"",MIN($J755,$K755))</f>
        <v/>
      </c>
      <c r="Q755">
        <f>IF($A755="","",$D755&amp;"("&amp;SUBSTITUTE($E755," ","")&amp;")")</f>
        <v/>
      </c>
      <c r="R755">
        <f>IF($A755="","",$B755&amp;" - "&amp;$C755)</f>
        <v/>
      </c>
      <c r="S755">
        <f>IF($A755="","",$R755&amp;"|"&amp;$Q755)</f>
        <v/>
      </c>
      <c r="T755">
        <f>IF($A755="","",$S755&amp;"|"&amp;$F755)</f>
        <v/>
      </c>
      <c r="U755">
        <f>IF($A755="","",$R755&amp;"("&amp;$E755&amp;")")</f>
        <v/>
      </c>
      <c r="V755">
        <f>IF($A755="","",$F755&amp;"|"&amp;$U755&amp;"|"&amp;$D755)</f>
        <v/>
      </c>
      <c r="W755">
        <f>IF($T755="","",IF($X755&gt;N($X754),$X755,""))</f>
        <v/>
      </c>
      <c r="X755">
        <f>IF($T755="",N($X754),IF(MATCH($T755,$T$6:$T$6005,0)=ROW()-5,N($X754)+1,N($X754)))</f>
        <v/>
      </c>
      <c r="Z755">
        <f>IF($V755="","",IF($AA755&gt;N($AA754),$AA755,""))</f>
        <v/>
      </c>
      <c r="AA755">
        <f>IF($V755="",N($AA754),IF(MATCH($V755,$V$6:$V$6005,0)=ROW()-5,N($AA754)+1,N($AA754)))</f>
        <v/>
      </c>
    </row>
    <row r="756" ht="21" customHeight="1" s="66">
      <c r="A756" s="56" t="n"/>
      <c r="B756" s="57" t="n"/>
      <c r="C756" s="57" t="n"/>
      <c r="D756" s="57" t="n"/>
      <c r="E756" s="56" t="n"/>
      <c r="F756" s="57" t="n"/>
      <c r="G756" s="57" t="n"/>
      <c r="H756" s="56" t="n"/>
      <c r="I756" s="56" t="n"/>
      <c r="J756" s="58" t="n"/>
      <c r="K756" s="58" t="n"/>
      <c r="L756" s="13">
        <f>IF(OR($A756="",AND($J756="",$K756="")),"",ROUND(N($J756)-N($K756),2))</f>
        <v/>
      </c>
      <c r="M756" s="13">
        <f>IF(OR($A756="",AND($J756="",$K756="")),"",MIN($J756,$K756))</f>
        <v/>
      </c>
      <c r="Q756">
        <f>IF($A756="","",$D756&amp;"("&amp;SUBSTITUTE($E756," ","")&amp;")")</f>
        <v/>
      </c>
      <c r="R756">
        <f>IF($A756="","",$B756&amp;" - "&amp;$C756)</f>
        <v/>
      </c>
      <c r="S756">
        <f>IF($A756="","",$R756&amp;"|"&amp;$Q756)</f>
        <v/>
      </c>
      <c r="T756">
        <f>IF($A756="","",$S756&amp;"|"&amp;$F756)</f>
        <v/>
      </c>
      <c r="U756">
        <f>IF($A756="","",$R756&amp;"("&amp;$E756&amp;")")</f>
        <v/>
      </c>
      <c r="V756">
        <f>IF($A756="","",$F756&amp;"|"&amp;$U756&amp;"|"&amp;$D756)</f>
        <v/>
      </c>
      <c r="W756">
        <f>IF($T756="","",IF($X756&gt;N($X755),$X756,""))</f>
        <v/>
      </c>
      <c r="X756">
        <f>IF($T756="",N($X755),IF(MATCH($T756,$T$6:$T$6005,0)=ROW()-5,N($X755)+1,N($X755)))</f>
        <v/>
      </c>
      <c r="Z756">
        <f>IF($V756="","",IF($AA756&gt;N($AA755),$AA756,""))</f>
        <v/>
      </c>
      <c r="AA756">
        <f>IF($V756="",N($AA755),IF(MATCH($V756,$V$6:$V$6005,0)=ROW()-5,N($AA755)+1,N($AA755)))</f>
        <v/>
      </c>
    </row>
    <row r="757" ht="21" customHeight="1" s="66">
      <c r="A757" s="56" t="n"/>
      <c r="B757" s="57" t="n"/>
      <c r="C757" s="57" t="n"/>
      <c r="D757" s="57" t="n"/>
      <c r="E757" s="56" t="n"/>
      <c r="F757" s="57" t="n"/>
      <c r="G757" s="57" t="n"/>
      <c r="H757" s="56" t="n"/>
      <c r="I757" s="56" t="n"/>
      <c r="J757" s="58" t="n"/>
      <c r="K757" s="58" t="n"/>
      <c r="L757" s="13">
        <f>IF(OR($A757="",AND($J757="",$K757="")),"",ROUND(N($J757)-N($K757),2))</f>
        <v/>
      </c>
      <c r="M757" s="13">
        <f>IF(OR($A757="",AND($J757="",$K757="")),"",MIN($J757,$K757))</f>
        <v/>
      </c>
      <c r="Q757">
        <f>IF($A757="","",$D757&amp;"("&amp;SUBSTITUTE($E757," ","")&amp;")")</f>
        <v/>
      </c>
      <c r="R757">
        <f>IF($A757="","",$B757&amp;" - "&amp;$C757)</f>
        <v/>
      </c>
      <c r="S757">
        <f>IF($A757="","",$R757&amp;"|"&amp;$Q757)</f>
        <v/>
      </c>
      <c r="T757">
        <f>IF($A757="","",$S757&amp;"|"&amp;$F757)</f>
        <v/>
      </c>
      <c r="U757">
        <f>IF($A757="","",$R757&amp;"("&amp;$E757&amp;")")</f>
        <v/>
      </c>
      <c r="V757">
        <f>IF($A757="","",$F757&amp;"|"&amp;$U757&amp;"|"&amp;$D757)</f>
        <v/>
      </c>
      <c r="W757">
        <f>IF($T757="","",IF($X757&gt;N($X756),$X757,""))</f>
        <v/>
      </c>
      <c r="X757">
        <f>IF($T757="",N($X756),IF(MATCH($T757,$T$6:$T$6005,0)=ROW()-5,N($X756)+1,N($X756)))</f>
        <v/>
      </c>
      <c r="Z757">
        <f>IF($V757="","",IF($AA757&gt;N($AA756),$AA757,""))</f>
        <v/>
      </c>
      <c r="AA757">
        <f>IF($V757="",N($AA756),IF(MATCH($V757,$V$6:$V$6005,0)=ROW()-5,N($AA756)+1,N($AA756)))</f>
        <v/>
      </c>
    </row>
    <row r="758" ht="21" customHeight="1" s="66">
      <c r="A758" s="56" t="n"/>
      <c r="B758" s="57" t="n"/>
      <c r="C758" s="57" t="n"/>
      <c r="D758" s="57" t="n"/>
      <c r="E758" s="56" t="n"/>
      <c r="F758" s="57" t="n"/>
      <c r="G758" s="57" t="n"/>
      <c r="H758" s="56" t="n"/>
      <c r="I758" s="56" t="n"/>
      <c r="J758" s="58" t="n"/>
      <c r="K758" s="58" t="n"/>
      <c r="L758" s="13">
        <f>IF(OR($A758="",AND($J758="",$K758="")),"",ROUND(N($J758)-N($K758),2))</f>
        <v/>
      </c>
      <c r="M758" s="13">
        <f>IF(OR($A758="",AND($J758="",$K758="")),"",MIN($J758,$K758))</f>
        <v/>
      </c>
      <c r="Q758">
        <f>IF($A758="","",$D758&amp;"("&amp;SUBSTITUTE($E758," ","")&amp;")")</f>
        <v/>
      </c>
      <c r="R758">
        <f>IF($A758="","",$B758&amp;" - "&amp;$C758)</f>
        <v/>
      </c>
      <c r="S758">
        <f>IF($A758="","",$R758&amp;"|"&amp;$Q758)</f>
        <v/>
      </c>
      <c r="T758">
        <f>IF($A758="","",$S758&amp;"|"&amp;$F758)</f>
        <v/>
      </c>
      <c r="U758">
        <f>IF($A758="","",$R758&amp;"("&amp;$E758&amp;")")</f>
        <v/>
      </c>
      <c r="V758">
        <f>IF($A758="","",$F758&amp;"|"&amp;$U758&amp;"|"&amp;$D758)</f>
        <v/>
      </c>
      <c r="W758">
        <f>IF($T758="","",IF($X758&gt;N($X757),$X758,""))</f>
        <v/>
      </c>
      <c r="X758">
        <f>IF($T758="",N($X757),IF(MATCH($T758,$T$6:$T$6005,0)=ROW()-5,N($X757)+1,N($X757)))</f>
        <v/>
      </c>
      <c r="Z758">
        <f>IF($V758="","",IF($AA758&gt;N($AA757),$AA758,""))</f>
        <v/>
      </c>
      <c r="AA758">
        <f>IF($V758="",N($AA757),IF(MATCH($V758,$V$6:$V$6005,0)=ROW()-5,N($AA757)+1,N($AA757)))</f>
        <v/>
      </c>
    </row>
    <row r="759" ht="21" customHeight="1" s="66">
      <c r="A759" s="56" t="n"/>
      <c r="B759" s="57" t="n"/>
      <c r="C759" s="57" t="n"/>
      <c r="D759" s="57" t="n"/>
      <c r="E759" s="56" t="n"/>
      <c r="F759" s="57" t="n"/>
      <c r="G759" s="57" t="n"/>
      <c r="H759" s="56" t="n"/>
      <c r="I759" s="56" t="n"/>
      <c r="J759" s="58" t="n"/>
      <c r="K759" s="58" t="n"/>
      <c r="L759" s="13">
        <f>IF(OR($A759="",AND($J759="",$K759="")),"",ROUND(N($J759)-N($K759),2))</f>
        <v/>
      </c>
      <c r="M759" s="13">
        <f>IF(OR($A759="",AND($J759="",$K759="")),"",MIN($J759,$K759))</f>
        <v/>
      </c>
      <c r="Q759">
        <f>IF($A759="","",$D759&amp;"("&amp;SUBSTITUTE($E759," ","")&amp;")")</f>
        <v/>
      </c>
      <c r="R759">
        <f>IF($A759="","",$B759&amp;" - "&amp;$C759)</f>
        <v/>
      </c>
      <c r="S759">
        <f>IF($A759="","",$R759&amp;"|"&amp;$Q759)</f>
        <v/>
      </c>
      <c r="T759">
        <f>IF($A759="","",$S759&amp;"|"&amp;$F759)</f>
        <v/>
      </c>
      <c r="U759">
        <f>IF($A759="","",$R759&amp;"("&amp;$E759&amp;")")</f>
        <v/>
      </c>
      <c r="V759">
        <f>IF($A759="","",$F759&amp;"|"&amp;$U759&amp;"|"&amp;$D759)</f>
        <v/>
      </c>
      <c r="W759">
        <f>IF($T759="","",IF($X759&gt;N($X758),$X759,""))</f>
        <v/>
      </c>
      <c r="X759">
        <f>IF($T759="",N($X758),IF(MATCH($T759,$T$6:$T$6005,0)=ROW()-5,N($X758)+1,N($X758)))</f>
        <v/>
      </c>
      <c r="Z759">
        <f>IF($V759="","",IF($AA759&gt;N($AA758),$AA759,""))</f>
        <v/>
      </c>
      <c r="AA759">
        <f>IF($V759="",N($AA758),IF(MATCH($V759,$V$6:$V$6005,0)=ROW()-5,N($AA758)+1,N($AA758)))</f>
        <v/>
      </c>
    </row>
    <row r="760" ht="21" customHeight="1" s="66">
      <c r="A760" s="56" t="n"/>
      <c r="B760" s="57" t="n"/>
      <c r="C760" s="57" t="n"/>
      <c r="D760" s="57" t="n"/>
      <c r="E760" s="56" t="n"/>
      <c r="F760" s="57" t="n"/>
      <c r="G760" s="57" t="n"/>
      <c r="H760" s="56" t="n"/>
      <c r="I760" s="56" t="n"/>
      <c r="J760" s="58" t="n"/>
      <c r="K760" s="58" t="n"/>
      <c r="L760" s="13">
        <f>IF(OR($A760="",AND($J760="",$K760="")),"",ROUND(N($J760)-N($K760),2))</f>
        <v/>
      </c>
      <c r="M760" s="13">
        <f>IF(OR($A760="",AND($J760="",$K760="")),"",MIN($J760,$K760))</f>
        <v/>
      </c>
      <c r="Q760">
        <f>IF($A760="","",$D760&amp;"("&amp;SUBSTITUTE($E760," ","")&amp;")")</f>
        <v/>
      </c>
      <c r="R760">
        <f>IF($A760="","",$B760&amp;" - "&amp;$C760)</f>
        <v/>
      </c>
      <c r="S760">
        <f>IF($A760="","",$R760&amp;"|"&amp;$Q760)</f>
        <v/>
      </c>
      <c r="T760">
        <f>IF($A760="","",$S760&amp;"|"&amp;$F760)</f>
        <v/>
      </c>
      <c r="U760">
        <f>IF($A760="","",$R760&amp;"("&amp;$E760&amp;")")</f>
        <v/>
      </c>
      <c r="V760">
        <f>IF($A760="","",$F760&amp;"|"&amp;$U760&amp;"|"&amp;$D760)</f>
        <v/>
      </c>
      <c r="W760">
        <f>IF($T760="","",IF($X760&gt;N($X759),$X760,""))</f>
        <v/>
      </c>
      <c r="X760">
        <f>IF($T760="",N($X759),IF(MATCH($T760,$T$6:$T$6005,0)=ROW()-5,N($X759)+1,N($X759)))</f>
        <v/>
      </c>
      <c r="Z760">
        <f>IF($V760="","",IF($AA760&gt;N($AA759),$AA760,""))</f>
        <v/>
      </c>
      <c r="AA760">
        <f>IF($V760="",N($AA759),IF(MATCH($V760,$V$6:$V$6005,0)=ROW()-5,N($AA759)+1,N($AA759)))</f>
        <v/>
      </c>
    </row>
    <row r="761" ht="21" customHeight="1" s="66">
      <c r="A761" s="56" t="n"/>
      <c r="B761" s="57" t="n"/>
      <c r="C761" s="57" t="n"/>
      <c r="D761" s="57" t="n"/>
      <c r="E761" s="56" t="n"/>
      <c r="F761" s="57" t="n"/>
      <c r="G761" s="57" t="n"/>
      <c r="H761" s="56" t="n"/>
      <c r="I761" s="56" t="n"/>
      <c r="J761" s="58" t="n"/>
      <c r="K761" s="58" t="n"/>
      <c r="L761" s="13">
        <f>IF(OR($A761="",AND($J761="",$K761="")),"",ROUND(N($J761)-N($K761),2))</f>
        <v/>
      </c>
      <c r="M761" s="13">
        <f>IF(OR($A761="",AND($J761="",$K761="")),"",MIN($J761,$K761))</f>
        <v/>
      </c>
      <c r="Q761">
        <f>IF($A761="","",$D761&amp;"("&amp;SUBSTITUTE($E761," ","")&amp;")")</f>
        <v/>
      </c>
      <c r="R761">
        <f>IF($A761="","",$B761&amp;" - "&amp;$C761)</f>
        <v/>
      </c>
      <c r="S761">
        <f>IF($A761="","",$R761&amp;"|"&amp;$Q761)</f>
        <v/>
      </c>
      <c r="T761">
        <f>IF($A761="","",$S761&amp;"|"&amp;$F761)</f>
        <v/>
      </c>
      <c r="U761">
        <f>IF($A761="","",$R761&amp;"("&amp;$E761&amp;")")</f>
        <v/>
      </c>
      <c r="V761">
        <f>IF($A761="","",$F761&amp;"|"&amp;$U761&amp;"|"&amp;$D761)</f>
        <v/>
      </c>
      <c r="W761">
        <f>IF($T761="","",IF($X761&gt;N($X760),$X761,""))</f>
        <v/>
      </c>
      <c r="X761">
        <f>IF($T761="",N($X760),IF(MATCH($T761,$T$6:$T$6005,0)=ROW()-5,N($X760)+1,N($X760)))</f>
        <v/>
      </c>
      <c r="Z761">
        <f>IF($V761="","",IF($AA761&gt;N($AA760),$AA761,""))</f>
        <v/>
      </c>
      <c r="AA761">
        <f>IF($V761="",N($AA760),IF(MATCH($V761,$V$6:$V$6005,0)=ROW()-5,N($AA760)+1,N($AA760)))</f>
        <v/>
      </c>
    </row>
    <row r="762" ht="21" customHeight="1" s="66">
      <c r="A762" s="56" t="n"/>
      <c r="B762" s="57" t="n"/>
      <c r="C762" s="57" t="n"/>
      <c r="D762" s="57" t="n"/>
      <c r="E762" s="56" t="n"/>
      <c r="F762" s="57" t="n"/>
      <c r="G762" s="57" t="n"/>
      <c r="H762" s="56" t="n"/>
      <c r="I762" s="56" t="n"/>
      <c r="J762" s="58" t="n"/>
      <c r="K762" s="58" t="n"/>
      <c r="L762" s="13">
        <f>IF(OR($A762="",AND($J762="",$K762="")),"",ROUND(N($J762)-N($K762),2))</f>
        <v/>
      </c>
      <c r="M762" s="13">
        <f>IF(OR($A762="",AND($J762="",$K762="")),"",MIN($J762,$K762))</f>
        <v/>
      </c>
      <c r="Q762">
        <f>IF($A762="","",$D762&amp;"("&amp;SUBSTITUTE($E762," ","")&amp;")")</f>
        <v/>
      </c>
      <c r="R762">
        <f>IF($A762="","",$B762&amp;" - "&amp;$C762)</f>
        <v/>
      </c>
      <c r="S762">
        <f>IF($A762="","",$R762&amp;"|"&amp;$Q762)</f>
        <v/>
      </c>
      <c r="T762">
        <f>IF($A762="","",$S762&amp;"|"&amp;$F762)</f>
        <v/>
      </c>
      <c r="U762">
        <f>IF($A762="","",$R762&amp;"("&amp;$E762&amp;")")</f>
        <v/>
      </c>
      <c r="V762">
        <f>IF($A762="","",$F762&amp;"|"&amp;$U762&amp;"|"&amp;$D762)</f>
        <v/>
      </c>
      <c r="W762">
        <f>IF($T762="","",IF($X762&gt;N($X761),$X762,""))</f>
        <v/>
      </c>
      <c r="X762">
        <f>IF($T762="",N($X761),IF(MATCH($T762,$T$6:$T$6005,0)=ROW()-5,N($X761)+1,N($X761)))</f>
        <v/>
      </c>
      <c r="Z762">
        <f>IF($V762="","",IF($AA762&gt;N($AA761),$AA762,""))</f>
        <v/>
      </c>
      <c r="AA762">
        <f>IF($V762="",N($AA761),IF(MATCH($V762,$V$6:$V$6005,0)=ROW()-5,N($AA761)+1,N($AA761)))</f>
        <v/>
      </c>
    </row>
    <row r="763" ht="21" customHeight="1" s="66">
      <c r="A763" s="56" t="n"/>
      <c r="B763" s="57" t="n"/>
      <c r="C763" s="57" t="n"/>
      <c r="D763" s="57" t="n"/>
      <c r="E763" s="56" t="n"/>
      <c r="F763" s="57" t="n"/>
      <c r="G763" s="57" t="n"/>
      <c r="H763" s="56" t="n"/>
      <c r="I763" s="56" t="n"/>
      <c r="J763" s="58" t="n"/>
      <c r="K763" s="58" t="n"/>
      <c r="L763" s="13">
        <f>IF(OR($A763="",AND($J763="",$K763="")),"",ROUND(N($J763)-N($K763),2))</f>
        <v/>
      </c>
      <c r="M763" s="13">
        <f>IF(OR($A763="",AND($J763="",$K763="")),"",MIN($J763,$K763))</f>
        <v/>
      </c>
      <c r="Q763">
        <f>IF($A763="","",$D763&amp;"("&amp;SUBSTITUTE($E763," ","")&amp;")")</f>
        <v/>
      </c>
      <c r="R763">
        <f>IF($A763="","",$B763&amp;" - "&amp;$C763)</f>
        <v/>
      </c>
      <c r="S763">
        <f>IF($A763="","",$R763&amp;"|"&amp;$Q763)</f>
        <v/>
      </c>
      <c r="T763">
        <f>IF($A763="","",$S763&amp;"|"&amp;$F763)</f>
        <v/>
      </c>
      <c r="U763">
        <f>IF($A763="","",$R763&amp;"("&amp;$E763&amp;")")</f>
        <v/>
      </c>
      <c r="V763">
        <f>IF($A763="","",$F763&amp;"|"&amp;$U763&amp;"|"&amp;$D763)</f>
        <v/>
      </c>
      <c r="W763">
        <f>IF($T763="","",IF($X763&gt;N($X762),$X763,""))</f>
        <v/>
      </c>
      <c r="X763">
        <f>IF($T763="",N($X762),IF(MATCH($T763,$T$6:$T$6005,0)=ROW()-5,N($X762)+1,N($X762)))</f>
        <v/>
      </c>
      <c r="Z763">
        <f>IF($V763="","",IF($AA763&gt;N($AA762),$AA763,""))</f>
        <v/>
      </c>
      <c r="AA763">
        <f>IF($V763="",N($AA762),IF(MATCH($V763,$V$6:$V$6005,0)=ROW()-5,N($AA762)+1,N($AA762)))</f>
        <v/>
      </c>
    </row>
    <row r="764" ht="21" customHeight="1" s="66">
      <c r="A764" s="56" t="n"/>
      <c r="B764" s="57" t="n"/>
      <c r="C764" s="57" t="n"/>
      <c r="D764" s="57" t="n"/>
      <c r="E764" s="56" t="n"/>
      <c r="F764" s="57" t="n"/>
      <c r="G764" s="57" t="n"/>
      <c r="H764" s="56" t="n"/>
      <c r="I764" s="56" t="n"/>
      <c r="J764" s="58" t="n"/>
      <c r="K764" s="58" t="n"/>
      <c r="L764" s="13">
        <f>IF(OR($A764="",AND($J764="",$K764="")),"",ROUND(N($J764)-N($K764),2))</f>
        <v/>
      </c>
      <c r="M764" s="13">
        <f>IF(OR($A764="",AND($J764="",$K764="")),"",MIN($J764,$K764))</f>
        <v/>
      </c>
      <c r="Q764">
        <f>IF($A764="","",$D764&amp;"("&amp;SUBSTITUTE($E764," ","")&amp;")")</f>
        <v/>
      </c>
      <c r="R764">
        <f>IF($A764="","",$B764&amp;" - "&amp;$C764)</f>
        <v/>
      </c>
      <c r="S764">
        <f>IF($A764="","",$R764&amp;"|"&amp;$Q764)</f>
        <v/>
      </c>
      <c r="T764">
        <f>IF($A764="","",$S764&amp;"|"&amp;$F764)</f>
        <v/>
      </c>
      <c r="U764">
        <f>IF($A764="","",$R764&amp;"("&amp;$E764&amp;")")</f>
        <v/>
      </c>
      <c r="V764">
        <f>IF($A764="","",$F764&amp;"|"&amp;$U764&amp;"|"&amp;$D764)</f>
        <v/>
      </c>
      <c r="W764">
        <f>IF($T764="","",IF($X764&gt;N($X763),$X764,""))</f>
        <v/>
      </c>
      <c r="X764">
        <f>IF($T764="",N($X763),IF(MATCH($T764,$T$6:$T$6005,0)=ROW()-5,N($X763)+1,N($X763)))</f>
        <v/>
      </c>
      <c r="Z764">
        <f>IF($V764="","",IF($AA764&gt;N($AA763),$AA764,""))</f>
        <v/>
      </c>
      <c r="AA764">
        <f>IF($V764="",N($AA763),IF(MATCH($V764,$V$6:$V$6005,0)=ROW()-5,N($AA763)+1,N($AA763)))</f>
        <v/>
      </c>
    </row>
    <row r="765" ht="21" customHeight="1" s="66">
      <c r="A765" s="56" t="n"/>
      <c r="B765" s="57" t="n"/>
      <c r="C765" s="57" t="n"/>
      <c r="D765" s="57" t="n"/>
      <c r="E765" s="56" t="n"/>
      <c r="F765" s="57" t="n"/>
      <c r="G765" s="57" t="n"/>
      <c r="H765" s="56" t="n"/>
      <c r="I765" s="56" t="n"/>
      <c r="J765" s="58" t="n"/>
      <c r="K765" s="58" t="n"/>
      <c r="L765" s="13">
        <f>IF(OR($A765="",AND($J765="",$K765="")),"",ROUND(N($J765)-N($K765),2))</f>
        <v/>
      </c>
      <c r="M765" s="13">
        <f>IF(OR($A765="",AND($J765="",$K765="")),"",MIN($J765,$K765))</f>
        <v/>
      </c>
      <c r="Q765">
        <f>IF($A765="","",$D765&amp;"("&amp;SUBSTITUTE($E765," ","")&amp;")")</f>
        <v/>
      </c>
      <c r="R765">
        <f>IF($A765="","",$B765&amp;" - "&amp;$C765)</f>
        <v/>
      </c>
      <c r="S765">
        <f>IF($A765="","",$R765&amp;"|"&amp;$Q765)</f>
        <v/>
      </c>
      <c r="T765">
        <f>IF($A765="","",$S765&amp;"|"&amp;$F765)</f>
        <v/>
      </c>
      <c r="U765">
        <f>IF($A765="","",$R765&amp;"("&amp;$E765&amp;")")</f>
        <v/>
      </c>
      <c r="V765">
        <f>IF($A765="","",$F765&amp;"|"&amp;$U765&amp;"|"&amp;$D765)</f>
        <v/>
      </c>
      <c r="W765">
        <f>IF($T765="","",IF($X765&gt;N($X764),$X765,""))</f>
        <v/>
      </c>
      <c r="X765">
        <f>IF($T765="",N($X764),IF(MATCH($T765,$T$6:$T$6005,0)=ROW()-5,N($X764)+1,N($X764)))</f>
        <v/>
      </c>
      <c r="Z765">
        <f>IF($V765="","",IF($AA765&gt;N($AA764),$AA765,""))</f>
        <v/>
      </c>
      <c r="AA765">
        <f>IF($V765="",N($AA764),IF(MATCH($V765,$V$6:$V$6005,0)=ROW()-5,N($AA764)+1,N($AA764)))</f>
        <v/>
      </c>
    </row>
    <row r="766" ht="21" customHeight="1" s="66">
      <c r="A766" s="56" t="n"/>
      <c r="B766" s="57" t="n"/>
      <c r="C766" s="57" t="n"/>
      <c r="D766" s="57" t="n"/>
      <c r="E766" s="56" t="n"/>
      <c r="F766" s="57" t="n"/>
      <c r="G766" s="57" t="n"/>
      <c r="H766" s="56" t="n"/>
      <c r="I766" s="56" t="n"/>
      <c r="J766" s="58" t="n"/>
      <c r="K766" s="58" t="n"/>
      <c r="L766" s="13">
        <f>IF(OR($A766="",AND($J766="",$K766="")),"",ROUND(N($J766)-N($K766),2))</f>
        <v/>
      </c>
      <c r="M766" s="13">
        <f>IF(OR($A766="",AND($J766="",$K766="")),"",MIN($J766,$K766))</f>
        <v/>
      </c>
      <c r="Q766">
        <f>IF($A766="","",$D766&amp;"("&amp;SUBSTITUTE($E766," ","")&amp;")")</f>
        <v/>
      </c>
      <c r="R766">
        <f>IF($A766="","",$B766&amp;" - "&amp;$C766)</f>
        <v/>
      </c>
      <c r="S766">
        <f>IF($A766="","",$R766&amp;"|"&amp;$Q766)</f>
        <v/>
      </c>
      <c r="T766">
        <f>IF($A766="","",$S766&amp;"|"&amp;$F766)</f>
        <v/>
      </c>
      <c r="U766">
        <f>IF($A766="","",$R766&amp;"("&amp;$E766&amp;")")</f>
        <v/>
      </c>
      <c r="V766">
        <f>IF($A766="","",$F766&amp;"|"&amp;$U766&amp;"|"&amp;$D766)</f>
        <v/>
      </c>
      <c r="W766">
        <f>IF($T766="","",IF($X766&gt;N($X765),$X766,""))</f>
        <v/>
      </c>
      <c r="X766">
        <f>IF($T766="",N($X765),IF(MATCH($T766,$T$6:$T$6005,0)=ROW()-5,N($X765)+1,N($X765)))</f>
        <v/>
      </c>
      <c r="Z766">
        <f>IF($V766="","",IF($AA766&gt;N($AA765),$AA766,""))</f>
        <v/>
      </c>
      <c r="AA766">
        <f>IF($V766="",N($AA765),IF(MATCH($V766,$V$6:$V$6005,0)=ROW()-5,N($AA765)+1,N($AA765)))</f>
        <v/>
      </c>
    </row>
    <row r="767" ht="21" customHeight="1" s="66">
      <c r="A767" s="56" t="n"/>
      <c r="B767" s="57" t="n"/>
      <c r="C767" s="57" t="n"/>
      <c r="D767" s="57" t="n"/>
      <c r="E767" s="56" t="n"/>
      <c r="F767" s="57" t="n"/>
      <c r="G767" s="57" t="n"/>
      <c r="H767" s="56" t="n"/>
      <c r="I767" s="56" t="n"/>
      <c r="J767" s="58" t="n"/>
      <c r="K767" s="58" t="n"/>
      <c r="L767" s="13">
        <f>IF(OR($A767="",AND($J767="",$K767="")),"",ROUND(N($J767)-N($K767),2))</f>
        <v/>
      </c>
      <c r="M767" s="13">
        <f>IF(OR($A767="",AND($J767="",$K767="")),"",MIN($J767,$K767))</f>
        <v/>
      </c>
      <c r="Q767">
        <f>IF($A767="","",$D767&amp;"("&amp;SUBSTITUTE($E767," ","")&amp;")")</f>
        <v/>
      </c>
      <c r="R767">
        <f>IF($A767="","",$B767&amp;" - "&amp;$C767)</f>
        <v/>
      </c>
      <c r="S767">
        <f>IF($A767="","",$R767&amp;"|"&amp;$Q767)</f>
        <v/>
      </c>
      <c r="T767">
        <f>IF($A767="","",$S767&amp;"|"&amp;$F767)</f>
        <v/>
      </c>
      <c r="U767">
        <f>IF($A767="","",$R767&amp;"("&amp;$E767&amp;")")</f>
        <v/>
      </c>
      <c r="V767">
        <f>IF($A767="","",$F767&amp;"|"&amp;$U767&amp;"|"&amp;$D767)</f>
        <v/>
      </c>
      <c r="W767">
        <f>IF($T767="","",IF($X767&gt;N($X766),$X767,""))</f>
        <v/>
      </c>
      <c r="X767">
        <f>IF($T767="",N($X766),IF(MATCH($T767,$T$6:$T$6005,0)=ROW()-5,N($X766)+1,N($X766)))</f>
        <v/>
      </c>
      <c r="Z767">
        <f>IF($V767="","",IF($AA767&gt;N($AA766),$AA767,""))</f>
        <v/>
      </c>
      <c r="AA767">
        <f>IF($V767="",N($AA766),IF(MATCH($V767,$V$6:$V$6005,0)=ROW()-5,N($AA766)+1,N($AA766)))</f>
        <v/>
      </c>
    </row>
    <row r="768" ht="21" customHeight="1" s="66">
      <c r="A768" s="56" t="n"/>
      <c r="B768" s="57" t="n"/>
      <c r="C768" s="57" t="n"/>
      <c r="D768" s="57" t="n"/>
      <c r="E768" s="56" t="n"/>
      <c r="F768" s="57" t="n"/>
      <c r="G768" s="57" t="n"/>
      <c r="H768" s="56" t="n"/>
      <c r="I768" s="56" t="n"/>
      <c r="J768" s="58" t="n"/>
      <c r="K768" s="58" t="n"/>
      <c r="L768" s="13">
        <f>IF(OR($A768="",AND($J768="",$K768="")),"",ROUND(N($J768)-N($K768),2))</f>
        <v/>
      </c>
      <c r="M768" s="13">
        <f>IF(OR($A768="",AND($J768="",$K768="")),"",MIN($J768,$K768))</f>
        <v/>
      </c>
      <c r="Q768">
        <f>IF($A768="","",$D768&amp;"("&amp;SUBSTITUTE($E768," ","")&amp;")")</f>
        <v/>
      </c>
      <c r="R768">
        <f>IF($A768="","",$B768&amp;" - "&amp;$C768)</f>
        <v/>
      </c>
      <c r="S768">
        <f>IF($A768="","",$R768&amp;"|"&amp;$Q768)</f>
        <v/>
      </c>
      <c r="T768">
        <f>IF($A768="","",$S768&amp;"|"&amp;$F768)</f>
        <v/>
      </c>
      <c r="U768">
        <f>IF($A768="","",$R768&amp;"("&amp;$E768&amp;")")</f>
        <v/>
      </c>
      <c r="V768">
        <f>IF($A768="","",$F768&amp;"|"&amp;$U768&amp;"|"&amp;$D768)</f>
        <v/>
      </c>
      <c r="W768">
        <f>IF($T768="","",IF($X768&gt;N($X767),$X768,""))</f>
        <v/>
      </c>
      <c r="X768">
        <f>IF($T768="",N($X767),IF(MATCH($T768,$T$6:$T$6005,0)=ROW()-5,N($X767)+1,N($X767)))</f>
        <v/>
      </c>
      <c r="Z768">
        <f>IF($V768="","",IF($AA768&gt;N($AA767),$AA768,""))</f>
        <v/>
      </c>
      <c r="AA768">
        <f>IF($V768="",N($AA767),IF(MATCH($V768,$V$6:$V$6005,0)=ROW()-5,N($AA767)+1,N($AA767)))</f>
        <v/>
      </c>
    </row>
    <row r="769" ht="21" customHeight="1" s="66">
      <c r="A769" s="56" t="n"/>
      <c r="B769" s="57" t="n"/>
      <c r="C769" s="57" t="n"/>
      <c r="D769" s="57" t="n"/>
      <c r="E769" s="56" t="n"/>
      <c r="F769" s="57" t="n"/>
      <c r="G769" s="57" t="n"/>
      <c r="H769" s="56" t="n"/>
      <c r="I769" s="56" t="n"/>
      <c r="J769" s="58" t="n"/>
      <c r="K769" s="58" t="n"/>
      <c r="L769" s="13">
        <f>IF(OR($A769="",AND($J769="",$K769="")),"",ROUND(N($J769)-N($K769),2))</f>
        <v/>
      </c>
      <c r="M769" s="13">
        <f>IF(OR($A769="",AND($J769="",$K769="")),"",MIN($J769,$K769))</f>
        <v/>
      </c>
      <c r="Q769">
        <f>IF($A769="","",$D769&amp;"("&amp;SUBSTITUTE($E769," ","")&amp;")")</f>
        <v/>
      </c>
      <c r="R769">
        <f>IF($A769="","",$B769&amp;" - "&amp;$C769)</f>
        <v/>
      </c>
      <c r="S769">
        <f>IF($A769="","",$R769&amp;"|"&amp;$Q769)</f>
        <v/>
      </c>
      <c r="T769">
        <f>IF($A769="","",$S769&amp;"|"&amp;$F769)</f>
        <v/>
      </c>
      <c r="U769">
        <f>IF($A769="","",$R769&amp;"("&amp;$E769&amp;")")</f>
        <v/>
      </c>
      <c r="V769">
        <f>IF($A769="","",$F769&amp;"|"&amp;$U769&amp;"|"&amp;$D769)</f>
        <v/>
      </c>
      <c r="W769">
        <f>IF($T769="","",IF($X769&gt;N($X768),$X769,""))</f>
        <v/>
      </c>
      <c r="X769">
        <f>IF($T769="",N($X768),IF(MATCH($T769,$T$6:$T$6005,0)=ROW()-5,N($X768)+1,N($X768)))</f>
        <v/>
      </c>
      <c r="Z769">
        <f>IF($V769="","",IF($AA769&gt;N($AA768),$AA769,""))</f>
        <v/>
      </c>
      <c r="AA769">
        <f>IF($V769="",N($AA768),IF(MATCH($V769,$V$6:$V$6005,0)=ROW()-5,N($AA768)+1,N($AA768)))</f>
        <v/>
      </c>
    </row>
    <row r="770" ht="21" customHeight="1" s="66">
      <c r="A770" s="56" t="n"/>
      <c r="B770" s="57" t="n"/>
      <c r="C770" s="57" t="n"/>
      <c r="D770" s="57" t="n"/>
      <c r="E770" s="56" t="n"/>
      <c r="F770" s="57" t="n"/>
      <c r="G770" s="57" t="n"/>
      <c r="H770" s="56" t="n"/>
      <c r="I770" s="56" t="n"/>
      <c r="J770" s="58" t="n"/>
      <c r="K770" s="58" t="n"/>
      <c r="L770" s="13">
        <f>IF(OR($A770="",AND($J770="",$K770="")),"",ROUND(N($J770)-N($K770),2))</f>
        <v/>
      </c>
      <c r="M770" s="13">
        <f>IF(OR($A770="",AND($J770="",$K770="")),"",MIN($J770,$K770))</f>
        <v/>
      </c>
      <c r="Q770">
        <f>IF($A770="","",$D770&amp;"("&amp;SUBSTITUTE($E770," ","")&amp;")")</f>
        <v/>
      </c>
      <c r="R770">
        <f>IF($A770="","",$B770&amp;" - "&amp;$C770)</f>
        <v/>
      </c>
      <c r="S770">
        <f>IF($A770="","",$R770&amp;"|"&amp;$Q770)</f>
        <v/>
      </c>
      <c r="T770">
        <f>IF($A770="","",$S770&amp;"|"&amp;$F770)</f>
        <v/>
      </c>
      <c r="U770">
        <f>IF($A770="","",$R770&amp;"("&amp;$E770&amp;")")</f>
        <v/>
      </c>
      <c r="V770">
        <f>IF($A770="","",$F770&amp;"|"&amp;$U770&amp;"|"&amp;$D770)</f>
        <v/>
      </c>
      <c r="W770">
        <f>IF($T770="","",IF($X770&gt;N($X769),$X770,""))</f>
        <v/>
      </c>
      <c r="X770">
        <f>IF($T770="",N($X769),IF(MATCH($T770,$T$6:$T$6005,0)=ROW()-5,N($X769)+1,N($X769)))</f>
        <v/>
      </c>
      <c r="Z770">
        <f>IF($V770="","",IF($AA770&gt;N($AA769),$AA770,""))</f>
        <v/>
      </c>
      <c r="AA770">
        <f>IF($V770="",N($AA769),IF(MATCH($V770,$V$6:$V$6005,0)=ROW()-5,N($AA769)+1,N($AA769)))</f>
        <v/>
      </c>
    </row>
    <row r="771" ht="21" customHeight="1" s="66">
      <c r="A771" s="56" t="n"/>
      <c r="B771" s="57" t="n"/>
      <c r="C771" s="57" t="n"/>
      <c r="D771" s="57" t="n"/>
      <c r="E771" s="56" t="n"/>
      <c r="F771" s="57" t="n"/>
      <c r="G771" s="57" t="n"/>
      <c r="H771" s="56" t="n"/>
      <c r="I771" s="56" t="n"/>
      <c r="J771" s="58" t="n"/>
      <c r="K771" s="58" t="n"/>
      <c r="L771" s="13">
        <f>IF(OR($A771="",AND($J771="",$K771="")),"",ROUND(N($J771)-N($K771),2))</f>
        <v/>
      </c>
      <c r="M771" s="13">
        <f>IF(OR($A771="",AND($J771="",$K771="")),"",MIN($J771,$K771))</f>
        <v/>
      </c>
      <c r="Q771">
        <f>IF($A771="","",$D771&amp;"("&amp;SUBSTITUTE($E771," ","")&amp;")")</f>
        <v/>
      </c>
      <c r="R771">
        <f>IF($A771="","",$B771&amp;" - "&amp;$C771)</f>
        <v/>
      </c>
      <c r="S771">
        <f>IF($A771="","",$R771&amp;"|"&amp;$Q771)</f>
        <v/>
      </c>
      <c r="T771">
        <f>IF($A771="","",$S771&amp;"|"&amp;$F771)</f>
        <v/>
      </c>
      <c r="U771">
        <f>IF($A771="","",$R771&amp;"("&amp;$E771&amp;")")</f>
        <v/>
      </c>
      <c r="V771">
        <f>IF($A771="","",$F771&amp;"|"&amp;$U771&amp;"|"&amp;$D771)</f>
        <v/>
      </c>
      <c r="W771">
        <f>IF($T771="","",IF($X771&gt;N($X770),$X771,""))</f>
        <v/>
      </c>
      <c r="X771">
        <f>IF($T771="",N($X770),IF(MATCH($T771,$T$6:$T$6005,0)=ROW()-5,N($X770)+1,N($X770)))</f>
        <v/>
      </c>
      <c r="Z771">
        <f>IF($V771="","",IF($AA771&gt;N($AA770),$AA771,""))</f>
        <v/>
      </c>
      <c r="AA771">
        <f>IF($V771="",N($AA770),IF(MATCH($V771,$V$6:$V$6005,0)=ROW()-5,N($AA770)+1,N($AA770)))</f>
        <v/>
      </c>
    </row>
    <row r="772" ht="21" customHeight="1" s="66">
      <c r="A772" s="56" t="n"/>
      <c r="B772" s="57" t="n"/>
      <c r="C772" s="57" t="n"/>
      <c r="D772" s="57" t="n"/>
      <c r="E772" s="56" t="n"/>
      <c r="F772" s="57" t="n"/>
      <c r="G772" s="57" t="n"/>
      <c r="H772" s="56" t="n"/>
      <c r="I772" s="56" t="n"/>
      <c r="J772" s="58" t="n"/>
      <c r="K772" s="58" t="n"/>
      <c r="L772" s="13">
        <f>IF(OR($A772="",AND($J772="",$K772="")),"",ROUND(N($J772)-N($K772),2))</f>
        <v/>
      </c>
      <c r="M772" s="13">
        <f>IF(OR($A772="",AND($J772="",$K772="")),"",MIN($J772,$K772))</f>
        <v/>
      </c>
      <c r="Q772">
        <f>IF($A772="","",$D772&amp;"("&amp;SUBSTITUTE($E772," ","")&amp;")")</f>
        <v/>
      </c>
      <c r="R772">
        <f>IF($A772="","",$B772&amp;" - "&amp;$C772)</f>
        <v/>
      </c>
      <c r="S772">
        <f>IF($A772="","",$R772&amp;"|"&amp;$Q772)</f>
        <v/>
      </c>
      <c r="T772">
        <f>IF($A772="","",$S772&amp;"|"&amp;$F772)</f>
        <v/>
      </c>
      <c r="U772">
        <f>IF($A772="","",$R772&amp;"("&amp;$E772&amp;")")</f>
        <v/>
      </c>
      <c r="V772">
        <f>IF($A772="","",$F772&amp;"|"&amp;$U772&amp;"|"&amp;$D772)</f>
        <v/>
      </c>
      <c r="W772">
        <f>IF($T772="","",IF($X772&gt;N($X771),$X772,""))</f>
        <v/>
      </c>
      <c r="X772">
        <f>IF($T772="",N($X771),IF(MATCH($T772,$T$6:$T$6005,0)=ROW()-5,N($X771)+1,N($X771)))</f>
        <v/>
      </c>
      <c r="Z772">
        <f>IF($V772="","",IF($AA772&gt;N($AA771),$AA772,""))</f>
        <v/>
      </c>
      <c r="AA772">
        <f>IF($V772="",N($AA771),IF(MATCH($V772,$V$6:$V$6005,0)=ROW()-5,N($AA771)+1,N($AA771)))</f>
        <v/>
      </c>
    </row>
    <row r="773" ht="21" customHeight="1" s="66">
      <c r="A773" s="56" t="n"/>
      <c r="B773" s="57" t="n"/>
      <c r="C773" s="57" t="n"/>
      <c r="D773" s="57" t="n"/>
      <c r="E773" s="56" t="n"/>
      <c r="F773" s="57" t="n"/>
      <c r="G773" s="57" t="n"/>
      <c r="H773" s="56" t="n"/>
      <c r="I773" s="56" t="n"/>
      <c r="J773" s="58" t="n"/>
      <c r="K773" s="58" t="n"/>
      <c r="L773" s="13">
        <f>IF(OR($A773="",AND($J773="",$K773="")),"",ROUND(N($J773)-N($K773),2))</f>
        <v/>
      </c>
      <c r="M773" s="13">
        <f>IF(OR($A773="",AND($J773="",$K773="")),"",MIN($J773,$K773))</f>
        <v/>
      </c>
      <c r="Q773">
        <f>IF($A773="","",$D773&amp;"("&amp;SUBSTITUTE($E773," ","")&amp;")")</f>
        <v/>
      </c>
      <c r="R773">
        <f>IF($A773="","",$B773&amp;" - "&amp;$C773)</f>
        <v/>
      </c>
      <c r="S773">
        <f>IF($A773="","",$R773&amp;"|"&amp;$Q773)</f>
        <v/>
      </c>
      <c r="T773">
        <f>IF($A773="","",$S773&amp;"|"&amp;$F773)</f>
        <v/>
      </c>
      <c r="U773">
        <f>IF($A773="","",$R773&amp;"("&amp;$E773&amp;")")</f>
        <v/>
      </c>
      <c r="V773">
        <f>IF($A773="","",$F773&amp;"|"&amp;$U773&amp;"|"&amp;$D773)</f>
        <v/>
      </c>
      <c r="W773">
        <f>IF($T773="","",IF($X773&gt;N($X772),$X773,""))</f>
        <v/>
      </c>
      <c r="X773">
        <f>IF($T773="",N($X772),IF(MATCH($T773,$T$6:$T$6005,0)=ROW()-5,N($X772)+1,N($X772)))</f>
        <v/>
      </c>
      <c r="Z773">
        <f>IF($V773="","",IF($AA773&gt;N($AA772),$AA773,""))</f>
        <v/>
      </c>
      <c r="AA773">
        <f>IF($V773="",N($AA772),IF(MATCH($V773,$V$6:$V$6005,0)=ROW()-5,N($AA772)+1,N($AA772)))</f>
        <v/>
      </c>
    </row>
    <row r="774" ht="21" customHeight="1" s="66">
      <c r="A774" s="56" t="n"/>
      <c r="B774" s="57" t="n"/>
      <c r="C774" s="57" t="n"/>
      <c r="D774" s="57" t="n"/>
      <c r="E774" s="56" t="n"/>
      <c r="F774" s="57" t="n"/>
      <c r="G774" s="57" t="n"/>
      <c r="H774" s="56" t="n"/>
      <c r="I774" s="56" t="n"/>
      <c r="J774" s="58" t="n"/>
      <c r="K774" s="58" t="n"/>
      <c r="L774" s="13">
        <f>IF(OR($A774="",AND($J774="",$K774="")),"",ROUND(N($J774)-N($K774),2))</f>
        <v/>
      </c>
      <c r="M774" s="13">
        <f>IF(OR($A774="",AND($J774="",$K774="")),"",MIN($J774,$K774))</f>
        <v/>
      </c>
      <c r="Q774">
        <f>IF($A774="","",$D774&amp;"("&amp;SUBSTITUTE($E774," ","")&amp;")")</f>
        <v/>
      </c>
      <c r="R774">
        <f>IF($A774="","",$B774&amp;" - "&amp;$C774)</f>
        <v/>
      </c>
      <c r="S774">
        <f>IF($A774="","",$R774&amp;"|"&amp;$Q774)</f>
        <v/>
      </c>
      <c r="T774">
        <f>IF($A774="","",$S774&amp;"|"&amp;$F774)</f>
        <v/>
      </c>
      <c r="U774">
        <f>IF($A774="","",$R774&amp;"("&amp;$E774&amp;")")</f>
        <v/>
      </c>
      <c r="V774">
        <f>IF($A774="","",$F774&amp;"|"&amp;$U774&amp;"|"&amp;$D774)</f>
        <v/>
      </c>
      <c r="W774">
        <f>IF($T774="","",IF($X774&gt;N($X773),$X774,""))</f>
        <v/>
      </c>
      <c r="X774">
        <f>IF($T774="",N($X773),IF(MATCH($T774,$T$6:$T$6005,0)=ROW()-5,N($X773)+1,N($X773)))</f>
        <v/>
      </c>
      <c r="Z774">
        <f>IF($V774="","",IF($AA774&gt;N($AA773),$AA774,""))</f>
        <v/>
      </c>
      <c r="AA774">
        <f>IF($V774="",N($AA773),IF(MATCH($V774,$V$6:$V$6005,0)=ROW()-5,N($AA773)+1,N($AA773)))</f>
        <v/>
      </c>
    </row>
    <row r="775" ht="21" customHeight="1" s="66">
      <c r="A775" s="56" t="n"/>
      <c r="B775" s="57" t="n"/>
      <c r="C775" s="57" t="n"/>
      <c r="D775" s="57" t="n"/>
      <c r="E775" s="56" t="n"/>
      <c r="F775" s="57" t="n"/>
      <c r="G775" s="57" t="n"/>
      <c r="H775" s="56" t="n"/>
      <c r="I775" s="56" t="n"/>
      <c r="J775" s="58" t="n"/>
      <c r="K775" s="58" t="n"/>
      <c r="L775" s="13">
        <f>IF(OR($A775="",AND($J775="",$K775="")),"",ROUND(N($J775)-N($K775),2))</f>
        <v/>
      </c>
      <c r="M775" s="13">
        <f>IF(OR($A775="",AND($J775="",$K775="")),"",MIN($J775,$K775))</f>
        <v/>
      </c>
      <c r="Q775">
        <f>IF($A775="","",$D775&amp;"("&amp;SUBSTITUTE($E775," ","")&amp;")")</f>
        <v/>
      </c>
      <c r="R775">
        <f>IF($A775="","",$B775&amp;" - "&amp;$C775)</f>
        <v/>
      </c>
      <c r="S775">
        <f>IF($A775="","",$R775&amp;"|"&amp;$Q775)</f>
        <v/>
      </c>
      <c r="T775">
        <f>IF($A775="","",$S775&amp;"|"&amp;$F775)</f>
        <v/>
      </c>
      <c r="U775">
        <f>IF($A775="","",$R775&amp;"("&amp;$E775&amp;")")</f>
        <v/>
      </c>
      <c r="V775">
        <f>IF($A775="","",$F775&amp;"|"&amp;$U775&amp;"|"&amp;$D775)</f>
        <v/>
      </c>
      <c r="W775">
        <f>IF($T775="","",IF($X775&gt;N($X774),$X775,""))</f>
        <v/>
      </c>
      <c r="X775">
        <f>IF($T775="",N($X774),IF(MATCH($T775,$T$6:$T$6005,0)=ROW()-5,N($X774)+1,N($X774)))</f>
        <v/>
      </c>
      <c r="Z775">
        <f>IF($V775="","",IF($AA775&gt;N($AA774),$AA775,""))</f>
        <v/>
      </c>
      <c r="AA775">
        <f>IF($V775="",N($AA774),IF(MATCH($V775,$V$6:$V$6005,0)=ROW()-5,N($AA774)+1,N($AA774)))</f>
        <v/>
      </c>
    </row>
    <row r="776" ht="21" customHeight="1" s="66">
      <c r="A776" s="56" t="n"/>
      <c r="B776" s="57" t="n"/>
      <c r="C776" s="57" t="n"/>
      <c r="D776" s="57" t="n"/>
      <c r="E776" s="56" t="n"/>
      <c r="F776" s="57" t="n"/>
      <c r="G776" s="57" t="n"/>
      <c r="H776" s="56" t="n"/>
      <c r="I776" s="56" t="n"/>
      <c r="J776" s="58" t="n"/>
      <c r="K776" s="58" t="n"/>
      <c r="L776" s="13">
        <f>IF(OR($A776="",AND($J776="",$K776="")),"",ROUND(N($J776)-N($K776),2))</f>
        <v/>
      </c>
      <c r="M776" s="13">
        <f>IF(OR($A776="",AND($J776="",$K776="")),"",MIN($J776,$K776))</f>
        <v/>
      </c>
      <c r="Q776">
        <f>IF($A776="","",$D776&amp;"("&amp;SUBSTITUTE($E776," ","")&amp;")")</f>
        <v/>
      </c>
      <c r="R776">
        <f>IF($A776="","",$B776&amp;" - "&amp;$C776)</f>
        <v/>
      </c>
      <c r="S776">
        <f>IF($A776="","",$R776&amp;"|"&amp;$Q776)</f>
        <v/>
      </c>
      <c r="T776">
        <f>IF($A776="","",$S776&amp;"|"&amp;$F776)</f>
        <v/>
      </c>
      <c r="U776">
        <f>IF($A776="","",$R776&amp;"("&amp;$E776&amp;")")</f>
        <v/>
      </c>
      <c r="V776">
        <f>IF($A776="","",$F776&amp;"|"&amp;$U776&amp;"|"&amp;$D776)</f>
        <v/>
      </c>
      <c r="W776">
        <f>IF($T776="","",IF($X776&gt;N($X775),$X776,""))</f>
        <v/>
      </c>
      <c r="X776">
        <f>IF($T776="",N($X775),IF(MATCH($T776,$T$6:$T$6005,0)=ROW()-5,N($X775)+1,N($X775)))</f>
        <v/>
      </c>
      <c r="Z776">
        <f>IF($V776="","",IF($AA776&gt;N($AA775),$AA776,""))</f>
        <v/>
      </c>
      <c r="AA776">
        <f>IF($V776="",N($AA775),IF(MATCH($V776,$V$6:$V$6005,0)=ROW()-5,N($AA775)+1,N($AA775)))</f>
        <v/>
      </c>
    </row>
    <row r="777" ht="21" customHeight="1" s="66">
      <c r="A777" s="56" t="n"/>
      <c r="B777" s="57" t="n"/>
      <c r="C777" s="57" t="n"/>
      <c r="D777" s="57" t="n"/>
      <c r="E777" s="56" t="n"/>
      <c r="F777" s="57" t="n"/>
      <c r="G777" s="57" t="n"/>
      <c r="H777" s="56" t="n"/>
      <c r="I777" s="56" t="n"/>
      <c r="J777" s="58" t="n"/>
      <c r="K777" s="58" t="n"/>
      <c r="L777" s="13">
        <f>IF(OR($A777="",AND($J777="",$K777="")),"",ROUND(N($J777)-N($K777),2))</f>
        <v/>
      </c>
      <c r="M777" s="13">
        <f>IF(OR($A777="",AND($J777="",$K777="")),"",MIN($J777,$K777))</f>
        <v/>
      </c>
      <c r="Q777">
        <f>IF($A777="","",$D777&amp;"("&amp;SUBSTITUTE($E777," ","")&amp;")")</f>
        <v/>
      </c>
      <c r="R777">
        <f>IF($A777="","",$B777&amp;" - "&amp;$C777)</f>
        <v/>
      </c>
      <c r="S777">
        <f>IF($A777="","",$R777&amp;"|"&amp;$Q777)</f>
        <v/>
      </c>
      <c r="T777">
        <f>IF($A777="","",$S777&amp;"|"&amp;$F777)</f>
        <v/>
      </c>
      <c r="U777">
        <f>IF($A777="","",$R777&amp;"("&amp;$E777&amp;")")</f>
        <v/>
      </c>
      <c r="V777">
        <f>IF($A777="","",$F777&amp;"|"&amp;$U777&amp;"|"&amp;$D777)</f>
        <v/>
      </c>
      <c r="W777">
        <f>IF($T777="","",IF($X777&gt;N($X776),$X777,""))</f>
        <v/>
      </c>
      <c r="X777">
        <f>IF($T777="",N($X776),IF(MATCH($T777,$T$6:$T$6005,0)=ROW()-5,N($X776)+1,N($X776)))</f>
        <v/>
      </c>
      <c r="Z777">
        <f>IF($V777="","",IF($AA777&gt;N($AA776),$AA777,""))</f>
        <v/>
      </c>
      <c r="AA777">
        <f>IF($V777="",N($AA776),IF(MATCH($V777,$V$6:$V$6005,0)=ROW()-5,N($AA776)+1,N($AA776)))</f>
        <v/>
      </c>
    </row>
    <row r="778" ht="21" customHeight="1" s="66">
      <c r="A778" s="56" t="n"/>
      <c r="B778" s="57" t="n"/>
      <c r="C778" s="57" t="n"/>
      <c r="D778" s="57" t="n"/>
      <c r="E778" s="56" t="n"/>
      <c r="F778" s="57" t="n"/>
      <c r="G778" s="57" t="n"/>
      <c r="H778" s="56" t="n"/>
      <c r="I778" s="56" t="n"/>
      <c r="J778" s="58" t="n"/>
      <c r="K778" s="58" t="n"/>
      <c r="L778" s="13">
        <f>IF(OR($A778="",AND($J778="",$K778="")),"",ROUND(N($J778)-N($K778),2))</f>
        <v/>
      </c>
      <c r="M778" s="13">
        <f>IF(OR($A778="",AND($J778="",$K778="")),"",MIN($J778,$K778))</f>
        <v/>
      </c>
      <c r="Q778">
        <f>IF($A778="","",$D778&amp;"("&amp;SUBSTITUTE($E778," ","")&amp;")")</f>
        <v/>
      </c>
      <c r="R778">
        <f>IF($A778="","",$B778&amp;" - "&amp;$C778)</f>
        <v/>
      </c>
      <c r="S778">
        <f>IF($A778="","",$R778&amp;"|"&amp;$Q778)</f>
        <v/>
      </c>
      <c r="T778">
        <f>IF($A778="","",$S778&amp;"|"&amp;$F778)</f>
        <v/>
      </c>
      <c r="U778">
        <f>IF($A778="","",$R778&amp;"("&amp;$E778&amp;")")</f>
        <v/>
      </c>
      <c r="V778">
        <f>IF($A778="","",$F778&amp;"|"&amp;$U778&amp;"|"&amp;$D778)</f>
        <v/>
      </c>
      <c r="W778">
        <f>IF($T778="","",IF($X778&gt;N($X777),$X778,""))</f>
        <v/>
      </c>
      <c r="X778">
        <f>IF($T778="",N($X777),IF(MATCH($T778,$T$6:$T$6005,0)=ROW()-5,N($X777)+1,N($X777)))</f>
        <v/>
      </c>
      <c r="Z778">
        <f>IF($V778="","",IF($AA778&gt;N($AA777),$AA778,""))</f>
        <v/>
      </c>
      <c r="AA778">
        <f>IF($V778="",N($AA777),IF(MATCH($V778,$V$6:$V$6005,0)=ROW()-5,N($AA777)+1,N($AA777)))</f>
        <v/>
      </c>
    </row>
    <row r="779" ht="21" customHeight="1" s="66">
      <c r="A779" s="56" t="n"/>
      <c r="B779" s="57" t="n"/>
      <c r="C779" s="57" t="n"/>
      <c r="D779" s="57" t="n"/>
      <c r="E779" s="56" t="n"/>
      <c r="F779" s="57" t="n"/>
      <c r="G779" s="57" t="n"/>
      <c r="H779" s="56" t="n"/>
      <c r="I779" s="56" t="n"/>
      <c r="J779" s="58" t="n"/>
      <c r="K779" s="58" t="n"/>
      <c r="L779" s="13">
        <f>IF(OR($A779="",AND($J779="",$K779="")),"",ROUND(N($J779)-N($K779),2))</f>
        <v/>
      </c>
      <c r="M779" s="13">
        <f>IF(OR($A779="",AND($J779="",$K779="")),"",MIN($J779,$K779))</f>
        <v/>
      </c>
      <c r="Q779">
        <f>IF($A779="","",$D779&amp;"("&amp;SUBSTITUTE($E779," ","")&amp;")")</f>
        <v/>
      </c>
      <c r="R779">
        <f>IF($A779="","",$B779&amp;" - "&amp;$C779)</f>
        <v/>
      </c>
      <c r="S779">
        <f>IF($A779="","",$R779&amp;"|"&amp;$Q779)</f>
        <v/>
      </c>
      <c r="T779">
        <f>IF($A779="","",$S779&amp;"|"&amp;$F779)</f>
        <v/>
      </c>
      <c r="U779">
        <f>IF($A779="","",$R779&amp;"("&amp;$E779&amp;")")</f>
        <v/>
      </c>
      <c r="V779">
        <f>IF($A779="","",$F779&amp;"|"&amp;$U779&amp;"|"&amp;$D779)</f>
        <v/>
      </c>
      <c r="W779">
        <f>IF($T779="","",IF($X779&gt;N($X778),$X779,""))</f>
        <v/>
      </c>
      <c r="X779">
        <f>IF($T779="",N($X778),IF(MATCH($T779,$T$6:$T$6005,0)=ROW()-5,N($X778)+1,N($X778)))</f>
        <v/>
      </c>
      <c r="Z779">
        <f>IF($V779="","",IF($AA779&gt;N($AA778),$AA779,""))</f>
        <v/>
      </c>
      <c r="AA779">
        <f>IF($V779="",N($AA778),IF(MATCH($V779,$V$6:$V$6005,0)=ROW()-5,N($AA778)+1,N($AA778)))</f>
        <v/>
      </c>
    </row>
    <row r="780" ht="21" customHeight="1" s="66">
      <c r="A780" s="56" t="n"/>
      <c r="B780" s="57" t="n"/>
      <c r="C780" s="57" t="n"/>
      <c r="D780" s="57" t="n"/>
      <c r="E780" s="56" t="n"/>
      <c r="F780" s="57" t="n"/>
      <c r="G780" s="57" t="n"/>
      <c r="H780" s="56" t="n"/>
      <c r="I780" s="56" t="n"/>
      <c r="J780" s="58" t="n"/>
      <c r="K780" s="58" t="n"/>
      <c r="L780" s="13">
        <f>IF(OR($A780="",AND($J780="",$K780="")),"",ROUND(N($J780)-N($K780),2))</f>
        <v/>
      </c>
      <c r="M780" s="13">
        <f>IF(OR($A780="",AND($J780="",$K780="")),"",MIN($J780,$K780))</f>
        <v/>
      </c>
      <c r="Q780">
        <f>IF($A780="","",$D780&amp;"("&amp;SUBSTITUTE($E780," ","")&amp;")")</f>
        <v/>
      </c>
      <c r="R780">
        <f>IF($A780="","",$B780&amp;" - "&amp;$C780)</f>
        <v/>
      </c>
      <c r="S780">
        <f>IF($A780="","",$R780&amp;"|"&amp;$Q780)</f>
        <v/>
      </c>
      <c r="T780">
        <f>IF($A780="","",$S780&amp;"|"&amp;$F780)</f>
        <v/>
      </c>
      <c r="U780">
        <f>IF($A780="","",$R780&amp;"("&amp;$E780&amp;")")</f>
        <v/>
      </c>
      <c r="V780">
        <f>IF($A780="","",$F780&amp;"|"&amp;$U780&amp;"|"&amp;$D780)</f>
        <v/>
      </c>
      <c r="W780">
        <f>IF($T780="","",IF($X780&gt;N($X779),$X780,""))</f>
        <v/>
      </c>
      <c r="X780">
        <f>IF($T780="",N($X779),IF(MATCH($T780,$T$6:$T$6005,0)=ROW()-5,N($X779)+1,N($X779)))</f>
        <v/>
      </c>
      <c r="Z780">
        <f>IF($V780="","",IF($AA780&gt;N($AA779),$AA780,""))</f>
        <v/>
      </c>
      <c r="AA780">
        <f>IF($V780="",N($AA779),IF(MATCH($V780,$V$6:$V$6005,0)=ROW()-5,N($AA779)+1,N($AA779)))</f>
        <v/>
      </c>
    </row>
    <row r="781" ht="21" customHeight="1" s="66">
      <c r="A781" s="56" t="n"/>
      <c r="B781" s="57" t="n"/>
      <c r="C781" s="57" t="n"/>
      <c r="D781" s="57" t="n"/>
      <c r="E781" s="56" t="n"/>
      <c r="F781" s="57" t="n"/>
      <c r="G781" s="57" t="n"/>
      <c r="H781" s="56" t="n"/>
      <c r="I781" s="56" t="n"/>
      <c r="J781" s="58" t="n"/>
      <c r="K781" s="58" t="n"/>
      <c r="L781" s="13">
        <f>IF(OR($A781="",AND($J781="",$K781="")),"",ROUND(N($J781)-N($K781),2))</f>
        <v/>
      </c>
      <c r="M781" s="13">
        <f>IF(OR($A781="",AND($J781="",$K781="")),"",MIN($J781,$K781))</f>
        <v/>
      </c>
      <c r="Q781">
        <f>IF($A781="","",$D781&amp;"("&amp;SUBSTITUTE($E781," ","")&amp;")")</f>
        <v/>
      </c>
      <c r="R781">
        <f>IF($A781="","",$B781&amp;" - "&amp;$C781)</f>
        <v/>
      </c>
      <c r="S781">
        <f>IF($A781="","",$R781&amp;"|"&amp;$Q781)</f>
        <v/>
      </c>
      <c r="T781">
        <f>IF($A781="","",$S781&amp;"|"&amp;$F781)</f>
        <v/>
      </c>
      <c r="U781">
        <f>IF($A781="","",$R781&amp;"("&amp;$E781&amp;")")</f>
        <v/>
      </c>
      <c r="V781">
        <f>IF($A781="","",$F781&amp;"|"&amp;$U781&amp;"|"&amp;$D781)</f>
        <v/>
      </c>
      <c r="W781">
        <f>IF($T781="","",IF($X781&gt;N($X780),$X781,""))</f>
        <v/>
      </c>
      <c r="X781">
        <f>IF($T781="",N($X780),IF(MATCH($T781,$T$6:$T$6005,0)=ROW()-5,N($X780)+1,N($X780)))</f>
        <v/>
      </c>
      <c r="Z781">
        <f>IF($V781="","",IF($AA781&gt;N($AA780),$AA781,""))</f>
        <v/>
      </c>
      <c r="AA781">
        <f>IF($V781="",N($AA780),IF(MATCH($V781,$V$6:$V$6005,0)=ROW()-5,N($AA780)+1,N($AA780)))</f>
        <v/>
      </c>
    </row>
    <row r="782" ht="21" customHeight="1" s="66">
      <c r="A782" s="56" t="n"/>
      <c r="B782" s="57" t="n"/>
      <c r="C782" s="57" t="n"/>
      <c r="D782" s="57" t="n"/>
      <c r="E782" s="56" t="n"/>
      <c r="F782" s="57" t="n"/>
      <c r="G782" s="57" t="n"/>
      <c r="H782" s="56" t="n"/>
      <c r="I782" s="56" t="n"/>
      <c r="J782" s="58" t="n"/>
      <c r="K782" s="58" t="n"/>
      <c r="L782" s="13">
        <f>IF(OR($A782="",AND($J782="",$K782="")),"",ROUND(N($J782)-N($K782),2))</f>
        <v/>
      </c>
      <c r="M782" s="13">
        <f>IF(OR($A782="",AND($J782="",$K782="")),"",MIN($J782,$K782))</f>
        <v/>
      </c>
      <c r="Q782">
        <f>IF($A782="","",$D782&amp;"("&amp;SUBSTITUTE($E782," ","")&amp;")")</f>
        <v/>
      </c>
      <c r="R782">
        <f>IF($A782="","",$B782&amp;" - "&amp;$C782)</f>
        <v/>
      </c>
      <c r="S782">
        <f>IF($A782="","",$R782&amp;"|"&amp;$Q782)</f>
        <v/>
      </c>
      <c r="T782">
        <f>IF($A782="","",$S782&amp;"|"&amp;$F782)</f>
        <v/>
      </c>
      <c r="U782">
        <f>IF($A782="","",$R782&amp;"("&amp;$E782&amp;")")</f>
        <v/>
      </c>
      <c r="V782">
        <f>IF($A782="","",$F782&amp;"|"&amp;$U782&amp;"|"&amp;$D782)</f>
        <v/>
      </c>
      <c r="W782">
        <f>IF($T782="","",IF($X782&gt;N($X781),$X782,""))</f>
        <v/>
      </c>
      <c r="X782">
        <f>IF($T782="",N($X781),IF(MATCH($T782,$T$6:$T$6005,0)=ROW()-5,N($X781)+1,N($X781)))</f>
        <v/>
      </c>
      <c r="Z782">
        <f>IF($V782="","",IF($AA782&gt;N($AA781),$AA782,""))</f>
        <v/>
      </c>
      <c r="AA782">
        <f>IF($V782="",N($AA781),IF(MATCH($V782,$V$6:$V$6005,0)=ROW()-5,N($AA781)+1,N($AA781)))</f>
        <v/>
      </c>
    </row>
    <row r="783" ht="21" customHeight="1" s="66">
      <c r="A783" s="56" t="n"/>
      <c r="B783" s="57" t="n"/>
      <c r="C783" s="57" t="n"/>
      <c r="D783" s="57" t="n"/>
      <c r="E783" s="56" t="n"/>
      <c r="F783" s="57" t="n"/>
      <c r="G783" s="57" t="n"/>
      <c r="H783" s="56" t="n"/>
      <c r="I783" s="56" t="n"/>
      <c r="J783" s="58" t="n"/>
      <c r="K783" s="58" t="n"/>
      <c r="L783" s="13">
        <f>IF(OR($A783="",AND($J783="",$K783="")),"",ROUND(N($J783)-N($K783),2))</f>
        <v/>
      </c>
      <c r="M783" s="13">
        <f>IF(OR($A783="",AND($J783="",$K783="")),"",MIN($J783,$K783))</f>
        <v/>
      </c>
      <c r="Q783">
        <f>IF($A783="","",$D783&amp;"("&amp;SUBSTITUTE($E783," ","")&amp;")")</f>
        <v/>
      </c>
      <c r="R783">
        <f>IF($A783="","",$B783&amp;" - "&amp;$C783)</f>
        <v/>
      </c>
      <c r="S783">
        <f>IF($A783="","",$R783&amp;"|"&amp;$Q783)</f>
        <v/>
      </c>
      <c r="T783">
        <f>IF($A783="","",$S783&amp;"|"&amp;$F783)</f>
        <v/>
      </c>
      <c r="U783">
        <f>IF($A783="","",$R783&amp;"("&amp;$E783&amp;")")</f>
        <v/>
      </c>
      <c r="V783">
        <f>IF($A783="","",$F783&amp;"|"&amp;$U783&amp;"|"&amp;$D783)</f>
        <v/>
      </c>
      <c r="W783">
        <f>IF($T783="","",IF($X783&gt;N($X782),$X783,""))</f>
        <v/>
      </c>
      <c r="X783">
        <f>IF($T783="",N($X782),IF(MATCH($T783,$T$6:$T$6005,0)=ROW()-5,N($X782)+1,N($X782)))</f>
        <v/>
      </c>
      <c r="Z783">
        <f>IF($V783="","",IF($AA783&gt;N($AA782),$AA783,""))</f>
        <v/>
      </c>
      <c r="AA783">
        <f>IF($V783="",N($AA782),IF(MATCH($V783,$V$6:$V$6005,0)=ROW()-5,N($AA782)+1,N($AA782)))</f>
        <v/>
      </c>
    </row>
    <row r="784" ht="21" customHeight="1" s="66">
      <c r="A784" s="56" t="n"/>
      <c r="B784" s="57" t="n"/>
      <c r="C784" s="57" t="n"/>
      <c r="D784" s="57" t="n"/>
      <c r="E784" s="56" t="n"/>
      <c r="F784" s="57" t="n"/>
      <c r="G784" s="57" t="n"/>
      <c r="H784" s="56" t="n"/>
      <c r="I784" s="56" t="n"/>
      <c r="J784" s="58" t="n"/>
      <c r="K784" s="58" t="n"/>
      <c r="L784" s="13">
        <f>IF(OR($A784="",AND($J784="",$K784="")),"",ROUND(N($J784)-N($K784),2))</f>
        <v/>
      </c>
      <c r="M784" s="13">
        <f>IF(OR($A784="",AND($J784="",$K784="")),"",MIN($J784,$K784))</f>
        <v/>
      </c>
      <c r="Q784">
        <f>IF($A784="","",$D784&amp;"("&amp;SUBSTITUTE($E784," ","")&amp;")")</f>
        <v/>
      </c>
      <c r="R784">
        <f>IF($A784="","",$B784&amp;" - "&amp;$C784)</f>
        <v/>
      </c>
      <c r="S784">
        <f>IF($A784="","",$R784&amp;"|"&amp;$Q784)</f>
        <v/>
      </c>
      <c r="T784">
        <f>IF($A784="","",$S784&amp;"|"&amp;$F784)</f>
        <v/>
      </c>
      <c r="U784">
        <f>IF($A784="","",$R784&amp;"("&amp;$E784&amp;")")</f>
        <v/>
      </c>
      <c r="V784">
        <f>IF($A784="","",$F784&amp;"|"&amp;$U784&amp;"|"&amp;$D784)</f>
        <v/>
      </c>
      <c r="W784">
        <f>IF($T784="","",IF($X784&gt;N($X783),$X784,""))</f>
        <v/>
      </c>
      <c r="X784">
        <f>IF($T784="",N($X783),IF(MATCH($T784,$T$6:$T$6005,0)=ROW()-5,N($X783)+1,N($X783)))</f>
        <v/>
      </c>
      <c r="Z784">
        <f>IF($V784="","",IF($AA784&gt;N($AA783),$AA784,""))</f>
        <v/>
      </c>
      <c r="AA784">
        <f>IF($V784="",N($AA783),IF(MATCH($V784,$V$6:$V$6005,0)=ROW()-5,N($AA783)+1,N($AA783)))</f>
        <v/>
      </c>
    </row>
    <row r="785" ht="21" customHeight="1" s="66">
      <c r="A785" s="56" t="n"/>
      <c r="B785" s="57" t="n"/>
      <c r="C785" s="57" t="n"/>
      <c r="D785" s="57" t="n"/>
      <c r="E785" s="56" t="n"/>
      <c r="F785" s="57" t="n"/>
      <c r="G785" s="57" t="n"/>
      <c r="H785" s="56" t="n"/>
      <c r="I785" s="56" t="n"/>
      <c r="J785" s="58" t="n"/>
      <c r="K785" s="58" t="n"/>
      <c r="L785" s="13">
        <f>IF(OR($A785="",AND($J785="",$K785="")),"",ROUND(N($J785)-N($K785),2))</f>
        <v/>
      </c>
      <c r="M785" s="13">
        <f>IF(OR($A785="",AND($J785="",$K785="")),"",MIN($J785,$K785))</f>
        <v/>
      </c>
      <c r="Q785">
        <f>IF($A785="","",$D785&amp;"("&amp;SUBSTITUTE($E785," ","")&amp;")")</f>
        <v/>
      </c>
      <c r="R785">
        <f>IF($A785="","",$B785&amp;" - "&amp;$C785)</f>
        <v/>
      </c>
      <c r="S785">
        <f>IF($A785="","",$R785&amp;"|"&amp;$Q785)</f>
        <v/>
      </c>
      <c r="T785">
        <f>IF($A785="","",$S785&amp;"|"&amp;$F785)</f>
        <v/>
      </c>
      <c r="U785">
        <f>IF($A785="","",$R785&amp;"("&amp;$E785&amp;")")</f>
        <v/>
      </c>
      <c r="V785">
        <f>IF($A785="","",$F785&amp;"|"&amp;$U785&amp;"|"&amp;$D785)</f>
        <v/>
      </c>
      <c r="W785">
        <f>IF($T785="","",IF($X785&gt;N($X784),$X785,""))</f>
        <v/>
      </c>
      <c r="X785">
        <f>IF($T785="",N($X784),IF(MATCH($T785,$T$6:$T$6005,0)=ROW()-5,N($X784)+1,N($X784)))</f>
        <v/>
      </c>
      <c r="Z785">
        <f>IF($V785="","",IF($AA785&gt;N($AA784),$AA785,""))</f>
        <v/>
      </c>
      <c r="AA785">
        <f>IF($V785="",N($AA784),IF(MATCH($V785,$V$6:$V$6005,0)=ROW()-5,N($AA784)+1,N($AA784)))</f>
        <v/>
      </c>
    </row>
    <row r="786" ht="21" customHeight="1" s="66">
      <c r="A786" s="56" t="n"/>
      <c r="B786" s="57" t="n"/>
      <c r="C786" s="57" t="n"/>
      <c r="D786" s="57" t="n"/>
      <c r="E786" s="56" t="n"/>
      <c r="F786" s="57" t="n"/>
      <c r="G786" s="57" t="n"/>
      <c r="H786" s="56" t="n"/>
      <c r="I786" s="56" t="n"/>
      <c r="J786" s="58" t="n"/>
      <c r="K786" s="58" t="n"/>
      <c r="L786" s="13">
        <f>IF(OR($A786="",AND($J786="",$K786="")),"",ROUND(N($J786)-N($K786),2))</f>
        <v/>
      </c>
      <c r="M786" s="13">
        <f>IF(OR($A786="",AND($J786="",$K786="")),"",MIN($J786,$K786))</f>
        <v/>
      </c>
      <c r="Q786">
        <f>IF($A786="","",$D786&amp;"("&amp;SUBSTITUTE($E786," ","")&amp;")")</f>
        <v/>
      </c>
      <c r="R786">
        <f>IF($A786="","",$B786&amp;" - "&amp;$C786)</f>
        <v/>
      </c>
      <c r="S786">
        <f>IF($A786="","",$R786&amp;"|"&amp;$Q786)</f>
        <v/>
      </c>
      <c r="T786">
        <f>IF($A786="","",$S786&amp;"|"&amp;$F786)</f>
        <v/>
      </c>
      <c r="U786">
        <f>IF($A786="","",$R786&amp;"("&amp;$E786&amp;")")</f>
        <v/>
      </c>
      <c r="V786">
        <f>IF($A786="","",$F786&amp;"|"&amp;$U786&amp;"|"&amp;$D786)</f>
        <v/>
      </c>
      <c r="W786">
        <f>IF($T786="","",IF($X786&gt;N($X785),$X786,""))</f>
        <v/>
      </c>
      <c r="X786">
        <f>IF($T786="",N($X785),IF(MATCH($T786,$T$6:$T$6005,0)=ROW()-5,N($X785)+1,N($X785)))</f>
        <v/>
      </c>
      <c r="Z786">
        <f>IF($V786="","",IF($AA786&gt;N($AA785),$AA786,""))</f>
        <v/>
      </c>
      <c r="AA786">
        <f>IF($V786="",N($AA785),IF(MATCH($V786,$V$6:$V$6005,0)=ROW()-5,N($AA785)+1,N($AA785)))</f>
        <v/>
      </c>
    </row>
    <row r="787" ht="21" customHeight="1" s="66">
      <c r="A787" s="56" t="n"/>
      <c r="B787" s="57" t="n"/>
      <c r="C787" s="57" t="n"/>
      <c r="D787" s="57" t="n"/>
      <c r="E787" s="56" t="n"/>
      <c r="F787" s="57" t="n"/>
      <c r="G787" s="57" t="n"/>
      <c r="H787" s="56" t="n"/>
      <c r="I787" s="56" t="n"/>
      <c r="J787" s="58" t="n"/>
      <c r="K787" s="58" t="n"/>
      <c r="L787" s="13">
        <f>IF(OR($A787="",AND($J787="",$K787="")),"",ROUND(N($J787)-N($K787),2))</f>
        <v/>
      </c>
      <c r="M787" s="13">
        <f>IF(OR($A787="",AND($J787="",$K787="")),"",MIN($J787,$K787))</f>
        <v/>
      </c>
      <c r="Q787">
        <f>IF($A787="","",$D787&amp;"("&amp;SUBSTITUTE($E787," ","")&amp;")")</f>
        <v/>
      </c>
      <c r="R787">
        <f>IF($A787="","",$B787&amp;" - "&amp;$C787)</f>
        <v/>
      </c>
      <c r="S787">
        <f>IF($A787="","",$R787&amp;"|"&amp;$Q787)</f>
        <v/>
      </c>
      <c r="T787">
        <f>IF($A787="","",$S787&amp;"|"&amp;$F787)</f>
        <v/>
      </c>
      <c r="U787">
        <f>IF($A787="","",$R787&amp;"("&amp;$E787&amp;")")</f>
        <v/>
      </c>
      <c r="V787">
        <f>IF($A787="","",$F787&amp;"|"&amp;$U787&amp;"|"&amp;$D787)</f>
        <v/>
      </c>
      <c r="W787">
        <f>IF($T787="","",IF($X787&gt;N($X786),$X787,""))</f>
        <v/>
      </c>
      <c r="X787">
        <f>IF($T787="",N($X786),IF(MATCH($T787,$T$6:$T$6005,0)=ROW()-5,N($X786)+1,N($X786)))</f>
        <v/>
      </c>
      <c r="Z787">
        <f>IF($V787="","",IF($AA787&gt;N($AA786),$AA787,""))</f>
        <v/>
      </c>
      <c r="AA787">
        <f>IF($V787="",N($AA786),IF(MATCH($V787,$V$6:$V$6005,0)=ROW()-5,N($AA786)+1,N($AA786)))</f>
        <v/>
      </c>
    </row>
    <row r="788" ht="21" customHeight="1" s="66">
      <c r="A788" s="56" t="n"/>
      <c r="B788" s="57" t="n"/>
      <c r="C788" s="57" t="n"/>
      <c r="D788" s="57" t="n"/>
      <c r="E788" s="56" t="n"/>
      <c r="F788" s="57" t="n"/>
      <c r="G788" s="57" t="n"/>
      <c r="H788" s="56" t="n"/>
      <c r="I788" s="56" t="n"/>
      <c r="J788" s="58" t="n"/>
      <c r="K788" s="58" t="n"/>
      <c r="L788" s="13">
        <f>IF(OR($A788="",AND($J788="",$K788="")),"",ROUND(N($J788)-N($K788),2))</f>
        <v/>
      </c>
      <c r="M788" s="13">
        <f>IF(OR($A788="",AND($J788="",$K788="")),"",MIN($J788,$K788))</f>
        <v/>
      </c>
      <c r="Q788">
        <f>IF($A788="","",$D788&amp;"("&amp;SUBSTITUTE($E788," ","")&amp;")")</f>
        <v/>
      </c>
      <c r="R788">
        <f>IF($A788="","",$B788&amp;" - "&amp;$C788)</f>
        <v/>
      </c>
      <c r="S788">
        <f>IF($A788="","",$R788&amp;"|"&amp;$Q788)</f>
        <v/>
      </c>
      <c r="T788">
        <f>IF($A788="","",$S788&amp;"|"&amp;$F788)</f>
        <v/>
      </c>
      <c r="U788">
        <f>IF($A788="","",$R788&amp;"("&amp;$E788&amp;")")</f>
        <v/>
      </c>
      <c r="V788">
        <f>IF($A788="","",$F788&amp;"|"&amp;$U788&amp;"|"&amp;$D788)</f>
        <v/>
      </c>
      <c r="W788">
        <f>IF($T788="","",IF($X788&gt;N($X787),$X788,""))</f>
        <v/>
      </c>
      <c r="X788">
        <f>IF($T788="",N($X787),IF(MATCH($T788,$T$6:$T$6005,0)=ROW()-5,N($X787)+1,N($X787)))</f>
        <v/>
      </c>
      <c r="Z788">
        <f>IF($V788="","",IF($AA788&gt;N($AA787),$AA788,""))</f>
        <v/>
      </c>
      <c r="AA788">
        <f>IF($V788="",N($AA787),IF(MATCH($V788,$V$6:$V$6005,0)=ROW()-5,N($AA787)+1,N($AA787)))</f>
        <v/>
      </c>
    </row>
    <row r="789" ht="21" customHeight="1" s="66">
      <c r="A789" s="56" t="n"/>
      <c r="B789" s="57" t="n"/>
      <c r="C789" s="57" t="n"/>
      <c r="D789" s="57" t="n"/>
      <c r="E789" s="56" t="n"/>
      <c r="F789" s="57" t="n"/>
      <c r="G789" s="57" t="n"/>
      <c r="H789" s="56" t="n"/>
      <c r="I789" s="56" t="n"/>
      <c r="J789" s="58" t="n"/>
      <c r="K789" s="58" t="n"/>
      <c r="L789" s="13">
        <f>IF(OR($A789="",AND($J789="",$K789="")),"",ROUND(N($J789)-N($K789),2))</f>
        <v/>
      </c>
      <c r="M789" s="13">
        <f>IF(OR($A789="",AND($J789="",$K789="")),"",MIN($J789,$K789))</f>
        <v/>
      </c>
      <c r="Q789">
        <f>IF($A789="","",$D789&amp;"("&amp;SUBSTITUTE($E789," ","")&amp;")")</f>
        <v/>
      </c>
      <c r="R789">
        <f>IF($A789="","",$B789&amp;" - "&amp;$C789)</f>
        <v/>
      </c>
      <c r="S789">
        <f>IF($A789="","",$R789&amp;"|"&amp;$Q789)</f>
        <v/>
      </c>
      <c r="T789">
        <f>IF($A789="","",$S789&amp;"|"&amp;$F789)</f>
        <v/>
      </c>
      <c r="U789">
        <f>IF($A789="","",$R789&amp;"("&amp;$E789&amp;")")</f>
        <v/>
      </c>
      <c r="V789">
        <f>IF($A789="","",$F789&amp;"|"&amp;$U789&amp;"|"&amp;$D789)</f>
        <v/>
      </c>
      <c r="W789">
        <f>IF($T789="","",IF($X789&gt;N($X788),$X789,""))</f>
        <v/>
      </c>
      <c r="X789">
        <f>IF($T789="",N($X788),IF(MATCH($T789,$T$6:$T$6005,0)=ROW()-5,N($X788)+1,N($X788)))</f>
        <v/>
      </c>
      <c r="Z789">
        <f>IF($V789="","",IF($AA789&gt;N($AA788),$AA789,""))</f>
        <v/>
      </c>
      <c r="AA789">
        <f>IF($V789="",N($AA788),IF(MATCH($V789,$V$6:$V$6005,0)=ROW()-5,N($AA788)+1,N($AA788)))</f>
        <v/>
      </c>
    </row>
    <row r="790" ht="21" customHeight="1" s="66">
      <c r="A790" s="56" t="n"/>
      <c r="B790" s="57" t="n"/>
      <c r="C790" s="57" t="n"/>
      <c r="D790" s="57" t="n"/>
      <c r="E790" s="56" t="n"/>
      <c r="F790" s="57" t="n"/>
      <c r="G790" s="57" t="n"/>
      <c r="H790" s="56" t="n"/>
      <c r="I790" s="56" t="n"/>
      <c r="J790" s="58" t="n"/>
      <c r="K790" s="58" t="n"/>
      <c r="L790" s="13">
        <f>IF(OR($A790="",AND($J790="",$K790="")),"",ROUND(N($J790)-N($K790),2))</f>
        <v/>
      </c>
      <c r="M790" s="13">
        <f>IF(OR($A790="",AND($J790="",$K790="")),"",MIN($J790,$K790))</f>
        <v/>
      </c>
      <c r="Q790">
        <f>IF($A790="","",$D790&amp;"("&amp;SUBSTITUTE($E790," ","")&amp;")")</f>
        <v/>
      </c>
      <c r="R790">
        <f>IF($A790="","",$B790&amp;" - "&amp;$C790)</f>
        <v/>
      </c>
      <c r="S790">
        <f>IF($A790="","",$R790&amp;"|"&amp;$Q790)</f>
        <v/>
      </c>
      <c r="T790">
        <f>IF($A790="","",$S790&amp;"|"&amp;$F790)</f>
        <v/>
      </c>
      <c r="U790">
        <f>IF($A790="","",$R790&amp;"("&amp;$E790&amp;")")</f>
        <v/>
      </c>
      <c r="V790">
        <f>IF($A790="","",$F790&amp;"|"&amp;$U790&amp;"|"&amp;$D790)</f>
        <v/>
      </c>
      <c r="W790">
        <f>IF($T790="","",IF($X790&gt;N($X789),$X790,""))</f>
        <v/>
      </c>
      <c r="X790">
        <f>IF($T790="",N($X789),IF(MATCH($T790,$T$6:$T$6005,0)=ROW()-5,N($X789)+1,N($X789)))</f>
        <v/>
      </c>
      <c r="Z790">
        <f>IF($V790="","",IF($AA790&gt;N($AA789),$AA790,""))</f>
        <v/>
      </c>
      <c r="AA790">
        <f>IF($V790="",N($AA789),IF(MATCH($V790,$V$6:$V$6005,0)=ROW()-5,N($AA789)+1,N($AA789)))</f>
        <v/>
      </c>
    </row>
    <row r="791" ht="21" customHeight="1" s="66">
      <c r="A791" s="56" t="n"/>
      <c r="B791" s="57" t="n"/>
      <c r="C791" s="57" t="n"/>
      <c r="D791" s="57" t="n"/>
      <c r="E791" s="56" t="n"/>
      <c r="F791" s="57" t="n"/>
      <c r="G791" s="57" t="n"/>
      <c r="H791" s="56" t="n"/>
      <c r="I791" s="56" t="n"/>
      <c r="J791" s="58" t="n"/>
      <c r="K791" s="58" t="n"/>
      <c r="L791" s="13">
        <f>IF(OR($A791="",AND($J791="",$K791="")),"",ROUND(N($J791)-N($K791),2))</f>
        <v/>
      </c>
      <c r="M791" s="13">
        <f>IF(OR($A791="",AND($J791="",$K791="")),"",MIN($J791,$K791))</f>
        <v/>
      </c>
      <c r="Q791">
        <f>IF($A791="","",$D791&amp;"("&amp;SUBSTITUTE($E791," ","")&amp;")")</f>
        <v/>
      </c>
      <c r="R791">
        <f>IF($A791="","",$B791&amp;" - "&amp;$C791)</f>
        <v/>
      </c>
      <c r="S791">
        <f>IF($A791="","",$R791&amp;"|"&amp;$Q791)</f>
        <v/>
      </c>
      <c r="T791">
        <f>IF($A791="","",$S791&amp;"|"&amp;$F791)</f>
        <v/>
      </c>
      <c r="U791">
        <f>IF($A791="","",$R791&amp;"("&amp;$E791&amp;")")</f>
        <v/>
      </c>
      <c r="V791">
        <f>IF($A791="","",$F791&amp;"|"&amp;$U791&amp;"|"&amp;$D791)</f>
        <v/>
      </c>
      <c r="W791">
        <f>IF($T791="","",IF($X791&gt;N($X790),$X791,""))</f>
        <v/>
      </c>
      <c r="X791">
        <f>IF($T791="",N($X790),IF(MATCH($T791,$T$6:$T$6005,0)=ROW()-5,N($X790)+1,N($X790)))</f>
        <v/>
      </c>
      <c r="Z791">
        <f>IF($V791="","",IF($AA791&gt;N($AA790),$AA791,""))</f>
        <v/>
      </c>
      <c r="AA791">
        <f>IF($V791="",N($AA790),IF(MATCH($V791,$V$6:$V$6005,0)=ROW()-5,N($AA790)+1,N($AA790)))</f>
        <v/>
      </c>
    </row>
    <row r="792" ht="21" customHeight="1" s="66">
      <c r="A792" s="56" t="n"/>
      <c r="B792" s="57" t="n"/>
      <c r="C792" s="57" t="n"/>
      <c r="D792" s="57" t="n"/>
      <c r="E792" s="56" t="n"/>
      <c r="F792" s="57" t="n"/>
      <c r="G792" s="57" t="n"/>
      <c r="H792" s="56" t="n"/>
      <c r="I792" s="56" t="n"/>
      <c r="J792" s="58" t="n"/>
      <c r="K792" s="58" t="n"/>
      <c r="L792" s="13">
        <f>IF(OR($A792="",AND($J792="",$K792="")),"",ROUND(N($J792)-N($K792),2))</f>
        <v/>
      </c>
      <c r="M792" s="13">
        <f>IF(OR($A792="",AND($J792="",$K792="")),"",MIN($J792,$K792))</f>
        <v/>
      </c>
      <c r="Q792">
        <f>IF($A792="","",$D792&amp;"("&amp;SUBSTITUTE($E792," ","")&amp;")")</f>
        <v/>
      </c>
      <c r="R792">
        <f>IF($A792="","",$B792&amp;" - "&amp;$C792)</f>
        <v/>
      </c>
      <c r="S792">
        <f>IF($A792="","",$R792&amp;"|"&amp;$Q792)</f>
        <v/>
      </c>
      <c r="T792">
        <f>IF($A792="","",$S792&amp;"|"&amp;$F792)</f>
        <v/>
      </c>
      <c r="U792">
        <f>IF($A792="","",$R792&amp;"("&amp;$E792&amp;")")</f>
        <v/>
      </c>
      <c r="V792">
        <f>IF($A792="","",$F792&amp;"|"&amp;$U792&amp;"|"&amp;$D792)</f>
        <v/>
      </c>
      <c r="W792">
        <f>IF($T792="","",IF($X792&gt;N($X791),$X792,""))</f>
        <v/>
      </c>
      <c r="X792">
        <f>IF($T792="",N($X791),IF(MATCH($T792,$T$6:$T$6005,0)=ROW()-5,N($X791)+1,N($X791)))</f>
        <v/>
      </c>
      <c r="Z792">
        <f>IF($V792="","",IF($AA792&gt;N($AA791),$AA792,""))</f>
        <v/>
      </c>
      <c r="AA792">
        <f>IF($V792="",N($AA791),IF(MATCH($V792,$V$6:$V$6005,0)=ROW()-5,N($AA791)+1,N($AA791)))</f>
        <v/>
      </c>
    </row>
    <row r="793" ht="21" customHeight="1" s="66">
      <c r="A793" s="56" t="n"/>
      <c r="B793" s="57" t="n"/>
      <c r="C793" s="57" t="n"/>
      <c r="D793" s="57" t="n"/>
      <c r="E793" s="56" t="n"/>
      <c r="F793" s="57" t="n"/>
      <c r="G793" s="57" t="n"/>
      <c r="H793" s="56" t="n"/>
      <c r="I793" s="56" t="n"/>
      <c r="J793" s="58" t="n"/>
      <c r="K793" s="58" t="n"/>
      <c r="L793" s="13">
        <f>IF(OR($A793="",AND($J793="",$K793="")),"",ROUND(N($J793)-N($K793),2))</f>
        <v/>
      </c>
      <c r="M793" s="13">
        <f>IF(OR($A793="",AND($J793="",$K793="")),"",MIN($J793,$K793))</f>
        <v/>
      </c>
      <c r="Q793">
        <f>IF($A793="","",$D793&amp;"("&amp;SUBSTITUTE($E793," ","")&amp;")")</f>
        <v/>
      </c>
      <c r="R793">
        <f>IF($A793="","",$B793&amp;" - "&amp;$C793)</f>
        <v/>
      </c>
      <c r="S793">
        <f>IF($A793="","",$R793&amp;"|"&amp;$Q793)</f>
        <v/>
      </c>
      <c r="T793">
        <f>IF($A793="","",$S793&amp;"|"&amp;$F793)</f>
        <v/>
      </c>
      <c r="U793">
        <f>IF($A793="","",$R793&amp;"("&amp;$E793&amp;")")</f>
        <v/>
      </c>
      <c r="V793">
        <f>IF($A793="","",$F793&amp;"|"&amp;$U793&amp;"|"&amp;$D793)</f>
        <v/>
      </c>
      <c r="W793">
        <f>IF($T793="","",IF($X793&gt;N($X792),$X793,""))</f>
        <v/>
      </c>
      <c r="X793">
        <f>IF($T793="",N($X792),IF(MATCH($T793,$T$6:$T$6005,0)=ROW()-5,N($X792)+1,N($X792)))</f>
        <v/>
      </c>
      <c r="Z793">
        <f>IF($V793="","",IF($AA793&gt;N($AA792),$AA793,""))</f>
        <v/>
      </c>
      <c r="AA793">
        <f>IF($V793="",N($AA792),IF(MATCH($V793,$V$6:$V$6005,0)=ROW()-5,N($AA792)+1,N($AA792)))</f>
        <v/>
      </c>
    </row>
    <row r="794" ht="21" customHeight="1" s="66">
      <c r="A794" s="56" t="n"/>
      <c r="B794" s="57" t="n"/>
      <c r="C794" s="57" t="n"/>
      <c r="D794" s="57" t="n"/>
      <c r="E794" s="56" t="n"/>
      <c r="F794" s="57" t="n"/>
      <c r="G794" s="57" t="n"/>
      <c r="H794" s="56" t="n"/>
      <c r="I794" s="56" t="n"/>
      <c r="J794" s="58" t="n"/>
      <c r="K794" s="58" t="n"/>
      <c r="L794" s="13">
        <f>IF(OR($A794="",AND($J794="",$K794="")),"",ROUND(N($J794)-N($K794),2))</f>
        <v/>
      </c>
      <c r="M794" s="13">
        <f>IF(OR($A794="",AND($J794="",$K794="")),"",MIN($J794,$K794))</f>
        <v/>
      </c>
      <c r="Q794">
        <f>IF($A794="","",$D794&amp;"("&amp;SUBSTITUTE($E794," ","")&amp;")")</f>
        <v/>
      </c>
      <c r="R794">
        <f>IF($A794="","",$B794&amp;" - "&amp;$C794)</f>
        <v/>
      </c>
      <c r="S794">
        <f>IF($A794="","",$R794&amp;"|"&amp;$Q794)</f>
        <v/>
      </c>
      <c r="T794">
        <f>IF($A794="","",$S794&amp;"|"&amp;$F794)</f>
        <v/>
      </c>
      <c r="U794">
        <f>IF($A794="","",$R794&amp;"("&amp;$E794&amp;")")</f>
        <v/>
      </c>
      <c r="V794">
        <f>IF($A794="","",$F794&amp;"|"&amp;$U794&amp;"|"&amp;$D794)</f>
        <v/>
      </c>
      <c r="W794">
        <f>IF($T794="","",IF($X794&gt;N($X793),$X794,""))</f>
        <v/>
      </c>
      <c r="X794">
        <f>IF($T794="",N($X793),IF(MATCH($T794,$T$6:$T$6005,0)=ROW()-5,N($X793)+1,N($X793)))</f>
        <v/>
      </c>
      <c r="Z794">
        <f>IF($V794="","",IF($AA794&gt;N($AA793),$AA794,""))</f>
        <v/>
      </c>
      <c r="AA794">
        <f>IF($V794="",N($AA793),IF(MATCH($V794,$V$6:$V$6005,0)=ROW()-5,N($AA793)+1,N($AA793)))</f>
        <v/>
      </c>
    </row>
    <row r="795" ht="21" customHeight="1" s="66">
      <c r="A795" s="56" t="n"/>
      <c r="B795" s="57" t="n"/>
      <c r="C795" s="57" t="n"/>
      <c r="D795" s="57" t="n"/>
      <c r="E795" s="56" t="n"/>
      <c r="F795" s="57" t="n"/>
      <c r="G795" s="57" t="n"/>
      <c r="H795" s="56" t="n"/>
      <c r="I795" s="56" t="n"/>
      <c r="J795" s="58" t="n"/>
      <c r="K795" s="58" t="n"/>
      <c r="L795" s="13">
        <f>IF(OR($A795="",AND($J795="",$K795="")),"",ROUND(N($J795)-N($K795),2))</f>
        <v/>
      </c>
      <c r="M795" s="13">
        <f>IF(OR($A795="",AND($J795="",$K795="")),"",MIN($J795,$K795))</f>
        <v/>
      </c>
      <c r="Q795">
        <f>IF($A795="","",$D795&amp;"("&amp;SUBSTITUTE($E795," ","")&amp;")")</f>
        <v/>
      </c>
      <c r="R795">
        <f>IF($A795="","",$B795&amp;" - "&amp;$C795)</f>
        <v/>
      </c>
      <c r="S795">
        <f>IF($A795="","",$R795&amp;"|"&amp;$Q795)</f>
        <v/>
      </c>
      <c r="T795">
        <f>IF($A795="","",$S795&amp;"|"&amp;$F795)</f>
        <v/>
      </c>
      <c r="U795">
        <f>IF($A795="","",$R795&amp;"("&amp;$E795&amp;")")</f>
        <v/>
      </c>
      <c r="V795">
        <f>IF($A795="","",$F795&amp;"|"&amp;$U795&amp;"|"&amp;$D795)</f>
        <v/>
      </c>
      <c r="W795">
        <f>IF($T795="","",IF($X795&gt;N($X794),$X795,""))</f>
        <v/>
      </c>
      <c r="X795">
        <f>IF($T795="",N($X794),IF(MATCH($T795,$T$6:$T$6005,0)=ROW()-5,N($X794)+1,N($X794)))</f>
        <v/>
      </c>
      <c r="Z795">
        <f>IF($V795="","",IF($AA795&gt;N($AA794),$AA795,""))</f>
        <v/>
      </c>
      <c r="AA795">
        <f>IF($V795="",N($AA794),IF(MATCH($V795,$V$6:$V$6005,0)=ROW()-5,N($AA794)+1,N($AA794)))</f>
        <v/>
      </c>
    </row>
    <row r="796" ht="21" customHeight="1" s="66">
      <c r="A796" s="56" t="n"/>
      <c r="B796" s="57" t="n"/>
      <c r="C796" s="57" t="n"/>
      <c r="D796" s="57" t="n"/>
      <c r="E796" s="56" t="n"/>
      <c r="F796" s="57" t="n"/>
      <c r="G796" s="57" t="n"/>
      <c r="H796" s="56" t="n"/>
      <c r="I796" s="56" t="n"/>
      <c r="J796" s="58" t="n"/>
      <c r="K796" s="58" t="n"/>
      <c r="L796" s="13">
        <f>IF(OR($A796="",AND($J796="",$K796="")),"",ROUND(N($J796)-N($K796),2))</f>
        <v/>
      </c>
      <c r="M796" s="13">
        <f>IF(OR($A796="",AND($J796="",$K796="")),"",MIN($J796,$K796))</f>
        <v/>
      </c>
      <c r="Q796">
        <f>IF($A796="","",$D796&amp;"("&amp;SUBSTITUTE($E796," ","")&amp;")")</f>
        <v/>
      </c>
      <c r="R796">
        <f>IF($A796="","",$B796&amp;" - "&amp;$C796)</f>
        <v/>
      </c>
      <c r="S796">
        <f>IF($A796="","",$R796&amp;"|"&amp;$Q796)</f>
        <v/>
      </c>
      <c r="T796">
        <f>IF($A796="","",$S796&amp;"|"&amp;$F796)</f>
        <v/>
      </c>
      <c r="U796">
        <f>IF($A796="","",$R796&amp;"("&amp;$E796&amp;")")</f>
        <v/>
      </c>
      <c r="V796">
        <f>IF($A796="","",$F796&amp;"|"&amp;$U796&amp;"|"&amp;$D796)</f>
        <v/>
      </c>
      <c r="W796">
        <f>IF($T796="","",IF($X796&gt;N($X795),$X796,""))</f>
        <v/>
      </c>
      <c r="X796">
        <f>IF($T796="",N($X795),IF(MATCH($T796,$T$6:$T$6005,0)=ROW()-5,N($X795)+1,N($X795)))</f>
        <v/>
      </c>
      <c r="Z796">
        <f>IF($V796="","",IF($AA796&gt;N($AA795),$AA796,""))</f>
        <v/>
      </c>
      <c r="AA796">
        <f>IF($V796="",N($AA795),IF(MATCH($V796,$V$6:$V$6005,0)=ROW()-5,N($AA795)+1,N($AA795)))</f>
        <v/>
      </c>
    </row>
    <row r="797" ht="21" customHeight="1" s="66">
      <c r="A797" s="56" t="n"/>
      <c r="B797" s="57" t="n"/>
      <c r="C797" s="57" t="n"/>
      <c r="D797" s="57" t="n"/>
      <c r="E797" s="56" t="n"/>
      <c r="F797" s="57" t="n"/>
      <c r="G797" s="57" t="n"/>
      <c r="H797" s="56" t="n"/>
      <c r="I797" s="56" t="n"/>
      <c r="J797" s="58" t="n"/>
      <c r="K797" s="58" t="n"/>
      <c r="L797" s="13">
        <f>IF(OR($A797="",AND($J797="",$K797="")),"",ROUND(N($J797)-N($K797),2))</f>
        <v/>
      </c>
      <c r="M797" s="13">
        <f>IF(OR($A797="",AND($J797="",$K797="")),"",MIN($J797,$K797))</f>
        <v/>
      </c>
      <c r="Q797">
        <f>IF($A797="","",$D797&amp;"("&amp;SUBSTITUTE($E797," ","")&amp;")")</f>
        <v/>
      </c>
      <c r="R797">
        <f>IF($A797="","",$B797&amp;" - "&amp;$C797)</f>
        <v/>
      </c>
      <c r="S797">
        <f>IF($A797="","",$R797&amp;"|"&amp;$Q797)</f>
        <v/>
      </c>
      <c r="T797">
        <f>IF($A797="","",$S797&amp;"|"&amp;$F797)</f>
        <v/>
      </c>
      <c r="U797">
        <f>IF($A797="","",$R797&amp;"("&amp;$E797&amp;")")</f>
        <v/>
      </c>
      <c r="V797">
        <f>IF($A797="","",$F797&amp;"|"&amp;$U797&amp;"|"&amp;$D797)</f>
        <v/>
      </c>
      <c r="W797">
        <f>IF($T797="","",IF($X797&gt;N($X796),$X797,""))</f>
        <v/>
      </c>
      <c r="X797">
        <f>IF($T797="",N($X796),IF(MATCH($T797,$T$6:$T$6005,0)=ROW()-5,N($X796)+1,N($X796)))</f>
        <v/>
      </c>
      <c r="Z797">
        <f>IF($V797="","",IF($AA797&gt;N($AA796),$AA797,""))</f>
        <v/>
      </c>
      <c r="AA797">
        <f>IF($V797="",N($AA796),IF(MATCH($V797,$V$6:$V$6005,0)=ROW()-5,N($AA796)+1,N($AA796)))</f>
        <v/>
      </c>
    </row>
    <row r="798" ht="21" customHeight="1" s="66">
      <c r="A798" s="56" t="n"/>
      <c r="B798" s="57" t="n"/>
      <c r="C798" s="57" t="n"/>
      <c r="D798" s="57" t="n"/>
      <c r="E798" s="56" t="n"/>
      <c r="F798" s="57" t="n"/>
      <c r="G798" s="57" t="n"/>
      <c r="H798" s="56" t="n"/>
      <c r="I798" s="56" t="n"/>
      <c r="J798" s="58" t="n"/>
      <c r="K798" s="58" t="n"/>
      <c r="L798" s="13">
        <f>IF(OR($A798="",AND($J798="",$K798="")),"",ROUND(N($J798)-N($K798),2))</f>
        <v/>
      </c>
      <c r="M798" s="13">
        <f>IF(OR($A798="",AND($J798="",$K798="")),"",MIN($J798,$K798))</f>
        <v/>
      </c>
      <c r="Q798">
        <f>IF($A798="","",$D798&amp;"("&amp;SUBSTITUTE($E798," ","")&amp;")")</f>
        <v/>
      </c>
      <c r="R798">
        <f>IF($A798="","",$B798&amp;" - "&amp;$C798)</f>
        <v/>
      </c>
      <c r="S798">
        <f>IF($A798="","",$R798&amp;"|"&amp;$Q798)</f>
        <v/>
      </c>
      <c r="T798">
        <f>IF($A798="","",$S798&amp;"|"&amp;$F798)</f>
        <v/>
      </c>
      <c r="U798">
        <f>IF($A798="","",$R798&amp;"("&amp;$E798&amp;")")</f>
        <v/>
      </c>
      <c r="V798">
        <f>IF($A798="","",$F798&amp;"|"&amp;$U798&amp;"|"&amp;$D798)</f>
        <v/>
      </c>
      <c r="W798">
        <f>IF($T798="","",IF($X798&gt;N($X797),$X798,""))</f>
        <v/>
      </c>
      <c r="X798">
        <f>IF($T798="",N($X797),IF(MATCH($T798,$T$6:$T$6005,0)=ROW()-5,N($X797)+1,N($X797)))</f>
        <v/>
      </c>
      <c r="Z798">
        <f>IF($V798="","",IF($AA798&gt;N($AA797),$AA798,""))</f>
        <v/>
      </c>
      <c r="AA798">
        <f>IF($V798="",N($AA797),IF(MATCH($V798,$V$6:$V$6005,0)=ROW()-5,N($AA797)+1,N($AA797)))</f>
        <v/>
      </c>
    </row>
    <row r="799" ht="21" customHeight="1" s="66">
      <c r="A799" s="56" t="n"/>
      <c r="B799" s="57" t="n"/>
      <c r="C799" s="57" t="n"/>
      <c r="D799" s="57" t="n"/>
      <c r="E799" s="56" t="n"/>
      <c r="F799" s="57" t="n"/>
      <c r="G799" s="57" t="n"/>
      <c r="H799" s="56" t="n"/>
      <c r="I799" s="56" t="n"/>
      <c r="J799" s="58" t="n"/>
      <c r="K799" s="58" t="n"/>
      <c r="L799" s="13">
        <f>IF(OR($A799="",AND($J799="",$K799="")),"",ROUND(N($J799)-N($K799),2))</f>
        <v/>
      </c>
      <c r="M799" s="13">
        <f>IF(OR($A799="",AND($J799="",$K799="")),"",MIN($J799,$K799))</f>
        <v/>
      </c>
      <c r="Q799">
        <f>IF($A799="","",$D799&amp;"("&amp;SUBSTITUTE($E799," ","")&amp;")")</f>
        <v/>
      </c>
      <c r="R799">
        <f>IF($A799="","",$B799&amp;" - "&amp;$C799)</f>
        <v/>
      </c>
      <c r="S799">
        <f>IF($A799="","",$R799&amp;"|"&amp;$Q799)</f>
        <v/>
      </c>
      <c r="T799">
        <f>IF($A799="","",$S799&amp;"|"&amp;$F799)</f>
        <v/>
      </c>
      <c r="U799">
        <f>IF($A799="","",$R799&amp;"("&amp;$E799&amp;")")</f>
        <v/>
      </c>
      <c r="V799">
        <f>IF($A799="","",$F799&amp;"|"&amp;$U799&amp;"|"&amp;$D799)</f>
        <v/>
      </c>
      <c r="W799">
        <f>IF($T799="","",IF($X799&gt;N($X798),$X799,""))</f>
        <v/>
      </c>
      <c r="X799">
        <f>IF($T799="",N($X798),IF(MATCH($T799,$T$6:$T$6005,0)=ROW()-5,N($X798)+1,N($X798)))</f>
        <v/>
      </c>
      <c r="Z799">
        <f>IF($V799="","",IF($AA799&gt;N($AA798),$AA799,""))</f>
        <v/>
      </c>
      <c r="AA799">
        <f>IF($V799="",N($AA798),IF(MATCH($V799,$V$6:$V$6005,0)=ROW()-5,N($AA798)+1,N($AA798)))</f>
        <v/>
      </c>
    </row>
    <row r="800" ht="21" customHeight="1" s="66">
      <c r="A800" s="56" t="n"/>
      <c r="B800" s="57" t="n"/>
      <c r="C800" s="57" t="n"/>
      <c r="D800" s="57" t="n"/>
      <c r="E800" s="56" t="n"/>
      <c r="F800" s="57" t="n"/>
      <c r="G800" s="57" t="n"/>
      <c r="H800" s="56" t="n"/>
      <c r="I800" s="56" t="n"/>
      <c r="J800" s="58" t="n"/>
      <c r="K800" s="58" t="n"/>
      <c r="L800" s="13">
        <f>IF(OR($A800="",AND($J800="",$K800="")),"",ROUND(N($J800)-N($K800),2))</f>
        <v/>
      </c>
      <c r="M800" s="13">
        <f>IF(OR($A800="",AND($J800="",$K800="")),"",MIN($J800,$K800))</f>
        <v/>
      </c>
      <c r="Q800">
        <f>IF($A800="","",$D800&amp;"("&amp;SUBSTITUTE($E800," ","")&amp;")")</f>
        <v/>
      </c>
      <c r="R800">
        <f>IF($A800="","",$B800&amp;" - "&amp;$C800)</f>
        <v/>
      </c>
      <c r="S800">
        <f>IF($A800="","",$R800&amp;"|"&amp;$Q800)</f>
        <v/>
      </c>
      <c r="T800">
        <f>IF($A800="","",$S800&amp;"|"&amp;$F800)</f>
        <v/>
      </c>
      <c r="U800">
        <f>IF($A800="","",$R800&amp;"("&amp;$E800&amp;")")</f>
        <v/>
      </c>
      <c r="V800">
        <f>IF($A800="","",$F800&amp;"|"&amp;$U800&amp;"|"&amp;$D800)</f>
        <v/>
      </c>
      <c r="W800">
        <f>IF($T800="","",IF($X800&gt;N($X799),$X800,""))</f>
        <v/>
      </c>
      <c r="X800">
        <f>IF($T800="",N($X799),IF(MATCH($T800,$T$6:$T$6005,0)=ROW()-5,N($X799)+1,N($X799)))</f>
        <v/>
      </c>
      <c r="Z800">
        <f>IF($V800="","",IF($AA800&gt;N($AA799),$AA800,""))</f>
        <v/>
      </c>
      <c r="AA800">
        <f>IF($V800="",N($AA799),IF(MATCH($V800,$V$6:$V$6005,0)=ROW()-5,N($AA799)+1,N($AA799)))</f>
        <v/>
      </c>
    </row>
    <row r="801" ht="21" customHeight="1" s="66">
      <c r="A801" s="56" t="n"/>
      <c r="B801" s="57" t="n"/>
      <c r="C801" s="57" t="n"/>
      <c r="D801" s="57" t="n"/>
      <c r="E801" s="56" t="n"/>
      <c r="F801" s="57" t="n"/>
      <c r="G801" s="57" t="n"/>
      <c r="H801" s="56" t="n"/>
      <c r="I801" s="56" t="n"/>
      <c r="J801" s="58" t="n"/>
      <c r="K801" s="58" t="n"/>
      <c r="L801" s="13">
        <f>IF(OR($A801="",AND($J801="",$K801="")),"",ROUND(N($J801)-N($K801),2))</f>
        <v/>
      </c>
      <c r="M801" s="13">
        <f>IF(OR($A801="",AND($J801="",$K801="")),"",MIN($J801,$K801))</f>
        <v/>
      </c>
      <c r="Q801">
        <f>IF($A801="","",$D801&amp;"("&amp;SUBSTITUTE($E801," ","")&amp;")")</f>
        <v/>
      </c>
      <c r="R801">
        <f>IF($A801="","",$B801&amp;" - "&amp;$C801)</f>
        <v/>
      </c>
      <c r="S801">
        <f>IF($A801="","",$R801&amp;"|"&amp;$Q801)</f>
        <v/>
      </c>
      <c r="T801">
        <f>IF($A801="","",$S801&amp;"|"&amp;$F801)</f>
        <v/>
      </c>
      <c r="U801">
        <f>IF($A801="","",$R801&amp;"("&amp;$E801&amp;")")</f>
        <v/>
      </c>
      <c r="V801">
        <f>IF($A801="","",$F801&amp;"|"&amp;$U801&amp;"|"&amp;$D801)</f>
        <v/>
      </c>
      <c r="W801">
        <f>IF($T801="","",IF($X801&gt;N($X800),$X801,""))</f>
        <v/>
      </c>
      <c r="X801">
        <f>IF($T801="",N($X800),IF(MATCH($T801,$T$6:$T$6005,0)=ROW()-5,N($X800)+1,N($X800)))</f>
        <v/>
      </c>
      <c r="Z801">
        <f>IF($V801="","",IF($AA801&gt;N($AA800),$AA801,""))</f>
        <v/>
      </c>
      <c r="AA801">
        <f>IF($V801="",N($AA800),IF(MATCH($V801,$V$6:$V$6005,0)=ROW()-5,N($AA800)+1,N($AA800)))</f>
        <v/>
      </c>
    </row>
    <row r="802" ht="21" customHeight="1" s="66">
      <c r="A802" s="56" t="n"/>
      <c r="B802" s="57" t="n"/>
      <c r="C802" s="57" t="n"/>
      <c r="D802" s="57" t="n"/>
      <c r="E802" s="56" t="n"/>
      <c r="F802" s="57" t="n"/>
      <c r="G802" s="57" t="n"/>
      <c r="H802" s="56" t="n"/>
      <c r="I802" s="56" t="n"/>
      <c r="J802" s="58" t="n"/>
      <c r="K802" s="58" t="n"/>
      <c r="L802" s="13">
        <f>IF(OR($A802="",AND($J802="",$K802="")),"",ROUND(N($J802)-N($K802),2))</f>
        <v/>
      </c>
      <c r="M802" s="13">
        <f>IF(OR($A802="",AND($J802="",$K802="")),"",MIN($J802,$K802))</f>
        <v/>
      </c>
      <c r="Q802">
        <f>IF($A802="","",$D802&amp;"("&amp;SUBSTITUTE($E802," ","")&amp;")")</f>
        <v/>
      </c>
      <c r="R802">
        <f>IF($A802="","",$B802&amp;" - "&amp;$C802)</f>
        <v/>
      </c>
      <c r="S802">
        <f>IF($A802="","",$R802&amp;"|"&amp;$Q802)</f>
        <v/>
      </c>
      <c r="T802">
        <f>IF($A802="","",$S802&amp;"|"&amp;$F802)</f>
        <v/>
      </c>
      <c r="U802">
        <f>IF($A802="","",$R802&amp;"("&amp;$E802&amp;")")</f>
        <v/>
      </c>
      <c r="V802">
        <f>IF($A802="","",$F802&amp;"|"&amp;$U802&amp;"|"&amp;$D802)</f>
        <v/>
      </c>
      <c r="W802">
        <f>IF($T802="","",IF($X802&gt;N($X801),$X802,""))</f>
        <v/>
      </c>
      <c r="X802">
        <f>IF($T802="",N($X801),IF(MATCH($T802,$T$6:$T$6005,0)=ROW()-5,N($X801)+1,N($X801)))</f>
        <v/>
      </c>
      <c r="Z802">
        <f>IF($V802="","",IF($AA802&gt;N($AA801),$AA802,""))</f>
        <v/>
      </c>
      <c r="AA802">
        <f>IF($V802="",N($AA801),IF(MATCH($V802,$V$6:$V$6005,0)=ROW()-5,N($AA801)+1,N($AA801)))</f>
        <v/>
      </c>
    </row>
    <row r="803" ht="21" customHeight="1" s="66">
      <c r="A803" s="56" t="n"/>
      <c r="B803" s="57" t="n"/>
      <c r="C803" s="57" t="n"/>
      <c r="D803" s="57" t="n"/>
      <c r="E803" s="56" t="n"/>
      <c r="F803" s="57" t="n"/>
      <c r="G803" s="57" t="n"/>
      <c r="H803" s="56" t="n"/>
      <c r="I803" s="56" t="n"/>
      <c r="J803" s="58" t="n"/>
      <c r="K803" s="58" t="n"/>
      <c r="L803" s="13">
        <f>IF(OR($A803="",AND($J803="",$K803="")),"",ROUND(N($J803)-N($K803),2))</f>
        <v/>
      </c>
      <c r="M803" s="13">
        <f>IF(OR($A803="",AND($J803="",$K803="")),"",MIN($J803,$K803))</f>
        <v/>
      </c>
      <c r="Q803">
        <f>IF($A803="","",$D803&amp;"("&amp;SUBSTITUTE($E803," ","")&amp;")")</f>
        <v/>
      </c>
      <c r="R803">
        <f>IF($A803="","",$B803&amp;" - "&amp;$C803)</f>
        <v/>
      </c>
      <c r="S803">
        <f>IF($A803="","",$R803&amp;"|"&amp;$Q803)</f>
        <v/>
      </c>
      <c r="T803">
        <f>IF($A803="","",$S803&amp;"|"&amp;$F803)</f>
        <v/>
      </c>
      <c r="U803">
        <f>IF($A803="","",$R803&amp;"("&amp;$E803&amp;")")</f>
        <v/>
      </c>
      <c r="V803">
        <f>IF($A803="","",$F803&amp;"|"&amp;$U803&amp;"|"&amp;$D803)</f>
        <v/>
      </c>
      <c r="W803">
        <f>IF($T803="","",IF($X803&gt;N($X802),$X803,""))</f>
        <v/>
      </c>
      <c r="X803">
        <f>IF($T803="",N($X802),IF(MATCH($T803,$T$6:$T$6005,0)=ROW()-5,N($X802)+1,N($X802)))</f>
        <v/>
      </c>
      <c r="Z803">
        <f>IF($V803="","",IF($AA803&gt;N($AA802),$AA803,""))</f>
        <v/>
      </c>
      <c r="AA803">
        <f>IF($V803="",N($AA802),IF(MATCH($V803,$V$6:$V$6005,0)=ROW()-5,N($AA802)+1,N($AA802)))</f>
        <v/>
      </c>
    </row>
    <row r="804" ht="21" customHeight="1" s="66">
      <c r="A804" s="56" t="n"/>
      <c r="B804" s="57" t="n"/>
      <c r="C804" s="57" t="n"/>
      <c r="D804" s="57" t="n"/>
      <c r="E804" s="56" t="n"/>
      <c r="F804" s="57" t="n"/>
      <c r="G804" s="57" t="n"/>
      <c r="H804" s="56" t="n"/>
      <c r="I804" s="56" t="n"/>
      <c r="J804" s="58" t="n"/>
      <c r="K804" s="58" t="n"/>
      <c r="L804" s="13">
        <f>IF(OR($A804="",AND($J804="",$K804="")),"",ROUND(N($J804)-N($K804),2))</f>
        <v/>
      </c>
      <c r="M804" s="13">
        <f>IF(OR($A804="",AND($J804="",$K804="")),"",MIN($J804,$K804))</f>
        <v/>
      </c>
      <c r="Q804">
        <f>IF($A804="","",$D804&amp;"("&amp;SUBSTITUTE($E804," ","")&amp;")")</f>
        <v/>
      </c>
      <c r="R804">
        <f>IF($A804="","",$B804&amp;" - "&amp;$C804)</f>
        <v/>
      </c>
      <c r="S804">
        <f>IF($A804="","",$R804&amp;"|"&amp;$Q804)</f>
        <v/>
      </c>
      <c r="T804">
        <f>IF($A804="","",$S804&amp;"|"&amp;$F804)</f>
        <v/>
      </c>
      <c r="U804">
        <f>IF($A804="","",$R804&amp;"("&amp;$E804&amp;")")</f>
        <v/>
      </c>
      <c r="V804">
        <f>IF($A804="","",$F804&amp;"|"&amp;$U804&amp;"|"&amp;$D804)</f>
        <v/>
      </c>
      <c r="W804">
        <f>IF($T804="","",IF($X804&gt;N($X803),$X804,""))</f>
        <v/>
      </c>
      <c r="X804">
        <f>IF($T804="",N($X803),IF(MATCH($T804,$T$6:$T$6005,0)=ROW()-5,N($X803)+1,N($X803)))</f>
        <v/>
      </c>
      <c r="Z804">
        <f>IF($V804="","",IF($AA804&gt;N($AA803),$AA804,""))</f>
        <v/>
      </c>
      <c r="AA804">
        <f>IF($V804="",N($AA803),IF(MATCH($V804,$V$6:$V$6005,0)=ROW()-5,N($AA803)+1,N($AA803)))</f>
        <v/>
      </c>
    </row>
    <row r="805" ht="21" customHeight="1" s="66">
      <c r="A805" s="56" t="n"/>
      <c r="B805" s="57" t="n"/>
      <c r="C805" s="57" t="n"/>
      <c r="D805" s="57" t="n"/>
      <c r="E805" s="56" t="n"/>
      <c r="F805" s="57" t="n"/>
      <c r="G805" s="57" t="n"/>
      <c r="H805" s="56" t="n"/>
      <c r="I805" s="56" t="n"/>
      <c r="J805" s="58" t="n"/>
      <c r="K805" s="58" t="n"/>
      <c r="L805" s="13">
        <f>IF(OR($A805="",AND($J805="",$K805="")),"",ROUND(N($J805)-N($K805),2))</f>
        <v/>
      </c>
      <c r="M805" s="13">
        <f>IF(OR($A805="",AND($J805="",$K805="")),"",MIN($J805,$K805))</f>
        <v/>
      </c>
      <c r="Q805">
        <f>IF($A805="","",$D805&amp;"("&amp;SUBSTITUTE($E805," ","")&amp;")")</f>
        <v/>
      </c>
      <c r="R805">
        <f>IF($A805="","",$B805&amp;" - "&amp;$C805)</f>
        <v/>
      </c>
      <c r="S805">
        <f>IF($A805="","",$R805&amp;"|"&amp;$Q805)</f>
        <v/>
      </c>
      <c r="T805">
        <f>IF($A805="","",$S805&amp;"|"&amp;$F805)</f>
        <v/>
      </c>
      <c r="U805">
        <f>IF($A805="","",$R805&amp;"("&amp;$E805&amp;")")</f>
        <v/>
      </c>
      <c r="V805">
        <f>IF($A805="","",$F805&amp;"|"&amp;$U805&amp;"|"&amp;$D805)</f>
        <v/>
      </c>
      <c r="W805">
        <f>IF($T805="","",IF($X805&gt;N($X804),$X805,""))</f>
        <v/>
      </c>
      <c r="X805">
        <f>IF($T805="",N($X804),IF(MATCH($T805,$T$6:$T$6005,0)=ROW()-5,N($X804)+1,N($X804)))</f>
        <v/>
      </c>
      <c r="Z805">
        <f>IF($V805="","",IF($AA805&gt;N($AA804),$AA805,""))</f>
        <v/>
      </c>
      <c r="AA805">
        <f>IF($V805="",N($AA804),IF(MATCH($V805,$V$6:$V$6005,0)=ROW()-5,N($AA804)+1,N($AA804)))</f>
        <v/>
      </c>
    </row>
    <row r="806" ht="21" customHeight="1" s="66">
      <c r="A806" s="56" t="n"/>
      <c r="B806" s="57" t="n"/>
      <c r="C806" s="57" t="n"/>
      <c r="D806" s="57" t="n"/>
      <c r="E806" s="56" t="n"/>
      <c r="F806" s="57" t="n"/>
      <c r="G806" s="57" t="n"/>
      <c r="H806" s="56" t="n"/>
      <c r="I806" s="56" t="n"/>
      <c r="J806" s="58" t="n"/>
      <c r="K806" s="58" t="n"/>
      <c r="L806" s="13">
        <f>IF(OR($A806="",AND($J806="",$K806="")),"",ROUND(N($J806)-N($K806),2))</f>
        <v/>
      </c>
      <c r="M806" s="13">
        <f>IF(OR($A806="",AND($J806="",$K806="")),"",MIN($J806,$K806))</f>
        <v/>
      </c>
      <c r="Q806">
        <f>IF($A806="","",$D806&amp;"("&amp;SUBSTITUTE($E806," ","")&amp;")")</f>
        <v/>
      </c>
      <c r="R806">
        <f>IF($A806="","",$B806&amp;" - "&amp;$C806)</f>
        <v/>
      </c>
      <c r="S806">
        <f>IF($A806="","",$R806&amp;"|"&amp;$Q806)</f>
        <v/>
      </c>
      <c r="T806">
        <f>IF($A806="","",$S806&amp;"|"&amp;$F806)</f>
        <v/>
      </c>
      <c r="U806">
        <f>IF($A806="","",$R806&amp;"("&amp;$E806&amp;")")</f>
        <v/>
      </c>
      <c r="V806">
        <f>IF($A806="","",$F806&amp;"|"&amp;$U806&amp;"|"&amp;$D806)</f>
        <v/>
      </c>
      <c r="W806">
        <f>IF($T806="","",IF($X806&gt;N($X805),$X806,""))</f>
        <v/>
      </c>
      <c r="X806">
        <f>IF($T806="",N($X805),IF(MATCH($T806,$T$6:$T$6005,0)=ROW()-5,N($X805)+1,N($X805)))</f>
        <v/>
      </c>
      <c r="Z806">
        <f>IF($V806="","",IF($AA806&gt;N($AA805),$AA806,""))</f>
        <v/>
      </c>
      <c r="AA806">
        <f>IF($V806="",N($AA805),IF(MATCH($V806,$V$6:$V$6005,0)=ROW()-5,N($AA805)+1,N($AA805)))</f>
        <v/>
      </c>
    </row>
    <row r="807" ht="21" customHeight="1" s="66">
      <c r="A807" s="56" t="n"/>
      <c r="B807" s="57" t="n"/>
      <c r="C807" s="57" t="n"/>
      <c r="D807" s="57" t="n"/>
      <c r="E807" s="56" t="n"/>
      <c r="F807" s="57" t="n"/>
      <c r="G807" s="57" t="n"/>
      <c r="H807" s="56" t="n"/>
      <c r="I807" s="56" t="n"/>
      <c r="J807" s="58" t="n"/>
      <c r="K807" s="58" t="n"/>
      <c r="L807" s="13">
        <f>IF(OR($A807="",AND($J807="",$K807="")),"",ROUND(N($J807)-N($K807),2))</f>
        <v/>
      </c>
      <c r="M807" s="13">
        <f>IF(OR($A807="",AND($J807="",$K807="")),"",MIN($J807,$K807))</f>
        <v/>
      </c>
      <c r="Q807">
        <f>IF($A807="","",$D807&amp;"("&amp;SUBSTITUTE($E807," ","")&amp;")")</f>
        <v/>
      </c>
      <c r="R807">
        <f>IF($A807="","",$B807&amp;" - "&amp;$C807)</f>
        <v/>
      </c>
      <c r="S807">
        <f>IF($A807="","",$R807&amp;"|"&amp;$Q807)</f>
        <v/>
      </c>
      <c r="T807">
        <f>IF($A807="","",$S807&amp;"|"&amp;$F807)</f>
        <v/>
      </c>
      <c r="U807">
        <f>IF($A807="","",$R807&amp;"("&amp;$E807&amp;")")</f>
        <v/>
      </c>
      <c r="V807">
        <f>IF($A807="","",$F807&amp;"|"&amp;$U807&amp;"|"&amp;$D807)</f>
        <v/>
      </c>
      <c r="W807">
        <f>IF($T807="","",IF($X807&gt;N($X806),$X807,""))</f>
        <v/>
      </c>
      <c r="X807">
        <f>IF($T807="",N($X806),IF(MATCH($T807,$T$6:$T$6005,0)=ROW()-5,N($X806)+1,N($X806)))</f>
        <v/>
      </c>
      <c r="Z807">
        <f>IF($V807="","",IF($AA807&gt;N($AA806),$AA807,""))</f>
        <v/>
      </c>
      <c r="AA807">
        <f>IF($V807="",N($AA806),IF(MATCH($V807,$V$6:$V$6005,0)=ROW()-5,N($AA806)+1,N($AA806)))</f>
        <v/>
      </c>
    </row>
    <row r="808" ht="21" customHeight="1" s="66">
      <c r="A808" s="56" t="n"/>
      <c r="B808" s="57" t="n"/>
      <c r="C808" s="57" t="n"/>
      <c r="D808" s="57" t="n"/>
      <c r="E808" s="56" t="n"/>
      <c r="F808" s="57" t="n"/>
      <c r="G808" s="57" t="n"/>
      <c r="H808" s="56" t="n"/>
      <c r="I808" s="56" t="n"/>
      <c r="J808" s="58" t="n"/>
      <c r="K808" s="58" t="n"/>
      <c r="L808" s="13">
        <f>IF(OR($A808="",AND($J808="",$K808="")),"",ROUND(N($J808)-N($K808),2))</f>
        <v/>
      </c>
      <c r="M808" s="13">
        <f>IF(OR($A808="",AND($J808="",$K808="")),"",MIN($J808,$K808))</f>
        <v/>
      </c>
      <c r="Q808">
        <f>IF($A808="","",$D808&amp;"("&amp;SUBSTITUTE($E808," ","")&amp;")")</f>
        <v/>
      </c>
      <c r="R808">
        <f>IF($A808="","",$B808&amp;" - "&amp;$C808)</f>
        <v/>
      </c>
      <c r="S808">
        <f>IF($A808="","",$R808&amp;"|"&amp;$Q808)</f>
        <v/>
      </c>
      <c r="T808">
        <f>IF($A808="","",$S808&amp;"|"&amp;$F808)</f>
        <v/>
      </c>
      <c r="U808">
        <f>IF($A808="","",$R808&amp;"("&amp;$E808&amp;")")</f>
        <v/>
      </c>
      <c r="V808">
        <f>IF($A808="","",$F808&amp;"|"&amp;$U808&amp;"|"&amp;$D808)</f>
        <v/>
      </c>
      <c r="W808">
        <f>IF($T808="","",IF($X808&gt;N($X807),$X808,""))</f>
        <v/>
      </c>
      <c r="X808">
        <f>IF($T808="",N($X807),IF(MATCH($T808,$T$6:$T$6005,0)=ROW()-5,N($X807)+1,N($X807)))</f>
        <v/>
      </c>
      <c r="Z808">
        <f>IF($V808="","",IF($AA808&gt;N($AA807),$AA808,""))</f>
        <v/>
      </c>
      <c r="AA808">
        <f>IF($V808="",N($AA807),IF(MATCH($V808,$V$6:$V$6005,0)=ROW()-5,N($AA807)+1,N($AA807)))</f>
        <v/>
      </c>
    </row>
    <row r="809" ht="21" customHeight="1" s="66">
      <c r="A809" s="56" t="n"/>
      <c r="B809" s="57" t="n"/>
      <c r="C809" s="57" t="n"/>
      <c r="D809" s="57" t="n"/>
      <c r="E809" s="56" t="n"/>
      <c r="F809" s="57" t="n"/>
      <c r="G809" s="57" t="n"/>
      <c r="H809" s="56" t="n"/>
      <c r="I809" s="56" t="n"/>
      <c r="J809" s="58" t="n"/>
      <c r="K809" s="58" t="n"/>
      <c r="L809" s="13">
        <f>IF(OR($A809="",AND($J809="",$K809="")),"",ROUND(N($J809)-N($K809),2))</f>
        <v/>
      </c>
      <c r="M809" s="13">
        <f>IF(OR($A809="",AND($J809="",$K809="")),"",MIN($J809,$K809))</f>
        <v/>
      </c>
      <c r="Q809">
        <f>IF($A809="","",$D809&amp;"("&amp;SUBSTITUTE($E809," ","")&amp;")")</f>
        <v/>
      </c>
      <c r="R809">
        <f>IF($A809="","",$B809&amp;" - "&amp;$C809)</f>
        <v/>
      </c>
      <c r="S809">
        <f>IF($A809="","",$R809&amp;"|"&amp;$Q809)</f>
        <v/>
      </c>
      <c r="T809">
        <f>IF($A809="","",$S809&amp;"|"&amp;$F809)</f>
        <v/>
      </c>
      <c r="U809">
        <f>IF($A809="","",$R809&amp;"("&amp;$E809&amp;")")</f>
        <v/>
      </c>
      <c r="V809">
        <f>IF($A809="","",$F809&amp;"|"&amp;$U809&amp;"|"&amp;$D809)</f>
        <v/>
      </c>
      <c r="W809">
        <f>IF($T809="","",IF($X809&gt;N($X808),$X809,""))</f>
        <v/>
      </c>
      <c r="X809">
        <f>IF($T809="",N($X808),IF(MATCH($T809,$T$6:$T$6005,0)=ROW()-5,N($X808)+1,N($X808)))</f>
        <v/>
      </c>
      <c r="Z809">
        <f>IF($V809="","",IF($AA809&gt;N($AA808),$AA809,""))</f>
        <v/>
      </c>
      <c r="AA809">
        <f>IF($V809="",N($AA808),IF(MATCH($V809,$V$6:$V$6005,0)=ROW()-5,N($AA808)+1,N($AA808)))</f>
        <v/>
      </c>
    </row>
    <row r="810" ht="21" customHeight="1" s="66">
      <c r="A810" s="56" t="n"/>
      <c r="B810" s="57" t="n"/>
      <c r="C810" s="57" t="n"/>
      <c r="D810" s="57" t="n"/>
      <c r="E810" s="56" t="n"/>
      <c r="F810" s="57" t="n"/>
      <c r="G810" s="57" t="n"/>
      <c r="H810" s="56" t="n"/>
      <c r="I810" s="56" t="n"/>
      <c r="J810" s="58" t="n"/>
      <c r="K810" s="58" t="n"/>
      <c r="L810" s="13">
        <f>IF(OR($A810="",AND($J810="",$K810="")),"",ROUND(N($J810)-N($K810),2))</f>
        <v/>
      </c>
      <c r="M810" s="13">
        <f>IF(OR($A810="",AND($J810="",$K810="")),"",MIN($J810,$K810))</f>
        <v/>
      </c>
      <c r="Q810">
        <f>IF($A810="","",$D810&amp;"("&amp;SUBSTITUTE($E810," ","")&amp;")")</f>
        <v/>
      </c>
      <c r="R810">
        <f>IF($A810="","",$B810&amp;" - "&amp;$C810)</f>
        <v/>
      </c>
      <c r="S810">
        <f>IF($A810="","",$R810&amp;"|"&amp;$Q810)</f>
        <v/>
      </c>
      <c r="T810">
        <f>IF($A810="","",$S810&amp;"|"&amp;$F810)</f>
        <v/>
      </c>
      <c r="U810">
        <f>IF($A810="","",$R810&amp;"("&amp;$E810&amp;")")</f>
        <v/>
      </c>
      <c r="V810">
        <f>IF($A810="","",$F810&amp;"|"&amp;$U810&amp;"|"&amp;$D810)</f>
        <v/>
      </c>
      <c r="W810">
        <f>IF($T810="","",IF($X810&gt;N($X809),$X810,""))</f>
        <v/>
      </c>
      <c r="X810">
        <f>IF($T810="",N($X809),IF(MATCH($T810,$T$6:$T$6005,0)=ROW()-5,N($X809)+1,N($X809)))</f>
        <v/>
      </c>
      <c r="Z810">
        <f>IF($V810="","",IF($AA810&gt;N($AA809),$AA810,""))</f>
        <v/>
      </c>
      <c r="AA810">
        <f>IF($V810="",N($AA809),IF(MATCH($V810,$V$6:$V$6005,0)=ROW()-5,N($AA809)+1,N($AA809)))</f>
        <v/>
      </c>
    </row>
    <row r="811" ht="21" customHeight="1" s="66">
      <c r="A811" s="56" t="n"/>
      <c r="B811" s="57" t="n"/>
      <c r="C811" s="57" t="n"/>
      <c r="D811" s="57" t="n"/>
      <c r="E811" s="56" t="n"/>
      <c r="F811" s="57" t="n"/>
      <c r="G811" s="57" t="n"/>
      <c r="H811" s="56" t="n"/>
      <c r="I811" s="56" t="n"/>
      <c r="J811" s="58" t="n"/>
      <c r="K811" s="58" t="n"/>
      <c r="L811" s="13">
        <f>IF(OR($A811="",AND($J811="",$K811="")),"",ROUND(N($J811)-N($K811),2))</f>
        <v/>
      </c>
      <c r="M811" s="13">
        <f>IF(OR($A811="",AND($J811="",$K811="")),"",MIN($J811,$K811))</f>
        <v/>
      </c>
      <c r="Q811">
        <f>IF($A811="","",$D811&amp;"("&amp;SUBSTITUTE($E811," ","")&amp;")")</f>
        <v/>
      </c>
      <c r="R811">
        <f>IF($A811="","",$B811&amp;" - "&amp;$C811)</f>
        <v/>
      </c>
      <c r="S811">
        <f>IF($A811="","",$R811&amp;"|"&amp;$Q811)</f>
        <v/>
      </c>
      <c r="T811">
        <f>IF($A811="","",$S811&amp;"|"&amp;$F811)</f>
        <v/>
      </c>
      <c r="U811">
        <f>IF($A811="","",$R811&amp;"("&amp;$E811&amp;")")</f>
        <v/>
      </c>
      <c r="V811">
        <f>IF($A811="","",$F811&amp;"|"&amp;$U811&amp;"|"&amp;$D811)</f>
        <v/>
      </c>
      <c r="W811">
        <f>IF($T811="","",IF($X811&gt;N($X810),$X811,""))</f>
        <v/>
      </c>
      <c r="X811">
        <f>IF($T811="",N($X810),IF(MATCH($T811,$T$6:$T$6005,0)=ROW()-5,N($X810)+1,N($X810)))</f>
        <v/>
      </c>
      <c r="Z811">
        <f>IF($V811="","",IF($AA811&gt;N($AA810),$AA811,""))</f>
        <v/>
      </c>
      <c r="AA811">
        <f>IF($V811="",N($AA810),IF(MATCH($V811,$V$6:$V$6005,0)=ROW()-5,N($AA810)+1,N($AA810)))</f>
        <v/>
      </c>
    </row>
    <row r="812" ht="21" customHeight="1" s="66">
      <c r="A812" s="56" t="n"/>
      <c r="B812" s="57" t="n"/>
      <c r="C812" s="57" t="n"/>
      <c r="D812" s="57" t="n"/>
      <c r="E812" s="56" t="n"/>
      <c r="F812" s="57" t="n"/>
      <c r="G812" s="57" t="n"/>
      <c r="H812" s="56" t="n"/>
      <c r="I812" s="56" t="n"/>
      <c r="J812" s="58" t="n"/>
      <c r="K812" s="58" t="n"/>
      <c r="L812" s="13">
        <f>IF(OR($A812="",AND($J812="",$K812="")),"",ROUND(N($J812)-N($K812),2))</f>
        <v/>
      </c>
      <c r="M812" s="13">
        <f>IF(OR($A812="",AND($J812="",$K812="")),"",MIN($J812,$K812))</f>
        <v/>
      </c>
      <c r="Q812">
        <f>IF($A812="","",$D812&amp;"("&amp;SUBSTITUTE($E812," ","")&amp;")")</f>
        <v/>
      </c>
      <c r="R812">
        <f>IF($A812="","",$B812&amp;" - "&amp;$C812)</f>
        <v/>
      </c>
      <c r="S812">
        <f>IF($A812="","",$R812&amp;"|"&amp;$Q812)</f>
        <v/>
      </c>
      <c r="T812">
        <f>IF($A812="","",$S812&amp;"|"&amp;$F812)</f>
        <v/>
      </c>
      <c r="U812">
        <f>IF($A812="","",$R812&amp;"("&amp;$E812&amp;")")</f>
        <v/>
      </c>
      <c r="V812">
        <f>IF($A812="","",$F812&amp;"|"&amp;$U812&amp;"|"&amp;$D812)</f>
        <v/>
      </c>
      <c r="W812">
        <f>IF($T812="","",IF($X812&gt;N($X811),$X812,""))</f>
        <v/>
      </c>
      <c r="X812">
        <f>IF($T812="",N($X811),IF(MATCH($T812,$T$6:$T$6005,0)=ROW()-5,N($X811)+1,N($X811)))</f>
        <v/>
      </c>
      <c r="Z812">
        <f>IF($V812="","",IF($AA812&gt;N($AA811),$AA812,""))</f>
        <v/>
      </c>
      <c r="AA812">
        <f>IF($V812="",N($AA811),IF(MATCH($V812,$V$6:$V$6005,0)=ROW()-5,N($AA811)+1,N($AA811)))</f>
        <v/>
      </c>
    </row>
    <row r="813" ht="21" customHeight="1" s="66">
      <c r="A813" s="56" t="n"/>
      <c r="B813" s="57" t="n"/>
      <c r="C813" s="57" t="n"/>
      <c r="D813" s="57" t="n"/>
      <c r="E813" s="56" t="n"/>
      <c r="F813" s="57" t="n"/>
      <c r="G813" s="57" t="n"/>
      <c r="H813" s="56" t="n"/>
      <c r="I813" s="56" t="n"/>
      <c r="J813" s="58" t="n"/>
      <c r="K813" s="58" t="n"/>
      <c r="L813" s="13">
        <f>IF(OR($A813="",AND($J813="",$K813="")),"",ROUND(N($J813)-N($K813),2))</f>
        <v/>
      </c>
      <c r="M813" s="13">
        <f>IF(OR($A813="",AND($J813="",$K813="")),"",MIN($J813,$K813))</f>
        <v/>
      </c>
      <c r="Q813">
        <f>IF($A813="","",$D813&amp;"("&amp;SUBSTITUTE($E813," ","")&amp;")")</f>
        <v/>
      </c>
      <c r="R813">
        <f>IF($A813="","",$B813&amp;" - "&amp;$C813)</f>
        <v/>
      </c>
      <c r="S813">
        <f>IF($A813="","",$R813&amp;"|"&amp;$Q813)</f>
        <v/>
      </c>
      <c r="T813">
        <f>IF($A813="","",$S813&amp;"|"&amp;$F813)</f>
        <v/>
      </c>
      <c r="U813">
        <f>IF($A813="","",$R813&amp;"("&amp;$E813&amp;")")</f>
        <v/>
      </c>
      <c r="V813">
        <f>IF($A813="","",$F813&amp;"|"&amp;$U813&amp;"|"&amp;$D813)</f>
        <v/>
      </c>
      <c r="W813">
        <f>IF($T813="","",IF($X813&gt;N($X812),$X813,""))</f>
        <v/>
      </c>
      <c r="X813">
        <f>IF($T813="",N($X812),IF(MATCH($T813,$T$6:$T$6005,0)=ROW()-5,N($X812)+1,N($X812)))</f>
        <v/>
      </c>
      <c r="Z813">
        <f>IF($V813="","",IF($AA813&gt;N($AA812),$AA813,""))</f>
        <v/>
      </c>
      <c r="AA813">
        <f>IF($V813="",N($AA812),IF(MATCH($V813,$V$6:$V$6005,0)=ROW()-5,N($AA812)+1,N($AA812)))</f>
        <v/>
      </c>
    </row>
    <row r="814" ht="21" customHeight="1" s="66">
      <c r="A814" s="56" t="n"/>
      <c r="B814" s="57" t="n"/>
      <c r="C814" s="57" t="n"/>
      <c r="D814" s="57" t="n"/>
      <c r="E814" s="56" t="n"/>
      <c r="F814" s="57" t="n"/>
      <c r="G814" s="57" t="n"/>
      <c r="H814" s="56" t="n"/>
      <c r="I814" s="56" t="n"/>
      <c r="J814" s="58" t="n"/>
      <c r="K814" s="58" t="n"/>
      <c r="L814" s="13">
        <f>IF(OR($A814="",AND($J814="",$K814="")),"",ROUND(N($J814)-N($K814),2))</f>
        <v/>
      </c>
      <c r="M814" s="13">
        <f>IF(OR($A814="",AND($J814="",$K814="")),"",MIN($J814,$K814))</f>
        <v/>
      </c>
      <c r="Q814">
        <f>IF($A814="","",$D814&amp;"("&amp;SUBSTITUTE($E814," ","")&amp;")")</f>
        <v/>
      </c>
      <c r="R814">
        <f>IF($A814="","",$B814&amp;" - "&amp;$C814)</f>
        <v/>
      </c>
      <c r="S814">
        <f>IF($A814="","",$R814&amp;"|"&amp;$Q814)</f>
        <v/>
      </c>
      <c r="T814">
        <f>IF($A814="","",$S814&amp;"|"&amp;$F814)</f>
        <v/>
      </c>
      <c r="U814">
        <f>IF($A814="","",$R814&amp;"("&amp;$E814&amp;")")</f>
        <v/>
      </c>
      <c r="V814">
        <f>IF($A814="","",$F814&amp;"|"&amp;$U814&amp;"|"&amp;$D814)</f>
        <v/>
      </c>
      <c r="W814">
        <f>IF($T814="","",IF($X814&gt;N($X813),$X814,""))</f>
        <v/>
      </c>
      <c r="X814">
        <f>IF($T814="",N($X813),IF(MATCH($T814,$T$6:$T$6005,0)=ROW()-5,N($X813)+1,N($X813)))</f>
        <v/>
      </c>
      <c r="Z814">
        <f>IF($V814="","",IF($AA814&gt;N($AA813),$AA814,""))</f>
        <v/>
      </c>
      <c r="AA814">
        <f>IF($V814="",N($AA813),IF(MATCH($V814,$V$6:$V$6005,0)=ROW()-5,N($AA813)+1,N($AA813)))</f>
        <v/>
      </c>
    </row>
    <row r="815" ht="21" customHeight="1" s="66">
      <c r="A815" s="56" t="n"/>
      <c r="B815" s="57" t="n"/>
      <c r="C815" s="57" t="n"/>
      <c r="D815" s="57" t="n"/>
      <c r="E815" s="56" t="n"/>
      <c r="F815" s="57" t="n"/>
      <c r="G815" s="57" t="n"/>
      <c r="H815" s="56" t="n"/>
      <c r="I815" s="56" t="n"/>
      <c r="J815" s="58" t="n"/>
      <c r="K815" s="58" t="n"/>
      <c r="L815" s="13">
        <f>IF(OR($A815="",AND($J815="",$K815="")),"",ROUND(N($J815)-N($K815),2))</f>
        <v/>
      </c>
      <c r="M815" s="13">
        <f>IF(OR($A815="",AND($J815="",$K815="")),"",MIN($J815,$K815))</f>
        <v/>
      </c>
      <c r="Q815">
        <f>IF($A815="","",$D815&amp;"("&amp;SUBSTITUTE($E815," ","")&amp;")")</f>
        <v/>
      </c>
      <c r="R815">
        <f>IF($A815="","",$B815&amp;" - "&amp;$C815)</f>
        <v/>
      </c>
      <c r="S815">
        <f>IF($A815="","",$R815&amp;"|"&amp;$Q815)</f>
        <v/>
      </c>
      <c r="T815">
        <f>IF($A815="","",$S815&amp;"|"&amp;$F815)</f>
        <v/>
      </c>
      <c r="U815">
        <f>IF($A815="","",$R815&amp;"("&amp;$E815&amp;")")</f>
        <v/>
      </c>
      <c r="V815">
        <f>IF($A815="","",$F815&amp;"|"&amp;$U815&amp;"|"&amp;$D815)</f>
        <v/>
      </c>
      <c r="W815">
        <f>IF($T815="","",IF($X815&gt;N($X814),$X815,""))</f>
        <v/>
      </c>
      <c r="X815">
        <f>IF($T815="",N($X814),IF(MATCH($T815,$T$6:$T$6005,0)=ROW()-5,N($X814)+1,N($X814)))</f>
        <v/>
      </c>
      <c r="Z815">
        <f>IF($V815="","",IF($AA815&gt;N($AA814),$AA815,""))</f>
        <v/>
      </c>
      <c r="AA815">
        <f>IF($V815="",N($AA814),IF(MATCH($V815,$V$6:$V$6005,0)=ROW()-5,N($AA814)+1,N($AA814)))</f>
        <v/>
      </c>
    </row>
    <row r="816" ht="21" customHeight="1" s="66">
      <c r="A816" s="56" t="n"/>
      <c r="B816" s="57" t="n"/>
      <c r="C816" s="57" t="n"/>
      <c r="D816" s="57" t="n"/>
      <c r="E816" s="56" t="n"/>
      <c r="F816" s="57" t="n"/>
      <c r="G816" s="57" t="n"/>
      <c r="H816" s="56" t="n"/>
      <c r="I816" s="56" t="n"/>
      <c r="J816" s="58" t="n"/>
      <c r="K816" s="58" t="n"/>
      <c r="L816" s="13">
        <f>IF(OR($A816="",AND($J816="",$K816="")),"",ROUND(N($J816)-N($K816),2))</f>
        <v/>
      </c>
      <c r="M816" s="13">
        <f>IF(OR($A816="",AND($J816="",$K816="")),"",MIN($J816,$K816))</f>
        <v/>
      </c>
      <c r="Q816">
        <f>IF($A816="","",$D816&amp;"("&amp;SUBSTITUTE($E816," ","")&amp;")")</f>
        <v/>
      </c>
      <c r="R816">
        <f>IF($A816="","",$B816&amp;" - "&amp;$C816)</f>
        <v/>
      </c>
      <c r="S816">
        <f>IF($A816="","",$R816&amp;"|"&amp;$Q816)</f>
        <v/>
      </c>
      <c r="T816">
        <f>IF($A816="","",$S816&amp;"|"&amp;$F816)</f>
        <v/>
      </c>
      <c r="U816">
        <f>IF($A816="","",$R816&amp;"("&amp;$E816&amp;")")</f>
        <v/>
      </c>
      <c r="V816">
        <f>IF($A816="","",$F816&amp;"|"&amp;$U816&amp;"|"&amp;$D816)</f>
        <v/>
      </c>
      <c r="W816">
        <f>IF($T816="","",IF($X816&gt;N($X815),$X816,""))</f>
        <v/>
      </c>
      <c r="X816">
        <f>IF($T816="",N($X815),IF(MATCH($T816,$T$6:$T$6005,0)=ROW()-5,N($X815)+1,N($X815)))</f>
        <v/>
      </c>
      <c r="Z816">
        <f>IF($V816="","",IF($AA816&gt;N($AA815),$AA816,""))</f>
        <v/>
      </c>
      <c r="AA816">
        <f>IF($V816="",N($AA815),IF(MATCH($V816,$V$6:$V$6005,0)=ROW()-5,N($AA815)+1,N($AA815)))</f>
        <v/>
      </c>
    </row>
    <row r="817" ht="21" customHeight="1" s="66">
      <c r="A817" s="56" t="n"/>
      <c r="B817" s="57" t="n"/>
      <c r="C817" s="57" t="n"/>
      <c r="D817" s="57" t="n"/>
      <c r="E817" s="56" t="n"/>
      <c r="F817" s="57" t="n"/>
      <c r="G817" s="57" t="n"/>
      <c r="H817" s="56" t="n"/>
      <c r="I817" s="56" t="n"/>
      <c r="J817" s="58" t="n"/>
      <c r="K817" s="58" t="n"/>
      <c r="L817" s="13">
        <f>IF(OR($A817="",AND($J817="",$K817="")),"",ROUND(N($J817)-N($K817),2))</f>
        <v/>
      </c>
      <c r="M817" s="13">
        <f>IF(OR($A817="",AND($J817="",$K817="")),"",MIN($J817,$K817))</f>
        <v/>
      </c>
      <c r="Q817">
        <f>IF($A817="","",$D817&amp;"("&amp;SUBSTITUTE($E817," ","")&amp;")")</f>
        <v/>
      </c>
      <c r="R817">
        <f>IF($A817="","",$B817&amp;" - "&amp;$C817)</f>
        <v/>
      </c>
      <c r="S817">
        <f>IF($A817="","",$R817&amp;"|"&amp;$Q817)</f>
        <v/>
      </c>
      <c r="T817">
        <f>IF($A817="","",$S817&amp;"|"&amp;$F817)</f>
        <v/>
      </c>
      <c r="U817">
        <f>IF($A817="","",$R817&amp;"("&amp;$E817&amp;")")</f>
        <v/>
      </c>
      <c r="V817">
        <f>IF($A817="","",$F817&amp;"|"&amp;$U817&amp;"|"&amp;$D817)</f>
        <v/>
      </c>
      <c r="W817">
        <f>IF($T817="","",IF($X817&gt;N($X816),$X817,""))</f>
        <v/>
      </c>
      <c r="X817">
        <f>IF($T817="",N($X816),IF(MATCH($T817,$T$6:$T$6005,0)=ROW()-5,N($X816)+1,N($X816)))</f>
        <v/>
      </c>
      <c r="Z817">
        <f>IF($V817="","",IF($AA817&gt;N($AA816),$AA817,""))</f>
        <v/>
      </c>
      <c r="AA817">
        <f>IF($V817="",N($AA816),IF(MATCH($V817,$V$6:$V$6005,0)=ROW()-5,N($AA816)+1,N($AA816)))</f>
        <v/>
      </c>
    </row>
    <row r="818" ht="21" customHeight="1" s="66">
      <c r="A818" s="56" t="n"/>
      <c r="B818" s="57" t="n"/>
      <c r="C818" s="57" t="n"/>
      <c r="D818" s="57" t="n"/>
      <c r="E818" s="56" t="n"/>
      <c r="F818" s="57" t="n"/>
      <c r="G818" s="57" t="n"/>
      <c r="H818" s="56" t="n"/>
      <c r="I818" s="56" t="n"/>
      <c r="J818" s="58" t="n"/>
      <c r="K818" s="58" t="n"/>
      <c r="L818" s="13">
        <f>IF(OR($A818="",AND($J818="",$K818="")),"",ROUND(N($J818)-N($K818),2))</f>
        <v/>
      </c>
      <c r="M818" s="13">
        <f>IF(OR($A818="",AND($J818="",$K818="")),"",MIN($J818,$K818))</f>
        <v/>
      </c>
      <c r="Q818">
        <f>IF($A818="","",$D818&amp;"("&amp;SUBSTITUTE($E818," ","")&amp;")")</f>
        <v/>
      </c>
      <c r="R818">
        <f>IF($A818="","",$B818&amp;" - "&amp;$C818)</f>
        <v/>
      </c>
      <c r="S818">
        <f>IF($A818="","",$R818&amp;"|"&amp;$Q818)</f>
        <v/>
      </c>
      <c r="T818">
        <f>IF($A818="","",$S818&amp;"|"&amp;$F818)</f>
        <v/>
      </c>
      <c r="U818">
        <f>IF($A818="","",$R818&amp;"("&amp;$E818&amp;")")</f>
        <v/>
      </c>
      <c r="V818">
        <f>IF($A818="","",$F818&amp;"|"&amp;$U818&amp;"|"&amp;$D818)</f>
        <v/>
      </c>
      <c r="W818">
        <f>IF($T818="","",IF($X818&gt;N($X817),$X818,""))</f>
        <v/>
      </c>
      <c r="X818">
        <f>IF($T818="",N($X817),IF(MATCH($T818,$T$6:$T$6005,0)=ROW()-5,N($X817)+1,N($X817)))</f>
        <v/>
      </c>
      <c r="Z818">
        <f>IF($V818="","",IF($AA818&gt;N($AA817),$AA818,""))</f>
        <v/>
      </c>
      <c r="AA818">
        <f>IF($V818="",N($AA817),IF(MATCH($V818,$V$6:$V$6005,0)=ROW()-5,N($AA817)+1,N($AA817)))</f>
        <v/>
      </c>
    </row>
    <row r="819" ht="21" customHeight="1" s="66">
      <c r="A819" s="56" t="n"/>
      <c r="B819" s="57" t="n"/>
      <c r="C819" s="57" t="n"/>
      <c r="D819" s="57" t="n"/>
      <c r="E819" s="56" t="n"/>
      <c r="F819" s="57" t="n"/>
      <c r="G819" s="57" t="n"/>
      <c r="H819" s="56" t="n"/>
      <c r="I819" s="56" t="n"/>
      <c r="J819" s="58" t="n"/>
      <c r="K819" s="58" t="n"/>
      <c r="L819" s="13">
        <f>IF(OR($A819="",AND($J819="",$K819="")),"",ROUND(N($J819)-N($K819),2))</f>
        <v/>
      </c>
      <c r="M819" s="13">
        <f>IF(OR($A819="",AND($J819="",$K819="")),"",MIN($J819,$K819))</f>
        <v/>
      </c>
      <c r="Q819">
        <f>IF($A819="","",$D819&amp;"("&amp;SUBSTITUTE($E819," ","")&amp;")")</f>
        <v/>
      </c>
      <c r="R819">
        <f>IF($A819="","",$B819&amp;" - "&amp;$C819)</f>
        <v/>
      </c>
      <c r="S819">
        <f>IF($A819="","",$R819&amp;"|"&amp;$Q819)</f>
        <v/>
      </c>
      <c r="T819">
        <f>IF($A819="","",$S819&amp;"|"&amp;$F819)</f>
        <v/>
      </c>
      <c r="U819">
        <f>IF($A819="","",$R819&amp;"("&amp;$E819&amp;")")</f>
        <v/>
      </c>
      <c r="V819">
        <f>IF($A819="","",$F819&amp;"|"&amp;$U819&amp;"|"&amp;$D819)</f>
        <v/>
      </c>
      <c r="W819">
        <f>IF($T819="","",IF($X819&gt;N($X818),$X819,""))</f>
        <v/>
      </c>
      <c r="X819">
        <f>IF($T819="",N($X818),IF(MATCH($T819,$T$6:$T$6005,0)=ROW()-5,N($X818)+1,N($X818)))</f>
        <v/>
      </c>
      <c r="Z819">
        <f>IF($V819="","",IF($AA819&gt;N($AA818),$AA819,""))</f>
        <v/>
      </c>
      <c r="AA819">
        <f>IF($V819="",N($AA818),IF(MATCH($V819,$V$6:$V$6005,0)=ROW()-5,N($AA818)+1,N($AA818)))</f>
        <v/>
      </c>
    </row>
    <row r="820" ht="21" customHeight="1" s="66">
      <c r="A820" s="56" t="n"/>
      <c r="B820" s="57" t="n"/>
      <c r="C820" s="57" t="n"/>
      <c r="D820" s="57" t="n"/>
      <c r="E820" s="56" t="n"/>
      <c r="F820" s="57" t="n"/>
      <c r="G820" s="57" t="n"/>
      <c r="H820" s="56" t="n"/>
      <c r="I820" s="56" t="n"/>
      <c r="J820" s="58" t="n"/>
      <c r="K820" s="58" t="n"/>
      <c r="L820" s="13">
        <f>IF(OR($A820="",AND($J820="",$K820="")),"",ROUND(N($J820)-N($K820),2))</f>
        <v/>
      </c>
      <c r="M820" s="13">
        <f>IF(OR($A820="",AND($J820="",$K820="")),"",MIN($J820,$K820))</f>
        <v/>
      </c>
      <c r="Q820">
        <f>IF($A820="","",$D820&amp;"("&amp;SUBSTITUTE($E820," ","")&amp;")")</f>
        <v/>
      </c>
      <c r="R820">
        <f>IF($A820="","",$B820&amp;" - "&amp;$C820)</f>
        <v/>
      </c>
      <c r="S820">
        <f>IF($A820="","",$R820&amp;"|"&amp;$Q820)</f>
        <v/>
      </c>
      <c r="T820">
        <f>IF($A820="","",$S820&amp;"|"&amp;$F820)</f>
        <v/>
      </c>
      <c r="U820">
        <f>IF($A820="","",$R820&amp;"("&amp;$E820&amp;")")</f>
        <v/>
      </c>
      <c r="V820">
        <f>IF($A820="","",$F820&amp;"|"&amp;$U820&amp;"|"&amp;$D820)</f>
        <v/>
      </c>
      <c r="W820">
        <f>IF($T820="","",IF($X820&gt;N($X819),$X820,""))</f>
        <v/>
      </c>
      <c r="X820">
        <f>IF($T820="",N($X819),IF(MATCH($T820,$T$6:$T$6005,0)=ROW()-5,N($X819)+1,N($X819)))</f>
        <v/>
      </c>
      <c r="Z820">
        <f>IF($V820="","",IF($AA820&gt;N($AA819),$AA820,""))</f>
        <v/>
      </c>
      <c r="AA820">
        <f>IF($V820="",N($AA819),IF(MATCH($V820,$V$6:$V$6005,0)=ROW()-5,N($AA819)+1,N($AA819)))</f>
        <v/>
      </c>
    </row>
    <row r="821" ht="21" customHeight="1" s="66">
      <c r="A821" s="56" t="n"/>
      <c r="B821" s="57" t="n"/>
      <c r="C821" s="57" t="n"/>
      <c r="D821" s="57" t="n"/>
      <c r="E821" s="56" t="n"/>
      <c r="F821" s="57" t="n"/>
      <c r="G821" s="57" t="n"/>
      <c r="H821" s="56" t="n"/>
      <c r="I821" s="56" t="n"/>
      <c r="J821" s="58" t="n"/>
      <c r="K821" s="58" t="n"/>
      <c r="L821" s="13">
        <f>IF(OR($A821="",AND($J821="",$K821="")),"",ROUND(N($J821)-N($K821),2))</f>
        <v/>
      </c>
      <c r="M821" s="13">
        <f>IF(OR($A821="",AND($J821="",$K821="")),"",MIN($J821,$K821))</f>
        <v/>
      </c>
      <c r="Q821">
        <f>IF($A821="","",$D821&amp;"("&amp;SUBSTITUTE($E821," ","")&amp;")")</f>
        <v/>
      </c>
      <c r="R821">
        <f>IF($A821="","",$B821&amp;" - "&amp;$C821)</f>
        <v/>
      </c>
      <c r="S821">
        <f>IF($A821="","",$R821&amp;"|"&amp;$Q821)</f>
        <v/>
      </c>
      <c r="T821">
        <f>IF($A821="","",$S821&amp;"|"&amp;$F821)</f>
        <v/>
      </c>
      <c r="U821">
        <f>IF($A821="","",$R821&amp;"("&amp;$E821&amp;")")</f>
        <v/>
      </c>
      <c r="V821">
        <f>IF($A821="","",$F821&amp;"|"&amp;$U821&amp;"|"&amp;$D821)</f>
        <v/>
      </c>
      <c r="W821">
        <f>IF($T821="","",IF($X821&gt;N($X820),$X821,""))</f>
        <v/>
      </c>
      <c r="X821">
        <f>IF($T821="",N($X820),IF(MATCH($T821,$T$6:$T$6005,0)=ROW()-5,N($X820)+1,N($X820)))</f>
        <v/>
      </c>
      <c r="Z821">
        <f>IF($V821="","",IF($AA821&gt;N($AA820),$AA821,""))</f>
        <v/>
      </c>
      <c r="AA821">
        <f>IF($V821="",N($AA820),IF(MATCH($V821,$V$6:$V$6005,0)=ROW()-5,N($AA820)+1,N($AA820)))</f>
        <v/>
      </c>
    </row>
    <row r="822" ht="21" customHeight="1" s="66">
      <c r="A822" s="56" t="n"/>
      <c r="B822" s="57" t="n"/>
      <c r="C822" s="57" t="n"/>
      <c r="D822" s="57" t="n"/>
      <c r="E822" s="56" t="n"/>
      <c r="F822" s="57" t="n"/>
      <c r="G822" s="57" t="n"/>
      <c r="H822" s="56" t="n"/>
      <c r="I822" s="56" t="n"/>
      <c r="J822" s="58" t="n"/>
      <c r="K822" s="58" t="n"/>
      <c r="L822" s="13">
        <f>IF(OR($A822="",AND($J822="",$K822="")),"",ROUND(N($J822)-N($K822),2))</f>
        <v/>
      </c>
      <c r="M822" s="13">
        <f>IF(OR($A822="",AND($J822="",$K822="")),"",MIN($J822,$K822))</f>
        <v/>
      </c>
      <c r="Q822">
        <f>IF($A822="","",$D822&amp;"("&amp;SUBSTITUTE($E822," ","")&amp;")")</f>
        <v/>
      </c>
      <c r="R822">
        <f>IF($A822="","",$B822&amp;" - "&amp;$C822)</f>
        <v/>
      </c>
      <c r="S822">
        <f>IF($A822="","",$R822&amp;"|"&amp;$Q822)</f>
        <v/>
      </c>
      <c r="T822">
        <f>IF($A822="","",$S822&amp;"|"&amp;$F822)</f>
        <v/>
      </c>
      <c r="U822">
        <f>IF($A822="","",$R822&amp;"("&amp;$E822&amp;")")</f>
        <v/>
      </c>
      <c r="V822">
        <f>IF($A822="","",$F822&amp;"|"&amp;$U822&amp;"|"&amp;$D822)</f>
        <v/>
      </c>
      <c r="W822">
        <f>IF($T822="","",IF($X822&gt;N($X821),$X822,""))</f>
        <v/>
      </c>
      <c r="X822">
        <f>IF($T822="",N($X821),IF(MATCH($T822,$T$6:$T$6005,0)=ROW()-5,N($X821)+1,N($X821)))</f>
        <v/>
      </c>
      <c r="Z822">
        <f>IF($V822="","",IF($AA822&gt;N($AA821),$AA822,""))</f>
        <v/>
      </c>
      <c r="AA822">
        <f>IF($V822="",N($AA821),IF(MATCH($V822,$V$6:$V$6005,0)=ROW()-5,N($AA821)+1,N($AA821)))</f>
        <v/>
      </c>
    </row>
    <row r="823" ht="21" customHeight="1" s="66">
      <c r="A823" s="56" t="n"/>
      <c r="B823" s="57" t="n"/>
      <c r="C823" s="57" t="n"/>
      <c r="D823" s="57" t="n"/>
      <c r="E823" s="56" t="n"/>
      <c r="F823" s="57" t="n"/>
      <c r="G823" s="57" t="n"/>
      <c r="H823" s="56" t="n"/>
      <c r="I823" s="56" t="n"/>
      <c r="J823" s="58" t="n"/>
      <c r="K823" s="58" t="n"/>
      <c r="L823" s="13">
        <f>IF(OR($A823="",AND($J823="",$K823="")),"",ROUND(N($J823)-N($K823),2))</f>
        <v/>
      </c>
      <c r="M823" s="13">
        <f>IF(OR($A823="",AND($J823="",$K823="")),"",MIN($J823,$K823))</f>
        <v/>
      </c>
      <c r="Q823">
        <f>IF($A823="","",$D823&amp;"("&amp;SUBSTITUTE($E823," ","")&amp;")")</f>
        <v/>
      </c>
      <c r="R823">
        <f>IF($A823="","",$B823&amp;" - "&amp;$C823)</f>
        <v/>
      </c>
      <c r="S823">
        <f>IF($A823="","",$R823&amp;"|"&amp;$Q823)</f>
        <v/>
      </c>
      <c r="T823">
        <f>IF($A823="","",$S823&amp;"|"&amp;$F823)</f>
        <v/>
      </c>
      <c r="U823">
        <f>IF($A823="","",$R823&amp;"("&amp;$E823&amp;")")</f>
        <v/>
      </c>
      <c r="V823">
        <f>IF($A823="","",$F823&amp;"|"&amp;$U823&amp;"|"&amp;$D823)</f>
        <v/>
      </c>
      <c r="W823">
        <f>IF($T823="","",IF($X823&gt;N($X822),$X823,""))</f>
        <v/>
      </c>
      <c r="X823">
        <f>IF($T823="",N($X822),IF(MATCH($T823,$T$6:$T$6005,0)=ROW()-5,N($X822)+1,N($X822)))</f>
        <v/>
      </c>
      <c r="Z823">
        <f>IF($V823="","",IF($AA823&gt;N($AA822),$AA823,""))</f>
        <v/>
      </c>
      <c r="AA823">
        <f>IF($V823="",N($AA822),IF(MATCH($V823,$V$6:$V$6005,0)=ROW()-5,N($AA822)+1,N($AA822)))</f>
        <v/>
      </c>
    </row>
    <row r="824" ht="21" customHeight="1" s="66">
      <c r="A824" s="56" t="n"/>
      <c r="B824" s="57" t="n"/>
      <c r="C824" s="57" t="n"/>
      <c r="D824" s="57" t="n"/>
      <c r="E824" s="56" t="n"/>
      <c r="F824" s="57" t="n"/>
      <c r="G824" s="57" t="n"/>
      <c r="H824" s="56" t="n"/>
      <c r="I824" s="56" t="n"/>
      <c r="J824" s="58" t="n"/>
      <c r="K824" s="58" t="n"/>
      <c r="L824" s="13">
        <f>IF(OR($A824="",AND($J824="",$K824="")),"",ROUND(N($J824)-N($K824),2))</f>
        <v/>
      </c>
      <c r="M824" s="13">
        <f>IF(OR($A824="",AND($J824="",$K824="")),"",MIN($J824,$K824))</f>
        <v/>
      </c>
      <c r="Q824">
        <f>IF($A824="","",$D824&amp;"("&amp;SUBSTITUTE($E824," ","")&amp;")")</f>
        <v/>
      </c>
      <c r="R824">
        <f>IF($A824="","",$B824&amp;" - "&amp;$C824)</f>
        <v/>
      </c>
      <c r="S824">
        <f>IF($A824="","",$R824&amp;"|"&amp;$Q824)</f>
        <v/>
      </c>
      <c r="T824">
        <f>IF($A824="","",$S824&amp;"|"&amp;$F824)</f>
        <v/>
      </c>
      <c r="U824">
        <f>IF($A824="","",$R824&amp;"("&amp;$E824&amp;")")</f>
        <v/>
      </c>
      <c r="V824">
        <f>IF($A824="","",$F824&amp;"|"&amp;$U824&amp;"|"&amp;$D824)</f>
        <v/>
      </c>
      <c r="W824">
        <f>IF($T824="","",IF($X824&gt;N($X823),$X824,""))</f>
        <v/>
      </c>
      <c r="X824">
        <f>IF($T824="",N($X823),IF(MATCH($T824,$T$6:$T$6005,0)=ROW()-5,N($X823)+1,N($X823)))</f>
        <v/>
      </c>
      <c r="Z824">
        <f>IF($V824="","",IF($AA824&gt;N($AA823),$AA824,""))</f>
        <v/>
      </c>
      <c r="AA824">
        <f>IF($V824="",N($AA823),IF(MATCH($V824,$V$6:$V$6005,0)=ROW()-5,N($AA823)+1,N($AA823)))</f>
        <v/>
      </c>
    </row>
    <row r="825" ht="21" customHeight="1" s="66">
      <c r="A825" s="56" t="n"/>
      <c r="B825" s="57" t="n"/>
      <c r="C825" s="57" t="n"/>
      <c r="D825" s="57" t="n"/>
      <c r="E825" s="56" t="n"/>
      <c r="F825" s="57" t="n"/>
      <c r="G825" s="57" t="n"/>
      <c r="H825" s="56" t="n"/>
      <c r="I825" s="56" t="n"/>
      <c r="J825" s="58" t="n"/>
      <c r="K825" s="58" t="n"/>
      <c r="L825" s="13">
        <f>IF(OR($A825="",AND($J825="",$K825="")),"",ROUND(N($J825)-N($K825),2))</f>
        <v/>
      </c>
      <c r="M825" s="13">
        <f>IF(OR($A825="",AND($J825="",$K825="")),"",MIN($J825,$K825))</f>
        <v/>
      </c>
      <c r="Q825">
        <f>IF($A825="","",$D825&amp;"("&amp;SUBSTITUTE($E825," ","")&amp;")")</f>
        <v/>
      </c>
      <c r="R825">
        <f>IF($A825="","",$B825&amp;" - "&amp;$C825)</f>
        <v/>
      </c>
      <c r="S825">
        <f>IF($A825="","",$R825&amp;"|"&amp;$Q825)</f>
        <v/>
      </c>
      <c r="T825">
        <f>IF($A825="","",$S825&amp;"|"&amp;$F825)</f>
        <v/>
      </c>
      <c r="U825">
        <f>IF($A825="","",$R825&amp;"("&amp;$E825&amp;")")</f>
        <v/>
      </c>
      <c r="V825">
        <f>IF($A825="","",$F825&amp;"|"&amp;$U825&amp;"|"&amp;$D825)</f>
        <v/>
      </c>
      <c r="W825">
        <f>IF($T825="","",IF($X825&gt;N($X824),$X825,""))</f>
        <v/>
      </c>
      <c r="X825">
        <f>IF($T825="",N($X824),IF(MATCH($T825,$T$6:$T$6005,0)=ROW()-5,N($X824)+1,N($X824)))</f>
        <v/>
      </c>
      <c r="Z825">
        <f>IF($V825="","",IF($AA825&gt;N($AA824),$AA825,""))</f>
        <v/>
      </c>
      <c r="AA825">
        <f>IF($V825="",N($AA824),IF(MATCH($V825,$V$6:$V$6005,0)=ROW()-5,N($AA824)+1,N($AA824)))</f>
        <v/>
      </c>
    </row>
    <row r="826" ht="21" customHeight="1" s="66">
      <c r="A826" s="56" t="n"/>
      <c r="B826" s="57" t="n"/>
      <c r="C826" s="57" t="n"/>
      <c r="D826" s="57" t="n"/>
      <c r="E826" s="56" t="n"/>
      <c r="F826" s="57" t="n"/>
      <c r="G826" s="57" t="n"/>
      <c r="H826" s="56" t="n"/>
      <c r="I826" s="56" t="n"/>
      <c r="J826" s="58" t="n"/>
      <c r="K826" s="58" t="n"/>
      <c r="L826" s="13">
        <f>IF(OR($A826="",AND($J826="",$K826="")),"",ROUND(N($J826)-N($K826),2))</f>
        <v/>
      </c>
      <c r="M826" s="13">
        <f>IF(OR($A826="",AND($J826="",$K826="")),"",MIN($J826,$K826))</f>
        <v/>
      </c>
      <c r="Q826">
        <f>IF($A826="","",$D826&amp;"("&amp;SUBSTITUTE($E826," ","")&amp;")")</f>
        <v/>
      </c>
      <c r="R826">
        <f>IF($A826="","",$B826&amp;" - "&amp;$C826)</f>
        <v/>
      </c>
      <c r="S826">
        <f>IF($A826="","",$R826&amp;"|"&amp;$Q826)</f>
        <v/>
      </c>
      <c r="T826">
        <f>IF($A826="","",$S826&amp;"|"&amp;$F826)</f>
        <v/>
      </c>
      <c r="U826">
        <f>IF($A826="","",$R826&amp;"("&amp;$E826&amp;")")</f>
        <v/>
      </c>
      <c r="V826">
        <f>IF($A826="","",$F826&amp;"|"&amp;$U826&amp;"|"&amp;$D826)</f>
        <v/>
      </c>
      <c r="W826">
        <f>IF($T826="","",IF($X826&gt;N($X825),$X826,""))</f>
        <v/>
      </c>
      <c r="X826">
        <f>IF($T826="",N($X825),IF(MATCH($T826,$T$6:$T$6005,0)=ROW()-5,N($X825)+1,N($X825)))</f>
        <v/>
      </c>
      <c r="Z826">
        <f>IF($V826="","",IF($AA826&gt;N($AA825),$AA826,""))</f>
        <v/>
      </c>
      <c r="AA826">
        <f>IF($V826="",N($AA825),IF(MATCH($V826,$V$6:$V$6005,0)=ROW()-5,N($AA825)+1,N($AA825)))</f>
        <v/>
      </c>
    </row>
    <row r="827" ht="21" customHeight="1" s="66">
      <c r="A827" s="56" t="n"/>
      <c r="B827" s="57" t="n"/>
      <c r="C827" s="57" t="n"/>
      <c r="D827" s="57" t="n"/>
      <c r="E827" s="56" t="n"/>
      <c r="F827" s="57" t="n"/>
      <c r="G827" s="57" t="n"/>
      <c r="H827" s="56" t="n"/>
      <c r="I827" s="56" t="n"/>
      <c r="J827" s="58" t="n"/>
      <c r="K827" s="58" t="n"/>
      <c r="L827" s="13">
        <f>IF(OR($A827="",AND($J827="",$K827="")),"",ROUND(N($J827)-N($K827),2))</f>
        <v/>
      </c>
      <c r="M827" s="13">
        <f>IF(OR($A827="",AND($J827="",$K827="")),"",MIN($J827,$K827))</f>
        <v/>
      </c>
      <c r="Q827">
        <f>IF($A827="","",$D827&amp;"("&amp;SUBSTITUTE($E827," ","")&amp;")")</f>
        <v/>
      </c>
      <c r="R827">
        <f>IF($A827="","",$B827&amp;" - "&amp;$C827)</f>
        <v/>
      </c>
      <c r="S827">
        <f>IF($A827="","",$R827&amp;"|"&amp;$Q827)</f>
        <v/>
      </c>
      <c r="T827">
        <f>IF($A827="","",$S827&amp;"|"&amp;$F827)</f>
        <v/>
      </c>
      <c r="U827">
        <f>IF($A827="","",$R827&amp;"("&amp;$E827&amp;")")</f>
        <v/>
      </c>
      <c r="V827">
        <f>IF($A827="","",$F827&amp;"|"&amp;$U827&amp;"|"&amp;$D827)</f>
        <v/>
      </c>
      <c r="W827">
        <f>IF($T827="","",IF($X827&gt;N($X826),$X827,""))</f>
        <v/>
      </c>
      <c r="X827">
        <f>IF($T827="",N($X826),IF(MATCH($T827,$T$6:$T$6005,0)=ROW()-5,N($X826)+1,N($X826)))</f>
        <v/>
      </c>
      <c r="Z827">
        <f>IF($V827="","",IF($AA827&gt;N($AA826),$AA827,""))</f>
        <v/>
      </c>
      <c r="AA827">
        <f>IF($V827="",N($AA826),IF(MATCH($V827,$V$6:$V$6005,0)=ROW()-5,N($AA826)+1,N($AA826)))</f>
        <v/>
      </c>
    </row>
    <row r="828" ht="21" customHeight="1" s="66">
      <c r="A828" s="56" t="n"/>
      <c r="B828" s="57" t="n"/>
      <c r="C828" s="57" t="n"/>
      <c r="D828" s="57" t="n"/>
      <c r="E828" s="56" t="n"/>
      <c r="F828" s="57" t="n"/>
      <c r="G828" s="57" t="n"/>
      <c r="H828" s="56" t="n"/>
      <c r="I828" s="56" t="n"/>
      <c r="J828" s="58" t="n"/>
      <c r="K828" s="58" t="n"/>
      <c r="L828" s="13">
        <f>IF(OR($A828="",AND($J828="",$K828="")),"",ROUND(N($J828)-N($K828),2))</f>
        <v/>
      </c>
      <c r="M828" s="13">
        <f>IF(OR($A828="",AND($J828="",$K828="")),"",MIN($J828,$K828))</f>
        <v/>
      </c>
      <c r="Q828">
        <f>IF($A828="","",$D828&amp;"("&amp;SUBSTITUTE($E828," ","")&amp;")")</f>
        <v/>
      </c>
      <c r="R828">
        <f>IF($A828="","",$B828&amp;" - "&amp;$C828)</f>
        <v/>
      </c>
      <c r="S828">
        <f>IF($A828="","",$R828&amp;"|"&amp;$Q828)</f>
        <v/>
      </c>
      <c r="T828">
        <f>IF($A828="","",$S828&amp;"|"&amp;$F828)</f>
        <v/>
      </c>
      <c r="U828">
        <f>IF($A828="","",$R828&amp;"("&amp;$E828&amp;")")</f>
        <v/>
      </c>
      <c r="V828">
        <f>IF($A828="","",$F828&amp;"|"&amp;$U828&amp;"|"&amp;$D828)</f>
        <v/>
      </c>
      <c r="W828">
        <f>IF($T828="","",IF($X828&gt;N($X827),$X828,""))</f>
        <v/>
      </c>
      <c r="X828">
        <f>IF($T828="",N($X827),IF(MATCH($T828,$T$6:$T$6005,0)=ROW()-5,N($X827)+1,N($X827)))</f>
        <v/>
      </c>
      <c r="Z828">
        <f>IF($V828="","",IF($AA828&gt;N($AA827),$AA828,""))</f>
        <v/>
      </c>
      <c r="AA828">
        <f>IF($V828="",N($AA827),IF(MATCH($V828,$V$6:$V$6005,0)=ROW()-5,N($AA827)+1,N($AA827)))</f>
        <v/>
      </c>
    </row>
    <row r="829" ht="21" customHeight="1" s="66">
      <c r="A829" s="56" t="n"/>
      <c r="B829" s="57" t="n"/>
      <c r="C829" s="57" t="n"/>
      <c r="D829" s="57" t="n"/>
      <c r="E829" s="56" t="n"/>
      <c r="F829" s="57" t="n"/>
      <c r="G829" s="57" t="n"/>
      <c r="H829" s="56" t="n"/>
      <c r="I829" s="56" t="n"/>
      <c r="J829" s="58" t="n"/>
      <c r="K829" s="58" t="n"/>
      <c r="L829" s="13">
        <f>IF(OR($A829="",AND($J829="",$K829="")),"",ROUND(N($J829)-N($K829),2))</f>
        <v/>
      </c>
      <c r="M829" s="13">
        <f>IF(OR($A829="",AND($J829="",$K829="")),"",MIN($J829,$K829))</f>
        <v/>
      </c>
      <c r="Q829">
        <f>IF($A829="","",$D829&amp;"("&amp;SUBSTITUTE($E829," ","")&amp;")")</f>
        <v/>
      </c>
      <c r="R829">
        <f>IF($A829="","",$B829&amp;" - "&amp;$C829)</f>
        <v/>
      </c>
      <c r="S829">
        <f>IF($A829="","",$R829&amp;"|"&amp;$Q829)</f>
        <v/>
      </c>
      <c r="T829">
        <f>IF($A829="","",$S829&amp;"|"&amp;$F829)</f>
        <v/>
      </c>
      <c r="U829">
        <f>IF($A829="","",$R829&amp;"("&amp;$E829&amp;")")</f>
        <v/>
      </c>
      <c r="V829">
        <f>IF($A829="","",$F829&amp;"|"&amp;$U829&amp;"|"&amp;$D829)</f>
        <v/>
      </c>
      <c r="W829">
        <f>IF($T829="","",IF($X829&gt;N($X828),$X829,""))</f>
        <v/>
      </c>
      <c r="X829">
        <f>IF($T829="",N($X828),IF(MATCH($T829,$T$6:$T$6005,0)=ROW()-5,N($X828)+1,N($X828)))</f>
        <v/>
      </c>
      <c r="Z829">
        <f>IF($V829="","",IF($AA829&gt;N($AA828),$AA829,""))</f>
        <v/>
      </c>
      <c r="AA829">
        <f>IF($V829="",N($AA828),IF(MATCH($V829,$V$6:$V$6005,0)=ROW()-5,N($AA828)+1,N($AA828)))</f>
        <v/>
      </c>
    </row>
    <row r="830" ht="21" customHeight="1" s="66">
      <c r="A830" s="56" t="n"/>
      <c r="B830" s="57" t="n"/>
      <c r="C830" s="57" t="n"/>
      <c r="D830" s="57" t="n"/>
      <c r="E830" s="56" t="n"/>
      <c r="F830" s="57" t="n"/>
      <c r="G830" s="57" t="n"/>
      <c r="H830" s="56" t="n"/>
      <c r="I830" s="56" t="n"/>
      <c r="J830" s="58" t="n"/>
      <c r="K830" s="58" t="n"/>
      <c r="L830" s="13">
        <f>IF(OR($A830="",AND($J830="",$K830="")),"",ROUND(N($J830)-N($K830),2))</f>
        <v/>
      </c>
      <c r="M830" s="13">
        <f>IF(OR($A830="",AND($J830="",$K830="")),"",MIN($J830,$K830))</f>
        <v/>
      </c>
      <c r="Q830">
        <f>IF($A830="","",$D830&amp;"("&amp;SUBSTITUTE($E830," ","")&amp;")")</f>
        <v/>
      </c>
      <c r="R830">
        <f>IF($A830="","",$B830&amp;" - "&amp;$C830)</f>
        <v/>
      </c>
      <c r="S830">
        <f>IF($A830="","",$R830&amp;"|"&amp;$Q830)</f>
        <v/>
      </c>
      <c r="T830">
        <f>IF($A830="","",$S830&amp;"|"&amp;$F830)</f>
        <v/>
      </c>
      <c r="U830">
        <f>IF($A830="","",$R830&amp;"("&amp;$E830&amp;")")</f>
        <v/>
      </c>
      <c r="V830">
        <f>IF($A830="","",$F830&amp;"|"&amp;$U830&amp;"|"&amp;$D830)</f>
        <v/>
      </c>
      <c r="W830">
        <f>IF($T830="","",IF($X830&gt;N($X829),$X830,""))</f>
        <v/>
      </c>
      <c r="X830">
        <f>IF($T830="",N($X829),IF(MATCH($T830,$T$6:$T$6005,0)=ROW()-5,N($X829)+1,N($X829)))</f>
        <v/>
      </c>
      <c r="Z830">
        <f>IF($V830="","",IF($AA830&gt;N($AA829),$AA830,""))</f>
        <v/>
      </c>
      <c r="AA830">
        <f>IF($V830="",N($AA829),IF(MATCH($V830,$V$6:$V$6005,0)=ROW()-5,N($AA829)+1,N($AA829)))</f>
        <v/>
      </c>
    </row>
    <row r="831" ht="21" customHeight="1" s="66">
      <c r="A831" s="56" t="n"/>
      <c r="B831" s="57" t="n"/>
      <c r="C831" s="57" t="n"/>
      <c r="D831" s="57" t="n"/>
      <c r="E831" s="56" t="n"/>
      <c r="F831" s="57" t="n"/>
      <c r="G831" s="57" t="n"/>
      <c r="H831" s="56" t="n"/>
      <c r="I831" s="56" t="n"/>
      <c r="J831" s="58" t="n"/>
      <c r="K831" s="58" t="n"/>
      <c r="L831" s="13">
        <f>IF(OR($A831="",AND($J831="",$K831="")),"",ROUND(N($J831)-N($K831),2))</f>
        <v/>
      </c>
      <c r="M831" s="13">
        <f>IF(OR($A831="",AND($J831="",$K831="")),"",MIN($J831,$K831))</f>
        <v/>
      </c>
      <c r="Q831">
        <f>IF($A831="","",$D831&amp;"("&amp;SUBSTITUTE($E831," ","")&amp;")")</f>
        <v/>
      </c>
      <c r="R831">
        <f>IF($A831="","",$B831&amp;" - "&amp;$C831)</f>
        <v/>
      </c>
      <c r="S831">
        <f>IF($A831="","",$R831&amp;"|"&amp;$Q831)</f>
        <v/>
      </c>
      <c r="T831">
        <f>IF($A831="","",$S831&amp;"|"&amp;$F831)</f>
        <v/>
      </c>
      <c r="U831">
        <f>IF($A831="","",$R831&amp;"("&amp;$E831&amp;")")</f>
        <v/>
      </c>
      <c r="V831">
        <f>IF($A831="","",$F831&amp;"|"&amp;$U831&amp;"|"&amp;$D831)</f>
        <v/>
      </c>
      <c r="W831">
        <f>IF($T831="","",IF($X831&gt;N($X830),$X831,""))</f>
        <v/>
      </c>
      <c r="X831">
        <f>IF($T831="",N($X830),IF(MATCH($T831,$T$6:$T$6005,0)=ROW()-5,N($X830)+1,N($X830)))</f>
        <v/>
      </c>
      <c r="Z831">
        <f>IF($V831="","",IF($AA831&gt;N($AA830),$AA831,""))</f>
        <v/>
      </c>
      <c r="AA831">
        <f>IF($V831="",N($AA830),IF(MATCH($V831,$V$6:$V$6005,0)=ROW()-5,N($AA830)+1,N($AA830)))</f>
        <v/>
      </c>
    </row>
    <row r="832" ht="21" customHeight="1" s="66">
      <c r="A832" s="56" t="n"/>
      <c r="B832" s="57" t="n"/>
      <c r="C832" s="57" t="n"/>
      <c r="D832" s="57" t="n"/>
      <c r="E832" s="56" t="n"/>
      <c r="F832" s="57" t="n"/>
      <c r="G832" s="57" t="n"/>
      <c r="H832" s="56" t="n"/>
      <c r="I832" s="56" t="n"/>
      <c r="J832" s="58" t="n"/>
      <c r="K832" s="58" t="n"/>
      <c r="L832" s="13">
        <f>IF(OR($A832="",AND($J832="",$K832="")),"",ROUND(N($J832)-N($K832),2))</f>
        <v/>
      </c>
      <c r="M832" s="13">
        <f>IF(OR($A832="",AND($J832="",$K832="")),"",MIN($J832,$K832))</f>
        <v/>
      </c>
      <c r="Q832">
        <f>IF($A832="","",$D832&amp;"("&amp;SUBSTITUTE($E832," ","")&amp;")")</f>
        <v/>
      </c>
      <c r="R832">
        <f>IF($A832="","",$B832&amp;" - "&amp;$C832)</f>
        <v/>
      </c>
      <c r="S832">
        <f>IF($A832="","",$R832&amp;"|"&amp;$Q832)</f>
        <v/>
      </c>
      <c r="T832">
        <f>IF($A832="","",$S832&amp;"|"&amp;$F832)</f>
        <v/>
      </c>
      <c r="U832">
        <f>IF($A832="","",$R832&amp;"("&amp;$E832&amp;")")</f>
        <v/>
      </c>
      <c r="V832">
        <f>IF($A832="","",$F832&amp;"|"&amp;$U832&amp;"|"&amp;$D832)</f>
        <v/>
      </c>
      <c r="W832">
        <f>IF($T832="","",IF($X832&gt;N($X831),$X832,""))</f>
        <v/>
      </c>
      <c r="X832">
        <f>IF($T832="",N($X831),IF(MATCH($T832,$T$6:$T$6005,0)=ROW()-5,N($X831)+1,N($X831)))</f>
        <v/>
      </c>
      <c r="Z832">
        <f>IF($V832="","",IF($AA832&gt;N($AA831),$AA832,""))</f>
        <v/>
      </c>
      <c r="AA832">
        <f>IF($V832="",N($AA831),IF(MATCH($V832,$V$6:$V$6005,0)=ROW()-5,N($AA831)+1,N($AA831)))</f>
        <v/>
      </c>
    </row>
    <row r="833" ht="21" customHeight="1" s="66">
      <c r="A833" s="56" t="n"/>
      <c r="B833" s="57" t="n"/>
      <c r="C833" s="57" t="n"/>
      <c r="D833" s="57" t="n"/>
      <c r="E833" s="56" t="n"/>
      <c r="F833" s="57" t="n"/>
      <c r="G833" s="57" t="n"/>
      <c r="H833" s="56" t="n"/>
      <c r="I833" s="56" t="n"/>
      <c r="J833" s="58" t="n"/>
      <c r="K833" s="58" t="n"/>
      <c r="L833" s="13">
        <f>IF(OR($A833="",AND($J833="",$K833="")),"",ROUND(N($J833)-N($K833),2))</f>
        <v/>
      </c>
      <c r="M833" s="13">
        <f>IF(OR($A833="",AND($J833="",$K833="")),"",MIN($J833,$K833))</f>
        <v/>
      </c>
      <c r="Q833">
        <f>IF($A833="","",$D833&amp;"("&amp;SUBSTITUTE($E833," ","")&amp;")")</f>
        <v/>
      </c>
      <c r="R833">
        <f>IF($A833="","",$B833&amp;" - "&amp;$C833)</f>
        <v/>
      </c>
      <c r="S833">
        <f>IF($A833="","",$R833&amp;"|"&amp;$Q833)</f>
        <v/>
      </c>
      <c r="T833">
        <f>IF($A833="","",$S833&amp;"|"&amp;$F833)</f>
        <v/>
      </c>
      <c r="U833">
        <f>IF($A833="","",$R833&amp;"("&amp;$E833&amp;")")</f>
        <v/>
      </c>
      <c r="V833">
        <f>IF($A833="","",$F833&amp;"|"&amp;$U833&amp;"|"&amp;$D833)</f>
        <v/>
      </c>
      <c r="W833">
        <f>IF($T833="","",IF($X833&gt;N($X832),$X833,""))</f>
        <v/>
      </c>
      <c r="X833">
        <f>IF($T833="",N($X832),IF(MATCH($T833,$T$6:$T$6005,0)=ROW()-5,N($X832)+1,N($X832)))</f>
        <v/>
      </c>
      <c r="Z833">
        <f>IF($V833="","",IF($AA833&gt;N($AA832),$AA833,""))</f>
        <v/>
      </c>
      <c r="AA833">
        <f>IF($V833="",N($AA832),IF(MATCH($V833,$V$6:$V$6005,0)=ROW()-5,N($AA832)+1,N($AA832)))</f>
        <v/>
      </c>
    </row>
    <row r="834" ht="21" customHeight="1" s="66">
      <c r="A834" s="56" t="n"/>
      <c r="B834" s="57" t="n"/>
      <c r="C834" s="57" t="n"/>
      <c r="D834" s="57" t="n"/>
      <c r="E834" s="56" t="n"/>
      <c r="F834" s="57" t="n"/>
      <c r="G834" s="57" t="n"/>
      <c r="H834" s="56" t="n"/>
      <c r="I834" s="56" t="n"/>
      <c r="J834" s="58" t="n"/>
      <c r="K834" s="58" t="n"/>
      <c r="L834" s="13">
        <f>IF(OR($A834="",AND($J834="",$K834="")),"",ROUND(N($J834)-N($K834),2))</f>
        <v/>
      </c>
      <c r="M834" s="13">
        <f>IF(OR($A834="",AND($J834="",$K834="")),"",MIN($J834,$K834))</f>
        <v/>
      </c>
      <c r="Q834">
        <f>IF($A834="","",$D834&amp;"("&amp;SUBSTITUTE($E834," ","")&amp;")")</f>
        <v/>
      </c>
      <c r="R834">
        <f>IF($A834="","",$B834&amp;" - "&amp;$C834)</f>
        <v/>
      </c>
      <c r="S834">
        <f>IF($A834="","",$R834&amp;"|"&amp;$Q834)</f>
        <v/>
      </c>
      <c r="T834">
        <f>IF($A834="","",$S834&amp;"|"&amp;$F834)</f>
        <v/>
      </c>
      <c r="U834">
        <f>IF($A834="","",$R834&amp;"("&amp;$E834&amp;")")</f>
        <v/>
      </c>
      <c r="V834">
        <f>IF($A834="","",$F834&amp;"|"&amp;$U834&amp;"|"&amp;$D834)</f>
        <v/>
      </c>
      <c r="W834">
        <f>IF($T834="","",IF($X834&gt;N($X833),$X834,""))</f>
        <v/>
      </c>
      <c r="X834">
        <f>IF($T834="",N($X833),IF(MATCH($T834,$T$6:$T$6005,0)=ROW()-5,N($X833)+1,N($X833)))</f>
        <v/>
      </c>
      <c r="Z834">
        <f>IF($V834="","",IF($AA834&gt;N($AA833),$AA834,""))</f>
        <v/>
      </c>
      <c r="AA834">
        <f>IF($V834="",N($AA833),IF(MATCH($V834,$V$6:$V$6005,0)=ROW()-5,N($AA833)+1,N($AA833)))</f>
        <v/>
      </c>
    </row>
    <row r="835" ht="21" customHeight="1" s="66">
      <c r="A835" s="56" t="n"/>
      <c r="B835" s="57" t="n"/>
      <c r="C835" s="57" t="n"/>
      <c r="D835" s="57" t="n"/>
      <c r="E835" s="56" t="n"/>
      <c r="F835" s="57" t="n"/>
      <c r="G835" s="57" t="n"/>
      <c r="H835" s="56" t="n"/>
      <c r="I835" s="56" t="n"/>
      <c r="J835" s="58" t="n"/>
      <c r="K835" s="58" t="n"/>
      <c r="L835" s="13">
        <f>IF(OR($A835="",AND($J835="",$K835="")),"",ROUND(N($J835)-N($K835),2))</f>
        <v/>
      </c>
      <c r="M835" s="13">
        <f>IF(OR($A835="",AND($J835="",$K835="")),"",MIN($J835,$K835))</f>
        <v/>
      </c>
      <c r="Q835">
        <f>IF($A835="","",$D835&amp;"("&amp;SUBSTITUTE($E835," ","")&amp;")")</f>
        <v/>
      </c>
      <c r="R835">
        <f>IF($A835="","",$B835&amp;" - "&amp;$C835)</f>
        <v/>
      </c>
      <c r="S835">
        <f>IF($A835="","",$R835&amp;"|"&amp;$Q835)</f>
        <v/>
      </c>
      <c r="T835">
        <f>IF($A835="","",$S835&amp;"|"&amp;$F835)</f>
        <v/>
      </c>
      <c r="U835">
        <f>IF($A835="","",$R835&amp;"("&amp;$E835&amp;")")</f>
        <v/>
      </c>
      <c r="V835">
        <f>IF($A835="","",$F835&amp;"|"&amp;$U835&amp;"|"&amp;$D835)</f>
        <v/>
      </c>
      <c r="W835">
        <f>IF($T835="","",IF($X835&gt;N($X834),$X835,""))</f>
        <v/>
      </c>
      <c r="X835">
        <f>IF($T835="",N($X834),IF(MATCH($T835,$T$6:$T$6005,0)=ROW()-5,N($X834)+1,N($X834)))</f>
        <v/>
      </c>
      <c r="Z835">
        <f>IF($V835="","",IF($AA835&gt;N($AA834),$AA835,""))</f>
        <v/>
      </c>
      <c r="AA835">
        <f>IF($V835="",N($AA834),IF(MATCH($V835,$V$6:$V$6005,0)=ROW()-5,N($AA834)+1,N($AA834)))</f>
        <v/>
      </c>
    </row>
    <row r="836" ht="21" customHeight="1" s="66">
      <c r="A836" s="56" t="n"/>
      <c r="B836" s="57" t="n"/>
      <c r="C836" s="57" t="n"/>
      <c r="D836" s="57" t="n"/>
      <c r="E836" s="56" t="n"/>
      <c r="F836" s="57" t="n"/>
      <c r="G836" s="57" t="n"/>
      <c r="H836" s="56" t="n"/>
      <c r="I836" s="56" t="n"/>
      <c r="J836" s="58" t="n"/>
      <c r="K836" s="58" t="n"/>
      <c r="L836" s="13">
        <f>IF(OR($A836="",AND($J836="",$K836="")),"",ROUND(N($J836)-N($K836),2))</f>
        <v/>
      </c>
      <c r="M836" s="13">
        <f>IF(OR($A836="",AND($J836="",$K836="")),"",MIN($J836,$K836))</f>
        <v/>
      </c>
      <c r="Q836">
        <f>IF($A836="","",$D836&amp;"("&amp;SUBSTITUTE($E836," ","")&amp;")")</f>
        <v/>
      </c>
      <c r="R836">
        <f>IF($A836="","",$B836&amp;" - "&amp;$C836)</f>
        <v/>
      </c>
      <c r="S836">
        <f>IF($A836="","",$R836&amp;"|"&amp;$Q836)</f>
        <v/>
      </c>
      <c r="T836">
        <f>IF($A836="","",$S836&amp;"|"&amp;$F836)</f>
        <v/>
      </c>
      <c r="U836">
        <f>IF($A836="","",$R836&amp;"("&amp;$E836&amp;")")</f>
        <v/>
      </c>
      <c r="V836">
        <f>IF($A836="","",$F836&amp;"|"&amp;$U836&amp;"|"&amp;$D836)</f>
        <v/>
      </c>
      <c r="W836">
        <f>IF($T836="","",IF($X836&gt;N($X835),$X836,""))</f>
        <v/>
      </c>
      <c r="X836">
        <f>IF($T836="",N($X835),IF(MATCH($T836,$T$6:$T$6005,0)=ROW()-5,N($X835)+1,N($X835)))</f>
        <v/>
      </c>
      <c r="Z836">
        <f>IF($V836="","",IF($AA836&gt;N($AA835),$AA836,""))</f>
        <v/>
      </c>
      <c r="AA836">
        <f>IF($V836="",N($AA835),IF(MATCH($V836,$V$6:$V$6005,0)=ROW()-5,N($AA835)+1,N($AA835)))</f>
        <v/>
      </c>
    </row>
    <row r="837" ht="21" customHeight="1" s="66">
      <c r="A837" s="56" t="n"/>
      <c r="B837" s="57" t="n"/>
      <c r="C837" s="57" t="n"/>
      <c r="D837" s="57" t="n"/>
      <c r="E837" s="56" t="n"/>
      <c r="F837" s="57" t="n"/>
      <c r="G837" s="57" t="n"/>
      <c r="H837" s="56" t="n"/>
      <c r="I837" s="56" t="n"/>
      <c r="J837" s="58" t="n"/>
      <c r="K837" s="58" t="n"/>
      <c r="L837" s="13">
        <f>IF(OR($A837="",AND($J837="",$K837="")),"",ROUND(N($J837)-N($K837),2))</f>
        <v/>
      </c>
      <c r="M837" s="13">
        <f>IF(OR($A837="",AND($J837="",$K837="")),"",MIN($J837,$K837))</f>
        <v/>
      </c>
      <c r="Q837">
        <f>IF($A837="","",$D837&amp;"("&amp;SUBSTITUTE($E837," ","")&amp;")")</f>
        <v/>
      </c>
      <c r="R837">
        <f>IF($A837="","",$B837&amp;" - "&amp;$C837)</f>
        <v/>
      </c>
      <c r="S837">
        <f>IF($A837="","",$R837&amp;"|"&amp;$Q837)</f>
        <v/>
      </c>
      <c r="T837">
        <f>IF($A837="","",$S837&amp;"|"&amp;$F837)</f>
        <v/>
      </c>
      <c r="U837">
        <f>IF($A837="","",$R837&amp;"("&amp;$E837&amp;")")</f>
        <v/>
      </c>
      <c r="V837">
        <f>IF($A837="","",$F837&amp;"|"&amp;$U837&amp;"|"&amp;$D837)</f>
        <v/>
      </c>
      <c r="W837">
        <f>IF($T837="","",IF($X837&gt;N($X836),$X837,""))</f>
        <v/>
      </c>
      <c r="X837">
        <f>IF($T837="",N($X836),IF(MATCH($T837,$T$6:$T$6005,0)=ROW()-5,N($X836)+1,N($X836)))</f>
        <v/>
      </c>
      <c r="Z837">
        <f>IF($V837="","",IF($AA837&gt;N($AA836),$AA837,""))</f>
        <v/>
      </c>
      <c r="AA837">
        <f>IF($V837="",N($AA836),IF(MATCH($V837,$V$6:$V$6005,0)=ROW()-5,N($AA836)+1,N($AA836)))</f>
        <v/>
      </c>
    </row>
    <row r="838" ht="21" customHeight="1" s="66">
      <c r="A838" s="56" t="n"/>
      <c r="B838" s="57" t="n"/>
      <c r="C838" s="57" t="n"/>
      <c r="D838" s="57" t="n"/>
      <c r="E838" s="56" t="n"/>
      <c r="F838" s="57" t="n"/>
      <c r="G838" s="57" t="n"/>
      <c r="H838" s="56" t="n"/>
      <c r="I838" s="56" t="n"/>
      <c r="J838" s="58" t="n"/>
      <c r="K838" s="58" t="n"/>
      <c r="L838" s="13">
        <f>IF(OR($A838="",AND($J838="",$K838="")),"",ROUND(N($J838)-N($K838),2))</f>
        <v/>
      </c>
      <c r="M838" s="13">
        <f>IF(OR($A838="",AND($J838="",$K838="")),"",MIN($J838,$K838))</f>
        <v/>
      </c>
      <c r="Q838">
        <f>IF($A838="","",$D838&amp;"("&amp;SUBSTITUTE($E838," ","")&amp;")")</f>
        <v/>
      </c>
      <c r="R838">
        <f>IF($A838="","",$B838&amp;" - "&amp;$C838)</f>
        <v/>
      </c>
      <c r="S838">
        <f>IF($A838="","",$R838&amp;"|"&amp;$Q838)</f>
        <v/>
      </c>
      <c r="T838">
        <f>IF($A838="","",$S838&amp;"|"&amp;$F838)</f>
        <v/>
      </c>
      <c r="U838">
        <f>IF($A838="","",$R838&amp;"("&amp;$E838&amp;")")</f>
        <v/>
      </c>
      <c r="V838">
        <f>IF($A838="","",$F838&amp;"|"&amp;$U838&amp;"|"&amp;$D838)</f>
        <v/>
      </c>
      <c r="W838">
        <f>IF($T838="","",IF($X838&gt;N($X837),$X838,""))</f>
        <v/>
      </c>
      <c r="X838">
        <f>IF($T838="",N($X837),IF(MATCH($T838,$T$6:$T$6005,0)=ROW()-5,N($X837)+1,N($X837)))</f>
        <v/>
      </c>
      <c r="Z838">
        <f>IF($V838="","",IF($AA838&gt;N($AA837),$AA838,""))</f>
        <v/>
      </c>
      <c r="AA838">
        <f>IF($V838="",N($AA837),IF(MATCH($V838,$V$6:$V$6005,0)=ROW()-5,N($AA837)+1,N($AA837)))</f>
        <v/>
      </c>
    </row>
    <row r="839" ht="21" customHeight="1" s="66">
      <c r="A839" s="56" t="n"/>
      <c r="B839" s="57" t="n"/>
      <c r="C839" s="57" t="n"/>
      <c r="D839" s="57" t="n"/>
      <c r="E839" s="56" t="n"/>
      <c r="F839" s="57" t="n"/>
      <c r="G839" s="57" t="n"/>
      <c r="H839" s="56" t="n"/>
      <c r="I839" s="56" t="n"/>
      <c r="J839" s="58" t="n"/>
      <c r="K839" s="58" t="n"/>
      <c r="L839" s="13">
        <f>IF(OR($A839="",AND($J839="",$K839="")),"",ROUND(N($J839)-N($K839),2))</f>
        <v/>
      </c>
      <c r="M839" s="13">
        <f>IF(OR($A839="",AND($J839="",$K839="")),"",MIN($J839,$K839))</f>
        <v/>
      </c>
      <c r="Q839">
        <f>IF($A839="","",$D839&amp;"("&amp;SUBSTITUTE($E839," ","")&amp;")")</f>
        <v/>
      </c>
      <c r="R839">
        <f>IF($A839="","",$B839&amp;" - "&amp;$C839)</f>
        <v/>
      </c>
      <c r="S839">
        <f>IF($A839="","",$R839&amp;"|"&amp;$Q839)</f>
        <v/>
      </c>
      <c r="T839">
        <f>IF($A839="","",$S839&amp;"|"&amp;$F839)</f>
        <v/>
      </c>
      <c r="U839">
        <f>IF($A839="","",$R839&amp;"("&amp;$E839&amp;")")</f>
        <v/>
      </c>
      <c r="V839">
        <f>IF($A839="","",$F839&amp;"|"&amp;$U839&amp;"|"&amp;$D839)</f>
        <v/>
      </c>
      <c r="W839">
        <f>IF($T839="","",IF($X839&gt;N($X838),$X839,""))</f>
        <v/>
      </c>
      <c r="X839">
        <f>IF($T839="",N($X838),IF(MATCH($T839,$T$6:$T$6005,0)=ROW()-5,N($X838)+1,N($X838)))</f>
        <v/>
      </c>
      <c r="Z839">
        <f>IF($V839="","",IF($AA839&gt;N($AA838),$AA839,""))</f>
        <v/>
      </c>
      <c r="AA839">
        <f>IF($V839="",N($AA838),IF(MATCH($V839,$V$6:$V$6005,0)=ROW()-5,N($AA838)+1,N($AA838)))</f>
        <v/>
      </c>
    </row>
    <row r="840" ht="21" customHeight="1" s="66">
      <c r="A840" s="56" t="n"/>
      <c r="B840" s="57" t="n"/>
      <c r="C840" s="57" t="n"/>
      <c r="D840" s="57" t="n"/>
      <c r="E840" s="56" t="n"/>
      <c r="F840" s="57" t="n"/>
      <c r="G840" s="57" t="n"/>
      <c r="H840" s="56" t="n"/>
      <c r="I840" s="56" t="n"/>
      <c r="J840" s="58" t="n"/>
      <c r="K840" s="58" t="n"/>
      <c r="L840" s="13">
        <f>IF(OR($A840="",AND($J840="",$K840="")),"",ROUND(N($J840)-N($K840),2))</f>
        <v/>
      </c>
      <c r="M840" s="13">
        <f>IF(OR($A840="",AND($J840="",$K840="")),"",MIN($J840,$K840))</f>
        <v/>
      </c>
      <c r="Q840">
        <f>IF($A840="","",$D840&amp;"("&amp;SUBSTITUTE($E840," ","")&amp;")")</f>
        <v/>
      </c>
      <c r="R840">
        <f>IF($A840="","",$B840&amp;" - "&amp;$C840)</f>
        <v/>
      </c>
      <c r="S840">
        <f>IF($A840="","",$R840&amp;"|"&amp;$Q840)</f>
        <v/>
      </c>
      <c r="T840">
        <f>IF($A840="","",$S840&amp;"|"&amp;$F840)</f>
        <v/>
      </c>
      <c r="U840">
        <f>IF($A840="","",$R840&amp;"("&amp;$E840&amp;")")</f>
        <v/>
      </c>
      <c r="V840">
        <f>IF($A840="","",$F840&amp;"|"&amp;$U840&amp;"|"&amp;$D840)</f>
        <v/>
      </c>
      <c r="W840">
        <f>IF($T840="","",IF($X840&gt;N($X839),$X840,""))</f>
        <v/>
      </c>
      <c r="X840">
        <f>IF($T840="",N($X839),IF(MATCH($T840,$T$6:$T$6005,0)=ROW()-5,N($X839)+1,N($X839)))</f>
        <v/>
      </c>
      <c r="Z840">
        <f>IF($V840="","",IF($AA840&gt;N($AA839),$AA840,""))</f>
        <v/>
      </c>
      <c r="AA840">
        <f>IF($V840="",N($AA839),IF(MATCH($V840,$V$6:$V$6005,0)=ROW()-5,N($AA839)+1,N($AA839)))</f>
        <v/>
      </c>
    </row>
    <row r="841" ht="21" customHeight="1" s="66">
      <c r="A841" s="56" t="n"/>
      <c r="B841" s="57" t="n"/>
      <c r="C841" s="57" t="n"/>
      <c r="D841" s="57" t="n"/>
      <c r="E841" s="56" t="n"/>
      <c r="F841" s="57" t="n"/>
      <c r="G841" s="57" t="n"/>
      <c r="H841" s="56" t="n"/>
      <c r="I841" s="56" t="n"/>
      <c r="J841" s="58" t="n"/>
      <c r="K841" s="58" t="n"/>
      <c r="L841" s="13">
        <f>IF(OR($A841="",AND($J841="",$K841="")),"",ROUND(N($J841)-N($K841),2))</f>
        <v/>
      </c>
      <c r="M841" s="13">
        <f>IF(OR($A841="",AND($J841="",$K841="")),"",MIN($J841,$K841))</f>
        <v/>
      </c>
      <c r="Q841">
        <f>IF($A841="","",$D841&amp;"("&amp;SUBSTITUTE($E841," ","")&amp;")")</f>
        <v/>
      </c>
      <c r="R841">
        <f>IF($A841="","",$B841&amp;" - "&amp;$C841)</f>
        <v/>
      </c>
      <c r="S841">
        <f>IF($A841="","",$R841&amp;"|"&amp;$Q841)</f>
        <v/>
      </c>
      <c r="T841">
        <f>IF($A841="","",$S841&amp;"|"&amp;$F841)</f>
        <v/>
      </c>
      <c r="U841">
        <f>IF($A841="","",$R841&amp;"("&amp;$E841&amp;")")</f>
        <v/>
      </c>
      <c r="V841">
        <f>IF($A841="","",$F841&amp;"|"&amp;$U841&amp;"|"&amp;$D841)</f>
        <v/>
      </c>
      <c r="W841">
        <f>IF($T841="","",IF($X841&gt;N($X840),$X841,""))</f>
        <v/>
      </c>
      <c r="X841">
        <f>IF($T841="",N($X840),IF(MATCH($T841,$T$6:$T$6005,0)=ROW()-5,N($X840)+1,N($X840)))</f>
        <v/>
      </c>
      <c r="Z841">
        <f>IF($V841="","",IF($AA841&gt;N($AA840),$AA841,""))</f>
        <v/>
      </c>
      <c r="AA841">
        <f>IF($V841="",N($AA840),IF(MATCH($V841,$V$6:$V$6005,0)=ROW()-5,N($AA840)+1,N($AA840)))</f>
        <v/>
      </c>
    </row>
    <row r="842" ht="21" customHeight="1" s="66">
      <c r="A842" s="56" t="n"/>
      <c r="B842" s="57" t="n"/>
      <c r="C842" s="57" t="n"/>
      <c r="D842" s="57" t="n"/>
      <c r="E842" s="56" t="n"/>
      <c r="F842" s="57" t="n"/>
      <c r="G842" s="57" t="n"/>
      <c r="H842" s="56" t="n"/>
      <c r="I842" s="56" t="n"/>
      <c r="J842" s="58" t="n"/>
      <c r="K842" s="58" t="n"/>
      <c r="L842" s="13">
        <f>IF(OR($A842="",AND($J842="",$K842="")),"",ROUND(N($J842)-N($K842),2))</f>
        <v/>
      </c>
      <c r="M842" s="13">
        <f>IF(OR($A842="",AND($J842="",$K842="")),"",MIN($J842,$K842))</f>
        <v/>
      </c>
      <c r="Q842">
        <f>IF($A842="","",$D842&amp;"("&amp;SUBSTITUTE($E842," ","")&amp;")")</f>
        <v/>
      </c>
      <c r="R842">
        <f>IF($A842="","",$B842&amp;" - "&amp;$C842)</f>
        <v/>
      </c>
      <c r="S842">
        <f>IF($A842="","",$R842&amp;"|"&amp;$Q842)</f>
        <v/>
      </c>
      <c r="T842">
        <f>IF($A842="","",$S842&amp;"|"&amp;$F842)</f>
        <v/>
      </c>
      <c r="U842">
        <f>IF($A842="","",$R842&amp;"("&amp;$E842&amp;")")</f>
        <v/>
      </c>
      <c r="V842">
        <f>IF($A842="","",$F842&amp;"|"&amp;$U842&amp;"|"&amp;$D842)</f>
        <v/>
      </c>
      <c r="W842">
        <f>IF($T842="","",IF($X842&gt;N($X841),$X842,""))</f>
        <v/>
      </c>
      <c r="X842">
        <f>IF($T842="",N($X841),IF(MATCH($T842,$T$6:$T$6005,0)=ROW()-5,N($X841)+1,N($X841)))</f>
        <v/>
      </c>
      <c r="Z842">
        <f>IF($V842="","",IF($AA842&gt;N($AA841),$AA842,""))</f>
        <v/>
      </c>
      <c r="AA842">
        <f>IF($V842="",N($AA841),IF(MATCH($V842,$V$6:$V$6005,0)=ROW()-5,N($AA841)+1,N($AA841)))</f>
        <v/>
      </c>
    </row>
    <row r="843" ht="21" customHeight="1" s="66">
      <c r="A843" s="56" t="n"/>
      <c r="B843" s="57" t="n"/>
      <c r="C843" s="57" t="n"/>
      <c r="D843" s="57" t="n"/>
      <c r="E843" s="56" t="n"/>
      <c r="F843" s="57" t="n"/>
      <c r="G843" s="57" t="n"/>
      <c r="H843" s="56" t="n"/>
      <c r="I843" s="56" t="n"/>
      <c r="J843" s="58" t="n"/>
      <c r="K843" s="58" t="n"/>
      <c r="L843" s="13">
        <f>IF(OR($A843="",AND($J843="",$K843="")),"",ROUND(N($J843)-N($K843),2))</f>
        <v/>
      </c>
      <c r="M843" s="13">
        <f>IF(OR($A843="",AND($J843="",$K843="")),"",MIN($J843,$K843))</f>
        <v/>
      </c>
      <c r="Q843">
        <f>IF($A843="","",$D843&amp;"("&amp;SUBSTITUTE($E843," ","")&amp;")")</f>
        <v/>
      </c>
      <c r="R843">
        <f>IF($A843="","",$B843&amp;" - "&amp;$C843)</f>
        <v/>
      </c>
      <c r="S843">
        <f>IF($A843="","",$R843&amp;"|"&amp;$Q843)</f>
        <v/>
      </c>
      <c r="T843">
        <f>IF($A843="","",$S843&amp;"|"&amp;$F843)</f>
        <v/>
      </c>
      <c r="U843">
        <f>IF($A843="","",$R843&amp;"("&amp;$E843&amp;")")</f>
        <v/>
      </c>
      <c r="V843">
        <f>IF($A843="","",$F843&amp;"|"&amp;$U843&amp;"|"&amp;$D843)</f>
        <v/>
      </c>
      <c r="W843">
        <f>IF($T843="","",IF($X843&gt;N($X842),$X843,""))</f>
        <v/>
      </c>
      <c r="X843">
        <f>IF($T843="",N($X842),IF(MATCH($T843,$T$6:$T$6005,0)=ROW()-5,N($X842)+1,N($X842)))</f>
        <v/>
      </c>
      <c r="Z843">
        <f>IF($V843="","",IF($AA843&gt;N($AA842),$AA843,""))</f>
        <v/>
      </c>
      <c r="AA843">
        <f>IF($V843="",N($AA842),IF(MATCH($V843,$V$6:$V$6005,0)=ROW()-5,N($AA842)+1,N($AA842)))</f>
        <v/>
      </c>
    </row>
    <row r="844" ht="21" customHeight="1" s="66">
      <c r="A844" s="56" t="n"/>
      <c r="B844" s="57" t="n"/>
      <c r="C844" s="57" t="n"/>
      <c r="D844" s="57" t="n"/>
      <c r="E844" s="56" t="n"/>
      <c r="F844" s="57" t="n"/>
      <c r="G844" s="57" t="n"/>
      <c r="H844" s="56" t="n"/>
      <c r="I844" s="56" t="n"/>
      <c r="J844" s="58" t="n"/>
      <c r="K844" s="58" t="n"/>
      <c r="L844" s="13">
        <f>IF(OR($A844="",AND($J844="",$K844="")),"",ROUND(N($J844)-N($K844),2))</f>
        <v/>
      </c>
      <c r="M844" s="13">
        <f>IF(OR($A844="",AND($J844="",$K844="")),"",MIN($J844,$K844))</f>
        <v/>
      </c>
      <c r="Q844">
        <f>IF($A844="","",$D844&amp;"("&amp;SUBSTITUTE($E844," ","")&amp;")")</f>
        <v/>
      </c>
      <c r="R844">
        <f>IF($A844="","",$B844&amp;" - "&amp;$C844)</f>
        <v/>
      </c>
      <c r="S844">
        <f>IF($A844="","",$R844&amp;"|"&amp;$Q844)</f>
        <v/>
      </c>
      <c r="T844">
        <f>IF($A844="","",$S844&amp;"|"&amp;$F844)</f>
        <v/>
      </c>
      <c r="U844">
        <f>IF($A844="","",$R844&amp;"("&amp;$E844&amp;")")</f>
        <v/>
      </c>
      <c r="V844">
        <f>IF($A844="","",$F844&amp;"|"&amp;$U844&amp;"|"&amp;$D844)</f>
        <v/>
      </c>
      <c r="W844">
        <f>IF($T844="","",IF($X844&gt;N($X843),$X844,""))</f>
        <v/>
      </c>
      <c r="X844">
        <f>IF($T844="",N($X843),IF(MATCH($T844,$T$6:$T$6005,0)=ROW()-5,N($X843)+1,N($X843)))</f>
        <v/>
      </c>
      <c r="Z844">
        <f>IF($V844="","",IF($AA844&gt;N($AA843),$AA844,""))</f>
        <v/>
      </c>
      <c r="AA844">
        <f>IF($V844="",N($AA843),IF(MATCH($V844,$V$6:$V$6005,0)=ROW()-5,N($AA843)+1,N($AA843)))</f>
        <v/>
      </c>
    </row>
    <row r="845" ht="21" customHeight="1" s="66">
      <c r="A845" s="56" t="n"/>
      <c r="B845" s="57" t="n"/>
      <c r="C845" s="57" t="n"/>
      <c r="D845" s="57" t="n"/>
      <c r="E845" s="56" t="n"/>
      <c r="F845" s="57" t="n"/>
      <c r="G845" s="57" t="n"/>
      <c r="H845" s="56" t="n"/>
      <c r="I845" s="56" t="n"/>
      <c r="J845" s="58" t="n"/>
      <c r="K845" s="58" t="n"/>
      <c r="L845" s="13">
        <f>IF(OR($A845="",AND($J845="",$K845="")),"",ROUND(N($J845)-N($K845),2))</f>
        <v/>
      </c>
      <c r="M845" s="13">
        <f>IF(OR($A845="",AND($J845="",$K845="")),"",MIN($J845,$K845))</f>
        <v/>
      </c>
      <c r="Q845">
        <f>IF($A845="","",$D845&amp;"("&amp;SUBSTITUTE($E845," ","")&amp;")")</f>
        <v/>
      </c>
      <c r="R845">
        <f>IF($A845="","",$B845&amp;" - "&amp;$C845)</f>
        <v/>
      </c>
      <c r="S845">
        <f>IF($A845="","",$R845&amp;"|"&amp;$Q845)</f>
        <v/>
      </c>
      <c r="T845">
        <f>IF($A845="","",$S845&amp;"|"&amp;$F845)</f>
        <v/>
      </c>
      <c r="U845">
        <f>IF($A845="","",$R845&amp;"("&amp;$E845&amp;")")</f>
        <v/>
      </c>
      <c r="V845">
        <f>IF($A845="","",$F845&amp;"|"&amp;$U845&amp;"|"&amp;$D845)</f>
        <v/>
      </c>
      <c r="W845">
        <f>IF($T845="","",IF($X845&gt;N($X844),$X845,""))</f>
        <v/>
      </c>
      <c r="X845">
        <f>IF($T845="",N($X844),IF(MATCH($T845,$T$6:$T$6005,0)=ROW()-5,N($X844)+1,N($X844)))</f>
        <v/>
      </c>
      <c r="Z845">
        <f>IF($V845="","",IF($AA845&gt;N($AA844),$AA845,""))</f>
        <v/>
      </c>
      <c r="AA845">
        <f>IF($V845="",N($AA844),IF(MATCH($V845,$V$6:$V$6005,0)=ROW()-5,N($AA844)+1,N($AA844)))</f>
        <v/>
      </c>
    </row>
    <row r="846" ht="21" customHeight="1" s="66">
      <c r="A846" s="56" t="n"/>
      <c r="B846" s="57" t="n"/>
      <c r="C846" s="57" t="n"/>
      <c r="D846" s="57" t="n"/>
      <c r="E846" s="56" t="n"/>
      <c r="F846" s="57" t="n"/>
      <c r="G846" s="57" t="n"/>
      <c r="H846" s="56" t="n"/>
      <c r="I846" s="56" t="n"/>
      <c r="J846" s="58" t="n"/>
      <c r="K846" s="58" t="n"/>
      <c r="L846" s="13">
        <f>IF(OR($A846="",AND($J846="",$K846="")),"",ROUND(N($J846)-N($K846),2))</f>
        <v/>
      </c>
      <c r="M846" s="13">
        <f>IF(OR($A846="",AND($J846="",$K846="")),"",MIN($J846,$K846))</f>
        <v/>
      </c>
      <c r="Q846">
        <f>IF($A846="","",$D846&amp;"("&amp;SUBSTITUTE($E846," ","")&amp;")")</f>
        <v/>
      </c>
      <c r="R846">
        <f>IF($A846="","",$B846&amp;" - "&amp;$C846)</f>
        <v/>
      </c>
      <c r="S846">
        <f>IF($A846="","",$R846&amp;"|"&amp;$Q846)</f>
        <v/>
      </c>
      <c r="T846">
        <f>IF($A846="","",$S846&amp;"|"&amp;$F846)</f>
        <v/>
      </c>
      <c r="U846">
        <f>IF($A846="","",$R846&amp;"("&amp;$E846&amp;")")</f>
        <v/>
      </c>
      <c r="V846">
        <f>IF($A846="","",$F846&amp;"|"&amp;$U846&amp;"|"&amp;$D846)</f>
        <v/>
      </c>
      <c r="W846">
        <f>IF($T846="","",IF($X846&gt;N($X845),$X846,""))</f>
        <v/>
      </c>
      <c r="X846">
        <f>IF($T846="",N($X845),IF(MATCH($T846,$T$6:$T$6005,0)=ROW()-5,N($X845)+1,N($X845)))</f>
        <v/>
      </c>
      <c r="Z846">
        <f>IF($V846="","",IF($AA846&gt;N($AA845),$AA846,""))</f>
        <v/>
      </c>
      <c r="AA846">
        <f>IF($V846="",N($AA845),IF(MATCH($V846,$V$6:$V$6005,0)=ROW()-5,N($AA845)+1,N($AA845)))</f>
        <v/>
      </c>
    </row>
    <row r="847" ht="21" customHeight="1" s="66">
      <c r="A847" s="56" t="n"/>
      <c r="B847" s="57" t="n"/>
      <c r="C847" s="57" t="n"/>
      <c r="D847" s="57" t="n"/>
      <c r="E847" s="56" t="n"/>
      <c r="F847" s="57" t="n"/>
      <c r="G847" s="57" t="n"/>
      <c r="H847" s="56" t="n"/>
      <c r="I847" s="56" t="n"/>
      <c r="J847" s="58" t="n"/>
      <c r="K847" s="58" t="n"/>
      <c r="L847" s="13">
        <f>IF(OR($A847="",AND($J847="",$K847="")),"",ROUND(N($J847)-N($K847),2))</f>
        <v/>
      </c>
      <c r="M847" s="13">
        <f>IF(OR($A847="",AND($J847="",$K847="")),"",MIN($J847,$K847))</f>
        <v/>
      </c>
      <c r="Q847">
        <f>IF($A847="","",$D847&amp;"("&amp;SUBSTITUTE($E847," ","")&amp;")")</f>
        <v/>
      </c>
      <c r="R847">
        <f>IF($A847="","",$B847&amp;" - "&amp;$C847)</f>
        <v/>
      </c>
      <c r="S847">
        <f>IF($A847="","",$R847&amp;"|"&amp;$Q847)</f>
        <v/>
      </c>
      <c r="T847">
        <f>IF($A847="","",$S847&amp;"|"&amp;$F847)</f>
        <v/>
      </c>
      <c r="U847">
        <f>IF($A847="","",$R847&amp;"("&amp;$E847&amp;")")</f>
        <v/>
      </c>
      <c r="V847">
        <f>IF($A847="","",$F847&amp;"|"&amp;$U847&amp;"|"&amp;$D847)</f>
        <v/>
      </c>
      <c r="W847">
        <f>IF($T847="","",IF($X847&gt;N($X846),$X847,""))</f>
        <v/>
      </c>
      <c r="X847">
        <f>IF($T847="",N($X846),IF(MATCH($T847,$T$6:$T$6005,0)=ROW()-5,N($X846)+1,N($X846)))</f>
        <v/>
      </c>
      <c r="Z847">
        <f>IF($V847="","",IF($AA847&gt;N($AA846),$AA847,""))</f>
        <v/>
      </c>
      <c r="AA847">
        <f>IF($V847="",N($AA846),IF(MATCH($V847,$V$6:$V$6005,0)=ROW()-5,N($AA846)+1,N($AA846)))</f>
        <v/>
      </c>
    </row>
    <row r="848" ht="21" customHeight="1" s="66">
      <c r="A848" s="56" t="n"/>
      <c r="B848" s="57" t="n"/>
      <c r="C848" s="57" t="n"/>
      <c r="D848" s="57" t="n"/>
      <c r="E848" s="56" t="n"/>
      <c r="F848" s="57" t="n"/>
      <c r="G848" s="57" t="n"/>
      <c r="H848" s="56" t="n"/>
      <c r="I848" s="56" t="n"/>
      <c r="J848" s="58" t="n"/>
      <c r="K848" s="58" t="n"/>
      <c r="L848" s="13">
        <f>IF(OR($A848="",AND($J848="",$K848="")),"",ROUND(N($J848)-N($K848),2))</f>
        <v/>
      </c>
      <c r="M848" s="13">
        <f>IF(OR($A848="",AND($J848="",$K848="")),"",MIN($J848,$K848))</f>
        <v/>
      </c>
      <c r="Q848">
        <f>IF($A848="","",$D848&amp;"("&amp;SUBSTITUTE($E848," ","")&amp;")")</f>
        <v/>
      </c>
      <c r="R848">
        <f>IF($A848="","",$B848&amp;" - "&amp;$C848)</f>
        <v/>
      </c>
      <c r="S848">
        <f>IF($A848="","",$R848&amp;"|"&amp;$Q848)</f>
        <v/>
      </c>
      <c r="T848">
        <f>IF($A848="","",$S848&amp;"|"&amp;$F848)</f>
        <v/>
      </c>
      <c r="U848">
        <f>IF($A848="","",$R848&amp;"("&amp;$E848&amp;")")</f>
        <v/>
      </c>
      <c r="V848">
        <f>IF($A848="","",$F848&amp;"|"&amp;$U848&amp;"|"&amp;$D848)</f>
        <v/>
      </c>
      <c r="W848">
        <f>IF($T848="","",IF($X848&gt;N($X847),$X848,""))</f>
        <v/>
      </c>
      <c r="X848">
        <f>IF($T848="",N($X847),IF(MATCH($T848,$T$6:$T$6005,0)=ROW()-5,N($X847)+1,N($X847)))</f>
        <v/>
      </c>
      <c r="Z848">
        <f>IF($V848="","",IF($AA848&gt;N($AA847),$AA848,""))</f>
        <v/>
      </c>
      <c r="AA848">
        <f>IF($V848="",N($AA847),IF(MATCH($V848,$V$6:$V$6005,0)=ROW()-5,N($AA847)+1,N($AA847)))</f>
        <v/>
      </c>
    </row>
    <row r="849" ht="21" customHeight="1" s="66">
      <c r="A849" s="56" t="n"/>
      <c r="B849" s="57" t="n"/>
      <c r="C849" s="57" t="n"/>
      <c r="D849" s="57" t="n"/>
      <c r="E849" s="56" t="n"/>
      <c r="F849" s="57" t="n"/>
      <c r="G849" s="57" t="n"/>
      <c r="H849" s="56" t="n"/>
      <c r="I849" s="56" t="n"/>
      <c r="J849" s="58" t="n"/>
      <c r="K849" s="58" t="n"/>
      <c r="L849" s="13">
        <f>IF(OR($A849="",AND($J849="",$K849="")),"",ROUND(N($J849)-N($K849),2))</f>
        <v/>
      </c>
      <c r="M849" s="13">
        <f>IF(OR($A849="",AND($J849="",$K849="")),"",MIN($J849,$K849))</f>
        <v/>
      </c>
      <c r="Q849">
        <f>IF($A849="","",$D849&amp;"("&amp;SUBSTITUTE($E849," ","")&amp;")")</f>
        <v/>
      </c>
      <c r="R849">
        <f>IF($A849="","",$B849&amp;" - "&amp;$C849)</f>
        <v/>
      </c>
      <c r="S849">
        <f>IF($A849="","",$R849&amp;"|"&amp;$Q849)</f>
        <v/>
      </c>
      <c r="T849">
        <f>IF($A849="","",$S849&amp;"|"&amp;$F849)</f>
        <v/>
      </c>
      <c r="U849">
        <f>IF($A849="","",$R849&amp;"("&amp;$E849&amp;")")</f>
        <v/>
      </c>
      <c r="V849">
        <f>IF($A849="","",$F849&amp;"|"&amp;$U849&amp;"|"&amp;$D849)</f>
        <v/>
      </c>
      <c r="W849">
        <f>IF($T849="","",IF($X849&gt;N($X848),$X849,""))</f>
        <v/>
      </c>
      <c r="X849">
        <f>IF($T849="",N($X848),IF(MATCH($T849,$T$6:$T$6005,0)=ROW()-5,N($X848)+1,N($X848)))</f>
        <v/>
      </c>
      <c r="Z849">
        <f>IF($V849="","",IF($AA849&gt;N($AA848),$AA849,""))</f>
        <v/>
      </c>
      <c r="AA849">
        <f>IF($V849="",N($AA848),IF(MATCH($V849,$V$6:$V$6005,0)=ROW()-5,N($AA848)+1,N($AA848)))</f>
        <v/>
      </c>
    </row>
    <row r="850" ht="21" customHeight="1" s="66">
      <c r="A850" s="56" t="n"/>
      <c r="B850" s="57" t="n"/>
      <c r="C850" s="57" t="n"/>
      <c r="D850" s="57" t="n"/>
      <c r="E850" s="56" t="n"/>
      <c r="F850" s="57" t="n"/>
      <c r="G850" s="57" t="n"/>
      <c r="H850" s="56" t="n"/>
      <c r="I850" s="56" t="n"/>
      <c r="J850" s="58" t="n"/>
      <c r="K850" s="58" t="n"/>
      <c r="L850" s="13">
        <f>IF(OR($A850="",AND($J850="",$K850="")),"",ROUND(N($J850)-N($K850),2))</f>
        <v/>
      </c>
      <c r="M850" s="13">
        <f>IF(OR($A850="",AND($J850="",$K850="")),"",MIN($J850,$K850))</f>
        <v/>
      </c>
      <c r="Q850">
        <f>IF($A850="","",$D850&amp;"("&amp;SUBSTITUTE($E850," ","")&amp;")")</f>
        <v/>
      </c>
      <c r="R850">
        <f>IF($A850="","",$B850&amp;" - "&amp;$C850)</f>
        <v/>
      </c>
      <c r="S850">
        <f>IF($A850="","",$R850&amp;"|"&amp;$Q850)</f>
        <v/>
      </c>
      <c r="T850">
        <f>IF($A850="","",$S850&amp;"|"&amp;$F850)</f>
        <v/>
      </c>
      <c r="U850">
        <f>IF($A850="","",$R850&amp;"("&amp;$E850&amp;")")</f>
        <v/>
      </c>
      <c r="V850">
        <f>IF($A850="","",$F850&amp;"|"&amp;$U850&amp;"|"&amp;$D850)</f>
        <v/>
      </c>
      <c r="W850">
        <f>IF($T850="","",IF($X850&gt;N($X849),$X850,""))</f>
        <v/>
      </c>
      <c r="X850">
        <f>IF($T850="",N($X849),IF(MATCH($T850,$T$6:$T$6005,0)=ROW()-5,N($X849)+1,N($X849)))</f>
        <v/>
      </c>
      <c r="Z850">
        <f>IF($V850="","",IF($AA850&gt;N($AA849),$AA850,""))</f>
        <v/>
      </c>
      <c r="AA850">
        <f>IF($V850="",N($AA849),IF(MATCH($V850,$V$6:$V$6005,0)=ROW()-5,N($AA849)+1,N($AA849)))</f>
        <v/>
      </c>
    </row>
    <row r="851" ht="21" customHeight="1" s="66">
      <c r="A851" s="56" t="n"/>
      <c r="B851" s="57" t="n"/>
      <c r="C851" s="57" t="n"/>
      <c r="D851" s="57" t="n"/>
      <c r="E851" s="56" t="n"/>
      <c r="F851" s="57" t="n"/>
      <c r="G851" s="57" t="n"/>
      <c r="H851" s="56" t="n"/>
      <c r="I851" s="56" t="n"/>
      <c r="J851" s="58" t="n"/>
      <c r="K851" s="58" t="n"/>
      <c r="L851" s="13">
        <f>IF(OR($A851="",AND($J851="",$K851="")),"",ROUND(N($J851)-N($K851),2))</f>
        <v/>
      </c>
      <c r="M851" s="13">
        <f>IF(OR($A851="",AND($J851="",$K851="")),"",MIN($J851,$K851))</f>
        <v/>
      </c>
      <c r="Q851">
        <f>IF($A851="","",$D851&amp;"("&amp;SUBSTITUTE($E851," ","")&amp;")")</f>
        <v/>
      </c>
      <c r="R851">
        <f>IF($A851="","",$B851&amp;" - "&amp;$C851)</f>
        <v/>
      </c>
      <c r="S851">
        <f>IF($A851="","",$R851&amp;"|"&amp;$Q851)</f>
        <v/>
      </c>
      <c r="T851">
        <f>IF($A851="","",$S851&amp;"|"&amp;$F851)</f>
        <v/>
      </c>
      <c r="U851">
        <f>IF($A851="","",$R851&amp;"("&amp;$E851&amp;")")</f>
        <v/>
      </c>
      <c r="V851">
        <f>IF($A851="","",$F851&amp;"|"&amp;$U851&amp;"|"&amp;$D851)</f>
        <v/>
      </c>
      <c r="W851">
        <f>IF($T851="","",IF($X851&gt;N($X850),$X851,""))</f>
        <v/>
      </c>
      <c r="X851">
        <f>IF($T851="",N($X850),IF(MATCH($T851,$T$6:$T$6005,0)=ROW()-5,N($X850)+1,N($X850)))</f>
        <v/>
      </c>
      <c r="Z851">
        <f>IF($V851="","",IF($AA851&gt;N($AA850),$AA851,""))</f>
        <v/>
      </c>
      <c r="AA851">
        <f>IF($V851="",N($AA850),IF(MATCH($V851,$V$6:$V$6005,0)=ROW()-5,N($AA850)+1,N($AA850)))</f>
        <v/>
      </c>
    </row>
    <row r="852" ht="21" customHeight="1" s="66">
      <c r="A852" s="56" t="n"/>
      <c r="B852" s="57" t="n"/>
      <c r="C852" s="57" t="n"/>
      <c r="D852" s="57" t="n"/>
      <c r="E852" s="56" t="n"/>
      <c r="F852" s="57" t="n"/>
      <c r="G852" s="57" t="n"/>
      <c r="H852" s="56" t="n"/>
      <c r="I852" s="56" t="n"/>
      <c r="J852" s="58" t="n"/>
      <c r="K852" s="58" t="n"/>
      <c r="L852" s="13">
        <f>IF(OR($A852="",AND($J852="",$K852="")),"",ROUND(N($J852)-N($K852),2))</f>
        <v/>
      </c>
      <c r="M852" s="13">
        <f>IF(OR($A852="",AND($J852="",$K852="")),"",MIN($J852,$K852))</f>
        <v/>
      </c>
      <c r="Q852">
        <f>IF($A852="","",$D852&amp;"("&amp;SUBSTITUTE($E852," ","")&amp;")")</f>
        <v/>
      </c>
      <c r="R852">
        <f>IF($A852="","",$B852&amp;" - "&amp;$C852)</f>
        <v/>
      </c>
      <c r="S852">
        <f>IF($A852="","",$R852&amp;"|"&amp;$Q852)</f>
        <v/>
      </c>
      <c r="T852">
        <f>IF($A852="","",$S852&amp;"|"&amp;$F852)</f>
        <v/>
      </c>
      <c r="U852">
        <f>IF($A852="","",$R852&amp;"("&amp;$E852&amp;")")</f>
        <v/>
      </c>
      <c r="V852">
        <f>IF($A852="","",$F852&amp;"|"&amp;$U852&amp;"|"&amp;$D852)</f>
        <v/>
      </c>
      <c r="W852">
        <f>IF($T852="","",IF($X852&gt;N($X851),$X852,""))</f>
        <v/>
      </c>
      <c r="X852">
        <f>IF($T852="",N($X851),IF(MATCH($T852,$T$6:$T$6005,0)=ROW()-5,N($X851)+1,N($X851)))</f>
        <v/>
      </c>
      <c r="Z852">
        <f>IF($V852="","",IF($AA852&gt;N($AA851),$AA852,""))</f>
        <v/>
      </c>
      <c r="AA852">
        <f>IF($V852="",N($AA851),IF(MATCH($V852,$V$6:$V$6005,0)=ROW()-5,N($AA851)+1,N($AA851)))</f>
        <v/>
      </c>
    </row>
    <row r="853" ht="21" customHeight="1" s="66">
      <c r="A853" s="56" t="n"/>
      <c r="B853" s="57" t="n"/>
      <c r="C853" s="57" t="n"/>
      <c r="D853" s="57" t="n"/>
      <c r="E853" s="56" t="n"/>
      <c r="F853" s="57" t="n"/>
      <c r="G853" s="57" t="n"/>
      <c r="H853" s="56" t="n"/>
      <c r="I853" s="56" t="n"/>
      <c r="J853" s="58" t="n"/>
      <c r="K853" s="58" t="n"/>
      <c r="L853" s="13">
        <f>IF(OR($A853="",AND($J853="",$K853="")),"",ROUND(N($J853)-N($K853),2))</f>
        <v/>
      </c>
      <c r="M853" s="13">
        <f>IF(OR($A853="",AND($J853="",$K853="")),"",MIN($J853,$K853))</f>
        <v/>
      </c>
      <c r="Q853">
        <f>IF($A853="","",$D853&amp;"("&amp;SUBSTITUTE($E853," ","")&amp;")")</f>
        <v/>
      </c>
      <c r="R853">
        <f>IF($A853="","",$B853&amp;" - "&amp;$C853)</f>
        <v/>
      </c>
      <c r="S853">
        <f>IF($A853="","",$R853&amp;"|"&amp;$Q853)</f>
        <v/>
      </c>
      <c r="T853">
        <f>IF($A853="","",$S853&amp;"|"&amp;$F853)</f>
        <v/>
      </c>
      <c r="U853">
        <f>IF($A853="","",$R853&amp;"("&amp;$E853&amp;")")</f>
        <v/>
      </c>
      <c r="V853">
        <f>IF($A853="","",$F853&amp;"|"&amp;$U853&amp;"|"&amp;$D853)</f>
        <v/>
      </c>
      <c r="W853">
        <f>IF($T853="","",IF($X853&gt;N($X852),$X853,""))</f>
        <v/>
      </c>
      <c r="X853">
        <f>IF($T853="",N($X852),IF(MATCH($T853,$T$6:$T$6005,0)=ROW()-5,N($X852)+1,N($X852)))</f>
        <v/>
      </c>
      <c r="Z853">
        <f>IF($V853="","",IF($AA853&gt;N($AA852),$AA853,""))</f>
        <v/>
      </c>
      <c r="AA853">
        <f>IF($V853="",N($AA852),IF(MATCH($V853,$V$6:$V$6005,0)=ROW()-5,N($AA852)+1,N($AA852)))</f>
        <v/>
      </c>
    </row>
    <row r="854" ht="21" customHeight="1" s="66">
      <c r="A854" s="56" t="n"/>
      <c r="B854" s="57" t="n"/>
      <c r="C854" s="57" t="n"/>
      <c r="D854" s="57" t="n"/>
      <c r="E854" s="56" t="n"/>
      <c r="F854" s="57" t="n"/>
      <c r="G854" s="57" t="n"/>
      <c r="H854" s="56" t="n"/>
      <c r="I854" s="56" t="n"/>
      <c r="J854" s="58" t="n"/>
      <c r="K854" s="58" t="n"/>
      <c r="L854" s="13">
        <f>IF(OR($A854="",AND($J854="",$K854="")),"",ROUND(N($J854)-N($K854),2))</f>
        <v/>
      </c>
      <c r="M854" s="13">
        <f>IF(OR($A854="",AND($J854="",$K854="")),"",MIN($J854,$K854))</f>
        <v/>
      </c>
      <c r="Q854">
        <f>IF($A854="","",$D854&amp;"("&amp;SUBSTITUTE($E854," ","")&amp;")")</f>
        <v/>
      </c>
      <c r="R854">
        <f>IF($A854="","",$B854&amp;" - "&amp;$C854)</f>
        <v/>
      </c>
      <c r="S854">
        <f>IF($A854="","",$R854&amp;"|"&amp;$Q854)</f>
        <v/>
      </c>
      <c r="T854">
        <f>IF($A854="","",$S854&amp;"|"&amp;$F854)</f>
        <v/>
      </c>
      <c r="U854">
        <f>IF($A854="","",$R854&amp;"("&amp;$E854&amp;")")</f>
        <v/>
      </c>
      <c r="V854">
        <f>IF($A854="","",$F854&amp;"|"&amp;$U854&amp;"|"&amp;$D854)</f>
        <v/>
      </c>
      <c r="W854">
        <f>IF($T854="","",IF($X854&gt;N($X853),$X854,""))</f>
        <v/>
      </c>
      <c r="X854">
        <f>IF($T854="",N($X853),IF(MATCH($T854,$T$6:$T$6005,0)=ROW()-5,N($X853)+1,N($X853)))</f>
        <v/>
      </c>
      <c r="Z854">
        <f>IF($V854="","",IF($AA854&gt;N($AA853),$AA854,""))</f>
        <v/>
      </c>
      <c r="AA854">
        <f>IF($V854="",N($AA853),IF(MATCH($V854,$V$6:$V$6005,0)=ROW()-5,N($AA853)+1,N($AA853)))</f>
        <v/>
      </c>
    </row>
    <row r="855" ht="21" customHeight="1" s="66">
      <c r="A855" s="56" t="n"/>
      <c r="B855" s="57" t="n"/>
      <c r="C855" s="57" t="n"/>
      <c r="D855" s="57" t="n"/>
      <c r="E855" s="56" t="n"/>
      <c r="F855" s="57" t="n"/>
      <c r="G855" s="57" t="n"/>
      <c r="H855" s="56" t="n"/>
      <c r="I855" s="56" t="n"/>
      <c r="J855" s="58" t="n"/>
      <c r="K855" s="58" t="n"/>
      <c r="L855" s="13">
        <f>IF(OR($A855="",AND($J855="",$K855="")),"",ROUND(N($J855)-N($K855),2))</f>
        <v/>
      </c>
      <c r="M855" s="13">
        <f>IF(OR($A855="",AND($J855="",$K855="")),"",MIN($J855,$K855))</f>
        <v/>
      </c>
      <c r="Q855">
        <f>IF($A855="","",$D855&amp;"("&amp;SUBSTITUTE($E855," ","")&amp;")")</f>
        <v/>
      </c>
      <c r="R855">
        <f>IF($A855="","",$B855&amp;" - "&amp;$C855)</f>
        <v/>
      </c>
      <c r="S855">
        <f>IF($A855="","",$R855&amp;"|"&amp;$Q855)</f>
        <v/>
      </c>
      <c r="T855">
        <f>IF($A855="","",$S855&amp;"|"&amp;$F855)</f>
        <v/>
      </c>
      <c r="U855">
        <f>IF($A855="","",$R855&amp;"("&amp;$E855&amp;")")</f>
        <v/>
      </c>
      <c r="V855">
        <f>IF($A855="","",$F855&amp;"|"&amp;$U855&amp;"|"&amp;$D855)</f>
        <v/>
      </c>
      <c r="W855">
        <f>IF($T855="","",IF($X855&gt;N($X854),$X855,""))</f>
        <v/>
      </c>
      <c r="X855">
        <f>IF($T855="",N($X854),IF(MATCH($T855,$T$6:$T$6005,0)=ROW()-5,N($X854)+1,N($X854)))</f>
        <v/>
      </c>
      <c r="Z855">
        <f>IF($V855="","",IF($AA855&gt;N($AA854),$AA855,""))</f>
        <v/>
      </c>
      <c r="AA855">
        <f>IF($V855="",N($AA854),IF(MATCH($V855,$V$6:$V$6005,0)=ROW()-5,N($AA854)+1,N($AA854)))</f>
        <v/>
      </c>
    </row>
    <row r="856" ht="21" customHeight="1" s="66">
      <c r="A856" s="56" t="n"/>
      <c r="B856" s="57" t="n"/>
      <c r="C856" s="57" t="n"/>
      <c r="D856" s="57" t="n"/>
      <c r="E856" s="56" t="n"/>
      <c r="F856" s="57" t="n"/>
      <c r="G856" s="57" t="n"/>
      <c r="H856" s="56" t="n"/>
      <c r="I856" s="56" t="n"/>
      <c r="J856" s="58" t="n"/>
      <c r="K856" s="58" t="n"/>
      <c r="L856" s="13">
        <f>IF(OR($A856="",AND($J856="",$K856="")),"",ROUND(N($J856)-N($K856),2))</f>
        <v/>
      </c>
      <c r="M856" s="13">
        <f>IF(OR($A856="",AND($J856="",$K856="")),"",MIN($J856,$K856))</f>
        <v/>
      </c>
      <c r="Q856">
        <f>IF($A856="","",$D856&amp;"("&amp;SUBSTITUTE($E856," ","")&amp;")")</f>
        <v/>
      </c>
      <c r="R856">
        <f>IF($A856="","",$B856&amp;" - "&amp;$C856)</f>
        <v/>
      </c>
      <c r="S856">
        <f>IF($A856="","",$R856&amp;"|"&amp;$Q856)</f>
        <v/>
      </c>
      <c r="T856">
        <f>IF($A856="","",$S856&amp;"|"&amp;$F856)</f>
        <v/>
      </c>
      <c r="U856">
        <f>IF($A856="","",$R856&amp;"("&amp;$E856&amp;")")</f>
        <v/>
      </c>
      <c r="V856">
        <f>IF($A856="","",$F856&amp;"|"&amp;$U856&amp;"|"&amp;$D856)</f>
        <v/>
      </c>
      <c r="W856">
        <f>IF($T856="","",IF($X856&gt;N($X855),$X856,""))</f>
        <v/>
      </c>
      <c r="X856">
        <f>IF($T856="",N($X855),IF(MATCH($T856,$T$6:$T$6005,0)=ROW()-5,N($X855)+1,N($X855)))</f>
        <v/>
      </c>
      <c r="Z856">
        <f>IF($V856="","",IF($AA856&gt;N($AA855),$AA856,""))</f>
        <v/>
      </c>
      <c r="AA856">
        <f>IF($V856="",N($AA855),IF(MATCH($V856,$V$6:$V$6005,0)=ROW()-5,N($AA855)+1,N($AA855)))</f>
        <v/>
      </c>
    </row>
    <row r="857" ht="21" customHeight="1" s="66">
      <c r="A857" s="56" t="n"/>
      <c r="B857" s="57" t="n"/>
      <c r="C857" s="57" t="n"/>
      <c r="D857" s="57" t="n"/>
      <c r="E857" s="56" t="n"/>
      <c r="F857" s="57" t="n"/>
      <c r="G857" s="57" t="n"/>
      <c r="H857" s="56" t="n"/>
      <c r="I857" s="56" t="n"/>
      <c r="J857" s="58" t="n"/>
      <c r="K857" s="58" t="n"/>
      <c r="L857" s="13">
        <f>IF(OR($A857="",AND($J857="",$K857="")),"",ROUND(N($J857)-N($K857),2))</f>
        <v/>
      </c>
      <c r="M857" s="13">
        <f>IF(OR($A857="",AND($J857="",$K857="")),"",MIN($J857,$K857))</f>
        <v/>
      </c>
      <c r="Q857">
        <f>IF($A857="","",$D857&amp;"("&amp;SUBSTITUTE($E857," ","")&amp;")")</f>
        <v/>
      </c>
      <c r="R857">
        <f>IF($A857="","",$B857&amp;" - "&amp;$C857)</f>
        <v/>
      </c>
      <c r="S857">
        <f>IF($A857="","",$R857&amp;"|"&amp;$Q857)</f>
        <v/>
      </c>
      <c r="T857">
        <f>IF($A857="","",$S857&amp;"|"&amp;$F857)</f>
        <v/>
      </c>
      <c r="U857">
        <f>IF($A857="","",$R857&amp;"("&amp;$E857&amp;")")</f>
        <v/>
      </c>
      <c r="V857">
        <f>IF($A857="","",$F857&amp;"|"&amp;$U857&amp;"|"&amp;$D857)</f>
        <v/>
      </c>
      <c r="W857">
        <f>IF($T857="","",IF($X857&gt;N($X856),$X857,""))</f>
        <v/>
      </c>
      <c r="X857">
        <f>IF($T857="",N($X856),IF(MATCH($T857,$T$6:$T$6005,0)=ROW()-5,N($X856)+1,N($X856)))</f>
        <v/>
      </c>
      <c r="Z857">
        <f>IF($V857="","",IF($AA857&gt;N($AA856),$AA857,""))</f>
        <v/>
      </c>
      <c r="AA857">
        <f>IF($V857="",N($AA856),IF(MATCH($V857,$V$6:$V$6005,0)=ROW()-5,N($AA856)+1,N($AA856)))</f>
        <v/>
      </c>
    </row>
    <row r="858" ht="21" customHeight="1" s="66">
      <c r="A858" s="56" t="n"/>
      <c r="B858" s="57" t="n"/>
      <c r="C858" s="57" t="n"/>
      <c r="D858" s="57" t="n"/>
      <c r="E858" s="56" t="n"/>
      <c r="F858" s="57" t="n"/>
      <c r="G858" s="57" t="n"/>
      <c r="H858" s="56" t="n"/>
      <c r="I858" s="56" t="n"/>
      <c r="J858" s="58" t="n"/>
      <c r="K858" s="58" t="n"/>
      <c r="L858" s="13">
        <f>IF(OR($A858="",AND($J858="",$K858="")),"",ROUND(N($J858)-N($K858),2))</f>
        <v/>
      </c>
      <c r="M858" s="13">
        <f>IF(OR($A858="",AND($J858="",$K858="")),"",MIN($J858,$K858))</f>
        <v/>
      </c>
      <c r="Q858">
        <f>IF($A858="","",$D858&amp;"("&amp;SUBSTITUTE($E858," ","")&amp;")")</f>
        <v/>
      </c>
      <c r="R858">
        <f>IF($A858="","",$B858&amp;" - "&amp;$C858)</f>
        <v/>
      </c>
      <c r="S858">
        <f>IF($A858="","",$R858&amp;"|"&amp;$Q858)</f>
        <v/>
      </c>
      <c r="T858">
        <f>IF($A858="","",$S858&amp;"|"&amp;$F858)</f>
        <v/>
      </c>
      <c r="U858">
        <f>IF($A858="","",$R858&amp;"("&amp;$E858&amp;")")</f>
        <v/>
      </c>
      <c r="V858">
        <f>IF($A858="","",$F858&amp;"|"&amp;$U858&amp;"|"&amp;$D858)</f>
        <v/>
      </c>
      <c r="W858">
        <f>IF($T858="","",IF($X858&gt;N($X857),$X858,""))</f>
        <v/>
      </c>
      <c r="X858">
        <f>IF($T858="",N($X857),IF(MATCH($T858,$T$6:$T$6005,0)=ROW()-5,N($X857)+1,N($X857)))</f>
        <v/>
      </c>
      <c r="Z858">
        <f>IF($V858="","",IF($AA858&gt;N($AA857),$AA858,""))</f>
        <v/>
      </c>
      <c r="AA858">
        <f>IF($V858="",N($AA857),IF(MATCH($V858,$V$6:$V$6005,0)=ROW()-5,N($AA857)+1,N($AA857)))</f>
        <v/>
      </c>
    </row>
    <row r="859" ht="21" customHeight="1" s="66">
      <c r="A859" s="56" t="n"/>
      <c r="B859" s="57" t="n"/>
      <c r="C859" s="57" t="n"/>
      <c r="D859" s="57" t="n"/>
      <c r="E859" s="56" t="n"/>
      <c r="F859" s="57" t="n"/>
      <c r="G859" s="57" t="n"/>
      <c r="H859" s="56" t="n"/>
      <c r="I859" s="56" t="n"/>
      <c r="J859" s="58" t="n"/>
      <c r="K859" s="58" t="n"/>
      <c r="L859" s="13">
        <f>IF(OR($A859="",AND($J859="",$K859="")),"",ROUND(N($J859)-N($K859),2))</f>
        <v/>
      </c>
      <c r="M859" s="13">
        <f>IF(OR($A859="",AND($J859="",$K859="")),"",MIN($J859,$K859))</f>
        <v/>
      </c>
      <c r="Q859">
        <f>IF($A859="","",$D859&amp;"("&amp;SUBSTITUTE($E859," ","")&amp;")")</f>
        <v/>
      </c>
      <c r="R859">
        <f>IF($A859="","",$B859&amp;" - "&amp;$C859)</f>
        <v/>
      </c>
      <c r="S859">
        <f>IF($A859="","",$R859&amp;"|"&amp;$Q859)</f>
        <v/>
      </c>
      <c r="T859">
        <f>IF($A859="","",$S859&amp;"|"&amp;$F859)</f>
        <v/>
      </c>
      <c r="U859">
        <f>IF($A859="","",$R859&amp;"("&amp;$E859&amp;")")</f>
        <v/>
      </c>
      <c r="V859">
        <f>IF($A859="","",$F859&amp;"|"&amp;$U859&amp;"|"&amp;$D859)</f>
        <v/>
      </c>
      <c r="W859">
        <f>IF($T859="","",IF($X859&gt;N($X858),$X859,""))</f>
        <v/>
      </c>
      <c r="X859">
        <f>IF($T859="",N($X858),IF(MATCH($T859,$T$6:$T$6005,0)=ROW()-5,N($X858)+1,N($X858)))</f>
        <v/>
      </c>
      <c r="Z859">
        <f>IF($V859="","",IF($AA859&gt;N($AA858),$AA859,""))</f>
        <v/>
      </c>
      <c r="AA859">
        <f>IF($V859="",N($AA858),IF(MATCH($V859,$V$6:$V$6005,0)=ROW()-5,N($AA858)+1,N($AA858)))</f>
        <v/>
      </c>
    </row>
    <row r="860" ht="21" customHeight="1" s="66">
      <c r="A860" s="56" t="n"/>
      <c r="B860" s="57" t="n"/>
      <c r="C860" s="57" t="n"/>
      <c r="D860" s="57" t="n"/>
      <c r="E860" s="56" t="n"/>
      <c r="F860" s="57" t="n"/>
      <c r="G860" s="57" t="n"/>
      <c r="H860" s="56" t="n"/>
      <c r="I860" s="56" t="n"/>
      <c r="J860" s="58" t="n"/>
      <c r="K860" s="58" t="n"/>
      <c r="L860" s="13">
        <f>IF(OR($A860="",AND($J860="",$K860="")),"",ROUND(N($J860)-N($K860),2))</f>
        <v/>
      </c>
      <c r="M860" s="13">
        <f>IF(OR($A860="",AND($J860="",$K860="")),"",MIN($J860,$K860))</f>
        <v/>
      </c>
      <c r="Q860">
        <f>IF($A860="","",$D860&amp;"("&amp;SUBSTITUTE($E860," ","")&amp;")")</f>
        <v/>
      </c>
      <c r="R860">
        <f>IF($A860="","",$B860&amp;" - "&amp;$C860)</f>
        <v/>
      </c>
      <c r="S860">
        <f>IF($A860="","",$R860&amp;"|"&amp;$Q860)</f>
        <v/>
      </c>
      <c r="T860">
        <f>IF($A860="","",$S860&amp;"|"&amp;$F860)</f>
        <v/>
      </c>
      <c r="U860">
        <f>IF($A860="","",$R860&amp;"("&amp;$E860&amp;")")</f>
        <v/>
      </c>
      <c r="V860">
        <f>IF($A860="","",$F860&amp;"|"&amp;$U860&amp;"|"&amp;$D860)</f>
        <v/>
      </c>
      <c r="W860">
        <f>IF($T860="","",IF($X860&gt;N($X859),$X860,""))</f>
        <v/>
      </c>
      <c r="X860">
        <f>IF($T860="",N($X859),IF(MATCH($T860,$T$6:$T$6005,0)=ROW()-5,N($X859)+1,N($X859)))</f>
        <v/>
      </c>
      <c r="Z860">
        <f>IF($V860="","",IF($AA860&gt;N($AA859),$AA860,""))</f>
        <v/>
      </c>
      <c r="AA860">
        <f>IF($V860="",N($AA859),IF(MATCH($V860,$V$6:$V$6005,0)=ROW()-5,N($AA859)+1,N($AA859)))</f>
        <v/>
      </c>
    </row>
    <row r="861" ht="21" customHeight="1" s="66">
      <c r="A861" s="56" t="n"/>
      <c r="B861" s="57" t="n"/>
      <c r="C861" s="57" t="n"/>
      <c r="D861" s="57" t="n"/>
      <c r="E861" s="56" t="n"/>
      <c r="F861" s="57" t="n"/>
      <c r="G861" s="57" t="n"/>
      <c r="H861" s="56" t="n"/>
      <c r="I861" s="56" t="n"/>
      <c r="J861" s="58" t="n"/>
      <c r="K861" s="58" t="n"/>
      <c r="L861" s="13">
        <f>IF(OR($A861="",AND($J861="",$K861="")),"",ROUND(N($J861)-N($K861),2))</f>
        <v/>
      </c>
      <c r="M861" s="13">
        <f>IF(OR($A861="",AND($J861="",$K861="")),"",MIN($J861,$K861))</f>
        <v/>
      </c>
      <c r="Q861">
        <f>IF($A861="","",$D861&amp;"("&amp;SUBSTITUTE($E861," ","")&amp;")")</f>
        <v/>
      </c>
      <c r="R861">
        <f>IF($A861="","",$B861&amp;" - "&amp;$C861)</f>
        <v/>
      </c>
      <c r="S861">
        <f>IF($A861="","",$R861&amp;"|"&amp;$Q861)</f>
        <v/>
      </c>
      <c r="T861">
        <f>IF($A861="","",$S861&amp;"|"&amp;$F861)</f>
        <v/>
      </c>
      <c r="U861">
        <f>IF($A861="","",$R861&amp;"("&amp;$E861&amp;")")</f>
        <v/>
      </c>
      <c r="V861">
        <f>IF($A861="","",$F861&amp;"|"&amp;$U861&amp;"|"&amp;$D861)</f>
        <v/>
      </c>
      <c r="W861">
        <f>IF($T861="","",IF($X861&gt;N($X860),$X861,""))</f>
        <v/>
      </c>
      <c r="X861">
        <f>IF($T861="",N($X860),IF(MATCH($T861,$T$6:$T$6005,0)=ROW()-5,N($X860)+1,N($X860)))</f>
        <v/>
      </c>
      <c r="Z861">
        <f>IF($V861="","",IF($AA861&gt;N($AA860),$AA861,""))</f>
        <v/>
      </c>
      <c r="AA861">
        <f>IF($V861="",N($AA860),IF(MATCH($V861,$V$6:$V$6005,0)=ROW()-5,N($AA860)+1,N($AA860)))</f>
        <v/>
      </c>
    </row>
    <row r="862" ht="21" customHeight="1" s="66">
      <c r="A862" s="56" t="n"/>
      <c r="B862" s="57" t="n"/>
      <c r="C862" s="57" t="n"/>
      <c r="D862" s="57" t="n"/>
      <c r="E862" s="56" t="n"/>
      <c r="F862" s="57" t="n"/>
      <c r="G862" s="57" t="n"/>
      <c r="H862" s="56" t="n"/>
      <c r="I862" s="56" t="n"/>
      <c r="J862" s="58" t="n"/>
      <c r="K862" s="58" t="n"/>
      <c r="L862" s="13">
        <f>IF(OR($A862="",AND($J862="",$K862="")),"",ROUND(N($J862)-N($K862),2))</f>
        <v/>
      </c>
      <c r="M862" s="13">
        <f>IF(OR($A862="",AND($J862="",$K862="")),"",MIN($J862,$K862))</f>
        <v/>
      </c>
      <c r="Q862">
        <f>IF($A862="","",$D862&amp;"("&amp;SUBSTITUTE($E862," ","")&amp;")")</f>
        <v/>
      </c>
      <c r="R862">
        <f>IF($A862="","",$B862&amp;" - "&amp;$C862)</f>
        <v/>
      </c>
      <c r="S862">
        <f>IF($A862="","",$R862&amp;"|"&amp;$Q862)</f>
        <v/>
      </c>
      <c r="T862">
        <f>IF($A862="","",$S862&amp;"|"&amp;$F862)</f>
        <v/>
      </c>
      <c r="U862">
        <f>IF($A862="","",$R862&amp;"("&amp;$E862&amp;")")</f>
        <v/>
      </c>
      <c r="V862">
        <f>IF($A862="","",$F862&amp;"|"&amp;$U862&amp;"|"&amp;$D862)</f>
        <v/>
      </c>
      <c r="W862">
        <f>IF($T862="","",IF($X862&gt;N($X861),$X862,""))</f>
        <v/>
      </c>
      <c r="X862">
        <f>IF($T862="",N($X861),IF(MATCH($T862,$T$6:$T$6005,0)=ROW()-5,N($X861)+1,N($X861)))</f>
        <v/>
      </c>
      <c r="Z862">
        <f>IF($V862="","",IF($AA862&gt;N($AA861),$AA862,""))</f>
        <v/>
      </c>
      <c r="AA862">
        <f>IF($V862="",N($AA861),IF(MATCH($V862,$V$6:$V$6005,0)=ROW()-5,N($AA861)+1,N($AA861)))</f>
        <v/>
      </c>
    </row>
    <row r="863" ht="21" customHeight="1" s="66">
      <c r="A863" s="56" t="n"/>
      <c r="B863" s="57" t="n"/>
      <c r="C863" s="57" t="n"/>
      <c r="D863" s="57" t="n"/>
      <c r="E863" s="56" t="n"/>
      <c r="F863" s="57" t="n"/>
      <c r="G863" s="57" t="n"/>
      <c r="H863" s="56" t="n"/>
      <c r="I863" s="56" t="n"/>
      <c r="J863" s="58" t="n"/>
      <c r="K863" s="58" t="n"/>
      <c r="L863" s="13">
        <f>IF(OR($A863="",AND($J863="",$K863="")),"",ROUND(N($J863)-N($K863),2))</f>
        <v/>
      </c>
      <c r="M863" s="13">
        <f>IF(OR($A863="",AND($J863="",$K863="")),"",MIN($J863,$K863))</f>
        <v/>
      </c>
      <c r="Q863">
        <f>IF($A863="","",$D863&amp;"("&amp;SUBSTITUTE($E863," ","")&amp;")")</f>
        <v/>
      </c>
      <c r="R863">
        <f>IF($A863="","",$B863&amp;" - "&amp;$C863)</f>
        <v/>
      </c>
      <c r="S863">
        <f>IF($A863="","",$R863&amp;"|"&amp;$Q863)</f>
        <v/>
      </c>
      <c r="T863">
        <f>IF($A863="","",$S863&amp;"|"&amp;$F863)</f>
        <v/>
      </c>
      <c r="U863">
        <f>IF($A863="","",$R863&amp;"("&amp;$E863&amp;")")</f>
        <v/>
      </c>
      <c r="V863">
        <f>IF($A863="","",$F863&amp;"|"&amp;$U863&amp;"|"&amp;$D863)</f>
        <v/>
      </c>
      <c r="W863">
        <f>IF($T863="","",IF($X863&gt;N($X862),$X863,""))</f>
        <v/>
      </c>
      <c r="X863">
        <f>IF($T863="",N($X862),IF(MATCH($T863,$T$6:$T$6005,0)=ROW()-5,N($X862)+1,N($X862)))</f>
        <v/>
      </c>
      <c r="Z863">
        <f>IF($V863="","",IF($AA863&gt;N($AA862),$AA863,""))</f>
        <v/>
      </c>
      <c r="AA863">
        <f>IF($V863="",N($AA862),IF(MATCH($V863,$V$6:$V$6005,0)=ROW()-5,N($AA862)+1,N($AA862)))</f>
        <v/>
      </c>
    </row>
    <row r="864" ht="21" customHeight="1" s="66">
      <c r="A864" s="56" t="n"/>
      <c r="B864" s="57" t="n"/>
      <c r="C864" s="57" t="n"/>
      <c r="D864" s="57" t="n"/>
      <c r="E864" s="56" t="n"/>
      <c r="F864" s="57" t="n"/>
      <c r="G864" s="57" t="n"/>
      <c r="H864" s="56" t="n"/>
      <c r="I864" s="56" t="n"/>
      <c r="J864" s="58" t="n"/>
      <c r="K864" s="58" t="n"/>
      <c r="L864" s="13">
        <f>IF(OR($A864="",AND($J864="",$K864="")),"",ROUND(N($J864)-N($K864),2))</f>
        <v/>
      </c>
      <c r="M864" s="13">
        <f>IF(OR($A864="",AND($J864="",$K864="")),"",MIN($J864,$K864))</f>
        <v/>
      </c>
      <c r="Q864">
        <f>IF($A864="","",$D864&amp;"("&amp;SUBSTITUTE($E864," ","")&amp;")")</f>
        <v/>
      </c>
      <c r="R864">
        <f>IF($A864="","",$B864&amp;" - "&amp;$C864)</f>
        <v/>
      </c>
      <c r="S864">
        <f>IF($A864="","",$R864&amp;"|"&amp;$Q864)</f>
        <v/>
      </c>
      <c r="T864">
        <f>IF($A864="","",$S864&amp;"|"&amp;$F864)</f>
        <v/>
      </c>
      <c r="U864">
        <f>IF($A864="","",$R864&amp;"("&amp;$E864&amp;")")</f>
        <v/>
      </c>
      <c r="V864">
        <f>IF($A864="","",$F864&amp;"|"&amp;$U864&amp;"|"&amp;$D864)</f>
        <v/>
      </c>
      <c r="W864">
        <f>IF($T864="","",IF($X864&gt;N($X863),$X864,""))</f>
        <v/>
      </c>
      <c r="X864">
        <f>IF($T864="",N($X863),IF(MATCH($T864,$T$6:$T$6005,0)=ROW()-5,N($X863)+1,N($X863)))</f>
        <v/>
      </c>
      <c r="Z864">
        <f>IF($V864="","",IF($AA864&gt;N($AA863),$AA864,""))</f>
        <v/>
      </c>
      <c r="AA864">
        <f>IF($V864="",N($AA863),IF(MATCH($V864,$V$6:$V$6005,0)=ROW()-5,N($AA863)+1,N($AA863)))</f>
        <v/>
      </c>
    </row>
    <row r="865" ht="21" customHeight="1" s="66">
      <c r="A865" s="56" t="n"/>
      <c r="B865" s="57" t="n"/>
      <c r="C865" s="57" t="n"/>
      <c r="D865" s="57" t="n"/>
      <c r="E865" s="56" t="n"/>
      <c r="F865" s="57" t="n"/>
      <c r="G865" s="57" t="n"/>
      <c r="H865" s="56" t="n"/>
      <c r="I865" s="56" t="n"/>
      <c r="J865" s="58" t="n"/>
      <c r="K865" s="58" t="n"/>
      <c r="L865" s="13">
        <f>IF(OR($A865="",AND($J865="",$K865="")),"",ROUND(N($J865)-N($K865),2))</f>
        <v/>
      </c>
      <c r="M865" s="13">
        <f>IF(OR($A865="",AND($J865="",$K865="")),"",MIN($J865,$K865))</f>
        <v/>
      </c>
      <c r="Q865">
        <f>IF($A865="","",$D865&amp;"("&amp;SUBSTITUTE($E865," ","")&amp;")")</f>
        <v/>
      </c>
      <c r="R865">
        <f>IF($A865="","",$B865&amp;" - "&amp;$C865)</f>
        <v/>
      </c>
      <c r="S865">
        <f>IF($A865="","",$R865&amp;"|"&amp;$Q865)</f>
        <v/>
      </c>
      <c r="T865">
        <f>IF($A865="","",$S865&amp;"|"&amp;$F865)</f>
        <v/>
      </c>
      <c r="U865">
        <f>IF($A865="","",$R865&amp;"("&amp;$E865&amp;")")</f>
        <v/>
      </c>
      <c r="V865">
        <f>IF($A865="","",$F865&amp;"|"&amp;$U865&amp;"|"&amp;$D865)</f>
        <v/>
      </c>
      <c r="W865">
        <f>IF($T865="","",IF($X865&gt;N($X864),$X865,""))</f>
        <v/>
      </c>
      <c r="X865">
        <f>IF($T865="",N($X864),IF(MATCH($T865,$T$6:$T$6005,0)=ROW()-5,N($X864)+1,N($X864)))</f>
        <v/>
      </c>
      <c r="Z865">
        <f>IF($V865="","",IF($AA865&gt;N($AA864),$AA865,""))</f>
        <v/>
      </c>
      <c r="AA865">
        <f>IF($V865="",N($AA864),IF(MATCH($V865,$V$6:$V$6005,0)=ROW()-5,N($AA864)+1,N($AA864)))</f>
        <v/>
      </c>
    </row>
    <row r="866" ht="21" customHeight="1" s="66">
      <c r="A866" s="56" t="n"/>
      <c r="B866" s="57" t="n"/>
      <c r="C866" s="57" t="n"/>
      <c r="D866" s="57" t="n"/>
      <c r="E866" s="56" t="n"/>
      <c r="F866" s="57" t="n"/>
      <c r="G866" s="57" t="n"/>
      <c r="H866" s="56" t="n"/>
      <c r="I866" s="56" t="n"/>
      <c r="J866" s="58" t="n"/>
      <c r="K866" s="58" t="n"/>
      <c r="L866" s="13">
        <f>IF(OR($A866="",AND($J866="",$K866="")),"",ROUND(N($J866)-N($K866),2))</f>
        <v/>
      </c>
      <c r="M866" s="13">
        <f>IF(OR($A866="",AND($J866="",$K866="")),"",MIN($J866,$K866))</f>
        <v/>
      </c>
      <c r="Q866">
        <f>IF($A866="","",$D866&amp;"("&amp;SUBSTITUTE($E866," ","")&amp;")")</f>
        <v/>
      </c>
      <c r="R866">
        <f>IF($A866="","",$B866&amp;" - "&amp;$C866)</f>
        <v/>
      </c>
      <c r="S866">
        <f>IF($A866="","",$R866&amp;"|"&amp;$Q866)</f>
        <v/>
      </c>
      <c r="T866">
        <f>IF($A866="","",$S866&amp;"|"&amp;$F866)</f>
        <v/>
      </c>
      <c r="U866">
        <f>IF($A866="","",$R866&amp;"("&amp;$E866&amp;")")</f>
        <v/>
      </c>
      <c r="V866">
        <f>IF($A866="","",$F866&amp;"|"&amp;$U866&amp;"|"&amp;$D866)</f>
        <v/>
      </c>
      <c r="W866">
        <f>IF($T866="","",IF($X866&gt;N($X865),$X866,""))</f>
        <v/>
      </c>
      <c r="X866">
        <f>IF($T866="",N($X865),IF(MATCH($T866,$T$6:$T$6005,0)=ROW()-5,N($X865)+1,N($X865)))</f>
        <v/>
      </c>
      <c r="Z866">
        <f>IF($V866="","",IF($AA866&gt;N($AA865),$AA866,""))</f>
        <v/>
      </c>
      <c r="AA866">
        <f>IF($V866="",N($AA865),IF(MATCH($V866,$V$6:$V$6005,0)=ROW()-5,N($AA865)+1,N($AA865)))</f>
        <v/>
      </c>
    </row>
    <row r="867" ht="21" customHeight="1" s="66">
      <c r="A867" s="56" t="n"/>
      <c r="B867" s="57" t="n"/>
      <c r="C867" s="57" t="n"/>
      <c r="D867" s="57" t="n"/>
      <c r="E867" s="56" t="n"/>
      <c r="F867" s="57" t="n"/>
      <c r="G867" s="57" t="n"/>
      <c r="H867" s="56" t="n"/>
      <c r="I867" s="56" t="n"/>
      <c r="J867" s="58" t="n"/>
      <c r="K867" s="58" t="n"/>
      <c r="L867" s="13">
        <f>IF(OR($A867="",AND($J867="",$K867="")),"",ROUND(N($J867)-N($K867),2))</f>
        <v/>
      </c>
      <c r="M867" s="13">
        <f>IF(OR($A867="",AND($J867="",$K867="")),"",MIN($J867,$K867))</f>
        <v/>
      </c>
      <c r="Q867">
        <f>IF($A867="","",$D867&amp;"("&amp;SUBSTITUTE($E867," ","")&amp;")")</f>
        <v/>
      </c>
      <c r="R867">
        <f>IF($A867="","",$B867&amp;" - "&amp;$C867)</f>
        <v/>
      </c>
      <c r="S867">
        <f>IF($A867="","",$R867&amp;"|"&amp;$Q867)</f>
        <v/>
      </c>
      <c r="T867">
        <f>IF($A867="","",$S867&amp;"|"&amp;$F867)</f>
        <v/>
      </c>
      <c r="U867">
        <f>IF($A867="","",$R867&amp;"("&amp;$E867&amp;")")</f>
        <v/>
      </c>
      <c r="V867">
        <f>IF($A867="","",$F867&amp;"|"&amp;$U867&amp;"|"&amp;$D867)</f>
        <v/>
      </c>
      <c r="W867">
        <f>IF($T867="","",IF($X867&gt;N($X866),$X867,""))</f>
        <v/>
      </c>
      <c r="X867">
        <f>IF($T867="",N($X866),IF(MATCH($T867,$T$6:$T$6005,0)=ROW()-5,N($X866)+1,N($X866)))</f>
        <v/>
      </c>
      <c r="Z867">
        <f>IF($V867="","",IF($AA867&gt;N($AA866),$AA867,""))</f>
        <v/>
      </c>
      <c r="AA867">
        <f>IF($V867="",N($AA866),IF(MATCH($V867,$V$6:$V$6005,0)=ROW()-5,N($AA866)+1,N($AA866)))</f>
        <v/>
      </c>
    </row>
    <row r="868" ht="21" customHeight="1" s="66">
      <c r="A868" s="56" t="n"/>
      <c r="B868" s="57" t="n"/>
      <c r="C868" s="57" t="n"/>
      <c r="D868" s="57" t="n"/>
      <c r="E868" s="56" t="n"/>
      <c r="F868" s="57" t="n"/>
      <c r="G868" s="57" t="n"/>
      <c r="H868" s="56" t="n"/>
      <c r="I868" s="56" t="n"/>
      <c r="J868" s="58" t="n"/>
      <c r="K868" s="58" t="n"/>
      <c r="L868" s="13">
        <f>IF(OR($A868="",AND($J868="",$K868="")),"",ROUND(N($J868)-N($K868),2))</f>
        <v/>
      </c>
      <c r="M868" s="13">
        <f>IF(OR($A868="",AND($J868="",$K868="")),"",MIN($J868,$K868))</f>
        <v/>
      </c>
      <c r="Q868">
        <f>IF($A868="","",$D868&amp;"("&amp;SUBSTITUTE($E868," ","")&amp;")")</f>
        <v/>
      </c>
      <c r="R868">
        <f>IF($A868="","",$B868&amp;" - "&amp;$C868)</f>
        <v/>
      </c>
      <c r="S868">
        <f>IF($A868="","",$R868&amp;"|"&amp;$Q868)</f>
        <v/>
      </c>
      <c r="T868">
        <f>IF($A868="","",$S868&amp;"|"&amp;$F868)</f>
        <v/>
      </c>
      <c r="U868">
        <f>IF($A868="","",$R868&amp;"("&amp;$E868&amp;")")</f>
        <v/>
      </c>
      <c r="V868">
        <f>IF($A868="","",$F868&amp;"|"&amp;$U868&amp;"|"&amp;$D868)</f>
        <v/>
      </c>
      <c r="W868">
        <f>IF($T868="","",IF($X868&gt;N($X867),$X868,""))</f>
        <v/>
      </c>
      <c r="X868">
        <f>IF($T868="",N($X867),IF(MATCH($T868,$T$6:$T$6005,0)=ROW()-5,N($X867)+1,N($X867)))</f>
        <v/>
      </c>
      <c r="Z868">
        <f>IF($V868="","",IF($AA868&gt;N($AA867),$AA868,""))</f>
        <v/>
      </c>
      <c r="AA868">
        <f>IF($V868="",N($AA867),IF(MATCH($V868,$V$6:$V$6005,0)=ROW()-5,N($AA867)+1,N($AA867)))</f>
        <v/>
      </c>
    </row>
    <row r="869" ht="21" customHeight="1" s="66">
      <c r="A869" s="56" t="n"/>
      <c r="B869" s="57" t="n"/>
      <c r="C869" s="57" t="n"/>
      <c r="D869" s="57" t="n"/>
      <c r="E869" s="56" t="n"/>
      <c r="F869" s="57" t="n"/>
      <c r="G869" s="57" t="n"/>
      <c r="H869" s="56" t="n"/>
      <c r="I869" s="56" t="n"/>
      <c r="J869" s="58" t="n"/>
      <c r="K869" s="58" t="n"/>
      <c r="L869" s="13">
        <f>IF(OR($A869="",AND($J869="",$K869="")),"",ROUND(N($J869)-N($K869),2))</f>
        <v/>
      </c>
      <c r="M869" s="13">
        <f>IF(OR($A869="",AND($J869="",$K869="")),"",MIN($J869,$K869))</f>
        <v/>
      </c>
      <c r="Q869">
        <f>IF($A869="","",$D869&amp;"("&amp;SUBSTITUTE($E869," ","")&amp;")")</f>
        <v/>
      </c>
      <c r="R869">
        <f>IF($A869="","",$B869&amp;" - "&amp;$C869)</f>
        <v/>
      </c>
      <c r="S869">
        <f>IF($A869="","",$R869&amp;"|"&amp;$Q869)</f>
        <v/>
      </c>
      <c r="T869">
        <f>IF($A869="","",$S869&amp;"|"&amp;$F869)</f>
        <v/>
      </c>
      <c r="U869">
        <f>IF($A869="","",$R869&amp;"("&amp;$E869&amp;")")</f>
        <v/>
      </c>
      <c r="V869">
        <f>IF($A869="","",$F869&amp;"|"&amp;$U869&amp;"|"&amp;$D869)</f>
        <v/>
      </c>
      <c r="W869">
        <f>IF($T869="","",IF($X869&gt;N($X868),$X869,""))</f>
        <v/>
      </c>
      <c r="X869">
        <f>IF($T869="",N($X868),IF(MATCH($T869,$T$6:$T$6005,0)=ROW()-5,N($X868)+1,N($X868)))</f>
        <v/>
      </c>
      <c r="Z869">
        <f>IF($V869="","",IF($AA869&gt;N($AA868),$AA869,""))</f>
        <v/>
      </c>
      <c r="AA869">
        <f>IF($V869="",N($AA868),IF(MATCH($V869,$V$6:$V$6005,0)=ROW()-5,N($AA868)+1,N($AA868)))</f>
        <v/>
      </c>
    </row>
    <row r="870" ht="21" customHeight="1" s="66">
      <c r="A870" s="56" t="n"/>
      <c r="B870" s="57" t="n"/>
      <c r="C870" s="57" t="n"/>
      <c r="D870" s="57" t="n"/>
      <c r="E870" s="56" t="n"/>
      <c r="F870" s="57" t="n"/>
      <c r="G870" s="57" t="n"/>
      <c r="H870" s="56" t="n"/>
      <c r="I870" s="56" t="n"/>
      <c r="J870" s="58" t="n"/>
      <c r="K870" s="58" t="n"/>
      <c r="L870" s="13">
        <f>IF(OR($A870="",AND($J870="",$K870="")),"",ROUND(N($J870)-N($K870),2))</f>
        <v/>
      </c>
      <c r="M870" s="13">
        <f>IF(OR($A870="",AND($J870="",$K870="")),"",MIN($J870,$K870))</f>
        <v/>
      </c>
      <c r="Q870">
        <f>IF($A870="","",$D870&amp;"("&amp;SUBSTITUTE($E870," ","")&amp;")")</f>
        <v/>
      </c>
      <c r="R870">
        <f>IF($A870="","",$B870&amp;" - "&amp;$C870)</f>
        <v/>
      </c>
      <c r="S870">
        <f>IF($A870="","",$R870&amp;"|"&amp;$Q870)</f>
        <v/>
      </c>
      <c r="T870">
        <f>IF($A870="","",$S870&amp;"|"&amp;$F870)</f>
        <v/>
      </c>
      <c r="U870">
        <f>IF($A870="","",$R870&amp;"("&amp;$E870&amp;")")</f>
        <v/>
      </c>
      <c r="V870">
        <f>IF($A870="","",$F870&amp;"|"&amp;$U870&amp;"|"&amp;$D870)</f>
        <v/>
      </c>
      <c r="W870">
        <f>IF($T870="","",IF($X870&gt;N($X869),$X870,""))</f>
        <v/>
      </c>
      <c r="X870">
        <f>IF($T870="",N($X869),IF(MATCH($T870,$T$6:$T$6005,0)=ROW()-5,N($X869)+1,N($X869)))</f>
        <v/>
      </c>
      <c r="Z870">
        <f>IF($V870="","",IF($AA870&gt;N($AA869),$AA870,""))</f>
        <v/>
      </c>
      <c r="AA870">
        <f>IF($V870="",N($AA869),IF(MATCH($V870,$V$6:$V$6005,0)=ROW()-5,N($AA869)+1,N($AA869)))</f>
        <v/>
      </c>
    </row>
    <row r="871" ht="21" customHeight="1" s="66">
      <c r="A871" s="56" t="n"/>
      <c r="B871" s="57" t="n"/>
      <c r="C871" s="57" t="n"/>
      <c r="D871" s="57" t="n"/>
      <c r="E871" s="56" t="n"/>
      <c r="F871" s="57" t="n"/>
      <c r="G871" s="57" t="n"/>
      <c r="H871" s="56" t="n"/>
      <c r="I871" s="56" t="n"/>
      <c r="J871" s="58" t="n"/>
      <c r="K871" s="58" t="n"/>
      <c r="L871" s="13">
        <f>IF(OR($A871="",AND($J871="",$K871="")),"",ROUND(N($J871)-N($K871),2))</f>
        <v/>
      </c>
      <c r="M871" s="13">
        <f>IF(OR($A871="",AND($J871="",$K871="")),"",MIN($J871,$K871))</f>
        <v/>
      </c>
      <c r="Q871">
        <f>IF($A871="","",$D871&amp;"("&amp;SUBSTITUTE($E871," ","")&amp;")")</f>
        <v/>
      </c>
      <c r="R871">
        <f>IF($A871="","",$B871&amp;" - "&amp;$C871)</f>
        <v/>
      </c>
      <c r="S871">
        <f>IF($A871="","",$R871&amp;"|"&amp;$Q871)</f>
        <v/>
      </c>
      <c r="T871">
        <f>IF($A871="","",$S871&amp;"|"&amp;$F871)</f>
        <v/>
      </c>
      <c r="U871">
        <f>IF($A871="","",$R871&amp;"("&amp;$E871&amp;")")</f>
        <v/>
      </c>
      <c r="V871">
        <f>IF($A871="","",$F871&amp;"|"&amp;$U871&amp;"|"&amp;$D871)</f>
        <v/>
      </c>
      <c r="W871">
        <f>IF($T871="","",IF($X871&gt;N($X870),$X871,""))</f>
        <v/>
      </c>
      <c r="X871">
        <f>IF($T871="",N($X870),IF(MATCH($T871,$T$6:$T$6005,0)=ROW()-5,N($X870)+1,N($X870)))</f>
        <v/>
      </c>
      <c r="Z871">
        <f>IF($V871="","",IF($AA871&gt;N($AA870),$AA871,""))</f>
        <v/>
      </c>
      <c r="AA871">
        <f>IF($V871="",N($AA870),IF(MATCH($V871,$V$6:$V$6005,0)=ROW()-5,N($AA870)+1,N($AA870)))</f>
        <v/>
      </c>
    </row>
    <row r="872" ht="21" customHeight="1" s="66">
      <c r="A872" s="56" t="n"/>
      <c r="B872" s="57" t="n"/>
      <c r="C872" s="57" t="n"/>
      <c r="D872" s="57" t="n"/>
      <c r="E872" s="56" t="n"/>
      <c r="F872" s="57" t="n"/>
      <c r="G872" s="57" t="n"/>
      <c r="H872" s="56" t="n"/>
      <c r="I872" s="56" t="n"/>
      <c r="J872" s="58" t="n"/>
      <c r="K872" s="58" t="n"/>
      <c r="L872" s="13">
        <f>IF(OR($A872="",AND($J872="",$K872="")),"",ROUND(N($J872)-N($K872),2))</f>
        <v/>
      </c>
      <c r="M872" s="13">
        <f>IF(OR($A872="",AND($J872="",$K872="")),"",MIN($J872,$K872))</f>
        <v/>
      </c>
      <c r="Q872">
        <f>IF($A872="","",$D872&amp;"("&amp;SUBSTITUTE($E872," ","")&amp;")")</f>
        <v/>
      </c>
      <c r="R872">
        <f>IF($A872="","",$B872&amp;" - "&amp;$C872)</f>
        <v/>
      </c>
      <c r="S872">
        <f>IF($A872="","",$R872&amp;"|"&amp;$Q872)</f>
        <v/>
      </c>
      <c r="T872">
        <f>IF($A872="","",$S872&amp;"|"&amp;$F872)</f>
        <v/>
      </c>
      <c r="U872">
        <f>IF($A872="","",$R872&amp;"("&amp;$E872&amp;")")</f>
        <v/>
      </c>
      <c r="V872">
        <f>IF($A872="","",$F872&amp;"|"&amp;$U872&amp;"|"&amp;$D872)</f>
        <v/>
      </c>
      <c r="W872">
        <f>IF($T872="","",IF($X872&gt;N($X871),$X872,""))</f>
        <v/>
      </c>
      <c r="X872">
        <f>IF($T872="",N($X871),IF(MATCH($T872,$T$6:$T$6005,0)=ROW()-5,N($X871)+1,N($X871)))</f>
        <v/>
      </c>
      <c r="Z872">
        <f>IF($V872="","",IF($AA872&gt;N($AA871),$AA872,""))</f>
        <v/>
      </c>
      <c r="AA872">
        <f>IF($V872="",N($AA871),IF(MATCH($V872,$V$6:$V$6005,0)=ROW()-5,N($AA871)+1,N($AA871)))</f>
        <v/>
      </c>
    </row>
    <row r="873" ht="21" customHeight="1" s="66">
      <c r="A873" s="56" t="n"/>
      <c r="B873" s="57" t="n"/>
      <c r="C873" s="57" t="n"/>
      <c r="D873" s="57" t="n"/>
      <c r="E873" s="56" t="n"/>
      <c r="F873" s="57" t="n"/>
      <c r="G873" s="57" t="n"/>
      <c r="H873" s="56" t="n"/>
      <c r="I873" s="56" t="n"/>
      <c r="J873" s="58" t="n"/>
      <c r="K873" s="58" t="n"/>
      <c r="L873" s="13">
        <f>IF(OR($A873="",AND($J873="",$K873="")),"",ROUND(N($J873)-N($K873),2))</f>
        <v/>
      </c>
      <c r="M873" s="13">
        <f>IF(OR($A873="",AND($J873="",$K873="")),"",MIN($J873,$K873))</f>
        <v/>
      </c>
      <c r="Q873">
        <f>IF($A873="","",$D873&amp;"("&amp;SUBSTITUTE($E873," ","")&amp;")")</f>
        <v/>
      </c>
      <c r="R873">
        <f>IF($A873="","",$B873&amp;" - "&amp;$C873)</f>
        <v/>
      </c>
      <c r="S873">
        <f>IF($A873="","",$R873&amp;"|"&amp;$Q873)</f>
        <v/>
      </c>
      <c r="T873">
        <f>IF($A873="","",$S873&amp;"|"&amp;$F873)</f>
        <v/>
      </c>
      <c r="U873">
        <f>IF($A873="","",$R873&amp;"("&amp;$E873&amp;")")</f>
        <v/>
      </c>
      <c r="V873">
        <f>IF($A873="","",$F873&amp;"|"&amp;$U873&amp;"|"&amp;$D873)</f>
        <v/>
      </c>
      <c r="W873">
        <f>IF($T873="","",IF($X873&gt;N($X872),$X873,""))</f>
        <v/>
      </c>
      <c r="X873">
        <f>IF($T873="",N($X872),IF(MATCH($T873,$T$6:$T$6005,0)=ROW()-5,N($X872)+1,N($X872)))</f>
        <v/>
      </c>
      <c r="Z873">
        <f>IF($V873="","",IF($AA873&gt;N($AA872),$AA873,""))</f>
        <v/>
      </c>
      <c r="AA873">
        <f>IF($V873="",N($AA872),IF(MATCH($V873,$V$6:$V$6005,0)=ROW()-5,N($AA872)+1,N($AA872)))</f>
        <v/>
      </c>
    </row>
    <row r="874" ht="21" customHeight="1" s="66">
      <c r="A874" s="56" t="n"/>
      <c r="B874" s="57" t="n"/>
      <c r="C874" s="57" t="n"/>
      <c r="D874" s="57" t="n"/>
      <c r="E874" s="56" t="n"/>
      <c r="F874" s="57" t="n"/>
      <c r="G874" s="57" t="n"/>
      <c r="H874" s="56" t="n"/>
      <c r="I874" s="56" t="n"/>
      <c r="J874" s="58" t="n"/>
      <c r="K874" s="58" t="n"/>
      <c r="L874" s="13">
        <f>IF(OR($A874="",AND($J874="",$K874="")),"",ROUND(N($J874)-N($K874),2))</f>
        <v/>
      </c>
      <c r="M874" s="13">
        <f>IF(OR($A874="",AND($J874="",$K874="")),"",MIN($J874,$K874))</f>
        <v/>
      </c>
      <c r="Q874">
        <f>IF($A874="","",$D874&amp;"("&amp;SUBSTITUTE($E874," ","")&amp;")")</f>
        <v/>
      </c>
      <c r="R874">
        <f>IF($A874="","",$B874&amp;" - "&amp;$C874)</f>
        <v/>
      </c>
      <c r="S874">
        <f>IF($A874="","",$R874&amp;"|"&amp;$Q874)</f>
        <v/>
      </c>
      <c r="T874">
        <f>IF($A874="","",$S874&amp;"|"&amp;$F874)</f>
        <v/>
      </c>
      <c r="U874">
        <f>IF($A874="","",$R874&amp;"("&amp;$E874&amp;")")</f>
        <v/>
      </c>
      <c r="V874">
        <f>IF($A874="","",$F874&amp;"|"&amp;$U874&amp;"|"&amp;$D874)</f>
        <v/>
      </c>
      <c r="W874">
        <f>IF($T874="","",IF($X874&gt;N($X873),$X874,""))</f>
        <v/>
      </c>
      <c r="X874">
        <f>IF($T874="",N($X873),IF(MATCH($T874,$T$6:$T$6005,0)=ROW()-5,N($X873)+1,N($X873)))</f>
        <v/>
      </c>
      <c r="Z874">
        <f>IF($V874="","",IF($AA874&gt;N($AA873),$AA874,""))</f>
        <v/>
      </c>
      <c r="AA874">
        <f>IF($V874="",N($AA873),IF(MATCH($V874,$V$6:$V$6005,0)=ROW()-5,N($AA873)+1,N($AA873)))</f>
        <v/>
      </c>
    </row>
    <row r="875" ht="21" customHeight="1" s="66">
      <c r="A875" s="56" t="n"/>
      <c r="B875" s="57" t="n"/>
      <c r="C875" s="57" t="n"/>
      <c r="D875" s="57" t="n"/>
      <c r="E875" s="56" t="n"/>
      <c r="F875" s="57" t="n"/>
      <c r="G875" s="57" t="n"/>
      <c r="H875" s="56" t="n"/>
      <c r="I875" s="56" t="n"/>
      <c r="J875" s="58" t="n"/>
      <c r="K875" s="58" t="n"/>
      <c r="L875" s="13">
        <f>IF(OR($A875="",AND($J875="",$K875="")),"",ROUND(N($J875)-N($K875),2))</f>
        <v/>
      </c>
      <c r="M875" s="13">
        <f>IF(OR($A875="",AND($J875="",$K875="")),"",MIN($J875,$K875))</f>
        <v/>
      </c>
      <c r="Q875">
        <f>IF($A875="","",$D875&amp;"("&amp;SUBSTITUTE($E875," ","")&amp;")")</f>
        <v/>
      </c>
      <c r="R875">
        <f>IF($A875="","",$B875&amp;" - "&amp;$C875)</f>
        <v/>
      </c>
      <c r="S875">
        <f>IF($A875="","",$R875&amp;"|"&amp;$Q875)</f>
        <v/>
      </c>
      <c r="T875">
        <f>IF($A875="","",$S875&amp;"|"&amp;$F875)</f>
        <v/>
      </c>
      <c r="U875">
        <f>IF($A875="","",$R875&amp;"("&amp;$E875&amp;")")</f>
        <v/>
      </c>
      <c r="V875">
        <f>IF($A875="","",$F875&amp;"|"&amp;$U875&amp;"|"&amp;$D875)</f>
        <v/>
      </c>
      <c r="W875">
        <f>IF($T875="","",IF($X875&gt;N($X874),$X875,""))</f>
        <v/>
      </c>
      <c r="X875">
        <f>IF($T875="",N($X874),IF(MATCH($T875,$T$6:$T$6005,0)=ROW()-5,N($X874)+1,N($X874)))</f>
        <v/>
      </c>
      <c r="Z875">
        <f>IF($V875="","",IF($AA875&gt;N($AA874),$AA875,""))</f>
        <v/>
      </c>
      <c r="AA875">
        <f>IF($V875="",N($AA874),IF(MATCH($V875,$V$6:$V$6005,0)=ROW()-5,N($AA874)+1,N($AA874)))</f>
        <v/>
      </c>
    </row>
    <row r="876" ht="21" customHeight="1" s="66">
      <c r="A876" s="56" t="n"/>
      <c r="B876" s="57" t="n"/>
      <c r="C876" s="57" t="n"/>
      <c r="D876" s="57" t="n"/>
      <c r="E876" s="56" t="n"/>
      <c r="F876" s="57" t="n"/>
      <c r="G876" s="57" t="n"/>
      <c r="H876" s="56" t="n"/>
      <c r="I876" s="56" t="n"/>
      <c r="J876" s="58" t="n"/>
      <c r="K876" s="58" t="n"/>
      <c r="L876" s="13">
        <f>IF(OR($A876="",AND($J876="",$K876="")),"",ROUND(N($J876)-N($K876),2))</f>
        <v/>
      </c>
      <c r="M876" s="13">
        <f>IF(OR($A876="",AND($J876="",$K876="")),"",MIN($J876,$K876))</f>
        <v/>
      </c>
      <c r="Q876">
        <f>IF($A876="","",$D876&amp;"("&amp;SUBSTITUTE($E876," ","")&amp;")")</f>
        <v/>
      </c>
      <c r="R876">
        <f>IF($A876="","",$B876&amp;" - "&amp;$C876)</f>
        <v/>
      </c>
      <c r="S876">
        <f>IF($A876="","",$R876&amp;"|"&amp;$Q876)</f>
        <v/>
      </c>
      <c r="T876">
        <f>IF($A876="","",$S876&amp;"|"&amp;$F876)</f>
        <v/>
      </c>
      <c r="U876">
        <f>IF($A876="","",$R876&amp;"("&amp;$E876&amp;")")</f>
        <v/>
      </c>
      <c r="V876">
        <f>IF($A876="","",$F876&amp;"|"&amp;$U876&amp;"|"&amp;$D876)</f>
        <v/>
      </c>
      <c r="W876">
        <f>IF($T876="","",IF($X876&gt;N($X875),$X876,""))</f>
        <v/>
      </c>
      <c r="X876">
        <f>IF($T876="",N($X875),IF(MATCH($T876,$T$6:$T$6005,0)=ROW()-5,N($X875)+1,N($X875)))</f>
        <v/>
      </c>
      <c r="Z876">
        <f>IF($V876="","",IF($AA876&gt;N($AA875),$AA876,""))</f>
        <v/>
      </c>
      <c r="AA876">
        <f>IF($V876="",N($AA875),IF(MATCH($V876,$V$6:$V$6005,0)=ROW()-5,N($AA875)+1,N($AA875)))</f>
        <v/>
      </c>
    </row>
    <row r="877" ht="21" customHeight="1" s="66">
      <c r="A877" s="56" t="n"/>
      <c r="B877" s="57" t="n"/>
      <c r="C877" s="57" t="n"/>
      <c r="D877" s="57" t="n"/>
      <c r="E877" s="56" t="n"/>
      <c r="F877" s="57" t="n"/>
      <c r="G877" s="57" t="n"/>
      <c r="H877" s="56" t="n"/>
      <c r="I877" s="56" t="n"/>
      <c r="J877" s="58" t="n"/>
      <c r="K877" s="58" t="n"/>
      <c r="L877" s="13">
        <f>IF(OR($A877="",AND($J877="",$K877="")),"",ROUND(N($J877)-N($K877),2))</f>
        <v/>
      </c>
      <c r="M877" s="13">
        <f>IF(OR($A877="",AND($J877="",$K877="")),"",MIN($J877,$K877))</f>
        <v/>
      </c>
      <c r="Q877">
        <f>IF($A877="","",$D877&amp;"("&amp;SUBSTITUTE($E877," ","")&amp;")")</f>
        <v/>
      </c>
      <c r="R877">
        <f>IF($A877="","",$B877&amp;" - "&amp;$C877)</f>
        <v/>
      </c>
      <c r="S877">
        <f>IF($A877="","",$R877&amp;"|"&amp;$Q877)</f>
        <v/>
      </c>
      <c r="T877">
        <f>IF($A877="","",$S877&amp;"|"&amp;$F877)</f>
        <v/>
      </c>
      <c r="U877">
        <f>IF($A877="","",$R877&amp;"("&amp;$E877&amp;")")</f>
        <v/>
      </c>
      <c r="V877">
        <f>IF($A877="","",$F877&amp;"|"&amp;$U877&amp;"|"&amp;$D877)</f>
        <v/>
      </c>
      <c r="W877">
        <f>IF($T877="","",IF($X877&gt;N($X876),$X877,""))</f>
        <v/>
      </c>
      <c r="X877">
        <f>IF($T877="",N($X876),IF(MATCH($T877,$T$6:$T$6005,0)=ROW()-5,N($X876)+1,N($X876)))</f>
        <v/>
      </c>
      <c r="Z877">
        <f>IF($V877="","",IF($AA877&gt;N($AA876),$AA877,""))</f>
        <v/>
      </c>
      <c r="AA877">
        <f>IF($V877="",N($AA876),IF(MATCH($V877,$V$6:$V$6005,0)=ROW()-5,N($AA876)+1,N($AA876)))</f>
        <v/>
      </c>
    </row>
    <row r="878" ht="21" customHeight="1" s="66">
      <c r="A878" s="56" t="n"/>
      <c r="B878" s="57" t="n"/>
      <c r="C878" s="57" t="n"/>
      <c r="D878" s="57" t="n"/>
      <c r="E878" s="56" t="n"/>
      <c r="F878" s="57" t="n"/>
      <c r="G878" s="57" t="n"/>
      <c r="H878" s="56" t="n"/>
      <c r="I878" s="56" t="n"/>
      <c r="J878" s="58" t="n"/>
      <c r="K878" s="58" t="n"/>
      <c r="L878" s="13">
        <f>IF(OR($A878="",AND($J878="",$K878="")),"",ROUND(N($J878)-N($K878),2))</f>
        <v/>
      </c>
      <c r="M878" s="13">
        <f>IF(OR($A878="",AND($J878="",$K878="")),"",MIN($J878,$K878))</f>
        <v/>
      </c>
      <c r="Q878">
        <f>IF($A878="","",$D878&amp;"("&amp;SUBSTITUTE($E878," ","")&amp;")")</f>
        <v/>
      </c>
      <c r="R878">
        <f>IF($A878="","",$B878&amp;" - "&amp;$C878)</f>
        <v/>
      </c>
      <c r="S878">
        <f>IF($A878="","",$R878&amp;"|"&amp;$Q878)</f>
        <v/>
      </c>
      <c r="T878">
        <f>IF($A878="","",$S878&amp;"|"&amp;$F878)</f>
        <v/>
      </c>
      <c r="U878">
        <f>IF($A878="","",$R878&amp;"("&amp;$E878&amp;")")</f>
        <v/>
      </c>
      <c r="V878">
        <f>IF($A878="","",$F878&amp;"|"&amp;$U878&amp;"|"&amp;$D878)</f>
        <v/>
      </c>
      <c r="W878">
        <f>IF($T878="","",IF($X878&gt;N($X877),$X878,""))</f>
        <v/>
      </c>
      <c r="X878">
        <f>IF($T878="",N($X877),IF(MATCH($T878,$T$6:$T$6005,0)=ROW()-5,N($X877)+1,N($X877)))</f>
        <v/>
      </c>
      <c r="Z878">
        <f>IF($V878="","",IF($AA878&gt;N($AA877),$AA878,""))</f>
        <v/>
      </c>
      <c r="AA878">
        <f>IF($V878="",N($AA877),IF(MATCH($V878,$V$6:$V$6005,0)=ROW()-5,N($AA877)+1,N($AA877)))</f>
        <v/>
      </c>
    </row>
    <row r="879" ht="21" customHeight="1" s="66">
      <c r="A879" s="56" t="n"/>
      <c r="B879" s="57" t="n"/>
      <c r="C879" s="57" t="n"/>
      <c r="D879" s="57" t="n"/>
      <c r="E879" s="56" t="n"/>
      <c r="F879" s="57" t="n"/>
      <c r="G879" s="57" t="n"/>
      <c r="H879" s="56" t="n"/>
      <c r="I879" s="56" t="n"/>
      <c r="J879" s="58" t="n"/>
      <c r="K879" s="58" t="n"/>
      <c r="L879" s="13">
        <f>IF(OR($A879="",AND($J879="",$K879="")),"",ROUND(N($J879)-N($K879),2))</f>
        <v/>
      </c>
      <c r="M879" s="13">
        <f>IF(OR($A879="",AND($J879="",$K879="")),"",MIN($J879,$K879))</f>
        <v/>
      </c>
      <c r="Q879">
        <f>IF($A879="","",$D879&amp;"("&amp;SUBSTITUTE($E879," ","")&amp;")")</f>
        <v/>
      </c>
      <c r="R879">
        <f>IF($A879="","",$B879&amp;" - "&amp;$C879)</f>
        <v/>
      </c>
      <c r="S879">
        <f>IF($A879="","",$R879&amp;"|"&amp;$Q879)</f>
        <v/>
      </c>
      <c r="T879">
        <f>IF($A879="","",$S879&amp;"|"&amp;$F879)</f>
        <v/>
      </c>
      <c r="U879">
        <f>IF($A879="","",$R879&amp;"("&amp;$E879&amp;")")</f>
        <v/>
      </c>
      <c r="V879">
        <f>IF($A879="","",$F879&amp;"|"&amp;$U879&amp;"|"&amp;$D879)</f>
        <v/>
      </c>
      <c r="W879">
        <f>IF($T879="","",IF($X879&gt;N($X878),$X879,""))</f>
        <v/>
      </c>
      <c r="X879">
        <f>IF($T879="",N($X878),IF(MATCH($T879,$T$6:$T$6005,0)=ROW()-5,N($X878)+1,N($X878)))</f>
        <v/>
      </c>
      <c r="Z879">
        <f>IF($V879="","",IF($AA879&gt;N($AA878),$AA879,""))</f>
        <v/>
      </c>
      <c r="AA879">
        <f>IF($V879="",N($AA878),IF(MATCH($V879,$V$6:$V$6005,0)=ROW()-5,N($AA878)+1,N($AA878)))</f>
        <v/>
      </c>
    </row>
    <row r="880" ht="21" customHeight="1" s="66">
      <c r="A880" s="56" t="n"/>
      <c r="B880" s="57" t="n"/>
      <c r="C880" s="57" t="n"/>
      <c r="D880" s="57" t="n"/>
      <c r="E880" s="56" t="n"/>
      <c r="F880" s="57" t="n"/>
      <c r="G880" s="57" t="n"/>
      <c r="H880" s="56" t="n"/>
      <c r="I880" s="56" t="n"/>
      <c r="J880" s="58" t="n"/>
      <c r="K880" s="58" t="n"/>
      <c r="L880" s="13">
        <f>IF(OR($A880="",AND($J880="",$K880="")),"",ROUND(N($J880)-N($K880),2))</f>
        <v/>
      </c>
      <c r="M880" s="13">
        <f>IF(OR($A880="",AND($J880="",$K880="")),"",MIN($J880,$K880))</f>
        <v/>
      </c>
      <c r="Q880">
        <f>IF($A880="","",$D880&amp;"("&amp;SUBSTITUTE($E880," ","")&amp;")")</f>
        <v/>
      </c>
      <c r="R880">
        <f>IF($A880="","",$B880&amp;" - "&amp;$C880)</f>
        <v/>
      </c>
      <c r="S880">
        <f>IF($A880="","",$R880&amp;"|"&amp;$Q880)</f>
        <v/>
      </c>
      <c r="T880">
        <f>IF($A880="","",$S880&amp;"|"&amp;$F880)</f>
        <v/>
      </c>
      <c r="U880">
        <f>IF($A880="","",$R880&amp;"("&amp;$E880&amp;")")</f>
        <v/>
      </c>
      <c r="V880">
        <f>IF($A880="","",$F880&amp;"|"&amp;$U880&amp;"|"&amp;$D880)</f>
        <v/>
      </c>
      <c r="W880">
        <f>IF($T880="","",IF($X880&gt;N($X879),$X880,""))</f>
        <v/>
      </c>
      <c r="X880">
        <f>IF($T880="",N($X879),IF(MATCH($T880,$T$6:$T$6005,0)=ROW()-5,N($X879)+1,N($X879)))</f>
        <v/>
      </c>
      <c r="Z880">
        <f>IF($V880="","",IF($AA880&gt;N($AA879),$AA880,""))</f>
        <v/>
      </c>
      <c r="AA880">
        <f>IF($V880="",N($AA879),IF(MATCH($V880,$V$6:$V$6005,0)=ROW()-5,N($AA879)+1,N($AA879)))</f>
        <v/>
      </c>
    </row>
    <row r="881" ht="21" customHeight="1" s="66">
      <c r="A881" s="56" t="n"/>
      <c r="B881" s="57" t="n"/>
      <c r="C881" s="57" t="n"/>
      <c r="D881" s="57" t="n"/>
      <c r="E881" s="56" t="n"/>
      <c r="F881" s="57" t="n"/>
      <c r="G881" s="57" t="n"/>
      <c r="H881" s="56" t="n"/>
      <c r="I881" s="56" t="n"/>
      <c r="J881" s="58" t="n"/>
      <c r="K881" s="58" t="n"/>
      <c r="L881" s="13">
        <f>IF(OR($A881="",AND($J881="",$K881="")),"",ROUND(N($J881)-N($K881),2))</f>
        <v/>
      </c>
      <c r="M881" s="13">
        <f>IF(OR($A881="",AND($J881="",$K881="")),"",MIN($J881,$K881))</f>
        <v/>
      </c>
      <c r="Q881">
        <f>IF($A881="","",$D881&amp;"("&amp;SUBSTITUTE($E881," ","")&amp;")")</f>
        <v/>
      </c>
      <c r="R881">
        <f>IF($A881="","",$B881&amp;" - "&amp;$C881)</f>
        <v/>
      </c>
      <c r="S881">
        <f>IF($A881="","",$R881&amp;"|"&amp;$Q881)</f>
        <v/>
      </c>
      <c r="T881">
        <f>IF($A881="","",$S881&amp;"|"&amp;$F881)</f>
        <v/>
      </c>
      <c r="U881">
        <f>IF($A881="","",$R881&amp;"("&amp;$E881&amp;")")</f>
        <v/>
      </c>
      <c r="V881">
        <f>IF($A881="","",$F881&amp;"|"&amp;$U881&amp;"|"&amp;$D881)</f>
        <v/>
      </c>
      <c r="W881">
        <f>IF($T881="","",IF($X881&gt;N($X880),$X881,""))</f>
        <v/>
      </c>
      <c r="X881">
        <f>IF($T881="",N($X880),IF(MATCH($T881,$T$6:$T$6005,0)=ROW()-5,N($X880)+1,N($X880)))</f>
        <v/>
      </c>
      <c r="Z881">
        <f>IF($V881="","",IF($AA881&gt;N($AA880),$AA881,""))</f>
        <v/>
      </c>
      <c r="AA881">
        <f>IF($V881="",N($AA880),IF(MATCH($V881,$V$6:$V$6005,0)=ROW()-5,N($AA880)+1,N($AA880)))</f>
        <v/>
      </c>
    </row>
    <row r="882" ht="21" customHeight="1" s="66">
      <c r="A882" s="56" t="n"/>
      <c r="B882" s="57" t="n"/>
      <c r="C882" s="57" t="n"/>
      <c r="D882" s="57" t="n"/>
      <c r="E882" s="56" t="n"/>
      <c r="F882" s="57" t="n"/>
      <c r="G882" s="57" t="n"/>
      <c r="H882" s="56" t="n"/>
      <c r="I882" s="56" t="n"/>
      <c r="J882" s="58" t="n"/>
      <c r="K882" s="58" t="n"/>
      <c r="L882" s="13">
        <f>IF(OR($A882="",AND($J882="",$K882="")),"",ROUND(N($J882)-N($K882),2))</f>
        <v/>
      </c>
      <c r="M882" s="13">
        <f>IF(OR($A882="",AND($J882="",$K882="")),"",MIN($J882,$K882))</f>
        <v/>
      </c>
      <c r="Q882">
        <f>IF($A882="","",$D882&amp;"("&amp;SUBSTITUTE($E882," ","")&amp;")")</f>
        <v/>
      </c>
      <c r="R882">
        <f>IF($A882="","",$B882&amp;" - "&amp;$C882)</f>
        <v/>
      </c>
      <c r="S882">
        <f>IF($A882="","",$R882&amp;"|"&amp;$Q882)</f>
        <v/>
      </c>
      <c r="T882">
        <f>IF($A882="","",$S882&amp;"|"&amp;$F882)</f>
        <v/>
      </c>
      <c r="U882">
        <f>IF($A882="","",$R882&amp;"("&amp;$E882&amp;")")</f>
        <v/>
      </c>
      <c r="V882">
        <f>IF($A882="","",$F882&amp;"|"&amp;$U882&amp;"|"&amp;$D882)</f>
        <v/>
      </c>
      <c r="W882">
        <f>IF($T882="","",IF($X882&gt;N($X881),$X882,""))</f>
        <v/>
      </c>
      <c r="X882">
        <f>IF($T882="",N($X881),IF(MATCH($T882,$T$6:$T$6005,0)=ROW()-5,N($X881)+1,N($X881)))</f>
        <v/>
      </c>
      <c r="Z882">
        <f>IF($V882="","",IF($AA882&gt;N($AA881),$AA882,""))</f>
        <v/>
      </c>
      <c r="AA882">
        <f>IF($V882="",N($AA881),IF(MATCH($V882,$V$6:$V$6005,0)=ROW()-5,N($AA881)+1,N($AA881)))</f>
        <v/>
      </c>
    </row>
    <row r="883" ht="21" customHeight="1" s="66">
      <c r="A883" s="56" t="n"/>
      <c r="B883" s="57" t="n"/>
      <c r="C883" s="57" t="n"/>
      <c r="D883" s="57" t="n"/>
      <c r="E883" s="56" t="n"/>
      <c r="F883" s="57" t="n"/>
      <c r="G883" s="57" t="n"/>
      <c r="H883" s="56" t="n"/>
      <c r="I883" s="56" t="n"/>
      <c r="J883" s="58" t="n"/>
      <c r="K883" s="58" t="n"/>
      <c r="L883" s="13">
        <f>IF(OR($A883="",AND($J883="",$K883="")),"",ROUND(N($J883)-N($K883),2))</f>
        <v/>
      </c>
      <c r="M883" s="13">
        <f>IF(OR($A883="",AND($J883="",$K883="")),"",MIN($J883,$K883))</f>
        <v/>
      </c>
      <c r="Q883">
        <f>IF($A883="","",$D883&amp;"("&amp;SUBSTITUTE($E883," ","")&amp;")")</f>
        <v/>
      </c>
      <c r="R883">
        <f>IF($A883="","",$B883&amp;" - "&amp;$C883)</f>
        <v/>
      </c>
      <c r="S883">
        <f>IF($A883="","",$R883&amp;"|"&amp;$Q883)</f>
        <v/>
      </c>
      <c r="T883">
        <f>IF($A883="","",$S883&amp;"|"&amp;$F883)</f>
        <v/>
      </c>
      <c r="U883">
        <f>IF($A883="","",$R883&amp;"("&amp;$E883&amp;")")</f>
        <v/>
      </c>
      <c r="V883">
        <f>IF($A883="","",$F883&amp;"|"&amp;$U883&amp;"|"&amp;$D883)</f>
        <v/>
      </c>
      <c r="W883">
        <f>IF($T883="","",IF($X883&gt;N($X882),$X883,""))</f>
        <v/>
      </c>
      <c r="X883">
        <f>IF($T883="",N($X882),IF(MATCH($T883,$T$6:$T$6005,0)=ROW()-5,N($X882)+1,N($X882)))</f>
        <v/>
      </c>
      <c r="Z883">
        <f>IF($V883="","",IF($AA883&gt;N($AA882),$AA883,""))</f>
        <v/>
      </c>
      <c r="AA883">
        <f>IF($V883="",N($AA882),IF(MATCH($V883,$V$6:$V$6005,0)=ROW()-5,N($AA882)+1,N($AA882)))</f>
        <v/>
      </c>
    </row>
    <row r="884" ht="21" customHeight="1" s="66">
      <c r="A884" s="56" t="n"/>
      <c r="B884" s="57" t="n"/>
      <c r="C884" s="57" t="n"/>
      <c r="D884" s="57" t="n"/>
      <c r="E884" s="56" t="n"/>
      <c r="F884" s="57" t="n"/>
      <c r="G884" s="57" t="n"/>
      <c r="H884" s="56" t="n"/>
      <c r="I884" s="56" t="n"/>
      <c r="J884" s="58" t="n"/>
      <c r="K884" s="58" t="n"/>
      <c r="L884" s="13">
        <f>IF(OR($A884="",AND($J884="",$K884="")),"",ROUND(N($J884)-N($K884),2))</f>
        <v/>
      </c>
      <c r="M884" s="13">
        <f>IF(OR($A884="",AND($J884="",$K884="")),"",MIN($J884,$K884))</f>
        <v/>
      </c>
      <c r="Q884">
        <f>IF($A884="","",$D884&amp;"("&amp;SUBSTITUTE($E884," ","")&amp;")")</f>
        <v/>
      </c>
      <c r="R884">
        <f>IF($A884="","",$B884&amp;" - "&amp;$C884)</f>
        <v/>
      </c>
      <c r="S884">
        <f>IF($A884="","",$R884&amp;"|"&amp;$Q884)</f>
        <v/>
      </c>
      <c r="T884">
        <f>IF($A884="","",$S884&amp;"|"&amp;$F884)</f>
        <v/>
      </c>
      <c r="U884">
        <f>IF($A884="","",$R884&amp;"("&amp;$E884&amp;")")</f>
        <v/>
      </c>
      <c r="V884">
        <f>IF($A884="","",$F884&amp;"|"&amp;$U884&amp;"|"&amp;$D884)</f>
        <v/>
      </c>
      <c r="W884">
        <f>IF($T884="","",IF($X884&gt;N($X883),$X884,""))</f>
        <v/>
      </c>
      <c r="X884">
        <f>IF($T884="",N($X883),IF(MATCH($T884,$T$6:$T$6005,0)=ROW()-5,N($X883)+1,N($X883)))</f>
        <v/>
      </c>
      <c r="Z884">
        <f>IF($V884="","",IF($AA884&gt;N($AA883),$AA884,""))</f>
        <v/>
      </c>
      <c r="AA884">
        <f>IF($V884="",N($AA883),IF(MATCH($V884,$V$6:$V$6005,0)=ROW()-5,N($AA883)+1,N($AA883)))</f>
        <v/>
      </c>
    </row>
    <row r="885" ht="21" customHeight="1" s="66">
      <c r="A885" s="56" t="n"/>
      <c r="B885" s="57" t="n"/>
      <c r="C885" s="57" t="n"/>
      <c r="D885" s="57" t="n"/>
      <c r="E885" s="56" t="n"/>
      <c r="F885" s="57" t="n"/>
      <c r="G885" s="57" t="n"/>
      <c r="H885" s="56" t="n"/>
      <c r="I885" s="56" t="n"/>
      <c r="J885" s="58" t="n"/>
      <c r="K885" s="58" t="n"/>
      <c r="L885" s="13">
        <f>IF(OR($A885="",AND($J885="",$K885="")),"",ROUND(N($J885)-N($K885),2))</f>
        <v/>
      </c>
      <c r="M885" s="13">
        <f>IF(OR($A885="",AND($J885="",$K885="")),"",MIN($J885,$K885))</f>
        <v/>
      </c>
      <c r="Q885">
        <f>IF($A885="","",$D885&amp;"("&amp;SUBSTITUTE($E885," ","")&amp;")")</f>
        <v/>
      </c>
      <c r="R885">
        <f>IF($A885="","",$B885&amp;" - "&amp;$C885)</f>
        <v/>
      </c>
      <c r="S885">
        <f>IF($A885="","",$R885&amp;"|"&amp;$Q885)</f>
        <v/>
      </c>
      <c r="T885">
        <f>IF($A885="","",$S885&amp;"|"&amp;$F885)</f>
        <v/>
      </c>
      <c r="U885">
        <f>IF($A885="","",$R885&amp;"("&amp;$E885&amp;")")</f>
        <v/>
      </c>
      <c r="V885">
        <f>IF($A885="","",$F885&amp;"|"&amp;$U885&amp;"|"&amp;$D885)</f>
        <v/>
      </c>
      <c r="W885">
        <f>IF($T885="","",IF($X885&gt;N($X884),$X885,""))</f>
        <v/>
      </c>
      <c r="X885">
        <f>IF($T885="",N($X884),IF(MATCH($T885,$T$6:$T$6005,0)=ROW()-5,N($X884)+1,N($X884)))</f>
        <v/>
      </c>
      <c r="Z885">
        <f>IF($V885="","",IF($AA885&gt;N($AA884),$AA885,""))</f>
        <v/>
      </c>
      <c r="AA885">
        <f>IF($V885="",N($AA884),IF(MATCH($V885,$V$6:$V$6005,0)=ROW()-5,N($AA884)+1,N($AA884)))</f>
        <v/>
      </c>
    </row>
    <row r="886" ht="21" customHeight="1" s="66">
      <c r="A886" s="56" t="n"/>
      <c r="B886" s="57" t="n"/>
      <c r="C886" s="57" t="n"/>
      <c r="D886" s="57" t="n"/>
      <c r="E886" s="56" t="n"/>
      <c r="F886" s="57" t="n"/>
      <c r="G886" s="57" t="n"/>
      <c r="H886" s="56" t="n"/>
      <c r="I886" s="56" t="n"/>
      <c r="J886" s="58" t="n"/>
      <c r="K886" s="58" t="n"/>
      <c r="L886" s="13">
        <f>IF(OR($A886="",AND($J886="",$K886="")),"",ROUND(N($J886)-N($K886),2))</f>
        <v/>
      </c>
      <c r="M886" s="13">
        <f>IF(OR($A886="",AND($J886="",$K886="")),"",MIN($J886,$K886))</f>
        <v/>
      </c>
      <c r="Q886">
        <f>IF($A886="","",$D886&amp;"("&amp;SUBSTITUTE($E886," ","")&amp;")")</f>
        <v/>
      </c>
      <c r="R886">
        <f>IF($A886="","",$B886&amp;" - "&amp;$C886)</f>
        <v/>
      </c>
      <c r="S886">
        <f>IF($A886="","",$R886&amp;"|"&amp;$Q886)</f>
        <v/>
      </c>
      <c r="T886">
        <f>IF($A886="","",$S886&amp;"|"&amp;$F886)</f>
        <v/>
      </c>
      <c r="U886">
        <f>IF($A886="","",$R886&amp;"("&amp;$E886&amp;")")</f>
        <v/>
      </c>
      <c r="V886">
        <f>IF($A886="","",$F886&amp;"|"&amp;$U886&amp;"|"&amp;$D886)</f>
        <v/>
      </c>
      <c r="W886">
        <f>IF($T886="","",IF($X886&gt;N($X885),$X886,""))</f>
        <v/>
      </c>
      <c r="X886">
        <f>IF($T886="",N($X885),IF(MATCH($T886,$T$6:$T$6005,0)=ROW()-5,N($X885)+1,N($X885)))</f>
        <v/>
      </c>
      <c r="Z886">
        <f>IF($V886="","",IF($AA886&gt;N($AA885),$AA886,""))</f>
        <v/>
      </c>
      <c r="AA886">
        <f>IF($V886="",N($AA885),IF(MATCH($V886,$V$6:$V$6005,0)=ROW()-5,N($AA885)+1,N($AA885)))</f>
        <v/>
      </c>
    </row>
    <row r="887" ht="21" customHeight="1" s="66">
      <c r="A887" s="56" t="n"/>
      <c r="B887" s="57" t="n"/>
      <c r="C887" s="57" t="n"/>
      <c r="D887" s="57" t="n"/>
      <c r="E887" s="56" t="n"/>
      <c r="F887" s="57" t="n"/>
      <c r="G887" s="57" t="n"/>
      <c r="H887" s="56" t="n"/>
      <c r="I887" s="56" t="n"/>
      <c r="J887" s="58" t="n"/>
      <c r="K887" s="58" t="n"/>
      <c r="L887" s="13">
        <f>IF(OR($A887="",AND($J887="",$K887="")),"",ROUND(N($J887)-N($K887),2))</f>
        <v/>
      </c>
      <c r="M887" s="13">
        <f>IF(OR($A887="",AND($J887="",$K887="")),"",MIN($J887,$K887))</f>
        <v/>
      </c>
      <c r="Q887">
        <f>IF($A887="","",$D887&amp;"("&amp;SUBSTITUTE($E887," ","")&amp;")")</f>
        <v/>
      </c>
      <c r="R887">
        <f>IF($A887="","",$B887&amp;" - "&amp;$C887)</f>
        <v/>
      </c>
      <c r="S887">
        <f>IF($A887="","",$R887&amp;"|"&amp;$Q887)</f>
        <v/>
      </c>
      <c r="T887">
        <f>IF($A887="","",$S887&amp;"|"&amp;$F887)</f>
        <v/>
      </c>
      <c r="U887">
        <f>IF($A887="","",$R887&amp;"("&amp;$E887&amp;")")</f>
        <v/>
      </c>
      <c r="V887">
        <f>IF($A887="","",$F887&amp;"|"&amp;$U887&amp;"|"&amp;$D887)</f>
        <v/>
      </c>
      <c r="W887">
        <f>IF($T887="","",IF($X887&gt;N($X886),$X887,""))</f>
        <v/>
      </c>
      <c r="X887">
        <f>IF($T887="",N($X886),IF(MATCH($T887,$T$6:$T$6005,0)=ROW()-5,N($X886)+1,N($X886)))</f>
        <v/>
      </c>
      <c r="Z887">
        <f>IF($V887="","",IF($AA887&gt;N($AA886),$AA887,""))</f>
        <v/>
      </c>
      <c r="AA887">
        <f>IF($V887="",N($AA886),IF(MATCH($V887,$V$6:$V$6005,0)=ROW()-5,N($AA886)+1,N($AA886)))</f>
        <v/>
      </c>
    </row>
    <row r="888" ht="21" customHeight="1" s="66">
      <c r="A888" s="56" t="n"/>
      <c r="B888" s="57" t="n"/>
      <c r="C888" s="57" t="n"/>
      <c r="D888" s="57" t="n"/>
      <c r="E888" s="56" t="n"/>
      <c r="F888" s="57" t="n"/>
      <c r="G888" s="57" t="n"/>
      <c r="H888" s="56" t="n"/>
      <c r="I888" s="56" t="n"/>
      <c r="J888" s="58" t="n"/>
      <c r="K888" s="58" t="n"/>
      <c r="L888" s="13">
        <f>IF(OR($A888="",AND($J888="",$K888="")),"",ROUND(N($J888)-N($K888),2))</f>
        <v/>
      </c>
      <c r="M888" s="13">
        <f>IF(OR($A888="",AND($J888="",$K888="")),"",MIN($J888,$K888))</f>
        <v/>
      </c>
      <c r="Q888">
        <f>IF($A888="","",$D888&amp;"("&amp;SUBSTITUTE($E888," ","")&amp;")")</f>
        <v/>
      </c>
      <c r="R888">
        <f>IF($A888="","",$B888&amp;" - "&amp;$C888)</f>
        <v/>
      </c>
      <c r="S888">
        <f>IF($A888="","",$R888&amp;"|"&amp;$Q888)</f>
        <v/>
      </c>
      <c r="T888">
        <f>IF($A888="","",$S888&amp;"|"&amp;$F888)</f>
        <v/>
      </c>
      <c r="U888">
        <f>IF($A888="","",$R888&amp;"("&amp;$E888&amp;")")</f>
        <v/>
      </c>
      <c r="V888">
        <f>IF($A888="","",$F888&amp;"|"&amp;$U888&amp;"|"&amp;$D888)</f>
        <v/>
      </c>
      <c r="W888">
        <f>IF($T888="","",IF($X888&gt;N($X887),$X888,""))</f>
        <v/>
      </c>
      <c r="X888">
        <f>IF($T888="",N($X887),IF(MATCH($T888,$T$6:$T$6005,0)=ROW()-5,N($X887)+1,N($X887)))</f>
        <v/>
      </c>
      <c r="Z888">
        <f>IF($V888="","",IF($AA888&gt;N($AA887),$AA888,""))</f>
        <v/>
      </c>
      <c r="AA888">
        <f>IF($V888="",N($AA887),IF(MATCH($V888,$V$6:$V$6005,0)=ROW()-5,N($AA887)+1,N($AA887)))</f>
        <v/>
      </c>
    </row>
    <row r="889" ht="21" customHeight="1" s="66">
      <c r="A889" s="56" t="n"/>
      <c r="B889" s="57" t="n"/>
      <c r="C889" s="57" t="n"/>
      <c r="D889" s="57" t="n"/>
      <c r="E889" s="56" t="n"/>
      <c r="F889" s="57" t="n"/>
      <c r="G889" s="57" t="n"/>
      <c r="H889" s="56" t="n"/>
      <c r="I889" s="56" t="n"/>
      <c r="J889" s="58" t="n"/>
      <c r="K889" s="58" t="n"/>
      <c r="L889" s="13">
        <f>IF(OR($A889="",AND($J889="",$K889="")),"",ROUND(N($J889)-N($K889),2))</f>
        <v/>
      </c>
      <c r="M889" s="13">
        <f>IF(OR($A889="",AND($J889="",$K889="")),"",MIN($J889,$K889))</f>
        <v/>
      </c>
      <c r="Q889">
        <f>IF($A889="","",$D889&amp;"("&amp;SUBSTITUTE($E889," ","")&amp;")")</f>
        <v/>
      </c>
      <c r="R889">
        <f>IF($A889="","",$B889&amp;" - "&amp;$C889)</f>
        <v/>
      </c>
      <c r="S889">
        <f>IF($A889="","",$R889&amp;"|"&amp;$Q889)</f>
        <v/>
      </c>
      <c r="T889">
        <f>IF($A889="","",$S889&amp;"|"&amp;$F889)</f>
        <v/>
      </c>
      <c r="U889">
        <f>IF($A889="","",$R889&amp;"("&amp;$E889&amp;")")</f>
        <v/>
      </c>
      <c r="V889">
        <f>IF($A889="","",$F889&amp;"|"&amp;$U889&amp;"|"&amp;$D889)</f>
        <v/>
      </c>
      <c r="W889">
        <f>IF($T889="","",IF($X889&gt;N($X888),$X889,""))</f>
        <v/>
      </c>
      <c r="X889">
        <f>IF($T889="",N($X888),IF(MATCH($T889,$T$6:$T$6005,0)=ROW()-5,N($X888)+1,N($X888)))</f>
        <v/>
      </c>
      <c r="Z889">
        <f>IF($V889="","",IF($AA889&gt;N($AA888),$AA889,""))</f>
        <v/>
      </c>
      <c r="AA889">
        <f>IF($V889="",N($AA888),IF(MATCH($V889,$V$6:$V$6005,0)=ROW()-5,N($AA888)+1,N($AA888)))</f>
        <v/>
      </c>
    </row>
    <row r="890" ht="21" customHeight="1" s="66">
      <c r="A890" s="56" t="n"/>
      <c r="B890" s="57" t="n"/>
      <c r="C890" s="57" t="n"/>
      <c r="D890" s="57" t="n"/>
      <c r="E890" s="56" t="n"/>
      <c r="F890" s="57" t="n"/>
      <c r="G890" s="57" t="n"/>
      <c r="H890" s="56" t="n"/>
      <c r="I890" s="56" t="n"/>
      <c r="J890" s="58" t="n"/>
      <c r="K890" s="58" t="n"/>
      <c r="L890" s="13">
        <f>IF(OR($A890="",AND($J890="",$K890="")),"",ROUND(N($J890)-N($K890),2))</f>
        <v/>
      </c>
      <c r="M890" s="13">
        <f>IF(OR($A890="",AND($J890="",$K890="")),"",MIN($J890,$K890))</f>
        <v/>
      </c>
      <c r="Q890">
        <f>IF($A890="","",$D890&amp;"("&amp;SUBSTITUTE($E890," ","")&amp;")")</f>
        <v/>
      </c>
      <c r="R890">
        <f>IF($A890="","",$B890&amp;" - "&amp;$C890)</f>
        <v/>
      </c>
      <c r="S890">
        <f>IF($A890="","",$R890&amp;"|"&amp;$Q890)</f>
        <v/>
      </c>
      <c r="T890">
        <f>IF($A890="","",$S890&amp;"|"&amp;$F890)</f>
        <v/>
      </c>
      <c r="U890">
        <f>IF($A890="","",$R890&amp;"("&amp;$E890&amp;")")</f>
        <v/>
      </c>
      <c r="V890">
        <f>IF($A890="","",$F890&amp;"|"&amp;$U890&amp;"|"&amp;$D890)</f>
        <v/>
      </c>
      <c r="W890">
        <f>IF($T890="","",IF($X890&gt;N($X889),$X890,""))</f>
        <v/>
      </c>
      <c r="X890">
        <f>IF($T890="",N($X889),IF(MATCH($T890,$T$6:$T$6005,0)=ROW()-5,N($X889)+1,N($X889)))</f>
        <v/>
      </c>
      <c r="Z890">
        <f>IF($V890="","",IF($AA890&gt;N($AA889),$AA890,""))</f>
        <v/>
      </c>
      <c r="AA890">
        <f>IF($V890="",N($AA889),IF(MATCH($V890,$V$6:$V$6005,0)=ROW()-5,N($AA889)+1,N($AA889)))</f>
        <v/>
      </c>
    </row>
    <row r="891" ht="21" customHeight="1" s="66">
      <c r="A891" s="56" t="n"/>
      <c r="B891" s="57" t="n"/>
      <c r="C891" s="57" t="n"/>
      <c r="D891" s="57" t="n"/>
      <c r="E891" s="56" t="n"/>
      <c r="F891" s="57" t="n"/>
      <c r="G891" s="57" t="n"/>
      <c r="H891" s="56" t="n"/>
      <c r="I891" s="56" t="n"/>
      <c r="J891" s="58" t="n"/>
      <c r="K891" s="58" t="n"/>
      <c r="L891" s="13">
        <f>IF(OR($A891="",AND($J891="",$K891="")),"",ROUND(N($J891)-N($K891),2))</f>
        <v/>
      </c>
      <c r="M891" s="13">
        <f>IF(OR($A891="",AND($J891="",$K891="")),"",MIN($J891,$K891))</f>
        <v/>
      </c>
      <c r="Q891">
        <f>IF($A891="","",$D891&amp;"("&amp;SUBSTITUTE($E891," ","")&amp;")")</f>
        <v/>
      </c>
      <c r="R891">
        <f>IF($A891="","",$B891&amp;" - "&amp;$C891)</f>
        <v/>
      </c>
      <c r="S891">
        <f>IF($A891="","",$R891&amp;"|"&amp;$Q891)</f>
        <v/>
      </c>
      <c r="T891">
        <f>IF($A891="","",$S891&amp;"|"&amp;$F891)</f>
        <v/>
      </c>
      <c r="U891">
        <f>IF($A891="","",$R891&amp;"("&amp;$E891&amp;")")</f>
        <v/>
      </c>
      <c r="V891">
        <f>IF($A891="","",$F891&amp;"|"&amp;$U891&amp;"|"&amp;$D891)</f>
        <v/>
      </c>
      <c r="W891">
        <f>IF($T891="","",IF($X891&gt;N($X890),$X891,""))</f>
        <v/>
      </c>
      <c r="X891">
        <f>IF($T891="",N($X890),IF(MATCH($T891,$T$6:$T$6005,0)=ROW()-5,N($X890)+1,N($X890)))</f>
        <v/>
      </c>
      <c r="Z891">
        <f>IF($V891="","",IF($AA891&gt;N($AA890),$AA891,""))</f>
        <v/>
      </c>
      <c r="AA891">
        <f>IF($V891="",N($AA890),IF(MATCH($V891,$V$6:$V$6005,0)=ROW()-5,N($AA890)+1,N($AA890)))</f>
        <v/>
      </c>
    </row>
    <row r="892" ht="21" customHeight="1" s="66">
      <c r="A892" s="56" t="n"/>
      <c r="B892" s="57" t="n"/>
      <c r="C892" s="57" t="n"/>
      <c r="D892" s="57" t="n"/>
      <c r="E892" s="56" t="n"/>
      <c r="F892" s="57" t="n"/>
      <c r="G892" s="57" t="n"/>
      <c r="H892" s="56" t="n"/>
      <c r="I892" s="56" t="n"/>
      <c r="J892" s="58" t="n"/>
      <c r="K892" s="58" t="n"/>
      <c r="L892" s="13">
        <f>IF(OR($A892="",AND($J892="",$K892="")),"",ROUND(N($J892)-N($K892),2))</f>
        <v/>
      </c>
      <c r="M892" s="13">
        <f>IF(OR($A892="",AND($J892="",$K892="")),"",MIN($J892,$K892))</f>
        <v/>
      </c>
      <c r="Q892">
        <f>IF($A892="","",$D892&amp;"("&amp;SUBSTITUTE($E892," ","")&amp;")")</f>
        <v/>
      </c>
      <c r="R892">
        <f>IF($A892="","",$B892&amp;" - "&amp;$C892)</f>
        <v/>
      </c>
      <c r="S892">
        <f>IF($A892="","",$R892&amp;"|"&amp;$Q892)</f>
        <v/>
      </c>
      <c r="T892">
        <f>IF($A892="","",$S892&amp;"|"&amp;$F892)</f>
        <v/>
      </c>
      <c r="U892">
        <f>IF($A892="","",$R892&amp;"("&amp;$E892&amp;")")</f>
        <v/>
      </c>
      <c r="V892">
        <f>IF($A892="","",$F892&amp;"|"&amp;$U892&amp;"|"&amp;$D892)</f>
        <v/>
      </c>
      <c r="W892">
        <f>IF($T892="","",IF($X892&gt;N($X891),$X892,""))</f>
        <v/>
      </c>
      <c r="X892">
        <f>IF($T892="",N($X891),IF(MATCH($T892,$T$6:$T$6005,0)=ROW()-5,N($X891)+1,N($X891)))</f>
        <v/>
      </c>
      <c r="Z892">
        <f>IF($V892="","",IF($AA892&gt;N($AA891),$AA892,""))</f>
        <v/>
      </c>
      <c r="AA892">
        <f>IF($V892="",N($AA891),IF(MATCH($V892,$V$6:$V$6005,0)=ROW()-5,N($AA891)+1,N($AA891)))</f>
        <v/>
      </c>
    </row>
    <row r="893" ht="21" customHeight="1" s="66">
      <c r="A893" s="56" t="n"/>
      <c r="B893" s="57" t="n"/>
      <c r="C893" s="57" t="n"/>
      <c r="D893" s="57" t="n"/>
      <c r="E893" s="56" t="n"/>
      <c r="F893" s="57" t="n"/>
      <c r="G893" s="57" t="n"/>
      <c r="H893" s="56" t="n"/>
      <c r="I893" s="56" t="n"/>
      <c r="J893" s="58" t="n"/>
      <c r="K893" s="58" t="n"/>
      <c r="L893" s="13">
        <f>IF(OR($A893="",AND($J893="",$K893="")),"",ROUND(N($J893)-N($K893),2))</f>
        <v/>
      </c>
      <c r="M893" s="13">
        <f>IF(OR($A893="",AND($J893="",$K893="")),"",MIN($J893,$K893))</f>
        <v/>
      </c>
      <c r="Q893">
        <f>IF($A893="","",$D893&amp;"("&amp;SUBSTITUTE($E893," ","")&amp;")")</f>
        <v/>
      </c>
      <c r="R893">
        <f>IF($A893="","",$B893&amp;" - "&amp;$C893)</f>
        <v/>
      </c>
      <c r="S893">
        <f>IF($A893="","",$R893&amp;"|"&amp;$Q893)</f>
        <v/>
      </c>
      <c r="T893">
        <f>IF($A893="","",$S893&amp;"|"&amp;$F893)</f>
        <v/>
      </c>
      <c r="U893">
        <f>IF($A893="","",$R893&amp;"("&amp;$E893&amp;")")</f>
        <v/>
      </c>
      <c r="V893">
        <f>IF($A893="","",$F893&amp;"|"&amp;$U893&amp;"|"&amp;$D893)</f>
        <v/>
      </c>
      <c r="W893">
        <f>IF($T893="","",IF($X893&gt;N($X892),$X893,""))</f>
        <v/>
      </c>
      <c r="X893">
        <f>IF($T893="",N($X892),IF(MATCH($T893,$T$6:$T$6005,0)=ROW()-5,N($X892)+1,N($X892)))</f>
        <v/>
      </c>
      <c r="Z893">
        <f>IF($V893="","",IF($AA893&gt;N($AA892),$AA893,""))</f>
        <v/>
      </c>
      <c r="AA893">
        <f>IF($V893="",N($AA892),IF(MATCH($V893,$V$6:$V$6005,0)=ROW()-5,N($AA892)+1,N($AA892)))</f>
        <v/>
      </c>
    </row>
    <row r="894" ht="21" customHeight="1" s="66">
      <c r="A894" s="56" t="n"/>
      <c r="B894" s="57" t="n"/>
      <c r="C894" s="57" t="n"/>
      <c r="D894" s="57" t="n"/>
      <c r="E894" s="56" t="n"/>
      <c r="F894" s="57" t="n"/>
      <c r="G894" s="57" t="n"/>
      <c r="H894" s="56" t="n"/>
      <c r="I894" s="56" t="n"/>
      <c r="J894" s="58" t="n"/>
      <c r="K894" s="58" t="n"/>
      <c r="L894" s="13">
        <f>IF(OR($A894="",AND($J894="",$K894="")),"",ROUND(N($J894)-N($K894),2))</f>
        <v/>
      </c>
      <c r="M894" s="13">
        <f>IF(OR($A894="",AND($J894="",$K894="")),"",MIN($J894,$K894))</f>
        <v/>
      </c>
      <c r="Q894">
        <f>IF($A894="","",$D894&amp;"("&amp;SUBSTITUTE($E894," ","")&amp;")")</f>
        <v/>
      </c>
      <c r="R894">
        <f>IF($A894="","",$B894&amp;" - "&amp;$C894)</f>
        <v/>
      </c>
      <c r="S894">
        <f>IF($A894="","",$R894&amp;"|"&amp;$Q894)</f>
        <v/>
      </c>
      <c r="T894">
        <f>IF($A894="","",$S894&amp;"|"&amp;$F894)</f>
        <v/>
      </c>
      <c r="U894">
        <f>IF($A894="","",$R894&amp;"("&amp;$E894&amp;")")</f>
        <v/>
      </c>
      <c r="V894">
        <f>IF($A894="","",$F894&amp;"|"&amp;$U894&amp;"|"&amp;$D894)</f>
        <v/>
      </c>
      <c r="W894">
        <f>IF($T894="","",IF($X894&gt;N($X893),$X894,""))</f>
        <v/>
      </c>
      <c r="X894">
        <f>IF($T894="",N($X893),IF(MATCH($T894,$T$6:$T$6005,0)=ROW()-5,N($X893)+1,N($X893)))</f>
        <v/>
      </c>
      <c r="Z894">
        <f>IF($V894="","",IF($AA894&gt;N($AA893),$AA894,""))</f>
        <v/>
      </c>
      <c r="AA894">
        <f>IF($V894="",N($AA893),IF(MATCH($V894,$V$6:$V$6005,0)=ROW()-5,N($AA893)+1,N($AA893)))</f>
        <v/>
      </c>
    </row>
    <row r="895" ht="21" customHeight="1" s="66">
      <c r="A895" s="56" t="n"/>
      <c r="B895" s="57" t="n"/>
      <c r="C895" s="57" t="n"/>
      <c r="D895" s="57" t="n"/>
      <c r="E895" s="56" t="n"/>
      <c r="F895" s="57" t="n"/>
      <c r="G895" s="57" t="n"/>
      <c r="H895" s="56" t="n"/>
      <c r="I895" s="56" t="n"/>
      <c r="J895" s="58" t="n"/>
      <c r="K895" s="58" t="n"/>
      <c r="L895" s="13">
        <f>IF(OR($A895="",AND($J895="",$K895="")),"",ROUND(N($J895)-N($K895),2))</f>
        <v/>
      </c>
      <c r="M895" s="13">
        <f>IF(OR($A895="",AND($J895="",$K895="")),"",MIN($J895,$K895))</f>
        <v/>
      </c>
      <c r="Q895">
        <f>IF($A895="","",$D895&amp;"("&amp;SUBSTITUTE($E895," ","")&amp;")")</f>
        <v/>
      </c>
      <c r="R895">
        <f>IF($A895="","",$B895&amp;" - "&amp;$C895)</f>
        <v/>
      </c>
      <c r="S895">
        <f>IF($A895="","",$R895&amp;"|"&amp;$Q895)</f>
        <v/>
      </c>
      <c r="T895">
        <f>IF($A895="","",$S895&amp;"|"&amp;$F895)</f>
        <v/>
      </c>
      <c r="U895">
        <f>IF($A895="","",$R895&amp;"("&amp;$E895&amp;")")</f>
        <v/>
      </c>
      <c r="V895">
        <f>IF($A895="","",$F895&amp;"|"&amp;$U895&amp;"|"&amp;$D895)</f>
        <v/>
      </c>
      <c r="W895">
        <f>IF($T895="","",IF($X895&gt;N($X894),$X895,""))</f>
        <v/>
      </c>
      <c r="X895">
        <f>IF($T895="",N($X894),IF(MATCH($T895,$T$6:$T$6005,0)=ROW()-5,N($X894)+1,N($X894)))</f>
        <v/>
      </c>
      <c r="Z895">
        <f>IF($V895="","",IF($AA895&gt;N($AA894),$AA895,""))</f>
        <v/>
      </c>
      <c r="AA895">
        <f>IF($V895="",N($AA894),IF(MATCH($V895,$V$6:$V$6005,0)=ROW()-5,N($AA894)+1,N($AA894)))</f>
        <v/>
      </c>
    </row>
    <row r="896" ht="21" customHeight="1" s="66">
      <c r="A896" s="56" t="n"/>
      <c r="B896" s="57" t="n"/>
      <c r="C896" s="57" t="n"/>
      <c r="D896" s="57" t="n"/>
      <c r="E896" s="56" t="n"/>
      <c r="F896" s="57" t="n"/>
      <c r="G896" s="57" t="n"/>
      <c r="H896" s="56" t="n"/>
      <c r="I896" s="56" t="n"/>
      <c r="J896" s="58" t="n"/>
      <c r="K896" s="58" t="n"/>
      <c r="L896" s="13">
        <f>IF(OR($A896="",AND($J896="",$K896="")),"",ROUND(N($J896)-N($K896),2))</f>
        <v/>
      </c>
      <c r="M896" s="13">
        <f>IF(OR($A896="",AND($J896="",$K896="")),"",MIN($J896,$K896))</f>
        <v/>
      </c>
      <c r="Q896">
        <f>IF($A896="","",$D896&amp;"("&amp;SUBSTITUTE($E896," ","")&amp;")")</f>
        <v/>
      </c>
      <c r="R896">
        <f>IF($A896="","",$B896&amp;" - "&amp;$C896)</f>
        <v/>
      </c>
      <c r="S896">
        <f>IF($A896="","",$R896&amp;"|"&amp;$Q896)</f>
        <v/>
      </c>
      <c r="T896">
        <f>IF($A896="","",$S896&amp;"|"&amp;$F896)</f>
        <v/>
      </c>
      <c r="U896">
        <f>IF($A896="","",$R896&amp;"("&amp;$E896&amp;")")</f>
        <v/>
      </c>
      <c r="V896">
        <f>IF($A896="","",$F896&amp;"|"&amp;$U896&amp;"|"&amp;$D896)</f>
        <v/>
      </c>
      <c r="W896">
        <f>IF($T896="","",IF($X896&gt;N($X895),$X896,""))</f>
        <v/>
      </c>
      <c r="X896">
        <f>IF($T896="",N($X895),IF(MATCH($T896,$T$6:$T$6005,0)=ROW()-5,N($X895)+1,N($X895)))</f>
        <v/>
      </c>
      <c r="Z896">
        <f>IF($V896="","",IF($AA896&gt;N($AA895),$AA896,""))</f>
        <v/>
      </c>
      <c r="AA896">
        <f>IF($V896="",N($AA895),IF(MATCH($V896,$V$6:$V$6005,0)=ROW()-5,N($AA895)+1,N($AA895)))</f>
        <v/>
      </c>
    </row>
    <row r="897" ht="21" customHeight="1" s="66">
      <c r="A897" s="56" t="n"/>
      <c r="B897" s="57" t="n"/>
      <c r="C897" s="57" t="n"/>
      <c r="D897" s="57" t="n"/>
      <c r="E897" s="56" t="n"/>
      <c r="F897" s="57" t="n"/>
      <c r="G897" s="57" t="n"/>
      <c r="H897" s="56" t="n"/>
      <c r="I897" s="56" t="n"/>
      <c r="J897" s="58" t="n"/>
      <c r="K897" s="58" t="n"/>
      <c r="L897" s="13">
        <f>IF(OR($A897="",AND($J897="",$K897="")),"",ROUND(N($J897)-N($K897),2))</f>
        <v/>
      </c>
      <c r="M897" s="13">
        <f>IF(OR($A897="",AND($J897="",$K897="")),"",MIN($J897,$K897))</f>
        <v/>
      </c>
      <c r="Q897">
        <f>IF($A897="","",$D897&amp;"("&amp;SUBSTITUTE($E897," ","")&amp;")")</f>
        <v/>
      </c>
      <c r="R897">
        <f>IF($A897="","",$B897&amp;" - "&amp;$C897)</f>
        <v/>
      </c>
      <c r="S897">
        <f>IF($A897="","",$R897&amp;"|"&amp;$Q897)</f>
        <v/>
      </c>
      <c r="T897">
        <f>IF($A897="","",$S897&amp;"|"&amp;$F897)</f>
        <v/>
      </c>
      <c r="U897">
        <f>IF($A897="","",$R897&amp;"("&amp;$E897&amp;")")</f>
        <v/>
      </c>
      <c r="V897">
        <f>IF($A897="","",$F897&amp;"|"&amp;$U897&amp;"|"&amp;$D897)</f>
        <v/>
      </c>
      <c r="W897">
        <f>IF($T897="","",IF($X897&gt;N($X896),$X897,""))</f>
        <v/>
      </c>
      <c r="X897">
        <f>IF($T897="",N($X896),IF(MATCH($T897,$T$6:$T$6005,0)=ROW()-5,N($X896)+1,N($X896)))</f>
        <v/>
      </c>
      <c r="Z897">
        <f>IF($V897="","",IF($AA897&gt;N($AA896),$AA897,""))</f>
        <v/>
      </c>
      <c r="AA897">
        <f>IF($V897="",N($AA896),IF(MATCH($V897,$V$6:$V$6005,0)=ROW()-5,N($AA896)+1,N($AA896)))</f>
        <v/>
      </c>
    </row>
    <row r="898" ht="21" customHeight="1" s="66">
      <c r="A898" s="56" t="n"/>
      <c r="B898" s="57" t="n"/>
      <c r="C898" s="57" t="n"/>
      <c r="D898" s="57" t="n"/>
      <c r="E898" s="56" t="n"/>
      <c r="F898" s="57" t="n"/>
      <c r="G898" s="57" t="n"/>
      <c r="H898" s="56" t="n"/>
      <c r="I898" s="56" t="n"/>
      <c r="J898" s="58" t="n"/>
      <c r="K898" s="58" t="n"/>
      <c r="L898" s="13">
        <f>IF(OR($A898="",AND($J898="",$K898="")),"",ROUND(N($J898)-N($K898),2))</f>
        <v/>
      </c>
      <c r="M898" s="13">
        <f>IF(OR($A898="",AND($J898="",$K898="")),"",MIN($J898,$K898))</f>
        <v/>
      </c>
      <c r="Q898">
        <f>IF($A898="","",$D898&amp;"("&amp;SUBSTITUTE($E898," ","")&amp;")")</f>
        <v/>
      </c>
      <c r="R898">
        <f>IF($A898="","",$B898&amp;" - "&amp;$C898)</f>
        <v/>
      </c>
      <c r="S898">
        <f>IF($A898="","",$R898&amp;"|"&amp;$Q898)</f>
        <v/>
      </c>
      <c r="T898">
        <f>IF($A898="","",$S898&amp;"|"&amp;$F898)</f>
        <v/>
      </c>
      <c r="U898">
        <f>IF($A898="","",$R898&amp;"("&amp;$E898&amp;")")</f>
        <v/>
      </c>
      <c r="V898">
        <f>IF($A898="","",$F898&amp;"|"&amp;$U898&amp;"|"&amp;$D898)</f>
        <v/>
      </c>
      <c r="W898">
        <f>IF($T898="","",IF($X898&gt;N($X897),$X898,""))</f>
        <v/>
      </c>
      <c r="X898">
        <f>IF($T898="",N($X897),IF(MATCH($T898,$T$6:$T$6005,0)=ROW()-5,N($X897)+1,N($X897)))</f>
        <v/>
      </c>
      <c r="Z898">
        <f>IF($V898="","",IF($AA898&gt;N($AA897),$AA898,""))</f>
        <v/>
      </c>
      <c r="AA898">
        <f>IF($V898="",N($AA897),IF(MATCH($V898,$V$6:$V$6005,0)=ROW()-5,N($AA897)+1,N($AA897)))</f>
        <v/>
      </c>
    </row>
    <row r="899" ht="21" customHeight="1" s="66">
      <c r="A899" s="56" t="n"/>
      <c r="B899" s="57" t="n"/>
      <c r="C899" s="57" t="n"/>
      <c r="D899" s="57" t="n"/>
      <c r="E899" s="56" t="n"/>
      <c r="F899" s="57" t="n"/>
      <c r="G899" s="57" t="n"/>
      <c r="H899" s="56" t="n"/>
      <c r="I899" s="56" t="n"/>
      <c r="J899" s="58" t="n"/>
      <c r="K899" s="58" t="n"/>
      <c r="L899" s="13">
        <f>IF(OR($A899="",AND($J899="",$K899="")),"",ROUND(N($J899)-N($K899),2))</f>
        <v/>
      </c>
      <c r="M899" s="13">
        <f>IF(OR($A899="",AND($J899="",$K899="")),"",MIN($J899,$K899))</f>
        <v/>
      </c>
      <c r="Q899">
        <f>IF($A899="","",$D899&amp;"("&amp;SUBSTITUTE($E899," ","")&amp;")")</f>
        <v/>
      </c>
      <c r="R899">
        <f>IF($A899="","",$B899&amp;" - "&amp;$C899)</f>
        <v/>
      </c>
      <c r="S899">
        <f>IF($A899="","",$R899&amp;"|"&amp;$Q899)</f>
        <v/>
      </c>
      <c r="T899">
        <f>IF($A899="","",$S899&amp;"|"&amp;$F899)</f>
        <v/>
      </c>
      <c r="U899">
        <f>IF($A899="","",$R899&amp;"("&amp;$E899&amp;")")</f>
        <v/>
      </c>
      <c r="V899">
        <f>IF($A899="","",$F899&amp;"|"&amp;$U899&amp;"|"&amp;$D899)</f>
        <v/>
      </c>
      <c r="W899">
        <f>IF($T899="","",IF($X899&gt;N($X898),$X899,""))</f>
        <v/>
      </c>
      <c r="X899">
        <f>IF($T899="",N($X898),IF(MATCH($T899,$T$6:$T$6005,0)=ROW()-5,N($X898)+1,N($X898)))</f>
        <v/>
      </c>
      <c r="Z899">
        <f>IF($V899="","",IF($AA899&gt;N($AA898),$AA899,""))</f>
        <v/>
      </c>
      <c r="AA899">
        <f>IF($V899="",N($AA898),IF(MATCH($V899,$V$6:$V$6005,0)=ROW()-5,N($AA898)+1,N($AA898)))</f>
        <v/>
      </c>
    </row>
    <row r="900" ht="21" customHeight="1" s="66">
      <c r="A900" s="56" t="n"/>
      <c r="B900" s="57" t="n"/>
      <c r="C900" s="57" t="n"/>
      <c r="D900" s="57" t="n"/>
      <c r="E900" s="56" t="n"/>
      <c r="F900" s="57" t="n"/>
      <c r="G900" s="57" t="n"/>
      <c r="H900" s="56" t="n"/>
      <c r="I900" s="56" t="n"/>
      <c r="J900" s="58" t="n"/>
      <c r="K900" s="58" t="n"/>
      <c r="L900" s="13">
        <f>IF(OR($A900="",AND($J900="",$K900="")),"",ROUND(N($J900)-N($K900),2))</f>
        <v/>
      </c>
      <c r="M900" s="13">
        <f>IF(OR($A900="",AND($J900="",$K900="")),"",MIN($J900,$K900))</f>
        <v/>
      </c>
      <c r="Q900">
        <f>IF($A900="","",$D900&amp;"("&amp;SUBSTITUTE($E900," ","")&amp;")")</f>
        <v/>
      </c>
      <c r="R900">
        <f>IF($A900="","",$B900&amp;" - "&amp;$C900)</f>
        <v/>
      </c>
      <c r="S900">
        <f>IF($A900="","",$R900&amp;"|"&amp;$Q900)</f>
        <v/>
      </c>
      <c r="T900">
        <f>IF($A900="","",$S900&amp;"|"&amp;$F900)</f>
        <v/>
      </c>
      <c r="U900">
        <f>IF($A900="","",$R900&amp;"("&amp;$E900&amp;")")</f>
        <v/>
      </c>
      <c r="V900">
        <f>IF($A900="","",$F900&amp;"|"&amp;$U900&amp;"|"&amp;$D900)</f>
        <v/>
      </c>
      <c r="W900">
        <f>IF($T900="","",IF($X900&gt;N($X899),$X900,""))</f>
        <v/>
      </c>
      <c r="X900">
        <f>IF($T900="",N($X899),IF(MATCH($T900,$T$6:$T$6005,0)=ROW()-5,N($X899)+1,N($X899)))</f>
        <v/>
      </c>
      <c r="Z900">
        <f>IF($V900="","",IF($AA900&gt;N($AA899),$AA900,""))</f>
        <v/>
      </c>
      <c r="AA900">
        <f>IF($V900="",N($AA899),IF(MATCH($V900,$V$6:$V$6005,0)=ROW()-5,N($AA899)+1,N($AA899)))</f>
        <v/>
      </c>
    </row>
    <row r="901" ht="21" customHeight="1" s="66">
      <c r="A901" s="56" t="n"/>
      <c r="B901" s="57" t="n"/>
      <c r="C901" s="57" t="n"/>
      <c r="D901" s="57" t="n"/>
      <c r="E901" s="56" t="n"/>
      <c r="F901" s="57" t="n"/>
      <c r="G901" s="57" t="n"/>
      <c r="H901" s="56" t="n"/>
      <c r="I901" s="56" t="n"/>
      <c r="J901" s="58" t="n"/>
      <c r="K901" s="58" t="n"/>
      <c r="L901" s="13">
        <f>IF(OR($A901="",AND($J901="",$K901="")),"",ROUND(N($J901)-N($K901),2))</f>
        <v/>
      </c>
      <c r="M901" s="13">
        <f>IF(OR($A901="",AND($J901="",$K901="")),"",MIN($J901,$K901))</f>
        <v/>
      </c>
      <c r="Q901">
        <f>IF($A901="","",$D901&amp;"("&amp;SUBSTITUTE($E901," ","")&amp;")")</f>
        <v/>
      </c>
      <c r="R901">
        <f>IF($A901="","",$B901&amp;" - "&amp;$C901)</f>
        <v/>
      </c>
      <c r="S901">
        <f>IF($A901="","",$R901&amp;"|"&amp;$Q901)</f>
        <v/>
      </c>
      <c r="T901">
        <f>IF($A901="","",$S901&amp;"|"&amp;$F901)</f>
        <v/>
      </c>
      <c r="U901">
        <f>IF($A901="","",$R901&amp;"("&amp;$E901&amp;")")</f>
        <v/>
      </c>
      <c r="V901">
        <f>IF($A901="","",$F901&amp;"|"&amp;$U901&amp;"|"&amp;$D901)</f>
        <v/>
      </c>
      <c r="W901">
        <f>IF($T901="","",IF($X901&gt;N($X900),$X901,""))</f>
        <v/>
      </c>
      <c r="X901">
        <f>IF($T901="",N($X900),IF(MATCH($T901,$T$6:$T$6005,0)=ROW()-5,N($X900)+1,N($X900)))</f>
        <v/>
      </c>
      <c r="Z901">
        <f>IF($V901="","",IF($AA901&gt;N($AA900),$AA901,""))</f>
        <v/>
      </c>
      <c r="AA901">
        <f>IF($V901="",N($AA900),IF(MATCH($V901,$V$6:$V$6005,0)=ROW()-5,N($AA900)+1,N($AA900)))</f>
        <v/>
      </c>
    </row>
    <row r="902" ht="21" customHeight="1" s="66">
      <c r="A902" s="56" t="n"/>
      <c r="B902" s="57" t="n"/>
      <c r="C902" s="57" t="n"/>
      <c r="D902" s="57" t="n"/>
      <c r="E902" s="56" t="n"/>
      <c r="F902" s="57" t="n"/>
      <c r="G902" s="57" t="n"/>
      <c r="H902" s="56" t="n"/>
      <c r="I902" s="56" t="n"/>
      <c r="J902" s="58" t="n"/>
      <c r="K902" s="58" t="n"/>
      <c r="L902" s="13">
        <f>IF(OR($A902="",AND($J902="",$K902="")),"",ROUND(N($J902)-N($K902),2))</f>
        <v/>
      </c>
      <c r="M902" s="13">
        <f>IF(OR($A902="",AND($J902="",$K902="")),"",MIN($J902,$K902))</f>
        <v/>
      </c>
      <c r="Q902">
        <f>IF($A902="","",$D902&amp;"("&amp;SUBSTITUTE($E902," ","")&amp;")")</f>
        <v/>
      </c>
      <c r="R902">
        <f>IF($A902="","",$B902&amp;" - "&amp;$C902)</f>
        <v/>
      </c>
      <c r="S902">
        <f>IF($A902="","",$R902&amp;"|"&amp;$Q902)</f>
        <v/>
      </c>
      <c r="T902">
        <f>IF($A902="","",$S902&amp;"|"&amp;$F902)</f>
        <v/>
      </c>
      <c r="U902">
        <f>IF($A902="","",$R902&amp;"("&amp;$E902&amp;")")</f>
        <v/>
      </c>
      <c r="V902">
        <f>IF($A902="","",$F902&amp;"|"&amp;$U902&amp;"|"&amp;$D902)</f>
        <v/>
      </c>
      <c r="W902">
        <f>IF($T902="","",IF($X902&gt;N($X901),$X902,""))</f>
        <v/>
      </c>
      <c r="X902">
        <f>IF($T902="",N($X901),IF(MATCH($T902,$T$6:$T$6005,0)=ROW()-5,N($X901)+1,N($X901)))</f>
        <v/>
      </c>
      <c r="Z902">
        <f>IF($V902="","",IF($AA902&gt;N($AA901),$AA902,""))</f>
        <v/>
      </c>
      <c r="AA902">
        <f>IF($V902="",N($AA901),IF(MATCH($V902,$V$6:$V$6005,0)=ROW()-5,N($AA901)+1,N($AA901)))</f>
        <v/>
      </c>
    </row>
    <row r="903" ht="21" customHeight="1" s="66">
      <c r="A903" s="56" t="n"/>
      <c r="B903" s="57" t="n"/>
      <c r="C903" s="57" t="n"/>
      <c r="D903" s="57" t="n"/>
      <c r="E903" s="56" t="n"/>
      <c r="F903" s="57" t="n"/>
      <c r="G903" s="57" t="n"/>
      <c r="H903" s="56" t="n"/>
      <c r="I903" s="56" t="n"/>
      <c r="J903" s="58" t="n"/>
      <c r="K903" s="58" t="n"/>
      <c r="L903" s="13">
        <f>IF(OR($A903="",AND($J903="",$K903="")),"",ROUND(N($J903)-N($K903),2))</f>
        <v/>
      </c>
      <c r="M903" s="13">
        <f>IF(OR($A903="",AND($J903="",$K903="")),"",MIN($J903,$K903))</f>
        <v/>
      </c>
      <c r="Q903">
        <f>IF($A903="","",$D903&amp;"("&amp;SUBSTITUTE($E903," ","")&amp;")")</f>
        <v/>
      </c>
      <c r="R903">
        <f>IF($A903="","",$B903&amp;" - "&amp;$C903)</f>
        <v/>
      </c>
      <c r="S903">
        <f>IF($A903="","",$R903&amp;"|"&amp;$Q903)</f>
        <v/>
      </c>
      <c r="T903">
        <f>IF($A903="","",$S903&amp;"|"&amp;$F903)</f>
        <v/>
      </c>
      <c r="U903">
        <f>IF($A903="","",$R903&amp;"("&amp;$E903&amp;")")</f>
        <v/>
      </c>
      <c r="V903">
        <f>IF($A903="","",$F903&amp;"|"&amp;$U903&amp;"|"&amp;$D903)</f>
        <v/>
      </c>
      <c r="W903">
        <f>IF($T903="","",IF($X903&gt;N($X902),$X903,""))</f>
        <v/>
      </c>
      <c r="X903">
        <f>IF($T903="",N($X902),IF(MATCH($T903,$T$6:$T$6005,0)=ROW()-5,N($X902)+1,N($X902)))</f>
        <v/>
      </c>
      <c r="Z903">
        <f>IF($V903="","",IF($AA903&gt;N($AA902),$AA903,""))</f>
        <v/>
      </c>
      <c r="AA903">
        <f>IF($V903="",N($AA902),IF(MATCH($V903,$V$6:$V$6005,0)=ROW()-5,N($AA902)+1,N($AA902)))</f>
        <v/>
      </c>
    </row>
    <row r="904" ht="21" customHeight="1" s="66">
      <c r="A904" s="56" t="n"/>
      <c r="B904" s="57" t="n"/>
      <c r="C904" s="57" t="n"/>
      <c r="D904" s="57" t="n"/>
      <c r="E904" s="56" t="n"/>
      <c r="F904" s="57" t="n"/>
      <c r="G904" s="57" t="n"/>
      <c r="H904" s="56" t="n"/>
      <c r="I904" s="56" t="n"/>
      <c r="J904" s="58" t="n"/>
      <c r="K904" s="58" t="n"/>
      <c r="L904" s="13">
        <f>IF(OR($A904="",AND($J904="",$K904="")),"",ROUND(N($J904)-N($K904),2))</f>
        <v/>
      </c>
      <c r="M904" s="13">
        <f>IF(OR($A904="",AND($J904="",$K904="")),"",MIN($J904,$K904))</f>
        <v/>
      </c>
      <c r="Q904">
        <f>IF($A904="","",$D904&amp;"("&amp;SUBSTITUTE($E904," ","")&amp;")")</f>
        <v/>
      </c>
      <c r="R904">
        <f>IF($A904="","",$B904&amp;" - "&amp;$C904)</f>
        <v/>
      </c>
      <c r="S904">
        <f>IF($A904="","",$R904&amp;"|"&amp;$Q904)</f>
        <v/>
      </c>
      <c r="T904">
        <f>IF($A904="","",$S904&amp;"|"&amp;$F904)</f>
        <v/>
      </c>
      <c r="U904">
        <f>IF($A904="","",$R904&amp;"("&amp;$E904&amp;")")</f>
        <v/>
      </c>
      <c r="V904">
        <f>IF($A904="","",$F904&amp;"|"&amp;$U904&amp;"|"&amp;$D904)</f>
        <v/>
      </c>
      <c r="W904">
        <f>IF($T904="","",IF($X904&gt;N($X903),$X904,""))</f>
        <v/>
      </c>
      <c r="X904">
        <f>IF($T904="",N($X903),IF(MATCH($T904,$T$6:$T$6005,0)=ROW()-5,N($X903)+1,N($X903)))</f>
        <v/>
      </c>
      <c r="Z904">
        <f>IF($V904="","",IF($AA904&gt;N($AA903),$AA904,""))</f>
        <v/>
      </c>
      <c r="AA904">
        <f>IF($V904="",N($AA903),IF(MATCH($V904,$V$6:$V$6005,0)=ROW()-5,N($AA903)+1,N($AA903)))</f>
        <v/>
      </c>
    </row>
    <row r="905" ht="21" customHeight="1" s="66">
      <c r="A905" s="56" t="n"/>
      <c r="B905" s="57" t="n"/>
      <c r="C905" s="57" t="n"/>
      <c r="D905" s="57" t="n"/>
      <c r="E905" s="56" t="n"/>
      <c r="F905" s="57" t="n"/>
      <c r="G905" s="57" t="n"/>
      <c r="H905" s="56" t="n"/>
      <c r="I905" s="56" t="n"/>
      <c r="J905" s="58" t="n"/>
      <c r="K905" s="58" t="n"/>
      <c r="L905" s="13">
        <f>IF(OR($A905="",AND($J905="",$K905="")),"",ROUND(N($J905)-N($K905),2))</f>
        <v/>
      </c>
      <c r="M905" s="13">
        <f>IF(OR($A905="",AND($J905="",$K905="")),"",MIN($J905,$K905))</f>
        <v/>
      </c>
      <c r="Q905">
        <f>IF($A905="","",$D905&amp;"("&amp;SUBSTITUTE($E905," ","")&amp;")")</f>
        <v/>
      </c>
      <c r="R905">
        <f>IF($A905="","",$B905&amp;" - "&amp;$C905)</f>
        <v/>
      </c>
      <c r="S905">
        <f>IF($A905="","",$R905&amp;"|"&amp;$Q905)</f>
        <v/>
      </c>
      <c r="T905">
        <f>IF($A905="","",$S905&amp;"|"&amp;$F905)</f>
        <v/>
      </c>
      <c r="U905">
        <f>IF($A905="","",$R905&amp;"("&amp;$E905&amp;")")</f>
        <v/>
      </c>
      <c r="V905">
        <f>IF($A905="","",$F905&amp;"|"&amp;$U905&amp;"|"&amp;$D905)</f>
        <v/>
      </c>
      <c r="W905">
        <f>IF($T905="","",IF($X905&gt;N($X904),$X905,""))</f>
        <v/>
      </c>
      <c r="X905">
        <f>IF($T905="",N($X904),IF(MATCH($T905,$T$6:$T$6005,0)=ROW()-5,N($X904)+1,N($X904)))</f>
        <v/>
      </c>
      <c r="Z905">
        <f>IF($V905="","",IF($AA905&gt;N($AA904),$AA905,""))</f>
        <v/>
      </c>
      <c r="AA905">
        <f>IF($V905="",N($AA904),IF(MATCH($V905,$V$6:$V$6005,0)=ROW()-5,N($AA904)+1,N($AA904)))</f>
        <v/>
      </c>
    </row>
    <row r="906" ht="21" customHeight="1" s="66">
      <c r="A906" s="56" t="n"/>
      <c r="B906" s="57" t="n"/>
      <c r="C906" s="57" t="n"/>
      <c r="D906" s="57" t="n"/>
      <c r="E906" s="56" t="n"/>
      <c r="F906" s="57" t="n"/>
      <c r="G906" s="57" t="n"/>
      <c r="H906" s="56" t="n"/>
      <c r="I906" s="56" t="n"/>
      <c r="J906" s="58" t="n"/>
      <c r="K906" s="58" t="n"/>
      <c r="L906" s="13">
        <f>IF(OR($A906="",AND($J906="",$K906="")),"",ROUND(N($J906)-N($K906),2))</f>
        <v/>
      </c>
      <c r="M906" s="13">
        <f>IF(OR($A906="",AND($J906="",$K906="")),"",MIN($J906,$K906))</f>
        <v/>
      </c>
      <c r="Q906">
        <f>IF($A906="","",$D906&amp;"("&amp;SUBSTITUTE($E906," ","")&amp;")")</f>
        <v/>
      </c>
      <c r="R906">
        <f>IF($A906="","",$B906&amp;" - "&amp;$C906)</f>
        <v/>
      </c>
      <c r="S906">
        <f>IF($A906="","",$R906&amp;"|"&amp;$Q906)</f>
        <v/>
      </c>
      <c r="T906">
        <f>IF($A906="","",$S906&amp;"|"&amp;$F906)</f>
        <v/>
      </c>
      <c r="U906">
        <f>IF($A906="","",$R906&amp;"("&amp;$E906&amp;")")</f>
        <v/>
      </c>
      <c r="V906">
        <f>IF($A906="","",$F906&amp;"|"&amp;$U906&amp;"|"&amp;$D906)</f>
        <v/>
      </c>
      <c r="W906">
        <f>IF($T906="","",IF($X906&gt;N($X905),$X906,""))</f>
        <v/>
      </c>
      <c r="X906">
        <f>IF($T906="",N($X905),IF(MATCH($T906,$T$6:$T$6005,0)=ROW()-5,N($X905)+1,N($X905)))</f>
        <v/>
      </c>
      <c r="Z906">
        <f>IF($V906="","",IF($AA906&gt;N($AA905),$AA906,""))</f>
        <v/>
      </c>
      <c r="AA906">
        <f>IF($V906="",N($AA905),IF(MATCH($V906,$V$6:$V$6005,0)=ROW()-5,N($AA905)+1,N($AA905)))</f>
        <v/>
      </c>
    </row>
    <row r="907" ht="21" customHeight="1" s="66">
      <c r="A907" s="56" t="n"/>
      <c r="B907" s="57" t="n"/>
      <c r="C907" s="57" t="n"/>
      <c r="D907" s="57" t="n"/>
      <c r="E907" s="56" t="n"/>
      <c r="F907" s="57" t="n"/>
      <c r="G907" s="57" t="n"/>
      <c r="H907" s="56" t="n"/>
      <c r="I907" s="56" t="n"/>
      <c r="J907" s="58" t="n"/>
      <c r="K907" s="58" t="n"/>
      <c r="L907" s="13">
        <f>IF(OR($A907="",AND($J907="",$K907="")),"",ROUND(N($J907)-N($K907),2))</f>
        <v/>
      </c>
      <c r="M907" s="13">
        <f>IF(OR($A907="",AND($J907="",$K907="")),"",MIN($J907,$K907))</f>
        <v/>
      </c>
      <c r="Q907">
        <f>IF($A907="","",$D907&amp;"("&amp;SUBSTITUTE($E907," ","")&amp;")")</f>
        <v/>
      </c>
      <c r="R907">
        <f>IF($A907="","",$B907&amp;" - "&amp;$C907)</f>
        <v/>
      </c>
      <c r="S907">
        <f>IF($A907="","",$R907&amp;"|"&amp;$Q907)</f>
        <v/>
      </c>
      <c r="T907">
        <f>IF($A907="","",$S907&amp;"|"&amp;$F907)</f>
        <v/>
      </c>
      <c r="U907">
        <f>IF($A907="","",$R907&amp;"("&amp;$E907&amp;")")</f>
        <v/>
      </c>
      <c r="V907">
        <f>IF($A907="","",$F907&amp;"|"&amp;$U907&amp;"|"&amp;$D907)</f>
        <v/>
      </c>
      <c r="W907">
        <f>IF($T907="","",IF($X907&gt;N($X906),$X907,""))</f>
        <v/>
      </c>
      <c r="X907">
        <f>IF($T907="",N($X906),IF(MATCH($T907,$T$6:$T$6005,0)=ROW()-5,N($X906)+1,N($X906)))</f>
        <v/>
      </c>
      <c r="Z907">
        <f>IF($V907="","",IF($AA907&gt;N($AA906),$AA907,""))</f>
        <v/>
      </c>
      <c r="AA907">
        <f>IF($V907="",N($AA906),IF(MATCH($V907,$V$6:$V$6005,0)=ROW()-5,N($AA906)+1,N($AA906)))</f>
        <v/>
      </c>
    </row>
    <row r="908" ht="21" customHeight="1" s="66">
      <c r="A908" s="56" t="n"/>
      <c r="B908" s="57" t="n"/>
      <c r="C908" s="57" t="n"/>
      <c r="D908" s="57" t="n"/>
      <c r="E908" s="56" t="n"/>
      <c r="F908" s="57" t="n"/>
      <c r="G908" s="57" t="n"/>
      <c r="H908" s="56" t="n"/>
      <c r="I908" s="56" t="n"/>
      <c r="J908" s="58" t="n"/>
      <c r="K908" s="58" t="n"/>
      <c r="L908" s="13">
        <f>IF(OR($A908="",AND($J908="",$K908="")),"",ROUND(N($J908)-N($K908),2))</f>
        <v/>
      </c>
      <c r="M908" s="13">
        <f>IF(OR($A908="",AND($J908="",$K908="")),"",MIN($J908,$K908))</f>
        <v/>
      </c>
      <c r="Q908">
        <f>IF($A908="","",$D908&amp;"("&amp;SUBSTITUTE($E908," ","")&amp;")")</f>
        <v/>
      </c>
      <c r="R908">
        <f>IF($A908="","",$B908&amp;" - "&amp;$C908)</f>
        <v/>
      </c>
      <c r="S908">
        <f>IF($A908="","",$R908&amp;"|"&amp;$Q908)</f>
        <v/>
      </c>
      <c r="T908">
        <f>IF($A908="","",$S908&amp;"|"&amp;$F908)</f>
        <v/>
      </c>
      <c r="U908">
        <f>IF($A908="","",$R908&amp;"("&amp;$E908&amp;")")</f>
        <v/>
      </c>
      <c r="V908">
        <f>IF($A908="","",$F908&amp;"|"&amp;$U908&amp;"|"&amp;$D908)</f>
        <v/>
      </c>
      <c r="W908">
        <f>IF($T908="","",IF($X908&gt;N($X907),$X908,""))</f>
        <v/>
      </c>
      <c r="X908">
        <f>IF($T908="",N($X907),IF(MATCH($T908,$T$6:$T$6005,0)=ROW()-5,N($X907)+1,N($X907)))</f>
        <v/>
      </c>
      <c r="Z908">
        <f>IF($V908="","",IF($AA908&gt;N($AA907),$AA908,""))</f>
        <v/>
      </c>
      <c r="AA908">
        <f>IF($V908="",N($AA907),IF(MATCH($V908,$V$6:$V$6005,0)=ROW()-5,N($AA907)+1,N($AA907)))</f>
        <v/>
      </c>
    </row>
    <row r="909" ht="21" customHeight="1" s="66">
      <c r="A909" s="56" t="n"/>
      <c r="B909" s="57" t="n"/>
      <c r="C909" s="57" t="n"/>
      <c r="D909" s="57" t="n"/>
      <c r="E909" s="56" t="n"/>
      <c r="F909" s="57" t="n"/>
      <c r="G909" s="57" t="n"/>
      <c r="H909" s="56" t="n"/>
      <c r="I909" s="56" t="n"/>
      <c r="J909" s="58" t="n"/>
      <c r="K909" s="58" t="n"/>
      <c r="L909" s="13">
        <f>IF(OR($A909="",AND($J909="",$K909="")),"",ROUND(N($J909)-N($K909),2))</f>
        <v/>
      </c>
      <c r="M909" s="13">
        <f>IF(OR($A909="",AND($J909="",$K909="")),"",MIN($J909,$K909))</f>
        <v/>
      </c>
      <c r="Q909">
        <f>IF($A909="","",$D909&amp;"("&amp;SUBSTITUTE($E909," ","")&amp;")")</f>
        <v/>
      </c>
      <c r="R909">
        <f>IF($A909="","",$B909&amp;" - "&amp;$C909)</f>
        <v/>
      </c>
      <c r="S909">
        <f>IF($A909="","",$R909&amp;"|"&amp;$Q909)</f>
        <v/>
      </c>
      <c r="T909">
        <f>IF($A909="","",$S909&amp;"|"&amp;$F909)</f>
        <v/>
      </c>
      <c r="U909">
        <f>IF($A909="","",$R909&amp;"("&amp;$E909&amp;")")</f>
        <v/>
      </c>
      <c r="V909">
        <f>IF($A909="","",$F909&amp;"|"&amp;$U909&amp;"|"&amp;$D909)</f>
        <v/>
      </c>
      <c r="W909">
        <f>IF($T909="","",IF($X909&gt;N($X908),$X909,""))</f>
        <v/>
      </c>
      <c r="X909">
        <f>IF($T909="",N($X908),IF(MATCH($T909,$T$6:$T$6005,0)=ROW()-5,N($X908)+1,N($X908)))</f>
        <v/>
      </c>
      <c r="Z909">
        <f>IF($V909="","",IF($AA909&gt;N($AA908),$AA909,""))</f>
        <v/>
      </c>
      <c r="AA909">
        <f>IF($V909="",N($AA908),IF(MATCH($V909,$V$6:$V$6005,0)=ROW()-5,N($AA908)+1,N($AA908)))</f>
        <v/>
      </c>
    </row>
    <row r="910" ht="21" customHeight="1" s="66">
      <c r="A910" s="56" t="n"/>
      <c r="B910" s="57" t="n"/>
      <c r="C910" s="57" t="n"/>
      <c r="D910" s="57" t="n"/>
      <c r="E910" s="56" t="n"/>
      <c r="F910" s="57" t="n"/>
      <c r="G910" s="57" t="n"/>
      <c r="H910" s="56" t="n"/>
      <c r="I910" s="56" t="n"/>
      <c r="J910" s="58" t="n"/>
      <c r="K910" s="58" t="n"/>
      <c r="L910" s="13">
        <f>IF(OR($A910="",AND($J910="",$K910="")),"",ROUND(N($J910)-N($K910),2))</f>
        <v/>
      </c>
      <c r="M910" s="13">
        <f>IF(OR($A910="",AND($J910="",$K910="")),"",MIN($J910,$K910))</f>
        <v/>
      </c>
      <c r="Q910">
        <f>IF($A910="","",$D910&amp;"("&amp;SUBSTITUTE($E910," ","")&amp;")")</f>
        <v/>
      </c>
      <c r="R910">
        <f>IF($A910="","",$B910&amp;" - "&amp;$C910)</f>
        <v/>
      </c>
      <c r="S910">
        <f>IF($A910="","",$R910&amp;"|"&amp;$Q910)</f>
        <v/>
      </c>
      <c r="T910">
        <f>IF($A910="","",$S910&amp;"|"&amp;$F910)</f>
        <v/>
      </c>
      <c r="U910">
        <f>IF($A910="","",$R910&amp;"("&amp;$E910&amp;")")</f>
        <v/>
      </c>
      <c r="V910">
        <f>IF($A910="","",$F910&amp;"|"&amp;$U910&amp;"|"&amp;$D910)</f>
        <v/>
      </c>
      <c r="W910">
        <f>IF($T910="","",IF($X910&gt;N($X909),$X910,""))</f>
        <v/>
      </c>
      <c r="X910">
        <f>IF($T910="",N($X909),IF(MATCH($T910,$T$6:$T$6005,0)=ROW()-5,N($X909)+1,N($X909)))</f>
        <v/>
      </c>
      <c r="Z910">
        <f>IF($V910="","",IF($AA910&gt;N($AA909),$AA910,""))</f>
        <v/>
      </c>
      <c r="AA910">
        <f>IF($V910="",N($AA909),IF(MATCH($V910,$V$6:$V$6005,0)=ROW()-5,N($AA909)+1,N($AA909)))</f>
        <v/>
      </c>
    </row>
    <row r="911" ht="21" customHeight="1" s="66">
      <c r="A911" s="56" t="n"/>
      <c r="B911" s="57" t="n"/>
      <c r="C911" s="57" t="n"/>
      <c r="D911" s="57" t="n"/>
      <c r="E911" s="56" t="n"/>
      <c r="F911" s="57" t="n"/>
      <c r="G911" s="57" t="n"/>
      <c r="H911" s="56" t="n"/>
      <c r="I911" s="56" t="n"/>
      <c r="J911" s="58" t="n"/>
      <c r="K911" s="58" t="n"/>
      <c r="L911" s="13">
        <f>IF(OR($A911="",AND($J911="",$K911="")),"",ROUND(N($J911)-N($K911),2))</f>
        <v/>
      </c>
      <c r="M911" s="13">
        <f>IF(OR($A911="",AND($J911="",$K911="")),"",MIN($J911,$K911))</f>
        <v/>
      </c>
      <c r="Q911">
        <f>IF($A911="","",$D911&amp;"("&amp;SUBSTITUTE($E911," ","")&amp;")")</f>
        <v/>
      </c>
      <c r="R911">
        <f>IF($A911="","",$B911&amp;" - "&amp;$C911)</f>
        <v/>
      </c>
      <c r="S911">
        <f>IF($A911="","",$R911&amp;"|"&amp;$Q911)</f>
        <v/>
      </c>
      <c r="T911">
        <f>IF($A911="","",$S911&amp;"|"&amp;$F911)</f>
        <v/>
      </c>
      <c r="U911">
        <f>IF($A911="","",$R911&amp;"("&amp;$E911&amp;")")</f>
        <v/>
      </c>
      <c r="V911">
        <f>IF($A911="","",$F911&amp;"|"&amp;$U911&amp;"|"&amp;$D911)</f>
        <v/>
      </c>
      <c r="W911">
        <f>IF($T911="","",IF($X911&gt;N($X910),$X911,""))</f>
        <v/>
      </c>
      <c r="X911">
        <f>IF($T911="",N($X910),IF(MATCH($T911,$T$6:$T$6005,0)=ROW()-5,N($X910)+1,N($X910)))</f>
        <v/>
      </c>
      <c r="Z911">
        <f>IF($V911="","",IF($AA911&gt;N($AA910),$AA911,""))</f>
        <v/>
      </c>
      <c r="AA911">
        <f>IF($V911="",N($AA910),IF(MATCH($V911,$V$6:$V$6005,0)=ROW()-5,N($AA910)+1,N($AA910)))</f>
        <v/>
      </c>
    </row>
    <row r="912" ht="21" customHeight="1" s="66">
      <c r="A912" s="56" t="n"/>
      <c r="B912" s="57" t="n"/>
      <c r="C912" s="57" t="n"/>
      <c r="D912" s="57" t="n"/>
      <c r="E912" s="56" t="n"/>
      <c r="F912" s="57" t="n"/>
      <c r="G912" s="57" t="n"/>
      <c r="H912" s="56" t="n"/>
      <c r="I912" s="56" t="n"/>
      <c r="J912" s="58" t="n"/>
      <c r="K912" s="58" t="n"/>
      <c r="L912" s="13">
        <f>IF(OR($A912="",AND($J912="",$K912="")),"",ROUND(N($J912)-N($K912),2))</f>
        <v/>
      </c>
      <c r="M912" s="13">
        <f>IF(OR($A912="",AND($J912="",$K912="")),"",MIN($J912,$K912))</f>
        <v/>
      </c>
      <c r="Q912">
        <f>IF($A912="","",$D912&amp;"("&amp;SUBSTITUTE($E912," ","")&amp;")")</f>
        <v/>
      </c>
      <c r="R912">
        <f>IF($A912="","",$B912&amp;" - "&amp;$C912)</f>
        <v/>
      </c>
      <c r="S912">
        <f>IF($A912="","",$R912&amp;"|"&amp;$Q912)</f>
        <v/>
      </c>
      <c r="T912">
        <f>IF($A912="","",$S912&amp;"|"&amp;$F912)</f>
        <v/>
      </c>
      <c r="U912">
        <f>IF($A912="","",$R912&amp;"("&amp;$E912&amp;")")</f>
        <v/>
      </c>
      <c r="V912">
        <f>IF($A912="","",$F912&amp;"|"&amp;$U912&amp;"|"&amp;$D912)</f>
        <v/>
      </c>
      <c r="W912">
        <f>IF($T912="","",IF($X912&gt;N($X911),$X912,""))</f>
        <v/>
      </c>
      <c r="X912">
        <f>IF($T912="",N($X911),IF(MATCH($T912,$T$6:$T$6005,0)=ROW()-5,N($X911)+1,N($X911)))</f>
        <v/>
      </c>
      <c r="Z912">
        <f>IF($V912="","",IF($AA912&gt;N($AA911),$AA912,""))</f>
        <v/>
      </c>
      <c r="AA912">
        <f>IF($V912="",N($AA911),IF(MATCH($V912,$V$6:$V$6005,0)=ROW()-5,N($AA911)+1,N($AA911)))</f>
        <v/>
      </c>
    </row>
    <row r="913" ht="21" customHeight="1" s="66">
      <c r="A913" s="56" t="n"/>
      <c r="B913" s="57" t="n"/>
      <c r="C913" s="57" t="n"/>
      <c r="D913" s="57" t="n"/>
      <c r="E913" s="56" t="n"/>
      <c r="F913" s="57" t="n"/>
      <c r="G913" s="57" t="n"/>
      <c r="H913" s="56" t="n"/>
      <c r="I913" s="56" t="n"/>
      <c r="J913" s="58" t="n"/>
      <c r="K913" s="58" t="n"/>
      <c r="L913" s="13">
        <f>IF(OR($A913="",AND($J913="",$K913="")),"",ROUND(N($J913)-N($K913),2))</f>
        <v/>
      </c>
      <c r="M913" s="13">
        <f>IF(OR($A913="",AND($J913="",$K913="")),"",MIN($J913,$K913))</f>
        <v/>
      </c>
      <c r="Q913">
        <f>IF($A913="","",$D913&amp;"("&amp;SUBSTITUTE($E913," ","")&amp;")")</f>
        <v/>
      </c>
      <c r="R913">
        <f>IF($A913="","",$B913&amp;" - "&amp;$C913)</f>
        <v/>
      </c>
      <c r="S913">
        <f>IF($A913="","",$R913&amp;"|"&amp;$Q913)</f>
        <v/>
      </c>
      <c r="T913">
        <f>IF($A913="","",$S913&amp;"|"&amp;$F913)</f>
        <v/>
      </c>
      <c r="U913">
        <f>IF($A913="","",$R913&amp;"("&amp;$E913&amp;")")</f>
        <v/>
      </c>
      <c r="V913">
        <f>IF($A913="","",$F913&amp;"|"&amp;$U913&amp;"|"&amp;$D913)</f>
        <v/>
      </c>
      <c r="W913">
        <f>IF($T913="","",IF($X913&gt;N($X912),$X913,""))</f>
        <v/>
      </c>
      <c r="X913">
        <f>IF($T913="",N($X912),IF(MATCH($T913,$T$6:$T$6005,0)=ROW()-5,N($X912)+1,N($X912)))</f>
        <v/>
      </c>
      <c r="Z913">
        <f>IF($V913="","",IF($AA913&gt;N($AA912),$AA913,""))</f>
        <v/>
      </c>
      <c r="AA913">
        <f>IF($V913="",N($AA912),IF(MATCH($V913,$V$6:$V$6005,0)=ROW()-5,N($AA912)+1,N($AA912)))</f>
        <v/>
      </c>
    </row>
    <row r="914" ht="21" customHeight="1" s="66">
      <c r="A914" s="56" t="n"/>
      <c r="B914" s="57" t="n"/>
      <c r="C914" s="57" t="n"/>
      <c r="D914" s="57" t="n"/>
      <c r="E914" s="56" t="n"/>
      <c r="F914" s="57" t="n"/>
      <c r="G914" s="57" t="n"/>
      <c r="H914" s="56" t="n"/>
      <c r="I914" s="56" t="n"/>
      <c r="J914" s="58" t="n"/>
      <c r="K914" s="58" t="n"/>
      <c r="L914" s="13">
        <f>IF(OR($A914="",AND($J914="",$K914="")),"",ROUND(N($J914)-N($K914),2))</f>
        <v/>
      </c>
      <c r="M914" s="13">
        <f>IF(OR($A914="",AND($J914="",$K914="")),"",MIN($J914,$K914))</f>
        <v/>
      </c>
      <c r="Q914">
        <f>IF($A914="","",$D914&amp;"("&amp;SUBSTITUTE($E914," ","")&amp;")")</f>
        <v/>
      </c>
      <c r="R914">
        <f>IF($A914="","",$B914&amp;" - "&amp;$C914)</f>
        <v/>
      </c>
      <c r="S914">
        <f>IF($A914="","",$R914&amp;"|"&amp;$Q914)</f>
        <v/>
      </c>
      <c r="T914">
        <f>IF($A914="","",$S914&amp;"|"&amp;$F914)</f>
        <v/>
      </c>
      <c r="U914">
        <f>IF($A914="","",$R914&amp;"("&amp;$E914&amp;")")</f>
        <v/>
      </c>
      <c r="V914">
        <f>IF($A914="","",$F914&amp;"|"&amp;$U914&amp;"|"&amp;$D914)</f>
        <v/>
      </c>
      <c r="W914">
        <f>IF($T914="","",IF($X914&gt;N($X913),$X914,""))</f>
        <v/>
      </c>
      <c r="X914">
        <f>IF($T914="",N($X913),IF(MATCH($T914,$T$6:$T$6005,0)=ROW()-5,N($X913)+1,N($X913)))</f>
        <v/>
      </c>
      <c r="Z914">
        <f>IF($V914="","",IF($AA914&gt;N($AA913),$AA914,""))</f>
        <v/>
      </c>
      <c r="AA914">
        <f>IF($V914="",N($AA913),IF(MATCH($V914,$V$6:$V$6005,0)=ROW()-5,N($AA913)+1,N($AA913)))</f>
        <v/>
      </c>
    </row>
    <row r="915" ht="21" customHeight="1" s="66">
      <c r="A915" s="56" t="n"/>
      <c r="B915" s="57" t="n"/>
      <c r="C915" s="57" t="n"/>
      <c r="D915" s="57" t="n"/>
      <c r="E915" s="56" t="n"/>
      <c r="F915" s="57" t="n"/>
      <c r="G915" s="57" t="n"/>
      <c r="H915" s="56" t="n"/>
      <c r="I915" s="56" t="n"/>
      <c r="J915" s="58" t="n"/>
      <c r="K915" s="58" t="n"/>
      <c r="L915" s="13">
        <f>IF(OR($A915="",AND($J915="",$K915="")),"",ROUND(N($J915)-N($K915),2))</f>
        <v/>
      </c>
      <c r="M915" s="13">
        <f>IF(OR($A915="",AND($J915="",$K915="")),"",MIN($J915,$K915))</f>
        <v/>
      </c>
      <c r="Q915">
        <f>IF($A915="","",$D915&amp;"("&amp;SUBSTITUTE($E915," ","")&amp;")")</f>
        <v/>
      </c>
      <c r="R915">
        <f>IF($A915="","",$B915&amp;" - "&amp;$C915)</f>
        <v/>
      </c>
      <c r="S915">
        <f>IF($A915="","",$R915&amp;"|"&amp;$Q915)</f>
        <v/>
      </c>
      <c r="T915">
        <f>IF($A915="","",$S915&amp;"|"&amp;$F915)</f>
        <v/>
      </c>
      <c r="U915">
        <f>IF($A915="","",$R915&amp;"("&amp;$E915&amp;")")</f>
        <v/>
      </c>
      <c r="V915">
        <f>IF($A915="","",$F915&amp;"|"&amp;$U915&amp;"|"&amp;$D915)</f>
        <v/>
      </c>
      <c r="W915">
        <f>IF($T915="","",IF($X915&gt;N($X914),$X915,""))</f>
        <v/>
      </c>
      <c r="X915">
        <f>IF($T915="",N($X914),IF(MATCH($T915,$T$6:$T$6005,0)=ROW()-5,N($X914)+1,N($X914)))</f>
        <v/>
      </c>
      <c r="Z915">
        <f>IF($V915="","",IF($AA915&gt;N($AA914),$AA915,""))</f>
        <v/>
      </c>
      <c r="AA915">
        <f>IF($V915="",N($AA914),IF(MATCH($V915,$V$6:$V$6005,0)=ROW()-5,N($AA914)+1,N($AA914)))</f>
        <v/>
      </c>
    </row>
    <row r="916" ht="21" customHeight="1" s="66">
      <c r="A916" s="56" t="n"/>
      <c r="B916" s="57" t="n"/>
      <c r="C916" s="57" t="n"/>
      <c r="D916" s="57" t="n"/>
      <c r="E916" s="56" t="n"/>
      <c r="F916" s="57" t="n"/>
      <c r="G916" s="57" t="n"/>
      <c r="H916" s="56" t="n"/>
      <c r="I916" s="56" t="n"/>
      <c r="J916" s="58" t="n"/>
      <c r="K916" s="58" t="n"/>
      <c r="L916" s="13">
        <f>IF(OR($A916="",AND($J916="",$K916="")),"",ROUND(N($J916)-N($K916),2))</f>
        <v/>
      </c>
      <c r="M916" s="13">
        <f>IF(OR($A916="",AND($J916="",$K916="")),"",MIN($J916,$K916))</f>
        <v/>
      </c>
      <c r="Q916">
        <f>IF($A916="","",$D916&amp;"("&amp;SUBSTITUTE($E916," ","")&amp;")")</f>
        <v/>
      </c>
      <c r="R916">
        <f>IF($A916="","",$B916&amp;" - "&amp;$C916)</f>
        <v/>
      </c>
      <c r="S916">
        <f>IF($A916="","",$R916&amp;"|"&amp;$Q916)</f>
        <v/>
      </c>
      <c r="T916">
        <f>IF($A916="","",$S916&amp;"|"&amp;$F916)</f>
        <v/>
      </c>
      <c r="U916">
        <f>IF($A916="","",$R916&amp;"("&amp;$E916&amp;")")</f>
        <v/>
      </c>
      <c r="V916">
        <f>IF($A916="","",$F916&amp;"|"&amp;$U916&amp;"|"&amp;$D916)</f>
        <v/>
      </c>
      <c r="W916">
        <f>IF($T916="","",IF($X916&gt;N($X915),$X916,""))</f>
        <v/>
      </c>
      <c r="X916">
        <f>IF($T916="",N($X915),IF(MATCH($T916,$T$6:$T$6005,0)=ROW()-5,N($X915)+1,N($X915)))</f>
        <v/>
      </c>
      <c r="Z916">
        <f>IF($V916="","",IF($AA916&gt;N($AA915),$AA916,""))</f>
        <v/>
      </c>
      <c r="AA916">
        <f>IF($V916="",N($AA915),IF(MATCH($V916,$V$6:$V$6005,0)=ROW()-5,N($AA915)+1,N($AA915)))</f>
        <v/>
      </c>
    </row>
    <row r="917" ht="21" customHeight="1" s="66">
      <c r="A917" s="56" t="n"/>
      <c r="B917" s="57" t="n"/>
      <c r="C917" s="57" t="n"/>
      <c r="D917" s="57" t="n"/>
      <c r="E917" s="56" t="n"/>
      <c r="F917" s="57" t="n"/>
      <c r="G917" s="57" t="n"/>
      <c r="H917" s="56" t="n"/>
      <c r="I917" s="56" t="n"/>
      <c r="J917" s="58" t="n"/>
      <c r="K917" s="58" t="n"/>
      <c r="L917" s="13">
        <f>IF(OR($A917="",AND($J917="",$K917="")),"",ROUND(N($J917)-N($K917),2))</f>
        <v/>
      </c>
      <c r="M917" s="13">
        <f>IF(OR($A917="",AND($J917="",$K917="")),"",MIN($J917,$K917))</f>
        <v/>
      </c>
      <c r="Q917">
        <f>IF($A917="","",$D917&amp;"("&amp;SUBSTITUTE($E917," ","")&amp;")")</f>
        <v/>
      </c>
      <c r="R917">
        <f>IF($A917="","",$B917&amp;" - "&amp;$C917)</f>
        <v/>
      </c>
      <c r="S917">
        <f>IF($A917="","",$R917&amp;"|"&amp;$Q917)</f>
        <v/>
      </c>
      <c r="T917">
        <f>IF($A917="","",$S917&amp;"|"&amp;$F917)</f>
        <v/>
      </c>
      <c r="U917">
        <f>IF($A917="","",$R917&amp;"("&amp;$E917&amp;")")</f>
        <v/>
      </c>
      <c r="V917">
        <f>IF($A917="","",$F917&amp;"|"&amp;$U917&amp;"|"&amp;$D917)</f>
        <v/>
      </c>
      <c r="W917">
        <f>IF($T917="","",IF($X917&gt;N($X916),$X917,""))</f>
        <v/>
      </c>
      <c r="X917">
        <f>IF($T917="",N($X916),IF(MATCH($T917,$T$6:$T$6005,0)=ROW()-5,N($X916)+1,N($X916)))</f>
        <v/>
      </c>
      <c r="Z917">
        <f>IF($V917="","",IF($AA917&gt;N($AA916),$AA917,""))</f>
        <v/>
      </c>
      <c r="AA917">
        <f>IF($V917="",N($AA916),IF(MATCH($V917,$V$6:$V$6005,0)=ROW()-5,N($AA916)+1,N($AA916)))</f>
        <v/>
      </c>
    </row>
    <row r="918" ht="21" customHeight="1" s="66">
      <c r="A918" s="56" t="n"/>
      <c r="B918" s="57" t="n"/>
      <c r="C918" s="57" t="n"/>
      <c r="D918" s="57" t="n"/>
      <c r="E918" s="56" t="n"/>
      <c r="F918" s="57" t="n"/>
      <c r="G918" s="57" t="n"/>
      <c r="H918" s="56" t="n"/>
      <c r="I918" s="56" t="n"/>
      <c r="J918" s="58" t="n"/>
      <c r="K918" s="58" t="n"/>
      <c r="L918" s="13">
        <f>IF(OR($A918="",AND($J918="",$K918="")),"",ROUND(N($J918)-N($K918),2))</f>
        <v/>
      </c>
      <c r="M918" s="13">
        <f>IF(OR($A918="",AND($J918="",$K918="")),"",MIN($J918,$K918))</f>
        <v/>
      </c>
      <c r="Q918">
        <f>IF($A918="","",$D918&amp;"("&amp;SUBSTITUTE($E918," ","")&amp;")")</f>
        <v/>
      </c>
      <c r="R918">
        <f>IF($A918="","",$B918&amp;" - "&amp;$C918)</f>
        <v/>
      </c>
      <c r="S918">
        <f>IF($A918="","",$R918&amp;"|"&amp;$Q918)</f>
        <v/>
      </c>
      <c r="T918">
        <f>IF($A918="","",$S918&amp;"|"&amp;$F918)</f>
        <v/>
      </c>
      <c r="U918">
        <f>IF($A918="","",$R918&amp;"("&amp;$E918&amp;")")</f>
        <v/>
      </c>
      <c r="V918">
        <f>IF($A918="","",$F918&amp;"|"&amp;$U918&amp;"|"&amp;$D918)</f>
        <v/>
      </c>
      <c r="W918">
        <f>IF($T918="","",IF($X918&gt;N($X917),$X918,""))</f>
        <v/>
      </c>
      <c r="X918">
        <f>IF($T918="",N($X917),IF(MATCH($T918,$T$6:$T$6005,0)=ROW()-5,N($X917)+1,N($X917)))</f>
        <v/>
      </c>
      <c r="Z918">
        <f>IF($V918="","",IF($AA918&gt;N($AA917),$AA918,""))</f>
        <v/>
      </c>
      <c r="AA918">
        <f>IF($V918="",N($AA917),IF(MATCH($V918,$V$6:$V$6005,0)=ROW()-5,N($AA917)+1,N($AA917)))</f>
        <v/>
      </c>
    </row>
    <row r="919" ht="21" customHeight="1" s="66">
      <c r="A919" s="56" t="n"/>
      <c r="B919" s="57" t="n"/>
      <c r="C919" s="57" t="n"/>
      <c r="D919" s="57" t="n"/>
      <c r="E919" s="56" t="n"/>
      <c r="F919" s="57" t="n"/>
      <c r="G919" s="57" t="n"/>
      <c r="H919" s="56" t="n"/>
      <c r="I919" s="56" t="n"/>
      <c r="J919" s="58" t="n"/>
      <c r="K919" s="58" t="n"/>
      <c r="L919" s="13">
        <f>IF(OR($A919="",AND($J919="",$K919="")),"",ROUND(N($J919)-N($K919),2))</f>
        <v/>
      </c>
      <c r="M919" s="13">
        <f>IF(OR($A919="",AND($J919="",$K919="")),"",MIN($J919,$K919))</f>
        <v/>
      </c>
      <c r="Q919">
        <f>IF($A919="","",$D919&amp;"("&amp;SUBSTITUTE($E919," ","")&amp;")")</f>
        <v/>
      </c>
      <c r="R919">
        <f>IF($A919="","",$B919&amp;" - "&amp;$C919)</f>
        <v/>
      </c>
      <c r="S919">
        <f>IF($A919="","",$R919&amp;"|"&amp;$Q919)</f>
        <v/>
      </c>
      <c r="T919">
        <f>IF($A919="","",$S919&amp;"|"&amp;$F919)</f>
        <v/>
      </c>
      <c r="U919">
        <f>IF($A919="","",$R919&amp;"("&amp;$E919&amp;")")</f>
        <v/>
      </c>
      <c r="V919">
        <f>IF($A919="","",$F919&amp;"|"&amp;$U919&amp;"|"&amp;$D919)</f>
        <v/>
      </c>
      <c r="W919">
        <f>IF($T919="","",IF($X919&gt;N($X918),$X919,""))</f>
        <v/>
      </c>
      <c r="X919">
        <f>IF($T919="",N($X918),IF(MATCH($T919,$T$6:$T$6005,0)=ROW()-5,N($X918)+1,N($X918)))</f>
        <v/>
      </c>
      <c r="Z919">
        <f>IF($V919="","",IF($AA919&gt;N($AA918),$AA919,""))</f>
        <v/>
      </c>
      <c r="AA919">
        <f>IF($V919="",N($AA918),IF(MATCH($V919,$V$6:$V$6005,0)=ROW()-5,N($AA918)+1,N($AA918)))</f>
        <v/>
      </c>
    </row>
    <row r="920" ht="21" customHeight="1" s="66">
      <c r="A920" s="56" t="n"/>
      <c r="B920" s="57" t="n"/>
      <c r="C920" s="57" t="n"/>
      <c r="D920" s="57" t="n"/>
      <c r="E920" s="56" t="n"/>
      <c r="F920" s="57" t="n"/>
      <c r="G920" s="57" t="n"/>
      <c r="H920" s="56" t="n"/>
      <c r="I920" s="56" t="n"/>
      <c r="J920" s="58" t="n"/>
      <c r="K920" s="58" t="n"/>
      <c r="L920" s="13">
        <f>IF(OR($A920="",AND($J920="",$K920="")),"",ROUND(N($J920)-N($K920),2))</f>
        <v/>
      </c>
      <c r="M920" s="13">
        <f>IF(OR($A920="",AND($J920="",$K920="")),"",MIN($J920,$K920))</f>
        <v/>
      </c>
      <c r="Q920">
        <f>IF($A920="","",$D920&amp;"("&amp;SUBSTITUTE($E920," ","")&amp;")")</f>
        <v/>
      </c>
      <c r="R920">
        <f>IF($A920="","",$B920&amp;" - "&amp;$C920)</f>
        <v/>
      </c>
      <c r="S920">
        <f>IF($A920="","",$R920&amp;"|"&amp;$Q920)</f>
        <v/>
      </c>
      <c r="T920">
        <f>IF($A920="","",$S920&amp;"|"&amp;$F920)</f>
        <v/>
      </c>
      <c r="U920">
        <f>IF($A920="","",$R920&amp;"("&amp;$E920&amp;")")</f>
        <v/>
      </c>
      <c r="V920">
        <f>IF($A920="","",$F920&amp;"|"&amp;$U920&amp;"|"&amp;$D920)</f>
        <v/>
      </c>
      <c r="W920">
        <f>IF($T920="","",IF($X920&gt;N($X919),$X920,""))</f>
        <v/>
      </c>
      <c r="X920">
        <f>IF($T920="",N($X919),IF(MATCH($T920,$T$6:$T$6005,0)=ROW()-5,N($X919)+1,N($X919)))</f>
        <v/>
      </c>
      <c r="Z920">
        <f>IF($V920="","",IF($AA920&gt;N($AA919),$AA920,""))</f>
        <v/>
      </c>
      <c r="AA920">
        <f>IF($V920="",N($AA919),IF(MATCH($V920,$V$6:$V$6005,0)=ROW()-5,N($AA919)+1,N($AA919)))</f>
        <v/>
      </c>
    </row>
    <row r="921" ht="21" customHeight="1" s="66">
      <c r="A921" s="56" t="n"/>
      <c r="B921" s="57" t="n"/>
      <c r="C921" s="57" t="n"/>
      <c r="D921" s="57" t="n"/>
      <c r="E921" s="56" t="n"/>
      <c r="F921" s="57" t="n"/>
      <c r="G921" s="57" t="n"/>
      <c r="H921" s="56" t="n"/>
      <c r="I921" s="56" t="n"/>
      <c r="J921" s="58" t="n"/>
      <c r="K921" s="58" t="n"/>
      <c r="L921" s="13">
        <f>IF(OR($A921="",AND($J921="",$K921="")),"",ROUND(N($J921)-N($K921),2))</f>
        <v/>
      </c>
      <c r="M921" s="13">
        <f>IF(OR($A921="",AND($J921="",$K921="")),"",MIN($J921,$K921))</f>
        <v/>
      </c>
      <c r="Q921">
        <f>IF($A921="","",$D921&amp;"("&amp;SUBSTITUTE($E921," ","")&amp;")")</f>
        <v/>
      </c>
      <c r="R921">
        <f>IF($A921="","",$B921&amp;" - "&amp;$C921)</f>
        <v/>
      </c>
      <c r="S921">
        <f>IF($A921="","",$R921&amp;"|"&amp;$Q921)</f>
        <v/>
      </c>
      <c r="T921">
        <f>IF($A921="","",$S921&amp;"|"&amp;$F921)</f>
        <v/>
      </c>
      <c r="U921">
        <f>IF($A921="","",$R921&amp;"("&amp;$E921&amp;")")</f>
        <v/>
      </c>
      <c r="V921">
        <f>IF($A921="","",$F921&amp;"|"&amp;$U921&amp;"|"&amp;$D921)</f>
        <v/>
      </c>
      <c r="W921">
        <f>IF($T921="","",IF($X921&gt;N($X920),$X921,""))</f>
        <v/>
      </c>
      <c r="X921">
        <f>IF($T921="",N($X920),IF(MATCH($T921,$T$6:$T$6005,0)=ROW()-5,N($X920)+1,N($X920)))</f>
        <v/>
      </c>
      <c r="Z921">
        <f>IF($V921="","",IF($AA921&gt;N($AA920),$AA921,""))</f>
        <v/>
      </c>
      <c r="AA921">
        <f>IF($V921="",N($AA920),IF(MATCH($V921,$V$6:$V$6005,0)=ROW()-5,N($AA920)+1,N($AA920)))</f>
        <v/>
      </c>
    </row>
    <row r="922" ht="21" customHeight="1" s="66">
      <c r="A922" s="56" t="n"/>
      <c r="B922" s="57" t="n"/>
      <c r="C922" s="57" t="n"/>
      <c r="D922" s="57" t="n"/>
      <c r="E922" s="56" t="n"/>
      <c r="F922" s="57" t="n"/>
      <c r="G922" s="57" t="n"/>
      <c r="H922" s="56" t="n"/>
      <c r="I922" s="56" t="n"/>
      <c r="J922" s="58" t="n"/>
      <c r="K922" s="58" t="n"/>
      <c r="L922" s="13">
        <f>IF(OR($A922="",AND($J922="",$K922="")),"",ROUND(N($J922)-N($K922),2))</f>
        <v/>
      </c>
      <c r="M922" s="13">
        <f>IF(OR($A922="",AND($J922="",$K922="")),"",MIN($J922,$K922))</f>
        <v/>
      </c>
      <c r="Q922">
        <f>IF($A922="","",$D922&amp;"("&amp;SUBSTITUTE($E922," ","")&amp;")")</f>
        <v/>
      </c>
      <c r="R922">
        <f>IF($A922="","",$B922&amp;" - "&amp;$C922)</f>
        <v/>
      </c>
      <c r="S922">
        <f>IF($A922="","",$R922&amp;"|"&amp;$Q922)</f>
        <v/>
      </c>
      <c r="T922">
        <f>IF($A922="","",$S922&amp;"|"&amp;$F922)</f>
        <v/>
      </c>
      <c r="U922">
        <f>IF($A922="","",$R922&amp;"("&amp;$E922&amp;")")</f>
        <v/>
      </c>
      <c r="V922">
        <f>IF($A922="","",$F922&amp;"|"&amp;$U922&amp;"|"&amp;$D922)</f>
        <v/>
      </c>
      <c r="W922">
        <f>IF($T922="","",IF($X922&gt;N($X921),$X922,""))</f>
        <v/>
      </c>
      <c r="X922">
        <f>IF($T922="",N($X921),IF(MATCH($T922,$T$6:$T$6005,0)=ROW()-5,N($X921)+1,N($X921)))</f>
        <v/>
      </c>
      <c r="Z922">
        <f>IF($V922="","",IF($AA922&gt;N($AA921),$AA922,""))</f>
        <v/>
      </c>
      <c r="AA922">
        <f>IF($V922="",N($AA921),IF(MATCH($V922,$V$6:$V$6005,0)=ROW()-5,N($AA921)+1,N($AA921)))</f>
        <v/>
      </c>
    </row>
    <row r="923" ht="21" customHeight="1" s="66">
      <c r="A923" s="56" t="n"/>
      <c r="B923" s="57" t="n"/>
      <c r="C923" s="57" t="n"/>
      <c r="D923" s="57" t="n"/>
      <c r="E923" s="56" t="n"/>
      <c r="F923" s="57" t="n"/>
      <c r="G923" s="57" t="n"/>
      <c r="H923" s="56" t="n"/>
      <c r="I923" s="56" t="n"/>
      <c r="J923" s="58" t="n"/>
      <c r="K923" s="58" t="n"/>
      <c r="L923" s="13">
        <f>IF(OR($A923="",AND($J923="",$K923="")),"",ROUND(N($J923)-N($K923),2))</f>
        <v/>
      </c>
      <c r="M923" s="13">
        <f>IF(OR($A923="",AND($J923="",$K923="")),"",MIN($J923,$K923))</f>
        <v/>
      </c>
      <c r="Q923">
        <f>IF($A923="","",$D923&amp;"("&amp;SUBSTITUTE($E923," ","")&amp;")")</f>
        <v/>
      </c>
      <c r="R923">
        <f>IF($A923="","",$B923&amp;" - "&amp;$C923)</f>
        <v/>
      </c>
      <c r="S923">
        <f>IF($A923="","",$R923&amp;"|"&amp;$Q923)</f>
        <v/>
      </c>
      <c r="T923">
        <f>IF($A923="","",$S923&amp;"|"&amp;$F923)</f>
        <v/>
      </c>
      <c r="U923">
        <f>IF($A923="","",$R923&amp;"("&amp;$E923&amp;")")</f>
        <v/>
      </c>
      <c r="V923">
        <f>IF($A923="","",$F923&amp;"|"&amp;$U923&amp;"|"&amp;$D923)</f>
        <v/>
      </c>
      <c r="W923">
        <f>IF($T923="","",IF($X923&gt;N($X922),$X923,""))</f>
        <v/>
      </c>
      <c r="X923">
        <f>IF($T923="",N($X922),IF(MATCH($T923,$T$6:$T$6005,0)=ROW()-5,N($X922)+1,N($X922)))</f>
        <v/>
      </c>
      <c r="Z923">
        <f>IF($V923="","",IF($AA923&gt;N($AA922),$AA923,""))</f>
        <v/>
      </c>
      <c r="AA923">
        <f>IF($V923="",N($AA922),IF(MATCH($V923,$V$6:$V$6005,0)=ROW()-5,N($AA922)+1,N($AA922)))</f>
        <v/>
      </c>
    </row>
    <row r="924" ht="21" customHeight="1" s="66">
      <c r="A924" s="56" t="n"/>
      <c r="B924" s="57" t="n"/>
      <c r="C924" s="57" t="n"/>
      <c r="D924" s="57" t="n"/>
      <c r="E924" s="56" t="n"/>
      <c r="F924" s="57" t="n"/>
      <c r="G924" s="57" t="n"/>
      <c r="H924" s="56" t="n"/>
      <c r="I924" s="56" t="n"/>
      <c r="J924" s="58" t="n"/>
      <c r="K924" s="58" t="n"/>
      <c r="L924" s="13">
        <f>IF(OR($A924="",AND($J924="",$K924="")),"",ROUND(N($J924)-N($K924),2))</f>
        <v/>
      </c>
      <c r="M924" s="13">
        <f>IF(OR($A924="",AND($J924="",$K924="")),"",MIN($J924,$K924))</f>
        <v/>
      </c>
      <c r="Q924">
        <f>IF($A924="","",$D924&amp;"("&amp;SUBSTITUTE($E924," ","")&amp;")")</f>
        <v/>
      </c>
      <c r="R924">
        <f>IF($A924="","",$B924&amp;" - "&amp;$C924)</f>
        <v/>
      </c>
      <c r="S924">
        <f>IF($A924="","",$R924&amp;"|"&amp;$Q924)</f>
        <v/>
      </c>
      <c r="T924">
        <f>IF($A924="","",$S924&amp;"|"&amp;$F924)</f>
        <v/>
      </c>
      <c r="U924">
        <f>IF($A924="","",$R924&amp;"("&amp;$E924&amp;")")</f>
        <v/>
      </c>
      <c r="V924">
        <f>IF($A924="","",$F924&amp;"|"&amp;$U924&amp;"|"&amp;$D924)</f>
        <v/>
      </c>
      <c r="W924">
        <f>IF($T924="","",IF($X924&gt;N($X923),$X924,""))</f>
        <v/>
      </c>
      <c r="X924">
        <f>IF($T924="",N($X923),IF(MATCH($T924,$T$6:$T$6005,0)=ROW()-5,N($X923)+1,N($X923)))</f>
        <v/>
      </c>
      <c r="Z924">
        <f>IF($V924="","",IF($AA924&gt;N($AA923),$AA924,""))</f>
        <v/>
      </c>
      <c r="AA924">
        <f>IF($V924="",N($AA923),IF(MATCH($V924,$V$6:$V$6005,0)=ROW()-5,N($AA923)+1,N($AA923)))</f>
        <v/>
      </c>
    </row>
    <row r="925" ht="21" customHeight="1" s="66">
      <c r="A925" s="56" t="n"/>
      <c r="B925" s="57" t="n"/>
      <c r="C925" s="57" t="n"/>
      <c r="D925" s="57" t="n"/>
      <c r="E925" s="56" t="n"/>
      <c r="F925" s="57" t="n"/>
      <c r="G925" s="57" t="n"/>
      <c r="H925" s="56" t="n"/>
      <c r="I925" s="56" t="n"/>
      <c r="J925" s="58" t="n"/>
      <c r="K925" s="58" t="n"/>
      <c r="L925" s="13">
        <f>IF(OR($A925="",AND($J925="",$K925="")),"",ROUND(N($J925)-N($K925),2))</f>
        <v/>
      </c>
      <c r="M925" s="13">
        <f>IF(OR($A925="",AND($J925="",$K925="")),"",MIN($J925,$K925))</f>
        <v/>
      </c>
      <c r="Q925">
        <f>IF($A925="","",$D925&amp;"("&amp;SUBSTITUTE($E925," ","")&amp;")")</f>
        <v/>
      </c>
      <c r="R925">
        <f>IF($A925="","",$B925&amp;" - "&amp;$C925)</f>
        <v/>
      </c>
      <c r="S925">
        <f>IF($A925="","",$R925&amp;"|"&amp;$Q925)</f>
        <v/>
      </c>
      <c r="T925">
        <f>IF($A925="","",$S925&amp;"|"&amp;$F925)</f>
        <v/>
      </c>
      <c r="U925">
        <f>IF($A925="","",$R925&amp;"("&amp;$E925&amp;")")</f>
        <v/>
      </c>
      <c r="V925">
        <f>IF($A925="","",$F925&amp;"|"&amp;$U925&amp;"|"&amp;$D925)</f>
        <v/>
      </c>
      <c r="W925">
        <f>IF($T925="","",IF($X925&gt;N($X924),$X925,""))</f>
        <v/>
      </c>
      <c r="X925">
        <f>IF($T925="",N($X924),IF(MATCH($T925,$T$6:$T$6005,0)=ROW()-5,N($X924)+1,N($X924)))</f>
        <v/>
      </c>
      <c r="Z925">
        <f>IF($V925="","",IF($AA925&gt;N($AA924),$AA925,""))</f>
        <v/>
      </c>
      <c r="AA925">
        <f>IF($V925="",N($AA924),IF(MATCH($V925,$V$6:$V$6005,0)=ROW()-5,N($AA924)+1,N($AA924)))</f>
        <v/>
      </c>
    </row>
    <row r="926" ht="21" customHeight="1" s="66">
      <c r="A926" s="56" t="n"/>
      <c r="B926" s="57" t="n"/>
      <c r="C926" s="57" t="n"/>
      <c r="D926" s="57" t="n"/>
      <c r="E926" s="56" t="n"/>
      <c r="F926" s="57" t="n"/>
      <c r="G926" s="57" t="n"/>
      <c r="H926" s="56" t="n"/>
      <c r="I926" s="56" t="n"/>
      <c r="J926" s="58" t="n"/>
      <c r="K926" s="58" t="n"/>
      <c r="L926" s="13">
        <f>IF(OR($A926="",AND($J926="",$K926="")),"",ROUND(N($J926)-N($K926),2))</f>
        <v/>
      </c>
      <c r="M926" s="13">
        <f>IF(OR($A926="",AND($J926="",$K926="")),"",MIN($J926,$K926))</f>
        <v/>
      </c>
      <c r="Q926">
        <f>IF($A926="","",$D926&amp;"("&amp;SUBSTITUTE($E926," ","")&amp;")")</f>
        <v/>
      </c>
      <c r="R926">
        <f>IF($A926="","",$B926&amp;" - "&amp;$C926)</f>
        <v/>
      </c>
      <c r="S926">
        <f>IF($A926="","",$R926&amp;"|"&amp;$Q926)</f>
        <v/>
      </c>
      <c r="T926">
        <f>IF($A926="","",$S926&amp;"|"&amp;$F926)</f>
        <v/>
      </c>
      <c r="U926">
        <f>IF($A926="","",$R926&amp;"("&amp;$E926&amp;")")</f>
        <v/>
      </c>
      <c r="V926">
        <f>IF($A926="","",$F926&amp;"|"&amp;$U926&amp;"|"&amp;$D926)</f>
        <v/>
      </c>
      <c r="W926">
        <f>IF($T926="","",IF($X926&gt;N($X925),$X926,""))</f>
        <v/>
      </c>
      <c r="X926">
        <f>IF($T926="",N($X925),IF(MATCH($T926,$T$6:$T$6005,0)=ROW()-5,N($X925)+1,N($X925)))</f>
        <v/>
      </c>
      <c r="Z926">
        <f>IF($V926="","",IF($AA926&gt;N($AA925),$AA926,""))</f>
        <v/>
      </c>
      <c r="AA926">
        <f>IF($V926="",N($AA925),IF(MATCH($V926,$V$6:$V$6005,0)=ROW()-5,N($AA925)+1,N($AA925)))</f>
        <v/>
      </c>
    </row>
    <row r="927" ht="21" customHeight="1" s="66">
      <c r="A927" s="56" t="n"/>
      <c r="B927" s="57" t="n"/>
      <c r="C927" s="57" t="n"/>
      <c r="D927" s="57" t="n"/>
      <c r="E927" s="56" t="n"/>
      <c r="F927" s="57" t="n"/>
      <c r="G927" s="57" t="n"/>
      <c r="H927" s="56" t="n"/>
      <c r="I927" s="56" t="n"/>
      <c r="J927" s="58" t="n"/>
      <c r="K927" s="58" t="n"/>
      <c r="L927" s="13">
        <f>IF(OR($A927="",AND($J927="",$K927="")),"",ROUND(N($J927)-N($K927),2))</f>
        <v/>
      </c>
      <c r="M927" s="13">
        <f>IF(OR($A927="",AND($J927="",$K927="")),"",MIN($J927,$K927))</f>
        <v/>
      </c>
      <c r="Q927">
        <f>IF($A927="","",$D927&amp;"("&amp;SUBSTITUTE($E927," ","")&amp;")")</f>
        <v/>
      </c>
      <c r="R927">
        <f>IF($A927="","",$B927&amp;" - "&amp;$C927)</f>
        <v/>
      </c>
      <c r="S927">
        <f>IF($A927="","",$R927&amp;"|"&amp;$Q927)</f>
        <v/>
      </c>
      <c r="T927">
        <f>IF($A927="","",$S927&amp;"|"&amp;$F927)</f>
        <v/>
      </c>
      <c r="U927">
        <f>IF($A927="","",$R927&amp;"("&amp;$E927&amp;")")</f>
        <v/>
      </c>
      <c r="V927">
        <f>IF($A927="","",$F927&amp;"|"&amp;$U927&amp;"|"&amp;$D927)</f>
        <v/>
      </c>
      <c r="W927">
        <f>IF($T927="","",IF($X927&gt;N($X926),$X927,""))</f>
        <v/>
      </c>
      <c r="X927">
        <f>IF($T927="",N($X926),IF(MATCH($T927,$T$6:$T$6005,0)=ROW()-5,N($X926)+1,N($X926)))</f>
        <v/>
      </c>
      <c r="Z927">
        <f>IF($V927="","",IF($AA927&gt;N($AA926),$AA927,""))</f>
        <v/>
      </c>
      <c r="AA927">
        <f>IF($V927="",N($AA926),IF(MATCH($V927,$V$6:$V$6005,0)=ROW()-5,N($AA926)+1,N($AA926)))</f>
        <v/>
      </c>
    </row>
    <row r="928" ht="21" customHeight="1" s="66">
      <c r="A928" s="56" t="n"/>
      <c r="B928" s="57" t="n"/>
      <c r="C928" s="57" t="n"/>
      <c r="D928" s="57" t="n"/>
      <c r="E928" s="56" t="n"/>
      <c r="F928" s="57" t="n"/>
      <c r="G928" s="57" t="n"/>
      <c r="H928" s="56" t="n"/>
      <c r="I928" s="56" t="n"/>
      <c r="J928" s="58" t="n"/>
      <c r="K928" s="58" t="n"/>
      <c r="L928" s="13">
        <f>IF(OR($A928="",AND($J928="",$K928="")),"",ROUND(N($J928)-N($K928),2))</f>
        <v/>
      </c>
      <c r="M928" s="13">
        <f>IF(OR($A928="",AND($J928="",$K928="")),"",MIN($J928,$K928))</f>
        <v/>
      </c>
      <c r="Q928">
        <f>IF($A928="","",$D928&amp;"("&amp;SUBSTITUTE($E928," ","")&amp;")")</f>
        <v/>
      </c>
      <c r="R928">
        <f>IF($A928="","",$B928&amp;" - "&amp;$C928)</f>
        <v/>
      </c>
      <c r="S928">
        <f>IF($A928="","",$R928&amp;"|"&amp;$Q928)</f>
        <v/>
      </c>
      <c r="T928">
        <f>IF($A928="","",$S928&amp;"|"&amp;$F928)</f>
        <v/>
      </c>
      <c r="U928">
        <f>IF($A928="","",$R928&amp;"("&amp;$E928&amp;")")</f>
        <v/>
      </c>
      <c r="V928">
        <f>IF($A928="","",$F928&amp;"|"&amp;$U928&amp;"|"&amp;$D928)</f>
        <v/>
      </c>
      <c r="W928">
        <f>IF($T928="","",IF($X928&gt;N($X927),$X928,""))</f>
        <v/>
      </c>
      <c r="X928">
        <f>IF($T928="",N($X927),IF(MATCH($T928,$T$6:$T$6005,0)=ROW()-5,N($X927)+1,N($X927)))</f>
        <v/>
      </c>
      <c r="Z928">
        <f>IF($V928="","",IF($AA928&gt;N($AA927),$AA928,""))</f>
        <v/>
      </c>
      <c r="AA928">
        <f>IF($V928="",N($AA927),IF(MATCH($V928,$V$6:$V$6005,0)=ROW()-5,N($AA927)+1,N($AA927)))</f>
        <v/>
      </c>
    </row>
    <row r="929" ht="21" customHeight="1" s="66">
      <c r="A929" s="56" t="n"/>
      <c r="B929" s="57" t="n"/>
      <c r="C929" s="57" t="n"/>
      <c r="D929" s="57" t="n"/>
      <c r="E929" s="56" t="n"/>
      <c r="F929" s="57" t="n"/>
      <c r="G929" s="57" t="n"/>
      <c r="H929" s="56" t="n"/>
      <c r="I929" s="56" t="n"/>
      <c r="J929" s="58" t="n"/>
      <c r="K929" s="58" t="n"/>
      <c r="L929" s="13">
        <f>IF(OR($A929="",AND($J929="",$K929="")),"",ROUND(N($J929)-N($K929),2))</f>
        <v/>
      </c>
      <c r="M929" s="13">
        <f>IF(OR($A929="",AND($J929="",$K929="")),"",MIN($J929,$K929))</f>
        <v/>
      </c>
      <c r="Q929">
        <f>IF($A929="","",$D929&amp;"("&amp;SUBSTITUTE($E929," ","")&amp;")")</f>
        <v/>
      </c>
      <c r="R929">
        <f>IF($A929="","",$B929&amp;" - "&amp;$C929)</f>
        <v/>
      </c>
      <c r="S929">
        <f>IF($A929="","",$R929&amp;"|"&amp;$Q929)</f>
        <v/>
      </c>
      <c r="T929">
        <f>IF($A929="","",$S929&amp;"|"&amp;$F929)</f>
        <v/>
      </c>
      <c r="U929">
        <f>IF($A929="","",$R929&amp;"("&amp;$E929&amp;")")</f>
        <v/>
      </c>
      <c r="V929">
        <f>IF($A929="","",$F929&amp;"|"&amp;$U929&amp;"|"&amp;$D929)</f>
        <v/>
      </c>
      <c r="W929">
        <f>IF($T929="","",IF($X929&gt;N($X928),$X929,""))</f>
        <v/>
      </c>
      <c r="X929">
        <f>IF($T929="",N($X928),IF(MATCH($T929,$T$6:$T$6005,0)=ROW()-5,N($X928)+1,N($X928)))</f>
        <v/>
      </c>
      <c r="Z929">
        <f>IF($V929="","",IF($AA929&gt;N($AA928),$AA929,""))</f>
        <v/>
      </c>
      <c r="AA929">
        <f>IF($V929="",N($AA928),IF(MATCH($V929,$V$6:$V$6005,0)=ROW()-5,N($AA928)+1,N($AA928)))</f>
        <v/>
      </c>
    </row>
    <row r="930" ht="21" customHeight="1" s="66">
      <c r="A930" s="56" t="n"/>
      <c r="B930" s="57" t="n"/>
      <c r="C930" s="57" t="n"/>
      <c r="D930" s="57" t="n"/>
      <c r="E930" s="56" t="n"/>
      <c r="F930" s="57" t="n"/>
      <c r="G930" s="57" t="n"/>
      <c r="H930" s="56" t="n"/>
      <c r="I930" s="56" t="n"/>
      <c r="J930" s="58" t="n"/>
      <c r="K930" s="58" t="n"/>
      <c r="L930" s="13">
        <f>IF(OR($A930="",AND($J930="",$K930="")),"",ROUND(N($J930)-N($K930),2))</f>
        <v/>
      </c>
      <c r="M930" s="13">
        <f>IF(OR($A930="",AND($J930="",$K930="")),"",MIN($J930,$K930))</f>
        <v/>
      </c>
      <c r="Q930">
        <f>IF($A930="","",$D930&amp;"("&amp;SUBSTITUTE($E930," ","")&amp;")")</f>
        <v/>
      </c>
      <c r="R930">
        <f>IF($A930="","",$B930&amp;" - "&amp;$C930)</f>
        <v/>
      </c>
      <c r="S930">
        <f>IF($A930="","",$R930&amp;"|"&amp;$Q930)</f>
        <v/>
      </c>
      <c r="T930">
        <f>IF($A930="","",$S930&amp;"|"&amp;$F930)</f>
        <v/>
      </c>
      <c r="U930">
        <f>IF($A930="","",$R930&amp;"("&amp;$E930&amp;")")</f>
        <v/>
      </c>
      <c r="V930">
        <f>IF($A930="","",$F930&amp;"|"&amp;$U930&amp;"|"&amp;$D930)</f>
        <v/>
      </c>
      <c r="W930">
        <f>IF($T930="","",IF($X930&gt;N($X929),$X930,""))</f>
        <v/>
      </c>
      <c r="X930">
        <f>IF($T930="",N($X929),IF(MATCH($T930,$T$6:$T$6005,0)=ROW()-5,N($X929)+1,N($X929)))</f>
        <v/>
      </c>
      <c r="Z930">
        <f>IF($V930="","",IF($AA930&gt;N($AA929),$AA930,""))</f>
        <v/>
      </c>
      <c r="AA930">
        <f>IF($V930="",N($AA929),IF(MATCH($V930,$V$6:$V$6005,0)=ROW()-5,N($AA929)+1,N($AA929)))</f>
        <v/>
      </c>
    </row>
    <row r="931" ht="21" customHeight="1" s="66">
      <c r="A931" s="56" t="n"/>
      <c r="B931" s="57" t="n"/>
      <c r="C931" s="57" t="n"/>
      <c r="D931" s="57" t="n"/>
      <c r="E931" s="56" t="n"/>
      <c r="F931" s="57" t="n"/>
      <c r="G931" s="57" t="n"/>
      <c r="H931" s="56" t="n"/>
      <c r="I931" s="56" t="n"/>
      <c r="J931" s="58" t="n"/>
      <c r="K931" s="58" t="n"/>
      <c r="L931" s="13">
        <f>IF(OR($A931="",AND($J931="",$K931="")),"",ROUND(N($J931)-N($K931),2))</f>
        <v/>
      </c>
      <c r="M931" s="13">
        <f>IF(OR($A931="",AND($J931="",$K931="")),"",MIN($J931,$K931))</f>
        <v/>
      </c>
      <c r="Q931">
        <f>IF($A931="","",$D931&amp;"("&amp;SUBSTITUTE($E931," ","")&amp;")")</f>
        <v/>
      </c>
      <c r="R931">
        <f>IF($A931="","",$B931&amp;" - "&amp;$C931)</f>
        <v/>
      </c>
      <c r="S931">
        <f>IF($A931="","",$R931&amp;"|"&amp;$Q931)</f>
        <v/>
      </c>
      <c r="T931">
        <f>IF($A931="","",$S931&amp;"|"&amp;$F931)</f>
        <v/>
      </c>
      <c r="U931">
        <f>IF($A931="","",$R931&amp;"("&amp;$E931&amp;")")</f>
        <v/>
      </c>
      <c r="V931">
        <f>IF($A931="","",$F931&amp;"|"&amp;$U931&amp;"|"&amp;$D931)</f>
        <v/>
      </c>
      <c r="W931">
        <f>IF($T931="","",IF($X931&gt;N($X930),$X931,""))</f>
        <v/>
      </c>
      <c r="X931">
        <f>IF($T931="",N($X930),IF(MATCH($T931,$T$6:$T$6005,0)=ROW()-5,N($X930)+1,N($X930)))</f>
        <v/>
      </c>
      <c r="Z931">
        <f>IF($V931="","",IF($AA931&gt;N($AA930),$AA931,""))</f>
        <v/>
      </c>
      <c r="AA931">
        <f>IF($V931="",N($AA930),IF(MATCH($V931,$V$6:$V$6005,0)=ROW()-5,N($AA930)+1,N($AA930)))</f>
        <v/>
      </c>
    </row>
    <row r="932" ht="21" customHeight="1" s="66">
      <c r="A932" s="56" t="n"/>
      <c r="B932" s="57" t="n"/>
      <c r="C932" s="57" t="n"/>
      <c r="D932" s="57" t="n"/>
      <c r="E932" s="56" t="n"/>
      <c r="F932" s="57" t="n"/>
      <c r="G932" s="57" t="n"/>
      <c r="H932" s="56" t="n"/>
      <c r="I932" s="56" t="n"/>
      <c r="J932" s="58" t="n"/>
      <c r="K932" s="58" t="n"/>
      <c r="L932" s="13">
        <f>IF(OR($A932="",AND($J932="",$K932="")),"",ROUND(N($J932)-N($K932),2))</f>
        <v/>
      </c>
      <c r="M932" s="13">
        <f>IF(OR($A932="",AND($J932="",$K932="")),"",MIN($J932,$K932))</f>
        <v/>
      </c>
      <c r="Q932">
        <f>IF($A932="","",$D932&amp;"("&amp;SUBSTITUTE($E932," ","")&amp;")")</f>
        <v/>
      </c>
      <c r="R932">
        <f>IF($A932="","",$B932&amp;" - "&amp;$C932)</f>
        <v/>
      </c>
      <c r="S932">
        <f>IF($A932="","",$R932&amp;"|"&amp;$Q932)</f>
        <v/>
      </c>
      <c r="T932">
        <f>IF($A932="","",$S932&amp;"|"&amp;$F932)</f>
        <v/>
      </c>
      <c r="U932">
        <f>IF($A932="","",$R932&amp;"("&amp;$E932&amp;")")</f>
        <v/>
      </c>
      <c r="V932">
        <f>IF($A932="","",$F932&amp;"|"&amp;$U932&amp;"|"&amp;$D932)</f>
        <v/>
      </c>
      <c r="W932">
        <f>IF($T932="","",IF($X932&gt;N($X931),$X932,""))</f>
        <v/>
      </c>
      <c r="X932">
        <f>IF($T932="",N($X931),IF(MATCH($T932,$T$6:$T$6005,0)=ROW()-5,N($X931)+1,N($X931)))</f>
        <v/>
      </c>
      <c r="Z932">
        <f>IF($V932="","",IF($AA932&gt;N($AA931),$AA932,""))</f>
        <v/>
      </c>
      <c r="AA932">
        <f>IF($V932="",N($AA931),IF(MATCH($V932,$V$6:$V$6005,0)=ROW()-5,N($AA931)+1,N($AA931)))</f>
        <v/>
      </c>
    </row>
    <row r="933" ht="21" customHeight="1" s="66">
      <c r="A933" s="56" t="n"/>
      <c r="B933" s="57" t="n"/>
      <c r="C933" s="57" t="n"/>
      <c r="D933" s="57" t="n"/>
      <c r="E933" s="56" t="n"/>
      <c r="F933" s="57" t="n"/>
      <c r="G933" s="57" t="n"/>
      <c r="H933" s="56" t="n"/>
      <c r="I933" s="56" t="n"/>
      <c r="J933" s="58" t="n"/>
      <c r="K933" s="58" t="n"/>
      <c r="L933" s="13">
        <f>IF(OR($A933="",AND($J933="",$K933="")),"",ROUND(N($J933)-N($K933),2))</f>
        <v/>
      </c>
      <c r="M933" s="13">
        <f>IF(OR($A933="",AND($J933="",$K933="")),"",MIN($J933,$K933))</f>
        <v/>
      </c>
      <c r="Q933">
        <f>IF($A933="","",$D933&amp;"("&amp;SUBSTITUTE($E933," ","")&amp;")")</f>
        <v/>
      </c>
      <c r="R933">
        <f>IF($A933="","",$B933&amp;" - "&amp;$C933)</f>
        <v/>
      </c>
      <c r="S933">
        <f>IF($A933="","",$R933&amp;"|"&amp;$Q933)</f>
        <v/>
      </c>
      <c r="T933">
        <f>IF($A933="","",$S933&amp;"|"&amp;$F933)</f>
        <v/>
      </c>
      <c r="U933">
        <f>IF($A933="","",$R933&amp;"("&amp;$E933&amp;")")</f>
        <v/>
      </c>
      <c r="V933">
        <f>IF($A933="","",$F933&amp;"|"&amp;$U933&amp;"|"&amp;$D933)</f>
        <v/>
      </c>
      <c r="W933">
        <f>IF($T933="","",IF($X933&gt;N($X932),$X933,""))</f>
        <v/>
      </c>
      <c r="X933">
        <f>IF($T933="",N($X932),IF(MATCH($T933,$T$6:$T$6005,0)=ROW()-5,N($X932)+1,N($X932)))</f>
        <v/>
      </c>
      <c r="Z933">
        <f>IF($V933="","",IF($AA933&gt;N($AA932),$AA933,""))</f>
        <v/>
      </c>
      <c r="AA933">
        <f>IF($V933="",N($AA932),IF(MATCH($V933,$V$6:$V$6005,0)=ROW()-5,N($AA932)+1,N($AA932)))</f>
        <v/>
      </c>
    </row>
    <row r="934" ht="21" customHeight="1" s="66">
      <c r="A934" s="56" t="n"/>
      <c r="B934" s="57" t="n"/>
      <c r="C934" s="57" t="n"/>
      <c r="D934" s="57" t="n"/>
      <c r="E934" s="56" t="n"/>
      <c r="F934" s="57" t="n"/>
      <c r="G934" s="57" t="n"/>
      <c r="H934" s="56" t="n"/>
      <c r="I934" s="56" t="n"/>
      <c r="J934" s="58" t="n"/>
      <c r="K934" s="58" t="n"/>
      <c r="L934" s="13">
        <f>IF(OR($A934="",AND($J934="",$K934="")),"",ROUND(N($J934)-N($K934),2))</f>
        <v/>
      </c>
      <c r="M934" s="13">
        <f>IF(OR($A934="",AND($J934="",$K934="")),"",MIN($J934,$K934))</f>
        <v/>
      </c>
      <c r="Q934">
        <f>IF($A934="","",$D934&amp;"("&amp;SUBSTITUTE($E934," ","")&amp;")")</f>
        <v/>
      </c>
      <c r="R934">
        <f>IF($A934="","",$B934&amp;" - "&amp;$C934)</f>
        <v/>
      </c>
      <c r="S934">
        <f>IF($A934="","",$R934&amp;"|"&amp;$Q934)</f>
        <v/>
      </c>
      <c r="T934">
        <f>IF($A934="","",$S934&amp;"|"&amp;$F934)</f>
        <v/>
      </c>
      <c r="U934">
        <f>IF($A934="","",$R934&amp;"("&amp;$E934&amp;")")</f>
        <v/>
      </c>
      <c r="V934">
        <f>IF($A934="","",$F934&amp;"|"&amp;$U934&amp;"|"&amp;$D934)</f>
        <v/>
      </c>
      <c r="W934">
        <f>IF($T934="","",IF($X934&gt;N($X933),$X934,""))</f>
        <v/>
      </c>
      <c r="X934">
        <f>IF($T934="",N($X933),IF(MATCH($T934,$T$6:$T$6005,0)=ROW()-5,N($X933)+1,N($X933)))</f>
        <v/>
      </c>
      <c r="Z934">
        <f>IF($V934="","",IF($AA934&gt;N($AA933),$AA934,""))</f>
        <v/>
      </c>
      <c r="AA934">
        <f>IF($V934="",N($AA933),IF(MATCH($V934,$V$6:$V$6005,0)=ROW()-5,N($AA933)+1,N($AA933)))</f>
        <v/>
      </c>
    </row>
    <row r="935" ht="21" customHeight="1" s="66">
      <c r="A935" s="56" t="n"/>
      <c r="B935" s="57" t="n"/>
      <c r="C935" s="57" t="n"/>
      <c r="D935" s="57" t="n"/>
      <c r="E935" s="56" t="n"/>
      <c r="F935" s="57" t="n"/>
      <c r="G935" s="57" t="n"/>
      <c r="H935" s="56" t="n"/>
      <c r="I935" s="56" t="n"/>
      <c r="J935" s="58" t="n"/>
      <c r="K935" s="58" t="n"/>
      <c r="L935" s="13">
        <f>IF(OR($A935="",AND($J935="",$K935="")),"",ROUND(N($J935)-N($K935),2))</f>
        <v/>
      </c>
      <c r="M935" s="13">
        <f>IF(OR($A935="",AND($J935="",$K935="")),"",MIN($J935,$K935))</f>
        <v/>
      </c>
      <c r="Q935">
        <f>IF($A935="","",$D935&amp;"("&amp;SUBSTITUTE($E935," ","")&amp;")")</f>
        <v/>
      </c>
      <c r="R935">
        <f>IF($A935="","",$B935&amp;" - "&amp;$C935)</f>
        <v/>
      </c>
      <c r="S935">
        <f>IF($A935="","",$R935&amp;"|"&amp;$Q935)</f>
        <v/>
      </c>
      <c r="T935">
        <f>IF($A935="","",$S935&amp;"|"&amp;$F935)</f>
        <v/>
      </c>
      <c r="U935">
        <f>IF($A935="","",$R935&amp;"("&amp;$E935&amp;")")</f>
        <v/>
      </c>
      <c r="V935">
        <f>IF($A935="","",$F935&amp;"|"&amp;$U935&amp;"|"&amp;$D935)</f>
        <v/>
      </c>
      <c r="W935">
        <f>IF($T935="","",IF($X935&gt;N($X934),$X935,""))</f>
        <v/>
      </c>
      <c r="X935">
        <f>IF($T935="",N($X934),IF(MATCH($T935,$T$6:$T$6005,0)=ROW()-5,N($X934)+1,N($X934)))</f>
        <v/>
      </c>
      <c r="Z935">
        <f>IF($V935="","",IF($AA935&gt;N($AA934),$AA935,""))</f>
        <v/>
      </c>
      <c r="AA935">
        <f>IF($V935="",N($AA934),IF(MATCH($V935,$V$6:$V$6005,0)=ROW()-5,N($AA934)+1,N($AA934)))</f>
        <v/>
      </c>
    </row>
    <row r="936" ht="21" customHeight="1" s="66">
      <c r="A936" s="56" t="n"/>
      <c r="B936" s="57" t="n"/>
      <c r="C936" s="57" t="n"/>
      <c r="D936" s="57" t="n"/>
      <c r="E936" s="56" t="n"/>
      <c r="F936" s="57" t="n"/>
      <c r="G936" s="57" t="n"/>
      <c r="H936" s="56" t="n"/>
      <c r="I936" s="56" t="n"/>
      <c r="J936" s="58" t="n"/>
      <c r="K936" s="58" t="n"/>
      <c r="L936" s="13">
        <f>IF(OR($A936="",AND($J936="",$K936="")),"",ROUND(N($J936)-N($K936),2))</f>
        <v/>
      </c>
      <c r="M936" s="13">
        <f>IF(OR($A936="",AND($J936="",$K936="")),"",MIN($J936,$K936))</f>
        <v/>
      </c>
      <c r="Q936">
        <f>IF($A936="","",$D936&amp;"("&amp;SUBSTITUTE($E936," ","")&amp;")")</f>
        <v/>
      </c>
      <c r="R936">
        <f>IF($A936="","",$B936&amp;" - "&amp;$C936)</f>
        <v/>
      </c>
      <c r="S936">
        <f>IF($A936="","",$R936&amp;"|"&amp;$Q936)</f>
        <v/>
      </c>
      <c r="T936">
        <f>IF($A936="","",$S936&amp;"|"&amp;$F936)</f>
        <v/>
      </c>
      <c r="U936">
        <f>IF($A936="","",$R936&amp;"("&amp;$E936&amp;")")</f>
        <v/>
      </c>
      <c r="V936">
        <f>IF($A936="","",$F936&amp;"|"&amp;$U936&amp;"|"&amp;$D936)</f>
        <v/>
      </c>
      <c r="W936">
        <f>IF($T936="","",IF($X936&gt;N($X935),$X936,""))</f>
        <v/>
      </c>
      <c r="X936">
        <f>IF($T936="",N($X935),IF(MATCH($T936,$T$6:$T$6005,0)=ROW()-5,N($X935)+1,N($X935)))</f>
        <v/>
      </c>
      <c r="Z936">
        <f>IF($V936="","",IF($AA936&gt;N($AA935),$AA936,""))</f>
        <v/>
      </c>
      <c r="AA936">
        <f>IF($V936="",N($AA935),IF(MATCH($V936,$V$6:$V$6005,0)=ROW()-5,N($AA935)+1,N($AA935)))</f>
        <v/>
      </c>
    </row>
    <row r="937" ht="21" customHeight="1" s="66">
      <c r="A937" s="56" t="n"/>
      <c r="B937" s="57" t="n"/>
      <c r="C937" s="57" t="n"/>
      <c r="D937" s="57" t="n"/>
      <c r="E937" s="56" t="n"/>
      <c r="F937" s="57" t="n"/>
      <c r="G937" s="57" t="n"/>
      <c r="H937" s="56" t="n"/>
      <c r="I937" s="56" t="n"/>
      <c r="J937" s="58" t="n"/>
      <c r="K937" s="58" t="n"/>
      <c r="L937" s="13">
        <f>IF(OR($A937="",AND($J937="",$K937="")),"",ROUND(N($J937)-N($K937),2))</f>
        <v/>
      </c>
      <c r="M937" s="13">
        <f>IF(OR($A937="",AND($J937="",$K937="")),"",MIN($J937,$K937))</f>
        <v/>
      </c>
      <c r="Q937">
        <f>IF($A937="","",$D937&amp;"("&amp;SUBSTITUTE($E937," ","")&amp;")")</f>
        <v/>
      </c>
      <c r="R937">
        <f>IF($A937="","",$B937&amp;" - "&amp;$C937)</f>
        <v/>
      </c>
      <c r="S937">
        <f>IF($A937="","",$R937&amp;"|"&amp;$Q937)</f>
        <v/>
      </c>
      <c r="T937">
        <f>IF($A937="","",$S937&amp;"|"&amp;$F937)</f>
        <v/>
      </c>
      <c r="U937">
        <f>IF($A937="","",$R937&amp;"("&amp;$E937&amp;")")</f>
        <v/>
      </c>
      <c r="V937">
        <f>IF($A937="","",$F937&amp;"|"&amp;$U937&amp;"|"&amp;$D937)</f>
        <v/>
      </c>
      <c r="W937">
        <f>IF($T937="","",IF($X937&gt;N($X936),$X937,""))</f>
        <v/>
      </c>
      <c r="X937">
        <f>IF($T937="",N($X936),IF(MATCH($T937,$T$6:$T$6005,0)=ROW()-5,N($X936)+1,N($X936)))</f>
        <v/>
      </c>
      <c r="Z937">
        <f>IF($V937="","",IF($AA937&gt;N($AA936),$AA937,""))</f>
        <v/>
      </c>
      <c r="AA937">
        <f>IF($V937="",N($AA936),IF(MATCH($V937,$V$6:$V$6005,0)=ROW()-5,N($AA936)+1,N($AA936)))</f>
        <v/>
      </c>
    </row>
    <row r="938" ht="21" customHeight="1" s="66">
      <c r="A938" s="56" t="n"/>
      <c r="B938" s="57" t="n"/>
      <c r="C938" s="57" t="n"/>
      <c r="D938" s="57" t="n"/>
      <c r="E938" s="56" t="n"/>
      <c r="F938" s="57" t="n"/>
      <c r="G938" s="57" t="n"/>
      <c r="H938" s="56" t="n"/>
      <c r="I938" s="56" t="n"/>
      <c r="J938" s="58" t="n"/>
      <c r="K938" s="58" t="n"/>
      <c r="L938" s="13">
        <f>IF(OR($A938="",AND($J938="",$K938="")),"",ROUND(N($J938)-N($K938),2))</f>
        <v/>
      </c>
      <c r="M938" s="13">
        <f>IF(OR($A938="",AND($J938="",$K938="")),"",MIN($J938,$K938))</f>
        <v/>
      </c>
      <c r="Q938">
        <f>IF($A938="","",$D938&amp;"("&amp;SUBSTITUTE($E938," ","")&amp;")")</f>
        <v/>
      </c>
      <c r="R938">
        <f>IF($A938="","",$B938&amp;" - "&amp;$C938)</f>
        <v/>
      </c>
      <c r="S938">
        <f>IF($A938="","",$R938&amp;"|"&amp;$Q938)</f>
        <v/>
      </c>
      <c r="T938">
        <f>IF($A938="","",$S938&amp;"|"&amp;$F938)</f>
        <v/>
      </c>
      <c r="U938">
        <f>IF($A938="","",$R938&amp;"("&amp;$E938&amp;")")</f>
        <v/>
      </c>
      <c r="V938">
        <f>IF($A938="","",$F938&amp;"|"&amp;$U938&amp;"|"&amp;$D938)</f>
        <v/>
      </c>
      <c r="W938">
        <f>IF($T938="","",IF($X938&gt;N($X937),$X938,""))</f>
        <v/>
      </c>
      <c r="X938">
        <f>IF($T938="",N($X937),IF(MATCH($T938,$T$6:$T$6005,0)=ROW()-5,N($X937)+1,N($X937)))</f>
        <v/>
      </c>
      <c r="Z938">
        <f>IF($V938="","",IF($AA938&gt;N($AA937),$AA938,""))</f>
        <v/>
      </c>
      <c r="AA938">
        <f>IF($V938="",N($AA937),IF(MATCH($V938,$V$6:$V$6005,0)=ROW()-5,N($AA937)+1,N($AA937)))</f>
        <v/>
      </c>
    </row>
    <row r="939" ht="21" customHeight="1" s="66">
      <c r="A939" s="56" t="n"/>
      <c r="B939" s="57" t="n"/>
      <c r="C939" s="57" t="n"/>
      <c r="D939" s="57" t="n"/>
      <c r="E939" s="56" t="n"/>
      <c r="F939" s="57" t="n"/>
      <c r="G939" s="57" t="n"/>
      <c r="H939" s="56" t="n"/>
      <c r="I939" s="56" t="n"/>
      <c r="J939" s="58" t="n"/>
      <c r="K939" s="58" t="n"/>
      <c r="L939" s="13">
        <f>IF(OR($A939="",AND($J939="",$K939="")),"",ROUND(N($J939)-N($K939),2))</f>
        <v/>
      </c>
      <c r="M939" s="13">
        <f>IF(OR($A939="",AND($J939="",$K939="")),"",MIN($J939,$K939))</f>
        <v/>
      </c>
      <c r="Q939">
        <f>IF($A939="","",$D939&amp;"("&amp;SUBSTITUTE($E939," ","")&amp;")")</f>
        <v/>
      </c>
      <c r="R939">
        <f>IF($A939="","",$B939&amp;" - "&amp;$C939)</f>
        <v/>
      </c>
      <c r="S939">
        <f>IF($A939="","",$R939&amp;"|"&amp;$Q939)</f>
        <v/>
      </c>
      <c r="T939">
        <f>IF($A939="","",$S939&amp;"|"&amp;$F939)</f>
        <v/>
      </c>
      <c r="U939">
        <f>IF($A939="","",$R939&amp;"("&amp;$E939&amp;")")</f>
        <v/>
      </c>
      <c r="V939">
        <f>IF($A939="","",$F939&amp;"|"&amp;$U939&amp;"|"&amp;$D939)</f>
        <v/>
      </c>
      <c r="W939">
        <f>IF($T939="","",IF($X939&gt;N($X938),$X939,""))</f>
        <v/>
      </c>
      <c r="X939">
        <f>IF($T939="",N($X938),IF(MATCH($T939,$T$6:$T$6005,0)=ROW()-5,N($X938)+1,N($X938)))</f>
        <v/>
      </c>
      <c r="Z939">
        <f>IF($V939="","",IF($AA939&gt;N($AA938),$AA939,""))</f>
        <v/>
      </c>
      <c r="AA939">
        <f>IF($V939="",N($AA938),IF(MATCH($V939,$V$6:$V$6005,0)=ROW()-5,N($AA938)+1,N($AA938)))</f>
        <v/>
      </c>
    </row>
    <row r="940" ht="21" customHeight="1" s="66">
      <c r="A940" s="56" t="n"/>
      <c r="B940" s="57" t="n"/>
      <c r="C940" s="57" t="n"/>
      <c r="D940" s="57" t="n"/>
      <c r="E940" s="56" t="n"/>
      <c r="F940" s="57" t="n"/>
      <c r="G940" s="57" t="n"/>
      <c r="H940" s="56" t="n"/>
      <c r="I940" s="56" t="n"/>
      <c r="J940" s="58" t="n"/>
      <c r="K940" s="58" t="n"/>
      <c r="L940" s="13">
        <f>IF(OR($A940="",AND($J940="",$K940="")),"",ROUND(N($J940)-N($K940),2))</f>
        <v/>
      </c>
      <c r="M940" s="13">
        <f>IF(OR($A940="",AND($J940="",$K940="")),"",MIN($J940,$K940))</f>
        <v/>
      </c>
      <c r="Q940">
        <f>IF($A940="","",$D940&amp;"("&amp;SUBSTITUTE($E940," ","")&amp;")")</f>
        <v/>
      </c>
      <c r="R940">
        <f>IF($A940="","",$B940&amp;" - "&amp;$C940)</f>
        <v/>
      </c>
      <c r="S940">
        <f>IF($A940="","",$R940&amp;"|"&amp;$Q940)</f>
        <v/>
      </c>
      <c r="T940">
        <f>IF($A940="","",$S940&amp;"|"&amp;$F940)</f>
        <v/>
      </c>
      <c r="U940">
        <f>IF($A940="","",$R940&amp;"("&amp;$E940&amp;")")</f>
        <v/>
      </c>
      <c r="V940">
        <f>IF($A940="","",$F940&amp;"|"&amp;$U940&amp;"|"&amp;$D940)</f>
        <v/>
      </c>
      <c r="W940">
        <f>IF($T940="","",IF($X940&gt;N($X939),$X940,""))</f>
        <v/>
      </c>
      <c r="X940">
        <f>IF($T940="",N($X939),IF(MATCH($T940,$T$6:$T$6005,0)=ROW()-5,N($X939)+1,N($X939)))</f>
        <v/>
      </c>
      <c r="Z940">
        <f>IF($V940="","",IF($AA940&gt;N($AA939),$AA940,""))</f>
        <v/>
      </c>
      <c r="AA940">
        <f>IF($V940="",N($AA939),IF(MATCH($V940,$V$6:$V$6005,0)=ROW()-5,N($AA939)+1,N($AA939)))</f>
        <v/>
      </c>
    </row>
    <row r="941" ht="21" customHeight="1" s="66">
      <c r="A941" s="56" t="n"/>
      <c r="B941" s="57" t="n"/>
      <c r="C941" s="57" t="n"/>
      <c r="D941" s="57" t="n"/>
      <c r="E941" s="56" t="n"/>
      <c r="F941" s="57" t="n"/>
      <c r="G941" s="57" t="n"/>
      <c r="H941" s="56" t="n"/>
      <c r="I941" s="56" t="n"/>
      <c r="J941" s="58" t="n"/>
      <c r="K941" s="58" t="n"/>
      <c r="L941" s="13">
        <f>IF(OR($A941="",AND($J941="",$K941="")),"",ROUND(N($J941)-N($K941),2))</f>
        <v/>
      </c>
      <c r="M941" s="13">
        <f>IF(OR($A941="",AND($J941="",$K941="")),"",MIN($J941,$K941))</f>
        <v/>
      </c>
      <c r="Q941">
        <f>IF($A941="","",$D941&amp;"("&amp;SUBSTITUTE($E941," ","")&amp;")")</f>
        <v/>
      </c>
      <c r="R941">
        <f>IF($A941="","",$B941&amp;" - "&amp;$C941)</f>
        <v/>
      </c>
      <c r="S941">
        <f>IF($A941="","",$R941&amp;"|"&amp;$Q941)</f>
        <v/>
      </c>
      <c r="T941">
        <f>IF($A941="","",$S941&amp;"|"&amp;$F941)</f>
        <v/>
      </c>
      <c r="U941">
        <f>IF($A941="","",$R941&amp;"("&amp;$E941&amp;")")</f>
        <v/>
      </c>
      <c r="V941">
        <f>IF($A941="","",$F941&amp;"|"&amp;$U941&amp;"|"&amp;$D941)</f>
        <v/>
      </c>
      <c r="W941">
        <f>IF($T941="","",IF($X941&gt;N($X940),$X941,""))</f>
        <v/>
      </c>
      <c r="X941">
        <f>IF($T941="",N($X940),IF(MATCH($T941,$T$6:$T$6005,0)=ROW()-5,N($X940)+1,N($X940)))</f>
        <v/>
      </c>
      <c r="Z941">
        <f>IF($V941="","",IF($AA941&gt;N($AA940),$AA941,""))</f>
        <v/>
      </c>
      <c r="AA941">
        <f>IF($V941="",N($AA940),IF(MATCH($V941,$V$6:$V$6005,0)=ROW()-5,N($AA940)+1,N($AA940)))</f>
        <v/>
      </c>
    </row>
    <row r="942" ht="21" customHeight="1" s="66">
      <c r="A942" s="56" t="n"/>
      <c r="B942" s="57" t="n"/>
      <c r="C942" s="57" t="n"/>
      <c r="D942" s="57" t="n"/>
      <c r="E942" s="56" t="n"/>
      <c r="F942" s="57" t="n"/>
      <c r="G942" s="57" t="n"/>
      <c r="H942" s="56" t="n"/>
      <c r="I942" s="56" t="n"/>
      <c r="J942" s="58" t="n"/>
      <c r="K942" s="58" t="n"/>
      <c r="L942" s="13">
        <f>IF(OR($A942="",AND($J942="",$K942="")),"",ROUND(N($J942)-N($K942),2))</f>
        <v/>
      </c>
      <c r="M942" s="13">
        <f>IF(OR($A942="",AND($J942="",$K942="")),"",MIN($J942,$K942))</f>
        <v/>
      </c>
      <c r="Q942">
        <f>IF($A942="","",$D942&amp;"("&amp;SUBSTITUTE($E942," ","")&amp;")")</f>
        <v/>
      </c>
      <c r="R942">
        <f>IF($A942="","",$B942&amp;" - "&amp;$C942)</f>
        <v/>
      </c>
      <c r="S942">
        <f>IF($A942="","",$R942&amp;"|"&amp;$Q942)</f>
        <v/>
      </c>
      <c r="T942">
        <f>IF($A942="","",$S942&amp;"|"&amp;$F942)</f>
        <v/>
      </c>
      <c r="U942">
        <f>IF($A942="","",$R942&amp;"("&amp;$E942&amp;")")</f>
        <v/>
      </c>
      <c r="V942">
        <f>IF($A942="","",$F942&amp;"|"&amp;$U942&amp;"|"&amp;$D942)</f>
        <v/>
      </c>
      <c r="W942">
        <f>IF($T942="","",IF($X942&gt;N($X941),$X942,""))</f>
        <v/>
      </c>
      <c r="X942">
        <f>IF($T942="",N($X941),IF(MATCH($T942,$T$6:$T$6005,0)=ROW()-5,N($X941)+1,N($X941)))</f>
        <v/>
      </c>
      <c r="Z942">
        <f>IF($V942="","",IF($AA942&gt;N($AA941),$AA942,""))</f>
        <v/>
      </c>
      <c r="AA942">
        <f>IF($V942="",N($AA941),IF(MATCH($V942,$V$6:$V$6005,0)=ROW()-5,N($AA941)+1,N($AA941)))</f>
        <v/>
      </c>
    </row>
    <row r="943" ht="21" customHeight="1" s="66">
      <c r="A943" s="56" t="n"/>
      <c r="B943" s="57" t="n"/>
      <c r="C943" s="57" t="n"/>
      <c r="D943" s="57" t="n"/>
      <c r="E943" s="56" t="n"/>
      <c r="F943" s="57" t="n"/>
      <c r="G943" s="57" t="n"/>
      <c r="H943" s="56" t="n"/>
      <c r="I943" s="56" t="n"/>
      <c r="J943" s="58" t="n"/>
      <c r="K943" s="58" t="n"/>
      <c r="L943" s="13">
        <f>IF(OR($A943="",AND($J943="",$K943="")),"",ROUND(N($J943)-N($K943),2))</f>
        <v/>
      </c>
      <c r="M943" s="13">
        <f>IF(OR($A943="",AND($J943="",$K943="")),"",MIN($J943,$K943))</f>
        <v/>
      </c>
      <c r="Q943">
        <f>IF($A943="","",$D943&amp;"("&amp;SUBSTITUTE($E943," ","")&amp;")")</f>
        <v/>
      </c>
      <c r="R943">
        <f>IF($A943="","",$B943&amp;" - "&amp;$C943)</f>
        <v/>
      </c>
      <c r="S943">
        <f>IF($A943="","",$R943&amp;"|"&amp;$Q943)</f>
        <v/>
      </c>
      <c r="T943">
        <f>IF($A943="","",$S943&amp;"|"&amp;$F943)</f>
        <v/>
      </c>
      <c r="U943">
        <f>IF($A943="","",$R943&amp;"("&amp;$E943&amp;")")</f>
        <v/>
      </c>
      <c r="V943">
        <f>IF($A943="","",$F943&amp;"|"&amp;$U943&amp;"|"&amp;$D943)</f>
        <v/>
      </c>
      <c r="W943">
        <f>IF($T943="","",IF($X943&gt;N($X942),$X943,""))</f>
        <v/>
      </c>
      <c r="X943">
        <f>IF($T943="",N($X942),IF(MATCH($T943,$T$6:$T$6005,0)=ROW()-5,N($X942)+1,N($X942)))</f>
        <v/>
      </c>
      <c r="Z943">
        <f>IF($V943="","",IF($AA943&gt;N($AA942),$AA943,""))</f>
        <v/>
      </c>
      <c r="AA943">
        <f>IF($V943="",N($AA942),IF(MATCH($V943,$V$6:$V$6005,0)=ROW()-5,N($AA942)+1,N($AA942)))</f>
        <v/>
      </c>
    </row>
    <row r="944" ht="21" customHeight="1" s="66">
      <c r="A944" s="56" t="n"/>
      <c r="B944" s="57" t="n"/>
      <c r="C944" s="57" t="n"/>
      <c r="D944" s="57" t="n"/>
      <c r="E944" s="56" t="n"/>
      <c r="F944" s="57" t="n"/>
      <c r="G944" s="57" t="n"/>
      <c r="H944" s="56" t="n"/>
      <c r="I944" s="56" t="n"/>
      <c r="J944" s="58" t="n"/>
      <c r="K944" s="58" t="n"/>
      <c r="L944" s="13">
        <f>IF(OR($A944="",AND($J944="",$K944="")),"",ROUND(N($J944)-N($K944),2))</f>
        <v/>
      </c>
      <c r="M944" s="13">
        <f>IF(OR($A944="",AND($J944="",$K944="")),"",MIN($J944,$K944))</f>
        <v/>
      </c>
      <c r="Q944">
        <f>IF($A944="","",$D944&amp;"("&amp;SUBSTITUTE($E944," ","")&amp;")")</f>
        <v/>
      </c>
      <c r="R944">
        <f>IF($A944="","",$B944&amp;" - "&amp;$C944)</f>
        <v/>
      </c>
      <c r="S944">
        <f>IF($A944="","",$R944&amp;"|"&amp;$Q944)</f>
        <v/>
      </c>
      <c r="T944">
        <f>IF($A944="","",$S944&amp;"|"&amp;$F944)</f>
        <v/>
      </c>
      <c r="U944">
        <f>IF($A944="","",$R944&amp;"("&amp;$E944&amp;")")</f>
        <v/>
      </c>
      <c r="V944">
        <f>IF($A944="","",$F944&amp;"|"&amp;$U944&amp;"|"&amp;$D944)</f>
        <v/>
      </c>
      <c r="W944">
        <f>IF($T944="","",IF($X944&gt;N($X943),$X944,""))</f>
        <v/>
      </c>
      <c r="X944">
        <f>IF($T944="",N($X943),IF(MATCH($T944,$T$6:$T$6005,0)=ROW()-5,N($X943)+1,N($X943)))</f>
        <v/>
      </c>
      <c r="Z944">
        <f>IF($V944="","",IF($AA944&gt;N($AA943),$AA944,""))</f>
        <v/>
      </c>
      <c r="AA944">
        <f>IF($V944="",N($AA943),IF(MATCH($V944,$V$6:$V$6005,0)=ROW()-5,N($AA943)+1,N($AA943)))</f>
        <v/>
      </c>
    </row>
    <row r="945" ht="21" customHeight="1" s="66">
      <c r="A945" s="56" t="n"/>
      <c r="B945" s="57" t="n"/>
      <c r="C945" s="57" t="n"/>
      <c r="D945" s="57" t="n"/>
      <c r="E945" s="56" t="n"/>
      <c r="F945" s="57" t="n"/>
      <c r="G945" s="57" t="n"/>
      <c r="H945" s="56" t="n"/>
      <c r="I945" s="56" t="n"/>
      <c r="J945" s="58" t="n"/>
      <c r="K945" s="58" t="n"/>
      <c r="L945" s="13">
        <f>IF(OR($A945="",AND($J945="",$K945="")),"",ROUND(N($J945)-N($K945),2))</f>
        <v/>
      </c>
      <c r="M945" s="13">
        <f>IF(OR($A945="",AND($J945="",$K945="")),"",MIN($J945,$K945))</f>
        <v/>
      </c>
      <c r="Q945">
        <f>IF($A945="","",$D945&amp;"("&amp;SUBSTITUTE($E945," ","")&amp;")")</f>
        <v/>
      </c>
      <c r="R945">
        <f>IF($A945="","",$B945&amp;" - "&amp;$C945)</f>
        <v/>
      </c>
      <c r="S945">
        <f>IF($A945="","",$R945&amp;"|"&amp;$Q945)</f>
        <v/>
      </c>
      <c r="T945">
        <f>IF($A945="","",$S945&amp;"|"&amp;$F945)</f>
        <v/>
      </c>
      <c r="U945">
        <f>IF($A945="","",$R945&amp;"("&amp;$E945&amp;")")</f>
        <v/>
      </c>
      <c r="V945">
        <f>IF($A945="","",$F945&amp;"|"&amp;$U945&amp;"|"&amp;$D945)</f>
        <v/>
      </c>
      <c r="W945">
        <f>IF($T945="","",IF($X945&gt;N($X944),$X945,""))</f>
        <v/>
      </c>
      <c r="X945">
        <f>IF($T945="",N($X944),IF(MATCH($T945,$T$6:$T$6005,0)=ROW()-5,N($X944)+1,N($X944)))</f>
        <v/>
      </c>
      <c r="Z945">
        <f>IF($V945="","",IF($AA945&gt;N($AA944),$AA945,""))</f>
        <v/>
      </c>
      <c r="AA945">
        <f>IF($V945="",N($AA944),IF(MATCH($V945,$V$6:$V$6005,0)=ROW()-5,N($AA944)+1,N($AA944)))</f>
        <v/>
      </c>
    </row>
    <row r="946" ht="21" customHeight="1" s="66">
      <c r="A946" s="56" t="n"/>
      <c r="B946" s="57" t="n"/>
      <c r="C946" s="57" t="n"/>
      <c r="D946" s="57" t="n"/>
      <c r="E946" s="56" t="n"/>
      <c r="F946" s="57" t="n"/>
      <c r="G946" s="57" t="n"/>
      <c r="H946" s="56" t="n"/>
      <c r="I946" s="56" t="n"/>
      <c r="J946" s="58" t="n"/>
      <c r="K946" s="58" t="n"/>
      <c r="L946" s="13">
        <f>IF(OR($A946="",AND($J946="",$K946="")),"",ROUND(N($J946)-N($K946),2))</f>
        <v/>
      </c>
      <c r="M946" s="13">
        <f>IF(OR($A946="",AND($J946="",$K946="")),"",MIN($J946,$K946))</f>
        <v/>
      </c>
      <c r="Q946">
        <f>IF($A946="","",$D946&amp;"("&amp;SUBSTITUTE($E946," ","")&amp;")")</f>
        <v/>
      </c>
      <c r="R946">
        <f>IF($A946="","",$B946&amp;" - "&amp;$C946)</f>
        <v/>
      </c>
      <c r="S946">
        <f>IF($A946="","",$R946&amp;"|"&amp;$Q946)</f>
        <v/>
      </c>
      <c r="T946">
        <f>IF($A946="","",$S946&amp;"|"&amp;$F946)</f>
        <v/>
      </c>
      <c r="U946">
        <f>IF($A946="","",$R946&amp;"("&amp;$E946&amp;")")</f>
        <v/>
      </c>
      <c r="V946">
        <f>IF($A946="","",$F946&amp;"|"&amp;$U946&amp;"|"&amp;$D946)</f>
        <v/>
      </c>
      <c r="W946">
        <f>IF($T946="","",IF($X946&gt;N($X945),$X946,""))</f>
        <v/>
      </c>
      <c r="X946">
        <f>IF($T946="",N($X945),IF(MATCH($T946,$T$6:$T$6005,0)=ROW()-5,N($X945)+1,N($X945)))</f>
        <v/>
      </c>
      <c r="Z946">
        <f>IF($V946="","",IF($AA946&gt;N($AA945),$AA946,""))</f>
        <v/>
      </c>
      <c r="AA946">
        <f>IF($V946="",N($AA945),IF(MATCH($V946,$V$6:$V$6005,0)=ROW()-5,N($AA945)+1,N($AA945)))</f>
        <v/>
      </c>
    </row>
    <row r="947" ht="21" customHeight="1" s="66">
      <c r="A947" s="56" t="n"/>
      <c r="B947" s="57" t="n"/>
      <c r="C947" s="57" t="n"/>
      <c r="D947" s="57" t="n"/>
      <c r="E947" s="56" t="n"/>
      <c r="F947" s="57" t="n"/>
      <c r="G947" s="57" t="n"/>
      <c r="H947" s="56" t="n"/>
      <c r="I947" s="56" t="n"/>
      <c r="J947" s="58" t="n"/>
      <c r="K947" s="58" t="n"/>
      <c r="L947" s="13">
        <f>IF(OR($A947="",AND($J947="",$K947="")),"",ROUND(N($J947)-N($K947),2))</f>
        <v/>
      </c>
      <c r="M947" s="13">
        <f>IF(OR($A947="",AND($J947="",$K947="")),"",MIN($J947,$K947))</f>
        <v/>
      </c>
      <c r="Q947">
        <f>IF($A947="","",$D947&amp;"("&amp;SUBSTITUTE($E947," ","")&amp;")")</f>
        <v/>
      </c>
      <c r="R947">
        <f>IF($A947="","",$B947&amp;" - "&amp;$C947)</f>
        <v/>
      </c>
      <c r="S947">
        <f>IF($A947="","",$R947&amp;"|"&amp;$Q947)</f>
        <v/>
      </c>
      <c r="T947">
        <f>IF($A947="","",$S947&amp;"|"&amp;$F947)</f>
        <v/>
      </c>
      <c r="U947">
        <f>IF($A947="","",$R947&amp;"("&amp;$E947&amp;")")</f>
        <v/>
      </c>
      <c r="V947">
        <f>IF($A947="","",$F947&amp;"|"&amp;$U947&amp;"|"&amp;$D947)</f>
        <v/>
      </c>
      <c r="W947">
        <f>IF($T947="","",IF($X947&gt;N($X946),$X947,""))</f>
        <v/>
      </c>
      <c r="X947">
        <f>IF($T947="",N($X946),IF(MATCH($T947,$T$6:$T$6005,0)=ROW()-5,N($X946)+1,N($X946)))</f>
        <v/>
      </c>
      <c r="Z947">
        <f>IF($V947="","",IF($AA947&gt;N($AA946),$AA947,""))</f>
        <v/>
      </c>
      <c r="AA947">
        <f>IF($V947="",N($AA946),IF(MATCH($V947,$V$6:$V$6005,0)=ROW()-5,N($AA946)+1,N($AA946)))</f>
        <v/>
      </c>
    </row>
    <row r="948" ht="21" customHeight="1" s="66">
      <c r="A948" s="56" t="n"/>
      <c r="B948" s="57" t="n"/>
      <c r="C948" s="57" t="n"/>
      <c r="D948" s="57" t="n"/>
      <c r="E948" s="56" t="n"/>
      <c r="F948" s="57" t="n"/>
      <c r="G948" s="57" t="n"/>
      <c r="H948" s="56" t="n"/>
      <c r="I948" s="56" t="n"/>
      <c r="J948" s="58" t="n"/>
      <c r="K948" s="58" t="n"/>
      <c r="L948" s="13">
        <f>IF(OR($A948="",AND($J948="",$K948="")),"",ROUND(N($J948)-N($K948),2))</f>
        <v/>
      </c>
      <c r="M948" s="13">
        <f>IF(OR($A948="",AND($J948="",$K948="")),"",MIN($J948,$K948))</f>
        <v/>
      </c>
      <c r="Q948">
        <f>IF($A948="","",$D948&amp;"("&amp;SUBSTITUTE($E948," ","")&amp;")")</f>
        <v/>
      </c>
      <c r="R948">
        <f>IF($A948="","",$B948&amp;" - "&amp;$C948)</f>
        <v/>
      </c>
      <c r="S948">
        <f>IF($A948="","",$R948&amp;"|"&amp;$Q948)</f>
        <v/>
      </c>
      <c r="T948">
        <f>IF($A948="","",$S948&amp;"|"&amp;$F948)</f>
        <v/>
      </c>
      <c r="U948">
        <f>IF($A948="","",$R948&amp;"("&amp;$E948&amp;")")</f>
        <v/>
      </c>
      <c r="V948">
        <f>IF($A948="","",$F948&amp;"|"&amp;$U948&amp;"|"&amp;$D948)</f>
        <v/>
      </c>
      <c r="W948">
        <f>IF($T948="","",IF($X948&gt;N($X947),$X948,""))</f>
        <v/>
      </c>
      <c r="X948">
        <f>IF($T948="",N($X947),IF(MATCH($T948,$T$6:$T$6005,0)=ROW()-5,N($X947)+1,N($X947)))</f>
        <v/>
      </c>
      <c r="Z948">
        <f>IF($V948="","",IF($AA948&gt;N($AA947),$AA948,""))</f>
        <v/>
      </c>
      <c r="AA948">
        <f>IF($V948="",N($AA947),IF(MATCH($V948,$V$6:$V$6005,0)=ROW()-5,N($AA947)+1,N($AA947)))</f>
        <v/>
      </c>
    </row>
    <row r="949" ht="21" customHeight="1" s="66">
      <c r="A949" s="56" t="n"/>
      <c r="B949" s="57" t="n"/>
      <c r="C949" s="57" t="n"/>
      <c r="D949" s="57" t="n"/>
      <c r="E949" s="56" t="n"/>
      <c r="F949" s="57" t="n"/>
      <c r="G949" s="57" t="n"/>
      <c r="H949" s="56" t="n"/>
      <c r="I949" s="56" t="n"/>
      <c r="J949" s="58" t="n"/>
      <c r="K949" s="58" t="n"/>
      <c r="L949" s="13">
        <f>IF(OR($A949="",AND($J949="",$K949="")),"",ROUND(N($J949)-N($K949),2))</f>
        <v/>
      </c>
      <c r="M949" s="13">
        <f>IF(OR($A949="",AND($J949="",$K949="")),"",MIN($J949,$K949))</f>
        <v/>
      </c>
      <c r="Q949">
        <f>IF($A949="","",$D949&amp;"("&amp;SUBSTITUTE($E949," ","")&amp;")")</f>
        <v/>
      </c>
      <c r="R949">
        <f>IF($A949="","",$B949&amp;" - "&amp;$C949)</f>
        <v/>
      </c>
      <c r="S949">
        <f>IF($A949="","",$R949&amp;"|"&amp;$Q949)</f>
        <v/>
      </c>
      <c r="T949">
        <f>IF($A949="","",$S949&amp;"|"&amp;$F949)</f>
        <v/>
      </c>
      <c r="U949">
        <f>IF($A949="","",$R949&amp;"("&amp;$E949&amp;")")</f>
        <v/>
      </c>
      <c r="V949">
        <f>IF($A949="","",$F949&amp;"|"&amp;$U949&amp;"|"&amp;$D949)</f>
        <v/>
      </c>
      <c r="W949">
        <f>IF($T949="","",IF($X949&gt;N($X948),$X949,""))</f>
        <v/>
      </c>
      <c r="X949">
        <f>IF($T949="",N($X948),IF(MATCH($T949,$T$6:$T$6005,0)=ROW()-5,N($X948)+1,N($X948)))</f>
        <v/>
      </c>
      <c r="Z949">
        <f>IF($V949="","",IF($AA949&gt;N($AA948),$AA949,""))</f>
        <v/>
      </c>
      <c r="AA949">
        <f>IF($V949="",N($AA948),IF(MATCH($V949,$V$6:$V$6005,0)=ROW()-5,N($AA948)+1,N($AA948)))</f>
        <v/>
      </c>
    </row>
    <row r="950" ht="21" customHeight="1" s="66">
      <c r="A950" s="56" t="n"/>
      <c r="B950" s="57" t="n"/>
      <c r="C950" s="57" t="n"/>
      <c r="D950" s="57" t="n"/>
      <c r="E950" s="56" t="n"/>
      <c r="F950" s="57" t="n"/>
      <c r="G950" s="57" t="n"/>
      <c r="H950" s="56" t="n"/>
      <c r="I950" s="56" t="n"/>
      <c r="J950" s="58" t="n"/>
      <c r="K950" s="58" t="n"/>
      <c r="L950" s="13">
        <f>IF(OR($A950="",AND($J950="",$K950="")),"",ROUND(N($J950)-N($K950),2))</f>
        <v/>
      </c>
      <c r="M950" s="13">
        <f>IF(OR($A950="",AND($J950="",$K950="")),"",MIN($J950,$K950))</f>
        <v/>
      </c>
      <c r="Q950">
        <f>IF($A950="","",$D950&amp;"("&amp;SUBSTITUTE($E950," ","")&amp;")")</f>
        <v/>
      </c>
      <c r="R950">
        <f>IF($A950="","",$B950&amp;" - "&amp;$C950)</f>
        <v/>
      </c>
      <c r="S950">
        <f>IF($A950="","",$R950&amp;"|"&amp;$Q950)</f>
        <v/>
      </c>
      <c r="T950">
        <f>IF($A950="","",$S950&amp;"|"&amp;$F950)</f>
        <v/>
      </c>
      <c r="U950">
        <f>IF($A950="","",$R950&amp;"("&amp;$E950&amp;")")</f>
        <v/>
      </c>
      <c r="V950">
        <f>IF($A950="","",$F950&amp;"|"&amp;$U950&amp;"|"&amp;$D950)</f>
        <v/>
      </c>
      <c r="W950">
        <f>IF($T950="","",IF($X950&gt;N($X949),$X950,""))</f>
        <v/>
      </c>
      <c r="X950">
        <f>IF($T950="",N($X949),IF(MATCH($T950,$T$6:$T$6005,0)=ROW()-5,N($X949)+1,N($X949)))</f>
        <v/>
      </c>
      <c r="Z950">
        <f>IF($V950="","",IF($AA950&gt;N($AA949),$AA950,""))</f>
        <v/>
      </c>
      <c r="AA950">
        <f>IF($V950="",N($AA949),IF(MATCH($V950,$V$6:$V$6005,0)=ROW()-5,N($AA949)+1,N($AA949)))</f>
        <v/>
      </c>
    </row>
    <row r="951" ht="21" customHeight="1" s="66">
      <c r="A951" s="56" t="n"/>
      <c r="B951" s="57" t="n"/>
      <c r="C951" s="57" t="n"/>
      <c r="D951" s="57" t="n"/>
      <c r="E951" s="56" t="n"/>
      <c r="F951" s="57" t="n"/>
      <c r="G951" s="57" t="n"/>
      <c r="H951" s="56" t="n"/>
      <c r="I951" s="56" t="n"/>
      <c r="J951" s="58" t="n"/>
      <c r="K951" s="58" t="n"/>
      <c r="L951" s="13">
        <f>IF(OR($A951="",AND($J951="",$K951="")),"",ROUND(N($J951)-N($K951),2))</f>
        <v/>
      </c>
      <c r="M951" s="13">
        <f>IF(OR($A951="",AND($J951="",$K951="")),"",MIN($J951,$K951))</f>
        <v/>
      </c>
      <c r="Q951">
        <f>IF($A951="","",$D951&amp;"("&amp;SUBSTITUTE($E951," ","")&amp;")")</f>
        <v/>
      </c>
      <c r="R951">
        <f>IF($A951="","",$B951&amp;" - "&amp;$C951)</f>
        <v/>
      </c>
      <c r="S951">
        <f>IF($A951="","",$R951&amp;"|"&amp;$Q951)</f>
        <v/>
      </c>
      <c r="T951">
        <f>IF($A951="","",$S951&amp;"|"&amp;$F951)</f>
        <v/>
      </c>
      <c r="U951">
        <f>IF($A951="","",$R951&amp;"("&amp;$E951&amp;")")</f>
        <v/>
      </c>
      <c r="V951">
        <f>IF($A951="","",$F951&amp;"|"&amp;$U951&amp;"|"&amp;$D951)</f>
        <v/>
      </c>
      <c r="W951">
        <f>IF($T951="","",IF($X951&gt;N($X950),$X951,""))</f>
        <v/>
      </c>
      <c r="X951">
        <f>IF($T951="",N($X950),IF(MATCH($T951,$T$6:$T$6005,0)=ROW()-5,N($X950)+1,N($X950)))</f>
        <v/>
      </c>
      <c r="Z951">
        <f>IF($V951="","",IF($AA951&gt;N($AA950),$AA951,""))</f>
        <v/>
      </c>
      <c r="AA951">
        <f>IF($V951="",N($AA950),IF(MATCH($V951,$V$6:$V$6005,0)=ROW()-5,N($AA950)+1,N($AA950)))</f>
        <v/>
      </c>
    </row>
    <row r="952" ht="21" customHeight="1" s="66">
      <c r="A952" s="56" t="n"/>
      <c r="B952" s="57" t="n"/>
      <c r="C952" s="57" t="n"/>
      <c r="D952" s="57" t="n"/>
      <c r="E952" s="56" t="n"/>
      <c r="F952" s="57" t="n"/>
      <c r="G952" s="57" t="n"/>
      <c r="H952" s="56" t="n"/>
      <c r="I952" s="56" t="n"/>
      <c r="J952" s="58" t="n"/>
      <c r="K952" s="58" t="n"/>
      <c r="L952" s="13">
        <f>IF(OR($A952="",AND($J952="",$K952="")),"",ROUND(N($J952)-N($K952),2))</f>
        <v/>
      </c>
      <c r="M952" s="13">
        <f>IF(OR($A952="",AND($J952="",$K952="")),"",MIN($J952,$K952))</f>
        <v/>
      </c>
      <c r="Q952">
        <f>IF($A952="","",$D952&amp;"("&amp;SUBSTITUTE($E952," ","")&amp;")")</f>
        <v/>
      </c>
      <c r="R952">
        <f>IF($A952="","",$B952&amp;" - "&amp;$C952)</f>
        <v/>
      </c>
      <c r="S952">
        <f>IF($A952="","",$R952&amp;"|"&amp;$Q952)</f>
        <v/>
      </c>
      <c r="T952">
        <f>IF($A952="","",$S952&amp;"|"&amp;$F952)</f>
        <v/>
      </c>
      <c r="U952">
        <f>IF($A952="","",$R952&amp;"("&amp;$E952&amp;")")</f>
        <v/>
      </c>
      <c r="V952">
        <f>IF($A952="","",$F952&amp;"|"&amp;$U952&amp;"|"&amp;$D952)</f>
        <v/>
      </c>
      <c r="W952">
        <f>IF($T952="","",IF($X952&gt;N($X951),$X952,""))</f>
        <v/>
      </c>
      <c r="X952">
        <f>IF($T952="",N($X951),IF(MATCH($T952,$T$6:$T$6005,0)=ROW()-5,N($X951)+1,N($X951)))</f>
        <v/>
      </c>
      <c r="Z952">
        <f>IF($V952="","",IF($AA952&gt;N($AA951),$AA952,""))</f>
        <v/>
      </c>
      <c r="AA952">
        <f>IF($V952="",N($AA951),IF(MATCH($V952,$V$6:$V$6005,0)=ROW()-5,N($AA951)+1,N($AA951)))</f>
        <v/>
      </c>
    </row>
    <row r="953" ht="21" customHeight="1" s="66">
      <c r="A953" s="56" t="n"/>
      <c r="B953" s="57" t="n"/>
      <c r="C953" s="57" t="n"/>
      <c r="D953" s="57" t="n"/>
      <c r="E953" s="56" t="n"/>
      <c r="F953" s="57" t="n"/>
      <c r="G953" s="57" t="n"/>
      <c r="H953" s="56" t="n"/>
      <c r="I953" s="56" t="n"/>
      <c r="J953" s="58" t="n"/>
      <c r="K953" s="58" t="n"/>
      <c r="L953" s="13">
        <f>IF(OR($A953="",AND($J953="",$K953="")),"",ROUND(N($J953)-N($K953),2))</f>
        <v/>
      </c>
      <c r="M953" s="13">
        <f>IF(OR($A953="",AND($J953="",$K953="")),"",MIN($J953,$K953))</f>
        <v/>
      </c>
      <c r="Q953">
        <f>IF($A953="","",$D953&amp;"("&amp;SUBSTITUTE($E953," ","")&amp;")")</f>
        <v/>
      </c>
      <c r="R953">
        <f>IF($A953="","",$B953&amp;" - "&amp;$C953)</f>
        <v/>
      </c>
      <c r="S953">
        <f>IF($A953="","",$R953&amp;"|"&amp;$Q953)</f>
        <v/>
      </c>
      <c r="T953">
        <f>IF($A953="","",$S953&amp;"|"&amp;$F953)</f>
        <v/>
      </c>
      <c r="U953">
        <f>IF($A953="","",$R953&amp;"("&amp;$E953&amp;")")</f>
        <v/>
      </c>
      <c r="V953">
        <f>IF($A953="","",$F953&amp;"|"&amp;$U953&amp;"|"&amp;$D953)</f>
        <v/>
      </c>
      <c r="W953">
        <f>IF($T953="","",IF($X953&gt;N($X952),$X953,""))</f>
        <v/>
      </c>
      <c r="X953">
        <f>IF($T953="",N($X952),IF(MATCH($T953,$T$6:$T$6005,0)=ROW()-5,N($X952)+1,N($X952)))</f>
        <v/>
      </c>
      <c r="Z953">
        <f>IF($V953="","",IF($AA953&gt;N($AA952),$AA953,""))</f>
        <v/>
      </c>
      <c r="AA953">
        <f>IF($V953="",N($AA952),IF(MATCH($V953,$V$6:$V$6005,0)=ROW()-5,N($AA952)+1,N($AA952)))</f>
        <v/>
      </c>
    </row>
    <row r="954" ht="21" customHeight="1" s="66">
      <c r="A954" s="56" t="n"/>
      <c r="B954" s="57" t="n"/>
      <c r="C954" s="57" t="n"/>
      <c r="D954" s="57" t="n"/>
      <c r="E954" s="56" t="n"/>
      <c r="F954" s="57" t="n"/>
      <c r="G954" s="57" t="n"/>
      <c r="H954" s="56" t="n"/>
      <c r="I954" s="56" t="n"/>
      <c r="J954" s="58" t="n"/>
      <c r="K954" s="58" t="n"/>
      <c r="L954" s="13">
        <f>IF(OR($A954="",AND($J954="",$K954="")),"",ROUND(N($J954)-N($K954),2))</f>
        <v/>
      </c>
      <c r="M954" s="13">
        <f>IF(OR($A954="",AND($J954="",$K954="")),"",MIN($J954,$K954))</f>
        <v/>
      </c>
      <c r="Q954">
        <f>IF($A954="","",$D954&amp;"("&amp;SUBSTITUTE($E954," ","")&amp;")")</f>
        <v/>
      </c>
      <c r="R954">
        <f>IF($A954="","",$B954&amp;" - "&amp;$C954)</f>
        <v/>
      </c>
      <c r="S954">
        <f>IF($A954="","",$R954&amp;"|"&amp;$Q954)</f>
        <v/>
      </c>
      <c r="T954">
        <f>IF($A954="","",$S954&amp;"|"&amp;$F954)</f>
        <v/>
      </c>
      <c r="U954">
        <f>IF($A954="","",$R954&amp;"("&amp;$E954&amp;")")</f>
        <v/>
      </c>
      <c r="V954">
        <f>IF($A954="","",$F954&amp;"|"&amp;$U954&amp;"|"&amp;$D954)</f>
        <v/>
      </c>
      <c r="W954">
        <f>IF($T954="","",IF($X954&gt;N($X953),$X954,""))</f>
        <v/>
      </c>
      <c r="X954">
        <f>IF($T954="",N($X953),IF(MATCH($T954,$T$6:$T$6005,0)=ROW()-5,N($X953)+1,N($X953)))</f>
        <v/>
      </c>
      <c r="Z954">
        <f>IF($V954="","",IF($AA954&gt;N($AA953),$AA954,""))</f>
        <v/>
      </c>
      <c r="AA954">
        <f>IF($V954="",N($AA953),IF(MATCH($V954,$V$6:$V$6005,0)=ROW()-5,N($AA953)+1,N($AA953)))</f>
        <v/>
      </c>
    </row>
    <row r="955" ht="21" customHeight="1" s="66">
      <c r="A955" s="56" t="n"/>
      <c r="B955" s="57" t="n"/>
      <c r="C955" s="57" t="n"/>
      <c r="D955" s="57" t="n"/>
      <c r="E955" s="56" t="n"/>
      <c r="F955" s="57" t="n"/>
      <c r="G955" s="57" t="n"/>
      <c r="H955" s="56" t="n"/>
      <c r="I955" s="56" t="n"/>
      <c r="J955" s="58" t="n"/>
      <c r="K955" s="58" t="n"/>
      <c r="L955" s="13">
        <f>IF(OR($A955="",AND($J955="",$K955="")),"",ROUND(N($J955)-N($K955),2))</f>
        <v/>
      </c>
      <c r="M955" s="13">
        <f>IF(OR($A955="",AND($J955="",$K955="")),"",MIN($J955,$K955))</f>
        <v/>
      </c>
      <c r="Q955">
        <f>IF($A955="","",$D955&amp;"("&amp;SUBSTITUTE($E955," ","")&amp;")")</f>
        <v/>
      </c>
      <c r="R955">
        <f>IF($A955="","",$B955&amp;" - "&amp;$C955)</f>
        <v/>
      </c>
      <c r="S955">
        <f>IF($A955="","",$R955&amp;"|"&amp;$Q955)</f>
        <v/>
      </c>
      <c r="T955">
        <f>IF($A955="","",$S955&amp;"|"&amp;$F955)</f>
        <v/>
      </c>
      <c r="U955">
        <f>IF($A955="","",$R955&amp;"("&amp;$E955&amp;")")</f>
        <v/>
      </c>
      <c r="V955">
        <f>IF($A955="","",$F955&amp;"|"&amp;$U955&amp;"|"&amp;$D955)</f>
        <v/>
      </c>
      <c r="W955">
        <f>IF($T955="","",IF($X955&gt;N($X954),$X955,""))</f>
        <v/>
      </c>
      <c r="X955">
        <f>IF($T955="",N($X954),IF(MATCH($T955,$T$6:$T$6005,0)=ROW()-5,N($X954)+1,N($X954)))</f>
        <v/>
      </c>
      <c r="Z955">
        <f>IF($V955="","",IF($AA955&gt;N($AA954),$AA955,""))</f>
        <v/>
      </c>
      <c r="AA955">
        <f>IF($V955="",N($AA954),IF(MATCH($V955,$V$6:$V$6005,0)=ROW()-5,N($AA954)+1,N($AA954)))</f>
        <v/>
      </c>
    </row>
    <row r="956" ht="21" customHeight="1" s="66">
      <c r="A956" s="56" t="n"/>
      <c r="B956" s="57" t="n"/>
      <c r="C956" s="57" t="n"/>
      <c r="D956" s="57" t="n"/>
      <c r="E956" s="56" t="n"/>
      <c r="F956" s="57" t="n"/>
      <c r="G956" s="57" t="n"/>
      <c r="H956" s="56" t="n"/>
      <c r="I956" s="56" t="n"/>
      <c r="J956" s="58" t="n"/>
      <c r="K956" s="58" t="n"/>
      <c r="L956" s="13">
        <f>IF(OR($A956="",AND($J956="",$K956="")),"",ROUND(N($J956)-N($K956),2))</f>
        <v/>
      </c>
      <c r="M956" s="13">
        <f>IF(OR($A956="",AND($J956="",$K956="")),"",MIN($J956,$K956))</f>
        <v/>
      </c>
      <c r="Q956">
        <f>IF($A956="","",$D956&amp;"("&amp;SUBSTITUTE($E956," ","")&amp;")")</f>
        <v/>
      </c>
      <c r="R956">
        <f>IF($A956="","",$B956&amp;" - "&amp;$C956)</f>
        <v/>
      </c>
      <c r="S956">
        <f>IF($A956="","",$R956&amp;"|"&amp;$Q956)</f>
        <v/>
      </c>
      <c r="T956">
        <f>IF($A956="","",$S956&amp;"|"&amp;$F956)</f>
        <v/>
      </c>
      <c r="U956">
        <f>IF($A956="","",$R956&amp;"("&amp;$E956&amp;")")</f>
        <v/>
      </c>
      <c r="V956">
        <f>IF($A956="","",$F956&amp;"|"&amp;$U956&amp;"|"&amp;$D956)</f>
        <v/>
      </c>
      <c r="W956">
        <f>IF($T956="","",IF($X956&gt;N($X955),$X956,""))</f>
        <v/>
      </c>
      <c r="X956">
        <f>IF($T956="",N($X955),IF(MATCH($T956,$T$6:$T$6005,0)=ROW()-5,N($X955)+1,N($X955)))</f>
        <v/>
      </c>
      <c r="Z956">
        <f>IF($V956="","",IF($AA956&gt;N($AA955),$AA956,""))</f>
        <v/>
      </c>
      <c r="AA956">
        <f>IF($V956="",N($AA955),IF(MATCH($V956,$V$6:$V$6005,0)=ROW()-5,N($AA955)+1,N($AA955)))</f>
        <v/>
      </c>
    </row>
    <row r="957" ht="21" customHeight="1" s="66">
      <c r="A957" s="56" t="n"/>
      <c r="B957" s="57" t="n"/>
      <c r="C957" s="57" t="n"/>
      <c r="D957" s="57" t="n"/>
      <c r="E957" s="56" t="n"/>
      <c r="F957" s="57" t="n"/>
      <c r="G957" s="57" t="n"/>
      <c r="H957" s="56" t="n"/>
      <c r="I957" s="56" t="n"/>
      <c r="J957" s="58" t="n"/>
      <c r="K957" s="58" t="n"/>
      <c r="L957" s="13">
        <f>IF(OR($A957="",AND($J957="",$K957="")),"",ROUND(N($J957)-N($K957),2))</f>
        <v/>
      </c>
      <c r="M957" s="13">
        <f>IF(OR($A957="",AND($J957="",$K957="")),"",MIN($J957,$K957))</f>
        <v/>
      </c>
      <c r="Q957">
        <f>IF($A957="","",$D957&amp;"("&amp;SUBSTITUTE($E957," ","")&amp;")")</f>
        <v/>
      </c>
      <c r="R957">
        <f>IF($A957="","",$B957&amp;" - "&amp;$C957)</f>
        <v/>
      </c>
      <c r="S957">
        <f>IF($A957="","",$R957&amp;"|"&amp;$Q957)</f>
        <v/>
      </c>
      <c r="T957">
        <f>IF($A957="","",$S957&amp;"|"&amp;$F957)</f>
        <v/>
      </c>
      <c r="U957">
        <f>IF($A957="","",$R957&amp;"("&amp;$E957&amp;")")</f>
        <v/>
      </c>
      <c r="V957">
        <f>IF($A957="","",$F957&amp;"|"&amp;$U957&amp;"|"&amp;$D957)</f>
        <v/>
      </c>
      <c r="W957">
        <f>IF($T957="","",IF($X957&gt;N($X956),$X957,""))</f>
        <v/>
      </c>
      <c r="X957">
        <f>IF($T957="",N($X956),IF(MATCH($T957,$T$6:$T$6005,0)=ROW()-5,N($X956)+1,N($X956)))</f>
        <v/>
      </c>
      <c r="Z957">
        <f>IF($V957="","",IF($AA957&gt;N($AA956),$AA957,""))</f>
        <v/>
      </c>
      <c r="AA957">
        <f>IF($V957="",N($AA956),IF(MATCH($V957,$V$6:$V$6005,0)=ROW()-5,N($AA956)+1,N($AA956)))</f>
        <v/>
      </c>
    </row>
    <row r="958" ht="21" customHeight="1" s="66">
      <c r="A958" s="56" t="n"/>
      <c r="B958" s="57" t="n"/>
      <c r="C958" s="57" t="n"/>
      <c r="D958" s="57" t="n"/>
      <c r="E958" s="56" t="n"/>
      <c r="F958" s="57" t="n"/>
      <c r="G958" s="57" t="n"/>
      <c r="H958" s="56" t="n"/>
      <c r="I958" s="56" t="n"/>
      <c r="J958" s="58" t="n"/>
      <c r="K958" s="58" t="n"/>
      <c r="L958" s="13">
        <f>IF(OR($A958="",AND($J958="",$K958="")),"",ROUND(N($J958)-N($K958),2))</f>
        <v/>
      </c>
      <c r="M958" s="13">
        <f>IF(OR($A958="",AND($J958="",$K958="")),"",MIN($J958,$K958))</f>
        <v/>
      </c>
      <c r="Q958">
        <f>IF($A958="","",$D958&amp;"("&amp;SUBSTITUTE($E958," ","")&amp;")")</f>
        <v/>
      </c>
      <c r="R958">
        <f>IF($A958="","",$B958&amp;" - "&amp;$C958)</f>
        <v/>
      </c>
      <c r="S958">
        <f>IF($A958="","",$R958&amp;"|"&amp;$Q958)</f>
        <v/>
      </c>
      <c r="T958">
        <f>IF($A958="","",$S958&amp;"|"&amp;$F958)</f>
        <v/>
      </c>
      <c r="U958">
        <f>IF($A958="","",$R958&amp;"("&amp;$E958&amp;")")</f>
        <v/>
      </c>
      <c r="V958">
        <f>IF($A958="","",$F958&amp;"|"&amp;$U958&amp;"|"&amp;$D958)</f>
        <v/>
      </c>
      <c r="W958">
        <f>IF($T958="","",IF($X958&gt;N($X957),$X958,""))</f>
        <v/>
      </c>
      <c r="X958">
        <f>IF($T958="",N($X957),IF(MATCH($T958,$T$6:$T$6005,0)=ROW()-5,N($X957)+1,N($X957)))</f>
        <v/>
      </c>
      <c r="Z958">
        <f>IF($V958="","",IF($AA958&gt;N($AA957),$AA958,""))</f>
        <v/>
      </c>
      <c r="AA958">
        <f>IF($V958="",N($AA957),IF(MATCH($V958,$V$6:$V$6005,0)=ROW()-5,N($AA957)+1,N($AA957)))</f>
        <v/>
      </c>
    </row>
    <row r="959" ht="21" customHeight="1" s="66">
      <c r="A959" s="56" t="n"/>
      <c r="B959" s="57" t="n"/>
      <c r="C959" s="57" t="n"/>
      <c r="D959" s="57" t="n"/>
      <c r="E959" s="56" t="n"/>
      <c r="F959" s="57" t="n"/>
      <c r="G959" s="57" t="n"/>
      <c r="H959" s="56" t="n"/>
      <c r="I959" s="56" t="n"/>
      <c r="J959" s="58" t="n"/>
      <c r="K959" s="58" t="n"/>
      <c r="L959" s="13">
        <f>IF(OR($A959="",AND($J959="",$K959="")),"",ROUND(N($J959)-N($K959),2))</f>
        <v/>
      </c>
      <c r="M959" s="13">
        <f>IF(OR($A959="",AND($J959="",$K959="")),"",MIN($J959,$K959))</f>
        <v/>
      </c>
      <c r="Q959">
        <f>IF($A959="","",$D959&amp;"("&amp;SUBSTITUTE($E959," ","")&amp;")")</f>
        <v/>
      </c>
      <c r="R959">
        <f>IF($A959="","",$B959&amp;" - "&amp;$C959)</f>
        <v/>
      </c>
      <c r="S959">
        <f>IF($A959="","",$R959&amp;"|"&amp;$Q959)</f>
        <v/>
      </c>
      <c r="T959">
        <f>IF($A959="","",$S959&amp;"|"&amp;$F959)</f>
        <v/>
      </c>
      <c r="U959">
        <f>IF($A959="","",$R959&amp;"("&amp;$E959&amp;")")</f>
        <v/>
      </c>
      <c r="V959">
        <f>IF($A959="","",$F959&amp;"|"&amp;$U959&amp;"|"&amp;$D959)</f>
        <v/>
      </c>
      <c r="W959">
        <f>IF($T959="","",IF($X959&gt;N($X958),$X959,""))</f>
        <v/>
      </c>
      <c r="X959">
        <f>IF($T959="",N($X958),IF(MATCH($T959,$T$6:$T$6005,0)=ROW()-5,N($X958)+1,N($X958)))</f>
        <v/>
      </c>
      <c r="Z959">
        <f>IF($V959="","",IF($AA959&gt;N($AA958),$AA959,""))</f>
        <v/>
      </c>
      <c r="AA959">
        <f>IF($V959="",N($AA958),IF(MATCH($V959,$V$6:$V$6005,0)=ROW()-5,N($AA958)+1,N($AA958)))</f>
        <v/>
      </c>
    </row>
    <row r="960" ht="21" customHeight="1" s="66">
      <c r="A960" s="56" t="n"/>
      <c r="B960" s="57" t="n"/>
      <c r="C960" s="57" t="n"/>
      <c r="D960" s="57" t="n"/>
      <c r="E960" s="56" t="n"/>
      <c r="F960" s="57" t="n"/>
      <c r="G960" s="57" t="n"/>
      <c r="H960" s="56" t="n"/>
      <c r="I960" s="56" t="n"/>
      <c r="J960" s="58" t="n"/>
      <c r="K960" s="58" t="n"/>
      <c r="L960" s="13">
        <f>IF(OR($A960="",AND($J960="",$K960="")),"",ROUND(N($J960)-N($K960),2))</f>
        <v/>
      </c>
      <c r="M960" s="13">
        <f>IF(OR($A960="",AND($J960="",$K960="")),"",MIN($J960,$K960))</f>
        <v/>
      </c>
      <c r="Q960">
        <f>IF($A960="","",$D960&amp;"("&amp;SUBSTITUTE($E960," ","")&amp;")")</f>
        <v/>
      </c>
      <c r="R960">
        <f>IF($A960="","",$B960&amp;" - "&amp;$C960)</f>
        <v/>
      </c>
      <c r="S960">
        <f>IF($A960="","",$R960&amp;"|"&amp;$Q960)</f>
        <v/>
      </c>
      <c r="T960">
        <f>IF($A960="","",$S960&amp;"|"&amp;$F960)</f>
        <v/>
      </c>
      <c r="U960">
        <f>IF($A960="","",$R960&amp;"("&amp;$E960&amp;")")</f>
        <v/>
      </c>
      <c r="V960">
        <f>IF($A960="","",$F960&amp;"|"&amp;$U960&amp;"|"&amp;$D960)</f>
        <v/>
      </c>
      <c r="W960">
        <f>IF($T960="","",IF($X960&gt;N($X959),$X960,""))</f>
        <v/>
      </c>
      <c r="X960">
        <f>IF($T960="",N($X959),IF(MATCH($T960,$T$6:$T$6005,0)=ROW()-5,N($X959)+1,N($X959)))</f>
        <v/>
      </c>
      <c r="Z960">
        <f>IF($V960="","",IF($AA960&gt;N($AA959),$AA960,""))</f>
        <v/>
      </c>
      <c r="AA960">
        <f>IF($V960="",N($AA959),IF(MATCH($V960,$V$6:$V$6005,0)=ROW()-5,N($AA959)+1,N($AA959)))</f>
        <v/>
      </c>
    </row>
    <row r="961" ht="21" customHeight="1" s="66">
      <c r="A961" s="56" t="n"/>
      <c r="B961" s="57" t="n"/>
      <c r="C961" s="57" t="n"/>
      <c r="D961" s="57" t="n"/>
      <c r="E961" s="56" t="n"/>
      <c r="F961" s="57" t="n"/>
      <c r="G961" s="57" t="n"/>
      <c r="H961" s="56" t="n"/>
      <c r="I961" s="56" t="n"/>
      <c r="J961" s="58" t="n"/>
      <c r="K961" s="58" t="n"/>
      <c r="L961" s="13">
        <f>IF(OR($A961="",AND($J961="",$K961="")),"",ROUND(N($J961)-N($K961),2))</f>
        <v/>
      </c>
      <c r="M961" s="13">
        <f>IF(OR($A961="",AND($J961="",$K961="")),"",MIN($J961,$K961))</f>
        <v/>
      </c>
      <c r="Q961">
        <f>IF($A961="","",$D961&amp;"("&amp;SUBSTITUTE($E961," ","")&amp;")")</f>
        <v/>
      </c>
      <c r="R961">
        <f>IF($A961="","",$B961&amp;" - "&amp;$C961)</f>
        <v/>
      </c>
      <c r="S961">
        <f>IF($A961="","",$R961&amp;"|"&amp;$Q961)</f>
        <v/>
      </c>
      <c r="T961">
        <f>IF($A961="","",$S961&amp;"|"&amp;$F961)</f>
        <v/>
      </c>
      <c r="U961">
        <f>IF($A961="","",$R961&amp;"("&amp;$E961&amp;")")</f>
        <v/>
      </c>
      <c r="V961">
        <f>IF($A961="","",$F961&amp;"|"&amp;$U961&amp;"|"&amp;$D961)</f>
        <v/>
      </c>
      <c r="W961">
        <f>IF($T961="","",IF($X961&gt;N($X960),$X961,""))</f>
        <v/>
      </c>
      <c r="X961">
        <f>IF($T961="",N($X960),IF(MATCH($T961,$T$6:$T$6005,0)=ROW()-5,N($X960)+1,N($X960)))</f>
        <v/>
      </c>
      <c r="Z961">
        <f>IF($V961="","",IF($AA961&gt;N($AA960),$AA961,""))</f>
        <v/>
      </c>
      <c r="AA961">
        <f>IF($V961="",N($AA960),IF(MATCH($V961,$V$6:$V$6005,0)=ROW()-5,N($AA960)+1,N($AA960)))</f>
        <v/>
      </c>
    </row>
    <row r="962" ht="21" customHeight="1" s="66">
      <c r="A962" s="56" t="n"/>
      <c r="B962" s="57" t="n"/>
      <c r="C962" s="57" t="n"/>
      <c r="D962" s="57" t="n"/>
      <c r="E962" s="56" t="n"/>
      <c r="F962" s="57" t="n"/>
      <c r="G962" s="57" t="n"/>
      <c r="H962" s="56" t="n"/>
      <c r="I962" s="56" t="n"/>
      <c r="J962" s="58" t="n"/>
      <c r="K962" s="58" t="n"/>
      <c r="L962" s="13">
        <f>IF(OR($A962="",AND($J962="",$K962="")),"",ROUND(N($J962)-N($K962),2))</f>
        <v/>
      </c>
      <c r="M962" s="13">
        <f>IF(OR($A962="",AND($J962="",$K962="")),"",MIN($J962,$K962))</f>
        <v/>
      </c>
      <c r="Q962">
        <f>IF($A962="","",$D962&amp;"("&amp;SUBSTITUTE($E962," ","")&amp;")")</f>
        <v/>
      </c>
      <c r="R962">
        <f>IF($A962="","",$B962&amp;" - "&amp;$C962)</f>
        <v/>
      </c>
      <c r="S962">
        <f>IF($A962="","",$R962&amp;"|"&amp;$Q962)</f>
        <v/>
      </c>
      <c r="T962">
        <f>IF($A962="","",$S962&amp;"|"&amp;$F962)</f>
        <v/>
      </c>
      <c r="U962">
        <f>IF($A962="","",$R962&amp;"("&amp;$E962&amp;")")</f>
        <v/>
      </c>
      <c r="V962">
        <f>IF($A962="","",$F962&amp;"|"&amp;$U962&amp;"|"&amp;$D962)</f>
        <v/>
      </c>
      <c r="W962">
        <f>IF($T962="","",IF($X962&gt;N($X961),$X962,""))</f>
        <v/>
      </c>
      <c r="X962">
        <f>IF($T962="",N($X961),IF(MATCH($T962,$T$6:$T$6005,0)=ROW()-5,N($X961)+1,N($X961)))</f>
        <v/>
      </c>
      <c r="Z962">
        <f>IF($V962="","",IF($AA962&gt;N($AA961),$AA962,""))</f>
        <v/>
      </c>
      <c r="AA962">
        <f>IF($V962="",N($AA961),IF(MATCH($V962,$V$6:$V$6005,0)=ROW()-5,N($AA961)+1,N($AA961)))</f>
        <v/>
      </c>
    </row>
    <row r="963" ht="21" customHeight="1" s="66">
      <c r="A963" s="56" t="n"/>
      <c r="B963" s="57" t="n"/>
      <c r="C963" s="57" t="n"/>
      <c r="D963" s="57" t="n"/>
      <c r="E963" s="56" t="n"/>
      <c r="F963" s="57" t="n"/>
      <c r="G963" s="57" t="n"/>
      <c r="H963" s="56" t="n"/>
      <c r="I963" s="56" t="n"/>
      <c r="J963" s="58" t="n"/>
      <c r="K963" s="58" t="n"/>
      <c r="L963" s="13">
        <f>IF(OR($A963="",AND($J963="",$K963="")),"",ROUND(N($J963)-N($K963),2))</f>
        <v/>
      </c>
      <c r="M963" s="13">
        <f>IF(OR($A963="",AND($J963="",$K963="")),"",MIN($J963,$K963))</f>
        <v/>
      </c>
      <c r="Q963">
        <f>IF($A963="","",$D963&amp;"("&amp;SUBSTITUTE($E963," ","")&amp;")")</f>
        <v/>
      </c>
      <c r="R963">
        <f>IF($A963="","",$B963&amp;" - "&amp;$C963)</f>
        <v/>
      </c>
      <c r="S963">
        <f>IF($A963="","",$R963&amp;"|"&amp;$Q963)</f>
        <v/>
      </c>
      <c r="T963">
        <f>IF($A963="","",$S963&amp;"|"&amp;$F963)</f>
        <v/>
      </c>
      <c r="U963">
        <f>IF($A963="","",$R963&amp;"("&amp;$E963&amp;")")</f>
        <v/>
      </c>
      <c r="V963">
        <f>IF($A963="","",$F963&amp;"|"&amp;$U963&amp;"|"&amp;$D963)</f>
        <v/>
      </c>
      <c r="W963">
        <f>IF($T963="","",IF($X963&gt;N($X962),$X963,""))</f>
        <v/>
      </c>
      <c r="X963">
        <f>IF($T963="",N($X962),IF(MATCH($T963,$T$6:$T$6005,0)=ROW()-5,N($X962)+1,N($X962)))</f>
        <v/>
      </c>
      <c r="Z963">
        <f>IF($V963="","",IF($AA963&gt;N($AA962),$AA963,""))</f>
        <v/>
      </c>
      <c r="AA963">
        <f>IF($V963="",N($AA962),IF(MATCH($V963,$V$6:$V$6005,0)=ROW()-5,N($AA962)+1,N($AA962)))</f>
        <v/>
      </c>
    </row>
    <row r="964" ht="21" customHeight="1" s="66">
      <c r="A964" s="56" t="n"/>
      <c r="B964" s="57" t="n"/>
      <c r="C964" s="57" t="n"/>
      <c r="D964" s="57" t="n"/>
      <c r="E964" s="56" t="n"/>
      <c r="F964" s="57" t="n"/>
      <c r="G964" s="57" t="n"/>
      <c r="H964" s="56" t="n"/>
      <c r="I964" s="56" t="n"/>
      <c r="J964" s="58" t="n"/>
      <c r="K964" s="58" t="n"/>
      <c r="L964" s="13">
        <f>IF(OR($A964="",AND($J964="",$K964="")),"",ROUND(N($J964)-N($K964),2))</f>
        <v/>
      </c>
      <c r="M964" s="13">
        <f>IF(OR($A964="",AND($J964="",$K964="")),"",MIN($J964,$K964))</f>
        <v/>
      </c>
      <c r="Q964">
        <f>IF($A964="","",$D964&amp;"("&amp;SUBSTITUTE($E964," ","")&amp;")")</f>
        <v/>
      </c>
      <c r="R964">
        <f>IF($A964="","",$B964&amp;" - "&amp;$C964)</f>
        <v/>
      </c>
      <c r="S964">
        <f>IF($A964="","",$R964&amp;"|"&amp;$Q964)</f>
        <v/>
      </c>
      <c r="T964">
        <f>IF($A964="","",$S964&amp;"|"&amp;$F964)</f>
        <v/>
      </c>
      <c r="U964">
        <f>IF($A964="","",$R964&amp;"("&amp;$E964&amp;")")</f>
        <v/>
      </c>
      <c r="V964">
        <f>IF($A964="","",$F964&amp;"|"&amp;$U964&amp;"|"&amp;$D964)</f>
        <v/>
      </c>
      <c r="W964">
        <f>IF($T964="","",IF($X964&gt;N($X963),$X964,""))</f>
        <v/>
      </c>
      <c r="X964">
        <f>IF($T964="",N($X963),IF(MATCH($T964,$T$6:$T$6005,0)=ROW()-5,N($X963)+1,N($X963)))</f>
        <v/>
      </c>
      <c r="Z964">
        <f>IF($V964="","",IF($AA964&gt;N($AA963),$AA964,""))</f>
        <v/>
      </c>
      <c r="AA964">
        <f>IF($V964="",N($AA963),IF(MATCH($V964,$V$6:$V$6005,0)=ROW()-5,N($AA963)+1,N($AA963)))</f>
        <v/>
      </c>
    </row>
    <row r="965" ht="21" customHeight="1" s="66">
      <c r="A965" s="56" t="n"/>
      <c r="B965" s="57" t="n"/>
      <c r="C965" s="57" t="n"/>
      <c r="D965" s="57" t="n"/>
      <c r="E965" s="56" t="n"/>
      <c r="F965" s="57" t="n"/>
      <c r="G965" s="57" t="n"/>
      <c r="H965" s="56" t="n"/>
      <c r="I965" s="56" t="n"/>
      <c r="J965" s="58" t="n"/>
      <c r="K965" s="58" t="n"/>
      <c r="L965" s="13">
        <f>IF(OR($A965="",AND($J965="",$K965="")),"",ROUND(N($J965)-N($K965),2))</f>
        <v/>
      </c>
      <c r="M965" s="13">
        <f>IF(OR($A965="",AND($J965="",$K965="")),"",MIN($J965,$K965))</f>
        <v/>
      </c>
      <c r="Q965">
        <f>IF($A965="","",$D965&amp;"("&amp;SUBSTITUTE($E965," ","")&amp;")")</f>
        <v/>
      </c>
      <c r="R965">
        <f>IF($A965="","",$B965&amp;" - "&amp;$C965)</f>
        <v/>
      </c>
      <c r="S965">
        <f>IF($A965="","",$R965&amp;"|"&amp;$Q965)</f>
        <v/>
      </c>
      <c r="T965">
        <f>IF($A965="","",$S965&amp;"|"&amp;$F965)</f>
        <v/>
      </c>
      <c r="U965">
        <f>IF($A965="","",$R965&amp;"("&amp;$E965&amp;")")</f>
        <v/>
      </c>
      <c r="V965">
        <f>IF($A965="","",$F965&amp;"|"&amp;$U965&amp;"|"&amp;$D965)</f>
        <v/>
      </c>
      <c r="W965">
        <f>IF($T965="","",IF($X965&gt;N($X964),$X965,""))</f>
        <v/>
      </c>
      <c r="X965">
        <f>IF($T965="",N($X964),IF(MATCH($T965,$T$6:$T$6005,0)=ROW()-5,N($X964)+1,N($X964)))</f>
        <v/>
      </c>
      <c r="Z965">
        <f>IF($V965="","",IF($AA965&gt;N($AA964),$AA965,""))</f>
        <v/>
      </c>
      <c r="AA965">
        <f>IF($V965="",N($AA964),IF(MATCH($V965,$V$6:$V$6005,0)=ROW()-5,N($AA964)+1,N($AA964)))</f>
        <v/>
      </c>
    </row>
    <row r="966" ht="21" customHeight="1" s="66">
      <c r="A966" s="56" t="n"/>
      <c r="B966" s="57" t="n"/>
      <c r="C966" s="57" t="n"/>
      <c r="D966" s="57" t="n"/>
      <c r="E966" s="56" t="n"/>
      <c r="F966" s="57" t="n"/>
      <c r="G966" s="57" t="n"/>
      <c r="H966" s="56" t="n"/>
      <c r="I966" s="56" t="n"/>
      <c r="J966" s="58" t="n"/>
      <c r="K966" s="58" t="n"/>
      <c r="L966" s="13">
        <f>IF(OR($A966="",AND($J966="",$K966="")),"",ROUND(N($J966)-N($K966),2))</f>
        <v/>
      </c>
      <c r="M966" s="13">
        <f>IF(OR($A966="",AND($J966="",$K966="")),"",MIN($J966,$K966))</f>
        <v/>
      </c>
      <c r="Q966">
        <f>IF($A966="","",$D966&amp;"("&amp;SUBSTITUTE($E966," ","")&amp;")")</f>
        <v/>
      </c>
      <c r="R966">
        <f>IF($A966="","",$B966&amp;" - "&amp;$C966)</f>
        <v/>
      </c>
      <c r="S966">
        <f>IF($A966="","",$R966&amp;"|"&amp;$Q966)</f>
        <v/>
      </c>
      <c r="T966">
        <f>IF($A966="","",$S966&amp;"|"&amp;$F966)</f>
        <v/>
      </c>
      <c r="U966">
        <f>IF($A966="","",$R966&amp;"("&amp;$E966&amp;")")</f>
        <v/>
      </c>
      <c r="V966">
        <f>IF($A966="","",$F966&amp;"|"&amp;$U966&amp;"|"&amp;$D966)</f>
        <v/>
      </c>
      <c r="W966">
        <f>IF($T966="","",IF($X966&gt;N($X965),$X966,""))</f>
        <v/>
      </c>
      <c r="X966">
        <f>IF($T966="",N($X965),IF(MATCH($T966,$T$6:$T$6005,0)=ROW()-5,N($X965)+1,N($X965)))</f>
        <v/>
      </c>
      <c r="Z966">
        <f>IF($V966="","",IF($AA966&gt;N($AA965),$AA966,""))</f>
        <v/>
      </c>
      <c r="AA966">
        <f>IF($V966="",N($AA965),IF(MATCH($V966,$V$6:$V$6005,0)=ROW()-5,N($AA965)+1,N($AA965)))</f>
        <v/>
      </c>
    </row>
    <row r="967" ht="21" customHeight="1" s="66">
      <c r="A967" s="56" t="n"/>
      <c r="B967" s="57" t="n"/>
      <c r="C967" s="57" t="n"/>
      <c r="D967" s="57" t="n"/>
      <c r="E967" s="56" t="n"/>
      <c r="F967" s="57" t="n"/>
      <c r="G967" s="57" t="n"/>
      <c r="H967" s="56" t="n"/>
      <c r="I967" s="56" t="n"/>
      <c r="J967" s="58" t="n"/>
      <c r="K967" s="58" t="n"/>
      <c r="L967" s="13">
        <f>IF(OR($A967="",AND($J967="",$K967="")),"",ROUND(N($J967)-N($K967),2))</f>
        <v/>
      </c>
      <c r="M967" s="13">
        <f>IF(OR($A967="",AND($J967="",$K967="")),"",MIN($J967,$K967))</f>
        <v/>
      </c>
      <c r="Q967">
        <f>IF($A967="","",$D967&amp;"("&amp;SUBSTITUTE($E967," ","")&amp;")")</f>
        <v/>
      </c>
      <c r="R967">
        <f>IF($A967="","",$B967&amp;" - "&amp;$C967)</f>
        <v/>
      </c>
      <c r="S967">
        <f>IF($A967="","",$R967&amp;"|"&amp;$Q967)</f>
        <v/>
      </c>
      <c r="T967">
        <f>IF($A967="","",$S967&amp;"|"&amp;$F967)</f>
        <v/>
      </c>
      <c r="U967">
        <f>IF($A967="","",$R967&amp;"("&amp;$E967&amp;")")</f>
        <v/>
      </c>
      <c r="V967">
        <f>IF($A967="","",$F967&amp;"|"&amp;$U967&amp;"|"&amp;$D967)</f>
        <v/>
      </c>
      <c r="W967">
        <f>IF($T967="","",IF($X967&gt;N($X966),$X967,""))</f>
        <v/>
      </c>
      <c r="X967">
        <f>IF($T967="",N($X966),IF(MATCH($T967,$T$6:$T$6005,0)=ROW()-5,N($X966)+1,N($X966)))</f>
        <v/>
      </c>
      <c r="Z967">
        <f>IF($V967="","",IF($AA967&gt;N($AA966),$AA967,""))</f>
        <v/>
      </c>
      <c r="AA967">
        <f>IF($V967="",N($AA966),IF(MATCH($V967,$V$6:$V$6005,0)=ROW()-5,N($AA966)+1,N($AA966)))</f>
        <v/>
      </c>
    </row>
    <row r="968" ht="21" customHeight="1" s="66">
      <c r="A968" s="56" t="n"/>
      <c r="B968" s="57" t="n"/>
      <c r="C968" s="57" t="n"/>
      <c r="D968" s="57" t="n"/>
      <c r="E968" s="56" t="n"/>
      <c r="F968" s="57" t="n"/>
      <c r="G968" s="57" t="n"/>
      <c r="H968" s="56" t="n"/>
      <c r="I968" s="56" t="n"/>
      <c r="J968" s="58" t="n"/>
      <c r="K968" s="58" t="n"/>
      <c r="L968" s="13">
        <f>IF(OR($A968="",AND($J968="",$K968="")),"",ROUND(N($J968)-N($K968),2))</f>
        <v/>
      </c>
      <c r="M968" s="13">
        <f>IF(OR($A968="",AND($J968="",$K968="")),"",MIN($J968,$K968))</f>
        <v/>
      </c>
      <c r="Q968">
        <f>IF($A968="","",$D968&amp;"("&amp;SUBSTITUTE($E968," ","")&amp;")")</f>
        <v/>
      </c>
      <c r="R968">
        <f>IF($A968="","",$B968&amp;" - "&amp;$C968)</f>
        <v/>
      </c>
      <c r="S968">
        <f>IF($A968="","",$R968&amp;"|"&amp;$Q968)</f>
        <v/>
      </c>
      <c r="T968">
        <f>IF($A968="","",$S968&amp;"|"&amp;$F968)</f>
        <v/>
      </c>
      <c r="U968">
        <f>IF($A968="","",$R968&amp;"("&amp;$E968&amp;")")</f>
        <v/>
      </c>
      <c r="V968">
        <f>IF($A968="","",$F968&amp;"|"&amp;$U968&amp;"|"&amp;$D968)</f>
        <v/>
      </c>
      <c r="W968">
        <f>IF($T968="","",IF($X968&gt;N($X967),$X968,""))</f>
        <v/>
      </c>
      <c r="X968">
        <f>IF($T968="",N($X967),IF(MATCH($T968,$T$6:$T$6005,0)=ROW()-5,N($X967)+1,N($X967)))</f>
        <v/>
      </c>
      <c r="Z968">
        <f>IF($V968="","",IF($AA968&gt;N($AA967),$AA968,""))</f>
        <v/>
      </c>
      <c r="AA968">
        <f>IF($V968="",N($AA967),IF(MATCH($V968,$V$6:$V$6005,0)=ROW()-5,N($AA967)+1,N($AA967)))</f>
        <v/>
      </c>
    </row>
    <row r="969" ht="21" customHeight="1" s="66">
      <c r="A969" s="56" t="n"/>
      <c r="B969" s="57" t="n"/>
      <c r="C969" s="57" t="n"/>
      <c r="D969" s="57" t="n"/>
      <c r="E969" s="56" t="n"/>
      <c r="F969" s="57" t="n"/>
      <c r="G969" s="57" t="n"/>
      <c r="H969" s="56" t="n"/>
      <c r="I969" s="56" t="n"/>
      <c r="J969" s="58" t="n"/>
      <c r="K969" s="58" t="n"/>
      <c r="L969" s="13">
        <f>IF(OR($A969="",AND($J969="",$K969="")),"",ROUND(N($J969)-N($K969),2))</f>
        <v/>
      </c>
      <c r="M969" s="13">
        <f>IF(OR($A969="",AND($J969="",$K969="")),"",MIN($J969,$K969))</f>
        <v/>
      </c>
      <c r="Q969">
        <f>IF($A969="","",$D969&amp;"("&amp;SUBSTITUTE($E969," ","")&amp;")")</f>
        <v/>
      </c>
      <c r="R969">
        <f>IF($A969="","",$B969&amp;" - "&amp;$C969)</f>
        <v/>
      </c>
      <c r="S969">
        <f>IF($A969="","",$R969&amp;"|"&amp;$Q969)</f>
        <v/>
      </c>
      <c r="T969">
        <f>IF($A969="","",$S969&amp;"|"&amp;$F969)</f>
        <v/>
      </c>
      <c r="U969">
        <f>IF($A969="","",$R969&amp;"("&amp;$E969&amp;")")</f>
        <v/>
      </c>
      <c r="V969">
        <f>IF($A969="","",$F969&amp;"|"&amp;$U969&amp;"|"&amp;$D969)</f>
        <v/>
      </c>
      <c r="W969">
        <f>IF($T969="","",IF($X969&gt;N($X968),$X969,""))</f>
        <v/>
      </c>
      <c r="X969">
        <f>IF($T969="",N($X968),IF(MATCH($T969,$T$6:$T$6005,0)=ROW()-5,N($X968)+1,N($X968)))</f>
        <v/>
      </c>
      <c r="Z969">
        <f>IF($V969="","",IF($AA969&gt;N($AA968),$AA969,""))</f>
        <v/>
      </c>
      <c r="AA969">
        <f>IF($V969="",N($AA968),IF(MATCH($V969,$V$6:$V$6005,0)=ROW()-5,N($AA968)+1,N($AA968)))</f>
        <v/>
      </c>
    </row>
    <row r="970" ht="21" customHeight="1" s="66">
      <c r="A970" s="56" t="n"/>
      <c r="B970" s="57" t="n"/>
      <c r="C970" s="57" t="n"/>
      <c r="D970" s="57" t="n"/>
      <c r="E970" s="56" t="n"/>
      <c r="F970" s="57" t="n"/>
      <c r="G970" s="57" t="n"/>
      <c r="H970" s="56" t="n"/>
      <c r="I970" s="56" t="n"/>
      <c r="J970" s="58" t="n"/>
      <c r="K970" s="58" t="n"/>
      <c r="L970" s="13">
        <f>IF(OR($A970="",AND($J970="",$K970="")),"",ROUND(N($J970)-N($K970),2))</f>
        <v/>
      </c>
      <c r="M970" s="13">
        <f>IF(OR($A970="",AND($J970="",$K970="")),"",MIN($J970,$K970))</f>
        <v/>
      </c>
      <c r="Q970">
        <f>IF($A970="","",$D970&amp;"("&amp;SUBSTITUTE($E970," ","")&amp;")")</f>
        <v/>
      </c>
      <c r="R970">
        <f>IF($A970="","",$B970&amp;" - "&amp;$C970)</f>
        <v/>
      </c>
      <c r="S970">
        <f>IF($A970="","",$R970&amp;"|"&amp;$Q970)</f>
        <v/>
      </c>
      <c r="T970">
        <f>IF($A970="","",$S970&amp;"|"&amp;$F970)</f>
        <v/>
      </c>
      <c r="U970">
        <f>IF($A970="","",$R970&amp;"("&amp;$E970&amp;")")</f>
        <v/>
      </c>
      <c r="V970">
        <f>IF($A970="","",$F970&amp;"|"&amp;$U970&amp;"|"&amp;$D970)</f>
        <v/>
      </c>
      <c r="W970">
        <f>IF($T970="","",IF($X970&gt;N($X969),$X970,""))</f>
        <v/>
      </c>
      <c r="X970">
        <f>IF($T970="",N($X969),IF(MATCH($T970,$T$6:$T$6005,0)=ROW()-5,N($X969)+1,N($X969)))</f>
        <v/>
      </c>
      <c r="Z970">
        <f>IF($V970="","",IF($AA970&gt;N($AA969),$AA970,""))</f>
        <v/>
      </c>
      <c r="AA970">
        <f>IF($V970="",N($AA969),IF(MATCH($V970,$V$6:$V$6005,0)=ROW()-5,N($AA969)+1,N($AA969)))</f>
        <v/>
      </c>
    </row>
    <row r="971" ht="21" customHeight="1" s="66">
      <c r="A971" s="56" t="n"/>
      <c r="B971" s="57" t="n"/>
      <c r="C971" s="57" t="n"/>
      <c r="D971" s="57" t="n"/>
      <c r="E971" s="56" t="n"/>
      <c r="F971" s="57" t="n"/>
      <c r="G971" s="57" t="n"/>
      <c r="H971" s="56" t="n"/>
      <c r="I971" s="56" t="n"/>
      <c r="J971" s="58" t="n"/>
      <c r="K971" s="58" t="n"/>
      <c r="L971" s="13">
        <f>IF(OR($A971="",AND($J971="",$K971="")),"",ROUND(N($J971)-N($K971),2))</f>
        <v/>
      </c>
      <c r="M971" s="13">
        <f>IF(OR($A971="",AND($J971="",$K971="")),"",MIN($J971,$K971))</f>
        <v/>
      </c>
      <c r="Q971">
        <f>IF($A971="","",$D971&amp;"("&amp;SUBSTITUTE($E971," ","")&amp;")")</f>
        <v/>
      </c>
      <c r="R971">
        <f>IF($A971="","",$B971&amp;" - "&amp;$C971)</f>
        <v/>
      </c>
      <c r="S971">
        <f>IF($A971="","",$R971&amp;"|"&amp;$Q971)</f>
        <v/>
      </c>
      <c r="T971">
        <f>IF($A971="","",$S971&amp;"|"&amp;$F971)</f>
        <v/>
      </c>
      <c r="U971">
        <f>IF($A971="","",$R971&amp;"("&amp;$E971&amp;")")</f>
        <v/>
      </c>
      <c r="V971">
        <f>IF($A971="","",$F971&amp;"|"&amp;$U971&amp;"|"&amp;$D971)</f>
        <v/>
      </c>
      <c r="W971">
        <f>IF($T971="","",IF($X971&gt;N($X970),$X971,""))</f>
        <v/>
      </c>
      <c r="X971">
        <f>IF($T971="",N($X970),IF(MATCH($T971,$T$6:$T$6005,0)=ROW()-5,N($X970)+1,N($X970)))</f>
        <v/>
      </c>
      <c r="Z971">
        <f>IF($V971="","",IF($AA971&gt;N($AA970),$AA971,""))</f>
        <v/>
      </c>
      <c r="AA971">
        <f>IF($V971="",N($AA970),IF(MATCH($V971,$V$6:$V$6005,0)=ROW()-5,N($AA970)+1,N($AA970)))</f>
        <v/>
      </c>
    </row>
    <row r="972" ht="21" customHeight="1" s="66">
      <c r="A972" s="56" t="n"/>
      <c r="B972" s="57" t="n"/>
      <c r="C972" s="57" t="n"/>
      <c r="D972" s="57" t="n"/>
      <c r="E972" s="56" t="n"/>
      <c r="F972" s="57" t="n"/>
      <c r="G972" s="57" t="n"/>
      <c r="H972" s="56" t="n"/>
      <c r="I972" s="56" t="n"/>
      <c r="J972" s="58" t="n"/>
      <c r="K972" s="58" t="n"/>
      <c r="L972" s="13">
        <f>IF(OR($A972="",AND($J972="",$K972="")),"",ROUND(N($J972)-N($K972),2))</f>
        <v/>
      </c>
      <c r="M972" s="13">
        <f>IF(OR($A972="",AND($J972="",$K972="")),"",MIN($J972,$K972))</f>
        <v/>
      </c>
      <c r="Q972">
        <f>IF($A972="","",$D972&amp;"("&amp;SUBSTITUTE($E972," ","")&amp;")")</f>
        <v/>
      </c>
      <c r="R972">
        <f>IF($A972="","",$B972&amp;" - "&amp;$C972)</f>
        <v/>
      </c>
      <c r="S972">
        <f>IF($A972="","",$R972&amp;"|"&amp;$Q972)</f>
        <v/>
      </c>
      <c r="T972">
        <f>IF($A972="","",$S972&amp;"|"&amp;$F972)</f>
        <v/>
      </c>
      <c r="U972">
        <f>IF($A972="","",$R972&amp;"("&amp;$E972&amp;")")</f>
        <v/>
      </c>
      <c r="V972">
        <f>IF($A972="","",$F972&amp;"|"&amp;$U972&amp;"|"&amp;$D972)</f>
        <v/>
      </c>
      <c r="W972">
        <f>IF($T972="","",IF($X972&gt;N($X971),$X972,""))</f>
        <v/>
      </c>
      <c r="X972">
        <f>IF($T972="",N($X971),IF(MATCH($T972,$T$6:$T$6005,0)=ROW()-5,N($X971)+1,N($X971)))</f>
        <v/>
      </c>
      <c r="Z972">
        <f>IF($V972="","",IF($AA972&gt;N($AA971),$AA972,""))</f>
        <v/>
      </c>
      <c r="AA972">
        <f>IF($V972="",N($AA971),IF(MATCH($V972,$V$6:$V$6005,0)=ROW()-5,N($AA971)+1,N($AA971)))</f>
        <v/>
      </c>
    </row>
    <row r="973" ht="21" customHeight="1" s="66">
      <c r="A973" s="56" t="n"/>
      <c r="B973" s="57" t="n"/>
      <c r="C973" s="57" t="n"/>
      <c r="D973" s="57" t="n"/>
      <c r="E973" s="56" t="n"/>
      <c r="F973" s="57" t="n"/>
      <c r="G973" s="57" t="n"/>
      <c r="H973" s="56" t="n"/>
      <c r="I973" s="56" t="n"/>
      <c r="J973" s="58" t="n"/>
      <c r="K973" s="58" t="n"/>
      <c r="L973" s="13">
        <f>IF(OR($A973="",AND($J973="",$K973="")),"",ROUND(N($J973)-N($K973),2))</f>
        <v/>
      </c>
      <c r="M973" s="13">
        <f>IF(OR($A973="",AND($J973="",$K973="")),"",MIN($J973,$K973))</f>
        <v/>
      </c>
      <c r="Q973">
        <f>IF($A973="","",$D973&amp;"("&amp;SUBSTITUTE($E973," ","")&amp;")")</f>
        <v/>
      </c>
      <c r="R973">
        <f>IF($A973="","",$B973&amp;" - "&amp;$C973)</f>
        <v/>
      </c>
      <c r="S973">
        <f>IF($A973="","",$R973&amp;"|"&amp;$Q973)</f>
        <v/>
      </c>
      <c r="T973">
        <f>IF($A973="","",$S973&amp;"|"&amp;$F973)</f>
        <v/>
      </c>
      <c r="U973">
        <f>IF($A973="","",$R973&amp;"("&amp;$E973&amp;")")</f>
        <v/>
      </c>
      <c r="V973">
        <f>IF($A973="","",$F973&amp;"|"&amp;$U973&amp;"|"&amp;$D973)</f>
        <v/>
      </c>
      <c r="W973">
        <f>IF($T973="","",IF($X973&gt;N($X972),$X973,""))</f>
        <v/>
      </c>
      <c r="X973">
        <f>IF($T973="",N($X972),IF(MATCH($T973,$T$6:$T$6005,0)=ROW()-5,N($X972)+1,N($X972)))</f>
        <v/>
      </c>
      <c r="Z973">
        <f>IF($V973="","",IF($AA973&gt;N($AA972),$AA973,""))</f>
        <v/>
      </c>
      <c r="AA973">
        <f>IF($V973="",N($AA972),IF(MATCH($V973,$V$6:$V$6005,0)=ROW()-5,N($AA972)+1,N($AA972)))</f>
        <v/>
      </c>
    </row>
    <row r="974" ht="21" customHeight="1" s="66">
      <c r="A974" s="56" t="n"/>
      <c r="B974" s="57" t="n"/>
      <c r="C974" s="57" t="n"/>
      <c r="D974" s="57" t="n"/>
      <c r="E974" s="56" t="n"/>
      <c r="F974" s="57" t="n"/>
      <c r="G974" s="57" t="n"/>
      <c r="H974" s="56" t="n"/>
      <c r="I974" s="56" t="n"/>
      <c r="J974" s="58" t="n"/>
      <c r="K974" s="58" t="n"/>
      <c r="L974" s="13">
        <f>IF(OR($A974="",AND($J974="",$K974="")),"",ROUND(N($J974)-N($K974),2))</f>
        <v/>
      </c>
      <c r="M974" s="13">
        <f>IF(OR($A974="",AND($J974="",$K974="")),"",MIN($J974,$K974))</f>
        <v/>
      </c>
      <c r="Q974">
        <f>IF($A974="","",$D974&amp;"("&amp;SUBSTITUTE($E974," ","")&amp;")")</f>
        <v/>
      </c>
      <c r="R974">
        <f>IF($A974="","",$B974&amp;" - "&amp;$C974)</f>
        <v/>
      </c>
      <c r="S974">
        <f>IF($A974="","",$R974&amp;"|"&amp;$Q974)</f>
        <v/>
      </c>
      <c r="T974">
        <f>IF($A974="","",$S974&amp;"|"&amp;$F974)</f>
        <v/>
      </c>
      <c r="U974">
        <f>IF($A974="","",$R974&amp;"("&amp;$E974&amp;")")</f>
        <v/>
      </c>
      <c r="V974">
        <f>IF($A974="","",$F974&amp;"|"&amp;$U974&amp;"|"&amp;$D974)</f>
        <v/>
      </c>
      <c r="W974">
        <f>IF($T974="","",IF($X974&gt;N($X973),$X974,""))</f>
        <v/>
      </c>
      <c r="X974">
        <f>IF($T974="",N($X973),IF(MATCH($T974,$T$6:$T$6005,0)=ROW()-5,N($X973)+1,N($X973)))</f>
        <v/>
      </c>
      <c r="Z974">
        <f>IF($V974="","",IF($AA974&gt;N($AA973),$AA974,""))</f>
        <v/>
      </c>
      <c r="AA974">
        <f>IF($V974="",N($AA973),IF(MATCH($V974,$V$6:$V$6005,0)=ROW()-5,N($AA973)+1,N($AA973)))</f>
        <v/>
      </c>
    </row>
    <row r="975" ht="21" customHeight="1" s="66">
      <c r="A975" s="56" t="n"/>
      <c r="B975" s="57" t="n"/>
      <c r="C975" s="57" t="n"/>
      <c r="D975" s="57" t="n"/>
      <c r="E975" s="56" t="n"/>
      <c r="F975" s="57" t="n"/>
      <c r="G975" s="57" t="n"/>
      <c r="H975" s="56" t="n"/>
      <c r="I975" s="56" t="n"/>
      <c r="J975" s="58" t="n"/>
      <c r="K975" s="58" t="n"/>
      <c r="L975" s="13">
        <f>IF(OR($A975="",AND($J975="",$K975="")),"",ROUND(N($J975)-N($K975),2))</f>
        <v/>
      </c>
      <c r="M975" s="13">
        <f>IF(OR($A975="",AND($J975="",$K975="")),"",MIN($J975,$K975))</f>
        <v/>
      </c>
      <c r="Q975">
        <f>IF($A975="","",$D975&amp;"("&amp;SUBSTITUTE($E975," ","")&amp;")")</f>
        <v/>
      </c>
      <c r="R975">
        <f>IF($A975="","",$B975&amp;" - "&amp;$C975)</f>
        <v/>
      </c>
      <c r="S975">
        <f>IF($A975="","",$R975&amp;"|"&amp;$Q975)</f>
        <v/>
      </c>
      <c r="T975">
        <f>IF($A975="","",$S975&amp;"|"&amp;$F975)</f>
        <v/>
      </c>
      <c r="U975">
        <f>IF($A975="","",$R975&amp;"("&amp;$E975&amp;")")</f>
        <v/>
      </c>
      <c r="V975">
        <f>IF($A975="","",$F975&amp;"|"&amp;$U975&amp;"|"&amp;$D975)</f>
        <v/>
      </c>
      <c r="W975">
        <f>IF($T975="","",IF($X975&gt;N($X974),$X975,""))</f>
        <v/>
      </c>
      <c r="X975">
        <f>IF($T975="",N($X974),IF(MATCH($T975,$T$6:$T$6005,0)=ROW()-5,N($X974)+1,N($X974)))</f>
        <v/>
      </c>
      <c r="Z975">
        <f>IF($V975="","",IF($AA975&gt;N($AA974),$AA975,""))</f>
        <v/>
      </c>
      <c r="AA975">
        <f>IF($V975="",N($AA974),IF(MATCH($V975,$V$6:$V$6005,0)=ROW()-5,N($AA974)+1,N($AA974)))</f>
        <v/>
      </c>
    </row>
    <row r="976" ht="21" customHeight="1" s="66">
      <c r="A976" s="56" t="n"/>
      <c r="B976" s="57" t="n"/>
      <c r="C976" s="57" t="n"/>
      <c r="D976" s="57" t="n"/>
      <c r="E976" s="56" t="n"/>
      <c r="F976" s="57" t="n"/>
      <c r="G976" s="57" t="n"/>
      <c r="H976" s="56" t="n"/>
      <c r="I976" s="56" t="n"/>
      <c r="J976" s="58" t="n"/>
      <c r="K976" s="58" t="n"/>
      <c r="L976" s="13">
        <f>IF(OR($A976="",AND($J976="",$K976="")),"",ROUND(N($J976)-N($K976),2))</f>
        <v/>
      </c>
      <c r="M976" s="13">
        <f>IF(OR($A976="",AND($J976="",$K976="")),"",MIN($J976,$K976))</f>
        <v/>
      </c>
      <c r="Q976">
        <f>IF($A976="","",$D976&amp;"("&amp;SUBSTITUTE($E976," ","")&amp;")")</f>
        <v/>
      </c>
      <c r="R976">
        <f>IF($A976="","",$B976&amp;" - "&amp;$C976)</f>
        <v/>
      </c>
      <c r="S976">
        <f>IF($A976="","",$R976&amp;"|"&amp;$Q976)</f>
        <v/>
      </c>
      <c r="T976">
        <f>IF($A976="","",$S976&amp;"|"&amp;$F976)</f>
        <v/>
      </c>
      <c r="U976">
        <f>IF($A976="","",$R976&amp;"("&amp;$E976&amp;")")</f>
        <v/>
      </c>
      <c r="V976">
        <f>IF($A976="","",$F976&amp;"|"&amp;$U976&amp;"|"&amp;$D976)</f>
        <v/>
      </c>
      <c r="W976">
        <f>IF($T976="","",IF($X976&gt;N($X975),$X976,""))</f>
        <v/>
      </c>
      <c r="X976">
        <f>IF($T976="",N($X975),IF(MATCH($T976,$T$6:$T$6005,0)=ROW()-5,N($X975)+1,N($X975)))</f>
        <v/>
      </c>
      <c r="Z976">
        <f>IF($V976="","",IF($AA976&gt;N($AA975),$AA976,""))</f>
        <v/>
      </c>
      <c r="AA976">
        <f>IF($V976="",N($AA975),IF(MATCH($V976,$V$6:$V$6005,0)=ROW()-5,N($AA975)+1,N($AA975)))</f>
        <v/>
      </c>
    </row>
    <row r="977" ht="21" customHeight="1" s="66">
      <c r="A977" s="56" t="n"/>
      <c r="B977" s="57" t="n"/>
      <c r="C977" s="57" t="n"/>
      <c r="D977" s="57" t="n"/>
      <c r="E977" s="56" t="n"/>
      <c r="F977" s="57" t="n"/>
      <c r="G977" s="57" t="n"/>
      <c r="H977" s="56" t="n"/>
      <c r="I977" s="56" t="n"/>
      <c r="J977" s="58" t="n"/>
      <c r="K977" s="58" t="n"/>
      <c r="L977" s="13">
        <f>IF(OR($A977="",AND($J977="",$K977="")),"",ROUND(N($J977)-N($K977),2))</f>
        <v/>
      </c>
      <c r="M977" s="13">
        <f>IF(OR($A977="",AND($J977="",$K977="")),"",MIN($J977,$K977))</f>
        <v/>
      </c>
      <c r="Q977">
        <f>IF($A977="","",$D977&amp;"("&amp;SUBSTITUTE($E977," ","")&amp;")")</f>
        <v/>
      </c>
      <c r="R977">
        <f>IF($A977="","",$B977&amp;" - "&amp;$C977)</f>
        <v/>
      </c>
      <c r="S977">
        <f>IF($A977="","",$R977&amp;"|"&amp;$Q977)</f>
        <v/>
      </c>
      <c r="T977">
        <f>IF($A977="","",$S977&amp;"|"&amp;$F977)</f>
        <v/>
      </c>
      <c r="U977">
        <f>IF($A977="","",$R977&amp;"("&amp;$E977&amp;")")</f>
        <v/>
      </c>
      <c r="V977">
        <f>IF($A977="","",$F977&amp;"|"&amp;$U977&amp;"|"&amp;$D977)</f>
        <v/>
      </c>
      <c r="W977">
        <f>IF($T977="","",IF($X977&gt;N($X976),$X977,""))</f>
        <v/>
      </c>
      <c r="X977">
        <f>IF($T977="",N($X976),IF(MATCH($T977,$T$6:$T$6005,0)=ROW()-5,N($X976)+1,N($X976)))</f>
        <v/>
      </c>
      <c r="Z977">
        <f>IF($V977="","",IF($AA977&gt;N($AA976),$AA977,""))</f>
        <v/>
      </c>
      <c r="AA977">
        <f>IF($V977="",N($AA976),IF(MATCH($V977,$V$6:$V$6005,0)=ROW()-5,N($AA976)+1,N($AA976)))</f>
        <v/>
      </c>
    </row>
    <row r="978" ht="21" customHeight="1" s="66">
      <c r="A978" s="56" t="n"/>
      <c r="B978" s="57" t="n"/>
      <c r="C978" s="57" t="n"/>
      <c r="D978" s="57" t="n"/>
      <c r="E978" s="56" t="n"/>
      <c r="F978" s="57" t="n"/>
      <c r="G978" s="57" t="n"/>
      <c r="H978" s="56" t="n"/>
      <c r="I978" s="56" t="n"/>
      <c r="J978" s="58" t="n"/>
      <c r="K978" s="58" t="n"/>
      <c r="L978" s="13">
        <f>IF(OR($A978="",AND($J978="",$K978="")),"",ROUND(N($J978)-N($K978),2))</f>
        <v/>
      </c>
      <c r="M978" s="13">
        <f>IF(OR($A978="",AND($J978="",$K978="")),"",MIN($J978,$K978))</f>
        <v/>
      </c>
      <c r="Q978">
        <f>IF($A978="","",$D978&amp;"("&amp;SUBSTITUTE($E978," ","")&amp;")")</f>
        <v/>
      </c>
      <c r="R978">
        <f>IF($A978="","",$B978&amp;" - "&amp;$C978)</f>
        <v/>
      </c>
      <c r="S978">
        <f>IF($A978="","",$R978&amp;"|"&amp;$Q978)</f>
        <v/>
      </c>
      <c r="T978">
        <f>IF($A978="","",$S978&amp;"|"&amp;$F978)</f>
        <v/>
      </c>
      <c r="U978">
        <f>IF($A978="","",$R978&amp;"("&amp;$E978&amp;")")</f>
        <v/>
      </c>
      <c r="V978">
        <f>IF($A978="","",$F978&amp;"|"&amp;$U978&amp;"|"&amp;$D978)</f>
        <v/>
      </c>
      <c r="W978">
        <f>IF($T978="","",IF($X978&gt;N($X977),$X978,""))</f>
        <v/>
      </c>
      <c r="X978">
        <f>IF($T978="",N($X977),IF(MATCH($T978,$T$6:$T$6005,0)=ROW()-5,N($X977)+1,N($X977)))</f>
        <v/>
      </c>
      <c r="Z978">
        <f>IF($V978="","",IF($AA978&gt;N($AA977),$AA978,""))</f>
        <v/>
      </c>
      <c r="AA978">
        <f>IF($V978="",N($AA977),IF(MATCH($V978,$V$6:$V$6005,0)=ROW()-5,N($AA977)+1,N($AA977)))</f>
        <v/>
      </c>
    </row>
    <row r="979" ht="21" customHeight="1" s="66">
      <c r="A979" s="56" t="n"/>
      <c r="B979" s="57" t="n"/>
      <c r="C979" s="57" t="n"/>
      <c r="D979" s="57" t="n"/>
      <c r="E979" s="56" t="n"/>
      <c r="F979" s="57" t="n"/>
      <c r="G979" s="57" t="n"/>
      <c r="H979" s="56" t="n"/>
      <c r="I979" s="56" t="n"/>
      <c r="J979" s="58" t="n"/>
      <c r="K979" s="58" t="n"/>
      <c r="L979" s="13">
        <f>IF(OR($A979="",AND($J979="",$K979="")),"",ROUND(N($J979)-N($K979),2))</f>
        <v/>
      </c>
      <c r="M979" s="13">
        <f>IF(OR($A979="",AND($J979="",$K979="")),"",MIN($J979,$K979))</f>
        <v/>
      </c>
      <c r="Q979">
        <f>IF($A979="","",$D979&amp;"("&amp;SUBSTITUTE($E979," ","")&amp;")")</f>
        <v/>
      </c>
      <c r="R979">
        <f>IF($A979="","",$B979&amp;" - "&amp;$C979)</f>
        <v/>
      </c>
      <c r="S979">
        <f>IF($A979="","",$R979&amp;"|"&amp;$Q979)</f>
        <v/>
      </c>
      <c r="T979">
        <f>IF($A979="","",$S979&amp;"|"&amp;$F979)</f>
        <v/>
      </c>
      <c r="U979">
        <f>IF($A979="","",$R979&amp;"("&amp;$E979&amp;")")</f>
        <v/>
      </c>
      <c r="V979">
        <f>IF($A979="","",$F979&amp;"|"&amp;$U979&amp;"|"&amp;$D979)</f>
        <v/>
      </c>
      <c r="W979">
        <f>IF($T979="","",IF($X979&gt;N($X978),$X979,""))</f>
        <v/>
      </c>
      <c r="X979">
        <f>IF($T979="",N($X978),IF(MATCH($T979,$T$6:$T$6005,0)=ROW()-5,N($X978)+1,N($X978)))</f>
        <v/>
      </c>
      <c r="Z979">
        <f>IF($V979="","",IF($AA979&gt;N($AA978),$AA979,""))</f>
        <v/>
      </c>
      <c r="AA979">
        <f>IF($V979="",N($AA978),IF(MATCH($V979,$V$6:$V$6005,0)=ROW()-5,N($AA978)+1,N($AA978)))</f>
        <v/>
      </c>
    </row>
    <row r="980" ht="21" customHeight="1" s="66">
      <c r="A980" s="56" t="n"/>
      <c r="B980" s="57" t="n"/>
      <c r="C980" s="57" t="n"/>
      <c r="D980" s="57" t="n"/>
      <c r="E980" s="56" t="n"/>
      <c r="F980" s="57" t="n"/>
      <c r="G980" s="57" t="n"/>
      <c r="H980" s="56" t="n"/>
      <c r="I980" s="56" t="n"/>
      <c r="J980" s="58" t="n"/>
      <c r="K980" s="58" t="n"/>
      <c r="L980" s="13">
        <f>IF(OR($A980="",AND($J980="",$K980="")),"",ROUND(N($J980)-N($K980),2))</f>
        <v/>
      </c>
      <c r="M980" s="13">
        <f>IF(OR($A980="",AND($J980="",$K980="")),"",MIN($J980,$K980))</f>
        <v/>
      </c>
      <c r="Q980">
        <f>IF($A980="","",$D980&amp;"("&amp;SUBSTITUTE($E980," ","")&amp;")")</f>
        <v/>
      </c>
      <c r="R980">
        <f>IF($A980="","",$B980&amp;" - "&amp;$C980)</f>
        <v/>
      </c>
      <c r="S980">
        <f>IF($A980="","",$R980&amp;"|"&amp;$Q980)</f>
        <v/>
      </c>
      <c r="T980">
        <f>IF($A980="","",$S980&amp;"|"&amp;$F980)</f>
        <v/>
      </c>
      <c r="U980">
        <f>IF($A980="","",$R980&amp;"("&amp;$E980&amp;")")</f>
        <v/>
      </c>
      <c r="V980">
        <f>IF($A980="","",$F980&amp;"|"&amp;$U980&amp;"|"&amp;$D980)</f>
        <v/>
      </c>
      <c r="W980">
        <f>IF($T980="","",IF($X980&gt;N($X979),$X980,""))</f>
        <v/>
      </c>
      <c r="X980">
        <f>IF($T980="",N($X979),IF(MATCH($T980,$T$6:$T$6005,0)=ROW()-5,N($X979)+1,N($X979)))</f>
        <v/>
      </c>
      <c r="Z980">
        <f>IF($V980="","",IF($AA980&gt;N($AA979),$AA980,""))</f>
        <v/>
      </c>
      <c r="AA980">
        <f>IF($V980="",N($AA979),IF(MATCH($V980,$V$6:$V$6005,0)=ROW()-5,N($AA979)+1,N($AA979)))</f>
        <v/>
      </c>
    </row>
    <row r="981" ht="21" customHeight="1" s="66">
      <c r="A981" s="56" t="n"/>
      <c r="B981" s="57" t="n"/>
      <c r="C981" s="57" t="n"/>
      <c r="D981" s="57" t="n"/>
      <c r="E981" s="56" t="n"/>
      <c r="F981" s="57" t="n"/>
      <c r="G981" s="57" t="n"/>
      <c r="H981" s="56" t="n"/>
      <c r="I981" s="56" t="n"/>
      <c r="J981" s="58" t="n"/>
      <c r="K981" s="58" t="n"/>
      <c r="L981" s="13">
        <f>IF(OR($A981="",AND($J981="",$K981="")),"",ROUND(N($J981)-N($K981),2))</f>
        <v/>
      </c>
      <c r="M981" s="13">
        <f>IF(OR($A981="",AND($J981="",$K981="")),"",MIN($J981,$K981))</f>
        <v/>
      </c>
      <c r="Q981">
        <f>IF($A981="","",$D981&amp;"("&amp;SUBSTITUTE($E981," ","")&amp;")")</f>
        <v/>
      </c>
      <c r="R981">
        <f>IF($A981="","",$B981&amp;" - "&amp;$C981)</f>
        <v/>
      </c>
      <c r="S981">
        <f>IF($A981="","",$R981&amp;"|"&amp;$Q981)</f>
        <v/>
      </c>
      <c r="T981">
        <f>IF($A981="","",$S981&amp;"|"&amp;$F981)</f>
        <v/>
      </c>
      <c r="U981">
        <f>IF($A981="","",$R981&amp;"("&amp;$E981&amp;")")</f>
        <v/>
      </c>
      <c r="V981">
        <f>IF($A981="","",$F981&amp;"|"&amp;$U981&amp;"|"&amp;$D981)</f>
        <v/>
      </c>
      <c r="W981">
        <f>IF($T981="","",IF($X981&gt;N($X980),$X981,""))</f>
        <v/>
      </c>
      <c r="X981">
        <f>IF($T981="",N($X980),IF(MATCH($T981,$T$6:$T$6005,0)=ROW()-5,N($X980)+1,N($X980)))</f>
        <v/>
      </c>
      <c r="Z981">
        <f>IF($V981="","",IF($AA981&gt;N($AA980),$AA981,""))</f>
        <v/>
      </c>
      <c r="AA981">
        <f>IF($V981="",N($AA980),IF(MATCH($V981,$V$6:$V$6005,0)=ROW()-5,N($AA980)+1,N($AA980)))</f>
        <v/>
      </c>
    </row>
    <row r="982" ht="21" customHeight="1" s="66">
      <c r="A982" s="56" t="n"/>
      <c r="B982" s="57" t="n"/>
      <c r="C982" s="57" t="n"/>
      <c r="D982" s="57" t="n"/>
      <c r="E982" s="56" t="n"/>
      <c r="F982" s="57" t="n"/>
      <c r="G982" s="57" t="n"/>
      <c r="H982" s="56" t="n"/>
      <c r="I982" s="56" t="n"/>
      <c r="J982" s="58" t="n"/>
      <c r="K982" s="58" t="n"/>
      <c r="L982" s="13">
        <f>IF(OR($A982="",AND($J982="",$K982="")),"",ROUND(N($J982)-N($K982),2))</f>
        <v/>
      </c>
      <c r="M982" s="13">
        <f>IF(OR($A982="",AND($J982="",$K982="")),"",MIN($J982,$K982))</f>
        <v/>
      </c>
      <c r="Q982">
        <f>IF($A982="","",$D982&amp;"("&amp;SUBSTITUTE($E982," ","")&amp;")")</f>
        <v/>
      </c>
      <c r="R982">
        <f>IF($A982="","",$B982&amp;" - "&amp;$C982)</f>
        <v/>
      </c>
      <c r="S982">
        <f>IF($A982="","",$R982&amp;"|"&amp;$Q982)</f>
        <v/>
      </c>
      <c r="T982">
        <f>IF($A982="","",$S982&amp;"|"&amp;$F982)</f>
        <v/>
      </c>
      <c r="U982">
        <f>IF($A982="","",$R982&amp;"("&amp;$E982&amp;")")</f>
        <v/>
      </c>
      <c r="V982">
        <f>IF($A982="","",$F982&amp;"|"&amp;$U982&amp;"|"&amp;$D982)</f>
        <v/>
      </c>
      <c r="W982">
        <f>IF($T982="","",IF($X982&gt;N($X981),$X982,""))</f>
        <v/>
      </c>
      <c r="X982">
        <f>IF($T982="",N($X981),IF(MATCH($T982,$T$6:$T$6005,0)=ROW()-5,N($X981)+1,N($X981)))</f>
        <v/>
      </c>
      <c r="Z982">
        <f>IF($V982="","",IF($AA982&gt;N($AA981),$AA982,""))</f>
        <v/>
      </c>
      <c r="AA982">
        <f>IF($V982="",N($AA981),IF(MATCH($V982,$V$6:$V$6005,0)=ROW()-5,N($AA981)+1,N($AA981)))</f>
        <v/>
      </c>
    </row>
    <row r="983" ht="21" customHeight="1" s="66">
      <c r="A983" s="56" t="n"/>
      <c r="B983" s="57" t="n"/>
      <c r="C983" s="57" t="n"/>
      <c r="D983" s="57" t="n"/>
      <c r="E983" s="56" t="n"/>
      <c r="F983" s="57" t="n"/>
      <c r="G983" s="57" t="n"/>
      <c r="H983" s="56" t="n"/>
      <c r="I983" s="56" t="n"/>
      <c r="J983" s="58" t="n"/>
      <c r="K983" s="58" t="n"/>
      <c r="L983" s="13">
        <f>IF(OR($A983="",AND($J983="",$K983="")),"",ROUND(N($J983)-N($K983),2))</f>
        <v/>
      </c>
      <c r="M983" s="13">
        <f>IF(OR($A983="",AND($J983="",$K983="")),"",MIN($J983,$K983))</f>
        <v/>
      </c>
      <c r="Q983">
        <f>IF($A983="","",$D983&amp;"("&amp;SUBSTITUTE($E983," ","")&amp;")")</f>
        <v/>
      </c>
      <c r="R983">
        <f>IF($A983="","",$B983&amp;" - "&amp;$C983)</f>
        <v/>
      </c>
      <c r="S983">
        <f>IF($A983="","",$R983&amp;"|"&amp;$Q983)</f>
        <v/>
      </c>
      <c r="T983">
        <f>IF($A983="","",$S983&amp;"|"&amp;$F983)</f>
        <v/>
      </c>
      <c r="U983">
        <f>IF($A983="","",$R983&amp;"("&amp;$E983&amp;")")</f>
        <v/>
      </c>
      <c r="V983">
        <f>IF($A983="","",$F983&amp;"|"&amp;$U983&amp;"|"&amp;$D983)</f>
        <v/>
      </c>
      <c r="W983">
        <f>IF($T983="","",IF($X983&gt;N($X982),$X983,""))</f>
        <v/>
      </c>
      <c r="X983">
        <f>IF($T983="",N($X982),IF(MATCH($T983,$T$6:$T$6005,0)=ROW()-5,N($X982)+1,N($X982)))</f>
        <v/>
      </c>
      <c r="Z983">
        <f>IF($V983="","",IF($AA983&gt;N($AA982),$AA983,""))</f>
        <v/>
      </c>
      <c r="AA983">
        <f>IF($V983="",N($AA982),IF(MATCH($V983,$V$6:$V$6005,0)=ROW()-5,N($AA982)+1,N($AA982)))</f>
        <v/>
      </c>
    </row>
    <row r="984" ht="21" customHeight="1" s="66">
      <c r="A984" s="56" t="n"/>
      <c r="B984" s="57" t="n"/>
      <c r="C984" s="57" t="n"/>
      <c r="D984" s="57" t="n"/>
      <c r="E984" s="56" t="n"/>
      <c r="F984" s="57" t="n"/>
      <c r="G984" s="57" t="n"/>
      <c r="H984" s="56" t="n"/>
      <c r="I984" s="56" t="n"/>
      <c r="J984" s="58" t="n"/>
      <c r="K984" s="58" t="n"/>
      <c r="L984" s="13">
        <f>IF(OR($A984="",AND($J984="",$K984="")),"",ROUND(N($J984)-N($K984),2))</f>
        <v/>
      </c>
      <c r="M984" s="13">
        <f>IF(OR($A984="",AND($J984="",$K984="")),"",MIN($J984,$K984))</f>
        <v/>
      </c>
      <c r="Q984">
        <f>IF($A984="","",$D984&amp;"("&amp;SUBSTITUTE($E984," ","")&amp;")")</f>
        <v/>
      </c>
      <c r="R984">
        <f>IF($A984="","",$B984&amp;" - "&amp;$C984)</f>
        <v/>
      </c>
      <c r="S984">
        <f>IF($A984="","",$R984&amp;"|"&amp;$Q984)</f>
        <v/>
      </c>
      <c r="T984">
        <f>IF($A984="","",$S984&amp;"|"&amp;$F984)</f>
        <v/>
      </c>
      <c r="U984">
        <f>IF($A984="","",$R984&amp;"("&amp;$E984&amp;")")</f>
        <v/>
      </c>
      <c r="V984">
        <f>IF($A984="","",$F984&amp;"|"&amp;$U984&amp;"|"&amp;$D984)</f>
        <v/>
      </c>
      <c r="W984">
        <f>IF($T984="","",IF($X984&gt;N($X983),$X984,""))</f>
        <v/>
      </c>
      <c r="X984">
        <f>IF($T984="",N($X983),IF(MATCH($T984,$T$6:$T$6005,0)=ROW()-5,N($X983)+1,N($X983)))</f>
        <v/>
      </c>
      <c r="Z984">
        <f>IF($V984="","",IF($AA984&gt;N($AA983),$AA984,""))</f>
        <v/>
      </c>
      <c r="AA984">
        <f>IF($V984="",N($AA983),IF(MATCH($V984,$V$6:$V$6005,0)=ROW()-5,N($AA983)+1,N($AA983)))</f>
        <v/>
      </c>
    </row>
    <row r="985" ht="21" customHeight="1" s="66">
      <c r="A985" s="56" t="n"/>
      <c r="B985" s="57" t="n"/>
      <c r="C985" s="57" t="n"/>
      <c r="D985" s="57" t="n"/>
      <c r="E985" s="56" t="n"/>
      <c r="F985" s="57" t="n"/>
      <c r="G985" s="57" t="n"/>
      <c r="H985" s="56" t="n"/>
      <c r="I985" s="56" t="n"/>
      <c r="J985" s="58" t="n"/>
      <c r="K985" s="58" t="n"/>
      <c r="L985" s="13">
        <f>IF(OR($A985="",AND($J985="",$K985="")),"",ROUND(N($J985)-N($K985),2))</f>
        <v/>
      </c>
      <c r="M985" s="13">
        <f>IF(OR($A985="",AND($J985="",$K985="")),"",MIN($J985,$K985))</f>
        <v/>
      </c>
      <c r="Q985">
        <f>IF($A985="","",$D985&amp;"("&amp;SUBSTITUTE($E985," ","")&amp;")")</f>
        <v/>
      </c>
      <c r="R985">
        <f>IF($A985="","",$B985&amp;" - "&amp;$C985)</f>
        <v/>
      </c>
      <c r="S985">
        <f>IF($A985="","",$R985&amp;"|"&amp;$Q985)</f>
        <v/>
      </c>
      <c r="T985">
        <f>IF($A985="","",$S985&amp;"|"&amp;$F985)</f>
        <v/>
      </c>
      <c r="U985">
        <f>IF($A985="","",$R985&amp;"("&amp;$E985&amp;")")</f>
        <v/>
      </c>
      <c r="V985">
        <f>IF($A985="","",$F985&amp;"|"&amp;$U985&amp;"|"&amp;$D985)</f>
        <v/>
      </c>
      <c r="W985">
        <f>IF($T985="","",IF($X985&gt;N($X984),$X985,""))</f>
        <v/>
      </c>
      <c r="X985">
        <f>IF($T985="",N($X984),IF(MATCH($T985,$T$6:$T$6005,0)=ROW()-5,N($X984)+1,N($X984)))</f>
        <v/>
      </c>
      <c r="Z985">
        <f>IF($V985="","",IF($AA985&gt;N($AA984),$AA985,""))</f>
        <v/>
      </c>
      <c r="AA985">
        <f>IF($V985="",N($AA984),IF(MATCH($V985,$V$6:$V$6005,0)=ROW()-5,N($AA984)+1,N($AA984)))</f>
        <v/>
      </c>
    </row>
    <row r="986" ht="21" customHeight="1" s="66">
      <c r="A986" s="56" t="n"/>
      <c r="B986" s="57" t="n"/>
      <c r="C986" s="57" t="n"/>
      <c r="D986" s="57" t="n"/>
      <c r="E986" s="56" t="n"/>
      <c r="F986" s="57" t="n"/>
      <c r="G986" s="57" t="n"/>
      <c r="H986" s="56" t="n"/>
      <c r="I986" s="56" t="n"/>
      <c r="J986" s="58" t="n"/>
      <c r="K986" s="58" t="n"/>
      <c r="L986" s="13">
        <f>IF(OR($A986="",AND($J986="",$K986="")),"",ROUND(N($J986)-N($K986),2))</f>
        <v/>
      </c>
      <c r="M986" s="13">
        <f>IF(OR($A986="",AND($J986="",$K986="")),"",MIN($J986,$K986))</f>
        <v/>
      </c>
      <c r="Q986">
        <f>IF($A986="","",$D986&amp;"("&amp;SUBSTITUTE($E986," ","")&amp;")")</f>
        <v/>
      </c>
      <c r="R986">
        <f>IF($A986="","",$B986&amp;" - "&amp;$C986)</f>
        <v/>
      </c>
      <c r="S986">
        <f>IF($A986="","",$R986&amp;"|"&amp;$Q986)</f>
        <v/>
      </c>
      <c r="T986">
        <f>IF($A986="","",$S986&amp;"|"&amp;$F986)</f>
        <v/>
      </c>
      <c r="U986">
        <f>IF($A986="","",$R986&amp;"("&amp;$E986&amp;")")</f>
        <v/>
      </c>
      <c r="V986">
        <f>IF($A986="","",$F986&amp;"|"&amp;$U986&amp;"|"&amp;$D986)</f>
        <v/>
      </c>
      <c r="W986">
        <f>IF($T986="","",IF($X986&gt;N($X985),$X986,""))</f>
        <v/>
      </c>
      <c r="X986">
        <f>IF($T986="",N($X985),IF(MATCH($T986,$T$6:$T$6005,0)=ROW()-5,N($X985)+1,N($X985)))</f>
        <v/>
      </c>
      <c r="Z986">
        <f>IF($V986="","",IF($AA986&gt;N($AA985),$AA986,""))</f>
        <v/>
      </c>
      <c r="AA986">
        <f>IF($V986="",N($AA985),IF(MATCH($V986,$V$6:$V$6005,0)=ROW()-5,N($AA985)+1,N($AA985)))</f>
        <v/>
      </c>
    </row>
    <row r="987" ht="21" customHeight="1" s="66">
      <c r="A987" s="56" t="n"/>
      <c r="B987" s="57" t="n"/>
      <c r="C987" s="57" t="n"/>
      <c r="D987" s="57" t="n"/>
      <c r="E987" s="56" t="n"/>
      <c r="F987" s="57" t="n"/>
      <c r="G987" s="57" t="n"/>
      <c r="H987" s="56" t="n"/>
      <c r="I987" s="56" t="n"/>
      <c r="J987" s="58" t="n"/>
      <c r="K987" s="58" t="n"/>
      <c r="L987" s="13">
        <f>IF(OR($A987="",AND($J987="",$K987="")),"",ROUND(N($J987)-N($K987),2))</f>
        <v/>
      </c>
      <c r="M987" s="13">
        <f>IF(OR($A987="",AND($J987="",$K987="")),"",MIN($J987,$K987))</f>
        <v/>
      </c>
      <c r="Q987">
        <f>IF($A987="","",$D987&amp;"("&amp;SUBSTITUTE($E987," ","")&amp;")")</f>
        <v/>
      </c>
      <c r="R987">
        <f>IF($A987="","",$B987&amp;" - "&amp;$C987)</f>
        <v/>
      </c>
      <c r="S987">
        <f>IF($A987="","",$R987&amp;"|"&amp;$Q987)</f>
        <v/>
      </c>
      <c r="T987">
        <f>IF($A987="","",$S987&amp;"|"&amp;$F987)</f>
        <v/>
      </c>
      <c r="U987">
        <f>IF($A987="","",$R987&amp;"("&amp;$E987&amp;")")</f>
        <v/>
      </c>
      <c r="V987">
        <f>IF($A987="","",$F987&amp;"|"&amp;$U987&amp;"|"&amp;$D987)</f>
        <v/>
      </c>
      <c r="W987">
        <f>IF($T987="","",IF($X987&gt;N($X986),$X987,""))</f>
        <v/>
      </c>
      <c r="X987">
        <f>IF($T987="",N($X986),IF(MATCH($T987,$T$6:$T$6005,0)=ROW()-5,N($X986)+1,N($X986)))</f>
        <v/>
      </c>
      <c r="Z987">
        <f>IF($V987="","",IF($AA987&gt;N($AA986),$AA987,""))</f>
        <v/>
      </c>
      <c r="AA987">
        <f>IF($V987="",N($AA986),IF(MATCH($V987,$V$6:$V$6005,0)=ROW()-5,N($AA986)+1,N($AA986)))</f>
        <v/>
      </c>
    </row>
    <row r="988" ht="21" customHeight="1" s="66">
      <c r="A988" s="56" t="n"/>
      <c r="B988" s="57" t="n"/>
      <c r="C988" s="57" t="n"/>
      <c r="D988" s="57" t="n"/>
      <c r="E988" s="56" t="n"/>
      <c r="F988" s="57" t="n"/>
      <c r="G988" s="57" t="n"/>
      <c r="H988" s="56" t="n"/>
      <c r="I988" s="56" t="n"/>
      <c r="J988" s="58" t="n"/>
      <c r="K988" s="58" t="n"/>
      <c r="L988" s="13">
        <f>IF(OR($A988="",AND($J988="",$K988="")),"",ROUND(N($J988)-N($K988),2))</f>
        <v/>
      </c>
      <c r="M988" s="13">
        <f>IF(OR($A988="",AND($J988="",$K988="")),"",MIN($J988,$K988))</f>
        <v/>
      </c>
      <c r="Q988">
        <f>IF($A988="","",$D988&amp;"("&amp;SUBSTITUTE($E988," ","")&amp;")")</f>
        <v/>
      </c>
      <c r="R988">
        <f>IF($A988="","",$B988&amp;" - "&amp;$C988)</f>
        <v/>
      </c>
      <c r="S988">
        <f>IF($A988="","",$R988&amp;"|"&amp;$Q988)</f>
        <v/>
      </c>
      <c r="T988">
        <f>IF($A988="","",$S988&amp;"|"&amp;$F988)</f>
        <v/>
      </c>
      <c r="U988">
        <f>IF($A988="","",$R988&amp;"("&amp;$E988&amp;")")</f>
        <v/>
      </c>
      <c r="V988">
        <f>IF($A988="","",$F988&amp;"|"&amp;$U988&amp;"|"&amp;$D988)</f>
        <v/>
      </c>
      <c r="W988">
        <f>IF($T988="","",IF($X988&gt;N($X987),$X988,""))</f>
        <v/>
      </c>
      <c r="X988">
        <f>IF($T988="",N($X987),IF(MATCH($T988,$T$6:$T$6005,0)=ROW()-5,N($X987)+1,N($X987)))</f>
        <v/>
      </c>
      <c r="Z988">
        <f>IF($V988="","",IF($AA988&gt;N($AA987),$AA988,""))</f>
        <v/>
      </c>
      <c r="AA988">
        <f>IF($V988="",N($AA987),IF(MATCH($V988,$V$6:$V$6005,0)=ROW()-5,N($AA987)+1,N($AA987)))</f>
        <v/>
      </c>
    </row>
    <row r="989" ht="21" customHeight="1" s="66">
      <c r="A989" s="56" t="n"/>
      <c r="B989" s="57" t="n"/>
      <c r="C989" s="57" t="n"/>
      <c r="D989" s="57" t="n"/>
      <c r="E989" s="56" t="n"/>
      <c r="F989" s="57" t="n"/>
      <c r="G989" s="57" t="n"/>
      <c r="H989" s="56" t="n"/>
      <c r="I989" s="56" t="n"/>
      <c r="J989" s="58" t="n"/>
      <c r="K989" s="58" t="n"/>
      <c r="L989" s="13">
        <f>IF(OR($A989="",AND($J989="",$K989="")),"",ROUND(N($J989)-N($K989),2))</f>
        <v/>
      </c>
      <c r="M989" s="13">
        <f>IF(OR($A989="",AND($J989="",$K989="")),"",MIN($J989,$K989))</f>
        <v/>
      </c>
      <c r="Q989">
        <f>IF($A989="","",$D989&amp;"("&amp;SUBSTITUTE($E989," ","")&amp;")")</f>
        <v/>
      </c>
      <c r="R989">
        <f>IF($A989="","",$B989&amp;" - "&amp;$C989)</f>
        <v/>
      </c>
      <c r="S989">
        <f>IF($A989="","",$R989&amp;"|"&amp;$Q989)</f>
        <v/>
      </c>
      <c r="T989">
        <f>IF($A989="","",$S989&amp;"|"&amp;$F989)</f>
        <v/>
      </c>
      <c r="U989">
        <f>IF($A989="","",$R989&amp;"("&amp;$E989&amp;")")</f>
        <v/>
      </c>
      <c r="V989">
        <f>IF($A989="","",$F989&amp;"|"&amp;$U989&amp;"|"&amp;$D989)</f>
        <v/>
      </c>
      <c r="W989">
        <f>IF($T989="","",IF($X989&gt;N($X988),$X989,""))</f>
        <v/>
      </c>
      <c r="X989">
        <f>IF($T989="",N($X988),IF(MATCH($T989,$T$6:$T$6005,0)=ROW()-5,N($X988)+1,N($X988)))</f>
        <v/>
      </c>
      <c r="Z989">
        <f>IF($V989="","",IF($AA989&gt;N($AA988),$AA989,""))</f>
        <v/>
      </c>
      <c r="AA989">
        <f>IF($V989="",N($AA988),IF(MATCH($V989,$V$6:$V$6005,0)=ROW()-5,N($AA988)+1,N($AA988)))</f>
        <v/>
      </c>
    </row>
    <row r="990" ht="21" customHeight="1" s="66">
      <c r="A990" s="56" t="n"/>
      <c r="B990" s="57" t="n"/>
      <c r="C990" s="57" t="n"/>
      <c r="D990" s="57" t="n"/>
      <c r="E990" s="56" t="n"/>
      <c r="F990" s="57" t="n"/>
      <c r="G990" s="57" t="n"/>
      <c r="H990" s="56" t="n"/>
      <c r="I990" s="56" t="n"/>
      <c r="J990" s="58" t="n"/>
      <c r="K990" s="58" t="n"/>
      <c r="L990" s="13">
        <f>IF(OR($A990="",AND($J990="",$K990="")),"",ROUND(N($J990)-N($K990),2))</f>
        <v/>
      </c>
      <c r="M990" s="13">
        <f>IF(OR($A990="",AND($J990="",$K990="")),"",MIN($J990,$K990))</f>
        <v/>
      </c>
      <c r="Q990">
        <f>IF($A990="","",$D990&amp;"("&amp;SUBSTITUTE($E990," ","")&amp;")")</f>
        <v/>
      </c>
      <c r="R990">
        <f>IF($A990="","",$B990&amp;" - "&amp;$C990)</f>
        <v/>
      </c>
      <c r="S990">
        <f>IF($A990="","",$R990&amp;"|"&amp;$Q990)</f>
        <v/>
      </c>
      <c r="T990">
        <f>IF($A990="","",$S990&amp;"|"&amp;$F990)</f>
        <v/>
      </c>
      <c r="U990">
        <f>IF($A990="","",$R990&amp;"("&amp;$E990&amp;")")</f>
        <v/>
      </c>
      <c r="V990">
        <f>IF($A990="","",$F990&amp;"|"&amp;$U990&amp;"|"&amp;$D990)</f>
        <v/>
      </c>
      <c r="W990">
        <f>IF($T990="","",IF($X990&gt;N($X989),$X990,""))</f>
        <v/>
      </c>
      <c r="X990">
        <f>IF($T990="",N($X989),IF(MATCH($T990,$T$6:$T$6005,0)=ROW()-5,N($X989)+1,N($X989)))</f>
        <v/>
      </c>
      <c r="Z990">
        <f>IF($V990="","",IF($AA990&gt;N($AA989),$AA990,""))</f>
        <v/>
      </c>
      <c r="AA990">
        <f>IF($V990="",N($AA989),IF(MATCH($V990,$V$6:$V$6005,0)=ROW()-5,N($AA989)+1,N($AA989)))</f>
        <v/>
      </c>
    </row>
    <row r="991" ht="21" customHeight="1" s="66">
      <c r="A991" s="56" t="n"/>
      <c r="B991" s="57" t="n"/>
      <c r="C991" s="57" t="n"/>
      <c r="D991" s="57" t="n"/>
      <c r="E991" s="56" t="n"/>
      <c r="F991" s="57" t="n"/>
      <c r="G991" s="57" t="n"/>
      <c r="H991" s="56" t="n"/>
      <c r="I991" s="56" t="n"/>
      <c r="J991" s="58" t="n"/>
      <c r="K991" s="58" t="n"/>
      <c r="L991" s="13">
        <f>IF(OR($A991="",AND($J991="",$K991="")),"",ROUND(N($J991)-N($K991),2))</f>
        <v/>
      </c>
      <c r="M991" s="13">
        <f>IF(OR($A991="",AND($J991="",$K991="")),"",MIN($J991,$K991))</f>
        <v/>
      </c>
      <c r="Q991">
        <f>IF($A991="","",$D991&amp;"("&amp;SUBSTITUTE($E991," ","")&amp;")")</f>
        <v/>
      </c>
      <c r="R991">
        <f>IF($A991="","",$B991&amp;" - "&amp;$C991)</f>
        <v/>
      </c>
      <c r="S991">
        <f>IF($A991="","",$R991&amp;"|"&amp;$Q991)</f>
        <v/>
      </c>
      <c r="T991">
        <f>IF($A991="","",$S991&amp;"|"&amp;$F991)</f>
        <v/>
      </c>
      <c r="U991">
        <f>IF($A991="","",$R991&amp;"("&amp;$E991&amp;")")</f>
        <v/>
      </c>
      <c r="V991">
        <f>IF($A991="","",$F991&amp;"|"&amp;$U991&amp;"|"&amp;$D991)</f>
        <v/>
      </c>
      <c r="W991">
        <f>IF($T991="","",IF($X991&gt;N($X990),$X991,""))</f>
        <v/>
      </c>
      <c r="X991">
        <f>IF($T991="",N($X990),IF(MATCH($T991,$T$6:$T$6005,0)=ROW()-5,N($X990)+1,N($X990)))</f>
        <v/>
      </c>
      <c r="Z991">
        <f>IF($V991="","",IF($AA991&gt;N($AA990),$AA991,""))</f>
        <v/>
      </c>
      <c r="AA991">
        <f>IF($V991="",N($AA990),IF(MATCH($V991,$V$6:$V$6005,0)=ROW()-5,N($AA990)+1,N($AA990)))</f>
        <v/>
      </c>
    </row>
    <row r="992" ht="21" customHeight="1" s="66">
      <c r="A992" s="56" t="n"/>
      <c r="B992" s="57" t="n"/>
      <c r="C992" s="57" t="n"/>
      <c r="D992" s="57" t="n"/>
      <c r="E992" s="56" t="n"/>
      <c r="F992" s="57" t="n"/>
      <c r="G992" s="57" t="n"/>
      <c r="H992" s="56" t="n"/>
      <c r="I992" s="56" t="n"/>
      <c r="J992" s="58" t="n"/>
      <c r="K992" s="58" t="n"/>
      <c r="L992" s="13">
        <f>IF(OR($A992="",AND($J992="",$K992="")),"",ROUND(N($J992)-N($K992),2))</f>
        <v/>
      </c>
      <c r="M992" s="13">
        <f>IF(OR($A992="",AND($J992="",$K992="")),"",MIN($J992,$K992))</f>
        <v/>
      </c>
      <c r="Q992">
        <f>IF($A992="","",$D992&amp;"("&amp;SUBSTITUTE($E992," ","")&amp;")")</f>
        <v/>
      </c>
      <c r="R992">
        <f>IF($A992="","",$B992&amp;" - "&amp;$C992)</f>
        <v/>
      </c>
      <c r="S992">
        <f>IF($A992="","",$R992&amp;"|"&amp;$Q992)</f>
        <v/>
      </c>
      <c r="T992">
        <f>IF($A992="","",$S992&amp;"|"&amp;$F992)</f>
        <v/>
      </c>
      <c r="U992">
        <f>IF($A992="","",$R992&amp;"("&amp;$E992&amp;")")</f>
        <v/>
      </c>
      <c r="V992">
        <f>IF($A992="","",$F992&amp;"|"&amp;$U992&amp;"|"&amp;$D992)</f>
        <v/>
      </c>
      <c r="W992">
        <f>IF($T992="","",IF($X992&gt;N($X991),$X992,""))</f>
        <v/>
      </c>
      <c r="X992">
        <f>IF($T992="",N($X991),IF(MATCH($T992,$T$6:$T$6005,0)=ROW()-5,N($X991)+1,N($X991)))</f>
        <v/>
      </c>
      <c r="Z992">
        <f>IF($V992="","",IF($AA992&gt;N($AA991),$AA992,""))</f>
        <v/>
      </c>
      <c r="AA992">
        <f>IF($V992="",N($AA991),IF(MATCH($V992,$V$6:$V$6005,0)=ROW()-5,N($AA991)+1,N($AA991)))</f>
        <v/>
      </c>
    </row>
    <row r="993" ht="21" customHeight="1" s="66">
      <c r="A993" s="56" t="n"/>
      <c r="B993" s="57" t="n"/>
      <c r="C993" s="57" t="n"/>
      <c r="D993" s="57" t="n"/>
      <c r="E993" s="56" t="n"/>
      <c r="F993" s="57" t="n"/>
      <c r="G993" s="57" t="n"/>
      <c r="H993" s="56" t="n"/>
      <c r="I993" s="56" t="n"/>
      <c r="J993" s="58" t="n"/>
      <c r="K993" s="58" t="n"/>
      <c r="L993" s="13">
        <f>IF(OR($A993="",AND($J993="",$K993="")),"",ROUND(N($J993)-N($K993),2))</f>
        <v/>
      </c>
      <c r="M993" s="13">
        <f>IF(OR($A993="",AND($J993="",$K993="")),"",MIN($J993,$K993))</f>
        <v/>
      </c>
      <c r="Q993">
        <f>IF($A993="","",$D993&amp;"("&amp;SUBSTITUTE($E993," ","")&amp;")")</f>
        <v/>
      </c>
      <c r="R993">
        <f>IF($A993="","",$B993&amp;" - "&amp;$C993)</f>
        <v/>
      </c>
      <c r="S993">
        <f>IF($A993="","",$R993&amp;"|"&amp;$Q993)</f>
        <v/>
      </c>
      <c r="T993">
        <f>IF($A993="","",$S993&amp;"|"&amp;$F993)</f>
        <v/>
      </c>
      <c r="U993">
        <f>IF($A993="","",$R993&amp;"("&amp;$E993&amp;")")</f>
        <v/>
      </c>
      <c r="V993">
        <f>IF($A993="","",$F993&amp;"|"&amp;$U993&amp;"|"&amp;$D993)</f>
        <v/>
      </c>
      <c r="W993">
        <f>IF($T993="","",IF($X993&gt;N($X992),$X993,""))</f>
        <v/>
      </c>
      <c r="X993">
        <f>IF($T993="",N($X992),IF(MATCH($T993,$T$6:$T$6005,0)=ROW()-5,N($X992)+1,N($X992)))</f>
        <v/>
      </c>
      <c r="Z993">
        <f>IF($V993="","",IF($AA993&gt;N($AA992),$AA993,""))</f>
        <v/>
      </c>
      <c r="AA993">
        <f>IF($V993="",N($AA992),IF(MATCH($V993,$V$6:$V$6005,0)=ROW()-5,N($AA992)+1,N($AA992)))</f>
        <v/>
      </c>
    </row>
    <row r="994" ht="21" customHeight="1" s="66">
      <c r="A994" s="56" t="n"/>
      <c r="B994" s="57" t="n"/>
      <c r="C994" s="57" t="n"/>
      <c r="D994" s="57" t="n"/>
      <c r="E994" s="56" t="n"/>
      <c r="F994" s="57" t="n"/>
      <c r="G994" s="57" t="n"/>
      <c r="H994" s="56" t="n"/>
      <c r="I994" s="56" t="n"/>
      <c r="J994" s="58" t="n"/>
      <c r="K994" s="58" t="n"/>
      <c r="L994" s="13">
        <f>IF(OR($A994="",AND($J994="",$K994="")),"",ROUND(N($J994)-N($K994),2))</f>
        <v/>
      </c>
      <c r="M994" s="13">
        <f>IF(OR($A994="",AND($J994="",$K994="")),"",MIN($J994,$K994))</f>
        <v/>
      </c>
      <c r="Q994">
        <f>IF($A994="","",$D994&amp;"("&amp;SUBSTITUTE($E994," ","")&amp;")")</f>
        <v/>
      </c>
      <c r="R994">
        <f>IF($A994="","",$B994&amp;" - "&amp;$C994)</f>
        <v/>
      </c>
      <c r="S994">
        <f>IF($A994="","",$R994&amp;"|"&amp;$Q994)</f>
        <v/>
      </c>
      <c r="T994">
        <f>IF($A994="","",$S994&amp;"|"&amp;$F994)</f>
        <v/>
      </c>
      <c r="U994">
        <f>IF($A994="","",$R994&amp;"("&amp;$E994&amp;")")</f>
        <v/>
      </c>
      <c r="V994">
        <f>IF($A994="","",$F994&amp;"|"&amp;$U994&amp;"|"&amp;$D994)</f>
        <v/>
      </c>
      <c r="W994">
        <f>IF($T994="","",IF($X994&gt;N($X993),$X994,""))</f>
        <v/>
      </c>
      <c r="X994">
        <f>IF($T994="",N($X993),IF(MATCH($T994,$T$6:$T$6005,0)=ROW()-5,N($X993)+1,N($X993)))</f>
        <v/>
      </c>
      <c r="Z994">
        <f>IF($V994="","",IF($AA994&gt;N($AA993),$AA994,""))</f>
        <v/>
      </c>
      <c r="AA994">
        <f>IF($V994="",N($AA993),IF(MATCH($V994,$V$6:$V$6005,0)=ROW()-5,N($AA993)+1,N($AA993)))</f>
        <v/>
      </c>
    </row>
    <row r="995" ht="21" customHeight="1" s="66">
      <c r="A995" s="56" t="n"/>
      <c r="B995" s="57" t="n"/>
      <c r="C995" s="57" t="n"/>
      <c r="D995" s="57" t="n"/>
      <c r="E995" s="56" t="n"/>
      <c r="F995" s="57" t="n"/>
      <c r="G995" s="57" t="n"/>
      <c r="H995" s="56" t="n"/>
      <c r="I995" s="56" t="n"/>
      <c r="J995" s="58" t="n"/>
      <c r="K995" s="58" t="n"/>
      <c r="L995" s="13">
        <f>IF(OR($A995="",AND($J995="",$K995="")),"",ROUND(N($J995)-N($K995),2))</f>
        <v/>
      </c>
      <c r="M995" s="13">
        <f>IF(OR($A995="",AND($J995="",$K995="")),"",MIN($J995,$K995))</f>
        <v/>
      </c>
      <c r="Q995">
        <f>IF($A995="","",$D995&amp;"("&amp;SUBSTITUTE($E995," ","")&amp;")")</f>
        <v/>
      </c>
      <c r="R995">
        <f>IF($A995="","",$B995&amp;" - "&amp;$C995)</f>
        <v/>
      </c>
      <c r="S995">
        <f>IF($A995="","",$R995&amp;"|"&amp;$Q995)</f>
        <v/>
      </c>
      <c r="T995">
        <f>IF($A995="","",$S995&amp;"|"&amp;$F995)</f>
        <v/>
      </c>
      <c r="U995">
        <f>IF($A995="","",$R995&amp;"("&amp;$E995&amp;")")</f>
        <v/>
      </c>
      <c r="V995">
        <f>IF($A995="","",$F995&amp;"|"&amp;$U995&amp;"|"&amp;$D995)</f>
        <v/>
      </c>
      <c r="W995">
        <f>IF($T995="","",IF($X995&gt;N($X994),$X995,""))</f>
        <v/>
      </c>
      <c r="X995">
        <f>IF($T995="",N($X994),IF(MATCH($T995,$T$6:$T$6005,0)=ROW()-5,N($X994)+1,N($X994)))</f>
        <v/>
      </c>
      <c r="Z995">
        <f>IF($V995="","",IF($AA995&gt;N($AA994),$AA995,""))</f>
        <v/>
      </c>
      <c r="AA995">
        <f>IF($V995="",N($AA994),IF(MATCH($V995,$V$6:$V$6005,0)=ROW()-5,N($AA994)+1,N($AA994)))</f>
        <v/>
      </c>
    </row>
    <row r="996" ht="21" customHeight="1" s="66">
      <c r="A996" s="56" t="n"/>
      <c r="B996" s="57" t="n"/>
      <c r="C996" s="57" t="n"/>
      <c r="D996" s="57" t="n"/>
      <c r="E996" s="56" t="n"/>
      <c r="F996" s="57" t="n"/>
      <c r="G996" s="57" t="n"/>
      <c r="H996" s="56" t="n"/>
      <c r="I996" s="56" t="n"/>
      <c r="J996" s="58" t="n"/>
      <c r="K996" s="58" t="n"/>
      <c r="L996" s="13">
        <f>IF(OR($A996="",AND($J996="",$K996="")),"",ROUND(N($J996)-N($K996),2))</f>
        <v/>
      </c>
      <c r="M996" s="13">
        <f>IF(OR($A996="",AND($J996="",$K996="")),"",MIN($J996,$K996))</f>
        <v/>
      </c>
      <c r="Q996">
        <f>IF($A996="","",$D996&amp;"("&amp;SUBSTITUTE($E996," ","")&amp;")")</f>
        <v/>
      </c>
      <c r="R996">
        <f>IF($A996="","",$B996&amp;" - "&amp;$C996)</f>
        <v/>
      </c>
      <c r="S996">
        <f>IF($A996="","",$R996&amp;"|"&amp;$Q996)</f>
        <v/>
      </c>
      <c r="T996">
        <f>IF($A996="","",$S996&amp;"|"&amp;$F996)</f>
        <v/>
      </c>
      <c r="U996">
        <f>IF($A996="","",$R996&amp;"("&amp;$E996&amp;")")</f>
        <v/>
      </c>
      <c r="V996">
        <f>IF($A996="","",$F996&amp;"|"&amp;$U996&amp;"|"&amp;$D996)</f>
        <v/>
      </c>
      <c r="W996">
        <f>IF($T996="","",IF($X996&gt;N($X995),$X996,""))</f>
        <v/>
      </c>
      <c r="X996">
        <f>IF($T996="",N($X995),IF(MATCH($T996,$T$6:$T$6005,0)=ROW()-5,N($X995)+1,N($X995)))</f>
        <v/>
      </c>
      <c r="Z996">
        <f>IF($V996="","",IF($AA996&gt;N($AA995),$AA996,""))</f>
        <v/>
      </c>
      <c r="AA996">
        <f>IF($V996="",N($AA995),IF(MATCH($V996,$V$6:$V$6005,0)=ROW()-5,N($AA995)+1,N($AA995)))</f>
        <v/>
      </c>
    </row>
    <row r="997" ht="21" customHeight="1" s="66">
      <c r="A997" s="56" t="n"/>
      <c r="B997" s="57" t="n"/>
      <c r="C997" s="57" t="n"/>
      <c r="D997" s="57" t="n"/>
      <c r="E997" s="56" t="n"/>
      <c r="F997" s="57" t="n"/>
      <c r="G997" s="57" t="n"/>
      <c r="H997" s="56" t="n"/>
      <c r="I997" s="56" t="n"/>
      <c r="J997" s="58" t="n"/>
      <c r="K997" s="58" t="n"/>
      <c r="L997" s="13">
        <f>IF(OR($A997="",AND($J997="",$K997="")),"",ROUND(N($J997)-N($K997),2))</f>
        <v/>
      </c>
      <c r="M997" s="13">
        <f>IF(OR($A997="",AND($J997="",$K997="")),"",MIN($J997,$K997))</f>
        <v/>
      </c>
      <c r="Q997">
        <f>IF($A997="","",$D997&amp;"("&amp;SUBSTITUTE($E997," ","")&amp;")")</f>
        <v/>
      </c>
      <c r="R997">
        <f>IF($A997="","",$B997&amp;" - "&amp;$C997)</f>
        <v/>
      </c>
      <c r="S997">
        <f>IF($A997="","",$R997&amp;"|"&amp;$Q997)</f>
        <v/>
      </c>
      <c r="T997">
        <f>IF($A997="","",$S997&amp;"|"&amp;$F997)</f>
        <v/>
      </c>
      <c r="U997">
        <f>IF($A997="","",$R997&amp;"("&amp;$E997&amp;")")</f>
        <v/>
      </c>
      <c r="V997">
        <f>IF($A997="","",$F997&amp;"|"&amp;$U997&amp;"|"&amp;$D997)</f>
        <v/>
      </c>
      <c r="W997">
        <f>IF($T997="","",IF($X997&gt;N($X996),$X997,""))</f>
        <v/>
      </c>
      <c r="X997">
        <f>IF($T997="",N($X996),IF(MATCH($T997,$T$6:$T$6005,0)=ROW()-5,N($X996)+1,N($X996)))</f>
        <v/>
      </c>
      <c r="Z997">
        <f>IF($V997="","",IF($AA997&gt;N($AA996),$AA997,""))</f>
        <v/>
      </c>
      <c r="AA997">
        <f>IF($V997="",N($AA996),IF(MATCH($V997,$V$6:$V$6005,0)=ROW()-5,N($AA996)+1,N($AA996)))</f>
        <v/>
      </c>
    </row>
    <row r="998" ht="21" customHeight="1" s="66">
      <c r="A998" s="56" t="n"/>
      <c r="B998" s="57" t="n"/>
      <c r="C998" s="57" t="n"/>
      <c r="D998" s="57" t="n"/>
      <c r="E998" s="56" t="n"/>
      <c r="F998" s="57" t="n"/>
      <c r="G998" s="57" t="n"/>
      <c r="H998" s="56" t="n"/>
      <c r="I998" s="56" t="n"/>
      <c r="J998" s="58" t="n"/>
      <c r="K998" s="58" t="n"/>
      <c r="L998" s="13">
        <f>IF(OR($A998="",AND($J998="",$K998="")),"",ROUND(N($J998)-N($K998),2))</f>
        <v/>
      </c>
      <c r="M998" s="13">
        <f>IF(OR($A998="",AND($J998="",$K998="")),"",MIN($J998,$K998))</f>
        <v/>
      </c>
      <c r="Q998">
        <f>IF($A998="","",$D998&amp;"("&amp;SUBSTITUTE($E998," ","")&amp;")")</f>
        <v/>
      </c>
      <c r="R998">
        <f>IF($A998="","",$B998&amp;" - "&amp;$C998)</f>
        <v/>
      </c>
      <c r="S998">
        <f>IF($A998="","",$R998&amp;"|"&amp;$Q998)</f>
        <v/>
      </c>
      <c r="T998">
        <f>IF($A998="","",$S998&amp;"|"&amp;$F998)</f>
        <v/>
      </c>
      <c r="U998">
        <f>IF($A998="","",$R998&amp;"("&amp;$E998&amp;")")</f>
        <v/>
      </c>
      <c r="V998">
        <f>IF($A998="","",$F998&amp;"|"&amp;$U998&amp;"|"&amp;$D998)</f>
        <v/>
      </c>
      <c r="W998">
        <f>IF($T998="","",IF($X998&gt;N($X997),$X998,""))</f>
        <v/>
      </c>
      <c r="X998">
        <f>IF($T998="",N($X997),IF(MATCH($T998,$T$6:$T$6005,0)=ROW()-5,N($X997)+1,N($X997)))</f>
        <v/>
      </c>
      <c r="Z998">
        <f>IF($V998="","",IF($AA998&gt;N($AA997),$AA998,""))</f>
        <v/>
      </c>
      <c r="AA998">
        <f>IF($V998="",N($AA997),IF(MATCH($V998,$V$6:$V$6005,0)=ROW()-5,N($AA997)+1,N($AA997)))</f>
        <v/>
      </c>
    </row>
    <row r="999" ht="21" customHeight="1" s="66">
      <c r="A999" s="56" t="n"/>
      <c r="B999" s="57" t="n"/>
      <c r="C999" s="57" t="n"/>
      <c r="D999" s="57" t="n"/>
      <c r="E999" s="56" t="n"/>
      <c r="F999" s="57" t="n"/>
      <c r="G999" s="57" t="n"/>
      <c r="H999" s="56" t="n"/>
      <c r="I999" s="56" t="n"/>
      <c r="J999" s="58" t="n"/>
      <c r="K999" s="58" t="n"/>
      <c r="L999" s="13">
        <f>IF(OR($A999="",AND($J999="",$K999="")),"",ROUND(N($J999)-N($K999),2))</f>
        <v/>
      </c>
      <c r="M999" s="13">
        <f>IF(OR($A999="",AND($J999="",$K999="")),"",MIN($J999,$K999))</f>
        <v/>
      </c>
      <c r="Q999">
        <f>IF($A999="","",$D999&amp;"("&amp;SUBSTITUTE($E999," ","")&amp;")")</f>
        <v/>
      </c>
      <c r="R999">
        <f>IF($A999="","",$B999&amp;" - "&amp;$C999)</f>
        <v/>
      </c>
      <c r="S999">
        <f>IF($A999="","",$R999&amp;"|"&amp;$Q999)</f>
        <v/>
      </c>
      <c r="T999">
        <f>IF($A999="","",$S999&amp;"|"&amp;$F999)</f>
        <v/>
      </c>
      <c r="U999">
        <f>IF($A999="","",$R999&amp;"("&amp;$E999&amp;")")</f>
        <v/>
      </c>
      <c r="V999">
        <f>IF($A999="","",$F999&amp;"|"&amp;$U999&amp;"|"&amp;$D999)</f>
        <v/>
      </c>
      <c r="W999">
        <f>IF($T999="","",IF($X999&gt;N($X998),$X999,""))</f>
        <v/>
      </c>
      <c r="X999">
        <f>IF($T999="",N($X998),IF(MATCH($T999,$T$6:$T$6005,0)=ROW()-5,N($X998)+1,N($X998)))</f>
        <v/>
      </c>
      <c r="Z999">
        <f>IF($V999="","",IF($AA999&gt;N($AA998),$AA999,""))</f>
        <v/>
      </c>
      <c r="AA999">
        <f>IF($V999="",N($AA998),IF(MATCH($V999,$V$6:$V$6005,0)=ROW()-5,N($AA998)+1,N($AA998)))</f>
        <v/>
      </c>
    </row>
    <row r="1000" ht="21" customHeight="1" s="66">
      <c r="A1000" s="56" t="n"/>
      <c r="B1000" s="57" t="n"/>
      <c r="C1000" s="57" t="n"/>
      <c r="D1000" s="57" t="n"/>
      <c r="E1000" s="56" t="n"/>
      <c r="F1000" s="57" t="n"/>
      <c r="G1000" s="57" t="n"/>
      <c r="H1000" s="56" t="n"/>
      <c r="I1000" s="56" t="n"/>
      <c r="J1000" s="58" t="n"/>
      <c r="K1000" s="58" t="n"/>
      <c r="L1000" s="13">
        <f>IF(OR($A1000="",AND($J1000="",$K1000="")),"",ROUND(N($J1000)-N($K1000),2))</f>
        <v/>
      </c>
      <c r="M1000" s="13">
        <f>IF(OR($A1000="",AND($J1000="",$K1000="")),"",MIN($J1000,$K1000))</f>
        <v/>
      </c>
      <c r="Q1000">
        <f>IF($A1000="","",$D1000&amp;"("&amp;SUBSTITUTE($E1000," ","")&amp;")")</f>
        <v/>
      </c>
      <c r="R1000">
        <f>IF($A1000="","",$B1000&amp;" - "&amp;$C1000)</f>
        <v/>
      </c>
      <c r="S1000">
        <f>IF($A1000="","",$R1000&amp;"|"&amp;$Q1000)</f>
        <v/>
      </c>
      <c r="T1000">
        <f>IF($A1000="","",$S1000&amp;"|"&amp;$F1000)</f>
        <v/>
      </c>
      <c r="U1000">
        <f>IF($A1000="","",$R1000&amp;"("&amp;$E1000&amp;")")</f>
        <v/>
      </c>
      <c r="V1000">
        <f>IF($A1000="","",$F1000&amp;"|"&amp;$U1000&amp;"|"&amp;$D1000)</f>
        <v/>
      </c>
      <c r="W1000">
        <f>IF($T1000="","",IF($X1000&gt;N($X999),$X1000,""))</f>
        <v/>
      </c>
      <c r="X1000">
        <f>IF($T1000="",N($X999),IF(MATCH($T1000,$T$6:$T$6005,0)=ROW()-5,N($X999)+1,N($X999)))</f>
        <v/>
      </c>
      <c r="Z1000">
        <f>IF($V1000="","",IF($AA1000&gt;N($AA999),$AA1000,""))</f>
        <v/>
      </c>
      <c r="AA1000">
        <f>IF($V1000="",N($AA999),IF(MATCH($V1000,$V$6:$V$6005,0)=ROW()-5,N($AA999)+1,N($AA999)))</f>
        <v/>
      </c>
    </row>
    <row r="1001" ht="21" customHeight="1" s="66">
      <c r="A1001" s="56" t="n"/>
      <c r="B1001" s="57" t="n"/>
      <c r="C1001" s="57" t="n"/>
      <c r="D1001" s="57" t="n"/>
      <c r="E1001" s="56" t="n"/>
      <c r="F1001" s="57" t="n"/>
      <c r="G1001" s="57" t="n"/>
      <c r="H1001" s="56" t="n"/>
      <c r="I1001" s="56" t="n"/>
      <c r="J1001" s="58" t="n"/>
      <c r="K1001" s="58" t="n"/>
      <c r="L1001" s="13">
        <f>IF(OR($A1001="",AND($J1001="",$K1001="")),"",ROUND(N($J1001)-N($K1001),2))</f>
        <v/>
      </c>
      <c r="M1001" s="13">
        <f>IF(OR($A1001="",AND($J1001="",$K1001="")),"",MIN($J1001,$K1001))</f>
        <v/>
      </c>
      <c r="Q1001">
        <f>IF($A1001="","",$D1001&amp;"("&amp;SUBSTITUTE($E1001," ","")&amp;")")</f>
        <v/>
      </c>
      <c r="R1001">
        <f>IF($A1001="","",$B1001&amp;" - "&amp;$C1001)</f>
        <v/>
      </c>
      <c r="S1001">
        <f>IF($A1001="","",$R1001&amp;"|"&amp;$Q1001)</f>
        <v/>
      </c>
      <c r="T1001">
        <f>IF($A1001="","",$S1001&amp;"|"&amp;$F1001)</f>
        <v/>
      </c>
      <c r="U1001">
        <f>IF($A1001="","",$R1001&amp;"("&amp;$E1001&amp;")")</f>
        <v/>
      </c>
      <c r="V1001">
        <f>IF($A1001="","",$F1001&amp;"|"&amp;$U1001&amp;"|"&amp;$D1001)</f>
        <v/>
      </c>
      <c r="W1001">
        <f>IF($T1001="","",IF($X1001&gt;N($X1000),$X1001,""))</f>
        <v/>
      </c>
      <c r="X1001">
        <f>IF($T1001="",N($X1000),IF(MATCH($T1001,$T$6:$T$6005,0)=ROW()-5,N($X1000)+1,N($X1000)))</f>
        <v/>
      </c>
      <c r="Z1001">
        <f>IF($V1001="","",IF($AA1001&gt;N($AA1000),$AA1001,""))</f>
        <v/>
      </c>
      <c r="AA1001">
        <f>IF($V1001="",N($AA1000),IF(MATCH($V1001,$V$6:$V$6005,0)=ROW()-5,N($AA1000)+1,N($AA1000)))</f>
        <v/>
      </c>
    </row>
    <row r="1002" ht="21" customHeight="1" s="66">
      <c r="A1002" s="56" t="n"/>
      <c r="B1002" s="57" t="n"/>
      <c r="C1002" s="57" t="n"/>
      <c r="D1002" s="57" t="n"/>
      <c r="E1002" s="56" t="n"/>
      <c r="F1002" s="57" t="n"/>
      <c r="G1002" s="57" t="n"/>
      <c r="H1002" s="56" t="n"/>
      <c r="I1002" s="56" t="n"/>
      <c r="J1002" s="58" t="n"/>
      <c r="K1002" s="58" t="n"/>
      <c r="L1002" s="13">
        <f>IF(OR($A1002="",AND($J1002="",$K1002="")),"",ROUND(N($J1002)-N($K1002),2))</f>
        <v/>
      </c>
      <c r="M1002" s="13">
        <f>IF(OR($A1002="",AND($J1002="",$K1002="")),"",MIN($J1002,$K1002))</f>
        <v/>
      </c>
      <c r="Q1002">
        <f>IF($A1002="","",$D1002&amp;"("&amp;SUBSTITUTE($E1002," ","")&amp;")")</f>
        <v/>
      </c>
      <c r="R1002">
        <f>IF($A1002="","",$B1002&amp;" - "&amp;$C1002)</f>
        <v/>
      </c>
      <c r="S1002">
        <f>IF($A1002="","",$R1002&amp;"|"&amp;$Q1002)</f>
        <v/>
      </c>
      <c r="T1002">
        <f>IF($A1002="","",$S1002&amp;"|"&amp;$F1002)</f>
        <v/>
      </c>
      <c r="U1002">
        <f>IF($A1002="","",$R1002&amp;"("&amp;$E1002&amp;")")</f>
        <v/>
      </c>
      <c r="V1002">
        <f>IF($A1002="","",$F1002&amp;"|"&amp;$U1002&amp;"|"&amp;$D1002)</f>
        <v/>
      </c>
      <c r="W1002">
        <f>IF($T1002="","",IF($X1002&gt;N($X1001),$X1002,""))</f>
        <v/>
      </c>
      <c r="X1002">
        <f>IF($T1002="",N($X1001),IF(MATCH($T1002,$T$6:$T$6005,0)=ROW()-5,N($X1001)+1,N($X1001)))</f>
        <v/>
      </c>
      <c r="Z1002">
        <f>IF($V1002="","",IF($AA1002&gt;N($AA1001),$AA1002,""))</f>
        <v/>
      </c>
      <c r="AA1002">
        <f>IF($V1002="",N($AA1001),IF(MATCH($V1002,$V$6:$V$6005,0)=ROW()-5,N($AA1001)+1,N($AA1001)))</f>
        <v/>
      </c>
    </row>
    <row r="1003" ht="21" customHeight="1" s="66">
      <c r="A1003" s="56" t="n"/>
      <c r="B1003" s="57" t="n"/>
      <c r="C1003" s="57" t="n"/>
      <c r="D1003" s="57" t="n"/>
      <c r="E1003" s="56" t="n"/>
      <c r="F1003" s="57" t="n"/>
      <c r="G1003" s="57" t="n"/>
      <c r="H1003" s="56" t="n"/>
      <c r="I1003" s="56" t="n"/>
      <c r="J1003" s="58" t="n"/>
      <c r="K1003" s="58" t="n"/>
      <c r="L1003" s="13">
        <f>IF(OR($A1003="",AND($J1003="",$K1003="")),"",ROUND(N($J1003)-N($K1003),2))</f>
        <v/>
      </c>
      <c r="M1003" s="13">
        <f>IF(OR($A1003="",AND($J1003="",$K1003="")),"",MIN($J1003,$K1003))</f>
        <v/>
      </c>
      <c r="Q1003">
        <f>IF($A1003="","",$D1003&amp;"("&amp;SUBSTITUTE($E1003," ","")&amp;")")</f>
        <v/>
      </c>
      <c r="R1003">
        <f>IF($A1003="","",$B1003&amp;" - "&amp;$C1003)</f>
        <v/>
      </c>
      <c r="S1003">
        <f>IF($A1003="","",$R1003&amp;"|"&amp;$Q1003)</f>
        <v/>
      </c>
      <c r="T1003">
        <f>IF($A1003="","",$S1003&amp;"|"&amp;$F1003)</f>
        <v/>
      </c>
      <c r="U1003">
        <f>IF($A1003="","",$R1003&amp;"("&amp;$E1003&amp;")")</f>
        <v/>
      </c>
      <c r="V1003">
        <f>IF($A1003="","",$F1003&amp;"|"&amp;$U1003&amp;"|"&amp;$D1003)</f>
        <v/>
      </c>
      <c r="W1003">
        <f>IF($T1003="","",IF($X1003&gt;N($X1002),$X1003,""))</f>
        <v/>
      </c>
      <c r="X1003">
        <f>IF($T1003="",N($X1002),IF(MATCH($T1003,$T$6:$T$6005,0)=ROW()-5,N($X1002)+1,N($X1002)))</f>
        <v/>
      </c>
      <c r="Z1003">
        <f>IF($V1003="","",IF($AA1003&gt;N($AA1002),$AA1003,""))</f>
        <v/>
      </c>
      <c r="AA1003">
        <f>IF($V1003="",N($AA1002),IF(MATCH($V1003,$V$6:$V$6005,0)=ROW()-5,N($AA1002)+1,N($AA1002)))</f>
        <v/>
      </c>
    </row>
    <row r="1004" ht="21" customHeight="1" s="66">
      <c r="A1004" s="56" t="n"/>
      <c r="B1004" s="57" t="n"/>
      <c r="C1004" s="57" t="n"/>
      <c r="D1004" s="57" t="n"/>
      <c r="E1004" s="56" t="n"/>
      <c r="F1004" s="57" t="n"/>
      <c r="G1004" s="57" t="n"/>
      <c r="H1004" s="56" t="n"/>
      <c r="I1004" s="56" t="n"/>
      <c r="J1004" s="58" t="n"/>
      <c r="K1004" s="58" t="n"/>
      <c r="L1004" s="13">
        <f>IF(OR($A1004="",AND($J1004="",$K1004="")),"",ROUND(N($J1004)-N($K1004),2))</f>
        <v/>
      </c>
      <c r="M1004" s="13">
        <f>IF(OR($A1004="",AND($J1004="",$K1004="")),"",MIN($J1004,$K1004))</f>
        <v/>
      </c>
      <c r="Q1004">
        <f>IF($A1004="","",$D1004&amp;"("&amp;SUBSTITUTE($E1004," ","")&amp;")")</f>
        <v/>
      </c>
      <c r="R1004">
        <f>IF($A1004="","",$B1004&amp;" - "&amp;$C1004)</f>
        <v/>
      </c>
      <c r="S1004">
        <f>IF($A1004="","",$R1004&amp;"|"&amp;$Q1004)</f>
        <v/>
      </c>
      <c r="T1004">
        <f>IF($A1004="","",$S1004&amp;"|"&amp;$F1004)</f>
        <v/>
      </c>
      <c r="U1004">
        <f>IF($A1004="","",$R1004&amp;"("&amp;$E1004&amp;")")</f>
        <v/>
      </c>
      <c r="V1004">
        <f>IF($A1004="","",$F1004&amp;"|"&amp;$U1004&amp;"|"&amp;$D1004)</f>
        <v/>
      </c>
      <c r="W1004">
        <f>IF($T1004="","",IF($X1004&gt;N($X1003),$X1004,""))</f>
        <v/>
      </c>
      <c r="X1004">
        <f>IF($T1004="",N($X1003),IF(MATCH($T1004,$T$6:$T$6005,0)=ROW()-5,N($X1003)+1,N($X1003)))</f>
        <v/>
      </c>
      <c r="Z1004">
        <f>IF($V1004="","",IF($AA1004&gt;N($AA1003),$AA1004,""))</f>
        <v/>
      </c>
      <c r="AA1004">
        <f>IF($V1004="",N($AA1003),IF(MATCH($V1004,$V$6:$V$6005,0)=ROW()-5,N($AA1003)+1,N($AA1003)))</f>
        <v/>
      </c>
    </row>
    <row r="1005" ht="21" customHeight="1" s="66">
      <c r="A1005" s="56" t="n"/>
      <c r="B1005" s="57" t="n"/>
      <c r="C1005" s="57" t="n"/>
      <c r="D1005" s="57" t="n"/>
      <c r="E1005" s="56" t="n"/>
      <c r="F1005" s="57" t="n"/>
      <c r="G1005" s="57" t="n"/>
      <c r="H1005" s="56" t="n"/>
      <c r="I1005" s="56" t="n"/>
      <c r="J1005" s="58" t="n"/>
      <c r="K1005" s="58" t="n"/>
      <c r="L1005" s="13">
        <f>IF(OR($A1005="",AND($J1005="",$K1005="")),"",ROUND(N($J1005)-N($K1005),2))</f>
        <v/>
      </c>
      <c r="M1005" s="13">
        <f>IF(OR($A1005="",AND($J1005="",$K1005="")),"",MIN($J1005,$K1005))</f>
        <v/>
      </c>
      <c r="Q1005">
        <f>IF($A1005="","",$D1005&amp;"("&amp;SUBSTITUTE($E1005," ","")&amp;")")</f>
        <v/>
      </c>
      <c r="R1005">
        <f>IF($A1005="","",$B1005&amp;" - "&amp;$C1005)</f>
        <v/>
      </c>
      <c r="S1005">
        <f>IF($A1005="","",$R1005&amp;"|"&amp;$Q1005)</f>
        <v/>
      </c>
      <c r="T1005">
        <f>IF($A1005="","",$S1005&amp;"|"&amp;$F1005)</f>
        <v/>
      </c>
      <c r="U1005">
        <f>IF($A1005="","",$R1005&amp;"("&amp;$E1005&amp;")")</f>
        <v/>
      </c>
      <c r="V1005">
        <f>IF($A1005="","",$F1005&amp;"|"&amp;$U1005&amp;"|"&amp;$D1005)</f>
        <v/>
      </c>
      <c r="W1005">
        <f>IF($T1005="","",IF($X1005&gt;N($X1004),$X1005,""))</f>
        <v/>
      </c>
      <c r="X1005">
        <f>IF($T1005="",N($X1004),IF(MATCH($T1005,$T$6:$T$6005,0)=ROW()-5,N($X1004)+1,N($X1004)))</f>
        <v/>
      </c>
      <c r="Z1005">
        <f>IF($V1005="","",IF($AA1005&gt;N($AA1004),$AA1005,""))</f>
        <v/>
      </c>
      <c r="AA1005">
        <f>IF($V1005="",N($AA1004),IF(MATCH($V1005,$V$6:$V$6005,0)=ROW()-5,N($AA1004)+1,N($AA1004)))</f>
        <v/>
      </c>
    </row>
    <row r="1006" ht="21" customHeight="1" s="66">
      <c r="A1006" s="56" t="n"/>
      <c r="B1006" s="57" t="n"/>
      <c r="C1006" s="57" t="n"/>
      <c r="D1006" s="57" t="n"/>
      <c r="E1006" s="56" t="n"/>
      <c r="F1006" s="57" t="n"/>
      <c r="G1006" s="57" t="n"/>
      <c r="H1006" s="56" t="n"/>
      <c r="I1006" s="56" t="n"/>
      <c r="J1006" s="58" t="n"/>
      <c r="K1006" s="58" t="n"/>
      <c r="L1006" s="13">
        <f>IF(OR($A1006="",AND($J1006="",$K1006="")),"",ROUND(N($J1006)-N($K1006),2))</f>
        <v/>
      </c>
      <c r="M1006" s="13">
        <f>IF(OR($A1006="",AND($J1006="",$K1006="")),"",MIN($J1006,$K1006))</f>
        <v/>
      </c>
      <c r="Q1006">
        <f>IF($A1006="","",$D1006&amp;"("&amp;SUBSTITUTE($E1006," ","")&amp;")")</f>
        <v/>
      </c>
      <c r="R1006">
        <f>IF($A1006="","",$B1006&amp;" - "&amp;$C1006)</f>
        <v/>
      </c>
      <c r="S1006">
        <f>IF($A1006="","",$R1006&amp;"|"&amp;$Q1006)</f>
        <v/>
      </c>
      <c r="T1006">
        <f>IF($A1006="","",$S1006&amp;"|"&amp;$F1006)</f>
        <v/>
      </c>
      <c r="U1006">
        <f>IF($A1006="","",$R1006&amp;"("&amp;$E1006&amp;")")</f>
        <v/>
      </c>
      <c r="V1006">
        <f>IF($A1006="","",$F1006&amp;"|"&amp;$U1006&amp;"|"&amp;$D1006)</f>
        <v/>
      </c>
      <c r="W1006">
        <f>IF($T1006="","",IF($X1006&gt;N($X1005),$X1006,""))</f>
        <v/>
      </c>
      <c r="X1006">
        <f>IF($T1006="",N($X1005),IF(MATCH($T1006,$T$6:$T$6005,0)=ROW()-5,N($X1005)+1,N($X1005)))</f>
        <v/>
      </c>
      <c r="Z1006">
        <f>IF($V1006="","",IF($AA1006&gt;N($AA1005),$AA1006,""))</f>
        <v/>
      </c>
      <c r="AA1006">
        <f>IF($V1006="",N($AA1005),IF(MATCH($V1006,$V$6:$V$6005,0)=ROW()-5,N($AA1005)+1,N($AA1005)))</f>
        <v/>
      </c>
    </row>
    <row r="1007" ht="21" customHeight="1" s="66">
      <c r="A1007" s="56" t="n"/>
      <c r="B1007" s="57" t="n"/>
      <c r="C1007" s="57" t="n"/>
      <c r="D1007" s="57" t="n"/>
      <c r="E1007" s="56" t="n"/>
      <c r="F1007" s="57" t="n"/>
      <c r="G1007" s="57" t="n"/>
      <c r="H1007" s="56" t="n"/>
      <c r="I1007" s="56" t="n"/>
      <c r="J1007" s="58" t="n"/>
      <c r="K1007" s="58" t="n"/>
      <c r="L1007" s="13">
        <f>IF(OR($A1007="",AND($J1007="",$K1007="")),"",ROUND(N($J1007)-N($K1007),2))</f>
        <v/>
      </c>
      <c r="M1007" s="13">
        <f>IF(OR($A1007="",AND($J1007="",$K1007="")),"",MIN($J1007,$K1007))</f>
        <v/>
      </c>
      <c r="Q1007">
        <f>IF($A1007="","",$D1007&amp;"("&amp;SUBSTITUTE($E1007," ","")&amp;")")</f>
        <v/>
      </c>
      <c r="R1007">
        <f>IF($A1007="","",$B1007&amp;" - "&amp;$C1007)</f>
        <v/>
      </c>
      <c r="S1007">
        <f>IF($A1007="","",$R1007&amp;"|"&amp;$Q1007)</f>
        <v/>
      </c>
      <c r="T1007">
        <f>IF($A1007="","",$S1007&amp;"|"&amp;$F1007)</f>
        <v/>
      </c>
      <c r="U1007">
        <f>IF($A1007="","",$R1007&amp;"("&amp;$E1007&amp;")")</f>
        <v/>
      </c>
      <c r="V1007">
        <f>IF($A1007="","",$F1007&amp;"|"&amp;$U1007&amp;"|"&amp;$D1007)</f>
        <v/>
      </c>
      <c r="W1007">
        <f>IF($T1007="","",IF($X1007&gt;N($X1006),$X1007,""))</f>
        <v/>
      </c>
      <c r="X1007">
        <f>IF($T1007="",N($X1006),IF(MATCH($T1007,$T$6:$T$6005,0)=ROW()-5,N($X1006)+1,N($X1006)))</f>
        <v/>
      </c>
      <c r="Z1007">
        <f>IF($V1007="","",IF($AA1007&gt;N($AA1006),$AA1007,""))</f>
        <v/>
      </c>
      <c r="AA1007">
        <f>IF($V1007="",N($AA1006),IF(MATCH($V1007,$V$6:$V$6005,0)=ROW()-5,N($AA1006)+1,N($AA1006)))</f>
        <v/>
      </c>
    </row>
    <row r="1008" ht="21" customHeight="1" s="66">
      <c r="A1008" s="56" t="n"/>
      <c r="B1008" s="57" t="n"/>
      <c r="C1008" s="57" t="n"/>
      <c r="D1008" s="57" t="n"/>
      <c r="E1008" s="56" t="n"/>
      <c r="F1008" s="57" t="n"/>
      <c r="G1008" s="57" t="n"/>
      <c r="H1008" s="56" t="n"/>
      <c r="I1008" s="56" t="n"/>
      <c r="J1008" s="58" t="n"/>
      <c r="K1008" s="58" t="n"/>
      <c r="L1008" s="13">
        <f>IF(OR($A1008="",AND($J1008="",$K1008="")),"",ROUND(N($J1008)-N($K1008),2))</f>
        <v/>
      </c>
      <c r="M1008" s="13">
        <f>IF(OR($A1008="",AND($J1008="",$K1008="")),"",MIN($J1008,$K1008))</f>
        <v/>
      </c>
      <c r="Q1008">
        <f>IF($A1008="","",$D1008&amp;"("&amp;SUBSTITUTE($E1008," ","")&amp;")")</f>
        <v/>
      </c>
      <c r="R1008">
        <f>IF($A1008="","",$B1008&amp;" - "&amp;$C1008)</f>
        <v/>
      </c>
      <c r="S1008">
        <f>IF($A1008="","",$R1008&amp;"|"&amp;$Q1008)</f>
        <v/>
      </c>
      <c r="T1008">
        <f>IF($A1008="","",$S1008&amp;"|"&amp;$F1008)</f>
        <v/>
      </c>
      <c r="U1008">
        <f>IF($A1008="","",$R1008&amp;"("&amp;$E1008&amp;")")</f>
        <v/>
      </c>
      <c r="V1008">
        <f>IF($A1008="","",$F1008&amp;"|"&amp;$U1008&amp;"|"&amp;$D1008)</f>
        <v/>
      </c>
      <c r="W1008">
        <f>IF($T1008="","",IF($X1008&gt;N($X1007),$X1008,""))</f>
        <v/>
      </c>
      <c r="X1008">
        <f>IF($T1008="",N($X1007),IF(MATCH($T1008,$T$6:$T$6005,0)=ROW()-5,N($X1007)+1,N($X1007)))</f>
        <v/>
      </c>
      <c r="Z1008">
        <f>IF($V1008="","",IF($AA1008&gt;N($AA1007),$AA1008,""))</f>
        <v/>
      </c>
      <c r="AA1008">
        <f>IF($V1008="",N($AA1007),IF(MATCH($V1008,$V$6:$V$6005,0)=ROW()-5,N($AA1007)+1,N($AA1007)))</f>
        <v/>
      </c>
    </row>
    <row r="1009" ht="21" customHeight="1" s="66">
      <c r="A1009" s="56" t="n"/>
      <c r="B1009" s="57" t="n"/>
      <c r="C1009" s="57" t="n"/>
      <c r="D1009" s="57" t="n"/>
      <c r="E1009" s="56" t="n"/>
      <c r="F1009" s="57" t="n"/>
      <c r="G1009" s="57" t="n"/>
      <c r="H1009" s="56" t="n"/>
      <c r="I1009" s="56" t="n"/>
      <c r="J1009" s="58" t="n"/>
      <c r="K1009" s="58" t="n"/>
      <c r="L1009" s="13">
        <f>IF(OR($A1009="",AND($J1009="",$K1009="")),"",ROUND(N($J1009)-N($K1009),2))</f>
        <v/>
      </c>
      <c r="M1009" s="13">
        <f>IF(OR($A1009="",AND($J1009="",$K1009="")),"",MIN($J1009,$K1009))</f>
        <v/>
      </c>
      <c r="Q1009">
        <f>IF($A1009="","",$D1009&amp;"("&amp;SUBSTITUTE($E1009," ","")&amp;")")</f>
        <v/>
      </c>
      <c r="R1009">
        <f>IF($A1009="","",$B1009&amp;" - "&amp;$C1009)</f>
        <v/>
      </c>
      <c r="S1009">
        <f>IF($A1009="","",$R1009&amp;"|"&amp;$Q1009)</f>
        <v/>
      </c>
      <c r="T1009">
        <f>IF($A1009="","",$S1009&amp;"|"&amp;$F1009)</f>
        <v/>
      </c>
      <c r="U1009">
        <f>IF($A1009="","",$R1009&amp;"("&amp;$E1009&amp;")")</f>
        <v/>
      </c>
      <c r="V1009">
        <f>IF($A1009="","",$F1009&amp;"|"&amp;$U1009&amp;"|"&amp;$D1009)</f>
        <v/>
      </c>
      <c r="W1009">
        <f>IF($T1009="","",IF($X1009&gt;N($X1008),$X1009,""))</f>
        <v/>
      </c>
      <c r="X1009">
        <f>IF($T1009="",N($X1008),IF(MATCH($T1009,$T$6:$T$6005,0)=ROW()-5,N($X1008)+1,N($X1008)))</f>
        <v/>
      </c>
      <c r="Z1009">
        <f>IF($V1009="","",IF($AA1009&gt;N($AA1008),$AA1009,""))</f>
        <v/>
      </c>
      <c r="AA1009">
        <f>IF($V1009="",N($AA1008),IF(MATCH($V1009,$V$6:$V$6005,0)=ROW()-5,N($AA1008)+1,N($AA1008)))</f>
        <v/>
      </c>
    </row>
    <row r="1010" ht="21" customHeight="1" s="66">
      <c r="A1010" s="56" t="n"/>
      <c r="B1010" s="57" t="n"/>
      <c r="C1010" s="57" t="n"/>
      <c r="D1010" s="57" t="n"/>
      <c r="E1010" s="56" t="n"/>
      <c r="F1010" s="57" t="n"/>
      <c r="G1010" s="57" t="n"/>
      <c r="H1010" s="56" t="n"/>
      <c r="I1010" s="56" t="n"/>
      <c r="J1010" s="58" t="n"/>
      <c r="K1010" s="58" t="n"/>
      <c r="L1010" s="13">
        <f>IF(OR($A1010="",AND($J1010="",$K1010="")),"",ROUND(N($J1010)-N($K1010),2))</f>
        <v/>
      </c>
      <c r="M1010" s="13">
        <f>IF(OR($A1010="",AND($J1010="",$K1010="")),"",MIN($J1010,$K1010))</f>
        <v/>
      </c>
      <c r="Q1010">
        <f>IF($A1010="","",$D1010&amp;"("&amp;SUBSTITUTE($E1010," ","")&amp;")")</f>
        <v/>
      </c>
      <c r="R1010">
        <f>IF($A1010="","",$B1010&amp;" - "&amp;$C1010)</f>
        <v/>
      </c>
      <c r="S1010">
        <f>IF($A1010="","",$R1010&amp;"|"&amp;$Q1010)</f>
        <v/>
      </c>
      <c r="T1010">
        <f>IF($A1010="","",$S1010&amp;"|"&amp;$F1010)</f>
        <v/>
      </c>
      <c r="U1010">
        <f>IF($A1010="","",$R1010&amp;"("&amp;$E1010&amp;")")</f>
        <v/>
      </c>
      <c r="V1010">
        <f>IF($A1010="","",$F1010&amp;"|"&amp;$U1010&amp;"|"&amp;$D1010)</f>
        <v/>
      </c>
      <c r="W1010">
        <f>IF($T1010="","",IF($X1010&gt;N($X1009),$X1010,""))</f>
        <v/>
      </c>
      <c r="X1010">
        <f>IF($T1010="",N($X1009),IF(MATCH($T1010,$T$6:$T$6005,0)=ROW()-5,N($X1009)+1,N($X1009)))</f>
        <v/>
      </c>
      <c r="Z1010">
        <f>IF($V1010="","",IF($AA1010&gt;N($AA1009),$AA1010,""))</f>
        <v/>
      </c>
      <c r="AA1010">
        <f>IF($V1010="",N($AA1009),IF(MATCH($V1010,$V$6:$V$6005,0)=ROW()-5,N($AA1009)+1,N($AA1009)))</f>
        <v/>
      </c>
    </row>
    <row r="1011" ht="21" customHeight="1" s="66">
      <c r="A1011" s="56" t="n"/>
      <c r="B1011" s="57" t="n"/>
      <c r="C1011" s="57" t="n"/>
      <c r="D1011" s="57" t="n"/>
      <c r="E1011" s="56" t="n"/>
      <c r="F1011" s="57" t="n"/>
      <c r="G1011" s="57" t="n"/>
      <c r="H1011" s="56" t="n"/>
      <c r="I1011" s="56" t="n"/>
      <c r="J1011" s="58" t="n"/>
      <c r="K1011" s="58" t="n"/>
      <c r="L1011" s="13">
        <f>IF(OR($A1011="",AND($J1011="",$K1011="")),"",ROUND(N($J1011)-N($K1011),2))</f>
        <v/>
      </c>
      <c r="M1011" s="13">
        <f>IF(OR($A1011="",AND($J1011="",$K1011="")),"",MIN($J1011,$K1011))</f>
        <v/>
      </c>
      <c r="Q1011">
        <f>IF($A1011="","",$D1011&amp;"("&amp;SUBSTITUTE($E1011," ","")&amp;")")</f>
        <v/>
      </c>
      <c r="R1011">
        <f>IF($A1011="","",$B1011&amp;" - "&amp;$C1011)</f>
        <v/>
      </c>
      <c r="S1011">
        <f>IF($A1011="","",$R1011&amp;"|"&amp;$Q1011)</f>
        <v/>
      </c>
      <c r="T1011">
        <f>IF($A1011="","",$S1011&amp;"|"&amp;$F1011)</f>
        <v/>
      </c>
      <c r="U1011">
        <f>IF($A1011="","",$R1011&amp;"("&amp;$E1011&amp;")")</f>
        <v/>
      </c>
      <c r="V1011">
        <f>IF($A1011="","",$F1011&amp;"|"&amp;$U1011&amp;"|"&amp;$D1011)</f>
        <v/>
      </c>
      <c r="W1011">
        <f>IF($T1011="","",IF($X1011&gt;N($X1010),$X1011,""))</f>
        <v/>
      </c>
      <c r="X1011">
        <f>IF($T1011="",N($X1010),IF(MATCH($T1011,$T$6:$T$6005,0)=ROW()-5,N($X1010)+1,N($X1010)))</f>
        <v/>
      </c>
      <c r="Z1011">
        <f>IF($V1011="","",IF($AA1011&gt;N($AA1010),$AA1011,""))</f>
        <v/>
      </c>
      <c r="AA1011">
        <f>IF($V1011="",N($AA1010),IF(MATCH($V1011,$V$6:$V$6005,0)=ROW()-5,N($AA1010)+1,N($AA1010)))</f>
        <v/>
      </c>
    </row>
    <row r="1012" ht="21" customHeight="1" s="66">
      <c r="A1012" s="56" t="n"/>
      <c r="B1012" s="57" t="n"/>
      <c r="C1012" s="57" t="n"/>
      <c r="D1012" s="57" t="n"/>
      <c r="E1012" s="56" t="n"/>
      <c r="F1012" s="57" t="n"/>
      <c r="G1012" s="57" t="n"/>
      <c r="H1012" s="56" t="n"/>
      <c r="I1012" s="56" t="n"/>
      <c r="J1012" s="58" t="n"/>
      <c r="K1012" s="58" t="n"/>
      <c r="L1012" s="13">
        <f>IF(OR($A1012="",AND($J1012="",$K1012="")),"",ROUND(N($J1012)-N($K1012),2))</f>
        <v/>
      </c>
      <c r="M1012" s="13">
        <f>IF(OR($A1012="",AND($J1012="",$K1012="")),"",MIN($J1012,$K1012))</f>
        <v/>
      </c>
      <c r="Q1012">
        <f>IF($A1012="","",$D1012&amp;"("&amp;SUBSTITUTE($E1012," ","")&amp;")")</f>
        <v/>
      </c>
      <c r="R1012">
        <f>IF($A1012="","",$B1012&amp;" - "&amp;$C1012)</f>
        <v/>
      </c>
      <c r="S1012">
        <f>IF($A1012="","",$R1012&amp;"|"&amp;$Q1012)</f>
        <v/>
      </c>
      <c r="T1012">
        <f>IF($A1012="","",$S1012&amp;"|"&amp;$F1012)</f>
        <v/>
      </c>
      <c r="U1012">
        <f>IF($A1012="","",$R1012&amp;"("&amp;$E1012&amp;")")</f>
        <v/>
      </c>
      <c r="V1012">
        <f>IF($A1012="","",$F1012&amp;"|"&amp;$U1012&amp;"|"&amp;$D1012)</f>
        <v/>
      </c>
      <c r="W1012">
        <f>IF($T1012="","",IF($X1012&gt;N($X1011),$X1012,""))</f>
        <v/>
      </c>
      <c r="X1012">
        <f>IF($T1012="",N($X1011),IF(MATCH($T1012,$T$6:$T$6005,0)=ROW()-5,N($X1011)+1,N($X1011)))</f>
        <v/>
      </c>
      <c r="Z1012">
        <f>IF($V1012="","",IF($AA1012&gt;N($AA1011),$AA1012,""))</f>
        <v/>
      </c>
      <c r="AA1012">
        <f>IF($V1012="",N($AA1011),IF(MATCH($V1012,$V$6:$V$6005,0)=ROW()-5,N($AA1011)+1,N($AA1011)))</f>
        <v/>
      </c>
    </row>
    <row r="1013" ht="21" customHeight="1" s="66">
      <c r="A1013" s="56" t="n"/>
      <c r="B1013" s="57" t="n"/>
      <c r="C1013" s="57" t="n"/>
      <c r="D1013" s="57" t="n"/>
      <c r="E1013" s="56" t="n"/>
      <c r="F1013" s="57" t="n"/>
      <c r="G1013" s="57" t="n"/>
      <c r="H1013" s="56" t="n"/>
      <c r="I1013" s="56" t="n"/>
      <c r="J1013" s="58" t="n"/>
      <c r="K1013" s="58" t="n"/>
      <c r="L1013" s="13">
        <f>IF(OR($A1013="",AND($J1013="",$K1013="")),"",ROUND(N($J1013)-N($K1013),2))</f>
        <v/>
      </c>
      <c r="M1013" s="13">
        <f>IF(OR($A1013="",AND($J1013="",$K1013="")),"",MIN($J1013,$K1013))</f>
        <v/>
      </c>
      <c r="Q1013">
        <f>IF($A1013="","",$D1013&amp;"("&amp;SUBSTITUTE($E1013," ","")&amp;")")</f>
        <v/>
      </c>
      <c r="R1013">
        <f>IF($A1013="","",$B1013&amp;" - "&amp;$C1013)</f>
        <v/>
      </c>
      <c r="S1013">
        <f>IF($A1013="","",$R1013&amp;"|"&amp;$Q1013)</f>
        <v/>
      </c>
      <c r="T1013">
        <f>IF($A1013="","",$S1013&amp;"|"&amp;$F1013)</f>
        <v/>
      </c>
      <c r="U1013">
        <f>IF($A1013="","",$R1013&amp;"("&amp;$E1013&amp;")")</f>
        <v/>
      </c>
      <c r="V1013">
        <f>IF($A1013="","",$F1013&amp;"|"&amp;$U1013&amp;"|"&amp;$D1013)</f>
        <v/>
      </c>
      <c r="W1013">
        <f>IF($T1013="","",IF($X1013&gt;N($X1012),$X1013,""))</f>
        <v/>
      </c>
      <c r="X1013">
        <f>IF($T1013="",N($X1012),IF(MATCH($T1013,$T$6:$T$6005,0)=ROW()-5,N($X1012)+1,N($X1012)))</f>
        <v/>
      </c>
      <c r="Z1013">
        <f>IF($V1013="","",IF($AA1013&gt;N($AA1012),$AA1013,""))</f>
        <v/>
      </c>
      <c r="AA1013">
        <f>IF($V1013="",N($AA1012),IF(MATCH($V1013,$V$6:$V$6005,0)=ROW()-5,N($AA1012)+1,N($AA1012)))</f>
        <v/>
      </c>
    </row>
    <row r="1014" ht="21" customHeight="1" s="66">
      <c r="A1014" s="56" t="n"/>
      <c r="B1014" s="57" t="n"/>
      <c r="C1014" s="57" t="n"/>
      <c r="D1014" s="57" t="n"/>
      <c r="E1014" s="56" t="n"/>
      <c r="F1014" s="57" t="n"/>
      <c r="G1014" s="57" t="n"/>
      <c r="H1014" s="56" t="n"/>
      <c r="I1014" s="56" t="n"/>
      <c r="J1014" s="58" t="n"/>
      <c r="K1014" s="58" t="n"/>
      <c r="L1014" s="13">
        <f>IF(OR($A1014="",AND($J1014="",$K1014="")),"",ROUND(N($J1014)-N($K1014),2))</f>
        <v/>
      </c>
      <c r="M1014" s="13">
        <f>IF(OR($A1014="",AND($J1014="",$K1014="")),"",MIN($J1014,$K1014))</f>
        <v/>
      </c>
      <c r="Q1014">
        <f>IF($A1014="","",$D1014&amp;"("&amp;SUBSTITUTE($E1014," ","")&amp;")")</f>
        <v/>
      </c>
      <c r="R1014">
        <f>IF($A1014="","",$B1014&amp;" - "&amp;$C1014)</f>
        <v/>
      </c>
      <c r="S1014">
        <f>IF($A1014="","",$R1014&amp;"|"&amp;$Q1014)</f>
        <v/>
      </c>
      <c r="T1014">
        <f>IF($A1014="","",$S1014&amp;"|"&amp;$F1014)</f>
        <v/>
      </c>
      <c r="U1014">
        <f>IF($A1014="","",$R1014&amp;"("&amp;$E1014&amp;")")</f>
        <v/>
      </c>
      <c r="V1014">
        <f>IF($A1014="","",$F1014&amp;"|"&amp;$U1014&amp;"|"&amp;$D1014)</f>
        <v/>
      </c>
      <c r="W1014">
        <f>IF($T1014="","",IF($X1014&gt;N($X1013),$X1014,""))</f>
        <v/>
      </c>
      <c r="X1014">
        <f>IF($T1014="",N($X1013),IF(MATCH($T1014,$T$6:$T$6005,0)=ROW()-5,N($X1013)+1,N($X1013)))</f>
        <v/>
      </c>
      <c r="Z1014">
        <f>IF($V1014="","",IF($AA1014&gt;N($AA1013),$AA1014,""))</f>
        <v/>
      </c>
      <c r="AA1014">
        <f>IF($V1014="",N($AA1013),IF(MATCH($V1014,$V$6:$V$6005,0)=ROW()-5,N($AA1013)+1,N($AA1013)))</f>
        <v/>
      </c>
    </row>
    <row r="1015" ht="21" customHeight="1" s="66">
      <c r="A1015" s="56" t="n"/>
      <c r="B1015" s="57" t="n"/>
      <c r="C1015" s="57" t="n"/>
      <c r="D1015" s="57" t="n"/>
      <c r="E1015" s="56" t="n"/>
      <c r="F1015" s="57" t="n"/>
      <c r="G1015" s="57" t="n"/>
      <c r="H1015" s="56" t="n"/>
      <c r="I1015" s="56" t="n"/>
      <c r="J1015" s="58" t="n"/>
      <c r="K1015" s="58" t="n"/>
      <c r="L1015" s="13">
        <f>IF(OR($A1015="",AND($J1015="",$K1015="")),"",ROUND(N($J1015)-N($K1015),2))</f>
        <v/>
      </c>
      <c r="M1015" s="13">
        <f>IF(OR($A1015="",AND($J1015="",$K1015="")),"",MIN($J1015,$K1015))</f>
        <v/>
      </c>
      <c r="Q1015">
        <f>IF($A1015="","",$D1015&amp;"("&amp;SUBSTITUTE($E1015," ","")&amp;")")</f>
        <v/>
      </c>
      <c r="R1015">
        <f>IF($A1015="","",$B1015&amp;" - "&amp;$C1015)</f>
        <v/>
      </c>
      <c r="S1015">
        <f>IF($A1015="","",$R1015&amp;"|"&amp;$Q1015)</f>
        <v/>
      </c>
      <c r="T1015">
        <f>IF($A1015="","",$S1015&amp;"|"&amp;$F1015)</f>
        <v/>
      </c>
      <c r="U1015">
        <f>IF($A1015="","",$R1015&amp;"("&amp;$E1015&amp;")")</f>
        <v/>
      </c>
      <c r="V1015">
        <f>IF($A1015="","",$F1015&amp;"|"&amp;$U1015&amp;"|"&amp;$D1015)</f>
        <v/>
      </c>
      <c r="W1015">
        <f>IF($T1015="","",IF($X1015&gt;N($X1014),$X1015,""))</f>
        <v/>
      </c>
      <c r="X1015">
        <f>IF($T1015="",N($X1014),IF(MATCH($T1015,$T$6:$T$6005,0)=ROW()-5,N($X1014)+1,N($X1014)))</f>
        <v/>
      </c>
      <c r="Z1015">
        <f>IF($V1015="","",IF($AA1015&gt;N($AA1014),$AA1015,""))</f>
        <v/>
      </c>
      <c r="AA1015">
        <f>IF($V1015="",N($AA1014),IF(MATCH($V1015,$V$6:$V$6005,0)=ROW()-5,N($AA1014)+1,N($AA1014)))</f>
        <v/>
      </c>
    </row>
    <row r="1016" ht="21" customHeight="1" s="66">
      <c r="A1016" s="56" t="n"/>
      <c r="B1016" s="57" t="n"/>
      <c r="C1016" s="57" t="n"/>
      <c r="D1016" s="57" t="n"/>
      <c r="E1016" s="56" t="n"/>
      <c r="F1016" s="57" t="n"/>
      <c r="G1016" s="57" t="n"/>
      <c r="H1016" s="56" t="n"/>
      <c r="I1016" s="56" t="n"/>
      <c r="J1016" s="58" t="n"/>
      <c r="K1016" s="58" t="n"/>
      <c r="L1016" s="13">
        <f>IF(OR($A1016="",AND($J1016="",$K1016="")),"",ROUND(N($J1016)-N($K1016),2))</f>
        <v/>
      </c>
      <c r="M1016" s="13">
        <f>IF(OR($A1016="",AND($J1016="",$K1016="")),"",MIN($J1016,$K1016))</f>
        <v/>
      </c>
      <c r="Q1016">
        <f>IF($A1016="","",$D1016&amp;"("&amp;SUBSTITUTE($E1016," ","")&amp;")")</f>
        <v/>
      </c>
      <c r="R1016">
        <f>IF($A1016="","",$B1016&amp;" - "&amp;$C1016)</f>
        <v/>
      </c>
      <c r="S1016">
        <f>IF($A1016="","",$R1016&amp;"|"&amp;$Q1016)</f>
        <v/>
      </c>
      <c r="T1016">
        <f>IF($A1016="","",$S1016&amp;"|"&amp;$F1016)</f>
        <v/>
      </c>
      <c r="U1016">
        <f>IF($A1016="","",$R1016&amp;"("&amp;$E1016&amp;")")</f>
        <v/>
      </c>
      <c r="V1016">
        <f>IF($A1016="","",$F1016&amp;"|"&amp;$U1016&amp;"|"&amp;$D1016)</f>
        <v/>
      </c>
      <c r="W1016">
        <f>IF($T1016="","",IF($X1016&gt;N($X1015),$X1016,""))</f>
        <v/>
      </c>
      <c r="X1016">
        <f>IF($T1016="",N($X1015),IF(MATCH($T1016,$T$6:$T$6005,0)=ROW()-5,N($X1015)+1,N($X1015)))</f>
        <v/>
      </c>
      <c r="Z1016">
        <f>IF($V1016="","",IF($AA1016&gt;N($AA1015),$AA1016,""))</f>
        <v/>
      </c>
      <c r="AA1016">
        <f>IF($V1016="",N($AA1015),IF(MATCH($V1016,$V$6:$V$6005,0)=ROW()-5,N($AA1015)+1,N($AA1015)))</f>
        <v/>
      </c>
    </row>
    <row r="1017" ht="21" customHeight="1" s="66">
      <c r="A1017" s="56" t="n"/>
      <c r="B1017" s="57" t="n"/>
      <c r="C1017" s="57" t="n"/>
      <c r="D1017" s="57" t="n"/>
      <c r="E1017" s="56" t="n"/>
      <c r="F1017" s="57" t="n"/>
      <c r="G1017" s="57" t="n"/>
      <c r="H1017" s="56" t="n"/>
      <c r="I1017" s="56" t="n"/>
      <c r="J1017" s="58" t="n"/>
      <c r="K1017" s="58" t="n"/>
      <c r="L1017" s="13">
        <f>IF(OR($A1017="",AND($J1017="",$K1017="")),"",ROUND(N($J1017)-N($K1017),2))</f>
        <v/>
      </c>
      <c r="M1017" s="13">
        <f>IF(OR($A1017="",AND($J1017="",$K1017="")),"",MIN($J1017,$K1017))</f>
        <v/>
      </c>
      <c r="Q1017">
        <f>IF($A1017="","",$D1017&amp;"("&amp;SUBSTITUTE($E1017," ","")&amp;")")</f>
        <v/>
      </c>
      <c r="R1017">
        <f>IF($A1017="","",$B1017&amp;" - "&amp;$C1017)</f>
        <v/>
      </c>
      <c r="S1017">
        <f>IF($A1017="","",$R1017&amp;"|"&amp;$Q1017)</f>
        <v/>
      </c>
      <c r="T1017">
        <f>IF($A1017="","",$S1017&amp;"|"&amp;$F1017)</f>
        <v/>
      </c>
      <c r="U1017">
        <f>IF($A1017="","",$R1017&amp;"("&amp;$E1017&amp;")")</f>
        <v/>
      </c>
      <c r="V1017">
        <f>IF($A1017="","",$F1017&amp;"|"&amp;$U1017&amp;"|"&amp;$D1017)</f>
        <v/>
      </c>
      <c r="W1017">
        <f>IF($T1017="","",IF($X1017&gt;N($X1016),$X1017,""))</f>
        <v/>
      </c>
      <c r="X1017">
        <f>IF($T1017="",N($X1016),IF(MATCH($T1017,$T$6:$T$6005,0)=ROW()-5,N($X1016)+1,N($X1016)))</f>
        <v/>
      </c>
      <c r="Z1017">
        <f>IF($V1017="","",IF($AA1017&gt;N($AA1016),$AA1017,""))</f>
        <v/>
      </c>
      <c r="AA1017">
        <f>IF($V1017="",N($AA1016),IF(MATCH($V1017,$V$6:$V$6005,0)=ROW()-5,N($AA1016)+1,N($AA1016)))</f>
        <v/>
      </c>
    </row>
    <row r="1018" ht="21" customHeight="1" s="66">
      <c r="A1018" s="56" t="n"/>
      <c r="B1018" s="57" t="n"/>
      <c r="C1018" s="57" t="n"/>
      <c r="D1018" s="57" t="n"/>
      <c r="E1018" s="56" t="n"/>
      <c r="F1018" s="57" t="n"/>
      <c r="G1018" s="57" t="n"/>
      <c r="H1018" s="56" t="n"/>
      <c r="I1018" s="56" t="n"/>
      <c r="J1018" s="58" t="n"/>
      <c r="K1018" s="58" t="n"/>
      <c r="L1018" s="13">
        <f>IF(OR($A1018="",AND($J1018="",$K1018="")),"",ROUND(N($J1018)-N($K1018),2))</f>
        <v/>
      </c>
      <c r="M1018" s="13">
        <f>IF(OR($A1018="",AND($J1018="",$K1018="")),"",MIN($J1018,$K1018))</f>
        <v/>
      </c>
      <c r="Q1018">
        <f>IF($A1018="","",$D1018&amp;"("&amp;SUBSTITUTE($E1018," ","")&amp;")")</f>
        <v/>
      </c>
      <c r="R1018">
        <f>IF($A1018="","",$B1018&amp;" - "&amp;$C1018)</f>
        <v/>
      </c>
      <c r="S1018">
        <f>IF($A1018="","",$R1018&amp;"|"&amp;$Q1018)</f>
        <v/>
      </c>
      <c r="T1018">
        <f>IF($A1018="","",$S1018&amp;"|"&amp;$F1018)</f>
        <v/>
      </c>
      <c r="U1018">
        <f>IF($A1018="","",$R1018&amp;"("&amp;$E1018&amp;")")</f>
        <v/>
      </c>
      <c r="V1018">
        <f>IF($A1018="","",$F1018&amp;"|"&amp;$U1018&amp;"|"&amp;$D1018)</f>
        <v/>
      </c>
      <c r="W1018">
        <f>IF($T1018="","",IF($X1018&gt;N($X1017),$X1018,""))</f>
        <v/>
      </c>
      <c r="X1018">
        <f>IF($T1018="",N($X1017),IF(MATCH($T1018,$T$6:$T$6005,0)=ROW()-5,N($X1017)+1,N($X1017)))</f>
        <v/>
      </c>
      <c r="Z1018">
        <f>IF($V1018="","",IF($AA1018&gt;N($AA1017),$AA1018,""))</f>
        <v/>
      </c>
      <c r="AA1018">
        <f>IF($V1018="",N($AA1017),IF(MATCH($V1018,$V$6:$V$6005,0)=ROW()-5,N($AA1017)+1,N($AA1017)))</f>
        <v/>
      </c>
    </row>
    <row r="1019" ht="21" customHeight="1" s="66">
      <c r="A1019" s="56" t="n"/>
      <c r="B1019" s="57" t="n"/>
      <c r="C1019" s="57" t="n"/>
      <c r="D1019" s="57" t="n"/>
      <c r="E1019" s="56" t="n"/>
      <c r="F1019" s="57" t="n"/>
      <c r="G1019" s="57" t="n"/>
      <c r="H1019" s="56" t="n"/>
      <c r="I1019" s="56" t="n"/>
      <c r="J1019" s="58" t="n"/>
      <c r="K1019" s="58" t="n"/>
      <c r="L1019" s="13">
        <f>IF(OR($A1019="",AND($J1019="",$K1019="")),"",ROUND(N($J1019)-N($K1019),2))</f>
        <v/>
      </c>
      <c r="M1019" s="13">
        <f>IF(OR($A1019="",AND($J1019="",$K1019="")),"",MIN($J1019,$K1019))</f>
        <v/>
      </c>
      <c r="Q1019">
        <f>IF($A1019="","",$D1019&amp;"("&amp;SUBSTITUTE($E1019," ","")&amp;")")</f>
        <v/>
      </c>
      <c r="R1019">
        <f>IF($A1019="","",$B1019&amp;" - "&amp;$C1019)</f>
        <v/>
      </c>
      <c r="S1019">
        <f>IF($A1019="","",$R1019&amp;"|"&amp;$Q1019)</f>
        <v/>
      </c>
      <c r="T1019">
        <f>IF($A1019="","",$S1019&amp;"|"&amp;$F1019)</f>
        <v/>
      </c>
      <c r="U1019">
        <f>IF($A1019="","",$R1019&amp;"("&amp;$E1019&amp;")")</f>
        <v/>
      </c>
      <c r="V1019">
        <f>IF($A1019="","",$F1019&amp;"|"&amp;$U1019&amp;"|"&amp;$D1019)</f>
        <v/>
      </c>
      <c r="W1019">
        <f>IF($T1019="","",IF($X1019&gt;N($X1018),$X1019,""))</f>
        <v/>
      </c>
      <c r="X1019">
        <f>IF($T1019="",N($X1018),IF(MATCH($T1019,$T$6:$T$6005,0)=ROW()-5,N($X1018)+1,N($X1018)))</f>
        <v/>
      </c>
      <c r="Z1019">
        <f>IF($V1019="","",IF($AA1019&gt;N($AA1018),$AA1019,""))</f>
        <v/>
      </c>
      <c r="AA1019">
        <f>IF($V1019="",N($AA1018),IF(MATCH($V1019,$V$6:$V$6005,0)=ROW()-5,N($AA1018)+1,N($AA1018)))</f>
        <v/>
      </c>
    </row>
    <row r="1020" ht="21" customHeight="1" s="66">
      <c r="A1020" s="56" t="n"/>
      <c r="B1020" s="57" t="n"/>
      <c r="C1020" s="57" t="n"/>
      <c r="D1020" s="57" t="n"/>
      <c r="E1020" s="56" t="n"/>
      <c r="F1020" s="57" t="n"/>
      <c r="G1020" s="57" t="n"/>
      <c r="H1020" s="56" t="n"/>
      <c r="I1020" s="56" t="n"/>
      <c r="J1020" s="58" t="n"/>
      <c r="K1020" s="58" t="n"/>
      <c r="L1020" s="13">
        <f>IF(OR($A1020="",AND($J1020="",$K1020="")),"",ROUND(N($J1020)-N($K1020),2))</f>
        <v/>
      </c>
      <c r="M1020" s="13">
        <f>IF(OR($A1020="",AND($J1020="",$K1020="")),"",MIN($J1020,$K1020))</f>
        <v/>
      </c>
      <c r="Q1020">
        <f>IF($A1020="","",$D1020&amp;"("&amp;SUBSTITUTE($E1020," ","")&amp;")")</f>
        <v/>
      </c>
      <c r="R1020">
        <f>IF($A1020="","",$B1020&amp;" - "&amp;$C1020)</f>
        <v/>
      </c>
      <c r="S1020">
        <f>IF($A1020="","",$R1020&amp;"|"&amp;$Q1020)</f>
        <v/>
      </c>
      <c r="T1020">
        <f>IF($A1020="","",$S1020&amp;"|"&amp;$F1020)</f>
        <v/>
      </c>
      <c r="U1020">
        <f>IF($A1020="","",$R1020&amp;"("&amp;$E1020&amp;")")</f>
        <v/>
      </c>
      <c r="V1020">
        <f>IF($A1020="","",$F1020&amp;"|"&amp;$U1020&amp;"|"&amp;$D1020)</f>
        <v/>
      </c>
      <c r="W1020">
        <f>IF($T1020="","",IF($X1020&gt;N($X1019),$X1020,""))</f>
        <v/>
      </c>
      <c r="X1020">
        <f>IF($T1020="",N($X1019),IF(MATCH($T1020,$T$6:$T$6005,0)=ROW()-5,N($X1019)+1,N($X1019)))</f>
        <v/>
      </c>
      <c r="Z1020">
        <f>IF($V1020="","",IF($AA1020&gt;N($AA1019),$AA1020,""))</f>
        <v/>
      </c>
      <c r="AA1020">
        <f>IF($V1020="",N($AA1019),IF(MATCH($V1020,$V$6:$V$6005,0)=ROW()-5,N($AA1019)+1,N($AA1019)))</f>
        <v/>
      </c>
    </row>
    <row r="1021" ht="21" customHeight="1" s="66">
      <c r="A1021" s="56" t="n"/>
      <c r="B1021" s="57" t="n"/>
      <c r="C1021" s="57" t="n"/>
      <c r="D1021" s="57" t="n"/>
      <c r="E1021" s="56" t="n"/>
      <c r="F1021" s="57" t="n"/>
      <c r="G1021" s="57" t="n"/>
      <c r="H1021" s="56" t="n"/>
      <c r="I1021" s="56" t="n"/>
      <c r="J1021" s="58" t="n"/>
      <c r="K1021" s="58" t="n"/>
      <c r="L1021" s="13">
        <f>IF(OR($A1021="",AND($J1021="",$K1021="")),"",ROUND(N($J1021)-N($K1021),2))</f>
        <v/>
      </c>
      <c r="M1021" s="13">
        <f>IF(OR($A1021="",AND($J1021="",$K1021="")),"",MIN($J1021,$K1021))</f>
        <v/>
      </c>
      <c r="Q1021">
        <f>IF($A1021="","",$D1021&amp;"("&amp;SUBSTITUTE($E1021," ","")&amp;")")</f>
        <v/>
      </c>
      <c r="R1021">
        <f>IF($A1021="","",$B1021&amp;" - "&amp;$C1021)</f>
        <v/>
      </c>
      <c r="S1021">
        <f>IF($A1021="","",$R1021&amp;"|"&amp;$Q1021)</f>
        <v/>
      </c>
      <c r="T1021">
        <f>IF($A1021="","",$S1021&amp;"|"&amp;$F1021)</f>
        <v/>
      </c>
      <c r="U1021">
        <f>IF($A1021="","",$R1021&amp;"("&amp;$E1021&amp;")")</f>
        <v/>
      </c>
      <c r="V1021">
        <f>IF($A1021="","",$F1021&amp;"|"&amp;$U1021&amp;"|"&amp;$D1021)</f>
        <v/>
      </c>
      <c r="W1021">
        <f>IF($T1021="","",IF($X1021&gt;N($X1020),$X1021,""))</f>
        <v/>
      </c>
      <c r="X1021">
        <f>IF($T1021="",N($X1020),IF(MATCH($T1021,$T$6:$T$6005,0)=ROW()-5,N($X1020)+1,N($X1020)))</f>
        <v/>
      </c>
      <c r="Z1021">
        <f>IF($V1021="","",IF($AA1021&gt;N($AA1020),$AA1021,""))</f>
        <v/>
      </c>
      <c r="AA1021">
        <f>IF($V1021="",N($AA1020),IF(MATCH($V1021,$V$6:$V$6005,0)=ROW()-5,N($AA1020)+1,N($AA1020)))</f>
        <v/>
      </c>
    </row>
    <row r="1022" ht="21" customHeight="1" s="66">
      <c r="A1022" s="56" t="n"/>
      <c r="B1022" s="57" t="n"/>
      <c r="C1022" s="57" t="n"/>
      <c r="D1022" s="57" t="n"/>
      <c r="E1022" s="56" t="n"/>
      <c r="F1022" s="57" t="n"/>
      <c r="G1022" s="57" t="n"/>
      <c r="H1022" s="56" t="n"/>
      <c r="I1022" s="56" t="n"/>
      <c r="J1022" s="58" t="n"/>
      <c r="K1022" s="58" t="n"/>
      <c r="L1022" s="13">
        <f>IF(OR($A1022="",AND($J1022="",$K1022="")),"",ROUND(N($J1022)-N($K1022),2))</f>
        <v/>
      </c>
      <c r="M1022" s="13">
        <f>IF(OR($A1022="",AND($J1022="",$K1022="")),"",MIN($J1022,$K1022))</f>
        <v/>
      </c>
      <c r="Q1022">
        <f>IF($A1022="","",$D1022&amp;"("&amp;SUBSTITUTE($E1022," ","")&amp;")")</f>
        <v/>
      </c>
      <c r="R1022">
        <f>IF($A1022="","",$B1022&amp;" - "&amp;$C1022)</f>
        <v/>
      </c>
      <c r="S1022">
        <f>IF($A1022="","",$R1022&amp;"|"&amp;$Q1022)</f>
        <v/>
      </c>
      <c r="T1022">
        <f>IF($A1022="","",$S1022&amp;"|"&amp;$F1022)</f>
        <v/>
      </c>
      <c r="U1022">
        <f>IF($A1022="","",$R1022&amp;"("&amp;$E1022&amp;")")</f>
        <v/>
      </c>
      <c r="V1022">
        <f>IF($A1022="","",$F1022&amp;"|"&amp;$U1022&amp;"|"&amp;$D1022)</f>
        <v/>
      </c>
      <c r="W1022">
        <f>IF($T1022="","",IF($X1022&gt;N($X1021),$X1022,""))</f>
        <v/>
      </c>
      <c r="X1022">
        <f>IF($T1022="",N($X1021),IF(MATCH($T1022,$T$6:$T$6005,0)=ROW()-5,N($X1021)+1,N($X1021)))</f>
        <v/>
      </c>
      <c r="Z1022">
        <f>IF($V1022="","",IF($AA1022&gt;N($AA1021),$AA1022,""))</f>
        <v/>
      </c>
      <c r="AA1022">
        <f>IF($V1022="",N($AA1021),IF(MATCH($V1022,$V$6:$V$6005,0)=ROW()-5,N($AA1021)+1,N($AA1021)))</f>
        <v/>
      </c>
    </row>
    <row r="1023" ht="21" customHeight="1" s="66">
      <c r="A1023" s="56" t="n"/>
      <c r="B1023" s="57" t="n"/>
      <c r="C1023" s="57" t="n"/>
      <c r="D1023" s="57" t="n"/>
      <c r="E1023" s="56" t="n"/>
      <c r="F1023" s="57" t="n"/>
      <c r="G1023" s="57" t="n"/>
      <c r="H1023" s="56" t="n"/>
      <c r="I1023" s="56" t="n"/>
      <c r="J1023" s="58" t="n"/>
      <c r="K1023" s="58" t="n"/>
      <c r="L1023" s="13">
        <f>IF(OR($A1023="",AND($J1023="",$K1023="")),"",ROUND(N($J1023)-N($K1023),2))</f>
        <v/>
      </c>
      <c r="M1023" s="13">
        <f>IF(OR($A1023="",AND($J1023="",$K1023="")),"",MIN($J1023,$K1023))</f>
        <v/>
      </c>
      <c r="Q1023">
        <f>IF($A1023="","",$D1023&amp;"("&amp;SUBSTITUTE($E1023," ","")&amp;")")</f>
        <v/>
      </c>
      <c r="R1023">
        <f>IF($A1023="","",$B1023&amp;" - "&amp;$C1023)</f>
        <v/>
      </c>
      <c r="S1023">
        <f>IF($A1023="","",$R1023&amp;"|"&amp;$Q1023)</f>
        <v/>
      </c>
      <c r="T1023">
        <f>IF($A1023="","",$S1023&amp;"|"&amp;$F1023)</f>
        <v/>
      </c>
      <c r="U1023">
        <f>IF($A1023="","",$R1023&amp;"("&amp;$E1023&amp;")")</f>
        <v/>
      </c>
      <c r="V1023">
        <f>IF($A1023="","",$F1023&amp;"|"&amp;$U1023&amp;"|"&amp;$D1023)</f>
        <v/>
      </c>
      <c r="W1023">
        <f>IF($T1023="","",IF($X1023&gt;N($X1022),$X1023,""))</f>
        <v/>
      </c>
      <c r="X1023">
        <f>IF($T1023="",N($X1022),IF(MATCH($T1023,$T$6:$T$6005,0)=ROW()-5,N($X1022)+1,N($X1022)))</f>
        <v/>
      </c>
      <c r="Z1023">
        <f>IF($V1023="","",IF($AA1023&gt;N($AA1022),$AA1023,""))</f>
        <v/>
      </c>
      <c r="AA1023">
        <f>IF($V1023="",N($AA1022),IF(MATCH($V1023,$V$6:$V$6005,0)=ROW()-5,N($AA1022)+1,N($AA1022)))</f>
        <v/>
      </c>
    </row>
    <row r="1024" ht="21" customHeight="1" s="66">
      <c r="A1024" s="56" t="n"/>
      <c r="B1024" s="57" t="n"/>
      <c r="C1024" s="57" t="n"/>
      <c r="D1024" s="57" t="n"/>
      <c r="E1024" s="56" t="n"/>
      <c r="F1024" s="57" t="n"/>
      <c r="G1024" s="57" t="n"/>
      <c r="H1024" s="56" t="n"/>
      <c r="I1024" s="56" t="n"/>
      <c r="J1024" s="58" t="n"/>
      <c r="K1024" s="58" t="n"/>
      <c r="L1024" s="13">
        <f>IF(OR($A1024="",AND($J1024="",$K1024="")),"",ROUND(N($J1024)-N($K1024),2))</f>
        <v/>
      </c>
      <c r="M1024" s="13">
        <f>IF(OR($A1024="",AND($J1024="",$K1024="")),"",MIN($J1024,$K1024))</f>
        <v/>
      </c>
      <c r="Q1024">
        <f>IF($A1024="","",$D1024&amp;"("&amp;SUBSTITUTE($E1024," ","")&amp;")")</f>
        <v/>
      </c>
      <c r="R1024">
        <f>IF($A1024="","",$B1024&amp;" - "&amp;$C1024)</f>
        <v/>
      </c>
      <c r="S1024">
        <f>IF($A1024="","",$R1024&amp;"|"&amp;$Q1024)</f>
        <v/>
      </c>
      <c r="T1024">
        <f>IF($A1024="","",$S1024&amp;"|"&amp;$F1024)</f>
        <v/>
      </c>
      <c r="U1024">
        <f>IF($A1024="","",$R1024&amp;"("&amp;$E1024&amp;")")</f>
        <v/>
      </c>
      <c r="V1024">
        <f>IF($A1024="","",$F1024&amp;"|"&amp;$U1024&amp;"|"&amp;$D1024)</f>
        <v/>
      </c>
      <c r="W1024">
        <f>IF($T1024="","",IF($X1024&gt;N($X1023),$X1024,""))</f>
        <v/>
      </c>
      <c r="X1024">
        <f>IF($T1024="",N($X1023),IF(MATCH($T1024,$T$6:$T$6005,0)=ROW()-5,N($X1023)+1,N($X1023)))</f>
        <v/>
      </c>
      <c r="Z1024">
        <f>IF($V1024="","",IF($AA1024&gt;N($AA1023),$AA1024,""))</f>
        <v/>
      </c>
      <c r="AA1024">
        <f>IF($V1024="",N($AA1023),IF(MATCH($V1024,$V$6:$V$6005,0)=ROW()-5,N($AA1023)+1,N($AA1023)))</f>
        <v/>
      </c>
    </row>
    <row r="1025" ht="21" customHeight="1" s="66">
      <c r="A1025" s="56" t="n"/>
      <c r="B1025" s="57" t="n"/>
      <c r="C1025" s="57" t="n"/>
      <c r="D1025" s="57" t="n"/>
      <c r="E1025" s="56" t="n"/>
      <c r="F1025" s="57" t="n"/>
      <c r="G1025" s="57" t="n"/>
      <c r="H1025" s="56" t="n"/>
      <c r="I1025" s="56" t="n"/>
      <c r="J1025" s="58" t="n"/>
      <c r="K1025" s="58" t="n"/>
      <c r="L1025" s="13">
        <f>IF(OR($A1025="",AND($J1025="",$K1025="")),"",ROUND(N($J1025)-N($K1025),2))</f>
        <v/>
      </c>
      <c r="M1025" s="13">
        <f>IF(OR($A1025="",AND($J1025="",$K1025="")),"",MIN($J1025,$K1025))</f>
        <v/>
      </c>
      <c r="Q1025">
        <f>IF($A1025="","",$D1025&amp;"("&amp;SUBSTITUTE($E1025," ","")&amp;")")</f>
        <v/>
      </c>
      <c r="R1025">
        <f>IF($A1025="","",$B1025&amp;" - "&amp;$C1025)</f>
        <v/>
      </c>
      <c r="S1025">
        <f>IF($A1025="","",$R1025&amp;"|"&amp;$Q1025)</f>
        <v/>
      </c>
      <c r="T1025">
        <f>IF($A1025="","",$S1025&amp;"|"&amp;$F1025)</f>
        <v/>
      </c>
      <c r="U1025">
        <f>IF($A1025="","",$R1025&amp;"("&amp;$E1025&amp;")")</f>
        <v/>
      </c>
      <c r="V1025">
        <f>IF($A1025="","",$F1025&amp;"|"&amp;$U1025&amp;"|"&amp;$D1025)</f>
        <v/>
      </c>
      <c r="W1025">
        <f>IF($T1025="","",IF($X1025&gt;N($X1024),$X1025,""))</f>
        <v/>
      </c>
      <c r="X1025">
        <f>IF($T1025="",N($X1024),IF(MATCH($T1025,$T$6:$T$6005,0)=ROW()-5,N($X1024)+1,N($X1024)))</f>
        <v/>
      </c>
      <c r="Z1025">
        <f>IF($V1025="","",IF($AA1025&gt;N($AA1024),$AA1025,""))</f>
        <v/>
      </c>
      <c r="AA1025">
        <f>IF($V1025="",N($AA1024),IF(MATCH($V1025,$V$6:$V$6005,0)=ROW()-5,N($AA1024)+1,N($AA1024)))</f>
        <v/>
      </c>
    </row>
    <row r="1026" ht="21" customHeight="1" s="66">
      <c r="A1026" s="56" t="n"/>
      <c r="B1026" s="57" t="n"/>
      <c r="C1026" s="57" t="n"/>
      <c r="D1026" s="57" t="n"/>
      <c r="E1026" s="56" t="n"/>
      <c r="F1026" s="57" t="n"/>
      <c r="G1026" s="57" t="n"/>
      <c r="H1026" s="56" t="n"/>
      <c r="I1026" s="56" t="n"/>
      <c r="J1026" s="58" t="n"/>
      <c r="K1026" s="58" t="n"/>
      <c r="L1026" s="13">
        <f>IF(OR($A1026="",AND($J1026="",$K1026="")),"",ROUND(N($J1026)-N($K1026),2))</f>
        <v/>
      </c>
      <c r="M1026" s="13">
        <f>IF(OR($A1026="",AND($J1026="",$K1026="")),"",MIN($J1026,$K1026))</f>
        <v/>
      </c>
      <c r="Q1026">
        <f>IF($A1026="","",$D1026&amp;"("&amp;SUBSTITUTE($E1026," ","")&amp;")")</f>
        <v/>
      </c>
      <c r="R1026">
        <f>IF($A1026="","",$B1026&amp;" - "&amp;$C1026)</f>
        <v/>
      </c>
      <c r="S1026">
        <f>IF($A1026="","",$R1026&amp;"|"&amp;$Q1026)</f>
        <v/>
      </c>
      <c r="T1026">
        <f>IF($A1026="","",$S1026&amp;"|"&amp;$F1026)</f>
        <v/>
      </c>
      <c r="U1026">
        <f>IF($A1026="","",$R1026&amp;"("&amp;$E1026&amp;")")</f>
        <v/>
      </c>
      <c r="V1026">
        <f>IF($A1026="","",$F1026&amp;"|"&amp;$U1026&amp;"|"&amp;$D1026)</f>
        <v/>
      </c>
      <c r="W1026">
        <f>IF($T1026="","",IF($X1026&gt;N($X1025),$X1026,""))</f>
        <v/>
      </c>
      <c r="X1026">
        <f>IF($T1026="",N($X1025),IF(MATCH($T1026,$T$6:$T$6005,0)=ROW()-5,N($X1025)+1,N($X1025)))</f>
        <v/>
      </c>
      <c r="Z1026">
        <f>IF($V1026="","",IF($AA1026&gt;N($AA1025),$AA1026,""))</f>
        <v/>
      </c>
      <c r="AA1026">
        <f>IF($V1026="",N($AA1025),IF(MATCH($V1026,$V$6:$V$6005,0)=ROW()-5,N($AA1025)+1,N($AA1025)))</f>
        <v/>
      </c>
    </row>
    <row r="1027" ht="21" customHeight="1" s="66">
      <c r="A1027" s="56" t="n"/>
      <c r="B1027" s="57" t="n"/>
      <c r="C1027" s="57" t="n"/>
      <c r="D1027" s="57" t="n"/>
      <c r="E1027" s="56" t="n"/>
      <c r="F1027" s="57" t="n"/>
      <c r="G1027" s="57" t="n"/>
      <c r="H1027" s="56" t="n"/>
      <c r="I1027" s="56" t="n"/>
      <c r="J1027" s="58" t="n"/>
      <c r="K1027" s="58" t="n"/>
      <c r="L1027" s="13">
        <f>IF(OR($A1027="",AND($J1027="",$K1027="")),"",ROUND(N($J1027)-N($K1027),2))</f>
        <v/>
      </c>
      <c r="M1027" s="13">
        <f>IF(OR($A1027="",AND($J1027="",$K1027="")),"",MIN($J1027,$K1027))</f>
        <v/>
      </c>
      <c r="Q1027">
        <f>IF($A1027="","",$D1027&amp;"("&amp;SUBSTITUTE($E1027," ","")&amp;")")</f>
        <v/>
      </c>
      <c r="R1027">
        <f>IF($A1027="","",$B1027&amp;" - "&amp;$C1027)</f>
        <v/>
      </c>
      <c r="S1027">
        <f>IF($A1027="","",$R1027&amp;"|"&amp;$Q1027)</f>
        <v/>
      </c>
      <c r="T1027">
        <f>IF($A1027="","",$S1027&amp;"|"&amp;$F1027)</f>
        <v/>
      </c>
      <c r="U1027">
        <f>IF($A1027="","",$R1027&amp;"("&amp;$E1027&amp;")")</f>
        <v/>
      </c>
      <c r="V1027">
        <f>IF($A1027="","",$F1027&amp;"|"&amp;$U1027&amp;"|"&amp;$D1027)</f>
        <v/>
      </c>
      <c r="W1027">
        <f>IF($T1027="","",IF($X1027&gt;N($X1026),$X1027,""))</f>
        <v/>
      </c>
      <c r="X1027">
        <f>IF($T1027="",N($X1026),IF(MATCH($T1027,$T$6:$T$6005,0)=ROW()-5,N($X1026)+1,N($X1026)))</f>
        <v/>
      </c>
      <c r="Z1027">
        <f>IF($V1027="","",IF($AA1027&gt;N($AA1026),$AA1027,""))</f>
        <v/>
      </c>
      <c r="AA1027">
        <f>IF($V1027="",N($AA1026),IF(MATCH($V1027,$V$6:$V$6005,0)=ROW()-5,N($AA1026)+1,N($AA1026)))</f>
        <v/>
      </c>
    </row>
    <row r="1028" ht="21" customHeight="1" s="66">
      <c r="A1028" s="56" t="n"/>
      <c r="B1028" s="57" t="n"/>
      <c r="C1028" s="57" t="n"/>
      <c r="D1028" s="57" t="n"/>
      <c r="E1028" s="56" t="n"/>
      <c r="F1028" s="57" t="n"/>
      <c r="G1028" s="57" t="n"/>
      <c r="H1028" s="56" t="n"/>
      <c r="I1028" s="56" t="n"/>
      <c r="J1028" s="58" t="n"/>
      <c r="K1028" s="58" t="n"/>
      <c r="L1028" s="13">
        <f>IF(OR($A1028="",AND($J1028="",$K1028="")),"",ROUND(N($J1028)-N($K1028),2))</f>
        <v/>
      </c>
      <c r="M1028" s="13">
        <f>IF(OR($A1028="",AND($J1028="",$K1028="")),"",MIN($J1028,$K1028))</f>
        <v/>
      </c>
      <c r="Q1028">
        <f>IF($A1028="","",$D1028&amp;"("&amp;SUBSTITUTE($E1028," ","")&amp;")")</f>
        <v/>
      </c>
      <c r="R1028">
        <f>IF($A1028="","",$B1028&amp;" - "&amp;$C1028)</f>
        <v/>
      </c>
      <c r="S1028">
        <f>IF($A1028="","",$R1028&amp;"|"&amp;$Q1028)</f>
        <v/>
      </c>
      <c r="T1028">
        <f>IF($A1028="","",$S1028&amp;"|"&amp;$F1028)</f>
        <v/>
      </c>
      <c r="U1028">
        <f>IF($A1028="","",$R1028&amp;"("&amp;$E1028&amp;")")</f>
        <v/>
      </c>
      <c r="V1028">
        <f>IF($A1028="","",$F1028&amp;"|"&amp;$U1028&amp;"|"&amp;$D1028)</f>
        <v/>
      </c>
      <c r="W1028">
        <f>IF($T1028="","",IF($X1028&gt;N($X1027),$X1028,""))</f>
        <v/>
      </c>
      <c r="X1028">
        <f>IF($T1028="",N($X1027),IF(MATCH($T1028,$T$6:$T$6005,0)=ROW()-5,N($X1027)+1,N($X1027)))</f>
        <v/>
      </c>
      <c r="Z1028">
        <f>IF($V1028="","",IF($AA1028&gt;N($AA1027),$AA1028,""))</f>
        <v/>
      </c>
      <c r="AA1028">
        <f>IF($V1028="",N($AA1027),IF(MATCH($V1028,$V$6:$V$6005,0)=ROW()-5,N($AA1027)+1,N($AA1027)))</f>
        <v/>
      </c>
    </row>
    <row r="1029" ht="21" customHeight="1" s="66">
      <c r="A1029" s="56" t="n"/>
      <c r="B1029" s="57" t="n"/>
      <c r="C1029" s="57" t="n"/>
      <c r="D1029" s="57" t="n"/>
      <c r="E1029" s="56" t="n"/>
      <c r="F1029" s="57" t="n"/>
      <c r="G1029" s="57" t="n"/>
      <c r="H1029" s="56" t="n"/>
      <c r="I1029" s="56" t="n"/>
      <c r="J1029" s="58" t="n"/>
      <c r="K1029" s="58" t="n"/>
      <c r="L1029" s="13">
        <f>IF(OR($A1029="",AND($J1029="",$K1029="")),"",ROUND(N($J1029)-N($K1029),2))</f>
        <v/>
      </c>
      <c r="M1029" s="13">
        <f>IF(OR($A1029="",AND($J1029="",$K1029="")),"",MIN($J1029,$K1029))</f>
        <v/>
      </c>
      <c r="Q1029">
        <f>IF($A1029="","",$D1029&amp;"("&amp;SUBSTITUTE($E1029," ","")&amp;")")</f>
        <v/>
      </c>
      <c r="R1029">
        <f>IF($A1029="","",$B1029&amp;" - "&amp;$C1029)</f>
        <v/>
      </c>
      <c r="S1029">
        <f>IF($A1029="","",$R1029&amp;"|"&amp;$Q1029)</f>
        <v/>
      </c>
      <c r="T1029">
        <f>IF($A1029="","",$S1029&amp;"|"&amp;$F1029)</f>
        <v/>
      </c>
      <c r="U1029">
        <f>IF($A1029="","",$R1029&amp;"("&amp;$E1029&amp;")")</f>
        <v/>
      </c>
      <c r="V1029">
        <f>IF($A1029="","",$F1029&amp;"|"&amp;$U1029&amp;"|"&amp;$D1029)</f>
        <v/>
      </c>
      <c r="W1029">
        <f>IF($T1029="","",IF($X1029&gt;N($X1028),$X1029,""))</f>
        <v/>
      </c>
      <c r="X1029">
        <f>IF($T1029="",N($X1028),IF(MATCH($T1029,$T$6:$T$6005,0)=ROW()-5,N($X1028)+1,N($X1028)))</f>
        <v/>
      </c>
      <c r="Z1029">
        <f>IF($V1029="","",IF($AA1029&gt;N($AA1028),$AA1029,""))</f>
        <v/>
      </c>
      <c r="AA1029">
        <f>IF($V1029="",N($AA1028),IF(MATCH($V1029,$V$6:$V$6005,0)=ROW()-5,N($AA1028)+1,N($AA1028)))</f>
        <v/>
      </c>
    </row>
    <row r="1030" ht="21" customHeight="1" s="66">
      <c r="A1030" s="56" t="n"/>
      <c r="B1030" s="57" t="n"/>
      <c r="C1030" s="57" t="n"/>
      <c r="D1030" s="57" t="n"/>
      <c r="E1030" s="56" t="n"/>
      <c r="F1030" s="57" t="n"/>
      <c r="G1030" s="57" t="n"/>
      <c r="H1030" s="56" t="n"/>
      <c r="I1030" s="56" t="n"/>
      <c r="J1030" s="58" t="n"/>
      <c r="K1030" s="58" t="n"/>
      <c r="L1030" s="13">
        <f>IF(OR($A1030="",AND($J1030="",$K1030="")),"",ROUND(N($J1030)-N($K1030),2))</f>
        <v/>
      </c>
      <c r="M1030" s="13">
        <f>IF(OR($A1030="",AND($J1030="",$K1030="")),"",MIN($J1030,$K1030))</f>
        <v/>
      </c>
      <c r="Q1030">
        <f>IF($A1030="","",$D1030&amp;"("&amp;SUBSTITUTE($E1030," ","")&amp;")")</f>
        <v/>
      </c>
      <c r="R1030">
        <f>IF($A1030="","",$B1030&amp;" - "&amp;$C1030)</f>
        <v/>
      </c>
      <c r="S1030">
        <f>IF($A1030="","",$R1030&amp;"|"&amp;$Q1030)</f>
        <v/>
      </c>
      <c r="T1030">
        <f>IF($A1030="","",$S1030&amp;"|"&amp;$F1030)</f>
        <v/>
      </c>
      <c r="U1030">
        <f>IF($A1030="","",$R1030&amp;"("&amp;$E1030&amp;")")</f>
        <v/>
      </c>
      <c r="V1030">
        <f>IF($A1030="","",$F1030&amp;"|"&amp;$U1030&amp;"|"&amp;$D1030)</f>
        <v/>
      </c>
      <c r="W1030">
        <f>IF($T1030="","",IF($X1030&gt;N($X1029),$X1030,""))</f>
        <v/>
      </c>
      <c r="X1030">
        <f>IF($T1030="",N($X1029),IF(MATCH($T1030,$T$6:$T$6005,0)=ROW()-5,N($X1029)+1,N($X1029)))</f>
        <v/>
      </c>
      <c r="Z1030">
        <f>IF($V1030="","",IF($AA1030&gt;N($AA1029),$AA1030,""))</f>
        <v/>
      </c>
      <c r="AA1030">
        <f>IF($V1030="",N($AA1029),IF(MATCH($V1030,$V$6:$V$6005,0)=ROW()-5,N($AA1029)+1,N($AA1029)))</f>
        <v/>
      </c>
    </row>
    <row r="1031" ht="21" customHeight="1" s="66">
      <c r="A1031" s="56" t="n"/>
      <c r="B1031" s="57" t="n"/>
      <c r="C1031" s="57" t="n"/>
      <c r="D1031" s="57" t="n"/>
      <c r="E1031" s="56" t="n"/>
      <c r="F1031" s="57" t="n"/>
      <c r="G1031" s="57" t="n"/>
      <c r="H1031" s="56" t="n"/>
      <c r="I1031" s="56" t="n"/>
      <c r="J1031" s="58" t="n"/>
      <c r="K1031" s="58" t="n"/>
      <c r="L1031" s="13">
        <f>IF(OR($A1031="",AND($J1031="",$K1031="")),"",ROUND(N($J1031)-N($K1031),2))</f>
        <v/>
      </c>
      <c r="M1031" s="13">
        <f>IF(OR($A1031="",AND($J1031="",$K1031="")),"",MIN($J1031,$K1031))</f>
        <v/>
      </c>
      <c r="Q1031">
        <f>IF($A1031="","",$D1031&amp;"("&amp;SUBSTITUTE($E1031," ","")&amp;")")</f>
        <v/>
      </c>
      <c r="R1031">
        <f>IF($A1031="","",$B1031&amp;" - "&amp;$C1031)</f>
        <v/>
      </c>
      <c r="S1031">
        <f>IF($A1031="","",$R1031&amp;"|"&amp;$Q1031)</f>
        <v/>
      </c>
      <c r="T1031">
        <f>IF($A1031="","",$S1031&amp;"|"&amp;$F1031)</f>
        <v/>
      </c>
      <c r="U1031">
        <f>IF($A1031="","",$R1031&amp;"("&amp;$E1031&amp;")")</f>
        <v/>
      </c>
      <c r="V1031">
        <f>IF($A1031="","",$F1031&amp;"|"&amp;$U1031&amp;"|"&amp;$D1031)</f>
        <v/>
      </c>
      <c r="W1031">
        <f>IF($T1031="","",IF($X1031&gt;N($X1030),$X1031,""))</f>
        <v/>
      </c>
      <c r="X1031">
        <f>IF($T1031="",N($X1030),IF(MATCH($T1031,$T$6:$T$6005,0)=ROW()-5,N($X1030)+1,N($X1030)))</f>
        <v/>
      </c>
      <c r="Z1031">
        <f>IF($V1031="","",IF($AA1031&gt;N($AA1030),$AA1031,""))</f>
        <v/>
      </c>
      <c r="AA1031">
        <f>IF($V1031="",N($AA1030),IF(MATCH($V1031,$V$6:$V$6005,0)=ROW()-5,N($AA1030)+1,N($AA1030)))</f>
        <v/>
      </c>
    </row>
    <row r="1032" ht="21" customHeight="1" s="66">
      <c r="A1032" s="56" t="n"/>
      <c r="B1032" s="57" t="n"/>
      <c r="C1032" s="57" t="n"/>
      <c r="D1032" s="57" t="n"/>
      <c r="E1032" s="56" t="n"/>
      <c r="F1032" s="57" t="n"/>
      <c r="G1032" s="57" t="n"/>
      <c r="H1032" s="56" t="n"/>
      <c r="I1032" s="56" t="n"/>
      <c r="J1032" s="58" t="n"/>
      <c r="K1032" s="58" t="n"/>
      <c r="L1032" s="13">
        <f>IF(OR($A1032="",AND($J1032="",$K1032="")),"",ROUND(N($J1032)-N($K1032),2))</f>
        <v/>
      </c>
      <c r="M1032" s="13">
        <f>IF(OR($A1032="",AND($J1032="",$K1032="")),"",MIN($J1032,$K1032))</f>
        <v/>
      </c>
      <c r="Q1032">
        <f>IF($A1032="","",$D1032&amp;"("&amp;SUBSTITUTE($E1032," ","")&amp;")")</f>
        <v/>
      </c>
      <c r="R1032">
        <f>IF($A1032="","",$B1032&amp;" - "&amp;$C1032)</f>
        <v/>
      </c>
      <c r="S1032">
        <f>IF($A1032="","",$R1032&amp;"|"&amp;$Q1032)</f>
        <v/>
      </c>
      <c r="T1032">
        <f>IF($A1032="","",$S1032&amp;"|"&amp;$F1032)</f>
        <v/>
      </c>
      <c r="U1032">
        <f>IF($A1032="","",$R1032&amp;"("&amp;$E1032&amp;")")</f>
        <v/>
      </c>
      <c r="V1032">
        <f>IF($A1032="","",$F1032&amp;"|"&amp;$U1032&amp;"|"&amp;$D1032)</f>
        <v/>
      </c>
      <c r="W1032">
        <f>IF($T1032="","",IF($X1032&gt;N($X1031),$X1032,""))</f>
        <v/>
      </c>
      <c r="X1032">
        <f>IF($T1032="",N($X1031),IF(MATCH($T1032,$T$6:$T$6005,0)=ROW()-5,N($X1031)+1,N($X1031)))</f>
        <v/>
      </c>
      <c r="Z1032">
        <f>IF($V1032="","",IF($AA1032&gt;N($AA1031),$AA1032,""))</f>
        <v/>
      </c>
      <c r="AA1032">
        <f>IF($V1032="",N($AA1031),IF(MATCH($V1032,$V$6:$V$6005,0)=ROW()-5,N($AA1031)+1,N($AA1031)))</f>
        <v/>
      </c>
    </row>
    <row r="1033" ht="21" customHeight="1" s="66">
      <c r="A1033" s="56" t="n"/>
      <c r="B1033" s="57" t="n"/>
      <c r="C1033" s="57" t="n"/>
      <c r="D1033" s="57" t="n"/>
      <c r="E1033" s="56" t="n"/>
      <c r="F1033" s="57" t="n"/>
      <c r="G1033" s="57" t="n"/>
      <c r="H1033" s="56" t="n"/>
      <c r="I1033" s="56" t="n"/>
      <c r="J1033" s="58" t="n"/>
      <c r="K1033" s="58" t="n"/>
      <c r="L1033" s="13">
        <f>IF(OR($A1033="",AND($J1033="",$K1033="")),"",ROUND(N($J1033)-N($K1033),2))</f>
        <v/>
      </c>
      <c r="M1033" s="13">
        <f>IF(OR($A1033="",AND($J1033="",$K1033="")),"",MIN($J1033,$K1033))</f>
        <v/>
      </c>
      <c r="Q1033">
        <f>IF($A1033="","",$D1033&amp;"("&amp;SUBSTITUTE($E1033," ","")&amp;")")</f>
        <v/>
      </c>
      <c r="R1033">
        <f>IF($A1033="","",$B1033&amp;" - "&amp;$C1033)</f>
        <v/>
      </c>
      <c r="S1033">
        <f>IF($A1033="","",$R1033&amp;"|"&amp;$Q1033)</f>
        <v/>
      </c>
      <c r="T1033">
        <f>IF($A1033="","",$S1033&amp;"|"&amp;$F1033)</f>
        <v/>
      </c>
      <c r="U1033">
        <f>IF($A1033="","",$R1033&amp;"("&amp;$E1033&amp;")")</f>
        <v/>
      </c>
      <c r="V1033">
        <f>IF($A1033="","",$F1033&amp;"|"&amp;$U1033&amp;"|"&amp;$D1033)</f>
        <v/>
      </c>
      <c r="W1033">
        <f>IF($T1033="","",IF($X1033&gt;N($X1032),$X1033,""))</f>
        <v/>
      </c>
      <c r="X1033">
        <f>IF($T1033="",N($X1032),IF(MATCH($T1033,$T$6:$T$6005,0)=ROW()-5,N($X1032)+1,N($X1032)))</f>
        <v/>
      </c>
      <c r="Z1033">
        <f>IF($V1033="","",IF($AA1033&gt;N($AA1032),$AA1033,""))</f>
        <v/>
      </c>
      <c r="AA1033">
        <f>IF($V1033="",N($AA1032),IF(MATCH($V1033,$V$6:$V$6005,0)=ROW()-5,N($AA1032)+1,N($AA1032)))</f>
        <v/>
      </c>
    </row>
    <row r="1034" ht="21" customHeight="1" s="66">
      <c r="A1034" s="56" t="n"/>
      <c r="B1034" s="57" t="n"/>
      <c r="C1034" s="57" t="n"/>
      <c r="D1034" s="57" t="n"/>
      <c r="E1034" s="56" t="n"/>
      <c r="F1034" s="57" t="n"/>
      <c r="G1034" s="57" t="n"/>
      <c r="H1034" s="56" t="n"/>
      <c r="I1034" s="56" t="n"/>
      <c r="J1034" s="58" t="n"/>
      <c r="K1034" s="58" t="n"/>
      <c r="L1034" s="13">
        <f>IF(OR($A1034="",AND($J1034="",$K1034="")),"",ROUND(N($J1034)-N($K1034),2))</f>
        <v/>
      </c>
      <c r="M1034" s="13">
        <f>IF(OR($A1034="",AND($J1034="",$K1034="")),"",MIN($J1034,$K1034))</f>
        <v/>
      </c>
      <c r="Q1034">
        <f>IF($A1034="","",$D1034&amp;"("&amp;SUBSTITUTE($E1034," ","")&amp;")")</f>
        <v/>
      </c>
      <c r="R1034">
        <f>IF($A1034="","",$B1034&amp;" - "&amp;$C1034)</f>
        <v/>
      </c>
      <c r="S1034">
        <f>IF($A1034="","",$R1034&amp;"|"&amp;$Q1034)</f>
        <v/>
      </c>
      <c r="T1034">
        <f>IF($A1034="","",$S1034&amp;"|"&amp;$F1034)</f>
        <v/>
      </c>
      <c r="U1034">
        <f>IF($A1034="","",$R1034&amp;"("&amp;$E1034&amp;")")</f>
        <v/>
      </c>
      <c r="V1034">
        <f>IF($A1034="","",$F1034&amp;"|"&amp;$U1034&amp;"|"&amp;$D1034)</f>
        <v/>
      </c>
      <c r="W1034">
        <f>IF($T1034="","",IF($X1034&gt;N($X1033),$X1034,""))</f>
        <v/>
      </c>
      <c r="X1034">
        <f>IF($T1034="",N($X1033),IF(MATCH($T1034,$T$6:$T$6005,0)=ROW()-5,N($X1033)+1,N($X1033)))</f>
        <v/>
      </c>
      <c r="Z1034">
        <f>IF($V1034="","",IF($AA1034&gt;N($AA1033),$AA1034,""))</f>
        <v/>
      </c>
      <c r="AA1034">
        <f>IF($V1034="",N($AA1033),IF(MATCH($V1034,$V$6:$V$6005,0)=ROW()-5,N($AA1033)+1,N($AA1033)))</f>
        <v/>
      </c>
    </row>
    <row r="1035" ht="21" customHeight="1" s="66">
      <c r="A1035" s="56" t="n"/>
      <c r="B1035" s="57" t="n"/>
      <c r="C1035" s="57" t="n"/>
      <c r="D1035" s="57" t="n"/>
      <c r="E1035" s="56" t="n"/>
      <c r="F1035" s="57" t="n"/>
      <c r="G1035" s="57" t="n"/>
      <c r="H1035" s="56" t="n"/>
      <c r="I1035" s="56" t="n"/>
      <c r="J1035" s="58" t="n"/>
      <c r="K1035" s="58" t="n"/>
      <c r="L1035" s="13">
        <f>IF(OR($A1035="",AND($J1035="",$K1035="")),"",ROUND(N($J1035)-N($K1035),2))</f>
        <v/>
      </c>
      <c r="M1035" s="13">
        <f>IF(OR($A1035="",AND($J1035="",$K1035="")),"",MIN($J1035,$K1035))</f>
        <v/>
      </c>
      <c r="Q1035">
        <f>IF($A1035="","",$D1035&amp;"("&amp;SUBSTITUTE($E1035," ","")&amp;")")</f>
        <v/>
      </c>
      <c r="R1035">
        <f>IF($A1035="","",$B1035&amp;" - "&amp;$C1035)</f>
        <v/>
      </c>
      <c r="S1035">
        <f>IF($A1035="","",$R1035&amp;"|"&amp;$Q1035)</f>
        <v/>
      </c>
      <c r="T1035">
        <f>IF($A1035="","",$S1035&amp;"|"&amp;$F1035)</f>
        <v/>
      </c>
      <c r="U1035">
        <f>IF($A1035="","",$R1035&amp;"("&amp;$E1035&amp;")")</f>
        <v/>
      </c>
      <c r="V1035">
        <f>IF($A1035="","",$F1035&amp;"|"&amp;$U1035&amp;"|"&amp;$D1035)</f>
        <v/>
      </c>
      <c r="W1035">
        <f>IF($T1035="","",IF($X1035&gt;N($X1034),$X1035,""))</f>
        <v/>
      </c>
      <c r="X1035">
        <f>IF($T1035="",N($X1034),IF(MATCH($T1035,$T$6:$T$6005,0)=ROW()-5,N($X1034)+1,N($X1034)))</f>
        <v/>
      </c>
      <c r="Z1035">
        <f>IF($V1035="","",IF($AA1035&gt;N($AA1034),$AA1035,""))</f>
        <v/>
      </c>
      <c r="AA1035">
        <f>IF($V1035="",N($AA1034),IF(MATCH($V1035,$V$6:$V$6005,0)=ROW()-5,N($AA1034)+1,N($AA1034)))</f>
        <v/>
      </c>
    </row>
    <row r="1036" ht="21" customHeight="1" s="66">
      <c r="A1036" s="56" t="n"/>
      <c r="B1036" s="57" t="n"/>
      <c r="C1036" s="57" t="n"/>
      <c r="D1036" s="57" t="n"/>
      <c r="E1036" s="56" t="n"/>
      <c r="F1036" s="57" t="n"/>
      <c r="G1036" s="57" t="n"/>
      <c r="H1036" s="56" t="n"/>
      <c r="I1036" s="56" t="n"/>
      <c r="J1036" s="58" t="n"/>
      <c r="K1036" s="58" t="n"/>
      <c r="L1036" s="13">
        <f>IF(OR($A1036="",AND($J1036="",$K1036="")),"",ROUND(N($J1036)-N($K1036),2))</f>
        <v/>
      </c>
      <c r="M1036" s="13">
        <f>IF(OR($A1036="",AND($J1036="",$K1036="")),"",MIN($J1036,$K1036))</f>
        <v/>
      </c>
      <c r="Q1036">
        <f>IF($A1036="","",$D1036&amp;"("&amp;SUBSTITUTE($E1036," ","")&amp;")")</f>
        <v/>
      </c>
      <c r="R1036">
        <f>IF($A1036="","",$B1036&amp;" - "&amp;$C1036)</f>
        <v/>
      </c>
      <c r="S1036">
        <f>IF($A1036="","",$R1036&amp;"|"&amp;$Q1036)</f>
        <v/>
      </c>
      <c r="T1036">
        <f>IF($A1036="","",$S1036&amp;"|"&amp;$F1036)</f>
        <v/>
      </c>
      <c r="U1036">
        <f>IF($A1036="","",$R1036&amp;"("&amp;$E1036&amp;")")</f>
        <v/>
      </c>
      <c r="V1036">
        <f>IF($A1036="","",$F1036&amp;"|"&amp;$U1036&amp;"|"&amp;$D1036)</f>
        <v/>
      </c>
      <c r="W1036">
        <f>IF($T1036="","",IF($X1036&gt;N($X1035),$X1036,""))</f>
        <v/>
      </c>
      <c r="X1036">
        <f>IF($T1036="",N($X1035),IF(MATCH($T1036,$T$6:$T$6005,0)=ROW()-5,N($X1035)+1,N($X1035)))</f>
        <v/>
      </c>
      <c r="Z1036">
        <f>IF($V1036="","",IF($AA1036&gt;N($AA1035),$AA1036,""))</f>
        <v/>
      </c>
      <c r="AA1036">
        <f>IF($V1036="",N($AA1035),IF(MATCH($V1036,$V$6:$V$6005,0)=ROW()-5,N($AA1035)+1,N($AA1035)))</f>
        <v/>
      </c>
    </row>
    <row r="1037" ht="21" customHeight="1" s="66">
      <c r="A1037" s="56" t="n"/>
      <c r="B1037" s="57" t="n"/>
      <c r="C1037" s="57" t="n"/>
      <c r="D1037" s="57" t="n"/>
      <c r="E1037" s="56" t="n"/>
      <c r="F1037" s="57" t="n"/>
      <c r="G1037" s="57" t="n"/>
      <c r="H1037" s="56" t="n"/>
      <c r="I1037" s="56" t="n"/>
      <c r="J1037" s="58" t="n"/>
      <c r="K1037" s="58" t="n"/>
      <c r="L1037" s="13">
        <f>IF(OR($A1037="",AND($J1037="",$K1037="")),"",ROUND(N($J1037)-N($K1037),2))</f>
        <v/>
      </c>
      <c r="M1037" s="13">
        <f>IF(OR($A1037="",AND($J1037="",$K1037="")),"",MIN($J1037,$K1037))</f>
        <v/>
      </c>
      <c r="Q1037">
        <f>IF($A1037="","",$D1037&amp;"("&amp;SUBSTITUTE($E1037," ","")&amp;")")</f>
        <v/>
      </c>
      <c r="R1037">
        <f>IF($A1037="","",$B1037&amp;" - "&amp;$C1037)</f>
        <v/>
      </c>
      <c r="S1037">
        <f>IF($A1037="","",$R1037&amp;"|"&amp;$Q1037)</f>
        <v/>
      </c>
      <c r="T1037">
        <f>IF($A1037="","",$S1037&amp;"|"&amp;$F1037)</f>
        <v/>
      </c>
      <c r="U1037">
        <f>IF($A1037="","",$R1037&amp;"("&amp;$E1037&amp;")")</f>
        <v/>
      </c>
      <c r="V1037">
        <f>IF($A1037="","",$F1037&amp;"|"&amp;$U1037&amp;"|"&amp;$D1037)</f>
        <v/>
      </c>
      <c r="W1037">
        <f>IF($T1037="","",IF($X1037&gt;N($X1036),$X1037,""))</f>
        <v/>
      </c>
      <c r="X1037">
        <f>IF($T1037="",N($X1036),IF(MATCH($T1037,$T$6:$T$6005,0)=ROW()-5,N($X1036)+1,N($X1036)))</f>
        <v/>
      </c>
      <c r="Z1037">
        <f>IF($V1037="","",IF($AA1037&gt;N($AA1036),$AA1037,""))</f>
        <v/>
      </c>
      <c r="AA1037">
        <f>IF($V1037="",N($AA1036),IF(MATCH($V1037,$V$6:$V$6005,0)=ROW()-5,N($AA1036)+1,N($AA1036)))</f>
        <v/>
      </c>
    </row>
    <row r="1038" ht="21" customHeight="1" s="66">
      <c r="A1038" s="56" t="n"/>
      <c r="B1038" s="57" t="n"/>
      <c r="C1038" s="57" t="n"/>
      <c r="D1038" s="57" t="n"/>
      <c r="E1038" s="56" t="n"/>
      <c r="F1038" s="57" t="n"/>
      <c r="G1038" s="57" t="n"/>
      <c r="H1038" s="56" t="n"/>
      <c r="I1038" s="56" t="n"/>
      <c r="J1038" s="58" t="n"/>
      <c r="K1038" s="58" t="n"/>
      <c r="L1038" s="13">
        <f>IF(OR($A1038="",AND($J1038="",$K1038="")),"",ROUND(N($J1038)-N($K1038),2))</f>
        <v/>
      </c>
      <c r="M1038" s="13">
        <f>IF(OR($A1038="",AND($J1038="",$K1038="")),"",MIN($J1038,$K1038))</f>
        <v/>
      </c>
      <c r="Q1038">
        <f>IF($A1038="","",$D1038&amp;"("&amp;SUBSTITUTE($E1038," ","")&amp;")")</f>
        <v/>
      </c>
      <c r="R1038">
        <f>IF($A1038="","",$B1038&amp;" - "&amp;$C1038)</f>
        <v/>
      </c>
      <c r="S1038">
        <f>IF($A1038="","",$R1038&amp;"|"&amp;$Q1038)</f>
        <v/>
      </c>
      <c r="T1038">
        <f>IF($A1038="","",$S1038&amp;"|"&amp;$F1038)</f>
        <v/>
      </c>
      <c r="U1038">
        <f>IF($A1038="","",$R1038&amp;"("&amp;$E1038&amp;")")</f>
        <v/>
      </c>
      <c r="V1038">
        <f>IF($A1038="","",$F1038&amp;"|"&amp;$U1038&amp;"|"&amp;$D1038)</f>
        <v/>
      </c>
      <c r="W1038">
        <f>IF($T1038="","",IF($X1038&gt;N($X1037),$X1038,""))</f>
        <v/>
      </c>
      <c r="X1038">
        <f>IF($T1038="",N($X1037),IF(MATCH($T1038,$T$6:$T$6005,0)=ROW()-5,N($X1037)+1,N($X1037)))</f>
        <v/>
      </c>
      <c r="Z1038">
        <f>IF($V1038="","",IF($AA1038&gt;N($AA1037),$AA1038,""))</f>
        <v/>
      </c>
      <c r="AA1038">
        <f>IF($V1038="",N($AA1037),IF(MATCH($V1038,$V$6:$V$6005,0)=ROW()-5,N($AA1037)+1,N($AA1037)))</f>
        <v/>
      </c>
    </row>
    <row r="1039" ht="21" customHeight="1" s="66">
      <c r="A1039" s="56" t="n"/>
      <c r="B1039" s="57" t="n"/>
      <c r="C1039" s="57" t="n"/>
      <c r="D1039" s="57" t="n"/>
      <c r="E1039" s="56" t="n"/>
      <c r="F1039" s="57" t="n"/>
      <c r="G1039" s="57" t="n"/>
      <c r="H1039" s="56" t="n"/>
      <c r="I1039" s="56" t="n"/>
      <c r="J1039" s="58" t="n"/>
      <c r="K1039" s="58" t="n"/>
      <c r="L1039" s="13">
        <f>IF(OR($A1039="",AND($J1039="",$K1039="")),"",ROUND(N($J1039)-N($K1039),2))</f>
        <v/>
      </c>
      <c r="M1039" s="13">
        <f>IF(OR($A1039="",AND($J1039="",$K1039="")),"",MIN($J1039,$K1039))</f>
        <v/>
      </c>
      <c r="Q1039">
        <f>IF($A1039="","",$D1039&amp;"("&amp;SUBSTITUTE($E1039," ","")&amp;")")</f>
        <v/>
      </c>
      <c r="R1039">
        <f>IF($A1039="","",$B1039&amp;" - "&amp;$C1039)</f>
        <v/>
      </c>
      <c r="S1039">
        <f>IF($A1039="","",$R1039&amp;"|"&amp;$Q1039)</f>
        <v/>
      </c>
      <c r="T1039">
        <f>IF($A1039="","",$S1039&amp;"|"&amp;$F1039)</f>
        <v/>
      </c>
      <c r="U1039">
        <f>IF($A1039="","",$R1039&amp;"("&amp;$E1039&amp;")")</f>
        <v/>
      </c>
      <c r="V1039">
        <f>IF($A1039="","",$F1039&amp;"|"&amp;$U1039&amp;"|"&amp;$D1039)</f>
        <v/>
      </c>
      <c r="W1039">
        <f>IF($T1039="","",IF($X1039&gt;N($X1038),$X1039,""))</f>
        <v/>
      </c>
      <c r="X1039">
        <f>IF($T1039="",N($X1038),IF(MATCH($T1039,$T$6:$T$6005,0)=ROW()-5,N($X1038)+1,N($X1038)))</f>
        <v/>
      </c>
      <c r="Z1039">
        <f>IF($V1039="","",IF($AA1039&gt;N($AA1038),$AA1039,""))</f>
        <v/>
      </c>
      <c r="AA1039">
        <f>IF($V1039="",N($AA1038),IF(MATCH($V1039,$V$6:$V$6005,0)=ROW()-5,N($AA1038)+1,N($AA1038)))</f>
        <v/>
      </c>
    </row>
    <row r="1040" ht="21" customHeight="1" s="66">
      <c r="A1040" s="56" t="n"/>
      <c r="B1040" s="57" t="n"/>
      <c r="C1040" s="57" t="n"/>
      <c r="D1040" s="57" t="n"/>
      <c r="E1040" s="56" t="n"/>
      <c r="F1040" s="57" t="n"/>
      <c r="G1040" s="57" t="n"/>
      <c r="H1040" s="56" t="n"/>
      <c r="I1040" s="56" t="n"/>
      <c r="J1040" s="58" t="n"/>
      <c r="K1040" s="58" t="n"/>
      <c r="L1040" s="13">
        <f>IF(OR($A1040="",AND($J1040="",$K1040="")),"",ROUND(N($J1040)-N($K1040),2))</f>
        <v/>
      </c>
      <c r="M1040" s="13">
        <f>IF(OR($A1040="",AND($J1040="",$K1040="")),"",MIN($J1040,$K1040))</f>
        <v/>
      </c>
      <c r="Q1040">
        <f>IF($A1040="","",$D1040&amp;"("&amp;SUBSTITUTE($E1040," ","")&amp;")")</f>
        <v/>
      </c>
      <c r="R1040">
        <f>IF($A1040="","",$B1040&amp;" - "&amp;$C1040)</f>
        <v/>
      </c>
      <c r="S1040">
        <f>IF($A1040="","",$R1040&amp;"|"&amp;$Q1040)</f>
        <v/>
      </c>
      <c r="T1040">
        <f>IF($A1040="","",$S1040&amp;"|"&amp;$F1040)</f>
        <v/>
      </c>
      <c r="U1040">
        <f>IF($A1040="","",$R1040&amp;"("&amp;$E1040&amp;")")</f>
        <v/>
      </c>
      <c r="V1040">
        <f>IF($A1040="","",$F1040&amp;"|"&amp;$U1040&amp;"|"&amp;$D1040)</f>
        <v/>
      </c>
      <c r="W1040">
        <f>IF($T1040="","",IF($X1040&gt;N($X1039),$X1040,""))</f>
        <v/>
      </c>
      <c r="X1040">
        <f>IF($T1040="",N($X1039),IF(MATCH($T1040,$T$6:$T$6005,0)=ROW()-5,N($X1039)+1,N($X1039)))</f>
        <v/>
      </c>
      <c r="Z1040">
        <f>IF($V1040="","",IF($AA1040&gt;N($AA1039),$AA1040,""))</f>
        <v/>
      </c>
      <c r="AA1040">
        <f>IF($V1040="",N($AA1039),IF(MATCH($V1040,$V$6:$V$6005,0)=ROW()-5,N($AA1039)+1,N($AA1039)))</f>
        <v/>
      </c>
    </row>
    <row r="1041" ht="21" customHeight="1" s="66">
      <c r="A1041" s="56" t="n"/>
      <c r="B1041" s="57" t="n"/>
      <c r="C1041" s="57" t="n"/>
      <c r="D1041" s="57" t="n"/>
      <c r="E1041" s="56" t="n"/>
      <c r="F1041" s="57" t="n"/>
      <c r="G1041" s="57" t="n"/>
      <c r="H1041" s="56" t="n"/>
      <c r="I1041" s="56" t="n"/>
      <c r="J1041" s="58" t="n"/>
      <c r="K1041" s="58" t="n"/>
      <c r="L1041" s="13">
        <f>IF(OR($A1041="",AND($J1041="",$K1041="")),"",ROUND(N($J1041)-N($K1041),2))</f>
        <v/>
      </c>
      <c r="M1041" s="13">
        <f>IF(OR($A1041="",AND($J1041="",$K1041="")),"",MIN($J1041,$K1041))</f>
        <v/>
      </c>
      <c r="Q1041">
        <f>IF($A1041="","",$D1041&amp;"("&amp;SUBSTITUTE($E1041," ","")&amp;")")</f>
        <v/>
      </c>
      <c r="R1041">
        <f>IF($A1041="","",$B1041&amp;" - "&amp;$C1041)</f>
        <v/>
      </c>
      <c r="S1041">
        <f>IF($A1041="","",$R1041&amp;"|"&amp;$Q1041)</f>
        <v/>
      </c>
      <c r="T1041">
        <f>IF($A1041="","",$S1041&amp;"|"&amp;$F1041)</f>
        <v/>
      </c>
      <c r="U1041">
        <f>IF($A1041="","",$R1041&amp;"("&amp;$E1041&amp;")")</f>
        <v/>
      </c>
      <c r="V1041">
        <f>IF($A1041="","",$F1041&amp;"|"&amp;$U1041&amp;"|"&amp;$D1041)</f>
        <v/>
      </c>
      <c r="W1041">
        <f>IF($T1041="","",IF($X1041&gt;N($X1040),$X1041,""))</f>
        <v/>
      </c>
      <c r="X1041">
        <f>IF($T1041="",N($X1040),IF(MATCH($T1041,$T$6:$T$6005,0)=ROW()-5,N($X1040)+1,N($X1040)))</f>
        <v/>
      </c>
      <c r="Z1041">
        <f>IF($V1041="","",IF($AA1041&gt;N($AA1040),$AA1041,""))</f>
        <v/>
      </c>
      <c r="AA1041">
        <f>IF($V1041="",N($AA1040),IF(MATCH($V1041,$V$6:$V$6005,0)=ROW()-5,N($AA1040)+1,N($AA1040)))</f>
        <v/>
      </c>
    </row>
    <row r="1042" ht="21" customHeight="1" s="66">
      <c r="A1042" s="56" t="n"/>
      <c r="B1042" s="57" t="n"/>
      <c r="C1042" s="57" t="n"/>
      <c r="D1042" s="57" t="n"/>
      <c r="E1042" s="56" t="n"/>
      <c r="F1042" s="57" t="n"/>
      <c r="G1042" s="57" t="n"/>
      <c r="H1042" s="56" t="n"/>
      <c r="I1042" s="56" t="n"/>
      <c r="J1042" s="58" t="n"/>
      <c r="K1042" s="58" t="n"/>
      <c r="L1042" s="13">
        <f>IF(OR($A1042="",AND($J1042="",$K1042="")),"",ROUND(N($J1042)-N($K1042),2))</f>
        <v/>
      </c>
      <c r="M1042" s="13">
        <f>IF(OR($A1042="",AND($J1042="",$K1042="")),"",MIN($J1042,$K1042))</f>
        <v/>
      </c>
      <c r="Q1042">
        <f>IF($A1042="","",$D1042&amp;"("&amp;SUBSTITUTE($E1042," ","")&amp;")")</f>
        <v/>
      </c>
      <c r="R1042">
        <f>IF($A1042="","",$B1042&amp;" - "&amp;$C1042)</f>
        <v/>
      </c>
      <c r="S1042">
        <f>IF($A1042="","",$R1042&amp;"|"&amp;$Q1042)</f>
        <v/>
      </c>
      <c r="T1042">
        <f>IF($A1042="","",$S1042&amp;"|"&amp;$F1042)</f>
        <v/>
      </c>
      <c r="U1042">
        <f>IF($A1042="","",$R1042&amp;"("&amp;$E1042&amp;")")</f>
        <v/>
      </c>
      <c r="V1042">
        <f>IF($A1042="","",$F1042&amp;"|"&amp;$U1042&amp;"|"&amp;$D1042)</f>
        <v/>
      </c>
      <c r="W1042">
        <f>IF($T1042="","",IF($X1042&gt;N($X1041),$X1042,""))</f>
        <v/>
      </c>
      <c r="X1042">
        <f>IF($T1042="",N($X1041),IF(MATCH($T1042,$T$6:$T$6005,0)=ROW()-5,N($X1041)+1,N($X1041)))</f>
        <v/>
      </c>
      <c r="Z1042">
        <f>IF($V1042="","",IF($AA1042&gt;N($AA1041),$AA1042,""))</f>
        <v/>
      </c>
      <c r="AA1042">
        <f>IF($V1042="",N($AA1041),IF(MATCH($V1042,$V$6:$V$6005,0)=ROW()-5,N($AA1041)+1,N($AA1041)))</f>
        <v/>
      </c>
    </row>
    <row r="1043" ht="21" customHeight="1" s="66">
      <c r="A1043" s="56" t="n"/>
      <c r="B1043" s="57" t="n"/>
      <c r="C1043" s="57" t="n"/>
      <c r="D1043" s="57" t="n"/>
      <c r="E1043" s="56" t="n"/>
      <c r="F1043" s="57" t="n"/>
      <c r="G1043" s="57" t="n"/>
      <c r="H1043" s="56" t="n"/>
      <c r="I1043" s="56" t="n"/>
      <c r="J1043" s="58" t="n"/>
      <c r="K1043" s="58" t="n"/>
      <c r="L1043" s="13">
        <f>IF(OR($A1043="",AND($J1043="",$K1043="")),"",ROUND(N($J1043)-N($K1043),2))</f>
        <v/>
      </c>
      <c r="M1043" s="13">
        <f>IF(OR($A1043="",AND($J1043="",$K1043="")),"",MIN($J1043,$K1043))</f>
        <v/>
      </c>
      <c r="Q1043">
        <f>IF($A1043="","",$D1043&amp;"("&amp;SUBSTITUTE($E1043," ","")&amp;")")</f>
        <v/>
      </c>
      <c r="R1043">
        <f>IF($A1043="","",$B1043&amp;" - "&amp;$C1043)</f>
        <v/>
      </c>
      <c r="S1043">
        <f>IF($A1043="","",$R1043&amp;"|"&amp;$Q1043)</f>
        <v/>
      </c>
      <c r="T1043">
        <f>IF($A1043="","",$S1043&amp;"|"&amp;$F1043)</f>
        <v/>
      </c>
      <c r="U1043">
        <f>IF($A1043="","",$R1043&amp;"("&amp;$E1043&amp;")")</f>
        <v/>
      </c>
      <c r="V1043">
        <f>IF($A1043="","",$F1043&amp;"|"&amp;$U1043&amp;"|"&amp;$D1043)</f>
        <v/>
      </c>
      <c r="W1043">
        <f>IF($T1043="","",IF($X1043&gt;N($X1042),$X1043,""))</f>
        <v/>
      </c>
      <c r="X1043">
        <f>IF($T1043="",N($X1042),IF(MATCH($T1043,$T$6:$T$6005,0)=ROW()-5,N($X1042)+1,N($X1042)))</f>
        <v/>
      </c>
      <c r="Z1043">
        <f>IF($V1043="","",IF($AA1043&gt;N($AA1042),$AA1043,""))</f>
        <v/>
      </c>
      <c r="AA1043">
        <f>IF($V1043="",N($AA1042),IF(MATCH($V1043,$V$6:$V$6005,0)=ROW()-5,N($AA1042)+1,N($AA1042)))</f>
        <v/>
      </c>
    </row>
    <row r="1044" ht="21" customHeight="1" s="66">
      <c r="A1044" s="56" t="n"/>
      <c r="B1044" s="57" t="n"/>
      <c r="C1044" s="57" t="n"/>
      <c r="D1044" s="57" t="n"/>
      <c r="E1044" s="56" t="n"/>
      <c r="F1044" s="57" t="n"/>
      <c r="G1044" s="57" t="n"/>
      <c r="H1044" s="56" t="n"/>
      <c r="I1044" s="56" t="n"/>
      <c r="J1044" s="58" t="n"/>
      <c r="K1044" s="58" t="n"/>
      <c r="L1044" s="13">
        <f>IF(OR($A1044="",AND($J1044="",$K1044="")),"",ROUND(N($J1044)-N($K1044),2))</f>
        <v/>
      </c>
      <c r="M1044" s="13">
        <f>IF(OR($A1044="",AND($J1044="",$K1044="")),"",MIN($J1044,$K1044))</f>
        <v/>
      </c>
      <c r="Q1044">
        <f>IF($A1044="","",$D1044&amp;"("&amp;SUBSTITUTE($E1044," ","")&amp;")")</f>
        <v/>
      </c>
      <c r="R1044">
        <f>IF($A1044="","",$B1044&amp;" - "&amp;$C1044)</f>
        <v/>
      </c>
      <c r="S1044">
        <f>IF($A1044="","",$R1044&amp;"|"&amp;$Q1044)</f>
        <v/>
      </c>
      <c r="T1044">
        <f>IF($A1044="","",$S1044&amp;"|"&amp;$F1044)</f>
        <v/>
      </c>
      <c r="U1044">
        <f>IF($A1044="","",$R1044&amp;"("&amp;$E1044&amp;")")</f>
        <v/>
      </c>
      <c r="V1044">
        <f>IF($A1044="","",$F1044&amp;"|"&amp;$U1044&amp;"|"&amp;$D1044)</f>
        <v/>
      </c>
      <c r="W1044">
        <f>IF($T1044="","",IF($X1044&gt;N($X1043),$X1044,""))</f>
        <v/>
      </c>
      <c r="X1044">
        <f>IF($T1044="",N($X1043),IF(MATCH($T1044,$T$6:$T$6005,0)=ROW()-5,N($X1043)+1,N($X1043)))</f>
        <v/>
      </c>
      <c r="Z1044">
        <f>IF($V1044="","",IF($AA1044&gt;N($AA1043),$AA1044,""))</f>
        <v/>
      </c>
      <c r="AA1044">
        <f>IF($V1044="",N($AA1043),IF(MATCH($V1044,$V$6:$V$6005,0)=ROW()-5,N($AA1043)+1,N($AA1043)))</f>
        <v/>
      </c>
    </row>
    <row r="1045" ht="21" customHeight="1" s="66">
      <c r="A1045" s="56" t="n"/>
      <c r="B1045" s="57" t="n"/>
      <c r="C1045" s="57" t="n"/>
      <c r="D1045" s="57" t="n"/>
      <c r="E1045" s="56" t="n"/>
      <c r="F1045" s="57" t="n"/>
      <c r="G1045" s="57" t="n"/>
      <c r="H1045" s="56" t="n"/>
      <c r="I1045" s="56" t="n"/>
      <c r="J1045" s="58" t="n"/>
      <c r="K1045" s="58" t="n"/>
      <c r="L1045" s="13">
        <f>IF(OR($A1045="",AND($J1045="",$K1045="")),"",ROUND(N($J1045)-N($K1045),2))</f>
        <v/>
      </c>
      <c r="M1045" s="13">
        <f>IF(OR($A1045="",AND($J1045="",$K1045="")),"",MIN($J1045,$K1045))</f>
        <v/>
      </c>
      <c r="Q1045">
        <f>IF($A1045="","",$D1045&amp;"("&amp;SUBSTITUTE($E1045," ","")&amp;")")</f>
        <v/>
      </c>
      <c r="R1045">
        <f>IF($A1045="","",$B1045&amp;" - "&amp;$C1045)</f>
        <v/>
      </c>
      <c r="S1045">
        <f>IF($A1045="","",$R1045&amp;"|"&amp;$Q1045)</f>
        <v/>
      </c>
      <c r="T1045">
        <f>IF($A1045="","",$S1045&amp;"|"&amp;$F1045)</f>
        <v/>
      </c>
      <c r="U1045">
        <f>IF($A1045="","",$R1045&amp;"("&amp;$E1045&amp;")")</f>
        <v/>
      </c>
      <c r="V1045">
        <f>IF($A1045="","",$F1045&amp;"|"&amp;$U1045&amp;"|"&amp;$D1045)</f>
        <v/>
      </c>
      <c r="W1045">
        <f>IF($T1045="","",IF($X1045&gt;N($X1044),$X1045,""))</f>
        <v/>
      </c>
      <c r="X1045">
        <f>IF($T1045="",N($X1044),IF(MATCH($T1045,$T$6:$T$6005,0)=ROW()-5,N($X1044)+1,N($X1044)))</f>
        <v/>
      </c>
      <c r="Z1045">
        <f>IF($V1045="","",IF($AA1045&gt;N($AA1044),$AA1045,""))</f>
        <v/>
      </c>
      <c r="AA1045">
        <f>IF($V1045="",N($AA1044),IF(MATCH($V1045,$V$6:$V$6005,0)=ROW()-5,N($AA1044)+1,N($AA1044)))</f>
        <v/>
      </c>
    </row>
    <row r="1046" ht="21" customHeight="1" s="66">
      <c r="A1046" s="56" t="n"/>
      <c r="B1046" s="57" t="n"/>
      <c r="C1046" s="57" t="n"/>
      <c r="D1046" s="57" t="n"/>
      <c r="E1046" s="56" t="n"/>
      <c r="F1046" s="57" t="n"/>
      <c r="G1046" s="57" t="n"/>
      <c r="H1046" s="56" t="n"/>
      <c r="I1046" s="56" t="n"/>
      <c r="J1046" s="58" t="n"/>
      <c r="K1046" s="58" t="n"/>
      <c r="L1046" s="13">
        <f>IF(OR($A1046="",AND($J1046="",$K1046="")),"",ROUND(N($J1046)-N($K1046),2))</f>
        <v/>
      </c>
      <c r="M1046" s="13">
        <f>IF(OR($A1046="",AND($J1046="",$K1046="")),"",MIN($J1046,$K1046))</f>
        <v/>
      </c>
      <c r="Q1046">
        <f>IF($A1046="","",$D1046&amp;"("&amp;SUBSTITUTE($E1046," ","")&amp;")")</f>
        <v/>
      </c>
      <c r="R1046">
        <f>IF($A1046="","",$B1046&amp;" - "&amp;$C1046)</f>
        <v/>
      </c>
      <c r="S1046">
        <f>IF($A1046="","",$R1046&amp;"|"&amp;$Q1046)</f>
        <v/>
      </c>
      <c r="T1046">
        <f>IF($A1046="","",$S1046&amp;"|"&amp;$F1046)</f>
        <v/>
      </c>
      <c r="U1046">
        <f>IF($A1046="","",$R1046&amp;"("&amp;$E1046&amp;")")</f>
        <v/>
      </c>
      <c r="V1046">
        <f>IF($A1046="","",$F1046&amp;"|"&amp;$U1046&amp;"|"&amp;$D1046)</f>
        <v/>
      </c>
      <c r="W1046">
        <f>IF($T1046="","",IF($X1046&gt;N($X1045),$X1046,""))</f>
        <v/>
      </c>
      <c r="X1046">
        <f>IF($T1046="",N($X1045),IF(MATCH($T1046,$T$6:$T$6005,0)=ROW()-5,N($X1045)+1,N($X1045)))</f>
        <v/>
      </c>
      <c r="Z1046">
        <f>IF($V1046="","",IF($AA1046&gt;N($AA1045),$AA1046,""))</f>
        <v/>
      </c>
      <c r="AA1046">
        <f>IF($V1046="",N($AA1045),IF(MATCH($V1046,$V$6:$V$6005,0)=ROW()-5,N($AA1045)+1,N($AA1045)))</f>
        <v/>
      </c>
    </row>
    <row r="1047" ht="21" customHeight="1" s="66">
      <c r="A1047" s="56" t="n"/>
      <c r="B1047" s="57" t="n"/>
      <c r="C1047" s="57" t="n"/>
      <c r="D1047" s="57" t="n"/>
      <c r="E1047" s="56" t="n"/>
      <c r="F1047" s="57" t="n"/>
      <c r="G1047" s="57" t="n"/>
      <c r="H1047" s="56" t="n"/>
      <c r="I1047" s="56" t="n"/>
      <c r="J1047" s="58" t="n"/>
      <c r="K1047" s="58" t="n"/>
      <c r="L1047" s="13">
        <f>IF(OR($A1047="",AND($J1047="",$K1047="")),"",ROUND(N($J1047)-N($K1047),2))</f>
        <v/>
      </c>
      <c r="M1047" s="13">
        <f>IF(OR($A1047="",AND($J1047="",$K1047="")),"",MIN($J1047,$K1047))</f>
        <v/>
      </c>
      <c r="Q1047">
        <f>IF($A1047="","",$D1047&amp;"("&amp;SUBSTITUTE($E1047," ","")&amp;")")</f>
        <v/>
      </c>
      <c r="R1047">
        <f>IF($A1047="","",$B1047&amp;" - "&amp;$C1047)</f>
        <v/>
      </c>
      <c r="S1047">
        <f>IF($A1047="","",$R1047&amp;"|"&amp;$Q1047)</f>
        <v/>
      </c>
      <c r="T1047">
        <f>IF($A1047="","",$S1047&amp;"|"&amp;$F1047)</f>
        <v/>
      </c>
      <c r="U1047">
        <f>IF($A1047="","",$R1047&amp;"("&amp;$E1047&amp;")")</f>
        <v/>
      </c>
      <c r="V1047">
        <f>IF($A1047="","",$F1047&amp;"|"&amp;$U1047&amp;"|"&amp;$D1047)</f>
        <v/>
      </c>
      <c r="W1047">
        <f>IF($T1047="","",IF($X1047&gt;N($X1046),$X1047,""))</f>
        <v/>
      </c>
      <c r="X1047">
        <f>IF($T1047="",N($X1046),IF(MATCH($T1047,$T$6:$T$6005,0)=ROW()-5,N($X1046)+1,N($X1046)))</f>
        <v/>
      </c>
      <c r="Z1047">
        <f>IF($V1047="","",IF($AA1047&gt;N($AA1046),$AA1047,""))</f>
        <v/>
      </c>
      <c r="AA1047">
        <f>IF($V1047="",N($AA1046),IF(MATCH($V1047,$V$6:$V$6005,0)=ROW()-5,N($AA1046)+1,N($AA1046)))</f>
        <v/>
      </c>
    </row>
    <row r="1048" ht="21" customHeight="1" s="66">
      <c r="A1048" s="56" t="n"/>
      <c r="B1048" s="57" t="n"/>
      <c r="C1048" s="57" t="n"/>
      <c r="D1048" s="57" t="n"/>
      <c r="E1048" s="56" t="n"/>
      <c r="F1048" s="57" t="n"/>
      <c r="G1048" s="57" t="n"/>
      <c r="H1048" s="56" t="n"/>
      <c r="I1048" s="56" t="n"/>
      <c r="J1048" s="58" t="n"/>
      <c r="K1048" s="58" t="n"/>
      <c r="L1048" s="13">
        <f>IF(OR($A1048="",AND($J1048="",$K1048="")),"",ROUND(N($J1048)-N($K1048),2))</f>
        <v/>
      </c>
      <c r="M1048" s="13">
        <f>IF(OR($A1048="",AND($J1048="",$K1048="")),"",MIN($J1048,$K1048))</f>
        <v/>
      </c>
      <c r="Q1048">
        <f>IF($A1048="","",$D1048&amp;"("&amp;SUBSTITUTE($E1048," ","")&amp;")")</f>
        <v/>
      </c>
      <c r="R1048">
        <f>IF($A1048="","",$B1048&amp;" - "&amp;$C1048)</f>
        <v/>
      </c>
      <c r="S1048">
        <f>IF($A1048="","",$R1048&amp;"|"&amp;$Q1048)</f>
        <v/>
      </c>
      <c r="T1048">
        <f>IF($A1048="","",$S1048&amp;"|"&amp;$F1048)</f>
        <v/>
      </c>
      <c r="U1048">
        <f>IF($A1048="","",$R1048&amp;"("&amp;$E1048&amp;")")</f>
        <v/>
      </c>
      <c r="V1048">
        <f>IF($A1048="","",$F1048&amp;"|"&amp;$U1048&amp;"|"&amp;$D1048)</f>
        <v/>
      </c>
      <c r="W1048">
        <f>IF($T1048="","",IF($X1048&gt;N($X1047),$X1048,""))</f>
        <v/>
      </c>
      <c r="X1048">
        <f>IF($T1048="",N($X1047),IF(MATCH($T1048,$T$6:$T$6005,0)=ROW()-5,N($X1047)+1,N($X1047)))</f>
        <v/>
      </c>
      <c r="Z1048">
        <f>IF($V1048="","",IF($AA1048&gt;N($AA1047),$AA1048,""))</f>
        <v/>
      </c>
      <c r="AA1048">
        <f>IF($V1048="",N($AA1047),IF(MATCH($V1048,$V$6:$V$6005,0)=ROW()-5,N($AA1047)+1,N($AA1047)))</f>
        <v/>
      </c>
    </row>
    <row r="1049" ht="21" customHeight="1" s="66">
      <c r="A1049" s="56" t="n"/>
      <c r="B1049" s="57" t="n"/>
      <c r="C1049" s="57" t="n"/>
      <c r="D1049" s="57" t="n"/>
      <c r="E1049" s="56" t="n"/>
      <c r="F1049" s="57" t="n"/>
      <c r="G1049" s="57" t="n"/>
      <c r="H1049" s="56" t="n"/>
      <c r="I1049" s="56" t="n"/>
      <c r="J1049" s="58" t="n"/>
      <c r="K1049" s="58" t="n"/>
      <c r="L1049" s="13">
        <f>IF(OR($A1049="",AND($J1049="",$K1049="")),"",ROUND(N($J1049)-N($K1049),2))</f>
        <v/>
      </c>
      <c r="M1049" s="13">
        <f>IF(OR($A1049="",AND($J1049="",$K1049="")),"",MIN($J1049,$K1049))</f>
        <v/>
      </c>
      <c r="Q1049">
        <f>IF($A1049="","",$D1049&amp;"("&amp;SUBSTITUTE($E1049," ","")&amp;")")</f>
        <v/>
      </c>
      <c r="R1049">
        <f>IF($A1049="","",$B1049&amp;" - "&amp;$C1049)</f>
        <v/>
      </c>
      <c r="S1049">
        <f>IF($A1049="","",$R1049&amp;"|"&amp;$Q1049)</f>
        <v/>
      </c>
      <c r="T1049">
        <f>IF($A1049="","",$S1049&amp;"|"&amp;$F1049)</f>
        <v/>
      </c>
      <c r="U1049">
        <f>IF($A1049="","",$R1049&amp;"("&amp;$E1049&amp;")")</f>
        <v/>
      </c>
      <c r="V1049">
        <f>IF($A1049="","",$F1049&amp;"|"&amp;$U1049&amp;"|"&amp;$D1049)</f>
        <v/>
      </c>
      <c r="W1049">
        <f>IF($T1049="","",IF($X1049&gt;N($X1048),$X1049,""))</f>
        <v/>
      </c>
      <c r="X1049">
        <f>IF($T1049="",N($X1048),IF(MATCH($T1049,$T$6:$T$6005,0)=ROW()-5,N($X1048)+1,N($X1048)))</f>
        <v/>
      </c>
      <c r="Z1049">
        <f>IF($V1049="","",IF($AA1049&gt;N($AA1048),$AA1049,""))</f>
        <v/>
      </c>
      <c r="AA1049">
        <f>IF($V1049="",N($AA1048),IF(MATCH($V1049,$V$6:$V$6005,0)=ROW()-5,N($AA1048)+1,N($AA1048)))</f>
        <v/>
      </c>
    </row>
    <row r="1050" ht="21" customHeight="1" s="66">
      <c r="A1050" s="56" t="n"/>
      <c r="B1050" s="57" t="n"/>
      <c r="C1050" s="57" t="n"/>
      <c r="D1050" s="57" t="n"/>
      <c r="E1050" s="56" t="n"/>
      <c r="F1050" s="57" t="n"/>
      <c r="G1050" s="57" t="n"/>
      <c r="H1050" s="56" t="n"/>
      <c r="I1050" s="56" t="n"/>
      <c r="J1050" s="58" t="n"/>
      <c r="K1050" s="58" t="n"/>
      <c r="L1050" s="13">
        <f>IF(OR($A1050="",AND($J1050="",$K1050="")),"",ROUND(N($J1050)-N($K1050),2))</f>
        <v/>
      </c>
      <c r="M1050" s="13">
        <f>IF(OR($A1050="",AND($J1050="",$K1050="")),"",MIN($J1050,$K1050))</f>
        <v/>
      </c>
      <c r="Q1050">
        <f>IF($A1050="","",$D1050&amp;"("&amp;SUBSTITUTE($E1050," ","")&amp;")")</f>
        <v/>
      </c>
      <c r="R1050">
        <f>IF($A1050="","",$B1050&amp;" - "&amp;$C1050)</f>
        <v/>
      </c>
      <c r="S1050">
        <f>IF($A1050="","",$R1050&amp;"|"&amp;$Q1050)</f>
        <v/>
      </c>
      <c r="T1050">
        <f>IF($A1050="","",$S1050&amp;"|"&amp;$F1050)</f>
        <v/>
      </c>
      <c r="U1050">
        <f>IF($A1050="","",$R1050&amp;"("&amp;$E1050&amp;")")</f>
        <v/>
      </c>
      <c r="V1050">
        <f>IF($A1050="","",$F1050&amp;"|"&amp;$U1050&amp;"|"&amp;$D1050)</f>
        <v/>
      </c>
      <c r="W1050">
        <f>IF($T1050="","",IF($X1050&gt;N($X1049),$X1050,""))</f>
        <v/>
      </c>
      <c r="X1050">
        <f>IF($T1050="",N($X1049),IF(MATCH($T1050,$T$6:$T$6005,0)=ROW()-5,N($X1049)+1,N($X1049)))</f>
        <v/>
      </c>
      <c r="Z1050">
        <f>IF($V1050="","",IF($AA1050&gt;N($AA1049),$AA1050,""))</f>
        <v/>
      </c>
      <c r="AA1050">
        <f>IF($V1050="",N($AA1049),IF(MATCH($V1050,$V$6:$V$6005,0)=ROW()-5,N($AA1049)+1,N($AA1049)))</f>
        <v/>
      </c>
    </row>
    <row r="1051" ht="21" customHeight="1" s="66">
      <c r="A1051" s="56" t="n"/>
      <c r="B1051" s="57" t="n"/>
      <c r="C1051" s="57" t="n"/>
      <c r="D1051" s="57" t="n"/>
      <c r="E1051" s="56" t="n"/>
      <c r="F1051" s="57" t="n"/>
      <c r="G1051" s="57" t="n"/>
      <c r="H1051" s="56" t="n"/>
      <c r="I1051" s="56" t="n"/>
      <c r="J1051" s="58" t="n"/>
      <c r="K1051" s="58" t="n"/>
      <c r="L1051" s="13">
        <f>IF(OR($A1051="",AND($J1051="",$K1051="")),"",ROUND(N($J1051)-N($K1051),2))</f>
        <v/>
      </c>
      <c r="M1051" s="13">
        <f>IF(OR($A1051="",AND($J1051="",$K1051="")),"",MIN($J1051,$K1051))</f>
        <v/>
      </c>
      <c r="Q1051">
        <f>IF($A1051="","",$D1051&amp;"("&amp;SUBSTITUTE($E1051," ","")&amp;")")</f>
        <v/>
      </c>
      <c r="R1051">
        <f>IF($A1051="","",$B1051&amp;" - "&amp;$C1051)</f>
        <v/>
      </c>
      <c r="S1051">
        <f>IF($A1051="","",$R1051&amp;"|"&amp;$Q1051)</f>
        <v/>
      </c>
      <c r="T1051">
        <f>IF($A1051="","",$S1051&amp;"|"&amp;$F1051)</f>
        <v/>
      </c>
      <c r="U1051">
        <f>IF($A1051="","",$R1051&amp;"("&amp;$E1051&amp;")")</f>
        <v/>
      </c>
      <c r="V1051">
        <f>IF($A1051="","",$F1051&amp;"|"&amp;$U1051&amp;"|"&amp;$D1051)</f>
        <v/>
      </c>
      <c r="W1051">
        <f>IF($T1051="","",IF($X1051&gt;N($X1050),$X1051,""))</f>
        <v/>
      </c>
      <c r="X1051">
        <f>IF($T1051="",N($X1050),IF(MATCH($T1051,$T$6:$T$6005,0)=ROW()-5,N($X1050)+1,N($X1050)))</f>
        <v/>
      </c>
      <c r="Z1051">
        <f>IF($V1051="","",IF($AA1051&gt;N($AA1050),$AA1051,""))</f>
        <v/>
      </c>
      <c r="AA1051">
        <f>IF($V1051="",N($AA1050),IF(MATCH($V1051,$V$6:$V$6005,0)=ROW()-5,N($AA1050)+1,N($AA1050)))</f>
        <v/>
      </c>
    </row>
    <row r="1052" ht="21" customHeight="1" s="66">
      <c r="A1052" s="56" t="n"/>
      <c r="B1052" s="57" t="n"/>
      <c r="C1052" s="57" t="n"/>
      <c r="D1052" s="57" t="n"/>
      <c r="E1052" s="56" t="n"/>
      <c r="F1052" s="57" t="n"/>
      <c r="G1052" s="57" t="n"/>
      <c r="H1052" s="56" t="n"/>
      <c r="I1052" s="56" t="n"/>
      <c r="J1052" s="58" t="n"/>
      <c r="K1052" s="58" t="n"/>
      <c r="L1052" s="13">
        <f>IF(OR($A1052="",AND($J1052="",$K1052="")),"",ROUND(N($J1052)-N($K1052),2))</f>
        <v/>
      </c>
      <c r="M1052" s="13">
        <f>IF(OR($A1052="",AND($J1052="",$K1052="")),"",MIN($J1052,$K1052))</f>
        <v/>
      </c>
      <c r="Q1052">
        <f>IF($A1052="","",$D1052&amp;"("&amp;SUBSTITUTE($E1052," ","")&amp;")")</f>
        <v/>
      </c>
      <c r="R1052">
        <f>IF($A1052="","",$B1052&amp;" - "&amp;$C1052)</f>
        <v/>
      </c>
      <c r="S1052">
        <f>IF($A1052="","",$R1052&amp;"|"&amp;$Q1052)</f>
        <v/>
      </c>
      <c r="T1052">
        <f>IF($A1052="","",$S1052&amp;"|"&amp;$F1052)</f>
        <v/>
      </c>
      <c r="U1052">
        <f>IF($A1052="","",$R1052&amp;"("&amp;$E1052&amp;")")</f>
        <v/>
      </c>
      <c r="V1052">
        <f>IF($A1052="","",$F1052&amp;"|"&amp;$U1052&amp;"|"&amp;$D1052)</f>
        <v/>
      </c>
      <c r="W1052">
        <f>IF($T1052="","",IF($X1052&gt;N($X1051),$X1052,""))</f>
        <v/>
      </c>
      <c r="X1052">
        <f>IF($T1052="",N($X1051),IF(MATCH($T1052,$T$6:$T$6005,0)=ROW()-5,N($X1051)+1,N($X1051)))</f>
        <v/>
      </c>
      <c r="Z1052">
        <f>IF($V1052="","",IF($AA1052&gt;N($AA1051),$AA1052,""))</f>
        <v/>
      </c>
      <c r="AA1052">
        <f>IF($V1052="",N($AA1051),IF(MATCH($V1052,$V$6:$V$6005,0)=ROW()-5,N($AA1051)+1,N($AA1051)))</f>
        <v/>
      </c>
    </row>
    <row r="1053" ht="21" customHeight="1" s="66">
      <c r="A1053" s="56" t="n"/>
      <c r="B1053" s="57" t="n"/>
      <c r="C1053" s="57" t="n"/>
      <c r="D1053" s="57" t="n"/>
      <c r="E1053" s="56" t="n"/>
      <c r="F1053" s="57" t="n"/>
      <c r="G1053" s="57" t="n"/>
      <c r="H1053" s="56" t="n"/>
      <c r="I1053" s="56" t="n"/>
      <c r="J1053" s="58" t="n"/>
      <c r="K1053" s="58" t="n"/>
      <c r="L1053" s="13">
        <f>IF(OR($A1053="",AND($J1053="",$K1053="")),"",ROUND(N($J1053)-N($K1053),2))</f>
        <v/>
      </c>
      <c r="M1053" s="13">
        <f>IF(OR($A1053="",AND($J1053="",$K1053="")),"",MIN($J1053,$K1053))</f>
        <v/>
      </c>
      <c r="Q1053">
        <f>IF($A1053="","",$D1053&amp;"("&amp;SUBSTITUTE($E1053," ","")&amp;")")</f>
        <v/>
      </c>
      <c r="R1053">
        <f>IF($A1053="","",$B1053&amp;" - "&amp;$C1053)</f>
        <v/>
      </c>
      <c r="S1053">
        <f>IF($A1053="","",$R1053&amp;"|"&amp;$Q1053)</f>
        <v/>
      </c>
      <c r="T1053">
        <f>IF($A1053="","",$S1053&amp;"|"&amp;$F1053)</f>
        <v/>
      </c>
      <c r="U1053">
        <f>IF($A1053="","",$R1053&amp;"("&amp;$E1053&amp;")")</f>
        <v/>
      </c>
      <c r="V1053">
        <f>IF($A1053="","",$F1053&amp;"|"&amp;$U1053&amp;"|"&amp;$D1053)</f>
        <v/>
      </c>
      <c r="W1053">
        <f>IF($T1053="","",IF($X1053&gt;N($X1052),$X1053,""))</f>
        <v/>
      </c>
      <c r="X1053">
        <f>IF($T1053="",N($X1052),IF(MATCH($T1053,$T$6:$T$6005,0)=ROW()-5,N($X1052)+1,N($X1052)))</f>
        <v/>
      </c>
      <c r="Z1053">
        <f>IF($V1053="","",IF($AA1053&gt;N($AA1052),$AA1053,""))</f>
        <v/>
      </c>
      <c r="AA1053">
        <f>IF($V1053="",N($AA1052),IF(MATCH($V1053,$V$6:$V$6005,0)=ROW()-5,N($AA1052)+1,N($AA1052)))</f>
        <v/>
      </c>
    </row>
    <row r="1054" ht="21" customHeight="1" s="66">
      <c r="A1054" s="56" t="n"/>
      <c r="B1054" s="57" t="n"/>
      <c r="C1054" s="57" t="n"/>
      <c r="D1054" s="57" t="n"/>
      <c r="E1054" s="56" t="n"/>
      <c r="F1054" s="57" t="n"/>
      <c r="G1054" s="57" t="n"/>
      <c r="H1054" s="56" t="n"/>
      <c r="I1054" s="56" t="n"/>
      <c r="J1054" s="58" t="n"/>
      <c r="K1054" s="58" t="n"/>
      <c r="L1054" s="13">
        <f>IF(OR($A1054="",AND($J1054="",$K1054="")),"",ROUND(N($J1054)-N($K1054),2))</f>
        <v/>
      </c>
      <c r="M1054" s="13">
        <f>IF(OR($A1054="",AND($J1054="",$K1054="")),"",MIN($J1054,$K1054))</f>
        <v/>
      </c>
      <c r="Q1054">
        <f>IF($A1054="","",$D1054&amp;"("&amp;SUBSTITUTE($E1054," ","")&amp;")")</f>
        <v/>
      </c>
      <c r="R1054">
        <f>IF($A1054="","",$B1054&amp;" - "&amp;$C1054)</f>
        <v/>
      </c>
      <c r="S1054">
        <f>IF($A1054="","",$R1054&amp;"|"&amp;$Q1054)</f>
        <v/>
      </c>
      <c r="T1054">
        <f>IF($A1054="","",$S1054&amp;"|"&amp;$F1054)</f>
        <v/>
      </c>
      <c r="U1054">
        <f>IF($A1054="","",$R1054&amp;"("&amp;$E1054&amp;")")</f>
        <v/>
      </c>
      <c r="V1054">
        <f>IF($A1054="","",$F1054&amp;"|"&amp;$U1054&amp;"|"&amp;$D1054)</f>
        <v/>
      </c>
      <c r="W1054">
        <f>IF($T1054="","",IF($X1054&gt;N($X1053),$X1054,""))</f>
        <v/>
      </c>
      <c r="X1054">
        <f>IF($T1054="",N($X1053),IF(MATCH($T1054,$T$6:$T$6005,0)=ROW()-5,N($X1053)+1,N($X1053)))</f>
        <v/>
      </c>
      <c r="Z1054">
        <f>IF($V1054="","",IF($AA1054&gt;N($AA1053),$AA1054,""))</f>
        <v/>
      </c>
      <c r="AA1054">
        <f>IF($V1054="",N($AA1053),IF(MATCH($V1054,$V$6:$V$6005,0)=ROW()-5,N($AA1053)+1,N($AA1053)))</f>
        <v/>
      </c>
    </row>
    <row r="1055" ht="21" customHeight="1" s="66">
      <c r="A1055" s="56" t="n"/>
      <c r="B1055" s="57" t="n"/>
      <c r="C1055" s="57" t="n"/>
      <c r="D1055" s="57" t="n"/>
      <c r="E1055" s="56" t="n"/>
      <c r="F1055" s="57" t="n"/>
      <c r="G1055" s="57" t="n"/>
      <c r="H1055" s="56" t="n"/>
      <c r="I1055" s="56" t="n"/>
      <c r="J1055" s="58" t="n"/>
      <c r="K1055" s="58" t="n"/>
      <c r="L1055" s="13">
        <f>IF(OR($A1055="",AND($J1055="",$K1055="")),"",ROUND(N($J1055)-N($K1055),2))</f>
        <v/>
      </c>
      <c r="M1055" s="13">
        <f>IF(OR($A1055="",AND($J1055="",$K1055="")),"",MIN($J1055,$K1055))</f>
        <v/>
      </c>
      <c r="Q1055">
        <f>IF($A1055="","",$D1055&amp;"("&amp;SUBSTITUTE($E1055," ","")&amp;")")</f>
        <v/>
      </c>
      <c r="R1055">
        <f>IF($A1055="","",$B1055&amp;" - "&amp;$C1055)</f>
        <v/>
      </c>
      <c r="S1055">
        <f>IF($A1055="","",$R1055&amp;"|"&amp;$Q1055)</f>
        <v/>
      </c>
      <c r="T1055">
        <f>IF($A1055="","",$S1055&amp;"|"&amp;$F1055)</f>
        <v/>
      </c>
      <c r="U1055">
        <f>IF($A1055="","",$R1055&amp;"("&amp;$E1055&amp;")")</f>
        <v/>
      </c>
      <c r="V1055">
        <f>IF($A1055="","",$F1055&amp;"|"&amp;$U1055&amp;"|"&amp;$D1055)</f>
        <v/>
      </c>
      <c r="W1055">
        <f>IF($T1055="","",IF($X1055&gt;N($X1054),$X1055,""))</f>
        <v/>
      </c>
      <c r="X1055">
        <f>IF($T1055="",N($X1054),IF(MATCH($T1055,$T$6:$T$6005,0)=ROW()-5,N($X1054)+1,N($X1054)))</f>
        <v/>
      </c>
      <c r="Z1055">
        <f>IF($V1055="","",IF($AA1055&gt;N($AA1054),$AA1055,""))</f>
        <v/>
      </c>
      <c r="AA1055">
        <f>IF($V1055="",N($AA1054),IF(MATCH($V1055,$V$6:$V$6005,0)=ROW()-5,N($AA1054)+1,N($AA1054)))</f>
        <v/>
      </c>
    </row>
    <row r="1056" ht="21" customHeight="1" s="66">
      <c r="A1056" s="56" t="n"/>
      <c r="B1056" s="57" t="n"/>
      <c r="C1056" s="57" t="n"/>
      <c r="D1056" s="57" t="n"/>
      <c r="E1056" s="56" t="n"/>
      <c r="F1056" s="57" t="n"/>
      <c r="G1056" s="57" t="n"/>
      <c r="H1056" s="56" t="n"/>
      <c r="I1056" s="56" t="n"/>
      <c r="J1056" s="58" t="n"/>
      <c r="K1056" s="58" t="n"/>
      <c r="L1056" s="13">
        <f>IF(OR($A1056="",AND($J1056="",$K1056="")),"",ROUND(N($J1056)-N($K1056),2))</f>
        <v/>
      </c>
      <c r="M1056" s="13">
        <f>IF(OR($A1056="",AND($J1056="",$K1056="")),"",MIN($J1056,$K1056))</f>
        <v/>
      </c>
      <c r="Q1056">
        <f>IF($A1056="","",$D1056&amp;"("&amp;SUBSTITUTE($E1056," ","")&amp;")")</f>
        <v/>
      </c>
      <c r="R1056">
        <f>IF($A1056="","",$B1056&amp;" - "&amp;$C1056)</f>
        <v/>
      </c>
      <c r="S1056">
        <f>IF($A1056="","",$R1056&amp;"|"&amp;$Q1056)</f>
        <v/>
      </c>
      <c r="T1056">
        <f>IF($A1056="","",$S1056&amp;"|"&amp;$F1056)</f>
        <v/>
      </c>
      <c r="U1056">
        <f>IF($A1056="","",$R1056&amp;"("&amp;$E1056&amp;")")</f>
        <v/>
      </c>
      <c r="V1056">
        <f>IF($A1056="","",$F1056&amp;"|"&amp;$U1056&amp;"|"&amp;$D1056)</f>
        <v/>
      </c>
      <c r="W1056">
        <f>IF($T1056="","",IF($X1056&gt;N($X1055),$X1056,""))</f>
        <v/>
      </c>
      <c r="X1056">
        <f>IF($T1056="",N($X1055),IF(MATCH($T1056,$T$6:$T$6005,0)=ROW()-5,N($X1055)+1,N($X1055)))</f>
        <v/>
      </c>
      <c r="Z1056">
        <f>IF($V1056="","",IF($AA1056&gt;N($AA1055),$AA1056,""))</f>
        <v/>
      </c>
      <c r="AA1056">
        <f>IF($V1056="",N($AA1055),IF(MATCH($V1056,$V$6:$V$6005,0)=ROW()-5,N($AA1055)+1,N($AA1055)))</f>
        <v/>
      </c>
    </row>
    <row r="1057" ht="21" customHeight="1" s="66">
      <c r="A1057" s="56" t="n"/>
      <c r="B1057" s="57" t="n"/>
      <c r="C1057" s="57" t="n"/>
      <c r="D1057" s="57" t="n"/>
      <c r="E1057" s="56" t="n"/>
      <c r="F1057" s="57" t="n"/>
      <c r="G1057" s="57" t="n"/>
      <c r="H1057" s="56" t="n"/>
      <c r="I1057" s="56" t="n"/>
      <c r="J1057" s="58" t="n"/>
      <c r="K1057" s="58" t="n"/>
      <c r="L1057" s="13">
        <f>IF(OR($A1057="",AND($J1057="",$K1057="")),"",ROUND(N($J1057)-N($K1057),2))</f>
        <v/>
      </c>
      <c r="M1057" s="13">
        <f>IF(OR($A1057="",AND($J1057="",$K1057="")),"",MIN($J1057,$K1057))</f>
        <v/>
      </c>
      <c r="Q1057">
        <f>IF($A1057="","",$D1057&amp;"("&amp;SUBSTITUTE($E1057," ","")&amp;")")</f>
        <v/>
      </c>
      <c r="R1057">
        <f>IF($A1057="","",$B1057&amp;" - "&amp;$C1057)</f>
        <v/>
      </c>
      <c r="S1057">
        <f>IF($A1057="","",$R1057&amp;"|"&amp;$Q1057)</f>
        <v/>
      </c>
      <c r="T1057">
        <f>IF($A1057="","",$S1057&amp;"|"&amp;$F1057)</f>
        <v/>
      </c>
      <c r="U1057">
        <f>IF($A1057="","",$R1057&amp;"("&amp;$E1057&amp;")")</f>
        <v/>
      </c>
      <c r="V1057">
        <f>IF($A1057="","",$F1057&amp;"|"&amp;$U1057&amp;"|"&amp;$D1057)</f>
        <v/>
      </c>
      <c r="W1057">
        <f>IF($T1057="","",IF($X1057&gt;N($X1056),$X1057,""))</f>
        <v/>
      </c>
      <c r="X1057">
        <f>IF($T1057="",N($X1056),IF(MATCH($T1057,$T$6:$T$6005,0)=ROW()-5,N($X1056)+1,N($X1056)))</f>
        <v/>
      </c>
      <c r="Z1057">
        <f>IF($V1057="","",IF($AA1057&gt;N($AA1056),$AA1057,""))</f>
        <v/>
      </c>
      <c r="AA1057">
        <f>IF($V1057="",N($AA1056),IF(MATCH($V1057,$V$6:$V$6005,0)=ROW()-5,N($AA1056)+1,N($AA1056)))</f>
        <v/>
      </c>
    </row>
    <row r="1058" ht="21" customHeight="1" s="66">
      <c r="A1058" s="56" t="n"/>
      <c r="B1058" s="57" t="n"/>
      <c r="C1058" s="57" t="n"/>
      <c r="D1058" s="57" t="n"/>
      <c r="E1058" s="56" t="n"/>
      <c r="F1058" s="57" t="n"/>
      <c r="G1058" s="57" t="n"/>
      <c r="H1058" s="56" t="n"/>
      <c r="I1058" s="56" t="n"/>
      <c r="J1058" s="58" t="n"/>
      <c r="K1058" s="58" t="n"/>
      <c r="L1058" s="13">
        <f>IF(OR($A1058="",AND($J1058="",$K1058="")),"",ROUND(N($J1058)-N($K1058),2))</f>
        <v/>
      </c>
      <c r="M1058" s="13">
        <f>IF(OR($A1058="",AND($J1058="",$K1058="")),"",MIN($J1058,$K1058))</f>
        <v/>
      </c>
      <c r="Q1058">
        <f>IF($A1058="","",$D1058&amp;"("&amp;SUBSTITUTE($E1058," ","")&amp;")")</f>
        <v/>
      </c>
      <c r="R1058">
        <f>IF($A1058="","",$B1058&amp;" - "&amp;$C1058)</f>
        <v/>
      </c>
      <c r="S1058">
        <f>IF($A1058="","",$R1058&amp;"|"&amp;$Q1058)</f>
        <v/>
      </c>
      <c r="T1058">
        <f>IF($A1058="","",$S1058&amp;"|"&amp;$F1058)</f>
        <v/>
      </c>
      <c r="U1058">
        <f>IF($A1058="","",$R1058&amp;"("&amp;$E1058&amp;")")</f>
        <v/>
      </c>
      <c r="V1058">
        <f>IF($A1058="","",$F1058&amp;"|"&amp;$U1058&amp;"|"&amp;$D1058)</f>
        <v/>
      </c>
      <c r="W1058">
        <f>IF($T1058="","",IF($X1058&gt;N($X1057),$X1058,""))</f>
        <v/>
      </c>
      <c r="X1058">
        <f>IF($T1058="",N($X1057),IF(MATCH($T1058,$T$6:$T$6005,0)=ROW()-5,N($X1057)+1,N($X1057)))</f>
        <v/>
      </c>
      <c r="Z1058">
        <f>IF($V1058="","",IF($AA1058&gt;N($AA1057),$AA1058,""))</f>
        <v/>
      </c>
      <c r="AA1058">
        <f>IF($V1058="",N($AA1057),IF(MATCH($V1058,$V$6:$V$6005,0)=ROW()-5,N($AA1057)+1,N($AA1057)))</f>
        <v/>
      </c>
    </row>
    <row r="1059" ht="21" customHeight="1" s="66">
      <c r="A1059" s="56" t="n"/>
      <c r="B1059" s="57" t="n"/>
      <c r="C1059" s="57" t="n"/>
      <c r="D1059" s="57" t="n"/>
      <c r="E1059" s="56" t="n"/>
      <c r="F1059" s="57" t="n"/>
      <c r="G1059" s="57" t="n"/>
      <c r="H1059" s="56" t="n"/>
      <c r="I1059" s="56" t="n"/>
      <c r="J1059" s="58" t="n"/>
      <c r="K1059" s="58" t="n"/>
      <c r="L1059" s="13">
        <f>IF(OR($A1059="",AND($J1059="",$K1059="")),"",ROUND(N($J1059)-N($K1059),2))</f>
        <v/>
      </c>
      <c r="M1059" s="13">
        <f>IF(OR($A1059="",AND($J1059="",$K1059="")),"",MIN($J1059,$K1059))</f>
        <v/>
      </c>
      <c r="Q1059">
        <f>IF($A1059="","",$D1059&amp;"("&amp;SUBSTITUTE($E1059," ","")&amp;")")</f>
        <v/>
      </c>
      <c r="R1059">
        <f>IF($A1059="","",$B1059&amp;" - "&amp;$C1059)</f>
        <v/>
      </c>
      <c r="S1059">
        <f>IF($A1059="","",$R1059&amp;"|"&amp;$Q1059)</f>
        <v/>
      </c>
      <c r="T1059">
        <f>IF($A1059="","",$S1059&amp;"|"&amp;$F1059)</f>
        <v/>
      </c>
      <c r="U1059">
        <f>IF($A1059="","",$R1059&amp;"("&amp;$E1059&amp;")")</f>
        <v/>
      </c>
      <c r="V1059">
        <f>IF($A1059="","",$F1059&amp;"|"&amp;$U1059&amp;"|"&amp;$D1059)</f>
        <v/>
      </c>
      <c r="W1059">
        <f>IF($T1059="","",IF($X1059&gt;N($X1058),$X1059,""))</f>
        <v/>
      </c>
      <c r="X1059">
        <f>IF($T1059="",N($X1058),IF(MATCH($T1059,$T$6:$T$6005,0)=ROW()-5,N($X1058)+1,N($X1058)))</f>
        <v/>
      </c>
      <c r="Z1059">
        <f>IF($V1059="","",IF($AA1059&gt;N($AA1058),$AA1059,""))</f>
        <v/>
      </c>
      <c r="AA1059">
        <f>IF($V1059="",N($AA1058),IF(MATCH($V1059,$V$6:$V$6005,0)=ROW()-5,N($AA1058)+1,N($AA1058)))</f>
        <v/>
      </c>
    </row>
    <row r="1060" ht="21" customHeight="1" s="66">
      <c r="A1060" s="56" t="n"/>
      <c r="B1060" s="57" t="n"/>
      <c r="C1060" s="57" t="n"/>
      <c r="D1060" s="57" t="n"/>
      <c r="E1060" s="56" t="n"/>
      <c r="F1060" s="57" t="n"/>
      <c r="G1060" s="57" t="n"/>
      <c r="H1060" s="56" t="n"/>
      <c r="I1060" s="56" t="n"/>
      <c r="J1060" s="58" t="n"/>
      <c r="K1060" s="58" t="n"/>
      <c r="L1060" s="13">
        <f>IF(OR($A1060="",AND($J1060="",$K1060="")),"",ROUND(N($J1060)-N($K1060),2))</f>
        <v/>
      </c>
      <c r="M1060" s="13">
        <f>IF(OR($A1060="",AND($J1060="",$K1060="")),"",MIN($J1060,$K1060))</f>
        <v/>
      </c>
      <c r="Q1060">
        <f>IF($A1060="","",$D1060&amp;"("&amp;SUBSTITUTE($E1060," ","")&amp;")")</f>
        <v/>
      </c>
      <c r="R1060">
        <f>IF($A1060="","",$B1060&amp;" - "&amp;$C1060)</f>
        <v/>
      </c>
      <c r="S1060">
        <f>IF($A1060="","",$R1060&amp;"|"&amp;$Q1060)</f>
        <v/>
      </c>
      <c r="T1060">
        <f>IF($A1060="","",$S1060&amp;"|"&amp;$F1060)</f>
        <v/>
      </c>
      <c r="U1060">
        <f>IF($A1060="","",$R1060&amp;"("&amp;$E1060&amp;")")</f>
        <v/>
      </c>
      <c r="V1060">
        <f>IF($A1060="","",$F1060&amp;"|"&amp;$U1060&amp;"|"&amp;$D1060)</f>
        <v/>
      </c>
      <c r="W1060">
        <f>IF($T1060="","",IF($X1060&gt;N($X1059),$X1060,""))</f>
        <v/>
      </c>
      <c r="X1060">
        <f>IF($T1060="",N($X1059),IF(MATCH($T1060,$T$6:$T$6005,0)=ROW()-5,N($X1059)+1,N($X1059)))</f>
        <v/>
      </c>
      <c r="Z1060">
        <f>IF($V1060="","",IF($AA1060&gt;N($AA1059),$AA1060,""))</f>
        <v/>
      </c>
      <c r="AA1060">
        <f>IF($V1060="",N($AA1059),IF(MATCH($V1060,$V$6:$V$6005,0)=ROW()-5,N($AA1059)+1,N($AA1059)))</f>
        <v/>
      </c>
    </row>
    <row r="1061" ht="21" customHeight="1" s="66">
      <c r="A1061" s="56" t="n"/>
      <c r="B1061" s="57" t="n"/>
      <c r="C1061" s="57" t="n"/>
      <c r="D1061" s="57" t="n"/>
      <c r="E1061" s="56" t="n"/>
      <c r="F1061" s="57" t="n"/>
      <c r="G1061" s="57" t="n"/>
      <c r="H1061" s="56" t="n"/>
      <c r="I1061" s="56" t="n"/>
      <c r="J1061" s="58" t="n"/>
      <c r="K1061" s="58" t="n"/>
      <c r="L1061" s="13">
        <f>IF(OR($A1061="",AND($J1061="",$K1061="")),"",ROUND(N($J1061)-N($K1061),2))</f>
        <v/>
      </c>
      <c r="M1061" s="13">
        <f>IF(OR($A1061="",AND($J1061="",$K1061="")),"",MIN($J1061,$K1061))</f>
        <v/>
      </c>
      <c r="Q1061">
        <f>IF($A1061="","",$D1061&amp;"("&amp;SUBSTITUTE($E1061," ","")&amp;")")</f>
        <v/>
      </c>
      <c r="R1061">
        <f>IF($A1061="","",$B1061&amp;" - "&amp;$C1061)</f>
        <v/>
      </c>
      <c r="S1061">
        <f>IF($A1061="","",$R1061&amp;"|"&amp;$Q1061)</f>
        <v/>
      </c>
      <c r="T1061">
        <f>IF($A1061="","",$S1061&amp;"|"&amp;$F1061)</f>
        <v/>
      </c>
      <c r="U1061">
        <f>IF($A1061="","",$R1061&amp;"("&amp;$E1061&amp;")")</f>
        <v/>
      </c>
      <c r="V1061">
        <f>IF($A1061="","",$F1061&amp;"|"&amp;$U1061&amp;"|"&amp;$D1061)</f>
        <v/>
      </c>
      <c r="W1061">
        <f>IF($T1061="","",IF($X1061&gt;N($X1060),$X1061,""))</f>
        <v/>
      </c>
      <c r="X1061">
        <f>IF($T1061="",N($X1060),IF(MATCH($T1061,$T$6:$T$6005,0)=ROW()-5,N($X1060)+1,N($X1060)))</f>
        <v/>
      </c>
      <c r="Z1061">
        <f>IF($V1061="","",IF($AA1061&gt;N($AA1060),$AA1061,""))</f>
        <v/>
      </c>
      <c r="AA1061">
        <f>IF($V1061="",N($AA1060),IF(MATCH($V1061,$V$6:$V$6005,0)=ROW()-5,N($AA1060)+1,N($AA1060)))</f>
        <v/>
      </c>
    </row>
    <row r="1062" ht="21" customHeight="1" s="66">
      <c r="A1062" s="56" t="n"/>
      <c r="B1062" s="57" t="n"/>
      <c r="C1062" s="57" t="n"/>
      <c r="D1062" s="57" t="n"/>
      <c r="E1062" s="56" t="n"/>
      <c r="F1062" s="57" t="n"/>
      <c r="G1062" s="57" t="n"/>
      <c r="H1062" s="56" t="n"/>
      <c r="I1062" s="56" t="n"/>
      <c r="J1062" s="58" t="n"/>
      <c r="K1062" s="58" t="n"/>
      <c r="L1062" s="13">
        <f>IF(OR($A1062="",AND($J1062="",$K1062="")),"",ROUND(N($J1062)-N($K1062),2))</f>
        <v/>
      </c>
      <c r="M1062" s="13">
        <f>IF(OR($A1062="",AND($J1062="",$K1062="")),"",MIN($J1062,$K1062))</f>
        <v/>
      </c>
      <c r="Q1062">
        <f>IF($A1062="","",$D1062&amp;"("&amp;SUBSTITUTE($E1062," ","")&amp;")")</f>
        <v/>
      </c>
      <c r="R1062">
        <f>IF($A1062="","",$B1062&amp;" - "&amp;$C1062)</f>
        <v/>
      </c>
      <c r="S1062">
        <f>IF($A1062="","",$R1062&amp;"|"&amp;$Q1062)</f>
        <v/>
      </c>
      <c r="T1062">
        <f>IF($A1062="","",$S1062&amp;"|"&amp;$F1062)</f>
        <v/>
      </c>
      <c r="U1062">
        <f>IF($A1062="","",$R1062&amp;"("&amp;$E1062&amp;")")</f>
        <v/>
      </c>
      <c r="V1062">
        <f>IF($A1062="","",$F1062&amp;"|"&amp;$U1062&amp;"|"&amp;$D1062)</f>
        <v/>
      </c>
      <c r="W1062">
        <f>IF($T1062="","",IF($X1062&gt;N($X1061),$X1062,""))</f>
        <v/>
      </c>
      <c r="X1062">
        <f>IF($T1062="",N($X1061),IF(MATCH($T1062,$T$6:$T$6005,0)=ROW()-5,N($X1061)+1,N($X1061)))</f>
        <v/>
      </c>
      <c r="Z1062">
        <f>IF($V1062="","",IF($AA1062&gt;N($AA1061),$AA1062,""))</f>
        <v/>
      </c>
      <c r="AA1062">
        <f>IF($V1062="",N($AA1061),IF(MATCH($V1062,$V$6:$V$6005,0)=ROW()-5,N($AA1061)+1,N($AA1061)))</f>
        <v/>
      </c>
    </row>
    <row r="1063" ht="21" customHeight="1" s="66">
      <c r="A1063" s="56" t="n"/>
      <c r="B1063" s="57" t="n"/>
      <c r="C1063" s="57" t="n"/>
      <c r="D1063" s="57" t="n"/>
      <c r="E1063" s="56" t="n"/>
      <c r="F1063" s="57" t="n"/>
      <c r="G1063" s="57" t="n"/>
      <c r="H1063" s="56" t="n"/>
      <c r="I1063" s="56" t="n"/>
      <c r="J1063" s="58" t="n"/>
      <c r="K1063" s="58" t="n"/>
      <c r="L1063" s="13">
        <f>IF(OR($A1063="",AND($J1063="",$K1063="")),"",ROUND(N($J1063)-N($K1063),2))</f>
        <v/>
      </c>
      <c r="M1063" s="13">
        <f>IF(OR($A1063="",AND($J1063="",$K1063="")),"",MIN($J1063,$K1063))</f>
        <v/>
      </c>
      <c r="Q1063">
        <f>IF($A1063="","",$D1063&amp;"("&amp;SUBSTITUTE($E1063," ","")&amp;")")</f>
        <v/>
      </c>
      <c r="R1063">
        <f>IF($A1063="","",$B1063&amp;" - "&amp;$C1063)</f>
        <v/>
      </c>
      <c r="S1063">
        <f>IF($A1063="","",$R1063&amp;"|"&amp;$Q1063)</f>
        <v/>
      </c>
      <c r="T1063">
        <f>IF($A1063="","",$S1063&amp;"|"&amp;$F1063)</f>
        <v/>
      </c>
      <c r="U1063">
        <f>IF($A1063="","",$R1063&amp;"("&amp;$E1063&amp;")")</f>
        <v/>
      </c>
      <c r="V1063">
        <f>IF($A1063="","",$F1063&amp;"|"&amp;$U1063&amp;"|"&amp;$D1063)</f>
        <v/>
      </c>
      <c r="W1063">
        <f>IF($T1063="","",IF($X1063&gt;N($X1062),$X1063,""))</f>
        <v/>
      </c>
      <c r="X1063">
        <f>IF($T1063="",N($X1062),IF(MATCH($T1063,$T$6:$T$6005,0)=ROW()-5,N($X1062)+1,N($X1062)))</f>
        <v/>
      </c>
      <c r="Z1063">
        <f>IF($V1063="","",IF($AA1063&gt;N($AA1062),$AA1063,""))</f>
        <v/>
      </c>
      <c r="AA1063">
        <f>IF($V1063="",N($AA1062),IF(MATCH($V1063,$V$6:$V$6005,0)=ROW()-5,N($AA1062)+1,N($AA1062)))</f>
        <v/>
      </c>
    </row>
    <row r="1064" ht="21" customHeight="1" s="66">
      <c r="A1064" s="56" t="n"/>
      <c r="B1064" s="57" t="n"/>
      <c r="C1064" s="57" t="n"/>
      <c r="D1064" s="57" t="n"/>
      <c r="E1064" s="56" t="n"/>
      <c r="F1064" s="57" t="n"/>
      <c r="G1064" s="57" t="n"/>
      <c r="H1064" s="56" t="n"/>
      <c r="I1064" s="56" t="n"/>
      <c r="J1064" s="58" t="n"/>
      <c r="K1064" s="58" t="n"/>
      <c r="L1064" s="13">
        <f>IF(OR($A1064="",AND($J1064="",$K1064="")),"",ROUND(N($J1064)-N($K1064),2))</f>
        <v/>
      </c>
      <c r="M1064" s="13">
        <f>IF(OR($A1064="",AND($J1064="",$K1064="")),"",MIN($J1064,$K1064))</f>
        <v/>
      </c>
      <c r="Q1064">
        <f>IF($A1064="","",$D1064&amp;"("&amp;SUBSTITUTE($E1064," ","")&amp;")")</f>
        <v/>
      </c>
      <c r="R1064">
        <f>IF($A1064="","",$B1064&amp;" - "&amp;$C1064)</f>
        <v/>
      </c>
      <c r="S1064">
        <f>IF($A1064="","",$R1064&amp;"|"&amp;$Q1064)</f>
        <v/>
      </c>
      <c r="T1064">
        <f>IF($A1064="","",$S1064&amp;"|"&amp;$F1064)</f>
        <v/>
      </c>
      <c r="U1064">
        <f>IF($A1064="","",$R1064&amp;"("&amp;$E1064&amp;")")</f>
        <v/>
      </c>
      <c r="V1064">
        <f>IF($A1064="","",$F1064&amp;"|"&amp;$U1064&amp;"|"&amp;$D1064)</f>
        <v/>
      </c>
      <c r="W1064">
        <f>IF($T1064="","",IF($X1064&gt;N($X1063),$X1064,""))</f>
        <v/>
      </c>
      <c r="X1064">
        <f>IF($T1064="",N($X1063),IF(MATCH($T1064,$T$6:$T$6005,0)=ROW()-5,N($X1063)+1,N($X1063)))</f>
        <v/>
      </c>
      <c r="Z1064">
        <f>IF($V1064="","",IF($AA1064&gt;N($AA1063),$AA1064,""))</f>
        <v/>
      </c>
      <c r="AA1064">
        <f>IF($V1064="",N($AA1063),IF(MATCH($V1064,$V$6:$V$6005,0)=ROW()-5,N($AA1063)+1,N($AA1063)))</f>
        <v/>
      </c>
    </row>
    <row r="1065" ht="21" customHeight="1" s="66">
      <c r="A1065" s="56" t="n"/>
      <c r="B1065" s="57" t="n"/>
      <c r="C1065" s="57" t="n"/>
      <c r="D1065" s="57" t="n"/>
      <c r="E1065" s="56" t="n"/>
      <c r="F1065" s="57" t="n"/>
      <c r="G1065" s="57" t="n"/>
      <c r="H1065" s="56" t="n"/>
      <c r="I1065" s="56" t="n"/>
      <c r="J1065" s="58" t="n"/>
      <c r="K1065" s="58" t="n"/>
      <c r="L1065" s="13">
        <f>IF(OR($A1065="",AND($J1065="",$K1065="")),"",ROUND(N($J1065)-N($K1065),2))</f>
        <v/>
      </c>
      <c r="M1065" s="13">
        <f>IF(OR($A1065="",AND($J1065="",$K1065="")),"",MIN($J1065,$K1065))</f>
        <v/>
      </c>
      <c r="Q1065">
        <f>IF($A1065="","",$D1065&amp;"("&amp;SUBSTITUTE($E1065," ","")&amp;")")</f>
        <v/>
      </c>
      <c r="R1065">
        <f>IF($A1065="","",$B1065&amp;" - "&amp;$C1065)</f>
        <v/>
      </c>
      <c r="S1065">
        <f>IF($A1065="","",$R1065&amp;"|"&amp;$Q1065)</f>
        <v/>
      </c>
      <c r="T1065">
        <f>IF($A1065="","",$S1065&amp;"|"&amp;$F1065)</f>
        <v/>
      </c>
      <c r="U1065">
        <f>IF($A1065="","",$R1065&amp;"("&amp;$E1065&amp;")")</f>
        <v/>
      </c>
      <c r="V1065">
        <f>IF($A1065="","",$F1065&amp;"|"&amp;$U1065&amp;"|"&amp;$D1065)</f>
        <v/>
      </c>
      <c r="W1065">
        <f>IF($T1065="","",IF($X1065&gt;N($X1064),$X1065,""))</f>
        <v/>
      </c>
      <c r="X1065">
        <f>IF($T1065="",N($X1064),IF(MATCH($T1065,$T$6:$T$6005,0)=ROW()-5,N($X1064)+1,N($X1064)))</f>
        <v/>
      </c>
      <c r="Z1065">
        <f>IF($V1065="","",IF($AA1065&gt;N($AA1064),$AA1065,""))</f>
        <v/>
      </c>
      <c r="AA1065">
        <f>IF($V1065="",N($AA1064),IF(MATCH($V1065,$V$6:$V$6005,0)=ROW()-5,N($AA1064)+1,N($AA1064)))</f>
        <v/>
      </c>
    </row>
    <row r="1066" ht="21" customHeight="1" s="66">
      <c r="A1066" s="56" t="n"/>
      <c r="B1066" s="57" t="n"/>
      <c r="C1066" s="57" t="n"/>
      <c r="D1066" s="57" t="n"/>
      <c r="E1066" s="56" t="n"/>
      <c r="F1066" s="57" t="n"/>
      <c r="G1066" s="57" t="n"/>
      <c r="H1066" s="56" t="n"/>
      <c r="I1066" s="56" t="n"/>
      <c r="J1066" s="58" t="n"/>
      <c r="K1066" s="58" t="n"/>
      <c r="L1066" s="13">
        <f>IF(OR($A1066="",AND($J1066="",$K1066="")),"",ROUND(N($J1066)-N($K1066),2))</f>
        <v/>
      </c>
      <c r="M1066" s="13">
        <f>IF(OR($A1066="",AND($J1066="",$K1066="")),"",MIN($J1066,$K1066))</f>
        <v/>
      </c>
      <c r="Q1066">
        <f>IF($A1066="","",$D1066&amp;"("&amp;SUBSTITUTE($E1066," ","")&amp;")")</f>
        <v/>
      </c>
      <c r="R1066">
        <f>IF($A1066="","",$B1066&amp;" - "&amp;$C1066)</f>
        <v/>
      </c>
      <c r="S1066">
        <f>IF($A1066="","",$R1066&amp;"|"&amp;$Q1066)</f>
        <v/>
      </c>
      <c r="T1066">
        <f>IF($A1066="","",$S1066&amp;"|"&amp;$F1066)</f>
        <v/>
      </c>
      <c r="U1066">
        <f>IF($A1066="","",$R1066&amp;"("&amp;$E1066&amp;")")</f>
        <v/>
      </c>
      <c r="V1066">
        <f>IF($A1066="","",$F1066&amp;"|"&amp;$U1066&amp;"|"&amp;$D1066)</f>
        <v/>
      </c>
      <c r="W1066">
        <f>IF($T1066="","",IF($X1066&gt;N($X1065),$X1066,""))</f>
        <v/>
      </c>
      <c r="X1066">
        <f>IF($T1066="",N($X1065),IF(MATCH($T1066,$T$6:$T$6005,0)=ROW()-5,N($X1065)+1,N($X1065)))</f>
        <v/>
      </c>
      <c r="Z1066">
        <f>IF($V1066="","",IF($AA1066&gt;N($AA1065),$AA1066,""))</f>
        <v/>
      </c>
      <c r="AA1066">
        <f>IF($V1066="",N($AA1065),IF(MATCH($V1066,$V$6:$V$6005,0)=ROW()-5,N($AA1065)+1,N($AA1065)))</f>
        <v/>
      </c>
    </row>
    <row r="1067" ht="21" customHeight="1" s="66">
      <c r="A1067" s="56" t="n"/>
      <c r="B1067" s="57" t="n"/>
      <c r="C1067" s="57" t="n"/>
      <c r="D1067" s="57" t="n"/>
      <c r="E1067" s="56" t="n"/>
      <c r="F1067" s="57" t="n"/>
      <c r="G1067" s="57" t="n"/>
      <c r="H1067" s="56" t="n"/>
      <c r="I1067" s="56" t="n"/>
      <c r="J1067" s="58" t="n"/>
      <c r="K1067" s="58" t="n"/>
      <c r="L1067" s="13">
        <f>IF(OR($A1067="",AND($J1067="",$K1067="")),"",ROUND(N($J1067)-N($K1067),2))</f>
        <v/>
      </c>
      <c r="M1067" s="13">
        <f>IF(OR($A1067="",AND($J1067="",$K1067="")),"",MIN($J1067,$K1067))</f>
        <v/>
      </c>
      <c r="Q1067">
        <f>IF($A1067="","",$D1067&amp;"("&amp;SUBSTITUTE($E1067," ","")&amp;")")</f>
        <v/>
      </c>
      <c r="R1067">
        <f>IF($A1067="","",$B1067&amp;" - "&amp;$C1067)</f>
        <v/>
      </c>
      <c r="S1067">
        <f>IF($A1067="","",$R1067&amp;"|"&amp;$Q1067)</f>
        <v/>
      </c>
      <c r="T1067">
        <f>IF($A1067="","",$S1067&amp;"|"&amp;$F1067)</f>
        <v/>
      </c>
      <c r="U1067">
        <f>IF($A1067="","",$R1067&amp;"("&amp;$E1067&amp;")")</f>
        <v/>
      </c>
      <c r="V1067">
        <f>IF($A1067="","",$F1067&amp;"|"&amp;$U1067&amp;"|"&amp;$D1067)</f>
        <v/>
      </c>
      <c r="W1067">
        <f>IF($T1067="","",IF($X1067&gt;N($X1066),$X1067,""))</f>
        <v/>
      </c>
      <c r="X1067">
        <f>IF($T1067="",N($X1066),IF(MATCH($T1067,$T$6:$T$6005,0)=ROW()-5,N($X1066)+1,N($X1066)))</f>
        <v/>
      </c>
      <c r="Z1067">
        <f>IF($V1067="","",IF($AA1067&gt;N($AA1066),$AA1067,""))</f>
        <v/>
      </c>
      <c r="AA1067">
        <f>IF($V1067="",N($AA1066),IF(MATCH($V1067,$V$6:$V$6005,0)=ROW()-5,N($AA1066)+1,N($AA1066)))</f>
        <v/>
      </c>
    </row>
    <row r="1068" ht="21" customHeight="1" s="66">
      <c r="A1068" s="56" t="n"/>
      <c r="B1068" s="57" t="n"/>
      <c r="C1068" s="57" t="n"/>
      <c r="D1068" s="57" t="n"/>
      <c r="E1068" s="56" t="n"/>
      <c r="F1068" s="57" t="n"/>
      <c r="G1068" s="57" t="n"/>
      <c r="H1068" s="56" t="n"/>
      <c r="I1068" s="56" t="n"/>
      <c r="J1068" s="58" t="n"/>
      <c r="K1068" s="58" t="n"/>
      <c r="L1068" s="13">
        <f>IF(OR($A1068="",AND($J1068="",$K1068="")),"",ROUND(N($J1068)-N($K1068),2))</f>
        <v/>
      </c>
      <c r="M1068" s="13">
        <f>IF(OR($A1068="",AND($J1068="",$K1068="")),"",MIN($J1068,$K1068))</f>
        <v/>
      </c>
      <c r="Q1068">
        <f>IF($A1068="","",$D1068&amp;"("&amp;SUBSTITUTE($E1068," ","")&amp;")")</f>
        <v/>
      </c>
      <c r="R1068">
        <f>IF($A1068="","",$B1068&amp;" - "&amp;$C1068)</f>
        <v/>
      </c>
      <c r="S1068">
        <f>IF($A1068="","",$R1068&amp;"|"&amp;$Q1068)</f>
        <v/>
      </c>
      <c r="T1068">
        <f>IF($A1068="","",$S1068&amp;"|"&amp;$F1068)</f>
        <v/>
      </c>
      <c r="U1068">
        <f>IF($A1068="","",$R1068&amp;"("&amp;$E1068&amp;")")</f>
        <v/>
      </c>
      <c r="V1068">
        <f>IF($A1068="","",$F1068&amp;"|"&amp;$U1068&amp;"|"&amp;$D1068)</f>
        <v/>
      </c>
      <c r="W1068">
        <f>IF($T1068="","",IF($X1068&gt;N($X1067),$X1068,""))</f>
        <v/>
      </c>
      <c r="X1068">
        <f>IF($T1068="",N($X1067),IF(MATCH($T1068,$T$6:$T$6005,0)=ROW()-5,N($X1067)+1,N($X1067)))</f>
        <v/>
      </c>
      <c r="Z1068">
        <f>IF($V1068="","",IF($AA1068&gt;N($AA1067),$AA1068,""))</f>
        <v/>
      </c>
      <c r="AA1068">
        <f>IF($V1068="",N($AA1067),IF(MATCH($V1068,$V$6:$V$6005,0)=ROW()-5,N($AA1067)+1,N($AA1067)))</f>
        <v/>
      </c>
    </row>
    <row r="1069" ht="21" customHeight="1" s="66">
      <c r="A1069" s="56" t="n"/>
      <c r="B1069" s="57" t="n"/>
      <c r="C1069" s="57" t="n"/>
      <c r="D1069" s="57" t="n"/>
      <c r="E1069" s="56" t="n"/>
      <c r="F1069" s="57" t="n"/>
      <c r="G1069" s="57" t="n"/>
      <c r="H1069" s="56" t="n"/>
      <c r="I1069" s="56" t="n"/>
      <c r="J1069" s="58" t="n"/>
      <c r="K1069" s="58" t="n"/>
      <c r="L1069" s="13">
        <f>IF(OR($A1069="",AND($J1069="",$K1069="")),"",ROUND(N($J1069)-N($K1069),2))</f>
        <v/>
      </c>
      <c r="M1069" s="13">
        <f>IF(OR($A1069="",AND($J1069="",$K1069="")),"",MIN($J1069,$K1069))</f>
        <v/>
      </c>
      <c r="Q1069">
        <f>IF($A1069="","",$D1069&amp;"("&amp;SUBSTITUTE($E1069," ","")&amp;")")</f>
        <v/>
      </c>
      <c r="R1069">
        <f>IF($A1069="","",$B1069&amp;" - "&amp;$C1069)</f>
        <v/>
      </c>
      <c r="S1069">
        <f>IF($A1069="","",$R1069&amp;"|"&amp;$Q1069)</f>
        <v/>
      </c>
      <c r="T1069">
        <f>IF($A1069="","",$S1069&amp;"|"&amp;$F1069)</f>
        <v/>
      </c>
      <c r="U1069">
        <f>IF($A1069="","",$R1069&amp;"("&amp;$E1069&amp;")")</f>
        <v/>
      </c>
      <c r="V1069">
        <f>IF($A1069="","",$F1069&amp;"|"&amp;$U1069&amp;"|"&amp;$D1069)</f>
        <v/>
      </c>
      <c r="W1069">
        <f>IF($T1069="","",IF($X1069&gt;N($X1068),$X1069,""))</f>
        <v/>
      </c>
      <c r="X1069">
        <f>IF($T1069="",N($X1068),IF(MATCH($T1069,$T$6:$T$6005,0)=ROW()-5,N($X1068)+1,N($X1068)))</f>
        <v/>
      </c>
      <c r="Z1069">
        <f>IF($V1069="","",IF($AA1069&gt;N($AA1068),$AA1069,""))</f>
        <v/>
      </c>
      <c r="AA1069">
        <f>IF($V1069="",N($AA1068),IF(MATCH($V1069,$V$6:$V$6005,0)=ROW()-5,N($AA1068)+1,N($AA1068)))</f>
        <v/>
      </c>
    </row>
    <row r="1070" ht="21" customHeight="1" s="66">
      <c r="A1070" s="56" t="n"/>
      <c r="B1070" s="57" t="n"/>
      <c r="C1070" s="57" t="n"/>
      <c r="D1070" s="57" t="n"/>
      <c r="E1070" s="56" t="n"/>
      <c r="F1070" s="57" t="n"/>
      <c r="G1070" s="57" t="n"/>
      <c r="H1070" s="56" t="n"/>
      <c r="I1070" s="56" t="n"/>
      <c r="J1070" s="58" t="n"/>
      <c r="K1070" s="58" t="n"/>
      <c r="L1070" s="13">
        <f>IF(OR($A1070="",AND($J1070="",$K1070="")),"",ROUND(N($J1070)-N($K1070),2))</f>
        <v/>
      </c>
      <c r="M1070" s="13">
        <f>IF(OR($A1070="",AND($J1070="",$K1070="")),"",MIN($J1070,$K1070))</f>
        <v/>
      </c>
      <c r="Q1070">
        <f>IF($A1070="","",$D1070&amp;"("&amp;SUBSTITUTE($E1070," ","")&amp;")")</f>
        <v/>
      </c>
      <c r="R1070">
        <f>IF($A1070="","",$B1070&amp;" - "&amp;$C1070)</f>
        <v/>
      </c>
      <c r="S1070">
        <f>IF($A1070="","",$R1070&amp;"|"&amp;$Q1070)</f>
        <v/>
      </c>
      <c r="T1070">
        <f>IF($A1070="","",$S1070&amp;"|"&amp;$F1070)</f>
        <v/>
      </c>
      <c r="U1070">
        <f>IF($A1070="","",$R1070&amp;"("&amp;$E1070&amp;")")</f>
        <v/>
      </c>
      <c r="V1070">
        <f>IF($A1070="","",$F1070&amp;"|"&amp;$U1070&amp;"|"&amp;$D1070)</f>
        <v/>
      </c>
      <c r="W1070">
        <f>IF($T1070="","",IF($X1070&gt;N($X1069),$X1070,""))</f>
        <v/>
      </c>
      <c r="X1070">
        <f>IF($T1070="",N($X1069),IF(MATCH($T1070,$T$6:$T$6005,0)=ROW()-5,N($X1069)+1,N($X1069)))</f>
        <v/>
      </c>
      <c r="Z1070">
        <f>IF($V1070="","",IF($AA1070&gt;N($AA1069),$AA1070,""))</f>
        <v/>
      </c>
      <c r="AA1070">
        <f>IF($V1070="",N($AA1069),IF(MATCH($V1070,$V$6:$V$6005,0)=ROW()-5,N($AA1069)+1,N($AA1069)))</f>
        <v/>
      </c>
    </row>
    <row r="1071" ht="21" customHeight="1" s="66">
      <c r="A1071" s="56" t="n"/>
      <c r="B1071" s="57" t="n"/>
      <c r="C1071" s="57" t="n"/>
      <c r="D1071" s="57" t="n"/>
      <c r="E1071" s="56" t="n"/>
      <c r="F1071" s="57" t="n"/>
      <c r="G1071" s="57" t="n"/>
      <c r="H1071" s="56" t="n"/>
      <c r="I1071" s="56" t="n"/>
      <c r="J1071" s="58" t="n"/>
      <c r="K1071" s="58" t="n"/>
      <c r="L1071" s="13">
        <f>IF(OR($A1071="",AND($J1071="",$K1071="")),"",ROUND(N($J1071)-N($K1071),2))</f>
        <v/>
      </c>
      <c r="M1071" s="13">
        <f>IF(OR($A1071="",AND($J1071="",$K1071="")),"",MIN($J1071,$K1071))</f>
        <v/>
      </c>
      <c r="Q1071">
        <f>IF($A1071="","",$D1071&amp;"("&amp;SUBSTITUTE($E1071," ","")&amp;")")</f>
        <v/>
      </c>
      <c r="R1071">
        <f>IF($A1071="","",$B1071&amp;" - "&amp;$C1071)</f>
        <v/>
      </c>
      <c r="S1071">
        <f>IF($A1071="","",$R1071&amp;"|"&amp;$Q1071)</f>
        <v/>
      </c>
      <c r="T1071">
        <f>IF($A1071="","",$S1071&amp;"|"&amp;$F1071)</f>
        <v/>
      </c>
      <c r="U1071">
        <f>IF($A1071="","",$R1071&amp;"("&amp;$E1071&amp;")")</f>
        <v/>
      </c>
      <c r="V1071">
        <f>IF($A1071="","",$F1071&amp;"|"&amp;$U1071&amp;"|"&amp;$D1071)</f>
        <v/>
      </c>
      <c r="W1071">
        <f>IF($T1071="","",IF($X1071&gt;N($X1070),$X1071,""))</f>
        <v/>
      </c>
      <c r="X1071">
        <f>IF($T1071="",N($X1070),IF(MATCH($T1071,$T$6:$T$6005,0)=ROW()-5,N($X1070)+1,N($X1070)))</f>
        <v/>
      </c>
      <c r="Z1071">
        <f>IF($V1071="","",IF($AA1071&gt;N($AA1070),$AA1071,""))</f>
        <v/>
      </c>
      <c r="AA1071">
        <f>IF($V1071="",N($AA1070),IF(MATCH($V1071,$V$6:$V$6005,0)=ROW()-5,N($AA1070)+1,N($AA1070)))</f>
        <v/>
      </c>
    </row>
    <row r="1072" ht="21" customHeight="1" s="66">
      <c r="A1072" s="56" t="n"/>
      <c r="B1072" s="57" t="n"/>
      <c r="C1072" s="57" t="n"/>
      <c r="D1072" s="57" t="n"/>
      <c r="E1072" s="56" t="n"/>
      <c r="F1072" s="57" t="n"/>
      <c r="G1072" s="57" t="n"/>
      <c r="H1072" s="56" t="n"/>
      <c r="I1072" s="56" t="n"/>
      <c r="J1072" s="58" t="n"/>
      <c r="K1072" s="58" t="n"/>
      <c r="L1072" s="13">
        <f>IF(OR($A1072="",AND($J1072="",$K1072="")),"",ROUND(N($J1072)-N($K1072),2))</f>
        <v/>
      </c>
      <c r="M1072" s="13">
        <f>IF(OR($A1072="",AND($J1072="",$K1072="")),"",MIN($J1072,$K1072))</f>
        <v/>
      </c>
      <c r="Q1072">
        <f>IF($A1072="","",$D1072&amp;"("&amp;SUBSTITUTE($E1072," ","")&amp;")")</f>
        <v/>
      </c>
      <c r="R1072">
        <f>IF($A1072="","",$B1072&amp;" - "&amp;$C1072)</f>
        <v/>
      </c>
      <c r="S1072">
        <f>IF($A1072="","",$R1072&amp;"|"&amp;$Q1072)</f>
        <v/>
      </c>
      <c r="T1072">
        <f>IF($A1072="","",$S1072&amp;"|"&amp;$F1072)</f>
        <v/>
      </c>
      <c r="U1072">
        <f>IF($A1072="","",$R1072&amp;"("&amp;$E1072&amp;")")</f>
        <v/>
      </c>
      <c r="V1072">
        <f>IF($A1072="","",$F1072&amp;"|"&amp;$U1072&amp;"|"&amp;$D1072)</f>
        <v/>
      </c>
      <c r="W1072">
        <f>IF($T1072="","",IF($X1072&gt;N($X1071),$X1072,""))</f>
        <v/>
      </c>
      <c r="X1072">
        <f>IF($T1072="",N($X1071),IF(MATCH($T1072,$T$6:$T$6005,0)=ROW()-5,N($X1071)+1,N($X1071)))</f>
        <v/>
      </c>
      <c r="Z1072">
        <f>IF($V1072="","",IF($AA1072&gt;N($AA1071),$AA1072,""))</f>
        <v/>
      </c>
      <c r="AA1072">
        <f>IF($V1072="",N($AA1071),IF(MATCH($V1072,$V$6:$V$6005,0)=ROW()-5,N($AA1071)+1,N($AA1071)))</f>
        <v/>
      </c>
    </row>
    <row r="1073" ht="21" customHeight="1" s="66">
      <c r="A1073" s="56" t="n"/>
      <c r="B1073" s="57" t="n"/>
      <c r="C1073" s="57" t="n"/>
      <c r="D1073" s="57" t="n"/>
      <c r="E1073" s="56" t="n"/>
      <c r="F1073" s="57" t="n"/>
      <c r="G1073" s="57" t="n"/>
      <c r="H1073" s="56" t="n"/>
      <c r="I1073" s="56" t="n"/>
      <c r="J1073" s="58" t="n"/>
      <c r="K1073" s="58" t="n"/>
      <c r="L1073" s="13">
        <f>IF(OR($A1073="",AND($J1073="",$K1073="")),"",ROUND(N($J1073)-N($K1073),2))</f>
        <v/>
      </c>
      <c r="M1073" s="13">
        <f>IF(OR($A1073="",AND($J1073="",$K1073="")),"",MIN($J1073,$K1073))</f>
        <v/>
      </c>
      <c r="Q1073">
        <f>IF($A1073="","",$D1073&amp;"("&amp;SUBSTITUTE($E1073," ","")&amp;")")</f>
        <v/>
      </c>
      <c r="R1073">
        <f>IF($A1073="","",$B1073&amp;" - "&amp;$C1073)</f>
        <v/>
      </c>
      <c r="S1073">
        <f>IF($A1073="","",$R1073&amp;"|"&amp;$Q1073)</f>
        <v/>
      </c>
      <c r="T1073">
        <f>IF($A1073="","",$S1073&amp;"|"&amp;$F1073)</f>
        <v/>
      </c>
      <c r="U1073">
        <f>IF($A1073="","",$R1073&amp;"("&amp;$E1073&amp;")")</f>
        <v/>
      </c>
      <c r="V1073">
        <f>IF($A1073="","",$F1073&amp;"|"&amp;$U1073&amp;"|"&amp;$D1073)</f>
        <v/>
      </c>
      <c r="W1073">
        <f>IF($T1073="","",IF($X1073&gt;N($X1072),$X1073,""))</f>
        <v/>
      </c>
      <c r="X1073">
        <f>IF($T1073="",N($X1072),IF(MATCH($T1073,$T$6:$T$6005,0)=ROW()-5,N($X1072)+1,N($X1072)))</f>
        <v/>
      </c>
      <c r="Z1073">
        <f>IF($V1073="","",IF($AA1073&gt;N($AA1072),$AA1073,""))</f>
        <v/>
      </c>
      <c r="AA1073">
        <f>IF($V1073="",N($AA1072),IF(MATCH($V1073,$V$6:$V$6005,0)=ROW()-5,N($AA1072)+1,N($AA1072)))</f>
        <v/>
      </c>
    </row>
    <row r="1074" ht="21" customHeight="1" s="66">
      <c r="A1074" s="56" t="n"/>
      <c r="B1074" s="57" t="n"/>
      <c r="C1074" s="57" t="n"/>
      <c r="D1074" s="57" t="n"/>
      <c r="E1074" s="56" t="n"/>
      <c r="F1074" s="57" t="n"/>
      <c r="G1074" s="57" t="n"/>
      <c r="H1074" s="56" t="n"/>
      <c r="I1074" s="56" t="n"/>
      <c r="J1074" s="58" t="n"/>
      <c r="K1074" s="58" t="n"/>
      <c r="L1074" s="13">
        <f>IF(OR($A1074="",AND($J1074="",$K1074="")),"",ROUND(N($J1074)-N($K1074),2))</f>
        <v/>
      </c>
      <c r="M1074" s="13">
        <f>IF(OR($A1074="",AND($J1074="",$K1074="")),"",MIN($J1074,$K1074))</f>
        <v/>
      </c>
      <c r="Q1074">
        <f>IF($A1074="","",$D1074&amp;"("&amp;SUBSTITUTE($E1074," ","")&amp;")")</f>
        <v/>
      </c>
      <c r="R1074">
        <f>IF($A1074="","",$B1074&amp;" - "&amp;$C1074)</f>
        <v/>
      </c>
      <c r="S1074">
        <f>IF($A1074="","",$R1074&amp;"|"&amp;$Q1074)</f>
        <v/>
      </c>
      <c r="T1074">
        <f>IF($A1074="","",$S1074&amp;"|"&amp;$F1074)</f>
        <v/>
      </c>
      <c r="U1074">
        <f>IF($A1074="","",$R1074&amp;"("&amp;$E1074&amp;")")</f>
        <v/>
      </c>
      <c r="V1074">
        <f>IF($A1074="","",$F1074&amp;"|"&amp;$U1074&amp;"|"&amp;$D1074)</f>
        <v/>
      </c>
      <c r="W1074">
        <f>IF($T1074="","",IF($X1074&gt;N($X1073),$X1074,""))</f>
        <v/>
      </c>
      <c r="X1074">
        <f>IF($T1074="",N($X1073),IF(MATCH($T1074,$T$6:$T$6005,0)=ROW()-5,N($X1073)+1,N($X1073)))</f>
        <v/>
      </c>
      <c r="Z1074">
        <f>IF($V1074="","",IF($AA1074&gt;N($AA1073),$AA1074,""))</f>
        <v/>
      </c>
      <c r="AA1074">
        <f>IF($V1074="",N($AA1073),IF(MATCH($V1074,$V$6:$V$6005,0)=ROW()-5,N($AA1073)+1,N($AA1073)))</f>
        <v/>
      </c>
    </row>
    <row r="1075" ht="21" customHeight="1" s="66">
      <c r="A1075" s="56" t="n"/>
      <c r="B1075" s="57" t="n"/>
      <c r="C1075" s="57" t="n"/>
      <c r="D1075" s="57" t="n"/>
      <c r="E1075" s="56" t="n"/>
      <c r="F1075" s="57" t="n"/>
      <c r="G1075" s="57" t="n"/>
      <c r="H1075" s="56" t="n"/>
      <c r="I1075" s="56" t="n"/>
      <c r="J1075" s="58" t="n"/>
      <c r="K1075" s="58" t="n"/>
      <c r="L1075" s="13">
        <f>IF(OR($A1075="",AND($J1075="",$K1075="")),"",ROUND(N($J1075)-N($K1075),2))</f>
        <v/>
      </c>
      <c r="M1075" s="13">
        <f>IF(OR($A1075="",AND($J1075="",$K1075="")),"",MIN($J1075,$K1075))</f>
        <v/>
      </c>
      <c r="Q1075">
        <f>IF($A1075="","",$D1075&amp;"("&amp;SUBSTITUTE($E1075," ","")&amp;")")</f>
        <v/>
      </c>
      <c r="R1075">
        <f>IF($A1075="","",$B1075&amp;" - "&amp;$C1075)</f>
        <v/>
      </c>
      <c r="S1075">
        <f>IF($A1075="","",$R1075&amp;"|"&amp;$Q1075)</f>
        <v/>
      </c>
      <c r="T1075">
        <f>IF($A1075="","",$S1075&amp;"|"&amp;$F1075)</f>
        <v/>
      </c>
      <c r="U1075">
        <f>IF($A1075="","",$R1075&amp;"("&amp;$E1075&amp;")")</f>
        <v/>
      </c>
      <c r="V1075">
        <f>IF($A1075="","",$F1075&amp;"|"&amp;$U1075&amp;"|"&amp;$D1075)</f>
        <v/>
      </c>
      <c r="W1075">
        <f>IF($T1075="","",IF($X1075&gt;N($X1074),$X1075,""))</f>
        <v/>
      </c>
      <c r="X1075">
        <f>IF($T1075="",N($X1074),IF(MATCH($T1075,$T$6:$T$6005,0)=ROW()-5,N($X1074)+1,N($X1074)))</f>
        <v/>
      </c>
      <c r="Z1075">
        <f>IF($V1075="","",IF($AA1075&gt;N($AA1074),$AA1075,""))</f>
        <v/>
      </c>
      <c r="AA1075">
        <f>IF($V1075="",N($AA1074),IF(MATCH($V1075,$V$6:$V$6005,0)=ROW()-5,N($AA1074)+1,N($AA1074)))</f>
        <v/>
      </c>
    </row>
    <row r="1076" ht="21" customHeight="1" s="66">
      <c r="A1076" s="56" t="n"/>
      <c r="B1076" s="57" t="n"/>
      <c r="C1076" s="57" t="n"/>
      <c r="D1076" s="57" t="n"/>
      <c r="E1076" s="56" t="n"/>
      <c r="F1076" s="57" t="n"/>
      <c r="G1076" s="57" t="n"/>
      <c r="H1076" s="56" t="n"/>
      <c r="I1076" s="56" t="n"/>
      <c r="J1076" s="58" t="n"/>
      <c r="K1076" s="58" t="n"/>
      <c r="L1076" s="13">
        <f>IF(OR($A1076="",AND($J1076="",$K1076="")),"",ROUND(N($J1076)-N($K1076),2))</f>
        <v/>
      </c>
      <c r="M1076" s="13">
        <f>IF(OR($A1076="",AND($J1076="",$K1076="")),"",MIN($J1076,$K1076))</f>
        <v/>
      </c>
      <c r="Q1076">
        <f>IF($A1076="","",$D1076&amp;"("&amp;SUBSTITUTE($E1076," ","")&amp;")")</f>
        <v/>
      </c>
      <c r="R1076">
        <f>IF($A1076="","",$B1076&amp;" - "&amp;$C1076)</f>
        <v/>
      </c>
      <c r="S1076">
        <f>IF($A1076="","",$R1076&amp;"|"&amp;$Q1076)</f>
        <v/>
      </c>
      <c r="T1076">
        <f>IF($A1076="","",$S1076&amp;"|"&amp;$F1076)</f>
        <v/>
      </c>
      <c r="U1076">
        <f>IF($A1076="","",$R1076&amp;"("&amp;$E1076&amp;")")</f>
        <v/>
      </c>
      <c r="V1076">
        <f>IF($A1076="","",$F1076&amp;"|"&amp;$U1076&amp;"|"&amp;$D1076)</f>
        <v/>
      </c>
      <c r="W1076">
        <f>IF($T1076="","",IF($X1076&gt;N($X1075),$X1076,""))</f>
        <v/>
      </c>
      <c r="X1076">
        <f>IF($T1076="",N($X1075),IF(MATCH($T1076,$T$6:$T$6005,0)=ROW()-5,N($X1075)+1,N($X1075)))</f>
        <v/>
      </c>
      <c r="Z1076">
        <f>IF($V1076="","",IF($AA1076&gt;N($AA1075),$AA1076,""))</f>
        <v/>
      </c>
      <c r="AA1076">
        <f>IF($V1076="",N($AA1075),IF(MATCH($V1076,$V$6:$V$6005,0)=ROW()-5,N($AA1075)+1,N($AA1075)))</f>
        <v/>
      </c>
    </row>
    <row r="1077" ht="21" customHeight="1" s="66">
      <c r="A1077" s="56" t="n"/>
      <c r="B1077" s="57" t="n"/>
      <c r="C1077" s="57" t="n"/>
      <c r="D1077" s="57" t="n"/>
      <c r="E1077" s="56" t="n"/>
      <c r="F1077" s="57" t="n"/>
      <c r="G1077" s="57" t="n"/>
      <c r="H1077" s="56" t="n"/>
      <c r="I1077" s="56" t="n"/>
      <c r="J1077" s="58" t="n"/>
      <c r="K1077" s="58" t="n"/>
      <c r="L1077" s="13">
        <f>IF(OR($A1077="",AND($J1077="",$K1077="")),"",ROUND(N($J1077)-N($K1077),2))</f>
        <v/>
      </c>
      <c r="M1077" s="13">
        <f>IF(OR($A1077="",AND($J1077="",$K1077="")),"",MIN($J1077,$K1077))</f>
        <v/>
      </c>
      <c r="Q1077">
        <f>IF($A1077="","",$D1077&amp;"("&amp;SUBSTITUTE($E1077," ","")&amp;")")</f>
        <v/>
      </c>
      <c r="R1077">
        <f>IF($A1077="","",$B1077&amp;" - "&amp;$C1077)</f>
        <v/>
      </c>
      <c r="S1077">
        <f>IF($A1077="","",$R1077&amp;"|"&amp;$Q1077)</f>
        <v/>
      </c>
      <c r="T1077">
        <f>IF($A1077="","",$S1077&amp;"|"&amp;$F1077)</f>
        <v/>
      </c>
      <c r="U1077">
        <f>IF($A1077="","",$R1077&amp;"("&amp;$E1077&amp;")")</f>
        <v/>
      </c>
      <c r="V1077">
        <f>IF($A1077="","",$F1077&amp;"|"&amp;$U1077&amp;"|"&amp;$D1077)</f>
        <v/>
      </c>
      <c r="W1077">
        <f>IF($T1077="","",IF($X1077&gt;N($X1076),$X1077,""))</f>
        <v/>
      </c>
      <c r="X1077">
        <f>IF($T1077="",N($X1076),IF(MATCH($T1077,$T$6:$T$6005,0)=ROW()-5,N($X1076)+1,N($X1076)))</f>
        <v/>
      </c>
      <c r="Z1077">
        <f>IF($V1077="","",IF($AA1077&gt;N($AA1076),$AA1077,""))</f>
        <v/>
      </c>
      <c r="AA1077">
        <f>IF($V1077="",N($AA1076),IF(MATCH($V1077,$V$6:$V$6005,0)=ROW()-5,N($AA1076)+1,N($AA1076)))</f>
        <v/>
      </c>
    </row>
    <row r="1078" ht="21" customHeight="1" s="66">
      <c r="A1078" s="56" t="n"/>
      <c r="B1078" s="57" t="n"/>
      <c r="C1078" s="57" t="n"/>
      <c r="D1078" s="57" t="n"/>
      <c r="E1078" s="56" t="n"/>
      <c r="F1078" s="57" t="n"/>
      <c r="G1078" s="57" t="n"/>
      <c r="H1078" s="56" t="n"/>
      <c r="I1078" s="56" t="n"/>
      <c r="J1078" s="58" t="n"/>
      <c r="K1078" s="58" t="n"/>
      <c r="L1078" s="13">
        <f>IF(OR($A1078="",AND($J1078="",$K1078="")),"",ROUND(N($J1078)-N($K1078),2))</f>
        <v/>
      </c>
      <c r="M1078" s="13">
        <f>IF(OR($A1078="",AND($J1078="",$K1078="")),"",MIN($J1078,$K1078))</f>
        <v/>
      </c>
      <c r="Q1078">
        <f>IF($A1078="","",$D1078&amp;"("&amp;SUBSTITUTE($E1078," ","")&amp;")")</f>
        <v/>
      </c>
      <c r="R1078">
        <f>IF($A1078="","",$B1078&amp;" - "&amp;$C1078)</f>
        <v/>
      </c>
      <c r="S1078">
        <f>IF($A1078="","",$R1078&amp;"|"&amp;$Q1078)</f>
        <v/>
      </c>
      <c r="T1078">
        <f>IF($A1078="","",$S1078&amp;"|"&amp;$F1078)</f>
        <v/>
      </c>
      <c r="U1078">
        <f>IF($A1078="","",$R1078&amp;"("&amp;$E1078&amp;")")</f>
        <v/>
      </c>
      <c r="V1078">
        <f>IF($A1078="","",$F1078&amp;"|"&amp;$U1078&amp;"|"&amp;$D1078)</f>
        <v/>
      </c>
      <c r="W1078">
        <f>IF($T1078="","",IF($X1078&gt;N($X1077),$X1078,""))</f>
        <v/>
      </c>
      <c r="X1078">
        <f>IF($T1078="",N($X1077),IF(MATCH($T1078,$T$6:$T$6005,0)=ROW()-5,N($X1077)+1,N($X1077)))</f>
        <v/>
      </c>
      <c r="Z1078">
        <f>IF($V1078="","",IF($AA1078&gt;N($AA1077),$AA1078,""))</f>
        <v/>
      </c>
      <c r="AA1078">
        <f>IF($V1078="",N($AA1077),IF(MATCH($V1078,$V$6:$V$6005,0)=ROW()-5,N($AA1077)+1,N($AA1077)))</f>
        <v/>
      </c>
    </row>
    <row r="1079" ht="21" customHeight="1" s="66">
      <c r="A1079" s="56" t="n"/>
      <c r="B1079" s="57" t="n"/>
      <c r="C1079" s="57" t="n"/>
      <c r="D1079" s="57" t="n"/>
      <c r="E1079" s="56" t="n"/>
      <c r="F1079" s="57" t="n"/>
      <c r="G1079" s="57" t="n"/>
      <c r="H1079" s="56" t="n"/>
      <c r="I1079" s="56" t="n"/>
      <c r="J1079" s="58" t="n"/>
      <c r="K1079" s="58" t="n"/>
      <c r="L1079" s="13">
        <f>IF(OR($A1079="",AND($J1079="",$K1079="")),"",ROUND(N($J1079)-N($K1079),2))</f>
        <v/>
      </c>
      <c r="M1079" s="13">
        <f>IF(OR($A1079="",AND($J1079="",$K1079="")),"",MIN($J1079,$K1079))</f>
        <v/>
      </c>
      <c r="Q1079">
        <f>IF($A1079="","",$D1079&amp;"("&amp;SUBSTITUTE($E1079," ","")&amp;")")</f>
        <v/>
      </c>
      <c r="R1079">
        <f>IF($A1079="","",$B1079&amp;" - "&amp;$C1079)</f>
        <v/>
      </c>
      <c r="S1079">
        <f>IF($A1079="","",$R1079&amp;"|"&amp;$Q1079)</f>
        <v/>
      </c>
      <c r="T1079">
        <f>IF($A1079="","",$S1079&amp;"|"&amp;$F1079)</f>
        <v/>
      </c>
      <c r="U1079">
        <f>IF($A1079="","",$R1079&amp;"("&amp;$E1079&amp;")")</f>
        <v/>
      </c>
      <c r="V1079">
        <f>IF($A1079="","",$F1079&amp;"|"&amp;$U1079&amp;"|"&amp;$D1079)</f>
        <v/>
      </c>
      <c r="W1079">
        <f>IF($T1079="","",IF($X1079&gt;N($X1078),$X1079,""))</f>
        <v/>
      </c>
      <c r="X1079">
        <f>IF($T1079="",N($X1078),IF(MATCH($T1079,$T$6:$T$6005,0)=ROW()-5,N($X1078)+1,N($X1078)))</f>
        <v/>
      </c>
      <c r="Z1079">
        <f>IF($V1079="","",IF($AA1079&gt;N($AA1078),$AA1079,""))</f>
        <v/>
      </c>
      <c r="AA1079">
        <f>IF($V1079="",N($AA1078),IF(MATCH($V1079,$V$6:$V$6005,0)=ROW()-5,N($AA1078)+1,N($AA1078)))</f>
        <v/>
      </c>
    </row>
    <row r="1080" ht="21" customHeight="1" s="66">
      <c r="A1080" s="56" t="n"/>
      <c r="B1080" s="57" t="n"/>
      <c r="C1080" s="57" t="n"/>
      <c r="D1080" s="57" t="n"/>
      <c r="E1080" s="56" t="n"/>
      <c r="F1080" s="57" t="n"/>
      <c r="G1080" s="57" t="n"/>
      <c r="H1080" s="56" t="n"/>
      <c r="I1080" s="56" t="n"/>
      <c r="J1080" s="58" t="n"/>
      <c r="K1080" s="58" t="n"/>
      <c r="L1080" s="13">
        <f>IF(OR($A1080="",AND($J1080="",$K1080="")),"",ROUND(N($J1080)-N($K1080),2))</f>
        <v/>
      </c>
      <c r="M1080" s="13">
        <f>IF(OR($A1080="",AND($J1080="",$K1080="")),"",MIN($J1080,$K1080))</f>
        <v/>
      </c>
      <c r="Q1080">
        <f>IF($A1080="","",$D1080&amp;"("&amp;SUBSTITUTE($E1080," ","")&amp;")")</f>
        <v/>
      </c>
      <c r="R1080">
        <f>IF($A1080="","",$B1080&amp;" - "&amp;$C1080)</f>
        <v/>
      </c>
      <c r="S1080">
        <f>IF($A1080="","",$R1080&amp;"|"&amp;$Q1080)</f>
        <v/>
      </c>
      <c r="T1080">
        <f>IF($A1080="","",$S1080&amp;"|"&amp;$F1080)</f>
        <v/>
      </c>
      <c r="U1080">
        <f>IF($A1080="","",$R1080&amp;"("&amp;$E1080&amp;")")</f>
        <v/>
      </c>
      <c r="V1080">
        <f>IF($A1080="","",$F1080&amp;"|"&amp;$U1080&amp;"|"&amp;$D1080)</f>
        <v/>
      </c>
      <c r="W1080">
        <f>IF($T1080="","",IF($X1080&gt;N($X1079),$X1080,""))</f>
        <v/>
      </c>
      <c r="X1080">
        <f>IF($T1080="",N($X1079),IF(MATCH($T1080,$T$6:$T$6005,0)=ROW()-5,N($X1079)+1,N($X1079)))</f>
        <v/>
      </c>
      <c r="Z1080">
        <f>IF($V1080="","",IF($AA1080&gt;N($AA1079),$AA1080,""))</f>
        <v/>
      </c>
      <c r="AA1080">
        <f>IF($V1080="",N($AA1079),IF(MATCH($V1080,$V$6:$V$6005,0)=ROW()-5,N($AA1079)+1,N($AA1079)))</f>
        <v/>
      </c>
    </row>
    <row r="1081" ht="21" customHeight="1" s="66">
      <c r="A1081" s="56" t="n"/>
      <c r="B1081" s="57" t="n"/>
      <c r="C1081" s="57" t="n"/>
      <c r="D1081" s="57" t="n"/>
      <c r="E1081" s="56" t="n"/>
      <c r="F1081" s="57" t="n"/>
      <c r="G1081" s="57" t="n"/>
      <c r="H1081" s="56" t="n"/>
      <c r="I1081" s="56" t="n"/>
      <c r="J1081" s="58" t="n"/>
      <c r="K1081" s="58" t="n"/>
      <c r="L1081" s="13">
        <f>IF(OR($A1081="",AND($J1081="",$K1081="")),"",ROUND(N($J1081)-N($K1081),2))</f>
        <v/>
      </c>
      <c r="M1081" s="13">
        <f>IF(OR($A1081="",AND($J1081="",$K1081="")),"",MIN($J1081,$K1081))</f>
        <v/>
      </c>
      <c r="Q1081">
        <f>IF($A1081="","",$D1081&amp;"("&amp;SUBSTITUTE($E1081," ","")&amp;")")</f>
        <v/>
      </c>
      <c r="R1081">
        <f>IF($A1081="","",$B1081&amp;" - "&amp;$C1081)</f>
        <v/>
      </c>
      <c r="S1081">
        <f>IF($A1081="","",$R1081&amp;"|"&amp;$Q1081)</f>
        <v/>
      </c>
      <c r="T1081">
        <f>IF($A1081="","",$S1081&amp;"|"&amp;$F1081)</f>
        <v/>
      </c>
      <c r="U1081">
        <f>IF($A1081="","",$R1081&amp;"("&amp;$E1081&amp;")")</f>
        <v/>
      </c>
      <c r="V1081">
        <f>IF($A1081="","",$F1081&amp;"|"&amp;$U1081&amp;"|"&amp;$D1081)</f>
        <v/>
      </c>
      <c r="W1081">
        <f>IF($T1081="","",IF($X1081&gt;N($X1080),$X1081,""))</f>
        <v/>
      </c>
      <c r="X1081">
        <f>IF($T1081="",N($X1080),IF(MATCH($T1081,$T$6:$T$6005,0)=ROW()-5,N($X1080)+1,N($X1080)))</f>
        <v/>
      </c>
      <c r="Z1081">
        <f>IF($V1081="","",IF($AA1081&gt;N($AA1080),$AA1081,""))</f>
        <v/>
      </c>
      <c r="AA1081">
        <f>IF($V1081="",N($AA1080),IF(MATCH($V1081,$V$6:$V$6005,0)=ROW()-5,N($AA1080)+1,N($AA1080)))</f>
        <v/>
      </c>
    </row>
    <row r="1082" ht="21" customHeight="1" s="66">
      <c r="A1082" s="56" t="n"/>
      <c r="B1082" s="57" t="n"/>
      <c r="C1082" s="57" t="n"/>
      <c r="D1082" s="57" t="n"/>
      <c r="E1082" s="56" t="n"/>
      <c r="F1082" s="57" t="n"/>
      <c r="G1082" s="57" t="n"/>
      <c r="H1082" s="56" t="n"/>
      <c r="I1082" s="56" t="n"/>
      <c r="J1082" s="58" t="n"/>
      <c r="K1082" s="58" t="n"/>
      <c r="L1082" s="13">
        <f>IF(OR($A1082="",AND($J1082="",$K1082="")),"",ROUND(N($J1082)-N($K1082),2))</f>
        <v/>
      </c>
      <c r="M1082" s="13">
        <f>IF(OR($A1082="",AND($J1082="",$K1082="")),"",MIN($J1082,$K1082))</f>
        <v/>
      </c>
      <c r="Q1082">
        <f>IF($A1082="","",$D1082&amp;"("&amp;SUBSTITUTE($E1082," ","")&amp;")")</f>
        <v/>
      </c>
      <c r="R1082">
        <f>IF($A1082="","",$B1082&amp;" - "&amp;$C1082)</f>
        <v/>
      </c>
      <c r="S1082">
        <f>IF($A1082="","",$R1082&amp;"|"&amp;$Q1082)</f>
        <v/>
      </c>
      <c r="T1082">
        <f>IF($A1082="","",$S1082&amp;"|"&amp;$F1082)</f>
        <v/>
      </c>
      <c r="U1082">
        <f>IF($A1082="","",$R1082&amp;"("&amp;$E1082&amp;")")</f>
        <v/>
      </c>
      <c r="V1082">
        <f>IF($A1082="","",$F1082&amp;"|"&amp;$U1082&amp;"|"&amp;$D1082)</f>
        <v/>
      </c>
      <c r="W1082">
        <f>IF($T1082="","",IF($X1082&gt;N($X1081),$X1082,""))</f>
        <v/>
      </c>
      <c r="X1082">
        <f>IF($T1082="",N($X1081),IF(MATCH($T1082,$T$6:$T$6005,0)=ROW()-5,N($X1081)+1,N($X1081)))</f>
        <v/>
      </c>
      <c r="Z1082">
        <f>IF($V1082="","",IF($AA1082&gt;N($AA1081),$AA1082,""))</f>
        <v/>
      </c>
      <c r="AA1082">
        <f>IF($V1082="",N($AA1081),IF(MATCH($V1082,$V$6:$V$6005,0)=ROW()-5,N($AA1081)+1,N($AA1081)))</f>
        <v/>
      </c>
    </row>
    <row r="1083" ht="21" customHeight="1" s="66">
      <c r="A1083" s="56" t="n"/>
      <c r="B1083" s="57" t="n"/>
      <c r="C1083" s="57" t="n"/>
      <c r="D1083" s="57" t="n"/>
      <c r="E1083" s="56" t="n"/>
      <c r="F1083" s="57" t="n"/>
      <c r="G1083" s="57" t="n"/>
      <c r="H1083" s="56" t="n"/>
      <c r="I1083" s="56" t="n"/>
      <c r="J1083" s="58" t="n"/>
      <c r="K1083" s="58" t="n"/>
      <c r="L1083" s="13">
        <f>IF(OR($A1083="",AND($J1083="",$K1083="")),"",ROUND(N($J1083)-N($K1083),2))</f>
        <v/>
      </c>
      <c r="M1083" s="13">
        <f>IF(OR($A1083="",AND($J1083="",$K1083="")),"",MIN($J1083,$K1083))</f>
        <v/>
      </c>
      <c r="Q1083">
        <f>IF($A1083="","",$D1083&amp;"("&amp;SUBSTITUTE($E1083," ","")&amp;")")</f>
        <v/>
      </c>
      <c r="R1083">
        <f>IF($A1083="","",$B1083&amp;" - "&amp;$C1083)</f>
        <v/>
      </c>
      <c r="S1083">
        <f>IF($A1083="","",$R1083&amp;"|"&amp;$Q1083)</f>
        <v/>
      </c>
      <c r="T1083">
        <f>IF($A1083="","",$S1083&amp;"|"&amp;$F1083)</f>
        <v/>
      </c>
      <c r="U1083">
        <f>IF($A1083="","",$R1083&amp;"("&amp;$E1083&amp;")")</f>
        <v/>
      </c>
      <c r="V1083">
        <f>IF($A1083="","",$F1083&amp;"|"&amp;$U1083&amp;"|"&amp;$D1083)</f>
        <v/>
      </c>
      <c r="W1083">
        <f>IF($T1083="","",IF($X1083&gt;N($X1082),$X1083,""))</f>
        <v/>
      </c>
      <c r="X1083">
        <f>IF($T1083="",N($X1082),IF(MATCH($T1083,$T$6:$T$6005,0)=ROW()-5,N($X1082)+1,N($X1082)))</f>
        <v/>
      </c>
      <c r="Z1083">
        <f>IF($V1083="","",IF($AA1083&gt;N($AA1082),$AA1083,""))</f>
        <v/>
      </c>
      <c r="AA1083">
        <f>IF($V1083="",N($AA1082),IF(MATCH($V1083,$V$6:$V$6005,0)=ROW()-5,N($AA1082)+1,N($AA1082)))</f>
        <v/>
      </c>
    </row>
    <row r="1084" ht="21" customHeight="1" s="66">
      <c r="A1084" s="56" t="n"/>
      <c r="B1084" s="57" t="n"/>
      <c r="C1084" s="57" t="n"/>
      <c r="D1084" s="57" t="n"/>
      <c r="E1084" s="56" t="n"/>
      <c r="F1084" s="57" t="n"/>
      <c r="G1084" s="57" t="n"/>
      <c r="H1084" s="56" t="n"/>
      <c r="I1084" s="56" t="n"/>
      <c r="J1084" s="58" t="n"/>
      <c r="K1084" s="58" t="n"/>
      <c r="L1084" s="13">
        <f>IF(OR($A1084="",AND($J1084="",$K1084="")),"",ROUND(N($J1084)-N($K1084),2))</f>
        <v/>
      </c>
      <c r="M1084" s="13">
        <f>IF(OR($A1084="",AND($J1084="",$K1084="")),"",MIN($J1084,$K1084))</f>
        <v/>
      </c>
      <c r="Q1084">
        <f>IF($A1084="","",$D1084&amp;"("&amp;SUBSTITUTE($E1084," ","")&amp;")")</f>
        <v/>
      </c>
      <c r="R1084">
        <f>IF($A1084="","",$B1084&amp;" - "&amp;$C1084)</f>
        <v/>
      </c>
      <c r="S1084">
        <f>IF($A1084="","",$R1084&amp;"|"&amp;$Q1084)</f>
        <v/>
      </c>
      <c r="T1084">
        <f>IF($A1084="","",$S1084&amp;"|"&amp;$F1084)</f>
        <v/>
      </c>
      <c r="U1084">
        <f>IF($A1084="","",$R1084&amp;"("&amp;$E1084&amp;")")</f>
        <v/>
      </c>
      <c r="V1084">
        <f>IF($A1084="","",$F1084&amp;"|"&amp;$U1084&amp;"|"&amp;$D1084)</f>
        <v/>
      </c>
      <c r="W1084">
        <f>IF($T1084="","",IF($X1084&gt;N($X1083),$X1084,""))</f>
        <v/>
      </c>
      <c r="X1084">
        <f>IF($T1084="",N($X1083),IF(MATCH($T1084,$T$6:$T$6005,0)=ROW()-5,N($X1083)+1,N($X1083)))</f>
        <v/>
      </c>
      <c r="Z1084">
        <f>IF($V1084="","",IF($AA1084&gt;N($AA1083),$AA1084,""))</f>
        <v/>
      </c>
      <c r="AA1084">
        <f>IF($V1084="",N($AA1083),IF(MATCH($V1084,$V$6:$V$6005,0)=ROW()-5,N($AA1083)+1,N($AA1083)))</f>
        <v/>
      </c>
    </row>
    <row r="1085" ht="21" customHeight="1" s="66">
      <c r="A1085" s="56" t="n"/>
      <c r="B1085" s="57" t="n"/>
      <c r="C1085" s="57" t="n"/>
      <c r="D1085" s="57" t="n"/>
      <c r="E1085" s="56" t="n"/>
      <c r="F1085" s="57" t="n"/>
      <c r="G1085" s="57" t="n"/>
      <c r="H1085" s="56" t="n"/>
      <c r="I1085" s="56" t="n"/>
      <c r="J1085" s="58" t="n"/>
      <c r="K1085" s="58" t="n"/>
      <c r="L1085" s="13">
        <f>IF(OR($A1085="",AND($J1085="",$K1085="")),"",ROUND(N($J1085)-N($K1085),2))</f>
        <v/>
      </c>
      <c r="M1085" s="13">
        <f>IF(OR($A1085="",AND($J1085="",$K1085="")),"",MIN($J1085,$K1085))</f>
        <v/>
      </c>
      <c r="Q1085">
        <f>IF($A1085="","",$D1085&amp;"("&amp;SUBSTITUTE($E1085," ","")&amp;")")</f>
        <v/>
      </c>
      <c r="R1085">
        <f>IF($A1085="","",$B1085&amp;" - "&amp;$C1085)</f>
        <v/>
      </c>
      <c r="S1085">
        <f>IF($A1085="","",$R1085&amp;"|"&amp;$Q1085)</f>
        <v/>
      </c>
      <c r="T1085">
        <f>IF($A1085="","",$S1085&amp;"|"&amp;$F1085)</f>
        <v/>
      </c>
      <c r="U1085">
        <f>IF($A1085="","",$R1085&amp;"("&amp;$E1085&amp;")")</f>
        <v/>
      </c>
      <c r="V1085">
        <f>IF($A1085="","",$F1085&amp;"|"&amp;$U1085&amp;"|"&amp;$D1085)</f>
        <v/>
      </c>
      <c r="W1085">
        <f>IF($T1085="","",IF($X1085&gt;N($X1084),$X1085,""))</f>
        <v/>
      </c>
      <c r="X1085">
        <f>IF($T1085="",N($X1084),IF(MATCH($T1085,$T$6:$T$6005,0)=ROW()-5,N($X1084)+1,N($X1084)))</f>
        <v/>
      </c>
      <c r="Z1085">
        <f>IF($V1085="","",IF($AA1085&gt;N($AA1084),$AA1085,""))</f>
        <v/>
      </c>
      <c r="AA1085">
        <f>IF($V1085="",N($AA1084),IF(MATCH($V1085,$V$6:$V$6005,0)=ROW()-5,N($AA1084)+1,N($AA1084)))</f>
        <v/>
      </c>
    </row>
    <row r="1086" ht="21" customHeight="1" s="66">
      <c r="A1086" s="56" t="n"/>
      <c r="B1086" s="57" t="n"/>
      <c r="C1086" s="57" t="n"/>
      <c r="D1086" s="57" t="n"/>
      <c r="E1086" s="56" t="n"/>
      <c r="F1086" s="57" t="n"/>
      <c r="G1086" s="57" t="n"/>
      <c r="H1086" s="56" t="n"/>
      <c r="I1086" s="56" t="n"/>
      <c r="J1086" s="58" t="n"/>
      <c r="K1086" s="58" t="n"/>
      <c r="L1086" s="13">
        <f>IF(OR($A1086="",AND($J1086="",$K1086="")),"",ROUND(N($J1086)-N($K1086),2))</f>
        <v/>
      </c>
      <c r="M1086" s="13">
        <f>IF(OR($A1086="",AND($J1086="",$K1086="")),"",MIN($J1086,$K1086))</f>
        <v/>
      </c>
      <c r="Q1086">
        <f>IF($A1086="","",$D1086&amp;"("&amp;SUBSTITUTE($E1086," ","")&amp;")")</f>
        <v/>
      </c>
      <c r="R1086">
        <f>IF($A1086="","",$B1086&amp;" - "&amp;$C1086)</f>
        <v/>
      </c>
      <c r="S1086">
        <f>IF($A1086="","",$R1086&amp;"|"&amp;$Q1086)</f>
        <v/>
      </c>
      <c r="T1086">
        <f>IF($A1086="","",$S1086&amp;"|"&amp;$F1086)</f>
        <v/>
      </c>
      <c r="U1086">
        <f>IF($A1086="","",$R1086&amp;"("&amp;$E1086&amp;")")</f>
        <v/>
      </c>
      <c r="V1086">
        <f>IF($A1086="","",$F1086&amp;"|"&amp;$U1086&amp;"|"&amp;$D1086)</f>
        <v/>
      </c>
      <c r="W1086">
        <f>IF($T1086="","",IF($X1086&gt;N($X1085),$X1086,""))</f>
        <v/>
      </c>
      <c r="X1086">
        <f>IF($T1086="",N($X1085),IF(MATCH($T1086,$T$6:$T$6005,0)=ROW()-5,N($X1085)+1,N($X1085)))</f>
        <v/>
      </c>
      <c r="Z1086">
        <f>IF($V1086="","",IF($AA1086&gt;N($AA1085),$AA1086,""))</f>
        <v/>
      </c>
      <c r="AA1086">
        <f>IF($V1086="",N($AA1085),IF(MATCH($V1086,$V$6:$V$6005,0)=ROW()-5,N($AA1085)+1,N($AA1085)))</f>
        <v/>
      </c>
    </row>
    <row r="1087" ht="21" customHeight="1" s="66">
      <c r="A1087" s="56" t="n"/>
      <c r="B1087" s="57" t="n"/>
      <c r="C1087" s="57" t="n"/>
      <c r="D1087" s="57" t="n"/>
      <c r="E1087" s="56" t="n"/>
      <c r="F1087" s="57" t="n"/>
      <c r="G1087" s="57" t="n"/>
      <c r="H1087" s="56" t="n"/>
      <c r="I1087" s="56" t="n"/>
      <c r="J1087" s="58" t="n"/>
      <c r="K1087" s="58" t="n"/>
      <c r="L1087" s="13">
        <f>IF(OR($A1087="",AND($J1087="",$K1087="")),"",ROUND(N($J1087)-N($K1087),2))</f>
        <v/>
      </c>
      <c r="M1087" s="13">
        <f>IF(OR($A1087="",AND($J1087="",$K1087="")),"",MIN($J1087,$K1087))</f>
        <v/>
      </c>
      <c r="Q1087">
        <f>IF($A1087="","",$D1087&amp;"("&amp;SUBSTITUTE($E1087," ","")&amp;")")</f>
        <v/>
      </c>
      <c r="R1087">
        <f>IF($A1087="","",$B1087&amp;" - "&amp;$C1087)</f>
        <v/>
      </c>
      <c r="S1087">
        <f>IF($A1087="","",$R1087&amp;"|"&amp;$Q1087)</f>
        <v/>
      </c>
      <c r="T1087">
        <f>IF($A1087="","",$S1087&amp;"|"&amp;$F1087)</f>
        <v/>
      </c>
      <c r="U1087">
        <f>IF($A1087="","",$R1087&amp;"("&amp;$E1087&amp;")")</f>
        <v/>
      </c>
      <c r="V1087">
        <f>IF($A1087="","",$F1087&amp;"|"&amp;$U1087&amp;"|"&amp;$D1087)</f>
        <v/>
      </c>
      <c r="W1087">
        <f>IF($T1087="","",IF($X1087&gt;N($X1086),$X1087,""))</f>
        <v/>
      </c>
      <c r="X1087">
        <f>IF($T1087="",N($X1086),IF(MATCH($T1087,$T$6:$T$6005,0)=ROW()-5,N($X1086)+1,N($X1086)))</f>
        <v/>
      </c>
      <c r="Z1087">
        <f>IF($V1087="","",IF($AA1087&gt;N($AA1086),$AA1087,""))</f>
        <v/>
      </c>
      <c r="AA1087">
        <f>IF($V1087="",N($AA1086),IF(MATCH($V1087,$V$6:$V$6005,0)=ROW()-5,N($AA1086)+1,N($AA1086)))</f>
        <v/>
      </c>
    </row>
    <row r="1088" ht="21" customHeight="1" s="66">
      <c r="A1088" s="56" t="n"/>
      <c r="B1088" s="57" t="n"/>
      <c r="C1088" s="57" t="n"/>
      <c r="D1088" s="57" t="n"/>
      <c r="E1088" s="56" t="n"/>
      <c r="F1088" s="57" t="n"/>
      <c r="G1088" s="57" t="n"/>
      <c r="H1088" s="56" t="n"/>
      <c r="I1088" s="56" t="n"/>
      <c r="J1088" s="58" t="n"/>
      <c r="K1088" s="58" t="n"/>
      <c r="L1088" s="13">
        <f>IF(OR($A1088="",AND($J1088="",$K1088="")),"",ROUND(N($J1088)-N($K1088),2))</f>
        <v/>
      </c>
      <c r="M1088" s="13">
        <f>IF(OR($A1088="",AND($J1088="",$K1088="")),"",MIN($J1088,$K1088))</f>
        <v/>
      </c>
      <c r="Q1088">
        <f>IF($A1088="","",$D1088&amp;"("&amp;SUBSTITUTE($E1088," ","")&amp;")")</f>
        <v/>
      </c>
      <c r="R1088">
        <f>IF($A1088="","",$B1088&amp;" - "&amp;$C1088)</f>
        <v/>
      </c>
      <c r="S1088">
        <f>IF($A1088="","",$R1088&amp;"|"&amp;$Q1088)</f>
        <v/>
      </c>
      <c r="T1088">
        <f>IF($A1088="","",$S1088&amp;"|"&amp;$F1088)</f>
        <v/>
      </c>
      <c r="U1088">
        <f>IF($A1088="","",$R1088&amp;"("&amp;$E1088&amp;")")</f>
        <v/>
      </c>
      <c r="V1088">
        <f>IF($A1088="","",$F1088&amp;"|"&amp;$U1088&amp;"|"&amp;$D1088)</f>
        <v/>
      </c>
      <c r="W1088">
        <f>IF($T1088="","",IF($X1088&gt;N($X1087),$X1088,""))</f>
        <v/>
      </c>
      <c r="X1088">
        <f>IF($T1088="",N($X1087),IF(MATCH($T1088,$T$6:$T$6005,0)=ROW()-5,N($X1087)+1,N($X1087)))</f>
        <v/>
      </c>
      <c r="Z1088">
        <f>IF($V1088="","",IF($AA1088&gt;N($AA1087),$AA1088,""))</f>
        <v/>
      </c>
      <c r="AA1088">
        <f>IF($V1088="",N($AA1087),IF(MATCH($V1088,$V$6:$V$6005,0)=ROW()-5,N($AA1087)+1,N($AA1087)))</f>
        <v/>
      </c>
    </row>
    <row r="1089" ht="21" customHeight="1" s="66">
      <c r="A1089" s="56" t="n"/>
      <c r="B1089" s="57" t="n"/>
      <c r="C1089" s="57" t="n"/>
      <c r="D1089" s="57" t="n"/>
      <c r="E1089" s="56" t="n"/>
      <c r="F1089" s="57" t="n"/>
      <c r="G1089" s="57" t="n"/>
      <c r="H1089" s="56" t="n"/>
      <c r="I1089" s="56" t="n"/>
      <c r="J1089" s="58" t="n"/>
      <c r="K1089" s="58" t="n"/>
      <c r="L1089" s="13">
        <f>IF(OR($A1089="",AND($J1089="",$K1089="")),"",ROUND(N($J1089)-N($K1089),2))</f>
        <v/>
      </c>
      <c r="M1089" s="13">
        <f>IF(OR($A1089="",AND($J1089="",$K1089="")),"",MIN($J1089,$K1089))</f>
        <v/>
      </c>
      <c r="Q1089">
        <f>IF($A1089="","",$D1089&amp;"("&amp;SUBSTITUTE($E1089," ","")&amp;")")</f>
        <v/>
      </c>
      <c r="R1089">
        <f>IF($A1089="","",$B1089&amp;" - "&amp;$C1089)</f>
        <v/>
      </c>
      <c r="S1089">
        <f>IF($A1089="","",$R1089&amp;"|"&amp;$Q1089)</f>
        <v/>
      </c>
      <c r="T1089">
        <f>IF($A1089="","",$S1089&amp;"|"&amp;$F1089)</f>
        <v/>
      </c>
      <c r="U1089">
        <f>IF($A1089="","",$R1089&amp;"("&amp;$E1089&amp;")")</f>
        <v/>
      </c>
      <c r="V1089">
        <f>IF($A1089="","",$F1089&amp;"|"&amp;$U1089&amp;"|"&amp;$D1089)</f>
        <v/>
      </c>
      <c r="W1089">
        <f>IF($T1089="","",IF($X1089&gt;N($X1088),$X1089,""))</f>
        <v/>
      </c>
      <c r="X1089">
        <f>IF($T1089="",N($X1088),IF(MATCH($T1089,$T$6:$T$6005,0)=ROW()-5,N($X1088)+1,N($X1088)))</f>
        <v/>
      </c>
      <c r="Z1089">
        <f>IF($V1089="","",IF($AA1089&gt;N($AA1088),$AA1089,""))</f>
        <v/>
      </c>
      <c r="AA1089">
        <f>IF($V1089="",N($AA1088),IF(MATCH($V1089,$V$6:$V$6005,0)=ROW()-5,N($AA1088)+1,N($AA1088)))</f>
        <v/>
      </c>
    </row>
    <row r="1090" ht="21" customHeight="1" s="66">
      <c r="A1090" s="56" t="n"/>
      <c r="B1090" s="57" t="n"/>
      <c r="C1090" s="57" t="n"/>
      <c r="D1090" s="57" t="n"/>
      <c r="E1090" s="56" t="n"/>
      <c r="F1090" s="57" t="n"/>
      <c r="G1090" s="57" t="n"/>
      <c r="H1090" s="56" t="n"/>
      <c r="I1090" s="56" t="n"/>
      <c r="J1090" s="58" t="n"/>
      <c r="K1090" s="58" t="n"/>
      <c r="L1090" s="13">
        <f>IF(OR($A1090="",AND($J1090="",$K1090="")),"",ROUND(N($J1090)-N($K1090),2))</f>
        <v/>
      </c>
      <c r="M1090" s="13">
        <f>IF(OR($A1090="",AND($J1090="",$K1090="")),"",MIN($J1090,$K1090))</f>
        <v/>
      </c>
      <c r="Q1090">
        <f>IF($A1090="","",$D1090&amp;"("&amp;SUBSTITUTE($E1090," ","")&amp;")")</f>
        <v/>
      </c>
      <c r="R1090">
        <f>IF($A1090="","",$B1090&amp;" - "&amp;$C1090)</f>
        <v/>
      </c>
      <c r="S1090">
        <f>IF($A1090="","",$R1090&amp;"|"&amp;$Q1090)</f>
        <v/>
      </c>
      <c r="T1090">
        <f>IF($A1090="","",$S1090&amp;"|"&amp;$F1090)</f>
        <v/>
      </c>
      <c r="U1090">
        <f>IF($A1090="","",$R1090&amp;"("&amp;$E1090&amp;")")</f>
        <v/>
      </c>
      <c r="V1090">
        <f>IF($A1090="","",$F1090&amp;"|"&amp;$U1090&amp;"|"&amp;$D1090)</f>
        <v/>
      </c>
      <c r="W1090">
        <f>IF($T1090="","",IF($X1090&gt;N($X1089),$X1090,""))</f>
        <v/>
      </c>
      <c r="X1090">
        <f>IF($T1090="",N($X1089),IF(MATCH($T1090,$T$6:$T$6005,0)=ROW()-5,N($X1089)+1,N($X1089)))</f>
        <v/>
      </c>
      <c r="Z1090">
        <f>IF($V1090="","",IF($AA1090&gt;N($AA1089),$AA1090,""))</f>
        <v/>
      </c>
      <c r="AA1090">
        <f>IF($V1090="",N($AA1089),IF(MATCH($V1090,$V$6:$V$6005,0)=ROW()-5,N($AA1089)+1,N($AA1089)))</f>
        <v/>
      </c>
    </row>
    <row r="1091" ht="21" customHeight="1" s="66">
      <c r="A1091" s="56" t="n"/>
      <c r="B1091" s="57" t="n"/>
      <c r="C1091" s="57" t="n"/>
      <c r="D1091" s="57" t="n"/>
      <c r="E1091" s="56" t="n"/>
      <c r="F1091" s="57" t="n"/>
      <c r="G1091" s="57" t="n"/>
      <c r="H1091" s="56" t="n"/>
      <c r="I1091" s="56" t="n"/>
      <c r="J1091" s="58" t="n"/>
      <c r="K1091" s="58" t="n"/>
      <c r="L1091" s="13">
        <f>IF(OR($A1091="",AND($J1091="",$K1091="")),"",ROUND(N($J1091)-N($K1091),2))</f>
        <v/>
      </c>
      <c r="M1091" s="13">
        <f>IF(OR($A1091="",AND($J1091="",$K1091="")),"",MIN($J1091,$K1091))</f>
        <v/>
      </c>
      <c r="Q1091">
        <f>IF($A1091="","",$D1091&amp;"("&amp;SUBSTITUTE($E1091," ","")&amp;")")</f>
        <v/>
      </c>
      <c r="R1091">
        <f>IF($A1091="","",$B1091&amp;" - "&amp;$C1091)</f>
        <v/>
      </c>
      <c r="S1091">
        <f>IF($A1091="","",$R1091&amp;"|"&amp;$Q1091)</f>
        <v/>
      </c>
      <c r="T1091">
        <f>IF($A1091="","",$S1091&amp;"|"&amp;$F1091)</f>
        <v/>
      </c>
      <c r="U1091">
        <f>IF($A1091="","",$R1091&amp;"("&amp;$E1091&amp;")")</f>
        <v/>
      </c>
      <c r="V1091">
        <f>IF($A1091="","",$F1091&amp;"|"&amp;$U1091&amp;"|"&amp;$D1091)</f>
        <v/>
      </c>
      <c r="W1091">
        <f>IF($T1091="","",IF($X1091&gt;N($X1090),$X1091,""))</f>
        <v/>
      </c>
      <c r="X1091">
        <f>IF($T1091="",N($X1090),IF(MATCH($T1091,$T$6:$T$6005,0)=ROW()-5,N($X1090)+1,N($X1090)))</f>
        <v/>
      </c>
      <c r="Z1091">
        <f>IF($V1091="","",IF($AA1091&gt;N($AA1090),$AA1091,""))</f>
        <v/>
      </c>
      <c r="AA1091">
        <f>IF($V1091="",N($AA1090),IF(MATCH($V1091,$V$6:$V$6005,0)=ROW()-5,N($AA1090)+1,N($AA1090)))</f>
        <v/>
      </c>
    </row>
    <row r="1092" ht="21" customHeight="1" s="66">
      <c r="A1092" s="56" t="n"/>
      <c r="B1092" s="57" t="n"/>
      <c r="C1092" s="57" t="n"/>
      <c r="D1092" s="57" t="n"/>
      <c r="E1092" s="56" t="n"/>
      <c r="F1092" s="57" t="n"/>
      <c r="G1092" s="57" t="n"/>
      <c r="H1092" s="56" t="n"/>
      <c r="I1092" s="56" t="n"/>
      <c r="J1092" s="58" t="n"/>
      <c r="K1092" s="58" t="n"/>
      <c r="L1092" s="13">
        <f>IF(OR($A1092="",AND($J1092="",$K1092="")),"",ROUND(N($J1092)-N($K1092),2))</f>
        <v/>
      </c>
      <c r="M1092" s="13">
        <f>IF(OR($A1092="",AND($J1092="",$K1092="")),"",MIN($J1092,$K1092))</f>
        <v/>
      </c>
      <c r="Q1092">
        <f>IF($A1092="","",$D1092&amp;"("&amp;SUBSTITUTE($E1092," ","")&amp;")")</f>
        <v/>
      </c>
      <c r="R1092">
        <f>IF($A1092="","",$B1092&amp;" - "&amp;$C1092)</f>
        <v/>
      </c>
      <c r="S1092">
        <f>IF($A1092="","",$R1092&amp;"|"&amp;$Q1092)</f>
        <v/>
      </c>
      <c r="T1092">
        <f>IF($A1092="","",$S1092&amp;"|"&amp;$F1092)</f>
        <v/>
      </c>
      <c r="U1092">
        <f>IF($A1092="","",$R1092&amp;"("&amp;$E1092&amp;")")</f>
        <v/>
      </c>
      <c r="V1092">
        <f>IF($A1092="","",$F1092&amp;"|"&amp;$U1092&amp;"|"&amp;$D1092)</f>
        <v/>
      </c>
      <c r="W1092">
        <f>IF($T1092="","",IF($X1092&gt;N($X1091),$X1092,""))</f>
        <v/>
      </c>
      <c r="X1092">
        <f>IF($T1092="",N($X1091),IF(MATCH($T1092,$T$6:$T$6005,0)=ROW()-5,N($X1091)+1,N($X1091)))</f>
        <v/>
      </c>
      <c r="Z1092">
        <f>IF($V1092="","",IF($AA1092&gt;N($AA1091),$AA1092,""))</f>
        <v/>
      </c>
      <c r="AA1092">
        <f>IF($V1092="",N($AA1091),IF(MATCH($V1092,$V$6:$V$6005,0)=ROW()-5,N($AA1091)+1,N($AA1091)))</f>
        <v/>
      </c>
    </row>
    <row r="1093" ht="21" customHeight="1" s="66">
      <c r="A1093" s="56" t="n"/>
      <c r="B1093" s="57" t="n"/>
      <c r="C1093" s="57" t="n"/>
      <c r="D1093" s="57" t="n"/>
      <c r="E1093" s="56" t="n"/>
      <c r="F1093" s="57" t="n"/>
      <c r="G1093" s="57" t="n"/>
      <c r="H1093" s="56" t="n"/>
      <c r="I1093" s="56" t="n"/>
      <c r="J1093" s="58" t="n"/>
      <c r="K1093" s="58" t="n"/>
      <c r="L1093" s="13">
        <f>IF(OR($A1093="",AND($J1093="",$K1093="")),"",ROUND(N($J1093)-N($K1093),2))</f>
        <v/>
      </c>
      <c r="M1093" s="13">
        <f>IF(OR($A1093="",AND($J1093="",$K1093="")),"",MIN($J1093,$K1093))</f>
        <v/>
      </c>
      <c r="Q1093">
        <f>IF($A1093="","",$D1093&amp;"("&amp;SUBSTITUTE($E1093," ","")&amp;")")</f>
        <v/>
      </c>
      <c r="R1093">
        <f>IF($A1093="","",$B1093&amp;" - "&amp;$C1093)</f>
        <v/>
      </c>
      <c r="S1093">
        <f>IF($A1093="","",$R1093&amp;"|"&amp;$Q1093)</f>
        <v/>
      </c>
      <c r="T1093">
        <f>IF($A1093="","",$S1093&amp;"|"&amp;$F1093)</f>
        <v/>
      </c>
      <c r="U1093">
        <f>IF($A1093="","",$R1093&amp;"("&amp;$E1093&amp;")")</f>
        <v/>
      </c>
      <c r="V1093">
        <f>IF($A1093="","",$F1093&amp;"|"&amp;$U1093&amp;"|"&amp;$D1093)</f>
        <v/>
      </c>
      <c r="W1093">
        <f>IF($T1093="","",IF($X1093&gt;N($X1092),$X1093,""))</f>
        <v/>
      </c>
      <c r="X1093">
        <f>IF($T1093="",N($X1092),IF(MATCH($T1093,$T$6:$T$6005,0)=ROW()-5,N($X1092)+1,N($X1092)))</f>
        <v/>
      </c>
      <c r="Z1093">
        <f>IF($V1093="","",IF($AA1093&gt;N($AA1092),$AA1093,""))</f>
        <v/>
      </c>
      <c r="AA1093">
        <f>IF($V1093="",N($AA1092),IF(MATCH($V1093,$V$6:$V$6005,0)=ROW()-5,N($AA1092)+1,N($AA1092)))</f>
        <v/>
      </c>
    </row>
    <row r="1094" ht="21" customHeight="1" s="66">
      <c r="A1094" s="56" t="n"/>
      <c r="B1094" s="57" t="n"/>
      <c r="C1094" s="57" t="n"/>
      <c r="D1094" s="57" t="n"/>
      <c r="E1094" s="56" t="n"/>
      <c r="F1094" s="57" t="n"/>
      <c r="G1094" s="57" t="n"/>
      <c r="H1094" s="56" t="n"/>
      <c r="I1094" s="56" t="n"/>
      <c r="J1094" s="58" t="n"/>
      <c r="K1094" s="58" t="n"/>
      <c r="L1094" s="13">
        <f>IF(OR($A1094="",AND($J1094="",$K1094="")),"",ROUND(N($J1094)-N($K1094),2))</f>
        <v/>
      </c>
      <c r="M1094" s="13">
        <f>IF(OR($A1094="",AND($J1094="",$K1094="")),"",MIN($J1094,$K1094))</f>
        <v/>
      </c>
      <c r="Q1094">
        <f>IF($A1094="","",$D1094&amp;"("&amp;SUBSTITUTE($E1094," ","")&amp;")")</f>
        <v/>
      </c>
      <c r="R1094">
        <f>IF($A1094="","",$B1094&amp;" - "&amp;$C1094)</f>
        <v/>
      </c>
      <c r="S1094">
        <f>IF($A1094="","",$R1094&amp;"|"&amp;$Q1094)</f>
        <v/>
      </c>
      <c r="T1094">
        <f>IF($A1094="","",$S1094&amp;"|"&amp;$F1094)</f>
        <v/>
      </c>
      <c r="U1094">
        <f>IF($A1094="","",$R1094&amp;"("&amp;$E1094&amp;")")</f>
        <v/>
      </c>
      <c r="V1094">
        <f>IF($A1094="","",$F1094&amp;"|"&amp;$U1094&amp;"|"&amp;$D1094)</f>
        <v/>
      </c>
      <c r="W1094">
        <f>IF($T1094="","",IF($X1094&gt;N($X1093),$X1094,""))</f>
        <v/>
      </c>
      <c r="X1094">
        <f>IF($T1094="",N($X1093),IF(MATCH($T1094,$T$6:$T$6005,0)=ROW()-5,N($X1093)+1,N($X1093)))</f>
        <v/>
      </c>
      <c r="Z1094">
        <f>IF($V1094="","",IF($AA1094&gt;N($AA1093),$AA1094,""))</f>
        <v/>
      </c>
      <c r="AA1094">
        <f>IF($V1094="",N($AA1093),IF(MATCH($V1094,$V$6:$V$6005,0)=ROW()-5,N($AA1093)+1,N($AA1093)))</f>
        <v/>
      </c>
    </row>
    <row r="1095" ht="21" customHeight="1" s="66">
      <c r="A1095" s="56" t="n"/>
      <c r="B1095" s="57" t="n"/>
      <c r="C1095" s="57" t="n"/>
      <c r="D1095" s="57" t="n"/>
      <c r="E1095" s="56" t="n"/>
      <c r="F1095" s="57" t="n"/>
      <c r="G1095" s="57" t="n"/>
      <c r="H1095" s="56" t="n"/>
      <c r="I1095" s="56" t="n"/>
      <c r="J1095" s="58" t="n"/>
      <c r="K1095" s="58" t="n"/>
      <c r="L1095" s="13">
        <f>IF(OR($A1095="",AND($J1095="",$K1095="")),"",ROUND(N($J1095)-N($K1095),2))</f>
        <v/>
      </c>
      <c r="M1095" s="13">
        <f>IF(OR($A1095="",AND($J1095="",$K1095="")),"",MIN($J1095,$K1095))</f>
        <v/>
      </c>
      <c r="Q1095">
        <f>IF($A1095="","",$D1095&amp;"("&amp;SUBSTITUTE($E1095," ","")&amp;")")</f>
        <v/>
      </c>
      <c r="R1095">
        <f>IF($A1095="","",$B1095&amp;" - "&amp;$C1095)</f>
        <v/>
      </c>
      <c r="S1095">
        <f>IF($A1095="","",$R1095&amp;"|"&amp;$Q1095)</f>
        <v/>
      </c>
      <c r="T1095">
        <f>IF($A1095="","",$S1095&amp;"|"&amp;$F1095)</f>
        <v/>
      </c>
      <c r="U1095">
        <f>IF($A1095="","",$R1095&amp;"("&amp;$E1095&amp;")")</f>
        <v/>
      </c>
      <c r="V1095">
        <f>IF($A1095="","",$F1095&amp;"|"&amp;$U1095&amp;"|"&amp;$D1095)</f>
        <v/>
      </c>
      <c r="W1095">
        <f>IF($T1095="","",IF($X1095&gt;N($X1094),$X1095,""))</f>
        <v/>
      </c>
      <c r="X1095">
        <f>IF($T1095="",N($X1094),IF(MATCH($T1095,$T$6:$T$6005,0)=ROW()-5,N($X1094)+1,N($X1094)))</f>
        <v/>
      </c>
      <c r="Z1095">
        <f>IF($V1095="","",IF($AA1095&gt;N($AA1094),$AA1095,""))</f>
        <v/>
      </c>
      <c r="AA1095">
        <f>IF($V1095="",N($AA1094),IF(MATCH($V1095,$V$6:$V$6005,0)=ROW()-5,N($AA1094)+1,N($AA1094)))</f>
        <v/>
      </c>
    </row>
    <row r="1096" ht="21" customHeight="1" s="66">
      <c r="A1096" s="56" t="n"/>
      <c r="B1096" s="57" t="n"/>
      <c r="C1096" s="57" t="n"/>
      <c r="D1096" s="57" t="n"/>
      <c r="E1096" s="56" t="n"/>
      <c r="F1096" s="57" t="n"/>
      <c r="G1096" s="57" t="n"/>
      <c r="H1096" s="56" t="n"/>
      <c r="I1096" s="56" t="n"/>
      <c r="J1096" s="58" t="n"/>
      <c r="K1096" s="58" t="n"/>
      <c r="L1096" s="13">
        <f>IF(OR($A1096="",AND($J1096="",$K1096="")),"",ROUND(N($J1096)-N($K1096),2))</f>
        <v/>
      </c>
      <c r="M1096" s="13">
        <f>IF(OR($A1096="",AND($J1096="",$K1096="")),"",MIN($J1096,$K1096))</f>
        <v/>
      </c>
      <c r="Q1096">
        <f>IF($A1096="","",$D1096&amp;"("&amp;SUBSTITUTE($E1096," ","")&amp;")")</f>
        <v/>
      </c>
      <c r="R1096">
        <f>IF($A1096="","",$B1096&amp;" - "&amp;$C1096)</f>
        <v/>
      </c>
      <c r="S1096">
        <f>IF($A1096="","",$R1096&amp;"|"&amp;$Q1096)</f>
        <v/>
      </c>
      <c r="T1096">
        <f>IF($A1096="","",$S1096&amp;"|"&amp;$F1096)</f>
        <v/>
      </c>
      <c r="U1096">
        <f>IF($A1096="","",$R1096&amp;"("&amp;$E1096&amp;")")</f>
        <v/>
      </c>
      <c r="V1096">
        <f>IF($A1096="","",$F1096&amp;"|"&amp;$U1096&amp;"|"&amp;$D1096)</f>
        <v/>
      </c>
      <c r="W1096">
        <f>IF($T1096="","",IF($X1096&gt;N($X1095),$X1096,""))</f>
        <v/>
      </c>
      <c r="X1096">
        <f>IF($T1096="",N($X1095),IF(MATCH($T1096,$T$6:$T$6005,0)=ROW()-5,N($X1095)+1,N($X1095)))</f>
        <v/>
      </c>
      <c r="Z1096">
        <f>IF($V1096="","",IF($AA1096&gt;N($AA1095),$AA1096,""))</f>
        <v/>
      </c>
      <c r="AA1096">
        <f>IF($V1096="",N($AA1095),IF(MATCH($V1096,$V$6:$V$6005,0)=ROW()-5,N($AA1095)+1,N($AA1095)))</f>
        <v/>
      </c>
    </row>
    <row r="1097" ht="21" customHeight="1" s="66">
      <c r="A1097" s="56" t="n"/>
      <c r="B1097" s="57" t="n"/>
      <c r="C1097" s="57" t="n"/>
      <c r="D1097" s="57" t="n"/>
      <c r="E1097" s="56" t="n"/>
      <c r="F1097" s="57" t="n"/>
      <c r="G1097" s="57" t="n"/>
      <c r="H1097" s="56" t="n"/>
      <c r="I1097" s="56" t="n"/>
      <c r="J1097" s="58" t="n"/>
      <c r="K1097" s="58" t="n"/>
      <c r="L1097" s="13">
        <f>IF(OR($A1097="",AND($J1097="",$K1097="")),"",ROUND(N($J1097)-N($K1097),2))</f>
        <v/>
      </c>
      <c r="M1097" s="13">
        <f>IF(OR($A1097="",AND($J1097="",$K1097="")),"",MIN($J1097,$K1097))</f>
        <v/>
      </c>
      <c r="Q1097">
        <f>IF($A1097="","",$D1097&amp;"("&amp;SUBSTITUTE($E1097," ","")&amp;")")</f>
        <v/>
      </c>
      <c r="R1097">
        <f>IF($A1097="","",$B1097&amp;" - "&amp;$C1097)</f>
        <v/>
      </c>
      <c r="S1097">
        <f>IF($A1097="","",$R1097&amp;"|"&amp;$Q1097)</f>
        <v/>
      </c>
      <c r="T1097">
        <f>IF($A1097="","",$S1097&amp;"|"&amp;$F1097)</f>
        <v/>
      </c>
      <c r="U1097">
        <f>IF($A1097="","",$R1097&amp;"("&amp;$E1097&amp;")")</f>
        <v/>
      </c>
      <c r="V1097">
        <f>IF($A1097="","",$F1097&amp;"|"&amp;$U1097&amp;"|"&amp;$D1097)</f>
        <v/>
      </c>
      <c r="W1097">
        <f>IF($T1097="","",IF($X1097&gt;N($X1096),$X1097,""))</f>
        <v/>
      </c>
      <c r="X1097">
        <f>IF($T1097="",N($X1096),IF(MATCH($T1097,$T$6:$T$6005,0)=ROW()-5,N($X1096)+1,N($X1096)))</f>
        <v/>
      </c>
      <c r="Z1097">
        <f>IF($V1097="","",IF($AA1097&gt;N($AA1096),$AA1097,""))</f>
        <v/>
      </c>
      <c r="AA1097">
        <f>IF($V1097="",N($AA1096),IF(MATCH($V1097,$V$6:$V$6005,0)=ROW()-5,N($AA1096)+1,N($AA1096)))</f>
        <v/>
      </c>
    </row>
    <row r="1098" ht="21" customHeight="1" s="66">
      <c r="A1098" s="56" t="n"/>
      <c r="B1098" s="57" t="n"/>
      <c r="C1098" s="57" t="n"/>
      <c r="D1098" s="57" t="n"/>
      <c r="E1098" s="56" t="n"/>
      <c r="F1098" s="57" t="n"/>
      <c r="G1098" s="57" t="n"/>
      <c r="H1098" s="56" t="n"/>
      <c r="I1098" s="56" t="n"/>
      <c r="J1098" s="58" t="n"/>
      <c r="K1098" s="58" t="n"/>
      <c r="L1098" s="13">
        <f>IF(OR($A1098="",AND($J1098="",$K1098="")),"",ROUND(N($J1098)-N($K1098),2))</f>
        <v/>
      </c>
      <c r="M1098" s="13">
        <f>IF(OR($A1098="",AND($J1098="",$K1098="")),"",MIN($J1098,$K1098))</f>
        <v/>
      </c>
      <c r="Q1098">
        <f>IF($A1098="","",$D1098&amp;"("&amp;SUBSTITUTE($E1098," ","")&amp;")")</f>
        <v/>
      </c>
      <c r="R1098">
        <f>IF($A1098="","",$B1098&amp;" - "&amp;$C1098)</f>
        <v/>
      </c>
      <c r="S1098">
        <f>IF($A1098="","",$R1098&amp;"|"&amp;$Q1098)</f>
        <v/>
      </c>
      <c r="T1098">
        <f>IF($A1098="","",$S1098&amp;"|"&amp;$F1098)</f>
        <v/>
      </c>
      <c r="U1098">
        <f>IF($A1098="","",$R1098&amp;"("&amp;$E1098&amp;")")</f>
        <v/>
      </c>
      <c r="V1098">
        <f>IF($A1098="","",$F1098&amp;"|"&amp;$U1098&amp;"|"&amp;$D1098)</f>
        <v/>
      </c>
      <c r="W1098">
        <f>IF($T1098="","",IF($X1098&gt;N($X1097),$X1098,""))</f>
        <v/>
      </c>
      <c r="X1098">
        <f>IF($T1098="",N($X1097),IF(MATCH($T1098,$T$6:$T$6005,0)=ROW()-5,N($X1097)+1,N($X1097)))</f>
        <v/>
      </c>
      <c r="Z1098">
        <f>IF($V1098="","",IF($AA1098&gt;N($AA1097),$AA1098,""))</f>
        <v/>
      </c>
      <c r="AA1098">
        <f>IF($V1098="",N($AA1097),IF(MATCH($V1098,$V$6:$V$6005,0)=ROW()-5,N($AA1097)+1,N($AA1097)))</f>
        <v/>
      </c>
    </row>
    <row r="1099" ht="21" customHeight="1" s="66">
      <c r="A1099" s="56" t="n"/>
      <c r="B1099" s="57" t="n"/>
      <c r="C1099" s="57" t="n"/>
      <c r="D1099" s="57" t="n"/>
      <c r="E1099" s="56" t="n"/>
      <c r="F1099" s="57" t="n"/>
      <c r="G1099" s="57" t="n"/>
      <c r="H1099" s="56" t="n"/>
      <c r="I1099" s="56" t="n"/>
      <c r="J1099" s="58" t="n"/>
      <c r="K1099" s="58" t="n"/>
      <c r="L1099" s="13">
        <f>IF(OR($A1099="",AND($J1099="",$K1099="")),"",ROUND(N($J1099)-N($K1099),2))</f>
        <v/>
      </c>
      <c r="M1099" s="13">
        <f>IF(OR($A1099="",AND($J1099="",$K1099="")),"",MIN($J1099,$K1099))</f>
        <v/>
      </c>
      <c r="Q1099">
        <f>IF($A1099="","",$D1099&amp;"("&amp;SUBSTITUTE($E1099," ","")&amp;")")</f>
        <v/>
      </c>
      <c r="R1099">
        <f>IF($A1099="","",$B1099&amp;" - "&amp;$C1099)</f>
        <v/>
      </c>
      <c r="S1099">
        <f>IF($A1099="","",$R1099&amp;"|"&amp;$Q1099)</f>
        <v/>
      </c>
      <c r="T1099">
        <f>IF($A1099="","",$S1099&amp;"|"&amp;$F1099)</f>
        <v/>
      </c>
      <c r="U1099">
        <f>IF($A1099="","",$R1099&amp;"("&amp;$E1099&amp;")")</f>
        <v/>
      </c>
      <c r="V1099">
        <f>IF($A1099="","",$F1099&amp;"|"&amp;$U1099&amp;"|"&amp;$D1099)</f>
        <v/>
      </c>
      <c r="W1099">
        <f>IF($T1099="","",IF($X1099&gt;N($X1098),$X1099,""))</f>
        <v/>
      </c>
      <c r="X1099">
        <f>IF($T1099="",N($X1098),IF(MATCH($T1099,$T$6:$T$6005,0)=ROW()-5,N($X1098)+1,N($X1098)))</f>
        <v/>
      </c>
      <c r="Z1099">
        <f>IF($V1099="","",IF($AA1099&gt;N($AA1098),$AA1099,""))</f>
        <v/>
      </c>
      <c r="AA1099">
        <f>IF($V1099="",N($AA1098),IF(MATCH($V1099,$V$6:$V$6005,0)=ROW()-5,N($AA1098)+1,N($AA1098)))</f>
        <v/>
      </c>
    </row>
    <row r="1100" ht="21" customHeight="1" s="66">
      <c r="A1100" s="56" t="n"/>
      <c r="B1100" s="57" t="n"/>
      <c r="C1100" s="57" t="n"/>
      <c r="D1100" s="57" t="n"/>
      <c r="E1100" s="56" t="n"/>
      <c r="F1100" s="57" t="n"/>
      <c r="G1100" s="57" t="n"/>
      <c r="H1100" s="56" t="n"/>
      <c r="I1100" s="56" t="n"/>
      <c r="J1100" s="58" t="n"/>
      <c r="K1100" s="58" t="n"/>
      <c r="L1100" s="13">
        <f>IF(OR($A1100="",AND($J1100="",$K1100="")),"",ROUND(N($J1100)-N($K1100),2))</f>
        <v/>
      </c>
      <c r="M1100" s="13">
        <f>IF(OR($A1100="",AND($J1100="",$K1100="")),"",MIN($J1100,$K1100))</f>
        <v/>
      </c>
      <c r="Q1100">
        <f>IF($A1100="","",$D1100&amp;"("&amp;SUBSTITUTE($E1100," ","")&amp;")")</f>
        <v/>
      </c>
      <c r="R1100">
        <f>IF($A1100="","",$B1100&amp;" - "&amp;$C1100)</f>
        <v/>
      </c>
      <c r="S1100">
        <f>IF($A1100="","",$R1100&amp;"|"&amp;$Q1100)</f>
        <v/>
      </c>
      <c r="T1100">
        <f>IF($A1100="","",$S1100&amp;"|"&amp;$F1100)</f>
        <v/>
      </c>
      <c r="U1100">
        <f>IF($A1100="","",$R1100&amp;"("&amp;$E1100&amp;")")</f>
        <v/>
      </c>
      <c r="V1100">
        <f>IF($A1100="","",$F1100&amp;"|"&amp;$U1100&amp;"|"&amp;$D1100)</f>
        <v/>
      </c>
      <c r="W1100">
        <f>IF($T1100="","",IF($X1100&gt;N($X1099),$X1100,""))</f>
        <v/>
      </c>
      <c r="X1100">
        <f>IF($T1100="",N($X1099),IF(MATCH($T1100,$T$6:$T$6005,0)=ROW()-5,N($X1099)+1,N($X1099)))</f>
        <v/>
      </c>
      <c r="Z1100">
        <f>IF($V1100="","",IF($AA1100&gt;N($AA1099),$AA1100,""))</f>
        <v/>
      </c>
      <c r="AA1100">
        <f>IF($V1100="",N($AA1099),IF(MATCH($V1100,$V$6:$V$6005,0)=ROW()-5,N($AA1099)+1,N($AA1099)))</f>
        <v/>
      </c>
    </row>
    <row r="1101" ht="21" customHeight="1" s="66">
      <c r="A1101" s="56" t="n"/>
      <c r="B1101" s="57" t="n"/>
      <c r="C1101" s="57" t="n"/>
      <c r="D1101" s="57" t="n"/>
      <c r="E1101" s="56" t="n"/>
      <c r="F1101" s="57" t="n"/>
      <c r="G1101" s="57" t="n"/>
      <c r="H1101" s="56" t="n"/>
      <c r="I1101" s="56" t="n"/>
      <c r="J1101" s="58" t="n"/>
      <c r="K1101" s="58" t="n"/>
      <c r="L1101" s="13">
        <f>IF(OR($A1101="",AND($J1101="",$K1101="")),"",ROUND(N($J1101)-N($K1101),2))</f>
        <v/>
      </c>
      <c r="M1101" s="13">
        <f>IF(OR($A1101="",AND($J1101="",$K1101="")),"",MIN($J1101,$K1101))</f>
        <v/>
      </c>
      <c r="Q1101">
        <f>IF($A1101="","",$D1101&amp;"("&amp;SUBSTITUTE($E1101," ","")&amp;")")</f>
        <v/>
      </c>
      <c r="R1101">
        <f>IF($A1101="","",$B1101&amp;" - "&amp;$C1101)</f>
        <v/>
      </c>
      <c r="S1101">
        <f>IF($A1101="","",$R1101&amp;"|"&amp;$Q1101)</f>
        <v/>
      </c>
      <c r="T1101">
        <f>IF($A1101="","",$S1101&amp;"|"&amp;$F1101)</f>
        <v/>
      </c>
      <c r="U1101">
        <f>IF($A1101="","",$R1101&amp;"("&amp;$E1101&amp;")")</f>
        <v/>
      </c>
      <c r="V1101">
        <f>IF($A1101="","",$F1101&amp;"|"&amp;$U1101&amp;"|"&amp;$D1101)</f>
        <v/>
      </c>
      <c r="W1101">
        <f>IF($T1101="","",IF($X1101&gt;N($X1100),$X1101,""))</f>
        <v/>
      </c>
      <c r="X1101">
        <f>IF($T1101="",N($X1100),IF(MATCH($T1101,$T$6:$T$6005,0)=ROW()-5,N($X1100)+1,N($X1100)))</f>
        <v/>
      </c>
      <c r="Z1101">
        <f>IF($V1101="","",IF($AA1101&gt;N($AA1100),$AA1101,""))</f>
        <v/>
      </c>
      <c r="AA1101">
        <f>IF($V1101="",N($AA1100),IF(MATCH($V1101,$V$6:$V$6005,0)=ROW()-5,N($AA1100)+1,N($AA1100)))</f>
        <v/>
      </c>
    </row>
    <row r="1102" ht="21" customHeight="1" s="66">
      <c r="A1102" s="56" t="n"/>
      <c r="B1102" s="57" t="n"/>
      <c r="C1102" s="57" t="n"/>
      <c r="D1102" s="57" t="n"/>
      <c r="E1102" s="56" t="n"/>
      <c r="F1102" s="57" t="n"/>
      <c r="G1102" s="57" t="n"/>
      <c r="H1102" s="56" t="n"/>
      <c r="I1102" s="56" t="n"/>
      <c r="J1102" s="58" t="n"/>
      <c r="K1102" s="58" t="n"/>
      <c r="L1102" s="13">
        <f>IF(OR($A1102="",AND($J1102="",$K1102="")),"",ROUND(N($J1102)-N($K1102),2))</f>
        <v/>
      </c>
      <c r="M1102" s="13">
        <f>IF(OR($A1102="",AND($J1102="",$K1102="")),"",MIN($J1102,$K1102))</f>
        <v/>
      </c>
      <c r="Q1102">
        <f>IF($A1102="","",$D1102&amp;"("&amp;SUBSTITUTE($E1102," ","")&amp;")")</f>
        <v/>
      </c>
      <c r="R1102">
        <f>IF($A1102="","",$B1102&amp;" - "&amp;$C1102)</f>
        <v/>
      </c>
      <c r="S1102">
        <f>IF($A1102="","",$R1102&amp;"|"&amp;$Q1102)</f>
        <v/>
      </c>
      <c r="T1102">
        <f>IF($A1102="","",$S1102&amp;"|"&amp;$F1102)</f>
        <v/>
      </c>
      <c r="U1102">
        <f>IF($A1102="","",$R1102&amp;"("&amp;$E1102&amp;")")</f>
        <v/>
      </c>
      <c r="V1102">
        <f>IF($A1102="","",$F1102&amp;"|"&amp;$U1102&amp;"|"&amp;$D1102)</f>
        <v/>
      </c>
      <c r="W1102">
        <f>IF($T1102="","",IF($X1102&gt;N($X1101),$X1102,""))</f>
        <v/>
      </c>
      <c r="X1102">
        <f>IF($T1102="",N($X1101),IF(MATCH($T1102,$T$6:$T$6005,0)=ROW()-5,N($X1101)+1,N($X1101)))</f>
        <v/>
      </c>
      <c r="Z1102">
        <f>IF($V1102="","",IF($AA1102&gt;N($AA1101),$AA1102,""))</f>
        <v/>
      </c>
      <c r="AA1102">
        <f>IF($V1102="",N($AA1101),IF(MATCH($V1102,$V$6:$V$6005,0)=ROW()-5,N($AA1101)+1,N($AA1101)))</f>
        <v/>
      </c>
    </row>
    <row r="1103" ht="21" customHeight="1" s="66">
      <c r="A1103" s="56" t="n"/>
      <c r="B1103" s="57" t="n"/>
      <c r="C1103" s="57" t="n"/>
      <c r="D1103" s="57" t="n"/>
      <c r="E1103" s="56" t="n"/>
      <c r="F1103" s="57" t="n"/>
      <c r="G1103" s="57" t="n"/>
      <c r="H1103" s="56" t="n"/>
      <c r="I1103" s="56" t="n"/>
      <c r="J1103" s="58" t="n"/>
      <c r="K1103" s="58" t="n"/>
      <c r="L1103" s="13">
        <f>IF(OR($A1103="",AND($J1103="",$K1103="")),"",ROUND(N($J1103)-N($K1103),2))</f>
        <v/>
      </c>
      <c r="M1103" s="13">
        <f>IF(OR($A1103="",AND($J1103="",$K1103="")),"",MIN($J1103,$K1103))</f>
        <v/>
      </c>
      <c r="Q1103">
        <f>IF($A1103="","",$D1103&amp;"("&amp;SUBSTITUTE($E1103," ","")&amp;")")</f>
        <v/>
      </c>
      <c r="R1103">
        <f>IF($A1103="","",$B1103&amp;" - "&amp;$C1103)</f>
        <v/>
      </c>
      <c r="S1103">
        <f>IF($A1103="","",$R1103&amp;"|"&amp;$Q1103)</f>
        <v/>
      </c>
      <c r="T1103">
        <f>IF($A1103="","",$S1103&amp;"|"&amp;$F1103)</f>
        <v/>
      </c>
      <c r="U1103">
        <f>IF($A1103="","",$R1103&amp;"("&amp;$E1103&amp;")")</f>
        <v/>
      </c>
      <c r="V1103">
        <f>IF($A1103="","",$F1103&amp;"|"&amp;$U1103&amp;"|"&amp;$D1103)</f>
        <v/>
      </c>
      <c r="W1103">
        <f>IF($T1103="","",IF($X1103&gt;N($X1102),$X1103,""))</f>
        <v/>
      </c>
      <c r="X1103">
        <f>IF($T1103="",N($X1102),IF(MATCH($T1103,$T$6:$T$6005,0)=ROW()-5,N($X1102)+1,N($X1102)))</f>
        <v/>
      </c>
      <c r="Z1103">
        <f>IF($V1103="","",IF($AA1103&gt;N($AA1102),$AA1103,""))</f>
        <v/>
      </c>
      <c r="AA1103">
        <f>IF($V1103="",N($AA1102),IF(MATCH($V1103,$V$6:$V$6005,0)=ROW()-5,N($AA1102)+1,N($AA1102)))</f>
        <v/>
      </c>
    </row>
    <row r="1104" ht="21" customHeight="1" s="66">
      <c r="A1104" s="56" t="n"/>
      <c r="B1104" s="57" t="n"/>
      <c r="C1104" s="57" t="n"/>
      <c r="D1104" s="57" t="n"/>
      <c r="E1104" s="56" t="n"/>
      <c r="F1104" s="57" t="n"/>
      <c r="G1104" s="57" t="n"/>
      <c r="H1104" s="56" t="n"/>
      <c r="I1104" s="56" t="n"/>
      <c r="J1104" s="58" t="n"/>
      <c r="K1104" s="58" t="n"/>
      <c r="L1104" s="13">
        <f>IF(OR($A1104="",AND($J1104="",$K1104="")),"",ROUND(N($J1104)-N($K1104),2))</f>
        <v/>
      </c>
      <c r="M1104" s="13">
        <f>IF(OR($A1104="",AND($J1104="",$K1104="")),"",MIN($J1104,$K1104))</f>
        <v/>
      </c>
      <c r="Q1104">
        <f>IF($A1104="","",$D1104&amp;"("&amp;SUBSTITUTE($E1104," ","")&amp;")")</f>
        <v/>
      </c>
      <c r="R1104">
        <f>IF($A1104="","",$B1104&amp;" - "&amp;$C1104)</f>
        <v/>
      </c>
      <c r="S1104">
        <f>IF($A1104="","",$R1104&amp;"|"&amp;$Q1104)</f>
        <v/>
      </c>
      <c r="T1104">
        <f>IF($A1104="","",$S1104&amp;"|"&amp;$F1104)</f>
        <v/>
      </c>
      <c r="U1104">
        <f>IF($A1104="","",$R1104&amp;"("&amp;$E1104&amp;")")</f>
        <v/>
      </c>
      <c r="V1104">
        <f>IF($A1104="","",$F1104&amp;"|"&amp;$U1104&amp;"|"&amp;$D1104)</f>
        <v/>
      </c>
      <c r="W1104">
        <f>IF($T1104="","",IF($X1104&gt;N($X1103),$X1104,""))</f>
        <v/>
      </c>
      <c r="X1104">
        <f>IF($T1104="",N($X1103),IF(MATCH($T1104,$T$6:$T$6005,0)=ROW()-5,N($X1103)+1,N($X1103)))</f>
        <v/>
      </c>
      <c r="Z1104">
        <f>IF($V1104="","",IF($AA1104&gt;N($AA1103),$AA1104,""))</f>
        <v/>
      </c>
      <c r="AA1104">
        <f>IF($V1104="",N($AA1103),IF(MATCH($V1104,$V$6:$V$6005,0)=ROW()-5,N($AA1103)+1,N($AA1103)))</f>
        <v/>
      </c>
    </row>
    <row r="1105" ht="21" customHeight="1" s="66">
      <c r="A1105" s="56" t="n"/>
      <c r="B1105" s="57" t="n"/>
      <c r="C1105" s="57" t="n"/>
      <c r="D1105" s="57" t="n"/>
      <c r="E1105" s="56" t="n"/>
      <c r="F1105" s="57" t="n"/>
      <c r="G1105" s="57" t="n"/>
      <c r="H1105" s="56" t="n"/>
      <c r="I1105" s="56" t="n"/>
      <c r="J1105" s="58" t="n"/>
      <c r="K1105" s="58" t="n"/>
      <c r="L1105" s="13">
        <f>IF(OR($A1105="",AND($J1105="",$K1105="")),"",ROUND(N($J1105)-N($K1105),2))</f>
        <v/>
      </c>
      <c r="M1105" s="13">
        <f>IF(OR($A1105="",AND($J1105="",$K1105="")),"",MIN($J1105,$K1105))</f>
        <v/>
      </c>
      <c r="Q1105">
        <f>IF($A1105="","",$D1105&amp;"("&amp;SUBSTITUTE($E1105," ","")&amp;")")</f>
        <v/>
      </c>
      <c r="R1105">
        <f>IF($A1105="","",$B1105&amp;" - "&amp;$C1105)</f>
        <v/>
      </c>
      <c r="S1105">
        <f>IF($A1105="","",$R1105&amp;"|"&amp;$Q1105)</f>
        <v/>
      </c>
      <c r="T1105">
        <f>IF($A1105="","",$S1105&amp;"|"&amp;$F1105)</f>
        <v/>
      </c>
      <c r="U1105">
        <f>IF($A1105="","",$R1105&amp;"("&amp;$E1105&amp;")")</f>
        <v/>
      </c>
      <c r="V1105">
        <f>IF($A1105="","",$F1105&amp;"|"&amp;$U1105&amp;"|"&amp;$D1105)</f>
        <v/>
      </c>
      <c r="W1105">
        <f>IF($T1105="","",IF($X1105&gt;N($X1104),$X1105,""))</f>
        <v/>
      </c>
      <c r="X1105">
        <f>IF($T1105="",N($X1104),IF(MATCH($T1105,$T$6:$T$6005,0)=ROW()-5,N($X1104)+1,N($X1104)))</f>
        <v/>
      </c>
      <c r="Z1105">
        <f>IF($V1105="","",IF($AA1105&gt;N($AA1104),$AA1105,""))</f>
        <v/>
      </c>
      <c r="AA1105">
        <f>IF($V1105="",N($AA1104),IF(MATCH($V1105,$V$6:$V$6005,0)=ROW()-5,N($AA1104)+1,N($AA1104)))</f>
        <v/>
      </c>
    </row>
    <row r="1106" ht="21" customHeight="1" s="66">
      <c r="A1106" s="56" t="n"/>
      <c r="B1106" s="57" t="n"/>
      <c r="C1106" s="57" t="n"/>
      <c r="D1106" s="57" t="n"/>
      <c r="E1106" s="56" t="n"/>
      <c r="F1106" s="57" t="n"/>
      <c r="G1106" s="57" t="n"/>
      <c r="H1106" s="56" t="n"/>
      <c r="I1106" s="56" t="n"/>
      <c r="J1106" s="58" t="n"/>
      <c r="K1106" s="58" t="n"/>
      <c r="L1106" s="13">
        <f>IF(OR($A1106="",AND($J1106="",$K1106="")),"",ROUND(N($J1106)-N($K1106),2))</f>
        <v/>
      </c>
      <c r="M1106" s="13">
        <f>IF(OR($A1106="",AND($J1106="",$K1106="")),"",MIN($J1106,$K1106))</f>
        <v/>
      </c>
      <c r="Q1106">
        <f>IF($A1106="","",$D1106&amp;"("&amp;SUBSTITUTE($E1106," ","")&amp;")")</f>
        <v/>
      </c>
      <c r="R1106">
        <f>IF($A1106="","",$B1106&amp;" - "&amp;$C1106)</f>
        <v/>
      </c>
      <c r="S1106">
        <f>IF($A1106="","",$R1106&amp;"|"&amp;$Q1106)</f>
        <v/>
      </c>
      <c r="T1106">
        <f>IF($A1106="","",$S1106&amp;"|"&amp;$F1106)</f>
        <v/>
      </c>
      <c r="U1106">
        <f>IF($A1106="","",$R1106&amp;"("&amp;$E1106&amp;")")</f>
        <v/>
      </c>
      <c r="V1106">
        <f>IF($A1106="","",$F1106&amp;"|"&amp;$U1106&amp;"|"&amp;$D1106)</f>
        <v/>
      </c>
      <c r="W1106">
        <f>IF($T1106="","",IF($X1106&gt;N($X1105),$X1106,""))</f>
        <v/>
      </c>
      <c r="X1106">
        <f>IF($T1106="",N($X1105),IF(MATCH($T1106,$T$6:$T$6005,0)=ROW()-5,N($X1105)+1,N($X1105)))</f>
        <v/>
      </c>
      <c r="Z1106">
        <f>IF($V1106="","",IF($AA1106&gt;N($AA1105),$AA1106,""))</f>
        <v/>
      </c>
      <c r="AA1106">
        <f>IF($V1106="",N($AA1105),IF(MATCH($V1106,$V$6:$V$6005,0)=ROW()-5,N($AA1105)+1,N($AA1105)))</f>
        <v/>
      </c>
    </row>
    <row r="1107" ht="21" customHeight="1" s="66">
      <c r="A1107" s="56" t="n"/>
      <c r="B1107" s="57" t="n"/>
      <c r="C1107" s="57" t="n"/>
      <c r="D1107" s="57" t="n"/>
      <c r="E1107" s="56" t="n"/>
      <c r="F1107" s="57" t="n"/>
      <c r="G1107" s="57" t="n"/>
      <c r="H1107" s="56" t="n"/>
      <c r="I1107" s="56" t="n"/>
      <c r="J1107" s="58" t="n"/>
      <c r="K1107" s="58" t="n"/>
      <c r="L1107" s="13">
        <f>IF(OR($A1107="",AND($J1107="",$K1107="")),"",ROUND(N($J1107)-N($K1107),2))</f>
        <v/>
      </c>
      <c r="M1107" s="13">
        <f>IF(OR($A1107="",AND($J1107="",$K1107="")),"",MIN($J1107,$K1107))</f>
        <v/>
      </c>
      <c r="Q1107">
        <f>IF($A1107="","",$D1107&amp;"("&amp;SUBSTITUTE($E1107," ","")&amp;")")</f>
        <v/>
      </c>
      <c r="R1107">
        <f>IF($A1107="","",$B1107&amp;" - "&amp;$C1107)</f>
        <v/>
      </c>
      <c r="S1107">
        <f>IF($A1107="","",$R1107&amp;"|"&amp;$Q1107)</f>
        <v/>
      </c>
      <c r="T1107">
        <f>IF($A1107="","",$S1107&amp;"|"&amp;$F1107)</f>
        <v/>
      </c>
      <c r="U1107">
        <f>IF($A1107="","",$R1107&amp;"("&amp;$E1107&amp;")")</f>
        <v/>
      </c>
      <c r="V1107">
        <f>IF($A1107="","",$F1107&amp;"|"&amp;$U1107&amp;"|"&amp;$D1107)</f>
        <v/>
      </c>
      <c r="W1107">
        <f>IF($T1107="","",IF($X1107&gt;N($X1106),$X1107,""))</f>
        <v/>
      </c>
      <c r="X1107">
        <f>IF($T1107="",N($X1106),IF(MATCH($T1107,$T$6:$T$6005,0)=ROW()-5,N($X1106)+1,N($X1106)))</f>
        <v/>
      </c>
      <c r="Z1107">
        <f>IF($V1107="","",IF($AA1107&gt;N($AA1106),$AA1107,""))</f>
        <v/>
      </c>
      <c r="AA1107">
        <f>IF($V1107="",N($AA1106),IF(MATCH($V1107,$V$6:$V$6005,0)=ROW()-5,N($AA1106)+1,N($AA1106)))</f>
        <v/>
      </c>
    </row>
    <row r="1108" ht="21" customHeight="1" s="66">
      <c r="A1108" s="56" t="n"/>
      <c r="B1108" s="57" t="n"/>
      <c r="C1108" s="57" t="n"/>
      <c r="D1108" s="57" t="n"/>
      <c r="E1108" s="56" t="n"/>
      <c r="F1108" s="57" t="n"/>
      <c r="G1108" s="57" t="n"/>
      <c r="H1108" s="56" t="n"/>
      <c r="I1108" s="56" t="n"/>
      <c r="J1108" s="58" t="n"/>
      <c r="K1108" s="58" t="n"/>
      <c r="L1108" s="13">
        <f>IF(OR($A1108="",AND($J1108="",$K1108="")),"",ROUND(N($J1108)-N($K1108),2))</f>
        <v/>
      </c>
      <c r="M1108" s="13">
        <f>IF(OR($A1108="",AND($J1108="",$K1108="")),"",MIN($J1108,$K1108))</f>
        <v/>
      </c>
      <c r="Q1108">
        <f>IF($A1108="","",$D1108&amp;"("&amp;SUBSTITUTE($E1108," ","")&amp;")")</f>
        <v/>
      </c>
      <c r="R1108">
        <f>IF($A1108="","",$B1108&amp;" - "&amp;$C1108)</f>
        <v/>
      </c>
      <c r="S1108">
        <f>IF($A1108="","",$R1108&amp;"|"&amp;$Q1108)</f>
        <v/>
      </c>
      <c r="T1108">
        <f>IF($A1108="","",$S1108&amp;"|"&amp;$F1108)</f>
        <v/>
      </c>
      <c r="U1108">
        <f>IF($A1108="","",$R1108&amp;"("&amp;$E1108&amp;")")</f>
        <v/>
      </c>
      <c r="V1108">
        <f>IF($A1108="","",$F1108&amp;"|"&amp;$U1108&amp;"|"&amp;$D1108)</f>
        <v/>
      </c>
      <c r="W1108">
        <f>IF($T1108="","",IF($X1108&gt;N($X1107),$X1108,""))</f>
        <v/>
      </c>
      <c r="X1108">
        <f>IF($T1108="",N($X1107),IF(MATCH($T1108,$T$6:$T$6005,0)=ROW()-5,N($X1107)+1,N($X1107)))</f>
        <v/>
      </c>
      <c r="Z1108">
        <f>IF($V1108="","",IF($AA1108&gt;N($AA1107),$AA1108,""))</f>
        <v/>
      </c>
      <c r="AA1108">
        <f>IF($V1108="",N($AA1107),IF(MATCH($V1108,$V$6:$V$6005,0)=ROW()-5,N($AA1107)+1,N($AA1107)))</f>
        <v/>
      </c>
    </row>
    <row r="1109" ht="21" customHeight="1" s="66">
      <c r="A1109" s="56" t="n"/>
      <c r="B1109" s="57" t="n"/>
      <c r="C1109" s="57" t="n"/>
      <c r="D1109" s="57" t="n"/>
      <c r="E1109" s="56" t="n"/>
      <c r="F1109" s="57" t="n"/>
      <c r="G1109" s="57" t="n"/>
      <c r="H1109" s="56" t="n"/>
      <c r="I1109" s="56" t="n"/>
      <c r="J1109" s="58" t="n"/>
      <c r="K1109" s="58" t="n"/>
      <c r="L1109" s="13">
        <f>IF(OR($A1109="",AND($J1109="",$K1109="")),"",ROUND(N($J1109)-N($K1109),2))</f>
        <v/>
      </c>
      <c r="M1109" s="13">
        <f>IF(OR($A1109="",AND($J1109="",$K1109="")),"",MIN($J1109,$K1109))</f>
        <v/>
      </c>
      <c r="Q1109">
        <f>IF($A1109="","",$D1109&amp;"("&amp;SUBSTITUTE($E1109," ","")&amp;")")</f>
        <v/>
      </c>
      <c r="R1109">
        <f>IF($A1109="","",$B1109&amp;" - "&amp;$C1109)</f>
        <v/>
      </c>
      <c r="S1109">
        <f>IF($A1109="","",$R1109&amp;"|"&amp;$Q1109)</f>
        <v/>
      </c>
      <c r="T1109">
        <f>IF($A1109="","",$S1109&amp;"|"&amp;$F1109)</f>
        <v/>
      </c>
      <c r="U1109">
        <f>IF($A1109="","",$R1109&amp;"("&amp;$E1109&amp;")")</f>
        <v/>
      </c>
      <c r="V1109">
        <f>IF($A1109="","",$F1109&amp;"|"&amp;$U1109&amp;"|"&amp;$D1109)</f>
        <v/>
      </c>
      <c r="W1109">
        <f>IF($T1109="","",IF($X1109&gt;N($X1108),$X1109,""))</f>
        <v/>
      </c>
      <c r="X1109">
        <f>IF($T1109="",N($X1108),IF(MATCH($T1109,$T$6:$T$6005,0)=ROW()-5,N($X1108)+1,N($X1108)))</f>
        <v/>
      </c>
      <c r="Z1109">
        <f>IF($V1109="","",IF($AA1109&gt;N($AA1108),$AA1109,""))</f>
        <v/>
      </c>
      <c r="AA1109">
        <f>IF($V1109="",N($AA1108),IF(MATCH($V1109,$V$6:$V$6005,0)=ROW()-5,N($AA1108)+1,N($AA1108)))</f>
        <v/>
      </c>
    </row>
    <row r="1110" ht="21" customHeight="1" s="66">
      <c r="A1110" s="56" t="n"/>
      <c r="B1110" s="57" t="n"/>
      <c r="C1110" s="57" t="n"/>
      <c r="D1110" s="57" t="n"/>
      <c r="E1110" s="56" t="n"/>
      <c r="F1110" s="57" t="n"/>
      <c r="G1110" s="57" t="n"/>
      <c r="H1110" s="56" t="n"/>
      <c r="I1110" s="56" t="n"/>
      <c r="J1110" s="58" t="n"/>
      <c r="K1110" s="58" t="n"/>
      <c r="L1110" s="13">
        <f>IF(OR($A1110="",AND($J1110="",$K1110="")),"",ROUND(N($J1110)-N($K1110),2))</f>
        <v/>
      </c>
      <c r="M1110" s="13">
        <f>IF(OR($A1110="",AND($J1110="",$K1110="")),"",MIN($J1110,$K1110))</f>
        <v/>
      </c>
      <c r="Q1110">
        <f>IF($A1110="","",$D1110&amp;"("&amp;SUBSTITUTE($E1110," ","")&amp;")")</f>
        <v/>
      </c>
      <c r="R1110">
        <f>IF($A1110="","",$B1110&amp;" - "&amp;$C1110)</f>
        <v/>
      </c>
      <c r="S1110">
        <f>IF($A1110="","",$R1110&amp;"|"&amp;$Q1110)</f>
        <v/>
      </c>
      <c r="T1110">
        <f>IF($A1110="","",$S1110&amp;"|"&amp;$F1110)</f>
        <v/>
      </c>
      <c r="U1110">
        <f>IF($A1110="","",$R1110&amp;"("&amp;$E1110&amp;")")</f>
        <v/>
      </c>
      <c r="V1110">
        <f>IF($A1110="","",$F1110&amp;"|"&amp;$U1110&amp;"|"&amp;$D1110)</f>
        <v/>
      </c>
      <c r="W1110">
        <f>IF($T1110="","",IF($X1110&gt;N($X1109),$X1110,""))</f>
        <v/>
      </c>
      <c r="X1110">
        <f>IF($T1110="",N($X1109),IF(MATCH($T1110,$T$6:$T$6005,0)=ROW()-5,N($X1109)+1,N($X1109)))</f>
        <v/>
      </c>
      <c r="Z1110">
        <f>IF($V1110="","",IF($AA1110&gt;N($AA1109),$AA1110,""))</f>
        <v/>
      </c>
      <c r="AA1110">
        <f>IF($V1110="",N($AA1109),IF(MATCH($V1110,$V$6:$V$6005,0)=ROW()-5,N($AA1109)+1,N($AA1109)))</f>
        <v/>
      </c>
    </row>
    <row r="1111" ht="21" customHeight="1" s="66">
      <c r="A1111" s="56" t="n"/>
      <c r="B1111" s="57" t="n"/>
      <c r="C1111" s="57" t="n"/>
      <c r="D1111" s="57" t="n"/>
      <c r="E1111" s="56" t="n"/>
      <c r="F1111" s="57" t="n"/>
      <c r="G1111" s="57" t="n"/>
      <c r="H1111" s="56" t="n"/>
      <c r="I1111" s="56" t="n"/>
      <c r="J1111" s="58" t="n"/>
      <c r="K1111" s="58" t="n"/>
      <c r="L1111" s="13">
        <f>IF(OR($A1111="",AND($J1111="",$K1111="")),"",ROUND(N($J1111)-N($K1111),2))</f>
        <v/>
      </c>
      <c r="M1111" s="13">
        <f>IF(OR($A1111="",AND($J1111="",$K1111="")),"",MIN($J1111,$K1111))</f>
        <v/>
      </c>
      <c r="Q1111">
        <f>IF($A1111="","",$D1111&amp;"("&amp;SUBSTITUTE($E1111," ","")&amp;")")</f>
        <v/>
      </c>
      <c r="R1111">
        <f>IF($A1111="","",$B1111&amp;" - "&amp;$C1111)</f>
        <v/>
      </c>
      <c r="S1111">
        <f>IF($A1111="","",$R1111&amp;"|"&amp;$Q1111)</f>
        <v/>
      </c>
      <c r="T1111">
        <f>IF($A1111="","",$S1111&amp;"|"&amp;$F1111)</f>
        <v/>
      </c>
      <c r="U1111">
        <f>IF($A1111="","",$R1111&amp;"("&amp;$E1111&amp;")")</f>
        <v/>
      </c>
      <c r="V1111">
        <f>IF($A1111="","",$F1111&amp;"|"&amp;$U1111&amp;"|"&amp;$D1111)</f>
        <v/>
      </c>
      <c r="W1111">
        <f>IF($T1111="","",IF($X1111&gt;N($X1110),$X1111,""))</f>
        <v/>
      </c>
      <c r="X1111">
        <f>IF($T1111="",N($X1110),IF(MATCH($T1111,$T$6:$T$6005,0)=ROW()-5,N($X1110)+1,N($X1110)))</f>
        <v/>
      </c>
      <c r="Z1111">
        <f>IF($V1111="","",IF($AA1111&gt;N($AA1110),$AA1111,""))</f>
        <v/>
      </c>
      <c r="AA1111">
        <f>IF($V1111="",N($AA1110),IF(MATCH($V1111,$V$6:$V$6005,0)=ROW()-5,N($AA1110)+1,N($AA1110)))</f>
        <v/>
      </c>
    </row>
    <row r="1112" ht="21" customHeight="1" s="66">
      <c r="A1112" s="56" t="n"/>
      <c r="B1112" s="57" t="n"/>
      <c r="C1112" s="57" t="n"/>
      <c r="D1112" s="57" t="n"/>
      <c r="E1112" s="56" t="n"/>
      <c r="F1112" s="57" t="n"/>
      <c r="G1112" s="57" t="n"/>
      <c r="H1112" s="56" t="n"/>
      <c r="I1112" s="56" t="n"/>
      <c r="J1112" s="58" t="n"/>
      <c r="K1112" s="58" t="n"/>
      <c r="L1112" s="13">
        <f>IF(OR($A1112="",AND($J1112="",$K1112="")),"",ROUND(N($J1112)-N($K1112),2))</f>
        <v/>
      </c>
      <c r="M1112" s="13">
        <f>IF(OR($A1112="",AND($J1112="",$K1112="")),"",MIN($J1112,$K1112))</f>
        <v/>
      </c>
      <c r="Q1112">
        <f>IF($A1112="","",$D1112&amp;"("&amp;SUBSTITUTE($E1112," ","")&amp;")")</f>
        <v/>
      </c>
      <c r="R1112">
        <f>IF($A1112="","",$B1112&amp;" - "&amp;$C1112)</f>
        <v/>
      </c>
      <c r="S1112">
        <f>IF($A1112="","",$R1112&amp;"|"&amp;$Q1112)</f>
        <v/>
      </c>
      <c r="T1112">
        <f>IF($A1112="","",$S1112&amp;"|"&amp;$F1112)</f>
        <v/>
      </c>
      <c r="U1112">
        <f>IF($A1112="","",$R1112&amp;"("&amp;$E1112&amp;")")</f>
        <v/>
      </c>
      <c r="V1112">
        <f>IF($A1112="","",$F1112&amp;"|"&amp;$U1112&amp;"|"&amp;$D1112)</f>
        <v/>
      </c>
      <c r="W1112">
        <f>IF($T1112="","",IF($X1112&gt;N($X1111),$X1112,""))</f>
        <v/>
      </c>
      <c r="X1112">
        <f>IF($T1112="",N($X1111),IF(MATCH($T1112,$T$6:$T$6005,0)=ROW()-5,N($X1111)+1,N($X1111)))</f>
        <v/>
      </c>
      <c r="Z1112">
        <f>IF($V1112="","",IF($AA1112&gt;N($AA1111),$AA1112,""))</f>
        <v/>
      </c>
      <c r="AA1112">
        <f>IF($V1112="",N($AA1111),IF(MATCH($V1112,$V$6:$V$6005,0)=ROW()-5,N($AA1111)+1,N($AA1111)))</f>
        <v/>
      </c>
    </row>
    <row r="1113" ht="21" customHeight="1" s="66">
      <c r="A1113" s="56" t="n"/>
      <c r="B1113" s="57" t="n"/>
      <c r="C1113" s="57" t="n"/>
      <c r="D1113" s="57" t="n"/>
      <c r="E1113" s="56" t="n"/>
      <c r="F1113" s="57" t="n"/>
      <c r="G1113" s="57" t="n"/>
      <c r="H1113" s="56" t="n"/>
      <c r="I1113" s="56" t="n"/>
      <c r="J1113" s="58" t="n"/>
      <c r="K1113" s="58" t="n"/>
      <c r="L1113" s="13">
        <f>IF(OR($A1113="",AND($J1113="",$K1113="")),"",ROUND(N($J1113)-N($K1113),2))</f>
        <v/>
      </c>
      <c r="M1113" s="13">
        <f>IF(OR($A1113="",AND($J1113="",$K1113="")),"",MIN($J1113,$K1113))</f>
        <v/>
      </c>
      <c r="Q1113">
        <f>IF($A1113="","",$D1113&amp;"("&amp;SUBSTITUTE($E1113," ","")&amp;")")</f>
        <v/>
      </c>
      <c r="R1113">
        <f>IF($A1113="","",$B1113&amp;" - "&amp;$C1113)</f>
        <v/>
      </c>
      <c r="S1113">
        <f>IF($A1113="","",$R1113&amp;"|"&amp;$Q1113)</f>
        <v/>
      </c>
      <c r="T1113">
        <f>IF($A1113="","",$S1113&amp;"|"&amp;$F1113)</f>
        <v/>
      </c>
      <c r="U1113">
        <f>IF($A1113="","",$R1113&amp;"("&amp;$E1113&amp;")")</f>
        <v/>
      </c>
      <c r="V1113">
        <f>IF($A1113="","",$F1113&amp;"|"&amp;$U1113&amp;"|"&amp;$D1113)</f>
        <v/>
      </c>
      <c r="W1113">
        <f>IF($T1113="","",IF($X1113&gt;N($X1112),$X1113,""))</f>
        <v/>
      </c>
      <c r="X1113">
        <f>IF($T1113="",N($X1112),IF(MATCH($T1113,$T$6:$T$6005,0)=ROW()-5,N($X1112)+1,N($X1112)))</f>
        <v/>
      </c>
      <c r="Z1113">
        <f>IF($V1113="","",IF($AA1113&gt;N($AA1112),$AA1113,""))</f>
        <v/>
      </c>
      <c r="AA1113">
        <f>IF($V1113="",N($AA1112),IF(MATCH($V1113,$V$6:$V$6005,0)=ROW()-5,N($AA1112)+1,N($AA1112)))</f>
        <v/>
      </c>
    </row>
    <row r="1114" ht="21" customHeight="1" s="66">
      <c r="A1114" s="56" t="n"/>
      <c r="B1114" s="57" t="n"/>
      <c r="C1114" s="57" t="n"/>
      <c r="D1114" s="57" t="n"/>
      <c r="E1114" s="56" t="n"/>
      <c r="F1114" s="57" t="n"/>
      <c r="G1114" s="57" t="n"/>
      <c r="H1114" s="56" t="n"/>
      <c r="I1114" s="56" t="n"/>
      <c r="J1114" s="58" t="n"/>
      <c r="K1114" s="58" t="n"/>
      <c r="L1114" s="13">
        <f>IF(OR($A1114="",AND($J1114="",$K1114="")),"",ROUND(N($J1114)-N($K1114),2))</f>
        <v/>
      </c>
      <c r="M1114" s="13">
        <f>IF(OR($A1114="",AND($J1114="",$K1114="")),"",MIN($J1114,$K1114))</f>
        <v/>
      </c>
      <c r="Q1114">
        <f>IF($A1114="","",$D1114&amp;"("&amp;SUBSTITUTE($E1114," ","")&amp;")")</f>
        <v/>
      </c>
      <c r="R1114">
        <f>IF($A1114="","",$B1114&amp;" - "&amp;$C1114)</f>
        <v/>
      </c>
      <c r="S1114">
        <f>IF($A1114="","",$R1114&amp;"|"&amp;$Q1114)</f>
        <v/>
      </c>
      <c r="T1114">
        <f>IF($A1114="","",$S1114&amp;"|"&amp;$F1114)</f>
        <v/>
      </c>
      <c r="U1114">
        <f>IF($A1114="","",$R1114&amp;"("&amp;$E1114&amp;")")</f>
        <v/>
      </c>
      <c r="V1114">
        <f>IF($A1114="","",$F1114&amp;"|"&amp;$U1114&amp;"|"&amp;$D1114)</f>
        <v/>
      </c>
      <c r="W1114">
        <f>IF($T1114="","",IF($X1114&gt;N($X1113),$X1114,""))</f>
        <v/>
      </c>
      <c r="X1114">
        <f>IF($T1114="",N($X1113),IF(MATCH($T1114,$T$6:$T$6005,0)=ROW()-5,N($X1113)+1,N($X1113)))</f>
        <v/>
      </c>
      <c r="Z1114">
        <f>IF($V1114="","",IF($AA1114&gt;N($AA1113),$AA1114,""))</f>
        <v/>
      </c>
      <c r="AA1114">
        <f>IF($V1114="",N($AA1113),IF(MATCH($V1114,$V$6:$V$6005,0)=ROW()-5,N($AA1113)+1,N($AA1113)))</f>
        <v/>
      </c>
    </row>
    <row r="1115" ht="21" customHeight="1" s="66">
      <c r="A1115" s="56" t="n"/>
      <c r="B1115" s="57" t="n"/>
      <c r="C1115" s="57" t="n"/>
      <c r="D1115" s="57" t="n"/>
      <c r="E1115" s="56" t="n"/>
      <c r="F1115" s="57" t="n"/>
      <c r="G1115" s="57" t="n"/>
      <c r="H1115" s="56" t="n"/>
      <c r="I1115" s="56" t="n"/>
      <c r="J1115" s="58" t="n"/>
      <c r="K1115" s="58" t="n"/>
      <c r="L1115" s="13">
        <f>IF(OR($A1115="",AND($J1115="",$K1115="")),"",ROUND(N($J1115)-N($K1115),2))</f>
        <v/>
      </c>
      <c r="M1115" s="13">
        <f>IF(OR($A1115="",AND($J1115="",$K1115="")),"",MIN($J1115,$K1115))</f>
        <v/>
      </c>
      <c r="Q1115">
        <f>IF($A1115="","",$D1115&amp;"("&amp;SUBSTITUTE($E1115," ","")&amp;")")</f>
        <v/>
      </c>
      <c r="R1115">
        <f>IF($A1115="","",$B1115&amp;" - "&amp;$C1115)</f>
        <v/>
      </c>
      <c r="S1115">
        <f>IF($A1115="","",$R1115&amp;"|"&amp;$Q1115)</f>
        <v/>
      </c>
      <c r="T1115">
        <f>IF($A1115="","",$S1115&amp;"|"&amp;$F1115)</f>
        <v/>
      </c>
      <c r="U1115">
        <f>IF($A1115="","",$R1115&amp;"("&amp;$E1115&amp;")")</f>
        <v/>
      </c>
      <c r="V1115">
        <f>IF($A1115="","",$F1115&amp;"|"&amp;$U1115&amp;"|"&amp;$D1115)</f>
        <v/>
      </c>
      <c r="W1115">
        <f>IF($T1115="","",IF($X1115&gt;N($X1114),$X1115,""))</f>
        <v/>
      </c>
      <c r="X1115">
        <f>IF($T1115="",N($X1114),IF(MATCH($T1115,$T$6:$T$6005,0)=ROW()-5,N($X1114)+1,N($X1114)))</f>
        <v/>
      </c>
      <c r="Z1115">
        <f>IF($V1115="","",IF($AA1115&gt;N($AA1114),$AA1115,""))</f>
        <v/>
      </c>
      <c r="AA1115">
        <f>IF($V1115="",N($AA1114),IF(MATCH($V1115,$V$6:$V$6005,0)=ROW()-5,N($AA1114)+1,N($AA1114)))</f>
        <v/>
      </c>
    </row>
    <row r="1116" ht="21" customHeight="1" s="66">
      <c r="A1116" s="56" t="n"/>
      <c r="B1116" s="57" t="n"/>
      <c r="C1116" s="57" t="n"/>
      <c r="D1116" s="57" t="n"/>
      <c r="E1116" s="56" t="n"/>
      <c r="F1116" s="57" t="n"/>
      <c r="G1116" s="57" t="n"/>
      <c r="H1116" s="56" t="n"/>
      <c r="I1116" s="56" t="n"/>
      <c r="J1116" s="58" t="n"/>
      <c r="K1116" s="58" t="n"/>
      <c r="L1116" s="13">
        <f>IF(OR($A1116="",AND($J1116="",$K1116="")),"",ROUND(N($J1116)-N($K1116),2))</f>
        <v/>
      </c>
      <c r="M1116" s="13">
        <f>IF(OR($A1116="",AND($J1116="",$K1116="")),"",MIN($J1116,$K1116))</f>
        <v/>
      </c>
      <c r="Q1116">
        <f>IF($A1116="","",$D1116&amp;"("&amp;SUBSTITUTE($E1116," ","")&amp;")")</f>
        <v/>
      </c>
      <c r="R1116">
        <f>IF($A1116="","",$B1116&amp;" - "&amp;$C1116)</f>
        <v/>
      </c>
      <c r="S1116">
        <f>IF($A1116="","",$R1116&amp;"|"&amp;$Q1116)</f>
        <v/>
      </c>
      <c r="T1116">
        <f>IF($A1116="","",$S1116&amp;"|"&amp;$F1116)</f>
        <v/>
      </c>
      <c r="U1116">
        <f>IF($A1116="","",$R1116&amp;"("&amp;$E1116&amp;")")</f>
        <v/>
      </c>
      <c r="V1116">
        <f>IF($A1116="","",$F1116&amp;"|"&amp;$U1116&amp;"|"&amp;$D1116)</f>
        <v/>
      </c>
      <c r="W1116">
        <f>IF($T1116="","",IF($X1116&gt;N($X1115),$X1116,""))</f>
        <v/>
      </c>
      <c r="X1116">
        <f>IF($T1116="",N($X1115),IF(MATCH($T1116,$T$6:$T$6005,0)=ROW()-5,N($X1115)+1,N($X1115)))</f>
        <v/>
      </c>
      <c r="Z1116">
        <f>IF($V1116="","",IF($AA1116&gt;N($AA1115),$AA1116,""))</f>
        <v/>
      </c>
      <c r="AA1116">
        <f>IF($V1116="",N($AA1115),IF(MATCH($V1116,$V$6:$V$6005,0)=ROW()-5,N($AA1115)+1,N($AA1115)))</f>
        <v/>
      </c>
    </row>
    <row r="1117" ht="21" customHeight="1" s="66">
      <c r="A1117" s="56" t="n"/>
      <c r="B1117" s="57" t="n"/>
      <c r="C1117" s="57" t="n"/>
      <c r="D1117" s="57" t="n"/>
      <c r="E1117" s="56" t="n"/>
      <c r="F1117" s="57" t="n"/>
      <c r="G1117" s="57" t="n"/>
      <c r="H1117" s="56" t="n"/>
      <c r="I1117" s="56" t="n"/>
      <c r="J1117" s="58" t="n"/>
      <c r="K1117" s="58" t="n"/>
      <c r="L1117" s="13">
        <f>IF(OR($A1117="",AND($J1117="",$K1117="")),"",ROUND(N($J1117)-N($K1117),2))</f>
        <v/>
      </c>
      <c r="M1117" s="13">
        <f>IF(OR($A1117="",AND($J1117="",$K1117="")),"",MIN($J1117,$K1117))</f>
        <v/>
      </c>
      <c r="Q1117">
        <f>IF($A1117="","",$D1117&amp;"("&amp;SUBSTITUTE($E1117," ","")&amp;")")</f>
        <v/>
      </c>
      <c r="R1117">
        <f>IF($A1117="","",$B1117&amp;" - "&amp;$C1117)</f>
        <v/>
      </c>
      <c r="S1117">
        <f>IF($A1117="","",$R1117&amp;"|"&amp;$Q1117)</f>
        <v/>
      </c>
      <c r="T1117">
        <f>IF($A1117="","",$S1117&amp;"|"&amp;$F1117)</f>
        <v/>
      </c>
      <c r="U1117">
        <f>IF($A1117="","",$R1117&amp;"("&amp;$E1117&amp;")")</f>
        <v/>
      </c>
      <c r="V1117">
        <f>IF($A1117="","",$F1117&amp;"|"&amp;$U1117&amp;"|"&amp;$D1117)</f>
        <v/>
      </c>
      <c r="W1117">
        <f>IF($T1117="","",IF($X1117&gt;N($X1116),$X1117,""))</f>
        <v/>
      </c>
      <c r="X1117">
        <f>IF($T1117="",N($X1116),IF(MATCH($T1117,$T$6:$T$6005,0)=ROW()-5,N($X1116)+1,N($X1116)))</f>
        <v/>
      </c>
      <c r="Z1117">
        <f>IF($V1117="","",IF($AA1117&gt;N($AA1116),$AA1117,""))</f>
        <v/>
      </c>
      <c r="AA1117">
        <f>IF($V1117="",N($AA1116),IF(MATCH($V1117,$V$6:$V$6005,0)=ROW()-5,N($AA1116)+1,N($AA1116)))</f>
        <v/>
      </c>
    </row>
    <row r="1118" ht="21" customHeight="1" s="66">
      <c r="A1118" s="56" t="n"/>
      <c r="B1118" s="57" t="n"/>
      <c r="C1118" s="57" t="n"/>
      <c r="D1118" s="57" t="n"/>
      <c r="E1118" s="56" t="n"/>
      <c r="F1118" s="57" t="n"/>
      <c r="G1118" s="57" t="n"/>
      <c r="H1118" s="56" t="n"/>
      <c r="I1118" s="56" t="n"/>
      <c r="J1118" s="58" t="n"/>
      <c r="K1118" s="58" t="n"/>
      <c r="L1118" s="13">
        <f>IF(OR($A1118="",AND($J1118="",$K1118="")),"",ROUND(N($J1118)-N($K1118),2))</f>
        <v/>
      </c>
      <c r="M1118" s="13">
        <f>IF(OR($A1118="",AND($J1118="",$K1118="")),"",MIN($J1118,$K1118))</f>
        <v/>
      </c>
      <c r="Q1118">
        <f>IF($A1118="","",$D1118&amp;"("&amp;SUBSTITUTE($E1118," ","")&amp;")")</f>
        <v/>
      </c>
      <c r="R1118">
        <f>IF($A1118="","",$B1118&amp;" - "&amp;$C1118)</f>
        <v/>
      </c>
      <c r="S1118">
        <f>IF($A1118="","",$R1118&amp;"|"&amp;$Q1118)</f>
        <v/>
      </c>
      <c r="T1118">
        <f>IF($A1118="","",$S1118&amp;"|"&amp;$F1118)</f>
        <v/>
      </c>
      <c r="U1118">
        <f>IF($A1118="","",$R1118&amp;"("&amp;$E1118&amp;")")</f>
        <v/>
      </c>
      <c r="V1118">
        <f>IF($A1118="","",$F1118&amp;"|"&amp;$U1118&amp;"|"&amp;$D1118)</f>
        <v/>
      </c>
      <c r="W1118">
        <f>IF($T1118="","",IF($X1118&gt;N($X1117),$X1118,""))</f>
        <v/>
      </c>
      <c r="X1118">
        <f>IF($T1118="",N($X1117),IF(MATCH($T1118,$T$6:$T$6005,0)=ROW()-5,N($X1117)+1,N($X1117)))</f>
        <v/>
      </c>
      <c r="Z1118">
        <f>IF($V1118="","",IF($AA1118&gt;N($AA1117),$AA1118,""))</f>
        <v/>
      </c>
      <c r="AA1118">
        <f>IF($V1118="",N($AA1117),IF(MATCH($V1118,$V$6:$V$6005,0)=ROW()-5,N($AA1117)+1,N($AA1117)))</f>
        <v/>
      </c>
    </row>
    <row r="1119" ht="21" customHeight="1" s="66">
      <c r="A1119" s="56" t="n"/>
      <c r="B1119" s="57" t="n"/>
      <c r="C1119" s="57" t="n"/>
      <c r="D1119" s="57" t="n"/>
      <c r="E1119" s="56" t="n"/>
      <c r="F1119" s="57" t="n"/>
      <c r="G1119" s="57" t="n"/>
      <c r="H1119" s="56" t="n"/>
      <c r="I1119" s="56" t="n"/>
      <c r="J1119" s="58" t="n"/>
      <c r="K1119" s="58" t="n"/>
      <c r="L1119" s="13">
        <f>IF(OR($A1119="",AND($J1119="",$K1119="")),"",ROUND(N($J1119)-N($K1119),2))</f>
        <v/>
      </c>
      <c r="M1119" s="13">
        <f>IF(OR($A1119="",AND($J1119="",$K1119="")),"",MIN($J1119,$K1119))</f>
        <v/>
      </c>
      <c r="Q1119">
        <f>IF($A1119="","",$D1119&amp;"("&amp;SUBSTITUTE($E1119," ","")&amp;")")</f>
        <v/>
      </c>
      <c r="R1119">
        <f>IF($A1119="","",$B1119&amp;" - "&amp;$C1119)</f>
        <v/>
      </c>
      <c r="S1119">
        <f>IF($A1119="","",$R1119&amp;"|"&amp;$Q1119)</f>
        <v/>
      </c>
      <c r="T1119">
        <f>IF($A1119="","",$S1119&amp;"|"&amp;$F1119)</f>
        <v/>
      </c>
      <c r="U1119">
        <f>IF($A1119="","",$R1119&amp;"("&amp;$E1119&amp;")")</f>
        <v/>
      </c>
      <c r="V1119">
        <f>IF($A1119="","",$F1119&amp;"|"&amp;$U1119&amp;"|"&amp;$D1119)</f>
        <v/>
      </c>
      <c r="W1119">
        <f>IF($T1119="","",IF($X1119&gt;N($X1118),$X1119,""))</f>
        <v/>
      </c>
      <c r="X1119">
        <f>IF($T1119="",N($X1118),IF(MATCH($T1119,$T$6:$T$6005,0)=ROW()-5,N($X1118)+1,N($X1118)))</f>
        <v/>
      </c>
      <c r="Z1119">
        <f>IF($V1119="","",IF($AA1119&gt;N($AA1118),$AA1119,""))</f>
        <v/>
      </c>
      <c r="AA1119">
        <f>IF($V1119="",N($AA1118),IF(MATCH($V1119,$V$6:$V$6005,0)=ROW()-5,N($AA1118)+1,N($AA1118)))</f>
        <v/>
      </c>
    </row>
    <row r="1120" ht="21" customHeight="1" s="66">
      <c r="A1120" s="56" t="n"/>
      <c r="B1120" s="57" t="n"/>
      <c r="C1120" s="57" t="n"/>
      <c r="D1120" s="57" t="n"/>
      <c r="E1120" s="56" t="n"/>
      <c r="F1120" s="57" t="n"/>
      <c r="G1120" s="57" t="n"/>
      <c r="H1120" s="56" t="n"/>
      <c r="I1120" s="56" t="n"/>
      <c r="J1120" s="58" t="n"/>
      <c r="K1120" s="58" t="n"/>
      <c r="L1120" s="13">
        <f>IF(OR($A1120="",AND($J1120="",$K1120="")),"",ROUND(N($J1120)-N($K1120),2))</f>
        <v/>
      </c>
      <c r="M1120" s="13">
        <f>IF(OR($A1120="",AND($J1120="",$K1120="")),"",MIN($J1120,$K1120))</f>
        <v/>
      </c>
      <c r="Q1120">
        <f>IF($A1120="","",$D1120&amp;"("&amp;SUBSTITUTE($E1120," ","")&amp;")")</f>
        <v/>
      </c>
      <c r="R1120">
        <f>IF($A1120="","",$B1120&amp;" - "&amp;$C1120)</f>
        <v/>
      </c>
      <c r="S1120">
        <f>IF($A1120="","",$R1120&amp;"|"&amp;$Q1120)</f>
        <v/>
      </c>
      <c r="T1120">
        <f>IF($A1120="","",$S1120&amp;"|"&amp;$F1120)</f>
        <v/>
      </c>
      <c r="U1120">
        <f>IF($A1120="","",$R1120&amp;"("&amp;$E1120&amp;")")</f>
        <v/>
      </c>
      <c r="V1120">
        <f>IF($A1120="","",$F1120&amp;"|"&amp;$U1120&amp;"|"&amp;$D1120)</f>
        <v/>
      </c>
      <c r="W1120">
        <f>IF($T1120="","",IF($X1120&gt;N($X1119),$X1120,""))</f>
        <v/>
      </c>
      <c r="X1120">
        <f>IF($T1120="",N($X1119),IF(MATCH($T1120,$T$6:$T$6005,0)=ROW()-5,N($X1119)+1,N($X1119)))</f>
        <v/>
      </c>
      <c r="Z1120">
        <f>IF($V1120="","",IF($AA1120&gt;N($AA1119),$AA1120,""))</f>
        <v/>
      </c>
      <c r="AA1120">
        <f>IF($V1120="",N($AA1119),IF(MATCH($V1120,$V$6:$V$6005,0)=ROW()-5,N($AA1119)+1,N($AA1119)))</f>
        <v/>
      </c>
    </row>
    <row r="1121" ht="21" customHeight="1" s="66">
      <c r="A1121" s="56" t="n"/>
      <c r="B1121" s="57" t="n"/>
      <c r="C1121" s="57" t="n"/>
      <c r="D1121" s="57" t="n"/>
      <c r="E1121" s="56" t="n"/>
      <c r="F1121" s="57" t="n"/>
      <c r="G1121" s="57" t="n"/>
      <c r="H1121" s="56" t="n"/>
      <c r="I1121" s="56" t="n"/>
      <c r="J1121" s="58" t="n"/>
      <c r="K1121" s="58" t="n"/>
      <c r="L1121" s="13">
        <f>IF(OR($A1121="",AND($J1121="",$K1121="")),"",ROUND(N($J1121)-N($K1121),2))</f>
        <v/>
      </c>
      <c r="M1121" s="13">
        <f>IF(OR($A1121="",AND($J1121="",$K1121="")),"",MIN($J1121,$K1121))</f>
        <v/>
      </c>
      <c r="Q1121">
        <f>IF($A1121="","",$D1121&amp;"("&amp;SUBSTITUTE($E1121," ","")&amp;")")</f>
        <v/>
      </c>
      <c r="R1121">
        <f>IF($A1121="","",$B1121&amp;" - "&amp;$C1121)</f>
        <v/>
      </c>
      <c r="S1121">
        <f>IF($A1121="","",$R1121&amp;"|"&amp;$Q1121)</f>
        <v/>
      </c>
      <c r="T1121">
        <f>IF($A1121="","",$S1121&amp;"|"&amp;$F1121)</f>
        <v/>
      </c>
      <c r="U1121">
        <f>IF($A1121="","",$R1121&amp;"("&amp;$E1121&amp;")")</f>
        <v/>
      </c>
      <c r="V1121">
        <f>IF($A1121="","",$F1121&amp;"|"&amp;$U1121&amp;"|"&amp;$D1121)</f>
        <v/>
      </c>
      <c r="W1121">
        <f>IF($T1121="","",IF($X1121&gt;N($X1120),$X1121,""))</f>
        <v/>
      </c>
      <c r="X1121">
        <f>IF($T1121="",N($X1120),IF(MATCH($T1121,$T$6:$T$6005,0)=ROW()-5,N($X1120)+1,N($X1120)))</f>
        <v/>
      </c>
      <c r="Z1121">
        <f>IF($V1121="","",IF($AA1121&gt;N($AA1120),$AA1121,""))</f>
        <v/>
      </c>
      <c r="AA1121">
        <f>IF($V1121="",N($AA1120),IF(MATCH($V1121,$V$6:$V$6005,0)=ROW()-5,N($AA1120)+1,N($AA1120)))</f>
        <v/>
      </c>
    </row>
    <row r="1122" ht="21" customHeight="1" s="66">
      <c r="A1122" s="56" t="n"/>
      <c r="B1122" s="57" t="n"/>
      <c r="C1122" s="57" t="n"/>
      <c r="D1122" s="57" t="n"/>
      <c r="E1122" s="56" t="n"/>
      <c r="F1122" s="57" t="n"/>
      <c r="G1122" s="57" t="n"/>
      <c r="H1122" s="56" t="n"/>
      <c r="I1122" s="56" t="n"/>
      <c r="J1122" s="58" t="n"/>
      <c r="K1122" s="58" t="n"/>
      <c r="L1122" s="13">
        <f>IF(OR($A1122="",AND($J1122="",$K1122="")),"",ROUND(N($J1122)-N($K1122),2))</f>
        <v/>
      </c>
      <c r="M1122" s="13">
        <f>IF(OR($A1122="",AND($J1122="",$K1122="")),"",MIN($J1122,$K1122))</f>
        <v/>
      </c>
      <c r="Q1122">
        <f>IF($A1122="","",$D1122&amp;"("&amp;SUBSTITUTE($E1122," ","")&amp;")")</f>
        <v/>
      </c>
      <c r="R1122">
        <f>IF($A1122="","",$B1122&amp;" - "&amp;$C1122)</f>
        <v/>
      </c>
      <c r="S1122">
        <f>IF($A1122="","",$R1122&amp;"|"&amp;$Q1122)</f>
        <v/>
      </c>
      <c r="T1122">
        <f>IF($A1122="","",$S1122&amp;"|"&amp;$F1122)</f>
        <v/>
      </c>
      <c r="U1122">
        <f>IF($A1122="","",$R1122&amp;"("&amp;$E1122&amp;")")</f>
        <v/>
      </c>
      <c r="V1122">
        <f>IF($A1122="","",$F1122&amp;"|"&amp;$U1122&amp;"|"&amp;$D1122)</f>
        <v/>
      </c>
      <c r="W1122">
        <f>IF($T1122="","",IF($X1122&gt;N($X1121),$X1122,""))</f>
        <v/>
      </c>
      <c r="X1122">
        <f>IF($T1122="",N($X1121),IF(MATCH($T1122,$T$6:$T$6005,0)=ROW()-5,N($X1121)+1,N($X1121)))</f>
        <v/>
      </c>
      <c r="Z1122">
        <f>IF($V1122="","",IF($AA1122&gt;N($AA1121),$AA1122,""))</f>
        <v/>
      </c>
      <c r="AA1122">
        <f>IF($V1122="",N($AA1121),IF(MATCH($V1122,$V$6:$V$6005,0)=ROW()-5,N($AA1121)+1,N($AA1121)))</f>
        <v/>
      </c>
    </row>
    <row r="1123" ht="21" customHeight="1" s="66">
      <c r="A1123" s="56" t="n"/>
      <c r="B1123" s="57" t="n"/>
      <c r="C1123" s="57" t="n"/>
      <c r="D1123" s="57" t="n"/>
      <c r="E1123" s="56" t="n"/>
      <c r="F1123" s="57" t="n"/>
      <c r="G1123" s="57" t="n"/>
      <c r="H1123" s="56" t="n"/>
      <c r="I1123" s="56" t="n"/>
      <c r="J1123" s="58" t="n"/>
      <c r="K1123" s="58" t="n"/>
      <c r="L1123" s="13">
        <f>IF(OR($A1123="",AND($J1123="",$K1123="")),"",ROUND(N($J1123)-N($K1123),2))</f>
        <v/>
      </c>
      <c r="M1123" s="13">
        <f>IF(OR($A1123="",AND($J1123="",$K1123="")),"",MIN($J1123,$K1123))</f>
        <v/>
      </c>
      <c r="Q1123">
        <f>IF($A1123="","",$D1123&amp;"("&amp;SUBSTITUTE($E1123," ","")&amp;")")</f>
        <v/>
      </c>
      <c r="R1123">
        <f>IF($A1123="","",$B1123&amp;" - "&amp;$C1123)</f>
        <v/>
      </c>
      <c r="S1123">
        <f>IF($A1123="","",$R1123&amp;"|"&amp;$Q1123)</f>
        <v/>
      </c>
      <c r="T1123">
        <f>IF($A1123="","",$S1123&amp;"|"&amp;$F1123)</f>
        <v/>
      </c>
      <c r="U1123">
        <f>IF($A1123="","",$R1123&amp;"("&amp;$E1123&amp;")")</f>
        <v/>
      </c>
      <c r="V1123">
        <f>IF($A1123="","",$F1123&amp;"|"&amp;$U1123&amp;"|"&amp;$D1123)</f>
        <v/>
      </c>
      <c r="W1123">
        <f>IF($T1123="","",IF($X1123&gt;N($X1122),$X1123,""))</f>
        <v/>
      </c>
      <c r="X1123">
        <f>IF($T1123="",N($X1122),IF(MATCH($T1123,$T$6:$T$6005,0)=ROW()-5,N($X1122)+1,N($X1122)))</f>
        <v/>
      </c>
      <c r="Z1123">
        <f>IF($V1123="","",IF($AA1123&gt;N($AA1122),$AA1123,""))</f>
        <v/>
      </c>
      <c r="AA1123">
        <f>IF($V1123="",N($AA1122),IF(MATCH($V1123,$V$6:$V$6005,0)=ROW()-5,N($AA1122)+1,N($AA1122)))</f>
        <v/>
      </c>
    </row>
    <row r="1124" ht="21" customHeight="1" s="66">
      <c r="A1124" s="56" t="n"/>
      <c r="B1124" s="57" t="n"/>
      <c r="C1124" s="57" t="n"/>
      <c r="D1124" s="57" t="n"/>
      <c r="E1124" s="56" t="n"/>
      <c r="F1124" s="57" t="n"/>
      <c r="G1124" s="57" t="n"/>
      <c r="H1124" s="56" t="n"/>
      <c r="I1124" s="56" t="n"/>
      <c r="J1124" s="58" t="n"/>
      <c r="K1124" s="58" t="n"/>
      <c r="L1124" s="13">
        <f>IF(OR($A1124="",AND($J1124="",$K1124="")),"",ROUND(N($J1124)-N($K1124),2))</f>
        <v/>
      </c>
      <c r="M1124" s="13">
        <f>IF(OR($A1124="",AND($J1124="",$K1124="")),"",MIN($J1124,$K1124))</f>
        <v/>
      </c>
      <c r="Q1124">
        <f>IF($A1124="","",$D1124&amp;"("&amp;SUBSTITUTE($E1124," ","")&amp;")")</f>
        <v/>
      </c>
      <c r="R1124">
        <f>IF($A1124="","",$B1124&amp;" - "&amp;$C1124)</f>
        <v/>
      </c>
      <c r="S1124">
        <f>IF($A1124="","",$R1124&amp;"|"&amp;$Q1124)</f>
        <v/>
      </c>
      <c r="T1124">
        <f>IF($A1124="","",$S1124&amp;"|"&amp;$F1124)</f>
        <v/>
      </c>
      <c r="U1124">
        <f>IF($A1124="","",$R1124&amp;"("&amp;$E1124&amp;")")</f>
        <v/>
      </c>
      <c r="V1124">
        <f>IF($A1124="","",$F1124&amp;"|"&amp;$U1124&amp;"|"&amp;$D1124)</f>
        <v/>
      </c>
      <c r="W1124">
        <f>IF($T1124="","",IF($X1124&gt;N($X1123),$X1124,""))</f>
        <v/>
      </c>
      <c r="X1124">
        <f>IF($T1124="",N($X1123),IF(MATCH($T1124,$T$6:$T$6005,0)=ROW()-5,N($X1123)+1,N($X1123)))</f>
        <v/>
      </c>
      <c r="Z1124">
        <f>IF($V1124="","",IF($AA1124&gt;N($AA1123),$AA1124,""))</f>
        <v/>
      </c>
      <c r="AA1124">
        <f>IF($V1124="",N($AA1123),IF(MATCH($V1124,$V$6:$V$6005,0)=ROW()-5,N($AA1123)+1,N($AA1123)))</f>
        <v/>
      </c>
    </row>
    <row r="1125" ht="21" customHeight="1" s="66">
      <c r="A1125" s="56" t="n"/>
      <c r="B1125" s="57" t="n"/>
      <c r="C1125" s="57" t="n"/>
      <c r="D1125" s="57" t="n"/>
      <c r="E1125" s="56" t="n"/>
      <c r="F1125" s="57" t="n"/>
      <c r="G1125" s="57" t="n"/>
      <c r="H1125" s="56" t="n"/>
      <c r="I1125" s="56" t="n"/>
      <c r="J1125" s="58" t="n"/>
      <c r="K1125" s="58" t="n"/>
      <c r="L1125" s="13">
        <f>IF(OR($A1125="",AND($J1125="",$K1125="")),"",ROUND(N($J1125)-N($K1125),2))</f>
        <v/>
      </c>
      <c r="M1125" s="13">
        <f>IF(OR($A1125="",AND($J1125="",$K1125="")),"",MIN($J1125,$K1125))</f>
        <v/>
      </c>
      <c r="Q1125">
        <f>IF($A1125="","",$D1125&amp;"("&amp;SUBSTITUTE($E1125," ","")&amp;")")</f>
        <v/>
      </c>
      <c r="R1125">
        <f>IF($A1125="","",$B1125&amp;" - "&amp;$C1125)</f>
        <v/>
      </c>
      <c r="S1125">
        <f>IF($A1125="","",$R1125&amp;"|"&amp;$Q1125)</f>
        <v/>
      </c>
      <c r="T1125">
        <f>IF($A1125="","",$S1125&amp;"|"&amp;$F1125)</f>
        <v/>
      </c>
      <c r="U1125">
        <f>IF($A1125="","",$R1125&amp;"("&amp;$E1125&amp;")")</f>
        <v/>
      </c>
      <c r="V1125">
        <f>IF($A1125="","",$F1125&amp;"|"&amp;$U1125&amp;"|"&amp;$D1125)</f>
        <v/>
      </c>
      <c r="W1125">
        <f>IF($T1125="","",IF($X1125&gt;N($X1124),$X1125,""))</f>
        <v/>
      </c>
      <c r="X1125">
        <f>IF($T1125="",N($X1124),IF(MATCH($T1125,$T$6:$T$6005,0)=ROW()-5,N($X1124)+1,N($X1124)))</f>
        <v/>
      </c>
      <c r="Z1125">
        <f>IF($V1125="","",IF($AA1125&gt;N($AA1124),$AA1125,""))</f>
        <v/>
      </c>
      <c r="AA1125">
        <f>IF($V1125="",N($AA1124),IF(MATCH($V1125,$V$6:$V$6005,0)=ROW()-5,N($AA1124)+1,N($AA1124)))</f>
        <v/>
      </c>
    </row>
    <row r="1126" ht="21" customHeight="1" s="66">
      <c r="A1126" s="56" t="n"/>
      <c r="B1126" s="57" t="n"/>
      <c r="C1126" s="57" t="n"/>
      <c r="D1126" s="57" t="n"/>
      <c r="E1126" s="56" t="n"/>
      <c r="F1126" s="57" t="n"/>
      <c r="G1126" s="57" t="n"/>
      <c r="H1126" s="56" t="n"/>
      <c r="I1126" s="56" t="n"/>
      <c r="J1126" s="58" t="n"/>
      <c r="K1126" s="58" t="n"/>
      <c r="L1126" s="13">
        <f>IF(OR($A1126="",AND($J1126="",$K1126="")),"",ROUND(N($J1126)-N($K1126),2))</f>
        <v/>
      </c>
      <c r="M1126" s="13">
        <f>IF(OR($A1126="",AND($J1126="",$K1126="")),"",MIN($J1126,$K1126))</f>
        <v/>
      </c>
      <c r="Q1126">
        <f>IF($A1126="","",$D1126&amp;"("&amp;SUBSTITUTE($E1126," ","")&amp;")")</f>
        <v/>
      </c>
      <c r="R1126">
        <f>IF($A1126="","",$B1126&amp;" - "&amp;$C1126)</f>
        <v/>
      </c>
      <c r="S1126">
        <f>IF($A1126="","",$R1126&amp;"|"&amp;$Q1126)</f>
        <v/>
      </c>
      <c r="T1126">
        <f>IF($A1126="","",$S1126&amp;"|"&amp;$F1126)</f>
        <v/>
      </c>
      <c r="U1126">
        <f>IF($A1126="","",$R1126&amp;"("&amp;$E1126&amp;")")</f>
        <v/>
      </c>
      <c r="V1126">
        <f>IF($A1126="","",$F1126&amp;"|"&amp;$U1126&amp;"|"&amp;$D1126)</f>
        <v/>
      </c>
      <c r="W1126">
        <f>IF($T1126="","",IF($X1126&gt;N($X1125),$X1126,""))</f>
        <v/>
      </c>
      <c r="X1126">
        <f>IF($T1126="",N($X1125),IF(MATCH($T1126,$T$6:$T$6005,0)=ROW()-5,N($X1125)+1,N($X1125)))</f>
        <v/>
      </c>
      <c r="Z1126">
        <f>IF($V1126="","",IF($AA1126&gt;N($AA1125),$AA1126,""))</f>
        <v/>
      </c>
      <c r="AA1126">
        <f>IF($V1126="",N($AA1125),IF(MATCH($V1126,$V$6:$V$6005,0)=ROW()-5,N($AA1125)+1,N($AA1125)))</f>
        <v/>
      </c>
    </row>
    <row r="1127" ht="21" customHeight="1" s="66">
      <c r="A1127" s="56" t="n"/>
      <c r="B1127" s="57" t="n"/>
      <c r="C1127" s="57" t="n"/>
      <c r="D1127" s="57" t="n"/>
      <c r="E1127" s="56" t="n"/>
      <c r="F1127" s="57" t="n"/>
      <c r="G1127" s="57" t="n"/>
      <c r="H1127" s="56" t="n"/>
      <c r="I1127" s="56" t="n"/>
      <c r="J1127" s="58" t="n"/>
      <c r="K1127" s="58" t="n"/>
      <c r="L1127" s="13">
        <f>IF(OR($A1127="",AND($J1127="",$K1127="")),"",ROUND(N($J1127)-N($K1127),2))</f>
        <v/>
      </c>
      <c r="M1127" s="13">
        <f>IF(OR($A1127="",AND($J1127="",$K1127="")),"",MIN($J1127,$K1127))</f>
        <v/>
      </c>
      <c r="Q1127">
        <f>IF($A1127="","",$D1127&amp;"("&amp;SUBSTITUTE($E1127," ","")&amp;")")</f>
        <v/>
      </c>
      <c r="R1127">
        <f>IF($A1127="","",$B1127&amp;" - "&amp;$C1127)</f>
        <v/>
      </c>
      <c r="S1127">
        <f>IF($A1127="","",$R1127&amp;"|"&amp;$Q1127)</f>
        <v/>
      </c>
      <c r="T1127">
        <f>IF($A1127="","",$S1127&amp;"|"&amp;$F1127)</f>
        <v/>
      </c>
      <c r="U1127">
        <f>IF($A1127="","",$R1127&amp;"("&amp;$E1127&amp;")")</f>
        <v/>
      </c>
      <c r="V1127">
        <f>IF($A1127="","",$F1127&amp;"|"&amp;$U1127&amp;"|"&amp;$D1127)</f>
        <v/>
      </c>
      <c r="W1127">
        <f>IF($T1127="","",IF($X1127&gt;N($X1126),$X1127,""))</f>
        <v/>
      </c>
      <c r="X1127">
        <f>IF($T1127="",N($X1126),IF(MATCH($T1127,$T$6:$T$6005,0)=ROW()-5,N($X1126)+1,N($X1126)))</f>
        <v/>
      </c>
      <c r="Z1127">
        <f>IF($V1127="","",IF($AA1127&gt;N($AA1126),$AA1127,""))</f>
        <v/>
      </c>
      <c r="AA1127">
        <f>IF($V1127="",N($AA1126),IF(MATCH($V1127,$V$6:$V$6005,0)=ROW()-5,N($AA1126)+1,N($AA1126)))</f>
        <v/>
      </c>
    </row>
    <row r="1128" ht="21" customHeight="1" s="66">
      <c r="A1128" s="56" t="n"/>
      <c r="B1128" s="57" t="n"/>
      <c r="C1128" s="57" t="n"/>
      <c r="D1128" s="57" t="n"/>
      <c r="E1128" s="56" t="n"/>
      <c r="F1128" s="57" t="n"/>
      <c r="G1128" s="57" t="n"/>
      <c r="H1128" s="56" t="n"/>
      <c r="I1128" s="56" t="n"/>
      <c r="J1128" s="58" t="n"/>
      <c r="K1128" s="58" t="n"/>
      <c r="L1128" s="13">
        <f>IF(OR($A1128="",AND($J1128="",$K1128="")),"",ROUND(N($J1128)-N($K1128),2))</f>
        <v/>
      </c>
      <c r="M1128" s="13">
        <f>IF(OR($A1128="",AND($J1128="",$K1128="")),"",MIN($J1128,$K1128))</f>
        <v/>
      </c>
      <c r="Q1128">
        <f>IF($A1128="","",$D1128&amp;"("&amp;SUBSTITUTE($E1128," ","")&amp;")")</f>
        <v/>
      </c>
      <c r="R1128">
        <f>IF($A1128="","",$B1128&amp;" - "&amp;$C1128)</f>
        <v/>
      </c>
      <c r="S1128">
        <f>IF($A1128="","",$R1128&amp;"|"&amp;$Q1128)</f>
        <v/>
      </c>
      <c r="T1128">
        <f>IF($A1128="","",$S1128&amp;"|"&amp;$F1128)</f>
        <v/>
      </c>
      <c r="U1128">
        <f>IF($A1128="","",$R1128&amp;"("&amp;$E1128&amp;")")</f>
        <v/>
      </c>
      <c r="V1128">
        <f>IF($A1128="","",$F1128&amp;"|"&amp;$U1128&amp;"|"&amp;$D1128)</f>
        <v/>
      </c>
      <c r="W1128">
        <f>IF($T1128="","",IF($X1128&gt;N($X1127),$X1128,""))</f>
        <v/>
      </c>
      <c r="X1128">
        <f>IF($T1128="",N($X1127),IF(MATCH($T1128,$T$6:$T$6005,0)=ROW()-5,N($X1127)+1,N($X1127)))</f>
        <v/>
      </c>
      <c r="Z1128">
        <f>IF($V1128="","",IF($AA1128&gt;N($AA1127),$AA1128,""))</f>
        <v/>
      </c>
      <c r="AA1128">
        <f>IF($V1128="",N($AA1127),IF(MATCH($V1128,$V$6:$V$6005,0)=ROW()-5,N($AA1127)+1,N($AA1127)))</f>
        <v/>
      </c>
    </row>
    <row r="1129" ht="21" customHeight="1" s="66">
      <c r="A1129" s="56" t="n"/>
      <c r="B1129" s="57" t="n"/>
      <c r="C1129" s="57" t="n"/>
      <c r="D1129" s="57" t="n"/>
      <c r="E1129" s="56" t="n"/>
      <c r="F1129" s="57" t="n"/>
      <c r="G1129" s="57" t="n"/>
      <c r="H1129" s="56" t="n"/>
      <c r="I1129" s="56" t="n"/>
      <c r="J1129" s="58" t="n"/>
      <c r="K1129" s="58" t="n"/>
      <c r="L1129" s="13">
        <f>IF(OR($A1129="",AND($J1129="",$K1129="")),"",ROUND(N($J1129)-N($K1129),2))</f>
        <v/>
      </c>
      <c r="M1129" s="13">
        <f>IF(OR($A1129="",AND($J1129="",$K1129="")),"",MIN($J1129,$K1129))</f>
        <v/>
      </c>
      <c r="Q1129">
        <f>IF($A1129="","",$D1129&amp;"("&amp;SUBSTITUTE($E1129," ","")&amp;")")</f>
        <v/>
      </c>
      <c r="R1129">
        <f>IF($A1129="","",$B1129&amp;" - "&amp;$C1129)</f>
        <v/>
      </c>
      <c r="S1129">
        <f>IF($A1129="","",$R1129&amp;"|"&amp;$Q1129)</f>
        <v/>
      </c>
      <c r="T1129">
        <f>IF($A1129="","",$S1129&amp;"|"&amp;$F1129)</f>
        <v/>
      </c>
      <c r="U1129">
        <f>IF($A1129="","",$R1129&amp;"("&amp;$E1129&amp;")")</f>
        <v/>
      </c>
      <c r="V1129">
        <f>IF($A1129="","",$F1129&amp;"|"&amp;$U1129&amp;"|"&amp;$D1129)</f>
        <v/>
      </c>
      <c r="W1129">
        <f>IF($T1129="","",IF($X1129&gt;N($X1128),$X1129,""))</f>
        <v/>
      </c>
      <c r="X1129">
        <f>IF($T1129="",N($X1128),IF(MATCH($T1129,$T$6:$T$6005,0)=ROW()-5,N($X1128)+1,N($X1128)))</f>
        <v/>
      </c>
      <c r="Z1129">
        <f>IF($V1129="","",IF($AA1129&gt;N($AA1128),$AA1129,""))</f>
        <v/>
      </c>
      <c r="AA1129">
        <f>IF($V1129="",N($AA1128),IF(MATCH($V1129,$V$6:$V$6005,0)=ROW()-5,N($AA1128)+1,N($AA1128)))</f>
        <v/>
      </c>
    </row>
    <row r="1130" ht="21" customHeight="1" s="66">
      <c r="A1130" s="56" t="n"/>
      <c r="B1130" s="57" t="n"/>
      <c r="C1130" s="57" t="n"/>
      <c r="D1130" s="57" t="n"/>
      <c r="E1130" s="56" t="n"/>
      <c r="F1130" s="57" t="n"/>
      <c r="G1130" s="57" t="n"/>
      <c r="H1130" s="56" t="n"/>
      <c r="I1130" s="56" t="n"/>
      <c r="J1130" s="58" t="n"/>
      <c r="K1130" s="58" t="n"/>
      <c r="L1130" s="13">
        <f>IF(OR($A1130="",AND($J1130="",$K1130="")),"",ROUND(N($J1130)-N($K1130),2))</f>
        <v/>
      </c>
      <c r="M1130" s="13">
        <f>IF(OR($A1130="",AND($J1130="",$K1130="")),"",MIN($J1130,$K1130))</f>
        <v/>
      </c>
      <c r="Q1130">
        <f>IF($A1130="","",$D1130&amp;"("&amp;SUBSTITUTE($E1130," ","")&amp;")")</f>
        <v/>
      </c>
      <c r="R1130">
        <f>IF($A1130="","",$B1130&amp;" - "&amp;$C1130)</f>
        <v/>
      </c>
      <c r="S1130">
        <f>IF($A1130="","",$R1130&amp;"|"&amp;$Q1130)</f>
        <v/>
      </c>
      <c r="T1130">
        <f>IF($A1130="","",$S1130&amp;"|"&amp;$F1130)</f>
        <v/>
      </c>
      <c r="U1130">
        <f>IF($A1130="","",$R1130&amp;"("&amp;$E1130&amp;")")</f>
        <v/>
      </c>
      <c r="V1130">
        <f>IF($A1130="","",$F1130&amp;"|"&amp;$U1130&amp;"|"&amp;$D1130)</f>
        <v/>
      </c>
      <c r="W1130">
        <f>IF($T1130="","",IF($X1130&gt;N($X1129),$X1130,""))</f>
        <v/>
      </c>
      <c r="X1130">
        <f>IF($T1130="",N($X1129),IF(MATCH($T1130,$T$6:$T$6005,0)=ROW()-5,N($X1129)+1,N($X1129)))</f>
        <v/>
      </c>
      <c r="Z1130">
        <f>IF($V1130="","",IF($AA1130&gt;N($AA1129),$AA1130,""))</f>
        <v/>
      </c>
      <c r="AA1130">
        <f>IF($V1130="",N($AA1129),IF(MATCH($V1130,$V$6:$V$6005,0)=ROW()-5,N($AA1129)+1,N($AA1129)))</f>
        <v/>
      </c>
    </row>
    <row r="1131" ht="21" customHeight="1" s="66">
      <c r="A1131" s="56" t="n"/>
      <c r="B1131" s="57" t="n"/>
      <c r="C1131" s="57" t="n"/>
      <c r="D1131" s="57" t="n"/>
      <c r="E1131" s="56" t="n"/>
      <c r="F1131" s="57" t="n"/>
      <c r="G1131" s="57" t="n"/>
      <c r="H1131" s="56" t="n"/>
      <c r="I1131" s="56" t="n"/>
      <c r="J1131" s="58" t="n"/>
      <c r="K1131" s="58" t="n"/>
      <c r="L1131" s="13">
        <f>IF(OR($A1131="",AND($J1131="",$K1131="")),"",ROUND(N($J1131)-N($K1131),2))</f>
        <v/>
      </c>
      <c r="M1131" s="13">
        <f>IF(OR($A1131="",AND($J1131="",$K1131="")),"",MIN($J1131,$K1131))</f>
        <v/>
      </c>
      <c r="Q1131">
        <f>IF($A1131="","",$D1131&amp;"("&amp;SUBSTITUTE($E1131," ","")&amp;")")</f>
        <v/>
      </c>
      <c r="R1131">
        <f>IF($A1131="","",$B1131&amp;" - "&amp;$C1131)</f>
        <v/>
      </c>
      <c r="S1131">
        <f>IF($A1131="","",$R1131&amp;"|"&amp;$Q1131)</f>
        <v/>
      </c>
      <c r="T1131">
        <f>IF($A1131="","",$S1131&amp;"|"&amp;$F1131)</f>
        <v/>
      </c>
      <c r="U1131">
        <f>IF($A1131="","",$R1131&amp;"("&amp;$E1131&amp;")")</f>
        <v/>
      </c>
      <c r="V1131">
        <f>IF($A1131="","",$F1131&amp;"|"&amp;$U1131&amp;"|"&amp;$D1131)</f>
        <v/>
      </c>
      <c r="W1131">
        <f>IF($T1131="","",IF($X1131&gt;N($X1130),$X1131,""))</f>
        <v/>
      </c>
      <c r="X1131">
        <f>IF($T1131="",N($X1130),IF(MATCH($T1131,$T$6:$T$6005,0)=ROW()-5,N($X1130)+1,N($X1130)))</f>
        <v/>
      </c>
      <c r="Z1131">
        <f>IF($V1131="","",IF($AA1131&gt;N($AA1130),$AA1131,""))</f>
        <v/>
      </c>
      <c r="AA1131">
        <f>IF($V1131="",N($AA1130),IF(MATCH($V1131,$V$6:$V$6005,0)=ROW()-5,N($AA1130)+1,N($AA1130)))</f>
        <v/>
      </c>
    </row>
    <row r="1132" ht="21" customHeight="1" s="66">
      <c r="A1132" s="56" t="n"/>
      <c r="B1132" s="57" t="n"/>
      <c r="C1132" s="57" t="n"/>
      <c r="D1132" s="57" t="n"/>
      <c r="E1132" s="56" t="n"/>
      <c r="F1132" s="57" t="n"/>
      <c r="G1132" s="57" t="n"/>
      <c r="H1132" s="56" t="n"/>
      <c r="I1132" s="56" t="n"/>
      <c r="J1132" s="58" t="n"/>
      <c r="K1132" s="58" t="n"/>
      <c r="L1132" s="13">
        <f>IF(OR($A1132="",AND($J1132="",$K1132="")),"",ROUND(N($J1132)-N($K1132),2))</f>
        <v/>
      </c>
      <c r="M1132" s="13">
        <f>IF(OR($A1132="",AND($J1132="",$K1132="")),"",MIN($J1132,$K1132))</f>
        <v/>
      </c>
      <c r="Q1132">
        <f>IF($A1132="","",$D1132&amp;"("&amp;SUBSTITUTE($E1132," ","")&amp;")")</f>
        <v/>
      </c>
      <c r="R1132">
        <f>IF($A1132="","",$B1132&amp;" - "&amp;$C1132)</f>
        <v/>
      </c>
      <c r="S1132">
        <f>IF($A1132="","",$R1132&amp;"|"&amp;$Q1132)</f>
        <v/>
      </c>
      <c r="T1132">
        <f>IF($A1132="","",$S1132&amp;"|"&amp;$F1132)</f>
        <v/>
      </c>
      <c r="U1132">
        <f>IF($A1132="","",$R1132&amp;"("&amp;$E1132&amp;")")</f>
        <v/>
      </c>
      <c r="V1132">
        <f>IF($A1132="","",$F1132&amp;"|"&amp;$U1132&amp;"|"&amp;$D1132)</f>
        <v/>
      </c>
      <c r="W1132">
        <f>IF($T1132="","",IF($X1132&gt;N($X1131),$X1132,""))</f>
        <v/>
      </c>
      <c r="X1132">
        <f>IF($T1132="",N($X1131),IF(MATCH($T1132,$T$6:$T$6005,0)=ROW()-5,N($X1131)+1,N($X1131)))</f>
        <v/>
      </c>
      <c r="Z1132">
        <f>IF($V1132="","",IF($AA1132&gt;N($AA1131),$AA1132,""))</f>
        <v/>
      </c>
      <c r="AA1132">
        <f>IF($V1132="",N($AA1131),IF(MATCH($V1132,$V$6:$V$6005,0)=ROW()-5,N($AA1131)+1,N($AA1131)))</f>
        <v/>
      </c>
    </row>
    <row r="1133" ht="21" customHeight="1" s="66">
      <c r="A1133" s="56" t="n"/>
      <c r="B1133" s="57" t="n"/>
      <c r="C1133" s="57" t="n"/>
      <c r="D1133" s="57" t="n"/>
      <c r="E1133" s="56" t="n"/>
      <c r="F1133" s="57" t="n"/>
      <c r="G1133" s="57" t="n"/>
      <c r="H1133" s="56" t="n"/>
      <c r="I1133" s="56" t="n"/>
      <c r="J1133" s="58" t="n"/>
      <c r="K1133" s="58" t="n"/>
      <c r="L1133" s="13">
        <f>IF(OR($A1133="",AND($J1133="",$K1133="")),"",ROUND(N($J1133)-N($K1133),2))</f>
        <v/>
      </c>
      <c r="M1133" s="13">
        <f>IF(OR($A1133="",AND($J1133="",$K1133="")),"",MIN($J1133,$K1133))</f>
        <v/>
      </c>
      <c r="Q1133">
        <f>IF($A1133="","",$D1133&amp;"("&amp;SUBSTITUTE($E1133," ","")&amp;")")</f>
        <v/>
      </c>
      <c r="R1133">
        <f>IF($A1133="","",$B1133&amp;" - "&amp;$C1133)</f>
        <v/>
      </c>
      <c r="S1133">
        <f>IF($A1133="","",$R1133&amp;"|"&amp;$Q1133)</f>
        <v/>
      </c>
      <c r="T1133">
        <f>IF($A1133="","",$S1133&amp;"|"&amp;$F1133)</f>
        <v/>
      </c>
      <c r="U1133">
        <f>IF($A1133="","",$R1133&amp;"("&amp;$E1133&amp;")")</f>
        <v/>
      </c>
      <c r="V1133">
        <f>IF($A1133="","",$F1133&amp;"|"&amp;$U1133&amp;"|"&amp;$D1133)</f>
        <v/>
      </c>
      <c r="W1133">
        <f>IF($T1133="","",IF($X1133&gt;N($X1132),$X1133,""))</f>
        <v/>
      </c>
      <c r="X1133">
        <f>IF($T1133="",N($X1132),IF(MATCH($T1133,$T$6:$T$6005,0)=ROW()-5,N($X1132)+1,N($X1132)))</f>
        <v/>
      </c>
      <c r="Z1133">
        <f>IF($V1133="","",IF($AA1133&gt;N($AA1132),$AA1133,""))</f>
        <v/>
      </c>
      <c r="AA1133">
        <f>IF($V1133="",N($AA1132),IF(MATCH($V1133,$V$6:$V$6005,0)=ROW()-5,N($AA1132)+1,N($AA1132)))</f>
        <v/>
      </c>
    </row>
    <row r="1134" ht="21" customHeight="1" s="66">
      <c r="A1134" s="56" t="n"/>
      <c r="B1134" s="57" t="n"/>
      <c r="C1134" s="57" t="n"/>
      <c r="D1134" s="57" t="n"/>
      <c r="E1134" s="56" t="n"/>
      <c r="F1134" s="57" t="n"/>
      <c r="G1134" s="57" t="n"/>
      <c r="H1134" s="56" t="n"/>
      <c r="I1134" s="56" t="n"/>
      <c r="J1134" s="58" t="n"/>
      <c r="K1134" s="58" t="n"/>
      <c r="L1134" s="13">
        <f>IF(OR($A1134="",AND($J1134="",$K1134="")),"",ROUND(N($J1134)-N($K1134),2))</f>
        <v/>
      </c>
      <c r="M1134" s="13">
        <f>IF(OR($A1134="",AND($J1134="",$K1134="")),"",MIN($J1134,$K1134))</f>
        <v/>
      </c>
      <c r="Q1134">
        <f>IF($A1134="","",$D1134&amp;"("&amp;SUBSTITUTE($E1134," ","")&amp;")")</f>
        <v/>
      </c>
      <c r="R1134">
        <f>IF($A1134="","",$B1134&amp;" - "&amp;$C1134)</f>
        <v/>
      </c>
      <c r="S1134">
        <f>IF($A1134="","",$R1134&amp;"|"&amp;$Q1134)</f>
        <v/>
      </c>
      <c r="T1134">
        <f>IF($A1134="","",$S1134&amp;"|"&amp;$F1134)</f>
        <v/>
      </c>
      <c r="U1134">
        <f>IF($A1134="","",$R1134&amp;"("&amp;$E1134&amp;")")</f>
        <v/>
      </c>
      <c r="V1134">
        <f>IF($A1134="","",$F1134&amp;"|"&amp;$U1134&amp;"|"&amp;$D1134)</f>
        <v/>
      </c>
      <c r="W1134">
        <f>IF($T1134="","",IF($X1134&gt;N($X1133),$X1134,""))</f>
        <v/>
      </c>
      <c r="X1134">
        <f>IF($T1134="",N($X1133),IF(MATCH($T1134,$T$6:$T$6005,0)=ROW()-5,N($X1133)+1,N($X1133)))</f>
        <v/>
      </c>
      <c r="Z1134">
        <f>IF($V1134="","",IF($AA1134&gt;N($AA1133),$AA1134,""))</f>
        <v/>
      </c>
      <c r="AA1134">
        <f>IF($V1134="",N($AA1133),IF(MATCH($V1134,$V$6:$V$6005,0)=ROW()-5,N($AA1133)+1,N($AA1133)))</f>
        <v/>
      </c>
    </row>
    <row r="1135" ht="21" customHeight="1" s="66">
      <c r="A1135" s="56" t="n"/>
      <c r="B1135" s="57" t="n"/>
      <c r="C1135" s="57" t="n"/>
      <c r="D1135" s="57" t="n"/>
      <c r="E1135" s="56" t="n"/>
      <c r="F1135" s="57" t="n"/>
      <c r="G1135" s="57" t="n"/>
      <c r="H1135" s="56" t="n"/>
      <c r="I1135" s="56" t="n"/>
      <c r="J1135" s="58" t="n"/>
      <c r="K1135" s="58" t="n"/>
      <c r="L1135" s="13">
        <f>IF(OR($A1135="",AND($J1135="",$K1135="")),"",ROUND(N($J1135)-N($K1135),2))</f>
        <v/>
      </c>
      <c r="M1135" s="13">
        <f>IF(OR($A1135="",AND($J1135="",$K1135="")),"",MIN($J1135,$K1135))</f>
        <v/>
      </c>
      <c r="Q1135">
        <f>IF($A1135="","",$D1135&amp;"("&amp;SUBSTITUTE($E1135," ","")&amp;")")</f>
        <v/>
      </c>
      <c r="R1135">
        <f>IF($A1135="","",$B1135&amp;" - "&amp;$C1135)</f>
        <v/>
      </c>
      <c r="S1135">
        <f>IF($A1135="","",$R1135&amp;"|"&amp;$Q1135)</f>
        <v/>
      </c>
      <c r="T1135">
        <f>IF($A1135="","",$S1135&amp;"|"&amp;$F1135)</f>
        <v/>
      </c>
      <c r="U1135">
        <f>IF($A1135="","",$R1135&amp;"("&amp;$E1135&amp;")")</f>
        <v/>
      </c>
      <c r="V1135">
        <f>IF($A1135="","",$F1135&amp;"|"&amp;$U1135&amp;"|"&amp;$D1135)</f>
        <v/>
      </c>
      <c r="W1135">
        <f>IF($T1135="","",IF($X1135&gt;N($X1134),$X1135,""))</f>
        <v/>
      </c>
      <c r="X1135">
        <f>IF($T1135="",N($X1134),IF(MATCH($T1135,$T$6:$T$6005,0)=ROW()-5,N($X1134)+1,N($X1134)))</f>
        <v/>
      </c>
      <c r="Z1135">
        <f>IF($V1135="","",IF($AA1135&gt;N($AA1134),$AA1135,""))</f>
        <v/>
      </c>
      <c r="AA1135">
        <f>IF($V1135="",N($AA1134),IF(MATCH($V1135,$V$6:$V$6005,0)=ROW()-5,N($AA1134)+1,N($AA1134)))</f>
        <v/>
      </c>
    </row>
    <row r="1136" ht="21" customHeight="1" s="66">
      <c r="A1136" s="56" t="n"/>
      <c r="B1136" s="57" t="n"/>
      <c r="C1136" s="57" t="n"/>
      <c r="D1136" s="57" t="n"/>
      <c r="E1136" s="56" t="n"/>
      <c r="F1136" s="57" t="n"/>
      <c r="G1136" s="57" t="n"/>
      <c r="H1136" s="56" t="n"/>
      <c r="I1136" s="56" t="n"/>
      <c r="J1136" s="58" t="n"/>
      <c r="K1136" s="58" t="n"/>
      <c r="L1136" s="13">
        <f>IF(OR($A1136="",AND($J1136="",$K1136="")),"",ROUND(N($J1136)-N($K1136),2))</f>
        <v/>
      </c>
      <c r="M1136" s="13">
        <f>IF(OR($A1136="",AND($J1136="",$K1136="")),"",MIN($J1136,$K1136))</f>
        <v/>
      </c>
      <c r="Q1136">
        <f>IF($A1136="","",$D1136&amp;"("&amp;SUBSTITUTE($E1136," ","")&amp;")")</f>
        <v/>
      </c>
      <c r="R1136">
        <f>IF($A1136="","",$B1136&amp;" - "&amp;$C1136)</f>
        <v/>
      </c>
      <c r="S1136">
        <f>IF($A1136="","",$R1136&amp;"|"&amp;$Q1136)</f>
        <v/>
      </c>
      <c r="T1136">
        <f>IF($A1136="","",$S1136&amp;"|"&amp;$F1136)</f>
        <v/>
      </c>
      <c r="U1136">
        <f>IF($A1136="","",$R1136&amp;"("&amp;$E1136&amp;")")</f>
        <v/>
      </c>
      <c r="V1136">
        <f>IF($A1136="","",$F1136&amp;"|"&amp;$U1136&amp;"|"&amp;$D1136)</f>
        <v/>
      </c>
      <c r="W1136">
        <f>IF($T1136="","",IF($X1136&gt;N($X1135),$X1136,""))</f>
        <v/>
      </c>
      <c r="X1136">
        <f>IF($T1136="",N($X1135),IF(MATCH($T1136,$T$6:$T$6005,0)=ROW()-5,N($X1135)+1,N($X1135)))</f>
        <v/>
      </c>
      <c r="Z1136">
        <f>IF($V1136="","",IF($AA1136&gt;N($AA1135),$AA1136,""))</f>
        <v/>
      </c>
      <c r="AA1136">
        <f>IF($V1136="",N($AA1135),IF(MATCH($V1136,$V$6:$V$6005,0)=ROW()-5,N($AA1135)+1,N($AA1135)))</f>
        <v/>
      </c>
    </row>
    <row r="1137" ht="21" customHeight="1" s="66">
      <c r="A1137" s="56" t="n"/>
      <c r="B1137" s="57" t="n"/>
      <c r="C1137" s="57" t="n"/>
      <c r="D1137" s="57" t="n"/>
      <c r="E1137" s="56" t="n"/>
      <c r="F1137" s="57" t="n"/>
      <c r="G1137" s="57" t="n"/>
      <c r="H1137" s="56" t="n"/>
      <c r="I1137" s="56" t="n"/>
      <c r="J1137" s="58" t="n"/>
      <c r="K1137" s="58" t="n"/>
      <c r="L1137" s="13">
        <f>IF(OR($A1137="",AND($J1137="",$K1137="")),"",ROUND(N($J1137)-N($K1137),2))</f>
        <v/>
      </c>
      <c r="M1137" s="13">
        <f>IF(OR($A1137="",AND($J1137="",$K1137="")),"",MIN($J1137,$K1137))</f>
        <v/>
      </c>
      <c r="Q1137">
        <f>IF($A1137="","",$D1137&amp;"("&amp;SUBSTITUTE($E1137," ","")&amp;")")</f>
        <v/>
      </c>
      <c r="R1137">
        <f>IF($A1137="","",$B1137&amp;" - "&amp;$C1137)</f>
        <v/>
      </c>
      <c r="S1137">
        <f>IF($A1137="","",$R1137&amp;"|"&amp;$Q1137)</f>
        <v/>
      </c>
      <c r="T1137">
        <f>IF($A1137="","",$S1137&amp;"|"&amp;$F1137)</f>
        <v/>
      </c>
      <c r="U1137">
        <f>IF($A1137="","",$R1137&amp;"("&amp;$E1137&amp;")")</f>
        <v/>
      </c>
      <c r="V1137">
        <f>IF($A1137="","",$F1137&amp;"|"&amp;$U1137&amp;"|"&amp;$D1137)</f>
        <v/>
      </c>
      <c r="W1137">
        <f>IF($T1137="","",IF($X1137&gt;N($X1136),$X1137,""))</f>
        <v/>
      </c>
      <c r="X1137">
        <f>IF($T1137="",N($X1136),IF(MATCH($T1137,$T$6:$T$6005,0)=ROW()-5,N($X1136)+1,N($X1136)))</f>
        <v/>
      </c>
      <c r="Z1137">
        <f>IF($V1137="","",IF($AA1137&gt;N($AA1136),$AA1137,""))</f>
        <v/>
      </c>
      <c r="AA1137">
        <f>IF($V1137="",N($AA1136),IF(MATCH($V1137,$V$6:$V$6005,0)=ROW()-5,N($AA1136)+1,N($AA1136)))</f>
        <v/>
      </c>
    </row>
    <row r="1138" ht="21" customHeight="1" s="66">
      <c r="A1138" s="56" t="n"/>
      <c r="B1138" s="57" t="n"/>
      <c r="C1138" s="57" t="n"/>
      <c r="D1138" s="57" t="n"/>
      <c r="E1138" s="56" t="n"/>
      <c r="F1138" s="57" t="n"/>
      <c r="G1138" s="57" t="n"/>
      <c r="H1138" s="56" t="n"/>
      <c r="I1138" s="56" t="n"/>
      <c r="J1138" s="58" t="n"/>
      <c r="K1138" s="58" t="n"/>
      <c r="L1138" s="13">
        <f>IF(OR($A1138="",AND($J1138="",$K1138="")),"",ROUND(N($J1138)-N($K1138),2))</f>
        <v/>
      </c>
      <c r="M1138" s="13">
        <f>IF(OR($A1138="",AND($J1138="",$K1138="")),"",MIN($J1138,$K1138))</f>
        <v/>
      </c>
      <c r="Q1138">
        <f>IF($A1138="","",$D1138&amp;"("&amp;SUBSTITUTE($E1138," ","")&amp;")")</f>
        <v/>
      </c>
      <c r="R1138">
        <f>IF($A1138="","",$B1138&amp;" - "&amp;$C1138)</f>
        <v/>
      </c>
      <c r="S1138">
        <f>IF($A1138="","",$R1138&amp;"|"&amp;$Q1138)</f>
        <v/>
      </c>
      <c r="T1138">
        <f>IF($A1138="","",$S1138&amp;"|"&amp;$F1138)</f>
        <v/>
      </c>
      <c r="U1138">
        <f>IF($A1138="","",$R1138&amp;"("&amp;$E1138&amp;")")</f>
        <v/>
      </c>
      <c r="V1138">
        <f>IF($A1138="","",$F1138&amp;"|"&amp;$U1138&amp;"|"&amp;$D1138)</f>
        <v/>
      </c>
      <c r="W1138">
        <f>IF($T1138="","",IF($X1138&gt;N($X1137),$X1138,""))</f>
        <v/>
      </c>
      <c r="X1138">
        <f>IF($T1138="",N($X1137),IF(MATCH($T1138,$T$6:$T$6005,0)=ROW()-5,N($X1137)+1,N($X1137)))</f>
        <v/>
      </c>
      <c r="Z1138">
        <f>IF($V1138="","",IF($AA1138&gt;N($AA1137),$AA1138,""))</f>
        <v/>
      </c>
      <c r="AA1138">
        <f>IF($V1138="",N($AA1137),IF(MATCH($V1138,$V$6:$V$6005,0)=ROW()-5,N($AA1137)+1,N($AA1137)))</f>
        <v/>
      </c>
    </row>
    <row r="1139" ht="21" customHeight="1" s="66">
      <c r="A1139" s="56" t="n"/>
      <c r="B1139" s="57" t="n"/>
      <c r="C1139" s="57" t="n"/>
      <c r="D1139" s="57" t="n"/>
      <c r="E1139" s="56" t="n"/>
      <c r="F1139" s="57" t="n"/>
      <c r="G1139" s="57" t="n"/>
      <c r="H1139" s="56" t="n"/>
      <c r="I1139" s="56" t="n"/>
      <c r="J1139" s="58" t="n"/>
      <c r="K1139" s="58" t="n"/>
      <c r="L1139" s="13">
        <f>IF(OR($A1139="",AND($J1139="",$K1139="")),"",ROUND(N($J1139)-N($K1139),2))</f>
        <v/>
      </c>
      <c r="M1139" s="13">
        <f>IF(OR($A1139="",AND($J1139="",$K1139="")),"",MIN($J1139,$K1139))</f>
        <v/>
      </c>
      <c r="Q1139">
        <f>IF($A1139="","",$D1139&amp;"("&amp;SUBSTITUTE($E1139," ","")&amp;")")</f>
        <v/>
      </c>
      <c r="R1139">
        <f>IF($A1139="","",$B1139&amp;" - "&amp;$C1139)</f>
        <v/>
      </c>
      <c r="S1139">
        <f>IF($A1139="","",$R1139&amp;"|"&amp;$Q1139)</f>
        <v/>
      </c>
      <c r="T1139">
        <f>IF($A1139="","",$S1139&amp;"|"&amp;$F1139)</f>
        <v/>
      </c>
      <c r="U1139">
        <f>IF($A1139="","",$R1139&amp;"("&amp;$E1139&amp;")")</f>
        <v/>
      </c>
      <c r="V1139">
        <f>IF($A1139="","",$F1139&amp;"|"&amp;$U1139&amp;"|"&amp;$D1139)</f>
        <v/>
      </c>
      <c r="W1139">
        <f>IF($T1139="","",IF($X1139&gt;N($X1138),$X1139,""))</f>
        <v/>
      </c>
      <c r="X1139">
        <f>IF($T1139="",N($X1138),IF(MATCH($T1139,$T$6:$T$6005,0)=ROW()-5,N($X1138)+1,N($X1138)))</f>
        <v/>
      </c>
      <c r="Z1139">
        <f>IF($V1139="","",IF($AA1139&gt;N($AA1138),$AA1139,""))</f>
        <v/>
      </c>
      <c r="AA1139">
        <f>IF($V1139="",N($AA1138),IF(MATCH($V1139,$V$6:$V$6005,0)=ROW()-5,N($AA1138)+1,N($AA1138)))</f>
        <v/>
      </c>
    </row>
    <row r="1140" ht="21" customHeight="1" s="66">
      <c r="A1140" s="56" t="n"/>
      <c r="B1140" s="57" t="n"/>
      <c r="C1140" s="57" t="n"/>
      <c r="D1140" s="57" t="n"/>
      <c r="E1140" s="56" t="n"/>
      <c r="F1140" s="57" t="n"/>
      <c r="G1140" s="57" t="n"/>
      <c r="H1140" s="56" t="n"/>
      <c r="I1140" s="56" t="n"/>
      <c r="J1140" s="58" t="n"/>
      <c r="K1140" s="58" t="n"/>
      <c r="L1140" s="13">
        <f>IF(OR($A1140="",AND($J1140="",$K1140="")),"",ROUND(N($J1140)-N($K1140),2))</f>
        <v/>
      </c>
      <c r="M1140" s="13">
        <f>IF(OR($A1140="",AND($J1140="",$K1140="")),"",MIN($J1140,$K1140))</f>
        <v/>
      </c>
      <c r="Q1140">
        <f>IF($A1140="","",$D1140&amp;"("&amp;SUBSTITUTE($E1140," ","")&amp;")")</f>
        <v/>
      </c>
      <c r="R1140">
        <f>IF($A1140="","",$B1140&amp;" - "&amp;$C1140)</f>
        <v/>
      </c>
      <c r="S1140">
        <f>IF($A1140="","",$R1140&amp;"|"&amp;$Q1140)</f>
        <v/>
      </c>
      <c r="T1140">
        <f>IF($A1140="","",$S1140&amp;"|"&amp;$F1140)</f>
        <v/>
      </c>
      <c r="U1140">
        <f>IF($A1140="","",$R1140&amp;"("&amp;$E1140&amp;")")</f>
        <v/>
      </c>
      <c r="V1140">
        <f>IF($A1140="","",$F1140&amp;"|"&amp;$U1140&amp;"|"&amp;$D1140)</f>
        <v/>
      </c>
      <c r="W1140">
        <f>IF($T1140="","",IF($X1140&gt;N($X1139),$X1140,""))</f>
        <v/>
      </c>
      <c r="X1140">
        <f>IF($T1140="",N($X1139),IF(MATCH($T1140,$T$6:$T$6005,0)=ROW()-5,N($X1139)+1,N($X1139)))</f>
        <v/>
      </c>
      <c r="Z1140">
        <f>IF($V1140="","",IF($AA1140&gt;N($AA1139),$AA1140,""))</f>
        <v/>
      </c>
      <c r="AA1140">
        <f>IF($V1140="",N($AA1139),IF(MATCH($V1140,$V$6:$V$6005,0)=ROW()-5,N($AA1139)+1,N($AA1139)))</f>
        <v/>
      </c>
    </row>
    <row r="1141" ht="21" customHeight="1" s="66">
      <c r="A1141" s="56" t="n"/>
      <c r="B1141" s="57" t="n"/>
      <c r="C1141" s="57" t="n"/>
      <c r="D1141" s="57" t="n"/>
      <c r="E1141" s="56" t="n"/>
      <c r="F1141" s="57" t="n"/>
      <c r="G1141" s="57" t="n"/>
      <c r="H1141" s="56" t="n"/>
      <c r="I1141" s="56" t="n"/>
      <c r="J1141" s="58" t="n"/>
      <c r="K1141" s="58" t="n"/>
      <c r="L1141" s="13">
        <f>IF(OR($A1141="",AND($J1141="",$K1141="")),"",ROUND(N($J1141)-N($K1141),2))</f>
        <v/>
      </c>
      <c r="M1141" s="13">
        <f>IF(OR($A1141="",AND($J1141="",$K1141="")),"",MIN($J1141,$K1141))</f>
        <v/>
      </c>
      <c r="Q1141">
        <f>IF($A1141="","",$D1141&amp;"("&amp;SUBSTITUTE($E1141," ","")&amp;")")</f>
        <v/>
      </c>
      <c r="R1141">
        <f>IF($A1141="","",$B1141&amp;" - "&amp;$C1141)</f>
        <v/>
      </c>
      <c r="S1141">
        <f>IF($A1141="","",$R1141&amp;"|"&amp;$Q1141)</f>
        <v/>
      </c>
      <c r="T1141">
        <f>IF($A1141="","",$S1141&amp;"|"&amp;$F1141)</f>
        <v/>
      </c>
      <c r="U1141">
        <f>IF($A1141="","",$R1141&amp;"("&amp;$E1141&amp;")")</f>
        <v/>
      </c>
      <c r="V1141">
        <f>IF($A1141="","",$F1141&amp;"|"&amp;$U1141&amp;"|"&amp;$D1141)</f>
        <v/>
      </c>
      <c r="W1141">
        <f>IF($T1141="","",IF($X1141&gt;N($X1140),$X1141,""))</f>
        <v/>
      </c>
      <c r="X1141">
        <f>IF($T1141="",N($X1140),IF(MATCH($T1141,$T$6:$T$6005,0)=ROW()-5,N($X1140)+1,N($X1140)))</f>
        <v/>
      </c>
      <c r="Z1141">
        <f>IF($V1141="","",IF($AA1141&gt;N($AA1140),$AA1141,""))</f>
        <v/>
      </c>
      <c r="AA1141">
        <f>IF($V1141="",N($AA1140),IF(MATCH($V1141,$V$6:$V$6005,0)=ROW()-5,N($AA1140)+1,N($AA1140)))</f>
        <v/>
      </c>
    </row>
    <row r="1142" ht="21" customHeight="1" s="66">
      <c r="A1142" s="56" t="n"/>
      <c r="B1142" s="57" t="n"/>
      <c r="C1142" s="57" t="n"/>
      <c r="D1142" s="57" t="n"/>
      <c r="E1142" s="56" t="n"/>
      <c r="F1142" s="57" t="n"/>
      <c r="G1142" s="57" t="n"/>
      <c r="H1142" s="56" t="n"/>
      <c r="I1142" s="56" t="n"/>
      <c r="J1142" s="58" t="n"/>
      <c r="K1142" s="58" t="n"/>
      <c r="L1142" s="13">
        <f>IF(OR($A1142="",AND($J1142="",$K1142="")),"",ROUND(N($J1142)-N($K1142),2))</f>
        <v/>
      </c>
      <c r="M1142" s="13">
        <f>IF(OR($A1142="",AND($J1142="",$K1142="")),"",MIN($J1142,$K1142))</f>
        <v/>
      </c>
      <c r="Q1142">
        <f>IF($A1142="","",$D1142&amp;"("&amp;SUBSTITUTE($E1142," ","")&amp;")")</f>
        <v/>
      </c>
      <c r="R1142">
        <f>IF($A1142="","",$B1142&amp;" - "&amp;$C1142)</f>
        <v/>
      </c>
      <c r="S1142">
        <f>IF($A1142="","",$R1142&amp;"|"&amp;$Q1142)</f>
        <v/>
      </c>
      <c r="T1142">
        <f>IF($A1142="","",$S1142&amp;"|"&amp;$F1142)</f>
        <v/>
      </c>
      <c r="U1142">
        <f>IF($A1142="","",$R1142&amp;"("&amp;$E1142&amp;")")</f>
        <v/>
      </c>
      <c r="V1142">
        <f>IF($A1142="","",$F1142&amp;"|"&amp;$U1142&amp;"|"&amp;$D1142)</f>
        <v/>
      </c>
      <c r="W1142">
        <f>IF($T1142="","",IF($X1142&gt;N($X1141),$X1142,""))</f>
        <v/>
      </c>
      <c r="X1142">
        <f>IF($T1142="",N($X1141),IF(MATCH($T1142,$T$6:$T$6005,0)=ROW()-5,N($X1141)+1,N($X1141)))</f>
        <v/>
      </c>
      <c r="Z1142">
        <f>IF($V1142="","",IF($AA1142&gt;N($AA1141),$AA1142,""))</f>
        <v/>
      </c>
      <c r="AA1142">
        <f>IF($V1142="",N($AA1141),IF(MATCH($V1142,$V$6:$V$6005,0)=ROW()-5,N($AA1141)+1,N($AA1141)))</f>
        <v/>
      </c>
    </row>
    <row r="1143" ht="21" customHeight="1" s="66">
      <c r="A1143" s="56" t="n"/>
      <c r="B1143" s="57" t="n"/>
      <c r="C1143" s="57" t="n"/>
      <c r="D1143" s="57" t="n"/>
      <c r="E1143" s="56" t="n"/>
      <c r="F1143" s="57" t="n"/>
      <c r="G1143" s="57" t="n"/>
      <c r="H1143" s="56" t="n"/>
      <c r="I1143" s="56" t="n"/>
      <c r="J1143" s="58" t="n"/>
      <c r="K1143" s="58" t="n"/>
      <c r="L1143" s="13">
        <f>IF(OR($A1143="",AND($J1143="",$K1143="")),"",ROUND(N($J1143)-N($K1143),2))</f>
        <v/>
      </c>
      <c r="M1143" s="13">
        <f>IF(OR($A1143="",AND($J1143="",$K1143="")),"",MIN($J1143,$K1143))</f>
        <v/>
      </c>
      <c r="Q1143">
        <f>IF($A1143="","",$D1143&amp;"("&amp;SUBSTITUTE($E1143," ","")&amp;")")</f>
        <v/>
      </c>
      <c r="R1143">
        <f>IF($A1143="","",$B1143&amp;" - "&amp;$C1143)</f>
        <v/>
      </c>
      <c r="S1143">
        <f>IF($A1143="","",$R1143&amp;"|"&amp;$Q1143)</f>
        <v/>
      </c>
      <c r="T1143">
        <f>IF($A1143="","",$S1143&amp;"|"&amp;$F1143)</f>
        <v/>
      </c>
      <c r="U1143">
        <f>IF($A1143="","",$R1143&amp;"("&amp;$E1143&amp;")")</f>
        <v/>
      </c>
      <c r="V1143">
        <f>IF($A1143="","",$F1143&amp;"|"&amp;$U1143&amp;"|"&amp;$D1143)</f>
        <v/>
      </c>
      <c r="W1143">
        <f>IF($T1143="","",IF($X1143&gt;N($X1142),$X1143,""))</f>
        <v/>
      </c>
      <c r="X1143">
        <f>IF($T1143="",N($X1142),IF(MATCH($T1143,$T$6:$T$6005,0)=ROW()-5,N($X1142)+1,N($X1142)))</f>
        <v/>
      </c>
      <c r="Z1143">
        <f>IF($V1143="","",IF($AA1143&gt;N($AA1142),$AA1143,""))</f>
        <v/>
      </c>
      <c r="AA1143">
        <f>IF($V1143="",N($AA1142),IF(MATCH($V1143,$V$6:$V$6005,0)=ROW()-5,N($AA1142)+1,N($AA1142)))</f>
        <v/>
      </c>
    </row>
    <row r="1144" ht="21" customHeight="1" s="66">
      <c r="A1144" s="56" t="n"/>
      <c r="B1144" s="57" t="n"/>
      <c r="C1144" s="57" t="n"/>
      <c r="D1144" s="57" t="n"/>
      <c r="E1144" s="56" t="n"/>
      <c r="F1144" s="57" t="n"/>
      <c r="G1144" s="57" t="n"/>
      <c r="H1144" s="56" t="n"/>
      <c r="I1144" s="56" t="n"/>
      <c r="J1144" s="58" t="n"/>
      <c r="K1144" s="58" t="n"/>
      <c r="L1144" s="13">
        <f>IF(OR($A1144="",AND($J1144="",$K1144="")),"",ROUND(N($J1144)-N($K1144),2))</f>
        <v/>
      </c>
      <c r="M1144" s="13">
        <f>IF(OR($A1144="",AND($J1144="",$K1144="")),"",MIN($J1144,$K1144))</f>
        <v/>
      </c>
      <c r="Q1144">
        <f>IF($A1144="","",$D1144&amp;"("&amp;SUBSTITUTE($E1144," ","")&amp;")")</f>
        <v/>
      </c>
      <c r="R1144">
        <f>IF($A1144="","",$B1144&amp;" - "&amp;$C1144)</f>
        <v/>
      </c>
      <c r="S1144">
        <f>IF($A1144="","",$R1144&amp;"|"&amp;$Q1144)</f>
        <v/>
      </c>
      <c r="T1144">
        <f>IF($A1144="","",$S1144&amp;"|"&amp;$F1144)</f>
        <v/>
      </c>
      <c r="U1144">
        <f>IF($A1144="","",$R1144&amp;"("&amp;$E1144&amp;")")</f>
        <v/>
      </c>
      <c r="V1144">
        <f>IF($A1144="","",$F1144&amp;"|"&amp;$U1144&amp;"|"&amp;$D1144)</f>
        <v/>
      </c>
      <c r="W1144">
        <f>IF($T1144="","",IF($X1144&gt;N($X1143),$X1144,""))</f>
        <v/>
      </c>
      <c r="X1144">
        <f>IF($T1144="",N($X1143),IF(MATCH($T1144,$T$6:$T$6005,0)=ROW()-5,N($X1143)+1,N($X1143)))</f>
        <v/>
      </c>
      <c r="Z1144">
        <f>IF($V1144="","",IF($AA1144&gt;N($AA1143),$AA1144,""))</f>
        <v/>
      </c>
      <c r="AA1144">
        <f>IF($V1144="",N($AA1143),IF(MATCH($V1144,$V$6:$V$6005,0)=ROW()-5,N($AA1143)+1,N($AA1143)))</f>
        <v/>
      </c>
    </row>
    <row r="1145" ht="21" customHeight="1" s="66">
      <c r="A1145" s="56" t="n"/>
      <c r="B1145" s="57" t="n"/>
      <c r="C1145" s="57" t="n"/>
      <c r="D1145" s="57" t="n"/>
      <c r="E1145" s="56" t="n"/>
      <c r="F1145" s="57" t="n"/>
      <c r="G1145" s="57" t="n"/>
      <c r="H1145" s="56" t="n"/>
      <c r="I1145" s="56" t="n"/>
      <c r="J1145" s="58" t="n"/>
      <c r="K1145" s="58" t="n"/>
      <c r="L1145" s="13">
        <f>IF(OR($A1145="",AND($J1145="",$K1145="")),"",ROUND(N($J1145)-N($K1145),2))</f>
        <v/>
      </c>
      <c r="M1145" s="13">
        <f>IF(OR($A1145="",AND($J1145="",$K1145="")),"",MIN($J1145,$K1145))</f>
        <v/>
      </c>
      <c r="Q1145">
        <f>IF($A1145="","",$D1145&amp;"("&amp;SUBSTITUTE($E1145," ","")&amp;")")</f>
        <v/>
      </c>
      <c r="R1145">
        <f>IF($A1145="","",$B1145&amp;" - "&amp;$C1145)</f>
        <v/>
      </c>
      <c r="S1145">
        <f>IF($A1145="","",$R1145&amp;"|"&amp;$Q1145)</f>
        <v/>
      </c>
      <c r="T1145">
        <f>IF($A1145="","",$S1145&amp;"|"&amp;$F1145)</f>
        <v/>
      </c>
      <c r="U1145">
        <f>IF($A1145="","",$R1145&amp;"("&amp;$E1145&amp;")")</f>
        <v/>
      </c>
      <c r="V1145">
        <f>IF($A1145="","",$F1145&amp;"|"&amp;$U1145&amp;"|"&amp;$D1145)</f>
        <v/>
      </c>
      <c r="W1145">
        <f>IF($T1145="","",IF($X1145&gt;N($X1144),$X1145,""))</f>
        <v/>
      </c>
      <c r="X1145">
        <f>IF($T1145="",N($X1144),IF(MATCH($T1145,$T$6:$T$6005,0)=ROW()-5,N($X1144)+1,N($X1144)))</f>
        <v/>
      </c>
      <c r="Z1145">
        <f>IF($V1145="","",IF($AA1145&gt;N($AA1144),$AA1145,""))</f>
        <v/>
      </c>
      <c r="AA1145">
        <f>IF($V1145="",N($AA1144),IF(MATCH($V1145,$V$6:$V$6005,0)=ROW()-5,N($AA1144)+1,N($AA1144)))</f>
        <v/>
      </c>
    </row>
    <row r="1146" ht="21" customHeight="1" s="66">
      <c r="A1146" s="56" t="n"/>
      <c r="B1146" s="57" t="n"/>
      <c r="C1146" s="57" t="n"/>
      <c r="D1146" s="57" t="n"/>
      <c r="E1146" s="56" t="n"/>
      <c r="F1146" s="57" t="n"/>
      <c r="G1146" s="57" t="n"/>
      <c r="H1146" s="56" t="n"/>
      <c r="I1146" s="56" t="n"/>
      <c r="J1146" s="58" t="n"/>
      <c r="K1146" s="58" t="n"/>
      <c r="L1146" s="13">
        <f>IF(OR($A1146="",AND($J1146="",$K1146="")),"",ROUND(N($J1146)-N($K1146),2))</f>
        <v/>
      </c>
      <c r="M1146" s="13">
        <f>IF(OR($A1146="",AND($J1146="",$K1146="")),"",MIN($J1146,$K1146))</f>
        <v/>
      </c>
      <c r="Q1146">
        <f>IF($A1146="","",$D1146&amp;"("&amp;SUBSTITUTE($E1146," ","")&amp;")")</f>
        <v/>
      </c>
      <c r="R1146">
        <f>IF($A1146="","",$B1146&amp;" - "&amp;$C1146)</f>
        <v/>
      </c>
      <c r="S1146">
        <f>IF($A1146="","",$R1146&amp;"|"&amp;$Q1146)</f>
        <v/>
      </c>
      <c r="T1146">
        <f>IF($A1146="","",$S1146&amp;"|"&amp;$F1146)</f>
        <v/>
      </c>
      <c r="U1146">
        <f>IF($A1146="","",$R1146&amp;"("&amp;$E1146&amp;")")</f>
        <v/>
      </c>
      <c r="V1146">
        <f>IF($A1146="","",$F1146&amp;"|"&amp;$U1146&amp;"|"&amp;$D1146)</f>
        <v/>
      </c>
      <c r="W1146">
        <f>IF($T1146="","",IF($X1146&gt;N($X1145),$X1146,""))</f>
        <v/>
      </c>
      <c r="X1146">
        <f>IF($T1146="",N($X1145),IF(MATCH($T1146,$T$6:$T$6005,0)=ROW()-5,N($X1145)+1,N($X1145)))</f>
        <v/>
      </c>
      <c r="Z1146">
        <f>IF($V1146="","",IF($AA1146&gt;N($AA1145),$AA1146,""))</f>
        <v/>
      </c>
      <c r="AA1146">
        <f>IF($V1146="",N($AA1145),IF(MATCH($V1146,$V$6:$V$6005,0)=ROW()-5,N($AA1145)+1,N($AA1145)))</f>
        <v/>
      </c>
    </row>
    <row r="1147" ht="21" customHeight="1" s="66">
      <c r="A1147" s="56" t="n"/>
      <c r="B1147" s="57" t="n"/>
      <c r="C1147" s="57" t="n"/>
      <c r="D1147" s="57" t="n"/>
      <c r="E1147" s="56" t="n"/>
      <c r="F1147" s="57" t="n"/>
      <c r="G1147" s="57" t="n"/>
      <c r="H1147" s="56" t="n"/>
      <c r="I1147" s="56" t="n"/>
      <c r="J1147" s="58" t="n"/>
      <c r="K1147" s="58" t="n"/>
      <c r="L1147" s="13">
        <f>IF(OR($A1147="",AND($J1147="",$K1147="")),"",ROUND(N($J1147)-N($K1147),2))</f>
        <v/>
      </c>
      <c r="M1147" s="13">
        <f>IF(OR($A1147="",AND($J1147="",$K1147="")),"",MIN($J1147,$K1147))</f>
        <v/>
      </c>
      <c r="Q1147">
        <f>IF($A1147="","",$D1147&amp;"("&amp;SUBSTITUTE($E1147," ","")&amp;")")</f>
        <v/>
      </c>
      <c r="R1147">
        <f>IF($A1147="","",$B1147&amp;" - "&amp;$C1147)</f>
        <v/>
      </c>
      <c r="S1147">
        <f>IF($A1147="","",$R1147&amp;"|"&amp;$Q1147)</f>
        <v/>
      </c>
      <c r="T1147">
        <f>IF($A1147="","",$S1147&amp;"|"&amp;$F1147)</f>
        <v/>
      </c>
      <c r="U1147">
        <f>IF($A1147="","",$R1147&amp;"("&amp;$E1147&amp;")")</f>
        <v/>
      </c>
      <c r="V1147">
        <f>IF($A1147="","",$F1147&amp;"|"&amp;$U1147&amp;"|"&amp;$D1147)</f>
        <v/>
      </c>
      <c r="W1147">
        <f>IF($T1147="","",IF($X1147&gt;N($X1146),$X1147,""))</f>
        <v/>
      </c>
      <c r="X1147">
        <f>IF($T1147="",N($X1146),IF(MATCH($T1147,$T$6:$T$6005,0)=ROW()-5,N($X1146)+1,N($X1146)))</f>
        <v/>
      </c>
      <c r="Z1147">
        <f>IF($V1147="","",IF($AA1147&gt;N($AA1146),$AA1147,""))</f>
        <v/>
      </c>
      <c r="AA1147">
        <f>IF($V1147="",N($AA1146),IF(MATCH($V1147,$V$6:$V$6005,0)=ROW()-5,N($AA1146)+1,N($AA1146)))</f>
        <v/>
      </c>
    </row>
    <row r="1148" ht="21" customHeight="1" s="66">
      <c r="A1148" s="56" t="n"/>
      <c r="B1148" s="57" t="n"/>
      <c r="C1148" s="57" t="n"/>
      <c r="D1148" s="57" t="n"/>
      <c r="E1148" s="56" t="n"/>
      <c r="F1148" s="57" t="n"/>
      <c r="G1148" s="57" t="n"/>
      <c r="H1148" s="56" t="n"/>
      <c r="I1148" s="56" t="n"/>
      <c r="J1148" s="58" t="n"/>
      <c r="K1148" s="58" t="n"/>
      <c r="L1148" s="13">
        <f>IF(OR($A1148="",AND($J1148="",$K1148="")),"",ROUND(N($J1148)-N($K1148),2))</f>
        <v/>
      </c>
      <c r="M1148" s="13">
        <f>IF(OR($A1148="",AND($J1148="",$K1148="")),"",MIN($J1148,$K1148))</f>
        <v/>
      </c>
      <c r="Q1148">
        <f>IF($A1148="","",$D1148&amp;"("&amp;SUBSTITUTE($E1148," ","")&amp;")")</f>
        <v/>
      </c>
      <c r="R1148">
        <f>IF($A1148="","",$B1148&amp;" - "&amp;$C1148)</f>
        <v/>
      </c>
      <c r="S1148">
        <f>IF($A1148="","",$R1148&amp;"|"&amp;$Q1148)</f>
        <v/>
      </c>
      <c r="T1148">
        <f>IF($A1148="","",$S1148&amp;"|"&amp;$F1148)</f>
        <v/>
      </c>
      <c r="U1148">
        <f>IF($A1148="","",$R1148&amp;"("&amp;$E1148&amp;")")</f>
        <v/>
      </c>
      <c r="V1148">
        <f>IF($A1148="","",$F1148&amp;"|"&amp;$U1148&amp;"|"&amp;$D1148)</f>
        <v/>
      </c>
      <c r="W1148">
        <f>IF($T1148="","",IF($X1148&gt;N($X1147),$X1148,""))</f>
        <v/>
      </c>
      <c r="X1148">
        <f>IF($T1148="",N($X1147),IF(MATCH($T1148,$T$6:$T$6005,0)=ROW()-5,N($X1147)+1,N($X1147)))</f>
        <v/>
      </c>
      <c r="Z1148">
        <f>IF($V1148="","",IF($AA1148&gt;N($AA1147),$AA1148,""))</f>
        <v/>
      </c>
      <c r="AA1148">
        <f>IF($V1148="",N($AA1147),IF(MATCH($V1148,$V$6:$V$6005,0)=ROW()-5,N($AA1147)+1,N($AA1147)))</f>
        <v/>
      </c>
    </row>
    <row r="1149" ht="21" customHeight="1" s="66">
      <c r="A1149" s="56" t="n"/>
      <c r="B1149" s="57" t="n"/>
      <c r="C1149" s="57" t="n"/>
      <c r="D1149" s="57" t="n"/>
      <c r="E1149" s="56" t="n"/>
      <c r="F1149" s="57" t="n"/>
      <c r="G1149" s="57" t="n"/>
      <c r="H1149" s="56" t="n"/>
      <c r="I1149" s="56" t="n"/>
      <c r="J1149" s="58" t="n"/>
      <c r="K1149" s="58" t="n"/>
      <c r="L1149" s="13">
        <f>IF(OR($A1149="",AND($J1149="",$K1149="")),"",ROUND(N($J1149)-N($K1149),2))</f>
        <v/>
      </c>
      <c r="M1149" s="13">
        <f>IF(OR($A1149="",AND($J1149="",$K1149="")),"",MIN($J1149,$K1149))</f>
        <v/>
      </c>
      <c r="Q1149">
        <f>IF($A1149="","",$D1149&amp;"("&amp;SUBSTITUTE($E1149," ","")&amp;")")</f>
        <v/>
      </c>
      <c r="R1149">
        <f>IF($A1149="","",$B1149&amp;" - "&amp;$C1149)</f>
        <v/>
      </c>
      <c r="S1149">
        <f>IF($A1149="","",$R1149&amp;"|"&amp;$Q1149)</f>
        <v/>
      </c>
      <c r="T1149">
        <f>IF($A1149="","",$S1149&amp;"|"&amp;$F1149)</f>
        <v/>
      </c>
      <c r="U1149">
        <f>IF($A1149="","",$R1149&amp;"("&amp;$E1149&amp;")")</f>
        <v/>
      </c>
      <c r="V1149">
        <f>IF($A1149="","",$F1149&amp;"|"&amp;$U1149&amp;"|"&amp;$D1149)</f>
        <v/>
      </c>
      <c r="W1149">
        <f>IF($T1149="","",IF($X1149&gt;N($X1148),$X1149,""))</f>
        <v/>
      </c>
      <c r="X1149">
        <f>IF($T1149="",N($X1148),IF(MATCH($T1149,$T$6:$T$6005,0)=ROW()-5,N($X1148)+1,N($X1148)))</f>
        <v/>
      </c>
      <c r="Z1149">
        <f>IF($V1149="","",IF($AA1149&gt;N($AA1148),$AA1149,""))</f>
        <v/>
      </c>
      <c r="AA1149">
        <f>IF($V1149="",N($AA1148),IF(MATCH($V1149,$V$6:$V$6005,0)=ROW()-5,N($AA1148)+1,N($AA1148)))</f>
        <v/>
      </c>
    </row>
    <row r="1150" ht="21" customHeight="1" s="66">
      <c r="A1150" s="56" t="n"/>
      <c r="B1150" s="57" t="n"/>
      <c r="C1150" s="57" t="n"/>
      <c r="D1150" s="57" t="n"/>
      <c r="E1150" s="56" t="n"/>
      <c r="F1150" s="57" t="n"/>
      <c r="G1150" s="57" t="n"/>
      <c r="H1150" s="56" t="n"/>
      <c r="I1150" s="56" t="n"/>
      <c r="J1150" s="58" t="n"/>
      <c r="K1150" s="58" t="n"/>
      <c r="L1150" s="13">
        <f>IF(OR($A1150="",AND($J1150="",$K1150="")),"",ROUND(N($J1150)-N($K1150),2))</f>
        <v/>
      </c>
      <c r="M1150" s="13">
        <f>IF(OR($A1150="",AND($J1150="",$K1150="")),"",MIN($J1150,$K1150))</f>
        <v/>
      </c>
      <c r="Q1150">
        <f>IF($A1150="","",$D1150&amp;"("&amp;SUBSTITUTE($E1150," ","")&amp;")")</f>
        <v/>
      </c>
      <c r="R1150">
        <f>IF($A1150="","",$B1150&amp;" - "&amp;$C1150)</f>
        <v/>
      </c>
      <c r="S1150">
        <f>IF($A1150="","",$R1150&amp;"|"&amp;$Q1150)</f>
        <v/>
      </c>
      <c r="T1150">
        <f>IF($A1150="","",$S1150&amp;"|"&amp;$F1150)</f>
        <v/>
      </c>
      <c r="U1150">
        <f>IF($A1150="","",$R1150&amp;"("&amp;$E1150&amp;")")</f>
        <v/>
      </c>
      <c r="V1150">
        <f>IF($A1150="","",$F1150&amp;"|"&amp;$U1150&amp;"|"&amp;$D1150)</f>
        <v/>
      </c>
      <c r="W1150">
        <f>IF($T1150="","",IF($X1150&gt;N($X1149),$X1150,""))</f>
        <v/>
      </c>
      <c r="X1150">
        <f>IF($T1150="",N($X1149),IF(MATCH($T1150,$T$6:$T$6005,0)=ROW()-5,N($X1149)+1,N($X1149)))</f>
        <v/>
      </c>
      <c r="Z1150">
        <f>IF($V1150="","",IF($AA1150&gt;N($AA1149),$AA1150,""))</f>
        <v/>
      </c>
      <c r="AA1150">
        <f>IF($V1150="",N($AA1149),IF(MATCH($V1150,$V$6:$V$6005,0)=ROW()-5,N($AA1149)+1,N($AA1149)))</f>
        <v/>
      </c>
    </row>
    <row r="1151" ht="21" customHeight="1" s="66">
      <c r="A1151" s="56" t="n"/>
      <c r="B1151" s="57" t="n"/>
      <c r="C1151" s="57" t="n"/>
      <c r="D1151" s="57" t="n"/>
      <c r="E1151" s="56" t="n"/>
      <c r="F1151" s="57" t="n"/>
      <c r="G1151" s="57" t="n"/>
      <c r="H1151" s="56" t="n"/>
      <c r="I1151" s="56" t="n"/>
      <c r="J1151" s="58" t="n"/>
      <c r="K1151" s="58" t="n"/>
      <c r="L1151" s="13">
        <f>IF(OR($A1151="",AND($J1151="",$K1151="")),"",ROUND(N($J1151)-N($K1151),2))</f>
        <v/>
      </c>
      <c r="M1151" s="13">
        <f>IF(OR($A1151="",AND($J1151="",$K1151="")),"",MIN($J1151,$K1151))</f>
        <v/>
      </c>
      <c r="Q1151">
        <f>IF($A1151="","",$D1151&amp;"("&amp;SUBSTITUTE($E1151," ","")&amp;")")</f>
        <v/>
      </c>
      <c r="R1151">
        <f>IF($A1151="","",$B1151&amp;" - "&amp;$C1151)</f>
        <v/>
      </c>
      <c r="S1151">
        <f>IF($A1151="","",$R1151&amp;"|"&amp;$Q1151)</f>
        <v/>
      </c>
      <c r="T1151">
        <f>IF($A1151="","",$S1151&amp;"|"&amp;$F1151)</f>
        <v/>
      </c>
      <c r="U1151">
        <f>IF($A1151="","",$R1151&amp;"("&amp;$E1151&amp;")")</f>
        <v/>
      </c>
      <c r="V1151">
        <f>IF($A1151="","",$F1151&amp;"|"&amp;$U1151&amp;"|"&amp;$D1151)</f>
        <v/>
      </c>
      <c r="W1151">
        <f>IF($T1151="","",IF($X1151&gt;N($X1150),$X1151,""))</f>
        <v/>
      </c>
      <c r="X1151">
        <f>IF($T1151="",N($X1150),IF(MATCH($T1151,$T$6:$T$6005,0)=ROW()-5,N($X1150)+1,N($X1150)))</f>
        <v/>
      </c>
      <c r="Z1151">
        <f>IF($V1151="","",IF($AA1151&gt;N($AA1150),$AA1151,""))</f>
        <v/>
      </c>
      <c r="AA1151">
        <f>IF($V1151="",N($AA1150),IF(MATCH($V1151,$V$6:$V$6005,0)=ROW()-5,N($AA1150)+1,N($AA1150)))</f>
        <v/>
      </c>
    </row>
    <row r="1152" ht="21" customHeight="1" s="66">
      <c r="A1152" s="56" t="n"/>
      <c r="B1152" s="57" t="n"/>
      <c r="C1152" s="57" t="n"/>
      <c r="D1152" s="57" t="n"/>
      <c r="E1152" s="56" t="n"/>
      <c r="F1152" s="57" t="n"/>
      <c r="G1152" s="57" t="n"/>
      <c r="H1152" s="56" t="n"/>
      <c r="I1152" s="56" t="n"/>
      <c r="J1152" s="58" t="n"/>
      <c r="K1152" s="58" t="n"/>
      <c r="L1152" s="13">
        <f>IF(OR($A1152="",AND($J1152="",$K1152="")),"",ROUND(N($J1152)-N($K1152),2))</f>
        <v/>
      </c>
      <c r="M1152" s="13">
        <f>IF(OR($A1152="",AND($J1152="",$K1152="")),"",MIN($J1152,$K1152))</f>
        <v/>
      </c>
      <c r="Q1152">
        <f>IF($A1152="","",$D1152&amp;"("&amp;SUBSTITUTE($E1152," ","")&amp;")")</f>
        <v/>
      </c>
      <c r="R1152">
        <f>IF($A1152="","",$B1152&amp;" - "&amp;$C1152)</f>
        <v/>
      </c>
      <c r="S1152">
        <f>IF($A1152="","",$R1152&amp;"|"&amp;$Q1152)</f>
        <v/>
      </c>
      <c r="T1152">
        <f>IF($A1152="","",$S1152&amp;"|"&amp;$F1152)</f>
        <v/>
      </c>
      <c r="U1152">
        <f>IF($A1152="","",$R1152&amp;"("&amp;$E1152&amp;")")</f>
        <v/>
      </c>
      <c r="V1152">
        <f>IF($A1152="","",$F1152&amp;"|"&amp;$U1152&amp;"|"&amp;$D1152)</f>
        <v/>
      </c>
      <c r="W1152">
        <f>IF($T1152="","",IF($X1152&gt;N($X1151),$X1152,""))</f>
        <v/>
      </c>
      <c r="X1152">
        <f>IF($T1152="",N($X1151),IF(MATCH($T1152,$T$6:$T$6005,0)=ROW()-5,N($X1151)+1,N($X1151)))</f>
        <v/>
      </c>
      <c r="Z1152">
        <f>IF($V1152="","",IF($AA1152&gt;N($AA1151),$AA1152,""))</f>
        <v/>
      </c>
      <c r="AA1152">
        <f>IF($V1152="",N($AA1151),IF(MATCH($V1152,$V$6:$V$6005,0)=ROW()-5,N($AA1151)+1,N($AA1151)))</f>
        <v/>
      </c>
    </row>
    <row r="1153" ht="21" customHeight="1" s="66">
      <c r="A1153" s="56" t="n"/>
      <c r="B1153" s="57" t="n"/>
      <c r="C1153" s="57" t="n"/>
      <c r="D1153" s="57" t="n"/>
      <c r="E1153" s="56" t="n"/>
      <c r="F1153" s="57" t="n"/>
      <c r="G1153" s="57" t="n"/>
      <c r="H1153" s="56" t="n"/>
      <c r="I1153" s="56" t="n"/>
      <c r="J1153" s="58" t="n"/>
      <c r="K1153" s="58" t="n"/>
      <c r="L1153" s="13">
        <f>IF(OR($A1153="",AND($J1153="",$K1153="")),"",ROUND(N($J1153)-N($K1153),2))</f>
        <v/>
      </c>
      <c r="M1153" s="13">
        <f>IF(OR($A1153="",AND($J1153="",$K1153="")),"",MIN($J1153,$K1153))</f>
        <v/>
      </c>
      <c r="Q1153">
        <f>IF($A1153="","",$D1153&amp;"("&amp;SUBSTITUTE($E1153," ","")&amp;")")</f>
        <v/>
      </c>
      <c r="R1153">
        <f>IF($A1153="","",$B1153&amp;" - "&amp;$C1153)</f>
        <v/>
      </c>
      <c r="S1153">
        <f>IF($A1153="","",$R1153&amp;"|"&amp;$Q1153)</f>
        <v/>
      </c>
      <c r="T1153">
        <f>IF($A1153="","",$S1153&amp;"|"&amp;$F1153)</f>
        <v/>
      </c>
      <c r="U1153">
        <f>IF($A1153="","",$R1153&amp;"("&amp;$E1153&amp;")")</f>
        <v/>
      </c>
      <c r="V1153">
        <f>IF($A1153="","",$F1153&amp;"|"&amp;$U1153&amp;"|"&amp;$D1153)</f>
        <v/>
      </c>
      <c r="W1153">
        <f>IF($T1153="","",IF($X1153&gt;N($X1152),$X1153,""))</f>
        <v/>
      </c>
      <c r="X1153">
        <f>IF($T1153="",N($X1152),IF(MATCH($T1153,$T$6:$T$6005,0)=ROW()-5,N($X1152)+1,N($X1152)))</f>
        <v/>
      </c>
      <c r="Z1153">
        <f>IF($V1153="","",IF($AA1153&gt;N($AA1152),$AA1153,""))</f>
        <v/>
      </c>
      <c r="AA1153">
        <f>IF($V1153="",N($AA1152),IF(MATCH($V1153,$V$6:$V$6005,0)=ROW()-5,N($AA1152)+1,N($AA1152)))</f>
        <v/>
      </c>
    </row>
    <row r="1154" ht="21" customHeight="1" s="66">
      <c r="A1154" s="56" t="n"/>
      <c r="B1154" s="57" t="n"/>
      <c r="C1154" s="57" t="n"/>
      <c r="D1154" s="57" t="n"/>
      <c r="E1154" s="56" t="n"/>
      <c r="F1154" s="57" t="n"/>
      <c r="G1154" s="57" t="n"/>
      <c r="H1154" s="56" t="n"/>
      <c r="I1154" s="56" t="n"/>
      <c r="J1154" s="58" t="n"/>
      <c r="K1154" s="58" t="n"/>
      <c r="L1154" s="13">
        <f>IF(OR($A1154="",AND($J1154="",$K1154="")),"",ROUND(N($J1154)-N($K1154),2))</f>
        <v/>
      </c>
      <c r="M1154" s="13">
        <f>IF(OR($A1154="",AND($J1154="",$K1154="")),"",MIN($J1154,$K1154))</f>
        <v/>
      </c>
      <c r="Q1154">
        <f>IF($A1154="","",$D1154&amp;"("&amp;SUBSTITUTE($E1154," ","")&amp;")")</f>
        <v/>
      </c>
      <c r="R1154">
        <f>IF($A1154="","",$B1154&amp;" - "&amp;$C1154)</f>
        <v/>
      </c>
      <c r="S1154">
        <f>IF($A1154="","",$R1154&amp;"|"&amp;$Q1154)</f>
        <v/>
      </c>
      <c r="T1154">
        <f>IF($A1154="","",$S1154&amp;"|"&amp;$F1154)</f>
        <v/>
      </c>
      <c r="U1154">
        <f>IF($A1154="","",$R1154&amp;"("&amp;$E1154&amp;")")</f>
        <v/>
      </c>
      <c r="V1154">
        <f>IF($A1154="","",$F1154&amp;"|"&amp;$U1154&amp;"|"&amp;$D1154)</f>
        <v/>
      </c>
      <c r="W1154">
        <f>IF($T1154="","",IF($X1154&gt;N($X1153),$X1154,""))</f>
        <v/>
      </c>
      <c r="X1154">
        <f>IF($T1154="",N($X1153),IF(MATCH($T1154,$T$6:$T$6005,0)=ROW()-5,N($X1153)+1,N($X1153)))</f>
        <v/>
      </c>
      <c r="Z1154">
        <f>IF($V1154="","",IF($AA1154&gt;N($AA1153),$AA1154,""))</f>
        <v/>
      </c>
      <c r="AA1154">
        <f>IF($V1154="",N($AA1153),IF(MATCH($V1154,$V$6:$V$6005,0)=ROW()-5,N($AA1153)+1,N($AA1153)))</f>
        <v/>
      </c>
    </row>
    <row r="1155" ht="21" customHeight="1" s="66">
      <c r="A1155" s="56" t="n"/>
      <c r="B1155" s="57" t="n"/>
      <c r="C1155" s="57" t="n"/>
      <c r="D1155" s="57" t="n"/>
      <c r="E1155" s="56" t="n"/>
      <c r="F1155" s="57" t="n"/>
      <c r="G1155" s="57" t="n"/>
      <c r="H1155" s="56" t="n"/>
      <c r="I1155" s="56" t="n"/>
      <c r="J1155" s="58" t="n"/>
      <c r="K1155" s="58" t="n"/>
      <c r="L1155" s="13">
        <f>IF(OR($A1155="",AND($J1155="",$K1155="")),"",ROUND(N($J1155)-N($K1155),2))</f>
        <v/>
      </c>
      <c r="M1155" s="13">
        <f>IF(OR($A1155="",AND($J1155="",$K1155="")),"",MIN($J1155,$K1155))</f>
        <v/>
      </c>
      <c r="Q1155">
        <f>IF($A1155="","",$D1155&amp;"("&amp;SUBSTITUTE($E1155," ","")&amp;")")</f>
        <v/>
      </c>
      <c r="R1155">
        <f>IF($A1155="","",$B1155&amp;" - "&amp;$C1155)</f>
        <v/>
      </c>
      <c r="S1155">
        <f>IF($A1155="","",$R1155&amp;"|"&amp;$Q1155)</f>
        <v/>
      </c>
      <c r="T1155">
        <f>IF($A1155="","",$S1155&amp;"|"&amp;$F1155)</f>
        <v/>
      </c>
      <c r="U1155">
        <f>IF($A1155="","",$R1155&amp;"("&amp;$E1155&amp;")")</f>
        <v/>
      </c>
      <c r="V1155">
        <f>IF($A1155="","",$F1155&amp;"|"&amp;$U1155&amp;"|"&amp;$D1155)</f>
        <v/>
      </c>
      <c r="W1155">
        <f>IF($T1155="","",IF($X1155&gt;N($X1154),$X1155,""))</f>
        <v/>
      </c>
      <c r="X1155">
        <f>IF($T1155="",N($X1154),IF(MATCH($T1155,$T$6:$T$6005,0)=ROW()-5,N($X1154)+1,N($X1154)))</f>
        <v/>
      </c>
      <c r="Z1155">
        <f>IF($V1155="","",IF($AA1155&gt;N($AA1154),$AA1155,""))</f>
        <v/>
      </c>
      <c r="AA1155">
        <f>IF($V1155="",N($AA1154),IF(MATCH($V1155,$V$6:$V$6005,0)=ROW()-5,N($AA1154)+1,N($AA1154)))</f>
        <v/>
      </c>
    </row>
    <row r="1156" ht="21" customHeight="1" s="66">
      <c r="A1156" s="56" t="n"/>
      <c r="B1156" s="57" t="n"/>
      <c r="C1156" s="57" t="n"/>
      <c r="D1156" s="57" t="n"/>
      <c r="E1156" s="56" t="n"/>
      <c r="F1156" s="57" t="n"/>
      <c r="G1156" s="57" t="n"/>
      <c r="H1156" s="56" t="n"/>
      <c r="I1156" s="56" t="n"/>
      <c r="J1156" s="58" t="n"/>
      <c r="K1156" s="58" t="n"/>
      <c r="L1156" s="13">
        <f>IF(OR($A1156="",AND($J1156="",$K1156="")),"",ROUND(N($J1156)-N($K1156),2))</f>
        <v/>
      </c>
      <c r="M1156" s="13">
        <f>IF(OR($A1156="",AND($J1156="",$K1156="")),"",MIN($J1156,$K1156))</f>
        <v/>
      </c>
      <c r="Q1156">
        <f>IF($A1156="","",$D1156&amp;"("&amp;SUBSTITUTE($E1156," ","")&amp;")")</f>
        <v/>
      </c>
      <c r="R1156">
        <f>IF($A1156="","",$B1156&amp;" - "&amp;$C1156)</f>
        <v/>
      </c>
      <c r="S1156">
        <f>IF($A1156="","",$R1156&amp;"|"&amp;$Q1156)</f>
        <v/>
      </c>
      <c r="T1156">
        <f>IF($A1156="","",$S1156&amp;"|"&amp;$F1156)</f>
        <v/>
      </c>
      <c r="U1156">
        <f>IF($A1156="","",$R1156&amp;"("&amp;$E1156&amp;")")</f>
        <v/>
      </c>
      <c r="V1156">
        <f>IF($A1156="","",$F1156&amp;"|"&amp;$U1156&amp;"|"&amp;$D1156)</f>
        <v/>
      </c>
      <c r="W1156">
        <f>IF($T1156="","",IF($X1156&gt;N($X1155),$X1156,""))</f>
        <v/>
      </c>
      <c r="X1156">
        <f>IF($T1156="",N($X1155),IF(MATCH($T1156,$T$6:$T$6005,0)=ROW()-5,N($X1155)+1,N($X1155)))</f>
        <v/>
      </c>
      <c r="Z1156">
        <f>IF($V1156="","",IF($AA1156&gt;N($AA1155),$AA1156,""))</f>
        <v/>
      </c>
      <c r="AA1156">
        <f>IF($V1156="",N($AA1155),IF(MATCH($V1156,$V$6:$V$6005,0)=ROW()-5,N($AA1155)+1,N($AA1155)))</f>
        <v/>
      </c>
    </row>
    <row r="1157" ht="21" customHeight="1" s="66">
      <c r="A1157" s="56" t="n"/>
      <c r="B1157" s="57" t="n"/>
      <c r="C1157" s="57" t="n"/>
      <c r="D1157" s="57" t="n"/>
      <c r="E1157" s="56" t="n"/>
      <c r="F1157" s="57" t="n"/>
      <c r="G1157" s="57" t="n"/>
      <c r="H1157" s="56" t="n"/>
      <c r="I1157" s="56" t="n"/>
      <c r="J1157" s="58" t="n"/>
      <c r="K1157" s="58" t="n"/>
      <c r="L1157" s="13">
        <f>IF(OR($A1157="",AND($J1157="",$K1157="")),"",ROUND(N($J1157)-N($K1157),2))</f>
        <v/>
      </c>
      <c r="M1157" s="13">
        <f>IF(OR($A1157="",AND($J1157="",$K1157="")),"",MIN($J1157,$K1157))</f>
        <v/>
      </c>
      <c r="Q1157">
        <f>IF($A1157="","",$D1157&amp;"("&amp;SUBSTITUTE($E1157," ","")&amp;")")</f>
        <v/>
      </c>
      <c r="R1157">
        <f>IF($A1157="","",$B1157&amp;" - "&amp;$C1157)</f>
        <v/>
      </c>
      <c r="S1157">
        <f>IF($A1157="","",$R1157&amp;"|"&amp;$Q1157)</f>
        <v/>
      </c>
      <c r="T1157">
        <f>IF($A1157="","",$S1157&amp;"|"&amp;$F1157)</f>
        <v/>
      </c>
      <c r="U1157">
        <f>IF($A1157="","",$R1157&amp;"("&amp;$E1157&amp;")")</f>
        <v/>
      </c>
      <c r="V1157">
        <f>IF($A1157="","",$F1157&amp;"|"&amp;$U1157&amp;"|"&amp;$D1157)</f>
        <v/>
      </c>
      <c r="W1157">
        <f>IF($T1157="","",IF($X1157&gt;N($X1156),$X1157,""))</f>
        <v/>
      </c>
      <c r="X1157">
        <f>IF($T1157="",N($X1156),IF(MATCH($T1157,$T$6:$T$6005,0)=ROW()-5,N($X1156)+1,N($X1156)))</f>
        <v/>
      </c>
      <c r="Z1157">
        <f>IF($V1157="","",IF($AA1157&gt;N($AA1156),$AA1157,""))</f>
        <v/>
      </c>
      <c r="AA1157">
        <f>IF($V1157="",N($AA1156),IF(MATCH($V1157,$V$6:$V$6005,0)=ROW()-5,N($AA1156)+1,N($AA1156)))</f>
        <v/>
      </c>
    </row>
    <row r="1158" ht="21" customHeight="1" s="66">
      <c r="A1158" s="56" t="n"/>
      <c r="B1158" s="57" t="n"/>
      <c r="C1158" s="57" t="n"/>
      <c r="D1158" s="57" t="n"/>
      <c r="E1158" s="56" t="n"/>
      <c r="F1158" s="57" t="n"/>
      <c r="G1158" s="57" t="n"/>
      <c r="H1158" s="56" t="n"/>
      <c r="I1158" s="56" t="n"/>
      <c r="J1158" s="58" t="n"/>
      <c r="K1158" s="58" t="n"/>
      <c r="L1158" s="13">
        <f>IF(OR($A1158="",AND($J1158="",$K1158="")),"",ROUND(N($J1158)-N($K1158),2))</f>
        <v/>
      </c>
      <c r="M1158" s="13">
        <f>IF(OR($A1158="",AND($J1158="",$K1158="")),"",MIN($J1158,$K1158))</f>
        <v/>
      </c>
      <c r="Q1158">
        <f>IF($A1158="","",$D1158&amp;"("&amp;SUBSTITUTE($E1158," ","")&amp;")")</f>
        <v/>
      </c>
      <c r="R1158">
        <f>IF($A1158="","",$B1158&amp;" - "&amp;$C1158)</f>
        <v/>
      </c>
      <c r="S1158">
        <f>IF($A1158="","",$R1158&amp;"|"&amp;$Q1158)</f>
        <v/>
      </c>
      <c r="T1158">
        <f>IF($A1158="","",$S1158&amp;"|"&amp;$F1158)</f>
        <v/>
      </c>
      <c r="U1158">
        <f>IF($A1158="","",$R1158&amp;"("&amp;$E1158&amp;")")</f>
        <v/>
      </c>
      <c r="V1158">
        <f>IF($A1158="","",$F1158&amp;"|"&amp;$U1158&amp;"|"&amp;$D1158)</f>
        <v/>
      </c>
      <c r="W1158">
        <f>IF($T1158="","",IF($X1158&gt;N($X1157),$X1158,""))</f>
        <v/>
      </c>
      <c r="X1158">
        <f>IF($T1158="",N($X1157),IF(MATCH($T1158,$T$6:$T$6005,0)=ROW()-5,N($X1157)+1,N($X1157)))</f>
        <v/>
      </c>
      <c r="Z1158">
        <f>IF($V1158="","",IF($AA1158&gt;N($AA1157),$AA1158,""))</f>
        <v/>
      </c>
      <c r="AA1158">
        <f>IF($V1158="",N($AA1157),IF(MATCH($V1158,$V$6:$V$6005,0)=ROW()-5,N($AA1157)+1,N($AA1157)))</f>
        <v/>
      </c>
    </row>
    <row r="1159" ht="21" customHeight="1" s="66">
      <c r="A1159" s="56" t="n"/>
      <c r="B1159" s="57" t="n"/>
      <c r="C1159" s="57" t="n"/>
      <c r="D1159" s="57" t="n"/>
      <c r="E1159" s="56" t="n"/>
      <c r="F1159" s="57" t="n"/>
      <c r="G1159" s="57" t="n"/>
      <c r="H1159" s="56" t="n"/>
      <c r="I1159" s="56" t="n"/>
      <c r="J1159" s="58" t="n"/>
      <c r="K1159" s="58" t="n"/>
      <c r="L1159" s="13">
        <f>IF(OR($A1159="",AND($J1159="",$K1159="")),"",ROUND(N($J1159)-N($K1159),2))</f>
        <v/>
      </c>
      <c r="M1159" s="13">
        <f>IF(OR($A1159="",AND($J1159="",$K1159="")),"",MIN($J1159,$K1159))</f>
        <v/>
      </c>
      <c r="Q1159">
        <f>IF($A1159="","",$D1159&amp;"("&amp;SUBSTITUTE($E1159," ","")&amp;")")</f>
        <v/>
      </c>
      <c r="R1159">
        <f>IF($A1159="","",$B1159&amp;" - "&amp;$C1159)</f>
        <v/>
      </c>
      <c r="S1159">
        <f>IF($A1159="","",$R1159&amp;"|"&amp;$Q1159)</f>
        <v/>
      </c>
      <c r="T1159">
        <f>IF($A1159="","",$S1159&amp;"|"&amp;$F1159)</f>
        <v/>
      </c>
      <c r="U1159">
        <f>IF($A1159="","",$R1159&amp;"("&amp;$E1159&amp;")")</f>
        <v/>
      </c>
      <c r="V1159">
        <f>IF($A1159="","",$F1159&amp;"|"&amp;$U1159&amp;"|"&amp;$D1159)</f>
        <v/>
      </c>
      <c r="W1159">
        <f>IF($T1159="","",IF($X1159&gt;N($X1158),$X1159,""))</f>
        <v/>
      </c>
      <c r="X1159">
        <f>IF($T1159="",N($X1158),IF(MATCH($T1159,$T$6:$T$6005,0)=ROW()-5,N($X1158)+1,N($X1158)))</f>
        <v/>
      </c>
      <c r="Z1159">
        <f>IF($V1159="","",IF($AA1159&gt;N($AA1158),$AA1159,""))</f>
        <v/>
      </c>
      <c r="AA1159">
        <f>IF($V1159="",N($AA1158),IF(MATCH($V1159,$V$6:$V$6005,0)=ROW()-5,N($AA1158)+1,N($AA1158)))</f>
        <v/>
      </c>
    </row>
    <row r="1160" ht="21" customHeight="1" s="66">
      <c r="A1160" s="56" t="n"/>
      <c r="B1160" s="57" t="n"/>
      <c r="C1160" s="57" t="n"/>
      <c r="D1160" s="57" t="n"/>
      <c r="E1160" s="56" t="n"/>
      <c r="F1160" s="57" t="n"/>
      <c r="G1160" s="57" t="n"/>
      <c r="H1160" s="56" t="n"/>
      <c r="I1160" s="56" t="n"/>
      <c r="J1160" s="58" t="n"/>
      <c r="K1160" s="58" t="n"/>
      <c r="L1160" s="13">
        <f>IF(OR($A1160="",AND($J1160="",$K1160="")),"",ROUND(N($J1160)-N($K1160),2))</f>
        <v/>
      </c>
      <c r="M1160" s="13">
        <f>IF(OR($A1160="",AND($J1160="",$K1160="")),"",MIN($J1160,$K1160))</f>
        <v/>
      </c>
      <c r="Q1160">
        <f>IF($A1160="","",$D1160&amp;"("&amp;SUBSTITUTE($E1160," ","")&amp;")")</f>
        <v/>
      </c>
      <c r="R1160">
        <f>IF($A1160="","",$B1160&amp;" - "&amp;$C1160)</f>
        <v/>
      </c>
      <c r="S1160">
        <f>IF($A1160="","",$R1160&amp;"|"&amp;$Q1160)</f>
        <v/>
      </c>
      <c r="T1160">
        <f>IF($A1160="","",$S1160&amp;"|"&amp;$F1160)</f>
        <v/>
      </c>
      <c r="U1160">
        <f>IF($A1160="","",$R1160&amp;"("&amp;$E1160&amp;")")</f>
        <v/>
      </c>
      <c r="V1160">
        <f>IF($A1160="","",$F1160&amp;"|"&amp;$U1160&amp;"|"&amp;$D1160)</f>
        <v/>
      </c>
      <c r="W1160">
        <f>IF($T1160="","",IF($X1160&gt;N($X1159),$X1160,""))</f>
        <v/>
      </c>
      <c r="X1160">
        <f>IF($T1160="",N($X1159),IF(MATCH($T1160,$T$6:$T$6005,0)=ROW()-5,N($X1159)+1,N($X1159)))</f>
        <v/>
      </c>
      <c r="Z1160">
        <f>IF($V1160="","",IF($AA1160&gt;N($AA1159),$AA1160,""))</f>
        <v/>
      </c>
      <c r="AA1160">
        <f>IF($V1160="",N($AA1159),IF(MATCH($V1160,$V$6:$V$6005,0)=ROW()-5,N($AA1159)+1,N($AA1159)))</f>
        <v/>
      </c>
    </row>
    <row r="1161" ht="21" customHeight="1" s="66">
      <c r="A1161" s="56" t="n"/>
      <c r="B1161" s="57" t="n"/>
      <c r="C1161" s="57" t="n"/>
      <c r="D1161" s="57" t="n"/>
      <c r="E1161" s="56" t="n"/>
      <c r="F1161" s="57" t="n"/>
      <c r="G1161" s="57" t="n"/>
      <c r="H1161" s="56" t="n"/>
      <c r="I1161" s="56" t="n"/>
      <c r="J1161" s="58" t="n"/>
      <c r="K1161" s="58" t="n"/>
      <c r="L1161" s="13">
        <f>IF(OR($A1161="",AND($J1161="",$K1161="")),"",ROUND(N($J1161)-N($K1161),2))</f>
        <v/>
      </c>
      <c r="M1161" s="13">
        <f>IF(OR($A1161="",AND($J1161="",$K1161="")),"",MIN($J1161,$K1161))</f>
        <v/>
      </c>
      <c r="Q1161">
        <f>IF($A1161="","",$D1161&amp;"("&amp;SUBSTITUTE($E1161," ","")&amp;")")</f>
        <v/>
      </c>
      <c r="R1161">
        <f>IF($A1161="","",$B1161&amp;" - "&amp;$C1161)</f>
        <v/>
      </c>
      <c r="S1161">
        <f>IF($A1161="","",$R1161&amp;"|"&amp;$Q1161)</f>
        <v/>
      </c>
      <c r="T1161">
        <f>IF($A1161="","",$S1161&amp;"|"&amp;$F1161)</f>
        <v/>
      </c>
      <c r="U1161">
        <f>IF($A1161="","",$R1161&amp;"("&amp;$E1161&amp;")")</f>
        <v/>
      </c>
      <c r="V1161">
        <f>IF($A1161="","",$F1161&amp;"|"&amp;$U1161&amp;"|"&amp;$D1161)</f>
        <v/>
      </c>
      <c r="W1161">
        <f>IF($T1161="","",IF($X1161&gt;N($X1160),$X1161,""))</f>
        <v/>
      </c>
      <c r="X1161">
        <f>IF($T1161="",N($X1160),IF(MATCH($T1161,$T$6:$T$6005,0)=ROW()-5,N($X1160)+1,N($X1160)))</f>
        <v/>
      </c>
      <c r="Z1161">
        <f>IF($V1161="","",IF($AA1161&gt;N($AA1160),$AA1161,""))</f>
        <v/>
      </c>
      <c r="AA1161">
        <f>IF($V1161="",N($AA1160),IF(MATCH($V1161,$V$6:$V$6005,0)=ROW()-5,N($AA1160)+1,N($AA1160)))</f>
        <v/>
      </c>
    </row>
    <row r="1162" ht="21" customHeight="1" s="66">
      <c r="A1162" s="56" t="n"/>
      <c r="B1162" s="57" t="n"/>
      <c r="C1162" s="57" t="n"/>
      <c r="D1162" s="57" t="n"/>
      <c r="E1162" s="56" t="n"/>
      <c r="F1162" s="57" t="n"/>
      <c r="G1162" s="57" t="n"/>
      <c r="H1162" s="56" t="n"/>
      <c r="I1162" s="56" t="n"/>
      <c r="J1162" s="58" t="n"/>
      <c r="K1162" s="58" t="n"/>
      <c r="L1162" s="13">
        <f>IF(OR($A1162="",AND($J1162="",$K1162="")),"",ROUND(N($J1162)-N($K1162),2))</f>
        <v/>
      </c>
      <c r="M1162" s="13">
        <f>IF(OR($A1162="",AND($J1162="",$K1162="")),"",MIN($J1162,$K1162))</f>
        <v/>
      </c>
      <c r="Q1162">
        <f>IF($A1162="","",$D1162&amp;"("&amp;SUBSTITUTE($E1162," ","")&amp;")")</f>
        <v/>
      </c>
      <c r="R1162">
        <f>IF($A1162="","",$B1162&amp;" - "&amp;$C1162)</f>
        <v/>
      </c>
      <c r="S1162">
        <f>IF($A1162="","",$R1162&amp;"|"&amp;$Q1162)</f>
        <v/>
      </c>
      <c r="T1162">
        <f>IF($A1162="","",$S1162&amp;"|"&amp;$F1162)</f>
        <v/>
      </c>
      <c r="U1162">
        <f>IF($A1162="","",$R1162&amp;"("&amp;$E1162&amp;")")</f>
        <v/>
      </c>
      <c r="V1162">
        <f>IF($A1162="","",$F1162&amp;"|"&amp;$U1162&amp;"|"&amp;$D1162)</f>
        <v/>
      </c>
      <c r="W1162">
        <f>IF($T1162="","",IF($X1162&gt;N($X1161),$X1162,""))</f>
        <v/>
      </c>
      <c r="X1162">
        <f>IF($T1162="",N($X1161),IF(MATCH($T1162,$T$6:$T$6005,0)=ROW()-5,N($X1161)+1,N($X1161)))</f>
        <v/>
      </c>
      <c r="Z1162">
        <f>IF($V1162="","",IF($AA1162&gt;N($AA1161),$AA1162,""))</f>
        <v/>
      </c>
      <c r="AA1162">
        <f>IF($V1162="",N($AA1161),IF(MATCH($V1162,$V$6:$V$6005,0)=ROW()-5,N($AA1161)+1,N($AA1161)))</f>
        <v/>
      </c>
    </row>
    <row r="1163" ht="21" customHeight="1" s="66">
      <c r="A1163" s="56" t="n"/>
      <c r="B1163" s="57" t="n"/>
      <c r="C1163" s="57" t="n"/>
      <c r="D1163" s="57" t="n"/>
      <c r="E1163" s="56" t="n"/>
      <c r="F1163" s="57" t="n"/>
      <c r="G1163" s="57" t="n"/>
      <c r="H1163" s="56" t="n"/>
      <c r="I1163" s="56" t="n"/>
      <c r="J1163" s="58" t="n"/>
      <c r="K1163" s="58" t="n"/>
      <c r="L1163" s="13">
        <f>IF(OR($A1163="",AND($J1163="",$K1163="")),"",ROUND(N($J1163)-N($K1163),2))</f>
        <v/>
      </c>
      <c r="M1163" s="13">
        <f>IF(OR($A1163="",AND($J1163="",$K1163="")),"",MIN($J1163,$K1163))</f>
        <v/>
      </c>
      <c r="Q1163">
        <f>IF($A1163="","",$D1163&amp;"("&amp;SUBSTITUTE($E1163," ","")&amp;")")</f>
        <v/>
      </c>
      <c r="R1163">
        <f>IF($A1163="","",$B1163&amp;" - "&amp;$C1163)</f>
        <v/>
      </c>
      <c r="S1163">
        <f>IF($A1163="","",$R1163&amp;"|"&amp;$Q1163)</f>
        <v/>
      </c>
      <c r="T1163">
        <f>IF($A1163="","",$S1163&amp;"|"&amp;$F1163)</f>
        <v/>
      </c>
      <c r="U1163">
        <f>IF($A1163="","",$R1163&amp;"("&amp;$E1163&amp;")")</f>
        <v/>
      </c>
      <c r="V1163">
        <f>IF($A1163="","",$F1163&amp;"|"&amp;$U1163&amp;"|"&amp;$D1163)</f>
        <v/>
      </c>
      <c r="W1163">
        <f>IF($T1163="","",IF($X1163&gt;N($X1162),$X1163,""))</f>
        <v/>
      </c>
      <c r="X1163">
        <f>IF($T1163="",N($X1162),IF(MATCH($T1163,$T$6:$T$6005,0)=ROW()-5,N($X1162)+1,N($X1162)))</f>
        <v/>
      </c>
      <c r="Z1163">
        <f>IF($V1163="","",IF($AA1163&gt;N($AA1162),$AA1163,""))</f>
        <v/>
      </c>
      <c r="AA1163">
        <f>IF($V1163="",N($AA1162),IF(MATCH($V1163,$V$6:$V$6005,0)=ROW()-5,N($AA1162)+1,N($AA1162)))</f>
        <v/>
      </c>
    </row>
    <row r="1164" ht="21" customHeight="1" s="66">
      <c r="A1164" s="56" t="n"/>
      <c r="B1164" s="57" t="n"/>
      <c r="C1164" s="57" t="n"/>
      <c r="D1164" s="57" t="n"/>
      <c r="E1164" s="56" t="n"/>
      <c r="F1164" s="57" t="n"/>
      <c r="G1164" s="57" t="n"/>
      <c r="H1164" s="56" t="n"/>
      <c r="I1164" s="56" t="n"/>
      <c r="J1164" s="58" t="n"/>
      <c r="K1164" s="58" t="n"/>
      <c r="L1164" s="13">
        <f>IF(OR($A1164="",AND($J1164="",$K1164="")),"",ROUND(N($J1164)-N($K1164),2))</f>
        <v/>
      </c>
      <c r="M1164" s="13">
        <f>IF(OR($A1164="",AND($J1164="",$K1164="")),"",MIN($J1164,$K1164))</f>
        <v/>
      </c>
      <c r="Q1164">
        <f>IF($A1164="","",$D1164&amp;"("&amp;SUBSTITUTE($E1164," ","")&amp;")")</f>
        <v/>
      </c>
      <c r="R1164">
        <f>IF($A1164="","",$B1164&amp;" - "&amp;$C1164)</f>
        <v/>
      </c>
      <c r="S1164">
        <f>IF($A1164="","",$R1164&amp;"|"&amp;$Q1164)</f>
        <v/>
      </c>
      <c r="T1164">
        <f>IF($A1164="","",$S1164&amp;"|"&amp;$F1164)</f>
        <v/>
      </c>
      <c r="U1164">
        <f>IF($A1164="","",$R1164&amp;"("&amp;$E1164&amp;")")</f>
        <v/>
      </c>
      <c r="V1164">
        <f>IF($A1164="","",$F1164&amp;"|"&amp;$U1164&amp;"|"&amp;$D1164)</f>
        <v/>
      </c>
      <c r="W1164">
        <f>IF($T1164="","",IF($X1164&gt;N($X1163),$X1164,""))</f>
        <v/>
      </c>
      <c r="X1164">
        <f>IF($T1164="",N($X1163),IF(MATCH($T1164,$T$6:$T$6005,0)=ROW()-5,N($X1163)+1,N($X1163)))</f>
        <v/>
      </c>
      <c r="Z1164">
        <f>IF($V1164="","",IF($AA1164&gt;N($AA1163),$AA1164,""))</f>
        <v/>
      </c>
      <c r="AA1164">
        <f>IF($V1164="",N($AA1163),IF(MATCH($V1164,$V$6:$V$6005,0)=ROW()-5,N($AA1163)+1,N($AA1163)))</f>
        <v/>
      </c>
    </row>
    <row r="1165" ht="21" customHeight="1" s="66">
      <c r="A1165" s="56" t="n"/>
      <c r="B1165" s="57" t="n"/>
      <c r="C1165" s="57" t="n"/>
      <c r="D1165" s="57" t="n"/>
      <c r="E1165" s="56" t="n"/>
      <c r="F1165" s="57" t="n"/>
      <c r="G1165" s="57" t="n"/>
      <c r="H1165" s="56" t="n"/>
      <c r="I1165" s="56" t="n"/>
      <c r="J1165" s="58" t="n"/>
      <c r="K1165" s="58" t="n"/>
      <c r="L1165" s="13">
        <f>IF(OR($A1165="",AND($J1165="",$K1165="")),"",ROUND(N($J1165)-N($K1165),2))</f>
        <v/>
      </c>
      <c r="M1165" s="13">
        <f>IF(OR($A1165="",AND($J1165="",$K1165="")),"",MIN($J1165,$K1165))</f>
        <v/>
      </c>
      <c r="Q1165">
        <f>IF($A1165="","",$D1165&amp;"("&amp;SUBSTITUTE($E1165," ","")&amp;")")</f>
        <v/>
      </c>
      <c r="R1165">
        <f>IF($A1165="","",$B1165&amp;" - "&amp;$C1165)</f>
        <v/>
      </c>
      <c r="S1165">
        <f>IF($A1165="","",$R1165&amp;"|"&amp;$Q1165)</f>
        <v/>
      </c>
      <c r="T1165">
        <f>IF($A1165="","",$S1165&amp;"|"&amp;$F1165)</f>
        <v/>
      </c>
      <c r="U1165">
        <f>IF($A1165="","",$R1165&amp;"("&amp;$E1165&amp;")")</f>
        <v/>
      </c>
      <c r="V1165">
        <f>IF($A1165="","",$F1165&amp;"|"&amp;$U1165&amp;"|"&amp;$D1165)</f>
        <v/>
      </c>
      <c r="W1165">
        <f>IF($T1165="","",IF($X1165&gt;N($X1164),$X1165,""))</f>
        <v/>
      </c>
      <c r="X1165">
        <f>IF($T1165="",N($X1164),IF(MATCH($T1165,$T$6:$T$6005,0)=ROW()-5,N($X1164)+1,N($X1164)))</f>
        <v/>
      </c>
      <c r="Z1165">
        <f>IF($V1165="","",IF($AA1165&gt;N($AA1164),$AA1165,""))</f>
        <v/>
      </c>
      <c r="AA1165">
        <f>IF($V1165="",N($AA1164),IF(MATCH($V1165,$V$6:$V$6005,0)=ROW()-5,N($AA1164)+1,N($AA1164)))</f>
        <v/>
      </c>
    </row>
    <row r="1166" ht="21" customHeight="1" s="66">
      <c r="A1166" s="56" t="n"/>
      <c r="B1166" s="57" t="n"/>
      <c r="C1166" s="57" t="n"/>
      <c r="D1166" s="57" t="n"/>
      <c r="E1166" s="56" t="n"/>
      <c r="F1166" s="57" t="n"/>
      <c r="G1166" s="57" t="n"/>
      <c r="H1166" s="56" t="n"/>
      <c r="I1166" s="56" t="n"/>
      <c r="J1166" s="58" t="n"/>
      <c r="K1166" s="58" t="n"/>
      <c r="L1166" s="13">
        <f>IF(OR($A1166="",AND($J1166="",$K1166="")),"",ROUND(N($J1166)-N($K1166),2))</f>
        <v/>
      </c>
      <c r="M1166" s="13">
        <f>IF(OR($A1166="",AND($J1166="",$K1166="")),"",MIN($J1166,$K1166))</f>
        <v/>
      </c>
      <c r="Q1166">
        <f>IF($A1166="","",$D1166&amp;"("&amp;SUBSTITUTE($E1166," ","")&amp;")")</f>
        <v/>
      </c>
      <c r="R1166">
        <f>IF($A1166="","",$B1166&amp;" - "&amp;$C1166)</f>
        <v/>
      </c>
      <c r="S1166">
        <f>IF($A1166="","",$R1166&amp;"|"&amp;$Q1166)</f>
        <v/>
      </c>
      <c r="T1166">
        <f>IF($A1166="","",$S1166&amp;"|"&amp;$F1166)</f>
        <v/>
      </c>
      <c r="U1166">
        <f>IF($A1166="","",$R1166&amp;"("&amp;$E1166&amp;")")</f>
        <v/>
      </c>
      <c r="V1166">
        <f>IF($A1166="","",$F1166&amp;"|"&amp;$U1166&amp;"|"&amp;$D1166)</f>
        <v/>
      </c>
      <c r="W1166">
        <f>IF($T1166="","",IF($X1166&gt;N($X1165),$X1166,""))</f>
        <v/>
      </c>
      <c r="X1166">
        <f>IF($T1166="",N($X1165),IF(MATCH($T1166,$T$6:$T$6005,0)=ROW()-5,N($X1165)+1,N($X1165)))</f>
        <v/>
      </c>
      <c r="Z1166">
        <f>IF($V1166="","",IF($AA1166&gt;N($AA1165),$AA1166,""))</f>
        <v/>
      </c>
      <c r="AA1166">
        <f>IF($V1166="",N($AA1165),IF(MATCH($V1166,$V$6:$V$6005,0)=ROW()-5,N($AA1165)+1,N($AA1165)))</f>
        <v/>
      </c>
    </row>
    <row r="1167" ht="21" customHeight="1" s="66">
      <c r="A1167" s="56" t="n"/>
      <c r="B1167" s="57" t="n"/>
      <c r="C1167" s="57" t="n"/>
      <c r="D1167" s="57" t="n"/>
      <c r="E1167" s="56" t="n"/>
      <c r="F1167" s="57" t="n"/>
      <c r="G1167" s="57" t="n"/>
      <c r="H1167" s="56" t="n"/>
      <c r="I1167" s="56" t="n"/>
      <c r="J1167" s="58" t="n"/>
      <c r="K1167" s="58" t="n"/>
      <c r="L1167" s="13">
        <f>IF(OR($A1167="",AND($J1167="",$K1167="")),"",ROUND(N($J1167)-N($K1167),2))</f>
        <v/>
      </c>
      <c r="M1167" s="13">
        <f>IF(OR($A1167="",AND($J1167="",$K1167="")),"",MIN($J1167,$K1167))</f>
        <v/>
      </c>
      <c r="Q1167">
        <f>IF($A1167="","",$D1167&amp;"("&amp;SUBSTITUTE($E1167," ","")&amp;")")</f>
        <v/>
      </c>
      <c r="R1167">
        <f>IF($A1167="","",$B1167&amp;" - "&amp;$C1167)</f>
        <v/>
      </c>
      <c r="S1167">
        <f>IF($A1167="","",$R1167&amp;"|"&amp;$Q1167)</f>
        <v/>
      </c>
      <c r="T1167">
        <f>IF($A1167="","",$S1167&amp;"|"&amp;$F1167)</f>
        <v/>
      </c>
      <c r="U1167">
        <f>IF($A1167="","",$R1167&amp;"("&amp;$E1167&amp;")")</f>
        <v/>
      </c>
      <c r="V1167">
        <f>IF($A1167="","",$F1167&amp;"|"&amp;$U1167&amp;"|"&amp;$D1167)</f>
        <v/>
      </c>
      <c r="W1167">
        <f>IF($T1167="","",IF($X1167&gt;N($X1166),$X1167,""))</f>
        <v/>
      </c>
      <c r="X1167">
        <f>IF($T1167="",N($X1166),IF(MATCH($T1167,$T$6:$T$6005,0)=ROW()-5,N($X1166)+1,N($X1166)))</f>
        <v/>
      </c>
      <c r="Z1167">
        <f>IF($V1167="","",IF($AA1167&gt;N($AA1166),$AA1167,""))</f>
        <v/>
      </c>
      <c r="AA1167">
        <f>IF($V1167="",N($AA1166),IF(MATCH($V1167,$V$6:$V$6005,0)=ROW()-5,N($AA1166)+1,N($AA1166)))</f>
        <v/>
      </c>
    </row>
    <row r="1168" ht="21" customHeight="1" s="66">
      <c r="A1168" s="56" t="n"/>
      <c r="B1168" s="57" t="n"/>
      <c r="C1168" s="57" t="n"/>
      <c r="D1168" s="57" t="n"/>
      <c r="E1168" s="56" t="n"/>
      <c r="F1168" s="57" t="n"/>
      <c r="G1168" s="57" t="n"/>
      <c r="H1168" s="56" t="n"/>
      <c r="I1168" s="56" t="n"/>
      <c r="J1168" s="58" t="n"/>
      <c r="K1168" s="58" t="n"/>
      <c r="L1168" s="13">
        <f>IF(OR($A1168="",AND($J1168="",$K1168="")),"",ROUND(N($J1168)-N($K1168),2))</f>
        <v/>
      </c>
      <c r="M1168" s="13">
        <f>IF(OR($A1168="",AND($J1168="",$K1168="")),"",MIN($J1168,$K1168))</f>
        <v/>
      </c>
      <c r="Q1168">
        <f>IF($A1168="","",$D1168&amp;"("&amp;SUBSTITUTE($E1168," ","")&amp;")")</f>
        <v/>
      </c>
      <c r="R1168">
        <f>IF($A1168="","",$B1168&amp;" - "&amp;$C1168)</f>
        <v/>
      </c>
      <c r="S1168">
        <f>IF($A1168="","",$R1168&amp;"|"&amp;$Q1168)</f>
        <v/>
      </c>
      <c r="T1168">
        <f>IF($A1168="","",$S1168&amp;"|"&amp;$F1168)</f>
        <v/>
      </c>
      <c r="U1168">
        <f>IF($A1168="","",$R1168&amp;"("&amp;$E1168&amp;")")</f>
        <v/>
      </c>
      <c r="V1168">
        <f>IF($A1168="","",$F1168&amp;"|"&amp;$U1168&amp;"|"&amp;$D1168)</f>
        <v/>
      </c>
      <c r="W1168">
        <f>IF($T1168="","",IF($X1168&gt;N($X1167),$X1168,""))</f>
        <v/>
      </c>
      <c r="X1168">
        <f>IF($T1168="",N($X1167),IF(MATCH($T1168,$T$6:$T$6005,0)=ROW()-5,N($X1167)+1,N($X1167)))</f>
        <v/>
      </c>
      <c r="Z1168">
        <f>IF($V1168="","",IF($AA1168&gt;N($AA1167),$AA1168,""))</f>
        <v/>
      </c>
      <c r="AA1168">
        <f>IF($V1168="",N($AA1167),IF(MATCH($V1168,$V$6:$V$6005,0)=ROW()-5,N($AA1167)+1,N($AA1167)))</f>
        <v/>
      </c>
    </row>
    <row r="1169" ht="21" customHeight="1" s="66">
      <c r="A1169" s="56" t="n"/>
      <c r="B1169" s="57" t="n"/>
      <c r="C1169" s="57" t="n"/>
      <c r="D1169" s="57" t="n"/>
      <c r="E1169" s="56" t="n"/>
      <c r="F1169" s="57" t="n"/>
      <c r="G1169" s="57" t="n"/>
      <c r="H1169" s="56" t="n"/>
      <c r="I1169" s="56" t="n"/>
      <c r="J1169" s="58" t="n"/>
      <c r="K1169" s="58" t="n"/>
      <c r="L1169" s="13">
        <f>IF(OR($A1169="",AND($J1169="",$K1169="")),"",ROUND(N($J1169)-N($K1169),2))</f>
        <v/>
      </c>
      <c r="M1169" s="13">
        <f>IF(OR($A1169="",AND($J1169="",$K1169="")),"",MIN($J1169,$K1169))</f>
        <v/>
      </c>
      <c r="Q1169">
        <f>IF($A1169="","",$D1169&amp;"("&amp;SUBSTITUTE($E1169," ","")&amp;")")</f>
        <v/>
      </c>
      <c r="R1169">
        <f>IF($A1169="","",$B1169&amp;" - "&amp;$C1169)</f>
        <v/>
      </c>
      <c r="S1169">
        <f>IF($A1169="","",$R1169&amp;"|"&amp;$Q1169)</f>
        <v/>
      </c>
      <c r="T1169">
        <f>IF($A1169="","",$S1169&amp;"|"&amp;$F1169)</f>
        <v/>
      </c>
      <c r="U1169">
        <f>IF($A1169="","",$R1169&amp;"("&amp;$E1169&amp;")")</f>
        <v/>
      </c>
      <c r="V1169">
        <f>IF($A1169="","",$F1169&amp;"|"&amp;$U1169&amp;"|"&amp;$D1169)</f>
        <v/>
      </c>
      <c r="W1169">
        <f>IF($T1169="","",IF($X1169&gt;N($X1168),$X1169,""))</f>
        <v/>
      </c>
      <c r="X1169">
        <f>IF($T1169="",N($X1168),IF(MATCH($T1169,$T$6:$T$6005,0)=ROW()-5,N($X1168)+1,N($X1168)))</f>
        <v/>
      </c>
      <c r="Z1169">
        <f>IF($V1169="","",IF($AA1169&gt;N($AA1168),$AA1169,""))</f>
        <v/>
      </c>
      <c r="AA1169">
        <f>IF($V1169="",N($AA1168),IF(MATCH($V1169,$V$6:$V$6005,0)=ROW()-5,N($AA1168)+1,N($AA1168)))</f>
        <v/>
      </c>
    </row>
    <row r="1170" ht="21" customHeight="1" s="66">
      <c r="A1170" s="56" t="n"/>
      <c r="B1170" s="57" t="n"/>
      <c r="C1170" s="57" t="n"/>
      <c r="D1170" s="57" t="n"/>
      <c r="E1170" s="56" t="n"/>
      <c r="F1170" s="57" t="n"/>
      <c r="G1170" s="57" t="n"/>
      <c r="H1170" s="56" t="n"/>
      <c r="I1170" s="56" t="n"/>
      <c r="J1170" s="58" t="n"/>
      <c r="K1170" s="58" t="n"/>
      <c r="L1170" s="13">
        <f>IF(OR($A1170="",AND($J1170="",$K1170="")),"",ROUND(N($J1170)-N($K1170),2))</f>
        <v/>
      </c>
      <c r="M1170" s="13">
        <f>IF(OR($A1170="",AND($J1170="",$K1170="")),"",MIN($J1170,$K1170))</f>
        <v/>
      </c>
      <c r="Q1170">
        <f>IF($A1170="","",$D1170&amp;"("&amp;SUBSTITUTE($E1170," ","")&amp;")")</f>
        <v/>
      </c>
      <c r="R1170">
        <f>IF($A1170="","",$B1170&amp;" - "&amp;$C1170)</f>
        <v/>
      </c>
      <c r="S1170">
        <f>IF($A1170="","",$R1170&amp;"|"&amp;$Q1170)</f>
        <v/>
      </c>
      <c r="T1170">
        <f>IF($A1170="","",$S1170&amp;"|"&amp;$F1170)</f>
        <v/>
      </c>
      <c r="U1170">
        <f>IF($A1170="","",$R1170&amp;"("&amp;$E1170&amp;")")</f>
        <v/>
      </c>
      <c r="V1170">
        <f>IF($A1170="","",$F1170&amp;"|"&amp;$U1170&amp;"|"&amp;$D1170)</f>
        <v/>
      </c>
      <c r="W1170">
        <f>IF($T1170="","",IF($X1170&gt;N($X1169),$X1170,""))</f>
        <v/>
      </c>
      <c r="X1170">
        <f>IF($T1170="",N($X1169),IF(MATCH($T1170,$T$6:$T$6005,0)=ROW()-5,N($X1169)+1,N($X1169)))</f>
        <v/>
      </c>
      <c r="Z1170">
        <f>IF($V1170="","",IF($AA1170&gt;N($AA1169),$AA1170,""))</f>
        <v/>
      </c>
      <c r="AA1170">
        <f>IF($V1170="",N($AA1169),IF(MATCH($V1170,$V$6:$V$6005,0)=ROW()-5,N($AA1169)+1,N($AA1169)))</f>
        <v/>
      </c>
    </row>
    <row r="1171" ht="21" customHeight="1" s="66">
      <c r="A1171" s="56" t="n"/>
      <c r="B1171" s="57" t="n"/>
      <c r="C1171" s="57" t="n"/>
      <c r="D1171" s="57" t="n"/>
      <c r="E1171" s="56" t="n"/>
      <c r="F1171" s="57" t="n"/>
      <c r="G1171" s="57" t="n"/>
      <c r="H1171" s="56" t="n"/>
      <c r="I1171" s="56" t="n"/>
      <c r="J1171" s="58" t="n"/>
      <c r="K1171" s="58" t="n"/>
      <c r="L1171" s="13">
        <f>IF(OR($A1171="",AND($J1171="",$K1171="")),"",ROUND(N($J1171)-N($K1171),2))</f>
        <v/>
      </c>
      <c r="M1171" s="13">
        <f>IF(OR($A1171="",AND($J1171="",$K1171="")),"",MIN($J1171,$K1171))</f>
        <v/>
      </c>
      <c r="Q1171">
        <f>IF($A1171="","",$D1171&amp;"("&amp;SUBSTITUTE($E1171," ","")&amp;")")</f>
        <v/>
      </c>
      <c r="R1171">
        <f>IF($A1171="","",$B1171&amp;" - "&amp;$C1171)</f>
        <v/>
      </c>
      <c r="S1171">
        <f>IF($A1171="","",$R1171&amp;"|"&amp;$Q1171)</f>
        <v/>
      </c>
      <c r="T1171">
        <f>IF($A1171="","",$S1171&amp;"|"&amp;$F1171)</f>
        <v/>
      </c>
      <c r="U1171">
        <f>IF($A1171="","",$R1171&amp;"("&amp;$E1171&amp;")")</f>
        <v/>
      </c>
      <c r="V1171">
        <f>IF($A1171="","",$F1171&amp;"|"&amp;$U1171&amp;"|"&amp;$D1171)</f>
        <v/>
      </c>
      <c r="W1171">
        <f>IF($T1171="","",IF($X1171&gt;N($X1170),$X1171,""))</f>
        <v/>
      </c>
      <c r="X1171">
        <f>IF($T1171="",N($X1170),IF(MATCH($T1171,$T$6:$T$6005,0)=ROW()-5,N($X1170)+1,N($X1170)))</f>
        <v/>
      </c>
      <c r="Z1171">
        <f>IF($V1171="","",IF($AA1171&gt;N($AA1170),$AA1171,""))</f>
        <v/>
      </c>
      <c r="AA1171">
        <f>IF($V1171="",N($AA1170),IF(MATCH($V1171,$V$6:$V$6005,0)=ROW()-5,N($AA1170)+1,N($AA1170)))</f>
        <v/>
      </c>
    </row>
    <row r="1172" ht="21" customHeight="1" s="66">
      <c r="A1172" s="56" t="n"/>
      <c r="B1172" s="57" t="n"/>
      <c r="C1172" s="57" t="n"/>
      <c r="D1172" s="57" t="n"/>
      <c r="E1172" s="56" t="n"/>
      <c r="F1172" s="57" t="n"/>
      <c r="G1172" s="57" t="n"/>
      <c r="H1172" s="56" t="n"/>
      <c r="I1172" s="56" t="n"/>
      <c r="J1172" s="58" t="n"/>
      <c r="K1172" s="58" t="n"/>
      <c r="L1172" s="13">
        <f>IF(OR($A1172="",AND($J1172="",$K1172="")),"",ROUND(N($J1172)-N($K1172),2))</f>
        <v/>
      </c>
      <c r="M1172" s="13">
        <f>IF(OR($A1172="",AND($J1172="",$K1172="")),"",MIN($J1172,$K1172))</f>
        <v/>
      </c>
      <c r="Q1172">
        <f>IF($A1172="","",$D1172&amp;"("&amp;SUBSTITUTE($E1172," ","")&amp;")")</f>
        <v/>
      </c>
      <c r="R1172">
        <f>IF($A1172="","",$B1172&amp;" - "&amp;$C1172)</f>
        <v/>
      </c>
      <c r="S1172">
        <f>IF($A1172="","",$R1172&amp;"|"&amp;$Q1172)</f>
        <v/>
      </c>
      <c r="T1172">
        <f>IF($A1172="","",$S1172&amp;"|"&amp;$F1172)</f>
        <v/>
      </c>
      <c r="U1172">
        <f>IF($A1172="","",$R1172&amp;"("&amp;$E1172&amp;")")</f>
        <v/>
      </c>
      <c r="V1172">
        <f>IF($A1172="","",$F1172&amp;"|"&amp;$U1172&amp;"|"&amp;$D1172)</f>
        <v/>
      </c>
      <c r="W1172">
        <f>IF($T1172="","",IF($X1172&gt;N($X1171),$X1172,""))</f>
        <v/>
      </c>
      <c r="X1172">
        <f>IF($T1172="",N($X1171),IF(MATCH($T1172,$T$6:$T$6005,0)=ROW()-5,N($X1171)+1,N($X1171)))</f>
        <v/>
      </c>
      <c r="Z1172">
        <f>IF($V1172="","",IF($AA1172&gt;N($AA1171),$AA1172,""))</f>
        <v/>
      </c>
      <c r="AA1172">
        <f>IF($V1172="",N($AA1171),IF(MATCH($V1172,$V$6:$V$6005,0)=ROW()-5,N($AA1171)+1,N($AA1171)))</f>
        <v/>
      </c>
    </row>
    <row r="1173" ht="21" customHeight="1" s="66">
      <c r="A1173" s="56" t="n"/>
      <c r="B1173" s="57" t="n"/>
      <c r="C1173" s="57" t="n"/>
      <c r="D1173" s="57" t="n"/>
      <c r="E1173" s="56" t="n"/>
      <c r="F1173" s="57" t="n"/>
      <c r="G1173" s="57" t="n"/>
      <c r="H1173" s="56" t="n"/>
      <c r="I1173" s="56" t="n"/>
      <c r="J1173" s="58" t="n"/>
      <c r="K1173" s="58" t="n"/>
      <c r="L1173" s="13">
        <f>IF(OR($A1173="",AND($J1173="",$K1173="")),"",ROUND(N($J1173)-N($K1173),2))</f>
        <v/>
      </c>
      <c r="M1173" s="13">
        <f>IF(OR($A1173="",AND($J1173="",$K1173="")),"",MIN($J1173,$K1173))</f>
        <v/>
      </c>
      <c r="Q1173">
        <f>IF($A1173="","",$D1173&amp;"("&amp;SUBSTITUTE($E1173," ","")&amp;")")</f>
        <v/>
      </c>
      <c r="R1173">
        <f>IF($A1173="","",$B1173&amp;" - "&amp;$C1173)</f>
        <v/>
      </c>
      <c r="S1173">
        <f>IF($A1173="","",$R1173&amp;"|"&amp;$Q1173)</f>
        <v/>
      </c>
      <c r="T1173">
        <f>IF($A1173="","",$S1173&amp;"|"&amp;$F1173)</f>
        <v/>
      </c>
      <c r="U1173">
        <f>IF($A1173="","",$R1173&amp;"("&amp;$E1173&amp;")")</f>
        <v/>
      </c>
      <c r="V1173">
        <f>IF($A1173="","",$F1173&amp;"|"&amp;$U1173&amp;"|"&amp;$D1173)</f>
        <v/>
      </c>
      <c r="W1173">
        <f>IF($T1173="","",IF($X1173&gt;N($X1172),$X1173,""))</f>
        <v/>
      </c>
      <c r="X1173">
        <f>IF($T1173="",N($X1172),IF(MATCH($T1173,$T$6:$T$6005,0)=ROW()-5,N($X1172)+1,N($X1172)))</f>
        <v/>
      </c>
      <c r="Z1173">
        <f>IF($V1173="","",IF($AA1173&gt;N($AA1172),$AA1173,""))</f>
        <v/>
      </c>
      <c r="AA1173">
        <f>IF($V1173="",N($AA1172),IF(MATCH($V1173,$V$6:$V$6005,0)=ROW()-5,N($AA1172)+1,N($AA1172)))</f>
        <v/>
      </c>
    </row>
    <row r="1174" ht="21" customHeight="1" s="66">
      <c r="A1174" s="56" t="n"/>
      <c r="B1174" s="57" t="n"/>
      <c r="C1174" s="57" t="n"/>
      <c r="D1174" s="57" t="n"/>
      <c r="E1174" s="56" t="n"/>
      <c r="F1174" s="57" t="n"/>
      <c r="G1174" s="57" t="n"/>
      <c r="H1174" s="56" t="n"/>
      <c r="I1174" s="56" t="n"/>
      <c r="J1174" s="58" t="n"/>
      <c r="K1174" s="58" t="n"/>
      <c r="L1174" s="13">
        <f>IF(OR($A1174="",AND($J1174="",$K1174="")),"",ROUND(N($J1174)-N($K1174),2))</f>
        <v/>
      </c>
      <c r="M1174" s="13">
        <f>IF(OR($A1174="",AND($J1174="",$K1174="")),"",MIN($J1174,$K1174))</f>
        <v/>
      </c>
      <c r="Q1174">
        <f>IF($A1174="","",$D1174&amp;"("&amp;SUBSTITUTE($E1174," ","")&amp;")")</f>
        <v/>
      </c>
      <c r="R1174">
        <f>IF($A1174="","",$B1174&amp;" - "&amp;$C1174)</f>
        <v/>
      </c>
      <c r="S1174">
        <f>IF($A1174="","",$R1174&amp;"|"&amp;$Q1174)</f>
        <v/>
      </c>
      <c r="T1174">
        <f>IF($A1174="","",$S1174&amp;"|"&amp;$F1174)</f>
        <v/>
      </c>
      <c r="U1174">
        <f>IF($A1174="","",$R1174&amp;"("&amp;$E1174&amp;")")</f>
        <v/>
      </c>
      <c r="V1174">
        <f>IF($A1174="","",$F1174&amp;"|"&amp;$U1174&amp;"|"&amp;$D1174)</f>
        <v/>
      </c>
      <c r="W1174">
        <f>IF($T1174="","",IF($X1174&gt;N($X1173),$X1174,""))</f>
        <v/>
      </c>
      <c r="X1174">
        <f>IF($T1174="",N($X1173),IF(MATCH($T1174,$T$6:$T$6005,0)=ROW()-5,N($X1173)+1,N($X1173)))</f>
        <v/>
      </c>
      <c r="Z1174">
        <f>IF($V1174="","",IF($AA1174&gt;N($AA1173),$AA1174,""))</f>
        <v/>
      </c>
      <c r="AA1174">
        <f>IF($V1174="",N($AA1173),IF(MATCH($V1174,$V$6:$V$6005,0)=ROW()-5,N($AA1173)+1,N($AA1173)))</f>
        <v/>
      </c>
    </row>
    <row r="1175" ht="21" customHeight="1" s="66">
      <c r="A1175" s="56" t="n"/>
      <c r="B1175" s="57" t="n"/>
      <c r="C1175" s="57" t="n"/>
      <c r="D1175" s="57" t="n"/>
      <c r="E1175" s="56" t="n"/>
      <c r="F1175" s="57" t="n"/>
      <c r="G1175" s="57" t="n"/>
      <c r="H1175" s="56" t="n"/>
      <c r="I1175" s="56" t="n"/>
      <c r="J1175" s="58" t="n"/>
      <c r="K1175" s="58" t="n"/>
      <c r="L1175" s="13">
        <f>IF(OR($A1175="",AND($J1175="",$K1175="")),"",ROUND(N($J1175)-N($K1175),2))</f>
        <v/>
      </c>
      <c r="M1175" s="13">
        <f>IF(OR($A1175="",AND($J1175="",$K1175="")),"",MIN($J1175,$K1175))</f>
        <v/>
      </c>
      <c r="Q1175">
        <f>IF($A1175="","",$D1175&amp;"("&amp;SUBSTITUTE($E1175," ","")&amp;")")</f>
        <v/>
      </c>
      <c r="R1175">
        <f>IF($A1175="","",$B1175&amp;" - "&amp;$C1175)</f>
        <v/>
      </c>
      <c r="S1175">
        <f>IF($A1175="","",$R1175&amp;"|"&amp;$Q1175)</f>
        <v/>
      </c>
      <c r="T1175">
        <f>IF($A1175="","",$S1175&amp;"|"&amp;$F1175)</f>
        <v/>
      </c>
      <c r="U1175">
        <f>IF($A1175="","",$R1175&amp;"("&amp;$E1175&amp;")")</f>
        <v/>
      </c>
      <c r="V1175">
        <f>IF($A1175="","",$F1175&amp;"|"&amp;$U1175&amp;"|"&amp;$D1175)</f>
        <v/>
      </c>
      <c r="W1175">
        <f>IF($T1175="","",IF($X1175&gt;N($X1174),$X1175,""))</f>
        <v/>
      </c>
      <c r="X1175">
        <f>IF($T1175="",N($X1174),IF(MATCH($T1175,$T$6:$T$6005,0)=ROW()-5,N($X1174)+1,N($X1174)))</f>
        <v/>
      </c>
      <c r="Z1175">
        <f>IF($V1175="","",IF($AA1175&gt;N($AA1174),$AA1175,""))</f>
        <v/>
      </c>
      <c r="AA1175">
        <f>IF($V1175="",N($AA1174),IF(MATCH($V1175,$V$6:$V$6005,0)=ROW()-5,N($AA1174)+1,N($AA1174)))</f>
        <v/>
      </c>
    </row>
    <row r="1176" ht="21" customHeight="1" s="66">
      <c r="A1176" s="56" t="n"/>
      <c r="B1176" s="57" t="n"/>
      <c r="C1176" s="57" t="n"/>
      <c r="D1176" s="57" t="n"/>
      <c r="E1176" s="56" t="n"/>
      <c r="F1176" s="57" t="n"/>
      <c r="G1176" s="57" t="n"/>
      <c r="H1176" s="56" t="n"/>
      <c r="I1176" s="56" t="n"/>
      <c r="J1176" s="58" t="n"/>
      <c r="K1176" s="58" t="n"/>
      <c r="L1176" s="13">
        <f>IF(OR($A1176="",AND($J1176="",$K1176="")),"",ROUND(N($J1176)-N($K1176),2))</f>
        <v/>
      </c>
      <c r="M1176" s="13">
        <f>IF(OR($A1176="",AND($J1176="",$K1176="")),"",MIN($J1176,$K1176))</f>
        <v/>
      </c>
      <c r="Q1176">
        <f>IF($A1176="","",$D1176&amp;"("&amp;SUBSTITUTE($E1176," ","")&amp;")")</f>
        <v/>
      </c>
      <c r="R1176">
        <f>IF($A1176="","",$B1176&amp;" - "&amp;$C1176)</f>
        <v/>
      </c>
      <c r="S1176">
        <f>IF($A1176="","",$R1176&amp;"|"&amp;$Q1176)</f>
        <v/>
      </c>
      <c r="T1176">
        <f>IF($A1176="","",$S1176&amp;"|"&amp;$F1176)</f>
        <v/>
      </c>
      <c r="U1176">
        <f>IF($A1176="","",$R1176&amp;"("&amp;$E1176&amp;")")</f>
        <v/>
      </c>
      <c r="V1176">
        <f>IF($A1176="","",$F1176&amp;"|"&amp;$U1176&amp;"|"&amp;$D1176)</f>
        <v/>
      </c>
      <c r="W1176">
        <f>IF($T1176="","",IF($X1176&gt;N($X1175),$X1176,""))</f>
        <v/>
      </c>
      <c r="X1176">
        <f>IF($T1176="",N($X1175),IF(MATCH($T1176,$T$6:$T$6005,0)=ROW()-5,N($X1175)+1,N($X1175)))</f>
        <v/>
      </c>
      <c r="Z1176">
        <f>IF($V1176="","",IF($AA1176&gt;N($AA1175),$AA1176,""))</f>
        <v/>
      </c>
      <c r="AA1176">
        <f>IF($V1176="",N($AA1175),IF(MATCH($V1176,$V$6:$V$6005,0)=ROW()-5,N($AA1175)+1,N($AA1175)))</f>
        <v/>
      </c>
    </row>
    <row r="1177" ht="21" customHeight="1" s="66">
      <c r="A1177" s="56" t="n"/>
      <c r="B1177" s="57" t="n"/>
      <c r="C1177" s="57" t="n"/>
      <c r="D1177" s="57" t="n"/>
      <c r="E1177" s="56" t="n"/>
      <c r="F1177" s="57" t="n"/>
      <c r="G1177" s="57" t="n"/>
      <c r="H1177" s="56" t="n"/>
      <c r="I1177" s="56" t="n"/>
      <c r="J1177" s="58" t="n"/>
      <c r="K1177" s="58" t="n"/>
      <c r="L1177" s="13">
        <f>IF(OR($A1177="",AND($J1177="",$K1177="")),"",ROUND(N($J1177)-N($K1177),2))</f>
        <v/>
      </c>
      <c r="M1177" s="13">
        <f>IF(OR($A1177="",AND($J1177="",$K1177="")),"",MIN($J1177,$K1177))</f>
        <v/>
      </c>
      <c r="Q1177">
        <f>IF($A1177="","",$D1177&amp;"("&amp;SUBSTITUTE($E1177," ","")&amp;")")</f>
        <v/>
      </c>
      <c r="R1177">
        <f>IF($A1177="","",$B1177&amp;" - "&amp;$C1177)</f>
        <v/>
      </c>
      <c r="S1177">
        <f>IF($A1177="","",$R1177&amp;"|"&amp;$Q1177)</f>
        <v/>
      </c>
      <c r="T1177">
        <f>IF($A1177="","",$S1177&amp;"|"&amp;$F1177)</f>
        <v/>
      </c>
      <c r="U1177">
        <f>IF($A1177="","",$R1177&amp;"("&amp;$E1177&amp;")")</f>
        <v/>
      </c>
      <c r="V1177">
        <f>IF($A1177="","",$F1177&amp;"|"&amp;$U1177&amp;"|"&amp;$D1177)</f>
        <v/>
      </c>
      <c r="W1177">
        <f>IF($T1177="","",IF($X1177&gt;N($X1176),$X1177,""))</f>
        <v/>
      </c>
      <c r="X1177">
        <f>IF($T1177="",N($X1176),IF(MATCH($T1177,$T$6:$T$6005,0)=ROW()-5,N($X1176)+1,N($X1176)))</f>
        <v/>
      </c>
      <c r="Z1177">
        <f>IF($V1177="","",IF($AA1177&gt;N($AA1176),$AA1177,""))</f>
        <v/>
      </c>
      <c r="AA1177">
        <f>IF($V1177="",N($AA1176),IF(MATCH($V1177,$V$6:$V$6005,0)=ROW()-5,N($AA1176)+1,N($AA1176)))</f>
        <v/>
      </c>
    </row>
    <row r="1178" ht="21" customHeight="1" s="66">
      <c r="A1178" s="56" t="n"/>
      <c r="B1178" s="57" t="n"/>
      <c r="C1178" s="57" t="n"/>
      <c r="D1178" s="57" t="n"/>
      <c r="E1178" s="56" t="n"/>
      <c r="F1178" s="57" t="n"/>
      <c r="G1178" s="57" t="n"/>
      <c r="H1178" s="56" t="n"/>
      <c r="I1178" s="56" t="n"/>
      <c r="J1178" s="58" t="n"/>
      <c r="K1178" s="58" t="n"/>
      <c r="L1178" s="13">
        <f>IF(OR($A1178="",AND($J1178="",$K1178="")),"",ROUND(N($J1178)-N($K1178),2))</f>
        <v/>
      </c>
      <c r="M1178" s="13">
        <f>IF(OR($A1178="",AND($J1178="",$K1178="")),"",MIN($J1178,$K1178))</f>
        <v/>
      </c>
      <c r="Q1178">
        <f>IF($A1178="","",$D1178&amp;"("&amp;SUBSTITUTE($E1178," ","")&amp;")")</f>
        <v/>
      </c>
      <c r="R1178">
        <f>IF($A1178="","",$B1178&amp;" - "&amp;$C1178)</f>
        <v/>
      </c>
      <c r="S1178">
        <f>IF($A1178="","",$R1178&amp;"|"&amp;$Q1178)</f>
        <v/>
      </c>
      <c r="T1178">
        <f>IF($A1178="","",$S1178&amp;"|"&amp;$F1178)</f>
        <v/>
      </c>
      <c r="U1178">
        <f>IF($A1178="","",$R1178&amp;"("&amp;$E1178&amp;")")</f>
        <v/>
      </c>
      <c r="V1178">
        <f>IF($A1178="","",$F1178&amp;"|"&amp;$U1178&amp;"|"&amp;$D1178)</f>
        <v/>
      </c>
      <c r="W1178">
        <f>IF($T1178="","",IF($X1178&gt;N($X1177),$X1178,""))</f>
        <v/>
      </c>
      <c r="X1178">
        <f>IF($T1178="",N($X1177),IF(MATCH($T1178,$T$6:$T$6005,0)=ROW()-5,N($X1177)+1,N($X1177)))</f>
        <v/>
      </c>
      <c r="Z1178">
        <f>IF($V1178="","",IF($AA1178&gt;N($AA1177),$AA1178,""))</f>
        <v/>
      </c>
      <c r="AA1178">
        <f>IF($V1178="",N($AA1177),IF(MATCH($V1178,$V$6:$V$6005,0)=ROW()-5,N($AA1177)+1,N($AA1177)))</f>
        <v/>
      </c>
    </row>
    <row r="1179" ht="21" customHeight="1" s="66">
      <c r="A1179" s="56" t="n"/>
      <c r="B1179" s="57" t="n"/>
      <c r="C1179" s="57" t="n"/>
      <c r="D1179" s="57" t="n"/>
      <c r="E1179" s="56" t="n"/>
      <c r="F1179" s="57" t="n"/>
      <c r="G1179" s="57" t="n"/>
      <c r="H1179" s="56" t="n"/>
      <c r="I1179" s="56" t="n"/>
      <c r="J1179" s="58" t="n"/>
      <c r="K1179" s="58" t="n"/>
      <c r="L1179" s="13">
        <f>IF(OR($A1179="",AND($J1179="",$K1179="")),"",ROUND(N($J1179)-N($K1179),2))</f>
        <v/>
      </c>
      <c r="M1179" s="13">
        <f>IF(OR($A1179="",AND($J1179="",$K1179="")),"",MIN($J1179,$K1179))</f>
        <v/>
      </c>
      <c r="Q1179">
        <f>IF($A1179="","",$D1179&amp;"("&amp;SUBSTITUTE($E1179," ","")&amp;")")</f>
        <v/>
      </c>
      <c r="R1179">
        <f>IF($A1179="","",$B1179&amp;" - "&amp;$C1179)</f>
        <v/>
      </c>
      <c r="S1179">
        <f>IF($A1179="","",$R1179&amp;"|"&amp;$Q1179)</f>
        <v/>
      </c>
      <c r="T1179">
        <f>IF($A1179="","",$S1179&amp;"|"&amp;$F1179)</f>
        <v/>
      </c>
      <c r="U1179">
        <f>IF($A1179="","",$R1179&amp;"("&amp;$E1179&amp;")")</f>
        <v/>
      </c>
      <c r="V1179">
        <f>IF($A1179="","",$F1179&amp;"|"&amp;$U1179&amp;"|"&amp;$D1179)</f>
        <v/>
      </c>
      <c r="W1179">
        <f>IF($T1179="","",IF($X1179&gt;N($X1178),$X1179,""))</f>
        <v/>
      </c>
      <c r="X1179">
        <f>IF($T1179="",N($X1178),IF(MATCH($T1179,$T$6:$T$6005,0)=ROW()-5,N($X1178)+1,N($X1178)))</f>
        <v/>
      </c>
      <c r="Z1179">
        <f>IF($V1179="","",IF($AA1179&gt;N($AA1178),$AA1179,""))</f>
        <v/>
      </c>
      <c r="AA1179">
        <f>IF($V1179="",N($AA1178),IF(MATCH($V1179,$V$6:$V$6005,0)=ROW()-5,N($AA1178)+1,N($AA1178)))</f>
        <v/>
      </c>
    </row>
    <row r="1180" ht="21" customHeight="1" s="66">
      <c r="A1180" s="56" t="n"/>
      <c r="B1180" s="57" t="n"/>
      <c r="C1180" s="57" t="n"/>
      <c r="D1180" s="57" t="n"/>
      <c r="E1180" s="56" t="n"/>
      <c r="F1180" s="57" t="n"/>
      <c r="G1180" s="57" t="n"/>
      <c r="H1180" s="56" t="n"/>
      <c r="I1180" s="56" t="n"/>
      <c r="J1180" s="58" t="n"/>
      <c r="K1180" s="58" t="n"/>
      <c r="L1180" s="13">
        <f>IF(OR($A1180="",AND($J1180="",$K1180="")),"",ROUND(N($J1180)-N($K1180),2))</f>
        <v/>
      </c>
      <c r="M1180" s="13">
        <f>IF(OR($A1180="",AND($J1180="",$K1180="")),"",MIN($J1180,$K1180))</f>
        <v/>
      </c>
      <c r="Q1180">
        <f>IF($A1180="","",$D1180&amp;"("&amp;SUBSTITUTE($E1180," ","")&amp;")")</f>
        <v/>
      </c>
      <c r="R1180">
        <f>IF($A1180="","",$B1180&amp;" - "&amp;$C1180)</f>
        <v/>
      </c>
      <c r="S1180">
        <f>IF($A1180="","",$R1180&amp;"|"&amp;$Q1180)</f>
        <v/>
      </c>
      <c r="T1180">
        <f>IF($A1180="","",$S1180&amp;"|"&amp;$F1180)</f>
        <v/>
      </c>
      <c r="U1180">
        <f>IF($A1180="","",$R1180&amp;"("&amp;$E1180&amp;")")</f>
        <v/>
      </c>
      <c r="V1180">
        <f>IF($A1180="","",$F1180&amp;"|"&amp;$U1180&amp;"|"&amp;$D1180)</f>
        <v/>
      </c>
      <c r="W1180">
        <f>IF($T1180="","",IF($X1180&gt;N($X1179),$X1180,""))</f>
        <v/>
      </c>
      <c r="X1180">
        <f>IF($T1180="",N($X1179),IF(MATCH($T1180,$T$6:$T$6005,0)=ROW()-5,N($X1179)+1,N($X1179)))</f>
        <v/>
      </c>
      <c r="Z1180">
        <f>IF($V1180="","",IF($AA1180&gt;N($AA1179),$AA1180,""))</f>
        <v/>
      </c>
      <c r="AA1180">
        <f>IF($V1180="",N($AA1179),IF(MATCH($V1180,$V$6:$V$6005,0)=ROW()-5,N($AA1179)+1,N($AA1179)))</f>
        <v/>
      </c>
    </row>
    <row r="1181" ht="21" customHeight="1" s="66">
      <c r="A1181" s="56" t="n"/>
      <c r="B1181" s="57" t="n"/>
      <c r="C1181" s="57" t="n"/>
      <c r="D1181" s="57" t="n"/>
      <c r="E1181" s="56" t="n"/>
      <c r="F1181" s="57" t="n"/>
      <c r="G1181" s="57" t="n"/>
      <c r="H1181" s="56" t="n"/>
      <c r="I1181" s="56" t="n"/>
      <c r="J1181" s="58" t="n"/>
      <c r="K1181" s="58" t="n"/>
      <c r="L1181" s="13">
        <f>IF(OR($A1181="",AND($J1181="",$K1181="")),"",ROUND(N($J1181)-N($K1181),2))</f>
        <v/>
      </c>
      <c r="M1181" s="13">
        <f>IF(OR($A1181="",AND($J1181="",$K1181="")),"",MIN($J1181,$K1181))</f>
        <v/>
      </c>
      <c r="Q1181">
        <f>IF($A1181="","",$D1181&amp;"("&amp;SUBSTITUTE($E1181," ","")&amp;")")</f>
        <v/>
      </c>
      <c r="R1181">
        <f>IF($A1181="","",$B1181&amp;" - "&amp;$C1181)</f>
        <v/>
      </c>
      <c r="S1181">
        <f>IF($A1181="","",$R1181&amp;"|"&amp;$Q1181)</f>
        <v/>
      </c>
      <c r="T1181">
        <f>IF($A1181="","",$S1181&amp;"|"&amp;$F1181)</f>
        <v/>
      </c>
      <c r="U1181">
        <f>IF($A1181="","",$R1181&amp;"("&amp;$E1181&amp;")")</f>
        <v/>
      </c>
      <c r="V1181">
        <f>IF($A1181="","",$F1181&amp;"|"&amp;$U1181&amp;"|"&amp;$D1181)</f>
        <v/>
      </c>
      <c r="W1181">
        <f>IF($T1181="","",IF($X1181&gt;N($X1180),$X1181,""))</f>
        <v/>
      </c>
      <c r="X1181">
        <f>IF($T1181="",N($X1180),IF(MATCH($T1181,$T$6:$T$6005,0)=ROW()-5,N($X1180)+1,N($X1180)))</f>
        <v/>
      </c>
      <c r="Z1181">
        <f>IF($V1181="","",IF($AA1181&gt;N($AA1180),$AA1181,""))</f>
        <v/>
      </c>
      <c r="AA1181">
        <f>IF($V1181="",N($AA1180),IF(MATCH($V1181,$V$6:$V$6005,0)=ROW()-5,N($AA1180)+1,N($AA1180)))</f>
        <v/>
      </c>
    </row>
    <row r="1182" ht="21" customHeight="1" s="66">
      <c r="A1182" s="56" t="n"/>
      <c r="B1182" s="57" t="n"/>
      <c r="C1182" s="57" t="n"/>
      <c r="D1182" s="57" t="n"/>
      <c r="E1182" s="56" t="n"/>
      <c r="F1182" s="57" t="n"/>
      <c r="G1182" s="57" t="n"/>
      <c r="H1182" s="56" t="n"/>
      <c r="I1182" s="56" t="n"/>
      <c r="J1182" s="58" t="n"/>
      <c r="K1182" s="58" t="n"/>
      <c r="L1182" s="13">
        <f>IF(OR($A1182="",AND($J1182="",$K1182="")),"",ROUND(N($J1182)-N($K1182),2))</f>
        <v/>
      </c>
      <c r="M1182" s="13">
        <f>IF(OR($A1182="",AND($J1182="",$K1182="")),"",MIN($J1182,$K1182))</f>
        <v/>
      </c>
      <c r="Q1182">
        <f>IF($A1182="","",$D1182&amp;"("&amp;SUBSTITUTE($E1182," ","")&amp;")")</f>
        <v/>
      </c>
      <c r="R1182">
        <f>IF($A1182="","",$B1182&amp;" - "&amp;$C1182)</f>
        <v/>
      </c>
      <c r="S1182">
        <f>IF($A1182="","",$R1182&amp;"|"&amp;$Q1182)</f>
        <v/>
      </c>
      <c r="T1182">
        <f>IF($A1182="","",$S1182&amp;"|"&amp;$F1182)</f>
        <v/>
      </c>
      <c r="U1182">
        <f>IF($A1182="","",$R1182&amp;"("&amp;$E1182&amp;")")</f>
        <v/>
      </c>
      <c r="V1182">
        <f>IF($A1182="","",$F1182&amp;"|"&amp;$U1182&amp;"|"&amp;$D1182)</f>
        <v/>
      </c>
      <c r="W1182">
        <f>IF($T1182="","",IF($X1182&gt;N($X1181),$X1182,""))</f>
        <v/>
      </c>
      <c r="X1182">
        <f>IF($T1182="",N($X1181),IF(MATCH($T1182,$T$6:$T$6005,0)=ROW()-5,N($X1181)+1,N($X1181)))</f>
        <v/>
      </c>
      <c r="Z1182">
        <f>IF($V1182="","",IF($AA1182&gt;N($AA1181),$AA1182,""))</f>
        <v/>
      </c>
      <c r="AA1182">
        <f>IF($V1182="",N($AA1181),IF(MATCH($V1182,$V$6:$V$6005,0)=ROW()-5,N($AA1181)+1,N($AA1181)))</f>
        <v/>
      </c>
    </row>
    <row r="1183" ht="21" customHeight="1" s="66">
      <c r="A1183" s="56" t="n"/>
      <c r="B1183" s="57" t="n"/>
      <c r="C1183" s="57" t="n"/>
      <c r="D1183" s="57" t="n"/>
      <c r="E1183" s="56" t="n"/>
      <c r="F1183" s="57" t="n"/>
      <c r="G1183" s="57" t="n"/>
      <c r="H1183" s="56" t="n"/>
      <c r="I1183" s="56" t="n"/>
      <c r="J1183" s="58" t="n"/>
      <c r="K1183" s="58" t="n"/>
      <c r="L1183" s="13">
        <f>IF(OR($A1183="",AND($J1183="",$K1183="")),"",ROUND(N($J1183)-N($K1183),2))</f>
        <v/>
      </c>
      <c r="M1183" s="13">
        <f>IF(OR($A1183="",AND($J1183="",$K1183="")),"",MIN($J1183,$K1183))</f>
        <v/>
      </c>
      <c r="Q1183">
        <f>IF($A1183="","",$D1183&amp;"("&amp;SUBSTITUTE($E1183," ","")&amp;")")</f>
        <v/>
      </c>
      <c r="R1183">
        <f>IF($A1183="","",$B1183&amp;" - "&amp;$C1183)</f>
        <v/>
      </c>
      <c r="S1183">
        <f>IF($A1183="","",$R1183&amp;"|"&amp;$Q1183)</f>
        <v/>
      </c>
      <c r="T1183">
        <f>IF($A1183="","",$S1183&amp;"|"&amp;$F1183)</f>
        <v/>
      </c>
      <c r="U1183">
        <f>IF($A1183="","",$R1183&amp;"("&amp;$E1183&amp;")")</f>
        <v/>
      </c>
      <c r="V1183">
        <f>IF($A1183="","",$F1183&amp;"|"&amp;$U1183&amp;"|"&amp;$D1183)</f>
        <v/>
      </c>
      <c r="W1183">
        <f>IF($T1183="","",IF($X1183&gt;N($X1182),$X1183,""))</f>
        <v/>
      </c>
      <c r="X1183">
        <f>IF($T1183="",N($X1182),IF(MATCH($T1183,$T$6:$T$6005,0)=ROW()-5,N($X1182)+1,N($X1182)))</f>
        <v/>
      </c>
      <c r="Z1183">
        <f>IF($V1183="","",IF($AA1183&gt;N($AA1182),$AA1183,""))</f>
        <v/>
      </c>
      <c r="AA1183">
        <f>IF($V1183="",N($AA1182),IF(MATCH($V1183,$V$6:$V$6005,0)=ROW()-5,N($AA1182)+1,N($AA1182)))</f>
        <v/>
      </c>
    </row>
    <row r="1184" ht="21" customHeight="1" s="66">
      <c r="A1184" s="56" t="n"/>
      <c r="B1184" s="57" t="n"/>
      <c r="C1184" s="57" t="n"/>
      <c r="D1184" s="57" t="n"/>
      <c r="E1184" s="56" t="n"/>
      <c r="F1184" s="57" t="n"/>
      <c r="G1184" s="57" t="n"/>
      <c r="H1184" s="56" t="n"/>
      <c r="I1184" s="56" t="n"/>
      <c r="J1184" s="58" t="n"/>
      <c r="K1184" s="58" t="n"/>
      <c r="L1184" s="13">
        <f>IF(OR($A1184="",AND($J1184="",$K1184="")),"",ROUND(N($J1184)-N($K1184),2))</f>
        <v/>
      </c>
      <c r="M1184" s="13">
        <f>IF(OR($A1184="",AND($J1184="",$K1184="")),"",MIN($J1184,$K1184))</f>
        <v/>
      </c>
      <c r="Q1184">
        <f>IF($A1184="","",$D1184&amp;"("&amp;SUBSTITUTE($E1184," ","")&amp;")")</f>
        <v/>
      </c>
      <c r="R1184">
        <f>IF($A1184="","",$B1184&amp;" - "&amp;$C1184)</f>
        <v/>
      </c>
      <c r="S1184">
        <f>IF($A1184="","",$R1184&amp;"|"&amp;$Q1184)</f>
        <v/>
      </c>
      <c r="T1184">
        <f>IF($A1184="","",$S1184&amp;"|"&amp;$F1184)</f>
        <v/>
      </c>
      <c r="U1184">
        <f>IF($A1184="","",$R1184&amp;"("&amp;$E1184&amp;")")</f>
        <v/>
      </c>
      <c r="V1184">
        <f>IF($A1184="","",$F1184&amp;"|"&amp;$U1184&amp;"|"&amp;$D1184)</f>
        <v/>
      </c>
      <c r="W1184">
        <f>IF($T1184="","",IF($X1184&gt;N($X1183),$X1184,""))</f>
        <v/>
      </c>
      <c r="X1184">
        <f>IF($T1184="",N($X1183),IF(MATCH($T1184,$T$6:$T$6005,0)=ROW()-5,N($X1183)+1,N($X1183)))</f>
        <v/>
      </c>
      <c r="Z1184">
        <f>IF($V1184="","",IF($AA1184&gt;N($AA1183),$AA1184,""))</f>
        <v/>
      </c>
      <c r="AA1184">
        <f>IF($V1184="",N($AA1183),IF(MATCH($V1184,$V$6:$V$6005,0)=ROW()-5,N($AA1183)+1,N($AA1183)))</f>
        <v/>
      </c>
    </row>
    <row r="1185" ht="21" customHeight="1" s="66">
      <c r="A1185" s="56" t="n"/>
      <c r="B1185" s="57" t="n"/>
      <c r="C1185" s="57" t="n"/>
      <c r="D1185" s="57" t="n"/>
      <c r="E1185" s="56" t="n"/>
      <c r="F1185" s="57" t="n"/>
      <c r="G1185" s="57" t="n"/>
      <c r="H1185" s="56" t="n"/>
      <c r="I1185" s="56" t="n"/>
      <c r="J1185" s="58" t="n"/>
      <c r="K1185" s="58" t="n"/>
      <c r="L1185" s="13">
        <f>IF(OR($A1185="",AND($J1185="",$K1185="")),"",ROUND(N($J1185)-N($K1185),2))</f>
        <v/>
      </c>
      <c r="M1185" s="13">
        <f>IF(OR($A1185="",AND($J1185="",$K1185="")),"",MIN($J1185,$K1185))</f>
        <v/>
      </c>
      <c r="Q1185">
        <f>IF($A1185="","",$D1185&amp;"("&amp;SUBSTITUTE($E1185," ","")&amp;")")</f>
        <v/>
      </c>
      <c r="R1185">
        <f>IF($A1185="","",$B1185&amp;" - "&amp;$C1185)</f>
        <v/>
      </c>
      <c r="S1185">
        <f>IF($A1185="","",$R1185&amp;"|"&amp;$Q1185)</f>
        <v/>
      </c>
      <c r="T1185">
        <f>IF($A1185="","",$S1185&amp;"|"&amp;$F1185)</f>
        <v/>
      </c>
      <c r="U1185">
        <f>IF($A1185="","",$R1185&amp;"("&amp;$E1185&amp;")")</f>
        <v/>
      </c>
      <c r="V1185">
        <f>IF($A1185="","",$F1185&amp;"|"&amp;$U1185&amp;"|"&amp;$D1185)</f>
        <v/>
      </c>
      <c r="W1185">
        <f>IF($T1185="","",IF($X1185&gt;N($X1184),$X1185,""))</f>
        <v/>
      </c>
      <c r="X1185">
        <f>IF($T1185="",N($X1184),IF(MATCH($T1185,$T$6:$T$6005,0)=ROW()-5,N($X1184)+1,N($X1184)))</f>
        <v/>
      </c>
      <c r="Z1185">
        <f>IF($V1185="","",IF($AA1185&gt;N($AA1184),$AA1185,""))</f>
        <v/>
      </c>
      <c r="AA1185">
        <f>IF($V1185="",N($AA1184),IF(MATCH($V1185,$V$6:$V$6005,0)=ROW()-5,N($AA1184)+1,N($AA1184)))</f>
        <v/>
      </c>
    </row>
    <row r="1186" ht="21" customHeight="1" s="66">
      <c r="A1186" s="56" t="n"/>
      <c r="B1186" s="57" t="n"/>
      <c r="C1186" s="57" t="n"/>
      <c r="D1186" s="57" t="n"/>
      <c r="E1186" s="56" t="n"/>
      <c r="F1186" s="57" t="n"/>
      <c r="G1186" s="57" t="n"/>
      <c r="H1186" s="56" t="n"/>
      <c r="I1186" s="56" t="n"/>
      <c r="J1186" s="58" t="n"/>
      <c r="K1186" s="58" t="n"/>
      <c r="L1186" s="13">
        <f>IF(OR($A1186="",AND($J1186="",$K1186="")),"",ROUND(N($J1186)-N($K1186),2))</f>
        <v/>
      </c>
      <c r="M1186" s="13">
        <f>IF(OR($A1186="",AND($J1186="",$K1186="")),"",MIN($J1186,$K1186))</f>
        <v/>
      </c>
      <c r="Q1186">
        <f>IF($A1186="","",$D1186&amp;"("&amp;SUBSTITUTE($E1186," ","")&amp;")")</f>
        <v/>
      </c>
      <c r="R1186">
        <f>IF($A1186="","",$B1186&amp;" - "&amp;$C1186)</f>
        <v/>
      </c>
      <c r="S1186">
        <f>IF($A1186="","",$R1186&amp;"|"&amp;$Q1186)</f>
        <v/>
      </c>
      <c r="T1186">
        <f>IF($A1186="","",$S1186&amp;"|"&amp;$F1186)</f>
        <v/>
      </c>
      <c r="U1186">
        <f>IF($A1186="","",$R1186&amp;"("&amp;$E1186&amp;")")</f>
        <v/>
      </c>
      <c r="V1186">
        <f>IF($A1186="","",$F1186&amp;"|"&amp;$U1186&amp;"|"&amp;$D1186)</f>
        <v/>
      </c>
      <c r="W1186">
        <f>IF($T1186="","",IF($X1186&gt;N($X1185),$X1186,""))</f>
        <v/>
      </c>
      <c r="X1186">
        <f>IF($T1186="",N($X1185),IF(MATCH($T1186,$T$6:$T$6005,0)=ROW()-5,N($X1185)+1,N($X1185)))</f>
        <v/>
      </c>
      <c r="Z1186">
        <f>IF($V1186="","",IF($AA1186&gt;N($AA1185),$AA1186,""))</f>
        <v/>
      </c>
      <c r="AA1186">
        <f>IF($V1186="",N($AA1185),IF(MATCH($V1186,$V$6:$V$6005,0)=ROW()-5,N($AA1185)+1,N($AA1185)))</f>
        <v/>
      </c>
    </row>
    <row r="1187" ht="21" customHeight="1" s="66">
      <c r="A1187" s="56" t="n"/>
      <c r="B1187" s="57" t="n"/>
      <c r="C1187" s="57" t="n"/>
      <c r="D1187" s="57" t="n"/>
      <c r="E1187" s="56" t="n"/>
      <c r="F1187" s="57" t="n"/>
      <c r="G1187" s="57" t="n"/>
      <c r="H1187" s="56" t="n"/>
      <c r="I1187" s="56" t="n"/>
      <c r="J1187" s="58" t="n"/>
      <c r="K1187" s="58" t="n"/>
      <c r="L1187" s="13">
        <f>IF(OR($A1187="",AND($J1187="",$K1187="")),"",ROUND(N($J1187)-N($K1187),2))</f>
        <v/>
      </c>
      <c r="M1187" s="13">
        <f>IF(OR($A1187="",AND($J1187="",$K1187="")),"",MIN($J1187,$K1187))</f>
        <v/>
      </c>
      <c r="Q1187">
        <f>IF($A1187="","",$D1187&amp;"("&amp;SUBSTITUTE($E1187," ","")&amp;")")</f>
        <v/>
      </c>
      <c r="R1187">
        <f>IF($A1187="","",$B1187&amp;" - "&amp;$C1187)</f>
        <v/>
      </c>
      <c r="S1187">
        <f>IF($A1187="","",$R1187&amp;"|"&amp;$Q1187)</f>
        <v/>
      </c>
      <c r="T1187">
        <f>IF($A1187="","",$S1187&amp;"|"&amp;$F1187)</f>
        <v/>
      </c>
      <c r="U1187">
        <f>IF($A1187="","",$R1187&amp;"("&amp;$E1187&amp;")")</f>
        <v/>
      </c>
      <c r="V1187">
        <f>IF($A1187="","",$F1187&amp;"|"&amp;$U1187&amp;"|"&amp;$D1187)</f>
        <v/>
      </c>
      <c r="W1187">
        <f>IF($T1187="","",IF($X1187&gt;N($X1186),$X1187,""))</f>
        <v/>
      </c>
      <c r="X1187">
        <f>IF($T1187="",N($X1186),IF(MATCH($T1187,$T$6:$T$6005,0)=ROW()-5,N($X1186)+1,N($X1186)))</f>
        <v/>
      </c>
      <c r="Z1187">
        <f>IF($V1187="","",IF($AA1187&gt;N($AA1186),$AA1187,""))</f>
        <v/>
      </c>
      <c r="AA1187">
        <f>IF($V1187="",N($AA1186),IF(MATCH($V1187,$V$6:$V$6005,0)=ROW()-5,N($AA1186)+1,N($AA1186)))</f>
        <v/>
      </c>
    </row>
    <row r="1188" ht="21" customHeight="1" s="66">
      <c r="A1188" s="56" t="n"/>
      <c r="B1188" s="57" t="n"/>
      <c r="C1188" s="57" t="n"/>
      <c r="D1188" s="57" t="n"/>
      <c r="E1188" s="56" t="n"/>
      <c r="F1188" s="57" t="n"/>
      <c r="G1188" s="57" t="n"/>
      <c r="H1188" s="56" t="n"/>
      <c r="I1188" s="56" t="n"/>
      <c r="J1188" s="58" t="n"/>
      <c r="K1188" s="58" t="n"/>
      <c r="L1188" s="13">
        <f>IF(OR($A1188="",AND($J1188="",$K1188="")),"",ROUND(N($J1188)-N($K1188),2))</f>
        <v/>
      </c>
      <c r="M1188" s="13">
        <f>IF(OR($A1188="",AND($J1188="",$K1188="")),"",MIN($J1188,$K1188))</f>
        <v/>
      </c>
      <c r="Q1188">
        <f>IF($A1188="","",$D1188&amp;"("&amp;SUBSTITUTE($E1188," ","")&amp;")")</f>
        <v/>
      </c>
      <c r="R1188">
        <f>IF($A1188="","",$B1188&amp;" - "&amp;$C1188)</f>
        <v/>
      </c>
      <c r="S1188">
        <f>IF($A1188="","",$R1188&amp;"|"&amp;$Q1188)</f>
        <v/>
      </c>
      <c r="T1188">
        <f>IF($A1188="","",$S1188&amp;"|"&amp;$F1188)</f>
        <v/>
      </c>
      <c r="U1188">
        <f>IF($A1188="","",$R1188&amp;"("&amp;$E1188&amp;")")</f>
        <v/>
      </c>
      <c r="V1188">
        <f>IF($A1188="","",$F1188&amp;"|"&amp;$U1188&amp;"|"&amp;$D1188)</f>
        <v/>
      </c>
      <c r="W1188">
        <f>IF($T1188="","",IF($X1188&gt;N($X1187),$X1188,""))</f>
        <v/>
      </c>
      <c r="X1188">
        <f>IF($T1188="",N($X1187),IF(MATCH($T1188,$T$6:$T$6005,0)=ROW()-5,N($X1187)+1,N($X1187)))</f>
        <v/>
      </c>
      <c r="Z1188">
        <f>IF($V1188="","",IF($AA1188&gt;N($AA1187),$AA1188,""))</f>
        <v/>
      </c>
      <c r="AA1188">
        <f>IF($V1188="",N($AA1187),IF(MATCH($V1188,$V$6:$V$6005,0)=ROW()-5,N($AA1187)+1,N($AA1187)))</f>
        <v/>
      </c>
    </row>
    <row r="1189" ht="21" customHeight="1" s="66">
      <c r="A1189" s="56" t="n"/>
      <c r="B1189" s="57" t="n"/>
      <c r="C1189" s="57" t="n"/>
      <c r="D1189" s="57" t="n"/>
      <c r="E1189" s="56" t="n"/>
      <c r="F1189" s="57" t="n"/>
      <c r="G1189" s="57" t="n"/>
      <c r="H1189" s="56" t="n"/>
      <c r="I1189" s="56" t="n"/>
      <c r="J1189" s="58" t="n"/>
      <c r="K1189" s="58" t="n"/>
      <c r="L1189" s="13">
        <f>IF(OR($A1189="",AND($J1189="",$K1189="")),"",ROUND(N($J1189)-N($K1189),2))</f>
        <v/>
      </c>
      <c r="M1189" s="13">
        <f>IF(OR($A1189="",AND($J1189="",$K1189="")),"",MIN($J1189,$K1189))</f>
        <v/>
      </c>
      <c r="Q1189">
        <f>IF($A1189="","",$D1189&amp;"("&amp;SUBSTITUTE($E1189," ","")&amp;")")</f>
        <v/>
      </c>
      <c r="R1189">
        <f>IF($A1189="","",$B1189&amp;" - "&amp;$C1189)</f>
        <v/>
      </c>
      <c r="S1189">
        <f>IF($A1189="","",$R1189&amp;"|"&amp;$Q1189)</f>
        <v/>
      </c>
      <c r="T1189">
        <f>IF($A1189="","",$S1189&amp;"|"&amp;$F1189)</f>
        <v/>
      </c>
      <c r="U1189">
        <f>IF($A1189="","",$R1189&amp;"("&amp;$E1189&amp;")")</f>
        <v/>
      </c>
      <c r="V1189">
        <f>IF($A1189="","",$F1189&amp;"|"&amp;$U1189&amp;"|"&amp;$D1189)</f>
        <v/>
      </c>
      <c r="W1189">
        <f>IF($T1189="","",IF($X1189&gt;N($X1188),$X1189,""))</f>
        <v/>
      </c>
      <c r="X1189">
        <f>IF($T1189="",N($X1188),IF(MATCH($T1189,$T$6:$T$6005,0)=ROW()-5,N($X1188)+1,N($X1188)))</f>
        <v/>
      </c>
      <c r="Z1189">
        <f>IF($V1189="","",IF($AA1189&gt;N($AA1188),$AA1189,""))</f>
        <v/>
      </c>
      <c r="AA1189">
        <f>IF($V1189="",N($AA1188),IF(MATCH($V1189,$V$6:$V$6005,0)=ROW()-5,N($AA1188)+1,N($AA1188)))</f>
        <v/>
      </c>
    </row>
    <row r="1190" ht="21" customHeight="1" s="66">
      <c r="A1190" s="56" t="n"/>
      <c r="B1190" s="57" t="n"/>
      <c r="C1190" s="57" t="n"/>
      <c r="D1190" s="57" t="n"/>
      <c r="E1190" s="56" t="n"/>
      <c r="F1190" s="57" t="n"/>
      <c r="G1190" s="57" t="n"/>
      <c r="H1190" s="56" t="n"/>
      <c r="I1190" s="56" t="n"/>
      <c r="J1190" s="58" t="n"/>
      <c r="K1190" s="58" t="n"/>
      <c r="L1190" s="13">
        <f>IF(OR($A1190="",AND($J1190="",$K1190="")),"",ROUND(N($J1190)-N($K1190),2))</f>
        <v/>
      </c>
      <c r="M1190" s="13">
        <f>IF(OR($A1190="",AND($J1190="",$K1190="")),"",MIN($J1190,$K1190))</f>
        <v/>
      </c>
      <c r="Q1190">
        <f>IF($A1190="","",$D1190&amp;"("&amp;SUBSTITUTE($E1190," ","")&amp;")")</f>
        <v/>
      </c>
      <c r="R1190">
        <f>IF($A1190="","",$B1190&amp;" - "&amp;$C1190)</f>
        <v/>
      </c>
      <c r="S1190">
        <f>IF($A1190="","",$R1190&amp;"|"&amp;$Q1190)</f>
        <v/>
      </c>
      <c r="T1190">
        <f>IF($A1190="","",$S1190&amp;"|"&amp;$F1190)</f>
        <v/>
      </c>
      <c r="U1190">
        <f>IF($A1190="","",$R1190&amp;"("&amp;$E1190&amp;")")</f>
        <v/>
      </c>
      <c r="V1190">
        <f>IF($A1190="","",$F1190&amp;"|"&amp;$U1190&amp;"|"&amp;$D1190)</f>
        <v/>
      </c>
      <c r="W1190">
        <f>IF($T1190="","",IF($X1190&gt;N($X1189),$X1190,""))</f>
        <v/>
      </c>
      <c r="X1190">
        <f>IF($T1190="",N($X1189),IF(MATCH($T1190,$T$6:$T$6005,0)=ROW()-5,N($X1189)+1,N($X1189)))</f>
        <v/>
      </c>
      <c r="Z1190">
        <f>IF($V1190="","",IF($AA1190&gt;N($AA1189),$AA1190,""))</f>
        <v/>
      </c>
      <c r="AA1190">
        <f>IF($V1190="",N($AA1189),IF(MATCH($V1190,$V$6:$V$6005,0)=ROW()-5,N($AA1189)+1,N($AA1189)))</f>
        <v/>
      </c>
    </row>
    <row r="1191" ht="21" customHeight="1" s="66">
      <c r="A1191" s="56" t="n"/>
      <c r="B1191" s="57" t="n"/>
      <c r="C1191" s="57" t="n"/>
      <c r="D1191" s="57" t="n"/>
      <c r="E1191" s="56" t="n"/>
      <c r="F1191" s="57" t="n"/>
      <c r="G1191" s="57" t="n"/>
      <c r="H1191" s="56" t="n"/>
      <c r="I1191" s="56" t="n"/>
      <c r="J1191" s="58" t="n"/>
      <c r="K1191" s="58" t="n"/>
      <c r="L1191" s="13">
        <f>IF(OR($A1191="",AND($J1191="",$K1191="")),"",ROUND(N($J1191)-N($K1191),2))</f>
        <v/>
      </c>
      <c r="M1191" s="13">
        <f>IF(OR($A1191="",AND($J1191="",$K1191="")),"",MIN($J1191,$K1191))</f>
        <v/>
      </c>
      <c r="Q1191">
        <f>IF($A1191="","",$D1191&amp;"("&amp;SUBSTITUTE($E1191," ","")&amp;")")</f>
        <v/>
      </c>
      <c r="R1191">
        <f>IF($A1191="","",$B1191&amp;" - "&amp;$C1191)</f>
        <v/>
      </c>
      <c r="S1191">
        <f>IF($A1191="","",$R1191&amp;"|"&amp;$Q1191)</f>
        <v/>
      </c>
      <c r="T1191">
        <f>IF($A1191="","",$S1191&amp;"|"&amp;$F1191)</f>
        <v/>
      </c>
      <c r="U1191">
        <f>IF($A1191="","",$R1191&amp;"("&amp;$E1191&amp;")")</f>
        <v/>
      </c>
      <c r="V1191">
        <f>IF($A1191="","",$F1191&amp;"|"&amp;$U1191&amp;"|"&amp;$D1191)</f>
        <v/>
      </c>
      <c r="W1191">
        <f>IF($T1191="","",IF($X1191&gt;N($X1190),$X1191,""))</f>
        <v/>
      </c>
      <c r="X1191">
        <f>IF($T1191="",N($X1190),IF(MATCH($T1191,$T$6:$T$6005,0)=ROW()-5,N($X1190)+1,N($X1190)))</f>
        <v/>
      </c>
      <c r="Z1191">
        <f>IF($V1191="","",IF($AA1191&gt;N($AA1190),$AA1191,""))</f>
        <v/>
      </c>
      <c r="AA1191">
        <f>IF($V1191="",N($AA1190),IF(MATCH($V1191,$V$6:$V$6005,0)=ROW()-5,N($AA1190)+1,N($AA1190)))</f>
        <v/>
      </c>
    </row>
    <row r="1192" ht="21" customHeight="1" s="66">
      <c r="A1192" s="56" t="n"/>
      <c r="B1192" s="57" t="n"/>
      <c r="C1192" s="57" t="n"/>
      <c r="D1192" s="57" t="n"/>
      <c r="E1192" s="56" t="n"/>
      <c r="F1192" s="57" t="n"/>
      <c r="G1192" s="57" t="n"/>
      <c r="H1192" s="56" t="n"/>
      <c r="I1192" s="56" t="n"/>
      <c r="J1192" s="58" t="n"/>
      <c r="K1192" s="58" t="n"/>
      <c r="L1192" s="13">
        <f>IF(OR($A1192="",AND($J1192="",$K1192="")),"",ROUND(N($J1192)-N($K1192),2))</f>
        <v/>
      </c>
      <c r="M1192" s="13">
        <f>IF(OR($A1192="",AND($J1192="",$K1192="")),"",MIN($J1192,$K1192))</f>
        <v/>
      </c>
      <c r="Q1192">
        <f>IF($A1192="","",$D1192&amp;"("&amp;SUBSTITUTE($E1192," ","")&amp;")")</f>
        <v/>
      </c>
      <c r="R1192">
        <f>IF($A1192="","",$B1192&amp;" - "&amp;$C1192)</f>
        <v/>
      </c>
      <c r="S1192">
        <f>IF($A1192="","",$R1192&amp;"|"&amp;$Q1192)</f>
        <v/>
      </c>
      <c r="T1192">
        <f>IF($A1192="","",$S1192&amp;"|"&amp;$F1192)</f>
        <v/>
      </c>
      <c r="U1192">
        <f>IF($A1192="","",$R1192&amp;"("&amp;$E1192&amp;")")</f>
        <v/>
      </c>
      <c r="V1192">
        <f>IF($A1192="","",$F1192&amp;"|"&amp;$U1192&amp;"|"&amp;$D1192)</f>
        <v/>
      </c>
      <c r="W1192">
        <f>IF($T1192="","",IF($X1192&gt;N($X1191),$X1192,""))</f>
        <v/>
      </c>
      <c r="X1192">
        <f>IF($T1192="",N($X1191),IF(MATCH($T1192,$T$6:$T$6005,0)=ROW()-5,N($X1191)+1,N($X1191)))</f>
        <v/>
      </c>
      <c r="Z1192">
        <f>IF($V1192="","",IF($AA1192&gt;N($AA1191),$AA1192,""))</f>
        <v/>
      </c>
      <c r="AA1192">
        <f>IF($V1192="",N($AA1191),IF(MATCH($V1192,$V$6:$V$6005,0)=ROW()-5,N($AA1191)+1,N($AA1191)))</f>
        <v/>
      </c>
    </row>
    <row r="1193" ht="21" customHeight="1" s="66">
      <c r="A1193" s="56" t="n"/>
      <c r="B1193" s="57" t="n"/>
      <c r="C1193" s="57" t="n"/>
      <c r="D1193" s="57" t="n"/>
      <c r="E1193" s="56" t="n"/>
      <c r="F1193" s="57" t="n"/>
      <c r="G1193" s="57" t="n"/>
      <c r="H1193" s="56" t="n"/>
      <c r="I1193" s="56" t="n"/>
      <c r="J1193" s="58" t="n"/>
      <c r="K1193" s="58" t="n"/>
      <c r="L1193" s="13">
        <f>IF(OR($A1193="",AND($J1193="",$K1193="")),"",ROUND(N($J1193)-N($K1193),2))</f>
        <v/>
      </c>
      <c r="M1193" s="13">
        <f>IF(OR($A1193="",AND($J1193="",$K1193="")),"",MIN($J1193,$K1193))</f>
        <v/>
      </c>
      <c r="Q1193">
        <f>IF($A1193="","",$D1193&amp;"("&amp;SUBSTITUTE($E1193," ","")&amp;")")</f>
        <v/>
      </c>
      <c r="R1193">
        <f>IF($A1193="","",$B1193&amp;" - "&amp;$C1193)</f>
        <v/>
      </c>
      <c r="S1193">
        <f>IF($A1193="","",$R1193&amp;"|"&amp;$Q1193)</f>
        <v/>
      </c>
      <c r="T1193">
        <f>IF($A1193="","",$S1193&amp;"|"&amp;$F1193)</f>
        <v/>
      </c>
      <c r="U1193">
        <f>IF($A1193="","",$R1193&amp;"("&amp;$E1193&amp;")")</f>
        <v/>
      </c>
      <c r="V1193">
        <f>IF($A1193="","",$F1193&amp;"|"&amp;$U1193&amp;"|"&amp;$D1193)</f>
        <v/>
      </c>
      <c r="W1193">
        <f>IF($T1193="","",IF($X1193&gt;N($X1192),$X1193,""))</f>
        <v/>
      </c>
      <c r="X1193">
        <f>IF($T1193="",N($X1192),IF(MATCH($T1193,$T$6:$T$6005,0)=ROW()-5,N($X1192)+1,N($X1192)))</f>
        <v/>
      </c>
      <c r="Z1193">
        <f>IF($V1193="","",IF($AA1193&gt;N($AA1192),$AA1193,""))</f>
        <v/>
      </c>
      <c r="AA1193">
        <f>IF($V1193="",N($AA1192),IF(MATCH($V1193,$V$6:$V$6005,0)=ROW()-5,N($AA1192)+1,N($AA1192)))</f>
        <v/>
      </c>
    </row>
    <row r="1194" ht="21" customHeight="1" s="66">
      <c r="A1194" s="56" t="n"/>
      <c r="B1194" s="57" t="n"/>
      <c r="C1194" s="57" t="n"/>
      <c r="D1194" s="57" t="n"/>
      <c r="E1194" s="56" t="n"/>
      <c r="F1194" s="57" t="n"/>
      <c r="G1194" s="57" t="n"/>
      <c r="H1194" s="56" t="n"/>
      <c r="I1194" s="56" t="n"/>
      <c r="J1194" s="58" t="n"/>
      <c r="K1194" s="58" t="n"/>
      <c r="L1194" s="13">
        <f>IF(OR($A1194="",AND($J1194="",$K1194="")),"",ROUND(N($J1194)-N($K1194),2))</f>
        <v/>
      </c>
      <c r="M1194" s="13">
        <f>IF(OR($A1194="",AND($J1194="",$K1194="")),"",MIN($J1194,$K1194))</f>
        <v/>
      </c>
      <c r="Q1194">
        <f>IF($A1194="","",$D1194&amp;"("&amp;SUBSTITUTE($E1194," ","")&amp;")")</f>
        <v/>
      </c>
      <c r="R1194">
        <f>IF($A1194="","",$B1194&amp;" - "&amp;$C1194)</f>
        <v/>
      </c>
      <c r="S1194">
        <f>IF($A1194="","",$R1194&amp;"|"&amp;$Q1194)</f>
        <v/>
      </c>
      <c r="T1194">
        <f>IF($A1194="","",$S1194&amp;"|"&amp;$F1194)</f>
        <v/>
      </c>
      <c r="U1194">
        <f>IF($A1194="","",$R1194&amp;"("&amp;$E1194&amp;")")</f>
        <v/>
      </c>
      <c r="V1194">
        <f>IF($A1194="","",$F1194&amp;"|"&amp;$U1194&amp;"|"&amp;$D1194)</f>
        <v/>
      </c>
      <c r="W1194">
        <f>IF($T1194="","",IF($X1194&gt;N($X1193),$X1194,""))</f>
        <v/>
      </c>
      <c r="X1194">
        <f>IF($T1194="",N($X1193),IF(MATCH($T1194,$T$6:$T$6005,0)=ROW()-5,N($X1193)+1,N($X1193)))</f>
        <v/>
      </c>
      <c r="Z1194">
        <f>IF($V1194="","",IF($AA1194&gt;N($AA1193),$AA1194,""))</f>
        <v/>
      </c>
      <c r="AA1194">
        <f>IF($V1194="",N($AA1193),IF(MATCH($V1194,$V$6:$V$6005,0)=ROW()-5,N($AA1193)+1,N($AA1193)))</f>
        <v/>
      </c>
    </row>
    <row r="1195" ht="21" customHeight="1" s="66">
      <c r="A1195" s="56" t="n"/>
      <c r="B1195" s="57" t="n"/>
      <c r="C1195" s="57" t="n"/>
      <c r="D1195" s="57" t="n"/>
      <c r="E1195" s="56" t="n"/>
      <c r="F1195" s="57" t="n"/>
      <c r="G1195" s="57" t="n"/>
      <c r="H1195" s="56" t="n"/>
      <c r="I1195" s="56" t="n"/>
      <c r="J1195" s="58" t="n"/>
      <c r="K1195" s="58" t="n"/>
      <c r="L1195" s="13">
        <f>IF(OR($A1195="",AND($J1195="",$K1195="")),"",ROUND(N($J1195)-N($K1195),2))</f>
        <v/>
      </c>
      <c r="M1195" s="13">
        <f>IF(OR($A1195="",AND($J1195="",$K1195="")),"",MIN($J1195,$K1195))</f>
        <v/>
      </c>
      <c r="Q1195">
        <f>IF($A1195="","",$D1195&amp;"("&amp;SUBSTITUTE($E1195," ","")&amp;")")</f>
        <v/>
      </c>
      <c r="R1195">
        <f>IF($A1195="","",$B1195&amp;" - "&amp;$C1195)</f>
        <v/>
      </c>
      <c r="S1195">
        <f>IF($A1195="","",$R1195&amp;"|"&amp;$Q1195)</f>
        <v/>
      </c>
      <c r="T1195">
        <f>IF($A1195="","",$S1195&amp;"|"&amp;$F1195)</f>
        <v/>
      </c>
      <c r="U1195">
        <f>IF($A1195="","",$R1195&amp;"("&amp;$E1195&amp;")")</f>
        <v/>
      </c>
      <c r="V1195">
        <f>IF($A1195="","",$F1195&amp;"|"&amp;$U1195&amp;"|"&amp;$D1195)</f>
        <v/>
      </c>
      <c r="W1195">
        <f>IF($T1195="","",IF($X1195&gt;N($X1194),$X1195,""))</f>
        <v/>
      </c>
      <c r="X1195">
        <f>IF($T1195="",N($X1194),IF(MATCH($T1195,$T$6:$T$6005,0)=ROW()-5,N($X1194)+1,N($X1194)))</f>
        <v/>
      </c>
      <c r="Z1195">
        <f>IF($V1195="","",IF($AA1195&gt;N($AA1194),$AA1195,""))</f>
        <v/>
      </c>
      <c r="AA1195">
        <f>IF($V1195="",N($AA1194),IF(MATCH($V1195,$V$6:$V$6005,0)=ROW()-5,N($AA1194)+1,N($AA1194)))</f>
        <v/>
      </c>
    </row>
    <row r="1196" ht="21" customHeight="1" s="66">
      <c r="A1196" s="56" t="n"/>
      <c r="B1196" s="57" t="n"/>
      <c r="C1196" s="57" t="n"/>
      <c r="D1196" s="57" t="n"/>
      <c r="E1196" s="56" t="n"/>
      <c r="F1196" s="57" t="n"/>
      <c r="G1196" s="57" t="n"/>
      <c r="H1196" s="56" t="n"/>
      <c r="I1196" s="56" t="n"/>
      <c r="J1196" s="58" t="n"/>
      <c r="K1196" s="58" t="n"/>
      <c r="L1196" s="13">
        <f>IF(OR($A1196="",AND($J1196="",$K1196="")),"",ROUND(N($J1196)-N($K1196),2))</f>
        <v/>
      </c>
      <c r="M1196" s="13">
        <f>IF(OR($A1196="",AND($J1196="",$K1196="")),"",MIN($J1196,$K1196))</f>
        <v/>
      </c>
      <c r="Q1196">
        <f>IF($A1196="","",$D1196&amp;"("&amp;SUBSTITUTE($E1196," ","")&amp;")")</f>
        <v/>
      </c>
      <c r="R1196">
        <f>IF($A1196="","",$B1196&amp;" - "&amp;$C1196)</f>
        <v/>
      </c>
      <c r="S1196">
        <f>IF($A1196="","",$R1196&amp;"|"&amp;$Q1196)</f>
        <v/>
      </c>
      <c r="T1196">
        <f>IF($A1196="","",$S1196&amp;"|"&amp;$F1196)</f>
        <v/>
      </c>
      <c r="U1196">
        <f>IF($A1196="","",$R1196&amp;"("&amp;$E1196&amp;")")</f>
        <v/>
      </c>
      <c r="V1196">
        <f>IF($A1196="","",$F1196&amp;"|"&amp;$U1196&amp;"|"&amp;$D1196)</f>
        <v/>
      </c>
      <c r="W1196">
        <f>IF($T1196="","",IF($X1196&gt;N($X1195),$X1196,""))</f>
        <v/>
      </c>
      <c r="X1196">
        <f>IF($T1196="",N($X1195),IF(MATCH($T1196,$T$6:$T$6005,0)=ROW()-5,N($X1195)+1,N($X1195)))</f>
        <v/>
      </c>
      <c r="Z1196">
        <f>IF($V1196="","",IF($AA1196&gt;N($AA1195),$AA1196,""))</f>
        <v/>
      </c>
      <c r="AA1196">
        <f>IF($V1196="",N($AA1195),IF(MATCH($V1196,$V$6:$V$6005,0)=ROW()-5,N($AA1195)+1,N($AA1195)))</f>
        <v/>
      </c>
    </row>
    <row r="1197" ht="21" customHeight="1" s="66">
      <c r="A1197" s="56" t="n"/>
      <c r="B1197" s="57" t="n"/>
      <c r="C1197" s="57" t="n"/>
      <c r="D1197" s="57" t="n"/>
      <c r="E1197" s="56" t="n"/>
      <c r="F1197" s="57" t="n"/>
      <c r="G1197" s="57" t="n"/>
      <c r="H1197" s="56" t="n"/>
      <c r="I1197" s="56" t="n"/>
      <c r="J1197" s="58" t="n"/>
      <c r="K1197" s="58" t="n"/>
      <c r="L1197" s="13">
        <f>IF(OR($A1197="",AND($J1197="",$K1197="")),"",ROUND(N($J1197)-N($K1197),2))</f>
        <v/>
      </c>
      <c r="M1197" s="13">
        <f>IF(OR($A1197="",AND($J1197="",$K1197="")),"",MIN($J1197,$K1197))</f>
        <v/>
      </c>
      <c r="Q1197">
        <f>IF($A1197="","",$D1197&amp;"("&amp;SUBSTITUTE($E1197," ","")&amp;")")</f>
        <v/>
      </c>
      <c r="R1197">
        <f>IF($A1197="","",$B1197&amp;" - "&amp;$C1197)</f>
        <v/>
      </c>
      <c r="S1197">
        <f>IF($A1197="","",$R1197&amp;"|"&amp;$Q1197)</f>
        <v/>
      </c>
      <c r="T1197">
        <f>IF($A1197="","",$S1197&amp;"|"&amp;$F1197)</f>
        <v/>
      </c>
      <c r="U1197">
        <f>IF($A1197="","",$R1197&amp;"("&amp;$E1197&amp;")")</f>
        <v/>
      </c>
      <c r="V1197">
        <f>IF($A1197="","",$F1197&amp;"|"&amp;$U1197&amp;"|"&amp;$D1197)</f>
        <v/>
      </c>
      <c r="W1197">
        <f>IF($T1197="","",IF($X1197&gt;N($X1196),$X1197,""))</f>
        <v/>
      </c>
      <c r="X1197">
        <f>IF($T1197="",N($X1196),IF(MATCH($T1197,$T$6:$T$6005,0)=ROW()-5,N($X1196)+1,N($X1196)))</f>
        <v/>
      </c>
      <c r="Z1197">
        <f>IF($V1197="","",IF($AA1197&gt;N($AA1196),$AA1197,""))</f>
        <v/>
      </c>
      <c r="AA1197">
        <f>IF($V1197="",N($AA1196),IF(MATCH($V1197,$V$6:$V$6005,0)=ROW()-5,N($AA1196)+1,N($AA1196)))</f>
        <v/>
      </c>
    </row>
    <row r="1198" ht="21" customHeight="1" s="66">
      <c r="A1198" s="56" t="n"/>
      <c r="B1198" s="57" t="n"/>
      <c r="C1198" s="57" t="n"/>
      <c r="D1198" s="57" t="n"/>
      <c r="E1198" s="56" t="n"/>
      <c r="F1198" s="57" t="n"/>
      <c r="G1198" s="57" t="n"/>
      <c r="H1198" s="56" t="n"/>
      <c r="I1198" s="56" t="n"/>
      <c r="J1198" s="58" t="n"/>
      <c r="K1198" s="58" t="n"/>
      <c r="L1198" s="13">
        <f>IF(OR($A1198="",AND($J1198="",$K1198="")),"",ROUND(N($J1198)-N($K1198),2))</f>
        <v/>
      </c>
      <c r="M1198" s="13">
        <f>IF(OR($A1198="",AND($J1198="",$K1198="")),"",MIN($J1198,$K1198))</f>
        <v/>
      </c>
      <c r="Q1198">
        <f>IF($A1198="","",$D1198&amp;"("&amp;SUBSTITUTE($E1198," ","")&amp;")")</f>
        <v/>
      </c>
      <c r="R1198">
        <f>IF($A1198="","",$B1198&amp;" - "&amp;$C1198)</f>
        <v/>
      </c>
      <c r="S1198">
        <f>IF($A1198="","",$R1198&amp;"|"&amp;$Q1198)</f>
        <v/>
      </c>
      <c r="T1198">
        <f>IF($A1198="","",$S1198&amp;"|"&amp;$F1198)</f>
        <v/>
      </c>
      <c r="U1198">
        <f>IF($A1198="","",$R1198&amp;"("&amp;$E1198&amp;")")</f>
        <v/>
      </c>
      <c r="V1198">
        <f>IF($A1198="","",$F1198&amp;"|"&amp;$U1198&amp;"|"&amp;$D1198)</f>
        <v/>
      </c>
      <c r="W1198">
        <f>IF($T1198="","",IF($X1198&gt;N($X1197),$X1198,""))</f>
        <v/>
      </c>
      <c r="X1198">
        <f>IF($T1198="",N($X1197),IF(MATCH($T1198,$T$6:$T$6005,0)=ROW()-5,N($X1197)+1,N($X1197)))</f>
        <v/>
      </c>
      <c r="Z1198">
        <f>IF($V1198="","",IF($AA1198&gt;N($AA1197),$AA1198,""))</f>
        <v/>
      </c>
      <c r="AA1198">
        <f>IF($V1198="",N($AA1197),IF(MATCH($V1198,$V$6:$V$6005,0)=ROW()-5,N($AA1197)+1,N($AA1197)))</f>
        <v/>
      </c>
    </row>
    <row r="1199" ht="21" customHeight="1" s="66">
      <c r="A1199" s="56" t="n"/>
      <c r="B1199" s="57" t="n"/>
      <c r="C1199" s="57" t="n"/>
      <c r="D1199" s="57" t="n"/>
      <c r="E1199" s="56" t="n"/>
      <c r="F1199" s="57" t="n"/>
      <c r="G1199" s="57" t="n"/>
      <c r="H1199" s="56" t="n"/>
      <c r="I1199" s="56" t="n"/>
      <c r="J1199" s="58" t="n"/>
      <c r="K1199" s="58" t="n"/>
      <c r="L1199" s="13">
        <f>IF(OR($A1199="",AND($J1199="",$K1199="")),"",ROUND(N($J1199)-N($K1199),2))</f>
        <v/>
      </c>
      <c r="M1199" s="13">
        <f>IF(OR($A1199="",AND($J1199="",$K1199="")),"",MIN($J1199,$K1199))</f>
        <v/>
      </c>
      <c r="Q1199">
        <f>IF($A1199="","",$D1199&amp;"("&amp;SUBSTITUTE($E1199," ","")&amp;")")</f>
        <v/>
      </c>
      <c r="R1199">
        <f>IF($A1199="","",$B1199&amp;" - "&amp;$C1199)</f>
        <v/>
      </c>
      <c r="S1199">
        <f>IF($A1199="","",$R1199&amp;"|"&amp;$Q1199)</f>
        <v/>
      </c>
      <c r="T1199">
        <f>IF($A1199="","",$S1199&amp;"|"&amp;$F1199)</f>
        <v/>
      </c>
      <c r="U1199">
        <f>IF($A1199="","",$R1199&amp;"("&amp;$E1199&amp;")")</f>
        <v/>
      </c>
      <c r="V1199">
        <f>IF($A1199="","",$F1199&amp;"|"&amp;$U1199&amp;"|"&amp;$D1199)</f>
        <v/>
      </c>
      <c r="W1199">
        <f>IF($T1199="","",IF($X1199&gt;N($X1198),$X1199,""))</f>
        <v/>
      </c>
      <c r="X1199">
        <f>IF($T1199="",N($X1198),IF(MATCH($T1199,$T$6:$T$6005,0)=ROW()-5,N($X1198)+1,N($X1198)))</f>
        <v/>
      </c>
      <c r="Z1199">
        <f>IF($V1199="","",IF($AA1199&gt;N($AA1198),$AA1199,""))</f>
        <v/>
      </c>
      <c r="AA1199">
        <f>IF($V1199="",N($AA1198),IF(MATCH($V1199,$V$6:$V$6005,0)=ROW()-5,N($AA1198)+1,N($AA1198)))</f>
        <v/>
      </c>
    </row>
    <row r="1200" ht="21" customHeight="1" s="66">
      <c r="A1200" s="56" t="n"/>
      <c r="B1200" s="57" t="n"/>
      <c r="C1200" s="57" t="n"/>
      <c r="D1200" s="57" t="n"/>
      <c r="E1200" s="56" t="n"/>
      <c r="F1200" s="57" t="n"/>
      <c r="G1200" s="57" t="n"/>
      <c r="H1200" s="56" t="n"/>
      <c r="I1200" s="56" t="n"/>
      <c r="J1200" s="58" t="n"/>
      <c r="K1200" s="58" t="n"/>
      <c r="L1200" s="13">
        <f>IF(OR($A1200="",AND($J1200="",$K1200="")),"",ROUND(N($J1200)-N($K1200),2))</f>
        <v/>
      </c>
      <c r="M1200" s="13">
        <f>IF(OR($A1200="",AND($J1200="",$K1200="")),"",MIN($J1200,$K1200))</f>
        <v/>
      </c>
      <c r="Q1200">
        <f>IF($A1200="","",$D1200&amp;"("&amp;SUBSTITUTE($E1200," ","")&amp;")")</f>
        <v/>
      </c>
      <c r="R1200">
        <f>IF($A1200="","",$B1200&amp;" - "&amp;$C1200)</f>
        <v/>
      </c>
      <c r="S1200">
        <f>IF($A1200="","",$R1200&amp;"|"&amp;$Q1200)</f>
        <v/>
      </c>
      <c r="T1200">
        <f>IF($A1200="","",$S1200&amp;"|"&amp;$F1200)</f>
        <v/>
      </c>
      <c r="U1200">
        <f>IF($A1200="","",$R1200&amp;"("&amp;$E1200&amp;")")</f>
        <v/>
      </c>
      <c r="V1200">
        <f>IF($A1200="","",$F1200&amp;"|"&amp;$U1200&amp;"|"&amp;$D1200)</f>
        <v/>
      </c>
      <c r="W1200">
        <f>IF($T1200="","",IF($X1200&gt;N($X1199),$X1200,""))</f>
        <v/>
      </c>
      <c r="X1200">
        <f>IF($T1200="",N($X1199),IF(MATCH($T1200,$T$6:$T$6005,0)=ROW()-5,N($X1199)+1,N($X1199)))</f>
        <v/>
      </c>
      <c r="Z1200">
        <f>IF($V1200="","",IF($AA1200&gt;N($AA1199),$AA1200,""))</f>
        <v/>
      </c>
      <c r="AA1200">
        <f>IF($V1200="",N($AA1199),IF(MATCH($V1200,$V$6:$V$6005,0)=ROW()-5,N($AA1199)+1,N($AA1199)))</f>
        <v/>
      </c>
    </row>
    <row r="1201" ht="21" customHeight="1" s="66">
      <c r="A1201" s="56" t="n"/>
      <c r="B1201" s="57" t="n"/>
      <c r="C1201" s="57" t="n"/>
      <c r="D1201" s="57" t="n"/>
      <c r="E1201" s="56" t="n"/>
      <c r="F1201" s="57" t="n"/>
      <c r="G1201" s="57" t="n"/>
      <c r="H1201" s="56" t="n"/>
      <c r="I1201" s="56" t="n"/>
      <c r="J1201" s="58" t="n"/>
      <c r="K1201" s="58" t="n"/>
      <c r="L1201" s="13">
        <f>IF(OR($A1201="",AND($J1201="",$K1201="")),"",ROUND(N($J1201)-N($K1201),2))</f>
        <v/>
      </c>
      <c r="M1201" s="13">
        <f>IF(OR($A1201="",AND($J1201="",$K1201="")),"",MIN($J1201,$K1201))</f>
        <v/>
      </c>
      <c r="Q1201">
        <f>IF($A1201="","",$D1201&amp;"("&amp;SUBSTITUTE($E1201," ","")&amp;")")</f>
        <v/>
      </c>
      <c r="R1201">
        <f>IF($A1201="","",$B1201&amp;" - "&amp;$C1201)</f>
        <v/>
      </c>
      <c r="S1201">
        <f>IF($A1201="","",$R1201&amp;"|"&amp;$Q1201)</f>
        <v/>
      </c>
      <c r="T1201">
        <f>IF($A1201="","",$S1201&amp;"|"&amp;$F1201)</f>
        <v/>
      </c>
      <c r="U1201">
        <f>IF($A1201="","",$R1201&amp;"("&amp;$E1201&amp;")")</f>
        <v/>
      </c>
      <c r="V1201">
        <f>IF($A1201="","",$F1201&amp;"|"&amp;$U1201&amp;"|"&amp;$D1201)</f>
        <v/>
      </c>
      <c r="W1201">
        <f>IF($T1201="","",IF($X1201&gt;N($X1200),$X1201,""))</f>
        <v/>
      </c>
      <c r="X1201">
        <f>IF($T1201="",N($X1200),IF(MATCH($T1201,$T$6:$T$6005,0)=ROW()-5,N($X1200)+1,N($X1200)))</f>
        <v/>
      </c>
      <c r="Z1201">
        <f>IF($V1201="","",IF($AA1201&gt;N($AA1200),$AA1201,""))</f>
        <v/>
      </c>
      <c r="AA1201">
        <f>IF($V1201="",N($AA1200),IF(MATCH($V1201,$V$6:$V$6005,0)=ROW()-5,N($AA1200)+1,N($AA1200)))</f>
        <v/>
      </c>
    </row>
    <row r="1202" ht="21" customHeight="1" s="66">
      <c r="A1202" s="56" t="n"/>
      <c r="B1202" s="57" t="n"/>
      <c r="C1202" s="57" t="n"/>
      <c r="D1202" s="57" t="n"/>
      <c r="E1202" s="56" t="n"/>
      <c r="F1202" s="57" t="n"/>
      <c r="G1202" s="57" t="n"/>
      <c r="H1202" s="56" t="n"/>
      <c r="I1202" s="56" t="n"/>
      <c r="J1202" s="58" t="n"/>
      <c r="K1202" s="58" t="n"/>
      <c r="L1202" s="13">
        <f>IF(OR($A1202="",AND($J1202="",$K1202="")),"",ROUND(N($J1202)-N($K1202),2))</f>
        <v/>
      </c>
      <c r="M1202" s="13">
        <f>IF(OR($A1202="",AND($J1202="",$K1202="")),"",MIN($J1202,$K1202))</f>
        <v/>
      </c>
      <c r="Q1202">
        <f>IF($A1202="","",$D1202&amp;"("&amp;SUBSTITUTE($E1202," ","")&amp;")")</f>
        <v/>
      </c>
      <c r="R1202">
        <f>IF($A1202="","",$B1202&amp;" - "&amp;$C1202)</f>
        <v/>
      </c>
      <c r="S1202">
        <f>IF($A1202="","",$R1202&amp;"|"&amp;$Q1202)</f>
        <v/>
      </c>
      <c r="T1202">
        <f>IF($A1202="","",$S1202&amp;"|"&amp;$F1202)</f>
        <v/>
      </c>
      <c r="U1202">
        <f>IF($A1202="","",$R1202&amp;"("&amp;$E1202&amp;")")</f>
        <v/>
      </c>
      <c r="V1202">
        <f>IF($A1202="","",$F1202&amp;"|"&amp;$U1202&amp;"|"&amp;$D1202)</f>
        <v/>
      </c>
      <c r="W1202">
        <f>IF($T1202="","",IF($X1202&gt;N($X1201),$X1202,""))</f>
        <v/>
      </c>
      <c r="X1202">
        <f>IF($T1202="",N($X1201),IF(MATCH($T1202,$T$6:$T$6005,0)=ROW()-5,N($X1201)+1,N($X1201)))</f>
        <v/>
      </c>
      <c r="Z1202">
        <f>IF($V1202="","",IF($AA1202&gt;N($AA1201),$AA1202,""))</f>
        <v/>
      </c>
      <c r="AA1202">
        <f>IF($V1202="",N($AA1201),IF(MATCH($V1202,$V$6:$V$6005,0)=ROW()-5,N($AA1201)+1,N($AA1201)))</f>
        <v/>
      </c>
    </row>
    <row r="1203" ht="21" customHeight="1" s="66">
      <c r="A1203" s="56" t="n"/>
      <c r="B1203" s="57" t="n"/>
      <c r="C1203" s="57" t="n"/>
      <c r="D1203" s="57" t="n"/>
      <c r="E1203" s="56" t="n"/>
      <c r="F1203" s="57" t="n"/>
      <c r="G1203" s="57" t="n"/>
      <c r="H1203" s="56" t="n"/>
      <c r="I1203" s="56" t="n"/>
      <c r="J1203" s="58" t="n"/>
      <c r="K1203" s="58" t="n"/>
      <c r="L1203" s="13">
        <f>IF(OR($A1203="",AND($J1203="",$K1203="")),"",ROUND(N($J1203)-N($K1203),2))</f>
        <v/>
      </c>
      <c r="M1203" s="13">
        <f>IF(OR($A1203="",AND($J1203="",$K1203="")),"",MIN($J1203,$K1203))</f>
        <v/>
      </c>
      <c r="Q1203">
        <f>IF($A1203="","",$D1203&amp;"("&amp;SUBSTITUTE($E1203," ","")&amp;")")</f>
        <v/>
      </c>
      <c r="R1203">
        <f>IF($A1203="","",$B1203&amp;" - "&amp;$C1203)</f>
        <v/>
      </c>
      <c r="S1203">
        <f>IF($A1203="","",$R1203&amp;"|"&amp;$Q1203)</f>
        <v/>
      </c>
      <c r="T1203">
        <f>IF($A1203="","",$S1203&amp;"|"&amp;$F1203)</f>
        <v/>
      </c>
      <c r="U1203">
        <f>IF($A1203="","",$R1203&amp;"("&amp;$E1203&amp;")")</f>
        <v/>
      </c>
      <c r="V1203">
        <f>IF($A1203="","",$F1203&amp;"|"&amp;$U1203&amp;"|"&amp;$D1203)</f>
        <v/>
      </c>
      <c r="W1203">
        <f>IF($T1203="","",IF($X1203&gt;N($X1202),$X1203,""))</f>
        <v/>
      </c>
      <c r="X1203">
        <f>IF($T1203="",N($X1202),IF(MATCH($T1203,$T$6:$T$6005,0)=ROW()-5,N($X1202)+1,N($X1202)))</f>
        <v/>
      </c>
      <c r="Z1203">
        <f>IF($V1203="","",IF($AA1203&gt;N($AA1202),$AA1203,""))</f>
        <v/>
      </c>
      <c r="AA1203">
        <f>IF($V1203="",N($AA1202),IF(MATCH($V1203,$V$6:$V$6005,0)=ROW()-5,N($AA1202)+1,N($AA1202)))</f>
        <v/>
      </c>
    </row>
    <row r="1204" ht="21" customHeight="1" s="66">
      <c r="A1204" s="56" t="n"/>
      <c r="B1204" s="57" t="n"/>
      <c r="C1204" s="57" t="n"/>
      <c r="D1204" s="57" t="n"/>
      <c r="E1204" s="56" t="n"/>
      <c r="F1204" s="57" t="n"/>
      <c r="G1204" s="57" t="n"/>
      <c r="H1204" s="56" t="n"/>
      <c r="I1204" s="56" t="n"/>
      <c r="J1204" s="58" t="n"/>
      <c r="K1204" s="58" t="n"/>
      <c r="L1204" s="13">
        <f>IF(OR($A1204="",AND($J1204="",$K1204="")),"",ROUND(N($J1204)-N($K1204),2))</f>
        <v/>
      </c>
      <c r="M1204" s="13">
        <f>IF(OR($A1204="",AND($J1204="",$K1204="")),"",MIN($J1204,$K1204))</f>
        <v/>
      </c>
      <c r="Q1204">
        <f>IF($A1204="","",$D1204&amp;"("&amp;SUBSTITUTE($E1204," ","")&amp;")")</f>
        <v/>
      </c>
      <c r="R1204">
        <f>IF($A1204="","",$B1204&amp;" - "&amp;$C1204)</f>
        <v/>
      </c>
      <c r="S1204">
        <f>IF($A1204="","",$R1204&amp;"|"&amp;$Q1204)</f>
        <v/>
      </c>
      <c r="T1204">
        <f>IF($A1204="","",$S1204&amp;"|"&amp;$F1204)</f>
        <v/>
      </c>
      <c r="U1204">
        <f>IF($A1204="","",$R1204&amp;"("&amp;$E1204&amp;")")</f>
        <v/>
      </c>
      <c r="V1204">
        <f>IF($A1204="","",$F1204&amp;"|"&amp;$U1204&amp;"|"&amp;$D1204)</f>
        <v/>
      </c>
      <c r="W1204">
        <f>IF($T1204="","",IF($X1204&gt;N($X1203),$X1204,""))</f>
        <v/>
      </c>
      <c r="X1204">
        <f>IF($T1204="",N($X1203),IF(MATCH($T1204,$T$6:$T$6005,0)=ROW()-5,N($X1203)+1,N($X1203)))</f>
        <v/>
      </c>
      <c r="Z1204">
        <f>IF($V1204="","",IF($AA1204&gt;N($AA1203),$AA1204,""))</f>
        <v/>
      </c>
      <c r="AA1204">
        <f>IF($V1204="",N($AA1203),IF(MATCH($V1204,$V$6:$V$6005,0)=ROW()-5,N($AA1203)+1,N($AA1203)))</f>
        <v/>
      </c>
    </row>
    <row r="1205" ht="21" customHeight="1" s="66">
      <c r="A1205" s="56" t="n"/>
      <c r="B1205" s="57" t="n"/>
      <c r="C1205" s="57" t="n"/>
      <c r="D1205" s="57" t="n"/>
      <c r="E1205" s="56" t="n"/>
      <c r="F1205" s="57" t="n"/>
      <c r="G1205" s="57" t="n"/>
      <c r="H1205" s="56" t="n"/>
      <c r="I1205" s="56" t="n"/>
      <c r="J1205" s="58" t="n"/>
      <c r="K1205" s="58" t="n"/>
      <c r="L1205" s="13">
        <f>IF(OR($A1205="",AND($J1205="",$K1205="")),"",ROUND(N($J1205)-N($K1205),2))</f>
        <v/>
      </c>
      <c r="M1205" s="13">
        <f>IF(OR($A1205="",AND($J1205="",$K1205="")),"",MIN($J1205,$K1205))</f>
        <v/>
      </c>
      <c r="Q1205">
        <f>IF($A1205="","",$D1205&amp;"("&amp;SUBSTITUTE($E1205," ","")&amp;")")</f>
        <v/>
      </c>
      <c r="R1205">
        <f>IF($A1205="","",$B1205&amp;" - "&amp;$C1205)</f>
        <v/>
      </c>
      <c r="S1205">
        <f>IF($A1205="","",$R1205&amp;"|"&amp;$Q1205)</f>
        <v/>
      </c>
      <c r="T1205">
        <f>IF($A1205="","",$S1205&amp;"|"&amp;$F1205)</f>
        <v/>
      </c>
      <c r="U1205">
        <f>IF($A1205="","",$R1205&amp;"("&amp;$E1205&amp;")")</f>
        <v/>
      </c>
      <c r="V1205">
        <f>IF($A1205="","",$F1205&amp;"|"&amp;$U1205&amp;"|"&amp;$D1205)</f>
        <v/>
      </c>
      <c r="W1205">
        <f>IF($T1205="","",IF($X1205&gt;N($X1204),$X1205,""))</f>
        <v/>
      </c>
      <c r="X1205">
        <f>IF($T1205="",N($X1204),IF(MATCH($T1205,$T$6:$T$6005,0)=ROW()-5,N($X1204)+1,N($X1204)))</f>
        <v/>
      </c>
      <c r="Z1205">
        <f>IF($V1205="","",IF($AA1205&gt;N($AA1204),$AA1205,""))</f>
        <v/>
      </c>
      <c r="AA1205">
        <f>IF($V1205="",N($AA1204),IF(MATCH($V1205,$V$6:$V$6005,0)=ROW()-5,N($AA1204)+1,N($AA1204)))</f>
        <v/>
      </c>
    </row>
    <row r="1206" ht="21" customHeight="1" s="66">
      <c r="A1206" s="56" t="n"/>
      <c r="B1206" s="57" t="n"/>
      <c r="C1206" s="57" t="n"/>
      <c r="D1206" s="57" t="n"/>
      <c r="E1206" s="56" t="n"/>
      <c r="F1206" s="57" t="n"/>
      <c r="G1206" s="57" t="n"/>
      <c r="H1206" s="56" t="n"/>
      <c r="I1206" s="56" t="n"/>
      <c r="J1206" s="58" t="n"/>
      <c r="K1206" s="58" t="n"/>
      <c r="L1206" s="13">
        <f>IF(OR($A1206="",AND($J1206="",$K1206="")),"",ROUND(N($J1206)-N($K1206),2))</f>
        <v/>
      </c>
      <c r="M1206" s="13">
        <f>IF(OR($A1206="",AND($J1206="",$K1206="")),"",MIN($J1206,$K1206))</f>
        <v/>
      </c>
      <c r="Q1206">
        <f>IF($A1206="","",$D1206&amp;"("&amp;SUBSTITUTE($E1206," ","")&amp;")")</f>
        <v/>
      </c>
      <c r="R1206">
        <f>IF($A1206="","",$B1206&amp;" - "&amp;$C1206)</f>
        <v/>
      </c>
      <c r="S1206">
        <f>IF($A1206="","",$R1206&amp;"|"&amp;$Q1206)</f>
        <v/>
      </c>
      <c r="T1206">
        <f>IF($A1206="","",$S1206&amp;"|"&amp;$F1206)</f>
        <v/>
      </c>
      <c r="U1206">
        <f>IF($A1206="","",$R1206&amp;"("&amp;$E1206&amp;")")</f>
        <v/>
      </c>
      <c r="V1206">
        <f>IF($A1206="","",$F1206&amp;"|"&amp;$U1206&amp;"|"&amp;$D1206)</f>
        <v/>
      </c>
      <c r="W1206">
        <f>IF($T1206="","",IF($X1206&gt;N($X1205),$X1206,""))</f>
        <v/>
      </c>
      <c r="X1206">
        <f>IF($T1206="",N($X1205),IF(MATCH($T1206,$T$6:$T$6005,0)=ROW()-5,N($X1205)+1,N($X1205)))</f>
        <v/>
      </c>
      <c r="Z1206">
        <f>IF($V1206="","",IF($AA1206&gt;N($AA1205),$AA1206,""))</f>
        <v/>
      </c>
      <c r="AA1206">
        <f>IF($V1206="",N($AA1205),IF(MATCH($V1206,$V$6:$V$6005,0)=ROW()-5,N($AA1205)+1,N($AA1205)))</f>
        <v/>
      </c>
    </row>
    <row r="1207" ht="21" customHeight="1" s="66">
      <c r="A1207" s="56" t="n"/>
      <c r="B1207" s="57" t="n"/>
      <c r="C1207" s="57" t="n"/>
      <c r="D1207" s="57" t="n"/>
      <c r="E1207" s="56" t="n"/>
      <c r="F1207" s="57" t="n"/>
      <c r="G1207" s="57" t="n"/>
      <c r="H1207" s="56" t="n"/>
      <c r="I1207" s="56" t="n"/>
      <c r="J1207" s="58" t="n"/>
      <c r="K1207" s="58" t="n"/>
      <c r="L1207" s="13">
        <f>IF(OR($A1207="",AND($J1207="",$K1207="")),"",ROUND(N($J1207)-N($K1207),2))</f>
        <v/>
      </c>
      <c r="M1207" s="13">
        <f>IF(OR($A1207="",AND($J1207="",$K1207="")),"",MIN($J1207,$K1207))</f>
        <v/>
      </c>
      <c r="Q1207">
        <f>IF($A1207="","",$D1207&amp;"("&amp;SUBSTITUTE($E1207," ","")&amp;")")</f>
        <v/>
      </c>
      <c r="R1207">
        <f>IF($A1207="","",$B1207&amp;" - "&amp;$C1207)</f>
        <v/>
      </c>
      <c r="S1207">
        <f>IF($A1207="","",$R1207&amp;"|"&amp;$Q1207)</f>
        <v/>
      </c>
      <c r="T1207">
        <f>IF($A1207="","",$S1207&amp;"|"&amp;$F1207)</f>
        <v/>
      </c>
      <c r="U1207">
        <f>IF($A1207="","",$R1207&amp;"("&amp;$E1207&amp;")")</f>
        <v/>
      </c>
      <c r="V1207">
        <f>IF($A1207="","",$F1207&amp;"|"&amp;$U1207&amp;"|"&amp;$D1207)</f>
        <v/>
      </c>
      <c r="W1207">
        <f>IF($T1207="","",IF($X1207&gt;N($X1206),$X1207,""))</f>
        <v/>
      </c>
      <c r="X1207">
        <f>IF($T1207="",N($X1206),IF(MATCH($T1207,$T$6:$T$6005,0)=ROW()-5,N($X1206)+1,N($X1206)))</f>
        <v/>
      </c>
      <c r="Z1207">
        <f>IF($V1207="","",IF($AA1207&gt;N($AA1206),$AA1207,""))</f>
        <v/>
      </c>
      <c r="AA1207">
        <f>IF($V1207="",N($AA1206),IF(MATCH($V1207,$V$6:$V$6005,0)=ROW()-5,N($AA1206)+1,N($AA1206)))</f>
        <v/>
      </c>
    </row>
    <row r="1208" ht="21" customHeight="1" s="66">
      <c r="A1208" s="56" t="n"/>
      <c r="B1208" s="57" t="n"/>
      <c r="C1208" s="57" t="n"/>
      <c r="D1208" s="57" t="n"/>
      <c r="E1208" s="56" t="n"/>
      <c r="F1208" s="57" t="n"/>
      <c r="G1208" s="57" t="n"/>
      <c r="H1208" s="56" t="n"/>
      <c r="I1208" s="56" t="n"/>
      <c r="J1208" s="58" t="n"/>
      <c r="K1208" s="58" t="n"/>
      <c r="L1208" s="13">
        <f>IF(OR($A1208="",AND($J1208="",$K1208="")),"",ROUND(N($J1208)-N($K1208),2))</f>
        <v/>
      </c>
      <c r="M1208" s="13">
        <f>IF(OR($A1208="",AND($J1208="",$K1208="")),"",MIN($J1208,$K1208))</f>
        <v/>
      </c>
      <c r="Q1208">
        <f>IF($A1208="","",$D1208&amp;"("&amp;SUBSTITUTE($E1208," ","")&amp;")")</f>
        <v/>
      </c>
      <c r="R1208">
        <f>IF($A1208="","",$B1208&amp;" - "&amp;$C1208)</f>
        <v/>
      </c>
      <c r="S1208">
        <f>IF($A1208="","",$R1208&amp;"|"&amp;$Q1208)</f>
        <v/>
      </c>
      <c r="T1208">
        <f>IF($A1208="","",$S1208&amp;"|"&amp;$F1208)</f>
        <v/>
      </c>
      <c r="U1208">
        <f>IF($A1208="","",$R1208&amp;"("&amp;$E1208&amp;")")</f>
        <v/>
      </c>
      <c r="V1208">
        <f>IF($A1208="","",$F1208&amp;"|"&amp;$U1208&amp;"|"&amp;$D1208)</f>
        <v/>
      </c>
      <c r="W1208">
        <f>IF($T1208="","",IF($X1208&gt;N($X1207),$X1208,""))</f>
        <v/>
      </c>
      <c r="X1208">
        <f>IF($T1208="",N($X1207),IF(MATCH($T1208,$T$6:$T$6005,0)=ROW()-5,N($X1207)+1,N($X1207)))</f>
        <v/>
      </c>
      <c r="Z1208">
        <f>IF($V1208="","",IF($AA1208&gt;N($AA1207),$AA1208,""))</f>
        <v/>
      </c>
      <c r="AA1208">
        <f>IF($V1208="",N($AA1207),IF(MATCH($V1208,$V$6:$V$6005,0)=ROW()-5,N($AA1207)+1,N($AA1207)))</f>
        <v/>
      </c>
    </row>
    <row r="1209" ht="21" customHeight="1" s="66">
      <c r="A1209" s="56" t="n"/>
      <c r="B1209" s="57" t="n"/>
      <c r="C1209" s="57" t="n"/>
      <c r="D1209" s="57" t="n"/>
      <c r="E1209" s="56" t="n"/>
      <c r="F1209" s="57" t="n"/>
      <c r="G1209" s="57" t="n"/>
      <c r="H1209" s="56" t="n"/>
      <c r="I1209" s="56" t="n"/>
      <c r="J1209" s="58" t="n"/>
      <c r="K1209" s="58" t="n"/>
      <c r="L1209" s="13">
        <f>IF(OR($A1209="",AND($J1209="",$K1209="")),"",ROUND(N($J1209)-N($K1209),2))</f>
        <v/>
      </c>
      <c r="M1209" s="13">
        <f>IF(OR($A1209="",AND($J1209="",$K1209="")),"",MIN($J1209,$K1209))</f>
        <v/>
      </c>
      <c r="Q1209">
        <f>IF($A1209="","",$D1209&amp;"("&amp;SUBSTITUTE($E1209," ","")&amp;")")</f>
        <v/>
      </c>
      <c r="R1209">
        <f>IF($A1209="","",$B1209&amp;" - "&amp;$C1209)</f>
        <v/>
      </c>
      <c r="S1209">
        <f>IF($A1209="","",$R1209&amp;"|"&amp;$Q1209)</f>
        <v/>
      </c>
      <c r="T1209">
        <f>IF($A1209="","",$S1209&amp;"|"&amp;$F1209)</f>
        <v/>
      </c>
      <c r="U1209">
        <f>IF($A1209="","",$R1209&amp;"("&amp;$E1209&amp;")")</f>
        <v/>
      </c>
      <c r="V1209">
        <f>IF($A1209="","",$F1209&amp;"|"&amp;$U1209&amp;"|"&amp;$D1209)</f>
        <v/>
      </c>
      <c r="W1209">
        <f>IF($T1209="","",IF($X1209&gt;N($X1208),$X1209,""))</f>
        <v/>
      </c>
      <c r="X1209">
        <f>IF($T1209="",N($X1208),IF(MATCH($T1209,$T$6:$T$6005,0)=ROW()-5,N($X1208)+1,N($X1208)))</f>
        <v/>
      </c>
      <c r="Z1209">
        <f>IF($V1209="","",IF($AA1209&gt;N($AA1208),$AA1209,""))</f>
        <v/>
      </c>
      <c r="AA1209">
        <f>IF($V1209="",N($AA1208),IF(MATCH($V1209,$V$6:$V$6005,0)=ROW()-5,N($AA1208)+1,N($AA1208)))</f>
        <v/>
      </c>
    </row>
    <row r="1210" ht="21" customHeight="1" s="66">
      <c r="A1210" s="56" t="n"/>
      <c r="B1210" s="57" t="n"/>
      <c r="C1210" s="57" t="n"/>
      <c r="D1210" s="57" t="n"/>
      <c r="E1210" s="56" t="n"/>
      <c r="F1210" s="57" t="n"/>
      <c r="G1210" s="57" t="n"/>
      <c r="H1210" s="56" t="n"/>
      <c r="I1210" s="56" t="n"/>
      <c r="J1210" s="58" t="n"/>
      <c r="K1210" s="58" t="n"/>
      <c r="L1210" s="13">
        <f>IF(OR($A1210="",AND($J1210="",$K1210="")),"",ROUND(N($J1210)-N($K1210),2))</f>
        <v/>
      </c>
      <c r="M1210" s="13">
        <f>IF(OR($A1210="",AND($J1210="",$K1210="")),"",MIN($J1210,$K1210))</f>
        <v/>
      </c>
      <c r="Q1210">
        <f>IF($A1210="","",$D1210&amp;"("&amp;SUBSTITUTE($E1210," ","")&amp;")")</f>
        <v/>
      </c>
      <c r="R1210">
        <f>IF($A1210="","",$B1210&amp;" - "&amp;$C1210)</f>
        <v/>
      </c>
      <c r="S1210">
        <f>IF($A1210="","",$R1210&amp;"|"&amp;$Q1210)</f>
        <v/>
      </c>
      <c r="T1210">
        <f>IF($A1210="","",$S1210&amp;"|"&amp;$F1210)</f>
        <v/>
      </c>
      <c r="U1210">
        <f>IF($A1210="","",$R1210&amp;"("&amp;$E1210&amp;")")</f>
        <v/>
      </c>
      <c r="V1210">
        <f>IF($A1210="","",$F1210&amp;"|"&amp;$U1210&amp;"|"&amp;$D1210)</f>
        <v/>
      </c>
      <c r="W1210">
        <f>IF($T1210="","",IF($X1210&gt;N($X1209),$X1210,""))</f>
        <v/>
      </c>
      <c r="X1210">
        <f>IF($T1210="",N($X1209),IF(MATCH($T1210,$T$6:$T$6005,0)=ROW()-5,N($X1209)+1,N($X1209)))</f>
        <v/>
      </c>
      <c r="Z1210">
        <f>IF($V1210="","",IF($AA1210&gt;N($AA1209),$AA1210,""))</f>
        <v/>
      </c>
      <c r="AA1210">
        <f>IF($V1210="",N($AA1209),IF(MATCH($V1210,$V$6:$V$6005,0)=ROW()-5,N($AA1209)+1,N($AA1209)))</f>
        <v/>
      </c>
    </row>
    <row r="1211" ht="21" customHeight="1" s="66">
      <c r="A1211" s="56" t="n"/>
      <c r="B1211" s="57" t="n"/>
      <c r="C1211" s="57" t="n"/>
      <c r="D1211" s="57" t="n"/>
      <c r="E1211" s="56" t="n"/>
      <c r="F1211" s="57" t="n"/>
      <c r="G1211" s="57" t="n"/>
      <c r="H1211" s="56" t="n"/>
      <c r="I1211" s="56" t="n"/>
      <c r="J1211" s="58" t="n"/>
      <c r="K1211" s="58" t="n"/>
      <c r="L1211" s="13">
        <f>IF(OR($A1211="",AND($J1211="",$K1211="")),"",ROUND(N($J1211)-N($K1211),2))</f>
        <v/>
      </c>
      <c r="M1211" s="13">
        <f>IF(OR($A1211="",AND($J1211="",$K1211="")),"",MIN($J1211,$K1211))</f>
        <v/>
      </c>
      <c r="Q1211">
        <f>IF($A1211="","",$D1211&amp;"("&amp;SUBSTITUTE($E1211," ","")&amp;")")</f>
        <v/>
      </c>
      <c r="R1211">
        <f>IF($A1211="","",$B1211&amp;" - "&amp;$C1211)</f>
        <v/>
      </c>
      <c r="S1211">
        <f>IF($A1211="","",$R1211&amp;"|"&amp;$Q1211)</f>
        <v/>
      </c>
      <c r="T1211">
        <f>IF($A1211="","",$S1211&amp;"|"&amp;$F1211)</f>
        <v/>
      </c>
      <c r="U1211">
        <f>IF($A1211="","",$R1211&amp;"("&amp;$E1211&amp;")")</f>
        <v/>
      </c>
      <c r="V1211">
        <f>IF($A1211="","",$F1211&amp;"|"&amp;$U1211&amp;"|"&amp;$D1211)</f>
        <v/>
      </c>
      <c r="W1211">
        <f>IF($T1211="","",IF($X1211&gt;N($X1210),$X1211,""))</f>
        <v/>
      </c>
      <c r="X1211">
        <f>IF($T1211="",N($X1210),IF(MATCH($T1211,$T$6:$T$6005,0)=ROW()-5,N($X1210)+1,N($X1210)))</f>
        <v/>
      </c>
      <c r="Z1211">
        <f>IF($V1211="","",IF($AA1211&gt;N($AA1210),$AA1211,""))</f>
        <v/>
      </c>
      <c r="AA1211">
        <f>IF($V1211="",N($AA1210),IF(MATCH($V1211,$V$6:$V$6005,0)=ROW()-5,N($AA1210)+1,N($AA1210)))</f>
        <v/>
      </c>
    </row>
    <row r="1212" ht="21" customHeight="1" s="66">
      <c r="A1212" s="56" t="n"/>
      <c r="B1212" s="57" t="n"/>
      <c r="C1212" s="57" t="n"/>
      <c r="D1212" s="57" t="n"/>
      <c r="E1212" s="56" t="n"/>
      <c r="F1212" s="57" t="n"/>
      <c r="G1212" s="57" t="n"/>
      <c r="H1212" s="56" t="n"/>
      <c r="I1212" s="56" t="n"/>
      <c r="J1212" s="58" t="n"/>
      <c r="K1212" s="58" t="n"/>
      <c r="L1212" s="13">
        <f>IF(OR($A1212="",AND($J1212="",$K1212="")),"",ROUND(N($J1212)-N($K1212),2))</f>
        <v/>
      </c>
      <c r="M1212" s="13">
        <f>IF(OR($A1212="",AND($J1212="",$K1212="")),"",MIN($J1212,$K1212))</f>
        <v/>
      </c>
      <c r="Q1212">
        <f>IF($A1212="","",$D1212&amp;"("&amp;SUBSTITUTE($E1212," ","")&amp;")")</f>
        <v/>
      </c>
      <c r="R1212">
        <f>IF($A1212="","",$B1212&amp;" - "&amp;$C1212)</f>
        <v/>
      </c>
      <c r="S1212">
        <f>IF($A1212="","",$R1212&amp;"|"&amp;$Q1212)</f>
        <v/>
      </c>
      <c r="T1212">
        <f>IF($A1212="","",$S1212&amp;"|"&amp;$F1212)</f>
        <v/>
      </c>
      <c r="U1212">
        <f>IF($A1212="","",$R1212&amp;"("&amp;$E1212&amp;")")</f>
        <v/>
      </c>
      <c r="V1212">
        <f>IF($A1212="","",$F1212&amp;"|"&amp;$U1212&amp;"|"&amp;$D1212)</f>
        <v/>
      </c>
      <c r="W1212">
        <f>IF($T1212="","",IF($X1212&gt;N($X1211),$X1212,""))</f>
        <v/>
      </c>
      <c r="X1212">
        <f>IF($T1212="",N($X1211),IF(MATCH($T1212,$T$6:$T$6005,0)=ROW()-5,N($X1211)+1,N($X1211)))</f>
        <v/>
      </c>
      <c r="Z1212">
        <f>IF($V1212="","",IF($AA1212&gt;N($AA1211),$AA1212,""))</f>
        <v/>
      </c>
      <c r="AA1212">
        <f>IF($V1212="",N($AA1211),IF(MATCH($V1212,$V$6:$V$6005,0)=ROW()-5,N($AA1211)+1,N($AA1211)))</f>
        <v/>
      </c>
    </row>
    <row r="1213" ht="21" customHeight="1" s="66">
      <c r="A1213" s="56" t="n"/>
      <c r="B1213" s="57" t="n"/>
      <c r="C1213" s="57" t="n"/>
      <c r="D1213" s="57" t="n"/>
      <c r="E1213" s="56" t="n"/>
      <c r="F1213" s="57" t="n"/>
      <c r="G1213" s="57" t="n"/>
      <c r="H1213" s="56" t="n"/>
      <c r="I1213" s="56" t="n"/>
      <c r="J1213" s="58" t="n"/>
      <c r="K1213" s="58" t="n"/>
      <c r="L1213" s="13">
        <f>IF(OR($A1213="",AND($J1213="",$K1213="")),"",ROUND(N($J1213)-N($K1213),2))</f>
        <v/>
      </c>
      <c r="M1213" s="13">
        <f>IF(OR($A1213="",AND($J1213="",$K1213="")),"",MIN($J1213,$K1213))</f>
        <v/>
      </c>
      <c r="Q1213">
        <f>IF($A1213="","",$D1213&amp;"("&amp;SUBSTITUTE($E1213," ","")&amp;")")</f>
        <v/>
      </c>
      <c r="R1213">
        <f>IF($A1213="","",$B1213&amp;" - "&amp;$C1213)</f>
        <v/>
      </c>
      <c r="S1213">
        <f>IF($A1213="","",$R1213&amp;"|"&amp;$Q1213)</f>
        <v/>
      </c>
      <c r="T1213">
        <f>IF($A1213="","",$S1213&amp;"|"&amp;$F1213)</f>
        <v/>
      </c>
      <c r="U1213">
        <f>IF($A1213="","",$R1213&amp;"("&amp;$E1213&amp;")")</f>
        <v/>
      </c>
      <c r="V1213">
        <f>IF($A1213="","",$F1213&amp;"|"&amp;$U1213&amp;"|"&amp;$D1213)</f>
        <v/>
      </c>
      <c r="W1213">
        <f>IF($T1213="","",IF($X1213&gt;N($X1212),$X1213,""))</f>
        <v/>
      </c>
      <c r="X1213">
        <f>IF($T1213="",N($X1212),IF(MATCH($T1213,$T$6:$T$6005,0)=ROW()-5,N($X1212)+1,N($X1212)))</f>
        <v/>
      </c>
      <c r="Z1213">
        <f>IF($V1213="","",IF($AA1213&gt;N($AA1212),$AA1213,""))</f>
        <v/>
      </c>
      <c r="AA1213">
        <f>IF($V1213="",N($AA1212),IF(MATCH($V1213,$V$6:$V$6005,0)=ROW()-5,N($AA1212)+1,N($AA1212)))</f>
        <v/>
      </c>
    </row>
    <row r="1214" ht="21" customHeight="1" s="66">
      <c r="A1214" s="56" t="n"/>
      <c r="B1214" s="57" t="n"/>
      <c r="C1214" s="57" t="n"/>
      <c r="D1214" s="57" t="n"/>
      <c r="E1214" s="56" t="n"/>
      <c r="F1214" s="57" t="n"/>
      <c r="G1214" s="57" t="n"/>
      <c r="H1214" s="56" t="n"/>
      <c r="I1214" s="56" t="n"/>
      <c r="J1214" s="58" t="n"/>
      <c r="K1214" s="58" t="n"/>
      <c r="L1214" s="13">
        <f>IF(OR($A1214="",AND($J1214="",$K1214="")),"",ROUND(N($J1214)-N($K1214),2))</f>
        <v/>
      </c>
      <c r="M1214" s="13">
        <f>IF(OR($A1214="",AND($J1214="",$K1214="")),"",MIN($J1214,$K1214))</f>
        <v/>
      </c>
      <c r="Q1214">
        <f>IF($A1214="","",$D1214&amp;"("&amp;SUBSTITUTE($E1214," ","")&amp;")")</f>
        <v/>
      </c>
      <c r="R1214">
        <f>IF($A1214="","",$B1214&amp;" - "&amp;$C1214)</f>
        <v/>
      </c>
      <c r="S1214">
        <f>IF($A1214="","",$R1214&amp;"|"&amp;$Q1214)</f>
        <v/>
      </c>
      <c r="T1214">
        <f>IF($A1214="","",$S1214&amp;"|"&amp;$F1214)</f>
        <v/>
      </c>
      <c r="U1214">
        <f>IF($A1214="","",$R1214&amp;"("&amp;$E1214&amp;")")</f>
        <v/>
      </c>
      <c r="V1214">
        <f>IF($A1214="","",$F1214&amp;"|"&amp;$U1214&amp;"|"&amp;$D1214)</f>
        <v/>
      </c>
      <c r="W1214">
        <f>IF($T1214="","",IF($X1214&gt;N($X1213),$X1214,""))</f>
        <v/>
      </c>
      <c r="X1214">
        <f>IF($T1214="",N($X1213),IF(MATCH($T1214,$T$6:$T$6005,0)=ROW()-5,N($X1213)+1,N($X1213)))</f>
        <v/>
      </c>
      <c r="Z1214">
        <f>IF($V1214="","",IF($AA1214&gt;N($AA1213),$AA1214,""))</f>
        <v/>
      </c>
      <c r="AA1214">
        <f>IF($V1214="",N($AA1213),IF(MATCH($V1214,$V$6:$V$6005,0)=ROW()-5,N($AA1213)+1,N($AA1213)))</f>
        <v/>
      </c>
    </row>
    <row r="1215" ht="21" customHeight="1" s="66">
      <c r="A1215" s="56" t="n"/>
      <c r="B1215" s="57" t="n"/>
      <c r="C1215" s="57" t="n"/>
      <c r="D1215" s="57" t="n"/>
      <c r="E1215" s="56" t="n"/>
      <c r="F1215" s="57" t="n"/>
      <c r="G1215" s="57" t="n"/>
      <c r="H1215" s="56" t="n"/>
      <c r="I1215" s="56" t="n"/>
      <c r="J1215" s="58" t="n"/>
      <c r="K1215" s="58" t="n"/>
      <c r="L1215" s="13">
        <f>IF(OR($A1215="",AND($J1215="",$K1215="")),"",ROUND(N($J1215)-N($K1215),2))</f>
        <v/>
      </c>
      <c r="M1215" s="13">
        <f>IF(OR($A1215="",AND($J1215="",$K1215="")),"",MIN($J1215,$K1215))</f>
        <v/>
      </c>
      <c r="Q1215">
        <f>IF($A1215="","",$D1215&amp;"("&amp;SUBSTITUTE($E1215," ","")&amp;")")</f>
        <v/>
      </c>
      <c r="R1215">
        <f>IF($A1215="","",$B1215&amp;" - "&amp;$C1215)</f>
        <v/>
      </c>
      <c r="S1215">
        <f>IF($A1215="","",$R1215&amp;"|"&amp;$Q1215)</f>
        <v/>
      </c>
      <c r="T1215">
        <f>IF($A1215="","",$S1215&amp;"|"&amp;$F1215)</f>
        <v/>
      </c>
      <c r="U1215">
        <f>IF($A1215="","",$R1215&amp;"("&amp;$E1215&amp;")")</f>
        <v/>
      </c>
      <c r="V1215">
        <f>IF($A1215="","",$F1215&amp;"|"&amp;$U1215&amp;"|"&amp;$D1215)</f>
        <v/>
      </c>
      <c r="W1215">
        <f>IF($T1215="","",IF($X1215&gt;N($X1214),$X1215,""))</f>
        <v/>
      </c>
      <c r="X1215">
        <f>IF($T1215="",N($X1214),IF(MATCH($T1215,$T$6:$T$6005,0)=ROW()-5,N($X1214)+1,N($X1214)))</f>
        <v/>
      </c>
      <c r="Z1215">
        <f>IF($V1215="","",IF($AA1215&gt;N($AA1214),$AA1215,""))</f>
        <v/>
      </c>
      <c r="AA1215">
        <f>IF($V1215="",N($AA1214),IF(MATCH($V1215,$V$6:$V$6005,0)=ROW()-5,N($AA1214)+1,N($AA1214)))</f>
        <v/>
      </c>
    </row>
    <row r="1216" ht="21" customHeight="1" s="66">
      <c r="A1216" s="56" t="n"/>
      <c r="B1216" s="57" t="n"/>
      <c r="C1216" s="57" t="n"/>
      <c r="D1216" s="57" t="n"/>
      <c r="E1216" s="56" t="n"/>
      <c r="F1216" s="57" t="n"/>
      <c r="G1216" s="57" t="n"/>
      <c r="H1216" s="56" t="n"/>
      <c r="I1216" s="56" t="n"/>
      <c r="J1216" s="58" t="n"/>
      <c r="K1216" s="58" t="n"/>
      <c r="L1216" s="13">
        <f>IF(OR($A1216="",AND($J1216="",$K1216="")),"",ROUND(N($J1216)-N($K1216),2))</f>
        <v/>
      </c>
      <c r="M1216" s="13">
        <f>IF(OR($A1216="",AND($J1216="",$K1216="")),"",MIN($J1216,$K1216))</f>
        <v/>
      </c>
      <c r="Q1216">
        <f>IF($A1216="","",$D1216&amp;"("&amp;SUBSTITUTE($E1216," ","")&amp;")")</f>
        <v/>
      </c>
      <c r="R1216">
        <f>IF($A1216="","",$B1216&amp;" - "&amp;$C1216)</f>
        <v/>
      </c>
      <c r="S1216">
        <f>IF($A1216="","",$R1216&amp;"|"&amp;$Q1216)</f>
        <v/>
      </c>
      <c r="T1216">
        <f>IF($A1216="","",$S1216&amp;"|"&amp;$F1216)</f>
        <v/>
      </c>
      <c r="U1216">
        <f>IF($A1216="","",$R1216&amp;"("&amp;$E1216&amp;")")</f>
        <v/>
      </c>
      <c r="V1216">
        <f>IF($A1216="","",$F1216&amp;"|"&amp;$U1216&amp;"|"&amp;$D1216)</f>
        <v/>
      </c>
      <c r="W1216">
        <f>IF($T1216="","",IF($X1216&gt;N($X1215),$X1216,""))</f>
        <v/>
      </c>
      <c r="X1216">
        <f>IF($T1216="",N($X1215),IF(MATCH($T1216,$T$6:$T$6005,0)=ROW()-5,N($X1215)+1,N($X1215)))</f>
        <v/>
      </c>
      <c r="Z1216">
        <f>IF($V1216="","",IF($AA1216&gt;N($AA1215),$AA1216,""))</f>
        <v/>
      </c>
      <c r="AA1216">
        <f>IF($V1216="",N($AA1215),IF(MATCH($V1216,$V$6:$V$6005,0)=ROW()-5,N($AA1215)+1,N($AA1215)))</f>
        <v/>
      </c>
    </row>
    <row r="1217" ht="21" customHeight="1" s="66">
      <c r="A1217" s="56" t="n"/>
      <c r="B1217" s="57" t="n"/>
      <c r="C1217" s="57" t="n"/>
      <c r="D1217" s="57" t="n"/>
      <c r="E1217" s="56" t="n"/>
      <c r="F1217" s="57" t="n"/>
      <c r="G1217" s="57" t="n"/>
      <c r="H1217" s="56" t="n"/>
      <c r="I1217" s="56" t="n"/>
      <c r="J1217" s="58" t="n"/>
      <c r="K1217" s="58" t="n"/>
      <c r="L1217" s="13">
        <f>IF(OR($A1217="",AND($J1217="",$K1217="")),"",ROUND(N($J1217)-N($K1217),2))</f>
        <v/>
      </c>
      <c r="M1217" s="13">
        <f>IF(OR($A1217="",AND($J1217="",$K1217="")),"",MIN($J1217,$K1217))</f>
        <v/>
      </c>
      <c r="Q1217">
        <f>IF($A1217="","",$D1217&amp;"("&amp;SUBSTITUTE($E1217," ","")&amp;")")</f>
        <v/>
      </c>
      <c r="R1217">
        <f>IF($A1217="","",$B1217&amp;" - "&amp;$C1217)</f>
        <v/>
      </c>
      <c r="S1217">
        <f>IF($A1217="","",$R1217&amp;"|"&amp;$Q1217)</f>
        <v/>
      </c>
      <c r="T1217">
        <f>IF($A1217="","",$S1217&amp;"|"&amp;$F1217)</f>
        <v/>
      </c>
      <c r="U1217">
        <f>IF($A1217="","",$R1217&amp;"("&amp;$E1217&amp;")")</f>
        <v/>
      </c>
      <c r="V1217">
        <f>IF($A1217="","",$F1217&amp;"|"&amp;$U1217&amp;"|"&amp;$D1217)</f>
        <v/>
      </c>
      <c r="W1217">
        <f>IF($T1217="","",IF($X1217&gt;N($X1216),$X1217,""))</f>
        <v/>
      </c>
      <c r="X1217">
        <f>IF($T1217="",N($X1216),IF(MATCH($T1217,$T$6:$T$6005,0)=ROW()-5,N($X1216)+1,N($X1216)))</f>
        <v/>
      </c>
      <c r="Z1217">
        <f>IF($V1217="","",IF($AA1217&gt;N($AA1216),$AA1217,""))</f>
        <v/>
      </c>
      <c r="AA1217">
        <f>IF($V1217="",N($AA1216),IF(MATCH($V1217,$V$6:$V$6005,0)=ROW()-5,N($AA1216)+1,N($AA1216)))</f>
        <v/>
      </c>
    </row>
    <row r="1218" ht="21" customHeight="1" s="66">
      <c r="A1218" s="56" t="n"/>
      <c r="B1218" s="57" t="n"/>
      <c r="C1218" s="57" t="n"/>
      <c r="D1218" s="57" t="n"/>
      <c r="E1218" s="56" t="n"/>
      <c r="F1218" s="57" t="n"/>
      <c r="G1218" s="57" t="n"/>
      <c r="H1218" s="56" t="n"/>
      <c r="I1218" s="56" t="n"/>
      <c r="J1218" s="58" t="n"/>
      <c r="K1218" s="58" t="n"/>
      <c r="L1218" s="13">
        <f>IF(OR($A1218="",AND($J1218="",$K1218="")),"",ROUND(N($J1218)-N($K1218),2))</f>
        <v/>
      </c>
      <c r="M1218" s="13">
        <f>IF(OR($A1218="",AND($J1218="",$K1218="")),"",MIN($J1218,$K1218))</f>
        <v/>
      </c>
      <c r="Q1218">
        <f>IF($A1218="","",$D1218&amp;"("&amp;SUBSTITUTE($E1218," ","")&amp;")")</f>
        <v/>
      </c>
      <c r="R1218">
        <f>IF($A1218="","",$B1218&amp;" - "&amp;$C1218)</f>
        <v/>
      </c>
      <c r="S1218">
        <f>IF($A1218="","",$R1218&amp;"|"&amp;$Q1218)</f>
        <v/>
      </c>
      <c r="T1218">
        <f>IF($A1218="","",$S1218&amp;"|"&amp;$F1218)</f>
        <v/>
      </c>
      <c r="U1218">
        <f>IF($A1218="","",$R1218&amp;"("&amp;$E1218&amp;")")</f>
        <v/>
      </c>
      <c r="V1218">
        <f>IF($A1218="","",$F1218&amp;"|"&amp;$U1218&amp;"|"&amp;$D1218)</f>
        <v/>
      </c>
      <c r="W1218">
        <f>IF($T1218="","",IF($X1218&gt;N($X1217),$X1218,""))</f>
        <v/>
      </c>
      <c r="X1218">
        <f>IF($T1218="",N($X1217),IF(MATCH($T1218,$T$6:$T$6005,0)=ROW()-5,N($X1217)+1,N($X1217)))</f>
        <v/>
      </c>
      <c r="Z1218">
        <f>IF($V1218="","",IF($AA1218&gt;N($AA1217),$AA1218,""))</f>
        <v/>
      </c>
      <c r="AA1218">
        <f>IF($V1218="",N($AA1217),IF(MATCH($V1218,$V$6:$V$6005,0)=ROW()-5,N($AA1217)+1,N($AA1217)))</f>
        <v/>
      </c>
    </row>
    <row r="1219" ht="21" customHeight="1" s="66">
      <c r="A1219" s="56" t="n"/>
      <c r="B1219" s="57" t="n"/>
      <c r="C1219" s="57" t="n"/>
      <c r="D1219" s="57" t="n"/>
      <c r="E1219" s="56" t="n"/>
      <c r="F1219" s="57" t="n"/>
      <c r="G1219" s="57" t="n"/>
      <c r="H1219" s="56" t="n"/>
      <c r="I1219" s="56" t="n"/>
      <c r="J1219" s="58" t="n"/>
      <c r="K1219" s="58" t="n"/>
      <c r="L1219" s="13">
        <f>IF(OR($A1219="",AND($J1219="",$K1219="")),"",ROUND(N($J1219)-N($K1219),2))</f>
        <v/>
      </c>
      <c r="M1219" s="13">
        <f>IF(OR($A1219="",AND($J1219="",$K1219="")),"",MIN($J1219,$K1219))</f>
        <v/>
      </c>
      <c r="Q1219">
        <f>IF($A1219="","",$D1219&amp;"("&amp;SUBSTITUTE($E1219," ","")&amp;")")</f>
        <v/>
      </c>
      <c r="R1219">
        <f>IF($A1219="","",$B1219&amp;" - "&amp;$C1219)</f>
        <v/>
      </c>
      <c r="S1219">
        <f>IF($A1219="","",$R1219&amp;"|"&amp;$Q1219)</f>
        <v/>
      </c>
      <c r="T1219">
        <f>IF($A1219="","",$S1219&amp;"|"&amp;$F1219)</f>
        <v/>
      </c>
      <c r="U1219">
        <f>IF($A1219="","",$R1219&amp;"("&amp;$E1219&amp;")")</f>
        <v/>
      </c>
      <c r="V1219">
        <f>IF($A1219="","",$F1219&amp;"|"&amp;$U1219&amp;"|"&amp;$D1219)</f>
        <v/>
      </c>
      <c r="W1219">
        <f>IF($T1219="","",IF($X1219&gt;N($X1218),$X1219,""))</f>
        <v/>
      </c>
      <c r="X1219">
        <f>IF($T1219="",N($X1218),IF(MATCH($T1219,$T$6:$T$6005,0)=ROW()-5,N($X1218)+1,N($X1218)))</f>
        <v/>
      </c>
      <c r="Z1219">
        <f>IF($V1219="","",IF($AA1219&gt;N($AA1218),$AA1219,""))</f>
        <v/>
      </c>
      <c r="AA1219">
        <f>IF($V1219="",N($AA1218),IF(MATCH($V1219,$V$6:$V$6005,0)=ROW()-5,N($AA1218)+1,N($AA1218)))</f>
        <v/>
      </c>
    </row>
    <row r="1220" ht="21" customHeight="1" s="66">
      <c r="A1220" s="56" t="n"/>
      <c r="B1220" s="57" t="n"/>
      <c r="C1220" s="57" t="n"/>
      <c r="D1220" s="57" t="n"/>
      <c r="E1220" s="56" t="n"/>
      <c r="F1220" s="57" t="n"/>
      <c r="G1220" s="57" t="n"/>
      <c r="H1220" s="56" t="n"/>
      <c r="I1220" s="56" t="n"/>
      <c r="J1220" s="58" t="n"/>
      <c r="K1220" s="58" t="n"/>
      <c r="L1220" s="13">
        <f>IF(OR($A1220="",AND($J1220="",$K1220="")),"",ROUND(N($J1220)-N($K1220),2))</f>
        <v/>
      </c>
      <c r="M1220" s="13">
        <f>IF(OR($A1220="",AND($J1220="",$K1220="")),"",MIN($J1220,$K1220))</f>
        <v/>
      </c>
      <c r="Q1220">
        <f>IF($A1220="","",$D1220&amp;"("&amp;SUBSTITUTE($E1220," ","")&amp;")")</f>
        <v/>
      </c>
      <c r="R1220">
        <f>IF($A1220="","",$B1220&amp;" - "&amp;$C1220)</f>
        <v/>
      </c>
      <c r="S1220">
        <f>IF($A1220="","",$R1220&amp;"|"&amp;$Q1220)</f>
        <v/>
      </c>
      <c r="T1220">
        <f>IF($A1220="","",$S1220&amp;"|"&amp;$F1220)</f>
        <v/>
      </c>
      <c r="U1220">
        <f>IF($A1220="","",$R1220&amp;"("&amp;$E1220&amp;")")</f>
        <v/>
      </c>
      <c r="V1220">
        <f>IF($A1220="","",$F1220&amp;"|"&amp;$U1220&amp;"|"&amp;$D1220)</f>
        <v/>
      </c>
      <c r="W1220">
        <f>IF($T1220="","",IF($X1220&gt;N($X1219),$X1220,""))</f>
        <v/>
      </c>
      <c r="X1220">
        <f>IF($T1220="",N($X1219),IF(MATCH($T1220,$T$6:$T$6005,0)=ROW()-5,N($X1219)+1,N($X1219)))</f>
        <v/>
      </c>
      <c r="Z1220">
        <f>IF($V1220="","",IF($AA1220&gt;N($AA1219),$AA1220,""))</f>
        <v/>
      </c>
      <c r="AA1220">
        <f>IF($V1220="",N($AA1219),IF(MATCH($V1220,$V$6:$V$6005,0)=ROW()-5,N($AA1219)+1,N($AA1219)))</f>
        <v/>
      </c>
    </row>
    <row r="1221" ht="21" customHeight="1" s="66">
      <c r="A1221" s="56" t="n"/>
      <c r="B1221" s="57" t="n"/>
      <c r="C1221" s="57" t="n"/>
      <c r="D1221" s="57" t="n"/>
      <c r="E1221" s="56" t="n"/>
      <c r="F1221" s="57" t="n"/>
      <c r="G1221" s="57" t="n"/>
      <c r="H1221" s="56" t="n"/>
      <c r="I1221" s="56" t="n"/>
      <c r="J1221" s="58" t="n"/>
      <c r="K1221" s="58" t="n"/>
      <c r="L1221" s="13">
        <f>IF(OR($A1221="",AND($J1221="",$K1221="")),"",ROUND(N($J1221)-N($K1221),2))</f>
        <v/>
      </c>
      <c r="M1221" s="13">
        <f>IF(OR($A1221="",AND($J1221="",$K1221="")),"",MIN($J1221,$K1221))</f>
        <v/>
      </c>
      <c r="Q1221">
        <f>IF($A1221="","",$D1221&amp;"("&amp;SUBSTITUTE($E1221," ","")&amp;")")</f>
        <v/>
      </c>
      <c r="R1221">
        <f>IF($A1221="","",$B1221&amp;" - "&amp;$C1221)</f>
        <v/>
      </c>
      <c r="S1221">
        <f>IF($A1221="","",$R1221&amp;"|"&amp;$Q1221)</f>
        <v/>
      </c>
      <c r="T1221">
        <f>IF($A1221="","",$S1221&amp;"|"&amp;$F1221)</f>
        <v/>
      </c>
      <c r="U1221">
        <f>IF($A1221="","",$R1221&amp;"("&amp;$E1221&amp;")")</f>
        <v/>
      </c>
      <c r="V1221">
        <f>IF($A1221="","",$F1221&amp;"|"&amp;$U1221&amp;"|"&amp;$D1221)</f>
        <v/>
      </c>
      <c r="W1221">
        <f>IF($T1221="","",IF($X1221&gt;N($X1220),$X1221,""))</f>
        <v/>
      </c>
      <c r="X1221">
        <f>IF($T1221="",N($X1220),IF(MATCH($T1221,$T$6:$T$6005,0)=ROW()-5,N($X1220)+1,N($X1220)))</f>
        <v/>
      </c>
      <c r="Z1221">
        <f>IF($V1221="","",IF($AA1221&gt;N($AA1220),$AA1221,""))</f>
        <v/>
      </c>
      <c r="AA1221">
        <f>IF($V1221="",N($AA1220),IF(MATCH($V1221,$V$6:$V$6005,0)=ROW()-5,N($AA1220)+1,N($AA1220)))</f>
        <v/>
      </c>
    </row>
    <row r="1222" ht="21" customHeight="1" s="66">
      <c r="A1222" s="56" t="n"/>
      <c r="B1222" s="57" t="n"/>
      <c r="C1222" s="57" t="n"/>
      <c r="D1222" s="57" t="n"/>
      <c r="E1222" s="56" t="n"/>
      <c r="F1222" s="57" t="n"/>
      <c r="G1222" s="57" t="n"/>
      <c r="H1222" s="56" t="n"/>
      <c r="I1222" s="56" t="n"/>
      <c r="J1222" s="58" t="n"/>
      <c r="K1222" s="58" t="n"/>
      <c r="L1222" s="13">
        <f>IF(OR($A1222="",AND($J1222="",$K1222="")),"",ROUND(N($J1222)-N($K1222),2))</f>
        <v/>
      </c>
      <c r="M1222" s="13">
        <f>IF(OR($A1222="",AND($J1222="",$K1222="")),"",MIN($J1222,$K1222))</f>
        <v/>
      </c>
      <c r="Q1222">
        <f>IF($A1222="","",$D1222&amp;"("&amp;SUBSTITUTE($E1222," ","")&amp;")")</f>
        <v/>
      </c>
      <c r="R1222">
        <f>IF($A1222="","",$B1222&amp;" - "&amp;$C1222)</f>
        <v/>
      </c>
      <c r="S1222">
        <f>IF($A1222="","",$R1222&amp;"|"&amp;$Q1222)</f>
        <v/>
      </c>
      <c r="T1222">
        <f>IF($A1222="","",$S1222&amp;"|"&amp;$F1222)</f>
        <v/>
      </c>
      <c r="U1222">
        <f>IF($A1222="","",$R1222&amp;"("&amp;$E1222&amp;")")</f>
        <v/>
      </c>
      <c r="V1222">
        <f>IF($A1222="","",$F1222&amp;"|"&amp;$U1222&amp;"|"&amp;$D1222)</f>
        <v/>
      </c>
      <c r="W1222">
        <f>IF($T1222="","",IF($X1222&gt;N($X1221),$X1222,""))</f>
        <v/>
      </c>
      <c r="X1222">
        <f>IF($T1222="",N($X1221),IF(MATCH($T1222,$T$6:$T$6005,0)=ROW()-5,N($X1221)+1,N($X1221)))</f>
        <v/>
      </c>
      <c r="Z1222">
        <f>IF($V1222="","",IF($AA1222&gt;N($AA1221),$AA1222,""))</f>
        <v/>
      </c>
      <c r="AA1222">
        <f>IF($V1222="",N($AA1221),IF(MATCH($V1222,$V$6:$V$6005,0)=ROW()-5,N($AA1221)+1,N($AA1221)))</f>
        <v/>
      </c>
    </row>
    <row r="1223" ht="21" customHeight="1" s="66">
      <c r="A1223" s="56" t="n"/>
      <c r="B1223" s="57" t="n"/>
      <c r="C1223" s="57" t="n"/>
      <c r="D1223" s="57" t="n"/>
      <c r="E1223" s="56" t="n"/>
      <c r="F1223" s="57" t="n"/>
      <c r="G1223" s="57" t="n"/>
      <c r="H1223" s="56" t="n"/>
      <c r="I1223" s="56" t="n"/>
      <c r="J1223" s="58" t="n"/>
      <c r="K1223" s="58" t="n"/>
      <c r="L1223" s="13">
        <f>IF(OR($A1223="",AND($J1223="",$K1223="")),"",ROUND(N($J1223)-N($K1223),2))</f>
        <v/>
      </c>
      <c r="M1223" s="13">
        <f>IF(OR($A1223="",AND($J1223="",$K1223="")),"",MIN($J1223,$K1223))</f>
        <v/>
      </c>
      <c r="Q1223">
        <f>IF($A1223="","",$D1223&amp;"("&amp;SUBSTITUTE($E1223," ","")&amp;")")</f>
        <v/>
      </c>
      <c r="R1223">
        <f>IF($A1223="","",$B1223&amp;" - "&amp;$C1223)</f>
        <v/>
      </c>
      <c r="S1223">
        <f>IF($A1223="","",$R1223&amp;"|"&amp;$Q1223)</f>
        <v/>
      </c>
      <c r="T1223">
        <f>IF($A1223="","",$S1223&amp;"|"&amp;$F1223)</f>
        <v/>
      </c>
      <c r="U1223">
        <f>IF($A1223="","",$R1223&amp;"("&amp;$E1223&amp;")")</f>
        <v/>
      </c>
      <c r="V1223">
        <f>IF($A1223="","",$F1223&amp;"|"&amp;$U1223&amp;"|"&amp;$D1223)</f>
        <v/>
      </c>
      <c r="W1223">
        <f>IF($T1223="","",IF($X1223&gt;N($X1222),$X1223,""))</f>
        <v/>
      </c>
      <c r="X1223">
        <f>IF($T1223="",N($X1222),IF(MATCH($T1223,$T$6:$T$6005,0)=ROW()-5,N($X1222)+1,N($X1222)))</f>
        <v/>
      </c>
      <c r="Z1223">
        <f>IF($V1223="","",IF($AA1223&gt;N($AA1222),$AA1223,""))</f>
        <v/>
      </c>
      <c r="AA1223">
        <f>IF($V1223="",N($AA1222),IF(MATCH($V1223,$V$6:$V$6005,0)=ROW()-5,N($AA1222)+1,N($AA1222)))</f>
        <v/>
      </c>
    </row>
    <row r="1224" ht="21" customHeight="1" s="66">
      <c r="A1224" s="56" t="n"/>
      <c r="B1224" s="57" t="n"/>
      <c r="C1224" s="57" t="n"/>
      <c r="D1224" s="57" t="n"/>
      <c r="E1224" s="56" t="n"/>
      <c r="F1224" s="57" t="n"/>
      <c r="G1224" s="57" t="n"/>
      <c r="H1224" s="56" t="n"/>
      <c r="I1224" s="56" t="n"/>
      <c r="J1224" s="58" t="n"/>
      <c r="K1224" s="58" t="n"/>
      <c r="L1224" s="13">
        <f>IF(OR($A1224="",AND($J1224="",$K1224="")),"",ROUND(N($J1224)-N($K1224),2))</f>
        <v/>
      </c>
      <c r="M1224" s="13">
        <f>IF(OR($A1224="",AND($J1224="",$K1224="")),"",MIN($J1224,$K1224))</f>
        <v/>
      </c>
      <c r="Q1224">
        <f>IF($A1224="","",$D1224&amp;"("&amp;SUBSTITUTE($E1224," ","")&amp;")")</f>
        <v/>
      </c>
      <c r="R1224">
        <f>IF($A1224="","",$B1224&amp;" - "&amp;$C1224)</f>
        <v/>
      </c>
      <c r="S1224">
        <f>IF($A1224="","",$R1224&amp;"|"&amp;$Q1224)</f>
        <v/>
      </c>
      <c r="T1224">
        <f>IF($A1224="","",$S1224&amp;"|"&amp;$F1224)</f>
        <v/>
      </c>
      <c r="U1224">
        <f>IF($A1224="","",$R1224&amp;"("&amp;$E1224&amp;")")</f>
        <v/>
      </c>
      <c r="V1224">
        <f>IF($A1224="","",$F1224&amp;"|"&amp;$U1224&amp;"|"&amp;$D1224)</f>
        <v/>
      </c>
      <c r="W1224">
        <f>IF($T1224="","",IF($X1224&gt;N($X1223),$X1224,""))</f>
        <v/>
      </c>
      <c r="X1224">
        <f>IF($T1224="",N($X1223),IF(MATCH($T1224,$T$6:$T$6005,0)=ROW()-5,N($X1223)+1,N($X1223)))</f>
        <v/>
      </c>
      <c r="Z1224">
        <f>IF($V1224="","",IF($AA1224&gt;N($AA1223),$AA1224,""))</f>
        <v/>
      </c>
      <c r="AA1224">
        <f>IF($V1224="",N($AA1223),IF(MATCH($V1224,$V$6:$V$6005,0)=ROW()-5,N($AA1223)+1,N($AA1223)))</f>
        <v/>
      </c>
    </row>
    <row r="1225" ht="21" customHeight="1" s="66">
      <c r="A1225" s="56" t="n"/>
      <c r="B1225" s="57" t="n"/>
      <c r="C1225" s="57" t="n"/>
      <c r="D1225" s="57" t="n"/>
      <c r="E1225" s="56" t="n"/>
      <c r="F1225" s="57" t="n"/>
      <c r="G1225" s="57" t="n"/>
      <c r="H1225" s="56" t="n"/>
      <c r="I1225" s="56" t="n"/>
      <c r="J1225" s="58" t="n"/>
      <c r="K1225" s="58" t="n"/>
      <c r="L1225" s="13">
        <f>IF(OR($A1225="",AND($J1225="",$K1225="")),"",ROUND(N($J1225)-N($K1225),2))</f>
        <v/>
      </c>
      <c r="M1225" s="13">
        <f>IF(OR($A1225="",AND($J1225="",$K1225="")),"",MIN($J1225,$K1225))</f>
        <v/>
      </c>
      <c r="Q1225">
        <f>IF($A1225="","",$D1225&amp;"("&amp;SUBSTITUTE($E1225," ","")&amp;")")</f>
        <v/>
      </c>
      <c r="R1225">
        <f>IF($A1225="","",$B1225&amp;" - "&amp;$C1225)</f>
        <v/>
      </c>
      <c r="S1225">
        <f>IF($A1225="","",$R1225&amp;"|"&amp;$Q1225)</f>
        <v/>
      </c>
      <c r="T1225">
        <f>IF($A1225="","",$S1225&amp;"|"&amp;$F1225)</f>
        <v/>
      </c>
      <c r="U1225">
        <f>IF($A1225="","",$R1225&amp;"("&amp;$E1225&amp;")")</f>
        <v/>
      </c>
      <c r="V1225">
        <f>IF($A1225="","",$F1225&amp;"|"&amp;$U1225&amp;"|"&amp;$D1225)</f>
        <v/>
      </c>
      <c r="W1225">
        <f>IF($T1225="","",IF($X1225&gt;N($X1224),$X1225,""))</f>
        <v/>
      </c>
      <c r="X1225">
        <f>IF($T1225="",N($X1224),IF(MATCH($T1225,$T$6:$T$6005,0)=ROW()-5,N($X1224)+1,N($X1224)))</f>
        <v/>
      </c>
      <c r="Z1225">
        <f>IF($V1225="","",IF($AA1225&gt;N($AA1224),$AA1225,""))</f>
        <v/>
      </c>
      <c r="AA1225">
        <f>IF($V1225="",N($AA1224),IF(MATCH($V1225,$V$6:$V$6005,0)=ROW()-5,N($AA1224)+1,N($AA1224)))</f>
        <v/>
      </c>
    </row>
    <row r="1226" ht="21" customHeight="1" s="66">
      <c r="A1226" s="56" t="n"/>
      <c r="B1226" s="57" t="n"/>
      <c r="C1226" s="57" t="n"/>
      <c r="D1226" s="57" t="n"/>
      <c r="E1226" s="56" t="n"/>
      <c r="F1226" s="57" t="n"/>
      <c r="G1226" s="57" t="n"/>
      <c r="H1226" s="56" t="n"/>
      <c r="I1226" s="56" t="n"/>
      <c r="J1226" s="58" t="n"/>
      <c r="K1226" s="58" t="n"/>
      <c r="L1226" s="13">
        <f>IF(OR($A1226="",AND($J1226="",$K1226="")),"",ROUND(N($J1226)-N($K1226),2))</f>
        <v/>
      </c>
      <c r="M1226" s="13">
        <f>IF(OR($A1226="",AND($J1226="",$K1226="")),"",MIN($J1226,$K1226))</f>
        <v/>
      </c>
      <c r="Q1226">
        <f>IF($A1226="","",$D1226&amp;"("&amp;SUBSTITUTE($E1226," ","")&amp;")")</f>
        <v/>
      </c>
      <c r="R1226">
        <f>IF($A1226="","",$B1226&amp;" - "&amp;$C1226)</f>
        <v/>
      </c>
      <c r="S1226">
        <f>IF($A1226="","",$R1226&amp;"|"&amp;$Q1226)</f>
        <v/>
      </c>
      <c r="T1226">
        <f>IF($A1226="","",$S1226&amp;"|"&amp;$F1226)</f>
        <v/>
      </c>
      <c r="U1226">
        <f>IF($A1226="","",$R1226&amp;"("&amp;$E1226&amp;")")</f>
        <v/>
      </c>
      <c r="V1226">
        <f>IF($A1226="","",$F1226&amp;"|"&amp;$U1226&amp;"|"&amp;$D1226)</f>
        <v/>
      </c>
      <c r="W1226">
        <f>IF($T1226="","",IF($X1226&gt;N($X1225),$X1226,""))</f>
        <v/>
      </c>
      <c r="X1226">
        <f>IF($T1226="",N($X1225),IF(MATCH($T1226,$T$6:$T$6005,0)=ROW()-5,N($X1225)+1,N($X1225)))</f>
        <v/>
      </c>
      <c r="Z1226">
        <f>IF($V1226="","",IF($AA1226&gt;N($AA1225),$AA1226,""))</f>
        <v/>
      </c>
      <c r="AA1226">
        <f>IF($V1226="",N($AA1225),IF(MATCH($V1226,$V$6:$V$6005,0)=ROW()-5,N($AA1225)+1,N($AA1225)))</f>
        <v/>
      </c>
    </row>
    <row r="1227" ht="21" customHeight="1" s="66">
      <c r="A1227" s="56" t="n"/>
      <c r="B1227" s="57" t="n"/>
      <c r="C1227" s="57" t="n"/>
      <c r="D1227" s="57" t="n"/>
      <c r="E1227" s="56" t="n"/>
      <c r="F1227" s="57" t="n"/>
      <c r="G1227" s="57" t="n"/>
      <c r="H1227" s="56" t="n"/>
      <c r="I1227" s="56" t="n"/>
      <c r="J1227" s="58" t="n"/>
      <c r="K1227" s="58" t="n"/>
      <c r="L1227" s="13">
        <f>IF(OR($A1227="",AND($J1227="",$K1227="")),"",ROUND(N($J1227)-N($K1227),2))</f>
        <v/>
      </c>
      <c r="M1227" s="13">
        <f>IF(OR($A1227="",AND($J1227="",$K1227="")),"",MIN($J1227,$K1227))</f>
        <v/>
      </c>
      <c r="Q1227">
        <f>IF($A1227="","",$D1227&amp;"("&amp;SUBSTITUTE($E1227," ","")&amp;")")</f>
        <v/>
      </c>
      <c r="R1227">
        <f>IF($A1227="","",$B1227&amp;" - "&amp;$C1227)</f>
        <v/>
      </c>
      <c r="S1227">
        <f>IF($A1227="","",$R1227&amp;"|"&amp;$Q1227)</f>
        <v/>
      </c>
      <c r="T1227">
        <f>IF($A1227="","",$S1227&amp;"|"&amp;$F1227)</f>
        <v/>
      </c>
      <c r="U1227">
        <f>IF($A1227="","",$R1227&amp;"("&amp;$E1227&amp;")")</f>
        <v/>
      </c>
      <c r="V1227">
        <f>IF($A1227="","",$F1227&amp;"|"&amp;$U1227&amp;"|"&amp;$D1227)</f>
        <v/>
      </c>
      <c r="W1227">
        <f>IF($T1227="","",IF($X1227&gt;N($X1226),$X1227,""))</f>
        <v/>
      </c>
      <c r="X1227">
        <f>IF($T1227="",N($X1226),IF(MATCH($T1227,$T$6:$T$6005,0)=ROW()-5,N($X1226)+1,N($X1226)))</f>
        <v/>
      </c>
      <c r="Z1227">
        <f>IF($V1227="","",IF($AA1227&gt;N($AA1226),$AA1227,""))</f>
        <v/>
      </c>
      <c r="AA1227">
        <f>IF($V1227="",N($AA1226),IF(MATCH($V1227,$V$6:$V$6005,0)=ROW()-5,N($AA1226)+1,N($AA1226)))</f>
        <v/>
      </c>
    </row>
    <row r="1228" ht="21" customHeight="1" s="66">
      <c r="A1228" s="56" t="n"/>
      <c r="B1228" s="57" t="n"/>
      <c r="C1228" s="57" t="n"/>
      <c r="D1228" s="57" t="n"/>
      <c r="E1228" s="56" t="n"/>
      <c r="F1228" s="57" t="n"/>
      <c r="G1228" s="57" t="n"/>
      <c r="H1228" s="56" t="n"/>
      <c r="I1228" s="56" t="n"/>
      <c r="J1228" s="58" t="n"/>
      <c r="K1228" s="58" t="n"/>
      <c r="L1228" s="13">
        <f>IF(OR($A1228="",AND($J1228="",$K1228="")),"",ROUND(N($J1228)-N($K1228),2))</f>
        <v/>
      </c>
      <c r="M1228" s="13">
        <f>IF(OR($A1228="",AND($J1228="",$K1228="")),"",MIN($J1228,$K1228))</f>
        <v/>
      </c>
      <c r="Q1228">
        <f>IF($A1228="","",$D1228&amp;"("&amp;SUBSTITUTE($E1228," ","")&amp;")")</f>
        <v/>
      </c>
      <c r="R1228">
        <f>IF($A1228="","",$B1228&amp;" - "&amp;$C1228)</f>
        <v/>
      </c>
      <c r="S1228">
        <f>IF($A1228="","",$R1228&amp;"|"&amp;$Q1228)</f>
        <v/>
      </c>
      <c r="T1228">
        <f>IF($A1228="","",$S1228&amp;"|"&amp;$F1228)</f>
        <v/>
      </c>
      <c r="U1228">
        <f>IF($A1228="","",$R1228&amp;"("&amp;$E1228&amp;")")</f>
        <v/>
      </c>
      <c r="V1228">
        <f>IF($A1228="","",$F1228&amp;"|"&amp;$U1228&amp;"|"&amp;$D1228)</f>
        <v/>
      </c>
      <c r="W1228">
        <f>IF($T1228="","",IF($X1228&gt;N($X1227),$X1228,""))</f>
        <v/>
      </c>
      <c r="X1228">
        <f>IF($T1228="",N($X1227),IF(MATCH($T1228,$T$6:$T$6005,0)=ROW()-5,N($X1227)+1,N($X1227)))</f>
        <v/>
      </c>
      <c r="Z1228">
        <f>IF($V1228="","",IF($AA1228&gt;N($AA1227),$AA1228,""))</f>
        <v/>
      </c>
      <c r="AA1228">
        <f>IF($V1228="",N($AA1227),IF(MATCH($V1228,$V$6:$V$6005,0)=ROW()-5,N($AA1227)+1,N($AA1227)))</f>
        <v/>
      </c>
    </row>
    <row r="1229" ht="21" customHeight="1" s="66">
      <c r="A1229" s="56" t="n"/>
      <c r="B1229" s="57" t="n"/>
      <c r="C1229" s="57" t="n"/>
      <c r="D1229" s="57" t="n"/>
      <c r="E1229" s="56" t="n"/>
      <c r="F1229" s="57" t="n"/>
      <c r="G1229" s="57" t="n"/>
      <c r="H1229" s="56" t="n"/>
      <c r="I1229" s="56" t="n"/>
      <c r="J1229" s="58" t="n"/>
      <c r="K1229" s="58" t="n"/>
      <c r="L1229" s="13">
        <f>IF(OR($A1229="",AND($J1229="",$K1229="")),"",ROUND(N($J1229)-N($K1229),2))</f>
        <v/>
      </c>
      <c r="M1229" s="13">
        <f>IF(OR($A1229="",AND($J1229="",$K1229="")),"",MIN($J1229,$K1229))</f>
        <v/>
      </c>
      <c r="Q1229">
        <f>IF($A1229="","",$D1229&amp;"("&amp;SUBSTITUTE($E1229," ","")&amp;")")</f>
        <v/>
      </c>
      <c r="R1229">
        <f>IF($A1229="","",$B1229&amp;" - "&amp;$C1229)</f>
        <v/>
      </c>
      <c r="S1229">
        <f>IF($A1229="","",$R1229&amp;"|"&amp;$Q1229)</f>
        <v/>
      </c>
      <c r="T1229">
        <f>IF($A1229="","",$S1229&amp;"|"&amp;$F1229)</f>
        <v/>
      </c>
      <c r="U1229">
        <f>IF($A1229="","",$R1229&amp;"("&amp;$E1229&amp;")")</f>
        <v/>
      </c>
      <c r="V1229">
        <f>IF($A1229="","",$F1229&amp;"|"&amp;$U1229&amp;"|"&amp;$D1229)</f>
        <v/>
      </c>
      <c r="W1229">
        <f>IF($T1229="","",IF($X1229&gt;N($X1228),$X1229,""))</f>
        <v/>
      </c>
      <c r="X1229">
        <f>IF($T1229="",N($X1228),IF(MATCH($T1229,$T$6:$T$6005,0)=ROW()-5,N($X1228)+1,N($X1228)))</f>
        <v/>
      </c>
      <c r="Z1229">
        <f>IF($V1229="","",IF($AA1229&gt;N($AA1228),$AA1229,""))</f>
        <v/>
      </c>
      <c r="AA1229">
        <f>IF($V1229="",N($AA1228),IF(MATCH($V1229,$V$6:$V$6005,0)=ROW()-5,N($AA1228)+1,N($AA1228)))</f>
        <v/>
      </c>
    </row>
    <row r="1230" ht="21" customHeight="1" s="66">
      <c r="A1230" s="56" t="n"/>
      <c r="B1230" s="57" t="n"/>
      <c r="C1230" s="57" t="n"/>
      <c r="D1230" s="57" t="n"/>
      <c r="E1230" s="56" t="n"/>
      <c r="F1230" s="57" t="n"/>
      <c r="G1230" s="57" t="n"/>
      <c r="H1230" s="56" t="n"/>
      <c r="I1230" s="56" t="n"/>
      <c r="J1230" s="58" t="n"/>
      <c r="K1230" s="58" t="n"/>
      <c r="L1230" s="13">
        <f>IF(OR($A1230="",AND($J1230="",$K1230="")),"",ROUND(N($J1230)-N($K1230),2))</f>
        <v/>
      </c>
      <c r="M1230" s="13">
        <f>IF(OR($A1230="",AND($J1230="",$K1230="")),"",MIN($J1230,$K1230))</f>
        <v/>
      </c>
      <c r="Q1230">
        <f>IF($A1230="","",$D1230&amp;"("&amp;SUBSTITUTE($E1230," ","")&amp;")")</f>
        <v/>
      </c>
      <c r="R1230">
        <f>IF($A1230="","",$B1230&amp;" - "&amp;$C1230)</f>
        <v/>
      </c>
      <c r="S1230">
        <f>IF($A1230="","",$R1230&amp;"|"&amp;$Q1230)</f>
        <v/>
      </c>
      <c r="T1230">
        <f>IF($A1230="","",$S1230&amp;"|"&amp;$F1230)</f>
        <v/>
      </c>
      <c r="U1230">
        <f>IF($A1230="","",$R1230&amp;"("&amp;$E1230&amp;")")</f>
        <v/>
      </c>
      <c r="V1230">
        <f>IF($A1230="","",$F1230&amp;"|"&amp;$U1230&amp;"|"&amp;$D1230)</f>
        <v/>
      </c>
      <c r="W1230">
        <f>IF($T1230="","",IF($X1230&gt;N($X1229),$X1230,""))</f>
        <v/>
      </c>
      <c r="X1230">
        <f>IF($T1230="",N($X1229),IF(MATCH($T1230,$T$6:$T$6005,0)=ROW()-5,N($X1229)+1,N($X1229)))</f>
        <v/>
      </c>
      <c r="Z1230">
        <f>IF($V1230="","",IF($AA1230&gt;N($AA1229),$AA1230,""))</f>
        <v/>
      </c>
      <c r="AA1230">
        <f>IF($V1230="",N($AA1229),IF(MATCH($V1230,$V$6:$V$6005,0)=ROW()-5,N($AA1229)+1,N($AA1229)))</f>
        <v/>
      </c>
    </row>
    <row r="1231" ht="21" customHeight="1" s="66">
      <c r="A1231" s="56" t="n"/>
      <c r="B1231" s="57" t="n"/>
      <c r="C1231" s="57" t="n"/>
      <c r="D1231" s="57" t="n"/>
      <c r="E1231" s="56" t="n"/>
      <c r="F1231" s="57" t="n"/>
      <c r="G1231" s="57" t="n"/>
      <c r="H1231" s="56" t="n"/>
      <c r="I1231" s="56" t="n"/>
      <c r="J1231" s="58" t="n"/>
      <c r="K1231" s="58" t="n"/>
      <c r="L1231" s="13">
        <f>IF(OR($A1231="",AND($J1231="",$K1231="")),"",ROUND(N($J1231)-N($K1231),2))</f>
        <v/>
      </c>
      <c r="M1231" s="13">
        <f>IF(OR($A1231="",AND($J1231="",$K1231="")),"",MIN($J1231,$K1231))</f>
        <v/>
      </c>
      <c r="Q1231">
        <f>IF($A1231="","",$D1231&amp;"("&amp;SUBSTITUTE($E1231," ","")&amp;")")</f>
        <v/>
      </c>
      <c r="R1231">
        <f>IF($A1231="","",$B1231&amp;" - "&amp;$C1231)</f>
        <v/>
      </c>
      <c r="S1231">
        <f>IF($A1231="","",$R1231&amp;"|"&amp;$Q1231)</f>
        <v/>
      </c>
      <c r="T1231">
        <f>IF($A1231="","",$S1231&amp;"|"&amp;$F1231)</f>
        <v/>
      </c>
      <c r="U1231">
        <f>IF($A1231="","",$R1231&amp;"("&amp;$E1231&amp;")")</f>
        <v/>
      </c>
      <c r="V1231">
        <f>IF($A1231="","",$F1231&amp;"|"&amp;$U1231&amp;"|"&amp;$D1231)</f>
        <v/>
      </c>
      <c r="W1231">
        <f>IF($T1231="","",IF($X1231&gt;N($X1230),$X1231,""))</f>
        <v/>
      </c>
      <c r="X1231">
        <f>IF($T1231="",N($X1230),IF(MATCH($T1231,$T$6:$T$6005,0)=ROW()-5,N($X1230)+1,N($X1230)))</f>
        <v/>
      </c>
      <c r="Z1231">
        <f>IF($V1231="","",IF($AA1231&gt;N($AA1230),$AA1231,""))</f>
        <v/>
      </c>
      <c r="AA1231">
        <f>IF($V1231="",N($AA1230),IF(MATCH($V1231,$V$6:$V$6005,0)=ROW()-5,N($AA1230)+1,N($AA1230)))</f>
        <v/>
      </c>
    </row>
    <row r="1232" ht="21" customHeight="1" s="66">
      <c r="A1232" s="56" t="n"/>
      <c r="B1232" s="57" t="n"/>
      <c r="C1232" s="57" t="n"/>
      <c r="D1232" s="57" t="n"/>
      <c r="E1232" s="56" t="n"/>
      <c r="F1232" s="57" t="n"/>
      <c r="G1232" s="57" t="n"/>
      <c r="H1232" s="56" t="n"/>
      <c r="I1232" s="56" t="n"/>
      <c r="J1232" s="58" t="n"/>
      <c r="K1232" s="58" t="n"/>
      <c r="L1232" s="13">
        <f>IF(OR($A1232="",AND($J1232="",$K1232="")),"",ROUND(N($J1232)-N($K1232),2))</f>
        <v/>
      </c>
      <c r="M1232" s="13">
        <f>IF(OR($A1232="",AND($J1232="",$K1232="")),"",MIN($J1232,$K1232))</f>
        <v/>
      </c>
      <c r="Q1232">
        <f>IF($A1232="","",$D1232&amp;"("&amp;SUBSTITUTE($E1232," ","")&amp;")")</f>
        <v/>
      </c>
      <c r="R1232">
        <f>IF($A1232="","",$B1232&amp;" - "&amp;$C1232)</f>
        <v/>
      </c>
      <c r="S1232">
        <f>IF($A1232="","",$R1232&amp;"|"&amp;$Q1232)</f>
        <v/>
      </c>
      <c r="T1232">
        <f>IF($A1232="","",$S1232&amp;"|"&amp;$F1232)</f>
        <v/>
      </c>
      <c r="U1232">
        <f>IF($A1232="","",$R1232&amp;"("&amp;$E1232&amp;")")</f>
        <v/>
      </c>
      <c r="V1232">
        <f>IF($A1232="","",$F1232&amp;"|"&amp;$U1232&amp;"|"&amp;$D1232)</f>
        <v/>
      </c>
      <c r="W1232">
        <f>IF($T1232="","",IF($X1232&gt;N($X1231),$X1232,""))</f>
        <v/>
      </c>
      <c r="X1232">
        <f>IF($T1232="",N($X1231),IF(MATCH($T1232,$T$6:$T$6005,0)=ROW()-5,N($X1231)+1,N($X1231)))</f>
        <v/>
      </c>
      <c r="Z1232">
        <f>IF($V1232="","",IF($AA1232&gt;N($AA1231),$AA1232,""))</f>
        <v/>
      </c>
      <c r="AA1232">
        <f>IF($V1232="",N($AA1231),IF(MATCH($V1232,$V$6:$V$6005,0)=ROW()-5,N($AA1231)+1,N($AA1231)))</f>
        <v/>
      </c>
    </row>
    <row r="1233" ht="21" customHeight="1" s="66">
      <c r="A1233" s="56" t="n"/>
      <c r="B1233" s="57" t="n"/>
      <c r="C1233" s="57" t="n"/>
      <c r="D1233" s="57" t="n"/>
      <c r="E1233" s="56" t="n"/>
      <c r="F1233" s="57" t="n"/>
      <c r="G1233" s="57" t="n"/>
      <c r="H1233" s="56" t="n"/>
      <c r="I1233" s="56" t="n"/>
      <c r="J1233" s="58" t="n"/>
      <c r="K1233" s="58" t="n"/>
      <c r="L1233" s="13">
        <f>IF(OR($A1233="",AND($J1233="",$K1233="")),"",ROUND(N($J1233)-N($K1233),2))</f>
        <v/>
      </c>
      <c r="M1233" s="13">
        <f>IF(OR($A1233="",AND($J1233="",$K1233="")),"",MIN($J1233,$K1233))</f>
        <v/>
      </c>
      <c r="Q1233">
        <f>IF($A1233="","",$D1233&amp;"("&amp;SUBSTITUTE($E1233," ","")&amp;")")</f>
        <v/>
      </c>
      <c r="R1233">
        <f>IF($A1233="","",$B1233&amp;" - "&amp;$C1233)</f>
        <v/>
      </c>
      <c r="S1233">
        <f>IF($A1233="","",$R1233&amp;"|"&amp;$Q1233)</f>
        <v/>
      </c>
      <c r="T1233">
        <f>IF($A1233="","",$S1233&amp;"|"&amp;$F1233)</f>
        <v/>
      </c>
      <c r="U1233">
        <f>IF($A1233="","",$R1233&amp;"("&amp;$E1233&amp;")")</f>
        <v/>
      </c>
      <c r="V1233">
        <f>IF($A1233="","",$F1233&amp;"|"&amp;$U1233&amp;"|"&amp;$D1233)</f>
        <v/>
      </c>
      <c r="W1233">
        <f>IF($T1233="","",IF($X1233&gt;N($X1232),$X1233,""))</f>
        <v/>
      </c>
      <c r="X1233">
        <f>IF($T1233="",N($X1232),IF(MATCH($T1233,$T$6:$T$6005,0)=ROW()-5,N($X1232)+1,N($X1232)))</f>
        <v/>
      </c>
      <c r="Z1233">
        <f>IF($V1233="","",IF($AA1233&gt;N($AA1232),$AA1233,""))</f>
        <v/>
      </c>
      <c r="AA1233">
        <f>IF($V1233="",N($AA1232),IF(MATCH($V1233,$V$6:$V$6005,0)=ROW()-5,N($AA1232)+1,N($AA1232)))</f>
        <v/>
      </c>
    </row>
    <row r="1234" ht="21" customHeight="1" s="66">
      <c r="A1234" s="56" t="n"/>
      <c r="B1234" s="57" t="n"/>
      <c r="C1234" s="57" t="n"/>
      <c r="D1234" s="57" t="n"/>
      <c r="E1234" s="56" t="n"/>
      <c r="F1234" s="57" t="n"/>
      <c r="G1234" s="57" t="n"/>
      <c r="H1234" s="56" t="n"/>
      <c r="I1234" s="56" t="n"/>
      <c r="J1234" s="58" t="n"/>
      <c r="K1234" s="58" t="n"/>
      <c r="L1234" s="13">
        <f>IF(OR($A1234="",AND($J1234="",$K1234="")),"",ROUND(N($J1234)-N($K1234),2))</f>
        <v/>
      </c>
      <c r="M1234" s="13">
        <f>IF(OR($A1234="",AND($J1234="",$K1234="")),"",MIN($J1234,$K1234))</f>
        <v/>
      </c>
      <c r="Q1234">
        <f>IF($A1234="","",$D1234&amp;"("&amp;SUBSTITUTE($E1234," ","")&amp;")")</f>
        <v/>
      </c>
      <c r="R1234">
        <f>IF($A1234="","",$B1234&amp;" - "&amp;$C1234)</f>
        <v/>
      </c>
      <c r="S1234">
        <f>IF($A1234="","",$R1234&amp;"|"&amp;$Q1234)</f>
        <v/>
      </c>
      <c r="T1234">
        <f>IF($A1234="","",$S1234&amp;"|"&amp;$F1234)</f>
        <v/>
      </c>
      <c r="U1234">
        <f>IF($A1234="","",$R1234&amp;"("&amp;$E1234&amp;")")</f>
        <v/>
      </c>
      <c r="V1234">
        <f>IF($A1234="","",$F1234&amp;"|"&amp;$U1234&amp;"|"&amp;$D1234)</f>
        <v/>
      </c>
      <c r="W1234">
        <f>IF($T1234="","",IF($X1234&gt;N($X1233),$X1234,""))</f>
        <v/>
      </c>
      <c r="X1234">
        <f>IF($T1234="",N($X1233),IF(MATCH($T1234,$T$6:$T$6005,0)=ROW()-5,N($X1233)+1,N($X1233)))</f>
        <v/>
      </c>
      <c r="Z1234">
        <f>IF($V1234="","",IF($AA1234&gt;N($AA1233),$AA1234,""))</f>
        <v/>
      </c>
      <c r="AA1234">
        <f>IF($V1234="",N($AA1233),IF(MATCH($V1234,$V$6:$V$6005,0)=ROW()-5,N($AA1233)+1,N($AA1233)))</f>
        <v/>
      </c>
    </row>
    <row r="1235" ht="21" customHeight="1" s="66">
      <c r="A1235" s="56" t="n"/>
      <c r="B1235" s="57" t="n"/>
      <c r="C1235" s="57" t="n"/>
      <c r="D1235" s="57" t="n"/>
      <c r="E1235" s="56" t="n"/>
      <c r="F1235" s="57" t="n"/>
      <c r="G1235" s="57" t="n"/>
      <c r="H1235" s="56" t="n"/>
      <c r="I1235" s="56" t="n"/>
      <c r="J1235" s="58" t="n"/>
      <c r="K1235" s="58" t="n"/>
      <c r="L1235" s="13">
        <f>IF(OR($A1235="",AND($J1235="",$K1235="")),"",ROUND(N($J1235)-N($K1235),2))</f>
        <v/>
      </c>
      <c r="M1235" s="13">
        <f>IF(OR($A1235="",AND($J1235="",$K1235="")),"",MIN($J1235,$K1235))</f>
        <v/>
      </c>
      <c r="Q1235">
        <f>IF($A1235="","",$D1235&amp;"("&amp;SUBSTITUTE($E1235," ","")&amp;")")</f>
        <v/>
      </c>
      <c r="R1235">
        <f>IF($A1235="","",$B1235&amp;" - "&amp;$C1235)</f>
        <v/>
      </c>
      <c r="S1235">
        <f>IF($A1235="","",$R1235&amp;"|"&amp;$Q1235)</f>
        <v/>
      </c>
      <c r="T1235">
        <f>IF($A1235="","",$S1235&amp;"|"&amp;$F1235)</f>
        <v/>
      </c>
      <c r="U1235">
        <f>IF($A1235="","",$R1235&amp;"("&amp;$E1235&amp;")")</f>
        <v/>
      </c>
      <c r="V1235">
        <f>IF($A1235="","",$F1235&amp;"|"&amp;$U1235&amp;"|"&amp;$D1235)</f>
        <v/>
      </c>
      <c r="W1235">
        <f>IF($T1235="","",IF($X1235&gt;N($X1234),$X1235,""))</f>
        <v/>
      </c>
      <c r="X1235">
        <f>IF($T1235="",N($X1234),IF(MATCH($T1235,$T$6:$T$6005,0)=ROW()-5,N($X1234)+1,N($X1234)))</f>
        <v/>
      </c>
      <c r="Z1235">
        <f>IF($V1235="","",IF($AA1235&gt;N($AA1234),$AA1235,""))</f>
        <v/>
      </c>
      <c r="AA1235">
        <f>IF($V1235="",N($AA1234),IF(MATCH($V1235,$V$6:$V$6005,0)=ROW()-5,N($AA1234)+1,N($AA1234)))</f>
        <v/>
      </c>
    </row>
    <row r="1236" ht="21" customHeight="1" s="66">
      <c r="A1236" s="56" t="n"/>
      <c r="B1236" s="57" t="n"/>
      <c r="C1236" s="57" t="n"/>
      <c r="D1236" s="57" t="n"/>
      <c r="E1236" s="56" t="n"/>
      <c r="F1236" s="57" t="n"/>
      <c r="G1236" s="57" t="n"/>
      <c r="H1236" s="56" t="n"/>
      <c r="I1236" s="56" t="n"/>
      <c r="J1236" s="58" t="n"/>
      <c r="K1236" s="58" t="n"/>
      <c r="L1236" s="13">
        <f>IF(OR($A1236="",AND($J1236="",$K1236="")),"",ROUND(N($J1236)-N($K1236),2))</f>
        <v/>
      </c>
      <c r="M1236" s="13">
        <f>IF(OR($A1236="",AND($J1236="",$K1236="")),"",MIN($J1236,$K1236))</f>
        <v/>
      </c>
      <c r="Q1236">
        <f>IF($A1236="","",$D1236&amp;"("&amp;SUBSTITUTE($E1236," ","")&amp;")")</f>
        <v/>
      </c>
      <c r="R1236">
        <f>IF($A1236="","",$B1236&amp;" - "&amp;$C1236)</f>
        <v/>
      </c>
      <c r="S1236">
        <f>IF($A1236="","",$R1236&amp;"|"&amp;$Q1236)</f>
        <v/>
      </c>
      <c r="T1236">
        <f>IF($A1236="","",$S1236&amp;"|"&amp;$F1236)</f>
        <v/>
      </c>
      <c r="U1236">
        <f>IF($A1236="","",$R1236&amp;"("&amp;$E1236&amp;")")</f>
        <v/>
      </c>
      <c r="V1236">
        <f>IF($A1236="","",$F1236&amp;"|"&amp;$U1236&amp;"|"&amp;$D1236)</f>
        <v/>
      </c>
      <c r="W1236">
        <f>IF($T1236="","",IF($X1236&gt;N($X1235),$X1236,""))</f>
        <v/>
      </c>
      <c r="X1236">
        <f>IF($T1236="",N($X1235),IF(MATCH($T1236,$T$6:$T$6005,0)=ROW()-5,N($X1235)+1,N($X1235)))</f>
        <v/>
      </c>
      <c r="Z1236">
        <f>IF($V1236="","",IF($AA1236&gt;N($AA1235),$AA1236,""))</f>
        <v/>
      </c>
      <c r="AA1236">
        <f>IF($V1236="",N($AA1235),IF(MATCH($V1236,$V$6:$V$6005,0)=ROW()-5,N($AA1235)+1,N($AA1235)))</f>
        <v/>
      </c>
    </row>
    <row r="1237" ht="21" customHeight="1" s="66">
      <c r="A1237" s="56" t="n"/>
      <c r="B1237" s="57" t="n"/>
      <c r="C1237" s="57" t="n"/>
      <c r="D1237" s="57" t="n"/>
      <c r="E1237" s="56" t="n"/>
      <c r="F1237" s="57" t="n"/>
      <c r="G1237" s="57" t="n"/>
      <c r="H1237" s="56" t="n"/>
      <c r="I1237" s="56" t="n"/>
      <c r="J1237" s="58" t="n"/>
      <c r="K1237" s="58" t="n"/>
      <c r="L1237" s="13">
        <f>IF(OR($A1237="",AND($J1237="",$K1237="")),"",ROUND(N($J1237)-N($K1237),2))</f>
        <v/>
      </c>
      <c r="M1237" s="13">
        <f>IF(OR($A1237="",AND($J1237="",$K1237="")),"",MIN($J1237,$K1237))</f>
        <v/>
      </c>
      <c r="Q1237">
        <f>IF($A1237="","",$D1237&amp;"("&amp;SUBSTITUTE($E1237," ","")&amp;")")</f>
        <v/>
      </c>
      <c r="R1237">
        <f>IF($A1237="","",$B1237&amp;" - "&amp;$C1237)</f>
        <v/>
      </c>
      <c r="S1237">
        <f>IF($A1237="","",$R1237&amp;"|"&amp;$Q1237)</f>
        <v/>
      </c>
      <c r="T1237">
        <f>IF($A1237="","",$S1237&amp;"|"&amp;$F1237)</f>
        <v/>
      </c>
      <c r="U1237">
        <f>IF($A1237="","",$R1237&amp;"("&amp;$E1237&amp;")")</f>
        <v/>
      </c>
      <c r="V1237">
        <f>IF($A1237="","",$F1237&amp;"|"&amp;$U1237&amp;"|"&amp;$D1237)</f>
        <v/>
      </c>
      <c r="W1237">
        <f>IF($T1237="","",IF($X1237&gt;N($X1236),$X1237,""))</f>
        <v/>
      </c>
      <c r="X1237">
        <f>IF($T1237="",N($X1236),IF(MATCH($T1237,$T$6:$T$6005,0)=ROW()-5,N($X1236)+1,N($X1236)))</f>
        <v/>
      </c>
      <c r="Z1237">
        <f>IF($V1237="","",IF($AA1237&gt;N($AA1236),$AA1237,""))</f>
        <v/>
      </c>
      <c r="AA1237">
        <f>IF($V1237="",N($AA1236),IF(MATCH($V1237,$V$6:$V$6005,0)=ROW()-5,N($AA1236)+1,N($AA1236)))</f>
        <v/>
      </c>
    </row>
    <row r="1238" ht="21" customHeight="1" s="66">
      <c r="A1238" s="56" t="n"/>
      <c r="B1238" s="57" t="n"/>
      <c r="C1238" s="57" t="n"/>
      <c r="D1238" s="57" t="n"/>
      <c r="E1238" s="56" t="n"/>
      <c r="F1238" s="57" t="n"/>
      <c r="G1238" s="57" t="n"/>
      <c r="H1238" s="56" t="n"/>
      <c r="I1238" s="56" t="n"/>
      <c r="J1238" s="58" t="n"/>
      <c r="K1238" s="58" t="n"/>
      <c r="L1238" s="13">
        <f>IF(OR($A1238="",AND($J1238="",$K1238="")),"",ROUND(N($J1238)-N($K1238),2))</f>
        <v/>
      </c>
      <c r="M1238" s="13">
        <f>IF(OR($A1238="",AND($J1238="",$K1238="")),"",MIN($J1238,$K1238))</f>
        <v/>
      </c>
      <c r="Q1238">
        <f>IF($A1238="","",$D1238&amp;"("&amp;SUBSTITUTE($E1238," ","")&amp;")")</f>
        <v/>
      </c>
      <c r="R1238">
        <f>IF($A1238="","",$B1238&amp;" - "&amp;$C1238)</f>
        <v/>
      </c>
      <c r="S1238">
        <f>IF($A1238="","",$R1238&amp;"|"&amp;$Q1238)</f>
        <v/>
      </c>
      <c r="T1238">
        <f>IF($A1238="","",$S1238&amp;"|"&amp;$F1238)</f>
        <v/>
      </c>
      <c r="U1238">
        <f>IF($A1238="","",$R1238&amp;"("&amp;$E1238&amp;")")</f>
        <v/>
      </c>
      <c r="V1238">
        <f>IF($A1238="","",$F1238&amp;"|"&amp;$U1238&amp;"|"&amp;$D1238)</f>
        <v/>
      </c>
      <c r="W1238">
        <f>IF($T1238="","",IF($X1238&gt;N($X1237),$X1238,""))</f>
        <v/>
      </c>
      <c r="X1238">
        <f>IF($T1238="",N($X1237),IF(MATCH($T1238,$T$6:$T$6005,0)=ROW()-5,N($X1237)+1,N($X1237)))</f>
        <v/>
      </c>
      <c r="Z1238">
        <f>IF($V1238="","",IF($AA1238&gt;N($AA1237),$AA1238,""))</f>
        <v/>
      </c>
      <c r="AA1238">
        <f>IF($V1238="",N($AA1237),IF(MATCH($V1238,$V$6:$V$6005,0)=ROW()-5,N($AA1237)+1,N($AA1237)))</f>
        <v/>
      </c>
    </row>
    <row r="1239" ht="21" customHeight="1" s="66">
      <c r="A1239" s="56" t="n"/>
      <c r="B1239" s="57" t="n"/>
      <c r="C1239" s="57" t="n"/>
      <c r="D1239" s="57" t="n"/>
      <c r="E1239" s="56" t="n"/>
      <c r="F1239" s="57" t="n"/>
      <c r="G1239" s="57" t="n"/>
      <c r="H1239" s="56" t="n"/>
      <c r="I1239" s="56" t="n"/>
      <c r="J1239" s="58" t="n"/>
      <c r="K1239" s="58" t="n"/>
      <c r="L1239" s="13">
        <f>IF(OR($A1239="",AND($J1239="",$K1239="")),"",ROUND(N($J1239)-N($K1239),2))</f>
        <v/>
      </c>
      <c r="M1239" s="13">
        <f>IF(OR($A1239="",AND($J1239="",$K1239="")),"",MIN($J1239,$K1239))</f>
        <v/>
      </c>
      <c r="Q1239">
        <f>IF($A1239="","",$D1239&amp;"("&amp;SUBSTITUTE($E1239," ","")&amp;")")</f>
        <v/>
      </c>
      <c r="R1239">
        <f>IF($A1239="","",$B1239&amp;" - "&amp;$C1239)</f>
        <v/>
      </c>
      <c r="S1239">
        <f>IF($A1239="","",$R1239&amp;"|"&amp;$Q1239)</f>
        <v/>
      </c>
      <c r="T1239">
        <f>IF($A1239="","",$S1239&amp;"|"&amp;$F1239)</f>
        <v/>
      </c>
      <c r="U1239">
        <f>IF($A1239="","",$R1239&amp;"("&amp;$E1239&amp;")")</f>
        <v/>
      </c>
      <c r="V1239">
        <f>IF($A1239="","",$F1239&amp;"|"&amp;$U1239&amp;"|"&amp;$D1239)</f>
        <v/>
      </c>
      <c r="W1239">
        <f>IF($T1239="","",IF($X1239&gt;N($X1238),$X1239,""))</f>
        <v/>
      </c>
      <c r="X1239">
        <f>IF($T1239="",N($X1238),IF(MATCH($T1239,$T$6:$T$6005,0)=ROW()-5,N($X1238)+1,N($X1238)))</f>
        <v/>
      </c>
      <c r="Z1239">
        <f>IF($V1239="","",IF($AA1239&gt;N($AA1238),$AA1239,""))</f>
        <v/>
      </c>
      <c r="AA1239">
        <f>IF($V1239="",N($AA1238),IF(MATCH($V1239,$V$6:$V$6005,0)=ROW()-5,N($AA1238)+1,N($AA1238)))</f>
        <v/>
      </c>
    </row>
    <row r="1240" ht="21" customHeight="1" s="66">
      <c r="A1240" s="56" t="n"/>
      <c r="B1240" s="57" t="n"/>
      <c r="C1240" s="57" t="n"/>
      <c r="D1240" s="57" t="n"/>
      <c r="E1240" s="56" t="n"/>
      <c r="F1240" s="57" t="n"/>
      <c r="G1240" s="57" t="n"/>
      <c r="H1240" s="56" t="n"/>
      <c r="I1240" s="56" t="n"/>
      <c r="J1240" s="58" t="n"/>
      <c r="K1240" s="58" t="n"/>
      <c r="L1240" s="13">
        <f>IF(OR($A1240="",AND($J1240="",$K1240="")),"",ROUND(N($J1240)-N($K1240),2))</f>
        <v/>
      </c>
      <c r="M1240" s="13">
        <f>IF(OR($A1240="",AND($J1240="",$K1240="")),"",MIN($J1240,$K1240))</f>
        <v/>
      </c>
      <c r="Q1240">
        <f>IF($A1240="","",$D1240&amp;"("&amp;SUBSTITUTE($E1240," ","")&amp;")")</f>
        <v/>
      </c>
      <c r="R1240">
        <f>IF($A1240="","",$B1240&amp;" - "&amp;$C1240)</f>
        <v/>
      </c>
      <c r="S1240">
        <f>IF($A1240="","",$R1240&amp;"|"&amp;$Q1240)</f>
        <v/>
      </c>
      <c r="T1240">
        <f>IF($A1240="","",$S1240&amp;"|"&amp;$F1240)</f>
        <v/>
      </c>
      <c r="U1240">
        <f>IF($A1240="","",$R1240&amp;"("&amp;$E1240&amp;")")</f>
        <v/>
      </c>
      <c r="V1240">
        <f>IF($A1240="","",$F1240&amp;"|"&amp;$U1240&amp;"|"&amp;$D1240)</f>
        <v/>
      </c>
      <c r="W1240">
        <f>IF($T1240="","",IF($X1240&gt;N($X1239),$X1240,""))</f>
        <v/>
      </c>
      <c r="X1240">
        <f>IF($T1240="",N($X1239),IF(MATCH($T1240,$T$6:$T$6005,0)=ROW()-5,N($X1239)+1,N($X1239)))</f>
        <v/>
      </c>
      <c r="Z1240">
        <f>IF($V1240="","",IF($AA1240&gt;N($AA1239),$AA1240,""))</f>
        <v/>
      </c>
      <c r="AA1240">
        <f>IF($V1240="",N($AA1239),IF(MATCH($V1240,$V$6:$V$6005,0)=ROW()-5,N($AA1239)+1,N($AA1239)))</f>
        <v/>
      </c>
    </row>
    <row r="1241" ht="21" customHeight="1" s="66">
      <c r="A1241" s="56" t="n"/>
      <c r="B1241" s="57" t="n"/>
      <c r="C1241" s="57" t="n"/>
      <c r="D1241" s="57" t="n"/>
      <c r="E1241" s="56" t="n"/>
      <c r="F1241" s="57" t="n"/>
      <c r="G1241" s="57" t="n"/>
      <c r="H1241" s="56" t="n"/>
      <c r="I1241" s="56" t="n"/>
      <c r="J1241" s="58" t="n"/>
      <c r="K1241" s="58" t="n"/>
      <c r="L1241" s="13">
        <f>IF(OR($A1241="",AND($J1241="",$K1241="")),"",ROUND(N($J1241)-N($K1241),2))</f>
        <v/>
      </c>
      <c r="M1241" s="13">
        <f>IF(OR($A1241="",AND($J1241="",$K1241="")),"",MIN($J1241,$K1241))</f>
        <v/>
      </c>
      <c r="Q1241">
        <f>IF($A1241="","",$D1241&amp;"("&amp;SUBSTITUTE($E1241," ","")&amp;")")</f>
        <v/>
      </c>
      <c r="R1241">
        <f>IF($A1241="","",$B1241&amp;" - "&amp;$C1241)</f>
        <v/>
      </c>
      <c r="S1241">
        <f>IF($A1241="","",$R1241&amp;"|"&amp;$Q1241)</f>
        <v/>
      </c>
      <c r="T1241">
        <f>IF($A1241="","",$S1241&amp;"|"&amp;$F1241)</f>
        <v/>
      </c>
      <c r="U1241">
        <f>IF($A1241="","",$R1241&amp;"("&amp;$E1241&amp;")")</f>
        <v/>
      </c>
      <c r="V1241">
        <f>IF($A1241="","",$F1241&amp;"|"&amp;$U1241&amp;"|"&amp;$D1241)</f>
        <v/>
      </c>
      <c r="W1241">
        <f>IF($T1241="","",IF($X1241&gt;N($X1240),$X1241,""))</f>
        <v/>
      </c>
      <c r="X1241">
        <f>IF($T1241="",N($X1240),IF(MATCH($T1241,$T$6:$T$6005,0)=ROW()-5,N($X1240)+1,N($X1240)))</f>
        <v/>
      </c>
      <c r="Z1241">
        <f>IF($V1241="","",IF($AA1241&gt;N($AA1240),$AA1241,""))</f>
        <v/>
      </c>
      <c r="AA1241">
        <f>IF($V1241="",N($AA1240),IF(MATCH($V1241,$V$6:$V$6005,0)=ROW()-5,N($AA1240)+1,N($AA1240)))</f>
        <v/>
      </c>
    </row>
    <row r="1242" ht="21" customHeight="1" s="66">
      <c r="A1242" s="56" t="n"/>
      <c r="B1242" s="57" t="n"/>
      <c r="C1242" s="57" t="n"/>
      <c r="D1242" s="57" t="n"/>
      <c r="E1242" s="56" t="n"/>
      <c r="F1242" s="57" t="n"/>
      <c r="G1242" s="57" t="n"/>
      <c r="H1242" s="56" t="n"/>
      <c r="I1242" s="56" t="n"/>
      <c r="J1242" s="58" t="n"/>
      <c r="K1242" s="58" t="n"/>
      <c r="L1242" s="13">
        <f>IF(OR($A1242="",AND($J1242="",$K1242="")),"",ROUND(N($J1242)-N($K1242),2))</f>
        <v/>
      </c>
      <c r="M1242" s="13">
        <f>IF(OR($A1242="",AND($J1242="",$K1242="")),"",MIN($J1242,$K1242))</f>
        <v/>
      </c>
      <c r="Q1242">
        <f>IF($A1242="","",$D1242&amp;"("&amp;SUBSTITUTE($E1242," ","")&amp;")")</f>
        <v/>
      </c>
      <c r="R1242">
        <f>IF($A1242="","",$B1242&amp;" - "&amp;$C1242)</f>
        <v/>
      </c>
      <c r="S1242">
        <f>IF($A1242="","",$R1242&amp;"|"&amp;$Q1242)</f>
        <v/>
      </c>
      <c r="T1242">
        <f>IF($A1242="","",$S1242&amp;"|"&amp;$F1242)</f>
        <v/>
      </c>
      <c r="U1242">
        <f>IF($A1242="","",$R1242&amp;"("&amp;$E1242&amp;")")</f>
        <v/>
      </c>
      <c r="V1242">
        <f>IF($A1242="","",$F1242&amp;"|"&amp;$U1242&amp;"|"&amp;$D1242)</f>
        <v/>
      </c>
      <c r="W1242">
        <f>IF($T1242="","",IF($X1242&gt;N($X1241),$X1242,""))</f>
        <v/>
      </c>
      <c r="X1242">
        <f>IF($T1242="",N($X1241),IF(MATCH($T1242,$T$6:$T$6005,0)=ROW()-5,N($X1241)+1,N($X1241)))</f>
        <v/>
      </c>
      <c r="Z1242">
        <f>IF($V1242="","",IF($AA1242&gt;N($AA1241),$AA1242,""))</f>
        <v/>
      </c>
      <c r="AA1242">
        <f>IF($V1242="",N($AA1241),IF(MATCH($V1242,$V$6:$V$6005,0)=ROW()-5,N($AA1241)+1,N($AA1241)))</f>
        <v/>
      </c>
    </row>
    <row r="1243" ht="21" customHeight="1" s="66">
      <c r="A1243" s="56" t="n"/>
      <c r="B1243" s="57" t="n"/>
      <c r="C1243" s="57" t="n"/>
      <c r="D1243" s="57" t="n"/>
      <c r="E1243" s="56" t="n"/>
      <c r="F1243" s="57" t="n"/>
      <c r="G1243" s="57" t="n"/>
      <c r="H1243" s="56" t="n"/>
      <c r="I1243" s="56" t="n"/>
      <c r="J1243" s="58" t="n"/>
      <c r="K1243" s="58" t="n"/>
      <c r="L1243" s="13">
        <f>IF(OR($A1243="",AND($J1243="",$K1243="")),"",ROUND(N($J1243)-N($K1243),2))</f>
        <v/>
      </c>
      <c r="M1243" s="13">
        <f>IF(OR($A1243="",AND($J1243="",$K1243="")),"",MIN($J1243,$K1243))</f>
        <v/>
      </c>
      <c r="Q1243">
        <f>IF($A1243="","",$D1243&amp;"("&amp;SUBSTITUTE($E1243," ","")&amp;")")</f>
        <v/>
      </c>
      <c r="R1243">
        <f>IF($A1243="","",$B1243&amp;" - "&amp;$C1243)</f>
        <v/>
      </c>
      <c r="S1243">
        <f>IF($A1243="","",$R1243&amp;"|"&amp;$Q1243)</f>
        <v/>
      </c>
      <c r="T1243">
        <f>IF($A1243="","",$S1243&amp;"|"&amp;$F1243)</f>
        <v/>
      </c>
      <c r="U1243">
        <f>IF($A1243="","",$R1243&amp;"("&amp;$E1243&amp;")")</f>
        <v/>
      </c>
      <c r="V1243">
        <f>IF($A1243="","",$F1243&amp;"|"&amp;$U1243&amp;"|"&amp;$D1243)</f>
        <v/>
      </c>
      <c r="W1243">
        <f>IF($T1243="","",IF($X1243&gt;N($X1242),$X1243,""))</f>
        <v/>
      </c>
      <c r="X1243">
        <f>IF($T1243="",N($X1242),IF(MATCH($T1243,$T$6:$T$6005,0)=ROW()-5,N($X1242)+1,N($X1242)))</f>
        <v/>
      </c>
      <c r="Z1243">
        <f>IF($V1243="","",IF($AA1243&gt;N($AA1242),$AA1243,""))</f>
        <v/>
      </c>
      <c r="AA1243">
        <f>IF($V1243="",N($AA1242),IF(MATCH($V1243,$V$6:$V$6005,0)=ROW()-5,N($AA1242)+1,N($AA1242)))</f>
        <v/>
      </c>
    </row>
    <row r="1244" ht="21" customHeight="1" s="66">
      <c r="A1244" s="56" t="n"/>
      <c r="B1244" s="57" t="n"/>
      <c r="C1244" s="57" t="n"/>
      <c r="D1244" s="57" t="n"/>
      <c r="E1244" s="56" t="n"/>
      <c r="F1244" s="57" t="n"/>
      <c r="G1244" s="57" t="n"/>
      <c r="H1244" s="56" t="n"/>
      <c r="I1244" s="56" t="n"/>
      <c r="J1244" s="58" t="n"/>
      <c r="K1244" s="58" t="n"/>
      <c r="L1244" s="13">
        <f>IF(OR($A1244="",AND($J1244="",$K1244="")),"",ROUND(N($J1244)-N($K1244),2))</f>
        <v/>
      </c>
      <c r="M1244" s="13">
        <f>IF(OR($A1244="",AND($J1244="",$K1244="")),"",MIN($J1244,$K1244))</f>
        <v/>
      </c>
      <c r="Q1244">
        <f>IF($A1244="","",$D1244&amp;"("&amp;SUBSTITUTE($E1244," ","")&amp;")")</f>
        <v/>
      </c>
      <c r="R1244">
        <f>IF($A1244="","",$B1244&amp;" - "&amp;$C1244)</f>
        <v/>
      </c>
      <c r="S1244">
        <f>IF($A1244="","",$R1244&amp;"|"&amp;$Q1244)</f>
        <v/>
      </c>
      <c r="T1244">
        <f>IF($A1244="","",$S1244&amp;"|"&amp;$F1244)</f>
        <v/>
      </c>
      <c r="U1244">
        <f>IF($A1244="","",$R1244&amp;"("&amp;$E1244&amp;")")</f>
        <v/>
      </c>
      <c r="V1244">
        <f>IF($A1244="","",$F1244&amp;"|"&amp;$U1244&amp;"|"&amp;$D1244)</f>
        <v/>
      </c>
      <c r="W1244">
        <f>IF($T1244="","",IF($X1244&gt;N($X1243),$X1244,""))</f>
        <v/>
      </c>
      <c r="X1244">
        <f>IF($T1244="",N($X1243),IF(MATCH($T1244,$T$6:$T$6005,0)=ROW()-5,N($X1243)+1,N($X1243)))</f>
        <v/>
      </c>
      <c r="Z1244">
        <f>IF($V1244="","",IF($AA1244&gt;N($AA1243),$AA1244,""))</f>
        <v/>
      </c>
      <c r="AA1244">
        <f>IF($V1244="",N($AA1243),IF(MATCH($V1244,$V$6:$V$6005,0)=ROW()-5,N($AA1243)+1,N($AA1243)))</f>
        <v/>
      </c>
    </row>
    <row r="1245" ht="21" customHeight="1" s="66">
      <c r="A1245" s="56" t="n"/>
      <c r="B1245" s="57" t="n"/>
      <c r="C1245" s="57" t="n"/>
      <c r="D1245" s="57" t="n"/>
      <c r="E1245" s="56" t="n"/>
      <c r="F1245" s="57" t="n"/>
      <c r="G1245" s="57" t="n"/>
      <c r="H1245" s="56" t="n"/>
      <c r="I1245" s="56" t="n"/>
      <c r="J1245" s="58" t="n"/>
      <c r="K1245" s="58" t="n"/>
      <c r="L1245" s="13">
        <f>IF(OR($A1245="",AND($J1245="",$K1245="")),"",ROUND(N($J1245)-N($K1245),2))</f>
        <v/>
      </c>
      <c r="M1245" s="13">
        <f>IF(OR($A1245="",AND($J1245="",$K1245="")),"",MIN($J1245,$K1245))</f>
        <v/>
      </c>
      <c r="Q1245">
        <f>IF($A1245="","",$D1245&amp;"("&amp;SUBSTITUTE($E1245," ","")&amp;")")</f>
        <v/>
      </c>
      <c r="R1245">
        <f>IF($A1245="","",$B1245&amp;" - "&amp;$C1245)</f>
        <v/>
      </c>
      <c r="S1245">
        <f>IF($A1245="","",$R1245&amp;"|"&amp;$Q1245)</f>
        <v/>
      </c>
      <c r="T1245">
        <f>IF($A1245="","",$S1245&amp;"|"&amp;$F1245)</f>
        <v/>
      </c>
      <c r="U1245">
        <f>IF($A1245="","",$R1245&amp;"("&amp;$E1245&amp;")")</f>
        <v/>
      </c>
      <c r="V1245">
        <f>IF($A1245="","",$F1245&amp;"|"&amp;$U1245&amp;"|"&amp;$D1245)</f>
        <v/>
      </c>
      <c r="W1245">
        <f>IF($T1245="","",IF($X1245&gt;N($X1244),$X1245,""))</f>
        <v/>
      </c>
      <c r="X1245">
        <f>IF($T1245="",N($X1244),IF(MATCH($T1245,$T$6:$T$6005,0)=ROW()-5,N($X1244)+1,N($X1244)))</f>
        <v/>
      </c>
      <c r="Z1245">
        <f>IF($V1245="","",IF($AA1245&gt;N($AA1244),$AA1245,""))</f>
        <v/>
      </c>
      <c r="AA1245">
        <f>IF($V1245="",N($AA1244),IF(MATCH($V1245,$V$6:$V$6005,0)=ROW()-5,N($AA1244)+1,N($AA1244)))</f>
        <v/>
      </c>
    </row>
    <row r="1246" ht="21" customHeight="1" s="66">
      <c r="A1246" s="56" t="n"/>
      <c r="B1246" s="57" t="n"/>
      <c r="C1246" s="57" t="n"/>
      <c r="D1246" s="57" t="n"/>
      <c r="E1246" s="56" t="n"/>
      <c r="F1246" s="57" t="n"/>
      <c r="G1246" s="57" t="n"/>
      <c r="H1246" s="56" t="n"/>
      <c r="I1246" s="56" t="n"/>
      <c r="J1246" s="58" t="n"/>
      <c r="K1246" s="58" t="n"/>
      <c r="L1246" s="13">
        <f>IF(OR($A1246="",AND($J1246="",$K1246="")),"",ROUND(N($J1246)-N($K1246),2))</f>
        <v/>
      </c>
      <c r="M1246" s="13">
        <f>IF(OR($A1246="",AND($J1246="",$K1246="")),"",MIN($J1246,$K1246))</f>
        <v/>
      </c>
      <c r="Q1246">
        <f>IF($A1246="","",$D1246&amp;"("&amp;SUBSTITUTE($E1246," ","")&amp;")")</f>
        <v/>
      </c>
      <c r="R1246">
        <f>IF($A1246="","",$B1246&amp;" - "&amp;$C1246)</f>
        <v/>
      </c>
      <c r="S1246">
        <f>IF($A1246="","",$R1246&amp;"|"&amp;$Q1246)</f>
        <v/>
      </c>
      <c r="T1246">
        <f>IF($A1246="","",$S1246&amp;"|"&amp;$F1246)</f>
        <v/>
      </c>
      <c r="U1246">
        <f>IF($A1246="","",$R1246&amp;"("&amp;$E1246&amp;")")</f>
        <v/>
      </c>
      <c r="V1246">
        <f>IF($A1246="","",$F1246&amp;"|"&amp;$U1246&amp;"|"&amp;$D1246)</f>
        <v/>
      </c>
      <c r="W1246">
        <f>IF($T1246="","",IF($X1246&gt;N($X1245),$X1246,""))</f>
        <v/>
      </c>
      <c r="X1246">
        <f>IF($T1246="",N($X1245),IF(MATCH($T1246,$T$6:$T$6005,0)=ROW()-5,N($X1245)+1,N($X1245)))</f>
        <v/>
      </c>
      <c r="Z1246">
        <f>IF($V1246="","",IF($AA1246&gt;N($AA1245),$AA1246,""))</f>
        <v/>
      </c>
      <c r="AA1246">
        <f>IF($V1246="",N($AA1245),IF(MATCH($V1246,$V$6:$V$6005,0)=ROW()-5,N($AA1245)+1,N($AA1245)))</f>
        <v/>
      </c>
    </row>
    <row r="1247" ht="21" customHeight="1" s="66">
      <c r="A1247" s="56" t="n"/>
      <c r="B1247" s="57" t="n"/>
      <c r="C1247" s="57" t="n"/>
      <c r="D1247" s="57" t="n"/>
      <c r="E1247" s="56" t="n"/>
      <c r="F1247" s="57" t="n"/>
      <c r="G1247" s="57" t="n"/>
      <c r="H1247" s="56" t="n"/>
      <c r="I1247" s="56" t="n"/>
      <c r="J1247" s="58" t="n"/>
      <c r="K1247" s="58" t="n"/>
      <c r="L1247" s="13">
        <f>IF(OR($A1247="",AND($J1247="",$K1247="")),"",ROUND(N($J1247)-N($K1247),2))</f>
        <v/>
      </c>
      <c r="M1247" s="13">
        <f>IF(OR($A1247="",AND($J1247="",$K1247="")),"",MIN($J1247,$K1247))</f>
        <v/>
      </c>
      <c r="Q1247">
        <f>IF($A1247="","",$D1247&amp;"("&amp;SUBSTITUTE($E1247," ","")&amp;")")</f>
        <v/>
      </c>
      <c r="R1247">
        <f>IF($A1247="","",$B1247&amp;" - "&amp;$C1247)</f>
        <v/>
      </c>
      <c r="S1247">
        <f>IF($A1247="","",$R1247&amp;"|"&amp;$Q1247)</f>
        <v/>
      </c>
      <c r="T1247">
        <f>IF($A1247="","",$S1247&amp;"|"&amp;$F1247)</f>
        <v/>
      </c>
      <c r="U1247">
        <f>IF($A1247="","",$R1247&amp;"("&amp;$E1247&amp;")")</f>
        <v/>
      </c>
      <c r="V1247">
        <f>IF($A1247="","",$F1247&amp;"|"&amp;$U1247&amp;"|"&amp;$D1247)</f>
        <v/>
      </c>
      <c r="W1247">
        <f>IF($T1247="","",IF($X1247&gt;N($X1246),$X1247,""))</f>
        <v/>
      </c>
      <c r="X1247">
        <f>IF($T1247="",N($X1246),IF(MATCH($T1247,$T$6:$T$6005,0)=ROW()-5,N($X1246)+1,N($X1246)))</f>
        <v/>
      </c>
      <c r="Z1247">
        <f>IF($V1247="","",IF($AA1247&gt;N($AA1246),$AA1247,""))</f>
        <v/>
      </c>
      <c r="AA1247">
        <f>IF($V1247="",N($AA1246),IF(MATCH($V1247,$V$6:$V$6005,0)=ROW()-5,N($AA1246)+1,N($AA1246)))</f>
        <v/>
      </c>
    </row>
    <row r="1248" ht="21" customHeight="1" s="66">
      <c r="A1248" s="56" t="n"/>
      <c r="B1248" s="57" t="n"/>
      <c r="C1248" s="57" t="n"/>
      <c r="D1248" s="57" t="n"/>
      <c r="E1248" s="56" t="n"/>
      <c r="F1248" s="57" t="n"/>
      <c r="G1248" s="57" t="n"/>
      <c r="H1248" s="56" t="n"/>
      <c r="I1248" s="56" t="n"/>
      <c r="J1248" s="58" t="n"/>
      <c r="K1248" s="58" t="n"/>
      <c r="L1248" s="13">
        <f>IF(OR($A1248="",AND($J1248="",$K1248="")),"",ROUND(N($J1248)-N($K1248),2))</f>
        <v/>
      </c>
      <c r="M1248" s="13">
        <f>IF(OR($A1248="",AND($J1248="",$K1248="")),"",MIN($J1248,$K1248))</f>
        <v/>
      </c>
      <c r="Q1248">
        <f>IF($A1248="","",$D1248&amp;"("&amp;SUBSTITUTE($E1248," ","")&amp;")")</f>
        <v/>
      </c>
      <c r="R1248">
        <f>IF($A1248="","",$B1248&amp;" - "&amp;$C1248)</f>
        <v/>
      </c>
      <c r="S1248">
        <f>IF($A1248="","",$R1248&amp;"|"&amp;$Q1248)</f>
        <v/>
      </c>
      <c r="T1248">
        <f>IF($A1248="","",$S1248&amp;"|"&amp;$F1248)</f>
        <v/>
      </c>
      <c r="U1248">
        <f>IF($A1248="","",$R1248&amp;"("&amp;$E1248&amp;")")</f>
        <v/>
      </c>
      <c r="V1248">
        <f>IF($A1248="","",$F1248&amp;"|"&amp;$U1248&amp;"|"&amp;$D1248)</f>
        <v/>
      </c>
      <c r="W1248">
        <f>IF($T1248="","",IF($X1248&gt;N($X1247),$X1248,""))</f>
        <v/>
      </c>
      <c r="X1248">
        <f>IF($T1248="",N($X1247),IF(MATCH($T1248,$T$6:$T$6005,0)=ROW()-5,N($X1247)+1,N($X1247)))</f>
        <v/>
      </c>
      <c r="Z1248">
        <f>IF($V1248="","",IF($AA1248&gt;N($AA1247),$AA1248,""))</f>
        <v/>
      </c>
      <c r="AA1248">
        <f>IF($V1248="",N($AA1247),IF(MATCH($V1248,$V$6:$V$6005,0)=ROW()-5,N($AA1247)+1,N($AA1247)))</f>
        <v/>
      </c>
    </row>
    <row r="1249" ht="21" customHeight="1" s="66">
      <c r="A1249" s="56" t="n"/>
      <c r="B1249" s="57" t="n"/>
      <c r="C1249" s="57" t="n"/>
      <c r="D1249" s="57" t="n"/>
      <c r="E1249" s="56" t="n"/>
      <c r="F1249" s="57" t="n"/>
      <c r="G1249" s="57" t="n"/>
      <c r="H1249" s="56" t="n"/>
      <c r="I1249" s="56" t="n"/>
      <c r="J1249" s="58" t="n"/>
      <c r="K1249" s="58" t="n"/>
      <c r="L1249" s="13">
        <f>IF(OR($A1249="",AND($J1249="",$K1249="")),"",ROUND(N($J1249)-N($K1249),2))</f>
        <v/>
      </c>
      <c r="M1249" s="13">
        <f>IF(OR($A1249="",AND($J1249="",$K1249="")),"",MIN($J1249,$K1249))</f>
        <v/>
      </c>
      <c r="Q1249">
        <f>IF($A1249="","",$D1249&amp;"("&amp;SUBSTITUTE($E1249," ","")&amp;")")</f>
        <v/>
      </c>
      <c r="R1249">
        <f>IF($A1249="","",$B1249&amp;" - "&amp;$C1249)</f>
        <v/>
      </c>
      <c r="S1249">
        <f>IF($A1249="","",$R1249&amp;"|"&amp;$Q1249)</f>
        <v/>
      </c>
      <c r="T1249">
        <f>IF($A1249="","",$S1249&amp;"|"&amp;$F1249)</f>
        <v/>
      </c>
      <c r="U1249">
        <f>IF($A1249="","",$R1249&amp;"("&amp;$E1249&amp;")")</f>
        <v/>
      </c>
      <c r="V1249">
        <f>IF($A1249="","",$F1249&amp;"|"&amp;$U1249&amp;"|"&amp;$D1249)</f>
        <v/>
      </c>
      <c r="W1249">
        <f>IF($T1249="","",IF($X1249&gt;N($X1248),$X1249,""))</f>
        <v/>
      </c>
      <c r="X1249">
        <f>IF($T1249="",N($X1248),IF(MATCH($T1249,$T$6:$T$6005,0)=ROW()-5,N($X1248)+1,N($X1248)))</f>
        <v/>
      </c>
      <c r="Z1249">
        <f>IF($V1249="","",IF($AA1249&gt;N($AA1248),$AA1249,""))</f>
        <v/>
      </c>
      <c r="AA1249">
        <f>IF($V1249="",N($AA1248),IF(MATCH($V1249,$V$6:$V$6005,0)=ROW()-5,N($AA1248)+1,N($AA1248)))</f>
        <v/>
      </c>
    </row>
    <row r="1250" ht="21" customHeight="1" s="66">
      <c r="A1250" s="56" t="n"/>
      <c r="B1250" s="57" t="n"/>
      <c r="C1250" s="57" t="n"/>
      <c r="D1250" s="57" t="n"/>
      <c r="E1250" s="56" t="n"/>
      <c r="F1250" s="57" t="n"/>
      <c r="G1250" s="57" t="n"/>
      <c r="H1250" s="56" t="n"/>
      <c r="I1250" s="56" t="n"/>
      <c r="J1250" s="58" t="n"/>
      <c r="K1250" s="58" t="n"/>
      <c r="L1250" s="13">
        <f>IF(OR($A1250="",AND($J1250="",$K1250="")),"",ROUND(N($J1250)-N($K1250),2))</f>
        <v/>
      </c>
      <c r="M1250" s="13">
        <f>IF(OR($A1250="",AND($J1250="",$K1250="")),"",MIN($J1250,$K1250))</f>
        <v/>
      </c>
      <c r="Q1250">
        <f>IF($A1250="","",$D1250&amp;"("&amp;SUBSTITUTE($E1250," ","")&amp;")")</f>
        <v/>
      </c>
      <c r="R1250">
        <f>IF($A1250="","",$B1250&amp;" - "&amp;$C1250)</f>
        <v/>
      </c>
      <c r="S1250">
        <f>IF($A1250="","",$R1250&amp;"|"&amp;$Q1250)</f>
        <v/>
      </c>
      <c r="T1250">
        <f>IF($A1250="","",$S1250&amp;"|"&amp;$F1250)</f>
        <v/>
      </c>
      <c r="U1250">
        <f>IF($A1250="","",$R1250&amp;"("&amp;$E1250&amp;")")</f>
        <v/>
      </c>
      <c r="V1250">
        <f>IF($A1250="","",$F1250&amp;"|"&amp;$U1250&amp;"|"&amp;$D1250)</f>
        <v/>
      </c>
      <c r="W1250">
        <f>IF($T1250="","",IF($X1250&gt;N($X1249),$X1250,""))</f>
        <v/>
      </c>
      <c r="X1250">
        <f>IF($T1250="",N($X1249),IF(MATCH($T1250,$T$6:$T$6005,0)=ROW()-5,N($X1249)+1,N($X1249)))</f>
        <v/>
      </c>
      <c r="Z1250">
        <f>IF($V1250="","",IF($AA1250&gt;N($AA1249),$AA1250,""))</f>
        <v/>
      </c>
      <c r="AA1250">
        <f>IF($V1250="",N($AA1249),IF(MATCH($V1250,$V$6:$V$6005,0)=ROW()-5,N($AA1249)+1,N($AA1249)))</f>
        <v/>
      </c>
    </row>
    <row r="1251" ht="21" customHeight="1" s="66">
      <c r="A1251" s="56" t="n"/>
      <c r="B1251" s="57" t="n"/>
      <c r="C1251" s="57" t="n"/>
      <c r="D1251" s="57" t="n"/>
      <c r="E1251" s="56" t="n"/>
      <c r="F1251" s="57" t="n"/>
      <c r="G1251" s="57" t="n"/>
      <c r="H1251" s="56" t="n"/>
      <c r="I1251" s="56" t="n"/>
      <c r="J1251" s="58" t="n"/>
      <c r="K1251" s="58" t="n"/>
      <c r="L1251" s="13">
        <f>IF(OR($A1251="",AND($J1251="",$K1251="")),"",ROUND(N($J1251)-N($K1251),2))</f>
        <v/>
      </c>
      <c r="M1251" s="13">
        <f>IF(OR($A1251="",AND($J1251="",$K1251="")),"",MIN($J1251,$K1251))</f>
        <v/>
      </c>
      <c r="Q1251">
        <f>IF($A1251="","",$D1251&amp;"("&amp;SUBSTITUTE($E1251," ","")&amp;")")</f>
        <v/>
      </c>
      <c r="R1251">
        <f>IF($A1251="","",$B1251&amp;" - "&amp;$C1251)</f>
        <v/>
      </c>
      <c r="S1251">
        <f>IF($A1251="","",$R1251&amp;"|"&amp;$Q1251)</f>
        <v/>
      </c>
      <c r="T1251">
        <f>IF($A1251="","",$S1251&amp;"|"&amp;$F1251)</f>
        <v/>
      </c>
      <c r="U1251">
        <f>IF($A1251="","",$R1251&amp;"("&amp;$E1251&amp;")")</f>
        <v/>
      </c>
      <c r="V1251">
        <f>IF($A1251="","",$F1251&amp;"|"&amp;$U1251&amp;"|"&amp;$D1251)</f>
        <v/>
      </c>
      <c r="W1251">
        <f>IF($T1251="","",IF($X1251&gt;N($X1250),$X1251,""))</f>
        <v/>
      </c>
      <c r="X1251">
        <f>IF($T1251="",N($X1250),IF(MATCH($T1251,$T$6:$T$6005,0)=ROW()-5,N($X1250)+1,N($X1250)))</f>
        <v/>
      </c>
      <c r="Z1251">
        <f>IF($V1251="","",IF($AA1251&gt;N($AA1250),$AA1251,""))</f>
        <v/>
      </c>
      <c r="AA1251">
        <f>IF($V1251="",N($AA1250),IF(MATCH($V1251,$V$6:$V$6005,0)=ROW()-5,N($AA1250)+1,N($AA1250)))</f>
        <v/>
      </c>
    </row>
    <row r="1252" ht="21" customHeight="1" s="66">
      <c r="A1252" s="56" t="n"/>
      <c r="B1252" s="57" t="n"/>
      <c r="C1252" s="57" t="n"/>
      <c r="D1252" s="57" t="n"/>
      <c r="E1252" s="56" t="n"/>
      <c r="F1252" s="57" t="n"/>
      <c r="G1252" s="57" t="n"/>
      <c r="H1252" s="56" t="n"/>
      <c r="I1252" s="56" t="n"/>
      <c r="J1252" s="58" t="n"/>
      <c r="K1252" s="58" t="n"/>
      <c r="L1252" s="13">
        <f>IF(OR($A1252="",AND($J1252="",$K1252="")),"",ROUND(N($J1252)-N($K1252),2))</f>
        <v/>
      </c>
      <c r="M1252" s="13">
        <f>IF(OR($A1252="",AND($J1252="",$K1252="")),"",MIN($J1252,$K1252))</f>
        <v/>
      </c>
      <c r="Q1252">
        <f>IF($A1252="","",$D1252&amp;"("&amp;SUBSTITUTE($E1252," ","")&amp;")")</f>
        <v/>
      </c>
      <c r="R1252">
        <f>IF($A1252="","",$B1252&amp;" - "&amp;$C1252)</f>
        <v/>
      </c>
      <c r="S1252">
        <f>IF($A1252="","",$R1252&amp;"|"&amp;$Q1252)</f>
        <v/>
      </c>
      <c r="T1252">
        <f>IF($A1252="","",$S1252&amp;"|"&amp;$F1252)</f>
        <v/>
      </c>
      <c r="U1252">
        <f>IF($A1252="","",$R1252&amp;"("&amp;$E1252&amp;")")</f>
        <v/>
      </c>
      <c r="V1252">
        <f>IF($A1252="","",$F1252&amp;"|"&amp;$U1252&amp;"|"&amp;$D1252)</f>
        <v/>
      </c>
      <c r="W1252">
        <f>IF($T1252="","",IF($X1252&gt;N($X1251),$X1252,""))</f>
        <v/>
      </c>
      <c r="X1252">
        <f>IF($T1252="",N($X1251),IF(MATCH($T1252,$T$6:$T$6005,0)=ROW()-5,N($X1251)+1,N($X1251)))</f>
        <v/>
      </c>
      <c r="Z1252">
        <f>IF($V1252="","",IF($AA1252&gt;N($AA1251),$AA1252,""))</f>
        <v/>
      </c>
      <c r="AA1252">
        <f>IF($V1252="",N($AA1251),IF(MATCH($V1252,$V$6:$V$6005,0)=ROW()-5,N($AA1251)+1,N($AA1251)))</f>
        <v/>
      </c>
    </row>
    <row r="1253" ht="21" customHeight="1" s="66">
      <c r="A1253" s="56" t="n"/>
      <c r="B1253" s="57" t="n"/>
      <c r="C1253" s="57" t="n"/>
      <c r="D1253" s="57" t="n"/>
      <c r="E1253" s="56" t="n"/>
      <c r="F1253" s="57" t="n"/>
      <c r="G1253" s="57" t="n"/>
      <c r="H1253" s="56" t="n"/>
      <c r="I1253" s="56" t="n"/>
      <c r="J1253" s="58" t="n"/>
      <c r="K1253" s="58" t="n"/>
      <c r="L1253" s="13">
        <f>IF(OR($A1253="",AND($J1253="",$K1253="")),"",ROUND(N($J1253)-N($K1253),2))</f>
        <v/>
      </c>
      <c r="M1253" s="13">
        <f>IF(OR($A1253="",AND($J1253="",$K1253="")),"",MIN($J1253,$K1253))</f>
        <v/>
      </c>
      <c r="Q1253">
        <f>IF($A1253="","",$D1253&amp;"("&amp;SUBSTITUTE($E1253," ","")&amp;")")</f>
        <v/>
      </c>
      <c r="R1253">
        <f>IF($A1253="","",$B1253&amp;" - "&amp;$C1253)</f>
        <v/>
      </c>
      <c r="S1253">
        <f>IF($A1253="","",$R1253&amp;"|"&amp;$Q1253)</f>
        <v/>
      </c>
      <c r="T1253">
        <f>IF($A1253="","",$S1253&amp;"|"&amp;$F1253)</f>
        <v/>
      </c>
      <c r="U1253">
        <f>IF($A1253="","",$R1253&amp;"("&amp;$E1253&amp;")")</f>
        <v/>
      </c>
      <c r="V1253">
        <f>IF($A1253="","",$F1253&amp;"|"&amp;$U1253&amp;"|"&amp;$D1253)</f>
        <v/>
      </c>
      <c r="W1253">
        <f>IF($T1253="","",IF($X1253&gt;N($X1252),$X1253,""))</f>
        <v/>
      </c>
      <c r="X1253">
        <f>IF($T1253="",N($X1252),IF(MATCH($T1253,$T$6:$T$6005,0)=ROW()-5,N($X1252)+1,N($X1252)))</f>
        <v/>
      </c>
      <c r="Z1253">
        <f>IF($V1253="","",IF($AA1253&gt;N($AA1252),$AA1253,""))</f>
        <v/>
      </c>
      <c r="AA1253">
        <f>IF($V1253="",N($AA1252),IF(MATCH($V1253,$V$6:$V$6005,0)=ROW()-5,N($AA1252)+1,N($AA1252)))</f>
        <v/>
      </c>
    </row>
    <row r="1254" ht="21" customHeight="1" s="66">
      <c r="A1254" s="56" t="n"/>
      <c r="B1254" s="57" t="n"/>
      <c r="C1254" s="57" t="n"/>
      <c r="D1254" s="57" t="n"/>
      <c r="E1254" s="56" t="n"/>
      <c r="F1254" s="57" t="n"/>
      <c r="G1254" s="57" t="n"/>
      <c r="H1254" s="56" t="n"/>
      <c r="I1254" s="56" t="n"/>
      <c r="J1254" s="58" t="n"/>
      <c r="K1254" s="58" t="n"/>
      <c r="L1254" s="13">
        <f>IF(OR($A1254="",AND($J1254="",$K1254="")),"",ROUND(N($J1254)-N($K1254),2))</f>
        <v/>
      </c>
      <c r="M1254" s="13">
        <f>IF(OR($A1254="",AND($J1254="",$K1254="")),"",MIN($J1254,$K1254))</f>
        <v/>
      </c>
      <c r="Q1254">
        <f>IF($A1254="","",$D1254&amp;"("&amp;SUBSTITUTE($E1254," ","")&amp;")")</f>
        <v/>
      </c>
      <c r="R1254">
        <f>IF($A1254="","",$B1254&amp;" - "&amp;$C1254)</f>
        <v/>
      </c>
      <c r="S1254">
        <f>IF($A1254="","",$R1254&amp;"|"&amp;$Q1254)</f>
        <v/>
      </c>
      <c r="T1254">
        <f>IF($A1254="","",$S1254&amp;"|"&amp;$F1254)</f>
        <v/>
      </c>
      <c r="U1254">
        <f>IF($A1254="","",$R1254&amp;"("&amp;$E1254&amp;")")</f>
        <v/>
      </c>
      <c r="V1254">
        <f>IF($A1254="","",$F1254&amp;"|"&amp;$U1254&amp;"|"&amp;$D1254)</f>
        <v/>
      </c>
      <c r="W1254">
        <f>IF($T1254="","",IF($X1254&gt;N($X1253),$X1254,""))</f>
        <v/>
      </c>
      <c r="X1254">
        <f>IF($T1254="",N($X1253),IF(MATCH($T1254,$T$6:$T$6005,0)=ROW()-5,N($X1253)+1,N($X1253)))</f>
        <v/>
      </c>
      <c r="Z1254">
        <f>IF($V1254="","",IF($AA1254&gt;N($AA1253),$AA1254,""))</f>
        <v/>
      </c>
      <c r="AA1254">
        <f>IF($V1254="",N($AA1253),IF(MATCH($V1254,$V$6:$V$6005,0)=ROW()-5,N($AA1253)+1,N($AA1253)))</f>
        <v/>
      </c>
    </row>
    <row r="1255" ht="21" customHeight="1" s="66">
      <c r="A1255" s="56" t="n"/>
      <c r="B1255" s="57" t="n"/>
      <c r="C1255" s="57" t="n"/>
      <c r="D1255" s="57" t="n"/>
      <c r="E1255" s="56" t="n"/>
      <c r="F1255" s="57" t="n"/>
      <c r="G1255" s="57" t="n"/>
      <c r="H1255" s="56" t="n"/>
      <c r="I1255" s="56" t="n"/>
      <c r="J1255" s="58" t="n"/>
      <c r="K1255" s="58" t="n"/>
      <c r="L1255" s="13">
        <f>IF(OR($A1255="",AND($J1255="",$K1255="")),"",ROUND(N($J1255)-N($K1255),2))</f>
        <v/>
      </c>
      <c r="M1255" s="13">
        <f>IF(OR($A1255="",AND($J1255="",$K1255="")),"",MIN($J1255,$K1255))</f>
        <v/>
      </c>
      <c r="Q1255">
        <f>IF($A1255="","",$D1255&amp;"("&amp;SUBSTITUTE($E1255," ","")&amp;")")</f>
        <v/>
      </c>
      <c r="R1255">
        <f>IF($A1255="","",$B1255&amp;" - "&amp;$C1255)</f>
        <v/>
      </c>
      <c r="S1255">
        <f>IF($A1255="","",$R1255&amp;"|"&amp;$Q1255)</f>
        <v/>
      </c>
      <c r="T1255">
        <f>IF($A1255="","",$S1255&amp;"|"&amp;$F1255)</f>
        <v/>
      </c>
      <c r="U1255">
        <f>IF($A1255="","",$R1255&amp;"("&amp;$E1255&amp;")")</f>
        <v/>
      </c>
      <c r="V1255">
        <f>IF($A1255="","",$F1255&amp;"|"&amp;$U1255&amp;"|"&amp;$D1255)</f>
        <v/>
      </c>
      <c r="W1255">
        <f>IF($T1255="","",IF($X1255&gt;N($X1254),$X1255,""))</f>
        <v/>
      </c>
      <c r="X1255">
        <f>IF($T1255="",N($X1254),IF(MATCH($T1255,$T$6:$T$6005,0)=ROW()-5,N($X1254)+1,N($X1254)))</f>
        <v/>
      </c>
      <c r="Z1255">
        <f>IF($V1255="","",IF($AA1255&gt;N($AA1254),$AA1255,""))</f>
        <v/>
      </c>
      <c r="AA1255">
        <f>IF($V1255="",N($AA1254),IF(MATCH($V1255,$V$6:$V$6005,0)=ROW()-5,N($AA1254)+1,N($AA1254)))</f>
        <v/>
      </c>
    </row>
    <row r="1256" ht="21" customHeight="1" s="66">
      <c r="A1256" s="56" t="n"/>
      <c r="B1256" s="57" t="n"/>
      <c r="C1256" s="57" t="n"/>
      <c r="D1256" s="57" t="n"/>
      <c r="E1256" s="56" t="n"/>
      <c r="F1256" s="57" t="n"/>
      <c r="G1256" s="57" t="n"/>
      <c r="H1256" s="56" t="n"/>
      <c r="I1256" s="56" t="n"/>
      <c r="J1256" s="58" t="n"/>
      <c r="K1256" s="58" t="n"/>
      <c r="L1256" s="13">
        <f>IF(OR($A1256="",AND($J1256="",$K1256="")),"",ROUND(N($J1256)-N($K1256),2))</f>
        <v/>
      </c>
      <c r="M1256" s="13">
        <f>IF(OR($A1256="",AND($J1256="",$K1256="")),"",MIN($J1256,$K1256))</f>
        <v/>
      </c>
      <c r="Q1256">
        <f>IF($A1256="","",$D1256&amp;"("&amp;SUBSTITUTE($E1256," ","")&amp;")")</f>
        <v/>
      </c>
      <c r="R1256">
        <f>IF($A1256="","",$B1256&amp;" - "&amp;$C1256)</f>
        <v/>
      </c>
      <c r="S1256">
        <f>IF($A1256="","",$R1256&amp;"|"&amp;$Q1256)</f>
        <v/>
      </c>
      <c r="T1256">
        <f>IF($A1256="","",$S1256&amp;"|"&amp;$F1256)</f>
        <v/>
      </c>
      <c r="U1256">
        <f>IF($A1256="","",$R1256&amp;"("&amp;$E1256&amp;")")</f>
        <v/>
      </c>
      <c r="V1256">
        <f>IF($A1256="","",$F1256&amp;"|"&amp;$U1256&amp;"|"&amp;$D1256)</f>
        <v/>
      </c>
      <c r="W1256">
        <f>IF($T1256="","",IF($X1256&gt;N($X1255),$X1256,""))</f>
        <v/>
      </c>
      <c r="X1256">
        <f>IF($T1256="",N($X1255),IF(MATCH($T1256,$T$6:$T$6005,0)=ROW()-5,N($X1255)+1,N($X1255)))</f>
        <v/>
      </c>
      <c r="Z1256">
        <f>IF($V1256="","",IF($AA1256&gt;N($AA1255),$AA1256,""))</f>
        <v/>
      </c>
      <c r="AA1256">
        <f>IF($V1256="",N($AA1255),IF(MATCH($V1256,$V$6:$V$6005,0)=ROW()-5,N($AA1255)+1,N($AA1255)))</f>
        <v/>
      </c>
    </row>
    <row r="1257" ht="21" customHeight="1" s="66">
      <c r="A1257" s="56" t="n"/>
      <c r="B1257" s="57" t="n"/>
      <c r="C1257" s="57" t="n"/>
      <c r="D1257" s="57" t="n"/>
      <c r="E1257" s="56" t="n"/>
      <c r="F1257" s="57" t="n"/>
      <c r="G1257" s="57" t="n"/>
      <c r="H1257" s="56" t="n"/>
      <c r="I1257" s="56" t="n"/>
      <c r="J1257" s="58" t="n"/>
      <c r="K1257" s="58" t="n"/>
      <c r="L1257" s="13">
        <f>IF(OR($A1257="",AND($J1257="",$K1257="")),"",ROUND(N($J1257)-N($K1257),2))</f>
        <v/>
      </c>
      <c r="M1257" s="13">
        <f>IF(OR($A1257="",AND($J1257="",$K1257="")),"",MIN($J1257,$K1257))</f>
        <v/>
      </c>
      <c r="Q1257">
        <f>IF($A1257="","",$D1257&amp;"("&amp;SUBSTITUTE($E1257," ","")&amp;")")</f>
        <v/>
      </c>
      <c r="R1257">
        <f>IF($A1257="","",$B1257&amp;" - "&amp;$C1257)</f>
        <v/>
      </c>
      <c r="S1257">
        <f>IF($A1257="","",$R1257&amp;"|"&amp;$Q1257)</f>
        <v/>
      </c>
      <c r="T1257">
        <f>IF($A1257="","",$S1257&amp;"|"&amp;$F1257)</f>
        <v/>
      </c>
      <c r="U1257">
        <f>IF($A1257="","",$R1257&amp;"("&amp;$E1257&amp;")")</f>
        <v/>
      </c>
      <c r="V1257">
        <f>IF($A1257="","",$F1257&amp;"|"&amp;$U1257&amp;"|"&amp;$D1257)</f>
        <v/>
      </c>
      <c r="W1257">
        <f>IF($T1257="","",IF($X1257&gt;N($X1256),$X1257,""))</f>
        <v/>
      </c>
      <c r="X1257">
        <f>IF($T1257="",N($X1256),IF(MATCH($T1257,$T$6:$T$6005,0)=ROW()-5,N($X1256)+1,N($X1256)))</f>
        <v/>
      </c>
      <c r="Z1257">
        <f>IF($V1257="","",IF($AA1257&gt;N($AA1256),$AA1257,""))</f>
        <v/>
      </c>
      <c r="AA1257">
        <f>IF($V1257="",N($AA1256),IF(MATCH($V1257,$V$6:$V$6005,0)=ROW()-5,N($AA1256)+1,N($AA1256)))</f>
        <v/>
      </c>
    </row>
    <row r="1258" ht="21" customHeight="1" s="66">
      <c r="A1258" s="56" t="n"/>
      <c r="B1258" s="57" t="n"/>
      <c r="C1258" s="57" t="n"/>
      <c r="D1258" s="57" t="n"/>
      <c r="E1258" s="56" t="n"/>
      <c r="F1258" s="57" t="n"/>
      <c r="G1258" s="57" t="n"/>
      <c r="H1258" s="56" t="n"/>
      <c r="I1258" s="56" t="n"/>
      <c r="J1258" s="58" t="n"/>
      <c r="K1258" s="58" t="n"/>
      <c r="L1258" s="13">
        <f>IF(OR($A1258="",AND($J1258="",$K1258="")),"",ROUND(N($J1258)-N($K1258),2))</f>
        <v/>
      </c>
      <c r="M1258" s="13">
        <f>IF(OR($A1258="",AND($J1258="",$K1258="")),"",MIN($J1258,$K1258))</f>
        <v/>
      </c>
      <c r="Q1258">
        <f>IF($A1258="","",$D1258&amp;"("&amp;SUBSTITUTE($E1258," ","")&amp;")")</f>
        <v/>
      </c>
      <c r="R1258">
        <f>IF($A1258="","",$B1258&amp;" - "&amp;$C1258)</f>
        <v/>
      </c>
      <c r="S1258">
        <f>IF($A1258="","",$R1258&amp;"|"&amp;$Q1258)</f>
        <v/>
      </c>
      <c r="T1258">
        <f>IF($A1258="","",$S1258&amp;"|"&amp;$F1258)</f>
        <v/>
      </c>
      <c r="U1258">
        <f>IF($A1258="","",$R1258&amp;"("&amp;$E1258&amp;")")</f>
        <v/>
      </c>
      <c r="V1258">
        <f>IF($A1258="","",$F1258&amp;"|"&amp;$U1258&amp;"|"&amp;$D1258)</f>
        <v/>
      </c>
      <c r="W1258">
        <f>IF($T1258="","",IF($X1258&gt;N($X1257),$X1258,""))</f>
        <v/>
      </c>
      <c r="X1258">
        <f>IF($T1258="",N($X1257),IF(MATCH($T1258,$T$6:$T$6005,0)=ROW()-5,N($X1257)+1,N($X1257)))</f>
        <v/>
      </c>
      <c r="Z1258">
        <f>IF($V1258="","",IF($AA1258&gt;N($AA1257),$AA1258,""))</f>
        <v/>
      </c>
      <c r="AA1258">
        <f>IF($V1258="",N($AA1257),IF(MATCH($V1258,$V$6:$V$6005,0)=ROW()-5,N($AA1257)+1,N($AA1257)))</f>
        <v/>
      </c>
    </row>
    <row r="1259" ht="21" customHeight="1" s="66">
      <c r="A1259" s="56" t="n"/>
      <c r="B1259" s="57" t="n"/>
      <c r="C1259" s="57" t="n"/>
      <c r="D1259" s="57" t="n"/>
      <c r="E1259" s="56" t="n"/>
      <c r="F1259" s="57" t="n"/>
      <c r="G1259" s="57" t="n"/>
      <c r="H1259" s="56" t="n"/>
      <c r="I1259" s="56" t="n"/>
      <c r="J1259" s="58" t="n"/>
      <c r="K1259" s="58" t="n"/>
      <c r="L1259" s="13">
        <f>IF(OR($A1259="",AND($J1259="",$K1259="")),"",ROUND(N($J1259)-N($K1259),2))</f>
        <v/>
      </c>
      <c r="M1259" s="13">
        <f>IF(OR($A1259="",AND($J1259="",$K1259="")),"",MIN($J1259,$K1259))</f>
        <v/>
      </c>
      <c r="Q1259">
        <f>IF($A1259="","",$D1259&amp;"("&amp;SUBSTITUTE($E1259," ","")&amp;")")</f>
        <v/>
      </c>
      <c r="R1259">
        <f>IF($A1259="","",$B1259&amp;" - "&amp;$C1259)</f>
        <v/>
      </c>
      <c r="S1259">
        <f>IF($A1259="","",$R1259&amp;"|"&amp;$Q1259)</f>
        <v/>
      </c>
      <c r="T1259">
        <f>IF($A1259="","",$S1259&amp;"|"&amp;$F1259)</f>
        <v/>
      </c>
      <c r="U1259">
        <f>IF($A1259="","",$R1259&amp;"("&amp;$E1259&amp;")")</f>
        <v/>
      </c>
      <c r="V1259">
        <f>IF($A1259="","",$F1259&amp;"|"&amp;$U1259&amp;"|"&amp;$D1259)</f>
        <v/>
      </c>
      <c r="W1259">
        <f>IF($T1259="","",IF($X1259&gt;N($X1258),$X1259,""))</f>
        <v/>
      </c>
      <c r="X1259">
        <f>IF($T1259="",N($X1258),IF(MATCH($T1259,$T$6:$T$6005,0)=ROW()-5,N($X1258)+1,N($X1258)))</f>
        <v/>
      </c>
      <c r="Z1259">
        <f>IF($V1259="","",IF($AA1259&gt;N($AA1258),$AA1259,""))</f>
        <v/>
      </c>
      <c r="AA1259">
        <f>IF($V1259="",N($AA1258),IF(MATCH($V1259,$V$6:$V$6005,0)=ROW()-5,N($AA1258)+1,N($AA1258)))</f>
        <v/>
      </c>
    </row>
    <row r="1260" ht="21" customHeight="1" s="66">
      <c r="A1260" s="56" t="n"/>
      <c r="B1260" s="57" t="n"/>
      <c r="C1260" s="57" t="n"/>
      <c r="D1260" s="57" t="n"/>
      <c r="E1260" s="56" t="n"/>
      <c r="F1260" s="57" t="n"/>
      <c r="G1260" s="57" t="n"/>
      <c r="H1260" s="56" t="n"/>
      <c r="I1260" s="56" t="n"/>
      <c r="J1260" s="58" t="n"/>
      <c r="K1260" s="58" t="n"/>
      <c r="L1260" s="13">
        <f>IF(OR($A1260="",AND($J1260="",$K1260="")),"",ROUND(N($J1260)-N($K1260),2))</f>
        <v/>
      </c>
      <c r="M1260" s="13">
        <f>IF(OR($A1260="",AND($J1260="",$K1260="")),"",MIN($J1260,$K1260))</f>
        <v/>
      </c>
      <c r="Q1260">
        <f>IF($A1260="","",$D1260&amp;"("&amp;SUBSTITUTE($E1260," ","")&amp;")")</f>
        <v/>
      </c>
      <c r="R1260">
        <f>IF($A1260="","",$B1260&amp;" - "&amp;$C1260)</f>
        <v/>
      </c>
      <c r="S1260">
        <f>IF($A1260="","",$R1260&amp;"|"&amp;$Q1260)</f>
        <v/>
      </c>
      <c r="T1260">
        <f>IF($A1260="","",$S1260&amp;"|"&amp;$F1260)</f>
        <v/>
      </c>
      <c r="U1260">
        <f>IF($A1260="","",$R1260&amp;"("&amp;$E1260&amp;")")</f>
        <v/>
      </c>
      <c r="V1260">
        <f>IF($A1260="","",$F1260&amp;"|"&amp;$U1260&amp;"|"&amp;$D1260)</f>
        <v/>
      </c>
      <c r="W1260">
        <f>IF($T1260="","",IF($X1260&gt;N($X1259),$X1260,""))</f>
        <v/>
      </c>
      <c r="X1260">
        <f>IF($T1260="",N($X1259),IF(MATCH($T1260,$T$6:$T$6005,0)=ROW()-5,N($X1259)+1,N($X1259)))</f>
        <v/>
      </c>
      <c r="Z1260">
        <f>IF($V1260="","",IF($AA1260&gt;N($AA1259),$AA1260,""))</f>
        <v/>
      </c>
      <c r="AA1260">
        <f>IF($V1260="",N($AA1259),IF(MATCH($V1260,$V$6:$V$6005,0)=ROW()-5,N($AA1259)+1,N($AA1259)))</f>
        <v/>
      </c>
    </row>
    <row r="1261" ht="21" customHeight="1" s="66">
      <c r="A1261" s="56" t="n"/>
      <c r="B1261" s="57" t="n"/>
      <c r="C1261" s="57" t="n"/>
      <c r="D1261" s="57" t="n"/>
      <c r="E1261" s="56" t="n"/>
      <c r="F1261" s="57" t="n"/>
      <c r="G1261" s="57" t="n"/>
      <c r="H1261" s="56" t="n"/>
      <c r="I1261" s="56" t="n"/>
      <c r="J1261" s="58" t="n"/>
      <c r="K1261" s="58" t="n"/>
      <c r="L1261" s="13">
        <f>IF(OR($A1261="",AND($J1261="",$K1261="")),"",ROUND(N($J1261)-N($K1261),2))</f>
        <v/>
      </c>
      <c r="M1261" s="13">
        <f>IF(OR($A1261="",AND($J1261="",$K1261="")),"",MIN($J1261,$K1261))</f>
        <v/>
      </c>
      <c r="Q1261">
        <f>IF($A1261="","",$D1261&amp;"("&amp;SUBSTITUTE($E1261," ","")&amp;")")</f>
        <v/>
      </c>
      <c r="R1261">
        <f>IF($A1261="","",$B1261&amp;" - "&amp;$C1261)</f>
        <v/>
      </c>
      <c r="S1261">
        <f>IF($A1261="","",$R1261&amp;"|"&amp;$Q1261)</f>
        <v/>
      </c>
      <c r="T1261">
        <f>IF($A1261="","",$S1261&amp;"|"&amp;$F1261)</f>
        <v/>
      </c>
      <c r="U1261">
        <f>IF($A1261="","",$R1261&amp;"("&amp;$E1261&amp;")")</f>
        <v/>
      </c>
      <c r="V1261">
        <f>IF($A1261="","",$F1261&amp;"|"&amp;$U1261&amp;"|"&amp;$D1261)</f>
        <v/>
      </c>
      <c r="W1261">
        <f>IF($T1261="","",IF($X1261&gt;N($X1260),$X1261,""))</f>
        <v/>
      </c>
      <c r="X1261">
        <f>IF($T1261="",N($X1260),IF(MATCH($T1261,$T$6:$T$6005,0)=ROW()-5,N($X1260)+1,N($X1260)))</f>
        <v/>
      </c>
      <c r="Z1261">
        <f>IF($V1261="","",IF($AA1261&gt;N($AA1260),$AA1261,""))</f>
        <v/>
      </c>
      <c r="AA1261">
        <f>IF($V1261="",N($AA1260),IF(MATCH($V1261,$V$6:$V$6005,0)=ROW()-5,N($AA1260)+1,N($AA1260)))</f>
        <v/>
      </c>
    </row>
    <row r="1262" ht="21" customHeight="1" s="66">
      <c r="A1262" s="56" t="n"/>
      <c r="B1262" s="57" t="n"/>
      <c r="C1262" s="57" t="n"/>
      <c r="D1262" s="57" t="n"/>
      <c r="E1262" s="56" t="n"/>
      <c r="F1262" s="57" t="n"/>
      <c r="G1262" s="57" t="n"/>
      <c r="H1262" s="56" t="n"/>
      <c r="I1262" s="56" t="n"/>
      <c r="J1262" s="58" t="n"/>
      <c r="K1262" s="58" t="n"/>
      <c r="L1262" s="13">
        <f>IF(OR($A1262="",AND($J1262="",$K1262="")),"",ROUND(N($J1262)-N($K1262),2))</f>
        <v/>
      </c>
      <c r="M1262" s="13">
        <f>IF(OR($A1262="",AND($J1262="",$K1262="")),"",MIN($J1262,$K1262))</f>
        <v/>
      </c>
      <c r="Q1262">
        <f>IF($A1262="","",$D1262&amp;"("&amp;SUBSTITUTE($E1262," ","")&amp;")")</f>
        <v/>
      </c>
      <c r="R1262">
        <f>IF($A1262="","",$B1262&amp;" - "&amp;$C1262)</f>
        <v/>
      </c>
      <c r="S1262">
        <f>IF($A1262="","",$R1262&amp;"|"&amp;$Q1262)</f>
        <v/>
      </c>
      <c r="T1262">
        <f>IF($A1262="","",$S1262&amp;"|"&amp;$F1262)</f>
        <v/>
      </c>
      <c r="U1262">
        <f>IF($A1262="","",$R1262&amp;"("&amp;$E1262&amp;")")</f>
        <v/>
      </c>
      <c r="V1262">
        <f>IF($A1262="","",$F1262&amp;"|"&amp;$U1262&amp;"|"&amp;$D1262)</f>
        <v/>
      </c>
      <c r="W1262">
        <f>IF($T1262="","",IF($X1262&gt;N($X1261),$X1262,""))</f>
        <v/>
      </c>
      <c r="X1262">
        <f>IF($T1262="",N($X1261),IF(MATCH($T1262,$T$6:$T$6005,0)=ROW()-5,N($X1261)+1,N($X1261)))</f>
        <v/>
      </c>
      <c r="Z1262">
        <f>IF($V1262="","",IF($AA1262&gt;N($AA1261),$AA1262,""))</f>
        <v/>
      </c>
      <c r="AA1262">
        <f>IF($V1262="",N($AA1261),IF(MATCH($V1262,$V$6:$V$6005,0)=ROW()-5,N($AA1261)+1,N($AA1261)))</f>
        <v/>
      </c>
    </row>
    <row r="1263" ht="21" customHeight="1" s="66">
      <c r="A1263" s="56" t="n"/>
      <c r="B1263" s="57" t="n"/>
      <c r="C1263" s="57" t="n"/>
      <c r="D1263" s="57" t="n"/>
      <c r="E1263" s="56" t="n"/>
      <c r="F1263" s="57" t="n"/>
      <c r="G1263" s="57" t="n"/>
      <c r="H1263" s="56" t="n"/>
      <c r="I1263" s="56" t="n"/>
      <c r="J1263" s="58" t="n"/>
      <c r="K1263" s="58" t="n"/>
      <c r="L1263" s="13">
        <f>IF(OR($A1263="",AND($J1263="",$K1263="")),"",ROUND(N($J1263)-N($K1263),2))</f>
        <v/>
      </c>
      <c r="M1263" s="13">
        <f>IF(OR($A1263="",AND($J1263="",$K1263="")),"",MIN($J1263,$K1263))</f>
        <v/>
      </c>
      <c r="Q1263">
        <f>IF($A1263="","",$D1263&amp;"("&amp;SUBSTITUTE($E1263," ","")&amp;")")</f>
        <v/>
      </c>
      <c r="R1263">
        <f>IF($A1263="","",$B1263&amp;" - "&amp;$C1263)</f>
        <v/>
      </c>
      <c r="S1263">
        <f>IF($A1263="","",$R1263&amp;"|"&amp;$Q1263)</f>
        <v/>
      </c>
      <c r="T1263">
        <f>IF($A1263="","",$S1263&amp;"|"&amp;$F1263)</f>
        <v/>
      </c>
      <c r="U1263">
        <f>IF($A1263="","",$R1263&amp;"("&amp;$E1263&amp;")")</f>
        <v/>
      </c>
      <c r="V1263">
        <f>IF($A1263="","",$F1263&amp;"|"&amp;$U1263&amp;"|"&amp;$D1263)</f>
        <v/>
      </c>
      <c r="W1263">
        <f>IF($T1263="","",IF($X1263&gt;N($X1262),$X1263,""))</f>
        <v/>
      </c>
      <c r="X1263">
        <f>IF($T1263="",N($X1262),IF(MATCH($T1263,$T$6:$T$6005,0)=ROW()-5,N($X1262)+1,N($X1262)))</f>
        <v/>
      </c>
      <c r="Z1263">
        <f>IF($V1263="","",IF($AA1263&gt;N($AA1262),$AA1263,""))</f>
        <v/>
      </c>
      <c r="AA1263">
        <f>IF($V1263="",N($AA1262),IF(MATCH($V1263,$V$6:$V$6005,0)=ROW()-5,N($AA1262)+1,N($AA1262)))</f>
        <v/>
      </c>
    </row>
    <row r="1264" ht="21" customHeight="1" s="66">
      <c r="A1264" s="56" t="n"/>
      <c r="B1264" s="57" t="n"/>
      <c r="C1264" s="57" t="n"/>
      <c r="D1264" s="57" t="n"/>
      <c r="E1264" s="56" t="n"/>
      <c r="F1264" s="57" t="n"/>
      <c r="G1264" s="57" t="n"/>
      <c r="H1264" s="56" t="n"/>
      <c r="I1264" s="56" t="n"/>
      <c r="J1264" s="58" t="n"/>
      <c r="K1264" s="58" t="n"/>
      <c r="L1264" s="13">
        <f>IF(OR($A1264="",AND($J1264="",$K1264="")),"",ROUND(N($J1264)-N($K1264),2))</f>
        <v/>
      </c>
      <c r="M1264" s="13">
        <f>IF(OR($A1264="",AND($J1264="",$K1264="")),"",MIN($J1264,$K1264))</f>
        <v/>
      </c>
      <c r="Q1264">
        <f>IF($A1264="","",$D1264&amp;"("&amp;SUBSTITUTE($E1264," ","")&amp;")")</f>
        <v/>
      </c>
      <c r="R1264">
        <f>IF($A1264="","",$B1264&amp;" - "&amp;$C1264)</f>
        <v/>
      </c>
      <c r="S1264">
        <f>IF($A1264="","",$R1264&amp;"|"&amp;$Q1264)</f>
        <v/>
      </c>
      <c r="T1264">
        <f>IF($A1264="","",$S1264&amp;"|"&amp;$F1264)</f>
        <v/>
      </c>
      <c r="U1264">
        <f>IF($A1264="","",$R1264&amp;"("&amp;$E1264&amp;")")</f>
        <v/>
      </c>
      <c r="V1264">
        <f>IF($A1264="","",$F1264&amp;"|"&amp;$U1264&amp;"|"&amp;$D1264)</f>
        <v/>
      </c>
      <c r="W1264">
        <f>IF($T1264="","",IF($X1264&gt;N($X1263),$X1264,""))</f>
        <v/>
      </c>
      <c r="X1264">
        <f>IF($T1264="",N($X1263),IF(MATCH($T1264,$T$6:$T$6005,0)=ROW()-5,N($X1263)+1,N($X1263)))</f>
        <v/>
      </c>
      <c r="Z1264">
        <f>IF($V1264="","",IF($AA1264&gt;N($AA1263),$AA1264,""))</f>
        <v/>
      </c>
      <c r="AA1264">
        <f>IF($V1264="",N($AA1263),IF(MATCH($V1264,$V$6:$V$6005,0)=ROW()-5,N($AA1263)+1,N($AA1263)))</f>
        <v/>
      </c>
    </row>
    <row r="1265" ht="21" customHeight="1" s="66">
      <c r="A1265" s="56" t="n"/>
      <c r="B1265" s="57" t="n"/>
      <c r="C1265" s="57" t="n"/>
      <c r="D1265" s="57" t="n"/>
      <c r="E1265" s="56" t="n"/>
      <c r="F1265" s="57" t="n"/>
      <c r="G1265" s="57" t="n"/>
      <c r="H1265" s="56" t="n"/>
      <c r="I1265" s="56" t="n"/>
      <c r="J1265" s="58" t="n"/>
      <c r="K1265" s="58" t="n"/>
      <c r="L1265" s="13">
        <f>IF(OR($A1265="",AND($J1265="",$K1265="")),"",ROUND(N($J1265)-N($K1265),2))</f>
        <v/>
      </c>
      <c r="M1265" s="13">
        <f>IF(OR($A1265="",AND($J1265="",$K1265="")),"",MIN($J1265,$K1265))</f>
        <v/>
      </c>
      <c r="Q1265">
        <f>IF($A1265="","",$D1265&amp;"("&amp;SUBSTITUTE($E1265," ","")&amp;")")</f>
        <v/>
      </c>
      <c r="R1265">
        <f>IF($A1265="","",$B1265&amp;" - "&amp;$C1265)</f>
        <v/>
      </c>
      <c r="S1265">
        <f>IF($A1265="","",$R1265&amp;"|"&amp;$Q1265)</f>
        <v/>
      </c>
      <c r="T1265">
        <f>IF($A1265="","",$S1265&amp;"|"&amp;$F1265)</f>
        <v/>
      </c>
      <c r="U1265">
        <f>IF($A1265="","",$R1265&amp;"("&amp;$E1265&amp;")")</f>
        <v/>
      </c>
      <c r="V1265">
        <f>IF($A1265="","",$F1265&amp;"|"&amp;$U1265&amp;"|"&amp;$D1265)</f>
        <v/>
      </c>
      <c r="W1265">
        <f>IF($T1265="","",IF($X1265&gt;N($X1264),$X1265,""))</f>
        <v/>
      </c>
      <c r="X1265">
        <f>IF($T1265="",N($X1264),IF(MATCH($T1265,$T$6:$T$6005,0)=ROW()-5,N($X1264)+1,N($X1264)))</f>
        <v/>
      </c>
      <c r="Z1265">
        <f>IF($V1265="","",IF($AA1265&gt;N($AA1264),$AA1265,""))</f>
        <v/>
      </c>
      <c r="AA1265">
        <f>IF($V1265="",N($AA1264),IF(MATCH($V1265,$V$6:$V$6005,0)=ROW()-5,N($AA1264)+1,N($AA1264)))</f>
        <v/>
      </c>
    </row>
    <row r="1266" ht="21" customHeight="1" s="66">
      <c r="A1266" s="56" t="n"/>
      <c r="B1266" s="57" t="n"/>
      <c r="C1266" s="57" t="n"/>
      <c r="D1266" s="57" t="n"/>
      <c r="E1266" s="56" t="n"/>
      <c r="F1266" s="57" t="n"/>
      <c r="G1266" s="57" t="n"/>
      <c r="H1266" s="56" t="n"/>
      <c r="I1266" s="56" t="n"/>
      <c r="J1266" s="58" t="n"/>
      <c r="K1266" s="58" t="n"/>
      <c r="L1266" s="13">
        <f>IF(OR($A1266="",AND($J1266="",$K1266="")),"",ROUND(N($J1266)-N($K1266),2))</f>
        <v/>
      </c>
      <c r="M1266" s="13">
        <f>IF(OR($A1266="",AND($J1266="",$K1266="")),"",MIN($J1266,$K1266))</f>
        <v/>
      </c>
      <c r="Q1266">
        <f>IF($A1266="","",$D1266&amp;"("&amp;SUBSTITUTE($E1266," ","")&amp;")")</f>
        <v/>
      </c>
      <c r="R1266">
        <f>IF($A1266="","",$B1266&amp;" - "&amp;$C1266)</f>
        <v/>
      </c>
      <c r="S1266">
        <f>IF($A1266="","",$R1266&amp;"|"&amp;$Q1266)</f>
        <v/>
      </c>
      <c r="T1266">
        <f>IF($A1266="","",$S1266&amp;"|"&amp;$F1266)</f>
        <v/>
      </c>
      <c r="U1266">
        <f>IF($A1266="","",$R1266&amp;"("&amp;$E1266&amp;")")</f>
        <v/>
      </c>
      <c r="V1266">
        <f>IF($A1266="","",$F1266&amp;"|"&amp;$U1266&amp;"|"&amp;$D1266)</f>
        <v/>
      </c>
      <c r="W1266">
        <f>IF($T1266="","",IF($X1266&gt;N($X1265),$X1266,""))</f>
        <v/>
      </c>
      <c r="X1266">
        <f>IF($T1266="",N($X1265),IF(MATCH($T1266,$T$6:$T$6005,0)=ROW()-5,N($X1265)+1,N($X1265)))</f>
        <v/>
      </c>
      <c r="Z1266">
        <f>IF($V1266="","",IF($AA1266&gt;N($AA1265),$AA1266,""))</f>
        <v/>
      </c>
      <c r="AA1266">
        <f>IF($V1266="",N($AA1265),IF(MATCH($V1266,$V$6:$V$6005,0)=ROW()-5,N($AA1265)+1,N($AA1265)))</f>
        <v/>
      </c>
    </row>
    <row r="1267" ht="21" customHeight="1" s="66">
      <c r="A1267" s="56" t="n"/>
      <c r="B1267" s="57" t="n"/>
      <c r="C1267" s="57" t="n"/>
      <c r="D1267" s="57" t="n"/>
      <c r="E1267" s="56" t="n"/>
      <c r="F1267" s="57" t="n"/>
      <c r="G1267" s="57" t="n"/>
      <c r="H1267" s="56" t="n"/>
      <c r="I1267" s="56" t="n"/>
      <c r="J1267" s="58" t="n"/>
      <c r="K1267" s="58" t="n"/>
      <c r="L1267" s="13">
        <f>IF(OR($A1267="",AND($J1267="",$K1267="")),"",ROUND(N($J1267)-N($K1267),2))</f>
        <v/>
      </c>
      <c r="M1267" s="13">
        <f>IF(OR($A1267="",AND($J1267="",$K1267="")),"",MIN($J1267,$K1267))</f>
        <v/>
      </c>
      <c r="Q1267">
        <f>IF($A1267="","",$D1267&amp;"("&amp;SUBSTITUTE($E1267," ","")&amp;")")</f>
        <v/>
      </c>
      <c r="R1267">
        <f>IF($A1267="","",$B1267&amp;" - "&amp;$C1267)</f>
        <v/>
      </c>
      <c r="S1267">
        <f>IF($A1267="","",$R1267&amp;"|"&amp;$Q1267)</f>
        <v/>
      </c>
      <c r="T1267">
        <f>IF($A1267="","",$S1267&amp;"|"&amp;$F1267)</f>
        <v/>
      </c>
      <c r="U1267">
        <f>IF($A1267="","",$R1267&amp;"("&amp;$E1267&amp;")")</f>
        <v/>
      </c>
      <c r="V1267">
        <f>IF($A1267="","",$F1267&amp;"|"&amp;$U1267&amp;"|"&amp;$D1267)</f>
        <v/>
      </c>
      <c r="W1267">
        <f>IF($T1267="","",IF($X1267&gt;N($X1266),$X1267,""))</f>
        <v/>
      </c>
      <c r="X1267">
        <f>IF($T1267="",N($X1266),IF(MATCH($T1267,$T$6:$T$6005,0)=ROW()-5,N($X1266)+1,N($X1266)))</f>
        <v/>
      </c>
      <c r="Z1267">
        <f>IF($V1267="","",IF($AA1267&gt;N($AA1266),$AA1267,""))</f>
        <v/>
      </c>
      <c r="AA1267">
        <f>IF($V1267="",N($AA1266),IF(MATCH($V1267,$V$6:$V$6005,0)=ROW()-5,N($AA1266)+1,N($AA1266)))</f>
        <v/>
      </c>
    </row>
    <row r="1268" ht="21" customHeight="1" s="66">
      <c r="A1268" s="56" t="n"/>
      <c r="B1268" s="57" t="n"/>
      <c r="C1268" s="57" t="n"/>
      <c r="D1268" s="57" t="n"/>
      <c r="E1268" s="56" t="n"/>
      <c r="F1268" s="57" t="n"/>
      <c r="G1268" s="57" t="n"/>
      <c r="H1268" s="56" t="n"/>
      <c r="I1268" s="56" t="n"/>
      <c r="J1268" s="58" t="n"/>
      <c r="K1268" s="58" t="n"/>
      <c r="L1268" s="13">
        <f>IF(OR($A1268="",AND($J1268="",$K1268="")),"",ROUND(N($J1268)-N($K1268),2))</f>
        <v/>
      </c>
      <c r="M1268" s="13">
        <f>IF(OR($A1268="",AND($J1268="",$K1268="")),"",MIN($J1268,$K1268))</f>
        <v/>
      </c>
      <c r="Q1268">
        <f>IF($A1268="","",$D1268&amp;"("&amp;SUBSTITUTE($E1268," ","")&amp;")")</f>
        <v/>
      </c>
      <c r="R1268">
        <f>IF($A1268="","",$B1268&amp;" - "&amp;$C1268)</f>
        <v/>
      </c>
      <c r="S1268">
        <f>IF($A1268="","",$R1268&amp;"|"&amp;$Q1268)</f>
        <v/>
      </c>
      <c r="T1268">
        <f>IF($A1268="","",$S1268&amp;"|"&amp;$F1268)</f>
        <v/>
      </c>
      <c r="U1268">
        <f>IF($A1268="","",$R1268&amp;"("&amp;$E1268&amp;")")</f>
        <v/>
      </c>
      <c r="V1268">
        <f>IF($A1268="","",$F1268&amp;"|"&amp;$U1268&amp;"|"&amp;$D1268)</f>
        <v/>
      </c>
      <c r="W1268">
        <f>IF($T1268="","",IF($X1268&gt;N($X1267),$X1268,""))</f>
        <v/>
      </c>
      <c r="X1268">
        <f>IF($T1268="",N($X1267),IF(MATCH($T1268,$T$6:$T$6005,0)=ROW()-5,N($X1267)+1,N($X1267)))</f>
        <v/>
      </c>
      <c r="Z1268">
        <f>IF($V1268="","",IF($AA1268&gt;N($AA1267),$AA1268,""))</f>
        <v/>
      </c>
      <c r="AA1268">
        <f>IF($V1268="",N($AA1267),IF(MATCH($V1268,$V$6:$V$6005,0)=ROW()-5,N($AA1267)+1,N($AA1267)))</f>
        <v/>
      </c>
    </row>
    <row r="1269" ht="21" customHeight="1" s="66">
      <c r="A1269" s="56" t="n"/>
      <c r="B1269" s="57" t="n"/>
      <c r="C1269" s="57" t="n"/>
      <c r="D1269" s="57" t="n"/>
      <c r="E1269" s="56" t="n"/>
      <c r="F1269" s="57" t="n"/>
      <c r="G1269" s="57" t="n"/>
      <c r="H1269" s="56" t="n"/>
      <c r="I1269" s="56" t="n"/>
      <c r="J1269" s="58" t="n"/>
      <c r="K1269" s="58" t="n"/>
      <c r="L1269" s="13">
        <f>IF(OR($A1269="",AND($J1269="",$K1269="")),"",ROUND(N($J1269)-N($K1269),2))</f>
        <v/>
      </c>
      <c r="M1269" s="13">
        <f>IF(OR($A1269="",AND($J1269="",$K1269="")),"",MIN($J1269,$K1269))</f>
        <v/>
      </c>
      <c r="Q1269">
        <f>IF($A1269="","",$D1269&amp;"("&amp;SUBSTITUTE($E1269," ","")&amp;")")</f>
        <v/>
      </c>
      <c r="R1269">
        <f>IF($A1269="","",$B1269&amp;" - "&amp;$C1269)</f>
        <v/>
      </c>
      <c r="S1269">
        <f>IF($A1269="","",$R1269&amp;"|"&amp;$Q1269)</f>
        <v/>
      </c>
      <c r="T1269">
        <f>IF($A1269="","",$S1269&amp;"|"&amp;$F1269)</f>
        <v/>
      </c>
      <c r="U1269">
        <f>IF($A1269="","",$R1269&amp;"("&amp;$E1269&amp;")")</f>
        <v/>
      </c>
      <c r="V1269">
        <f>IF($A1269="","",$F1269&amp;"|"&amp;$U1269&amp;"|"&amp;$D1269)</f>
        <v/>
      </c>
      <c r="W1269">
        <f>IF($T1269="","",IF($X1269&gt;N($X1268),$X1269,""))</f>
        <v/>
      </c>
      <c r="X1269">
        <f>IF($T1269="",N($X1268),IF(MATCH($T1269,$T$6:$T$6005,0)=ROW()-5,N($X1268)+1,N($X1268)))</f>
        <v/>
      </c>
      <c r="Z1269">
        <f>IF($V1269="","",IF($AA1269&gt;N($AA1268),$AA1269,""))</f>
        <v/>
      </c>
      <c r="AA1269">
        <f>IF($V1269="",N($AA1268),IF(MATCH($V1269,$V$6:$V$6005,0)=ROW()-5,N($AA1268)+1,N($AA1268)))</f>
        <v/>
      </c>
    </row>
    <row r="1270" ht="21" customHeight="1" s="66">
      <c r="A1270" s="56" t="n"/>
      <c r="B1270" s="57" t="n"/>
      <c r="C1270" s="57" t="n"/>
      <c r="D1270" s="57" t="n"/>
      <c r="E1270" s="56" t="n"/>
      <c r="F1270" s="57" t="n"/>
      <c r="G1270" s="57" t="n"/>
      <c r="H1270" s="56" t="n"/>
      <c r="I1270" s="56" t="n"/>
      <c r="J1270" s="58" t="n"/>
      <c r="K1270" s="58" t="n"/>
      <c r="L1270" s="13">
        <f>IF(OR($A1270="",AND($J1270="",$K1270="")),"",ROUND(N($J1270)-N($K1270),2))</f>
        <v/>
      </c>
      <c r="M1270" s="13">
        <f>IF(OR($A1270="",AND($J1270="",$K1270="")),"",MIN($J1270,$K1270))</f>
        <v/>
      </c>
      <c r="Q1270">
        <f>IF($A1270="","",$D1270&amp;"("&amp;SUBSTITUTE($E1270," ","")&amp;")")</f>
        <v/>
      </c>
      <c r="R1270">
        <f>IF($A1270="","",$B1270&amp;" - "&amp;$C1270)</f>
        <v/>
      </c>
      <c r="S1270">
        <f>IF($A1270="","",$R1270&amp;"|"&amp;$Q1270)</f>
        <v/>
      </c>
      <c r="T1270">
        <f>IF($A1270="","",$S1270&amp;"|"&amp;$F1270)</f>
        <v/>
      </c>
      <c r="U1270">
        <f>IF($A1270="","",$R1270&amp;"("&amp;$E1270&amp;")")</f>
        <v/>
      </c>
      <c r="V1270">
        <f>IF($A1270="","",$F1270&amp;"|"&amp;$U1270&amp;"|"&amp;$D1270)</f>
        <v/>
      </c>
      <c r="W1270">
        <f>IF($T1270="","",IF($X1270&gt;N($X1269),$X1270,""))</f>
        <v/>
      </c>
      <c r="X1270">
        <f>IF($T1270="",N($X1269),IF(MATCH($T1270,$T$6:$T$6005,0)=ROW()-5,N($X1269)+1,N($X1269)))</f>
        <v/>
      </c>
      <c r="Z1270">
        <f>IF($V1270="","",IF($AA1270&gt;N($AA1269),$AA1270,""))</f>
        <v/>
      </c>
      <c r="AA1270">
        <f>IF($V1270="",N($AA1269),IF(MATCH($V1270,$V$6:$V$6005,0)=ROW()-5,N($AA1269)+1,N($AA1269)))</f>
        <v/>
      </c>
    </row>
    <row r="1271" ht="21" customHeight="1" s="66">
      <c r="A1271" s="56" t="n"/>
      <c r="B1271" s="57" t="n"/>
      <c r="C1271" s="57" t="n"/>
      <c r="D1271" s="57" t="n"/>
      <c r="E1271" s="56" t="n"/>
      <c r="F1271" s="57" t="n"/>
      <c r="G1271" s="57" t="n"/>
      <c r="H1271" s="56" t="n"/>
      <c r="I1271" s="56" t="n"/>
      <c r="J1271" s="58" t="n"/>
      <c r="K1271" s="58" t="n"/>
      <c r="L1271" s="13">
        <f>IF(OR($A1271="",AND($J1271="",$K1271="")),"",ROUND(N($J1271)-N($K1271),2))</f>
        <v/>
      </c>
      <c r="M1271" s="13">
        <f>IF(OR($A1271="",AND($J1271="",$K1271="")),"",MIN($J1271,$K1271))</f>
        <v/>
      </c>
      <c r="Q1271">
        <f>IF($A1271="","",$D1271&amp;"("&amp;SUBSTITUTE($E1271," ","")&amp;")")</f>
        <v/>
      </c>
      <c r="R1271">
        <f>IF($A1271="","",$B1271&amp;" - "&amp;$C1271)</f>
        <v/>
      </c>
      <c r="S1271">
        <f>IF($A1271="","",$R1271&amp;"|"&amp;$Q1271)</f>
        <v/>
      </c>
      <c r="T1271">
        <f>IF($A1271="","",$S1271&amp;"|"&amp;$F1271)</f>
        <v/>
      </c>
      <c r="U1271">
        <f>IF($A1271="","",$R1271&amp;"("&amp;$E1271&amp;")")</f>
        <v/>
      </c>
      <c r="V1271">
        <f>IF($A1271="","",$F1271&amp;"|"&amp;$U1271&amp;"|"&amp;$D1271)</f>
        <v/>
      </c>
      <c r="W1271">
        <f>IF($T1271="","",IF($X1271&gt;N($X1270),$X1271,""))</f>
        <v/>
      </c>
      <c r="X1271">
        <f>IF($T1271="",N($X1270),IF(MATCH($T1271,$T$6:$T$6005,0)=ROW()-5,N($X1270)+1,N($X1270)))</f>
        <v/>
      </c>
      <c r="Z1271">
        <f>IF($V1271="","",IF($AA1271&gt;N($AA1270),$AA1271,""))</f>
        <v/>
      </c>
      <c r="AA1271">
        <f>IF($V1271="",N($AA1270),IF(MATCH($V1271,$V$6:$V$6005,0)=ROW()-5,N($AA1270)+1,N($AA1270)))</f>
        <v/>
      </c>
    </row>
    <row r="1272" ht="21" customHeight="1" s="66">
      <c r="A1272" s="56" t="n"/>
      <c r="B1272" s="57" t="n"/>
      <c r="C1272" s="57" t="n"/>
      <c r="D1272" s="57" t="n"/>
      <c r="E1272" s="56" t="n"/>
      <c r="F1272" s="57" t="n"/>
      <c r="G1272" s="57" t="n"/>
      <c r="H1272" s="56" t="n"/>
      <c r="I1272" s="56" t="n"/>
      <c r="J1272" s="58" t="n"/>
      <c r="K1272" s="58" t="n"/>
      <c r="L1272" s="13">
        <f>IF(OR($A1272="",AND($J1272="",$K1272="")),"",ROUND(N($J1272)-N($K1272),2))</f>
        <v/>
      </c>
      <c r="M1272" s="13">
        <f>IF(OR($A1272="",AND($J1272="",$K1272="")),"",MIN($J1272,$K1272))</f>
        <v/>
      </c>
      <c r="Q1272">
        <f>IF($A1272="","",$D1272&amp;"("&amp;SUBSTITUTE($E1272," ","")&amp;")")</f>
        <v/>
      </c>
      <c r="R1272">
        <f>IF($A1272="","",$B1272&amp;" - "&amp;$C1272)</f>
        <v/>
      </c>
      <c r="S1272">
        <f>IF($A1272="","",$R1272&amp;"|"&amp;$Q1272)</f>
        <v/>
      </c>
      <c r="T1272">
        <f>IF($A1272="","",$S1272&amp;"|"&amp;$F1272)</f>
        <v/>
      </c>
      <c r="U1272">
        <f>IF($A1272="","",$R1272&amp;"("&amp;$E1272&amp;")")</f>
        <v/>
      </c>
      <c r="V1272">
        <f>IF($A1272="","",$F1272&amp;"|"&amp;$U1272&amp;"|"&amp;$D1272)</f>
        <v/>
      </c>
      <c r="W1272">
        <f>IF($T1272="","",IF($X1272&gt;N($X1271),$X1272,""))</f>
        <v/>
      </c>
      <c r="X1272">
        <f>IF($T1272="",N($X1271),IF(MATCH($T1272,$T$6:$T$6005,0)=ROW()-5,N($X1271)+1,N($X1271)))</f>
        <v/>
      </c>
      <c r="Z1272">
        <f>IF($V1272="","",IF($AA1272&gt;N($AA1271),$AA1272,""))</f>
        <v/>
      </c>
      <c r="AA1272">
        <f>IF($V1272="",N($AA1271),IF(MATCH($V1272,$V$6:$V$6005,0)=ROW()-5,N($AA1271)+1,N($AA1271)))</f>
        <v/>
      </c>
    </row>
    <row r="1273" ht="21" customHeight="1" s="66">
      <c r="A1273" s="56" t="n"/>
      <c r="B1273" s="57" t="n"/>
      <c r="C1273" s="57" t="n"/>
      <c r="D1273" s="57" t="n"/>
      <c r="E1273" s="56" t="n"/>
      <c r="F1273" s="57" t="n"/>
      <c r="G1273" s="57" t="n"/>
      <c r="H1273" s="56" t="n"/>
      <c r="I1273" s="56" t="n"/>
      <c r="J1273" s="58" t="n"/>
      <c r="K1273" s="58" t="n"/>
      <c r="L1273" s="13">
        <f>IF(OR($A1273="",AND($J1273="",$K1273="")),"",ROUND(N($J1273)-N($K1273),2))</f>
        <v/>
      </c>
      <c r="M1273" s="13">
        <f>IF(OR($A1273="",AND($J1273="",$K1273="")),"",MIN($J1273,$K1273))</f>
        <v/>
      </c>
      <c r="Q1273">
        <f>IF($A1273="","",$D1273&amp;"("&amp;SUBSTITUTE($E1273," ","")&amp;")")</f>
        <v/>
      </c>
      <c r="R1273">
        <f>IF($A1273="","",$B1273&amp;" - "&amp;$C1273)</f>
        <v/>
      </c>
      <c r="S1273">
        <f>IF($A1273="","",$R1273&amp;"|"&amp;$Q1273)</f>
        <v/>
      </c>
      <c r="T1273">
        <f>IF($A1273="","",$S1273&amp;"|"&amp;$F1273)</f>
        <v/>
      </c>
      <c r="U1273">
        <f>IF($A1273="","",$R1273&amp;"("&amp;$E1273&amp;")")</f>
        <v/>
      </c>
      <c r="V1273">
        <f>IF($A1273="","",$F1273&amp;"|"&amp;$U1273&amp;"|"&amp;$D1273)</f>
        <v/>
      </c>
      <c r="W1273">
        <f>IF($T1273="","",IF($X1273&gt;N($X1272),$X1273,""))</f>
        <v/>
      </c>
      <c r="X1273">
        <f>IF($T1273="",N($X1272),IF(MATCH($T1273,$T$6:$T$6005,0)=ROW()-5,N($X1272)+1,N($X1272)))</f>
        <v/>
      </c>
      <c r="Z1273">
        <f>IF($V1273="","",IF($AA1273&gt;N($AA1272),$AA1273,""))</f>
        <v/>
      </c>
      <c r="AA1273">
        <f>IF($V1273="",N($AA1272),IF(MATCH($V1273,$V$6:$V$6005,0)=ROW()-5,N($AA1272)+1,N($AA1272)))</f>
        <v/>
      </c>
    </row>
    <row r="1274" ht="21" customHeight="1" s="66">
      <c r="A1274" s="56" t="n"/>
      <c r="B1274" s="57" t="n"/>
      <c r="C1274" s="57" t="n"/>
      <c r="D1274" s="57" t="n"/>
      <c r="E1274" s="56" t="n"/>
      <c r="F1274" s="57" t="n"/>
      <c r="G1274" s="57" t="n"/>
      <c r="H1274" s="56" t="n"/>
      <c r="I1274" s="56" t="n"/>
      <c r="J1274" s="58" t="n"/>
      <c r="K1274" s="58" t="n"/>
      <c r="L1274" s="13">
        <f>IF(OR($A1274="",AND($J1274="",$K1274="")),"",ROUND(N($J1274)-N($K1274),2))</f>
        <v/>
      </c>
      <c r="M1274" s="13">
        <f>IF(OR($A1274="",AND($J1274="",$K1274="")),"",MIN($J1274,$K1274))</f>
        <v/>
      </c>
      <c r="Q1274">
        <f>IF($A1274="","",$D1274&amp;"("&amp;SUBSTITUTE($E1274," ","")&amp;")")</f>
        <v/>
      </c>
      <c r="R1274">
        <f>IF($A1274="","",$B1274&amp;" - "&amp;$C1274)</f>
        <v/>
      </c>
      <c r="S1274">
        <f>IF($A1274="","",$R1274&amp;"|"&amp;$Q1274)</f>
        <v/>
      </c>
      <c r="T1274">
        <f>IF($A1274="","",$S1274&amp;"|"&amp;$F1274)</f>
        <v/>
      </c>
      <c r="U1274">
        <f>IF($A1274="","",$R1274&amp;"("&amp;$E1274&amp;")")</f>
        <v/>
      </c>
      <c r="V1274">
        <f>IF($A1274="","",$F1274&amp;"|"&amp;$U1274&amp;"|"&amp;$D1274)</f>
        <v/>
      </c>
      <c r="W1274">
        <f>IF($T1274="","",IF($X1274&gt;N($X1273),$X1274,""))</f>
        <v/>
      </c>
      <c r="X1274">
        <f>IF($T1274="",N($X1273),IF(MATCH($T1274,$T$6:$T$6005,0)=ROW()-5,N($X1273)+1,N($X1273)))</f>
        <v/>
      </c>
      <c r="Z1274">
        <f>IF($V1274="","",IF($AA1274&gt;N($AA1273),$AA1274,""))</f>
        <v/>
      </c>
      <c r="AA1274">
        <f>IF($V1274="",N($AA1273),IF(MATCH($V1274,$V$6:$V$6005,0)=ROW()-5,N($AA1273)+1,N($AA1273)))</f>
        <v/>
      </c>
    </row>
    <row r="1275" ht="21" customHeight="1" s="66">
      <c r="A1275" s="56" t="n"/>
      <c r="B1275" s="57" t="n"/>
      <c r="C1275" s="57" t="n"/>
      <c r="D1275" s="57" t="n"/>
      <c r="E1275" s="56" t="n"/>
      <c r="F1275" s="57" t="n"/>
      <c r="G1275" s="57" t="n"/>
      <c r="H1275" s="56" t="n"/>
      <c r="I1275" s="56" t="n"/>
      <c r="J1275" s="58" t="n"/>
      <c r="K1275" s="58" t="n"/>
      <c r="L1275" s="13">
        <f>IF(OR($A1275="",AND($J1275="",$K1275="")),"",ROUND(N($J1275)-N($K1275),2))</f>
        <v/>
      </c>
      <c r="M1275" s="13">
        <f>IF(OR($A1275="",AND($J1275="",$K1275="")),"",MIN($J1275,$K1275))</f>
        <v/>
      </c>
      <c r="Q1275">
        <f>IF($A1275="","",$D1275&amp;"("&amp;SUBSTITUTE($E1275," ","")&amp;")")</f>
        <v/>
      </c>
      <c r="R1275">
        <f>IF($A1275="","",$B1275&amp;" - "&amp;$C1275)</f>
        <v/>
      </c>
      <c r="S1275">
        <f>IF($A1275="","",$R1275&amp;"|"&amp;$Q1275)</f>
        <v/>
      </c>
      <c r="T1275">
        <f>IF($A1275="","",$S1275&amp;"|"&amp;$F1275)</f>
        <v/>
      </c>
      <c r="U1275">
        <f>IF($A1275="","",$R1275&amp;"("&amp;$E1275&amp;")")</f>
        <v/>
      </c>
      <c r="V1275">
        <f>IF($A1275="","",$F1275&amp;"|"&amp;$U1275&amp;"|"&amp;$D1275)</f>
        <v/>
      </c>
      <c r="W1275">
        <f>IF($T1275="","",IF($X1275&gt;N($X1274),$X1275,""))</f>
        <v/>
      </c>
      <c r="X1275">
        <f>IF($T1275="",N($X1274),IF(MATCH($T1275,$T$6:$T$6005,0)=ROW()-5,N($X1274)+1,N($X1274)))</f>
        <v/>
      </c>
      <c r="Z1275">
        <f>IF($V1275="","",IF($AA1275&gt;N($AA1274),$AA1275,""))</f>
        <v/>
      </c>
      <c r="AA1275">
        <f>IF($V1275="",N($AA1274),IF(MATCH($V1275,$V$6:$V$6005,0)=ROW()-5,N($AA1274)+1,N($AA1274)))</f>
        <v/>
      </c>
    </row>
    <row r="1276" ht="21" customHeight="1" s="66">
      <c r="A1276" s="56" t="n"/>
      <c r="B1276" s="57" t="n"/>
      <c r="C1276" s="57" t="n"/>
      <c r="D1276" s="57" t="n"/>
      <c r="E1276" s="56" t="n"/>
      <c r="F1276" s="57" t="n"/>
      <c r="G1276" s="57" t="n"/>
      <c r="H1276" s="56" t="n"/>
      <c r="I1276" s="56" t="n"/>
      <c r="J1276" s="58" t="n"/>
      <c r="K1276" s="58" t="n"/>
      <c r="L1276" s="13">
        <f>IF(OR($A1276="",AND($J1276="",$K1276="")),"",ROUND(N($J1276)-N($K1276),2))</f>
        <v/>
      </c>
      <c r="M1276" s="13">
        <f>IF(OR($A1276="",AND($J1276="",$K1276="")),"",MIN($J1276,$K1276))</f>
        <v/>
      </c>
      <c r="Q1276">
        <f>IF($A1276="","",$D1276&amp;"("&amp;SUBSTITUTE($E1276," ","")&amp;")")</f>
        <v/>
      </c>
      <c r="R1276">
        <f>IF($A1276="","",$B1276&amp;" - "&amp;$C1276)</f>
        <v/>
      </c>
      <c r="S1276">
        <f>IF($A1276="","",$R1276&amp;"|"&amp;$Q1276)</f>
        <v/>
      </c>
      <c r="T1276">
        <f>IF($A1276="","",$S1276&amp;"|"&amp;$F1276)</f>
        <v/>
      </c>
      <c r="U1276">
        <f>IF($A1276="","",$R1276&amp;"("&amp;$E1276&amp;")")</f>
        <v/>
      </c>
      <c r="V1276">
        <f>IF($A1276="","",$F1276&amp;"|"&amp;$U1276&amp;"|"&amp;$D1276)</f>
        <v/>
      </c>
      <c r="W1276">
        <f>IF($T1276="","",IF($X1276&gt;N($X1275),$X1276,""))</f>
        <v/>
      </c>
      <c r="X1276">
        <f>IF($T1276="",N($X1275),IF(MATCH($T1276,$T$6:$T$6005,0)=ROW()-5,N($X1275)+1,N($X1275)))</f>
        <v/>
      </c>
      <c r="Z1276">
        <f>IF($V1276="","",IF($AA1276&gt;N($AA1275),$AA1276,""))</f>
        <v/>
      </c>
      <c r="AA1276">
        <f>IF($V1276="",N($AA1275),IF(MATCH($V1276,$V$6:$V$6005,0)=ROW()-5,N($AA1275)+1,N($AA1275)))</f>
        <v/>
      </c>
    </row>
    <row r="1277" ht="21" customHeight="1" s="66">
      <c r="A1277" s="56" t="n"/>
      <c r="B1277" s="57" t="n"/>
      <c r="C1277" s="57" t="n"/>
      <c r="D1277" s="57" t="n"/>
      <c r="E1277" s="56" t="n"/>
      <c r="F1277" s="57" t="n"/>
      <c r="G1277" s="57" t="n"/>
      <c r="H1277" s="56" t="n"/>
      <c r="I1277" s="56" t="n"/>
      <c r="J1277" s="58" t="n"/>
      <c r="K1277" s="58" t="n"/>
      <c r="L1277" s="13">
        <f>IF(OR($A1277="",AND($J1277="",$K1277="")),"",ROUND(N($J1277)-N($K1277),2))</f>
        <v/>
      </c>
      <c r="M1277" s="13">
        <f>IF(OR($A1277="",AND($J1277="",$K1277="")),"",MIN($J1277,$K1277))</f>
        <v/>
      </c>
      <c r="Q1277">
        <f>IF($A1277="","",$D1277&amp;"("&amp;SUBSTITUTE($E1277," ","")&amp;")")</f>
        <v/>
      </c>
      <c r="R1277">
        <f>IF($A1277="","",$B1277&amp;" - "&amp;$C1277)</f>
        <v/>
      </c>
      <c r="S1277">
        <f>IF($A1277="","",$R1277&amp;"|"&amp;$Q1277)</f>
        <v/>
      </c>
      <c r="T1277">
        <f>IF($A1277="","",$S1277&amp;"|"&amp;$F1277)</f>
        <v/>
      </c>
      <c r="U1277">
        <f>IF($A1277="","",$R1277&amp;"("&amp;$E1277&amp;")")</f>
        <v/>
      </c>
      <c r="V1277">
        <f>IF($A1277="","",$F1277&amp;"|"&amp;$U1277&amp;"|"&amp;$D1277)</f>
        <v/>
      </c>
      <c r="W1277">
        <f>IF($T1277="","",IF($X1277&gt;N($X1276),$X1277,""))</f>
        <v/>
      </c>
      <c r="X1277">
        <f>IF($T1277="",N($X1276),IF(MATCH($T1277,$T$6:$T$6005,0)=ROW()-5,N($X1276)+1,N($X1276)))</f>
        <v/>
      </c>
      <c r="Z1277">
        <f>IF($V1277="","",IF($AA1277&gt;N($AA1276),$AA1277,""))</f>
        <v/>
      </c>
      <c r="AA1277">
        <f>IF($V1277="",N($AA1276),IF(MATCH($V1277,$V$6:$V$6005,0)=ROW()-5,N($AA1276)+1,N($AA1276)))</f>
        <v/>
      </c>
    </row>
    <row r="1278" ht="21" customHeight="1" s="66">
      <c r="A1278" s="56" t="n"/>
      <c r="B1278" s="57" t="n"/>
      <c r="C1278" s="57" t="n"/>
      <c r="D1278" s="57" t="n"/>
      <c r="E1278" s="56" t="n"/>
      <c r="F1278" s="57" t="n"/>
      <c r="G1278" s="57" t="n"/>
      <c r="H1278" s="56" t="n"/>
      <c r="I1278" s="56" t="n"/>
      <c r="J1278" s="58" t="n"/>
      <c r="K1278" s="58" t="n"/>
      <c r="L1278" s="13">
        <f>IF(OR($A1278="",AND($J1278="",$K1278="")),"",ROUND(N($J1278)-N($K1278),2))</f>
        <v/>
      </c>
      <c r="M1278" s="13">
        <f>IF(OR($A1278="",AND($J1278="",$K1278="")),"",MIN($J1278,$K1278))</f>
        <v/>
      </c>
      <c r="Q1278">
        <f>IF($A1278="","",$D1278&amp;"("&amp;SUBSTITUTE($E1278," ","")&amp;")")</f>
        <v/>
      </c>
      <c r="R1278">
        <f>IF($A1278="","",$B1278&amp;" - "&amp;$C1278)</f>
        <v/>
      </c>
      <c r="S1278">
        <f>IF($A1278="","",$R1278&amp;"|"&amp;$Q1278)</f>
        <v/>
      </c>
      <c r="T1278">
        <f>IF($A1278="","",$S1278&amp;"|"&amp;$F1278)</f>
        <v/>
      </c>
      <c r="U1278">
        <f>IF($A1278="","",$R1278&amp;"("&amp;$E1278&amp;")")</f>
        <v/>
      </c>
      <c r="V1278">
        <f>IF($A1278="","",$F1278&amp;"|"&amp;$U1278&amp;"|"&amp;$D1278)</f>
        <v/>
      </c>
      <c r="W1278">
        <f>IF($T1278="","",IF($X1278&gt;N($X1277),$X1278,""))</f>
        <v/>
      </c>
      <c r="X1278">
        <f>IF($T1278="",N($X1277),IF(MATCH($T1278,$T$6:$T$6005,0)=ROW()-5,N($X1277)+1,N($X1277)))</f>
        <v/>
      </c>
      <c r="Z1278">
        <f>IF($V1278="","",IF($AA1278&gt;N($AA1277),$AA1278,""))</f>
        <v/>
      </c>
      <c r="AA1278">
        <f>IF($V1278="",N($AA1277),IF(MATCH($V1278,$V$6:$V$6005,0)=ROW()-5,N($AA1277)+1,N($AA1277)))</f>
        <v/>
      </c>
    </row>
    <row r="1279" ht="21" customHeight="1" s="66">
      <c r="A1279" s="56" t="n"/>
      <c r="B1279" s="57" t="n"/>
      <c r="C1279" s="57" t="n"/>
      <c r="D1279" s="57" t="n"/>
      <c r="E1279" s="56" t="n"/>
      <c r="F1279" s="57" t="n"/>
      <c r="G1279" s="57" t="n"/>
      <c r="H1279" s="56" t="n"/>
      <c r="I1279" s="56" t="n"/>
      <c r="J1279" s="58" t="n"/>
      <c r="K1279" s="58" t="n"/>
      <c r="L1279" s="13">
        <f>IF(OR($A1279="",AND($J1279="",$K1279="")),"",ROUND(N($J1279)-N($K1279),2))</f>
        <v/>
      </c>
      <c r="M1279" s="13">
        <f>IF(OR($A1279="",AND($J1279="",$K1279="")),"",MIN($J1279,$K1279))</f>
        <v/>
      </c>
      <c r="Q1279">
        <f>IF($A1279="","",$D1279&amp;"("&amp;SUBSTITUTE($E1279," ","")&amp;")")</f>
        <v/>
      </c>
      <c r="R1279">
        <f>IF($A1279="","",$B1279&amp;" - "&amp;$C1279)</f>
        <v/>
      </c>
      <c r="S1279">
        <f>IF($A1279="","",$R1279&amp;"|"&amp;$Q1279)</f>
        <v/>
      </c>
      <c r="T1279">
        <f>IF($A1279="","",$S1279&amp;"|"&amp;$F1279)</f>
        <v/>
      </c>
      <c r="U1279">
        <f>IF($A1279="","",$R1279&amp;"("&amp;$E1279&amp;")")</f>
        <v/>
      </c>
      <c r="V1279">
        <f>IF($A1279="","",$F1279&amp;"|"&amp;$U1279&amp;"|"&amp;$D1279)</f>
        <v/>
      </c>
      <c r="W1279">
        <f>IF($T1279="","",IF($X1279&gt;N($X1278),$X1279,""))</f>
        <v/>
      </c>
      <c r="X1279">
        <f>IF($T1279="",N($X1278),IF(MATCH($T1279,$T$6:$T$6005,0)=ROW()-5,N($X1278)+1,N($X1278)))</f>
        <v/>
      </c>
      <c r="Z1279">
        <f>IF($V1279="","",IF($AA1279&gt;N($AA1278),$AA1279,""))</f>
        <v/>
      </c>
      <c r="AA1279">
        <f>IF($V1279="",N($AA1278),IF(MATCH($V1279,$V$6:$V$6005,0)=ROW()-5,N($AA1278)+1,N($AA1278)))</f>
        <v/>
      </c>
    </row>
    <row r="1280" ht="21" customHeight="1" s="66">
      <c r="A1280" s="56" t="n"/>
      <c r="B1280" s="57" t="n"/>
      <c r="C1280" s="57" t="n"/>
      <c r="D1280" s="57" t="n"/>
      <c r="E1280" s="56" t="n"/>
      <c r="F1280" s="57" t="n"/>
      <c r="G1280" s="57" t="n"/>
      <c r="H1280" s="56" t="n"/>
      <c r="I1280" s="56" t="n"/>
      <c r="J1280" s="58" t="n"/>
      <c r="K1280" s="58" t="n"/>
      <c r="L1280" s="13">
        <f>IF(OR($A1280="",AND($J1280="",$K1280="")),"",ROUND(N($J1280)-N($K1280),2))</f>
        <v/>
      </c>
      <c r="M1280" s="13">
        <f>IF(OR($A1280="",AND($J1280="",$K1280="")),"",MIN($J1280,$K1280))</f>
        <v/>
      </c>
      <c r="Q1280">
        <f>IF($A1280="","",$D1280&amp;"("&amp;SUBSTITUTE($E1280," ","")&amp;")")</f>
        <v/>
      </c>
      <c r="R1280">
        <f>IF($A1280="","",$B1280&amp;" - "&amp;$C1280)</f>
        <v/>
      </c>
      <c r="S1280">
        <f>IF($A1280="","",$R1280&amp;"|"&amp;$Q1280)</f>
        <v/>
      </c>
      <c r="T1280">
        <f>IF($A1280="","",$S1280&amp;"|"&amp;$F1280)</f>
        <v/>
      </c>
      <c r="U1280">
        <f>IF($A1280="","",$R1280&amp;"("&amp;$E1280&amp;")")</f>
        <v/>
      </c>
      <c r="V1280">
        <f>IF($A1280="","",$F1280&amp;"|"&amp;$U1280&amp;"|"&amp;$D1280)</f>
        <v/>
      </c>
      <c r="W1280">
        <f>IF($T1280="","",IF($X1280&gt;N($X1279),$X1280,""))</f>
        <v/>
      </c>
      <c r="X1280">
        <f>IF($T1280="",N($X1279),IF(MATCH($T1280,$T$6:$T$6005,0)=ROW()-5,N($X1279)+1,N($X1279)))</f>
        <v/>
      </c>
      <c r="Z1280">
        <f>IF($V1280="","",IF($AA1280&gt;N($AA1279),$AA1280,""))</f>
        <v/>
      </c>
      <c r="AA1280">
        <f>IF($V1280="",N($AA1279),IF(MATCH($V1280,$V$6:$V$6005,0)=ROW()-5,N($AA1279)+1,N($AA1279)))</f>
        <v/>
      </c>
    </row>
    <row r="1281" ht="21" customHeight="1" s="66">
      <c r="A1281" s="56" t="n"/>
      <c r="B1281" s="57" t="n"/>
      <c r="C1281" s="57" t="n"/>
      <c r="D1281" s="57" t="n"/>
      <c r="E1281" s="56" t="n"/>
      <c r="F1281" s="57" t="n"/>
      <c r="G1281" s="57" t="n"/>
      <c r="H1281" s="56" t="n"/>
      <c r="I1281" s="56" t="n"/>
      <c r="J1281" s="58" t="n"/>
      <c r="K1281" s="58" t="n"/>
      <c r="L1281" s="13">
        <f>IF(OR($A1281="",AND($J1281="",$K1281="")),"",ROUND(N($J1281)-N($K1281),2))</f>
        <v/>
      </c>
      <c r="M1281" s="13">
        <f>IF(OR($A1281="",AND($J1281="",$K1281="")),"",MIN($J1281,$K1281))</f>
        <v/>
      </c>
      <c r="Q1281">
        <f>IF($A1281="","",$D1281&amp;"("&amp;SUBSTITUTE($E1281," ","")&amp;")")</f>
        <v/>
      </c>
      <c r="R1281">
        <f>IF($A1281="","",$B1281&amp;" - "&amp;$C1281)</f>
        <v/>
      </c>
      <c r="S1281">
        <f>IF($A1281="","",$R1281&amp;"|"&amp;$Q1281)</f>
        <v/>
      </c>
      <c r="T1281">
        <f>IF($A1281="","",$S1281&amp;"|"&amp;$F1281)</f>
        <v/>
      </c>
      <c r="U1281">
        <f>IF($A1281="","",$R1281&amp;"("&amp;$E1281&amp;")")</f>
        <v/>
      </c>
      <c r="V1281">
        <f>IF($A1281="","",$F1281&amp;"|"&amp;$U1281&amp;"|"&amp;$D1281)</f>
        <v/>
      </c>
      <c r="W1281">
        <f>IF($T1281="","",IF($X1281&gt;N($X1280),$X1281,""))</f>
        <v/>
      </c>
      <c r="X1281">
        <f>IF($T1281="",N($X1280),IF(MATCH($T1281,$T$6:$T$6005,0)=ROW()-5,N($X1280)+1,N($X1280)))</f>
        <v/>
      </c>
      <c r="Z1281">
        <f>IF($V1281="","",IF($AA1281&gt;N($AA1280),$AA1281,""))</f>
        <v/>
      </c>
      <c r="AA1281">
        <f>IF($V1281="",N($AA1280),IF(MATCH($V1281,$V$6:$V$6005,0)=ROW()-5,N($AA1280)+1,N($AA1280)))</f>
        <v/>
      </c>
    </row>
    <row r="1282" ht="21" customHeight="1" s="66">
      <c r="A1282" s="56" t="n"/>
      <c r="B1282" s="57" t="n"/>
      <c r="C1282" s="57" t="n"/>
      <c r="D1282" s="57" t="n"/>
      <c r="E1282" s="56" t="n"/>
      <c r="F1282" s="57" t="n"/>
      <c r="G1282" s="57" t="n"/>
      <c r="H1282" s="56" t="n"/>
      <c r="I1282" s="56" t="n"/>
      <c r="J1282" s="58" t="n"/>
      <c r="K1282" s="58" t="n"/>
      <c r="L1282" s="13">
        <f>IF(OR($A1282="",AND($J1282="",$K1282="")),"",ROUND(N($J1282)-N($K1282),2))</f>
        <v/>
      </c>
      <c r="M1282" s="13">
        <f>IF(OR($A1282="",AND($J1282="",$K1282="")),"",MIN($J1282,$K1282))</f>
        <v/>
      </c>
      <c r="Q1282">
        <f>IF($A1282="","",$D1282&amp;"("&amp;SUBSTITUTE($E1282," ","")&amp;")")</f>
        <v/>
      </c>
      <c r="R1282">
        <f>IF($A1282="","",$B1282&amp;" - "&amp;$C1282)</f>
        <v/>
      </c>
      <c r="S1282">
        <f>IF($A1282="","",$R1282&amp;"|"&amp;$Q1282)</f>
        <v/>
      </c>
      <c r="T1282">
        <f>IF($A1282="","",$S1282&amp;"|"&amp;$F1282)</f>
        <v/>
      </c>
      <c r="U1282">
        <f>IF($A1282="","",$R1282&amp;"("&amp;$E1282&amp;")")</f>
        <v/>
      </c>
      <c r="V1282">
        <f>IF($A1282="","",$F1282&amp;"|"&amp;$U1282&amp;"|"&amp;$D1282)</f>
        <v/>
      </c>
      <c r="W1282">
        <f>IF($T1282="","",IF($X1282&gt;N($X1281),$X1282,""))</f>
        <v/>
      </c>
      <c r="X1282">
        <f>IF($T1282="",N($X1281),IF(MATCH($T1282,$T$6:$T$6005,0)=ROW()-5,N($X1281)+1,N($X1281)))</f>
        <v/>
      </c>
      <c r="Z1282">
        <f>IF($V1282="","",IF($AA1282&gt;N($AA1281),$AA1282,""))</f>
        <v/>
      </c>
      <c r="AA1282">
        <f>IF($V1282="",N($AA1281),IF(MATCH($V1282,$V$6:$V$6005,0)=ROW()-5,N($AA1281)+1,N($AA1281)))</f>
        <v/>
      </c>
    </row>
    <row r="1283" ht="21" customHeight="1" s="66">
      <c r="A1283" s="56" t="n"/>
      <c r="B1283" s="57" t="n"/>
      <c r="C1283" s="57" t="n"/>
      <c r="D1283" s="57" t="n"/>
      <c r="E1283" s="56" t="n"/>
      <c r="F1283" s="57" t="n"/>
      <c r="G1283" s="57" t="n"/>
      <c r="H1283" s="56" t="n"/>
      <c r="I1283" s="56" t="n"/>
      <c r="J1283" s="58" t="n"/>
      <c r="K1283" s="58" t="n"/>
      <c r="L1283" s="13">
        <f>IF(OR($A1283="",AND($J1283="",$K1283="")),"",ROUND(N($J1283)-N($K1283),2))</f>
        <v/>
      </c>
      <c r="M1283" s="13">
        <f>IF(OR($A1283="",AND($J1283="",$K1283="")),"",MIN($J1283,$K1283))</f>
        <v/>
      </c>
      <c r="Q1283">
        <f>IF($A1283="","",$D1283&amp;"("&amp;SUBSTITUTE($E1283," ","")&amp;")")</f>
        <v/>
      </c>
      <c r="R1283">
        <f>IF($A1283="","",$B1283&amp;" - "&amp;$C1283)</f>
        <v/>
      </c>
      <c r="S1283">
        <f>IF($A1283="","",$R1283&amp;"|"&amp;$Q1283)</f>
        <v/>
      </c>
      <c r="T1283">
        <f>IF($A1283="","",$S1283&amp;"|"&amp;$F1283)</f>
        <v/>
      </c>
      <c r="U1283">
        <f>IF($A1283="","",$R1283&amp;"("&amp;$E1283&amp;")")</f>
        <v/>
      </c>
      <c r="V1283">
        <f>IF($A1283="","",$F1283&amp;"|"&amp;$U1283&amp;"|"&amp;$D1283)</f>
        <v/>
      </c>
      <c r="W1283">
        <f>IF($T1283="","",IF($X1283&gt;N($X1282),$X1283,""))</f>
        <v/>
      </c>
      <c r="X1283">
        <f>IF($T1283="",N($X1282),IF(MATCH($T1283,$T$6:$T$6005,0)=ROW()-5,N($X1282)+1,N($X1282)))</f>
        <v/>
      </c>
      <c r="Z1283">
        <f>IF($V1283="","",IF($AA1283&gt;N($AA1282),$AA1283,""))</f>
        <v/>
      </c>
      <c r="AA1283">
        <f>IF($V1283="",N($AA1282),IF(MATCH($V1283,$V$6:$V$6005,0)=ROW()-5,N($AA1282)+1,N($AA1282)))</f>
        <v/>
      </c>
    </row>
    <row r="1284" ht="21" customHeight="1" s="66">
      <c r="A1284" s="56" t="n"/>
      <c r="B1284" s="57" t="n"/>
      <c r="C1284" s="57" t="n"/>
      <c r="D1284" s="57" t="n"/>
      <c r="E1284" s="56" t="n"/>
      <c r="F1284" s="57" t="n"/>
      <c r="G1284" s="57" t="n"/>
      <c r="H1284" s="56" t="n"/>
      <c r="I1284" s="56" t="n"/>
      <c r="J1284" s="58" t="n"/>
      <c r="K1284" s="58" t="n"/>
      <c r="L1284" s="13">
        <f>IF(OR($A1284="",AND($J1284="",$K1284="")),"",ROUND(N($J1284)-N($K1284),2))</f>
        <v/>
      </c>
      <c r="M1284" s="13">
        <f>IF(OR($A1284="",AND($J1284="",$K1284="")),"",MIN($J1284,$K1284))</f>
        <v/>
      </c>
      <c r="Q1284">
        <f>IF($A1284="","",$D1284&amp;"("&amp;SUBSTITUTE($E1284," ","")&amp;")")</f>
        <v/>
      </c>
      <c r="R1284">
        <f>IF($A1284="","",$B1284&amp;" - "&amp;$C1284)</f>
        <v/>
      </c>
      <c r="S1284">
        <f>IF($A1284="","",$R1284&amp;"|"&amp;$Q1284)</f>
        <v/>
      </c>
      <c r="T1284">
        <f>IF($A1284="","",$S1284&amp;"|"&amp;$F1284)</f>
        <v/>
      </c>
      <c r="U1284">
        <f>IF($A1284="","",$R1284&amp;"("&amp;$E1284&amp;")")</f>
        <v/>
      </c>
      <c r="V1284">
        <f>IF($A1284="","",$F1284&amp;"|"&amp;$U1284&amp;"|"&amp;$D1284)</f>
        <v/>
      </c>
      <c r="W1284">
        <f>IF($T1284="","",IF($X1284&gt;N($X1283),$X1284,""))</f>
        <v/>
      </c>
      <c r="X1284">
        <f>IF($T1284="",N($X1283),IF(MATCH($T1284,$T$6:$T$6005,0)=ROW()-5,N($X1283)+1,N($X1283)))</f>
        <v/>
      </c>
      <c r="Z1284">
        <f>IF($V1284="","",IF($AA1284&gt;N($AA1283),$AA1284,""))</f>
        <v/>
      </c>
      <c r="AA1284">
        <f>IF($V1284="",N($AA1283),IF(MATCH($V1284,$V$6:$V$6005,0)=ROW()-5,N($AA1283)+1,N($AA1283)))</f>
        <v/>
      </c>
    </row>
    <row r="1285" ht="21" customHeight="1" s="66">
      <c r="A1285" s="56" t="n"/>
      <c r="B1285" s="57" t="n"/>
      <c r="C1285" s="57" t="n"/>
      <c r="D1285" s="57" t="n"/>
      <c r="E1285" s="56" t="n"/>
      <c r="F1285" s="57" t="n"/>
      <c r="G1285" s="57" t="n"/>
      <c r="H1285" s="56" t="n"/>
      <c r="I1285" s="56" t="n"/>
      <c r="J1285" s="58" t="n"/>
      <c r="K1285" s="58" t="n"/>
      <c r="L1285" s="13">
        <f>IF(OR($A1285="",AND($J1285="",$K1285="")),"",ROUND(N($J1285)-N($K1285),2))</f>
        <v/>
      </c>
      <c r="M1285" s="13">
        <f>IF(OR($A1285="",AND($J1285="",$K1285="")),"",MIN($J1285,$K1285))</f>
        <v/>
      </c>
      <c r="Q1285">
        <f>IF($A1285="","",$D1285&amp;"("&amp;SUBSTITUTE($E1285," ","")&amp;")")</f>
        <v/>
      </c>
      <c r="R1285">
        <f>IF($A1285="","",$B1285&amp;" - "&amp;$C1285)</f>
        <v/>
      </c>
      <c r="S1285">
        <f>IF($A1285="","",$R1285&amp;"|"&amp;$Q1285)</f>
        <v/>
      </c>
      <c r="T1285">
        <f>IF($A1285="","",$S1285&amp;"|"&amp;$F1285)</f>
        <v/>
      </c>
      <c r="U1285">
        <f>IF($A1285="","",$R1285&amp;"("&amp;$E1285&amp;")")</f>
        <v/>
      </c>
      <c r="V1285">
        <f>IF($A1285="","",$F1285&amp;"|"&amp;$U1285&amp;"|"&amp;$D1285)</f>
        <v/>
      </c>
      <c r="W1285">
        <f>IF($T1285="","",IF($X1285&gt;N($X1284),$X1285,""))</f>
        <v/>
      </c>
      <c r="X1285">
        <f>IF($T1285="",N($X1284),IF(MATCH($T1285,$T$6:$T$6005,0)=ROW()-5,N($X1284)+1,N($X1284)))</f>
        <v/>
      </c>
      <c r="Z1285">
        <f>IF($V1285="","",IF($AA1285&gt;N($AA1284),$AA1285,""))</f>
        <v/>
      </c>
      <c r="AA1285">
        <f>IF($V1285="",N($AA1284),IF(MATCH($V1285,$V$6:$V$6005,0)=ROW()-5,N($AA1284)+1,N($AA1284)))</f>
        <v/>
      </c>
    </row>
    <row r="1286" ht="21" customHeight="1" s="66">
      <c r="A1286" s="56" t="n"/>
      <c r="B1286" s="57" t="n"/>
      <c r="C1286" s="57" t="n"/>
      <c r="D1286" s="57" t="n"/>
      <c r="E1286" s="56" t="n"/>
      <c r="F1286" s="57" t="n"/>
      <c r="G1286" s="57" t="n"/>
      <c r="H1286" s="56" t="n"/>
      <c r="I1286" s="56" t="n"/>
      <c r="J1286" s="58" t="n"/>
      <c r="K1286" s="58" t="n"/>
      <c r="L1286" s="13">
        <f>IF(OR($A1286="",AND($J1286="",$K1286="")),"",ROUND(N($J1286)-N($K1286),2))</f>
        <v/>
      </c>
      <c r="M1286" s="13">
        <f>IF(OR($A1286="",AND($J1286="",$K1286="")),"",MIN($J1286,$K1286))</f>
        <v/>
      </c>
      <c r="Q1286">
        <f>IF($A1286="","",$D1286&amp;"("&amp;SUBSTITUTE($E1286," ","")&amp;")")</f>
        <v/>
      </c>
      <c r="R1286">
        <f>IF($A1286="","",$B1286&amp;" - "&amp;$C1286)</f>
        <v/>
      </c>
      <c r="S1286">
        <f>IF($A1286="","",$R1286&amp;"|"&amp;$Q1286)</f>
        <v/>
      </c>
      <c r="T1286">
        <f>IF($A1286="","",$S1286&amp;"|"&amp;$F1286)</f>
        <v/>
      </c>
      <c r="U1286">
        <f>IF($A1286="","",$R1286&amp;"("&amp;$E1286&amp;")")</f>
        <v/>
      </c>
      <c r="V1286">
        <f>IF($A1286="","",$F1286&amp;"|"&amp;$U1286&amp;"|"&amp;$D1286)</f>
        <v/>
      </c>
      <c r="W1286">
        <f>IF($T1286="","",IF($X1286&gt;N($X1285),$X1286,""))</f>
        <v/>
      </c>
      <c r="X1286">
        <f>IF($T1286="",N($X1285),IF(MATCH($T1286,$T$6:$T$6005,0)=ROW()-5,N($X1285)+1,N($X1285)))</f>
        <v/>
      </c>
      <c r="Z1286">
        <f>IF($V1286="","",IF($AA1286&gt;N($AA1285),$AA1286,""))</f>
        <v/>
      </c>
      <c r="AA1286">
        <f>IF($V1286="",N($AA1285),IF(MATCH($V1286,$V$6:$V$6005,0)=ROW()-5,N($AA1285)+1,N($AA1285)))</f>
        <v/>
      </c>
    </row>
    <row r="1287" ht="21" customHeight="1" s="66">
      <c r="A1287" s="56" t="n"/>
      <c r="B1287" s="57" t="n"/>
      <c r="C1287" s="57" t="n"/>
      <c r="D1287" s="57" t="n"/>
      <c r="E1287" s="56" t="n"/>
      <c r="F1287" s="57" t="n"/>
      <c r="G1287" s="57" t="n"/>
      <c r="H1287" s="56" t="n"/>
      <c r="I1287" s="56" t="n"/>
      <c r="J1287" s="58" t="n"/>
      <c r="K1287" s="58" t="n"/>
      <c r="L1287" s="13">
        <f>IF(OR($A1287="",AND($J1287="",$K1287="")),"",ROUND(N($J1287)-N($K1287),2))</f>
        <v/>
      </c>
      <c r="M1287" s="13">
        <f>IF(OR($A1287="",AND($J1287="",$K1287="")),"",MIN($J1287,$K1287))</f>
        <v/>
      </c>
      <c r="Q1287">
        <f>IF($A1287="","",$D1287&amp;"("&amp;SUBSTITUTE($E1287," ","")&amp;")")</f>
        <v/>
      </c>
      <c r="R1287">
        <f>IF($A1287="","",$B1287&amp;" - "&amp;$C1287)</f>
        <v/>
      </c>
      <c r="S1287">
        <f>IF($A1287="","",$R1287&amp;"|"&amp;$Q1287)</f>
        <v/>
      </c>
      <c r="T1287">
        <f>IF($A1287="","",$S1287&amp;"|"&amp;$F1287)</f>
        <v/>
      </c>
      <c r="U1287">
        <f>IF($A1287="","",$R1287&amp;"("&amp;$E1287&amp;")")</f>
        <v/>
      </c>
      <c r="V1287">
        <f>IF($A1287="","",$F1287&amp;"|"&amp;$U1287&amp;"|"&amp;$D1287)</f>
        <v/>
      </c>
      <c r="W1287">
        <f>IF($T1287="","",IF($X1287&gt;N($X1286),$X1287,""))</f>
        <v/>
      </c>
      <c r="X1287">
        <f>IF($T1287="",N($X1286),IF(MATCH($T1287,$T$6:$T$6005,0)=ROW()-5,N($X1286)+1,N($X1286)))</f>
        <v/>
      </c>
      <c r="Z1287">
        <f>IF($V1287="","",IF($AA1287&gt;N($AA1286),$AA1287,""))</f>
        <v/>
      </c>
      <c r="AA1287">
        <f>IF($V1287="",N($AA1286),IF(MATCH($V1287,$V$6:$V$6005,0)=ROW()-5,N($AA1286)+1,N($AA1286)))</f>
        <v/>
      </c>
    </row>
    <row r="1288" ht="21" customHeight="1" s="66">
      <c r="A1288" s="56" t="n"/>
      <c r="B1288" s="57" t="n"/>
      <c r="C1288" s="57" t="n"/>
      <c r="D1288" s="57" t="n"/>
      <c r="E1288" s="56" t="n"/>
      <c r="F1288" s="57" t="n"/>
      <c r="G1288" s="57" t="n"/>
      <c r="H1288" s="56" t="n"/>
      <c r="I1288" s="56" t="n"/>
      <c r="J1288" s="58" t="n"/>
      <c r="K1288" s="58" t="n"/>
      <c r="L1288" s="13">
        <f>IF(OR($A1288="",AND($J1288="",$K1288="")),"",ROUND(N($J1288)-N($K1288),2))</f>
        <v/>
      </c>
      <c r="M1288" s="13">
        <f>IF(OR($A1288="",AND($J1288="",$K1288="")),"",MIN($J1288,$K1288))</f>
        <v/>
      </c>
      <c r="Q1288">
        <f>IF($A1288="","",$D1288&amp;"("&amp;SUBSTITUTE($E1288," ","")&amp;")")</f>
        <v/>
      </c>
      <c r="R1288">
        <f>IF($A1288="","",$B1288&amp;" - "&amp;$C1288)</f>
        <v/>
      </c>
      <c r="S1288">
        <f>IF($A1288="","",$R1288&amp;"|"&amp;$Q1288)</f>
        <v/>
      </c>
      <c r="T1288">
        <f>IF($A1288="","",$S1288&amp;"|"&amp;$F1288)</f>
        <v/>
      </c>
      <c r="U1288">
        <f>IF($A1288="","",$R1288&amp;"("&amp;$E1288&amp;")")</f>
        <v/>
      </c>
      <c r="V1288">
        <f>IF($A1288="","",$F1288&amp;"|"&amp;$U1288&amp;"|"&amp;$D1288)</f>
        <v/>
      </c>
      <c r="W1288">
        <f>IF($T1288="","",IF($X1288&gt;N($X1287),$X1288,""))</f>
        <v/>
      </c>
      <c r="X1288">
        <f>IF($T1288="",N($X1287),IF(MATCH($T1288,$T$6:$T$6005,0)=ROW()-5,N($X1287)+1,N($X1287)))</f>
        <v/>
      </c>
      <c r="Z1288">
        <f>IF($V1288="","",IF($AA1288&gt;N($AA1287),$AA1288,""))</f>
        <v/>
      </c>
      <c r="AA1288">
        <f>IF($V1288="",N($AA1287),IF(MATCH($V1288,$V$6:$V$6005,0)=ROW()-5,N($AA1287)+1,N($AA1287)))</f>
        <v/>
      </c>
    </row>
    <row r="1289" ht="21" customHeight="1" s="66">
      <c r="A1289" s="56" t="n"/>
      <c r="B1289" s="57" t="n"/>
      <c r="C1289" s="57" t="n"/>
      <c r="D1289" s="57" t="n"/>
      <c r="E1289" s="56" t="n"/>
      <c r="F1289" s="57" t="n"/>
      <c r="G1289" s="57" t="n"/>
      <c r="H1289" s="56" t="n"/>
      <c r="I1289" s="56" t="n"/>
      <c r="J1289" s="58" t="n"/>
      <c r="K1289" s="58" t="n"/>
      <c r="L1289" s="13">
        <f>IF(OR($A1289="",AND($J1289="",$K1289="")),"",ROUND(N($J1289)-N($K1289),2))</f>
        <v/>
      </c>
      <c r="M1289" s="13">
        <f>IF(OR($A1289="",AND($J1289="",$K1289="")),"",MIN($J1289,$K1289))</f>
        <v/>
      </c>
      <c r="Q1289">
        <f>IF($A1289="","",$D1289&amp;"("&amp;SUBSTITUTE($E1289," ","")&amp;")")</f>
        <v/>
      </c>
      <c r="R1289">
        <f>IF($A1289="","",$B1289&amp;" - "&amp;$C1289)</f>
        <v/>
      </c>
      <c r="S1289">
        <f>IF($A1289="","",$R1289&amp;"|"&amp;$Q1289)</f>
        <v/>
      </c>
      <c r="T1289">
        <f>IF($A1289="","",$S1289&amp;"|"&amp;$F1289)</f>
        <v/>
      </c>
      <c r="U1289">
        <f>IF($A1289="","",$R1289&amp;"("&amp;$E1289&amp;")")</f>
        <v/>
      </c>
      <c r="V1289">
        <f>IF($A1289="","",$F1289&amp;"|"&amp;$U1289&amp;"|"&amp;$D1289)</f>
        <v/>
      </c>
      <c r="W1289">
        <f>IF($T1289="","",IF($X1289&gt;N($X1288),$X1289,""))</f>
        <v/>
      </c>
      <c r="X1289">
        <f>IF($T1289="",N($X1288),IF(MATCH($T1289,$T$6:$T$6005,0)=ROW()-5,N($X1288)+1,N($X1288)))</f>
        <v/>
      </c>
      <c r="Z1289">
        <f>IF($V1289="","",IF($AA1289&gt;N($AA1288),$AA1289,""))</f>
        <v/>
      </c>
      <c r="AA1289">
        <f>IF($V1289="",N($AA1288),IF(MATCH($V1289,$V$6:$V$6005,0)=ROW()-5,N($AA1288)+1,N($AA1288)))</f>
        <v/>
      </c>
    </row>
    <row r="1290" ht="21" customHeight="1" s="66">
      <c r="A1290" s="56" t="n"/>
      <c r="B1290" s="57" t="n"/>
      <c r="C1290" s="57" t="n"/>
      <c r="D1290" s="57" t="n"/>
      <c r="E1290" s="56" t="n"/>
      <c r="F1290" s="57" t="n"/>
      <c r="G1290" s="57" t="n"/>
      <c r="H1290" s="56" t="n"/>
      <c r="I1290" s="56" t="n"/>
      <c r="J1290" s="58" t="n"/>
      <c r="K1290" s="58" t="n"/>
      <c r="L1290" s="13">
        <f>IF(OR($A1290="",AND($J1290="",$K1290="")),"",ROUND(N($J1290)-N($K1290),2))</f>
        <v/>
      </c>
      <c r="M1290" s="13">
        <f>IF(OR($A1290="",AND($J1290="",$K1290="")),"",MIN($J1290,$K1290))</f>
        <v/>
      </c>
      <c r="Q1290">
        <f>IF($A1290="","",$D1290&amp;"("&amp;SUBSTITUTE($E1290," ","")&amp;")")</f>
        <v/>
      </c>
      <c r="R1290">
        <f>IF($A1290="","",$B1290&amp;" - "&amp;$C1290)</f>
        <v/>
      </c>
      <c r="S1290">
        <f>IF($A1290="","",$R1290&amp;"|"&amp;$Q1290)</f>
        <v/>
      </c>
      <c r="T1290">
        <f>IF($A1290="","",$S1290&amp;"|"&amp;$F1290)</f>
        <v/>
      </c>
      <c r="U1290">
        <f>IF($A1290="","",$R1290&amp;"("&amp;$E1290&amp;")")</f>
        <v/>
      </c>
      <c r="V1290">
        <f>IF($A1290="","",$F1290&amp;"|"&amp;$U1290&amp;"|"&amp;$D1290)</f>
        <v/>
      </c>
      <c r="W1290">
        <f>IF($T1290="","",IF($X1290&gt;N($X1289),$X1290,""))</f>
        <v/>
      </c>
      <c r="X1290">
        <f>IF($T1290="",N($X1289),IF(MATCH($T1290,$T$6:$T$6005,0)=ROW()-5,N($X1289)+1,N($X1289)))</f>
        <v/>
      </c>
      <c r="Z1290">
        <f>IF($V1290="","",IF($AA1290&gt;N($AA1289),$AA1290,""))</f>
        <v/>
      </c>
      <c r="AA1290">
        <f>IF($V1290="",N($AA1289),IF(MATCH($V1290,$V$6:$V$6005,0)=ROW()-5,N($AA1289)+1,N($AA1289)))</f>
        <v/>
      </c>
    </row>
    <row r="1291" ht="21" customHeight="1" s="66">
      <c r="A1291" s="56" t="n"/>
      <c r="B1291" s="57" t="n"/>
      <c r="C1291" s="57" t="n"/>
      <c r="D1291" s="57" t="n"/>
      <c r="E1291" s="56" t="n"/>
      <c r="F1291" s="57" t="n"/>
      <c r="G1291" s="57" t="n"/>
      <c r="H1291" s="56" t="n"/>
      <c r="I1291" s="56" t="n"/>
      <c r="J1291" s="58" t="n"/>
      <c r="K1291" s="58" t="n"/>
      <c r="L1291" s="13">
        <f>IF(OR($A1291="",AND($J1291="",$K1291="")),"",ROUND(N($J1291)-N($K1291),2))</f>
        <v/>
      </c>
      <c r="M1291" s="13">
        <f>IF(OR($A1291="",AND($J1291="",$K1291="")),"",MIN($J1291,$K1291))</f>
        <v/>
      </c>
      <c r="Q1291">
        <f>IF($A1291="","",$D1291&amp;"("&amp;SUBSTITUTE($E1291," ","")&amp;")")</f>
        <v/>
      </c>
      <c r="R1291">
        <f>IF($A1291="","",$B1291&amp;" - "&amp;$C1291)</f>
        <v/>
      </c>
      <c r="S1291">
        <f>IF($A1291="","",$R1291&amp;"|"&amp;$Q1291)</f>
        <v/>
      </c>
      <c r="T1291">
        <f>IF($A1291="","",$S1291&amp;"|"&amp;$F1291)</f>
        <v/>
      </c>
      <c r="U1291">
        <f>IF($A1291="","",$R1291&amp;"("&amp;$E1291&amp;")")</f>
        <v/>
      </c>
      <c r="V1291">
        <f>IF($A1291="","",$F1291&amp;"|"&amp;$U1291&amp;"|"&amp;$D1291)</f>
        <v/>
      </c>
      <c r="W1291">
        <f>IF($T1291="","",IF($X1291&gt;N($X1290),$X1291,""))</f>
        <v/>
      </c>
      <c r="X1291">
        <f>IF($T1291="",N($X1290),IF(MATCH($T1291,$T$6:$T$6005,0)=ROW()-5,N($X1290)+1,N($X1290)))</f>
        <v/>
      </c>
      <c r="Z1291">
        <f>IF($V1291="","",IF($AA1291&gt;N($AA1290),$AA1291,""))</f>
        <v/>
      </c>
      <c r="AA1291">
        <f>IF($V1291="",N($AA1290),IF(MATCH($V1291,$V$6:$V$6005,0)=ROW()-5,N($AA1290)+1,N($AA1290)))</f>
        <v/>
      </c>
    </row>
    <row r="1292" ht="21" customHeight="1" s="66">
      <c r="A1292" s="56" t="n"/>
      <c r="B1292" s="57" t="n"/>
      <c r="C1292" s="57" t="n"/>
      <c r="D1292" s="57" t="n"/>
      <c r="E1292" s="56" t="n"/>
      <c r="F1292" s="57" t="n"/>
      <c r="G1292" s="57" t="n"/>
      <c r="H1292" s="56" t="n"/>
      <c r="I1292" s="56" t="n"/>
      <c r="J1292" s="58" t="n"/>
      <c r="K1292" s="58" t="n"/>
      <c r="L1292" s="13">
        <f>IF(OR($A1292="",AND($J1292="",$K1292="")),"",ROUND(N($J1292)-N($K1292),2))</f>
        <v/>
      </c>
      <c r="M1292" s="13">
        <f>IF(OR($A1292="",AND($J1292="",$K1292="")),"",MIN($J1292,$K1292))</f>
        <v/>
      </c>
      <c r="Q1292">
        <f>IF($A1292="","",$D1292&amp;"("&amp;SUBSTITUTE($E1292," ","")&amp;")")</f>
        <v/>
      </c>
      <c r="R1292">
        <f>IF($A1292="","",$B1292&amp;" - "&amp;$C1292)</f>
        <v/>
      </c>
      <c r="S1292">
        <f>IF($A1292="","",$R1292&amp;"|"&amp;$Q1292)</f>
        <v/>
      </c>
      <c r="T1292">
        <f>IF($A1292="","",$S1292&amp;"|"&amp;$F1292)</f>
        <v/>
      </c>
      <c r="U1292">
        <f>IF($A1292="","",$R1292&amp;"("&amp;$E1292&amp;")")</f>
        <v/>
      </c>
      <c r="V1292">
        <f>IF($A1292="","",$F1292&amp;"|"&amp;$U1292&amp;"|"&amp;$D1292)</f>
        <v/>
      </c>
      <c r="W1292">
        <f>IF($T1292="","",IF($X1292&gt;N($X1291),$X1292,""))</f>
        <v/>
      </c>
      <c r="X1292">
        <f>IF($T1292="",N($X1291),IF(MATCH($T1292,$T$6:$T$6005,0)=ROW()-5,N($X1291)+1,N($X1291)))</f>
        <v/>
      </c>
      <c r="Z1292">
        <f>IF($V1292="","",IF($AA1292&gt;N($AA1291),$AA1292,""))</f>
        <v/>
      </c>
      <c r="AA1292">
        <f>IF($V1292="",N($AA1291),IF(MATCH($V1292,$V$6:$V$6005,0)=ROW()-5,N($AA1291)+1,N($AA1291)))</f>
        <v/>
      </c>
    </row>
    <row r="1293" ht="21" customHeight="1" s="66">
      <c r="A1293" s="56" t="n"/>
      <c r="B1293" s="57" t="n"/>
      <c r="C1293" s="57" t="n"/>
      <c r="D1293" s="57" t="n"/>
      <c r="E1293" s="56" t="n"/>
      <c r="F1293" s="57" t="n"/>
      <c r="G1293" s="57" t="n"/>
      <c r="H1293" s="56" t="n"/>
      <c r="I1293" s="56" t="n"/>
      <c r="J1293" s="58" t="n"/>
      <c r="K1293" s="58" t="n"/>
      <c r="L1293" s="13">
        <f>IF(OR($A1293="",AND($J1293="",$K1293="")),"",ROUND(N($J1293)-N($K1293),2))</f>
        <v/>
      </c>
      <c r="M1293" s="13">
        <f>IF(OR($A1293="",AND($J1293="",$K1293="")),"",MIN($J1293,$K1293))</f>
        <v/>
      </c>
      <c r="Q1293">
        <f>IF($A1293="","",$D1293&amp;"("&amp;SUBSTITUTE($E1293," ","")&amp;")")</f>
        <v/>
      </c>
      <c r="R1293">
        <f>IF($A1293="","",$B1293&amp;" - "&amp;$C1293)</f>
        <v/>
      </c>
      <c r="S1293">
        <f>IF($A1293="","",$R1293&amp;"|"&amp;$Q1293)</f>
        <v/>
      </c>
      <c r="T1293">
        <f>IF($A1293="","",$S1293&amp;"|"&amp;$F1293)</f>
        <v/>
      </c>
      <c r="U1293">
        <f>IF($A1293="","",$R1293&amp;"("&amp;$E1293&amp;")")</f>
        <v/>
      </c>
      <c r="V1293">
        <f>IF($A1293="","",$F1293&amp;"|"&amp;$U1293&amp;"|"&amp;$D1293)</f>
        <v/>
      </c>
      <c r="W1293">
        <f>IF($T1293="","",IF($X1293&gt;N($X1292),$X1293,""))</f>
        <v/>
      </c>
      <c r="X1293">
        <f>IF($T1293="",N($X1292),IF(MATCH($T1293,$T$6:$T$6005,0)=ROW()-5,N($X1292)+1,N($X1292)))</f>
        <v/>
      </c>
      <c r="Z1293">
        <f>IF($V1293="","",IF($AA1293&gt;N($AA1292),$AA1293,""))</f>
        <v/>
      </c>
      <c r="AA1293">
        <f>IF($V1293="",N($AA1292),IF(MATCH($V1293,$V$6:$V$6005,0)=ROW()-5,N($AA1292)+1,N($AA1292)))</f>
        <v/>
      </c>
    </row>
    <row r="1294" ht="21" customHeight="1" s="66">
      <c r="A1294" s="56" t="n"/>
      <c r="B1294" s="57" t="n"/>
      <c r="C1294" s="57" t="n"/>
      <c r="D1294" s="57" t="n"/>
      <c r="E1294" s="56" t="n"/>
      <c r="F1294" s="57" t="n"/>
      <c r="G1294" s="57" t="n"/>
      <c r="H1294" s="56" t="n"/>
      <c r="I1294" s="56" t="n"/>
      <c r="J1294" s="58" t="n"/>
      <c r="K1294" s="58" t="n"/>
      <c r="L1294" s="13">
        <f>IF(OR($A1294="",AND($J1294="",$K1294="")),"",ROUND(N($J1294)-N($K1294),2))</f>
        <v/>
      </c>
      <c r="M1294" s="13">
        <f>IF(OR($A1294="",AND($J1294="",$K1294="")),"",MIN($J1294,$K1294))</f>
        <v/>
      </c>
      <c r="Q1294">
        <f>IF($A1294="","",$D1294&amp;"("&amp;SUBSTITUTE($E1294," ","")&amp;")")</f>
        <v/>
      </c>
      <c r="R1294">
        <f>IF($A1294="","",$B1294&amp;" - "&amp;$C1294)</f>
        <v/>
      </c>
      <c r="S1294">
        <f>IF($A1294="","",$R1294&amp;"|"&amp;$Q1294)</f>
        <v/>
      </c>
      <c r="T1294">
        <f>IF($A1294="","",$S1294&amp;"|"&amp;$F1294)</f>
        <v/>
      </c>
      <c r="U1294">
        <f>IF($A1294="","",$R1294&amp;"("&amp;$E1294&amp;")")</f>
        <v/>
      </c>
      <c r="V1294">
        <f>IF($A1294="","",$F1294&amp;"|"&amp;$U1294&amp;"|"&amp;$D1294)</f>
        <v/>
      </c>
      <c r="W1294">
        <f>IF($T1294="","",IF($X1294&gt;N($X1293),$X1294,""))</f>
        <v/>
      </c>
      <c r="X1294">
        <f>IF($T1294="",N($X1293),IF(MATCH($T1294,$T$6:$T$6005,0)=ROW()-5,N($X1293)+1,N($X1293)))</f>
        <v/>
      </c>
      <c r="Z1294">
        <f>IF($V1294="","",IF($AA1294&gt;N($AA1293),$AA1294,""))</f>
        <v/>
      </c>
      <c r="AA1294">
        <f>IF($V1294="",N($AA1293),IF(MATCH($V1294,$V$6:$V$6005,0)=ROW()-5,N($AA1293)+1,N($AA1293)))</f>
        <v/>
      </c>
    </row>
    <row r="1295" ht="21" customHeight="1" s="66">
      <c r="A1295" s="56" t="n"/>
      <c r="B1295" s="57" t="n"/>
      <c r="C1295" s="57" t="n"/>
      <c r="D1295" s="57" t="n"/>
      <c r="E1295" s="56" t="n"/>
      <c r="F1295" s="57" t="n"/>
      <c r="G1295" s="57" t="n"/>
      <c r="H1295" s="56" t="n"/>
      <c r="I1295" s="56" t="n"/>
      <c r="J1295" s="58" t="n"/>
      <c r="K1295" s="58" t="n"/>
      <c r="L1295" s="13">
        <f>IF(OR($A1295="",AND($J1295="",$K1295="")),"",ROUND(N($J1295)-N($K1295),2))</f>
        <v/>
      </c>
      <c r="M1295" s="13">
        <f>IF(OR($A1295="",AND($J1295="",$K1295="")),"",MIN($J1295,$K1295))</f>
        <v/>
      </c>
      <c r="Q1295">
        <f>IF($A1295="","",$D1295&amp;"("&amp;SUBSTITUTE($E1295," ","")&amp;")")</f>
        <v/>
      </c>
      <c r="R1295">
        <f>IF($A1295="","",$B1295&amp;" - "&amp;$C1295)</f>
        <v/>
      </c>
      <c r="S1295">
        <f>IF($A1295="","",$R1295&amp;"|"&amp;$Q1295)</f>
        <v/>
      </c>
      <c r="T1295">
        <f>IF($A1295="","",$S1295&amp;"|"&amp;$F1295)</f>
        <v/>
      </c>
      <c r="U1295">
        <f>IF($A1295="","",$R1295&amp;"("&amp;$E1295&amp;")")</f>
        <v/>
      </c>
      <c r="V1295">
        <f>IF($A1295="","",$F1295&amp;"|"&amp;$U1295&amp;"|"&amp;$D1295)</f>
        <v/>
      </c>
      <c r="W1295">
        <f>IF($T1295="","",IF($X1295&gt;N($X1294),$X1295,""))</f>
        <v/>
      </c>
      <c r="X1295">
        <f>IF($T1295="",N($X1294),IF(MATCH($T1295,$T$6:$T$6005,0)=ROW()-5,N($X1294)+1,N($X1294)))</f>
        <v/>
      </c>
      <c r="Z1295">
        <f>IF($V1295="","",IF($AA1295&gt;N($AA1294),$AA1295,""))</f>
        <v/>
      </c>
      <c r="AA1295">
        <f>IF($V1295="",N($AA1294),IF(MATCH($V1295,$V$6:$V$6005,0)=ROW()-5,N($AA1294)+1,N($AA1294)))</f>
        <v/>
      </c>
    </row>
    <row r="1296" ht="21" customHeight="1" s="66">
      <c r="A1296" s="56" t="n"/>
      <c r="B1296" s="57" t="n"/>
      <c r="C1296" s="57" t="n"/>
      <c r="D1296" s="57" t="n"/>
      <c r="E1296" s="56" t="n"/>
      <c r="F1296" s="57" t="n"/>
      <c r="G1296" s="57" t="n"/>
      <c r="H1296" s="56" t="n"/>
      <c r="I1296" s="56" t="n"/>
      <c r="J1296" s="58" t="n"/>
      <c r="K1296" s="58" t="n"/>
      <c r="L1296" s="13">
        <f>IF(OR($A1296="",AND($J1296="",$K1296="")),"",ROUND(N($J1296)-N($K1296),2))</f>
        <v/>
      </c>
      <c r="M1296" s="13">
        <f>IF(OR($A1296="",AND($J1296="",$K1296="")),"",MIN($J1296,$K1296))</f>
        <v/>
      </c>
      <c r="Q1296">
        <f>IF($A1296="","",$D1296&amp;"("&amp;SUBSTITUTE($E1296," ","")&amp;")")</f>
        <v/>
      </c>
      <c r="R1296">
        <f>IF($A1296="","",$B1296&amp;" - "&amp;$C1296)</f>
        <v/>
      </c>
      <c r="S1296">
        <f>IF($A1296="","",$R1296&amp;"|"&amp;$Q1296)</f>
        <v/>
      </c>
      <c r="T1296">
        <f>IF($A1296="","",$S1296&amp;"|"&amp;$F1296)</f>
        <v/>
      </c>
      <c r="U1296">
        <f>IF($A1296="","",$R1296&amp;"("&amp;$E1296&amp;")")</f>
        <v/>
      </c>
      <c r="V1296">
        <f>IF($A1296="","",$F1296&amp;"|"&amp;$U1296&amp;"|"&amp;$D1296)</f>
        <v/>
      </c>
      <c r="W1296">
        <f>IF($T1296="","",IF($X1296&gt;N($X1295),$X1296,""))</f>
        <v/>
      </c>
      <c r="X1296">
        <f>IF($T1296="",N($X1295),IF(MATCH($T1296,$T$6:$T$6005,0)=ROW()-5,N($X1295)+1,N($X1295)))</f>
        <v/>
      </c>
      <c r="Z1296">
        <f>IF($V1296="","",IF($AA1296&gt;N($AA1295),$AA1296,""))</f>
        <v/>
      </c>
      <c r="AA1296">
        <f>IF($V1296="",N($AA1295),IF(MATCH($V1296,$V$6:$V$6005,0)=ROW()-5,N($AA1295)+1,N($AA1295)))</f>
        <v/>
      </c>
    </row>
    <row r="1297" ht="21" customHeight="1" s="66">
      <c r="A1297" s="56" t="n"/>
      <c r="B1297" s="57" t="n"/>
      <c r="C1297" s="57" t="n"/>
      <c r="D1297" s="57" t="n"/>
      <c r="E1297" s="56" t="n"/>
      <c r="F1297" s="57" t="n"/>
      <c r="G1297" s="57" t="n"/>
      <c r="H1297" s="56" t="n"/>
      <c r="I1297" s="56" t="n"/>
      <c r="J1297" s="58" t="n"/>
      <c r="K1297" s="58" t="n"/>
      <c r="L1297" s="13">
        <f>IF(OR($A1297="",AND($J1297="",$K1297="")),"",ROUND(N($J1297)-N($K1297),2))</f>
        <v/>
      </c>
      <c r="M1297" s="13">
        <f>IF(OR($A1297="",AND($J1297="",$K1297="")),"",MIN($J1297,$K1297))</f>
        <v/>
      </c>
      <c r="Q1297">
        <f>IF($A1297="","",$D1297&amp;"("&amp;SUBSTITUTE($E1297," ","")&amp;")")</f>
        <v/>
      </c>
      <c r="R1297">
        <f>IF($A1297="","",$B1297&amp;" - "&amp;$C1297)</f>
        <v/>
      </c>
      <c r="S1297">
        <f>IF($A1297="","",$R1297&amp;"|"&amp;$Q1297)</f>
        <v/>
      </c>
      <c r="T1297">
        <f>IF($A1297="","",$S1297&amp;"|"&amp;$F1297)</f>
        <v/>
      </c>
      <c r="U1297">
        <f>IF($A1297="","",$R1297&amp;"("&amp;$E1297&amp;")")</f>
        <v/>
      </c>
      <c r="V1297">
        <f>IF($A1297="","",$F1297&amp;"|"&amp;$U1297&amp;"|"&amp;$D1297)</f>
        <v/>
      </c>
      <c r="W1297">
        <f>IF($T1297="","",IF($X1297&gt;N($X1296),$X1297,""))</f>
        <v/>
      </c>
      <c r="X1297">
        <f>IF($T1297="",N($X1296),IF(MATCH($T1297,$T$6:$T$6005,0)=ROW()-5,N($X1296)+1,N($X1296)))</f>
        <v/>
      </c>
      <c r="Z1297">
        <f>IF($V1297="","",IF($AA1297&gt;N($AA1296),$AA1297,""))</f>
        <v/>
      </c>
      <c r="AA1297">
        <f>IF($V1297="",N($AA1296),IF(MATCH($V1297,$V$6:$V$6005,0)=ROW()-5,N($AA1296)+1,N($AA1296)))</f>
        <v/>
      </c>
    </row>
    <row r="1298" ht="21" customHeight="1" s="66">
      <c r="A1298" s="56" t="n"/>
      <c r="B1298" s="57" t="n"/>
      <c r="C1298" s="57" t="n"/>
      <c r="D1298" s="57" t="n"/>
      <c r="E1298" s="56" t="n"/>
      <c r="F1298" s="57" t="n"/>
      <c r="G1298" s="57" t="n"/>
      <c r="H1298" s="56" t="n"/>
      <c r="I1298" s="56" t="n"/>
      <c r="J1298" s="58" t="n"/>
      <c r="K1298" s="58" t="n"/>
      <c r="L1298" s="13">
        <f>IF(OR($A1298="",AND($J1298="",$K1298="")),"",ROUND(N($J1298)-N($K1298),2))</f>
        <v/>
      </c>
      <c r="M1298" s="13">
        <f>IF(OR($A1298="",AND($J1298="",$K1298="")),"",MIN($J1298,$K1298))</f>
        <v/>
      </c>
      <c r="Q1298">
        <f>IF($A1298="","",$D1298&amp;"("&amp;SUBSTITUTE($E1298," ","")&amp;")")</f>
        <v/>
      </c>
      <c r="R1298">
        <f>IF($A1298="","",$B1298&amp;" - "&amp;$C1298)</f>
        <v/>
      </c>
      <c r="S1298">
        <f>IF($A1298="","",$R1298&amp;"|"&amp;$Q1298)</f>
        <v/>
      </c>
      <c r="T1298">
        <f>IF($A1298="","",$S1298&amp;"|"&amp;$F1298)</f>
        <v/>
      </c>
      <c r="U1298">
        <f>IF($A1298="","",$R1298&amp;"("&amp;$E1298&amp;")")</f>
        <v/>
      </c>
      <c r="V1298">
        <f>IF($A1298="","",$F1298&amp;"|"&amp;$U1298&amp;"|"&amp;$D1298)</f>
        <v/>
      </c>
      <c r="W1298">
        <f>IF($T1298="","",IF($X1298&gt;N($X1297),$X1298,""))</f>
        <v/>
      </c>
      <c r="X1298">
        <f>IF($T1298="",N($X1297),IF(MATCH($T1298,$T$6:$T$6005,0)=ROW()-5,N($X1297)+1,N($X1297)))</f>
        <v/>
      </c>
      <c r="Z1298">
        <f>IF($V1298="","",IF($AA1298&gt;N($AA1297),$AA1298,""))</f>
        <v/>
      </c>
      <c r="AA1298">
        <f>IF($V1298="",N($AA1297),IF(MATCH($V1298,$V$6:$V$6005,0)=ROW()-5,N($AA1297)+1,N($AA1297)))</f>
        <v/>
      </c>
    </row>
    <row r="1299" ht="21" customHeight="1" s="66">
      <c r="A1299" s="56" t="n"/>
      <c r="B1299" s="57" t="n"/>
      <c r="C1299" s="57" t="n"/>
      <c r="D1299" s="57" t="n"/>
      <c r="E1299" s="56" t="n"/>
      <c r="F1299" s="57" t="n"/>
      <c r="G1299" s="57" t="n"/>
      <c r="H1299" s="56" t="n"/>
      <c r="I1299" s="56" t="n"/>
      <c r="J1299" s="58" t="n"/>
      <c r="K1299" s="58" t="n"/>
      <c r="L1299" s="13">
        <f>IF(OR($A1299="",AND($J1299="",$K1299="")),"",ROUND(N($J1299)-N($K1299),2))</f>
        <v/>
      </c>
      <c r="M1299" s="13">
        <f>IF(OR($A1299="",AND($J1299="",$K1299="")),"",MIN($J1299,$K1299))</f>
        <v/>
      </c>
      <c r="Q1299">
        <f>IF($A1299="","",$D1299&amp;"("&amp;SUBSTITUTE($E1299," ","")&amp;")")</f>
        <v/>
      </c>
      <c r="R1299">
        <f>IF($A1299="","",$B1299&amp;" - "&amp;$C1299)</f>
        <v/>
      </c>
      <c r="S1299">
        <f>IF($A1299="","",$R1299&amp;"|"&amp;$Q1299)</f>
        <v/>
      </c>
      <c r="T1299">
        <f>IF($A1299="","",$S1299&amp;"|"&amp;$F1299)</f>
        <v/>
      </c>
      <c r="U1299">
        <f>IF($A1299="","",$R1299&amp;"("&amp;$E1299&amp;")")</f>
        <v/>
      </c>
      <c r="V1299">
        <f>IF($A1299="","",$F1299&amp;"|"&amp;$U1299&amp;"|"&amp;$D1299)</f>
        <v/>
      </c>
      <c r="W1299">
        <f>IF($T1299="","",IF($X1299&gt;N($X1298),$X1299,""))</f>
        <v/>
      </c>
      <c r="X1299">
        <f>IF($T1299="",N($X1298),IF(MATCH($T1299,$T$6:$T$6005,0)=ROW()-5,N($X1298)+1,N($X1298)))</f>
        <v/>
      </c>
      <c r="Z1299">
        <f>IF($V1299="","",IF($AA1299&gt;N($AA1298),$AA1299,""))</f>
        <v/>
      </c>
      <c r="AA1299">
        <f>IF($V1299="",N($AA1298),IF(MATCH($V1299,$V$6:$V$6005,0)=ROW()-5,N($AA1298)+1,N($AA1298)))</f>
        <v/>
      </c>
    </row>
    <row r="1300" ht="21" customHeight="1" s="66">
      <c r="A1300" s="56" t="n"/>
      <c r="B1300" s="57" t="n"/>
      <c r="C1300" s="57" t="n"/>
      <c r="D1300" s="57" t="n"/>
      <c r="E1300" s="56" t="n"/>
      <c r="F1300" s="57" t="n"/>
      <c r="G1300" s="57" t="n"/>
      <c r="H1300" s="56" t="n"/>
      <c r="I1300" s="56" t="n"/>
      <c r="J1300" s="58" t="n"/>
      <c r="K1300" s="58" t="n"/>
      <c r="L1300" s="13">
        <f>IF(OR($A1300="",AND($J1300="",$K1300="")),"",ROUND(N($J1300)-N($K1300),2))</f>
        <v/>
      </c>
      <c r="M1300" s="13">
        <f>IF(OR($A1300="",AND($J1300="",$K1300="")),"",MIN($J1300,$K1300))</f>
        <v/>
      </c>
      <c r="Q1300">
        <f>IF($A1300="","",$D1300&amp;"("&amp;SUBSTITUTE($E1300," ","")&amp;")")</f>
        <v/>
      </c>
      <c r="R1300">
        <f>IF($A1300="","",$B1300&amp;" - "&amp;$C1300)</f>
        <v/>
      </c>
      <c r="S1300">
        <f>IF($A1300="","",$R1300&amp;"|"&amp;$Q1300)</f>
        <v/>
      </c>
      <c r="T1300">
        <f>IF($A1300="","",$S1300&amp;"|"&amp;$F1300)</f>
        <v/>
      </c>
      <c r="U1300">
        <f>IF($A1300="","",$R1300&amp;"("&amp;$E1300&amp;")")</f>
        <v/>
      </c>
      <c r="V1300">
        <f>IF($A1300="","",$F1300&amp;"|"&amp;$U1300&amp;"|"&amp;$D1300)</f>
        <v/>
      </c>
      <c r="W1300">
        <f>IF($T1300="","",IF($X1300&gt;N($X1299),$X1300,""))</f>
        <v/>
      </c>
      <c r="X1300">
        <f>IF($T1300="",N($X1299),IF(MATCH($T1300,$T$6:$T$6005,0)=ROW()-5,N($X1299)+1,N($X1299)))</f>
        <v/>
      </c>
      <c r="Z1300">
        <f>IF($V1300="","",IF($AA1300&gt;N($AA1299),$AA1300,""))</f>
        <v/>
      </c>
      <c r="AA1300">
        <f>IF($V1300="",N($AA1299),IF(MATCH($V1300,$V$6:$V$6005,0)=ROW()-5,N($AA1299)+1,N($AA1299)))</f>
        <v/>
      </c>
    </row>
    <row r="1301" ht="21" customHeight="1" s="66">
      <c r="A1301" s="56" t="n"/>
      <c r="B1301" s="57" t="n"/>
      <c r="C1301" s="57" t="n"/>
      <c r="D1301" s="57" t="n"/>
      <c r="E1301" s="56" t="n"/>
      <c r="F1301" s="57" t="n"/>
      <c r="G1301" s="57" t="n"/>
      <c r="H1301" s="56" t="n"/>
      <c r="I1301" s="56" t="n"/>
      <c r="J1301" s="58" t="n"/>
      <c r="K1301" s="58" t="n"/>
      <c r="L1301" s="13">
        <f>IF(OR($A1301="",AND($J1301="",$K1301="")),"",ROUND(N($J1301)-N($K1301),2))</f>
        <v/>
      </c>
      <c r="M1301" s="13">
        <f>IF(OR($A1301="",AND($J1301="",$K1301="")),"",MIN($J1301,$K1301))</f>
        <v/>
      </c>
      <c r="Q1301">
        <f>IF($A1301="","",$D1301&amp;"("&amp;SUBSTITUTE($E1301," ","")&amp;")")</f>
        <v/>
      </c>
      <c r="R1301">
        <f>IF($A1301="","",$B1301&amp;" - "&amp;$C1301)</f>
        <v/>
      </c>
      <c r="S1301">
        <f>IF($A1301="","",$R1301&amp;"|"&amp;$Q1301)</f>
        <v/>
      </c>
      <c r="T1301">
        <f>IF($A1301="","",$S1301&amp;"|"&amp;$F1301)</f>
        <v/>
      </c>
      <c r="U1301">
        <f>IF($A1301="","",$R1301&amp;"("&amp;$E1301&amp;")")</f>
        <v/>
      </c>
      <c r="V1301">
        <f>IF($A1301="","",$F1301&amp;"|"&amp;$U1301&amp;"|"&amp;$D1301)</f>
        <v/>
      </c>
      <c r="W1301">
        <f>IF($T1301="","",IF($X1301&gt;N($X1300),$X1301,""))</f>
        <v/>
      </c>
      <c r="X1301">
        <f>IF($T1301="",N($X1300),IF(MATCH($T1301,$T$6:$T$6005,0)=ROW()-5,N($X1300)+1,N($X1300)))</f>
        <v/>
      </c>
      <c r="Z1301">
        <f>IF($V1301="","",IF($AA1301&gt;N($AA1300),$AA1301,""))</f>
        <v/>
      </c>
      <c r="AA1301">
        <f>IF($V1301="",N($AA1300),IF(MATCH($V1301,$V$6:$V$6005,0)=ROW()-5,N($AA1300)+1,N($AA1300)))</f>
        <v/>
      </c>
    </row>
    <row r="1302" ht="21" customHeight="1" s="66">
      <c r="A1302" s="56" t="n"/>
      <c r="B1302" s="57" t="n"/>
      <c r="C1302" s="57" t="n"/>
      <c r="D1302" s="57" t="n"/>
      <c r="E1302" s="56" t="n"/>
      <c r="F1302" s="57" t="n"/>
      <c r="G1302" s="57" t="n"/>
      <c r="H1302" s="56" t="n"/>
      <c r="I1302" s="56" t="n"/>
      <c r="J1302" s="58" t="n"/>
      <c r="K1302" s="58" t="n"/>
      <c r="L1302" s="13">
        <f>IF(OR($A1302="",AND($J1302="",$K1302="")),"",ROUND(N($J1302)-N($K1302),2))</f>
        <v/>
      </c>
      <c r="M1302" s="13">
        <f>IF(OR($A1302="",AND($J1302="",$K1302="")),"",MIN($J1302,$K1302))</f>
        <v/>
      </c>
      <c r="Q1302">
        <f>IF($A1302="","",$D1302&amp;"("&amp;SUBSTITUTE($E1302," ","")&amp;")")</f>
        <v/>
      </c>
      <c r="R1302">
        <f>IF($A1302="","",$B1302&amp;" - "&amp;$C1302)</f>
        <v/>
      </c>
      <c r="S1302">
        <f>IF($A1302="","",$R1302&amp;"|"&amp;$Q1302)</f>
        <v/>
      </c>
      <c r="T1302">
        <f>IF($A1302="","",$S1302&amp;"|"&amp;$F1302)</f>
        <v/>
      </c>
      <c r="U1302">
        <f>IF($A1302="","",$R1302&amp;"("&amp;$E1302&amp;")")</f>
        <v/>
      </c>
      <c r="V1302">
        <f>IF($A1302="","",$F1302&amp;"|"&amp;$U1302&amp;"|"&amp;$D1302)</f>
        <v/>
      </c>
      <c r="W1302">
        <f>IF($T1302="","",IF($X1302&gt;N($X1301),$X1302,""))</f>
        <v/>
      </c>
      <c r="X1302">
        <f>IF($T1302="",N($X1301),IF(MATCH($T1302,$T$6:$T$6005,0)=ROW()-5,N($X1301)+1,N($X1301)))</f>
        <v/>
      </c>
      <c r="Z1302">
        <f>IF($V1302="","",IF($AA1302&gt;N($AA1301),$AA1302,""))</f>
        <v/>
      </c>
      <c r="AA1302">
        <f>IF($V1302="",N($AA1301),IF(MATCH($V1302,$V$6:$V$6005,0)=ROW()-5,N($AA1301)+1,N($AA1301)))</f>
        <v/>
      </c>
    </row>
    <row r="1303" ht="21" customHeight="1" s="66">
      <c r="A1303" s="56" t="n"/>
      <c r="B1303" s="57" t="n"/>
      <c r="C1303" s="57" t="n"/>
      <c r="D1303" s="57" t="n"/>
      <c r="E1303" s="56" t="n"/>
      <c r="F1303" s="57" t="n"/>
      <c r="G1303" s="57" t="n"/>
      <c r="H1303" s="56" t="n"/>
      <c r="I1303" s="56" t="n"/>
      <c r="J1303" s="58" t="n"/>
      <c r="K1303" s="58" t="n"/>
      <c r="L1303" s="13">
        <f>IF(OR($A1303="",AND($J1303="",$K1303="")),"",ROUND(N($J1303)-N($K1303),2))</f>
        <v/>
      </c>
      <c r="M1303" s="13">
        <f>IF(OR($A1303="",AND($J1303="",$K1303="")),"",MIN($J1303,$K1303))</f>
        <v/>
      </c>
      <c r="Q1303">
        <f>IF($A1303="","",$D1303&amp;"("&amp;SUBSTITUTE($E1303," ","")&amp;")")</f>
        <v/>
      </c>
      <c r="R1303">
        <f>IF($A1303="","",$B1303&amp;" - "&amp;$C1303)</f>
        <v/>
      </c>
      <c r="S1303">
        <f>IF($A1303="","",$R1303&amp;"|"&amp;$Q1303)</f>
        <v/>
      </c>
      <c r="T1303">
        <f>IF($A1303="","",$S1303&amp;"|"&amp;$F1303)</f>
        <v/>
      </c>
      <c r="U1303">
        <f>IF($A1303="","",$R1303&amp;"("&amp;$E1303&amp;")")</f>
        <v/>
      </c>
      <c r="V1303">
        <f>IF($A1303="","",$F1303&amp;"|"&amp;$U1303&amp;"|"&amp;$D1303)</f>
        <v/>
      </c>
      <c r="W1303">
        <f>IF($T1303="","",IF($X1303&gt;N($X1302),$X1303,""))</f>
        <v/>
      </c>
      <c r="X1303">
        <f>IF($T1303="",N($X1302),IF(MATCH($T1303,$T$6:$T$6005,0)=ROW()-5,N($X1302)+1,N($X1302)))</f>
        <v/>
      </c>
      <c r="Z1303">
        <f>IF($V1303="","",IF($AA1303&gt;N($AA1302),$AA1303,""))</f>
        <v/>
      </c>
      <c r="AA1303">
        <f>IF($V1303="",N($AA1302),IF(MATCH($V1303,$V$6:$V$6005,0)=ROW()-5,N($AA1302)+1,N($AA1302)))</f>
        <v/>
      </c>
    </row>
    <row r="1304" ht="21" customHeight="1" s="66">
      <c r="A1304" s="56" t="n"/>
      <c r="B1304" s="57" t="n"/>
      <c r="C1304" s="57" t="n"/>
      <c r="D1304" s="57" t="n"/>
      <c r="E1304" s="56" t="n"/>
      <c r="F1304" s="57" t="n"/>
      <c r="G1304" s="57" t="n"/>
      <c r="H1304" s="56" t="n"/>
      <c r="I1304" s="56" t="n"/>
      <c r="J1304" s="58" t="n"/>
      <c r="K1304" s="58" t="n"/>
      <c r="L1304" s="13">
        <f>IF(OR($A1304="",AND($J1304="",$K1304="")),"",ROUND(N($J1304)-N($K1304),2))</f>
        <v/>
      </c>
      <c r="M1304" s="13">
        <f>IF(OR($A1304="",AND($J1304="",$K1304="")),"",MIN($J1304,$K1304))</f>
        <v/>
      </c>
      <c r="Q1304">
        <f>IF($A1304="","",$D1304&amp;"("&amp;SUBSTITUTE($E1304," ","")&amp;")")</f>
        <v/>
      </c>
      <c r="R1304">
        <f>IF($A1304="","",$B1304&amp;" - "&amp;$C1304)</f>
        <v/>
      </c>
      <c r="S1304">
        <f>IF($A1304="","",$R1304&amp;"|"&amp;$Q1304)</f>
        <v/>
      </c>
      <c r="T1304">
        <f>IF($A1304="","",$S1304&amp;"|"&amp;$F1304)</f>
        <v/>
      </c>
      <c r="U1304">
        <f>IF($A1304="","",$R1304&amp;"("&amp;$E1304&amp;")")</f>
        <v/>
      </c>
      <c r="V1304">
        <f>IF($A1304="","",$F1304&amp;"|"&amp;$U1304&amp;"|"&amp;$D1304)</f>
        <v/>
      </c>
      <c r="W1304">
        <f>IF($T1304="","",IF($X1304&gt;N($X1303),$X1304,""))</f>
        <v/>
      </c>
      <c r="X1304">
        <f>IF($T1304="",N($X1303),IF(MATCH($T1304,$T$6:$T$6005,0)=ROW()-5,N($X1303)+1,N($X1303)))</f>
        <v/>
      </c>
      <c r="Z1304">
        <f>IF($V1304="","",IF($AA1304&gt;N($AA1303),$AA1304,""))</f>
        <v/>
      </c>
      <c r="AA1304">
        <f>IF($V1304="",N($AA1303),IF(MATCH($V1304,$V$6:$V$6005,0)=ROW()-5,N($AA1303)+1,N($AA1303)))</f>
        <v/>
      </c>
    </row>
    <row r="1305" ht="21" customHeight="1" s="66">
      <c r="A1305" s="56" t="n"/>
      <c r="B1305" s="57" t="n"/>
      <c r="C1305" s="57" t="n"/>
      <c r="D1305" s="57" t="n"/>
      <c r="E1305" s="56" t="n"/>
      <c r="F1305" s="57" t="n"/>
      <c r="G1305" s="57" t="n"/>
      <c r="H1305" s="56" t="n"/>
      <c r="I1305" s="56" t="n"/>
      <c r="J1305" s="58" t="n"/>
      <c r="K1305" s="58" t="n"/>
      <c r="L1305" s="13">
        <f>IF(OR($A1305="",AND($J1305="",$K1305="")),"",ROUND(N($J1305)-N($K1305),2))</f>
        <v/>
      </c>
      <c r="M1305" s="13">
        <f>IF(OR($A1305="",AND($J1305="",$K1305="")),"",MIN($J1305,$K1305))</f>
        <v/>
      </c>
      <c r="Q1305">
        <f>IF($A1305="","",$D1305&amp;"("&amp;SUBSTITUTE($E1305," ","")&amp;")")</f>
        <v/>
      </c>
      <c r="R1305">
        <f>IF($A1305="","",$B1305&amp;" - "&amp;$C1305)</f>
        <v/>
      </c>
      <c r="S1305">
        <f>IF($A1305="","",$R1305&amp;"|"&amp;$Q1305)</f>
        <v/>
      </c>
      <c r="T1305">
        <f>IF($A1305="","",$S1305&amp;"|"&amp;$F1305)</f>
        <v/>
      </c>
      <c r="U1305">
        <f>IF($A1305="","",$R1305&amp;"("&amp;$E1305&amp;")")</f>
        <v/>
      </c>
      <c r="V1305">
        <f>IF($A1305="","",$F1305&amp;"|"&amp;$U1305&amp;"|"&amp;$D1305)</f>
        <v/>
      </c>
      <c r="W1305">
        <f>IF($T1305="","",IF($X1305&gt;N($X1304),$X1305,""))</f>
        <v/>
      </c>
      <c r="X1305">
        <f>IF($T1305="",N($X1304),IF(MATCH($T1305,$T$6:$T$6005,0)=ROW()-5,N($X1304)+1,N($X1304)))</f>
        <v/>
      </c>
      <c r="Z1305">
        <f>IF($V1305="","",IF($AA1305&gt;N($AA1304),$AA1305,""))</f>
        <v/>
      </c>
      <c r="AA1305">
        <f>IF($V1305="",N($AA1304),IF(MATCH($V1305,$V$6:$V$6005,0)=ROW()-5,N($AA1304)+1,N($AA1304)))</f>
        <v/>
      </c>
    </row>
    <row r="1306" ht="21" customHeight="1" s="66">
      <c r="A1306" s="56" t="n"/>
      <c r="B1306" s="57" t="n"/>
      <c r="C1306" s="57" t="n"/>
      <c r="D1306" s="57" t="n"/>
      <c r="E1306" s="56" t="n"/>
      <c r="F1306" s="57" t="n"/>
      <c r="G1306" s="57" t="n"/>
      <c r="H1306" s="56" t="n"/>
      <c r="I1306" s="56" t="n"/>
      <c r="J1306" s="58" t="n"/>
      <c r="K1306" s="58" t="n"/>
      <c r="L1306" s="13">
        <f>IF(OR($A1306="",AND($J1306="",$K1306="")),"",ROUND(N($J1306)-N($K1306),2))</f>
        <v/>
      </c>
      <c r="M1306" s="13">
        <f>IF(OR($A1306="",AND($J1306="",$K1306="")),"",MIN($J1306,$K1306))</f>
        <v/>
      </c>
      <c r="Q1306">
        <f>IF($A1306="","",$D1306&amp;"("&amp;SUBSTITUTE($E1306," ","")&amp;")")</f>
        <v/>
      </c>
      <c r="R1306">
        <f>IF($A1306="","",$B1306&amp;" - "&amp;$C1306)</f>
        <v/>
      </c>
      <c r="S1306">
        <f>IF($A1306="","",$R1306&amp;"|"&amp;$Q1306)</f>
        <v/>
      </c>
      <c r="T1306">
        <f>IF($A1306="","",$S1306&amp;"|"&amp;$F1306)</f>
        <v/>
      </c>
      <c r="U1306">
        <f>IF($A1306="","",$R1306&amp;"("&amp;$E1306&amp;")")</f>
        <v/>
      </c>
      <c r="V1306">
        <f>IF($A1306="","",$F1306&amp;"|"&amp;$U1306&amp;"|"&amp;$D1306)</f>
        <v/>
      </c>
      <c r="W1306">
        <f>IF($T1306="","",IF($X1306&gt;N($X1305),$X1306,""))</f>
        <v/>
      </c>
      <c r="X1306">
        <f>IF($T1306="",N($X1305),IF(MATCH($T1306,$T$6:$T$6005,0)=ROW()-5,N($X1305)+1,N($X1305)))</f>
        <v/>
      </c>
      <c r="Z1306">
        <f>IF($V1306="","",IF($AA1306&gt;N($AA1305),$AA1306,""))</f>
        <v/>
      </c>
      <c r="AA1306">
        <f>IF($V1306="",N($AA1305),IF(MATCH($V1306,$V$6:$V$6005,0)=ROW()-5,N($AA1305)+1,N($AA1305)))</f>
        <v/>
      </c>
    </row>
    <row r="1307" ht="21" customHeight="1" s="66">
      <c r="A1307" s="56" t="n"/>
      <c r="B1307" s="57" t="n"/>
      <c r="C1307" s="57" t="n"/>
      <c r="D1307" s="57" t="n"/>
      <c r="E1307" s="56" t="n"/>
      <c r="F1307" s="57" t="n"/>
      <c r="G1307" s="57" t="n"/>
      <c r="H1307" s="56" t="n"/>
      <c r="I1307" s="56" t="n"/>
      <c r="J1307" s="58" t="n"/>
      <c r="K1307" s="58" t="n"/>
      <c r="L1307" s="13">
        <f>IF(OR($A1307="",AND($J1307="",$K1307="")),"",ROUND(N($J1307)-N($K1307),2))</f>
        <v/>
      </c>
      <c r="M1307" s="13">
        <f>IF(OR($A1307="",AND($J1307="",$K1307="")),"",MIN($J1307,$K1307))</f>
        <v/>
      </c>
      <c r="Q1307">
        <f>IF($A1307="","",$D1307&amp;"("&amp;SUBSTITUTE($E1307," ","")&amp;")")</f>
        <v/>
      </c>
      <c r="R1307">
        <f>IF($A1307="","",$B1307&amp;" - "&amp;$C1307)</f>
        <v/>
      </c>
      <c r="S1307">
        <f>IF($A1307="","",$R1307&amp;"|"&amp;$Q1307)</f>
        <v/>
      </c>
      <c r="T1307">
        <f>IF($A1307="","",$S1307&amp;"|"&amp;$F1307)</f>
        <v/>
      </c>
      <c r="U1307">
        <f>IF($A1307="","",$R1307&amp;"("&amp;$E1307&amp;")")</f>
        <v/>
      </c>
      <c r="V1307">
        <f>IF($A1307="","",$F1307&amp;"|"&amp;$U1307&amp;"|"&amp;$D1307)</f>
        <v/>
      </c>
      <c r="W1307">
        <f>IF($T1307="","",IF($X1307&gt;N($X1306),$X1307,""))</f>
        <v/>
      </c>
      <c r="X1307">
        <f>IF($T1307="",N($X1306),IF(MATCH($T1307,$T$6:$T$6005,0)=ROW()-5,N($X1306)+1,N($X1306)))</f>
        <v/>
      </c>
      <c r="Z1307">
        <f>IF($V1307="","",IF($AA1307&gt;N($AA1306),$AA1307,""))</f>
        <v/>
      </c>
      <c r="AA1307">
        <f>IF($V1307="",N($AA1306),IF(MATCH($V1307,$V$6:$V$6005,0)=ROW()-5,N($AA1306)+1,N($AA1306)))</f>
        <v/>
      </c>
    </row>
    <row r="1308" ht="21" customHeight="1" s="66">
      <c r="A1308" s="56" t="n"/>
      <c r="B1308" s="57" t="n"/>
      <c r="C1308" s="57" t="n"/>
      <c r="D1308" s="57" t="n"/>
      <c r="E1308" s="56" t="n"/>
      <c r="F1308" s="57" t="n"/>
      <c r="G1308" s="57" t="n"/>
      <c r="H1308" s="56" t="n"/>
      <c r="I1308" s="56" t="n"/>
      <c r="J1308" s="58" t="n"/>
      <c r="K1308" s="58" t="n"/>
      <c r="L1308" s="13">
        <f>IF(OR($A1308="",AND($J1308="",$K1308="")),"",ROUND(N($J1308)-N($K1308),2))</f>
        <v/>
      </c>
      <c r="M1308" s="13">
        <f>IF(OR($A1308="",AND($J1308="",$K1308="")),"",MIN($J1308,$K1308))</f>
        <v/>
      </c>
      <c r="Q1308">
        <f>IF($A1308="","",$D1308&amp;"("&amp;SUBSTITUTE($E1308," ","")&amp;")")</f>
        <v/>
      </c>
      <c r="R1308">
        <f>IF($A1308="","",$B1308&amp;" - "&amp;$C1308)</f>
        <v/>
      </c>
      <c r="S1308">
        <f>IF($A1308="","",$R1308&amp;"|"&amp;$Q1308)</f>
        <v/>
      </c>
      <c r="T1308">
        <f>IF($A1308="","",$S1308&amp;"|"&amp;$F1308)</f>
        <v/>
      </c>
      <c r="U1308">
        <f>IF($A1308="","",$R1308&amp;"("&amp;$E1308&amp;")")</f>
        <v/>
      </c>
      <c r="V1308">
        <f>IF($A1308="","",$F1308&amp;"|"&amp;$U1308&amp;"|"&amp;$D1308)</f>
        <v/>
      </c>
      <c r="W1308">
        <f>IF($T1308="","",IF($X1308&gt;N($X1307),$X1308,""))</f>
        <v/>
      </c>
      <c r="X1308">
        <f>IF($T1308="",N($X1307),IF(MATCH($T1308,$T$6:$T$6005,0)=ROW()-5,N($X1307)+1,N($X1307)))</f>
        <v/>
      </c>
      <c r="Z1308">
        <f>IF($V1308="","",IF($AA1308&gt;N($AA1307),$AA1308,""))</f>
        <v/>
      </c>
      <c r="AA1308">
        <f>IF($V1308="",N($AA1307),IF(MATCH($V1308,$V$6:$V$6005,0)=ROW()-5,N($AA1307)+1,N($AA1307)))</f>
        <v/>
      </c>
    </row>
    <row r="1309" ht="21" customHeight="1" s="66">
      <c r="A1309" s="56" t="n"/>
      <c r="B1309" s="57" t="n"/>
      <c r="C1309" s="57" t="n"/>
      <c r="D1309" s="57" t="n"/>
      <c r="E1309" s="56" t="n"/>
      <c r="F1309" s="57" t="n"/>
      <c r="G1309" s="57" t="n"/>
      <c r="H1309" s="56" t="n"/>
      <c r="I1309" s="56" t="n"/>
      <c r="J1309" s="58" t="n"/>
      <c r="K1309" s="58" t="n"/>
      <c r="L1309" s="13">
        <f>IF(OR($A1309="",AND($J1309="",$K1309="")),"",ROUND(N($J1309)-N($K1309),2))</f>
        <v/>
      </c>
      <c r="M1309" s="13">
        <f>IF(OR($A1309="",AND($J1309="",$K1309="")),"",MIN($J1309,$K1309))</f>
        <v/>
      </c>
      <c r="Q1309">
        <f>IF($A1309="","",$D1309&amp;"("&amp;SUBSTITUTE($E1309," ","")&amp;")")</f>
        <v/>
      </c>
      <c r="R1309">
        <f>IF($A1309="","",$B1309&amp;" - "&amp;$C1309)</f>
        <v/>
      </c>
      <c r="S1309">
        <f>IF($A1309="","",$R1309&amp;"|"&amp;$Q1309)</f>
        <v/>
      </c>
      <c r="T1309">
        <f>IF($A1309="","",$S1309&amp;"|"&amp;$F1309)</f>
        <v/>
      </c>
      <c r="U1309">
        <f>IF($A1309="","",$R1309&amp;"("&amp;$E1309&amp;")")</f>
        <v/>
      </c>
      <c r="V1309">
        <f>IF($A1309="","",$F1309&amp;"|"&amp;$U1309&amp;"|"&amp;$D1309)</f>
        <v/>
      </c>
      <c r="W1309">
        <f>IF($T1309="","",IF($X1309&gt;N($X1308),$X1309,""))</f>
        <v/>
      </c>
      <c r="X1309">
        <f>IF($T1309="",N($X1308),IF(MATCH($T1309,$T$6:$T$6005,0)=ROW()-5,N($X1308)+1,N($X1308)))</f>
        <v/>
      </c>
      <c r="Z1309">
        <f>IF($V1309="","",IF($AA1309&gt;N($AA1308),$AA1309,""))</f>
        <v/>
      </c>
      <c r="AA1309">
        <f>IF($V1309="",N($AA1308),IF(MATCH($V1309,$V$6:$V$6005,0)=ROW()-5,N($AA1308)+1,N($AA1308)))</f>
        <v/>
      </c>
    </row>
    <row r="1310" ht="21" customHeight="1" s="66">
      <c r="A1310" s="56" t="n"/>
      <c r="B1310" s="57" t="n"/>
      <c r="C1310" s="57" t="n"/>
      <c r="D1310" s="57" t="n"/>
      <c r="E1310" s="56" t="n"/>
      <c r="F1310" s="57" t="n"/>
      <c r="G1310" s="57" t="n"/>
      <c r="H1310" s="56" t="n"/>
      <c r="I1310" s="56" t="n"/>
      <c r="J1310" s="58" t="n"/>
      <c r="K1310" s="58" t="n"/>
      <c r="L1310" s="13">
        <f>IF(OR($A1310="",AND($J1310="",$K1310="")),"",ROUND(N($J1310)-N($K1310),2))</f>
        <v/>
      </c>
      <c r="M1310" s="13">
        <f>IF(OR($A1310="",AND($J1310="",$K1310="")),"",MIN($J1310,$K1310))</f>
        <v/>
      </c>
      <c r="Q1310">
        <f>IF($A1310="","",$D1310&amp;"("&amp;SUBSTITUTE($E1310," ","")&amp;")")</f>
        <v/>
      </c>
      <c r="R1310">
        <f>IF($A1310="","",$B1310&amp;" - "&amp;$C1310)</f>
        <v/>
      </c>
      <c r="S1310">
        <f>IF($A1310="","",$R1310&amp;"|"&amp;$Q1310)</f>
        <v/>
      </c>
      <c r="T1310">
        <f>IF($A1310="","",$S1310&amp;"|"&amp;$F1310)</f>
        <v/>
      </c>
      <c r="U1310">
        <f>IF($A1310="","",$R1310&amp;"("&amp;$E1310&amp;")")</f>
        <v/>
      </c>
      <c r="V1310">
        <f>IF($A1310="","",$F1310&amp;"|"&amp;$U1310&amp;"|"&amp;$D1310)</f>
        <v/>
      </c>
      <c r="W1310">
        <f>IF($T1310="","",IF($X1310&gt;N($X1309),$X1310,""))</f>
        <v/>
      </c>
      <c r="X1310">
        <f>IF($T1310="",N($X1309),IF(MATCH($T1310,$T$6:$T$6005,0)=ROW()-5,N($X1309)+1,N($X1309)))</f>
        <v/>
      </c>
      <c r="Z1310">
        <f>IF($V1310="","",IF($AA1310&gt;N($AA1309),$AA1310,""))</f>
        <v/>
      </c>
      <c r="AA1310">
        <f>IF($V1310="",N($AA1309),IF(MATCH($V1310,$V$6:$V$6005,0)=ROW()-5,N($AA1309)+1,N($AA1309)))</f>
        <v/>
      </c>
    </row>
    <row r="1311" ht="21" customHeight="1" s="66">
      <c r="A1311" s="56" t="n"/>
      <c r="B1311" s="57" t="n"/>
      <c r="C1311" s="57" t="n"/>
      <c r="D1311" s="57" t="n"/>
      <c r="E1311" s="56" t="n"/>
      <c r="F1311" s="57" t="n"/>
      <c r="G1311" s="57" t="n"/>
      <c r="H1311" s="56" t="n"/>
      <c r="I1311" s="56" t="n"/>
      <c r="J1311" s="58" t="n"/>
      <c r="K1311" s="58" t="n"/>
      <c r="L1311" s="13">
        <f>IF(OR($A1311="",AND($J1311="",$K1311="")),"",ROUND(N($J1311)-N($K1311),2))</f>
        <v/>
      </c>
      <c r="M1311" s="13">
        <f>IF(OR($A1311="",AND($J1311="",$K1311="")),"",MIN($J1311,$K1311))</f>
        <v/>
      </c>
      <c r="Q1311">
        <f>IF($A1311="","",$D1311&amp;"("&amp;SUBSTITUTE($E1311," ","")&amp;")")</f>
        <v/>
      </c>
      <c r="R1311">
        <f>IF($A1311="","",$B1311&amp;" - "&amp;$C1311)</f>
        <v/>
      </c>
      <c r="S1311">
        <f>IF($A1311="","",$R1311&amp;"|"&amp;$Q1311)</f>
        <v/>
      </c>
      <c r="T1311">
        <f>IF($A1311="","",$S1311&amp;"|"&amp;$F1311)</f>
        <v/>
      </c>
      <c r="U1311">
        <f>IF($A1311="","",$R1311&amp;"("&amp;$E1311&amp;")")</f>
        <v/>
      </c>
      <c r="V1311">
        <f>IF($A1311="","",$F1311&amp;"|"&amp;$U1311&amp;"|"&amp;$D1311)</f>
        <v/>
      </c>
      <c r="W1311">
        <f>IF($T1311="","",IF($X1311&gt;N($X1310),$X1311,""))</f>
        <v/>
      </c>
      <c r="X1311">
        <f>IF($T1311="",N($X1310),IF(MATCH($T1311,$T$6:$T$6005,0)=ROW()-5,N($X1310)+1,N($X1310)))</f>
        <v/>
      </c>
      <c r="Z1311">
        <f>IF($V1311="","",IF($AA1311&gt;N($AA1310),$AA1311,""))</f>
        <v/>
      </c>
      <c r="AA1311">
        <f>IF($V1311="",N($AA1310),IF(MATCH($V1311,$V$6:$V$6005,0)=ROW()-5,N($AA1310)+1,N($AA1310)))</f>
        <v/>
      </c>
    </row>
    <row r="1312" ht="21" customHeight="1" s="66">
      <c r="A1312" s="56" t="n"/>
      <c r="B1312" s="57" t="n"/>
      <c r="C1312" s="57" t="n"/>
      <c r="D1312" s="57" t="n"/>
      <c r="E1312" s="56" t="n"/>
      <c r="F1312" s="57" t="n"/>
      <c r="G1312" s="57" t="n"/>
      <c r="H1312" s="56" t="n"/>
      <c r="I1312" s="56" t="n"/>
      <c r="J1312" s="58" t="n"/>
      <c r="K1312" s="58" t="n"/>
      <c r="L1312" s="13">
        <f>IF(OR($A1312="",AND($J1312="",$K1312="")),"",ROUND(N($J1312)-N($K1312),2))</f>
        <v/>
      </c>
      <c r="M1312" s="13">
        <f>IF(OR($A1312="",AND($J1312="",$K1312="")),"",MIN($J1312,$K1312))</f>
        <v/>
      </c>
      <c r="Q1312">
        <f>IF($A1312="","",$D1312&amp;"("&amp;SUBSTITUTE($E1312," ","")&amp;")")</f>
        <v/>
      </c>
      <c r="R1312">
        <f>IF($A1312="","",$B1312&amp;" - "&amp;$C1312)</f>
        <v/>
      </c>
      <c r="S1312">
        <f>IF($A1312="","",$R1312&amp;"|"&amp;$Q1312)</f>
        <v/>
      </c>
      <c r="T1312">
        <f>IF($A1312="","",$S1312&amp;"|"&amp;$F1312)</f>
        <v/>
      </c>
      <c r="U1312">
        <f>IF($A1312="","",$R1312&amp;"("&amp;$E1312&amp;")")</f>
        <v/>
      </c>
      <c r="V1312">
        <f>IF($A1312="","",$F1312&amp;"|"&amp;$U1312&amp;"|"&amp;$D1312)</f>
        <v/>
      </c>
      <c r="W1312">
        <f>IF($T1312="","",IF($X1312&gt;N($X1311),$X1312,""))</f>
        <v/>
      </c>
      <c r="X1312">
        <f>IF($T1312="",N($X1311),IF(MATCH($T1312,$T$6:$T$6005,0)=ROW()-5,N($X1311)+1,N($X1311)))</f>
        <v/>
      </c>
      <c r="Z1312">
        <f>IF($V1312="","",IF($AA1312&gt;N($AA1311),$AA1312,""))</f>
        <v/>
      </c>
      <c r="AA1312">
        <f>IF($V1312="",N($AA1311),IF(MATCH($V1312,$V$6:$V$6005,0)=ROW()-5,N($AA1311)+1,N($AA1311)))</f>
        <v/>
      </c>
    </row>
    <row r="1313" ht="21" customHeight="1" s="66">
      <c r="A1313" s="56" t="n"/>
      <c r="B1313" s="57" t="n"/>
      <c r="C1313" s="57" t="n"/>
      <c r="D1313" s="57" t="n"/>
      <c r="E1313" s="56" t="n"/>
      <c r="F1313" s="57" t="n"/>
      <c r="G1313" s="57" t="n"/>
      <c r="H1313" s="56" t="n"/>
      <c r="I1313" s="56" t="n"/>
      <c r="J1313" s="58" t="n"/>
      <c r="K1313" s="58" t="n"/>
      <c r="L1313" s="13">
        <f>IF(OR($A1313="",AND($J1313="",$K1313="")),"",ROUND(N($J1313)-N($K1313),2))</f>
        <v/>
      </c>
      <c r="M1313" s="13">
        <f>IF(OR($A1313="",AND($J1313="",$K1313="")),"",MIN($J1313,$K1313))</f>
        <v/>
      </c>
      <c r="Q1313">
        <f>IF($A1313="","",$D1313&amp;"("&amp;SUBSTITUTE($E1313," ","")&amp;")")</f>
        <v/>
      </c>
      <c r="R1313">
        <f>IF($A1313="","",$B1313&amp;" - "&amp;$C1313)</f>
        <v/>
      </c>
      <c r="S1313">
        <f>IF($A1313="","",$R1313&amp;"|"&amp;$Q1313)</f>
        <v/>
      </c>
      <c r="T1313">
        <f>IF($A1313="","",$S1313&amp;"|"&amp;$F1313)</f>
        <v/>
      </c>
      <c r="U1313">
        <f>IF($A1313="","",$R1313&amp;"("&amp;$E1313&amp;")")</f>
        <v/>
      </c>
      <c r="V1313">
        <f>IF($A1313="","",$F1313&amp;"|"&amp;$U1313&amp;"|"&amp;$D1313)</f>
        <v/>
      </c>
      <c r="W1313">
        <f>IF($T1313="","",IF($X1313&gt;N($X1312),$X1313,""))</f>
        <v/>
      </c>
      <c r="X1313">
        <f>IF($T1313="",N($X1312),IF(MATCH($T1313,$T$6:$T$6005,0)=ROW()-5,N($X1312)+1,N($X1312)))</f>
        <v/>
      </c>
      <c r="Z1313">
        <f>IF($V1313="","",IF($AA1313&gt;N($AA1312),$AA1313,""))</f>
        <v/>
      </c>
      <c r="AA1313">
        <f>IF($V1313="",N($AA1312),IF(MATCH($V1313,$V$6:$V$6005,0)=ROW()-5,N($AA1312)+1,N($AA1312)))</f>
        <v/>
      </c>
    </row>
    <row r="1314" ht="21" customHeight="1" s="66">
      <c r="A1314" s="56" t="n"/>
      <c r="B1314" s="57" t="n"/>
      <c r="C1314" s="57" t="n"/>
      <c r="D1314" s="57" t="n"/>
      <c r="E1314" s="56" t="n"/>
      <c r="F1314" s="57" t="n"/>
      <c r="G1314" s="57" t="n"/>
      <c r="H1314" s="56" t="n"/>
      <c r="I1314" s="56" t="n"/>
      <c r="J1314" s="58" t="n"/>
      <c r="K1314" s="58" t="n"/>
      <c r="L1314" s="13">
        <f>IF(OR($A1314="",AND($J1314="",$K1314="")),"",ROUND(N($J1314)-N($K1314),2))</f>
        <v/>
      </c>
      <c r="M1314" s="13">
        <f>IF(OR($A1314="",AND($J1314="",$K1314="")),"",MIN($J1314,$K1314))</f>
        <v/>
      </c>
      <c r="Q1314">
        <f>IF($A1314="","",$D1314&amp;"("&amp;SUBSTITUTE($E1314," ","")&amp;")")</f>
        <v/>
      </c>
      <c r="R1314">
        <f>IF($A1314="","",$B1314&amp;" - "&amp;$C1314)</f>
        <v/>
      </c>
      <c r="S1314">
        <f>IF($A1314="","",$R1314&amp;"|"&amp;$Q1314)</f>
        <v/>
      </c>
      <c r="T1314">
        <f>IF($A1314="","",$S1314&amp;"|"&amp;$F1314)</f>
        <v/>
      </c>
      <c r="U1314">
        <f>IF($A1314="","",$R1314&amp;"("&amp;$E1314&amp;")")</f>
        <v/>
      </c>
      <c r="V1314">
        <f>IF($A1314="","",$F1314&amp;"|"&amp;$U1314&amp;"|"&amp;$D1314)</f>
        <v/>
      </c>
      <c r="W1314">
        <f>IF($T1314="","",IF($X1314&gt;N($X1313),$X1314,""))</f>
        <v/>
      </c>
      <c r="X1314">
        <f>IF($T1314="",N($X1313),IF(MATCH($T1314,$T$6:$T$6005,0)=ROW()-5,N($X1313)+1,N($X1313)))</f>
        <v/>
      </c>
      <c r="Z1314">
        <f>IF($V1314="","",IF($AA1314&gt;N($AA1313),$AA1314,""))</f>
        <v/>
      </c>
      <c r="AA1314">
        <f>IF($V1314="",N($AA1313),IF(MATCH($V1314,$V$6:$V$6005,0)=ROW()-5,N($AA1313)+1,N($AA1313)))</f>
        <v/>
      </c>
    </row>
    <row r="1315" ht="21" customHeight="1" s="66">
      <c r="A1315" s="56" t="n"/>
      <c r="B1315" s="57" t="n"/>
      <c r="C1315" s="57" t="n"/>
      <c r="D1315" s="57" t="n"/>
      <c r="E1315" s="56" t="n"/>
      <c r="F1315" s="57" t="n"/>
      <c r="G1315" s="57" t="n"/>
      <c r="H1315" s="56" t="n"/>
      <c r="I1315" s="56" t="n"/>
      <c r="J1315" s="58" t="n"/>
      <c r="K1315" s="58" t="n"/>
      <c r="L1315" s="13">
        <f>IF(OR($A1315="",AND($J1315="",$K1315="")),"",ROUND(N($J1315)-N($K1315),2))</f>
        <v/>
      </c>
      <c r="M1315" s="13">
        <f>IF(OR($A1315="",AND($J1315="",$K1315="")),"",MIN($J1315,$K1315))</f>
        <v/>
      </c>
      <c r="Q1315">
        <f>IF($A1315="","",$D1315&amp;"("&amp;SUBSTITUTE($E1315," ","")&amp;")")</f>
        <v/>
      </c>
      <c r="R1315">
        <f>IF($A1315="","",$B1315&amp;" - "&amp;$C1315)</f>
        <v/>
      </c>
      <c r="S1315">
        <f>IF($A1315="","",$R1315&amp;"|"&amp;$Q1315)</f>
        <v/>
      </c>
      <c r="T1315">
        <f>IF($A1315="","",$S1315&amp;"|"&amp;$F1315)</f>
        <v/>
      </c>
      <c r="U1315">
        <f>IF($A1315="","",$R1315&amp;"("&amp;$E1315&amp;")")</f>
        <v/>
      </c>
      <c r="V1315">
        <f>IF($A1315="","",$F1315&amp;"|"&amp;$U1315&amp;"|"&amp;$D1315)</f>
        <v/>
      </c>
      <c r="W1315">
        <f>IF($T1315="","",IF($X1315&gt;N($X1314),$X1315,""))</f>
        <v/>
      </c>
      <c r="X1315">
        <f>IF($T1315="",N($X1314),IF(MATCH($T1315,$T$6:$T$6005,0)=ROW()-5,N($X1314)+1,N($X1314)))</f>
        <v/>
      </c>
      <c r="Z1315">
        <f>IF($V1315="","",IF($AA1315&gt;N($AA1314),$AA1315,""))</f>
        <v/>
      </c>
      <c r="AA1315">
        <f>IF($V1315="",N($AA1314),IF(MATCH($V1315,$V$6:$V$6005,0)=ROW()-5,N($AA1314)+1,N($AA1314)))</f>
        <v/>
      </c>
    </row>
    <row r="1316" ht="21" customHeight="1" s="66">
      <c r="A1316" s="56" t="n"/>
      <c r="B1316" s="57" t="n"/>
      <c r="C1316" s="57" t="n"/>
      <c r="D1316" s="57" t="n"/>
      <c r="E1316" s="56" t="n"/>
      <c r="F1316" s="57" t="n"/>
      <c r="G1316" s="57" t="n"/>
      <c r="H1316" s="56" t="n"/>
      <c r="I1316" s="56" t="n"/>
      <c r="J1316" s="58" t="n"/>
      <c r="K1316" s="58" t="n"/>
      <c r="L1316" s="13">
        <f>IF(OR($A1316="",AND($J1316="",$K1316="")),"",ROUND(N($J1316)-N($K1316),2))</f>
        <v/>
      </c>
      <c r="M1316" s="13">
        <f>IF(OR($A1316="",AND($J1316="",$K1316="")),"",MIN($J1316,$K1316))</f>
        <v/>
      </c>
      <c r="Q1316">
        <f>IF($A1316="","",$D1316&amp;"("&amp;SUBSTITUTE($E1316," ","")&amp;")")</f>
        <v/>
      </c>
      <c r="R1316">
        <f>IF($A1316="","",$B1316&amp;" - "&amp;$C1316)</f>
        <v/>
      </c>
      <c r="S1316">
        <f>IF($A1316="","",$R1316&amp;"|"&amp;$Q1316)</f>
        <v/>
      </c>
      <c r="T1316">
        <f>IF($A1316="","",$S1316&amp;"|"&amp;$F1316)</f>
        <v/>
      </c>
      <c r="U1316">
        <f>IF($A1316="","",$R1316&amp;"("&amp;$E1316&amp;")")</f>
        <v/>
      </c>
      <c r="V1316">
        <f>IF($A1316="","",$F1316&amp;"|"&amp;$U1316&amp;"|"&amp;$D1316)</f>
        <v/>
      </c>
      <c r="W1316">
        <f>IF($T1316="","",IF($X1316&gt;N($X1315),$X1316,""))</f>
        <v/>
      </c>
      <c r="X1316">
        <f>IF($T1316="",N($X1315),IF(MATCH($T1316,$T$6:$T$6005,0)=ROW()-5,N($X1315)+1,N($X1315)))</f>
        <v/>
      </c>
      <c r="Z1316">
        <f>IF($V1316="","",IF($AA1316&gt;N($AA1315),$AA1316,""))</f>
        <v/>
      </c>
      <c r="AA1316">
        <f>IF($V1316="",N($AA1315),IF(MATCH($V1316,$V$6:$V$6005,0)=ROW()-5,N($AA1315)+1,N($AA1315)))</f>
        <v/>
      </c>
    </row>
    <row r="1317" ht="21" customHeight="1" s="66">
      <c r="A1317" s="56" t="n"/>
      <c r="B1317" s="57" t="n"/>
      <c r="C1317" s="57" t="n"/>
      <c r="D1317" s="57" t="n"/>
      <c r="E1317" s="56" t="n"/>
      <c r="F1317" s="57" t="n"/>
      <c r="G1317" s="57" t="n"/>
      <c r="H1317" s="56" t="n"/>
      <c r="I1317" s="56" t="n"/>
      <c r="J1317" s="58" t="n"/>
      <c r="K1317" s="58" t="n"/>
      <c r="L1317" s="13">
        <f>IF(OR($A1317="",AND($J1317="",$K1317="")),"",ROUND(N($J1317)-N($K1317),2))</f>
        <v/>
      </c>
      <c r="M1317" s="13">
        <f>IF(OR($A1317="",AND($J1317="",$K1317="")),"",MIN($J1317,$K1317))</f>
        <v/>
      </c>
      <c r="Q1317">
        <f>IF($A1317="","",$D1317&amp;"("&amp;SUBSTITUTE($E1317," ","")&amp;")")</f>
        <v/>
      </c>
      <c r="R1317">
        <f>IF($A1317="","",$B1317&amp;" - "&amp;$C1317)</f>
        <v/>
      </c>
      <c r="S1317">
        <f>IF($A1317="","",$R1317&amp;"|"&amp;$Q1317)</f>
        <v/>
      </c>
      <c r="T1317">
        <f>IF($A1317="","",$S1317&amp;"|"&amp;$F1317)</f>
        <v/>
      </c>
      <c r="U1317">
        <f>IF($A1317="","",$R1317&amp;"("&amp;$E1317&amp;")")</f>
        <v/>
      </c>
      <c r="V1317">
        <f>IF($A1317="","",$F1317&amp;"|"&amp;$U1317&amp;"|"&amp;$D1317)</f>
        <v/>
      </c>
      <c r="W1317">
        <f>IF($T1317="","",IF($X1317&gt;N($X1316),$X1317,""))</f>
        <v/>
      </c>
      <c r="X1317">
        <f>IF($T1317="",N($X1316),IF(MATCH($T1317,$T$6:$T$6005,0)=ROW()-5,N($X1316)+1,N($X1316)))</f>
        <v/>
      </c>
      <c r="Z1317">
        <f>IF($V1317="","",IF($AA1317&gt;N($AA1316),$AA1317,""))</f>
        <v/>
      </c>
      <c r="AA1317">
        <f>IF($V1317="",N($AA1316),IF(MATCH($V1317,$V$6:$V$6005,0)=ROW()-5,N($AA1316)+1,N($AA1316)))</f>
        <v/>
      </c>
    </row>
    <row r="1318" ht="21" customHeight="1" s="66">
      <c r="A1318" s="56" t="n"/>
      <c r="B1318" s="57" t="n"/>
      <c r="C1318" s="57" t="n"/>
      <c r="D1318" s="57" t="n"/>
      <c r="E1318" s="56" t="n"/>
      <c r="F1318" s="57" t="n"/>
      <c r="G1318" s="57" t="n"/>
      <c r="H1318" s="56" t="n"/>
      <c r="I1318" s="56" t="n"/>
      <c r="J1318" s="58" t="n"/>
      <c r="K1318" s="58" t="n"/>
      <c r="L1318" s="13">
        <f>IF(OR($A1318="",AND($J1318="",$K1318="")),"",ROUND(N($J1318)-N($K1318),2))</f>
        <v/>
      </c>
      <c r="M1318" s="13">
        <f>IF(OR($A1318="",AND($J1318="",$K1318="")),"",MIN($J1318,$K1318))</f>
        <v/>
      </c>
      <c r="Q1318">
        <f>IF($A1318="","",$D1318&amp;"("&amp;SUBSTITUTE($E1318," ","")&amp;")")</f>
        <v/>
      </c>
      <c r="R1318">
        <f>IF($A1318="","",$B1318&amp;" - "&amp;$C1318)</f>
        <v/>
      </c>
      <c r="S1318">
        <f>IF($A1318="","",$R1318&amp;"|"&amp;$Q1318)</f>
        <v/>
      </c>
      <c r="T1318">
        <f>IF($A1318="","",$S1318&amp;"|"&amp;$F1318)</f>
        <v/>
      </c>
      <c r="U1318">
        <f>IF($A1318="","",$R1318&amp;"("&amp;$E1318&amp;")")</f>
        <v/>
      </c>
      <c r="V1318">
        <f>IF($A1318="","",$F1318&amp;"|"&amp;$U1318&amp;"|"&amp;$D1318)</f>
        <v/>
      </c>
      <c r="W1318">
        <f>IF($T1318="","",IF($X1318&gt;N($X1317),$X1318,""))</f>
        <v/>
      </c>
      <c r="X1318">
        <f>IF($T1318="",N($X1317),IF(MATCH($T1318,$T$6:$T$6005,0)=ROW()-5,N($X1317)+1,N($X1317)))</f>
        <v/>
      </c>
      <c r="Z1318">
        <f>IF($V1318="","",IF($AA1318&gt;N($AA1317),$AA1318,""))</f>
        <v/>
      </c>
      <c r="AA1318">
        <f>IF($V1318="",N($AA1317),IF(MATCH($V1318,$V$6:$V$6005,0)=ROW()-5,N($AA1317)+1,N($AA1317)))</f>
        <v/>
      </c>
    </row>
    <row r="1319" ht="21" customHeight="1" s="66">
      <c r="A1319" s="56" t="n"/>
      <c r="B1319" s="57" t="n"/>
      <c r="C1319" s="57" t="n"/>
      <c r="D1319" s="57" t="n"/>
      <c r="E1319" s="56" t="n"/>
      <c r="F1319" s="57" t="n"/>
      <c r="G1319" s="57" t="n"/>
      <c r="H1319" s="56" t="n"/>
      <c r="I1319" s="56" t="n"/>
      <c r="J1319" s="58" t="n"/>
      <c r="K1319" s="58" t="n"/>
      <c r="L1319" s="13">
        <f>IF(OR($A1319="",AND($J1319="",$K1319="")),"",ROUND(N($J1319)-N($K1319),2))</f>
        <v/>
      </c>
      <c r="M1319" s="13">
        <f>IF(OR($A1319="",AND($J1319="",$K1319="")),"",MIN($J1319,$K1319))</f>
        <v/>
      </c>
      <c r="Q1319">
        <f>IF($A1319="","",$D1319&amp;"("&amp;SUBSTITUTE($E1319," ","")&amp;")")</f>
        <v/>
      </c>
      <c r="R1319">
        <f>IF($A1319="","",$B1319&amp;" - "&amp;$C1319)</f>
        <v/>
      </c>
      <c r="S1319">
        <f>IF($A1319="","",$R1319&amp;"|"&amp;$Q1319)</f>
        <v/>
      </c>
      <c r="T1319">
        <f>IF($A1319="","",$S1319&amp;"|"&amp;$F1319)</f>
        <v/>
      </c>
      <c r="U1319">
        <f>IF($A1319="","",$R1319&amp;"("&amp;$E1319&amp;")")</f>
        <v/>
      </c>
      <c r="V1319">
        <f>IF($A1319="","",$F1319&amp;"|"&amp;$U1319&amp;"|"&amp;$D1319)</f>
        <v/>
      </c>
      <c r="W1319">
        <f>IF($T1319="","",IF($X1319&gt;N($X1318),$X1319,""))</f>
        <v/>
      </c>
      <c r="X1319">
        <f>IF($T1319="",N($X1318),IF(MATCH($T1319,$T$6:$T$6005,0)=ROW()-5,N($X1318)+1,N($X1318)))</f>
        <v/>
      </c>
      <c r="Z1319">
        <f>IF($V1319="","",IF($AA1319&gt;N($AA1318),$AA1319,""))</f>
        <v/>
      </c>
      <c r="AA1319">
        <f>IF($V1319="",N($AA1318),IF(MATCH($V1319,$V$6:$V$6005,0)=ROW()-5,N($AA1318)+1,N($AA1318)))</f>
        <v/>
      </c>
    </row>
    <row r="1320" ht="21" customHeight="1" s="66">
      <c r="A1320" s="56" t="n"/>
      <c r="B1320" s="57" t="n"/>
      <c r="C1320" s="57" t="n"/>
      <c r="D1320" s="57" t="n"/>
      <c r="E1320" s="56" t="n"/>
      <c r="F1320" s="57" t="n"/>
      <c r="G1320" s="57" t="n"/>
      <c r="H1320" s="56" t="n"/>
      <c r="I1320" s="56" t="n"/>
      <c r="J1320" s="58" t="n"/>
      <c r="K1320" s="58" t="n"/>
      <c r="L1320" s="13">
        <f>IF(OR($A1320="",AND($J1320="",$K1320="")),"",ROUND(N($J1320)-N($K1320),2))</f>
        <v/>
      </c>
      <c r="M1320" s="13">
        <f>IF(OR($A1320="",AND($J1320="",$K1320="")),"",MIN($J1320,$K1320))</f>
        <v/>
      </c>
      <c r="Q1320">
        <f>IF($A1320="","",$D1320&amp;"("&amp;SUBSTITUTE($E1320," ","")&amp;")")</f>
        <v/>
      </c>
      <c r="R1320">
        <f>IF($A1320="","",$B1320&amp;" - "&amp;$C1320)</f>
        <v/>
      </c>
      <c r="S1320">
        <f>IF($A1320="","",$R1320&amp;"|"&amp;$Q1320)</f>
        <v/>
      </c>
      <c r="T1320">
        <f>IF($A1320="","",$S1320&amp;"|"&amp;$F1320)</f>
        <v/>
      </c>
      <c r="U1320">
        <f>IF($A1320="","",$R1320&amp;"("&amp;$E1320&amp;")")</f>
        <v/>
      </c>
      <c r="V1320">
        <f>IF($A1320="","",$F1320&amp;"|"&amp;$U1320&amp;"|"&amp;$D1320)</f>
        <v/>
      </c>
      <c r="W1320">
        <f>IF($T1320="","",IF($X1320&gt;N($X1319),$X1320,""))</f>
        <v/>
      </c>
      <c r="X1320">
        <f>IF($T1320="",N($X1319),IF(MATCH($T1320,$T$6:$T$6005,0)=ROW()-5,N($X1319)+1,N($X1319)))</f>
        <v/>
      </c>
      <c r="Z1320">
        <f>IF($V1320="","",IF($AA1320&gt;N($AA1319),$AA1320,""))</f>
        <v/>
      </c>
      <c r="AA1320">
        <f>IF($V1320="",N($AA1319),IF(MATCH($V1320,$V$6:$V$6005,0)=ROW()-5,N($AA1319)+1,N($AA1319)))</f>
        <v/>
      </c>
    </row>
    <row r="1321" ht="21" customHeight="1" s="66">
      <c r="A1321" s="56" t="n"/>
      <c r="B1321" s="57" t="n"/>
      <c r="C1321" s="57" t="n"/>
      <c r="D1321" s="57" t="n"/>
      <c r="E1321" s="56" t="n"/>
      <c r="F1321" s="57" t="n"/>
      <c r="G1321" s="57" t="n"/>
      <c r="H1321" s="56" t="n"/>
      <c r="I1321" s="56" t="n"/>
      <c r="J1321" s="58" t="n"/>
      <c r="K1321" s="58" t="n"/>
      <c r="L1321" s="13">
        <f>IF(OR($A1321="",AND($J1321="",$K1321="")),"",ROUND(N($J1321)-N($K1321),2))</f>
        <v/>
      </c>
      <c r="M1321" s="13">
        <f>IF(OR($A1321="",AND($J1321="",$K1321="")),"",MIN($J1321,$K1321))</f>
        <v/>
      </c>
      <c r="Q1321">
        <f>IF($A1321="","",$D1321&amp;"("&amp;SUBSTITUTE($E1321," ","")&amp;")")</f>
        <v/>
      </c>
      <c r="R1321">
        <f>IF($A1321="","",$B1321&amp;" - "&amp;$C1321)</f>
        <v/>
      </c>
      <c r="S1321">
        <f>IF($A1321="","",$R1321&amp;"|"&amp;$Q1321)</f>
        <v/>
      </c>
      <c r="T1321">
        <f>IF($A1321="","",$S1321&amp;"|"&amp;$F1321)</f>
        <v/>
      </c>
      <c r="U1321">
        <f>IF($A1321="","",$R1321&amp;"("&amp;$E1321&amp;")")</f>
        <v/>
      </c>
      <c r="V1321">
        <f>IF($A1321="","",$F1321&amp;"|"&amp;$U1321&amp;"|"&amp;$D1321)</f>
        <v/>
      </c>
      <c r="W1321">
        <f>IF($T1321="","",IF($X1321&gt;N($X1320),$X1321,""))</f>
        <v/>
      </c>
      <c r="X1321">
        <f>IF($T1321="",N($X1320),IF(MATCH($T1321,$T$6:$T$6005,0)=ROW()-5,N($X1320)+1,N($X1320)))</f>
        <v/>
      </c>
      <c r="Z1321">
        <f>IF($V1321="","",IF($AA1321&gt;N($AA1320),$AA1321,""))</f>
        <v/>
      </c>
      <c r="AA1321">
        <f>IF($V1321="",N($AA1320),IF(MATCH($V1321,$V$6:$V$6005,0)=ROW()-5,N($AA1320)+1,N($AA1320)))</f>
        <v/>
      </c>
    </row>
    <row r="1322" ht="21" customHeight="1" s="66">
      <c r="A1322" s="56" t="n"/>
      <c r="B1322" s="57" t="n"/>
      <c r="C1322" s="57" t="n"/>
      <c r="D1322" s="57" t="n"/>
      <c r="E1322" s="56" t="n"/>
      <c r="F1322" s="57" t="n"/>
      <c r="G1322" s="57" t="n"/>
      <c r="H1322" s="56" t="n"/>
      <c r="I1322" s="56" t="n"/>
      <c r="J1322" s="58" t="n"/>
      <c r="K1322" s="58" t="n"/>
      <c r="L1322" s="13">
        <f>IF(OR($A1322="",AND($J1322="",$K1322="")),"",ROUND(N($J1322)-N($K1322),2))</f>
        <v/>
      </c>
      <c r="M1322" s="13">
        <f>IF(OR($A1322="",AND($J1322="",$K1322="")),"",MIN($J1322,$K1322))</f>
        <v/>
      </c>
      <c r="Q1322">
        <f>IF($A1322="","",$D1322&amp;"("&amp;SUBSTITUTE($E1322," ","")&amp;")")</f>
        <v/>
      </c>
      <c r="R1322">
        <f>IF($A1322="","",$B1322&amp;" - "&amp;$C1322)</f>
        <v/>
      </c>
      <c r="S1322">
        <f>IF($A1322="","",$R1322&amp;"|"&amp;$Q1322)</f>
        <v/>
      </c>
      <c r="T1322">
        <f>IF($A1322="","",$S1322&amp;"|"&amp;$F1322)</f>
        <v/>
      </c>
      <c r="U1322">
        <f>IF($A1322="","",$R1322&amp;"("&amp;$E1322&amp;")")</f>
        <v/>
      </c>
      <c r="V1322">
        <f>IF($A1322="","",$F1322&amp;"|"&amp;$U1322&amp;"|"&amp;$D1322)</f>
        <v/>
      </c>
      <c r="W1322">
        <f>IF($T1322="","",IF($X1322&gt;N($X1321),$X1322,""))</f>
        <v/>
      </c>
      <c r="X1322">
        <f>IF($T1322="",N($X1321),IF(MATCH($T1322,$T$6:$T$6005,0)=ROW()-5,N($X1321)+1,N($X1321)))</f>
        <v/>
      </c>
      <c r="Z1322">
        <f>IF($V1322="","",IF($AA1322&gt;N($AA1321),$AA1322,""))</f>
        <v/>
      </c>
      <c r="AA1322">
        <f>IF($V1322="",N($AA1321),IF(MATCH($V1322,$V$6:$V$6005,0)=ROW()-5,N($AA1321)+1,N($AA1321)))</f>
        <v/>
      </c>
    </row>
    <row r="1323" ht="21" customHeight="1" s="66">
      <c r="A1323" s="56" t="n"/>
      <c r="B1323" s="57" t="n"/>
      <c r="C1323" s="57" t="n"/>
      <c r="D1323" s="57" t="n"/>
      <c r="E1323" s="56" t="n"/>
      <c r="F1323" s="57" t="n"/>
      <c r="G1323" s="57" t="n"/>
      <c r="H1323" s="56" t="n"/>
      <c r="I1323" s="56" t="n"/>
      <c r="J1323" s="58" t="n"/>
      <c r="K1323" s="58" t="n"/>
      <c r="L1323" s="13">
        <f>IF(OR($A1323="",AND($J1323="",$K1323="")),"",ROUND(N($J1323)-N($K1323),2))</f>
        <v/>
      </c>
      <c r="M1323" s="13">
        <f>IF(OR($A1323="",AND($J1323="",$K1323="")),"",MIN($J1323,$K1323))</f>
        <v/>
      </c>
      <c r="Q1323">
        <f>IF($A1323="","",$D1323&amp;"("&amp;SUBSTITUTE($E1323," ","")&amp;")")</f>
        <v/>
      </c>
      <c r="R1323">
        <f>IF($A1323="","",$B1323&amp;" - "&amp;$C1323)</f>
        <v/>
      </c>
      <c r="S1323">
        <f>IF($A1323="","",$R1323&amp;"|"&amp;$Q1323)</f>
        <v/>
      </c>
      <c r="T1323">
        <f>IF($A1323="","",$S1323&amp;"|"&amp;$F1323)</f>
        <v/>
      </c>
      <c r="U1323">
        <f>IF($A1323="","",$R1323&amp;"("&amp;$E1323&amp;")")</f>
        <v/>
      </c>
      <c r="V1323">
        <f>IF($A1323="","",$F1323&amp;"|"&amp;$U1323&amp;"|"&amp;$D1323)</f>
        <v/>
      </c>
      <c r="W1323">
        <f>IF($T1323="","",IF($X1323&gt;N($X1322),$X1323,""))</f>
        <v/>
      </c>
      <c r="X1323">
        <f>IF($T1323="",N($X1322),IF(MATCH($T1323,$T$6:$T$6005,0)=ROW()-5,N($X1322)+1,N($X1322)))</f>
        <v/>
      </c>
      <c r="Z1323">
        <f>IF($V1323="","",IF($AA1323&gt;N($AA1322),$AA1323,""))</f>
        <v/>
      </c>
      <c r="AA1323">
        <f>IF($V1323="",N($AA1322),IF(MATCH($V1323,$V$6:$V$6005,0)=ROW()-5,N($AA1322)+1,N($AA1322)))</f>
        <v/>
      </c>
    </row>
    <row r="1324" ht="21" customHeight="1" s="66">
      <c r="A1324" s="56" t="n"/>
      <c r="B1324" s="57" t="n"/>
      <c r="C1324" s="57" t="n"/>
      <c r="D1324" s="57" t="n"/>
      <c r="E1324" s="56" t="n"/>
      <c r="F1324" s="57" t="n"/>
      <c r="G1324" s="57" t="n"/>
      <c r="H1324" s="56" t="n"/>
      <c r="I1324" s="56" t="n"/>
      <c r="J1324" s="58" t="n"/>
      <c r="K1324" s="58" t="n"/>
      <c r="L1324" s="13">
        <f>IF(OR($A1324="",AND($J1324="",$K1324="")),"",ROUND(N($J1324)-N($K1324),2))</f>
        <v/>
      </c>
      <c r="M1324" s="13">
        <f>IF(OR($A1324="",AND($J1324="",$K1324="")),"",MIN($J1324,$K1324))</f>
        <v/>
      </c>
      <c r="Q1324">
        <f>IF($A1324="","",$D1324&amp;"("&amp;SUBSTITUTE($E1324," ","")&amp;")")</f>
        <v/>
      </c>
      <c r="R1324">
        <f>IF($A1324="","",$B1324&amp;" - "&amp;$C1324)</f>
        <v/>
      </c>
      <c r="S1324">
        <f>IF($A1324="","",$R1324&amp;"|"&amp;$Q1324)</f>
        <v/>
      </c>
      <c r="T1324">
        <f>IF($A1324="","",$S1324&amp;"|"&amp;$F1324)</f>
        <v/>
      </c>
      <c r="U1324">
        <f>IF($A1324="","",$R1324&amp;"("&amp;$E1324&amp;")")</f>
        <v/>
      </c>
      <c r="V1324">
        <f>IF($A1324="","",$F1324&amp;"|"&amp;$U1324&amp;"|"&amp;$D1324)</f>
        <v/>
      </c>
      <c r="W1324">
        <f>IF($T1324="","",IF($X1324&gt;N($X1323),$X1324,""))</f>
        <v/>
      </c>
      <c r="X1324">
        <f>IF($T1324="",N($X1323),IF(MATCH($T1324,$T$6:$T$6005,0)=ROW()-5,N($X1323)+1,N($X1323)))</f>
        <v/>
      </c>
      <c r="Z1324">
        <f>IF($V1324="","",IF($AA1324&gt;N($AA1323),$AA1324,""))</f>
        <v/>
      </c>
      <c r="AA1324">
        <f>IF($V1324="",N($AA1323),IF(MATCH($V1324,$V$6:$V$6005,0)=ROW()-5,N($AA1323)+1,N($AA1323)))</f>
        <v/>
      </c>
    </row>
    <row r="1325" ht="21" customHeight="1" s="66">
      <c r="A1325" s="56" t="n"/>
      <c r="B1325" s="57" t="n"/>
      <c r="C1325" s="57" t="n"/>
      <c r="D1325" s="57" t="n"/>
      <c r="E1325" s="56" t="n"/>
      <c r="F1325" s="57" t="n"/>
      <c r="G1325" s="57" t="n"/>
      <c r="H1325" s="56" t="n"/>
      <c r="I1325" s="56" t="n"/>
      <c r="J1325" s="58" t="n"/>
      <c r="K1325" s="58" t="n"/>
      <c r="L1325" s="13">
        <f>IF(OR($A1325="",AND($J1325="",$K1325="")),"",ROUND(N($J1325)-N($K1325),2))</f>
        <v/>
      </c>
      <c r="M1325" s="13">
        <f>IF(OR($A1325="",AND($J1325="",$K1325="")),"",MIN($J1325,$K1325))</f>
        <v/>
      </c>
      <c r="Q1325">
        <f>IF($A1325="","",$D1325&amp;"("&amp;SUBSTITUTE($E1325," ","")&amp;")")</f>
        <v/>
      </c>
      <c r="R1325">
        <f>IF($A1325="","",$B1325&amp;" - "&amp;$C1325)</f>
        <v/>
      </c>
      <c r="S1325">
        <f>IF($A1325="","",$R1325&amp;"|"&amp;$Q1325)</f>
        <v/>
      </c>
      <c r="T1325">
        <f>IF($A1325="","",$S1325&amp;"|"&amp;$F1325)</f>
        <v/>
      </c>
      <c r="U1325">
        <f>IF($A1325="","",$R1325&amp;"("&amp;$E1325&amp;")")</f>
        <v/>
      </c>
      <c r="V1325">
        <f>IF($A1325="","",$F1325&amp;"|"&amp;$U1325&amp;"|"&amp;$D1325)</f>
        <v/>
      </c>
      <c r="W1325">
        <f>IF($T1325="","",IF($X1325&gt;N($X1324),$X1325,""))</f>
        <v/>
      </c>
      <c r="X1325">
        <f>IF($T1325="",N($X1324),IF(MATCH($T1325,$T$6:$T$6005,0)=ROW()-5,N($X1324)+1,N($X1324)))</f>
        <v/>
      </c>
      <c r="Z1325">
        <f>IF($V1325="","",IF($AA1325&gt;N($AA1324),$AA1325,""))</f>
        <v/>
      </c>
      <c r="AA1325">
        <f>IF($V1325="",N($AA1324),IF(MATCH($V1325,$V$6:$V$6005,0)=ROW()-5,N($AA1324)+1,N($AA1324)))</f>
        <v/>
      </c>
    </row>
    <row r="1326" ht="21" customHeight="1" s="66">
      <c r="A1326" s="56" t="n"/>
      <c r="B1326" s="57" t="n"/>
      <c r="C1326" s="57" t="n"/>
      <c r="D1326" s="57" t="n"/>
      <c r="E1326" s="56" t="n"/>
      <c r="F1326" s="57" t="n"/>
      <c r="G1326" s="57" t="n"/>
      <c r="H1326" s="56" t="n"/>
      <c r="I1326" s="56" t="n"/>
      <c r="J1326" s="58" t="n"/>
      <c r="K1326" s="58" t="n"/>
      <c r="L1326" s="13">
        <f>IF(OR($A1326="",AND($J1326="",$K1326="")),"",ROUND(N($J1326)-N($K1326),2))</f>
        <v/>
      </c>
      <c r="M1326" s="13">
        <f>IF(OR($A1326="",AND($J1326="",$K1326="")),"",MIN($J1326,$K1326))</f>
        <v/>
      </c>
      <c r="Q1326">
        <f>IF($A1326="","",$D1326&amp;"("&amp;SUBSTITUTE($E1326," ","")&amp;")")</f>
        <v/>
      </c>
      <c r="R1326">
        <f>IF($A1326="","",$B1326&amp;" - "&amp;$C1326)</f>
        <v/>
      </c>
      <c r="S1326">
        <f>IF($A1326="","",$R1326&amp;"|"&amp;$Q1326)</f>
        <v/>
      </c>
      <c r="T1326">
        <f>IF($A1326="","",$S1326&amp;"|"&amp;$F1326)</f>
        <v/>
      </c>
      <c r="U1326">
        <f>IF($A1326="","",$R1326&amp;"("&amp;$E1326&amp;")")</f>
        <v/>
      </c>
      <c r="V1326">
        <f>IF($A1326="","",$F1326&amp;"|"&amp;$U1326&amp;"|"&amp;$D1326)</f>
        <v/>
      </c>
      <c r="W1326">
        <f>IF($T1326="","",IF($X1326&gt;N($X1325),$X1326,""))</f>
        <v/>
      </c>
      <c r="X1326">
        <f>IF($T1326="",N($X1325),IF(MATCH($T1326,$T$6:$T$6005,0)=ROW()-5,N($X1325)+1,N($X1325)))</f>
        <v/>
      </c>
      <c r="Z1326">
        <f>IF($V1326="","",IF($AA1326&gt;N($AA1325),$AA1326,""))</f>
        <v/>
      </c>
      <c r="AA1326">
        <f>IF($V1326="",N($AA1325),IF(MATCH($V1326,$V$6:$V$6005,0)=ROW()-5,N($AA1325)+1,N($AA1325)))</f>
        <v/>
      </c>
    </row>
    <row r="1327" ht="21" customHeight="1" s="66">
      <c r="A1327" s="56" t="n"/>
      <c r="B1327" s="57" t="n"/>
      <c r="C1327" s="57" t="n"/>
      <c r="D1327" s="57" t="n"/>
      <c r="E1327" s="56" t="n"/>
      <c r="F1327" s="57" t="n"/>
      <c r="G1327" s="57" t="n"/>
      <c r="H1327" s="56" t="n"/>
      <c r="I1327" s="56" t="n"/>
      <c r="J1327" s="58" t="n"/>
      <c r="K1327" s="58" t="n"/>
      <c r="L1327" s="13">
        <f>IF(OR($A1327="",AND($J1327="",$K1327="")),"",ROUND(N($J1327)-N($K1327),2))</f>
        <v/>
      </c>
      <c r="M1327" s="13">
        <f>IF(OR($A1327="",AND($J1327="",$K1327="")),"",MIN($J1327,$K1327))</f>
        <v/>
      </c>
      <c r="Q1327">
        <f>IF($A1327="","",$D1327&amp;"("&amp;SUBSTITUTE($E1327," ","")&amp;")")</f>
        <v/>
      </c>
      <c r="R1327">
        <f>IF($A1327="","",$B1327&amp;" - "&amp;$C1327)</f>
        <v/>
      </c>
      <c r="S1327">
        <f>IF($A1327="","",$R1327&amp;"|"&amp;$Q1327)</f>
        <v/>
      </c>
      <c r="T1327">
        <f>IF($A1327="","",$S1327&amp;"|"&amp;$F1327)</f>
        <v/>
      </c>
      <c r="U1327">
        <f>IF($A1327="","",$R1327&amp;"("&amp;$E1327&amp;")")</f>
        <v/>
      </c>
      <c r="V1327">
        <f>IF($A1327="","",$F1327&amp;"|"&amp;$U1327&amp;"|"&amp;$D1327)</f>
        <v/>
      </c>
      <c r="W1327">
        <f>IF($T1327="","",IF($X1327&gt;N($X1326),$X1327,""))</f>
        <v/>
      </c>
      <c r="X1327">
        <f>IF($T1327="",N($X1326),IF(MATCH($T1327,$T$6:$T$6005,0)=ROW()-5,N($X1326)+1,N($X1326)))</f>
        <v/>
      </c>
      <c r="Z1327">
        <f>IF($V1327="","",IF($AA1327&gt;N($AA1326),$AA1327,""))</f>
        <v/>
      </c>
      <c r="AA1327">
        <f>IF($V1327="",N($AA1326),IF(MATCH($V1327,$V$6:$V$6005,0)=ROW()-5,N($AA1326)+1,N($AA1326)))</f>
        <v/>
      </c>
    </row>
    <row r="1328" ht="21" customHeight="1" s="66">
      <c r="A1328" s="56" t="n"/>
      <c r="B1328" s="57" t="n"/>
      <c r="C1328" s="57" t="n"/>
      <c r="D1328" s="57" t="n"/>
      <c r="E1328" s="56" t="n"/>
      <c r="F1328" s="57" t="n"/>
      <c r="G1328" s="57" t="n"/>
      <c r="H1328" s="56" t="n"/>
      <c r="I1328" s="56" t="n"/>
      <c r="J1328" s="58" t="n"/>
      <c r="K1328" s="58" t="n"/>
      <c r="L1328" s="13">
        <f>IF(OR($A1328="",AND($J1328="",$K1328="")),"",ROUND(N($J1328)-N($K1328),2))</f>
        <v/>
      </c>
      <c r="M1328" s="13">
        <f>IF(OR($A1328="",AND($J1328="",$K1328="")),"",MIN($J1328,$K1328))</f>
        <v/>
      </c>
      <c r="Q1328">
        <f>IF($A1328="","",$D1328&amp;"("&amp;SUBSTITUTE($E1328," ","")&amp;")")</f>
        <v/>
      </c>
      <c r="R1328">
        <f>IF($A1328="","",$B1328&amp;" - "&amp;$C1328)</f>
        <v/>
      </c>
      <c r="S1328">
        <f>IF($A1328="","",$R1328&amp;"|"&amp;$Q1328)</f>
        <v/>
      </c>
      <c r="T1328">
        <f>IF($A1328="","",$S1328&amp;"|"&amp;$F1328)</f>
        <v/>
      </c>
      <c r="U1328">
        <f>IF($A1328="","",$R1328&amp;"("&amp;$E1328&amp;")")</f>
        <v/>
      </c>
      <c r="V1328">
        <f>IF($A1328="","",$F1328&amp;"|"&amp;$U1328&amp;"|"&amp;$D1328)</f>
        <v/>
      </c>
      <c r="W1328">
        <f>IF($T1328="","",IF($X1328&gt;N($X1327),$X1328,""))</f>
        <v/>
      </c>
      <c r="X1328">
        <f>IF($T1328="",N($X1327),IF(MATCH($T1328,$T$6:$T$6005,0)=ROW()-5,N($X1327)+1,N($X1327)))</f>
        <v/>
      </c>
      <c r="Z1328">
        <f>IF($V1328="","",IF($AA1328&gt;N($AA1327),$AA1328,""))</f>
        <v/>
      </c>
      <c r="AA1328">
        <f>IF($V1328="",N($AA1327),IF(MATCH($V1328,$V$6:$V$6005,0)=ROW()-5,N($AA1327)+1,N($AA1327)))</f>
        <v/>
      </c>
    </row>
    <row r="1329" ht="21" customHeight="1" s="66">
      <c r="A1329" s="56" t="n"/>
      <c r="B1329" s="57" t="n"/>
      <c r="C1329" s="57" t="n"/>
      <c r="D1329" s="57" t="n"/>
      <c r="E1329" s="56" t="n"/>
      <c r="F1329" s="57" t="n"/>
      <c r="G1329" s="57" t="n"/>
      <c r="H1329" s="56" t="n"/>
      <c r="I1329" s="56" t="n"/>
      <c r="J1329" s="58" t="n"/>
      <c r="K1329" s="58" t="n"/>
      <c r="L1329" s="13">
        <f>IF(OR($A1329="",AND($J1329="",$K1329="")),"",ROUND(N($J1329)-N($K1329),2))</f>
        <v/>
      </c>
      <c r="M1329" s="13">
        <f>IF(OR($A1329="",AND($J1329="",$K1329="")),"",MIN($J1329,$K1329))</f>
        <v/>
      </c>
      <c r="Q1329">
        <f>IF($A1329="","",$D1329&amp;"("&amp;SUBSTITUTE($E1329," ","")&amp;")")</f>
        <v/>
      </c>
      <c r="R1329">
        <f>IF($A1329="","",$B1329&amp;" - "&amp;$C1329)</f>
        <v/>
      </c>
      <c r="S1329">
        <f>IF($A1329="","",$R1329&amp;"|"&amp;$Q1329)</f>
        <v/>
      </c>
      <c r="T1329">
        <f>IF($A1329="","",$S1329&amp;"|"&amp;$F1329)</f>
        <v/>
      </c>
      <c r="U1329">
        <f>IF($A1329="","",$R1329&amp;"("&amp;$E1329&amp;")")</f>
        <v/>
      </c>
      <c r="V1329">
        <f>IF($A1329="","",$F1329&amp;"|"&amp;$U1329&amp;"|"&amp;$D1329)</f>
        <v/>
      </c>
      <c r="W1329">
        <f>IF($T1329="","",IF($X1329&gt;N($X1328),$X1329,""))</f>
        <v/>
      </c>
      <c r="X1329">
        <f>IF($T1329="",N($X1328),IF(MATCH($T1329,$T$6:$T$6005,0)=ROW()-5,N($X1328)+1,N($X1328)))</f>
        <v/>
      </c>
      <c r="Z1329">
        <f>IF($V1329="","",IF($AA1329&gt;N($AA1328),$AA1329,""))</f>
        <v/>
      </c>
      <c r="AA1329">
        <f>IF($V1329="",N($AA1328),IF(MATCH($V1329,$V$6:$V$6005,0)=ROW()-5,N($AA1328)+1,N($AA1328)))</f>
        <v/>
      </c>
    </row>
    <row r="1330" ht="21" customHeight="1" s="66">
      <c r="A1330" s="56" t="n"/>
      <c r="B1330" s="57" t="n"/>
      <c r="C1330" s="57" t="n"/>
      <c r="D1330" s="57" t="n"/>
      <c r="E1330" s="56" t="n"/>
      <c r="F1330" s="57" t="n"/>
      <c r="G1330" s="57" t="n"/>
      <c r="H1330" s="56" t="n"/>
      <c r="I1330" s="56" t="n"/>
      <c r="J1330" s="58" t="n"/>
      <c r="K1330" s="58" t="n"/>
      <c r="L1330" s="13">
        <f>IF(OR($A1330="",AND($J1330="",$K1330="")),"",ROUND(N($J1330)-N($K1330),2))</f>
        <v/>
      </c>
      <c r="M1330" s="13">
        <f>IF(OR($A1330="",AND($J1330="",$K1330="")),"",MIN($J1330,$K1330))</f>
        <v/>
      </c>
      <c r="Q1330">
        <f>IF($A1330="","",$D1330&amp;"("&amp;SUBSTITUTE($E1330," ","")&amp;")")</f>
        <v/>
      </c>
      <c r="R1330">
        <f>IF($A1330="","",$B1330&amp;" - "&amp;$C1330)</f>
        <v/>
      </c>
      <c r="S1330">
        <f>IF($A1330="","",$R1330&amp;"|"&amp;$Q1330)</f>
        <v/>
      </c>
      <c r="T1330">
        <f>IF($A1330="","",$S1330&amp;"|"&amp;$F1330)</f>
        <v/>
      </c>
      <c r="U1330">
        <f>IF($A1330="","",$R1330&amp;"("&amp;$E1330&amp;")")</f>
        <v/>
      </c>
      <c r="V1330">
        <f>IF($A1330="","",$F1330&amp;"|"&amp;$U1330&amp;"|"&amp;$D1330)</f>
        <v/>
      </c>
      <c r="W1330">
        <f>IF($T1330="","",IF($X1330&gt;N($X1329),$X1330,""))</f>
        <v/>
      </c>
      <c r="X1330">
        <f>IF($T1330="",N($X1329),IF(MATCH($T1330,$T$6:$T$6005,0)=ROW()-5,N($X1329)+1,N($X1329)))</f>
        <v/>
      </c>
      <c r="Z1330">
        <f>IF($V1330="","",IF($AA1330&gt;N($AA1329),$AA1330,""))</f>
        <v/>
      </c>
      <c r="AA1330">
        <f>IF($V1330="",N($AA1329),IF(MATCH($V1330,$V$6:$V$6005,0)=ROW()-5,N($AA1329)+1,N($AA1329)))</f>
        <v/>
      </c>
    </row>
    <row r="1331" ht="21" customHeight="1" s="66">
      <c r="A1331" s="56" t="n"/>
      <c r="B1331" s="57" t="n"/>
      <c r="C1331" s="57" t="n"/>
      <c r="D1331" s="57" t="n"/>
      <c r="E1331" s="56" t="n"/>
      <c r="F1331" s="57" t="n"/>
      <c r="G1331" s="57" t="n"/>
      <c r="H1331" s="56" t="n"/>
      <c r="I1331" s="56" t="n"/>
      <c r="J1331" s="58" t="n"/>
      <c r="K1331" s="58" t="n"/>
      <c r="L1331" s="13">
        <f>IF(OR($A1331="",AND($J1331="",$K1331="")),"",ROUND(N($J1331)-N($K1331),2))</f>
        <v/>
      </c>
      <c r="M1331" s="13">
        <f>IF(OR($A1331="",AND($J1331="",$K1331="")),"",MIN($J1331,$K1331))</f>
        <v/>
      </c>
      <c r="Q1331">
        <f>IF($A1331="","",$D1331&amp;"("&amp;SUBSTITUTE($E1331," ","")&amp;")")</f>
        <v/>
      </c>
      <c r="R1331">
        <f>IF($A1331="","",$B1331&amp;" - "&amp;$C1331)</f>
        <v/>
      </c>
      <c r="S1331">
        <f>IF($A1331="","",$R1331&amp;"|"&amp;$Q1331)</f>
        <v/>
      </c>
      <c r="T1331">
        <f>IF($A1331="","",$S1331&amp;"|"&amp;$F1331)</f>
        <v/>
      </c>
      <c r="U1331">
        <f>IF($A1331="","",$R1331&amp;"("&amp;$E1331&amp;")")</f>
        <v/>
      </c>
      <c r="V1331">
        <f>IF($A1331="","",$F1331&amp;"|"&amp;$U1331&amp;"|"&amp;$D1331)</f>
        <v/>
      </c>
      <c r="W1331">
        <f>IF($T1331="","",IF($X1331&gt;N($X1330),$X1331,""))</f>
        <v/>
      </c>
      <c r="X1331">
        <f>IF($T1331="",N($X1330),IF(MATCH($T1331,$T$6:$T$6005,0)=ROW()-5,N($X1330)+1,N($X1330)))</f>
        <v/>
      </c>
      <c r="Z1331">
        <f>IF($V1331="","",IF($AA1331&gt;N($AA1330),$AA1331,""))</f>
        <v/>
      </c>
      <c r="AA1331">
        <f>IF($V1331="",N($AA1330),IF(MATCH($V1331,$V$6:$V$6005,0)=ROW()-5,N($AA1330)+1,N($AA1330)))</f>
        <v/>
      </c>
    </row>
    <row r="1332" ht="21" customHeight="1" s="66">
      <c r="A1332" s="56" t="n"/>
      <c r="B1332" s="57" t="n"/>
      <c r="C1332" s="57" t="n"/>
      <c r="D1332" s="57" t="n"/>
      <c r="E1332" s="56" t="n"/>
      <c r="F1332" s="57" t="n"/>
      <c r="G1332" s="57" t="n"/>
      <c r="H1332" s="56" t="n"/>
      <c r="I1332" s="56" t="n"/>
      <c r="J1332" s="58" t="n"/>
      <c r="K1332" s="58" t="n"/>
      <c r="L1332" s="13">
        <f>IF(OR($A1332="",AND($J1332="",$K1332="")),"",ROUND(N($J1332)-N($K1332),2))</f>
        <v/>
      </c>
      <c r="M1332" s="13">
        <f>IF(OR($A1332="",AND($J1332="",$K1332="")),"",MIN($J1332,$K1332))</f>
        <v/>
      </c>
      <c r="Q1332">
        <f>IF($A1332="","",$D1332&amp;"("&amp;SUBSTITUTE($E1332," ","")&amp;")")</f>
        <v/>
      </c>
      <c r="R1332">
        <f>IF($A1332="","",$B1332&amp;" - "&amp;$C1332)</f>
        <v/>
      </c>
      <c r="S1332">
        <f>IF($A1332="","",$R1332&amp;"|"&amp;$Q1332)</f>
        <v/>
      </c>
      <c r="T1332">
        <f>IF($A1332="","",$S1332&amp;"|"&amp;$F1332)</f>
        <v/>
      </c>
      <c r="U1332">
        <f>IF($A1332="","",$R1332&amp;"("&amp;$E1332&amp;")")</f>
        <v/>
      </c>
      <c r="V1332">
        <f>IF($A1332="","",$F1332&amp;"|"&amp;$U1332&amp;"|"&amp;$D1332)</f>
        <v/>
      </c>
      <c r="W1332">
        <f>IF($T1332="","",IF($X1332&gt;N($X1331),$X1332,""))</f>
        <v/>
      </c>
      <c r="X1332">
        <f>IF($T1332="",N($X1331),IF(MATCH($T1332,$T$6:$T$6005,0)=ROW()-5,N($X1331)+1,N($X1331)))</f>
        <v/>
      </c>
      <c r="Z1332">
        <f>IF($V1332="","",IF($AA1332&gt;N($AA1331),$AA1332,""))</f>
        <v/>
      </c>
      <c r="AA1332">
        <f>IF($V1332="",N($AA1331),IF(MATCH($V1332,$V$6:$V$6005,0)=ROW()-5,N($AA1331)+1,N($AA1331)))</f>
        <v/>
      </c>
    </row>
    <row r="1333" ht="21" customHeight="1" s="66">
      <c r="A1333" s="56" t="n"/>
      <c r="B1333" s="57" t="n"/>
      <c r="C1333" s="57" t="n"/>
      <c r="D1333" s="57" t="n"/>
      <c r="E1333" s="56" t="n"/>
      <c r="F1333" s="57" t="n"/>
      <c r="G1333" s="57" t="n"/>
      <c r="H1333" s="56" t="n"/>
      <c r="I1333" s="56" t="n"/>
      <c r="J1333" s="58" t="n"/>
      <c r="K1333" s="58" t="n"/>
      <c r="L1333" s="13">
        <f>IF(OR($A1333="",AND($J1333="",$K1333="")),"",ROUND(N($J1333)-N($K1333),2))</f>
        <v/>
      </c>
      <c r="M1333" s="13">
        <f>IF(OR($A1333="",AND($J1333="",$K1333="")),"",MIN($J1333,$K1333))</f>
        <v/>
      </c>
      <c r="Q1333">
        <f>IF($A1333="","",$D1333&amp;"("&amp;SUBSTITUTE($E1333," ","")&amp;")")</f>
        <v/>
      </c>
      <c r="R1333">
        <f>IF($A1333="","",$B1333&amp;" - "&amp;$C1333)</f>
        <v/>
      </c>
      <c r="S1333">
        <f>IF($A1333="","",$R1333&amp;"|"&amp;$Q1333)</f>
        <v/>
      </c>
      <c r="T1333">
        <f>IF($A1333="","",$S1333&amp;"|"&amp;$F1333)</f>
        <v/>
      </c>
      <c r="U1333">
        <f>IF($A1333="","",$R1333&amp;"("&amp;$E1333&amp;")")</f>
        <v/>
      </c>
      <c r="V1333">
        <f>IF($A1333="","",$F1333&amp;"|"&amp;$U1333&amp;"|"&amp;$D1333)</f>
        <v/>
      </c>
      <c r="W1333">
        <f>IF($T1333="","",IF($X1333&gt;N($X1332),$X1333,""))</f>
        <v/>
      </c>
      <c r="X1333">
        <f>IF($T1333="",N($X1332),IF(MATCH($T1333,$T$6:$T$6005,0)=ROW()-5,N($X1332)+1,N($X1332)))</f>
        <v/>
      </c>
      <c r="Z1333">
        <f>IF($V1333="","",IF($AA1333&gt;N($AA1332),$AA1333,""))</f>
        <v/>
      </c>
      <c r="AA1333">
        <f>IF($V1333="",N($AA1332),IF(MATCH($V1333,$V$6:$V$6005,0)=ROW()-5,N($AA1332)+1,N($AA1332)))</f>
        <v/>
      </c>
    </row>
    <row r="1334" ht="21" customHeight="1" s="66">
      <c r="A1334" s="56" t="n"/>
      <c r="B1334" s="57" t="n"/>
      <c r="C1334" s="57" t="n"/>
      <c r="D1334" s="57" t="n"/>
      <c r="E1334" s="56" t="n"/>
      <c r="F1334" s="57" t="n"/>
      <c r="G1334" s="57" t="n"/>
      <c r="H1334" s="56" t="n"/>
      <c r="I1334" s="56" t="n"/>
      <c r="J1334" s="58" t="n"/>
      <c r="K1334" s="58" t="n"/>
      <c r="L1334" s="13">
        <f>IF(OR($A1334="",AND($J1334="",$K1334="")),"",ROUND(N($J1334)-N($K1334),2))</f>
        <v/>
      </c>
      <c r="M1334" s="13">
        <f>IF(OR($A1334="",AND($J1334="",$K1334="")),"",MIN($J1334,$K1334))</f>
        <v/>
      </c>
      <c r="Q1334">
        <f>IF($A1334="","",$D1334&amp;"("&amp;SUBSTITUTE($E1334," ","")&amp;")")</f>
        <v/>
      </c>
      <c r="R1334">
        <f>IF($A1334="","",$B1334&amp;" - "&amp;$C1334)</f>
        <v/>
      </c>
      <c r="S1334">
        <f>IF($A1334="","",$R1334&amp;"|"&amp;$Q1334)</f>
        <v/>
      </c>
      <c r="T1334">
        <f>IF($A1334="","",$S1334&amp;"|"&amp;$F1334)</f>
        <v/>
      </c>
      <c r="U1334">
        <f>IF($A1334="","",$R1334&amp;"("&amp;$E1334&amp;")")</f>
        <v/>
      </c>
      <c r="V1334">
        <f>IF($A1334="","",$F1334&amp;"|"&amp;$U1334&amp;"|"&amp;$D1334)</f>
        <v/>
      </c>
      <c r="W1334">
        <f>IF($T1334="","",IF($X1334&gt;N($X1333),$X1334,""))</f>
        <v/>
      </c>
      <c r="X1334">
        <f>IF($T1334="",N($X1333),IF(MATCH($T1334,$T$6:$T$6005,0)=ROW()-5,N($X1333)+1,N($X1333)))</f>
        <v/>
      </c>
      <c r="Z1334">
        <f>IF($V1334="","",IF($AA1334&gt;N($AA1333),$AA1334,""))</f>
        <v/>
      </c>
      <c r="AA1334">
        <f>IF($V1334="",N($AA1333),IF(MATCH($V1334,$V$6:$V$6005,0)=ROW()-5,N($AA1333)+1,N($AA1333)))</f>
        <v/>
      </c>
    </row>
    <row r="1335" ht="21" customHeight="1" s="66">
      <c r="A1335" s="56" t="n"/>
      <c r="B1335" s="57" t="n"/>
      <c r="C1335" s="57" t="n"/>
      <c r="D1335" s="57" t="n"/>
      <c r="E1335" s="56" t="n"/>
      <c r="F1335" s="57" t="n"/>
      <c r="G1335" s="57" t="n"/>
      <c r="H1335" s="56" t="n"/>
      <c r="I1335" s="56" t="n"/>
      <c r="J1335" s="58" t="n"/>
      <c r="K1335" s="58" t="n"/>
      <c r="L1335" s="13">
        <f>IF(OR($A1335="",AND($J1335="",$K1335="")),"",ROUND(N($J1335)-N($K1335),2))</f>
        <v/>
      </c>
      <c r="M1335" s="13">
        <f>IF(OR($A1335="",AND($J1335="",$K1335="")),"",MIN($J1335,$K1335))</f>
        <v/>
      </c>
      <c r="Q1335">
        <f>IF($A1335="","",$D1335&amp;"("&amp;SUBSTITUTE($E1335," ","")&amp;")")</f>
        <v/>
      </c>
      <c r="R1335">
        <f>IF($A1335="","",$B1335&amp;" - "&amp;$C1335)</f>
        <v/>
      </c>
      <c r="S1335">
        <f>IF($A1335="","",$R1335&amp;"|"&amp;$Q1335)</f>
        <v/>
      </c>
      <c r="T1335">
        <f>IF($A1335="","",$S1335&amp;"|"&amp;$F1335)</f>
        <v/>
      </c>
      <c r="U1335">
        <f>IF($A1335="","",$R1335&amp;"("&amp;$E1335&amp;")")</f>
        <v/>
      </c>
      <c r="V1335">
        <f>IF($A1335="","",$F1335&amp;"|"&amp;$U1335&amp;"|"&amp;$D1335)</f>
        <v/>
      </c>
      <c r="W1335">
        <f>IF($T1335="","",IF($X1335&gt;N($X1334),$X1335,""))</f>
        <v/>
      </c>
      <c r="X1335">
        <f>IF($T1335="",N($X1334),IF(MATCH($T1335,$T$6:$T$6005,0)=ROW()-5,N($X1334)+1,N($X1334)))</f>
        <v/>
      </c>
      <c r="Z1335">
        <f>IF($V1335="","",IF($AA1335&gt;N($AA1334),$AA1335,""))</f>
        <v/>
      </c>
      <c r="AA1335">
        <f>IF($V1335="",N($AA1334),IF(MATCH($V1335,$V$6:$V$6005,0)=ROW()-5,N($AA1334)+1,N($AA1334)))</f>
        <v/>
      </c>
    </row>
    <row r="1336" ht="21" customHeight="1" s="66">
      <c r="A1336" s="56" t="n"/>
      <c r="B1336" s="57" t="n"/>
      <c r="C1336" s="57" t="n"/>
      <c r="D1336" s="57" t="n"/>
      <c r="E1336" s="56" t="n"/>
      <c r="F1336" s="57" t="n"/>
      <c r="G1336" s="57" t="n"/>
      <c r="H1336" s="56" t="n"/>
      <c r="I1336" s="56" t="n"/>
      <c r="J1336" s="58" t="n"/>
      <c r="K1336" s="58" t="n"/>
      <c r="L1336" s="13">
        <f>IF(OR($A1336="",AND($J1336="",$K1336="")),"",ROUND(N($J1336)-N($K1336),2))</f>
        <v/>
      </c>
      <c r="M1336" s="13">
        <f>IF(OR($A1336="",AND($J1336="",$K1336="")),"",MIN($J1336,$K1336))</f>
        <v/>
      </c>
      <c r="Q1336">
        <f>IF($A1336="","",$D1336&amp;"("&amp;SUBSTITUTE($E1336," ","")&amp;")")</f>
        <v/>
      </c>
      <c r="R1336">
        <f>IF($A1336="","",$B1336&amp;" - "&amp;$C1336)</f>
        <v/>
      </c>
      <c r="S1336">
        <f>IF($A1336="","",$R1336&amp;"|"&amp;$Q1336)</f>
        <v/>
      </c>
      <c r="T1336">
        <f>IF($A1336="","",$S1336&amp;"|"&amp;$F1336)</f>
        <v/>
      </c>
      <c r="U1336">
        <f>IF($A1336="","",$R1336&amp;"("&amp;$E1336&amp;")")</f>
        <v/>
      </c>
      <c r="V1336">
        <f>IF($A1336="","",$F1336&amp;"|"&amp;$U1336&amp;"|"&amp;$D1336)</f>
        <v/>
      </c>
      <c r="W1336">
        <f>IF($T1336="","",IF($X1336&gt;N($X1335),$X1336,""))</f>
        <v/>
      </c>
      <c r="X1336">
        <f>IF($T1336="",N($X1335),IF(MATCH($T1336,$T$6:$T$6005,0)=ROW()-5,N($X1335)+1,N($X1335)))</f>
        <v/>
      </c>
      <c r="Z1336">
        <f>IF($V1336="","",IF($AA1336&gt;N($AA1335),$AA1336,""))</f>
        <v/>
      </c>
      <c r="AA1336">
        <f>IF($V1336="",N($AA1335),IF(MATCH($V1336,$V$6:$V$6005,0)=ROW()-5,N($AA1335)+1,N($AA1335)))</f>
        <v/>
      </c>
    </row>
    <row r="1337" ht="21" customHeight="1" s="66">
      <c r="A1337" s="56" t="n"/>
      <c r="B1337" s="57" t="n"/>
      <c r="C1337" s="57" t="n"/>
      <c r="D1337" s="57" t="n"/>
      <c r="E1337" s="56" t="n"/>
      <c r="F1337" s="57" t="n"/>
      <c r="G1337" s="57" t="n"/>
      <c r="H1337" s="56" t="n"/>
      <c r="I1337" s="56" t="n"/>
      <c r="J1337" s="58" t="n"/>
      <c r="K1337" s="58" t="n"/>
      <c r="L1337" s="13">
        <f>IF(OR($A1337="",AND($J1337="",$K1337="")),"",ROUND(N($J1337)-N($K1337),2))</f>
        <v/>
      </c>
      <c r="M1337" s="13">
        <f>IF(OR($A1337="",AND($J1337="",$K1337="")),"",MIN($J1337,$K1337))</f>
        <v/>
      </c>
      <c r="Q1337">
        <f>IF($A1337="","",$D1337&amp;"("&amp;SUBSTITUTE($E1337," ","")&amp;")")</f>
        <v/>
      </c>
      <c r="R1337">
        <f>IF($A1337="","",$B1337&amp;" - "&amp;$C1337)</f>
        <v/>
      </c>
      <c r="S1337">
        <f>IF($A1337="","",$R1337&amp;"|"&amp;$Q1337)</f>
        <v/>
      </c>
      <c r="T1337">
        <f>IF($A1337="","",$S1337&amp;"|"&amp;$F1337)</f>
        <v/>
      </c>
      <c r="U1337">
        <f>IF($A1337="","",$R1337&amp;"("&amp;$E1337&amp;")")</f>
        <v/>
      </c>
      <c r="V1337">
        <f>IF($A1337="","",$F1337&amp;"|"&amp;$U1337&amp;"|"&amp;$D1337)</f>
        <v/>
      </c>
      <c r="W1337">
        <f>IF($T1337="","",IF($X1337&gt;N($X1336),$X1337,""))</f>
        <v/>
      </c>
      <c r="X1337">
        <f>IF($T1337="",N($X1336),IF(MATCH($T1337,$T$6:$T$6005,0)=ROW()-5,N($X1336)+1,N($X1336)))</f>
        <v/>
      </c>
      <c r="Z1337">
        <f>IF($V1337="","",IF($AA1337&gt;N($AA1336),$AA1337,""))</f>
        <v/>
      </c>
      <c r="AA1337">
        <f>IF($V1337="",N($AA1336),IF(MATCH($V1337,$V$6:$V$6005,0)=ROW()-5,N($AA1336)+1,N($AA1336)))</f>
        <v/>
      </c>
    </row>
    <row r="1338" ht="21" customHeight="1" s="66">
      <c r="A1338" s="56" t="n"/>
      <c r="B1338" s="57" t="n"/>
      <c r="C1338" s="57" t="n"/>
      <c r="D1338" s="57" t="n"/>
      <c r="E1338" s="56" t="n"/>
      <c r="F1338" s="57" t="n"/>
      <c r="G1338" s="57" t="n"/>
      <c r="H1338" s="56" t="n"/>
      <c r="I1338" s="56" t="n"/>
      <c r="J1338" s="58" t="n"/>
      <c r="K1338" s="58" t="n"/>
      <c r="L1338" s="13">
        <f>IF(OR($A1338="",AND($J1338="",$K1338="")),"",ROUND(N($J1338)-N($K1338),2))</f>
        <v/>
      </c>
      <c r="M1338" s="13">
        <f>IF(OR($A1338="",AND($J1338="",$K1338="")),"",MIN($J1338,$K1338))</f>
        <v/>
      </c>
      <c r="Q1338">
        <f>IF($A1338="","",$D1338&amp;"("&amp;SUBSTITUTE($E1338," ","")&amp;")")</f>
        <v/>
      </c>
      <c r="R1338">
        <f>IF($A1338="","",$B1338&amp;" - "&amp;$C1338)</f>
        <v/>
      </c>
      <c r="S1338">
        <f>IF($A1338="","",$R1338&amp;"|"&amp;$Q1338)</f>
        <v/>
      </c>
      <c r="T1338">
        <f>IF($A1338="","",$S1338&amp;"|"&amp;$F1338)</f>
        <v/>
      </c>
      <c r="U1338">
        <f>IF($A1338="","",$R1338&amp;"("&amp;$E1338&amp;")")</f>
        <v/>
      </c>
      <c r="V1338">
        <f>IF($A1338="","",$F1338&amp;"|"&amp;$U1338&amp;"|"&amp;$D1338)</f>
        <v/>
      </c>
      <c r="W1338">
        <f>IF($T1338="","",IF($X1338&gt;N($X1337),$X1338,""))</f>
        <v/>
      </c>
      <c r="X1338">
        <f>IF($T1338="",N($X1337),IF(MATCH($T1338,$T$6:$T$6005,0)=ROW()-5,N($X1337)+1,N($X1337)))</f>
        <v/>
      </c>
      <c r="Z1338">
        <f>IF($V1338="","",IF($AA1338&gt;N($AA1337),$AA1338,""))</f>
        <v/>
      </c>
      <c r="AA1338">
        <f>IF($V1338="",N($AA1337),IF(MATCH($V1338,$V$6:$V$6005,0)=ROW()-5,N($AA1337)+1,N($AA1337)))</f>
        <v/>
      </c>
    </row>
    <row r="1339" ht="21" customHeight="1" s="66">
      <c r="A1339" s="56" t="n"/>
      <c r="B1339" s="57" t="n"/>
      <c r="C1339" s="57" t="n"/>
      <c r="D1339" s="57" t="n"/>
      <c r="E1339" s="56" t="n"/>
      <c r="F1339" s="57" t="n"/>
      <c r="G1339" s="57" t="n"/>
      <c r="H1339" s="56" t="n"/>
      <c r="I1339" s="56" t="n"/>
      <c r="J1339" s="58" t="n"/>
      <c r="K1339" s="58" t="n"/>
      <c r="L1339" s="13">
        <f>IF(OR($A1339="",AND($J1339="",$K1339="")),"",ROUND(N($J1339)-N($K1339),2))</f>
        <v/>
      </c>
      <c r="M1339" s="13">
        <f>IF(OR($A1339="",AND($J1339="",$K1339="")),"",MIN($J1339,$K1339))</f>
        <v/>
      </c>
      <c r="Q1339">
        <f>IF($A1339="","",$D1339&amp;"("&amp;SUBSTITUTE($E1339," ","")&amp;")")</f>
        <v/>
      </c>
      <c r="R1339">
        <f>IF($A1339="","",$B1339&amp;" - "&amp;$C1339)</f>
        <v/>
      </c>
      <c r="S1339">
        <f>IF($A1339="","",$R1339&amp;"|"&amp;$Q1339)</f>
        <v/>
      </c>
      <c r="T1339">
        <f>IF($A1339="","",$S1339&amp;"|"&amp;$F1339)</f>
        <v/>
      </c>
      <c r="U1339">
        <f>IF($A1339="","",$R1339&amp;"("&amp;$E1339&amp;")")</f>
        <v/>
      </c>
      <c r="V1339">
        <f>IF($A1339="","",$F1339&amp;"|"&amp;$U1339&amp;"|"&amp;$D1339)</f>
        <v/>
      </c>
      <c r="W1339">
        <f>IF($T1339="","",IF($X1339&gt;N($X1338),$X1339,""))</f>
        <v/>
      </c>
      <c r="X1339">
        <f>IF($T1339="",N($X1338),IF(MATCH($T1339,$T$6:$T$6005,0)=ROW()-5,N($X1338)+1,N($X1338)))</f>
        <v/>
      </c>
      <c r="Z1339">
        <f>IF($V1339="","",IF($AA1339&gt;N($AA1338),$AA1339,""))</f>
        <v/>
      </c>
      <c r="AA1339">
        <f>IF($V1339="",N($AA1338),IF(MATCH($V1339,$V$6:$V$6005,0)=ROW()-5,N($AA1338)+1,N($AA1338)))</f>
        <v/>
      </c>
    </row>
    <row r="1340" ht="21" customHeight="1" s="66">
      <c r="A1340" s="56" t="n"/>
      <c r="B1340" s="57" t="n"/>
      <c r="C1340" s="57" t="n"/>
      <c r="D1340" s="57" t="n"/>
      <c r="E1340" s="56" t="n"/>
      <c r="F1340" s="57" t="n"/>
      <c r="G1340" s="57" t="n"/>
      <c r="H1340" s="56" t="n"/>
      <c r="I1340" s="56" t="n"/>
      <c r="J1340" s="58" t="n"/>
      <c r="K1340" s="58" t="n"/>
      <c r="L1340" s="13">
        <f>IF(OR($A1340="",AND($J1340="",$K1340="")),"",ROUND(N($J1340)-N($K1340),2))</f>
        <v/>
      </c>
      <c r="M1340" s="13">
        <f>IF(OR($A1340="",AND($J1340="",$K1340="")),"",MIN($J1340,$K1340))</f>
        <v/>
      </c>
      <c r="Q1340">
        <f>IF($A1340="","",$D1340&amp;"("&amp;SUBSTITUTE($E1340," ","")&amp;")")</f>
        <v/>
      </c>
      <c r="R1340">
        <f>IF($A1340="","",$B1340&amp;" - "&amp;$C1340)</f>
        <v/>
      </c>
      <c r="S1340">
        <f>IF($A1340="","",$R1340&amp;"|"&amp;$Q1340)</f>
        <v/>
      </c>
      <c r="T1340">
        <f>IF($A1340="","",$S1340&amp;"|"&amp;$F1340)</f>
        <v/>
      </c>
      <c r="U1340">
        <f>IF($A1340="","",$R1340&amp;"("&amp;$E1340&amp;")")</f>
        <v/>
      </c>
      <c r="V1340">
        <f>IF($A1340="","",$F1340&amp;"|"&amp;$U1340&amp;"|"&amp;$D1340)</f>
        <v/>
      </c>
      <c r="W1340">
        <f>IF($T1340="","",IF($X1340&gt;N($X1339),$X1340,""))</f>
        <v/>
      </c>
      <c r="X1340">
        <f>IF($T1340="",N($X1339),IF(MATCH($T1340,$T$6:$T$6005,0)=ROW()-5,N($X1339)+1,N($X1339)))</f>
        <v/>
      </c>
      <c r="Z1340">
        <f>IF($V1340="","",IF($AA1340&gt;N($AA1339),$AA1340,""))</f>
        <v/>
      </c>
      <c r="AA1340">
        <f>IF($V1340="",N($AA1339),IF(MATCH($V1340,$V$6:$V$6005,0)=ROW()-5,N($AA1339)+1,N($AA1339)))</f>
        <v/>
      </c>
    </row>
    <row r="1341" ht="21" customHeight="1" s="66">
      <c r="A1341" s="56" t="n"/>
      <c r="B1341" s="57" t="n"/>
      <c r="C1341" s="57" t="n"/>
      <c r="D1341" s="57" t="n"/>
      <c r="E1341" s="56" t="n"/>
      <c r="F1341" s="57" t="n"/>
      <c r="G1341" s="57" t="n"/>
      <c r="H1341" s="56" t="n"/>
      <c r="I1341" s="56" t="n"/>
      <c r="J1341" s="58" t="n"/>
      <c r="K1341" s="58" t="n"/>
      <c r="L1341" s="13">
        <f>IF(OR($A1341="",AND($J1341="",$K1341="")),"",ROUND(N($J1341)-N($K1341),2))</f>
        <v/>
      </c>
      <c r="M1341" s="13">
        <f>IF(OR($A1341="",AND($J1341="",$K1341="")),"",MIN($J1341,$K1341))</f>
        <v/>
      </c>
      <c r="Q1341">
        <f>IF($A1341="","",$D1341&amp;"("&amp;SUBSTITUTE($E1341," ","")&amp;")")</f>
        <v/>
      </c>
      <c r="R1341">
        <f>IF($A1341="","",$B1341&amp;" - "&amp;$C1341)</f>
        <v/>
      </c>
      <c r="S1341">
        <f>IF($A1341="","",$R1341&amp;"|"&amp;$Q1341)</f>
        <v/>
      </c>
      <c r="T1341">
        <f>IF($A1341="","",$S1341&amp;"|"&amp;$F1341)</f>
        <v/>
      </c>
      <c r="U1341">
        <f>IF($A1341="","",$R1341&amp;"("&amp;$E1341&amp;")")</f>
        <v/>
      </c>
      <c r="V1341">
        <f>IF($A1341="","",$F1341&amp;"|"&amp;$U1341&amp;"|"&amp;$D1341)</f>
        <v/>
      </c>
      <c r="W1341">
        <f>IF($T1341="","",IF($X1341&gt;N($X1340),$X1341,""))</f>
        <v/>
      </c>
      <c r="X1341">
        <f>IF($T1341="",N($X1340),IF(MATCH($T1341,$T$6:$T$6005,0)=ROW()-5,N($X1340)+1,N($X1340)))</f>
        <v/>
      </c>
      <c r="Z1341">
        <f>IF($V1341="","",IF($AA1341&gt;N($AA1340),$AA1341,""))</f>
        <v/>
      </c>
      <c r="AA1341">
        <f>IF($V1341="",N($AA1340),IF(MATCH($V1341,$V$6:$V$6005,0)=ROW()-5,N($AA1340)+1,N($AA1340)))</f>
        <v/>
      </c>
    </row>
    <row r="1342" ht="21" customHeight="1" s="66">
      <c r="A1342" s="56" t="n"/>
      <c r="B1342" s="57" t="n"/>
      <c r="C1342" s="57" t="n"/>
      <c r="D1342" s="57" t="n"/>
      <c r="E1342" s="56" t="n"/>
      <c r="F1342" s="57" t="n"/>
      <c r="G1342" s="57" t="n"/>
      <c r="H1342" s="56" t="n"/>
      <c r="I1342" s="56" t="n"/>
      <c r="J1342" s="58" t="n"/>
      <c r="K1342" s="58" t="n"/>
      <c r="L1342" s="13">
        <f>IF(OR($A1342="",AND($J1342="",$K1342="")),"",ROUND(N($J1342)-N($K1342),2))</f>
        <v/>
      </c>
      <c r="M1342" s="13">
        <f>IF(OR($A1342="",AND($J1342="",$K1342="")),"",MIN($J1342,$K1342))</f>
        <v/>
      </c>
      <c r="Q1342">
        <f>IF($A1342="","",$D1342&amp;"("&amp;SUBSTITUTE($E1342," ","")&amp;")")</f>
        <v/>
      </c>
      <c r="R1342">
        <f>IF($A1342="","",$B1342&amp;" - "&amp;$C1342)</f>
        <v/>
      </c>
      <c r="S1342">
        <f>IF($A1342="","",$R1342&amp;"|"&amp;$Q1342)</f>
        <v/>
      </c>
      <c r="T1342">
        <f>IF($A1342="","",$S1342&amp;"|"&amp;$F1342)</f>
        <v/>
      </c>
      <c r="U1342">
        <f>IF($A1342="","",$R1342&amp;"("&amp;$E1342&amp;")")</f>
        <v/>
      </c>
      <c r="V1342">
        <f>IF($A1342="","",$F1342&amp;"|"&amp;$U1342&amp;"|"&amp;$D1342)</f>
        <v/>
      </c>
      <c r="W1342">
        <f>IF($T1342="","",IF($X1342&gt;N($X1341),$X1342,""))</f>
        <v/>
      </c>
      <c r="X1342">
        <f>IF($T1342="",N($X1341),IF(MATCH($T1342,$T$6:$T$6005,0)=ROW()-5,N($X1341)+1,N($X1341)))</f>
        <v/>
      </c>
      <c r="Z1342">
        <f>IF($V1342="","",IF($AA1342&gt;N($AA1341),$AA1342,""))</f>
        <v/>
      </c>
      <c r="AA1342">
        <f>IF($V1342="",N($AA1341),IF(MATCH($V1342,$V$6:$V$6005,0)=ROW()-5,N($AA1341)+1,N($AA1341)))</f>
        <v/>
      </c>
    </row>
    <row r="1343" ht="21" customHeight="1" s="66">
      <c r="A1343" s="56" t="n"/>
      <c r="B1343" s="57" t="n"/>
      <c r="C1343" s="57" t="n"/>
      <c r="D1343" s="57" t="n"/>
      <c r="E1343" s="56" t="n"/>
      <c r="F1343" s="57" t="n"/>
      <c r="G1343" s="57" t="n"/>
      <c r="H1343" s="56" t="n"/>
      <c r="I1343" s="56" t="n"/>
      <c r="J1343" s="58" t="n"/>
      <c r="K1343" s="58" t="n"/>
      <c r="L1343" s="13">
        <f>IF(OR($A1343="",AND($J1343="",$K1343="")),"",ROUND(N($J1343)-N($K1343),2))</f>
        <v/>
      </c>
      <c r="M1343" s="13">
        <f>IF(OR($A1343="",AND($J1343="",$K1343="")),"",MIN($J1343,$K1343))</f>
        <v/>
      </c>
      <c r="Q1343">
        <f>IF($A1343="","",$D1343&amp;"("&amp;SUBSTITUTE($E1343," ","")&amp;")")</f>
        <v/>
      </c>
      <c r="R1343">
        <f>IF($A1343="","",$B1343&amp;" - "&amp;$C1343)</f>
        <v/>
      </c>
      <c r="S1343">
        <f>IF($A1343="","",$R1343&amp;"|"&amp;$Q1343)</f>
        <v/>
      </c>
      <c r="T1343">
        <f>IF($A1343="","",$S1343&amp;"|"&amp;$F1343)</f>
        <v/>
      </c>
      <c r="U1343">
        <f>IF($A1343="","",$R1343&amp;"("&amp;$E1343&amp;")")</f>
        <v/>
      </c>
      <c r="V1343">
        <f>IF($A1343="","",$F1343&amp;"|"&amp;$U1343&amp;"|"&amp;$D1343)</f>
        <v/>
      </c>
      <c r="W1343">
        <f>IF($T1343="","",IF($X1343&gt;N($X1342),$X1343,""))</f>
        <v/>
      </c>
      <c r="X1343">
        <f>IF($T1343="",N($X1342),IF(MATCH($T1343,$T$6:$T$6005,0)=ROW()-5,N($X1342)+1,N($X1342)))</f>
        <v/>
      </c>
      <c r="Z1343">
        <f>IF($V1343="","",IF($AA1343&gt;N($AA1342),$AA1343,""))</f>
        <v/>
      </c>
      <c r="AA1343">
        <f>IF($V1343="",N($AA1342),IF(MATCH($V1343,$V$6:$V$6005,0)=ROW()-5,N($AA1342)+1,N($AA1342)))</f>
        <v/>
      </c>
    </row>
    <row r="1344" ht="21" customHeight="1" s="66">
      <c r="A1344" s="56" t="n"/>
      <c r="B1344" s="57" t="n"/>
      <c r="C1344" s="57" t="n"/>
      <c r="D1344" s="57" t="n"/>
      <c r="E1344" s="56" t="n"/>
      <c r="F1344" s="57" t="n"/>
      <c r="G1344" s="57" t="n"/>
      <c r="H1344" s="56" t="n"/>
      <c r="I1344" s="56" t="n"/>
      <c r="J1344" s="58" t="n"/>
      <c r="K1344" s="58" t="n"/>
      <c r="L1344" s="13">
        <f>IF(OR($A1344="",AND($J1344="",$K1344="")),"",ROUND(N($J1344)-N($K1344),2))</f>
        <v/>
      </c>
      <c r="M1344" s="13">
        <f>IF(OR($A1344="",AND($J1344="",$K1344="")),"",MIN($J1344,$K1344))</f>
        <v/>
      </c>
      <c r="Q1344">
        <f>IF($A1344="","",$D1344&amp;"("&amp;SUBSTITUTE($E1344," ","")&amp;")")</f>
        <v/>
      </c>
      <c r="R1344">
        <f>IF($A1344="","",$B1344&amp;" - "&amp;$C1344)</f>
        <v/>
      </c>
      <c r="S1344">
        <f>IF($A1344="","",$R1344&amp;"|"&amp;$Q1344)</f>
        <v/>
      </c>
      <c r="T1344">
        <f>IF($A1344="","",$S1344&amp;"|"&amp;$F1344)</f>
        <v/>
      </c>
      <c r="U1344">
        <f>IF($A1344="","",$R1344&amp;"("&amp;$E1344&amp;")")</f>
        <v/>
      </c>
      <c r="V1344">
        <f>IF($A1344="","",$F1344&amp;"|"&amp;$U1344&amp;"|"&amp;$D1344)</f>
        <v/>
      </c>
      <c r="W1344">
        <f>IF($T1344="","",IF($X1344&gt;N($X1343),$X1344,""))</f>
        <v/>
      </c>
      <c r="X1344">
        <f>IF($T1344="",N($X1343),IF(MATCH($T1344,$T$6:$T$6005,0)=ROW()-5,N($X1343)+1,N($X1343)))</f>
        <v/>
      </c>
      <c r="Z1344">
        <f>IF($V1344="","",IF($AA1344&gt;N($AA1343),$AA1344,""))</f>
        <v/>
      </c>
      <c r="AA1344">
        <f>IF($V1344="",N($AA1343),IF(MATCH($V1344,$V$6:$V$6005,0)=ROW()-5,N($AA1343)+1,N($AA1343)))</f>
        <v/>
      </c>
    </row>
    <row r="1345" ht="21" customHeight="1" s="66">
      <c r="A1345" s="56" t="n"/>
      <c r="B1345" s="57" t="n"/>
      <c r="C1345" s="57" t="n"/>
      <c r="D1345" s="57" t="n"/>
      <c r="E1345" s="56" t="n"/>
      <c r="F1345" s="57" t="n"/>
      <c r="G1345" s="57" t="n"/>
      <c r="H1345" s="56" t="n"/>
      <c r="I1345" s="56" t="n"/>
      <c r="J1345" s="58" t="n"/>
      <c r="K1345" s="58" t="n"/>
      <c r="L1345" s="13">
        <f>IF(OR($A1345="",AND($J1345="",$K1345="")),"",ROUND(N($J1345)-N($K1345),2))</f>
        <v/>
      </c>
      <c r="M1345" s="13">
        <f>IF(OR($A1345="",AND($J1345="",$K1345="")),"",MIN($J1345,$K1345))</f>
        <v/>
      </c>
      <c r="Q1345">
        <f>IF($A1345="","",$D1345&amp;"("&amp;SUBSTITUTE($E1345," ","")&amp;")")</f>
        <v/>
      </c>
      <c r="R1345">
        <f>IF($A1345="","",$B1345&amp;" - "&amp;$C1345)</f>
        <v/>
      </c>
      <c r="S1345">
        <f>IF($A1345="","",$R1345&amp;"|"&amp;$Q1345)</f>
        <v/>
      </c>
      <c r="T1345">
        <f>IF($A1345="","",$S1345&amp;"|"&amp;$F1345)</f>
        <v/>
      </c>
      <c r="U1345">
        <f>IF($A1345="","",$R1345&amp;"("&amp;$E1345&amp;")")</f>
        <v/>
      </c>
      <c r="V1345">
        <f>IF($A1345="","",$F1345&amp;"|"&amp;$U1345&amp;"|"&amp;$D1345)</f>
        <v/>
      </c>
      <c r="W1345">
        <f>IF($T1345="","",IF($X1345&gt;N($X1344),$X1345,""))</f>
        <v/>
      </c>
      <c r="X1345">
        <f>IF($T1345="",N($X1344),IF(MATCH($T1345,$T$6:$T$6005,0)=ROW()-5,N($X1344)+1,N($X1344)))</f>
        <v/>
      </c>
      <c r="Z1345">
        <f>IF($V1345="","",IF($AA1345&gt;N($AA1344),$AA1345,""))</f>
        <v/>
      </c>
      <c r="AA1345">
        <f>IF($V1345="",N($AA1344),IF(MATCH($V1345,$V$6:$V$6005,0)=ROW()-5,N($AA1344)+1,N($AA1344)))</f>
        <v/>
      </c>
    </row>
    <row r="1346" ht="21" customHeight="1" s="66">
      <c r="A1346" s="56" t="n"/>
      <c r="B1346" s="57" t="n"/>
      <c r="C1346" s="57" t="n"/>
      <c r="D1346" s="57" t="n"/>
      <c r="E1346" s="56" t="n"/>
      <c r="F1346" s="57" t="n"/>
      <c r="G1346" s="57" t="n"/>
      <c r="H1346" s="56" t="n"/>
      <c r="I1346" s="56" t="n"/>
      <c r="J1346" s="58" t="n"/>
      <c r="K1346" s="58" t="n"/>
      <c r="L1346" s="13">
        <f>IF(OR($A1346="",AND($J1346="",$K1346="")),"",ROUND(N($J1346)-N($K1346),2))</f>
        <v/>
      </c>
      <c r="M1346" s="13">
        <f>IF(OR($A1346="",AND($J1346="",$K1346="")),"",MIN($J1346,$K1346))</f>
        <v/>
      </c>
      <c r="Q1346">
        <f>IF($A1346="","",$D1346&amp;"("&amp;SUBSTITUTE($E1346," ","")&amp;")")</f>
        <v/>
      </c>
      <c r="R1346">
        <f>IF($A1346="","",$B1346&amp;" - "&amp;$C1346)</f>
        <v/>
      </c>
      <c r="S1346">
        <f>IF($A1346="","",$R1346&amp;"|"&amp;$Q1346)</f>
        <v/>
      </c>
      <c r="T1346">
        <f>IF($A1346="","",$S1346&amp;"|"&amp;$F1346)</f>
        <v/>
      </c>
      <c r="U1346">
        <f>IF($A1346="","",$R1346&amp;"("&amp;$E1346&amp;")")</f>
        <v/>
      </c>
      <c r="V1346">
        <f>IF($A1346="","",$F1346&amp;"|"&amp;$U1346&amp;"|"&amp;$D1346)</f>
        <v/>
      </c>
      <c r="W1346">
        <f>IF($T1346="","",IF($X1346&gt;N($X1345),$X1346,""))</f>
        <v/>
      </c>
      <c r="X1346">
        <f>IF($T1346="",N($X1345),IF(MATCH($T1346,$T$6:$T$6005,0)=ROW()-5,N($X1345)+1,N($X1345)))</f>
        <v/>
      </c>
      <c r="Z1346">
        <f>IF($V1346="","",IF($AA1346&gt;N($AA1345),$AA1346,""))</f>
        <v/>
      </c>
      <c r="AA1346">
        <f>IF($V1346="",N($AA1345),IF(MATCH($V1346,$V$6:$V$6005,0)=ROW()-5,N($AA1345)+1,N($AA1345)))</f>
        <v/>
      </c>
    </row>
    <row r="1347" ht="21" customHeight="1" s="66">
      <c r="A1347" s="56" t="n"/>
      <c r="B1347" s="57" t="n"/>
      <c r="C1347" s="57" t="n"/>
      <c r="D1347" s="57" t="n"/>
      <c r="E1347" s="56" t="n"/>
      <c r="F1347" s="57" t="n"/>
      <c r="G1347" s="57" t="n"/>
      <c r="H1347" s="56" t="n"/>
      <c r="I1347" s="56" t="n"/>
      <c r="J1347" s="58" t="n"/>
      <c r="K1347" s="58" t="n"/>
      <c r="L1347" s="13">
        <f>IF(OR($A1347="",AND($J1347="",$K1347="")),"",ROUND(N($J1347)-N($K1347),2))</f>
        <v/>
      </c>
      <c r="M1347" s="13">
        <f>IF(OR($A1347="",AND($J1347="",$K1347="")),"",MIN($J1347,$K1347))</f>
        <v/>
      </c>
      <c r="Q1347">
        <f>IF($A1347="","",$D1347&amp;"("&amp;SUBSTITUTE($E1347," ","")&amp;")")</f>
        <v/>
      </c>
      <c r="R1347">
        <f>IF($A1347="","",$B1347&amp;" - "&amp;$C1347)</f>
        <v/>
      </c>
      <c r="S1347">
        <f>IF($A1347="","",$R1347&amp;"|"&amp;$Q1347)</f>
        <v/>
      </c>
      <c r="T1347">
        <f>IF($A1347="","",$S1347&amp;"|"&amp;$F1347)</f>
        <v/>
      </c>
      <c r="U1347">
        <f>IF($A1347="","",$R1347&amp;"("&amp;$E1347&amp;")")</f>
        <v/>
      </c>
      <c r="V1347">
        <f>IF($A1347="","",$F1347&amp;"|"&amp;$U1347&amp;"|"&amp;$D1347)</f>
        <v/>
      </c>
      <c r="W1347">
        <f>IF($T1347="","",IF($X1347&gt;N($X1346),$X1347,""))</f>
        <v/>
      </c>
      <c r="X1347">
        <f>IF($T1347="",N($X1346),IF(MATCH($T1347,$T$6:$T$6005,0)=ROW()-5,N($X1346)+1,N($X1346)))</f>
        <v/>
      </c>
      <c r="Z1347">
        <f>IF($V1347="","",IF($AA1347&gt;N($AA1346),$AA1347,""))</f>
        <v/>
      </c>
      <c r="AA1347">
        <f>IF($V1347="",N($AA1346),IF(MATCH($V1347,$V$6:$V$6005,0)=ROW()-5,N($AA1346)+1,N($AA1346)))</f>
        <v/>
      </c>
    </row>
    <row r="1348" ht="21" customHeight="1" s="66">
      <c r="A1348" s="56" t="n"/>
      <c r="B1348" s="57" t="n"/>
      <c r="C1348" s="57" t="n"/>
      <c r="D1348" s="57" t="n"/>
      <c r="E1348" s="56" t="n"/>
      <c r="F1348" s="57" t="n"/>
      <c r="G1348" s="57" t="n"/>
      <c r="H1348" s="56" t="n"/>
      <c r="I1348" s="56" t="n"/>
      <c r="J1348" s="58" t="n"/>
      <c r="K1348" s="58" t="n"/>
      <c r="L1348" s="13">
        <f>IF(OR($A1348="",AND($J1348="",$K1348="")),"",ROUND(N($J1348)-N($K1348),2))</f>
        <v/>
      </c>
      <c r="M1348" s="13">
        <f>IF(OR($A1348="",AND($J1348="",$K1348="")),"",MIN($J1348,$K1348))</f>
        <v/>
      </c>
      <c r="Q1348">
        <f>IF($A1348="","",$D1348&amp;"("&amp;SUBSTITUTE($E1348," ","")&amp;")")</f>
        <v/>
      </c>
      <c r="R1348">
        <f>IF($A1348="","",$B1348&amp;" - "&amp;$C1348)</f>
        <v/>
      </c>
      <c r="S1348">
        <f>IF($A1348="","",$R1348&amp;"|"&amp;$Q1348)</f>
        <v/>
      </c>
      <c r="T1348">
        <f>IF($A1348="","",$S1348&amp;"|"&amp;$F1348)</f>
        <v/>
      </c>
      <c r="U1348">
        <f>IF($A1348="","",$R1348&amp;"("&amp;$E1348&amp;")")</f>
        <v/>
      </c>
      <c r="V1348">
        <f>IF($A1348="","",$F1348&amp;"|"&amp;$U1348&amp;"|"&amp;$D1348)</f>
        <v/>
      </c>
      <c r="W1348">
        <f>IF($T1348="","",IF($X1348&gt;N($X1347),$X1348,""))</f>
        <v/>
      </c>
      <c r="X1348">
        <f>IF($T1348="",N($X1347),IF(MATCH($T1348,$T$6:$T$6005,0)=ROW()-5,N($X1347)+1,N($X1347)))</f>
        <v/>
      </c>
      <c r="Z1348">
        <f>IF($V1348="","",IF($AA1348&gt;N($AA1347),$AA1348,""))</f>
        <v/>
      </c>
      <c r="AA1348">
        <f>IF($V1348="",N($AA1347),IF(MATCH($V1348,$V$6:$V$6005,0)=ROW()-5,N($AA1347)+1,N($AA1347)))</f>
        <v/>
      </c>
    </row>
    <row r="1349" ht="21" customHeight="1" s="66">
      <c r="A1349" s="56" t="n"/>
      <c r="B1349" s="57" t="n"/>
      <c r="C1349" s="57" t="n"/>
      <c r="D1349" s="57" t="n"/>
      <c r="E1349" s="56" t="n"/>
      <c r="F1349" s="57" t="n"/>
      <c r="G1349" s="57" t="n"/>
      <c r="H1349" s="56" t="n"/>
      <c r="I1349" s="56" t="n"/>
      <c r="J1349" s="58" t="n"/>
      <c r="K1349" s="58" t="n"/>
      <c r="L1349" s="13">
        <f>IF(OR($A1349="",AND($J1349="",$K1349="")),"",ROUND(N($J1349)-N($K1349),2))</f>
        <v/>
      </c>
      <c r="M1349" s="13">
        <f>IF(OR($A1349="",AND($J1349="",$K1349="")),"",MIN($J1349,$K1349))</f>
        <v/>
      </c>
      <c r="Q1349">
        <f>IF($A1349="","",$D1349&amp;"("&amp;SUBSTITUTE($E1349," ","")&amp;")")</f>
        <v/>
      </c>
      <c r="R1349">
        <f>IF($A1349="","",$B1349&amp;" - "&amp;$C1349)</f>
        <v/>
      </c>
      <c r="S1349">
        <f>IF($A1349="","",$R1349&amp;"|"&amp;$Q1349)</f>
        <v/>
      </c>
      <c r="T1349">
        <f>IF($A1349="","",$S1349&amp;"|"&amp;$F1349)</f>
        <v/>
      </c>
      <c r="U1349">
        <f>IF($A1349="","",$R1349&amp;"("&amp;$E1349&amp;")")</f>
        <v/>
      </c>
      <c r="V1349">
        <f>IF($A1349="","",$F1349&amp;"|"&amp;$U1349&amp;"|"&amp;$D1349)</f>
        <v/>
      </c>
      <c r="W1349">
        <f>IF($T1349="","",IF($X1349&gt;N($X1348),$X1349,""))</f>
        <v/>
      </c>
      <c r="X1349">
        <f>IF($T1349="",N($X1348),IF(MATCH($T1349,$T$6:$T$6005,0)=ROW()-5,N($X1348)+1,N($X1348)))</f>
        <v/>
      </c>
      <c r="Z1349">
        <f>IF($V1349="","",IF($AA1349&gt;N($AA1348),$AA1349,""))</f>
        <v/>
      </c>
      <c r="AA1349">
        <f>IF($V1349="",N($AA1348),IF(MATCH($V1349,$V$6:$V$6005,0)=ROW()-5,N($AA1348)+1,N($AA1348)))</f>
        <v/>
      </c>
    </row>
    <row r="1350" ht="21" customHeight="1" s="66">
      <c r="A1350" s="56" t="n"/>
      <c r="B1350" s="57" t="n"/>
      <c r="C1350" s="57" t="n"/>
      <c r="D1350" s="57" t="n"/>
      <c r="E1350" s="56" t="n"/>
      <c r="F1350" s="57" t="n"/>
      <c r="G1350" s="57" t="n"/>
      <c r="H1350" s="56" t="n"/>
      <c r="I1350" s="56" t="n"/>
      <c r="J1350" s="58" t="n"/>
      <c r="K1350" s="58" t="n"/>
      <c r="L1350" s="13">
        <f>IF(OR($A1350="",AND($J1350="",$K1350="")),"",ROUND(N($J1350)-N($K1350),2))</f>
        <v/>
      </c>
      <c r="M1350" s="13">
        <f>IF(OR($A1350="",AND($J1350="",$K1350="")),"",MIN($J1350,$K1350))</f>
        <v/>
      </c>
      <c r="Q1350">
        <f>IF($A1350="","",$D1350&amp;"("&amp;SUBSTITUTE($E1350," ","")&amp;")")</f>
        <v/>
      </c>
      <c r="R1350">
        <f>IF($A1350="","",$B1350&amp;" - "&amp;$C1350)</f>
        <v/>
      </c>
      <c r="S1350">
        <f>IF($A1350="","",$R1350&amp;"|"&amp;$Q1350)</f>
        <v/>
      </c>
      <c r="T1350">
        <f>IF($A1350="","",$S1350&amp;"|"&amp;$F1350)</f>
        <v/>
      </c>
      <c r="U1350">
        <f>IF($A1350="","",$R1350&amp;"("&amp;$E1350&amp;")")</f>
        <v/>
      </c>
      <c r="V1350">
        <f>IF($A1350="","",$F1350&amp;"|"&amp;$U1350&amp;"|"&amp;$D1350)</f>
        <v/>
      </c>
      <c r="W1350">
        <f>IF($T1350="","",IF($X1350&gt;N($X1349),$X1350,""))</f>
        <v/>
      </c>
      <c r="X1350">
        <f>IF($T1350="",N($X1349),IF(MATCH($T1350,$T$6:$T$6005,0)=ROW()-5,N($X1349)+1,N($X1349)))</f>
        <v/>
      </c>
      <c r="Z1350">
        <f>IF($V1350="","",IF($AA1350&gt;N($AA1349),$AA1350,""))</f>
        <v/>
      </c>
      <c r="AA1350">
        <f>IF($V1350="",N($AA1349),IF(MATCH($V1350,$V$6:$V$6005,0)=ROW()-5,N($AA1349)+1,N($AA1349)))</f>
        <v/>
      </c>
    </row>
    <row r="1351" ht="21" customHeight="1" s="66">
      <c r="A1351" s="56" t="n"/>
      <c r="B1351" s="57" t="n"/>
      <c r="C1351" s="57" t="n"/>
      <c r="D1351" s="57" t="n"/>
      <c r="E1351" s="56" t="n"/>
      <c r="F1351" s="57" t="n"/>
      <c r="G1351" s="57" t="n"/>
      <c r="H1351" s="56" t="n"/>
      <c r="I1351" s="56" t="n"/>
      <c r="J1351" s="58" t="n"/>
      <c r="K1351" s="58" t="n"/>
      <c r="L1351" s="13">
        <f>IF(OR($A1351="",AND($J1351="",$K1351="")),"",ROUND(N($J1351)-N($K1351),2))</f>
        <v/>
      </c>
      <c r="M1351" s="13">
        <f>IF(OR($A1351="",AND($J1351="",$K1351="")),"",MIN($J1351,$K1351))</f>
        <v/>
      </c>
      <c r="Q1351">
        <f>IF($A1351="","",$D1351&amp;"("&amp;SUBSTITUTE($E1351," ","")&amp;")")</f>
        <v/>
      </c>
      <c r="R1351">
        <f>IF($A1351="","",$B1351&amp;" - "&amp;$C1351)</f>
        <v/>
      </c>
      <c r="S1351">
        <f>IF($A1351="","",$R1351&amp;"|"&amp;$Q1351)</f>
        <v/>
      </c>
      <c r="T1351">
        <f>IF($A1351="","",$S1351&amp;"|"&amp;$F1351)</f>
        <v/>
      </c>
      <c r="U1351">
        <f>IF($A1351="","",$R1351&amp;"("&amp;$E1351&amp;")")</f>
        <v/>
      </c>
      <c r="V1351">
        <f>IF($A1351="","",$F1351&amp;"|"&amp;$U1351&amp;"|"&amp;$D1351)</f>
        <v/>
      </c>
      <c r="W1351">
        <f>IF($T1351="","",IF($X1351&gt;N($X1350),$X1351,""))</f>
        <v/>
      </c>
      <c r="X1351">
        <f>IF($T1351="",N($X1350),IF(MATCH($T1351,$T$6:$T$6005,0)=ROW()-5,N($X1350)+1,N($X1350)))</f>
        <v/>
      </c>
      <c r="Z1351">
        <f>IF($V1351="","",IF($AA1351&gt;N($AA1350),$AA1351,""))</f>
        <v/>
      </c>
      <c r="AA1351">
        <f>IF($V1351="",N($AA1350),IF(MATCH($V1351,$V$6:$V$6005,0)=ROW()-5,N($AA1350)+1,N($AA1350)))</f>
        <v/>
      </c>
    </row>
    <row r="1352" ht="21" customHeight="1" s="66">
      <c r="A1352" s="56" t="n"/>
      <c r="B1352" s="57" t="n"/>
      <c r="C1352" s="57" t="n"/>
      <c r="D1352" s="57" t="n"/>
      <c r="E1352" s="56" t="n"/>
      <c r="F1352" s="57" t="n"/>
      <c r="G1352" s="57" t="n"/>
      <c r="H1352" s="56" t="n"/>
      <c r="I1352" s="56" t="n"/>
      <c r="J1352" s="58" t="n"/>
      <c r="K1352" s="58" t="n"/>
      <c r="L1352" s="13">
        <f>IF(OR($A1352="",AND($J1352="",$K1352="")),"",ROUND(N($J1352)-N($K1352),2))</f>
        <v/>
      </c>
      <c r="M1352" s="13">
        <f>IF(OR($A1352="",AND($J1352="",$K1352="")),"",MIN($J1352,$K1352))</f>
        <v/>
      </c>
      <c r="Q1352">
        <f>IF($A1352="","",$D1352&amp;"("&amp;SUBSTITUTE($E1352," ","")&amp;")")</f>
        <v/>
      </c>
      <c r="R1352">
        <f>IF($A1352="","",$B1352&amp;" - "&amp;$C1352)</f>
        <v/>
      </c>
      <c r="S1352">
        <f>IF($A1352="","",$R1352&amp;"|"&amp;$Q1352)</f>
        <v/>
      </c>
      <c r="T1352">
        <f>IF($A1352="","",$S1352&amp;"|"&amp;$F1352)</f>
        <v/>
      </c>
      <c r="U1352">
        <f>IF($A1352="","",$R1352&amp;"("&amp;$E1352&amp;")")</f>
        <v/>
      </c>
      <c r="V1352">
        <f>IF($A1352="","",$F1352&amp;"|"&amp;$U1352&amp;"|"&amp;$D1352)</f>
        <v/>
      </c>
      <c r="W1352">
        <f>IF($T1352="","",IF($X1352&gt;N($X1351),$X1352,""))</f>
        <v/>
      </c>
      <c r="X1352">
        <f>IF($T1352="",N($X1351),IF(MATCH($T1352,$T$6:$T$6005,0)=ROW()-5,N($X1351)+1,N($X1351)))</f>
        <v/>
      </c>
      <c r="Z1352">
        <f>IF($V1352="","",IF($AA1352&gt;N($AA1351),$AA1352,""))</f>
        <v/>
      </c>
      <c r="AA1352">
        <f>IF($V1352="",N($AA1351),IF(MATCH($V1352,$V$6:$V$6005,0)=ROW()-5,N($AA1351)+1,N($AA1351)))</f>
        <v/>
      </c>
    </row>
    <row r="1353" ht="21" customHeight="1" s="66">
      <c r="A1353" s="56" t="n"/>
      <c r="B1353" s="57" t="n"/>
      <c r="C1353" s="57" t="n"/>
      <c r="D1353" s="57" t="n"/>
      <c r="E1353" s="56" t="n"/>
      <c r="F1353" s="57" t="n"/>
      <c r="G1353" s="57" t="n"/>
      <c r="H1353" s="56" t="n"/>
      <c r="I1353" s="56" t="n"/>
      <c r="J1353" s="58" t="n"/>
      <c r="K1353" s="58" t="n"/>
      <c r="L1353" s="13">
        <f>IF(OR($A1353="",AND($J1353="",$K1353="")),"",ROUND(N($J1353)-N($K1353),2))</f>
        <v/>
      </c>
      <c r="M1353" s="13">
        <f>IF(OR($A1353="",AND($J1353="",$K1353="")),"",MIN($J1353,$K1353))</f>
        <v/>
      </c>
      <c r="Q1353">
        <f>IF($A1353="","",$D1353&amp;"("&amp;SUBSTITUTE($E1353," ","")&amp;")")</f>
        <v/>
      </c>
      <c r="R1353">
        <f>IF($A1353="","",$B1353&amp;" - "&amp;$C1353)</f>
        <v/>
      </c>
      <c r="S1353">
        <f>IF($A1353="","",$R1353&amp;"|"&amp;$Q1353)</f>
        <v/>
      </c>
      <c r="T1353">
        <f>IF($A1353="","",$S1353&amp;"|"&amp;$F1353)</f>
        <v/>
      </c>
      <c r="U1353">
        <f>IF($A1353="","",$R1353&amp;"("&amp;$E1353&amp;")")</f>
        <v/>
      </c>
      <c r="V1353">
        <f>IF($A1353="","",$F1353&amp;"|"&amp;$U1353&amp;"|"&amp;$D1353)</f>
        <v/>
      </c>
      <c r="W1353">
        <f>IF($T1353="","",IF($X1353&gt;N($X1352),$X1353,""))</f>
        <v/>
      </c>
      <c r="X1353">
        <f>IF($T1353="",N($X1352),IF(MATCH($T1353,$T$6:$T$6005,0)=ROW()-5,N($X1352)+1,N($X1352)))</f>
        <v/>
      </c>
      <c r="Z1353">
        <f>IF($V1353="","",IF($AA1353&gt;N($AA1352),$AA1353,""))</f>
        <v/>
      </c>
      <c r="AA1353">
        <f>IF($V1353="",N($AA1352),IF(MATCH($V1353,$V$6:$V$6005,0)=ROW()-5,N($AA1352)+1,N($AA1352)))</f>
        <v/>
      </c>
    </row>
    <row r="1354" ht="21" customHeight="1" s="66">
      <c r="A1354" s="56" t="n"/>
      <c r="B1354" s="57" t="n"/>
      <c r="C1354" s="57" t="n"/>
      <c r="D1354" s="57" t="n"/>
      <c r="E1354" s="56" t="n"/>
      <c r="F1354" s="57" t="n"/>
      <c r="G1354" s="57" t="n"/>
      <c r="H1354" s="56" t="n"/>
      <c r="I1354" s="56" t="n"/>
      <c r="J1354" s="58" t="n"/>
      <c r="K1354" s="58" t="n"/>
      <c r="L1354" s="13">
        <f>IF(OR($A1354="",AND($J1354="",$K1354="")),"",ROUND(N($J1354)-N($K1354),2))</f>
        <v/>
      </c>
      <c r="M1354" s="13">
        <f>IF(OR($A1354="",AND($J1354="",$K1354="")),"",MIN($J1354,$K1354))</f>
        <v/>
      </c>
      <c r="Q1354">
        <f>IF($A1354="","",$D1354&amp;"("&amp;SUBSTITUTE($E1354," ","")&amp;")")</f>
        <v/>
      </c>
      <c r="R1354">
        <f>IF($A1354="","",$B1354&amp;" - "&amp;$C1354)</f>
        <v/>
      </c>
      <c r="S1354">
        <f>IF($A1354="","",$R1354&amp;"|"&amp;$Q1354)</f>
        <v/>
      </c>
      <c r="T1354">
        <f>IF($A1354="","",$S1354&amp;"|"&amp;$F1354)</f>
        <v/>
      </c>
      <c r="U1354">
        <f>IF($A1354="","",$R1354&amp;"("&amp;$E1354&amp;")")</f>
        <v/>
      </c>
      <c r="V1354">
        <f>IF($A1354="","",$F1354&amp;"|"&amp;$U1354&amp;"|"&amp;$D1354)</f>
        <v/>
      </c>
      <c r="W1354">
        <f>IF($T1354="","",IF($X1354&gt;N($X1353),$X1354,""))</f>
        <v/>
      </c>
      <c r="X1354">
        <f>IF($T1354="",N($X1353),IF(MATCH($T1354,$T$6:$T$6005,0)=ROW()-5,N($X1353)+1,N($X1353)))</f>
        <v/>
      </c>
      <c r="Z1354">
        <f>IF($V1354="","",IF($AA1354&gt;N($AA1353),$AA1354,""))</f>
        <v/>
      </c>
      <c r="AA1354">
        <f>IF($V1354="",N($AA1353),IF(MATCH($V1354,$V$6:$V$6005,0)=ROW()-5,N($AA1353)+1,N($AA1353)))</f>
        <v/>
      </c>
    </row>
    <row r="1355" ht="21" customHeight="1" s="66">
      <c r="A1355" s="56" t="n"/>
      <c r="B1355" s="57" t="n"/>
      <c r="C1355" s="57" t="n"/>
      <c r="D1355" s="57" t="n"/>
      <c r="E1355" s="56" t="n"/>
      <c r="F1355" s="57" t="n"/>
      <c r="G1355" s="57" t="n"/>
      <c r="H1355" s="56" t="n"/>
      <c r="I1355" s="56" t="n"/>
      <c r="J1355" s="58" t="n"/>
      <c r="K1355" s="58" t="n"/>
      <c r="L1355" s="13">
        <f>IF(OR($A1355="",AND($J1355="",$K1355="")),"",ROUND(N($J1355)-N($K1355),2))</f>
        <v/>
      </c>
      <c r="M1355" s="13">
        <f>IF(OR($A1355="",AND($J1355="",$K1355="")),"",MIN($J1355,$K1355))</f>
        <v/>
      </c>
      <c r="Q1355">
        <f>IF($A1355="","",$D1355&amp;"("&amp;SUBSTITUTE($E1355," ","")&amp;")")</f>
        <v/>
      </c>
      <c r="R1355">
        <f>IF($A1355="","",$B1355&amp;" - "&amp;$C1355)</f>
        <v/>
      </c>
      <c r="S1355">
        <f>IF($A1355="","",$R1355&amp;"|"&amp;$Q1355)</f>
        <v/>
      </c>
      <c r="T1355">
        <f>IF($A1355="","",$S1355&amp;"|"&amp;$F1355)</f>
        <v/>
      </c>
      <c r="U1355">
        <f>IF($A1355="","",$R1355&amp;"("&amp;$E1355&amp;")")</f>
        <v/>
      </c>
      <c r="V1355">
        <f>IF($A1355="","",$F1355&amp;"|"&amp;$U1355&amp;"|"&amp;$D1355)</f>
        <v/>
      </c>
      <c r="W1355">
        <f>IF($T1355="","",IF($X1355&gt;N($X1354),$X1355,""))</f>
        <v/>
      </c>
      <c r="X1355">
        <f>IF($T1355="",N($X1354),IF(MATCH($T1355,$T$6:$T$6005,0)=ROW()-5,N($X1354)+1,N($X1354)))</f>
        <v/>
      </c>
      <c r="Z1355">
        <f>IF($V1355="","",IF($AA1355&gt;N($AA1354),$AA1355,""))</f>
        <v/>
      </c>
      <c r="AA1355">
        <f>IF($V1355="",N($AA1354),IF(MATCH($V1355,$V$6:$V$6005,0)=ROW()-5,N($AA1354)+1,N($AA1354)))</f>
        <v/>
      </c>
    </row>
    <row r="1356" ht="21" customHeight="1" s="66">
      <c r="A1356" s="56" t="n"/>
      <c r="B1356" s="57" t="n"/>
      <c r="C1356" s="57" t="n"/>
      <c r="D1356" s="57" t="n"/>
      <c r="E1356" s="56" t="n"/>
      <c r="F1356" s="57" t="n"/>
      <c r="G1356" s="57" t="n"/>
      <c r="H1356" s="56" t="n"/>
      <c r="I1356" s="56" t="n"/>
      <c r="J1356" s="58" t="n"/>
      <c r="K1356" s="58" t="n"/>
      <c r="L1356" s="13">
        <f>IF(OR($A1356="",AND($J1356="",$K1356="")),"",ROUND(N($J1356)-N($K1356),2))</f>
        <v/>
      </c>
      <c r="M1356" s="13">
        <f>IF(OR($A1356="",AND($J1356="",$K1356="")),"",MIN($J1356,$K1356))</f>
        <v/>
      </c>
      <c r="Q1356">
        <f>IF($A1356="","",$D1356&amp;"("&amp;SUBSTITUTE($E1356," ","")&amp;")")</f>
        <v/>
      </c>
      <c r="R1356">
        <f>IF($A1356="","",$B1356&amp;" - "&amp;$C1356)</f>
        <v/>
      </c>
      <c r="S1356">
        <f>IF($A1356="","",$R1356&amp;"|"&amp;$Q1356)</f>
        <v/>
      </c>
      <c r="T1356">
        <f>IF($A1356="","",$S1356&amp;"|"&amp;$F1356)</f>
        <v/>
      </c>
      <c r="U1356">
        <f>IF($A1356="","",$R1356&amp;"("&amp;$E1356&amp;")")</f>
        <v/>
      </c>
      <c r="V1356">
        <f>IF($A1356="","",$F1356&amp;"|"&amp;$U1356&amp;"|"&amp;$D1356)</f>
        <v/>
      </c>
      <c r="W1356">
        <f>IF($T1356="","",IF($X1356&gt;N($X1355),$X1356,""))</f>
        <v/>
      </c>
      <c r="X1356">
        <f>IF($T1356="",N($X1355),IF(MATCH($T1356,$T$6:$T$6005,0)=ROW()-5,N($X1355)+1,N($X1355)))</f>
        <v/>
      </c>
      <c r="Z1356">
        <f>IF($V1356="","",IF($AA1356&gt;N($AA1355),$AA1356,""))</f>
        <v/>
      </c>
      <c r="AA1356">
        <f>IF($V1356="",N($AA1355),IF(MATCH($V1356,$V$6:$V$6005,0)=ROW()-5,N($AA1355)+1,N($AA1355)))</f>
        <v/>
      </c>
    </row>
    <row r="1357" ht="21" customHeight="1" s="66">
      <c r="A1357" s="56" t="n"/>
      <c r="B1357" s="57" t="n"/>
      <c r="C1357" s="57" t="n"/>
      <c r="D1357" s="57" t="n"/>
      <c r="E1357" s="56" t="n"/>
      <c r="F1357" s="57" t="n"/>
      <c r="G1357" s="57" t="n"/>
      <c r="H1357" s="56" t="n"/>
      <c r="I1357" s="56" t="n"/>
      <c r="J1357" s="58" t="n"/>
      <c r="K1357" s="58" t="n"/>
      <c r="L1357" s="13">
        <f>IF(OR($A1357="",AND($J1357="",$K1357="")),"",ROUND(N($J1357)-N($K1357),2))</f>
        <v/>
      </c>
      <c r="M1357" s="13">
        <f>IF(OR($A1357="",AND($J1357="",$K1357="")),"",MIN($J1357,$K1357))</f>
        <v/>
      </c>
      <c r="Q1357">
        <f>IF($A1357="","",$D1357&amp;"("&amp;SUBSTITUTE($E1357," ","")&amp;")")</f>
        <v/>
      </c>
      <c r="R1357">
        <f>IF($A1357="","",$B1357&amp;" - "&amp;$C1357)</f>
        <v/>
      </c>
      <c r="S1357">
        <f>IF($A1357="","",$R1357&amp;"|"&amp;$Q1357)</f>
        <v/>
      </c>
      <c r="T1357">
        <f>IF($A1357="","",$S1357&amp;"|"&amp;$F1357)</f>
        <v/>
      </c>
      <c r="U1357">
        <f>IF($A1357="","",$R1357&amp;"("&amp;$E1357&amp;")")</f>
        <v/>
      </c>
      <c r="V1357">
        <f>IF($A1357="","",$F1357&amp;"|"&amp;$U1357&amp;"|"&amp;$D1357)</f>
        <v/>
      </c>
      <c r="W1357">
        <f>IF($T1357="","",IF($X1357&gt;N($X1356),$X1357,""))</f>
        <v/>
      </c>
      <c r="X1357">
        <f>IF($T1357="",N($X1356),IF(MATCH($T1357,$T$6:$T$6005,0)=ROW()-5,N($X1356)+1,N($X1356)))</f>
        <v/>
      </c>
      <c r="Z1357">
        <f>IF($V1357="","",IF($AA1357&gt;N($AA1356),$AA1357,""))</f>
        <v/>
      </c>
      <c r="AA1357">
        <f>IF($V1357="",N($AA1356),IF(MATCH($V1357,$V$6:$V$6005,0)=ROW()-5,N($AA1356)+1,N($AA1356)))</f>
        <v/>
      </c>
    </row>
    <row r="1358" ht="21" customHeight="1" s="66">
      <c r="A1358" s="56" t="n"/>
      <c r="B1358" s="57" t="n"/>
      <c r="C1358" s="57" t="n"/>
      <c r="D1358" s="57" t="n"/>
      <c r="E1358" s="56" t="n"/>
      <c r="F1358" s="57" t="n"/>
      <c r="G1358" s="57" t="n"/>
      <c r="H1358" s="56" t="n"/>
      <c r="I1358" s="56" t="n"/>
      <c r="J1358" s="58" t="n"/>
      <c r="K1358" s="58" t="n"/>
      <c r="L1358" s="13">
        <f>IF(OR($A1358="",AND($J1358="",$K1358="")),"",ROUND(N($J1358)-N($K1358),2))</f>
        <v/>
      </c>
      <c r="M1358" s="13">
        <f>IF(OR($A1358="",AND($J1358="",$K1358="")),"",MIN($J1358,$K1358))</f>
        <v/>
      </c>
      <c r="Q1358">
        <f>IF($A1358="","",$D1358&amp;"("&amp;SUBSTITUTE($E1358," ","")&amp;")")</f>
        <v/>
      </c>
      <c r="R1358">
        <f>IF($A1358="","",$B1358&amp;" - "&amp;$C1358)</f>
        <v/>
      </c>
      <c r="S1358">
        <f>IF($A1358="","",$R1358&amp;"|"&amp;$Q1358)</f>
        <v/>
      </c>
      <c r="T1358">
        <f>IF($A1358="","",$S1358&amp;"|"&amp;$F1358)</f>
        <v/>
      </c>
      <c r="U1358">
        <f>IF($A1358="","",$R1358&amp;"("&amp;$E1358&amp;")")</f>
        <v/>
      </c>
      <c r="V1358">
        <f>IF($A1358="","",$F1358&amp;"|"&amp;$U1358&amp;"|"&amp;$D1358)</f>
        <v/>
      </c>
      <c r="W1358">
        <f>IF($T1358="","",IF($X1358&gt;N($X1357),$X1358,""))</f>
        <v/>
      </c>
      <c r="X1358">
        <f>IF($T1358="",N($X1357),IF(MATCH($T1358,$T$6:$T$6005,0)=ROW()-5,N($X1357)+1,N($X1357)))</f>
        <v/>
      </c>
      <c r="Z1358">
        <f>IF($V1358="","",IF($AA1358&gt;N($AA1357),$AA1358,""))</f>
        <v/>
      </c>
      <c r="AA1358">
        <f>IF($V1358="",N($AA1357),IF(MATCH($V1358,$V$6:$V$6005,0)=ROW()-5,N($AA1357)+1,N($AA1357)))</f>
        <v/>
      </c>
    </row>
    <row r="1359" ht="21" customHeight="1" s="66">
      <c r="A1359" s="56" t="n"/>
      <c r="B1359" s="57" t="n"/>
      <c r="C1359" s="57" t="n"/>
      <c r="D1359" s="57" t="n"/>
      <c r="E1359" s="56" t="n"/>
      <c r="F1359" s="57" t="n"/>
      <c r="G1359" s="57" t="n"/>
      <c r="H1359" s="56" t="n"/>
      <c r="I1359" s="56" t="n"/>
      <c r="J1359" s="58" t="n"/>
      <c r="K1359" s="58" t="n"/>
      <c r="L1359" s="13">
        <f>IF(OR($A1359="",AND($J1359="",$K1359="")),"",ROUND(N($J1359)-N($K1359),2))</f>
        <v/>
      </c>
      <c r="M1359" s="13">
        <f>IF(OR($A1359="",AND($J1359="",$K1359="")),"",MIN($J1359,$K1359))</f>
        <v/>
      </c>
      <c r="Q1359">
        <f>IF($A1359="","",$D1359&amp;"("&amp;SUBSTITUTE($E1359," ","")&amp;")")</f>
        <v/>
      </c>
      <c r="R1359">
        <f>IF($A1359="","",$B1359&amp;" - "&amp;$C1359)</f>
        <v/>
      </c>
      <c r="S1359">
        <f>IF($A1359="","",$R1359&amp;"|"&amp;$Q1359)</f>
        <v/>
      </c>
      <c r="T1359">
        <f>IF($A1359="","",$S1359&amp;"|"&amp;$F1359)</f>
        <v/>
      </c>
      <c r="U1359">
        <f>IF($A1359="","",$R1359&amp;"("&amp;$E1359&amp;")")</f>
        <v/>
      </c>
      <c r="V1359">
        <f>IF($A1359="","",$F1359&amp;"|"&amp;$U1359&amp;"|"&amp;$D1359)</f>
        <v/>
      </c>
      <c r="W1359">
        <f>IF($T1359="","",IF($X1359&gt;N($X1358),$X1359,""))</f>
        <v/>
      </c>
      <c r="X1359">
        <f>IF($T1359="",N($X1358),IF(MATCH($T1359,$T$6:$T$6005,0)=ROW()-5,N($X1358)+1,N($X1358)))</f>
        <v/>
      </c>
      <c r="Z1359">
        <f>IF($V1359="","",IF($AA1359&gt;N($AA1358),$AA1359,""))</f>
        <v/>
      </c>
      <c r="AA1359">
        <f>IF($V1359="",N($AA1358),IF(MATCH($V1359,$V$6:$V$6005,0)=ROW()-5,N($AA1358)+1,N($AA1358)))</f>
        <v/>
      </c>
    </row>
    <row r="1360" ht="21" customHeight="1" s="66">
      <c r="A1360" s="56" t="n"/>
      <c r="B1360" s="57" t="n"/>
      <c r="C1360" s="57" t="n"/>
      <c r="D1360" s="57" t="n"/>
      <c r="E1360" s="56" t="n"/>
      <c r="F1360" s="57" t="n"/>
      <c r="G1360" s="57" t="n"/>
      <c r="H1360" s="56" t="n"/>
      <c r="I1360" s="56" t="n"/>
      <c r="J1360" s="58" t="n"/>
      <c r="K1360" s="58" t="n"/>
      <c r="L1360" s="13">
        <f>IF(OR($A1360="",AND($J1360="",$K1360="")),"",ROUND(N($J1360)-N($K1360),2))</f>
        <v/>
      </c>
      <c r="M1360" s="13">
        <f>IF(OR($A1360="",AND($J1360="",$K1360="")),"",MIN($J1360,$K1360))</f>
        <v/>
      </c>
      <c r="Q1360">
        <f>IF($A1360="","",$D1360&amp;"("&amp;SUBSTITUTE($E1360," ","")&amp;")")</f>
        <v/>
      </c>
      <c r="R1360">
        <f>IF($A1360="","",$B1360&amp;" - "&amp;$C1360)</f>
        <v/>
      </c>
      <c r="S1360">
        <f>IF($A1360="","",$R1360&amp;"|"&amp;$Q1360)</f>
        <v/>
      </c>
      <c r="T1360">
        <f>IF($A1360="","",$S1360&amp;"|"&amp;$F1360)</f>
        <v/>
      </c>
      <c r="U1360">
        <f>IF($A1360="","",$R1360&amp;"("&amp;$E1360&amp;")")</f>
        <v/>
      </c>
      <c r="V1360">
        <f>IF($A1360="","",$F1360&amp;"|"&amp;$U1360&amp;"|"&amp;$D1360)</f>
        <v/>
      </c>
      <c r="W1360">
        <f>IF($T1360="","",IF($X1360&gt;N($X1359),$X1360,""))</f>
        <v/>
      </c>
      <c r="X1360">
        <f>IF($T1360="",N($X1359),IF(MATCH($T1360,$T$6:$T$6005,0)=ROW()-5,N($X1359)+1,N($X1359)))</f>
        <v/>
      </c>
      <c r="Z1360">
        <f>IF($V1360="","",IF($AA1360&gt;N($AA1359),$AA1360,""))</f>
        <v/>
      </c>
      <c r="AA1360">
        <f>IF($V1360="",N($AA1359),IF(MATCH($V1360,$V$6:$V$6005,0)=ROW()-5,N($AA1359)+1,N($AA1359)))</f>
        <v/>
      </c>
    </row>
    <row r="1361" ht="21" customHeight="1" s="66">
      <c r="A1361" s="56" t="n"/>
      <c r="B1361" s="57" t="n"/>
      <c r="C1361" s="57" t="n"/>
      <c r="D1361" s="57" t="n"/>
      <c r="E1361" s="56" t="n"/>
      <c r="F1361" s="57" t="n"/>
      <c r="G1361" s="57" t="n"/>
      <c r="H1361" s="56" t="n"/>
      <c r="I1361" s="56" t="n"/>
      <c r="J1361" s="58" t="n"/>
      <c r="K1361" s="58" t="n"/>
      <c r="L1361" s="13">
        <f>IF(OR($A1361="",AND($J1361="",$K1361="")),"",ROUND(N($J1361)-N($K1361),2))</f>
        <v/>
      </c>
      <c r="M1361" s="13">
        <f>IF(OR($A1361="",AND($J1361="",$K1361="")),"",MIN($J1361,$K1361))</f>
        <v/>
      </c>
      <c r="Q1361">
        <f>IF($A1361="","",$D1361&amp;"("&amp;SUBSTITUTE($E1361," ","")&amp;")")</f>
        <v/>
      </c>
      <c r="R1361">
        <f>IF($A1361="","",$B1361&amp;" - "&amp;$C1361)</f>
        <v/>
      </c>
      <c r="S1361">
        <f>IF($A1361="","",$R1361&amp;"|"&amp;$Q1361)</f>
        <v/>
      </c>
      <c r="T1361">
        <f>IF($A1361="","",$S1361&amp;"|"&amp;$F1361)</f>
        <v/>
      </c>
      <c r="U1361">
        <f>IF($A1361="","",$R1361&amp;"("&amp;$E1361&amp;")")</f>
        <v/>
      </c>
      <c r="V1361">
        <f>IF($A1361="","",$F1361&amp;"|"&amp;$U1361&amp;"|"&amp;$D1361)</f>
        <v/>
      </c>
      <c r="W1361">
        <f>IF($T1361="","",IF($X1361&gt;N($X1360),$X1361,""))</f>
        <v/>
      </c>
      <c r="X1361">
        <f>IF($T1361="",N($X1360),IF(MATCH($T1361,$T$6:$T$6005,0)=ROW()-5,N($X1360)+1,N($X1360)))</f>
        <v/>
      </c>
      <c r="Z1361">
        <f>IF($V1361="","",IF($AA1361&gt;N($AA1360),$AA1361,""))</f>
        <v/>
      </c>
      <c r="AA1361">
        <f>IF($V1361="",N($AA1360),IF(MATCH($V1361,$V$6:$V$6005,0)=ROW()-5,N($AA1360)+1,N($AA1360)))</f>
        <v/>
      </c>
    </row>
    <row r="1362" ht="21" customHeight="1" s="66">
      <c r="A1362" s="56" t="n"/>
      <c r="B1362" s="57" t="n"/>
      <c r="C1362" s="57" t="n"/>
      <c r="D1362" s="57" t="n"/>
      <c r="E1362" s="56" t="n"/>
      <c r="F1362" s="57" t="n"/>
      <c r="G1362" s="57" t="n"/>
      <c r="H1362" s="56" t="n"/>
      <c r="I1362" s="56" t="n"/>
      <c r="J1362" s="58" t="n"/>
      <c r="K1362" s="58" t="n"/>
      <c r="L1362" s="13">
        <f>IF(OR($A1362="",AND($J1362="",$K1362="")),"",ROUND(N($J1362)-N($K1362),2))</f>
        <v/>
      </c>
      <c r="M1362" s="13">
        <f>IF(OR($A1362="",AND($J1362="",$K1362="")),"",MIN($J1362,$K1362))</f>
        <v/>
      </c>
      <c r="Q1362">
        <f>IF($A1362="","",$D1362&amp;"("&amp;SUBSTITUTE($E1362," ","")&amp;")")</f>
        <v/>
      </c>
      <c r="R1362">
        <f>IF($A1362="","",$B1362&amp;" - "&amp;$C1362)</f>
        <v/>
      </c>
      <c r="S1362">
        <f>IF($A1362="","",$R1362&amp;"|"&amp;$Q1362)</f>
        <v/>
      </c>
      <c r="T1362">
        <f>IF($A1362="","",$S1362&amp;"|"&amp;$F1362)</f>
        <v/>
      </c>
      <c r="U1362">
        <f>IF($A1362="","",$R1362&amp;"("&amp;$E1362&amp;")")</f>
        <v/>
      </c>
      <c r="V1362">
        <f>IF($A1362="","",$F1362&amp;"|"&amp;$U1362&amp;"|"&amp;$D1362)</f>
        <v/>
      </c>
      <c r="W1362">
        <f>IF($T1362="","",IF($X1362&gt;N($X1361),$X1362,""))</f>
        <v/>
      </c>
      <c r="X1362">
        <f>IF($T1362="",N($X1361),IF(MATCH($T1362,$T$6:$T$6005,0)=ROW()-5,N($X1361)+1,N($X1361)))</f>
        <v/>
      </c>
      <c r="Z1362">
        <f>IF($V1362="","",IF($AA1362&gt;N($AA1361),$AA1362,""))</f>
        <v/>
      </c>
      <c r="AA1362">
        <f>IF($V1362="",N($AA1361),IF(MATCH($V1362,$V$6:$V$6005,0)=ROW()-5,N($AA1361)+1,N($AA1361)))</f>
        <v/>
      </c>
    </row>
    <row r="1363" ht="21" customHeight="1" s="66">
      <c r="A1363" s="56" t="n"/>
      <c r="B1363" s="57" t="n"/>
      <c r="C1363" s="57" t="n"/>
      <c r="D1363" s="57" t="n"/>
      <c r="E1363" s="56" t="n"/>
      <c r="F1363" s="57" t="n"/>
      <c r="G1363" s="57" t="n"/>
      <c r="H1363" s="56" t="n"/>
      <c r="I1363" s="56" t="n"/>
      <c r="J1363" s="58" t="n"/>
      <c r="K1363" s="58" t="n"/>
      <c r="L1363" s="13">
        <f>IF(OR($A1363="",AND($J1363="",$K1363="")),"",ROUND(N($J1363)-N($K1363),2))</f>
        <v/>
      </c>
      <c r="M1363" s="13">
        <f>IF(OR($A1363="",AND($J1363="",$K1363="")),"",MIN($J1363,$K1363))</f>
        <v/>
      </c>
      <c r="Q1363">
        <f>IF($A1363="","",$D1363&amp;"("&amp;SUBSTITUTE($E1363," ","")&amp;")")</f>
        <v/>
      </c>
      <c r="R1363">
        <f>IF($A1363="","",$B1363&amp;" - "&amp;$C1363)</f>
        <v/>
      </c>
      <c r="S1363">
        <f>IF($A1363="","",$R1363&amp;"|"&amp;$Q1363)</f>
        <v/>
      </c>
      <c r="T1363">
        <f>IF($A1363="","",$S1363&amp;"|"&amp;$F1363)</f>
        <v/>
      </c>
      <c r="U1363">
        <f>IF($A1363="","",$R1363&amp;"("&amp;$E1363&amp;")")</f>
        <v/>
      </c>
      <c r="V1363">
        <f>IF($A1363="","",$F1363&amp;"|"&amp;$U1363&amp;"|"&amp;$D1363)</f>
        <v/>
      </c>
      <c r="W1363">
        <f>IF($T1363="","",IF($X1363&gt;N($X1362),$X1363,""))</f>
        <v/>
      </c>
      <c r="X1363">
        <f>IF($T1363="",N($X1362),IF(MATCH($T1363,$T$6:$T$6005,0)=ROW()-5,N($X1362)+1,N($X1362)))</f>
        <v/>
      </c>
      <c r="Z1363">
        <f>IF($V1363="","",IF($AA1363&gt;N($AA1362),$AA1363,""))</f>
        <v/>
      </c>
      <c r="AA1363">
        <f>IF($V1363="",N($AA1362),IF(MATCH($V1363,$V$6:$V$6005,0)=ROW()-5,N($AA1362)+1,N($AA1362)))</f>
        <v/>
      </c>
    </row>
    <row r="1364" ht="21" customHeight="1" s="66">
      <c r="A1364" s="56" t="n"/>
      <c r="B1364" s="57" t="n"/>
      <c r="C1364" s="57" t="n"/>
      <c r="D1364" s="57" t="n"/>
      <c r="E1364" s="56" t="n"/>
      <c r="F1364" s="57" t="n"/>
      <c r="G1364" s="57" t="n"/>
      <c r="H1364" s="56" t="n"/>
      <c r="I1364" s="56" t="n"/>
      <c r="J1364" s="58" t="n"/>
      <c r="K1364" s="58" t="n"/>
      <c r="L1364" s="13">
        <f>IF(OR($A1364="",AND($J1364="",$K1364="")),"",ROUND(N($J1364)-N($K1364),2))</f>
        <v/>
      </c>
      <c r="M1364" s="13">
        <f>IF(OR($A1364="",AND($J1364="",$K1364="")),"",MIN($J1364,$K1364))</f>
        <v/>
      </c>
      <c r="Q1364">
        <f>IF($A1364="","",$D1364&amp;"("&amp;SUBSTITUTE($E1364," ","")&amp;")")</f>
        <v/>
      </c>
      <c r="R1364">
        <f>IF($A1364="","",$B1364&amp;" - "&amp;$C1364)</f>
        <v/>
      </c>
      <c r="S1364">
        <f>IF($A1364="","",$R1364&amp;"|"&amp;$Q1364)</f>
        <v/>
      </c>
      <c r="T1364">
        <f>IF($A1364="","",$S1364&amp;"|"&amp;$F1364)</f>
        <v/>
      </c>
      <c r="U1364">
        <f>IF($A1364="","",$R1364&amp;"("&amp;$E1364&amp;")")</f>
        <v/>
      </c>
      <c r="V1364">
        <f>IF($A1364="","",$F1364&amp;"|"&amp;$U1364&amp;"|"&amp;$D1364)</f>
        <v/>
      </c>
      <c r="W1364">
        <f>IF($T1364="","",IF($X1364&gt;N($X1363),$X1364,""))</f>
        <v/>
      </c>
      <c r="X1364">
        <f>IF($T1364="",N($X1363),IF(MATCH($T1364,$T$6:$T$6005,0)=ROW()-5,N($X1363)+1,N($X1363)))</f>
        <v/>
      </c>
      <c r="Z1364">
        <f>IF($V1364="","",IF($AA1364&gt;N($AA1363),$AA1364,""))</f>
        <v/>
      </c>
      <c r="AA1364">
        <f>IF($V1364="",N($AA1363),IF(MATCH($V1364,$V$6:$V$6005,0)=ROW()-5,N($AA1363)+1,N($AA1363)))</f>
        <v/>
      </c>
    </row>
    <row r="1365" ht="21" customHeight="1" s="66">
      <c r="A1365" s="56" t="n"/>
      <c r="B1365" s="57" t="n"/>
      <c r="C1365" s="57" t="n"/>
      <c r="D1365" s="57" t="n"/>
      <c r="E1365" s="56" t="n"/>
      <c r="F1365" s="57" t="n"/>
      <c r="G1365" s="57" t="n"/>
      <c r="H1365" s="56" t="n"/>
      <c r="I1365" s="56" t="n"/>
      <c r="J1365" s="58" t="n"/>
      <c r="K1365" s="58" t="n"/>
      <c r="L1365" s="13">
        <f>IF(OR($A1365="",AND($J1365="",$K1365="")),"",ROUND(N($J1365)-N($K1365),2))</f>
        <v/>
      </c>
      <c r="M1365" s="13">
        <f>IF(OR($A1365="",AND($J1365="",$K1365="")),"",MIN($J1365,$K1365))</f>
        <v/>
      </c>
      <c r="Q1365">
        <f>IF($A1365="","",$D1365&amp;"("&amp;SUBSTITUTE($E1365," ","")&amp;")")</f>
        <v/>
      </c>
      <c r="R1365">
        <f>IF($A1365="","",$B1365&amp;" - "&amp;$C1365)</f>
        <v/>
      </c>
      <c r="S1365">
        <f>IF($A1365="","",$R1365&amp;"|"&amp;$Q1365)</f>
        <v/>
      </c>
      <c r="T1365">
        <f>IF($A1365="","",$S1365&amp;"|"&amp;$F1365)</f>
        <v/>
      </c>
      <c r="U1365">
        <f>IF($A1365="","",$R1365&amp;"("&amp;$E1365&amp;")")</f>
        <v/>
      </c>
      <c r="V1365">
        <f>IF($A1365="","",$F1365&amp;"|"&amp;$U1365&amp;"|"&amp;$D1365)</f>
        <v/>
      </c>
      <c r="W1365">
        <f>IF($T1365="","",IF($X1365&gt;N($X1364),$X1365,""))</f>
        <v/>
      </c>
      <c r="X1365">
        <f>IF($T1365="",N($X1364),IF(MATCH($T1365,$T$6:$T$6005,0)=ROW()-5,N($X1364)+1,N($X1364)))</f>
        <v/>
      </c>
      <c r="Z1365">
        <f>IF($V1365="","",IF($AA1365&gt;N($AA1364),$AA1365,""))</f>
        <v/>
      </c>
      <c r="AA1365">
        <f>IF($V1365="",N($AA1364),IF(MATCH($V1365,$V$6:$V$6005,0)=ROW()-5,N($AA1364)+1,N($AA1364)))</f>
        <v/>
      </c>
    </row>
    <row r="1366" ht="21" customHeight="1" s="66">
      <c r="A1366" s="56" t="n"/>
      <c r="B1366" s="57" t="n"/>
      <c r="C1366" s="57" t="n"/>
      <c r="D1366" s="57" t="n"/>
      <c r="E1366" s="56" t="n"/>
      <c r="F1366" s="57" t="n"/>
      <c r="G1366" s="57" t="n"/>
      <c r="H1366" s="56" t="n"/>
      <c r="I1366" s="56" t="n"/>
      <c r="J1366" s="58" t="n"/>
      <c r="K1366" s="58" t="n"/>
      <c r="L1366" s="13">
        <f>IF(OR($A1366="",AND($J1366="",$K1366="")),"",ROUND(N($J1366)-N($K1366),2))</f>
        <v/>
      </c>
      <c r="M1366" s="13">
        <f>IF(OR($A1366="",AND($J1366="",$K1366="")),"",MIN($J1366,$K1366))</f>
        <v/>
      </c>
      <c r="Q1366">
        <f>IF($A1366="","",$D1366&amp;"("&amp;SUBSTITUTE($E1366," ","")&amp;")")</f>
        <v/>
      </c>
      <c r="R1366">
        <f>IF($A1366="","",$B1366&amp;" - "&amp;$C1366)</f>
        <v/>
      </c>
      <c r="S1366">
        <f>IF($A1366="","",$R1366&amp;"|"&amp;$Q1366)</f>
        <v/>
      </c>
      <c r="T1366">
        <f>IF($A1366="","",$S1366&amp;"|"&amp;$F1366)</f>
        <v/>
      </c>
      <c r="U1366">
        <f>IF($A1366="","",$R1366&amp;"("&amp;$E1366&amp;")")</f>
        <v/>
      </c>
      <c r="V1366">
        <f>IF($A1366="","",$F1366&amp;"|"&amp;$U1366&amp;"|"&amp;$D1366)</f>
        <v/>
      </c>
      <c r="W1366">
        <f>IF($T1366="","",IF($X1366&gt;N($X1365),$X1366,""))</f>
        <v/>
      </c>
      <c r="X1366">
        <f>IF($T1366="",N($X1365),IF(MATCH($T1366,$T$6:$T$6005,0)=ROW()-5,N($X1365)+1,N($X1365)))</f>
        <v/>
      </c>
      <c r="Z1366">
        <f>IF($V1366="","",IF($AA1366&gt;N($AA1365),$AA1366,""))</f>
        <v/>
      </c>
      <c r="AA1366">
        <f>IF($V1366="",N($AA1365),IF(MATCH($V1366,$V$6:$V$6005,0)=ROW()-5,N($AA1365)+1,N($AA1365)))</f>
        <v/>
      </c>
    </row>
    <row r="1367" ht="21" customHeight="1" s="66">
      <c r="A1367" s="56" t="n"/>
      <c r="B1367" s="57" t="n"/>
      <c r="C1367" s="57" t="n"/>
      <c r="D1367" s="57" t="n"/>
      <c r="E1367" s="56" t="n"/>
      <c r="F1367" s="57" t="n"/>
      <c r="G1367" s="57" t="n"/>
      <c r="H1367" s="56" t="n"/>
      <c r="I1367" s="56" t="n"/>
      <c r="J1367" s="58" t="n"/>
      <c r="K1367" s="58" t="n"/>
      <c r="L1367" s="13">
        <f>IF(OR($A1367="",AND($J1367="",$K1367="")),"",ROUND(N($J1367)-N($K1367),2))</f>
        <v/>
      </c>
      <c r="M1367" s="13">
        <f>IF(OR($A1367="",AND($J1367="",$K1367="")),"",MIN($J1367,$K1367))</f>
        <v/>
      </c>
      <c r="Q1367">
        <f>IF($A1367="","",$D1367&amp;"("&amp;SUBSTITUTE($E1367," ","")&amp;")")</f>
        <v/>
      </c>
      <c r="R1367">
        <f>IF($A1367="","",$B1367&amp;" - "&amp;$C1367)</f>
        <v/>
      </c>
      <c r="S1367">
        <f>IF($A1367="","",$R1367&amp;"|"&amp;$Q1367)</f>
        <v/>
      </c>
      <c r="T1367">
        <f>IF($A1367="","",$S1367&amp;"|"&amp;$F1367)</f>
        <v/>
      </c>
      <c r="U1367">
        <f>IF($A1367="","",$R1367&amp;"("&amp;$E1367&amp;")")</f>
        <v/>
      </c>
      <c r="V1367">
        <f>IF($A1367="","",$F1367&amp;"|"&amp;$U1367&amp;"|"&amp;$D1367)</f>
        <v/>
      </c>
      <c r="W1367">
        <f>IF($T1367="","",IF($X1367&gt;N($X1366),$X1367,""))</f>
        <v/>
      </c>
      <c r="X1367">
        <f>IF($T1367="",N($X1366),IF(MATCH($T1367,$T$6:$T$6005,0)=ROW()-5,N($X1366)+1,N($X1366)))</f>
        <v/>
      </c>
      <c r="Z1367">
        <f>IF($V1367="","",IF($AA1367&gt;N($AA1366),$AA1367,""))</f>
        <v/>
      </c>
      <c r="AA1367">
        <f>IF($V1367="",N($AA1366),IF(MATCH($V1367,$V$6:$V$6005,0)=ROW()-5,N($AA1366)+1,N($AA1366)))</f>
        <v/>
      </c>
    </row>
    <row r="1368" ht="21" customHeight="1" s="66">
      <c r="A1368" s="56" t="n"/>
      <c r="B1368" s="57" t="n"/>
      <c r="C1368" s="57" t="n"/>
      <c r="D1368" s="57" t="n"/>
      <c r="E1368" s="56" t="n"/>
      <c r="F1368" s="57" t="n"/>
      <c r="G1368" s="57" t="n"/>
      <c r="H1368" s="56" t="n"/>
      <c r="I1368" s="56" t="n"/>
      <c r="J1368" s="58" t="n"/>
      <c r="K1368" s="58" t="n"/>
      <c r="L1368" s="13">
        <f>IF(OR($A1368="",AND($J1368="",$K1368="")),"",ROUND(N($J1368)-N($K1368),2))</f>
        <v/>
      </c>
      <c r="M1368" s="13">
        <f>IF(OR($A1368="",AND($J1368="",$K1368="")),"",MIN($J1368,$K1368))</f>
        <v/>
      </c>
      <c r="Q1368">
        <f>IF($A1368="","",$D1368&amp;"("&amp;SUBSTITUTE($E1368," ","")&amp;")")</f>
        <v/>
      </c>
      <c r="R1368">
        <f>IF($A1368="","",$B1368&amp;" - "&amp;$C1368)</f>
        <v/>
      </c>
      <c r="S1368">
        <f>IF($A1368="","",$R1368&amp;"|"&amp;$Q1368)</f>
        <v/>
      </c>
      <c r="T1368">
        <f>IF($A1368="","",$S1368&amp;"|"&amp;$F1368)</f>
        <v/>
      </c>
      <c r="U1368">
        <f>IF($A1368="","",$R1368&amp;"("&amp;$E1368&amp;")")</f>
        <v/>
      </c>
      <c r="V1368">
        <f>IF($A1368="","",$F1368&amp;"|"&amp;$U1368&amp;"|"&amp;$D1368)</f>
        <v/>
      </c>
      <c r="W1368">
        <f>IF($T1368="","",IF($X1368&gt;N($X1367),$X1368,""))</f>
        <v/>
      </c>
      <c r="X1368">
        <f>IF($T1368="",N($X1367),IF(MATCH($T1368,$T$6:$T$6005,0)=ROW()-5,N($X1367)+1,N($X1367)))</f>
        <v/>
      </c>
      <c r="Z1368">
        <f>IF($V1368="","",IF($AA1368&gt;N($AA1367),$AA1368,""))</f>
        <v/>
      </c>
      <c r="AA1368">
        <f>IF($V1368="",N($AA1367),IF(MATCH($V1368,$V$6:$V$6005,0)=ROW()-5,N($AA1367)+1,N($AA1367)))</f>
        <v/>
      </c>
    </row>
    <row r="1369" ht="21" customHeight="1" s="66">
      <c r="A1369" s="56" t="n"/>
      <c r="B1369" s="57" t="n"/>
      <c r="C1369" s="57" t="n"/>
      <c r="D1369" s="57" t="n"/>
      <c r="E1369" s="56" t="n"/>
      <c r="F1369" s="57" t="n"/>
      <c r="G1369" s="57" t="n"/>
      <c r="H1369" s="56" t="n"/>
      <c r="I1369" s="56" t="n"/>
      <c r="J1369" s="58" t="n"/>
      <c r="K1369" s="58" t="n"/>
      <c r="L1369" s="13">
        <f>IF(OR($A1369="",AND($J1369="",$K1369="")),"",ROUND(N($J1369)-N($K1369),2))</f>
        <v/>
      </c>
      <c r="M1369" s="13">
        <f>IF(OR($A1369="",AND($J1369="",$K1369="")),"",MIN($J1369,$K1369))</f>
        <v/>
      </c>
      <c r="Q1369">
        <f>IF($A1369="","",$D1369&amp;"("&amp;SUBSTITUTE($E1369," ","")&amp;")")</f>
        <v/>
      </c>
      <c r="R1369">
        <f>IF($A1369="","",$B1369&amp;" - "&amp;$C1369)</f>
        <v/>
      </c>
      <c r="S1369">
        <f>IF($A1369="","",$R1369&amp;"|"&amp;$Q1369)</f>
        <v/>
      </c>
      <c r="T1369">
        <f>IF($A1369="","",$S1369&amp;"|"&amp;$F1369)</f>
        <v/>
      </c>
      <c r="U1369">
        <f>IF($A1369="","",$R1369&amp;"("&amp;$E1369&amp;")")</f>
        <v/>
      </c>
      <c r="V1369">
        <f>IF($A1369="","",$F1369&amp;"|"&amp;$U1369&amp;"|"&amp;$D1369)</f>
        <v/>
      </c>
      <c r="W1369">
        <f>IF($T1369="","",IF($X1369&gt;N($X1368),$X1369,""))</f>
        <v/>
      </c>
      <c r="X1369">
        <f>IF($T1369="",N($X1368),IF(MATCH($T1369,$T$6:$T$6005,0)=ROW()-5,N($X1368)+1,N($X1368)))</f>
        <v/>
      </c>
      <c r="Z1369">
        <f>IF($V1369="","",IF($AA1369&gt;N($AA1368),$AA1369,""))</f>
        <v/>
      </c>
      <c r="AA1369">
        <f>IF($V1369="",N($AA1368),IF(MATCH($V1369,$V$6:$V$6005,0)=ROW()-5,N($AA1368)+1,N($AA1368)))</f>
        <v/>
      </c>
    </row>
    <row r="1370" ht="21" customHeight="1" s="66">
      <c r="A1370" s="56" t="n"/>
      <c r="B1370" s="57" t="n"/>
      <c r="C1370" s="57" t="n"/>
      <c r="D1370" s="57" t="n"/>
      <c r="E1370" s="56" t="n"/>
      <c r="F1370" s="57" t="n"/>
      <c r="G1370" s="57" t="n"/>
      <c r="H1370" s="56" t="n"/>
      <c r="I1370" s="56" t="n"/>
      <c r="J1370" s="58" t="n"/>
      <c r="K1370" s="58" t="n"/>
      <c r="L1370" s="13">
        <f>IF(OR($A1370="",AND($J1370="",$K1370="")),"",ROUND(N($J1370)-N($K1370),2))</f>
        <v/>
      </c>
      <c r="M1370" s="13">
        <f>IF(OR($A1370="",AND($J1370="",$K1370="")),"",MIN($J1370,$K1370))</f>
        <v/>
      </c>
      <c r="Q1370">
        <f>IF($A1370="","",$D1370&amp;"("&amp;SUBSTITUTE($E1370," ","")&amp;")")</f>
        <v/>
      </c>
      <c r="R1370">
        <f>IF($A1370="","",$B1370&amp;" - "&amp;$C1370)</f>
        <v/>
      </c>
      <c r="S1370">
        <f>IF($A1370="","",$R1370&amp;"|"&amp;$Q1370)</f>
        <v/>
      </c>
      <c r="T1370">
        <f>IF($A1370="","",$S1370&amp;"|"&amp;$F1370)</f>
        <v/>
      </c>
      <c r="U1370">
        <f>IF($A1370="","",$R1370&amp;"("&amp;$E1370&amp;")")</f>
        <v/>
      </c>
      <c r="V1370">
        <f>IF($A1370="","",$F1370&amp;"|"&amp;$U1370&amp;"|"&amp;$D1370)</f>
        <v/>
      </c>
      <c r="W1370">
        <f>IF($T1370="","",IF($X1370&gt;N($X1369),$X1370,""))</f>
        <v/>
      </c>
      <c r="X1370">
        <f>IF($T1370="",N($X1369),IF(MATCH($T1370,$T$6:$T$6005,0)=ROW()-5,N($X1369)+1,N($X1369)))</f>
        <v/>
      </c>
      <c r="Z1370">
        <f>IF($V1370="","",IF($AA1370&gt;N($AA1369),$AA1370,""))</f>
        <v/>
      </c>
      <c r="AA1370">
        <f>IF($V1370="",N($AA1369),IF(MATCH($V1370,$V$6:$V$6005,0)=ROW()-5,N($AA1369)+1,N($AA1369)))</f>
        <v/>
      </c>
    </row>
    <row r="1371" ht="21" customHeight="1" s="66">
      <c r="A1371" s="56" t="n"/>
      <c r="B1371" s="57" t="n"/>
      <c r="C1371" s="57" t="n"/>
      <c r="D1371" s="57" t="n"/>
      <c r="E1371" s="56" t="n"/>
      <c r="F1371" s="57" t="n"/>
      <c r="G1371" s="57" t="n"/>
      <c r="H1371" s="56" t="n"/>
      <c r="I1371" s="56" t="n"/>
      <c r="J1371" s="58" t="n"/>
      <c r="K1371" s="58" t="n"/>
      <c r="L1371" s="13">
        <f>IF(OR($A1371="",AND($J1371="",$K1371="")),"",ROUND(N($J1371)-N($K1371),2))</f>
        <v/>
      </c>
      <c r="M1371" s="13">
        <f>IF(OR($A1371="",AND($J1371="",$K1371="")),"",MIN($J1371,$K1371))</f>
        <v/>
      </c>
      <c r="Q1371">
        <f>IF($A1371="","",$D1371&amp;"("&amp;SUBSTITUTE($E1371," ","")&amp;")")</f>
        <v/>
      </c>
      <c r="R1371">
        <f>IF($A1371="","",$B1371&amp;" - "&amp;$C1371)</f>
        <v/>
      </c>
      <c r="S1371">
        <f>IF($A1371="","",$R1371&amp;"|"&amp;$Q1371)</f>
        <v/>
      </c>
      <c r="T1371">
        <f>IF($A1371="","",$S1371&amp;"|"&amp;$F1371)</f>
        <v/>
      </c>
      <c r="U1371">
        <f>IF($A1371="","",$R1371&amp;"("&amp;$E1371&amp;")")</f>
        <v/>
      </c>
      <c r="V1371">
        <f>IF($A1371="","",$F1371&amp;"|"&amp;$U1371&amp;"|"&amp;$D1371)</f>
        <v/>
      </c>
      <c r="W1371">
        <f>IF($T1371="","",IF($X1371&gt;N($X1370),$X1371,""))</f>
        <v/>
      </c>
      <c r="X1371">
        <f>IF($T1371="",N($X1370),IF(MATCH($T1371,$T$6:$T$6005,0)=ROW()-5,N($X1370)+1,N($X1370)))</f>
        <v/>
      </c>
      <c r="Z1371">
        <f>IF($V1371="","",IF($AA1371&gt;N($AA1370),$AA1371,""))</f>
        <v/>
      </c>
      <c r="AA1371">
        <f>IF($V1371="",N($AA1370),IF(MATCH($V1371,$V$6:$V$6005,0)=ROW()-5,N($AA1370)+1,N($AA1370)))</f>
        <v/>
      </c>
    </row>
    <row r="1372" ht="21" customHeight="1" s="66">
      <c r="A1372" s="56" t="n"/>
      <c r="B1372" s="57" t="n"/>
      <c r="C1372" s="57" t="n"/>
      <c r="D1372" s="57" t="n"/>
      <c r="E1372" s="56" t="n"/>
      <c r="F1372" s="57" t="n"/>
      <c r="G1372" s="57" t="n"/>
      <c r="H1372" s="56" t="n"/>
      <c r="I1372" s="56" t="n"/>
      <c r="J1372" s="58" t="n"/>
      <c r="K1372" s="58" t="n"/>
      <c r="L1372" s="13">
        <f>IF(OR($A1372="",AND($J1372="",$K1372="")),"",ROUND(N($J1372)-N($K1372),2))</f>
        <v/>
      </c>
      <c r="M1372" s="13">
        <f>IF(OR($A1372="",AND($J1372="",$K1372="")),"",MIN($J1372,$K1372))</f>
        <v/>
      </c>
      <c r="Q1372">
        <f>IF($A1372="","",$D1372&amp;"("&amp;SUBSTITUTE($E1372," ","")&amp;")")</f>
        <v/>
      </c>
      <c r="R1372">
        <f>IF($A1372="","",$B1372&amp;" - "&amp;$C1372)</f>
        <v/>
      </c>
      <c r="S1372">
        <f>IF($A1372="","",$R1372&amp;"|"&amp;$Q1372)</f>
        <v/>
      </c>
      <c r="T1372">
        <f>IF($A1372="","",$S1372&amp;"|"&amp;$F1372)</f>
        <v/>
      </c>
      <c r="U1372">
        <f>IF($A1372="","",$R1372&amp;"("&amp;$E1372&amp;")")</f>
        <v/>
      </c>
      <c r="V1372">
        <f>IF($A1372="","",$F1372&amp;"|"&amp;$U1372&amp;"|"&amp;$D1372)</f>
        <v/>
      </c>
      <c r="W1372">
        <f>IF($T1372="","",IF($X1372&gt;N($X1371),$X1372,""))</f>
        <v/>
      </c>
      <c r="X1372">
        <f>IF($T1372="",N($X1371),IF(MATCH($T1372,$T$6:$T$6005,0)=ROW()-5,N($X1371)+1,N($X1371)))</f>
        <v/>
      </c>
      <c r="Z1372">
        <f>IF($V1372="","",IF($AA1372&gt;N($AA1371),$AA1372,""))</f>
        <v/>
      </c>
      <c r="AA1372">
        <f>IF($V1372="",N($AA1371),IF(MATCH($V1372,$V$6:$V$6005,0)=ROW()-5,N($AA1371)+1,N($AA1371)))</f>
        <v/>
      </c>
    </row>
    <row r="1373" ht="21" customHeight="1" s="66">
      <c r="A1373" s="56" t="n"/>
      <c r="B1373" s="57" t="n"/>
      <c r="C1373" s="57" t="n"/>
      <c r="D1373" s="57" t="n"/>
      <c r="E1373" s="56" t="n"/>
      <c r="F1373" s="57" t="n"/>
      <c r="G1373" s="57" t="n"/>
      <c r="H1373" s="56" t="n"/>
      <c r="I1373" s="56" t="n"/>
      <c r="J1373" s="58" t="n"/>
      <c r="K1373" s="58" t="n"/>
      <c r="L1373" s="13">
        <f>IF(OR($A1373="",AND($J1373="",$K1373="")),"",ROUND(N($J1373)-N($K1373),2))</f>
        <v/>
      </c>
      <c r="M1373" s="13">
        <f>IF(OR($A1373="",AND($J1373="",$K1373="")),"",MIN($J1373,$K1373))</f>
        <v/>
      </c>
      <c r="Q1373">
        <f>IF($A1373="","",$D1373&amp;"("&amp;SUBSTITUTE($E1373," ","")&amp;")")</f>
        <v/>
      </c>
      <c r="R1373">
        <f>IF($A1373="","",$B1373&amp;" - "&amp;$C1373)</f>
        <v/>
      </c>
      <c r="S1373">
        <f>IF($A1373="","",$R1373&amp;"|"&amp;$Q1373)</f>
        <v/>
      </c>
      <c r="T1373">
        <f>IF($A1373="","",$S1373&amp;"|"&amp;$F1373)</f>
        <v/>
      </c>
      <c r="U1373">
        <f>IF($A1373="","",$R1373&amp;"("&amp;$E1373&amp;")")</f>
        <v/>
      </c>
      <c r="V1373">
        <f>IF($A1373="","",$F1373&amp;"|"&amp;$U1373&amp;"|"&amp;$D1373)</f>
        <v/>
      </c>
      <c r="W1373">
        <f>IF($T1373="","",IF($X1373&gt;N($X1372),$X1373,""))</f>
        <v/>
      </c>
      <c r="X1373">
        <f>IF($T1373="",N($X1372),IF(MATCH($T1373,$T$6:$T$6005,0)=ROW()-5,N($X1372)+1,N($X1372)))</f>
        <v/>
      </c>
      <c r="Z1373">
        <f>IF($V1373="","",IF($AA1373&gt;N($AA1372),$AA1373,""))</f>
        <v/>
      </c>
      <c r="AA1373">
        <f>IF($V1373="",N($AA1372),IF(MATCH($V1373,$V$6:$V$6005,0)=ROW()-5,N($AA1372)+1,N($AA1372)))</f>
        <v/>
      </c>
    </row>
    <row r="1374" ht="21" customHeight="1" s="66">
      <c r="A1374" s="56" t="n"/>
      <c r="B1374" s="57" t="n"/>
      <c r="C1374" s="57" t="n"/>
      <c r="D1374" s="57" t="n"/>
      <c r="E1374" s="56" t="n"/>
      <c r="F1374" s="57" t="n"/>
      <c r="G1374" s="57" t="n"/>
      <c r="H1374" s="56" t="n"/>
      <c r="I1374" s="56" t="n"/>
      <c r="J1374" s="58" t="n"/>
      <c r="K1374" s="58" t="n"/>
      <c r="L1374" s="13">
        <f>IF(OR($A1374="",AND($J1374="",$K1374="")),"",ROUND(N($J1374)-N($K1374),2))</f>
        <v/>
      </c>
      <c r="M1374" s="13">
        <f>IF(OR($A1374="",AND($J1374="",$K1374="")),"",MIN($J1374,$K1374))</f>
        <v/>
      </c>
      <c r="Q1374">
        <f>IF($A1374="","",$D1374&amp;"("&amp;SUBSTITUTE($E1374," ","")&amp;")")</f>
        <v/>
      </c>
      <c r="R1374">
        <f>IF($A1374="","",$B1374&amp;" - "&amp;$C1374)</f>
        <v/>
      </c>
      <c r="S1374">
        <f>IF($A1374="","",$R1374&amp;"|"&amp;$Q1374)</f>
        <v/>
      </c>
      <c r="T1374">
        <f>IF($A1374="","",$S1374&amp;"|"&amp;$F1374)</f>
        <v/>
      </c>
      <c r="U1374">
        <f>IF($A1374="","",$R1374&amp;"("&amp;$E1374&amp;")")</f>
        <v/>
      </c>
      <c r="V1374">
        <f>IF($A1374="","",$F1374&amp;"|"&amp;$U1374&amp;"|"&amp;$D1374)</f>
        <v/>
      </c>
      <c r="W1374">
        <f>IF($T1374="","",IF($X1374&gt;N($X1373),$X1374,""))</f>
        <v/>
      </c>
      <c r="X1374">
        <f>IF($T1374="",N($X1373),IF(MATCH($T1374,$T$6:$T$6005,0)=ROW()-5,N($X1373)+1,N($X1373)))</f>
        <v/>
      </c>
      <c r="Z1374">
        <f>IF($V1374="","",IF($AA1374&gt;N($AA1373),$AA1374,""))</f>
        <v/>
      </c>
      <c r="AA1374">
        <f>IF($V1374="",N($AA1373),IF(MATCH($V1374,$V$6:$V$6005,0)=ROW()-5,N($AA1373)+1,N($AA1373)))</f>
        <v/>
      </c>
    </row>
    <row r="1375" ht="21" customHeight="1" s="66">
      <c r="A1375" s="56" t="n"/>
      <c r="B1375" s="57" t="n"/>
      <c r="C1375" s="57" t="n"/>
      <c r="D1375" s="57" t="n"/>
      <c r="E1375" s="56" t="n"/>
      <c r="F1375" s="57" t="n"/>
      <c r="G1375" s="57" t="n"/>
      <c r="H1375" s="56" t="n"/>
      <c r="I1375" s="56" t="n"/>
      <c r="J1375" s="58" t="n"/>
      <c r="K1375" s="58" t="n"/>
      <c r="L1375" s="13">
        <f>IF(OR($A1375="",AND($J1375="",$K1375="")),"",ROUND(N($J1375)-N($K1375),2))</f>
        <v/>
      </c>
      <c r="M1375" s="13">
        <f>IF(OR($A1375="",AND($J1375="",$K1375="")),"",MIN($J1375,$K1375))</f>
        <v/>
      </c>
      <c r="Q1375">
        <f>IF($A1375="","",$D1375&amp;"("&amp;SUBSTITUTE($E1375," ","")&amp;")")</f>
        <v/>
      </c>
      <c r="R1375">
        <f>IF($A1375="","",$B1375&amp;" - "&amp;$C1375)</f>
        <v/>
      </c>
      <c r="S1375">
        <f>IF($A1375="","",$R1375&amp;"|"&amp;$Q1375)</f>
        <v/>
      </c>
      <c r="T1375">
        <f>IF($A1375="","",$S1375&amp;"|"&amp;$F1375)</f>
        <v/>
      </c>
      <c r="U1375">
        <f>IF($A1375="","",$R1375&amp;"("&amp;$E1375&amp;")")</f>
        <v/>
      </c>
      <c r="V1375">
        <f>IF($A1375="","",$F1375&amp;"|"&amp;$U1375&amp;"|"&amp;$D1375)</f>
        <v/>
      </c>
      <c r="W1375">
        <f>IF($T1375="","",IF($X1375&gt;N($X1374),$X1375,""))</f>
        <v/>
      </c>
      <c r="X1375">
        <f>IF($T1375="",N($X1374),IF(MATCH($T1375,$T$6:$T$6005,0)=ROW()-5,N($X1374)+1,N($X1374)))</f>
        <v/>
      </c>
      <c r="Z1375">
        <f>IF($V1375="","",IF($AA1375&gt;N($AA1374),$AA1375,""))</f>
        <v/>
      </c>
      <c r="AA1375">
        <f>IF($V1375="",N($AA1374),IF(MATCH($V1375,$V$6:$V$6005,0)=ROW()-5,N($AA1374)+1,N($AA1374)))</f>
        <v/>
      </c>
    </row>
    <row r="1376" ht="21" customHeight="1" s="66">
      <c r="A1376" s="56" t="n"/>
      <c r="B1376" s="57" t="n"/>
      <c r="C1376" s="57" t="n"/>
      <c r="D1376" s="57" t="n"/>
      <c r="E1376" s="56" t="n"/>
      <c r="F1376" s="57" t="n"/>
      <c r="G1376" s="57" t="n"/>
      <c r="H1376" s="56" t="n"/>
      <c r="I1376" s="56" t="n"/>
      <c r="J1376" s="58" t="n"/>
      <c r="K1376" s="58" t="n"/>
      <c r="L1376" s="13">
        <f>IF(OR($A1376="",AND($J1376="",$K1376="")),"",ROUND(N($J1376)-N($K1376),2))</f>
        <v/>
      </c>
      <c r="M1376" s="13">
        <f>IF(OR($A1376="",AND($J1376="",$K1376="")),"",MIN($J1376,$K1376))</f>
        <v/>
      </c>
      <c r="Q1376">
        <f>IF($A1376="","",$D1376&amp;"("&amp;SUBSTITUTE($E1376," ","")&amp;")")</f>
        <v/>
      </c>
      <c r="R1376">
        <f>IF($A1376="","",$B1376&amp;" - "&amp;$C1376)</f>
        <v/>
      </c>
      <c r="S1376">
        <f>IF($A1376="","",$R1376&amp;"|"&amp;$Q1376)</f>
        <v/>
      </c>
      <c r="T1376">
        <f>IF($A1376="","",$S1376&amp;"|"&amp;$F1376)</f>
        <v/>
      </c>
      <c r="U1376">
        <f>IF($A1376="","",$R1376&amp;"("&amp;$E1376&amp;")")</f>
        <v/>
      </c>
      <c r="V1376">
        <f>IF($A1376="","",$F1376&amp;"|"&amp;$U1376&amp;"|"&amp;$D1376)</f>
        <v/>
      </c>
      <c r="W1376">
        <f>IF($T1376="","",IF($X1376&gt;N($X1375),$X1376,""))</f>
        <v/>
      </c>
      <c r="X1376">
        <f>IF($T1376="",N($X1375),IF(MATCH($T1376,$T$6:$T$6005,0)=ROW()-5,N($X1375)+1,N($X1375)))</f>
        <v/>
      </c>
      <c r="Z1376">
        <f>IF($V1376="","",IF($AA1376&gt;N($AA1375),$AA1376,""))</f>
        <v/>
      </c>
      <c r="AA1376">
        <f>IF($V1376="",N($AA1375),IF(MATCH($V1376,$V$6:$V$6005,0)=ROW()-5,N($AA1375)+1,N($AA1375)))</f>
        <v/>
      </c>
    </row>
    <row r="1377" ht="21" customHeight="1" s="66">
      <c r="A1377" s="56" t="n"/>
      <c r="B1377" s="57" t="n"/>
      <c r="C1377" s="57" t="n"/>
      <c r="D1377" s="57" t="n"/>
      <c r="E1377" s="56" t="n"/>
      <c r="F1377" s="57" t="n"/>
      <c r="G1377" s="57" t="n"/>
      <c r="H1377" s="56" t="n"/>
      <c r="I1377" s="56" t="n"/>
      <c r="J1377" s="58" t="n"/>
      <c r="K1377" s="58" t="n"/>
      <c r="L1377" s="13">
        <f>IF(OR($A1377="",AND($J1377="",$K1377="")),"",ROUND(N($J1377)-N($K1377),2))</f>
        <v/>
      </c>
      <c r="M1377" s="13">
        <f>IF(OR($A1377="",AND($J1377="",$K1377="")),"",MIN($J1377,$K1377))</f>
        <v/>
      </c>
      <c r="Q1377">
        <f>IF($A1377="","",$D1377&amp;"("&amp;SUBSTITUTE($E1377," ","")&amp;")")</f>
        <v/>
      </c>
      <c r="R1377">
        <f>IF($A1377="","",$B1377&amp;" - "&amp;$C1377)</f>
        <v/>
      </c>
      <c r="S1377">
        <f>IF($A1377="","",$R1377&amp;"|"&amp;$Q1377)</f>
        <v/>
      </c>
      <c r="T1377">
        <f>IF($A1377="","",$S1377&amp;"|"&amp;$F1377)</f>
        <v/>
      </c>
      <c r="U1377">
        <f>IF($A1377="","",$R1377&amp;"("&amp;$E1377&amp;")")</f>
        <v/>
      </c>
      <c r="V1377">
        <f>IF($A1377="","",$F1377&amp;"|"&amp;$U1377&amp;"|"&amp;$D1377)</f>
        <v/>
      </c>
      <c r="W1377">
        <f>IF($T1377="","",IF($X1377&gt;N($X1376),$X1377,""))</f>
        <v/>
      </c>
      <c r="X1377">
        <f>IF($T1377="",N($X1376),IF(MATCH($T1377,$T$6:$T$6005,0)=ROW()-5,N($X1376)+1,N($X1376)))</f>
        <v/>
      </c>
      <c r="Z1377">
        <f>IF($V1377="","",IF($AA1377&gt;N($AA1376),$AA1377,""))</f>
        <v/>
      </c>
      <c r="AA1377">
        <f>IF($V1377="",N($AA1376),IF(MATCH($V1377,$V$6:$V$6005,0)=ROW()-5,N($AA1376)+1,N($AA1376)))</f>
        <v/>
      </c>
    </row>
    <row r="1378" ht="21" customHeight="1" s="66">
      <c r="A1378" s="56" t="n"/>
      <c r="B1378" s="57" t="n"/>
      <c r="C1378" s="57" t="n"/>
      <c r="D1378" s="57" t="n"/>
      <c r="E1378" s="56" t="n"/>
      <c r="F1378" s="57" t="n"/>
      <c r="G1378" s="57" t="n"/>
      <c r="H1378" s="56" t="n"/>
      <c r="I1378" s="56" t="n"/>
      <c r="J1378" s="58" t="n"/>
      <c r="K1378" s="58" t="n"/>
      <c r="L1378" s="13">
        <f>IF(OR($A1378="",AND($J1378="",$K1378="")),"",ROUND(N($J1378)-N($K1378),2))</f>
        <v/>
      </c>
      <c r="M1378" s="13">
        <f>IF(OR($A1378="",AND($J1378="",$K1378="")),"",MIN($J1378,$K1378))</f>
        <v/>
      </c>
      <c r="Q1378">
        <f>IF($A1378="","",$D1378&amp;"("&amp;SUBSTITUTE($E1378," ","")&amp;")")</f>
        <v/>
      </c>
      <c r="R1378">
        <f>IF($A1378="","",$B1378&amp;" - "&amp;$C1378)</f>
        <v/>
      </c>
      <c r="S1378">
        <f>IF($A1378="","",$R1378&amp;"|"&amp;$Q1378)</f>
        <v/>
      </c>
      <c r="T1378">
        <f>IF($A1378="","",$S1378&amp;"|"&amp;$F1378)</f>
        <v/>
      </c>
      <c r="U1378">
        <f>IF($A1378="","",$R1378&amp;"("&amp;$E1378&amp;")")</f>
        <v/>
      </c>
      <c r="V1378">
        <f>IF($A1378="","",$F1378&amp;"|"&amp;$U1378&amp;"|"&amp;$D1378)</f>
        <v/>
      </c>
      <c r="W1378">
        <f>IF($T1378="","",IF($X1378&gt;N($X1377),$X1378,""))</f>
        <v/>
      </c>
      <c r="X1378">
        <f>IF($T1378="",N($X1377),IF(MATCH($T1378,$T$6:$T$6005,0)=ROW()-5,N($X1377)+1,N($X1377)))</f>
        <v/>
      </c>
      <c r="Z1378">
        <f>IF($V1378="","",IF($AA1378&gt;N($AA1377),$AA1378,""))</f>
        <v/>
      </c>
      <c r="AA1378">
        <f>IF($V1378="",N($AA1377),IF(MATCH($V1378,$V$6:$V$6005,0)=ROW()-5,N($AA1377)+1,N($AA1377)))</f>
        <v/>
      </c>
    </row>
    <row r="1379" ht="21" customHeight="1" s="66">
      <c r="A1379" s="56" t="n"/>
      <c r="B1379" s="57" t="n"/>
      <c r="C1379" s="57" t="n"/>
      <c r="D1379" s="57" t="n"/>
      <c r="E1379" s="56" t="n"/>
      <c r="F1379" s="57" t="n"/>
      <c r="G1379" s="57" t="n"/>
      <c r="H1379" s="56" t="n"/>
      <c r="I1379" s="56" t="n"/>
      <c r="J1379" s="58" t="n"/>
      <c r="K1379" s="58" t="n"/>
      <c r="L1379" s="13">
        <f>IF(OR($A1379="",AND($J1379="",$K1379="")),"",ROUND(N($J1379)-N($K1379),2))</f>
        <v/>
      </c>
      <c r="M1379" s="13">
        <f>IF(OR($A1379="",AND($J1379="",$K1379="")),"",MIN($J1379,$K1379))</f>
        <v/>
      </c>
      <c r="Q1379">
        <f>IF($A1379="","",$D1379&amp;"("&amp;SUBSTITUTE($E1379," ","")&amp;")")</f>
        <v/>
      </c>
      <c r="R1379">
        <f>IF($A1379="","",$B1379&amp;" - "&amp;$C1379)</f>
        <v/>
      </c>
      <c r="S1379">
        <f>IF($A1379="","",$R1379&amp;"|"&amp;$Q1379)</f>
        <v/>
      </c>
      <c r="T1379">
        <f>IF($A1379="","",$S1379&amp;"|"&amp;$F1379)</f>
        <v/>
      </c>
      <c r="U1379">
        <f>IF($A1379="","",$R1379&amp;"("&amp;$E1379&amp;")")</f>
        <v/>
      </c>
      <c r="V1379">
        <f>IF($A1379="","",$F1379&amp;"|"&amp;$U1379&amp;"|"&amp;$D1379)</f>
        <v/>
      </c>
      <c r="W1379">
        <f>IF($T1379="","",IF($X1379&gt;N($X1378),$X1379,""))</f>
        <v/>
      </c>
      <c r="X1379">
        <f>IF($T1379="",N($X1378),IF(MATCH($T1379,$T$6:$T$6005,0)=ROW()-5,N($X1378)+1,N($X1378)))</f>
        <v/>
      </c>
      <c r="Z1379">
        <f>IF($V1379="","",IF($AA1379&gt;N($AA1378),$AA1379,""))</f>
        <v/>
      </c>
      <c r="AA1379">
        <f>IF($V1379="",N($AA1378),IF(MATCH($V1379,$V$6:$V$6005,0)=ROW()-5,N($AA1378)+1,N($AA1378)))</f>
        <v/>
      </c>
    </row>
    <row r="1380" ht="21" customHeight="1" s="66">
      <c r="A1380" s="56" t="n"/>
      <c r="B1380" s="57" t="n"/>
      <c r="C1380" s="57" t="n"/>
      <c r="D1380" s="57" t="n"/>
      <c r="E1380" s="56" t="n"/>
      <c r="F1380" s="57" t="n"/>
      <c r="G1380" s="57" t="n"/>
      <c r="H1380" s="56" t="n"/>
      <c r="I1380" s="56" t="n"/>
      <c r="J1380" s="58" t="n"/>
      <c r="K1380" s="58" t="n"/>
      <c r="L1380" s="13">
        <f>IF(OR($A1380="",AND($J1380="",$K1380="")),"",ROUND(N($J1380)-N($K1380),2))</f>
        <v/>
      </c>
      <c r="M1380" s="13">
        <f>IF(OR($A1380="",AND($J1380="",$K1380="")),"",MIN($J1380,$K1380))</f>
        <v/>
      </c>
      <c r="Q1380">
        <f>IF($A1380="","",$D1380&amp;"("&amp;SUBSTITUTE($E1380," ","")&amp;")")</f>
        <v/>
      </c>
      <c r="R1380">
        <f>IF($A1380="","",$B1380&amp;" - "&amp;$C1380)</f>
        <v/>
      </c>
      <c r="S1380">
        <f>IF($A1380="","",$R1380&amp;"|"&amp;$Q1380)</f>
        <v/>
      </c>
      <c r="T1380">
        <f>IF($A1380="","",$S1380&amp;"|"&amp;$F1380)</f>
        <v/>
      </c>
      <c r="U1380">
        <f>IF($A1380="","",$R1380&amp;"("&amp;$E1380&amp;")")</f>
        <v/>
      </c>
      <c r="V1380">
        <f>IF($A1380="","",$F1380&amp;"|"&amp;$U1380&amp;"|"&amp;$D1380)</f>
        <v/>
      </c>
      <c r="W1380">
        <f>IF($T1380="","",IF($X1380&gt;N($X1379),$X1380,""))</f>
        <v/>
      </c>
      <c r="X1380">
        <f>IF($T1380="",N($X1379),IF(MATCH($T1380,$T$6:$T$6005,0)=ROW()-5,N($X1379)+1,N($X1379)))</f>
        <v/>
      </c>
      <c r="Z1380">
        <f>IF($V1380="","",IF($AA1380&gt;N($AA1379),$AA1380,""))</f>
        <v/>
      </c>
      <c r="AA1380">
        <f>IF($V1380="",N($AA1379),IF(MATCH($V1380,$V$6:$V$6005,0)=ROW()-5,N($AA1379)+1,N($AA1379)))</f>
        <v/>
      </c>
    </row>
    <row r="1381" ht="21" customHeight="1" s="66">
      <c r="A1381" s="56" t="n"/>
      <c r="B1381" s="57" t="n"/>
      <c r="C1381" s="57" t="n"/>
      <c r="D1381" s="57" t="n"/>
      <c r="E1381" s="56" t="n"/>
      <c r="F1381" s="57" t="n"/>
      <c r="G1381" s="57" t="n"/>
      <c r="H1381" s="56" t="n"/>
      <c r="I1381" s="56" t="n"/>
      <c r="J1381" s="58" t="n"/>
      <c r="K1381" s="58" t="n"/>
      <c r="L1381" s="13">
        <f>IF(OR($A1381="",AND($J1381="",$K1381="")),"",ROUND(N($J1381)-N($K1381),2))</f>
        <v/>
      </c>
      <c r="M1381" s="13">
        <f>IF(OR($A1381="",AND($J1381="",$K1381="")),"",MIN($J1381,$K1381))</f>
        <v/>
      </c>
      <c r="Q1381">
        <f>IF($A1381="","",$D1381&amp;"("&amp;SUBSTITUTE($E1381," ","")&amp;")")</f>
        <v/>
      </c>
      <c r="R1381">
        <f>IF($A1381="","",$B1381&amp;" - "&amp;$C1381)</f>
        <v/>
      </c>
      <c r="S1381">
        <f>IF($A1381="","",$R1381&amp;"|"&amp;$Q1381)</f>
        <v/>
      </c>
      <c r="T1381">
        <f>IF($A1381="","",$S1381&amp;"|"&amp;$F1381)</f>
        <v/>
      </c>
      <c r="U1381">
        <f>IF($A1381="","",$R1381&amp;"("&amp;$E1381&amp;")")</f>
        <v/>
      </c>
      <c r="V1381">
        <f>IF($A1381="","",$F1381&amp;"|"&amp;$U1381&amp;"|"&amp;$D1381)</f>
        <v/>
      </c>
      <c r="W1381">
        <f>IF($T1381="","",IF($X1381&gt;N($X1380),$X1381,""))</f>
        <v/>
      </c>
      <c r="X1381">
        <f>IF($T1381="",N($X1380),IF(MATCH($T1381,$T$6:$T$6005,0)=ROW()-5,N($X1380)+1,N($X1380)))</f>
        <v/>
      </c>
      <c r="Z1381">
        <f>IF($V1381="","",IF($AA1381&gt;N($AA1380),$AA1381,""))</f>
        <v/>
      </c>
      <c r="AA1381">
        <f>IF($V1381="",N($AA1380),IF(MATCH($V1381,$V$6:$V$6005,0)=ROW()-5,N($AA1380)+1,N($AA1380)))</f>
        <v/>
      </c>
    </row>
    <row r="1382" ht="21" customHeight="1" s="66">
      <c r="A1382" s="56" t="n"/>
      <c r="B1382" s="57" t="n"/>
      <c r="C1382" s="57" t="n"/>
      <c r="D1382" s="57" t="n"/>
      <c r="E1382" s="56" t="n"/>
      <c r="F1382" s="57" t="n"/>
      <c r="G1382" s="57" t="n"/>
      <c r="H1382" s="56" t="n"/>
      <c r="I1382" s="56" t="n"/>
      <c r="J1382" s="58" t="n"/>
      <c r="K1382" s="58" t="n"/>
      <c r="L1382" s="13">
        <f>IF(OR($A1382="",AND($J1382="",$K1382="")),"",ROUND(N($J1382)-N($K1382),2))</f>
        <v/>
      </c>
      <c r="M1382" s="13">
        <f>IF(OR($A1382="",AND($J1382="",$K1382="")),"",MIN($J1382,$K1382))</f>
        <v/>
      </c>
      <c r="Q1382">
        <f>IF($A1382="","",$D1382&amp;"("&amp;SUBSTITUTE($E1382," ","")&amp;")")</f>
        <v/>
      </c>
      <c r="R1382">
        <f>IF($A1382="","",$B1382&amp;" - "&amp;$C1382)</f>
        <v/>
      </c>
      <c r="S1382">
        <f>IF($A1382="","",$R1382&amp;"|"&amp;$Q1382)</f>
        <v/>
      </c>
      <c r="T1382">
        <f>IF($A1382="","",$S1382&amp;"|"&amp;$F1382)</f>
        <v/>
      </c>
      <c r="U1382">
        <f>IF($A1382="","",$R1382&amp;"("&amp;$E1382&amp;")")</f>
        <v/>
      </c>
      <c r="V1382">
        <f>IF($A1382="","",$F1382&amp;"|"&amp;$U1382&amp;"|"&amp;$D1382)</f>
        <v/>
      </c>
      <c r="W1382">
        <f>IF($T1382="","",IF($X1382&gt;N($X1381),$X1382,""))</f>
        <v/>
      </c>
      <c r="X1382">
        <f>IF($T1382="",N($X1381),IF(MATCH($T1382,$T$6:$T$6005,0)=ROW()-5,N($X1381)+1,N($X1381)))</f>
        <v/>
      </c>
      <c r="Z1382">
        <f>IF($V1382="","",IF($AA1382&gt;N($AA1381),$AA1382,""))</f>
        <v/>
      </c>
      <c r="AA1382">
        <f>IF($V1382="",N($AA1381),IF(MATCH($V1382,$V$6:$V$6005,0)=ROW()-5,N($AA1381)+1,N($AA1381)))</f>
        <v/>
      </c>
    </row>
    <row r="1383" ht="21" customHeight="1" s="66">
      <c r="A1383" s="56" t="n"/>
      <c r="B1383" s="57" t="n"/>
      <c r="C1383" s="57" t="n"/>
      <c r="D1383" s="57" t="n"/>
      <c r="E1383" s="56" t="n"/>
      <c r="F1383" s="57" t="n"/>
      <c r="G1383" s="57" t="n"/>
      <c r="H1383" s="56" t="n"/>
      <c r="I1383" s="56" t="n"/>
      <c r="J1383" s="58" t="n"/>
      <c r="K1383" s="58" t="n"/>
      <c r="L1383" s="13">
        <f>IF(OR($A1383="",AND($J1383="",$K1383="")),"",ROUND(N($J1383)-N($K1383),2))</f>
        <v/>
      </c>
      <c r="M1383" s="13">
        <f>IF(OR($A1383="",AND($J1383="",$K1383="")),"",MIN($J1383,$K1383))</f>
        <v/>
      </c>
      <c r="Q1383">
        <f>IF($A1383="","",$D1383&amp;"("&amp;SUBSTITUTE($E1383," ","")&amp;")")</f>
        <v/>
      </c>
      <c r="R1383">
        <f>IF($A1383="","",$B1383&amp;" - "&amp;$C1383)</f>
        <v/>
      </c>
      <c r="S1383">
        <f>IF($A1383="","",$R1383&amp;"|"&amp;$Q1383)</f>
        <v/>
      </c>
      <c r="T1383">
        <f>IF($A1383="","",$S1383&amp;"|"&amp;$F1383)</f>
        <v/>
      </c>
      <c r="U1383">
        <f>IF($A1383="","",$R1383&amp;"("&amp;$E1383&amp;")")</f>
        <v/>
      </c>
      <c r="V1383">
        <f>IF($A1383="","",$F1383&amp;"|"&amp;$U1383&amp;"|"&amp;$D1383)</f>
        <v/>
      </c>
      <c r="W1383">
        <f>IF($T1383="","",IF($X1383&gt;N($X1382),$X1383,""))</f>
        <v/>
      </c>
      <c r="X1383">
        <f>IF($T1383="",N($X1382),IF(MATCH($T1383,$T$6:$T$6005,0)=ROW()-5,N($X1382)+1,N($X1382)))</f>
        <v/>
      </c>
      <c r="Z1383">
        <f>IF($V1383="","",IF($AA1383&gt;N($AA1382),$AA1383,""))</f>
        <v/>
      </c>
      <c r="AA1383">
        <f>IF($V1383="",N($AA1382),IF(MATCH($V1383,$V$6:$V$6005,0)=ROW()-5,N($AA1382)+1,N($AA1382)))</f>
        <v/>
      </c>
    </row>
    <row r="1384" ht="21" customHeight="1" s="66">
      <c r="A1384" s="56" t="n"/>
      <c r="B1384" s="57" t="n"/>
      <c r="C1384" s="57" t="n"/>
      <c r="D1384" s="57" t="n"/>
      <c r="E1384" s="56" t="n"/>
      <c r="F1384" s="57" t="n"/>
      <c r="G1384" s="57" t="n"/>
      <c r="H1384" s="56" t="n"/>
      <c r="I1384" s="56" t="n"/>
      <c r="J1384" s="58" t="n"/>
      <c r="K1384" s="58" t="n"/>
      <c r="L1384" s="13">
        <f>IF(OR($A1384="",AND($J1384="",$K1384="")),"",ROUND(N($J1384)-N($K1384),2))</f>
        <v/>
      </c>
      <c r="M1384" s="13">
        <f>IF(OR($A1384="",AND($J1384="",$K1384="")),"",MIN($J1384,$K1384))</f>
        <v/>
      </c>
      <c r="Q1384">
        <f>IF($A1384="","",$D1384&amp;"("&amp;SUBSTITUTE($E1384," ","")&amp;")")</f>
        <v/>
      </c>
      <c r="R1384">
        <f>IF($A1384="","",$B1384&amp;" - "&amp;$C1384)</f>
        <v/>
      </c>
      <c r="S1384">
        <f>IF($A1384="","",$R1384&amp;"|"&amp;$Q1384)</f>
        <v/>
      </c>
      <c r="T1384">
        <f>IF($A1384="","",$S1384&amp;"|"&amp;$F1384)</f>
        <v/>
      </c>
      <c r="U1384">
        <f>IF($A1384="","",$R1384&amp;"("&amp;$E1384&amp;")")</f>
        <v/>
      </c>
      <c r="V1384">
        <f>IF($A1384="","",$F1384&amp;"|"&amp;$U1384&amp;"|"&amp;$D1384)</f>
        <v/>
      </c>
      <c r="W1384">
        <f>IF($T1384="","",IF($X1384&gt;N($X1383),$X1384,""))</f>
        <v/>
      </c>
      <c r="X1384">
        <f>IF($T1384="",N($X1383),IF(MATCH($T1384,$T$6:$T$6005,0)=ROW()-5,N($X1383)+1,N($X1383)))</f>
        <v/>
      </c>
      <c r="Z1384">
        <f>IF($V1384="","",IF($AA1384&gt;N($AA1383),$AA1384,""))</f>
        <v/>
      </c>
      <c r="AA1384">
        <f>IF($V1384="",N($AA1383),IF(MATCH($V1384,$V$6:$V$6005,0)=ROW()-5,N($AA1383)+1,N($AA1383)))</f>
        <v/>
      </c>
    </row>
    <row r="1385" ht="21" customHeight="1" s="66">
      <c r="A1385" s="56" t="n"/>
      <c r="B1385" s="57" t="n"/>
      <c r="C1385" s="57" t="n"/>
      <c r="D1385" s="57" t="n"/>
      <c r="E1385" s="56" t="n"/>
      <c r="F1385" s="57" t="n"/>
      <c r="G1385" s="57" t="n"/>
      <c r="H1385" s="56" t="n"/>
      <c r="I1385" s="56" t="n"/>
      <c r="J1385" s="58" t="n"/>
      <c r="K1385" s="58" t="n"/>
      <c r="L1385" s="13">
        <f>IF(OR($A1385="",AND($J1385="",$K1385="")),"",ROUND(N($J1385)-N($K1385),2))</f>
        <v/>
      </c>
      <c r="M1385" s="13">
        <f>IF(OR($A1385="",AND($J1385="",$K1385="")),"",MIN($J1385,$K1385))</f>
        <v/>
      </c>
      <c r="Q1385">
        <f>IF($A1385="","",$D1385&amp;"("&amp;SUBSTITUTE($E1385," ","")&amp;")")</f>
        <v/>
      </c>
      <c r="R1385">
        <f>IF($A1385="","",$B1385&amp;" - "&amp;$C1385)</f>
        <v/>
      </c>
      <c r="S1385">
        <f>IF($A1385="","",$R1385&amp;"|"&amp;$Q1385)</f>
        <v/>
      </c>
      <c r="T1385">
        <f>IF($A1385="","",$S1385&amp;"|"&amp;$F1385)</f>
        <v/>
      </c>
      <c r="U1385">
        <f>IF($A1385="","",$R1385&amp;"("&amp;$E1385&amp;")")</f>
        <v/>
      </c>
      <c r="V1385">
        <f>IF($A1385="","",$F1385&amp;"|"&amp;$U1385&amp;"|"&amp;$D1385)</f>
        <v/>
      </c>
      <c r="W1385">
        <f>IF($T1385="","",IF($X1385&gt;N($X1384),$X1385,""))</f>
        <v/>
      </c>
      <c r="X1385">
        <f>IF($T1385="",N($X1384),IF(MATCH($T1385,$T$6:$T$6005,0)=ROW()-5,N($X1384)+1,N($X1384)))</f>
        <v/>
      </c>
      <c r="Z1385">
        <f>IF($V1385="","",IF($AA1385&gt;N($AA1384),$AA1385,""))</f>
        <v/>
      </c>
      <c r="AA1385">
        <f>IF($V1385="",N($AA1384),IF(MATCH($V1385,$V$6:$V$6005,0)=ROW()-5,N($AA1384)+1,N($AA1384)))</f>
        <v/>
      </c>
    </row>
    <row r="1386" ht="21" customHeight="1" s="66">
      <c r="A1386" s="56" t="n"/>
      <c r="B1386" s="57" t="n"/>
      <c r="C1386" s="57" t="n"/>
      <c r="D1386" s="57" t="n"/>
      <c r="E1386" s="56" t="n"/>
      <c r="F1386" s="57" t="n"/>
      <c r="G1386" s="57" t="n"/>
      <c r="H1386" s="56" t="n"/>
      <c r="I1386" s="56" t="n"/>
      <c r="J1386" s="58" t="n"/>
      <c r="K1386" s="58" t="n"/>
      <c r="L1386" s="13">
        <f>IF(OR($A1386="",AND($J1386="",$K1386="")),"",ROUND(N($J1386)-N($K1386),2))</f>
        <v/>
      </c>
      <c r="M1386" s="13">
        <f>IF(OR($A1386="",AND($J1386="",$K1386="")),"",MIN($J1386,$K1386))</f>
        <v/>
      </c>
      <c r="Q1386">
        <f>IF($A1386="","",$D1386&amp;"("&amp;SUBSTITUTE($E1386," ","")&amp;")")</f>
        <v/>
      </c>
      <c r="R1386">
        <f>IF($A1386="","",$B1386&amp;" - "&amp;$C1386)</f>
        <v/>
      </c>
      <c r="S1386">
        <f>IF($A1386="","",$R1386&amp;"|"&amp;$Q1386)</f>
        <v/>
      </c>
      <c r="T1386">
        <f>IF($A1386="","",$S1386&amp;"|"&amp;$F1386)</f>
        <v/>
      </c>
      <c r="U1386">
        <f>IF($A1386="","",$R1386&amp;"("&amp;$E1386&amp;")")</f>
        <v/>
      </c>
      <c r="V1386">
        <f>IF($A1386="","",$F1386&amp;"|"&amp;$U1386&amp;"|"&amp;$D1386)</f>
        <v/>
      </c>
      <c r="W1386">
        <f>IF($T1386="","",IF($X1386&gt;N($X1385),$X1386,""))</f>
        <v/>
      </c>
      <c r="X1386">
        <f>IF($T1386="",N($X1385),IF(MATCH($T1386,$T$6:$T$6005,0)=ROW()-5,N($X1385)+1,N($X1385)))</f>
        <v/>
      </c>
      <c r="Z1386">
        <f>IF($V1386="","",IF($AA1386&gt;N($AA1385),$AA1386,""))</f>
        <v/>
      </c>
      <c r="AA1386">
        <f>IF($V1386="",N($AA1385),IF(MATCH($V1386,$V$6:$V$6005,0)=ROW()-5,N($AA1385)+1,N($AA1385)))</f>
        <v/>
      </c>
    </row>
    <row r="1387" ht="21" customHeight="1" s="66">
      <c r="A1387" s="56" t="n"/>
      <c r="B1387" s="57" t="n"/>
      <c r="C1387" s="57" t="n"/>
      <c r="D1387" s="57" t="n"/>
      <c r="E1387" s="56" t="n"/>
      <c r="F1387" s="57" t="n"/>
      <c r="G1387" s="57" t="n"/>
      <c r="H1387" s="56" t="n"/>
      <c r="I1387" s="56" t="n"/>
      <c r="J1387" s="58" t="n"/>
      <c r="K1387" s="58" t="n"/>
      <c r="L1387" s="13">
        <f>IF(OR($A1387="",AND($J1387="",$K1387="")),"",ROUND(N($J1387)-N($K1387),2))</f>
        <v/>
      </c>
      <c r="M1387" s="13">
        <f>IF(OR($A1387="",AND($J1387="",$K1387="")),"",MIN($J1387,$K1387))</f>
        <v/>
      </c>
      <c r="Q1387">
        <f>IF($A1387="","",$D1387&amp;"("&amp;SUBSTITUTE($E1387," ","")&amp;")")</f>
        <v/>
      </c>
      <c r="R1387">
        <f>IF($A1387="","",$B1387&amp;" - "&amp;$C1387)</f>
        <v/>
      </c>
      <c r="S1387">
        <f>IF($A1387="","",$R1387&amp;"|"&amp;$Q1387)</f>
        <v/>
      </c>
      <c r="T1387">
        <f>IF($A1387="","",$S1387&amp;"|"&amp;$F1387)</f>
        <v/>
      </c>
      <c r="U1387">
        <f>IF($A1387="","",$R1387&amp;"("&amp;$E1387&amp;")")</f>
        <v/>
      </c>
      <c r="V1387">
        <f>IF($A1387="","",$F1387&amp;"|"&amp;$U1387&amp;"|"&amp;$D1387)</f>
        <v/>
      </c>
      <c r="W1387">
        <f>IF($T1387="","",IF($X1387&gt;N($X1386),$X1387,""))</f>
        <v/>
      </c>
      <c r="X1387">
        <f>IF($T1387="",N($X1386),IF(MATCH($T1387,$T$6:$T$6005,0)=ROW()-5,N($X1386)+1,N($X1386)))</f>
        <v/>
      </c>
      <c r="Z1387">
        <f>IF($V1387="","",IF($AA1387&gt;N($AA1386),$AA1387,""))</f>
        <v/>
      </c>
      <c r="AA1387">
        <f>IF($V1387="",N($AA1386),IF(MATCH($V1387,$V$6:$V$6005,0)=ROW()-5,N($AA1386)+1,N($AA1386)))</f>
        <v/>
      </c>
    </row>
    <row r="1388" ht="21" customHeight="1" s="66">
      <c r="A1388" s="56" t="n"/>
      <c r="B1388" s="57" t="n"/>
      <c r="C1388" s="57" t="n"/>
      <c r="D1388" s="57" t="n"/>
      <c r="E1388" s="56" t="n"/>
      <c r="F1388" s="57" t="n"/>
      <c r="G1388" s="57" t="n"/>
      <c r="H1388" s="56" t="n"/>
      <c r="I1388" s="56" t="n"/>
      <c r="J1388" s="58" t="n"/>
      <c r="K1388" s="58" t="n"/>
      <c r="L1388" s="13">
        <f>IF(OR($A1388="",AND($J1388="",$K1388="")),"",ROUND(N($J1388)-N($K1388),2))</f>
        <v/>
      </c>
      <c r="M1388" s="13">
        <f>IF(OR($A1388="",AND($J1388="",$K1388="")),"",MIN($J1388,$K1388))</f>
        <v/>
      </c>
      <c r="Q1388">
        <f>IF($A1388="","",$D1388&amp;"("&amp;SUBSTITUTE($E1388," ","")&amp;")")</f>
        <v/>
      </c>
      <c r="R1388">
        <f>IF($A1388="","",$B1388&amp;" - "&amp;$C1388)</f>
        <v/>
      </c>
      <c r="S1388">
        <f>IF($A1388="","",$R1388&amp;"|"&amp;$Q1388)</f>
        <v/>
      </c>
      <c r="T1388">
        <f>IF($A1388="","",$S1388&amp;"|"&amp;$F1388)</f>
        <v/>
      </c>
      <c r="U1388">
        <f>IF($A1388="","",$R1388&amp;"("&amp;$E1388&amp;")")</f>
        <v/>
      </c>
      <c r="V1388">
        <f>IF($A1388="","",$F1388&amp;"|"&amp;$U1388&amp;"|"&amp;$D1388)</f>
        <v/>
      </c>
      <c r="W1388">
        <f>IF($T1388="","",IF($X1388&gt;N($X1387),$X1388,""))</f>
        <v/>
      </c>
      <c r="X1388">
        <f>IF($T1388="",N($X1387),IF(MATCH($T1388,$T$6:$T$6005,0)=ROW()-5,N($X1387)+1,N($X1387)))</f>
        <v/>
      </c>
      <c r="Z1388">
        <f>IF($V1388="","",IF($AA1388&gt;N($AA1387),$AA1388,""))</f>
        <v/>
      </c>
      <c r="AA1388">
        <f>IF($V1388="",N($AA1387),IF(MATCH($V1388,$V$6:$V$6005,0)=ROW()-5,N($AA1387)+1,N($AA1387)))</f>
        <v/>
      </c>
    </row>
    <row r="1389" ht="21" customHeight="1" s="66">
      <c r="A1389" s="56" t="n"/>
      <c r="B1389" s="57" t="n"/>
      <c r="C1389" s="57" t="n"/>
      <c r="D1389" s="57" t="n"/>
      <c r="E1389" s="56" t="n"/>
      <c r="F1389" s="57" t="n"/>
      <c r="G1389" s="57" t="n"/>
      <c r="H1389" s="56" t="n"/>
      <c r="I1389" s="56" t="n"/>
      <c r="J1389" s="58" t="n"/>
      <c r="K1389" s="58" t="n"/>
      <c r="L1389" s="13">
        <f>IF(OR($A1389="",AND($J1389="",$K1389="")),"",ROUND(N($J1389)-N($K1389),2))</f>
        <v/>
      </c>
      <c r="M1389" s="13">
        <f>IF(OR($A1389="",AND($J1389="",$K1389="")),"",MIN($J1389,$K1389))</f>
        <v/>
      </c>
      <c r="Q1389">
        <f>IF($A1389="","",$D1389&amp;"("&amp;SUBSTITUTE($E1389," ","")&amp;")")</f>
        <v/>
      </c>
      <c r="R1389">
        <f>IF($A1389="","",$B1389&amp;" - "&amp;$C1389)</f>
        <v/>
      </c>
      <c r="S1389">
        <f>IF($A1389="","",$R1389&amp;"|"&amp;$Q1389)</f>
        <v/>
      </c>
      <c r="T1389">
        <f>IF($A1389="","",$S1389&amp;"|"&amp;$F1389)</f>
        <v/>
      </c>
      <c r="U1389">
        <f>IF($A1389="","",$R1389&amp;"("&amp;$E1389&amp;")")</f>
        <v/>
      </c>
      <c r="V1389">
        <f>IF($A1389="","",$F1389&amp;"|"&amp;$U1389&amp;"|"&amp;$D1389)</f>
        <v/>
      </c>
      <c r="W1389">
        <f>IF($T1389="","",IF($X1389&gt;N($X1388),$X1389,""))</f>
        <v/>
      </c>
      <c r="X1389">
        <f>IF($T1389="",N($X1388),IF(MATCH($T1389,$T$6:$T$6005,0)=ROW()-5,N($X1388)+1,N($X1388)))</f>
        <v/>
      </c>
      <c r="Z1389">
        <f>IF($V1389="","",IF($AA1389&gt;N($AA1388),$AA1389,""))</f>
        <v/>
      </c>
      <c r="AA1389">
        <f>IF($V1389="",N($AA1388),IF(MATCH($V1389,$V$6:$V$6005,0)=ROW()-5,N($AA1388)+1,N($AA1388)))</f>
        <v/>
      </c>
    </row>
    <row r="1390" ht="21" customHeight="1" s="66">
      <c r="A1390" s="56" t="n"/>
      <c r="B1390" s="57" t="n"/>
      <c r="C1390" s="57" t="n"/>
      <c r="D1390" s="57" t="n"/>
      <c r="E1390" s="56" t="n"/>
      <c r="F1390" s="57" t="n"/>
      <c r="G1390" s="57" t="n"/>
      <c r="H1390" s="56" t="n"/>
      <c r="I1390" s="56" t="n"/>
      <c r="J1390" s="58" t="n"/>
      <c r="K1390" s="58" t="n"/>
      <c r="L1390" s="13">
        <f>IF(OR($A1390="",AND($J1390="",$K1390="")),"",ROUND(N($J1390)-N($K1390),2))</f>
        <v/>
      </c>
      <c r="M1390" s="13">
        <f>IF(OR($A1390="",AND($J1390="",$K1390="")),"",MIN($J1390,$K1390))</f>
        <v/>
      </c>
      <c r="Q1390">
        <f>IF($A1390="","",$D1390&amp;"("&amp;SUBSTITUTE($E1390," ","")&amp;")")</f>
        <v/>
      </c>
      <c r="R1390">
        <f>IF($A1390="","",$B1390&amp;" - "&amp;$C1390)</f>
        <v/>
      </c>
      <c r="S1390">
        <f>IF($A1390="","",$R1390&amp;"|"&amp;$Q1390)</f>
        <v/>
      </c>
      <c r="T1390">
        <f>IF($A1390="","",$S1390&amp;"|"&amp;$F1390)</f>
        <v/>
      </c>
      <c r="U1390">
        <f>IF($A1390="","",$R1390&amp;"("&amp;$E1390&amp;")")</f>
        <v/>
      </c>
      <c r="V1390">
        <f>IF($A1390="","",$F1390&amp;"|"&amp;$U1390&amp;"|"&amp;$D1390)</f>
        <v/>
      </c>
      <c r="W1390">
        <f>IF($T1390="","",IF($X1390&gt;N($X1389),$X1390,""))</f>
        <v/>
      </c>
      <c r="X1390">
        <f>IF($T1390="",N($X1389),IF(MATCH($T1390,$T$6:$T$6005,0)=ROW()-5,N($X1389)+1,N($X1389)))</f>
        <v/>
      </c>
      <c r="Z1390">
        <f>IF($V1390="","",IF($AA1390&gt;N($AA1389),$AA1390,""))</f>
        <v/>
      </c>
      <c r="AA1390">
        <f>IF($V1390="",N($AA1389),IF(MATCH($V1390,$V$6:$V$6005,0)=ROW()-5,N($AA1389)+1,N($AA1389)))</f>
        <v/>
      </c>
    </row>
    <row r="1391" ht="21" customHeight="1" s="66">
      <c r="A1391" s="56" t="n"/>
      <c r="B1391" s="57" t="n"/>
      <c r="C1391" s="57" t="n"/>
      <c r="D1391" s="57" t="n"/>
      <c r="E1391" s="56" t="n"/>
      <c r="F1391" s="57" t="n"/>
      <c r="G1391" s="57" t="n"/>
      <c r="H1391" s="56" t="n"/>
      <c r="I1391" s="56" t="n"/>
      <c r="J1391" s="58" t="n"/>
      <c r="K1391" s="58" t="n"/>
      <c r="L1391" s="13">
        <f>IF(OR($A1391="",AND($J1391="",$K1391="")),"",ROUND(N($J1391)-N($K1391),2))</f>
        <v/>
      </c>
      <c r="M1391" s="13">
        <f>IF(OR($A1391="",AND($J1391="",$K1391="")),"",MIN($J1391,$K1391))</f>
        <v/>
      </c>
      <c r="Q1391">
        <f>IF($A1391="","",$D1391&amp;"("&amp;SUBSTITUTE($E1391," ","")&amp;")")</f>
        <v/>
      </c>
      <c r="R1391">
        <f>IF($A1391="","",$B1391&amp;" - "&amp;$C1391)</f>
        <v/>
      </c>
      <c r="S1391">
        <f>IF($A1391="","",$R1391&amp;"|"&amp;$Q1391)</f>
        <v/>
      </c>
      <c r="T1391">
        <f>IF($A1391="","",$S1391&amp;"|"&amp;$F1391)</f>
        <v/>
      </c>
      <c r="U1391">
        <f>IF($A1391="","",$R1391&amp;"("&amp;$E1391&amp;")")</f>
        <v/>
      </c>
      <c r="V1391">
        <f>IF($A1391="","",$F1391&amp;"|"&amp;$U1391&amp;"|"&amp;$D1391)</f>
        <v/>
      </c>
      <c r="W1391">
        <f>IF($T1391="","",IF($X1391&gt;N($X1390),$X1391,""))</f>
        <v/>
      </c>
      <c r="X1391">
        <f>IF($T1391="",N($X1390),IF(MATCH($T1391,$T$6:$T$6005,0)=ROW()-5,N($X1390)+1,N($X1390)))</f>
        <v/>
      </c>
      <c r="Z1391">
        <f>IF($V1391="","",IF($AA1391&gt;N($AA1390),$AA1391,""))</f>
        <v/>
      </c>
      <c r="AA1391">
        <f>IF($V1391="",N($AA1390),IF(MATCH($V1391,$V$6:$V$6005,0)=ROW()-5,N($AA1390)+1,N($AA1390)))</f>
        <v/>
      </c>
    </row>
    <row r="1392" ht="21" customHeight="1" s="66">
      <c r="A1392" s="56" t="n"/>
      <c r="B1392" s="57" t="n"/>
      <c r="C1392" s="57" t="n"/>
      <c r="D1392" s="57" t="n"/>
      <c r="E1392" s="56" t="n"/>
      <c r="F1392" s="57" t="n"/>
      <c r="G1392" s="57" t="n"/>
      <c r="H1392" s="56" t="n"/>
      <c r="I1392" s="56" t="n"/>
      <c r="J1392" s="58" t="n"/>
      <c r="K1392" s="58" t="n"/>
      <c r="L1392" s="13">
        <f>IF(OR($A1392="",AND($J1392="",$K1392="")),"",ROUND(N($J1392)-N($K1392),2))</f>
        <v/>
      </c>
      <c r="M1392" s="13">
        <f>IF(OR($A1392="",AND($J1392="",$K1392="")),"",MIN($J1392,$K1392))</f>
        <v/>
      </c>
      <c r="Q1392">
        <f>IF($A1392="","",$D1392&amp;"("&amp;SUBSTITUTE($E1392," ","")&amp;")")</f>
        <v/>
      </c>
      <c r="R1392">
        <f>IF($A1392="","",$B1392&amp;" - "&amp;$C1392)</f>
        <v/>
      </c>
      <c r="S1392">
        <f>IF($A1392="","",$R1392&amp;"|"&amp;$Q1392)</f>
        <v/>
      </c>
      <c r="T1392">
        <f>IF($A1392="","",$S1392&amp;"|"&amp;$F1392)</f>
        <v/>
      </c>
      <c r="U1392">
        <f>IF($A1392="","",$R1392&amp;"("&amp;$E1392&amp;")")</f>
        <v/>
      </c>
      <c r="V1392">
        <f>IF($A1392="","",$F1392&amp;"|"&amp;$U1392&amp;"|"&amp;$D1392)</f>
        <v/>
      </c>
      <c r="W1392">
        <f>IF($T1392="","",IF($X1392&gt;N($X1391),$X1392,""))</f>
        <v/>
      </c>
      <c r="X1392">
        <f>IF($T1392="",N($X1391),IF(MATCH($T1392,$T$6:$T$6005,0)=ROW()-5,N($X1391)+1,N($X1391)))</f>
        <v/>
      </c>
      <c r="Z1392">
        <f>IF($V1392="","",IF($AA1392&gt;N($AA1391),$AA1392,""))</f>
        <v/>
      </c>
      <c r="AA1392">
        <f>IF($V1392="",N($AA1391),IF(MATCH($V1392,$V$6:$V$6005,0)=ROW()-5,N($AA1391)+1,N($AA1391)))</f>
        <v/>
      </c>
    </row>
    <row r="1393" ht="21" customHeight="1" s="66">
      <c r="A1393" s="56" t="n"/>
      <c r="B1393" s="57" t="n"/>
      <c r="C1393" s="57" t="n"/>
      <c r="D1393" s="57" t="n"/>
      <c r="E1393" s="56" t="n"/>
      <c r="F1393" s="57" t="n"/>
      <c r="G1393" s="57" t="n"/>
      <c r="H1393" s="56" t="n"/>
      <c r="I1393" s="56" t="n"/>
      <c r="J1393" s="58" t="n"/>
      <c r="K1393" s="58" t="n"/>
      <c r="L1393" s="13">
        <f>IF(OR($A1393="",AND($J1393="",$K1393="")),"",ROUND(N($J1393)-N($K1393),2))</f>
        <v/>
      </c>
      <c r="M1393" s="13">
        <f>IF(OR($A1393="",AND($J1393="",$K1393="")),"",MIN($J1393,$K1393))</f>
        <v/>
      </c>
      <c r="Q1393">
        <f>IF($A1393="","",$D1393&amp;"("&amp;SUBSTITUTE($E1393," ","")&amp;")")</f>
        <v/>
      </c>
      <c r="R1393">
        <f>IF($A1393="","",$B1393&amp;" - "&amp;$C1393)</f>
        <v/>
      </c>
      <c r="S1393">
        <f>IF($A1393="","",$R1393&amp;"|"&amp;$Q1393)</f>
        <v/>
      </c>
      <c r="T1393">
        <f>IF($A1393="","",$S1393&amp;"|"&amp;$F1393)</f>
        <v/>
      </c>
      <c r="U1393">
        <f>IF($A1393="","",$R1393&amp;"("&amp;$E1393&amp;")")</f>
        <v/>
      </c>
      <c r="V1393">
        <f>IF($A1393="","",$F1393&amp;"|"&amp;$U1393&amp;"|"&amp;$D1393)</f>
        <v/>
      </c>
      <c r="W1393">
        <f>IF($T1393="","",IF($X1393&gt;N($X1392),$X1393,""))</f>
        <v/>
      </c>
      <c r="X1393">
        <f>IF($T1393="",N($X1392),IF(MATCH($T1393,$T$6:$T$6005,0)=ROW()-5,N($X1392)+1,N($X1392)))</f>
        <v/>
      </c>
      <c r="Z1393">
        <f>IF($V1393="","",IF($AA1393&gt;N($AA1392),$AA1393,""))</f>
        <v/>
      </c>
      <c r="AA1393">
        <f>IF($V1393="",N($AA1392),IF(MATCH($V1393,$V$6:$V$6005,0)=ROW()-5,N($AA1392)+1,N($AA1392)))</f>
        <v/>
      </c>
    </row>
    <row r="1394" ht="21" customHeight="1" s="66">
      <c r="A1394" s="56" t="n"/>
      <c r="B1394" s="57" t="n"/>
      <c r="C1394" s="57" t="n"/>
      <c r="D1394" s="57" t="n"/>
      <c r="E1394" s="56" t="n"/>
      <c r="F1394" s="57" t="n"/>
      <c r="G1394" s="57" t="n"/>
      <c r="H1394" s="56" t="n"/>
      <c r="I1394" s="56" t="n"/>
      <c r="J1394" s="58" t="n"/>
      <c r="K1394" s="58" t="n"/>
      <c r="L1394" s="13">
        <f>IF(OR($A1394="",AND($J1394="",$K1394="")),"",ROUND(N($J1394)-N($K1394),2))</f>
        <v/>
      </c>
      <c r="M1394" s="13">
        <f>IF(OR($A1394="",AND($J1394="",$K1394="")),"",MIN($J1394,$K1394))</f>
        <v/>
      </c>
      <c r="Q1394">
        <f>IF($A1394="","",$D1394&amp;"("&amp;SUBSTITUTE($E1394," ","")&amp;")")</f>
        <v/>
      </c>
      <c r="R1394">
        <f>IF($A1394="","",$B1394&amp;" - "&amp;$C1394)</f>
        <v/>
      </c>
      <c r="S1394">
        <f>IF($A1394="","",$R1394&amp;"|"&amp;$Q1394)</f>
        <v/>
      </c>
      <c r="T1394">
        <f>IF($A1394="","",$S1394&amp;"|"&amp;$F1394)</f>
        <v/>
      </c>
      <c r="U1394">
        <f>IF($A1394="","",$R1394&amp;"("&amp;$E1394&amp;")")</f>
        <v/>
      </c>
      <c r="V1394">
        <f>IF($A1394="","",$F1394&amp;"|"&amp;$U1394&amp;"|"&amp;$D1394)</f>
        <v/>
      </c>
      <c r="W1394">
        <f>IF($T1394="","",IF($X1394&gt;N($X1393),$X1394,""))</f>
        <v/>
      </c>
      <c r="X1394">
        <f>IF($T1394="",N($X1393),IF(MATCH($T1394,$T$6:$T$6005,0)=ROW()-5,N($X1393)+1,N($X1393)))</f>
        <v/>
      </c>
      <c r="Z1394">
        <f>IF($V1394="","",IF($AA1394&gt;N($AA1393),$AA1394,""))</f>
        <v/>
      </c>
      <c r="AA1394">
        <f>IF($V1394="",N($AA1393),IF(MATCH($V1394,$V$6:$V$6005,0)=ROW()-5,N($AA1393)+1,N($AA1393)))</f>
        <v/>
      </c>
    </row>
    <row r="1395" ht="21" customHeight="1" s="66">
      <c r="A1395" s="56" t="n"/>
      <c r="B1395" s="57" t="n"/>
      <c r="C1395" s="57" t="n"/>
      <c r="D1395" s="57" t="n"/>
      <c r="E1395" s="56" t="n"/>
      <c r="F1395" s="57" t="n"/>
      <c r="G1395" s="57" t="n"/>
      <c r="H1395" s="56" t="n"/>
      <c r="I1395" s="56" t="n"/>
      <c r="J1395" s="58" t="n"/>
      <c r="K1395" s="58" t="n"/>
      <c r="L1395" s="13">
        <f>IF(OR($A1395="",AND($J1395="",$K1395="")),"",ROUND(N($J1395)-N($K1395),2))</f>
        <v/>
      </c>
      <c r="M1395" s="13">
        <f>IF(OR($A1395="",AND($J1395="",$K1395="")),"",MIN($J1395,$K1395))</f>
        <v/>
      </c>
      <c r="Q1395">
        <f>IF($A1395="","",$D1395&amp;"("&amp;SUBSTITUTE($E1395," ","")&amp;")")</f>
        <v/>
      </c>
      <c r="R1395">
        <f>IF($A1395="","",$B1395&amp;" - "&amp;$C1395)</f>
        <v/>
      </c>
      <c r="S1395">
        <f>IF($A1395="","",$R1395&amp;"|"&amp;$Q1395)</f>
        <v/>
      </c>
      <c r="T1395">
        <f>IF($A1395="","",$S1395&amp;"|"&amp;$F1395)</f>
        <v/>
      </c>
      <c r="U1395">
        <f>IF($A1395="","",$R1395&amp;"("&amp;$E1395&amp;")")</f>
        <v/>
      </c>
      <c r="V1395">
        <f>IF($A1395="","",$F1395&amp;"|"&amp;$U1395&amp;"|"&amp;$D1395)</f>
        <v/>
      </c>
      <c r="W1395">
        <f>IF($T1395="","",IF($X1395&gt;N($X1394),$X1395,""))</f>
        <v/>
      </c>
      <c r="X1395">
        <f>IF($T1395="",N($X1394),IF(MATCH($T1395,$T$6:$T$6005,0)=ROW()-5,N($X1394)+1,N($X1394)))</f>
        <v/>
      </c>
      <c r="Z1395">
        <f>IF($V1395="","",IF($AA1395&gt;N($AA1394),$AA1395,""))</f>
        <v/>
      </c>
      <c r="AA1395">
        <f>IF($V1395="",N($AA1394),IF(MATCH($V1395,$V$6:$V$6005,0)=ROW()-5,N($AA1394)+1,N($AA1394)))</f>
        <v/>
      </c>
    </row>
    <row r="1396" ht="21" customHeight="1" s="66">
      <c r="A1396" s="56" t="n"/>
      <c r="B1396" s="57" t="n"/>
      <c r="C1396" s="57" t="n"/>
      <c r="D1396" s="57" t="n"/>
      <c r="E1396" s="56" t="n"/>
      <c r="F1396" s="57" t="n"/>
      <c r="G1396" s="57" t="n"/>
      <c r="H1396" s="56" t="n"/>
      <c r="I1396" s="56" t="n"/>
      <c r="J1396" s="58" t="n"/>
      <c r="K1396" s="58" t="n"/>
      <c r="L1396" s="13">
        <f>IF(OR($A1396="",AND($J1396="",$K1396="")),"",ROUND(N($J1396)-N($K1396),2))</f>
        <v/>
      </c>
      <c r="M1396" s="13">
        <f>IF(OR($A1396="",AND($J1396="",$K1396="")),"",MIN($J1396,$K1396))</f>
        <v/>
      </c>
      <c r="Q1396">
        <f>IF($A1396="","",$D1396&amp;"("&amp;SUBSTITUTE($E1396," ","")&amp;")")</f>
        <v/>
      </c>
      <c r="R1396">
        <f>IF($A1396="","",$B1396&amp;" - "&amp;$C1396)</f>
        <v/>
      </c>
      <c r="S1396">
        <f>IF($A1396="","",$R1396&amp;"|"&amp;$Q1396)</f>
        <v/>
      </c>
      <c r="T1396">
        <f>IF($A1396="","",$S1396&amp;"|"&amp;$F1396)</f>
        <v/>
      </c>
      <c r="U1396">
        <f>IF($A1396="","",$R1396&amp;"("&amp;$E1396&amp;")")</f>
        <v/>
      </c>
      <c r="V1396">
        <f>IF($A1396="","",$F1396&amp;"|"&amp;$U1396&amp;"|"&amp;$D1396)</f>
        <v/>
      </c>
      <c r="W1396">
        <f>IF($T1396="","",IF($X1396&gt;N($X1395),$X1396,""))</f>
        <v/>
      </c>
      <c r="X1396">
        <f>IF($T1396="",N($X1395),IF(MATCH($T1396,$T$6:$T$6005,0)=ROW()-5,N($X1395)+1,N($X1395)))</f>
        <v/>
      </c>
      <c r="Z1396">
        <f>IF($V1396="","",IF($AA1396&gt;N($AA1395),$AA1396,""))</f>
        <v/>
      </c>
      <c r="AA1396">
        <f>IF($V1396="",N($AA1395),IF(MATCH($V1396,$V$6:$V$6005,0)=ROW()-5,N($AA1395)+1,N($AA1395)))</f>
        <v/>
      </c>
    </row>
    <row r="1397" ht="21" customHeight="1" s="66">
      <c r="A1397" s="56" t="n"/>
      <c r="B1397" s="57" t="n"/>
      <c r="C1397" s="57" t="n"/>
      <c r="D1397" s="57" t="n"/>
      <c r="E1397" s="56" t="n"/>
      <c r="F1397" s="57" t="n"/>
      <c r="G1397" s="57" t="n"/>
      <c r="H1397" s="56" t="n"/>
      <c r="I1397" s="56" t="n"/>
      <c r="J1397" s="58" t="n"/>
      <c r="K1397" s="58" t="n"/>
      <c r="L1397" s="13">
        <f>IF(OR($A1397="",AND($J1397="",$K1397="")),"",ROUND(N($J1397)-N($K1397),2))</f>
        <v/>
      </c>
      <c r="M1397" s="13">
        <f>IF(OR($A1397="",AND($J1397="",$K1397="")),"",MIN($J1397,$K1397))</f>
        <v/>
      </c>
      <c r="Q1397">
        <f>IF($A1397="","",$D1397&amp;"("&amp;SUBSTITUTE($E1397," ","")&amp;")")</f>
        <v/>
      </c>
      <c r="R1397">
        <f>IF($A1397="","",$B1397&amp;" - "&amp;$C1397)</f>
        <v/>
      </c>
      <c r="S1397">
        <f>IF($A1397="","",$R1397&amp;"|"&amp;$Q1397)</f>
        <v/>
      </c>
      <c r="T1397">
        <f>IF($A1397="","",$S1397&amp;"|"&amp;$F1397)</f>
        <v/>
      </c>
      <c r="U1397">
        <f>IF($A1397="","",$R1397&amp;"("&amp;$E1397&amp;")")</f>
        <v/>
      </c>
      <c r="V1397">
        <f>IF($A1397="","",$F1397&amp;"|"&amp;$U1397&amp;"|"&amp;$D1397)</f>
        <v/>
      </c>
      <c r="W1397">
        <f>IF($T1397="","",IF($X1397&gt;N($X1396),$X1397,""))</f>
        <v/>
      </c>
      <c r="X1397">
        <f>IF($T1397="",N($X1396),IF(MATCH($T1397,$T$6:$T$6005,0)=ROW()-5,N($X1396)+1,N($X1396)))</f>
        <v/>
      </c>
      <c r="Z1397">
        <f>IF($V1397="","",IF($AA1397&gt;N($AA1396),$AA1397,""))</f>
        <v/>
      </c>
      <c r="AA1397">
        <f>IF($V1397="",N($AA1396),IF(MATCH($V1397,$V$6:$V$6005,0)=ROW()-5,N($AA1396)+1,N($AA1396)))</f>
        <v/>
      </c>
    </row>
    <row r="1398" ht="21" customHeight="1" s="66">
      <c r="A1398" s="56" t="n"/>
      <c r="B1398" s="57" t="n"/>
      <c r="C1398" s="57" t="n"/>
      <c r="D1398" s="57" t="n"/>
      <c r="E1398" s="56" t="n"/>
      <c r="F1398" s="57" t="n"/>
      <c r="G1398" s="57" t="n"/>
      <c r="H1398" s="56" t="n"/>
      <c r="I1398" s="56" t="n"/>
      <c r="J1398" s="58" t="n"/>
      <c r="K1398" s="58" t="n"/>
      <c r="L1398" s="13">
        <f>IF(OR($A1398="",AND($J1398="",$K1398="")),"",ROUND(N($J1398)-N($K1398),2))</f>
        <v/>
      </c>
      <c r="M1398" s="13">
        <f>IF(OR($A1398="",AND($J1398="",$K1398="")),"",MIN($J1398,$K1398))</f>
        <v/>
      </c>
      <c r="Q1398">
        <f>IF($A1398="","",$D1398&amp;"("&amp;SUBSTITUTE($E1398," ","")&amp;")")</f>
        <v/>
      </c>
      <c r="R1398">
        <f>IF($A1398="","",$B1398&amp;" - "&amp;$C1398)</f>
        <v/>
      </c>
      <c r="S1398">
        <f>IF($A1398="","",$R1398&amp;"|"&amp;$Q1398)</f>
        <v/>
      </c>
      <c r="T1398">
        <f>IF($A1398="","",$S1398&amp;"|"&amp;$F1398)</f>
        <v/>
      </c>
      <c r="U1398">
        <f>IF($A1398="","",$R1398&amp;"("&amp;$E1398&amp;")")</f>
        <v/>
      </c>
      <c r="V1398">
        <f>IF($A1398="","",$F1398&amp;"|"&amp;$U1398&amp;"|"&amp;$D1398)</f>
        <v/>
      </c>
      <c r="W1398">
        <f>IF($T1398="","",IF($X1398&gt;N($X1397),$X1398,""))</f>
        <v/>
      </c>
      <c r="X1398">
        <f>IF($T1398="",N($X1397),IF(MATCH($T1398,$T$6:$T$6005,0)=ROW()-5,N($X1397)+1,N($X1397)))</f>
        <v/>
      </c>
      <c r="Z1398">
        <f>IF($V1398="","",IF($AA1398&gt;N($AA1397),$AA1398,""))</f>
        <v/>
      </c>
      <c r="AA1398">
        <f>IF($V1398="",N($AA1397),IF(MATCH($V1398,$V$6:$V$6005,0)=ROW()-5,N($AA1397)+1,N($AA1397)))</f>
        <v/>
      </c>
    </row>
    <row r="1399" ht="21" customHeight="1" s="66">
      <c r="A1399" s="56" t="n"/>
      <c r="B1399" s="57" t="n"/>
      <c r="C1399" s="57" t="n"/>
      <c r="D1399" s="57" t="n"/>
      <c r="E1399" s="56" t="n"/>
      <c r="F1399" s="57" t="n"/>
      <c r="G1399" s="57" t="n"/>
      <c r="H1399" s="56" t="n"/>
      <c r="I1399" s="56" t="n"/>
      <c r="J1399" s="58" t="n"/>
      <c r="K1399" s="58" t="n"/>
      <c r="L1399" s="13">
        <f>IF(OR($A1399="",AND($J1399="",$K1399="")),"",ROUND(N($J1399)-N($K1399),2))</f>
        <v/>
      </c>
      <c r="M1399" s="13">
        <f>IF(OR($A1399="",AND($J1399="",$K1399="")),"",MIN($J1399,$K1399))</f>
        <v/>
      </c>
      <c r="Q1399">
        <f>IF($A1399="","",$D1399&amp;"("&amp;SUBSTITUTE($E1399," ","")&amp;")")</f>
        <v/>
      </c>
      <c r="R1399">
        <f>IF($A1399="","",$B1399&amp;" - "&amp;$C1399)</f>
        <v/>
      </c>
      <c r="S1399">
        <f>IF($A1399="","",$R1399&amp;"|"&amp;$Q1399)</f>
        <v/>
      </c>
      <c r="T1399">
        <f>IF($A1399="","",$S1399&amp;"|"&amp;$F1399)</f>
        <v/>
      </c>
      <c r="U1399">
        <f>IF($A1399="","",$R1399&amp;"("&amp;$E1399&amp;")")</f>
        <v/>
      </c>
      <c r="V1399">
        <f>IF($A1399="","",$F1399&amp;"|"&amp;$U1399&amp;"|"&amp;$D1399)</f>
        <v/>
      </c>
      <c r="W1399">
        <f>IF($T1399="","",IF($X1399&gt;N($X1398),$X1399,""))</f>
        <v/>
      </c>
      <c r="X1399">
        <f>IF($T1399="",N($X1398),IF(MATCH($T1399,$T$6:$T$6005,0)=ROW()-5,N($X1398)+1,N($X1398)))</f>
        <v/>
      </c>
      <c r="Z1399">
        <f>IF($V1399="","",IF($AA1399&gt;N($AA1398),$AA1399,""))</f>
        <v/>
      </c>
      <c r="AA1399">
        <f>IF($V1399="",N($AA1398),IF(MATCH($V1399,$V$6:$V$6005,0)=ROW()-5,N($AA1398)+1,N($AA1398)))</f>
        <v/>
      </c>
    </row>
    <row r="1400" ht="21" customHeight="1" s="66">
      <c r="A1400" s="56" t="n"/>
      <c r="B1400" s="57" t="n"/>
      <c r="C1400" s="57" t="n"/>
      <c r="D1400" s="57" t="n"/>
      <c r="E1400" s="56" t="n"/>
      <c r="F1400" s="57" t="n"/>
      <c r="G1400" s="57" t="n"/>
      <c r="H1400" s="56" t="n"/>
      <c r="I1400" s="56" t="n"/>
      <c r="J1400" s="58" t="n"/>
      <c r="K1400" s="58" t="n"/>
      <c r="L1400" s="13">
        <f>IF(OR($A1400="",AND($J1400="",$K1400="")),"",ROUND(N($J1400)-N($K1400),2))</f>
        <v/>
      </c>
      <c r="M1400" s="13">
        <f>IF(OR($A1400="",AND($J1400="",$K1400="")),"",MIN($J1400,$K1400))</f>
        <v/>
      </c>
      <c r="Q1400">
        <f>IF($A1400="","",$D1400&amp;"("&amp;SUBSTITUTE($E1400," ","")&amp;")")</f>
        <v/>
      </c>
      <c r="R1400">
        <f>IF($A1400="","",$B1400&amp;" - "&amp;$C1400)</f>
        <v/>
      </c>
      <c r="S1400">
        <f>IF($A1400="","",$R1400&amp;"|"&amp;$Q1400)</f>
        <v/>
      </c>
      <c r="T1400">
        <f>IF($A1400="","",$S1400&amp;"|"&amp;$F1400)</f>
        <v/>
      </c>
      <c r="U1400">
        <f>IF($A1400="","",$R1400&amp;"("&amp;$E1400&amp;")")</f>
        <v/>
      </c>
      <c r="V1400">
        <f>IF($A1400="","",$F1400&amp;"|"&amp;$U1400&amp;"|"&amp;$D1400)</f>
        <v/>
      </c>
      <c r="W1400">
        <f>IF($T1400="","",IF($X1400&gt;N($X1399),$X1400,""))</f>
        <v/>
      </c>
      <c r="X1400">
        <f>IF($T1400="",N($X1399),IF(MATCH($T1400,$T$6:$T$6005,0)=ROW()-5,N($X1399)+1,N($X1399)))</f>
        <v/>
      </c>
      <c r="Z1400">
        <f>IF($V1400="","",IF($AA1400&gt;N($AA1399),$AA1400,""))</f>
        <v/>
      </c>
      <c r="AA1400">
        <f>IF($V1400="",N($AA1399),IF(MATCH($V1400,$V$6:$V$6005,0)=ROW()-5,N($AA1399)+1,N($AA1399)))</f>
        <v/>
      </c>
    </row>
    <row r="1401" ht="21" customHeight="1" s="66">
      <c r="A1401" s="56" t="n"/>
      <c r="B1401" s="57" t="n"/>
      <c r="C1401" s="57" t="n"/>
      <c r="D1401" s="57" t="n"/>
      <c r="E1401" s="56" t="n"/>
      <c r="F1401" s="57" t="n"/>
      <c r="G1401" s="57" t="n"/>
      <c r="H1401" s="56" t="n"/>
      <c r="I1401" s="56" t="n"/>
      <c r="J1401" s="58" t="n"/>
      <c r="K1401" s="58" t="n"/>
      <c r="L1401" s="13">
        <f>IF(OR($A1401="",AND($J1401="",$K1401="")),"",ROUND(N($J1401)-N($K1401),2))</f>
        <v/>
      </c>
      <c r="M1401" s="13">
        <f>IF(OR($A1401="",AND($J1401="",$K1401="")),"",MIN($J1401,$K1401))</f>
        <v/>
      </c>
      <c r="Q1401">
        <f>IF($A1401="","",$D1401&amp;"("&amp;SUBSTITUTE($E1401," ","")&amp;")")</f>
        <v/>
      </c>
      <c r="R1401">
        <f>IF($A1401="","",$B1401&amp;" - "&amp;$C1401)</f>
        <v/>
      </c>
      <c r="S1401">
        <f>IF($A1401="","",$R1401&amp;"|"&amp;$Q1401)</f>
        <v/>
      </c>
      <c r="T1401">
        <f>IF($A1401="","",$S1401&amp;"|"&amp;$F1401)</f>
        <v/>
      </c>
      <c r="U1401">
        <f>IF($A1401="","",$R1401&amp;"("&amp;$E1401&amp;")")</f>
        <v/>
      </c>
      <c r="V1401">
        <f>IF($A1401="","",$F1401&amp;"|"&amp;$U1401&amp;"|"&amp;$D1401)</f>
        <v/>
      </c>
      <c r="W1401">
        <f>IF($T1401="","",IF($X1401&gt;N($X1400),$X1401,""))</f>
        <v/>
      </c>
      <c r="X1401">
        <f>IF($T1401="",N($X1400),IF(MATCH($T1401,$T$6:$T$6005,0)=ROW()-5,N($X1400)+1,N($X1400)))</f>
        <v/>
      </c>
      <c r="Z1401">
        <f>IF($V1401="","",IF($AA1401&gt;N($AA1400),$AA1401,""))</f>
        <v/>
      </c>
      <c r="AA1401">
        <f>IF($V1401="",N($AA1400),IF(MATCH($V1401,$V$6:$V$6005,0)=ROW()-5,N($AA1400)+1,N($AA1400)))</f>
        <v/>
      </c>
    </row>
    <row r="1402" ht="21" customHeight="1" s="66">
      <c r="A1402" s="56" t="n"/>
      <c r="B1402" s="57" t="n"/>
      <c r="C1402" s="57" t="n"/>
      <c r="D1402" s="57" t="n"/>
      <c r="E1402" s="56" t="n"/>
      <c r="F1402" s="57" t="n"/>
      <c r="G1402" s="57" t="n"/>
      <c r="H1402" s="56" t="n"/>
      <c r="I1402" s="56" t="n"/>
      <c r="J1402" s="58" t="n"/>
      <c r="K1402" s="58" t="n"/>
      <c r="L1402" s="13">
        <f>IF(OR($A1402="",AND($J1402="",$K1402="")),"",ROUND(N($J1402)-N($K1402),2))</f>
        <v/>
      </c>
      <c r="M1402" s="13">
        <f>IF(OR($A1402="",AND($J1402="",$K1402="")),"",MIN($J1402,$K1402))</f>
        <v/>
      </c>
      <c r="Q1402">
        <f>IF($A1402="","",$D1402&amp;"("&amp;SUBSTITUTE($E1402," ","")&amp;")")</f>
        <v/>
      </c>
      <c r="R1402">
        <f>IF($A1402="","",$B1402&amp;" - "&amp;$C1402)</f>
        <v/>
      </c>
      <c r="S1402">
        <f>IF($A1402="","",$R1402&amp;"|"&amp;$Q1402)</f>
        <v/>
      </c>
      <c r="T1402">
        <f>IF($A1402="","",$S1402&amp;"|"&amp;$F1402)</f>
        <v/>
      </c>
      <c r="U1402">
        <f>IF($A1402="","",$R1402&amp;"("&amp;$E1402&amp;")")</f>
        <v/>
      </c>
      <c r="V1402">
        <f>IF($A1402="","",$F1402&amp;"|"&amp;$U1402&amp;"|"&amp;$D1402)</f>
        <v/>
      </c>
      <c r="W1402">
        <f>IF($T1402="","",IF($X1402&gt;N($X1401),$X1402,""))</f>
        <v/>
      </c>
      <c r="X1402">
        <f>IF($T1402="",N($X1401),IF(MATCH($T1402,$T$6:$T$6005,0)=ROW()-5,N($X1401)+1,N($X1401)))</f>
        <v/>
      </c>
      <c r="Z1402">
        <f>IF($V1402="","",IF($AA1402&gt;N($AA1401),$AA1402,""))</f>
        <v/>
      </c>
      <c r="AA1402">
        <f>IF($V1402="",N($AA1401),IF(MATCH($V1402,$V$6:$V$6005,0)=ROW()-5,N($AA1401)+1,N($AA1401)))</f>
        <v/>
      </c>
    </row>
    <row r="1403" ht="21" customHeight="1" s="66">
      <c r="A1403" s="56" t="n"/>
      <c r="B1403" s="57" t="n"/>
      <c r="C1403" s="57" t="n"/>
      <c r="D1403" s="57" t="n"/>
      <c r="E1403" s="56" t="n"/>
      <c r="F1403" s="57" t="n"/>
      <c r="G1403" s="57" t="n"/>
      <c r="H1403" s="56" t="n"/>
      <c r="I1403" s="56" t="n"/>
      <c r="J1403" s="58" t="n"/>
      <c r="K1403" s="58" t="n"/>
      <c r="L1403" s="13">
        <f>IF(OR($A1403="",AND($J1403="",$K1403="")),"",ROUND(N($J1403)-N($K1403),2))</f>
        <v/>
      </c>
      <c r="M1403" s="13">
        <f>IF(OR($A1403="",AND($J1403="",$K1403="")),"",MIN($J1403,$K1403))</f>
        <v/>
      </c>
      <c r="Q1403">
        <f>IF($A1403="","",$D1403&amp;"("&amp;SUBSTITUTE($E1403," ","")&amp;")")</f>
        <v/>
      </c>
      <c r="R1403">
        <f>IF($A1403="","",$B1403&amp;" - "&amp;$C1403)</f>
        <v/>
      </c>
      <c r="S1403">
        <f>IF($A1403="","",$R1403&amp;"|"&amp;$Q1403)</f>
        <v/>
      </c>
      <c r="T1403">
        <f>IF($A1403="","",$S1403&amp;"|"&amp;$F1403)</f>
        <v/>
      </c>
      <c r="U1403">
        <f>IF($A1403="","",$R1403&amp;"("&amp;$E1403&amp;")")</f>
        <v/>
      </c>
      <c r="V1403">
        <f>IF($A1403="","",$F1403&amp;"|"&amp;$U1403&amp;"|"&amp;$D1403)</f>
        <v/>
      </c>
      <c r="W1403">
        <f>IF($T1403="","",IF($X1403&gt;N($X1402),$X1403,""))</f>
        <v/>
      </c>
      <c r="X1403">
        <f>IF($T1403="",N($X1402),IF(MATCH($T1403,$T$6:$T$6005,0)=ROW()-5,N($X1402)+1,N($X1402)))</f>
        <v/>
      </c>
      <c r="Z1403">
        <f>IF($V1403="","",IF($AA1403&gt;N($AA1402),$AA1403,""))</f>
        <v/>
      </c>
      <c r="AA1403">
        <f>IF($V1403="",N($AA1402),IF(MATCH($V1403,$V$6:$V$6005,0)=ROW()-5,N($AA1402)+1,N($AA1402)))</f>
        <v/>
      </c>
    </row>
    <row r="1404" ht="21" customHeight="1" s="66">
      <c r="A1404" s="56" t="n"/>
      <c r="B1404" s="57" t="n"/>
      <c r="C1404" s="57" t="n"/>
      <c r="D1404" s="57" t="n"/>
      <c r="E1404" s="56" t="n"/>
      <c r="F1404" s="57" t="n"/>
      <c r="G1404" s="57" t="n"/>
      <c r="H1404" s="56" t="n"/>
      <c r="I1404" s="56" t="n"/>
      <c r="J1404" s="58" t="n"/>
      <c r="K1404" s="58" t="n"/>
      <c r="L1404" s="13">
        <f>IF(OR($A1404="",AND($J1404="",$K1404="")),"",ROUND(N($J1404)-N($K1404),2))</f>
        <v/>
      </c>
      <c r="M1404" s="13">
        <f>IF(OR($A1404="",AND($J1404="",$K1404="")),"",MIN($J1404,$K1404))</f>
        <v/>
      </c>
      <c r="Q1404">
        <f>IF($A1404="","",$D1404&amp;"("&amp;SUBSTITUTE($E1404," ","")&amp;")")</f>
        <v/>
      </c>
      <c r="R1404">
        <f>IF($A1404="","",$B1404&amp;" - "&amp;$C1404)</f>
        <v/>
      </c>
      <c r="S1404">
        <f>IF($A1404="","",$R1404&amp;"|"&amp;$Q1404)</f>
        <v/>
      </c>
      <c r="T1404">
        <f>IF($A1404="","",$S1404&amp;"|"&amp;$F1404)</f>
        <v/>
      </c>
      <c r="U1404">
        <f>IF($A1404="","",$R1404&amp;"("&amp;$E1404&amp;")")</f>
        <v/>
      </c>
      <c r="V1404">
        <f>IF($A1404="","",$F1404&amp;"|"&amp;$U1404&amp;"|"&amp;$D1404)</f>
        <v/>
      </c>
      <c r="W1404">
        <f>IF($T1404="","",IF($X1404&gt;N($X1403),$X1404,""))</f>
        <v/>
      </c>
      <c r="X1404">
        <f>IF($T1404="",N($X1403),IF(MATCH($T1404,$T$6:$T$6005,0)=ROW()-5,N($X1403)+1,N($X1403)))</f>
        <v/>
      </c>
      <c r="Z1404">
        <f>IF($V1404="","",IF($AA1404&gt;N($AA1403),$AA1404,""))</f>
        <v/>
      </c>
      <c r="AA1404">
        <f>IF($V1404="",N($AA1403),IF(MATCH($V1404,$V$6:$V$6005,0)=ROW()-5,N($AA1403)+1,N($AA1403)))</f>
        <v/>
      </c>
    </row>
    <row r="1405" ht="21" customHeight="1" s="66">
      <c r="A1405" s="56" t="n"/>
      <c r="B1405" s="57" t="n"/>
      <c r="C1405" s="57" t="n"/>
      <c r="D1405" s="57" t="n"/>
      <c r="E1405" s="56" t="n"/>
      <c r="F1405" s="57" t="n"/>
      <c r="G1405" s="57" t="n"/>
      <c r="H1405" s="56" t="n"/>
      <c r="I1405" s="56" t="n"/>
      <c r="J1405" s="58" t="n"/>
      <c r="K1405" s="58" t="n"/>
      <c r="L1405" s="13">
        <f>IF(OR($A1405="",AND($J1405="",$K1405="")),"",ROUND(N($J1405)-N($K1405),2))</f>
        <v/>
      </c>
      <c r="M1405" s="13">
        <f>IF(OR($A1405="",AND($J1405="",$K1405="")),"",MIN($J1405,$K1405))</f>
        <v/>
      </c>
      <c r="Q1405">
        <f>IF($A1405="","",$D1405&amp;"("&amp;SUBSTITUTE($E1405," ","")&amp;")")</f>
        <v/>
      </c>
      <c r="R1405">
        <f>IF($A1405="","",$B1405&amp;" - "&amp;$C1405)</f>
        <v/>
      </c>
      <c r="S1405">
        <f>IF($A1405="","",$R1405&amp;"|"&amp;$Q1405)</f>
        <v/>
      </c>
      <c r="T1405">
        <f>IF($A1405="","",$S1405&amp;"|"&amp;$F1405)</f>
        <v/>
      </c>
      <c r="U1405">
        <f>IF($A1405="","",$R1405&amp;"("&amp;$E1405&amp;")")</f>
        <v/>
      </c>
      <c r="V1405">
        <f>IF($A1405="","",$F1405&amp;"|"&amp;$U1405&amp;"|"&amp;$D1405)</f>
        <v/>
      </c>
      <c r="W1405">
        <f>IF($T1405="","",IF($X1405&gt;N($X1404),$X1405,""))</f>
        <v/>
      </c>
      <c r="X1405">
        <f>IF($T1405="",N($X1404),IF(MATCH($T1405,$T$6:$T$6005,0)=ROW()-5,N($X1404)+1,N($X1404)))</f>
        <v/>
      </c>
      <c r="Z1405">
        <f>IF($V1405="","",IF($AA1405&gt;N($AA1404),$AA1405,""))</f>
        <v/>
      </c>
      <c r="AA1405">
        <f>IF($V1405="",N($AA1404),IF(MATCH($V1405,$V$6:$V$6005,0)=ROW()-5,N($AA1404)+1,N($AA1404)))</f>
        <v/>
      </c>
    </row>
    <row r="1406" ht="21" customHeight="1" s="66">
      <c r="A1406" s="56" t="n"/>
      <c r="B1406" s="57" t="n"/>
      <c r="C1406" s="57" t="n"/>
      <c r="D1406" s="57" t="n"/>
      <c r="E1406" s="56" t="n"/>
      <c r="F1406" s="57" t="n"/>
      <c r="G1406" s="57" t="n"/>
      <c r="H1406" s="56" t="n"/>
      <c r="I1406" s="56" t="n"/>
      <c r="J1406" s="58" t="n"/>
      <c r="K1406" s="58" t="n"/>
      <c r="L1406" s="13">
        <f>IF(OR($A1406="",AND($J1406="",$K1406="")),"",ROUND(N($J1406)-N($K1406),2))</f>
        <v/>
      </c>
      <c r="M1406" s="13">
        <f>IF(OR($A1406="",AND($J1406="",$K1406="")),"",MIN($J1406,$K1406))</f>
        <v/>
      </c>
      <c r="Q1406">
        <f>IF($A1406="","",$D1406&amp;"("&amp;SUBSTITUTE($E1406," ","")&amp;")")</f>
        <v/>
      </c>
      <c r="R1406">
        <f>IF($A1406="","",$B1406&amp;" - "&amp;$C1406)</f>
        <v/>
      </c>
      <c r="S1406">
        <f>IF($A1406="","",$R1406&amp;"|"&amp;$Q1406)</f>
        <v/>
      </c>
      <c r="T1406">
        <f>IF($A1406="","",$S1406&amp;"|"&amp;$F1406)</f>
        <v/>
      </c>
      <c r="U1406">
        <f>IF($A1406="","",$R1406&amp;"("&amp;$E1406&amp;")")</f>
        <v/>
      </c>
      <c r="V1406">
        <f>IF($A1406="","",$F1406&amp;"|"&amp;$U1406&amp;"|"&amp;$D1406)</f>
        <v/>
      </c>
      <c r="W1406">
        <f>IF($T1406="","",IF($X1406&gt;N($X1405),$X1406,""))</f>
        <v/>
      </c>
      <c r="X1406">
        <f>IF($T1406="",N($X1405),IF(MATCH($T1406,$T$6:$T$6005,0)=ROW()-5,N($X1405)+1,N($X1405)))</f>
        <v/>
      </c>
      <c r="Z1406">
        <f>IF($V1406="","",IF($AA1406&gt;N($AA1405),$AA1406,""))</f>
        <v/>
      </c>
      <c r="AA1406">
        <f>IF($V1406="",N($AA1405),IF(MATCH($V1406,$V$6:$V$6005,0)=ROW()-5,N($AA1405)+1,N($AA1405)))</f>
        <v/>
      </c>
    </row>
    <row r="1407" ht="21" customHeight="1" s="66">
      <c r="A1407" s="56" t="n"/>
      <c r="B1407" s="57" t="n"/>
      <c r="C1407" s="57" t="n"/>
      <c r="D1407" s="57" t="n"/>
      <c r="E1407" s="56" t="n"/>
      <c r="F1407" s="57" t="n"/>
      <c r="G1407" s="57" t="n"/>
      <c r="H1407" s="56" t="n"/>
      <c r="I1407" s="56" t="n"/>
      <c r="J1407" s="58" t="n"/>
      <c r="K1407" s="58" t="n"/>
      <c r="L1407" s="13">
        <f>IF(OR($A1407="",AND($J1407="",$K1407="")),"",ROUND(N($J1407)-N($K1407),2))</f>
        <v/>
      </c>
      <c r="M1407" s="13">
        <f>IF(OR($A1407="",AND($J1407="",$K1407="")),"",MIN($J1407,$K1407))</f>
        <v/>
      </c>
      <c r="Q1407">
        <f>IF($A1407="","",$D1407&amp;"("&amp;SUBSTITUTE($E1407," ","")&amp;")")</f>
        <v/>
      </c>
      <c r="R1407">
        <f>IF($A1407="","",$B1407&amp;" - "&amp;$C1407)</f>
        <v/>
      </c>
      <c r="S1407">
        <f>IF($A1407="","",$R1407&amp;"|"&amp;$Q1407)</f>
        <v/>
      </c>
      <c r="T1407">
        <f>IF($A1407="","",$S1407&amp;"|"&amp;$F1407)</f>
        <v/>
      </c>
      <c r="U1407">
        <f>IF($A1407="","",$R1407&amp;"("&amp;$E1407&amp;")")</f>
        <v/>
      </c>
      <c r="V1407">
        <f>IF($A1407="","",$F1407&amp;"|"&amp;$U1407&amp;"|"&amp;$D1407)</f>
        <v/>
      </c>
      <c r="W1407">
        <f>IF($T1407="","",IF($X1407&gt;N($X1406),$X1407,""))</f>
        <v/>
      </c>
      <c r="X1407">
        <f>IF($T1407="",N($X1406),IF(MATCH($T1407,$T$6:$T$6005,0)=ROW()-5,N($X1406)+1,N($X1406)))</f>
        <v/>
      </c>
      <c r="Z1407">
        <f>IF($V1407="","",IF($AA1407&gt;N($AA1406),$AA1407,""))</f>
        <v/>
      </c>
      <c r="AA1407">
        <f>IF($V1407="",N($AA1406),IF(MATCH($V1407,$V$6:$V$6005,0)=ROW()-5,N($AA1406)+1,N($AA1406)))</f>
        <v/>
      </c>
    </row>
    <row r="1408" ht="21" customHeight="1" s="66">
      <c r="A1408" s="56" t="n"/>
      <c r="B1408" s="57" t="n"/>
      <c r="C1408" s="57" t="n"/>
      <c r="D1408" s="57" t="n"/>
      <c r="E1408" s="56" t="n"/>
      <c r="F1408" s="57" t="n"/>
      <c r="G1408" s="57" t="n"/>
      <c r="H1408" s="56" t="n"/>
      <c r="I1408" s="56" t="n"/>
      <c r="J1408" s="58" t="n"/>
      <c r="K1408" s="58" t="n"/>
      <c r="L1408" s="13">
        <f>IF(OR($A1408="",AND($J1408="",$K1408="")),"",ROUND(N($J1408)-N($K1408),2))</f>
        <v/>
      </c>
      <c r="M1408" s="13">
        <f>IF(OR($A1408="",AND($J1408="",$K1408="")),"",MIN($J1408,$K1408))</f>
        <v/>
      </c>
      <c r="Q1408">
        <f>IF($A1408="","",$D1408&amp;"("&amp;SUBSTITUTE($E1408," ","")&amp;")")</f>
        <v/>
      </c>
      <c r="R1408">
        <f>IF($A1408="","",$B1408&amp;" - "&amp;$C1408)</f>
        <v/>
      </c>
      <c r="S1408">
        <f>IF($A1408="","",$R1408&amp;"|"&amp;$Q1408)</f>
        <v/>
      </c>
      <c r="T1408">
        <f>IF($A1408="","",$S1408&amp;"|"&amp;$F1408)</f>
        <v/>
      </c>
      <c r="U1408">
        <f>IF($A1408="","",$R1408&amp;"("&amp;$E1408&amp;")")</f>
        <v/>
      </c>
      <c r="V1408">
        <f>IF($A1408="","",$F1408&amp;"|"&amp;$U1408&amp;"|"&amp;$D1408)</f>
        <v/>
      </c>
      <c r="W1408">
        <f>IF($T1408="","",IF($X1408&gt;N($X1407),$X1408,""))</f>
        <v/>
      </c>
      <c r="X1408">
        <f>IF($T1408="",N($X1407),IF(MATCH($T1408,$T$6:$T$6005,0)=ROW()-5,N($X1407)+1,N($X1407)))</f>
        <v/>
      </c>
      <c r="Z1408">
        <f>IF($V1408="","",IF($AA1408&gt;N($AA1407),$AA1408,""))</f>
        <v/>
      </c>
      <c r="AA1408">
        <f>IF($V1408="",N($AA1407),IF(MATCH($V1408,$V$6:$V$6005,0)=ROW()-5,N($AA1407)+1,N($AA1407)))</f>
        <v/>
      </c>
    </row>
    <row r="1409" ht="21" customHeight="1" s="66">
      <c r="A1409" s="56" t="n"/>
      <c r="B1409" s="57" t="n"/>
      <c r="C1409" s="57" t="n"/>
      <c r="D1409" s="57" t="n"/>
      <c r="E1409" s="56" t="n"/>
      <c r="F1409" s="57" t="n"/>
      <c r="G1409" s="57" t="n"/>
      <c r="H1409" s="56" t="n"/>
      <c r="I1409" s="56" t="n"/>
      <c r="J1409" s="58" t="n"/>
      <c r="K1409" s="58" t="n"/>
      <c r="L1409" s="13">
        <f>IF(OR($A1409="",AND($J1409="",$K1409="")),"",ROUND(N($J1409)-N($K1409),2))</f>
        <v/>
      </c>
      <c r="M1409" s="13">
        <f>IF(OR($A1409="",AND($J1409="",$K1409="")),"",MIN($J1409,$K1409))</f>
        <v/>
      </c>
      <c r="Q1409">
        <f>IF($A1409="","",$D1409&amp;"("&amp;SUBSTITUTE($E1409," ","")&amp;")")</f>
        <v/>
      </c>
      <c r="R1409">
        <f>IF($A1409="","",$B1409&amp;" - "&amp;$C1409)</f>
        <v/>
      </c>
      <c r="S1409">
        <f>IF($A1409="","",$R1409&amp;"|"&amp;$Q1409)</f>
        <v/>
      </c>
      <c r="T1409">
        <f>IF($A1409="","",$S1409&amp;"|"&amp;$F1409)</f>
        <v/>
      </c>
      <c r="U1409">
        <f>IF($A1409="","",$R1409&amp;"("&amp;$E1409&amp;")")</f>
        <v/>
      </c>
      <c r="V1409">
        <f>IF($A1409="","",$F1409&amp;"|"&amp;$U1409&amp;"|"&amp;$D1409)</f>
        <v/>
      </c>
      <c r="W1409">
        <f>IF($T1409="","",IF($X1409&gt;N($X1408),$X1409,""))</f>
        <v/>
      </c>
      <c r="X1409">
        <f>IF($T1409="",N($X1408),IF(MATCH($T1409,$T$6:$T$6005,0)=ROW()-5,N($X1408)+1,N($X1408)))</f>
        <v/>
      </c>
      <c r="Z1409">
        <f>IF($V1409="","",IF($AA1409&gt;N($AA1408),$AA1409,""))</f>
        <v/>
      </c>
      <c r="AA1409">
        <f>IF($V1409="",N($AA1408),IF(MATCH($V1409,$V$6:$V$6005,0)=ROW()-5,N($AA1408)+1,N($AA1408)))</f>
        <v/>
      </c>
    </row>
    <row r="1410" ht="21" customHeight="1" s="66">
      <c r="A1410" s="56" t="n"/>
      <c r="B1410" s="57" t="n"/>
      <c r="C1410" s="57" t="n"/>
      <c r="D1410" s="57" t="n"/>
      <c r="E1410" s="56" t="n"/>
      <c r="F1410" s="57" t="n"/>
      <c r="G1410" s="57" t="n"/>
      <c r="H1410" s="56" t="n"/>
      <c r="I1410" s="56" t="n"/>
      <c r="J1410" s="58" t="n"/>
      <c r="K1410" s="58" t="n"/>
      <c r="L1410" s="13">
        <f>IF(OR($A1410="",AND($J1410="",$K1410="")),"",ROUND(N($J1410)-N($K1410),2))</f>
        <v/>
      </c>
      <c r="M1410" s="13">
        <f>IF(OR($A1410="",AND($J1410="",$K1410="")),"",MIN($J1410,$K1410))</f>
        <v/>
      </c>
      <c r="Q1410">
        <f>IF($A1410="","",$D1410&amp;"("&amp;SUBSTITUTE($E1410," ","")&amp;")")</f>
        <v/>
      </c>
      <c r="R1410">
        <f>IF($A1410="","",$B1410&amp;" - "&amp;$C1410)</f>
        <v/>
      </c>
      <c r="S1410">
        <f>IF($A1410="","",$R1410&amp;"|"&amp;$Q1410)</f>
        <v/>
      </c>
      <c r="T1410">
        <f>IF($A1410="","",$S1410&amp;"|"&amp;$F1410)</f>
        <v/>
      </c>
      <c r="U1410">
        <f>IF($A1410="","",$R1410&amp;"("&amp;$E1410&amp;")")</f>
        <v/>
      </c>
      <c r="V1410">
        <f>IF($A1410="","",$F1410&amp;"|"&amp;$U1410&amp;"|"&amp;$D1410)</f>
        <v/>
      </c>
      <c r="W1410">
        <f>IF($T1410="","",IF($X1410&gt;N($X1409),$X1410,""))</f>
        <v/>
      </c>
      <c r="X1410">
        <f>IF($T1410="",N($X1409),IF(MATCH($T1410,$T$6:$T$6005,0)=ROW()-5,N($X1409)+1,N($X1409)))</f>
        <v/>
      </c>
      <c r="Z1410">
        <f>IF($V1410="","",IF($AA1410&gt;N($AA1409),$AA1410,""))</f>
        <v/>
      </c>
      <c r="AA1410">
        <f>IF($V1410="",N($AA1409),IF(MATCH($V1410,$V$6:$V$6005,0)=ROW()-5,N($AA1409)+1,N($AA1409)))</f>
        <v/>
      </c>
    </row>
    <row r="1411" ht="21" customHeight="1" s="66">
      <c r="A1411" s="56" t="n"/>
      <c r="B1411" s="57" t="n"/>
      <c r="C1411" s="57" t="n"/>
      <c r="D1411" s="57" t="n"/>
      <c r="E1411" s="56" t="n"/>
      <c r="F1411" s="57" t="n"/>
      <c r="G1411" s="57" t="n"/>
      <c r="H1411" s="56" t="n"/>
      <c r="I1411" s="56" t="n"/>
      <c r="J1411" s="58" t="n"/>
      <c r="K1411" s="58" t="n"/>
      <c r="L1411" s="13">
        <f>IF(OR($A1411="",AND($J1411="",$K1411="")),"",ROUND(N($J1411)-N($K1411),2))</f>
        <v/>
      </c>
      <c r="M1411" s="13">
        <f>IF(OR($A1411="",AND($J1411="",$K1411="")),"",MIN($J1411,$K1411))</f>
        <v/>
      </c>
      <c r="Q1411">
        <f>IF($A1411="","",$D1411&amp;"("&amp;SUBSTITUTE($E1411," ","")&amp;")")</f>
        <v/>
      </c>
      <c r="R1411">
        <f>IF($A1411="","",$B1411&amp;" - "&amp;$C1411)</f>
        <v/>
      </c>
      <c r="S1411">
        <f>IF($A1411="","",$R1411&amp;"|"&amp;$Q1411)</f>
        <v/>
      </c>
      <c r="T1411">
        <f>IF($A1411="","",$S1411&amp;"|"&amp;$F1411)</f>
        <v/>
      </c>
      <c r="U1411">
        <f>IF($A1411="","",$R1411&amp;"("&amp;$E1411&amp;")")</f>
        <v/>
      </c>
      <c r="V1411">
        <f>IF($A1411="","",$F1411&amp;"|"&amp;$U1411&amp;"|"&amp;$D1411)</f>
        <v/>
      </c>
      <c r="W1411">
        <f>IF($T1411="","",IF($X1411&gt;N($X1410),$X1411,""))</f>
        <v/>
      </c>
      <c r="X1411">
        <f>IF($T1411="",N($X1410),IF(MATCH($T1411,$T$6:$T$6005,0)=ROW()-5,N($X1410)+1,N($X1410)))</f>
        <v/>
      </c>
      <c r="Z1411">
        <f>IF($V1411="","",IF($AA1411&gt;N($AA1410),$AA1411,""))</f>
        <v/>
      </c>
      <c r="AA1411">
        <f>IF($V1411="",N($AA1410),IF(MATCH($V1411,$V$6:$V$6005,0)=ROW()-5,N($AA1410)+1,N($AA1410)))</f>
        <v/>
      </c>
    </row>
    <row r="1412" ht="21" customHeight="1" s="66">
      <c r="A1412" s="56" t="n"/>
      <c r="B1412" s="57" t="n"/>
      <c r="C1412" s="57" t="n"/>
      <c r="D1412" s="57" t="n"/>
      <c r="E1412" s="56" t="n"/>
      <c r="F1412" s="57" t="n"/>
      <c r="G1412" s="57" t="n"/>
      <c r="H1412" s="56" t="n"/>
      <c r="I1412" s="56" t="n"/>
      <c r="J1412" s="58" t="n"/>
      <c r="K1412" s="58" t="n"/>
      <c r="L1412" s="13">
        <f>IF(OR($A1412="",AND($J1412="",$K1412="")),"",ROUND(N($J1412)-N($K1412),2))</f>
        <v/>
      </c>
      <c r="M1412" s="13">
        <f>IF(OR($A1412="",AND($J1412="",$K1412="")),"",MIN($J1412,$K1412))</f>
        <v/>
      </c>
      <c r="Q1412">
        <f>IF($A1412="","",$D1412&amp;"("&amp;SUBSTITUTE($E1412," ","")&amp;")")</f>
        <v/>
      </c>
      <c r="R1412">
        <f>IF($A1412="","",$B1412&amp;" - "&amp;$C1412)</f>
        <v/>
      </c>
      <c r="S1412">
        <f>IF($A1412="","",$R1412&amp;"|"&amp;$Q1412)</f>
        <v/>
      </c>
      <c r="T1412">
        <f>IF($A1412="","",$S1412&amp;"|"&amp;$F1412)</f>
        <v/>
      </c>
      <c r="U1412">
        <f>IF($A1412="","",$R1412&amp;"("&amp;$E1412&amp;")")</f>
        <v/>
      </c>
      <c r="V1412">
        <f>IF($A1412="","",$F1412&amp;"|"&amp;$U1412&amp;"|"&amp;$D1412)</f>
        <v/>
      </c>
      <c r="W1412">
        <f>IF($T1412="","",IF($X1412&gt;N($X1411),$X1412,""))</f>
        <v/>
      </c>
      <c r="X1412">
        <f>IF($T1412="",N($X1411),IF(MATCH($T1412,$T$6:$T$6005,0)=ROW()-5,N($X1411)+1,N($X1411)))</f>
        <v/>
      </c>
      <c r="Z1412">
        <f>IF($V1412="","",IF($AA1412&gt;N($AA1411),$AA1412,""))</f>
        <v/>
      </c>
      <c r="AA1412">
        <f>IF($V1412="",N($AA1411),IF(MATCH($V1412,$V$6:$V$6005,0)=ROW()-5,N($AA1411)+1,N($AA1411)))</f>
        <v/>
      </c>
    </row>
    <row r="1413" ht="21" customHeight="1" s="66">
      <c r="A1413" s="56" t="n"/>
      <c r="B1413" s="57" t="n"/>
      <c r="C1413" s="57" t="n"/>
      <c r="D1413" s="57" t="n"/>
      <c r="E1413" s="56" t="n"/>
      <c r="F1413" s="57" t="n"/>
      <c r="G1413" s="57" t="n"/>
      <c r="H1413" s="56" t="n"/>
      <c r="I1413" s="56" t="n"/>
      <c r="J1413" s="58" t="n"/>
      <c r="K1413" s="58" t="n"/>
      <c r="L1413" s="13">
        <f>IF(OR($A1413="",AND($J1413="",$K1413="")),"",ROUND(N($J1413)-N($K1413),2))</f>
        <v/>
      </c>
      <c r="M1413" s="13">
        <f>IF(OR($A1413="",AND($J1413="",$K1413="")),"",MIN($J1413,$K1413))</f>
        <v/>
      </c>
      <c r="Q1413">
        <f>IF($A1413="","",$D1413&amp;"("&amp;SUBSTITUTE($E1413," ","")&amp;")")</f>
        <v/>
      </c>
      <c r="R1413">
        <f>IF($A1413="","",$B1413&amp;" - "&amp;$C1413)</f>
        <v/>
      </c>
      <c r="S1413">
        <f>IF($A1413="","",$R1413&amp;"|"&amp;$Q1413)</f>
        <v/>
      </c>
      <c r="T1413">
        <f>IF($A1413="","",$S1413&amp;"|"&amp;$F1413)</f>
        <v/>
      </c>
      <c r="U1413">
        <f>IF($A1413="","",$R1413&amp;"("&amp;$E1413&amp;")")</f>
        <v/>
      </c>
      <c r="V1413">
        <f>IF($A1413="","",$F1413&amp;"|"&amp;$U1413&amp;"|"&amp;$D1413)</f>
        <v/>
      </c>
      <c r="W1413">
        <f>IF($T1413="","",IF($X1413&gt;N($X1412),$X1413,""))</f>
        <v/>
      </c>
      <c r="X1413">
        <f>IF($T1413="",N($X1412),IF(MATCH($T1413,$T$6:$T$6005,0)=ROW()-5,N($X1412)+1,N($X1412)))</f>
        <v/>
      </c>
      <c r="Z1413">
        <f>IF($V1413="","",IF($AA1413&gt;N($AA1412),$AA1413,""))</f>
        <v/>
      </c>
      <c r="AA1413">
        <f>IF($V1413="",N($AA1412),IF(MATCH($V1413,$V$6:$V$6005,0)=ROW()-5,N($AA1412)+1,N($AA1412)))</f>
        <v/>
      </c>
    </row>
    <row r="1414" ht="21" customHeight="1" s="66">
      <c r="A1414" s="56" t="n"/>
      <c r="B1414" s="57" t="n"/>
      <c r="C1414" s="57" t="n"/>
      <c r="D1414" s="57" t="n"/>
      <c r="E1414" s="56" t="n"/>
      <c r="F1414" s="57" t="n"/>
      <c r="G1414" s="57" t="n"/>
      <c r="H1414" s="56" t="n"/>
      <c r="I1414" s="56" t="n"/>
      <c r="J1414" s="58" t="n"/>
      <c r="K1414" s="58" t="n"/>
      <c r="L1414" s="13">
        <f>IF(OR($A1414="",AND($J1414="",$K1414="")),"",ROUND(N($J1414)-N($K1414),2))</f>
        <v/>
      </c>
      <c r="M1414" s="13">
        <f>IF(OR($A1414="",AND($J1414="",$K1414="")),"",MIN($J1414,$K1414))</f>
        <v/>
      </c>
      <c r="Q1414">
        <f>IF($A1414="","",$D1414&amp;"("&amp;SUBSTITUTE($E1414," ","")&amp;")")</f>
        <v/>
      </c>
      <c r="R1414">
        <f>IF($A1414="","",$B1414&amp;" - "&amp;$C1414)</f>
        <v/>
      </c>
      <c r="S1414">
        <f>IF($A1414="","",$R1414&amp;"|"&amp;$Q1414)</f>
        <v/>
      </c>
      <c r="T1414">
        <f>IF($A1414="","",$S1414&amp;"|"&amp;$F1414)</f>
        <v/>
      </c>
      <c r="U1414">
        <f>IF($A1414="","",$R1414&amp;"("&amp;$E1414&amp;")")</f>
        <v/>
      </c>
      <c r="V1414">
        <f>IF($A1414="","",$F1414&amp;"|"&amp;$U1414&amp;"|"&amp;$D1414)</f>
        <v/>
      </c>
      <c r="W1414">
        <f>IF($T1414="","",IF($X1414&gt;N($X1413),$X1414,""))</f>
        <v/>
      </c>
      <c r="X1414">
        <f>IF($T1414="",N($X1413),IF(MATCH($T1414,$T$6:$T$6005,0)=ROW()-5,N($X1413)+1,N($X1413)))</f>
        <v/>
      </c>
      <c r="Z1414">
        <f>IF($V1414="","",IF($AA1414&gt;N($AA1413),$AA1414,""))</f>
        <v/>
      </c>
      <c r="AA1414">
        <f>IF($V1414="",N($AA1413),IF(MATCH($V1414,$V$6:$V$6005,0)=ROW()-5,N($AA1413)+1,N($AA1413)))</f>
        <v/>
      </c>
    </row>
    <row r="1415" ht="21" customHeight="1" s="66">
      <c r="A1415" s="56" t="n"/>
      <c r="B1415" s="57" t="n"/>
      <c r="C1415" s="57" t="n"/>
      <c r="D1415" s="57" t="n"/>
      <c r="E1415" s="56" t="n"/>
      <c r="F1415" s="57" t="n"/>
      <c r="G1415" s="57" t="n"/>
      <c r="H1415" s="56" t="n"/>
      <c r="I1415" s="56" t="n"/>
      <c r="J1415" s="58" t="n"/>
      <c r="K1415" s="58" t="n"/>
      <c r="L1415" s="13">
        <f>IF(OR($A1415="",AND($J1415="",$K1415="")),"",ROUND(N($J1415)-N($K1415),2))</f>
        <v/>
      </c>
      <c r="M1415" s="13">
        <f>IF(OR($A1415="",AND($J1415="",$K1415="")),"",MIN($J1415,$K1415))</f>
        <v/>
      </c>
      <c r="Q1415">
        <f>IF($A1415="","",$D1415&amp;"("&amp;SUBSTITUTE($E1415," ","")&amp;")")</f>
        <v/>
      </c>
      <c r="R1415">
        <f>IF($A1415="","",$B1415&amp;" - "&amp;$C1415)</f>
        <v/>
      </c>
      <c r="S1415">
        <f>IF($A1415="","",$R1415&amp;"|"&amp;$Q1415)</f>
        <v/>
      </c>
      <c r="T1415">
        <f>IF($A1415="","",$S1415&amp;"|"&amp;$F1415)</f>
        <v/>
      </c>
      <c r="U1415">
        <f>IF($A1415="","",$R1415&amp;"("&amp;$E1415&amp;")")</f>
        <v/>
      </c>
      <c r="V1415">
        <f>IF($A1415="","",$F1415&amp;"|"&amp;$U1415&amp;"|"&amp;$D1415)</f>
        <v/>
      </c>
      <c r="W1415">
        <f>IF($T1415="","",IF($X1415&gt;N($X1414),$X1415,""))</f>
        <v/>
      </c>
      <c r="X1415">
        <f>IF($T1415="",N($X1414),IF(MATCH($T1415,$T$6:$T$6005,0)=ROW()-5,N($X1414)+1,N($X1414)))</f>
        <v/>
      </c>
      <c r="Z1415">
        <f>IF($V1415="","",IF($AA1415&gt;N($AA1414),$AA1415,""))</f>
        <v/>
      </c>
      <c r="AA1415">
        <f>IF($V1415="",N($AA1414),IF(MATCH($V1415,$V$6:$V$6005,0)=ROW()-5,N($AA1414)+1,N($AA1414)))</f>
        <v/>
      </c>
    </row>
    <row r="1416" ht="21" customHeight="1" s="66">
      <c r="A1416" s="56" t="n"/>
      <c r="B1416" s="57" t="n"/>
      <c r="C1416" s="57" t="n"/>
      <c r="D1416" s="57" t="n"/>
      <c r="E1416" s="56" t="n"/>
      <c r="F1416" s="57" t="n"/>
      <c r="G1416" s="57" t="n"/>
      <c r="H1416" s="56" t="n"/>
      <c r="I1416" s="56" t="n"/>
      <c r="J1416" s="58" t="n"/>
      <c r="K1416" s="58" t="n"/>
      <c r="L1416" s="13">
        <f>IF(OR($A1416="",AND($J1416="",$K1416="")),"",ROUND(N($J1416)-N($K1416),2))</f>
        <v/>
      </c>
      <c r="M1416" s="13">
        <f>IF(OR($A1416="",AND($J1416="",$K1416="")),"",MIN($J1416,$K1416))</f>
        <v/>
      </c>
      <c r="Q1416">
        <f>IF($A1416="","",$D1416&amp;"("&amp;SUBSTITUTE($E1416," ","")&amp;")")</f>
        <v/>
      </c>
      <c r="R1416">
        <f>IF($A1416="","",$B1416&amp;" - "&amp;$C1416)</f>
        <v/>
      </c>
      <c r="S1416">
        <f>IF($A1416="","",$R1416&amp;"|"&amp;$Q1416)</f>
        <v/>
      </c>
      <c r="T1416">
        <f>IF($A1416="","",$S1416&amp;"|"&amp;$F1416)</f>
        <v/>
      </c>
      <c r="U1416">
        <f>IF($A1416="","",$R1416&amp;"("&amp;$E1416&amp;")")</f>
        <v/>
      </c>
      <c r="V1416">
        <f>IF($A1416="","",$F1416&amp;"|"&amp;$U1416&amp;"|"&amp;$D1416)</f>
        <v/>
      </c>
      <c r="W1416">
        <f>IF($T1416="","",IF($X1416&gt;N($X1415),$X1416,""))</f>
        <v/>
      </c>
      <c r="X1416">
        <f>IF($T1416="",N($X1415),IF(MATCH($T1416,$T$6:$T$6005,0)=ROW()-5,N($X1415)+1,N($X1415)))</f>
        <v/>
      </c>
      <c r="Z1416">
        <f>IF($V1416="","",IF($AA1416&gt;N($AA1415),$AA1416,""))</f>
        <v/>
      </c>
      <c r="AA1416">
        <f>IF($V1416="",N($AA1415),IF(MATCH($V1416,$V$6:$V$6005,0)=ROW()-5,N($AA1415)+1,N($AA1415)))</f>
        <v/>
      </c>
    </row>
    <row r="1417" ht="21" customHeight="1" s="66">
      <c r="A1417" s="56" t="n"/>
      <c r="B1417" s="57" t="n"/>
      <c r="C1417" s="57" t="n"/>
      <c r="D1417" s="57" t="n"/>
      <c r="E1417" s="56" t="n"/>
      <c r="F1417" s="57" t="n"/>
      <c r="G1417" s="57" t="n"/>
      <c r="H1417" s="56" t="n"/>
      <c r="I1417" s="56" t="n"/>
      <c r="J1417" s="58" t="n"/>
      <c r="K1417" s="58" t="n"/>
      <c r="L1417" s="13">
        <f>IF(OR($A1417="",AND($J1417="",$K1417="")),"",ROUND(N($J1417)-N($K1417),2))</f>
        <v/>
      </c>
      <c r="M1417" s="13">
        <f>IF(OR($A1417="",AND($J1417="",$K1417="")),"",MIN($J1417,$K1417))</f>
        <v/>
      </c>
      <c r="Q1417">
        <f>IF($A1417="","",$D1417&amp;"("&amp;SUBSTITUTE($E1417," ","")&amp;")")</f>
        <v/>
      </c>
      <c r="R1417">
        <f>IF($A1417="","",$B1417&amp;" - "&amp;$C1417)</f>
        <v/>
      </c>
      <c r="S1417">
        <f>IF($A1417="","",$R1417&amp;"|"&amp;$Q1417)</f>
        <v/>
      </c>
      <c r="T1417">
        <f>IF($A1417="","",$S1417&amp;"|"&amp;$F1417)</f>
        <v/>
      </c>
      <c r="U1417">
        <f>IF($A1417="","",$R1417&amp;"("&amp;$E1417&amp;")")</f>
        <v/>
      </c>
      <c r="V1417">
        <f>IF($A1417="","",$F1417&amp;"|"&amp;$U1417&amp;"|"&amp;$D1417)</f>
        <v/>
      </c>
      <c r="W1417">
        <f>IF($T1417="","",IF($X1417&gt;N($X1416),$X1417,""))</f>
        <v/>
      </c>
      <c r="X1417">
        <f>IF($T1417="",N($X1416),IF(MATCH($T1417,$T$6:$T$6005,0)=ROW()-5,N($X1416)+1,N($X1416)))</f>
        <v/>
      </c>
      <c r="Z1417">
        <f>IF($V1417="","",IF($AA1417&gt;N($AA1416),$AA1417,""))</f>
        <v/>
      </c>
      <c r="AA1417">
        <f>IF($V1417="",N($AA1416),IF(MATCH($V1417,$V$6:$V$6005,0)=ROW()-5,N($AA1416)+1,N($AA1416)))</f>
        <v/>
      </c>
    </row>
    <row r="1418" ht="21" customHeight="1" s="66">
      <c r="A1418" s="56" t="n"/>
      <c r="B1418" s="57" t="n"/>
      <c r="C1418" s="57" t="n"/>
      <c r="D1418" s="57" t="n"/>
      <c r="E1418" s="56" t="n"/>
      <c r="F1418" s="57" t="n"/>
      <c r="G1418" s="57" t="n"/>
      <c r="H1418" s="56" t="n"/>
      <c r="I1418" s="56" t="n"/>
      <c r="J1418" s="58" t="n"/>
      <c r="K1418" s="58" t="n"/>
      <c r="L1418" s="13">
        <f>IF(OR($A1418="",AND($J1418="",$K1418="")),"",ROUND(N($J1418)-N($K1418),2))</f>
        <v/>
      </c>
      <c r="M1418" s="13">
        <f>IF(OR($A1418="",AND($J1418="",$K1418="")),"",MIN($J1418,$K1418))</f>
        <v/>
      </c>
      <c r="Q1418">
        <f>IF($A1418="","",$D1418&amp;"("&amp;SUBSTITUTE($E1418," ","")&amp;")")</f>
        <v/>
      </c>
      <c r="R1418">
        <f>IF($A1418="","",$B1418&amp;" - "&amp;$C1418)</f>
        <v/>
      </c>
      <c r="S1418">
        <f>IF($A1418="","",$R1418&amp;"|"&amp;$Q1418)</f>
        <v/>
      </c>
      <c r="T1418">
        <f>IF($A1418="","",$S1418&amp;"|"&amp;$F1418)</f>
        <v/>
      </c>
      <c r="U1418">
        <f>IF($A1418="","",$R1418&amp;"("&amp;$E1418&amp;")")</f>
        <v/>
      </c>
      <c r="V1418">
        <f>IF($A1418="","",$F1418&amp;"|"&amp;$U1418&amp;"|"&amp;$D1418)</f>
        <v/>
      </c>
      <c r="W1418">
        <f>IF($T1418="","",IF($X1418&gt;N($X1417),$X1418,""))</f>
        <v/>
      </c>
      <c r="X1418">
        <f>IF($T1418="",N($X1417),IF(MATCH($T1418,$T$6:$T$6005,0)=ROW()-5,N($X1417)+1,N($X1417)))</f>
        <v/>
      </c>
      <c r="Z1418">
        <f>IF($V1418="","",IF($AA1418&gt;N($AA1417),$AA1418,""))</f>
        <v/>
      </c>
      <c r="AA1418">
        <f>IF($V1418="",N($AA1417),IF(MATCH($V1418,$V$6:$V$6005,0)=ROW()-5,N($AA1417)+1,N($AA1417)))</f>
        <v/>
      </c>
    </row>
    <row r="1419" ht="21" customHeight="1" s="66">
      <c r="A1419" s="56" t="n"/>
      <c r="B1419" s="57" t="n"/>
      <c r="C1419" s="57" t="n"/>
      <c r="D1419" s="57" t="n"/>
      <c r="E1419" s="56" t="n"/>
      <c r="F1419" s="57" t="n"/>
      <c r="G1419" s="57" t="n"/>
      <c r="H1419" s="56" t="n"/>
      <c r="I1419" s="56" t="n"/>
      <c r="J1419" s="58" t="n"/>
      <c r="K1419" s="58" t="n"/>
      <c r="L1419" s="13">
        <f>IF(OR($A1419="",AND($J1419="",$K1419="")),"",ROUND(N($J1419)-N($K1419),2))</f>
        <v/>
      </c>
      <c r="M1419" s="13">
        <f>IF(OR($A1419="",AND($J1419="",$K1419="")),"",MIN($J1419,$K1419))</f>
        <v/>
      </c>
      <c r="Q1419">
        <f>IF($A1419="","",$D1419&amp;"("&amp;SUBSTITUTE($E1419," ","")&amp;")")</f>
        <v/>
      </c>
      <c r="R1419">
        <f>IF($A1419="","",$B1419&amp;" - "&amp;$C1419)</f>
        <v/>
      </c>
      <c r="S1419">
        <f>IF($A1419="","",$R1419&amp;"|"&amp;$Q1419)</f>
        <v/>
      </c>
      <c r="T1419">
        <f>IF($A1419="","",$S1419&amp;"|"&amp;$F1419)</f>
        <v/>
      </c>
      <c r="U1419">
        <f>IF($A1419="","",$R1419&amp;"("&amp;$E1419&amp;")")</f>
        <v/>
      </c>
      <c r="V1419">
        <f>IF($A1419="","",$F1419&amp;"|"&amp;$U1419&amp;"|"&amp;$D1419)</f>
        <v/>
      </c>
      <c r="W1419">
        <f>IF($T1419="","",IF($X1419&gt;N($X1418),$X1419,""))</f>
        <v/>
      </c>
      <c r="X1419">
        <f>IF($T1419="",N($X1418),IF(MATCH($T1419,$T$6:$T$6005,0)=ROW()-5,N($X1418)+1,N($X1418)))</f>
        <v/>
      </c>
      <c r="Z1419">
        <f>IF($V1419="","",IF($AA1419&gt;N($AA1418),$AA1419,""))</f>
        <v/>
      </c>
      <c r="AA1419">
        <f>IF($V1419="",N($AA1418),IF(MATCH($V1419,$V$6:$V$6005,0)=ROW()-5,N($AA1418)+1,N($AA1418)))</f>
        <v/>
      </c>
    </row>
    <row r="1420" ht="21" customHeight="1" s="66">
      <c r="A1420" s="56" t="n"/>
      <c r="B1420" s="57" t="n"/>
      <c r="C1420" s="57" t="n"/>
      <c r="D1420" s="57" t="n"/>
      <c r="E1420" s="56" t="n"/>
      <c r="F1420" s="57" t="n"/>
      <c r="G1420" s="57" t="n"/>
      <c r="H1420" s="56" t="n"/>
      <c r="I1420" s="56" t="n"/>
      <c r="J1420" s="58" t="n"/>
      <c r="K1420" s="58" t="n"/>
      <c r="L1420" s="13">
        <f>IF(OR($A1420="",AND($J1420="",$K1420="")),"",ROUND(N($J1420)-N($K1420),2))</f>
        <v/>
      </c>
      <c r="M1420" s="13">
        <f>IF(OR($A1420="",AND($J1420="",$K1420="")),"",MIN($J1420,$K1420))</f>
        <v/>
      </c>
      <c r="Q1420">
        <f>IF($A1420="","",$D1420&amp;"("&amp;SUBSTITUTE($E1420," ","")&amp;")")</f>
        <v/>
      </c>
      <c r="R1420">
        <f>IF($A1420="","",$B1420&amp;" - "&amp;$C1420)</f>
        <v/>
      </c>
      <c r="S1420">
        <f>IF($A1420="","",$R1420&amp;"|"&amp;$Q1420)</f>
        <v/>
      </c>
      <c r="T1420">
        <f>IF($A1420="","",$S1420&amp;"|"&amp;$F1420)</f>
        <v/>
      </c>
      <c r="U1420">
        <f>IF($A1420="","",$R1420&amp;"("&amp;$E1420&amp;")")</f>
        <v/>
      </c>
      <c r="V1420">
        <f>IF($A1420="","",$F1420&amp;"|"&amp;$U1420&amp;"|"&amp;$D1420)</f>
        <v/>
      </c>
      <c r="W1420">
        <f>IF($T1420="","",IF($X1420&gt;N($X1419),$X1420,""))</f>
        <v/>
      </c>
      <c r="X1420">
        <f>IF($T1420="",N($X1419),IF(MATCH($T1420,$T$6:$T$6005,0)=ROW()-5,N($X1419)+1,N($X1419)))</f>
        <v/>
      </c>
      <c r="Z1420">
        <f>IF($V1420="","",IF($AA1420&gt;N($AA1419),$AA1420,""))</f>
        <v/>
      </c>
      <c r="AA1420">
        <f>IF($V1420="",N($AA1419),IF(MATCH($V1420,$V$6:$V$6005,0)=ROW()-5,N($AA1419)+1,N($AA1419)))</f>
        <v/>
      </c>
    </row>
    <row r="1421" ht="21" customHeight="1" s="66">
      <c r="A1421" s="56" t="n"/>
      <c r="B1421" s="57" t="n"/>
      <c r="C1421" s="57" t="n"/>
      <c r="D1421" s="57" t="n"/>
      <c r="E1421" s="56" t="n"/>
      <c r="F1421" s="57" t="n"/>
      <c r="G1421" s="57" t="n"/>
      <c r="H1421" s="56" t="n"/>
      <c r="I1421" s="56" t="n"/>
      <c r="J1421" s="58" t="n"/>
      <c r="K1421" s="58" t="n"/>
      <c r="L1421" s="13">
        <f>IF(OR($A1421="",AND($J1421="",$K1421="")),"",ROUND(N($J1421)-N($K1421),2))</f>
        <v/>
      </c>
      <c r="M1421" s="13">
        <f>IF(OR($A1421="",AND($J1421="",$K1421="")),"",MIN($J1421,$K1421))</f>
        <v/>
      </c>
      <c r="Q1421">
        <f>IF($A1421="","",$D1421&amp;"("&amp;SUBSTITUTE($E1421," ","")&amp;")")</f>
        <v/>
      </c>
      <c r="R1421">
        <f>IF($A1421="","",$B1421&amp;" - "&amp;$C1421)</f>
        <v/>
      </c>
      <c r="S1421">
        <f>IF($A1421="","",$R1421&amp;"|"&amp;$Q1421)</f>
        <v/>
      </c>
      <c r="T1421">
        <f>IF($A1421="","",$S1421&amp;"|"&amp;$F1421)</f>
        <v/>
      </c>
      <c r="U1421">
        <f>IF($A1421="","",$R1421&amp;"("&amp;$E1421&amp;")")</f>
        <v/>
      </c>
      <c r="V1421">
        <f>IF($A1421="","",$F1421&amp;"|"&amp;$U1421&amp;"|"&amp;$D1421)</f>
        <v/>
      </c>
      <c r="W1421">
        <f>IF($T1421="","",IF($X1421&gt;N($X1420),$X1421,""))</f>
        <v/>
      </c>
      <c r="X1421">
        <f>IF($T1421="",N($X1420),IF(MATCH($T1421,$T$6:$T$6005,0)=ROW()-5,N($X1420)+1,N($X1420)))</f>
        <v/>
      </c>
      <c r="Z1421">
        <f>IF($V1421="","",IF($AA1421&gt;N($AA1420),$AA1421,""))</f>
        <v/>
      </c>
      <c r="AA1421">
        <f>IF($V1421="",N($AA1420),IF(MATCH($V1421,$V$6:$V$6005,0)=ROW()-5,N($AA1420)+1,N($AA1420)))</f>
        <v/>
      </c>
    </row>
    <row r="1422" ht="21" customHeight="1" s="66">
      <c r="A1422" s="56" t="n"/>
      <c r="B1422" s="57" t="n"/>
      <c r="C1422" s="57" t="n"/>
      <c r="D1422" s="57" t="n"/>
      <c r="E1422" s="56" t="n"/>
      <c r="F1422" s="57" t="n"/>
      <c r="G1422" s="57" t="n"/>
      <c r="H1422" s="56" t="n"/>
      <c r="I1422" s="56" t="n"/>
      <c r="J1422" s="58" t="n"/>
      <c r="K1422" s="58" t="n"/>
      <c r="L1422" s="13">
        <f>IF(OR($A1422="",AND($J1422="",$K1422="")),"",ROUND(N($J1422)-N($K1422),2))</f>
        <v/>
      </c>
      <c r="M1422" s="13">
        <f>IF(OR($A1422="",AND($J1422="",$K1422="")),"",MIN($J1422,$K1422))</f>
        <v/>
      </c>
      <c r="Q1422">
        <f>IF($A1422="","",$D1422&amp;"("&amp;SUBSTITUTE($E1422," ","")&amp;")")</f>
        <v/>
      </c>
      <c r="R1422">
        <f>IF($A1422="","",$B1422&amp;" - "&amp;$C1422)</f>
        <v/>
      </c>
      <c r="S1422">
        <f>IF($A1422="","",$R1422&amp;"|"&amp;$Q1422)</f>
        <v/>
      </c>
      <c r="T1422">
        <f>IF($A1422="","",$S1422&amp;"|"&amp;$F1422)</f>
        <v/>
      </c>
      <c r="U1422">
        <f>IF($A1422="","",$R1422&amp;"("&amp;$E1422&amp;")")</f>
        <v/>
      </c>
      <c r="V1422">
        <f>IF($A1422="","",$F1422&amp;"|"&amp;$U1422&amp;"|"&amp;$D1422)</f>
        <v/>
      </c>
      <c r="W1422">
        <f>IF($T1422="","",IF($X1422&gt;N($X1421),$X1422,""))</f>
        <v/>
      </c>
      <c r="X1422">
        <f>IF($T1422="",N($X1421),IF(MATCH($T1422,$T$6:$T$6005,0)=ROW()-5,N($X1421)+1,N($X1421)))</f>
        <v/>
      </c>
      <c r="Z1422">
        <f>IF($V1422="","",IF($AA1422&gt;N($AA1421),$AA1422,""))</f>
        <v/>
      </c>
      <c r="AA1422">
        <f>IF($V1422="",N($AA1421),IF(MATCH($V1422,$V$6:$V$6005,0)=ROW()-5,N($AA1421)+1,N($AA1421)))</f>
        <v/>
      </c>
    </row>
    <row r="1423" ht="21" customHeight="1" s="66">
      <c r="A1423" s="56" t="n"/>
      <c r="B1423" s="57" t="n"/>
      <c r="C1423" s="57" t="n"/>
      <c r="D1423" s="57" t="n"/>
      <c r="E1423" s="56" t="n"/>
      <c r="F1423" s="57" t="n"/>
      <c r="G1423" s="57" t="n"/>
      <c r="H1423" s="56" t="n"/>
      <c r="I1423" s="56" t="n"/>
      <c r="J1423" s="58" t="n"/>
      <c r="K1423" s="58" t="n"/>
      <c r="L1423" s="13">
        <f>IF(OR($A1423="",AND($J1423="",$K1423="")),"",ROUND(N($J1423)-N($K1423),2))</f>
        <v/>
      </c>
      <c r="M1423" s="13">
        <f>IF(OR($A1423="",AND($J1423="",$K1423="")),"",MIN($J1423,$K1423))</f>
        <v/>
      </c>
      <c r="Q1423">
        <f>IF($A1423="","",$D1423&amp;"("&amp;SUBSTITUTE($E1423," ","")&amp;")")</f>
        <v/>
      </c>
      <c r="R1423">
        <f>IF($A1423="","",$B1423&amp;" - "&amp;$C1423)</f>
        <v/>
      </c>
      <c r="S1423">
        <f>IF($A1423="","",$R1423&amp;"|"&amp;$Q1423)</f>
        <v/>
      </c>
      <c r="T1423">
        <f>IF($A1423="","",$S1423&amp;"|"&amp;$F1423)</f>
        <v/>
      </c>
      <c r="U1423">
        <f>IF($A1423="","",$R1423&amp;"("&amp;$E1423&amp;")")</f>
        <v/>
      </c>
      <c r="V1423">
        <f>IF($A1423="","",$F1423&amp;"|"&amp;$U1423&amp;"|"&amp;$D1423)</f>
        <v/>
      </c>
      <c r="W1423">
        <f>IF($T1423="","",IF($X1423&gt;N($X1422),$X1423,""))</f>
        <v/>
      </c>
      <c r="X1423">
        <f>IF($T1423="",N($X1422),IF(MATCH($T1423,$T$6:$T$6005,0)=ROW()-5,N($X1422)+1,N($X1422)))</f>
        <v/>
      </c>
      <c r="Z1423">
        <f>IF($V1423="","",IF($AA1423&gt;N($AA1422),$AA1423,""))</f>
        <v/>
      </c>
      <c r="AA1423">
        <f>IF($V1423="",N($AA1422),IF(MATCH($V1423,$V$6:$V$6005,0)=ROW()-5,N($AA1422)+1,N($AA1422)))</f>
        <v/>
      </c>
    </row>
    <row r="1424" ht="21" customHeight="1" s="66">
      <c r="A1424" s="56" t="n"/>
      <c r="B1424" s="57" t="n"/>
      <c r="C1424" s="57" t="n"/>
      <c r="D1424" s="57" t="n"/>
      <c r="E1424" s="56" t="n"/>
      <c r="F1424" s="57" t="n"/>
      <c r="G1424" s="57" t="n"/>
      <c r="H1424" s="56" t="n"/>
      <c r="I1424" s="56" t="n"/>
      <c r="J1424" s="58" t="n"/>
      <c r="K1424" s="58" t="n"/>
      <c r="L1424" s="13">
        <f>IF(OR($A1424="",AND($J1424="",$K1424="")),"",ROUND(N($J1424)-N($K1424),2))</f>
        <v/>
      </c>
      <c r="M1424" s="13">
        <f>IF(OR($A1424="",AND($J1424="",$K1424="")),"",MIN($J1424,$K1424))</f>
        <v/>
      </c>
      <c r="Q1424">
        <f>IF($A1424="","",$D1424&amp;"("&amp;SUBSTITUTE($E1424," ","")&amp;")")</f>
        <v/>
      </c>
      <c r="R1424">
        <f>IF($A1424="","",$B1424&amp;" - "&amp;$C1424)</f>
        <v/>
      </c>
      <c r="S1424">
        <f>IF($A1424="","",$R1424&amp;"|"&amp;$Q1424)</f>
        <v/>
      </c>
      <c r="T1424">
        <f>IF($A1424="","",$S1424&amp;"|"&amp;$F1424)</f>
        <v/>
      </c>
      <c r="U1424">
        <f>IF($A1424="","",$R1424&amp;"("&amp;$E1424&amp;")")</f>
        <v/>
      </c>
      <c r="V1424">
        <f>IF($A1424="","",$F1424&amp;"|"&amp;$U1424&amp;"|"&amp;$D1424)</f>
        <v/>
      </c>
      <c r="W1424">
        <f>IF($T1424="","",IF($X1424&gt;N($X1423),$X1424,""))</f>
        <v/>
      </c>
      <c r="X1424">
        <f>IF($T1424="",N($X1423),IF(MATCH($T1424,$T$6:$T$6005,0)=ROW()-5,N($X1423)+1,N($X1423)))</f>
        <v/>
      </c>
      <c r="Z1424">
        <f>IF($V1424="","",IF($AA1424&gt;N($AA1423),$AA1424,""))</f>
        <v/>
      </c>
      <c r="AA1424">
        <f>IF($V1424="",N($AA1423),IF(MATCH($V1424,$V$6:$V$6005,0)=ROW()-5,N($AA1423)+1,N($AA1423)))</f>
        <v/>
      </c>
    </row>
    <row r="1425" ht="21" customHeight="1" s="66">
      <c r="A1425" s="56" t="n"/>
      <c r="B1425" s="57" t="n"/>
      <c r="C1425" s="57" t="n"/>
      <c r="D1425" s="57" t="n"/>
      <c r="E1425" s="56" t="n"/>
      <c r="F1425" s="57" t="n"/>
      <c r="G1425" s="57" t="n"/>
      <c r="H1425" s="56" t="n"/>
      <c r="I1425" s="56" t="n"/>
      <c r="J1425" s="58" t="n"/>
      <c r="K1425" s="58" t="n"/>
      <c r="L1425" s="13">
        <f>IF(OR($A1425="",AND($J1425="",$K1425="")),"",ROUND(N($J1425)-N($K1425),2))</f>
        <v/>
      </c>
      <c r="M1425" s="13">
        <f>IF(OR($A1425="",AND($J1425="",$K1425="")),"",MIN($J1425,$K1425))</f>
        <v/>
      </c>
      <c r="Q1425">
        <f>IF($A1425="","",$D1425&amp;"("&amp;SUBSTITUTE($E1425," ","")&amp;")")</f>
        <v/>
      </c>
      <c r="R1425">
        <f>IF($A1425="","",$B1425&amp;" - "&amp;$C1425)</f>
        <v/>
      </c>
      <c r="S1425">
        <f>IF($A1425="","",$R1425&amp;"|"&amp;$Q1425)</f>
        <v/>
      </c>
      <c r="T1425">
        <f>IF($A1425="","",$S1425&amp;"|"&amp;$F1425)</f>
        <v/>
      </c>
      <c r="U1425">
        <f>IF($A1425="","",$R1425&amp;"("&amp;$E1425&amp;")")</f>
        <v/>
      </c>
      <c r="V1425">
        <f>IF($A1425="","",$F1425&amp;"|"&amp;$U1425&amp;"|"&amp;$D1425)</f>
        <v/>
      </c>
      <c r="W1425">
        <f>IF($T1425="","",IF($X1425&gt;N($X1424),$X1425,""))</f>
        <v/>
      </c>
      <c r="X1425">
        <f>IF($T1425="",N($X1424),IF(MATCH($T1425,$T$6:$T$6005,0)=ROW()-5,N($X1424)+1,N($X1424)))</f>
        <v/>
      </c>
      <c r="Z1425">
        <f>IF($V1425="","",IF($AA1425&gt;N($AA1424),$AA1425,""))</f>
        <v/>
      </c>
      <c r="AA1425">
        <f>IF($V1425="",N($AA1424),IF(MATCH($V1425,$V$6:$V$6005,0)=ROW()-5,N($AA1424)+1,N($AA1424)))</f>
        <v/>
      </c>
    </row>
    <row r="1426" ht="21" customHeight="1" s="66">
      <c r="A1426" s="56" t="n"/>
      <c r="B1426" s="57" t="n"/>
      <c r="C1426" s="57" t="n"/>
      <c r="D1426" s="57" t="n"/>
      <c r="E1426" s="56" t="n"/>
      <c r="F1426" s="57" t="n"/>
      <c r="G1426" s="57" t="n"/>
      <c r="H1426" s="56" t="n"/>
      <c r="I1426" s="56" t="n"/>
      <c r="J1426" s="58" t="n"/>
      <c r="K1426" s="58" t="n"/>
      <c r="L1426" s="13">
        <f>IF(OR($A1426="",AND($J1426="",$K1426="")),"",ROUND(N($J1426)-N($K1426),2))</f>
        <v/>
      </c>
      <c r="M1426" s="13">
        <f>IF(OR($A1426="",AND($J1426="",$K1426="")),"",MIN($J1426,$K1426))</f>
        <v/>
      </c>
      <c r="Q1426">
        <f>IF($A1426="","",$D1426&amp;"("&amp;SUBSTITUTE($E1426," ","")&amp;")")</f>
        <v/>
      </c>
      <c r="R1426">
        <f>IF($A1426="","",$B1426&amp;" - "&amp;$C1426)</f>
        <v/>
      </c>
      <c r="S1426">
        <f>IF($A1426="","",$R1426&amp;"|"&amp;$Q1426)</f>
        <v/>
      </c>
      <c r="T1426">
        <f>IF($A1426="","",$S1426&amp;"|"&amp;$F1426)</f>
        <v/>
      </c>
      <c r="U1426">
        <f>IF($A1426="","",$R1426&amp;"("&amp;$E1426&amp;")")</f>
        <v/>
      </c>
      <c r="V1426">
        <f>IF($A1426="","",$F1426&amp;"|"&amp;$U1426&amp;"|"&amp;$D1426)</f>
        <v/>
      </c>
      <c r="W1426">
        <f>IF($T1426="","",IF($X1426&gt;N($X1425),$X1426,""))</f>
        <v/>
      </c>
      <c r="X1426">
        <f>IF($T1426="",N($X1425),IF(MATCH($T1426,$T$6:$T$6005,0)=ROW()-5,N($X1425)+1,N($X1425)))</f>
        <v/>
      </c>
      <c r="Z1426">
        <f>IF($V1426="","",IF($AA1426&gt;N($AA1425),$AA1426,""))</f>
        <v/>
      </c>
      <c r="AA1426">
        <f>IF($V1426="",N($AA1425),IF(MATCH($V1426,$V$6:$V$6005,0)=ROW()-5,N($AA1425)+1,N($AA1425)))</f>
        <v/>
      </c>
    </row>
    <row r="1427" ht="21" customHeight="1" s="66">
      <c r="A1427" s="56" t="n"/>
      <c r="B1427" s="57" t="n"/>
      <c r="C1427" s="57" t="n"/>
      <c r="D1427" s="57" t="n"/>
      <c r="E1427" s="56" t="n"/>
      <c r="F1427" s="57" t="n"/>
      <c r="G1427" s="57" t="n"/>
      <c r="H1427" s="56" t="n"/>
      <c r="I1427" s="56" t="n"/>
      <c r="J1427" s="58" t="n"/>
      <c r="K1427" s="58" t="n"/>
      <c r="L1427" s="13">
        <f>IF(OR($A1427="",AND($J1427="",$K1427="")),"",ROUND(N($J1427)-N($K1427),2))</f>
        <v/>
      </c>
      <c r="M1427" s="13">
        <f>IF(OR($A1427="",AND($J1427="",$K1427="")),"",MIN($J1427,$K1427))</f>
        <v/>
      </c>
      <c r="Q1427">
        <f>IF($A1427="","",$D1427&amp;"("&amp;SUBSTITUTE($E1427," ","")&amp;")")</f>
        <v/>
      </c>
      <c r="R1427">
        <f>IF($A1427="","",$B1427&amp;" - "&amp;$C1427)</f>
        <v/>
      </c>
      <c r="S1427">
        <f>IF($A1427="","",$R1427&amp;"|"&amp;$Q1427)</f>
        <v/>
      </c>
      <c r="T1427">
        <f>IF($A1427="","",$S1427&amp;"|"&amp;$F1427)</f>
        <v/>
      </c>
      <c r="U1427">
        <f>IF($A1427="","",$R1427&amp;"("&amp;$E1427&amp;")")</f>
        <v/>
      </c>
      <c r="V1427">
        <f>IF($A1427="","",$F1427&amp;"|"&amp;$U1427&amp;"|"&amp;$D1427)</f>
        <v/>
      </c>
      <c r="W1427">
        <f>IF($T1427="","",IF($X1427&gt;N($X1426),$X1427,""))</f>
        <v/>
      </c>
      <c r="X1427">
        <f>IF($T1427="",N($X1426),IF(MATCH($T1427,$T$6:$T$6005,0)=ROW()-5,N($X1426)+1,N($X1426)))</f>
        <v/>
      </c>
      <c r="Z1427">
        <f>IF($V1427="","",IF($AA1427&gt;N($AA1426),$AA1427,""))</f>
        <v/>
      </c>
      <c r="AA1427">
        <f>IF($V1427="",N($AA1426),IF(MATCH($V1427,$V$6:$V$6005,0)=ROW()-5,N($AA1426)+1,N($AA1426)))</f>
        <v/>
      </c>
    </row>
    <row r="1428" ht="21" customHeight="1" s="66">
      <c r="A1428" s="56" t="n"/>
      <c r="B1428" s="57" t="n"/>
      <c r="C1428" s="57" t="n"/>
      <c r="D1428" s="57" t="n"/>
      <c r="E1428" s="56" t="n"/>
      <c r="F1428" s="57" t="n"/>
      <c r="G1428" s="57" t="n"/>
      <c r="H1428" s="56" t="n"/>
      <c r="I1428" s="56" t="n"/>
      <c r="J1428" s="58" t="n"/>
      <c r="K1428" s="58" t="n"/>
      <c r="L1428" s="13">
        <f>IF(OR($A1428="",AND($J1428="",$K1428="")),"",ROUND(N($J1428)-N($K1428),2))</f>
        <v/>
      </c>
      <c r="M1428" s="13">
        <f>IF(OR($A1428="",AND($J1428="",$K1428="")),"",MIN($J1428,$K1428))</f>
        <v/>
      </c>
      <c r="Q1428">
        <f>IF($A1428="","",$D1428&amp;"("&amp;SUBSTITUTE($E1428," ","")&amp;")")</f>
        <v/>
      </c>
      <c r="R1428">
        <f>IF($A1428="","",$B1428&amp;" - "&amp;$C1428)</f>
        <v/>
      </c>
      <c r="S1428">
        <f>IF($A1428="","",$R1428&amp;"|"&amp;$Q1428)</f>
        <v/>
      </c>
      <c r="T1428">
        <f>IF($A1428="","",$S1428&amp;"|"&amp;$F1428)</f>
        <v/>
      </c>
      <c r="U1428">
        <f>IF($A1428="","",$R1428&amp;"("&amp;$E1428&amp;")")</f>
        <v/>
      </c>
      <c r="V1428">
        <f>IF($A1428="","",$F1428&amp;"|"&amp;$U1428&amp;"|"&amp;$D1428)</f>
        <v/>
      </c>
      <c r="W1428">
        <f>IF($T1428="","",IF($X1428&gt;N($X1427),$X1428,""))</f>
        <v/>
      </c>
      <c r="X1428">
        <f>IF($T1428="",N($X1427),IF(MATCH($T1428,$T$6:$T$6005,0)=ROW()-5,N($X1427)+1,N($X1427)))</f>
        <v/>
      </c>
      <c r="Z1428">
        <f>IF($V1428="","",IF($AA1428&gt;N($AA1427),$AA1428,""))</f>
        <v/>
      </c>
      <c r="AA1428">
        <f>IF($V1428="",N($AA1427),IF(MATCH($V1428,$V$6:$V$6005,0)=ROW()-5,N($AA1427)+1,N($AA1427)))</f>
        <v/>
      </c>
    </row>
    <row r="1429" ht="21" customHeight="1" s="66">
      <c r="A1429" s="56" t="n"/>
      <c r="B1429" s="57" t="n"/>
      <c r="C1429" s="57" t="n"/>
      <c r="D1429" s="57" t="n"/>
      <c r="E1429" s="56" t="n"/>
      <c r="F1429" s="57" t="n"/>
      <c r="G1429" s="57" t="n"/>
      <c r="H1429" s="56" t="n"/>
      <c r="I1429" s="56" t="n"/>
      <c r="J1429" s="58" t="n"/>
      <c r="K1429" s="58" t="n"/>
      <c r="L1429" s="13">
        <f>IF(OR($A1429="",AND($J1429="",$K1429="")),"",ROUND(N($J1429)-N($K1429),2))</f>
        <v/>
      </c>
      <c r="M1429" s="13">
        <f>IF(OR($A1429="",AND($J1429="",$K1429="")),"",MIN($J1429,$K1429))</f>
        <v/>
      </c>
      <c r="Q1429">
        <f>IF($A1429="","",$D1429&amp;"("&amp;SUBSTITUTE($E1429," ","")&amp;")")</f>
        <v/>
      </c>
      <c r="R1429">
        <f>IF($A1429="","",$B1429&amp;" - "&amp;$C1429)</f>
        <v/>
      </c>
      <c r="S1429">
        <f>IF($A1429="","",$R1429&amp;"|"&amp;$Q1429)</f>
        <v/>
      </c>
      <c r="T1429">
        <f>IF($A1429="","",$S1429&amp;"|"&amp;$F1429)</f>
        <v/>
      </c>
      <c r="U1429">
        <f>IF($A1429="","",$R1429&amp;"("&amp;$E1429&amp;")")</f>
        <v/>
      </c>
      <c r="V1429">
        <f>IF($A1429="","",$F1429&amp;"|"&amp;$U1429&amp;"|"&amp;$D1429)</f>
        <v/>
      </c>
      <c r="W1429">
        <f>IF($T1429="","",IF($X1429&gt;N($X1428),$X1429,""))</f>
        <v/>
      </c>
      <c r="X1429">
        <f>IF($T1429="",N($X1428),IF(MATCH($T1429,$T$6:$T$6005,0)=ROW()-5,N($X1428)+1,N($X1428)))</f>
        <v/>
      </c>
      <c r="Z1429">
        <f>IF($V1429="","",IF($AA1429&gt;N($AA1428),$AA1429,""))</f>
        <v/>
      </c>
      <c r="AA1429">
        <f>IF($V1429="",N($AA1428),IF(MATCH($V1429,$V$6:$V$6005,0)=ROW()-5,N($AA1428)+1,N($AA1428)))</f>
        <v/>
      </c>
    </row>
    <row r="1430" ht="21" customHeight="1" s="66">
      <c r="A1430" s="56" t="n"/>
      <c r="B1430" s="57" t="n"/>
      <c r="C1430" s="57" t="n"/>
      <c r="D1430" s="57" t="n"/>
      <c r="E1430" s="56" t="n"/>
      <c r="F1430" s="57" t="n"/>
      <c r="G1430" s="57" t="n"/>
      <c r="H1430" s="56" t="n"/>
      <c r="I1430" s="56" t="n"/>
      <c r="J1430" s="58" t="n"/>
      <c r="K1430" s="58" t="n"/>
      <c r="L1430" s="13">
        <f>IF(OR($A1430="",AND($J1430="",$K1430="")),"",ROUND(N($J1430)-N($K1430),2))</f>
        <v/>
      </c>
      <c r="M1430" s="13">
        <f>IF(OR($A1430="",AND($J1430="",$K1430="")),"",MIN($J1430,$K1430))</f>
        <v/>
      </c>
      <c r="Q1430">
        <f>IF($A1430="","",$D1430&amp;"("&amp;SUBSTITUTE($E1430," ","")&amp;")")</f>
        <v/>
      </c>
      <c r="R1430">
        <f>IF($A1430="","",$B1430&amp;" - "&amp;$C1430)</f>
        <v/>
      </c>
      <c r="S1430">
        <f>IF($A1430="","",$R1430&amp;"|"&amp;$Q1430)</f>
        <v/>
      </c>
      <c r="T1430">
        <f>IF($A1430="","",$S1430&amp;"|"&amp;$F1430)</f>
        <v/>
      </c>
      <c r="U1430">
        <f>IF($A1430="","",$R1430&amp;"("&amp;$E1430&amp;")")</f>
        <v/>
      </c>
      <c r="V1430">
        <f>IF($A1430="","",$F1430&amp;"|"&amp;$U1430&amp;"|"&amp;$D1430)</f>
        <v/>
      </c>
      <c r="W1430">
        <f>IF($T1430="","",IF($X1430&gt;N($X1429),$X1430,""))</f>
        <v/>
      </c>
      <c r="X1430">
        <f>IF($T1430="",N($X1429),IF(MATCH($T1430,$T$6:$T$6005,0)=ROW()-5,N($X1429)+1,N($X1429)))</f>
        <v/>
      </c>
      <c r="Z1430">
        <f>IF($V1430="","",IF($AA1430&gt;N($AA1429),$AA1430,""))</f>
        <v/>
      </c>
      <c r="AA1430">
        <f>IF($V1430="",N($AA1429),IF(MATCH($V1430,$V$6:$V$6005,0)=ROW()-5,N($AA1429)+1,N($AA1429)))</f>
        <v/>
      </c>
    </row>
    <row r="1431" ht="21" customHeight="1" s="66">
      <c r="A1431" s="56" t="n"/>
      <c r="B1431" s="57" t="n"/>
      <c r="C1431" s="57" t="n"/>
      <c r="D1431" s="57" t="n"/>
      <c r="E1431" s="56" t="n"/>
      <c r="F1431" s="57" t="n"/>
      <c r="G1431" s="57" t="n"/>
      <c r="H1431" s="56" t="n"/>
      <c r="I1431" s="56" t="n"/>
      <c r="J1431" s="58" t="n"/>
      <c r="K1431" s="58" t="n"/>
      <c r="L1431" s="13">
        <f>IF(OR($A1431="",AND($J1431="",$K1431="")),"",ROUND(N($J1431)-N($K1431),2))</f>
        <v/>
      </c>
      <c r="M1431" s="13">
        <f>IF(OR($A1431="",AND($J1431="",$K1431="")),"",MIN($J1431,$K1431))</f>
        <v/>
      </c>
      <c r="Q1431">
        <f>IF($A1431="","",$D1431&amp;"("&amp;SUBSTITUTE($E1431," ","")&amp;")")</f>
        <v/>
      </c>
      <c r="R1431">
        <f>IF($A1431="","",$B1431&amp;" - "&amp;$C1431)</f>
        <v/>
      </c>
      <c r="S1431">
        <f>IF($A1431="","",$R1431&amp;"|"&amp;$Q1431)</f>
        <v/>
      </c>
      <c r="T1431">
        <f>IF($A1431="","",$S1431&amp;"|"&amp;$F1431)</f>
        <v/>
      </c>
      <c r="U1431">
        <f>IF($A1431="","",$R1431&amp;"("&amp;$E1431&amp;")")</f>
        <v/>
      </c>
      <c r="V1431">
        <f>IF($A1431="","",$F1431&amp;"|"&amp;$U1431&amp;"|"&amp;$D1431)</f>
        <v/>
      </c>
      <c r="W1431">
        <f>IF($T1431="","",IF($X1431&gt;N($X1430),$X1431,""))</f>
        <v/>
      </c>
      <c r="X1431">
        <f>IF($T1431="",N($X1430),IF(MATCH($T1431,$T$6:$T$6005,0)=ROW()-5,N($X1430)+1,N($X1430)))</f>
        <v/>
      </c>
      <c r="Z1431">
        <f>IF($V1431="","",IF($AA1431&gt;N($AA1430),$AA1431,""))</f>
        <v/>
      </c>
      <c r="AA1431">
        <f>IF($V1431="",N($AA1430),IF(MATCH($V1431,$V$6:$V$6005,0)=ROW()-5,N($AA1430)+1,N($AA1430)))</f>
        <v/>
      </c>
    </row>
    <row r="1432" ht="21" customHeight="1" s="66">
      <c r="A1432" s="56" t="n"/>
      <c r="B1432" s="57" t="n"/>
      <c r="C1432" s="57" t="n"/>
      <c r="D1432" s="57" t="n"/>
      <c r="E1432" s="56" t="n"/>
      <c r="F1432" s="57" t="n"/>
      <c r="G1432" s="57" t="n"/>
      <c r="H1432" s="56" t="n"/>
      <c r="I1432" s="56" t="n"/>
      <c r="J1432" s="58" t="n"/>
      <c r="K1432" s="58" t="n"/>
      <c r="L1432" s="13">
        <f>IF(OR($A1432="",AND($J1432="",$K1432="")),"",ROUND(N($J1432)-N($K1432),2))</f>
        <v/>
      </c>
      <c r="M1432" s="13">
        <f>IF(OR($A1432="",AND($J1432="",$K1432="")),"",MIN($J1432,$K1432))</f>
        <v/>
      </c>
      <c r="Q1432">
        <f>IF($A1432="","",$D1432&amp;"("&amp;SUBSTITUTE($E1432," ","")&amp;")")</f>
        <v/>
      </c>
      <c r="R1432">
        <f>IF($A1432="","",$B1432&amp;" - "&amp;$C1432)</f>
        <v/>
      </c>
      <c r="S1432">
        <f>IF($A1432="","",$R1432&amp;"|"&amp;$Q1432)</f>
        <v/>
      </c>
      <c r="T1432">
        <f>IF($A1432="","",$S1432&amp;"|"&amp;$F1432)</f>
        <v/>
      </c>
      <c r="U1432">
        <f>IF($A1432="","",$R1432&amp;"("&amp;$E1432&amp;")")</f>
        <v/>
      </c>
      <c r="V1432">
        <f>IF($A1432="","",$F1432&amp;"|"&amp;$U1432&amp;"|"&amp;$D1432)</f>
        <v/>
      </c>
      <c r="W1432">
        <f>IF($T1432="","",IF($X1432&gt;N($X1431),$X1432,""))</f>
        <v/>
      </c>
      <c r="X1432">
        <f>IF($T1432="",N($X1431),IF(MATCH($T1432,$T$6:$T$6005,0)=ROW()-5,N($X1431)+1,N($X1431)))</f>
        <v/>
      </c>
      <c r="Z1432">
        <f>IF($V1432="","",IF($AA1432&gt;N($AA1431),$AA1432,""))</f>
        <v/>
      </c>
      <c r="AA1432">
        <f>IF($V1432="",N($AA1431),IF(MATCH($V1432,$V$6:$V$6005,0)=ROW()-5,N($AA1431)+1,N($AA1431)))</f>
        <v/>
      </c>
    </row>
    <row r="1433" ht="21" customHeight="1" s="66">
      <c r="A1433" s="56" t="n"/>
      <c r="B1433" s="57" t="n"/>
      <c r="C1433" s="57" t="n"/>
      <c r="D1433" s="57" t="n"/>
      <c r="E1433" s="56" t="n"/>
      <c r="F1433" s="57" t="n"/>
      <c r="G1433" s="57" t="n"/>
      <c r="H1433" s="56" t="n"/>
      <c r="I1433" s="56" t="n"/>
      <c r="J1433" s="58" t="n"/>
      <c r="K1433" s="58" t="n"/>
      <c r="L1433" s="13">
        <f>IF(OR($A1433="",AND($J1433="",$K1433="")),"",ROUND(N($J1433)-N($K1433),2))</f>
        <v/>
      </c>
      <c r="M1433" s="13">
        <f>IF(OR($A1433="",AND($J1433="",$K1433="")),"",MIN($J1433,$K1433))</f>
        <v/>
      </c>
      <c r="Q1433">
        <f>IF($A1433="","",$D1433&amp;"("&amp;SUBSTITUTE($E1433," ","")&amp;")")</f>
        <v/>
      </c>
      <c r="R1433">
        <f>IF($A1433="","",$B1433&amp;" - "&amp;$C1433)</f>
        <v/>
      </c>
      <c r="S1433">
        <f>IF($A1433="","",$R1433&amp;"|"&amp;$Q1433)</f>
        <v/>
      </c>
      <c r="T1433">
        <f>IF($A1433="","",$S1433&amp;"|"&amp;$F1433)</f>
        <v/>
      </c>
      <c r="U1433">
        <f>IF($A1433="","",$R1433&amp;"("&amp;$E1433&amp;")")</f>
        <v/>
      </c>
      <c r="V1433">
        <f>IF($A1433="","",$F1433&amp;"|"&amp;$U1433&amp;"|"&amp;$D1433)</f>
        <v/>
      </c>
      <c r="W1433">
        <f>IF($T1433="","",IF($X1433&gt;N($X1432),$X1433,""))</f>
        <v/>
      </c>
      <c r="X1433">
        <f>IF($T1433="",N($X1432),IF(MATCH($T1433,$T$6:$T$6005,0)=ROW()-5,N($X1432)+1,N($X1432)))</f>
        <v/>
      </c>
      <c r="Z1433">
        <f>IF($V1433="","",IF($AA1433&gt;N($AA1432),$AA1433,""))</f>
        <v/>
      </c>
      <c r="AA1433">
        <f>IF($V1433="",N($AA1432),IF(MATCH($V1433,$V$6:$V$6005,0)=ROW()-5,N($AA1432)+1,N($AA1432)))</f>
        <v/>
      </c>
    </row>
    <row r="1434" ht="21" customHeight="1" s="66">
      <c r="A1434" s="56" t="n"/>
      <c r="B1434" s="57" t="n"/>
      <c r="C1434" s="57" t="n"/>
      <c r="D1434" s="57" t="n"/>
      <c r="E1434" s="56" t="n"/>
      <c r="F1434" s="57" t="n"/>
      <c r="G1434" s="57" t="n"/>
      <c r="H1434" s="56" t="n"/>
      <c r="I1434" s="56" t="n"/>
      <c r="J1434" s="58" t="n"/>
      <c r="K1434" s="58" t="n"/>
      <c r="L1434" s="13">
        <f>IF(OR($A1434="",AND($J1434="",$K1434="")),"",ROUND(N($J1434)-N($K1434),2))</f>
        <v/>
      </c>
      <c r="M1434" s="13">
        <f>IF(OR($A1434="",AND($J1434="",$K1434="")),"",MIN($J1434,$K1434))</f>
        <v/>
      </c>
      <c r="Q1434">
        <f>IF($A1434="","",$D1434&amp;"("&amp;SUBSTITUTE($E1434," ","")&amp;")")</f>
        <v/>
      </c>
      <c r="R1434">
        <f>IF($A1434="","",$B1434&amp;" - "&amp;$C1434)</f>
        <v/>
      </c>
      <c r="S1434">
        <f>IF($A1434="","",$R1434&amp;"|"&amp;$Q1434)</f>
        <v/>
      </c>
      <c r="T1434">
        <f>IF($A1434="","",$S1434&amp;"|"&amp;$F1434)</f>
        <v/>
      </c>
      <c r="U1434">
        <f>IF($A1434="","",$R1434&amp;"("&amp;$E1434&amp;")")</f>
        <v/>
      </c>
      <c r="V1434">
        <f>IF($A1434="","",$F1434&amp;"|"&amp;$U1434&amp;"|"&amp;$D1434)</f>
        <v/>
      </c>
      <c r="W1434">
        <f>IF($T1434="","",IF($X1434&gt;N($X1433),$X1434,""))</f>
        <v/>
      </c>
      <c r="X1434">
        <f>IF($T1434="",N($X1433),IF(MATCH($T1434,$T$6:$T$6005,0)=ROW()-5,N($X1433)+1,N($X1433)))</f>
        <v/>
      </c>
      <c r="Z1434">
        <f>IF($V1434="","",IF($AA1434&gt;N($AA1433),$AA1434,""))</f>
        <v/>
      </c>
      <c r="AA1434">
        <f>IF($V1434="",N($AA1433),IF(MATCH($V1434,$V$6:$V$6005,0)=ROW()-5,N($AA1433)+1,N($AA1433)))</f>
        <v/>
      </c>
    </row>
    <row r="1435" ht="21" customHeight="1" s="66">
      <c r="A1435" s="56" t="n"/>
      <c r="B1435" s="57" t="n"/>
      <c r="C1435" s="57" t="n"/>
      <c r="D1435" s="57" t="n"/>
      <c r="E1435" s="56" t="n"/>
      <c r="F1435" s="57" t="n"/>
      <c r="G1435" s="57" t="n"/>
      <c r="H1435" s="56" t="n"/>
      <c r="I1435" s="56" t="n"/>
      <c r="J1435" s="58" t="n"/>
      <c r="K1435" s="58" t="n"/>
      <c r="L1435" s="13">
        <f>IF(OR($A1435="",AND($J1435="",$K1435="")),"",ROUND(N($J1435)-N($K1435),2))</f>
        <v/>
      </c>
      <c r="M1435" s="13">
        <f>IF(OR($A1435="",AND($J1435="",$K1435="")),"",MIN($J1435,$K1435))</f>
        <v/>
      </c>
      <c r="Q1435">
        <f>IF($A1435="","",$D1435&amp;"("&amp;SUBSTITUTE($E1435," ","")&amp;")")</f>
        <v/>
      </c>
      <c r="R1435">
        <f>IF($A1435="","",$B1435&amp;" - "&amp;$C1435)</f>
        <v/>
      </c>
      <c r="S1435">
        <f>IF($A1435="","",$R1435&amp;"|"&amp;$Q1435)</f>
        <v/>
      </c>
      <c r="T1435">
        <f>IF($A1435="","",$S1435&amp;"|"&amp;$F1435)</f>
        <v/>
      </c>
      <c r="U1435">
        <f>IF($A1435="","",$R1435&amp;"("&amp;$E1435&amp;")")</f>
        <v/>
      </c>
      <c r="V1435">
        <f>IF($A1435="","",$F1435&amp;"|"&amp;$U1435&amp;"|"&amp;$D1435)</f>
        <v/>
      </c>
      <c r="W1435">
        <f>IF($T1435="","",IF($X1435&gt;N($X1434),$X1435,""))</f>
        <v/>
      </c>
      <c r="X1435">
        <f>IF($T1435="",N($X1434),IF(MATCH($T1435,$T$6:$T$6005,0)=ROW()-5,N($X1434)+1,N($X1434)))</f>
        <v/>
      </c>
      <c r="Z1435">
        <f>IF($V1435="","",IF($AA1435&gt;N($AA1434),$AA1435,""))</f>
        <v/>
      </c>
      <c r="AA1435">
        <f>IF($V1435="",N($AA1434),IF(MATCH($V1435,$V$6:$V$6005,0)=ROW()-5,N($AA1434)+1,N($AA1434)))</f>
        <v/>
      </c>
    </row>
    <row r="1436" ht="21" customHeight="1" s="66">
      <c r="A1436" s="56" t="n"/>
      <c r="B1436" s="57" t="n"/>
      <c r="C1436" s="57" t="n"/>
      <c r="D1436" s="57" t="n"/>
      <c r="E1436" s="56" t="n"/>
      <c r="F1436" s="57" t="n"/>
      <c r="G1436" s="57" t="n"/>
      <c r="H1436" s="56" t="n"/>
      <c r="I1436" s="56" t="n"/>
      <c r="J1436" s="58" t="n"/>
      <c r="K1436" s="58" t="n"/>
      <c r="L1436" s="13">
        <f>IF(OR($A1436="",AND($J1436="",$K1436="")),"",ROUND(N($J1436)-N($K1436),2))</f>
        <v/>
      </c>
      <c r="M1436" s="13">
        <f>IF(OR($A1436="",AND($J1436="",$K1436="")),"",MIN($J1436,$K1436))</f>
        <v/>
      </c>
      <c r="Q1436">
        <f>IF($A1436="","",$D1436&amp;"("&amp;SUBSTITUTE($E1436," ","")&amp;")")</f>
        <v/>
      </c>
      <c r="R1436">
        <f>IF($A1436="","",$B1436&amp;" - "&amp;$C1436)</f>
        <v/>
      </c>
      <c r="S1436">
        <f>IF($A1436="","",$R1436&amp;"|"&amp;$Q1436)</f>
        <v/>
      </c>
      <c r="T1436">
        <f>IF($A1436="","",$S1436&amp;"|"&amp;$F1436)</f>
        <v/>
      </c>
      <c r="U1436">
        <f>IF($A1436="","",$R1436&amp;"("&amp;$E1436&amp;")")</f>
        <v/>
      </c>
      <c r="V1436">
        <f>IF($A1436="","",$F1436&amp;"|"&amp;$U1436&amp;"|"&amp;$D1436)</f>
        <v/>
      </c>
      <c r="W1436">
        <f>IF($T1436="","",IF($X1436&gt;N($X1435),$X1436,""))</f>
        <v/>
      </c>
      <c r="X1436">
        <f>IF($T1436="",N($X1435),IF(MATCH($T1436,$T$6:$T$6005,0)=ROW()-5,N($X1435)+1,N($X1435)))</f>
        <v/>
      </c>
      <c r="Z1436">
        <f>IF($V1436="","",IF($AA1436&gt;N($AA1435),$AA1436,""))</f>
        <v/>
      </c>
      <c r="AA1436">
        <f>IF($V1436="",N($AA1435),IF(MATCH($V1436,$V$6:$V$6005,0)=ROW()-5,N($AA1435)+1,N($AA1435)))</f>
        <v/>
      </c>
    </row>
    <row r="1437" ht="21" customHeight="1" s="66">
      <c r="A1437" s="56" t="n"/>
      <c r="B1437" s="57" t="n"/>
      <c r="C1437" s="57" t="n"/>
      <c r="D1437" s="57" t="n"/>
      <c r="E1437" s="56" t="n"/>
      <c r="F1437" s="57" t="n"/>
      <c r="G1437" s="57" t="n"/>
      <c r="H1437" s="56" t="n"/>
      <c r="I1437" s="56" t="n"/>
      <c r="J1437" s="58" t="n"/>
      <c r="K1437" s="58" t="n"/>
      <c r="L1437" s="13">
        <f>IF(OR($A1437="",AND($J1437="",$K1437="")),"",ROUND(N($J1437)-N($K1437),2))</f>
        <v/>
      </c>
      <c r="M1437" s="13">
        <f>IF(OR($A1437="",AND($J1437="",$K1437="")),"",MIN($J1437,$K1437))</f>
        <v/>
      </c>
      <c r="Q1437">
        <f>IF($A1437="","",$D1437&amp;"("&amp;SUBSTITUTE($E1437," ","")&amp;")")</f>
        <v/>
      </c>
      <c r="R1437">
        <f>IF($A1437="","",$B1437&amp;" - "&amp;$C1437)</f>
        <v/>
      </c>
      <c r="S1437">
        <f>IF($A1437="","",$R1437&amp;"|"&amp;$Q1437)</f>
        <v/>
      </c>
      <c r="T1437">
        <f>IF($A1437="","",$S1437&amp;"|"&amp;$F1437)</f>
        <v/>
      </c>
      <c r="U1437">
        <f>IF($A1437="","",$R1437&amp;"("&amp;$E1437&amp;")")</f>
        <v/>
      </c>
      <c r="V1437">
        <f>IF($A1437="","",$F1437&amp;"|"&amp;$U1437&amp;"|"&amp;$D1437)</f>
        <v/>
      </c>
      <c r="W1437">
        <f>IF($T1437="","",IF($X1437&gt;N($X1436),$X1437,""))</f>
        <v/>
      </c>
      <c r="X1437">
        <f>IF($T1437="",N($X1436),IF(MATCH($T1437,$T$6:$T$6005,0)=ROW()-5,N($X1436)+1,N($X1436)))</f>
        <v/>
      </c>
      <c r="Z1437">
        <f>IF($V1437="","",IF($AA1437&gt;N($AA1436),$AA1437,""))</f>
        <v/>
      </c>
      <c r="AA1437">
        <f>IF($V1437="",N($AA1436),IF(MATCH($V1437,$V$6:$V$6005,0)=ROW()-5,N($AA1436)+1,N($AA1436)))</f>
        <v/>
      </c>
    </row>
    <row r="1438" ht="21" customHeight="1" s="66">
      <c r="A1438" s="56" t="n"/>
      <c r="B1438" s="57" t="n"/>
      <c r="C1438" s="57" t="n"/>
      <c r="D1438" s="57" t="n"/>
      <c r="E1438" s="56" t="n"/>
      <c r="F1438" s="57" t="n"/>
      <c r="G1438" s="57" t="n"/>
      <c r="H1438" s="56" t="n"/>
      <c r="I1438" s="56" t="n"/>
      <c r="J1438" s="58" t="n"/>
      <c r="K1438" s="58" t="n"/>
      <c r="L1438" s="13">
        <f>IF(OR($A1438="",AND($J1438="",$K1438="")),"",ROUND(N($J1438)-N($K1438),2))</f>
        <v/>
      </c>
      <c r="M1438" s="13">
        <f>IF(OR($A1438="",AND($J1438="",$K1438="")),"",MIN($J1438,$K1438))</f>
        <v/>
      </c>
      <c r="Q1438">
        <f>IF($A1438="","",$D1438&amp;"("&amp;SUBSTITUTE($E1438," ","")&amp;")")</f>
        <v/>
      </c>
      <c r="R1438">
        <f>IF($A1438="","",$B1438&amp;" - "&amp;$C1438)</f>
        <v/>
      </c>
      <c r="S1438">
        <f>IF($A1438="","",$R1438&amp;"|"&amp;$Q1438)</f>
        <v/>
      </c>
      <c r="T1438">
        <f>IF($A1438="","",$S1438&amp;"|"&amp;$F1438)</f>
        <v/>
      </c>
      <c r="U1438">
        <f>IF($A1438="","",$R1438&amp;"("&amp;$E1438&amp;")")</f>
        <v/>
      </c>
      <c r="V1438">
        <f>IF($A1438="","",$F1438&amp;"|"&amp;$U1438&amp;"|"&amp;$D1438)</f>
        <v/>
      </c>
      <c r="W1438">
        <f>IF($T1438="","",IF($X1438&gt;N($X1437),$X1438,""))</f>
        <v/>
      </c>
      <c r="X1438">
        <f>IF($T1438="",N($X1437),IF(MATCH($T1438,$T$6:$T$6005,0)=ROW()-5,N($X1437)+1,N($X1437)))</f>
        <v/>
      </c>
      <c r="Z1438">
        <f>IF($V1438="","",IF($AA1438&gt;N($AA1437),$AA1438,""))</f>
        <v/>
      </c>
      <c r="AA1438">
        <f>IF($V1438="",N($AA1437),IF(MATCH($V1438,$V$6:$V$6005,0)=ROW()-5,N($AA1437)+1,N($AA1437)))</f>
        <v/>
      </c>
    </row>
    <row r="1439" ht="21" customHeight="1" s="66">
      <c r="A1439" s="56" t="n"/>
      <c r="B1439" s="57" t="n"/>
      <c r="C1439" s="57" t="n"/>
      <c r="D1439" s="57" t="n"/>
      <c r="E1439" s="56" t="n"/>
      <c r="F1439" s="57" t="n"/>
      <c r="G1439" s="57" t="n"/>
      <c r="H1439" s="56" t="n"/>
      <c r="I1439" s="56" t="n"/>
      <c r="J1439" s="58" t="n"/>
      <c r="K1439" s="58" t="n"/>
      <c r="L1439" s="13">
        <f>IF(OR($A1439="",AND($J1439="",$K1439="")),"",ROUND(N($J1439)-N($K1439),2))</f>
        <v/>
      </c>
      <c r="M1439" s="13">
        <f>IF(OR($A1439="",AND($J1439="",$K1439="")),"",MIN($J1439,$K1439))</f>
        <v/>
      </c>
      <c r="Q1439">
        <f>IF($A1439="","",$D1439&amp;"("&amp;SUBSTITUTE($E1439," ","")&amp;")")</f>
        <v/>
      </c>
      <c r="R1439">
        <f>IF($A1439="","",$B1439&amp;" - "&amp;$C1439)</f>
        <v/>
      </c>
      <c r="S1439">
        <f>IF($A1439="","",$R1439&amp;"|"&amp;$Q1439)</f>
        <v/>
      </c>
      <c r="T1439">
        <f>IF($A1439="","",$S1439&amp;"|"&amp;$F1439)</f>
        <v/>
      </c>
      <c r="U1439">
        <f>IF($A1439="","",$R1439&amp;"("&amp;$E1439&amp;")")</f>
        <v/>
      </c>
      <c r="V1439">
        <f>IF($A1439="","",$F1439&amp;"|"&amp;$U1439&amp;"|"&amp;$D1439)</f>
        <v/>
      </c>
      <c r="W1439">
        <f>IF($T1439="","",IF($X1439&gt;N($X1438),$X1439,""))</f>
        <v/>
      </c>
      <c r="X1439">
        <f>IF($T1439="",N($X1438),IF(MATCH($T1439,$T$6:$T$6005,0)=ROW()-5,N($X1438)+1,N($X1438)))</f>
        <v/>
      </c>
      <c r="Z1439">
        <f>IF($V1439="","",IF($AA1439&gt;N($AA1438),$AA1439,""))</f>
        <v/>
      </c>
      <c r="AA1439">
        <f>IF($V1439="",N($AA1438),IF(MATCH($V1439,$V$6:$V$6005,0)=ROW()-5,N($AA1438)+1,N($AA1438)))</f>
        <v/>
      </c>
    </row>
    <row r="1440" ht="21" customHeight="1" s="66">
      <c r="A1440" s="56" t="n"/>
      <c r="B1440" s="57" t="n"/>
      <c r="C1440" s="57" t="n"/>
      <c r="D1440" s="57" t="n"/>
      <c r="E1440" s="56" t="n"/>
      <c r="F1440" s="57" t="n"/>
      <c r="G1440" s="57" t="n"/>
      <c r="H1440" s="56" t="n"/>
      <c r="I1440" s="56" t="n"/>
      <c r="J1440" s="58" t="n"/>
      <c r="K1440" s="58" t="n"/>
      <c r="L1440" s="13">
        <f>IF(OR($A1440="",AND($J1440="",$K1440="")),"",ROUND(N($J1440)-N($K1440),2))</f>
        <v/>
      </c>
      <c r="M1440" s="13">
        <f>IF(OR($A1440="",AND($J1440="",$K1440="")),"",MIN($J1440,$K1440))</f>
        <v/>
      </c>
      <c r="Q1440">
        <f>IF($A1440="","",$D1440&amp;"("&amp;SUBSTITUTE($E1440," ","")&amp;")")</f>
        <v/>
      </c>
      <c r="R1440">
        <f>IF($A1440="","",$B1440&amp;" - "&amp;$C1440)</f>
        <v/>
      </c>
      <c r="S1440">
        <f>IF($A1440="","",$R1440&amp;"|"&amp;$Q1440)</f>
        <v/>
      </c>
      <c r="T1440">
        <f>IF($A1440="","",$S1440&amp;"|"&amp;$F1440)</f>
        <v/>
      </c>
      <c r="U1440">
        <f>IF($A1440="","",$R1440&amp;"("&amp;$E1440&amp;")")</f>
        <v/>
      </c>
      <c r="V1440">
        <f>IF($A1440="","",$F1440&amp;"|"&amp;$U1440&amp;"|"&amp;$D1440)</f>
        <v/>
      </c>
      <c r="W1440">
        <f>IF($T1440="","",IF($X1440&gt;N($X1439),$X1440,""))</f>
        <v/>
      </c>
      <c r="X1440">
        <f>IF($T1440="",N($X1439),IF(MATCH($T1440,$T$6:$T$6005,0)=ROW()-5,N($X1439)+1,N($X1439)))</f>
        <v/>
      </c>
      <c r="Z1440">
        <f>IF($V1440="","",IF($AA1440&gt;N($AA1439),$AA1440,""))</f>
        <v/>
      </c>
      <c r="AA1440">
        <f>IF($V1440="",N($AA1439),IF(MATCH($V1440,$V$6:$V$6005,0)=ROW()-5,N($AA1439)+1,N($AA1439)))</f>
        <v/>
      </c>
    </row>
    <row r="1441" ht="21" customHeight="1" s="66">
      <c r="A1441" s="56" t="n"/>
      <c r="B1441" s="57" t="n"/>
      <c r="C1441" s="57" t="n"/>
      <c r="D1441" s="57" t="n"/>
      <c r="E1441" s="56" t="n"/>
      <c r="F1441" s="57" t="n"/>
      <c r="G1441" s="57" t="n"/>
      <c r="H1441" s="56" t="n"/>
      <c r="I1441" s="56" t="n"/>
      <c r="J1441" s="58" t="n"/>
      <c r="K1441" s="58" t="n"/>
      <c r="L1441" s="13">
        <f>IF(OR($A1441="",AND($J1441="",$K1441="")),"",ROUND(N($J1441)-N($K1441),2))</f>
        <v/>
      </c>
      <c r="M1441" s="13">
        <f>IF(OR($A1441="",AND($J1441="",$K1441="")),"",MIN($J1441,$K1441))</f>
        <v/>
      </c>
      <c r="Q1441">
        <f>IF($A1441="","",$D1441&amp;"("&amp;SUBSTITUTE($E1441," ","")&amp;")")</f>
        <v/>
      </c>
      <c r="R1441">
        <f>IF($A1441="","",$B1441&amp;" - "&amp;$C1441)</f>
        <v/>
      </c>
      <c r="S1441">
        <f>IF($A1441="","",$R1441&amp;"|"&amp;$Q1441)</f>
        <v/>
      </c>
      <c r="T1441">
        <f>IF($A1441="","",$S1441&amp;"|"&amp;$F1441)</f>
        <v/>
      </c>
      <c r="U1441">
        <f>IF($A1441="","",$R1441&amp;"("&amp;$E1441&amp;")")</f>
        <v/>
      </c>
      <c r="V1441">
        <f>IF($A1441="","",$F1441&amp;"|"&amp;$U1441&amp;"|"&amp;$D1441)</f>
        <v/>
      </c>
      <c r="W1441">
        <f>IF($T1441="","",IF($X1441&gt;N($X1440),$X1441,""))</f>
        <v/>
      </c>
      <c r="X1441">
        <f>IF($T1441="",N($X1440),IF(MATCH($T1441,$T$6:$T$6005,0)=ROW()-5,N($X1440)+1,N($X1440)))</f>
        <v/>
      </c>
      <c r="Z1441">
        <f>IF($V1441="","",IF($AA1441&gt;N($AA1440),$AA1441,""))</f>
        <v/>
      </c>
      <c r="AA1441">
        <f>IF($V1441="",N($AA1440),IF(MATCH($V1441,$V$6:$V$6005,0)=ROW()-5,N($AA1440)+1,N($AA1440)))</f>
        <v/>
      </c>
    </row>
    <row r="1442" ht="21" customHeight="1" s="66">
      <c r="A1442" s="56" t="n"/>
      <c r="B1442" s="57" t="n"/>
      <c r="C1442" s="57" t="n"/>
      <c r="D1442" s="57" t="n"/>
      <c r="E1442" s="56" t="n"/>
      <c r="F1442" s="57" t="n"/>
      <c r="G1442" s="57" t="n"/>
      <c r="H1442" s="56" t="n"/>
      <c r="I1442" s="56" t="n"/>
      <c r="J1442" s="58" t="n"/>
      <c r="K1442" s="58" t="n"/>
      <c r="L1442" s="13">
        <f>IF(OR($A1442="",AND($J1442="",$K1442="")),"",ROUND(N($J1442)-N($K1442),2))</f>
        <v/>
      </c>
      <c r="M1442" s="13">
        <f>IF(OR($A1442="",AND($J1442="",$K1442="")),"",MIN($J1442,$K1442))</f>
        <v/>
      </c>
      <c r="Q1442">
        <f>IF($A1442="","",$D1442&amp;"("&amp;SUBSTITUTE($E1442," ","")&amp;")")</f>
        <v/>
      </c>
      <c r="R1442">
        <f>IF($A1442="","",$B1442&amp;" - "&amp;$C1442)</f>
        <v/>
      </c>
      <c r="S1442">
        <f>IF($A1442="","",$R1442&amp;"|"&amp;$Q1442)</f>
        <v/>
      </c>
      <c r="T1442">
        <f>IF($A1442="","",$S1442&amp;"|"&amp;$F1442)</f>
        <v/>
      </c>
      <c r="U1442">
        <f>IF($A1442="","",$R1442&amp;"("&amp;$E1442&amp;")")</f>
        <v/>
      </c>
      <c r="V1442">
        <f>IF($A1442="","",$F1442&amp;"|"&amp;$U1442&amp;"|"&amp;$D1442)</f>
        <v/>
      </c>
      <c r="W1442">
        <f>IF($T1442="","",IF($X1442&gt;N($X1441),$X1442,""))</f>
        <v/>
      </c>
      <c r="X1442">
        <f>IF($T1442="",N($X1441),IF(MATCH($T1442,$T$6:$T$6005,0)=ROW()-5,N($X1441)+1,N($X1441)))</f>
        <v/>
      </c>
      <c r="Z1442">
        <f>IF($V1442="","",IF($AA1442&gt;N($AA1441),$AA1442,""))</f>
        <v/>
      </c>
      <c r="AA1442">
        <f>IF($V1442="",N($AA1441),IF(MATCH($V1442,$V$6:$V$6005,0)=ROW()-5,N($AA1441)+1,N($AA1441)))</f>
        <v/>
      </c>
    </row>
    <row r="1443" ht="21" customHeight="1" s="66">
      <c r="A1443" s="56" t="n"/>
      <c r="B1443" s="57" t="n"/>
      <c r="C1443" s="57" t="n"/>
      <c r="D1443" s="57" t="n"/>
      <c r="E1443" s="56" t="n"/>
      <c r="F1443" s="57" t="n"/>
      <c r="G1443" s="57" t="n"/>
      <c r="H1443" s="56" t="n"/>
      <c r="I1443" s="56" t="n"/>
      <c r="J1443" s="58" t="n"/>
      <c r="K1443" s="58" t="n"/>
      <c r="L1443" s="13">
        <f>IF(OR($A1443="",AND($J1443="",$K1443="")),"",ROUND(N($J1443)-N($K1443),2))</f>
        <v/>
      </c>
      <c r="M1443" s="13">
        <f>IF(OR($A1443="",AND($J1443="",$K1443="")),"",MIN($J1443,$K1443))</f>
        <v/>
      </c>
      <c r="Q1443">
        <f>IF($A1443="","",$D1443&amp;"("&amp;SUBSTITUTE($E1443," ","")&amp;")")</f>
        <v/>
      </c>
      <c r="R1443">
        <f>IF($A1443="","",$B1443&amp;" - "&amp;$C1443)</f>
        <v/>
      </c>
      <c r="S1443">
        <f>IF($A1443="","",$R1443&amp;"|"&amp;$Q1443)</f>
        <v/>
      </c>
      <c r="T1443">
        <f>IF($A1443="","",$S1443&amp;"|"&amp;$F1443)</f>
        <v/>
      </c>
      <c r="U1443">
        <f>IF($A1443="","",$R1443&amp;"("&amp;$E1443&amp;")")</f>
        <v/>
      </c>
      <c r="V1443">
        <f>IF($A1443="","",$F1443&amp;"|"&amp;$U1443&amp;"|"&amp;$D1443)</f>
        <v/>
      </c>
      <c r="W1443">
        <f>IF($T1443="","",IF($X1443&gt;N($X1442),$X1443,""))</f>
        <v/>
      </c>
      <c r="X1443">
        <f>IF($T1443="",N($X1442),IF(MATCH($T1443,$T$6:$T$6005,0)=ROW()-5,N($X1442)+1,N($X1442)))</f>
        <v/>
      </c>
      <c r="Z1443">
        <f>IF($V1443="","",IF($AA1443&gt;N($AA1442),$AA1443,""))</f>
        <v/>
      </c>
      <c r="AA1443">
        <f>IF($V1443="",N($AA1442),IF(MATCH($V1443,$V$6:$V$6005,0)=ROW()-5,N($AA1442)+1,N($AA1442)))</f>
        <v/>
      </c>
    </row>
    <row r="1444" ht="21" customHeight="1" s="66">
      <c r="A1444" s="56" t="n"/>
      <c r="B1444" s="57" t="n"/>
      <c r="C1444" s="57" t="n"/>
      <c r="D1444" s="57" t="n"/>
      <c r="E1444" s="56" t="n"/>
      <c r="F1444" s="57" t="n"/>
      <c r="G1444" s="57" t="n"/>
      <c r="H1444" s="56" t="n"/>
      <c r="I1444" s="56" t="n"/>
      <c r="J1444" s="58" t="n"/>
      <c r="K1444" s="58" t="n"/>
      <c r="L1444" s="13">
        <f>IF(OR($A1444="",AND($J1444="",$K1444="")),"",ROUND(N($J1444)-N($K1444),2))</f>
        <v/>
      </c>
      <c r="M1444" s="13">
        <f>IF(OR($A1444="",AND($J1444="",$K1444="")),"",MIN($J1444,$K1444))</f>
        <v/>
      </c>
      <c r="Q1444">
        <f>IF($A1444="","",$D1444&amp;"("&amp;SUBSTITUTE($E1444," ","")&amp;")")</f>
        <v/>
      </c>
      <c r="R1444">
        <f>IF($A1444="","",$B1444&amp;" - "&amp;$C1444)</f>
        <v/>
      </c>
      <c r="S1444">
        <f>IF($A1444="","",$R1444&amp;"|"&amp;$Q1444)</f>
        <v/>
      </c>
      <c r="T1444">
        <f>IF($A1444="","",$S1444&amp;"|"&amp;$F1444)</f>
        <v/>
      </c>
      <c r="U1444">
        <f>IF($A1444="","",$R1444&amp;"("&amp;$E1444&amp;")")</f>
        <v/>
      </c>
      <c r="V1444">
        <f>IF($A1444="","",$F1444&amp;"|"&amp;$U1444&amp;"|"&amp;$D1444)</f>
        <v/>
      </c>
      <c r="W1444">
        <f>IF($T1444="","",IF($X1444&gt;N($X1443),$X1444,""))</f>
        <v/>
      </c>
      <c r="X1444">
        <f>IF($T1444="",N($X1443),IF(MATCH($T1444,$T$6:$T$6005,0)=ROW()-5,N($X1443)+1,N($X1443)))</f>
        <v/>
      </c>
      <c r="Z1444">
        <f>IF($V1444="","",IF($AA1444&gt;N($AA1443),$AA1444,""))</f>
        <v/>
      </c>
      <c r="AA1444">
        <f>IF($V1444="",N($AA1443),IF(MATCH($V1444,$V$6:$V$6005,0)=ROW()-5,N($AA1443)+1,N($AA1443)))</f>
        <v/>
      </c>
    </row>
    <row r="1445" ht="21" customHeight="1" s="66">
      <c r="A1445" s="56" t="n"/>
      <c r="B1445" s="57" t="n"/>
      <c r="C1445" s="57" t="n"/>
      <c r="D1445" s="57" t="n"/>
      <c r="E1445" s="56" t="n"/>
      <c r="F1445" s="57" t="n"/>
      <c r="G1445" s="57" t="n"/>
      <c r="H1445" s="56" t="n"/>
      <c r="I1445" s="56" t="n"/>
      <c r="J1445" s="58" t="n"/>
      <c r="K1445" s="58" t="n"/>
      <c r="L1445" s="13">
        <f>IF(OR($A1445="",AND($J1445="",$K1445="")),"",ROUND(N($J1445)-N($K1445),2))</f>
        <v/>
      </c>
      <c r="M1445" s="13">
        <f>IF(OR($A1445="",AND($J1445="",$K1445="")),"",MIN($J1445,$K1445))</f>
        <v/>
      </c>
      <c r="Q1445">
        <f>IF($A1445="","",$D1445&amp;"("&amp;SUBSTITUTE($E1445," ","")&amp;")")</f>
        <v/>
      </c>
      <c r="R1445">
        <f>IF($A1445="","",$B1445&amp;" - "&amp;$C1445)</f>
        <v/>
      </c>
      <c r="S1445">
        <f>IF($A1445="","",$R1445&amp;"|"&amp;$Q1445)</f>
        <v/>
      </c>
      <c r="T1445">
        <f>IF($A1445="","",$S1445&amp;"|"&amp;$F1445)</f>
        <v/>
      </c>
      <c r="U1445">
        <f>IF($A1445="","",$R1445&amp;"("&amp;$E1445&amp;")")</f>
        <v/>
      </c>
      <c r="V1445">
        <f>IF($A1445="","",$F1445&amp;"|"&amp;$U1445&amp;"|"&amp;$D1445)</f>
        <v/>
      </c>
      <c r="W1445">
        <f>IF($T1445="","",IF($X1445&gt;N($X1444),$X1445,""))</f>
        <v/>
      </c>
      <c r="X1445">
        <f>IF($T1445="",N($X1444),IF(MATCH($T1445,$T$6:$T$6005,0)=ROW()-5,N($X1444)+1,N($X1444)))</f>
        <v/>
      </c>
      <c r="Z1445">
        <f>IF($V1445="","",IF($AA1445&gt;N($AA1444),$AA1445,""))</f>
        <v/>
      </c>
      <c r="AA1445">
        <f>IF($V1445="",N($AA1444),IF(MATCH($V1445,$V$6:$V$6005,0)=ROW()-5,N($AA1444)+1,N($AA1444)))</f>
        <v/>
      </c>
    </row>
    <row r="1446" ht="21" customHeight="1" s="66">
      <c r="A1446" s="56" t="n"/>
      <c r="B1446" s="57" t="n"/>
      <c r="C1446" s="57" t="n"/>
      <c r="D1446" s="57" t="n"/>
      <c r="E1446" s="56" t="n"/>
      <c r="F1446" s="57" t="n"/>
      <c r="G1446" s="57" t="n"/>
      <c r="H1446" s="56" t="n"/>
      <c r="I1446" s="56" t="n"/>
      <c r="J1446" s="58" t="n"/>
      <c r="K1446" s="58" t="n"/>
      <c r="L1446" s="13">
        <f>IF(OR($A1446="",AND($J1446="",$K1446="")),"",ROUND(N($J1446)-N($K1446),2))</f>
        <v/>
      </c>
      <c r="M1446" s="13">
        <f>IF(OR($A1446="",AND($J1446="",$K1446="")),"",MIN($J1446,$K1446))</f>
        <v/>
      </c>
      <c r="Q1446">
        <f>IF($A1446="","",$D1446&amp;"("&amp;SUBSTITUTE($E1446," ","")&amp;")")</f>
        <v/>
      </c>
      <c r="R1446">
        <f>IF($A1446="","",$B1446&amp;" - "&amp;$C1446)</f>
        <v/>
      </c>
      <c r="S1446">
        <f>IF($A1446="","",$R1446&amp;"|"&amp;$Q1446)</f>
        <v/>
      </c>
      <c r="T1446">
        <f>IF($A1446="","",$S1446&amp;"|"&amp;$F1446)</f>
        <v/>
      </c>
      <c r="U1446">
        <f>IF($A1446="","",$R1446&amp;"("&amp;$E1446&amp;")")</f>
        <v/>
      </c>
      <c r="V1446">
        <f>IF($A1446="","",$F1446&amp;"|"&amp;$U1446&amp;"|"&amp;$D1446)</f>
        <v/>
      </c>
      <c r="W1446">
        <f>IF($T1446="","",IF($X1446&gt;N($X1445),$X1446,""))</f>
        <v/>
      </c>
      <c r="X1446">
        <f>IF($T1446="",N($X1445),IF(MATCH($T1446,$T$6:$T$6005,0)=ROW()-5,N($X1445)+1,N($X1445)))</f>
        <v/>
      </c>
      <c r="Z1446">
        <f>IF($V1446="","",IF($AA1446&gt;N($AA1445),$AA1446,""))</f>
        <v/>
      </c>
      <c r="AA1446">
        <f>IF($V1446="",N($AA1445),IF(MATCH($V1446,$V$6:$V$6005,0)=ROW()-5,N($AA1445)+1,N($AA1445)))</f>
        <v/>
      </c>
    </row>
    <row r="1447" ht="21" customHeight="1" s="66">
      <c r="A1447" s="56" t="n"/>
      <c r="B1447" s="57" t="n"/>
      <c r="C1447" s="57" t="n"/>
      <c r="D1447" s="57" t="n"/>
      <c r="E1447" s="56" t="n"/>
      <c r="F1447" s="57" t="n"/>
      <c r="G1447" s="57" t="n"/>
      <c r="H1447" s="56" t="n"/>
      <c r="I1447" s="56" t="n"/>
      <c r="J1447" s="58" t="n"/>
      <c r="K1447" s="58" t="n"/>
      <c r="L1447" s="13">
        <f>IF(OR($A1447="",AND($J1447="",$K1447="")),"",ROUND(N($J1447)-N($K1447),2))</f>
        <v/>
      </c>
      <c r="M1447" s="13">
        <f>IF(OR($A1447="",AND($J1447="",$K1447="")),"",MIN($J1447,$K1447))</f>
        <v/>
      </c>
      <c r="Q1447">
        <f>IF($A1447="","",$D1447&amp;"("&amp;SUBSTITUTE($E1447," ","")&amp;")")</f>
        <v/>
      </c>
      <c r="R1447">
        <f>IF($A1447="","",$B1447&amp;" - "&amp;$C1447)</f>
        <v/>
      </c>
      <c r="S1447">
        <f>IF($A1447="","",$R1447&amp;"|"&amp;$Q1447)</f>
        <v/>
      </c>
      <c r="T1447">
        <f>IF($A1447="","",$S1447&amp;"|"&amp;$F1447)</f>
        <v/>
      </c>
      <c r="U1447">
        <f>IF($A1447="","",$R1447&amp;"("&amp;$E1447&amp;")")</f>
        <v/>
      </c>
      <c r="V1447">
        <f>IF($A1447="","",$F1447&amp;"|"&amp;$U1447&amp;"|"&amp;$D1447)</f>
        <v/>
      </c>
      <c r="W1447">
        <f>IF($T1447="","",IF($X1447&gt;N($X1446),$X1447,""))</f>
        <v/>
      </c>
      <c r="X1447">
        <f>IF($T1447="",N($X1446),IF(MATCH($T1447,$T$6:$T$6005,0)=ROW()-5,N($X1446)+1,N($X1446)))</f>
        <v/>
      </c>
      <c r="Z1447">
        <f>IF($V1447="","",IF($AA1447&gt;N($AA1446),$AA1447,""))</f>
        <v/>
      </c>
      <c r="AA1447">
        <f>IF($V1447="",N($AA1446),IF(MATCH($V1447,$V$6:$V$6005,0)=ROW()-5,N($AA1446)+1,N($AA1446)))</f>
        <v/>
      </c>
    </row>
    <row r="1448" ht="21" customHeight="1" s="66">
      <c r="A1448" s="56" t="n"/>
      <c r="B1448" s="57" t="n"/>
      <c r="C1448" s="57" t="n"/>
      <c r="D1448" s="57" t="n"/>
      <c r="E1448" s="56" t="n"/>
      <c r="F1448" s="57" t="n"/>
      <c r="G1448" s="57" t="n"/>
      <c r="H1448" s="56" t="n"/>
      <c r="I1448" s="56" t="n"/>
      <c r="J1448" s="58" t="n"/>
      <c r="K1448" s="58" t="n"/>
      <c r="L1448" s="13">
        <f>IF(OR($A1448="",AND($J1448="",$K1448="")),"",ROUND(N($J1448)-N($K1448),2))</f>
        <v/>
      </c>
      <c r="M1448" s="13">
        <f>IF(OR($A1448="",AND($J1448="",$K1448="")),"",MIN($J1448,$K1448))</f>
        <v/>
      </c>
      <c r="Q1448">
        <f>IF($A1448="","",$D1448&amp;"("&amp;SUBSTITUTE($E1448," ","")&amp;")")</f>
        <v/>
      </c>
      <c r="R1448">
        <f>IF($A1448="","",$B1448&amp;" - "&amp;$C1448)</f>
        <v/>
      </c>
      <c r="S1448">
        <f>IF($A1448="","",$R1448&amp;"|"&amp;$Q1448)</f>
        <v/>
      </c>
      <c r="T1448">
        <f>IF($A1448="","",$S1448&amp;"|"&amp;$F1448)</f>
        <v/>
      </c>
      <c r="U1448">
        <f>IF($A1448="","",$R1448&amp;"("&amp;$E1448&amp;")")</f>
        <v/>
      </c>
      <c r="V1448">
        <f>IF($A1448="","",$F1448&amp;"|"&amp;$U1448&amp;"|"&amp;$D1448)</f>
        <v/>
      </c>
      <c r="W1448">
        <f>IF($T1448="","",IF($X1448&gt;N($X1447),$X1448,""))</f>
        <v/>
      </c>
      <c r="X1448">
        <f>IF($T1448="",N($X1447),IF(MATCH($T1448,$T$6:$T$6005,0)=ROW()-5,N($X1447)+1,N($X1447)))</f>
        <v/>
      </c>
      <c r="Z1448">
        <f>IF($V1448="","",IF($AA1448&gt;N($AA1447),$AA1448,""))</f>
        <v/>
      </c>
      <c r="AA1448">
        <f>IF($V1448="",N($AA1447),IF(MATCH($V1448,$V$6:$V$6005,0)=ROW()-5,N($AA1447)+1,N($AA1447)))</f>
        <v/>
      </c>
    </row>
    <row r="1449" ht="21" customHeight="1" s="66">
      <c r="A1449" s="56" t="n"/>
      <c r="B1449" s="57" t="n"/>
      <c r="C1449" s="57" t="n"/>
      <c r="D1449" s="57" t="n"/>
      <c r="E1449" s="56" t="n"/>
      <c r="F1449" s="57" t="n"/>
      <c r="G1449" s="57" t="n"/>
      <c r="H1449" s="56" t="n"/>
      <c r="I1449" s="56" t="n"/>
      <c r="J1449" s="58" t="n"/>
      <c r="K1449" s="58" t="n"/>
      <c r="L1449" s="13">
        <f>IF(OR($A1449="",AND($J1449="",$K1449="")),"",ROUND(N($J1449)-N($K1449),2))</f>
        <v/>
      </c>
      <c r="M1449" s="13">
        <f>IF(OR($A1449="",AND($J1449="",$K1449="")),"",MIN($J1449,$K1449))</f>
        <v/>
      </c>
      <c r="Q1449">
        <f>IF($A1449="","",$D1449&amp;"("&amp;SUBSTITUTE($E1449," ","")&amp;")")</f>
        <v/>
      </c>
      <c r="R1449">
        <f>IF($A1449="","",$B1449&amp;" - "&amp;$C1449)</f>
        <v/>
      </c>
      <c r="S1449">
        <f>IF($A1449="","",$R1449&amp;"|"&amp;$Q1449)</f>
        <v/>
      </c>
      <c r="T1449">
        <f>IF($A1449="","",$S1449&amp;"|"&amp;$F1449)</f>
        <v/>
      </c>
      <c r="U1449">
        <f>IF($A1449="","",$R1449&amp;"("&amp;$E1449&amp;")")</f>
        <v/>
      </c>
      <c r="V1449">
        <f>IF($A1449="","",$F1449&amp;"|"&amp;$U1449&amp;"|"&amp;$D1449)</f>
        <v/>
      </c>
      <c r="W1449">
        <f>IF($T1449="","",IF($X1449&gt;N($X1448),$X1449,""))</f>
        <v/>
      </c>
      <c r="X1449">
        <f>IF($T1449="",N($X1448),IF(MATCH($T1449,$T$6:$T$6005,0)=ROW()-5,N($X1448)+1,N($X1448)))</f>
        <v/>
      </c>
      <c r="Z1449">
        <f>IF($V1449="","",IF($AA1449&gt;N($AA1448),$AA1449,""))</f>
        <v/>
      </c>
      <c r="AA1449">
        <f>IF($V1449="",N($AA1448),IF(MATCH($V1449,$V$6:$V$6005,0)=ROW()-5,N($AA1448)+1,N($AA1448)))</f>
        <v/>
      </c>
    </row>
    <row r="1450" ht="21" customHeight="1" s="66">
      <c r="A1450" s="56" t="n"/>
      <c r="B1450" s="57" t="n"/>
      <c r="C1450" s="57" t="n"/>
      <c r="D1450" s="57" t="n"/>
      <c r="E1450" s="56" t="n"/>
      <c r="F1450" s="57" t="n"/>
      <c r="G1450" s="57" t="n"/>
      <c r="H1450" s="56" t="n"/>
      <c r="I1450" s="56" t="n"/>
      <c r="J1450" s="58" t="n"/>
      <c r="K1450" s="58" t="n"/>
      <c r="L1450" s="13">
        <f>IF(OR($A1450="",AND($J1450="",$K1450="")),"",ROUND(N($J1450)-N($K1450),2))</f>
        <v/>
      </c>
      <c r="M1450" s="13">
        <f>IF(OR($A1450="",AND($J1450="",$K1450="")),"",MIN($J1450,$K1450))</f>
        <v/>
      </c>
      <c r="Q1450">
        <f>IF($A1450="","",$D1450&amp;"("&amp;SUBSTITUTE($E1450," ","")&amp;")")</f>
        <v/>
      </c>
      <c r="R1450">
        <f>IF($A1450="","",$B1450&amp;" - "&amp;$C1450)</f>
        <v/>
      </c>
      <c r="S1450">
        <f>IF($A1450="","",$R1450&amp;"|"&amp;$Q1450)</f>
        <v/>
      </c>
      <c r="T1450">
        <f>IF($A1450="","",$S1450&amp;"|"&amp;$F1450)</f>
        <v/>
      </c>
      <c r="U1450">
        <f>IF($A1450="","",$R1450&amp;"("&amp;$E1450&amp;")")</f>
        <v/>
      </c>
      <c r="V1450">
        <f>IF($A1450="","",$F1450&amp;"|"&amp;$U1450&amp;"|"&amp;$D1450)</f>
        <v/>
      </c>
      <c r="W1450">
        <f>IF($T1450="","",IF($X1450&gt;N($X1449),$X1450,""))</f>
        <v/>
      </c>
      <c r="X1450">
        <f>IF($T1450="",N($X1449),IF(MATCH($T1450,$T$6:$T$6005,0)=ROW()-5,N($X1449)+1,N($X1449)))</f>
        <v/>
      </c>
      <c r="Z1450">
        <f>IF($V1450="","",IF($AA1450&gt;N($AA1449),$AA1450,""))</f>
        <v/>
      </c>
      <c r="AA1450">
        <f>IF($V1450="",N($AA1449),IF(MATCH($V1450,$V$6:$V$6005,0)=ROW()-5,N($AA1449)+1,N($AA1449)))</f>
        <v/>
      </c>
    </row>
    <row r="1451" ht="21" customHeight="1" s="66">
      <c r="A1451" s="56" t="n"/>
      <c r="B1451" s="57" t="n"/>
      <c r="C1451" s="57" t="n"/>
      <c r="D1451" s="57" t="n"/>
      <c r="E1451" s="56" t="n"/>
      <c r="F1451" s="57" t="n"/>
      <c r="G1451" s="57" t="n"/>
      <c r="H1451" s="56" t="n"/>
      <c r="I1451" s="56" t="n"/>
      <c r="J1451" s="58" t="n"/>
      <c r="K1451" s="58" t="n"/>
      <c r="L1451" s="13">
        <f>IF(OR($A1451="",AND($J1451="",$K1451="")),"",ROUND(N($J1451)-N($K1451),2))</f>
        <v/>
      </c>
      <c r="M1451" s="13">
        <f>IF(OR($A1451="",AND($J1451="",$K1451="")),"",MIN($J1451,$K1451))</f>
        <v/>
      </c>
      <c r="Q1451">
        <f>IF($A1451="","",$D1451&amp;"("&amp;SUBSTITUTE($E1451," ","")&amp;")")</f>
        <v/>
      </c>
      <c r="R1451">
        <f>IF($A1451="","",$B1451&amp;" - "&amp;$C1451)</f>
        <v/>
      </c>
      <c r="S1451">
        <f>IF($A1451="","",$R1451&amp;"|"&amp;$Q1451)</f>
        <v/>
      </c>
      <c r="T1451">
        <f>IF($A1451="","",$S1451&amp;"|"&amp;$F1451)</f>
        <v/>
      </c>
      <c r="U1451">
        <f>IF($A1451="","",$R1451&amp;"("&amp;$E1451&amp;")")</f>
        <v/>
      </c>
      <c r="V1451">
        <f>IF($A1451="","",$F1451&amp;"|"&amp;$U1451&amp;"|"&amp;$D1451)</f>
        <v/>
      </c>
      <c r="W1451">
        <f>IF($T1451="","",IF($X1451&gt;N($X1450),$X1451,""))</f>
        <v/>
      </c>
      <c r="X1451">
        <f>IF($T1451="",N($X1450),IF(MATCH($T1451,$T$6:$T$6005,0)=ROW()-5,N($X1450)+1,N($X1450)))</f>
        <v/>
      </c>
      <c r="Z1451">
        <f>IF($V1451="","",IF($AA1451&gt;N($AA1450),$AA1451,""))</f>
        <v/>
      </c>
      <c r="AA1451">
        <f>IF($V1451="",N($AA1450),IF(MATCH($V1451,$V$6:$V$6005,0)=ROW()-5,N($AA1450)+1,N($AA1450)))</f>
        <v/>
      </c>
    </row>
    <row r="1452" ht="21" customHeight="1" s="66">
      <c r="A1452" s="56" t="n"/>
      <c r="B1452" s="57" t="n"/>
      <c r="C1452" s="57" t="n"/>
      <c r="D1452" s="57" t="n"/>
      <c r="E1452" s="56" t="n"/>
      <c r="F1452" s="57" t="n"/>
      <c r="G1452" s="57" t="n"/>
      <c r="H1452" s="56" t="n"/>
      <c r="I1452" s="56" t="n"/>
      <c r="J1452" s="58" t="n"/>
      <c r="K1452" s="58" t="n"/>
      <c r="L1452" s="13">
        <f>IF(OR($A1452="",AND($J1452="",$K1452="")),"",ROUND(N($J1452)-N($K1452),2))</f>
        <v/>
      </c>
      <c r="M1452" s="13">
        <f>IF(OR($A1452="",AND($J1452="",$K1452="")),"",MIN($J1452,$K1452))</f>
        <v/>
      </c>
      <c r="Q1452">
        <f>IF($A1452="","",$D1452&amp;"("&amp;SUBSTITUTE($E1452," ","")&amp;")")</f>
        <v/>
      </c>
      <c r="R1452">
        <f>IF($A1452="","",$B1452&amp;" - "&amp;$C1452)</f>
        <v/>
      </c>
      <c r="S1452">
        <f>IF($A1452="","",$R1452&amp;"|"&amp;$Q1452)</f>
        <v/>
      </c>
      <c r="T1452">
        <f>IF($A1452="","",$S1452&amp;"|"&amp;$F1452)</f>
        <v/>
      </c>
      <c r="U1452">
        <f>IF($A1452="","",$R1452&amp;"("&amp;$E1452&amp;")")</f>
        <v/>
      </c>
      <c r="V1452">
        <f>IF($A1452="","",$F1452&amp;"|"&amp;$U1452&amp;"|"&amp;$D1452)</f>
        <v/>
      </c>
      <c r="W1452">
        <f>IF($T1452="","",IF($X1452&gt;N($X1451),$X1452,""))</f>
        <v/>
      </c>
      <c r="X1452">
        <f>IF($T1452="",N($X1451),IF(MATCH($T1452,$T$6:$T$6005,0)=ROW()-5,N($X1451)+1,N($X1451)))</f>
        <v/>
      </c>
      <c r="Z1452">
        <f>IF($V1452="","",IF($AA1452&gt;N($AA1451),$AA1452,""))</f>
        <v/>
      </c>
      <c r="AA1452">
        <f>IF($V1452="",N($AA1451),IF(MATCH($V1452,$V$6:$V$6005,0)=ROW()-5,N($AA1451)+1,N($AA1451)))</f>
        <v/>
      </c>
    </row>
    <row r="1453" ht="21" customHeight="1" s="66">
      <c r="A1453" s="56" t="n"/>
      <c r="B1453" s="57" t="n"/>
      <c r="C1453" s="57" t="n"/>
      <c r="D1453" s="57" t="n"/>
      <c r="E1453" s="56" t="n"/>
      <c r="F1453" s="57" t="n"/>
      <c r="G1453" s="57" t="n"/>
      <c r="H1453" s="56" t="n"/>
      <c r="I1453" s="56" t="n"/>
      <c r="J1453" s="58" t="n"/>
      <c r="K1453" s="58" t="n"/>
      <c r="L1453" s="13">
        <f>IF(OR($A1453="",AND($J1453="",$K1453="")),"",ROUND(N($J1453)-N($K1453),2))</f>
        <v/>
      </c>
      <c r="M1453" s="13">
        <f>IF(OR($A1453="",AND($J1453="",$K1453="")),"",MIN($J1453,$K1453))</f>
        <v/>
      </c>
      <c r="Q1453">
        <f>IF($A1453="","",$D1453&amp;"("&amp;SUBSTITUTE($E1453," ","")&amp;")")</f>
        <v/>
      </c>
      <c r="R1453">
        <f>IF($A1453="","",$B1453&amp;" - "&amp;$C1453)</f>
        <v/>
      </c>
      <c r="S1453">
        <f>IF($A1453="","",$R1453&amp;"|"&amp;$Q1453)</f>
        <v/>
      </c>
      <c r="T1453">
        <f>IF($A1453="","",$S1453&amp;"|"&amp;$F1453)</f>
        <v/>
      </c>
      <c r="U1453">
        <f>IF($A1453="","",$R1453&amp;"("&amp;$E1453&amp;")")</f>
        <v/>
      </c>
      <c r="V1453">
        <f>IF($A1453="","",$F1453&amp;"|"&amp;$U1453&amp;"|"&amp;$D1453)</f>
        <v/>
      </c>
      <c r="W1453">
        <f>IF($T1453="","",IF($X1453&gt;N($X1452),$X1453,""))</f>
        <v/>
      </c>
      <c r="X1453">
        <f>IF($T1453="",N($X1452),IF(MATCH($T1453,$T$6:$T$6005,0)=ROW()-5,N($X1452)+1,N($X1452)))</f>
        <v/>
      </c>
      <c r="Z1453">
        <f>IF($V1453="","",IF($AA1453&gt;N($AA1452),$AA1453,""))</f>
        <v/>
      </c>
      <c r="AA1453">
        <f>IF($V1453="",N($AA1452),IF(MATCH($V1453,$V$6:$V$6005,0)=ROW()-5,N($AA1452)+1,N($AA1452)))</f>
        <v/>
      </c>
    </row>
    <row r="1454" ht="21" customHeight="1" s="66">
      <c r="A1454" s="56" t="n"/>
      <c r="B1454" s="57" t="n"/>
      <c r="C1454" s="57" t="n"/>
      <c r="D1454" s="57" t="n"/>
      <c r="E1454" s="56" t="n"/>
      <c r="F1454" s="57" t="n"/>
      <c r="G1454" s="57" t="n"/>
      <c r="H1454" s="56" t="n"/>
      <c r="I1454" s="56" t="n"/>
      <c r="J1454" s="58" t="n"/>
      <c r="K1454" s="58" t="n"/>
      <c r="L1454" s="13">
        <f>IF(OR($A1454="",AND($J1454="",$K1454="")),"",ROUND(N($J1454)-N($K1454),2))</f>
        <v/>
      </c>
      <c r="M1454" s="13">
        <f>IF(OR($A1454="",AND($J1454="",$K1454="")),"",MIN($J1454,$K1454))</f>
        <v/>
      </c>
      <c r="Q1454">
        <f>IF($A1454="","",$D1454&amp;"("&amp;SUBSTITUTE($E1454," ","")&amp;")")</f>
        <v/>
      </c>
      <c r="R1454">
        <f>IF($A1454="","",$B1454&amp;" - "&amp;$C1454)</f>
        <v/>
      </c>
      <c r="S1454">
        <f>IF($A1454="","",$R1454&amp;"|"&amp;$Q1454)</f>
        <v/>
      </c>
      <c r="T1454">
        <f>IF($A1454="","",$S1454&amp;"|"&amp;$F1454)</f>
        <v/>
      </c>
      <c r="U1454">
        <f>IF($A1454="","",$R1454&amp;"("&amp;$E1454&amp;")")</f>
        <v/>
      </c>
      <c r="V1454">
        <f>IF($A1454="","",$F1454&amp;"|"&amp;$U1454&amp;"|"&amp;$D1454)</f>
        <v/>
      </c>
      <c r="W1454">
        <f>IF($T1454="","",IF($X1454&gt;N($X1453),$X1454,""))</f>
        <v/>
      </c>
      <c r="X1454">
        <f>IF($T1454="",N($X1453),IF(MATCH($T1454,$T$6:$T$6005,0)=ROW()-5,N($X1453)+1,N($X1453)))</f>
        <v/>
      </c>
      <c r="Z1454">
        <f>IF($V1454="","",IF($AA1454&gt;N($AA1453),$AA1454,""))</f>
        <v/>
      </c>
      <c r="AA1454">
        <f>IF($V1454="",N($AA1453),IF(MATCH($V1454,$V$6:$V$6005,0)=ROW()-5,N($AA1453)+1,N($AA1453)))</f>
        <v/>
      </c>
    </row>
    <row r="1455" ht="21" customHeight="1" s="66">
      <c r="A1455" s="56" t="n"/>
      <c r="B1455" s="57" t="n"/>
      <c r="C1455" s="57" t="n"/>
      <c r="D1455" s="57" t="n"/>
      <c r="E1455" s="56" t="n"/>
      <c r="F1455" s="57" t="n"/>
      <c r="G1455" s="57" t="n"/>
      <c r="H1455" s="56" t="n"/>
      <c r="I1455" s="56" t="n"/>
      <c r="J1455" s="58" t="n"/>
      <c r="K1455" s="58" t="n"/>
      <c r="L1455" s="13">
        <f>IF(OR($A1455="",AND($J1455="",$K1455="")),"",ROUND(N($J1455)-N($K1455),2))</f>
        <v/>
      </c>
      <c r="M1455" s="13">
        <f>IF(OR($A1455="",AND($J1455="",$K1455="")),"",MIN($J1455,$K1455))</f>
        <v/>
      </c>
      <c r="Q1455">
        <f>IF($A1455="","",$D1455&amp;"("&amp;SUBSTITUTE($E1455," ","")&amp;")")</f>
        <v/>
      </c>
      <c r="R1455">
        <f>IF($A1455="","",$B1455&amp;" - "&amp;$C1455)</f>
        <v/>
      </c>
      <c r="S1455">
        <f>IF($A1455="","",$R1455&amp;"|"&amp;$Q1455)</f>
        <v/>
      </c>
      <c r="T1455">
        <f>IF($A1455="","",$S1455&amp;"|"&amp;$F1455)</f>
        <v/>
      </c>
      <c r="U1455">
        <f>IF($A1455="","",$R1455&amp;"("&amp;$E1455&amp;")")</f>
        <v/>
      </c>
      <c r="V1455">
        <f>IF($A1455="","",$F1455&amp;"|"&amp;$U1455&amp;"|"&amp;$D1455)</f>
        <v/>
      </c>
      <c r="W1455">
        <f>IF($T1455="","",IF($X1455&gt;N($X1454),$X1455,""))</f>
        <v/>
      </c>
      <c r="X1455">
        <f>IF($T1455="",N($X1454),IF(MATCH($T1455,$T$6:$T$6005,0)=ROW()-5,N($X1454)+1,N($X1454)))</f>
        <v/>
      </c>
      <c r="Z1455">
        <f>IF($V1455="","",IF($AA1455&gt;N($AA1454),$AA1455,""))</f>
        <v/>
      </c>
      <c r="AA1455">
        <f>IF($V1455="",N($AA1454),IF(MATCH($V1455,$V$6:$V$6005,0)=ROW()-5,N($AA1454)+1,N($AA1454)))</f>
        <v/>
      </c>
    </row>
    <row r="1456" ht="21" customHeight="1" s="66">
      <c r="A1456" s="56" t="n"/>
      <c r="B1456" s="57" t="n"/>
      <c r="C1456" s="57" t="n"/>
      <c r="D1456" s="57" t="n"/>
      <c r="E1456" s="56" t="n"/>
      <c r="F1456" s="57" t="n"/>
      <c r="G1456" s="57" t="n"/>
      <c r="H1456" s="56" t="n"/>
      <c r="I1456" s="56" t="n"/>
      <c r="J1456" s="58" t="n"/>
      <c r="K1456" s="58" t="n"/>
      <c r="L1456" s="13">
        <f>IF(OR($A1456="",AND($J1456="",$K1456="")),"",ROUND(N($J1456)-N($K1456),2))</f>
        <v/>
      </c>
      <c r="M1456" s="13">
        <f>IF(OR($A1456="",AND($J1456="",$K1456="")),"",MIN($J1456,$K1456))</f>
        <v/>
      </c>
      <c r="Q1456">
        <f>IF($A1456="","",$D1456&amp;"("&amp;SUBSTITUTE($E1456," ","")&amp;")")</f>
        <v/>
      </c>
      <c r="R1456">
        <f>IF($A1456="","",$B1456&amp;" - "&amp;$C1456)</f>
        <v/>
      </c>
      <c r="S1456">
        <f>IF($A1456="","",$R1456&amp;"|"&amp;$Q1456)</f>
        <v/>
      </c>
      <c r="T1456">
        <f>IF($A1456="","",$S1456&amp;"|"&amp;$F1456)</f>
        <v/>
      </c>
      <c r="U1456">
        <f>IF($A1456="","",$R1456&amp;"("&amp;$E1456&amp;")")</f>
        <v/>
      </c>
      <c r="V1456">
        <f>IF($A1456="","",$F1456&amp;"|"&amp;$U1456&amp;"|"&amp;$D1456)</f>
        <v/>
      </c>
      <c r="W1456">
        <f>IF($T1456="","",IF($X1456&gt;N($X1455),$X1456,""))</f>
        <v/>
      </c>
      <c r="X1456">
        <f>IF($T1456="",N($X1455),IF(MATCH($T1456,$T$6:$T$6005,0)=ROW()-5,N($X1455)+1,N($X1455)))</f>
        <v/>
      </c>
      <c r="Z1456">
        <f>IF($V1456="","",IF($AA1456&gt;N($AA1455),$AA1456,""))</f>
        <v/>
      </c>
      <c r="AA1456">
        <f>IF($V1456="",N($AA1455),IF(MATCH($V1456,$V$6:$V$6005,0)=ROW()-5,N($AA1455)+1,N($AA1455)))</f>
        <v/>
      </c>
    </row>
    <row r="1457" ht="21" customHeight="1" s="66">
      <c r="A1457" s="56" t="n"/>
      <c r="B1457" s="57" t="n"/>
      <c r="C1457" s="57" t="n"/>
      <c r="D1457" s="57" t="n"/>
      <c r="E1457" s="56" t="n"/>
      <c r="F1457" s="57" t="n"/>
      <c r="G1457" s="57" t="n"/>
      <c r="H1457" s="56" t="n"/>
      <c r="I1457" s="56" t="n"/>
      <c r="J1457" s="58" t="n"/>
      <c r="K1457" s="58" t="n"/>
      <c r="L1457" s="13">
        <f>IF(OR($A1457="",AND($J1457="",$K1457="")),"",ROUND(N($J1457)-N($K1457),2))</f>
        <v/>
      </c>
      <c r="M1457" s="13">
        <f>IF(OR($A1457="",AND($J1457="",$K1457="")),"",MIN($J1457,$K1457))</f>
        <v/>
      </c>
      <c r="Q1457">
        <f>IF($A1457="","",$D1457&amp;"("&amp;SUBSTITUTE($E1457," ","")&amp;")")</f>
        <v/>
      </c>
      <c r="R1457">
        <f>IF($A1457="","",$B1457&amp;" - "&amp;$C1457)</f>
        <v/>
      </c>
      <c r="S1457">
        <f>IF($A1457="","",$R1457&amp;"|"&amp;$Q1457)</f>
        <v/>
      </c>
      <c r="T1457">
        <f>IF($A1457="","",$S1457&amp;"|"&amp;$F1457)</f>
        <v/>
      </c>
      <c r="U1457">
        <f>IF($A1457="","",$R1457&amp;"("&amp;$E1457&amp;")")</f>
        <v/>
      </c>
      <c r="V1457">
        <f>IF($A1457="","",$F1457&amp;"|"&amp;$U1457&amp;"|"&amp;$D1457)</f>
        <v/>
      </c>
      <c r="W1457">
        <f>IF($T1457="","",IF($X1457&gt;N($X1456),$X1457,""))</f>
        <v/>
      </c>
      <c r="X1457">
        <f>IF($T1457="",N($X1456),IF(MATCH($T1457,$T$6:$T$6005,0)=ROW()-5,N($X1456)+1,N($X1456)))</f>
        <v/>
      </c>
      <c r="Z1457">
        <f>IF($V1457="","",IF($AA1457&gt;N($AA1456),$AA1457,""))</f>
        <v/>
      </c>
      <c r="AA1457">
        <f>IF($V1457="",N($AA1456),IF(MATCH($V1457,$V$6:$V$6005,0)=ROW()-5,N($AA1456)+1,N($AA1456)))</f>
        <v/>
      </c>
    </row>
    <row r="1458" ht="21" customHeight="1" s="66">
      <c r="A1458" s="56" t="n"/>
      <c r="B1458" s="57" t="n"/>
      <c r="C1458" s="57" t="n"/>
      <c r="D1458" s="57" t="n"/>
      <c r="E1458" s="56" t="n"/>
      <c r="F1458" s="57" t="n"/>
      <c r="G1458" s="57" t="n"/>
      <c r="H1458" s="56" t="n"/>
      <c r="I1458" s="56" t="n"/>
      <c r="J1458" s="58" t="n"/>
      <c r="K1458" s="58" t="n"/>
      <c r="L1458" s="13">
        <f>IF(OR($A1458="",AND($J1458="",$K1458="")),"",ROUND(N($J1458)-N($K1458),2))</f>
        <v/>
      </c>
      <c r="M1458" s="13">
        <f>IF(OR($A1458="",AND($J1458="",$K1458="")),"",MIN($J1458,$K1458))</f>
        <v/>
      </c>
      <c r="Q1458">
        <f>IF($A1458="","",$D1458&amp;"("&amp;SUBSTITUTE($E1458," ","")&amp;")")</f>
        <v/>
      </c>
      <c r="R1458">
        <f>IF($A1458="","",$B1458&amp;" - "&amp;$C1458)</f>
        <v/>
      </c>
      <c r="S1458">
        <f>IF($A1458="","",$R1458&amp;"|"&amp;$Q1458)</f>
        <v/>
      </c>
      <c r="T1458">
        <f>IF($A1458="","",$S1458&amp;"|"&amp;$F1458)</f>
        <v/>
      </c>
      <c r="U1458">
        <f>IF($A1458="","",$R1458&amp;"("&amp;$E1458&amp;")")</f>
        <v/>
      </c>
      <c r="V1458">
        <f>IF($A1458="","",$F1458&amp;"|"&amp;$U1458&amp;"|"&amp;$D1458)</f>
        <v/>
      </c>
      <c r="W1458">
        <f>IF($T1458="","",IF($X1458&gt;N($X1457),$X1458,""))</f>
        <v/>
      </c>
      <c r="X1458">
        <f>IF($T1458="",N($X1457),IF(MATCH($T1458,$T$6:$T$6005,0)=ROW()-5,N($X1457)+1,N($X1457)))</f>
        <v/>
      </c>
      <c r="Z1458">
        <f>IF($V1458="","",IF($AA1458&gt;N($AA1457),$AA1458,""))</f>
        <v/>
      </c>
      <c r="AA1458">
        <f>IF($V1458="",N($AA1457),IF(MATCH($V1458,$V$6:$V$6005,0)=ROW()-5,N($AA1457)+1,N($AA1457)))</f>
        <v/>
      </c>
    </row>
    <row r="1459" ht="21" customHeight="1" s="66">
      <c r="A1459" s="56" t="n"/>
      <c r="B1459" s="57" t="n"/>
      <c r="C1459" s="57" t="n"/>
      <c r="D1459" s="57" t="n"/>
      <c r="E1459" s="56" t="n"/>
      <c r="F1459" s="57" t="n"/>
      <c r="G1459" s="57" t="n"/>
      <c r="H1459" s="56" t="n"/>
      <c r="I1459" s="56" t="n"/>
      <c r="J1459" s="58" t="n"/>
      <c r="K1459" s="58" t="n"/>
      <c r="L1459" s="13">
        <f>IF(OR($A1459="",AND($J1459="",$K1459="")),"",ROUND(N($J1459)-N($K1459),2))</f>
        <v/>
      </c>
      <c r="M1459" s="13">
        <f>IF(OR($A1459="",AND($J1459="",$K1459="")),"",MIN($J1459,$K1459))</f>
        <v/>
      </c>
      <c r="Q1459">
        <f>IF($A1459="","",$D1459&amp;"("&amp;SUBSTITUTE($E1459," ","")&amp;")")</f>
        <v/>
      </c>
      <c r="R1459">
        <f>IF($A1459="","",$B1459&amp;" - "&amp;$C1459)</f>
        <v/>
      </c>
      <c r="S1459">
        <f>IF($A1459="","",$R1459&amp;"|"&amp;$Q1459)</f>
        <v/>
      </c>
      <c r="T1459">
        <f>IF($A1459="","",$S1459&amp;"|"&amp;$F1459)</f>
        <v/>
      </c>
      <c r="U1459">
        <f>IF($A1459="","",$R1459&amp;"("&amp;$E1459&amp;")")</f>
        <v/>
      </c>
      <c r="V1459">
        <f>IF($A1459="","",$F1459&amp;"|"&amp;$U1459&amp;"|"&amp;$D1459)</f>
        <v/>
      </c>
      <c r="W1459">
        <f>IF($T1459="","",IF($X1459&gt;N($X1458),$X1459,""))</f>
        <v/>
      </c>
      <c r="X1459">
        <f>IF($T1459="",N($X1458),IF(MATCH($T1459,$T$6:$T$6005,0)=ROW()-5,N($X1458)+1,N($X1458)))</f>
        <v/>
      </c>
      <c r="Z1459">
        <f>IF($V1459="","",IF($AA1459&gt;N($AA1458),$AA1459,""))</f>
        <v/>
      </c>
      <c r="AA1459">
        <f>IF($V1459="",N($AA1458),IF(MATCH($V1459,$V$6:$V$6005,0)=ROW()-5,N($AA1458)+1,N($AA1458)))</f>
        <v/>
      </c>
    </row>
    <row r="1460" ht="21" customHeight="1" s="66">
      <c r="A1460" s="56" t="n"/>
      <c r="B1460" s="57" t="n"/>
      <c r="C1460" s="57" t="n"/>
      <c r="D1460" s="57" t="n"/>
      <c r="E1460" s="56" t="n"/>
      <c r="F1460" s="57" t="n"/>
      <c r="G1460" s="57" t="n"/>
      <c r="H1460" s="56" t="n"/>
      <c r="I1460" s="56" t="n"/>
      <c r="J1460" s="58" t="n"/>
      <c r="K1460" s="58" t="n"/>
      <c r="L1460" s="13">
        <f>IF(OR($A1460="",AND($J1460="",$K1460="")),"",ROUND(N($J1460)-N($K1460),2))</f>
        <v/>
      </c>
      <c r="M1460" s="13">
        <f>IF(OR($A1460="",AND($J1460="",$K1460="")),"",MIN($J1460,$K1460))</f>
        <v/>
      </c>
      <c r="Q1460">
        <f>IF($A1460="","",$D1460&amp;"("&amp;SUBSTITUTE($E1460," ","")&amp;")")</f>
        <v/>
      </c>
      <c r="R1460">
        <f>IF($A1460="","",$B1460&amp;" - "&amp;$C1460)</f>
        <v/>
      </c>
      <c r="S1460">
        <f>IF($A1460="","",$R1460&amp;"|"&amp;$Q1460)</f>
        <v/>
      </c>
      <c r="T1460">
        <f>IF($A1460="","",$S1460&amp;"|"&amp;$F1460)</f>
        <v/>
      </c>
      <c r="U1460">
        <f>IF($A1460="","",$R1460&amp;"("&amp;$E1460&amp;")")</f>
        <v/>
      </c>
      <c r="V1460">
        <f>IF($A1460="","",$F1460&amp;"|"&amp;$U1460&amp;"|"&amp;$D1460)</f>
        <v/>
      </c>
      <c r="W1460">
        <f>IF($T1460="","",IF($X1460&gt;N($X1459),$X1460,""))</f>
        <v/>
      </c>
      <c r="X1460">
        <f>IF($T1460="",N($X1459),IF(MATCH($T1460,$T$6:$T$6005,0)=ROW()-5,N($X1459)+1,N($X1459)))</f>
        <v/>
      </c>
      <c r="Z1460">
        <f>IF($V1460="","",IF($AA1460&gt;N($AA1459),$AA1460,""))</f>
        <v/>
      </c>
      <c r="AA1460">
        <f>IF($V1460="",N($AA1459),IF(MATCH($V1460,$V$6:$V$6005,0)=ROW()-5,N($AA1459)+1,N($AA1459)))</f>
        <v/>
      </c>
    </row>
    <row r="1461" ht="21" customHeight="1" s="66">
      <c r="A1461" s="56" t="n"/>
      <c r="B1461" s="57" t="n"/>
      <c r="C1461" s="57" t="n"/>
      <c r="D1461" s="57" t="n"/>
      <c r="E1461" s="56" t="n"/>
      <c r="F1461" s="57" t="n"/>
      <c r="G1461" s="57" t="n"/>
      <c r="H1461" s="56" t="n"/>
      <c r="I1461" s="56" t="n"/>
      <c r="J1461" s="58" t="n"/>
      <c r="K1461" s="58" t="n"/>
      <c r="L1461" s="13">
        <f>IF(OR($A1461="",AND($J1461="",$K1461="")),"",ROUND(N($J1461)-N($K1461),2))</f>
        <v/>
      </c>
      <c r="M1461" s="13">
        <f>IF(OR($A1461="",AND($J1461="",$K1461="")),"",MIN($J1461,$K1461))</f>
        <v/>
      </c>
      <c r="Q1461">
        <f>IF($A1461="","",$D1461&amp;"("&amp;SUBSTITUTE($E1461," ","")&amp;")")</f>
        <v/>
      </c>
      <c r="R1461">
        <f>IF($A1461="","",$B1461&amp;" - "&amp;$C1461)</f>
        <v/>
      </c>
      <c r="S1461">
        <f>IF($A1461="","",$R1461&amp;"|"&amp;$Q1461)</f>
        <v/>
      </c>
      <c r="T1461">
        <f>IF($A1461="","",$S1461&amp;"|"&amp;$F1461)</f>
        <v/>
      </c>
      <c r="U1461">
        <f>IF($A1461="","",$R1461&amp;"("&amp;$E1461&amp;")")</f>
        <v/>
      </c>
      <c r="V1461">
        <f>IF($A1461="","",$F1461&amp;"|"&amp;$U1461&amp;"|"&amp;$D1461)</f>
        <v/>
      </c>
      <c r="W1461">
        <f>IF($T1461="","",IF($X1461&gt;N($X1460),$X1461,""))</f>
        <v/>
      </c>
      <c r="X1461">
        <f>IF($T1461="",N($X1460),IF(MATCH($T1461,$T$6:$T$6005,0)=ROW()-5,N($X1460)+1,N($X1460)))</f>
        <v/>
      </c>
      <c r="Z1461">
        <f>IF($V1461="","",IF($AA1461&gt;N($AA1460),$AA1461,""))</f>
        <v/>
      </c>
      <c r="AA1461">
        <f>IF($V1461="",N($AA1460),IF(MATCH($V1461,$V$6:$V$6005,0)=ROW()-5,N($AA1460)+1,N($AA1460)))</f>
        <v/>
      </c>
    </row>
    <row r="1462" ht="21" customHeight="1" s="66">
      <c r="A1462" s="56" t="n"/>
      <c r="B1462" s="57" t="n"/>
      <c r="C1462" s="57" t="n"/>
      <c r="D1462" s="57" t="n"/>
      <c r="E1462" s="56" t="n"/>
      <c r="F1462" s="57" t="n"/>
      <c r="G1462" s="57" t="n"/>
      <c r="H1462" s="56" t="n"/>
      <c r="I1462" s="56" t="n"/>
      <c r="J1462" s="58" t="n"/>
      <c r="K1462" s="58" t="n"/>
      <c r="L1462" s="13">
        <f>IF(OR($A1462="",AND($J1462="",$K1462="")),"",ROUND(N($J1462)-N($K1462),2))</f>
        <v/>
      </c>
      <c r="M1462" s="13">
        <f>IF(OR($A1462="",AND($J1462="",$K1462="")),"",MIN($J1462,$K1462))</f>
        <v/>
      </c>
      <c r="Q1462">
        <f>IF($A1462="","",$D1462&amp;"("&amp;SUBSTITUTE($E1462," ","")&amp;")")</f>
        <v/>
      </c>
      <c r="R1462">
        <f>IF($A1462="","",$B1462&amp;" - "&amp;$C1462)</f>
        <v/>
      </c>
      <c r="S1462">
        <f>IF($A1462="","",$R1462&amp;"|"&amp;$Q1462)</f>
        <v/>
      </c>
      <c r="T1462">
        <f>IF($A1462="","",$S1462&amp;"|"&amp;$F1462)</f>
        <v/>
      </c>
      <c r="U1462">
        <f>IF($A1462="","",$R1462&amp;"("&amp;$E1462&amp;")")</f>
        <v/>
      </c>
      <c r="V1462">
        <f>IF($A1462="","",$F1462&amp;"|"&amp;$U1462&amp;"|"&amp;$D1462)</f>
        <v/>
      </c>
      <c r="W1462">
        <f>IF($T1462="","",IF($X1462&gt;N($X1461),$X1462,""))</f>
        <v/>
      </c>
      <c r="X1462">
        <f>IF($T1462="",N($X1461),IF(MATCH($T1462,$T$6:$T$6005,0)=ROW()-5,N($X1461)+1,N($X1461)))</f>
        <v/>
      </c>
      <c r="Z1462">
        <f>IF($V1462="","",IF($AA1462&gt;N($AA1461),$AA1462,""))</f>
        <v/>
      </c>
      <c r="AA1462">
        <f>IF($V1462="",N($AA1461),IF(MATCH($V1462,$V$6:$V$6005,0)=ROW()-5,N($AA1461)+1,N($AA1461)))</f>
        <v/>
      </c>
    </row>
    <row r="1463" ht="21" customHeight="1" s="66">
      <c r="A1463" s="56" t="n"/>
      <c r="B1463" s="57" t="n"/>
      <c r="C1463" s="57" t="n"/>
      <c r="D1463" s="57" t="n"/>
      <c r="E1463" s="56" t="n"/>
      <c r="F1463" s="57" t="n"/>
      <c r="G1463" s="57" t="n"/>
      <c r="H1463" s="56" t="n"/>
      <c r="I1463" s="56" t="n"/>
      <c r="J1463" s="58" t="n"/>
      <c r="K1463" s="58" t="n"/>
      <c r="L1463" s="13">
        <f>IF(OR($A1463="",AND($J1463="",$K1463="")),"",ROUND(N($J1463)-N($K1463),2))</f>
        <v/>
      </c>
      <c r="M1463" s="13">
        <f>IF(OR($A1463="",AND($J1463="",$K1463="")),"",MIN($J1463,$K1463))</f>
        <v/>
      </c>
      <c r="Q1463">
        <f>IF($A1463="","",$D1463&amp;"("&amp;SUBSTITUTE($E1463," ","")&amp;")")</f>
        <v/>
      </c>
      <c r="R1463">
        <f>IF($A1463="","",$B1463&amp;" - "&amp;$C1463)</f>
        <v/>
      </c>
      <c r="S1463">
        <f>IF($A1463="","",$R1463&amp;"|"&amp;$Q1463)</f>
        <v/>
      </c>
      <c r="T1463">
        <f>IF($A1463="","",$S1463&amp;"|"&amp;$F1463)</f>
        <v/>
      </c>
      <c r="U1463">
        <f>IF($A1463="","",$R1463&amp;"("&amp;$E1463&amp;")")</f>
        <v/>
      </c>
      <c r="V1463">
        <f>IF($A1463="","",$F1463&amp;"|"&amp;$U1463&amp;"|"&amp;$D1463)</f>
        <v/>
      </c>
      <c r="W1463">
        <f>IF($T1463="","",IF($X1463&gt;N($X1462),$X1463,""))</f>
        <v/>
      </c>
      <c r="X1463">
        <f>IF($T1463="",N($X1462),IF(MATCH($T1463,$T$6:$T$6005,0)=ROW()-5,N($X1462)+1,N($X1462)))</f>
        <v/>
      </c>
      <c r="Z1463">
        <f>IF($V1463="","",IF($AA1463&gt;N($AA1462),$AA1463,""))</f>
        <v/>
      </c>
      <c r="AA1463">
        <f>IF($V1463="",N($AA1462),IF(MATCH($V1463,$V$6:$V$6005,0)=ROW()-5,N($AA1462)+1,N($AA1462)))</f>
        <v/>
      </c>
    </row>
    <row r="1464" ht="21" customHeight="1" s="66">
      <c r="A1464" s="56" t="n"/>
      <c r="B1464" s="57" t="n"/>
      <c r="C1464" s="57" t="n"/>
      <c r="D1464" s="57" t="n"/>
      <c r="E1464" s="56" t="n"/>
      <c r="F1464" s="57" t="n"/>
      <c r="G1464" s="57" t="n"/>
      <c r="H1464" s="56" t="n"/>
      <c r="I1464" s="56" t="n"/>
      <c r="J1464" s="58" t="n"/>
      <c r="K1464" s="58" t="n"/>
      <c r="L1464" s="13">
        <f>IF(OR($A1464="",AND($J1464="",$K1464="")),"",ROUND(N($J1464)-N($K1464),2))</f>
        <v/>
      </c>
      <c r="M1464" s="13">
        <f>IF(OR($A1464="",AND($J1464="",$K1464="")),"",MIN($J1464,$K1464))</f>
        <v/>
      </c>
      <c r="Q1464">
        <f>IF($A1464="","",$D1464&amp;"("&amp;SUBSTITUTE($E1464," ","")&amp;")")</f>
        <v/>
      </c>
      <c r="R1464">
        <f>IF($A1464="","",$B1464&amp;" - "&amp;$C1464)</f>
        <v/>
      </c>
      <c r="S1464">
        <f>IF($A1464="","",$R1464&amp;"|"&amp;$Q1464)</f>
        <v/>
      </c>
      <c r="T1464">
        <f>IF($A1464="","",$S1464&amp;"|"&amp;$F1464)</f>
        <v/>
      </c>
      <c r="U1464">
        <f>IF($A1464="","",$R1464&amp;"("&amp;$E1464&amp;")")</f>
        <v/>
      </c>
      <c r="V1464">
        <f>IF($A1464="","",$F1464&amp;"|"&amp;$U1464&amp;"|"&amp;$D1464)</f>
        <v/>
      </c>
      <c r="W1464">
        <f>IF($T1464="","",IF($X1464&gt;N($X1463),$X1464,""))</f>
        <v/>
      </c>
      <c r="X1464">
        <f>IF($T1464="",N($X1463),IF(MATCH($T1464,$T$6:$T$6005,0)=ROW()-5,N($X1463)+1,N($X1463)))</f>
        <v/>
      </c>
      <c r="Z1464">
        <f>IF($V1464="","",IF($AA1464&gt;N($AA1463),$AA1464,""))</f>
        <v/>
      </c>
      <c r="AA1464">
        <f>IF($V1464="",N($AA1463),IF(MATCH($V1464,$V$6:$V$6005,0)=ROW()-5,N($AA1463)+1,N($AA1463)))</f>
        <v/>
      </c>
    </row>
    <row r="1465" ht="21" customHeight="1" s="66">
      <c r="A1465" s="56" t="n"/>
      <c r="B1465" s="57" t="n"/>
      <c r="C1465" s="57" t="n"/>
      <c r="D1465" s="57" t="n"/>
      <c r="E1465" s="56" t="n"/>
      <c r="F1465" s="57" t="n"/>
      <c r="G1465" s="57" t="n"/>
      <c r="H1465" s="56" t="n"/>
      <c r="I1465" s="56" t="n"/>
      <c r="J1465" s="58" t="n"/>
      <c r="K1465" s="58" t="n"/>
      <c r="L1465" s="13">
        <f>IF(OR($A1465="",AND($J1465="",$K1465="")),"",ROUND(N($J1465)-N($K1465),2))</f>
        <v/>
      </c>
      <c r="M1465" s="13">
        <f>IF(OR($A1465="",AND($J1465="",$K1465="")),"",MIN($J1465,$K1465))</f>
        <v/>
      </c>
      <c r="Q1465">
        <f>IF($A1465="","",$D1465&amp;"("&amp;SUBSTITUTE($E1465," ","")&amp;")")</f>
        <v/>
      </c>
      <c r="R1465">
        <f>IF($A1465="","",$B1465&amp;" - "&amp;$C1465)</f>
        <v/>
      </c>
      <c r="S1465">
        <f>IF($A1465="","",$R1465&amp;"|"&amp;$Q1465)</f>
        <v/>
      </c>
      <c r="T1465">
        <f>IF($A1465="","",$S1465&amp;"|"&amp;$F1465)</f>
        <v/>
      </c>
      <c r="U1465">
        <f>IF($A1465="","",$R1465&amp;"("&amp;$E1465&amp;")")</f>
        <v/>
      </c>
      <c r="V1465">
        <f>IF($A1465="","",$F1465&amp;"|"&amp;$U1465&amp;"|"&amp;$D1465)</f>
        <v/>
      </c>
      <c r="W1465">
        <f>IF($T1465="","",IF($X1465&gt;N($X1464),$X1465,""))</f>
        <v/>
      </c>
      <c r="X1465">
        <f>IF($T1465="",N($X1464),IF(MATCH($T1465,$T$6:$T$6005,0)=ROW()-5,N($X1464)+1,N($X1464)))</f>
        <v/>
      </c>
      <c r="Z1465">
        <f>IF($V1465="","",IF($AA1465&gt;N($AA1464),$AA1465,""))</f>
        <v/>
      </c>
      <c r="AA1465">
        <f>IF($V1465="",N($AA1464),IF(MATCH($V1465,$V$6:$V$6005,0)=ROW()-5,N($AA1464)+1,N($AA1464)))</f>
        <v/>
      </c>
    </row>
    <row r="1466" ht="21" customHeight="1" s="66">
      <c r="A1466" s="56" t="n"/>
      <c r="B1466" s="57" t="n"/>
      <c r="C1466" s="57" t="n"/>
      <c r="D1466" s="57" t="n"/>
      <c r="E1466" s="56" t="n"/>
      <c r="F1466" s="57" t="n"/>
      <c r="G1466" s="57" t="n"/>
      <c r="H1466" s="56" t="n"/>
      <c r="I1466" s="56" t="n"/>
      <c r="J1466" s="58" t="n"/>
      <c r="K1466" s="58" t="n"/>
      <c r="L1466" s="13">
        <f>IF(OR($A1466="",AND($J1466="",$K1466="")),"",ROUND(N($J1466)-N($K1466),2))</f>
        <v/>
      </c>
      <c r="M1466" s="13">
        <f>IF(OR($A1466="",AND($J1466="",$K1466="")),"",MIN($J1466,$K1466))</f>
        <v/>
      </c>
      <c r="Q1466">
        <f>IF($A1466="","",$D1466&amp;"("&amp;SUBSTITUTE($E1466," ","")&amp;")")</f>
        <v/>
      </c>
      <c r="R1466">
        <f>IF($A1466="","",$B1466&amp;" - "&amp;$C1466)</f>
        <v/>
      </c>
      <c r="S1466">
        <f>IF($A1466="","",$R1466&amp;"|"&amp;$Q1466)</f>
        <v/>
      </c>
      <c r="T1466">
        <f>IF($A1466="","",$S1466&amp;"|"&amp;$F1466)</f>
        <v/>
      </c>
      <c r="U1466">
        <f>IF($A1466="","",$R1466&amp;"("&amp;$E1466&amp;")")</f>
        <v/>
      </c>
      <c r="V1466">
        <f>IF($A1466="","",$F1466&amp;"|"&amp;$U1466&amp;"|"&amp;$D1466)</f>
        <v/>
      </c>
      <c r="W1466">
        <f>IF($T1466="","",IF($X1466&gt;N($X1465),$X1466,""))</f>
        <v/>
      </c>
      <c r="X1466">
        <f>IF($T1466="",N($X1465),IF(MATCH($T1466,$T$6:$T$6005,0)=ROW()-5,N($X1465)+1,N($X1465)))</f>
        <v/>
      </c>
      <c r="Z1466">
        <f>IF($V1466="","",IF($AA1466&gt;N($AA1465),$AA1466,""))</f>
        <v/>
      </c>
      <c r="AA1466">
        <f>IF($V1466="",N($AA1465),IF(MATCH($V1466,$V$6:$V$6005,0)=ROW()-5,N($AA1465)+1,N($AA1465)))</f>
        <v/>
      </c>
    </row>
    <row r="1467" ht="21" customHeight="1" s="66">
      <c r="A1467" s="56" t="n"/>
      <c r="B1467" s="57" t="n"/>
      <c r="C1467" s="57" t="n"/>
      <c r="D1467" s="57" t="n"/>
      <c r="E1467" s="56" t="n"/>
      <c r="F1467" s="57" t="n"/>
      <c r="G1467" s="57" t="n"/>
      <c r="H1467" s="56" t="n"/>
      <c r="I1467" s="56" t="n"/>
      <c r="J1467" s="58" t="n"/>
      <c r="K1467" s="58" t="n"/>
      <c r="L1467" s="13">
        <f>IF(OR($A1467="",AND($J1467="",$K1467="")),"",ROUND(N($J1467)-N($K1467),2))</f>
        <v/>
      </c>
      <c r="M1467" s="13">
        <f>IF(OR($A1467="",AND($J1467="",$K1467="")),"",MIN($J1467,$K1467))</f>
        <v/>
      </c>
      <c r="Q1467">
        <f>IF($A1467="","",$D1467&amp;"("&amp;SUBSTITUTE($E1467," ","")&amp;")")</f>
        <v/>
      </c>
      <c r="R1467">
        <f>IF($A1467="","",$B1467&amp;" - "&amp;$C1467)</f>
        <v/>
      </c>
      <c r="S1467">
        <f>IF($A1467="","",$R1467&amp;"|"&amp;$Q1467)</f>
        <v/>
      </c>
      <c r="T1467">
        <f>IF($A1467="","",$S1467&amp;"|"&amp;$F1467)</f>
        <v/>
      </c>
      <c r="U1467">
        <f>IF($A1467="","",$R1467&amp;"("&amp;$E1467&amp;")")</f>
        <v/>
      </c>
      <c r="V1467">
        <f>IF($A1467="","",$F1467&amp;"|"&amp;$U1467&amp;"|"&amp;$D1467)</f>
        <v/>
      </c>
      <c r="W1467">
        <f>IF($T1467="","",IF($X1467&gt;N($X1466),$X1467,""))</f>
        <v/>
      </c>
      <c r="X1467">
        <f>IF($T1467="",N($X1466),IF(MATCH($T1467,$T$6:$T$6005,0)=ROW()-5,N($X1466)+1,N($X1466)))</f>
        <v/>
      </c>
      <c r="Z1467">
        <f>IF($V1467="","",IF($AA1467&gt;N($AA1466),$AA1467,""))</f>
        <v/>
      </c>
      <c r="AA1467">
        <f>IF($V1467="",N($AA1466),IF(MATCH($V1467,$V$6:$V$6005,0)=ROW()-5,N($AA1466)+1,N($AA1466)))</f>
        <v/>
      </c>
    </row>
    <row r="1468" ht="21" customHeight="1" s="66">
      <c r="A1468" s="56" t="n"/>
      <c r="B1468" s="57" t="n"/>
      <c r="C1468" s="57" t="n"/>
      <c r="D1468" s="57" t="n"/>
      <c r="E1468" s="56" t="n"/>
      <c r="F1468" s="57" t="n"/>
      <c r="G1468" s="57" t="n"/>
      <c r="H1468" s="56" t="n"/>
      <c r="I1468" s="56" t="n"/>
      <c r="J1468" s="58" t="n"/>
      <c r="K1468" s="58" t="n"/>
      <c r="L1468" s="13">
        <f>IF(OR($A1468="",AND($J1468="",$K1468="")),"",ROUND(N($J1468)-N($K1468),2))</f>
        <v/>
      </c>
      <c r="M1468" s="13">
        <f>IF(OR($A1468="",AND($J1468="",$K1468="")),"",MIN($J1468,$K1468))</f>
        <v/>
      </c>
      <c r="Q1468">
        <f>IF($A1468="","",$D1468&amp;"("&amp;SUBSTITUTE($E1468," ","")&amp;")")</f>
        <v/>
      </c>
      <c r="R1468">
        <f>IF($A1468="","",$B1468&amp;" - "&amp;$C1468)</f>
        <v/>
      </c>
      <c r="S1468">
        <f>IF($A1468="","",$R1468&amp;"|"&amp;$Q1468)</f>
        <v/>
      </c>
      <c r="T1468">
        <f>IF($A1468="","",$S1468&amp;"|"&amp;$F1468)</f>
        <v/>
      </c>
      <c r="U1468">
        <f>IF($A1468="","",$R1468&amp;"("&amp;$E1468&amp;")")</f>
        <v/>
      </c>
      <c r="V1468">
        <f>IF($A1468="","",$F1468&amp;"|"&amp;$U1468&amp;"|"&amp;$D1468)</f>
        <v/>
      </c>
      <c r="W1468">
        <f>IF($T1468="","",IF($X1468&gt;N($X1467),$X1468,""))</f>
        <v/>
      </c>
      <c r="X1468">
        <f>IF($T1468="",N($X1467),IF(MATCH($T1468,$T$6:$T$6005,0)=ROW()-5,N($X1467)+1,N($X1467)))</f>
        <v/>
      </c>
      <c r="Z1468">
        <f>IF($V1468="","",IF($AA1468&gt;N($AA1467),$AA1468,""))</f>
        <v/>
      </c>
      <c r="AA1468">
        <f>IF($V1468="",N($AA1467),IF(MATCH($V1468,$V$6:$V$6005,0)=ROW()-5,N($AA1467)+1,N($AA1467)))</f>
        <v/>
      </c>
    </row>
    <row r="1469" ht="21" customHeight="1" s="66">
      <c r="A1469" s="56" t="n"/>
      <c r="B1469" s="57" t="n"/>
      <c r="C1469" s="57" t="n"/>
      <c r="D1469" s="57" t="n"/>
      <c r="E1469" s="56" t="n"/>
      <c r="F1469" s="57" t="n"/>
      <c r="G1469" s="57" t="n"/>
      <c r="H1469" s="56" t="n"/>
      <c r="I1469" s="56" t="n"/>
      <c r="J1469" s="58" t="n"/>
      <c r="K1469" s="58" t="n"/>
      <c r="L1469" s="13">
        <f>IF(OR($A1469="",AND($J1469="",$K1469="")),"",ROUND(N($J1469)-N($K1469),2))</f>
        <v/>
      </c>
      <c r="M1469" s="13">
        <f>IF(OR($A1469="",AND($J1469="",$K1469="")),"",MIN($J1469,$K1469))</f>
        <v/>
      </c>
      <c r="Q1469">
        <f>IF($A1469="","",$D1469&amp;"("&amp;SUBSTITUTE($E1469," ","")&amp;")")</f>
        <v/>
      </c>
      <c r="R1469">
        <f>IF($A1469="","",$B1469&amp;" - "&amp;$C1469)</f>
        <v/>
      </c>
      <c r="S1469">
        <f>IF($A1469="","",$R1469&amp;"|"&amp;$Q1469)</f>
        <v/>
      </c>
      <c r="T1469">
        <f>IF($A1469="","",$S1469&amp;"|"&amp;$F1469)</f>
        <v/>
      </c>
      <c r="U1469">
        <f>IF($A1469="","",$R1469&amp;"("&amp;$E1469&amp;")")</f>
        <v/>
      </c>
      <c r="V1469">
        <f>IF($A1469="","",$F1469&amp;"|"&amp;$U1469&amp;"|"&amp;$D1469)</f>
        <v/>
      </c>
      <c r="W1469">
        <f>IF($T1469="","",IF($X1469&gt;N($X1468),$X1469,""))</f>
        <v/>
      </c>
      <c r="X1469">
        <f>IF($T1469="",N($X1468),IF(MATCH($T1469,$T$6:$T$6005,0)=ROW()-5,N($X1468)+1,N($X1468)))</f>
        <v/>
      </c>
      <c r="Z1469">
        <f>IF($V1469="","",IF($AA1469&gt;N($AA1468),$AA1469,""))</f>
        <v/>
      </c>
      <c r="AA1469">
        <f>IF($V1469="",N($AA1468),IF(MATCH($V1469,$V$6:$V$6005,0)=ROW()-5,N($AA1468)+1,N($AA1468)))</f>
        <v/>
      </c>
    </row>
    <row r="1470" ht="21" customHeight="1" s="66">
      <c r="A1470" s="56" t="n"/>
      <c r="B1470" s="57" t="n"/>
      <c r="C1470" s="57" t="n"/>
      <c r="D1470" s="57" t="n"/>
      <c r="E1470" s="56" t="n"/>
      <c r="F1470" s="57" t="n"/>
      <c r="G1470" s="57" t="n"/>
      <c r="H1470" s="56" t="n"/>
      <c r="I1470" s="56" t="n"/>
      <c r="J1470" s="58" t="n"/>
      <c r="K1470" s="58" t="n"/>
      <c r="L1470" s="13">
        <f>IF(OR($A1470="",AND($J1470="",$K1470="")),"",ROUND(N($J1470)-N($K1470),2))</f>
        <v/>
      </c>
      <c r="M1470" s="13">
        <f>IF(OR($A1470="",AND($J1470="",$K1470="")),"",MIN($J1470,$K1470))</f>
        <v/>
      </c>
      <c r="Q1470">
        <f>IF($A1470="","",$D1470&amp;"("&amp;SUBSTITUTE($E1470," ","")&amp;")")</f>
        <v/>
      </c>
      <c r="R1470">
        <f>IF($A1470="","",$B1470&amp;" - "&amp;$C1470)</f>
        <v/>
      </c>
      <c r="S1470">
        <f>IF($A1470="","",$R1470&amp;"|"&amp;$Q1470)</f>
        <v/>
      </c>
      <c r="T1470">
        <f>IF($A1470="","",$S1470&amp;"|"&amp;$F1470)</f>
        <v/>
      </c>
      <c r="U1470">
        <f>IF($A1470="","",$R1470&amp;"("&amp;$E1470&amp;")")</f>
        <v/>
      </c>
      <c r="V1470">
        <f>IF($A1470="","",$F1470&amp;"|"&amp;$U1470&amp;"|"&amp;$D1470)</f>
        <v/>
      </c>
      <c r="W1470">
        <f>IF($T1470="","",IF($X1470&gt;N($X1469),$X1470,""))</f>
        <v/>
      </c>
      <c r="X1470">
        <f>IF($T1470="",N($X1469),IF(MATCH($T1470,$T$6:$T$6005,0)=ROW()-5,N($X1469)+1,N($X1469)))</f>
        <v/>
      </c>
      <c r="Z1470">
        <f>IF($V1470="","",IF($AA1470&gt;N($AA1469),$AA1470,""))</f>
        <v/>
      </c>
      <c r="AA1470">
        <f>IF($V1470="",N($AA1469),IF(MATCH($V1470,$V$6:$V$6005,0)=ROW()-5,N($AA1469)+1,N($AA1469)))</f>
        <v/>
      </c>
    </row>
    <row r="1471" ht="21" customHeight="1" s="66">
      <c r="A1471" s="56" t="n"/>
      <c r="B1471" s="57" t="n"/>
      <c r="C1471" s="57" t="n"/>
      <c r="D1471" s="57" t="n"/>
      <c r="E1471" s="56" t="n"/>
      <c r="F1471" s="57" t="n"/>
      <c r="G1471" s="57" t="n"/>
      <c r="H1471" s="56" t="n"/>
      <c r="I1471" s="56" t="n"/>
      <c r="J1471" s="58" t="n"/>
      <c r="K1471" s="58" t="n"/>
      <c r="L1471" s="13">
        <f>IF(OR($A1471="",AND($J1471="",$K1471="")),"",ROUND(N($J1471)-N($K1471),2))</f>
        <v/>
      </c>
      <c r="M1471" s="13">
        <f>IF(OR($A1471="",AND($J1471="",$K1471="")),"",MIN($J1471,$K1471))</f>
        <v/>
      </c>
      <c r="Q1471">
        <f>IF($A1471="","",$D1471&amp;"("&amp;SUBSTITUTE($E1471," ","")&amp;")")</f>
        <v/>
      </c>
      <c r="R1471">
        <f>IF($A1471="","",$B1471&amp;" - "&amp;$C1471)</f>
        <v/>
      </c>
      <c r="S1471">
        <f>IF($A1471="","",$R1471&amp;"|"&amp;$Q1471)</f>
        <v/>
      </c>
      <c r="T1471">
        <f>IF($A1471="","",$S1471&amp;"|"&amp;$F1471)</f>
        <v/>
      </c>
      <c r="U1471">
        <f>IF($A1471="","",$R1471&amp;"("&amp;$E1471&amp;")")</f>
        <v/>
      </c>
      <c r="V1471">
        <f>IF($A1471="","",$F1471&amp;"|"&amp;$U1471&amp;"|"&amp;$D1471)</f>
        <v/>
      </c>
      <c r="W1471">
        <f>IF($T1471="","",IF($X1471&gt;N($X1470),$X1471,""))</f>
        <v/>
      </c>
      <c r="X1471">
        <f>IF($T1471="",N($X1470),IF(MATCH($T1471,$T$6:$T$6005,0)=ROW()-5,N($X1470)+1,N($X1470)))</f>
        <v/>
      </c>
      <c r="Z1471">
        <f>IF($V1471="","",IF($AA1471&gt;N($AA1470),$AA1471,""))</f>
        <v/>
      </c>
      <c r="AA1471">
        <f>IF($V1471="",N($AA1470),IF(MATCH($V1471,$V$6:$V$6005,0)=ROW()-5,N($AA1470)+1,N($AA1470)))</f>
        <v/>
      </c>
    </row>
    <row r="1472" ht="21" customHeight="1" s="66">
      <c r="A1472" s="56" t="n"/>
      <c r="B1472" s="57" t="n"/>
      <c r="C1472" s="57" t="n"/>
      <c r="D1472" s="57" t="n"/>
      <c r="E1472" s="56" t="n"/>
      <c r="F1472" s="57" t="n"/>
      <c r="G1472" s="57" t="n"/>
      <c r="H1472" s="56" t="n"/>
      <c r="I1472" s="56" t="n"/>
      <c r="J1472" s="58" t="n"/>
      <c r="K1472" s="58" t="n"/>
      <c r="L1472" s="13">
        <f>IF(OR($A1472="",AND($J1472="",$K1472="")),"",ROUND(N($J1472)-N($K1472),2))</f>
        <v/>
      </c>
      <c r="M1472" s="13">
        <f>IF(OR($A1472="",AND($J1472="",$K1472="")),"",MIN($J1472,$K1472))</f>
        <v/>
      </c>
      <c r="Q1472">
        <f>IF($A1472="","",$D1472&amp;"("&amp;SUBSTITUTE($E1472," ","")&amp;")")</f>
        <v/>
      </c>
      <c r="R1472">
        <f>IF($A1472="","",$B1472&amp;" - "&amp;$C1472)</f>
        <v/>
      </c>
      <c r="S1472">
        <f>IF($A1472="","",$R1472&amp;"|"&amp;$Q1472)</f>
        <v/>
      </c>
      <c r="T1472">
        <f>IF($A1472="","",$S1472&amp;"|"&amp;$F1472)</f>
        <v/>
      </c>
      <c r="U1472">
        <f>IF($A1472="","",$R1472&amp;"("&amp;$E1472&amp;")")</f>
        <v/>
      </c>
      <c r="V1472">
        <f>IF($A1472="","",$F1472&amp;"|"&amp;$U1472&amp;"|"&amp;$D1472)</f>
        <v/>
      </c>
      <c r="W1472">
        <f>IF($T1472="","",IF($X1472&gt;N($X1471),$X1472,""))</f>
        <v/>
      </c>
      <c r="X1472">
        <f>IF($T1472="",N($X1471),IF(MATCH($T1472,$T$6:$T$6005,0)=ROW()-5,N($X1471)+1,N($X1471)))</f>
        <v/>
      </c>
      <c r="Z1472">
        <f>IF($V1472="","",IF($AA1472&gt;N($AA1471),$AA1472,""))</f>
        <v/>
      </c>
      <c r="AA1472">
        <f>IF($V1472="",N($AA1471),IF(MATCH($V1472,$V$6:$V$6005,0)=ROW()-5,N($AA1471)+1,N($AA1471)))</f>
        <v/>
      </c>
    </row>
    <row r="1473" ht="21" customHeight="1" s="66">
      <c r="A1473" s="56" t="n"/>
      <c r="B1473" s="57" t="n"/>
      <c r="C1473" s="57" t="n"/>
      <c r="D1473" s="57" t="n"/>
      <c r="E1473" s="56" t="n"/>
      <c r="F1473" s="57" t="n"/>
      <c r="G1473" s="57" t="n"/>
      <c r="H1473" s="56" t="n"/>
      <c r="I1473" s="56" t="n"/>
      <c r="J1473" s="58" t="n"/>
      <c r="K1473" s="58" t="n"/>
      <c r="L1473" s="13">
        <f>IF(OR($A1473="",AND($J1473="",$K1473="")),"",ROUND(N($J1473)-N($K1473),2))</f>
        <v/>
      </c>
      <c r="M1473" s="13">
        <f>IF(OR($A1473="",AND($J1473="",$K1473="")),"",MIN($J1473,$K1473))</f>
        <v/>
      </c>
      <c r="Q1473">
        <f>IF($A1473="","",$D1473&amp;"("&amp;SUBSTITUTE($E1473," ","")&amp;")")</f>
        <v/>
      </c>
      <c r="R1473">
        <f>IF($A1473="","",$B1473&amp;" - "&amp;$C1473)</f>
        <v/>
      </c>
      <c r="S1473">
        <f>IF($A1473="","",$R1473&amp;"|"&amp;$Q1473)</f>
        <v/>
      </c>
      <c r="T1473">
        <f>IF($A1473="","",$S1473&amp;"|"&amp;$F1473)</f>
        <v/>
      </c>
      <c r="U1473">
        <f>IF($A1473="","",$R1473&amp;"("&amp;$E1473&amp;")")</f>
        <v/>
      </c>
      <c r="V1473">
        <f>IF($A1473="","",$F1473&amp;"|"&amp;$U1473&amp;"|"&amp;$D1473)</f>
        <v/>
      </c>
      <c r="W1473">
        <f>IF($T1473="","",IF($X1473&gt;N($X1472),$X1473,""))</f>
        <v/>
      </c>
      <c r="X1473">
        <f>IF($T1473="",N($X1472),IF(MATCH($T1473,$T$6:$T$6005,0)=ROW()-5,N($X1472)+1,N($X1472)))</f>
        <v/>
      </c>
      <c r="Z1473">
        <f>IF($V1473="","",IF($AA1473&gt;N($AA1472),$AA1473,""))</f>
        <v/>
      </c>
      <c r="AA1473">
        <f>IF($V1473="",N($AA1472),IF(MATCH($V1473,$V$6:$V$6005,0)=ROW()-5,N($AA1472)+1,N($AA1472)))</f>
        <v/>
      </c>
    </row>
    <row r="1474" ht="21" customHeight="1" s="66">
      <c r="A1474" s="56" t="n"/>
      <c r="B1474" s="57" t="n"/>
      <c r="C1474" s="57" t="n"/>
      <c r="D1474" s="57" t="n"/>
      <c r="E1474" s="56" t="n"/>
      <c r="F1474" s="57" t="n"/>
      <c r="G1474" s="57" t="n"/>
      <c r="H1474" s="56" t="n"/>
      <c r="I1474" s="56" t="n"/>
      <c r="J1474" s="58" t="n"/>
      <c r="K1474" s="58" t="n"/>
      <c r="L1474" s="13">
        <f>IF(OR($A1474="",AND($J1474="",$K1474="")),"",ROUND(N($J1474)-N($K1474),2))</f>
        <v/>
      </c>
      <c r="M1474" s="13">
        <f>IF(OR($A1474="",AND($J1474="",$K1474="")),"",MIN($J1474,$K1474))</f>
        <v/>
      </c>
      <c r="Q1474">
        <f>IF($A1474="","",$D1474&amp;"("&amp;SUBSTITUTE($E1474," ","")&amp;")")</f>
        <v/>
      </c>
      <c r="R1474">
        <f>IF($A1474="","",$B1474&amp;" - "&amp;$C1474)</f>
        <v/>
      </c>
      <c r="S1474">
        <f>IF($A1474="","",$R1474&amp;"|"&amp;$Q1474)</f>
        <v/>
      </c>
      <c r="T1474">
        <f>IF($A1474="","",$S1474&amp;"|"&amp;$F1474)</f>
        <v/>
      </c>
      <c r="U1474">
        <f>IF($A1474="","",$R1474&amp;"("&amp;$E1474&amp;")")</f>
        <v/>
      </c>
      <c r="V1474">
        <f>IF($A1474="","",$F1474&amp;"|"&amp;$U1474&amp;"|"&amp;$D1474)</f>
        <v/>
      </c>
      <c r="W1474">
        <f>IF($T1474="","",IF($X1474&gt;N($X1473),$X1474,""))</f>
        <v/>
      </c>
      <c r="X1474">
        <f>IF($T1474="",N($X1473),IF(MATCH($T1474,$T$6:$T$6005,0)=ROW()-5,N($X1473)+1,N($X1473)))</f>
        <v/>
      </c>
      <c r="Z1474">
        <f>IF($V1474="","",IF($AA1474&gt;N($AA1473),$AA1474,""))</f>
        <v/>
      </c>
      <c r="AA1474">
        <f>IF($V1474="",N($AA1473),IF(MATCH($V1474,$V$6:$V$6005,0)=ROW()-5,N($AA1473)+1,N($AA1473)))</f>
        <v/>
      </c>
    </row>
    <row r="1475" ht="21" customHeight="1" s="66">
      <c r="A1475" s="56" t="n"/>
      <c r="B1475" s="57" t="n"/>
      <c r="C1475" s="57" t="n"/>
      <c r="D1475" s="57" t="n"/>
      <c r="E1475" s="56" t="n"/>
      <c r="F1475" s="57" t="n"/>
      <c r="G1475" s="57" t="n"/>
      <c r="H1475" s="56" t="n"/>
      <c r="I1475" s="56" t="n"/>
      <c r="J1475" s="58" t="n"/>
      <c r="K1475" s="58" t="n"/>
      <c r="L1475" s="13">
        <f>IF(OR($A1475="",AND($J1475="",$K1475="")),"",ROUND(N($J1475)-N($K1475),2))</f>
        <v/>
      </c>
      <c r="M1475" s="13">
        <f>IF(OR($A1475="",AND($J1475="",$K1475="")),"",MIN($J1475,$K1475))</f>
        <v/>
      </c>
      <c r="Q1475">
        <f>IF($A1475="","",$D1475&amp;"("&amp;SUBSTITUTE($E1475," ","")&amp;")")</f>
        <v/>
      </c>
      <c r="R1475">
        <f>IF($A1475="","",$B1475&amp;" - "&amp;$C1475)</f>
        <v/>
      </c>
      <c r="S1475">
        <f>IF($A1475="","",$R1475&amp;"|"&amp;$Q1475)</f>
        <v/>
      </c>
      <c r="T1475">
        <f>IF($A1475="","",$S1475&amp;"|"&amp;$F1475)</f>
        <v/>
      </c>
      <c r="U1475">
        <f>IF($A1475="","",$R1475&amp;"("&amp;$E1475&amp;")")</f>
        <v/>
      </c>
      <c r="V1475">
        <f>IF($A1475="","",$F1475&amp;"|"&amp;$U1475&amp;"|"&amp;$D1475)</f>
        <v/>
      </c>
      <c r="W1475">
        <f>IF($T1475="","",IF($X1475&gt;N($X1474),$X1475,""))</f>
        <v/>
      </c>
      <c r="X1475">
        <f>IF($T1475="",N($X1474),IF(MATCH($T1475,$T$6:$T$6005,0)=ROW()-5,N($X1474)+1,N($X1474)))</f>
        <v/>
      </c>
      <c r="Z1475">
        <f>IF($V1475="","",IF($AA1475&gt;N($AA1474),$AA1475,""))</f>
        <v/>
      </c>
      <c r="AA1475">
        <f>IF($V1475="",N($AA1474),IF(MATCH($V1475,$V$6:$V$6005,0)=ROW()-5,N($AA1474)+1,N($AA1474)))</f>
        <v/>
      </c>
    </row>
    <row r="1476" ht="21" customHeight="1" s="66">
      <c r="A1476" s="56" t="n"/>
      <c r="B1476" s="57" t="n"/>
      <c r="C1476" s="57" t="n"/>
      <c r="D1476" s="57" t="n"/>
      <c r="E1476" s="56" t="n"/>
      <c r="F1476" s="57" t="n"/>
      <c r="G1476" s="57" t="n"/>
      <c r="H1476" s="56" t="n"/>
      <c r="I1476" s="56" t="n"/>
      <c r="J1476" s="58" t="n"/>
      <c r="K1476" s="58" t="n"/>
      <c r="L1476" s="13">
        <f>IF(OR($A1476="",AND($J1476="",$K1476="")),"",ROUND(N($J1476)-N($K1476),2))</f>
        <v/>
      </c>
      <c r="M1476" s="13">
        <f>IF(OR($A1476="",AND($J1476="",$K1476="")),"",MIN($J1476,$K1476))</f>
        <v/>
      </c>
      <c r="Q1476">
        <f>IF($A1476="","",$D1476&amp;"("&amp;SUBSTITUTE($E1476," ","")&amp;")")</f>
        <v/>
      </c>
      <c r="R1476">
        <f>IF($A1476="","",$B1476&amp;" - "&amp;$C1476)</f>
        <v/>
      </c>
      <c r="S1476">
        <f>IF($A1476="","",$R1476&amp;"|"&amp;$Q1476)</f>
        <v/>
      </c>
      <c r="T1476">
        <f>IF($A1476="","",$S1476&amp;"|"&amp;$F1476)</f>
        <v/>
      </c>
      <c r="U1476">
        <f>IF($A1476="","",$R1476&amp;"("&amp;$E1476&amp;")")</f>
        <v/>
      </c>
      <c r="V1476">
        <f>IF($A1476="","",$F1476&amp;"|"&amp;$U1476&amp;"|"&amp;$D1476)</f>
        <v/>
      </c>
      <c r="W1476">
        <f>IF($T1476="","",IF($X1476&gt;N($X1475),$X1476,""))</f>
        <v/>
      </c>
      <c r="X1476">
        <f>IF($T1476="",N($X1475),IF(MATCH($T1476,$T$6:$T$6005,0)=ROW()-5,N($X1475)+1,N($X1475)))</f>
        <v/>
      </c>
      <c r="Z1476">
        <f>IF($V1476="","",IF($AA1476&gt;N($AA1475),$AA1476,""))</f>
        <v/>
      </c>
      <c r="AA1476">
        <f>IF($V1476="",N($AA1475),IF(MATCH($V1476,$V$6:$V$6005,0)=ROW()-5,N($AA1475)+1,N($AA1475)))</f>
        <v/>
      </c>
    </row>
    <row r="1477" ht="21" customHeight="1" s="66">
      <c r="A1477" s="56" t="n"/>
      <c r="B1477" s="57" t="n"/>
      <c r="C1477" s="57" t="n"/>
      <c r="D1477" s="57" t="n"/>
      <c r="E1477" s="56" t="n"/>
      <c r="F1477" s="57" t="n"/>
      <c r="G1477" s="57" t="n"/>
      <c r="H1477" s="56" t="n"/>
      <c r="I1477" s="56" t="n"/>
      <c r="J1477" s="58" t="n"/>
      <c r="K1477" s="58" t="n"/>
      <c r="L1477" s="13">
        <f>IF(OR($A1477="",AND($J1477="",$K1477="")),"",ROUND(N($J1477)-N($K1477),2))</f>
        <v/>
      </c>
      <c r="M1477" s="13">
        <f>IF(OR($A1477="",AND($J1477="",$K1477="")),"",MIN($J1477,$K1477))</f>
        <v/>
      </c>
      <c r="Q1477">
        <f>IF($A1477="","",$D1477&amp;"("&amp;SUBSTITUTE($E1477," ","")&amp;")")</f>
        <v/>
      </c>
      <c r="R1477">
        <f>IF($A1477="","",$B1477&amp;" - "&amp;$C1477)</f>
        <v/>
      </c>
      <c r="S1477">
        <f>IF($A1477="","",$R1477&amp;"|"&amp;$Q1477)</f>
        <v/>
      </c>
      <c r="T1477">
        <f>IF($A1477="","",$S1477&amp;"|"&amp;$F1477)</f>
        <v/>
      </c>
      <c r="U1477">
        <f>IF($A1477="","",$R1477&amp;"("&amp;$E1477&amp;")")</f>
        <v/>
      </c>
      <c r="V1477">
        <f>IF($A1477="","",$F1477&amp;"|"&amp;$U1477&amp;"|"&amp;$D1477)</f>
        <v/>
      </c>
      <c r="W1477">
        <f>IF($T1477="","",IF($X1477&gt;N($X1476),$X1477,""))</f>
        <v/>
      </c>
      <c r="X1477">
        <f>IF($T1477="",N($X1476),IF(MATCH($T1477,$T$6:$T$6005,0)=ROW()-5,N($X1476)+1,N($X1476)))</f>
        <v/>
      </c>
      <c r="Z1477">
        <f>IF($V1477="","",IF($AA1477&gt;N($AA1476),$AA1477,""))</f>
        <v/>
      </c>
      <c r="AA1477">
        <f>IF($V1477="",N($AA1476),IF(MATCH($V1477,$V$6:$V$6005,0)=ROW()-5,N($AA1476)+1,N($AA1476)))</f>
        <v/>
      </c>
    </row>
    <row r="1478" ht="21" customHeight="1" s="66">
      <c r="A1478" s="56" t="n"/>
      <c r="B1478" s="57" t="n"/>
      <c r="C1478" s="57" t="n"/>
      <c r="D1478" s="57" t="n"/>
      <c r="E1478" s="56" t="n"/>
      <c r="F1478" s="57" t="n"/>
      <c r="G1478" s="57" t="n"/>
      <c r="H1478" s="56" t="n"/>
      <c r="I1478" s="56" t="n"/>
      <c r="J1478" s="58" t="n"/>
      <c r="K1478" s="58" t="n"/>
      <c r="L1478" s="13">
        <f>IF(OR($A1478="",AND($J1478="",$K1478="")),"",ROUND(N($J1478)-N($K1478),2))</f>
        <v/>
      </c>
      <c r="M1478" s="13">
        <f>IF(OR($A1478="",AND($J1478="",$K1478="")),"",MIN($J1478,$K1478))</f>
        <v/>
      </c>
      <c r="Q1478">
        <f>IF($A1478="","",$D1478&amp;"("&amp;SUBSTITUTE($E1478," ","")&amp;")")</f>
        <v/>
      </c>
      <c r="R1478">
        <f>IF($A1478="","",$B1478&amp;" - "&amp;$C1478)</f>
        <v/>
      </c>
      <c r="S1478">
        <f>IF($A1478="","",$R1478&amp;"|"&amp;$Q1478)</f>
        <v/>
      </c>
      <c r="T1478">
        <f>IF($A1478="","",$S1478&amp;"|"&amp;$F1478)</f>
        <v/>
      </c>
      <c r="U1478">
        <f>IF($A1478="","",$R1478&amp;"("&amp;$E1478&amp;")")</f>
        <v/>
      </c>
      <c r="V1478">
        <f>IF($A1478="","",$F1478&amp;"|"&amp;$U1478&amp;"|"&amp;$D1478)</f>
        <v/>
      </c>
      <c r="W1478">
        <f>IF($T1478="","",IF($X1478&gt;N($X1477),$X1478,""))</f>
        <v/>
      </c>
      <c r="X1478">
        <f>IF($T1478="",N($X1477),IF(MATCH($T1478,$T$6:$T$6005,0)=ROW()-5,N($X1477)+1,N($X1477)))</f>
        <v/>
      </c>
      <c r="Z1478">
        <f>IF($V1478="","",IF($AA1478&gt;N($AA1477),$AA1478,""))</f>
        <v/>
      </c>
      <c r="AA1478">
        <f>IF($V1478="",N($AA1477),IF(MATCH($V1478,$V$6:$V$6005,0)=ROW()-5,N($AA1477)+1,N($AA1477)))</f>
        <v/>
      </c>
    </row>
    <row r="1479" ht="21" customHeight="1" s="66">
      <c r="A1479" s="56" t="n"/>
      <c r="B1479" s="57" t="n"/>
      <c r="C1479" s="57" t="n"/>
      <c r="D1479" s="57" t="n"/>
      <c r="E1479" s="56" t="n"/>
      <c r="F1479" s="57" t="n"/>
      <c r="G1479" s="57" t="n"/>
      <c r="H1479" s="56" t="n"/>
      <c r="I1479" s="56" t="n"/>
      <c r="J1479" s="58" t="n"/>
      <c r="K1479" s="58" t="n"/>
      <c r="L1479" s="13">
        <f>IF(OR($A1479="",AND($J1479="",$K1479="")),"",ROUND(N($J1479)-N($K1479),2))</f>
        <v/>
      </c>
      <c r="M1479" s="13">
        <f>IF(OR($A1479="",AND($J1479="",$K1479="")),"",MIN($J1479,$K1479))</f>
        <v/>
      </c>
      <c r="Q1479">
        <f>IF($A1479="","",$D1479&amp;"("&amp;SUBSTITUTE($E1479," ","")&amp;")")</f>
        <v/>
      </c>
      <c r="R1479">
        <f>IF($A1479="","",$B1479&amp;" - "&amp;$C1479)</f>
        <v/>
      </c>
      <c r="S1479">
        <f>IF($A1479="","",$R1479&amp;"|"&amp;$Q1479)</f>
        <v/>
      </c>
      <c r="T1479">
        <f>IF($A1479="","",$S1479&amp;"|"&amp;$F1479)</f>
        <v/>
      </c>
      <c r="U1479">
        <f>IF($A1479="","",$R1479&amp;"("&amp;$E1479&amp;")")</f>
        <v/>
      </c>
      <c r="V1479">
        <f>IF($A1479="","",$F1479&amp;"|"&amp;$U1479&amp;"|"&amp;$D1479)</f>
        <v/>
      </c>
      <c r="W1479">
        <f>IF($T1479="","",IF($X1479&gt;N($X1478),$X1479,""))</f>
        <v/>
      </c>
      <c r="X1479">
        <f>IF($T1479="",N($X1478),IF(MATCH($T1479,$T$6:$T$6005,0)=ROW()-5,N($X1478)+1,N($X1478)))</f>
        <v/>
      </c>
      <c r="Z1479">
        <f>IF($V1479="","",IF($AA1479&gt;N($AA1478),$AA1479,""))</f>
        <v/>
      </c>
      <c r="AA1479">
        <f>IF($V1479="",N($AA1478),IF(MATCH($V1479,$V$6:$V$6005,0)=ROW()-5,N($AA1478)+1,N($AA1478)))</f>
        <v/>
      </c>
    </row>
    <row r="1480" ht="21" customHeight="1" s="66">
      <c r="A1480" s="56" t="n"/>
      <c r="B1480" s="57" t="n"/>
      <c r="C1480" s="57" t="n"/>
      <c r="D1480" s="57" t="n"/>
      <c r="E1480" s="56" t="n"/>
      <c r="F1480" s="57" t="n"/>
      <c r="G1480" s="57" t="n"/>
      <c r="H1480" s="56" t="n"/>
      <c r="I1480" s="56" t="n"/>
      <c r="J1480" s="58" t="n"/>
      <c r="K1480" s="58" t="n"/>
      <c r="L1480" s="13">
        <f>IF(OR($A1480="",AND($J1480="",$K1480="")),"",ROUND(N($J1480)-N($K1480),2))</f>
        <v/>
      </c>
      <c r="M1480" s="13">
        <f>IF(OR($A1480="",AND($J1480="",$K1480="")),"",MIN($J1480,$K1480))</f>
        <v/>
      </c>
      <c r="Q1480">
        <f>IF($A1480="","",$D1480&amp;"("&amp;SUBSTITUTE($E1480," ","")&amp;")")</f>
        <v/>
      </c>
      <c r="R1480">
        <f>IF($A1480="","",$B1480&amp;" - "&amp;$C1480)</f>
        <v/>
      </c>
      <c r="S1480">
        <f>IF($A1480="","",$R1480&amp;"|"&amp;$Q1480)</f>
        <v/>
      </c>
      <c r="T1480">
        <f>IF($A1480="","",$S1480&amp;"|"&amp;$F1480)</f>
        <v/>
      </c>
      <c r="U1480">
        <f>IF($A1480="","",$R1480&amp;"("&amp;$E1480&amp;")")</f>
        <v/>
      </c>
      <c r="V1480">
        <f>IF($A1480="","",$F1480&amp;"|"&amp;$U1480&amp;"|"&amp;$D1480)</f>
        <v/>
      </c>
      <c r="W1480">
        <f>IF($T1480="","",IF($X1480&gt;N($X1479),$X1480,""))</f>
        <v/>
      </c>
      <c r="X1480">
        <f>IF($T1480="",N($X1479),IF(MATCH($T1480,$T$6:$T$6005,0)=ROW()-5,N($X1479)+1,N($X1479)))</f>
        <v/>
      </c>
      <c r="Z1480">
        <f>IF($V1480="","",IF($AA1480&gt;N($AA1479),$AA1480,""))</f>
        <v/>
      </c>
      <c r="AA1480">
        <f>IF($V1480="",N($AA1479),IF(MATCH($V1480,$V$6:$V$6005,0)=ROW()-5,N($AA1479)+1,N($AA1479)))</f>
        <v/>
      </c>
    </row>
    <row r="1481" ht="21" customHeight="1" s="66">
      <c r="A1481" s="56" t="n"/>
      <c r="B1481" s="57" t="n"/>
      <c r="C1481" s="57" t="n"/>
      <c r="D1481" s="57" t="n"/>
      <c r="E1481" s="56" t="n"/>
      <c r="F1481" s="57" t="n"/>
      <c r="G1481" s="57" t="n"/>
      <c r="H1481" s="56" t="n"/>
      <c r="I1481" s="56" t="n"/>
      <c r="J1481" s="58" t="n"/>
      <c r="K1481" s="58" t="n"/>
      <c r="L1481" s="13">
        <f>IF(OR($A1481="",AND($J1481="",$K1481="")),"",ROUND(N($J1481)-N($K1481),2))</f>
        <v/>
      </c>
      <c r="M1481" s="13">
        <f>IF(OR($A1481="",AND($J1481="",$K1481="")),"",MIN($J1481,$K1481))</f>
        <v/>
      </c>
      <c r="Q1481">
        <f>IF($A1481="","",$D1481&amp;"("&amp;SUBSTITUTE($E1481," ","")&amp;")")</f>
        <v/>
      </c>
      <c r="R1481">
        <f>IF($A1481="","",$B1481&amp;" - "&amp;$C1481)</f>
        <v/>
      </c>
      <c r="S1481">
        <f>IF($A1481="","",$R1481&amp;"|"&amp;$Q1481)</f>
        <v/>
      </c>
      <c r="T1481">
        <f>IF($A1481="","",$S1481&amp;"|"&amp;$F1481)</f>
        <v/>
      </c>
      <c r="U1481">
        <f>IF($A1481="","",$R1481&amp;"("&amp;$E1481&amp;")")</f>
        <v/>
      </c>
      <c r="V1481">
        <f>IF($A1481="","",$F1481&amp;"|"&amp;$U1481&amp;"|"&amp;$D1481)</f>
        <v/>
      </c>
      <c r="W1481">
        <f>IF($T1481="","",IF($X1481&gt;N($X1480),$X1481,""))</f>
        <v/>
      </c>
      <c r="X1481">
        <f>IF($T1481="",N($X1480),IF(MATCH($T1481,$T$6:$T$6005,0)=ROW()-5,N($X1480)+1,N($X1480)))</f>
        <v/>
      </c>
      <c r="Z1481">
        <f>IF($V1481="","",IF($AA1481&gt;N($AA1480),$AA1481,""))</f>
        <v/>
      </c>
      <c r="AA1481">
        <f>IF($V1481="",N($AA1480),IF(MATCH($V1481,$V$6:$V$6005,0)=ROW()-5,N($AA1480)+1,N($AA1480)))</f>
        <v/>
      </c>
    </row>
    <row r="1482" ht="21" customHeight="1" s="66">
      <c r="A1482" s="56" t="n"/>
      <c r="B1482" s="57" t="n"/>
      <c r="C1482" s="57" t="n"/>
      <c r="D1482" s="57" t="n"/>
      <c r="E1482" s="56" t="n"/>
      <c r="F1482" s="57" t="n"/>
      <c r="G1482" s="57" t="n"/>
      <c r="H1482" s="56" t="n"/>
      <c r="I1482" s="56" t="n"/>
      <c r="J1482" s="58" t="n"/>
      <c r="K1482" s="58" t="n"/>
      <c r="L1482" s="13">
        <f>IF(OR($A1482="",AND($J1482="",$K1482="")),"",ROUND(N($J1482)-N($K1482),2))</f>
        <v/>
      </c>
      <c r="M1482" s="13">
        <f>IF(OR($A1482="",AND($J1482="",$K1482="")),"",MIN($J1482,$K1482))</f>
        <v/>
      </c>
      <c r="Q1482">
        <f>IF($A1482="","",$D1482&amp;"("&amp;SUBSTITUTE($E1482," ","")&amp;")")</f>
        <v/>
      </c>
      <c r="R1482">
        <f>IF($A1482="","",$B1482&amp;" - "&amp;$C1482)</f>
        <v/>
      </c>
      <c r="S1482">
        <f>IF($A1482="","",$R1482&amp;"|"&amp;$Q1482)</f>
        <v/>
      </c>
      <c r="T1482">
        <f>IF($A1482="","",$S1482&amp;"|"&amp;$F1482)</f>
        <v/>
      </c>
      <c r="U1482">
        <f>IF($A1482="","",$R1482&amp;"("&amp;$E1482&amp;")")</f>
        <v/>
      </c>
      <c r="V1482">
        <f>IF($A1482="","",$F1482&amp;"|"&amp;$U1482&amp;"|"&amp;$D1482)</f>
        <v/>
      </c>
      <c r="W1482">
        <f>IF($T1482="","",IF($X1482&gt;N($X1481),$X1482,""))</f>
        <v/>
      </c>
      <c r="X1482">
        <f>IF($T1482="",N($X1481),IF(MATCH($T1482,$T$6:$T$6005,0)=ROW()-5,N($X1481)+1,N($X1481)))</f>
        <v/>
      </c>
      <c r="Z1482">
        <f>IF($V1482="","",IF($AA1482&gt;N($AA1481),$AA1482,""))</f>
        <v/>
      </c>
      <c r="AA1482">
        <f>IF($V1482="",N($AA1481),IF(MATCH($V1482,$V$6:$V$6005,0)=ROW()-5,N($AA1481)+1,N($AA1481)))</f>
        <v/>
      </c>
    </row>
    <row r="1483" ht="21" customHeight="1" s="66">
      <c r="A1483" s="56" t="n"/>
      <c r="B1483" s="57" t="n"/>
      <c r="C1483" s="57" t="n"/>
      <c r="D1483" s="57" t="n"/>
      <c r="E1483" s="56" t="n"/>
      <c r="F1483" s="57" t="n"/>
      <c r="G1483" s="57" t="n"/>
      <c r="H1483" s="56" t="n"/>
      <c r="I1483" s="56" t="n"/>
      <c r="J1483" s="58" t="n"/>
      <c r="K1483" s="58" t="n"/>
      <c r="L1483" s="13">
        <f>IF(OR($A1483="",AND($J1483="",$K1483="")),"",ROUND(N($J1483)-N($K1483),2))</f>
        <v/>
      </c>
      <c r="M1483" s="13">
        <f>IF(OR($A1483="",AND($J1483="",$K1483="")),"",MIN($J1483,$K1483))</f>
        <v/>
      </c>
      <c r="Q1483">
        <f>IF($A1483="","",$D1483&amp;"("&amp;SUBSTITUTE($E1483," ","")&amp;")")</f>
        <v/>
      </c>
      <c r="R1483">
        <f>IF($A1483="","",$B1483&amp;" - "&amp;$C1483)</f>
        <v/>
      </c>
      <c r="S1483">
        <f>IF($A1483="","",$R1483&amp;"|"&amp;$Q1483)</f>
        <v/>
      </c>
      <c r="T1483">
        <f>IF($A1483="","",$S1483&amp;"|"&amp;$F1483)</f>
        <v/>
      </c>
      <c r="U1483">
        <f>IF($A1483="","",$R1483&amp;"("&amp;$E1483&amp;")")</f>
        <v/>
      </c>
      <c r="V1483">
        <f>IF($A1483="","",$F1483&amp;"|"&amp;$U1483&amp;"|"&amp;$D1483)</f>
        <v/>
      </c>
      <c r="W1483">
        <f>IF($T1483="","",IF($X1483&gt;N($X1482),$X1483,""))</f>
        <v/>
      </c>
      <c r="X1483">
        <f>IF($T1483="",N($X1482),IF(MATCH($T1483,$T$6:$T$6005,0)=ROW()-5,N($X1482)+1,N($X1482)))</f>
        <v/>
      </c>
      <c r="Z1483">
        <f>IF($V1483="","",IF($AA1483&gt;N($AA1482),$AA1483,""))</f>
        <v/>
      </c>
      <c r="AA1483">
        <f>IF($V1483="",N($AA1482),IF(MATCH($V1483,$V$6:$V$6005,0)=ROW()-5,N($AA1482)+1,N($AA1482)))</f>
        <v/>
      </c>
    </row>
    <row r="1484" ht="21" customHeight="1" s="66">
      <c r="A1484" s="56" t="n"/>
      <c r="B1484" s="57" t="n"/>
      <c r="C1484" s="57" t="n"/>
      <c r="D1484" s="57" t="n"/>
      <c r="E1484" s="56" t="n"/>
      <c r="F1484" s="57" t="n"/>
      <c r="G1484" s="57" t="n"/>
      <c r="H1484" s="56" t="n"/>
      <c r="I1484" s="56" t="n"/>
      <c r="J1484" s="58" t="n"/>
      <c r="K1484" s="58" t="n"/>
      <c r="L1484" s="13">
        <f>IF(OR($A1484="",AND($J1484="",$K1484="")),"",ROUND(N($J1484)-N($K1484),2))</f>
        <v/>
      </c>
      <c r="M1484" s="13">
        <f>IF(OR($A1484="",AND($J1484="",$K1484="")),"",MIN($J1484,$K1484))</f>
        <v/>
      </c>
      <c r="Q1484">
        <f>IF($A1484="","",$D1484&amp;"("&amp;SUBSTITUTE($E1484," ","")&amp;")")</f>
        <v/>
      </c>
      <c r="R1484">
        <f>IF($A1484="","",$B1484&amp;" - "&amp;$C1484)</f>
        <v/>
      </c>
      <c r="S1484">
        <f>IF($A1484="","",$R1484&amp;"|"&amp;$Q1484)</f>
        <v/>
      </c>
      <c r="T1484">
        <f>IF($A1484="","",$S1484&amp;"|"&amp;$F1484)</f>
        <v/>
      </c>
      <c r="U1484">
        <f>IF($A1484="","",$R1484&amp;"("&amp;$E1484&amp;")")</f>
        <v/>
      </c>
      <c r="V1484">
        <f>IF($A1484="","",$F1484&amp;"|"&amp;$U1484&amp;"|"&amp;$D1484)</f>
        <v/>
      </c>
      <c r="W1484">
        <f>IF($T1484="","",IF($X1484&gt;N($X1483),$X1484,""))</f>
        <v/>
      </c>
      <c r="X1484">
        <f>IF($T1484="",N($X1483),IF(MATCH($T1484,$T$6:$T$6005,0)=ROW()-5,N($X1483)+1,N($X1483)))</f>
        <v/>
      </c>
      <c r="Z1484">
        <f>IF($V1484="","",IF($AA1484&gt;N($AA1483),$AA1484,""))</f>
        <v/>
      </c>
      <c r="AA1484">
        <f>IF($V1484="",N($AA1483),IF(MATCH($V1484,$V$6:$V$6005,0)=ROW()-5,N($AA1483)+1,N($AA1483)))</f>
        <v/>
      </c>
    </row>
    <row r="1485" ht="21" customHeight="1" s="66">
      <c r="A1485" s="56" t="n"/>
      <c r="B1485" s="57" t="n"/>
      <c r="C1485" s="57" t="n"/>
      <c r="D1485" s="57" t="n"/>
      <c r="E1485" s="56" t="n"/>
      <c r="F1485" s="57" t="n"/>
      <c r="G1485" s="57" t="n"/>
      <c r="H1485" s="56" t="n"/>
      <c r="I1485" s="56" t="n"/>
      <c r="J1485" s="58" t="n"/>
      <c r="K1485" s="58" t="n"/>
      <c r="L1485" s="13">
        <f>IF(OR($A1485="",AND($J1485="",$K1485="")),"",ROUND(N($J1485)-N($K1485),2))</f>
        <v/>
      </c>
      <c r="M1485" s="13">
        <f>IF(OR($A1485="",AND($J1485="",$K1485="")),"",MIN($J1485,$K1485))</f>
        <v/>
      </c>
      <c r="Q1485">
        <f>IF($A1485="","",$D1485&amp;"("&amp;SUBSTITUTE($E1485," ","")&amp;")")</f>
        <v/>
      </c>
      <c r="R1485">
        <f>IF($A1485="","",$B1485&amp;" - "&amp;$C1485)</f>
        <v/>
      </c>
      <c r="S1485">
        <f>IF($A1485="","",$R1485&amp;"|"&amp;$Q1485)</f>
        <v/>
      </c>
      <c r="T1485">
        <f>IF($A1485="","",$S1485&amp;"|"&amp;$F1485)</f>
        <v/>
      </c>
      <c r="U1485">
        <f>IF($A1485="","",$R1485&amp;"("&amp;$E1485&amp;")")</f>
        <v/>
      </c>
      <c r="V1485">
        <f>IF($A1485="","",$F1485&amp;"|"&amp;$U1485&amp;"|"&amp;$D1485)</f>
        <v/>
      </c>
      <c r="W1485">
        <f>IF($T1485="","",IF($X1485&gt;N($X1484),$X1485,""))</f>
        <v/>
      </c>
      <c r="X1485">
        <f>IF($T1485="",N($X1484),IF(MATCH($T1485,$T$6:$T$6005,0)=ROW()-5,N($X1484)+1,N($X1484)))</f>
        <v/>
      </c>
      <c r="Z1485">
        <f>IF($V1485="","",IF($AA1485&gt;N($AA1484),$AA1485,""))</f>
        <v/>
      </c>
      <c r="AA1485">
        <f>IF($V1485="",N($AA1484),IF(MATCH($V1485,$V$6:$V$6005,0)=ROW()-5,N($AA1484)+1,N($AA1484)))</f>
        <v/>
      </c>
    </row>
    <row r="1486" ht="21" customHeight="1" s="66">
      <c r="A1486" s="56" t="n"/>
      <c r="B1486" s="57" t="n"/>
      <c r="C1486" s="57" t="n"/>
      <c r="D1486" s="57" t="n"/>
      <c r="E1486" s="56" t="n"/>
      <c r="F1486" s="57" t="n"/>
      <c r="G1486" s="57" t="n"/>
      <c r="H1486" s="56" t="n"/>
      <c r="I1486" s="56" t="n"/>
      <c r="J1486" s="58" t="n"/>
      <c r="K1486" s="58" t="n"/>
      <c r="L1486" s="13">
        <f>IF(OR($A1486="",AND($J1486="",$K1486="")),"",ROUND(N($J1486)-N($K1486),2))</f>
        <v/>
      </c>
      <c r="M1486" s="13">
        <f>IF(OR($A1486="",AND($J1486="",$K1486="")),"",MIN($J1486,$K1486))</f>
        <v/>
      </c>
      <c r="Q1486">
        <f>IF($A1486="","",$D1486&amp;"("&amp;SUBSTITUTE($E1486," ","")&amp;")")</f>
        <v/>
      </c>
      <c r="R1486">
        <f>IF($A1486="","",$B1486&amp;" - "&amp;$C1486)</f>
        <v/>
      </c>
      <c r="S1486">
        <f>IF($A1486="","",$R1486&amp;"|"&amp;$Q1486)</f>
        <v/>
      </c>
      <c r="T1486">
        <f>IF($A1486="","",$S1486&amp;"|"&amp;$F1486)</f>
        <v/>
      </c>
      <c r="U1486">
        <f>IF($A1486="","",$R1486&amp;"("&amp;$E1486&amp;")")</f>
        <v/>
      </c>
      <c r="V1486">
        <f>IF($A1486="","",$F1486&amp;"|"&amp;$U1486&amp;"|"&amp;$D1486)</f>
        <v/>
      </c>
      <c r="W1486">
        <f>IF($T1486="","",IF($X1486&gt;N($X1485),$X1486,""))</f>
        <v/>
      </c>
      <c r="X1486">
        <f>IF($T1486="",N($X1485),IF(MATCH($T1486,$T$6:$T$6005,0)=ROW()-5,N($X1485)+1,N($X1485)))</f>
        <v/>
      </c>
      <c r="Z1486">
        <f>IF($V1486="","",IF($AA1486&gt;N($AA1485),$AA1486,""))</f>
        <v/>
      </c>
      <c r="AA1486">
        <f>IF($V1486="",N($AA1485),IF(MATCH($V1486,$V$6:$V$6005,0)=ROW()-5,N($AA1485)+1,N($AA1485)))</f>
        <v/>
      </c>
    </row>
    <row r="1487" ht="21" customHeight="1" s="66">
      <c r="A1487" s="56" t="n"/>
      <c r="B1487" s="57" t="n"/>
      <c r="C1487" s="57" t="n"/>
      <c r="D1487" s="57" t="n"/>
      <c r="E1487" s="56" t="n"/>
      <c r="F1487" s="57" t="n"/>
      <c r="G1487" s="57" t="n"/>
      <c r="H1487" s="56" t="n"/>
      <c r="I1487" s="56" t="n"/>
      <c r="J1487" s="58" t="n"/>
      <c r="K1487" s="58" t="n"/>
      <c r="L1487" s="13">
        <f>IF(OR($A1487="",AND($J1487="",$K1487="")),"",ROUND(N($J1487)-N($K1487),2))</f>
        <v/>
      </c>
      <c r="M1487" s="13">
        <f>IF(OR($A1487="",AND($J1487="",$K1487="")),"",MIN($J1487,$K1487))</f>
        <v/>
      </c>
      <c r="Q1487">
        <f>IF($A1487="","",$D1487&amp;"("&amp;SUBSTITUTE($E1487," ","")&amp;")")</f>
        <v/>
      </c>
      <c r="R1487">
        <f>IF($A1487="","",$B1487&amp;" - "&amp;$C1487)</f>
        <v/>
      </c>
      <c r="S1487">
        <f>IF($A1487="","",$R1487&amp;"|"&amp;$Q1487)</f>
        <v/>
      </c>
      <c r="T1487">
        <f>IF($A1487="","",$S1487&amp;"|"&amp;$F1487)</f>
        <v/>
      </c>
      <c r="U1487">
        <f>IF($A1487="","",$R1487&amp;"("&amp;$E1487&amp;")")</f>
        <v/>
      </c>
      <c r="V1487">
        <f>IF($A1487="","",$F1487&amp;"|"&amp;$U1487&amp;"|"&amp;$D1487)</f>
        <v/>
      </c>
      <c r="W1487">
        <f>IF($T1487="","",IF($X1487&gt;N($X1486),$X1487,""))</f>
        <v/>
      </c>
      <c r="X1487">
        <f>IF($T1487="",N($X1486),IF(MATCH($T1487,$T$6:$T$6005,0)=ROW()-5,N($X1486)+1,N($X1486)))</f>
        <v/>
      </c>
      <c r="Z1487">
        <f>IF($V1487="","",IF($AA1487&gt;N($AA1486),$AA1487,""))</f>
        <v/>
      </c>
      <c r="AA1487">
        <f>IF($V1487="",N($AA1486),IF(MATCH($V1487,$V$6:$V$6005,0)=ROW()-5,N($AA1486)+1,N($AA1486)))</f>
        <v/>
      </c>
    </row>
    <row r="1488" ht="21" customHeight="1" s="66">
      <c r="A1488" s="56" t="n"/>
      <c r="B1488" s="57" t="n"/>
      <c r="C1488" s="57" t="n"/>
      <c r="D1488" s="57" t="n"/>
      <c r="E1488" s="56" t="n"/>
      <c r="F1488" s="57" t="n"/>
      <c r="G1488" s="57" t="n"/>
      <c r="H1488" s="56" t="n"/>
      <c r="I1488" s="56" t="n"/>
      <c r="J1488" s="58" t="n"/>
      <c r="K1488" s="58" t="n"/>
      <c r="L1488" s="13">
        <f>IF(OR($A1488="",AND($J1488="",$K1488="")),"",ROUND(N($J1488)-N($K1488),2))</f>
        <v/>
      </c>
      <c r="M1488" s="13">
        <f>IF(OR($A1488="",AND($J1488="",$K1488="")),"",MIN($J1488,$K1488))</f>
        <v/>
      </c>
      <c r="Q1488">
        <f>IF($A1488="","",$D1488&amp;"("&amp;SUBSTITUTE($E1488," ","")&amp;")")</f>
        <v/>
      </c>
      <c r="R1488">
        <f>IF($A1488="","",$B1488&amp;" - "&amp;$C1488)</f>
        <v/>
      </c>
      <c r="S1488">
        <f>IF($A1488="","",$R1488&amp;"|"&amp;$Q1488)</f>
        <v/>
      </c>
      <c r="T1488">
        <f>IF($A1488="","",$S1488&amp;"|"&amp;$F1488)</f>
        <v/>
      </c>
      <c r="U1488">
        <f>IF($A1488="","",$R1488&amp;"("&amp;$E1488&amp;")")</f>
        <v/>
      </c>
      <c r="V1488">
        <f>IF($A1488="","",$F1488&amp;"|"&amp;$U1488&amp;"|"&amp;$D1488)</f>
        <v/>
      </c>
      <c r="W1488">
        <f>IF($T1488="","",IF($X1488&gt;N($X1487),$X1488,""))</f>
        <v/>
      </c>
      <c r="X1488">
        <f>IF($T1488="",N($X1487),IF(MATCH($T1488,$T$6:$T$6005,0)=ROW()-5,N($X1487)+1,N($X1487)))</f>
        <v/>
      </c>
      <c r="Z1488">
        <f>IF($V1488="","",IF($AA1488&gt;N($AA1487),$AA1488,""))</f>
        <v/>
      </c>
      <c r="AA1488">
        <f>IF($V1488="",N($AA1487),IF(MATCH($V1488,$V$6:$V$6005,0)=ROW()-5,N($AA1487)+1,N($AA1487)))</f>
        <v/>
      </c>
    </row>
    <row r="1489" ht="21" customHeight="1" s="66">
      <c r="A1489" s="56" t="n"/>
      <c r="B1489" s="57" t="n"/>
      <c r="C1489" s="57" t="n"/>
      <c r="D1489" s="57" t="n"/>
      <c r="E1489" s="56" t="n"/>
      <c r="F1489" s="57" t="n"/>
      <c r="G1489" s="57" t="n"/>
      <c r="H1489" s="56" t="n"/>
      <c r="I1489" s="56" t="n"/>
      <c r="J1489" s="58" t="n"/>
      <c r="K1489" s="58" t="n"/>
      <c r="L1489" s="13">
        <f>IF(OR($A1489="",AND($J1489="",$K1489="")),"",ROUND(N($J1489)-N($K1489),2))</f>
        <v/>
      </c>
      <c r="M1489" s="13">
        <f>IF(OR($A1489="",AND($J1489="",$K1489="")),"",MIN($J1489,$K1489))</f>
        <v/>
      </c>
      <c r="Q1489">
        <f>IF($A1489="","",$D1489&amp;"("&amp;SUBSTITUTE($E1489," ","")&amp;")")</f>
        <v/>
      </c>
      <c r="R1489">
        <f>IF($A1489="","",$B1489&amp;" - "&amp;$C1489)</f>
        <v/>
      </c>
      <c r="S1489">
        <f>IF($A1489="","",$R1489&amp;"|"&amp;$Q1489)</f>
        <v/>
      </c>
      <c r="T1489">
        <f>IF($A1489="","",$S1489&amp;"|"&amp;$F1489)</f>
        <v/>
      </c>
      <c r="U1489">
        <f>IF($A1489="","",$R1489&amp;"("&amp;$E1489&amp;")")</f>
        <v/>
      </c>
      <c r="V1489">
        <f>IF($A1489="","",$F1489&amp;"|"&amp;$U1489&amp;"|"&amp;$D1489)</f>
        <v/>
      </c>
      <c r="W1489">
        <f>IF($T1489="","",IF($X1489&gt;N($X1488),$X1489,""))</f>
        <v/>
      </c>
      <c r="X1489">
        <f>IF($T1489="",N($X1488),IF(MATCH($T1489,$T$6:$T$6005,0)=ROW()-5,N($X1488)+1,N($X1488)))</f>
        <v/>
      </c>
      <c r="Z1489">
        <f>IF($V1489="","",IF($AA1489&gt;N($AA1488),$AA1489,""))</f>
        <v/>
      </c>
      <c r="AA1489">
        <f>IF($V1489="",N($AA1488),IF(MATCH($V1489,$V$6:$V$6005,0)=ROW()-5,N($AA1488)+1,N($AA1488)))</f>
        <v/>
      </c>
    </row>
    <row r="1490" ht="21" customHeight="1" s="66">
      <c r="A1490" s="56" t="n"/>
      <c r="B1490" s="57" t="n"/>
      <c r="C1490" s="57" t="n"/>
      <c r="D1490" s="57" t="n"/>
      <c r="E1490" s="56" t="n"/>
      <c r="F1490" s="57" t="n"/>
      <c r="G1490" s="57" t="n"/>
      <c r="H1490" s="56" t="n"/>
      <c r="I1490" s="56" t="n"/>
      <c r="J1490" s="58" t="n"/>
      <c r="K1490" s="58" t="n"/>
      <c r="L1490" s="13">
        <f>IF(OR($A1490="",AND($J1490="",$K1490="")),"",ROUND(N($J1490)-N($K1490),2))</f>
        <v/>
      </c>
      <c r="M1490" s="13">
        <f>IF(OR($A1490="",AND($J1490="",$K1490="")),"",MIN($J1490,$K1490))</f>
        <v/>
      </c>
      <c r="Q1490">
        <f>IF($A1490="","",$D1490&amp;"("&amp;SUBSTITUTE($E1490," ","")&amp;")")</f>
        <v/>
      </c>
      <c r="R1490">
        <f>IF($A1490="","",$B1490&amp;" - "&amp;$C1490)</f>
        <v/>
      </c>
      <c r="S1490">
        <f>IF($A1490="","",$R1490&amp;"|"&amp;$Q1490)</f>
        <v/>
      </c>
      <c r="T1490">
        <f>IF($A1490="","",$S1490&amp;"|"&amp;$F1490)</f>
        <v/>
      </c>
      <c r="U1490">
        <f>IF($A1490="","",$R1490&amp;"("&amp;$E1490&amp;")")</f>
        <v/>
      </c>
      <c r="V1490">
        <f>IF($A1490="","",$F1490&amp;"|"&amp;$U1490&amp;"|"&amp;$D1490)</f>
        <v/>
      </c>
      <c r="W1490">
        <f>IF($T1490="","",IF($X1490&gt;N($X1489),$X1490,""))</f>
        <v/>
      </c>
      <c r="X1490">
        <f>IF($T1490="",N($X1489),IF(MATCH($T1490,$T$6:$T$6005,0)=ROW()-5,N($X1489)+1,N($X1489)))</f>
        <v/>
      </c>
      <c r="Z1490">
        <f>IF($V1490="","",IF($AA1490&gt;N($AA1489),$AA1490,""))</f>
        <v/>
      </c>
      <c r="AA1490">
        <f>IF($V1490="",N($AA1489),IF(MATCH($V1490,$V$6:$V$6005,0)=ROW()-5,N($AA1489)+1,N($AA1489)))</f>
        <v/>
      </c>
    </row>
    <row r="1491" ht="21" customHeight="1" s="66">
      <c r="A1491" s="56" t="n"/>
      <c r="B1491" s="57" t="n"/>
      <c r="C1491" s="57" t="n"/>
      <c r="D1491" s="57" t="n"/>
      <c r="E1491" s="56" t="n"/>
      <c r="F1491" s="57" t="n"/>
      <c r="G1491" s="57" t="n"/>
      <c r="H1491" s="56" t="n"/>
      <c r="I1491" s="56" t="n"/>
      <c r="J1491" s="58" t="n"/>
      <c r="K1491" s="58" t="n"/>
      <c r="L1491" s="13">
        <f>IF(OR($A1491="",AND($J1491="",$K1491="")),"",ROUND(N($J1491)-N($K1491),2))</f>
        <v/>
      </c>
      <c r="M1491" s="13">
        <f>IF(OR($A1491="",AND($J1491="",$K1491="")),"",MIN($J1491,$K1491))</f>
        <v/>
      </c>
      <c r="Q1491">
        <f>IF($A1491="","",$D1491&amp;"("&amp;SUBSTITUTE($E1491," ","")&amp;")")</f>
        <v/>
      </c>
      <c r="R1491">
        <f>IF($A1491="","",$B1491&amp;" - "&amp;$C1491)</f>
        <v/>
      </c>
      <c r="S1491">
        <f>IF($A1491="","",$R1491&amp;"|"&amp;$Q1491)</f>
        <v/>
      </c>
      <c r="T1491">
        <f>IF($A1491="","",$S1491&amp;"|"&amp;$F1491)</f>
        <v/>
      </c>
      <c r="U1491">
        <f>IF($A1491="","",$R1491&amp;"("&amp;$E1491&amp;")")</f>
        <v/>
      </c>
      <c r="V1491">
        <f>IF($A1491="","",$F1491&amp;"|"&amp;$U1491&amp;"|"&amp;$D1491)</f>
        <v/>
      </c>
      <c r="W1491">
        <f>IF($T1491="","",IF($X1491&gt;N($X1490),$X1491,""))</f>
        <v/>
      </c>
      <c r="X1491">
        <f>IF($T1491="",N($X1490),IF(MATCH($T1491,$T$6:$T$6005,0)=ROW()-5,N($X1490)+1,N($X1490)))</f>
        <v/>
      </c>
      <c r="Z1491">
        <f>IF($V1491="","",IF($AA1491&gt;N($AA1490),$AA1491,""))</f>
        <v/>
      </c>
      <c r="AA1491">
        <f>IF($V1491="",N($AA1490),IF(MATCH($V1491,$V$6:$V$6005,0)=ROW()-5,N($AA1490)+1,N($AA1490)))</f>
        <v/>
      </c>
    </row>
    <row r="1492" ht="21" customHeight="1" s="66">
      <c r="A1492" s="56" t="n"/>
      <c r="B1492" s="57" t="n"/>
      <c r="C1492" s="57" t="n"/>
      <c r="D1492" s="57" t="n"/>
      <c r="E1492" s="56" t="n"/>
      <c r="F1492" s="57" t="n"/>
      <c r="G1492" s="57" t="n"/>
      <c r="H1492" s="56" t="n"/>
      <c r="I1492" s="56" t="n"/>
      <c r="J1492" s="58" t="n"/>
      <c r="K1492" s="58" t="n"/>
      <c r="L1492" s="13">
        <f>IF(OR($A1492="",AND($J1492="",$K1492="")),"",ROUND(N($J1492)-N($K1492),2))</f>
        <v/>
      </c>
      <c r="M1492" s="13">
        <f>IF(OR($A1492="",AND($J1492="",$K1492="")),"",MIN($J1492,$K1492))</f>
        <v/>
      </c>
      <c r="Q1492">
        <f>IF($A1492="","",$D1492&amp;"("&amp;SUBSTITUTE($E1492," ","")&amp;")")</f>
        <v/>
      </c>
      <c r="R1492">
        <f>IF($A1492="","",$B1492&amp;" - "&amp;$C1492)</f>
        <v/>
      </c>
      <c r="S1492">
        <f>IF($A1492="","",$R1492&amp;"|"&amp;$Q1492)</f>
        <v/>
      </c>
      <c r="T1492">
        <f>IF($A1492="","",$S1492&amp;"|"&amp;$F1492)</f>
        <v/>
      </c>
      <c r="U1492">
        <f>IF($A1492="","",$R1492&amp;"("&amp;$E1492&amp;")")</f>
        <v/>
      </c>
      <c r="V1492">
        <f>IF($A1492="","",$F1492&amp;"|"&amp;$U1492&amp;"|"&amp;$D1492)</f>
        <v/>
      </c>
      <c r="W1492">
        <f>IF($T1492="","",IF($X1492&gt;N($X1491),$X1492,""))</f>
        <v/>
      </c>
      <c r="X1492">
        <f>IF($T1492="",N($X1491),IF(MATCH($T1492,$T$6:$T$6005,0)=ROW()-5,N($X1491)+1,N($X1491)))</f>
        <v/>
      </c>
      <c r="Z1492">
        <f>IF($V1492="","",IF($AA1492&gt;N($AA1491),$AA1492,""))</f>
        <v/>
      </c>
      <c r="AA1492">
        <f>IF($V1492="",N($AA1491),IF(MATCH($V1492,$V$6:$V$6005,0)=ROW()-5,N($AA1491)+1,N($AA1491)))</f>
        <v/>
      </c>
    </row>
    <row r="1493" ht="21" customHeight="1" s="66">
      <c r="A1493" s="56" t="n"/>
      <c r="B1493" s="57" t="n"/>
      <c r="C1493" s="57" t="n"/>
      <c r="D1493" s="57" t="n"/>
      <c r="E1493" s="56" t="n"/>
      <c r="F1493" s="57" t="n"/>
      <c r="G1493" s="57" t="n"/>
      <c r="H1493" s="56" t="n"/>
      <c r="I1493" s="56" t="n"/>
      <c r="J1493" s="58" t="n"/>
      <c r="K1493" s="58" t="n"/>
      <c r="L1493" s="13">
        <f>IF(OR($A1493="",AND($J1493="",$K1493="")),"",ROUND(N($J1493)-N($K1493),2))</f>
        <v/>
      </c>
      <c r="M1493" s="13">
        <f>IF(OR($A1493="",AND($J1493="",$K1493="")),"",MIN($J1493,$K1493))</f>
        <v/>
      </c>
      <c r="Q1493">
        <f>IF($A1493="","",$D1493&amp;"("&amp;SUBSTITUTE($E1493," ","")&amp;")")</f>
        <v/>
      </c>
      <c r="R1493">
        <f>IF($A1493="","",$B1493&amp;" - "&amp;$C1493)</f>
        <v/>
      </c>
      <c r="S1493">
        <f>IF($A1493="","",$R1493&amp;"|"&amp;$Q1493)</f>
        <v/>
      </c>
      <c r="T1493">
        <f>IF($A1493="","",$S1493&amp;"|"&amp;$F1493)</f>
        <v/>
      </c>
      <c r="U1493">
        <f>IF($A1493="","",$R1493&amp;"("&amp;$E1493&amp;")")</f>
        <v/>
      </c>
      <c r="V1493">
        <f>IF($A1493="","",$F1493&amp;"|"&amp;$U1493&amp;"|"&amp;$D1493)</f>
        <v/>
      </c>
      <c r="W1493">
        <f>IF($T1493="","",IF($X1493&gt;N($X1492),$X1493,""))</f>
        <v/>
      </c>
      <c r="X1493">
        <f>IF($T1493="",N($X1492),IF(MATCH($T1493,$T$6:$T$6005,0)=ROW()-5,N($X1492)+1,N($X1492)))</f>
        <v/>
      </c>
      <c r="Z1493">
        <f>IF($V1493="","",IF($AA1493&gt;N($AA1492),$AA1493,""))</f>
        <v/>
      </c>
      <c r="AA1493">
        <f>IF($V1493="",N($AA1492),IF(MATCH($V1493,$V$6:$V$6005,0)=ROW()-5,N($AA1492)+1,N($AA1492)))</f>
        <v/>
      </c>
    </row>
    <row r="1494" ht="21" customHeight="1" s="66">
      <c r="A1494" s="56" t="n"/>
      <c r="B1494" s="57" t="n"/>
      <c r="C1494" s="57" t="n"/>
      <c r="D1494" s="57" t="n"/>
      <c r="E1494" s="56" t="n"/>
      <c r="F1494" s="57" t="n"/>
      <c r="G1494" s="57" t="n"/>
      <c r="H1494" s="56" t="n"/>
      <c r="I1494" s="56" t="n"/>
      <c r="J1494" s="58" t="n"/>
      <c r="K1494" s="58" t="n"/>
      <c r="L1494" s="13">
        <f>IF(OR($A1494="",AND($J1494="",$K1494="")),"",ROUND(N($J1494)-N($K1494),2))</f>
        <v/>
      </c>
      <c r="M1494" s="13">
        <f>IF(OR($A1494="",AND($J1494="",$K1494="")),"",MIN($J1494,$K1494))</f>
        <v/>
      </c>
      <c r="Q1494">
        <f>IF($A1494="","",$D1494&amp;"("&amp;SUBSTITUTE($E1494," ","")&amp;")")</f>
        <v/>
      </c>
      <c r="R1494">
        <f>IF($A1494="","",$B1494&amp;" - "&amp;$C1494)</f>
        <v/>
      </c>
      <c r="S1494">
        <f>IF($A1494="","",$R1494&amp;"|"&amp;$Q1494)</f>
        <v/>
      </c>
      <c r="T1494">
        <f>IF($A1494="","",$S1494&amp;"|"&amp;$F1494)</f>
        <v/>
      </c>
      <c r="U1494">
        <f>IF($A1494="","",$R1494&amp;"("&amp;$E1494&amp;")")</f>
        <v/>
      </c>
      <c r="V1494">
        <f>IF($A1494="","",$F1494&amp;"|"&amp;$U1494&amp;"|"&amp;$D1494)</f>
        <v/>
      </c>
      <c r="W1494">
        <f>IF($T1494="","",IF($X1494&gt;N($X1493),$X1494,""))</f>
        <v/>
      </c>
      <c r="X1494">
        <f>IF($T1494="",N($X1493),IF(MATCH($T1494,$T$6:$T$6005,0)=ROW()-5,N($X1493)+1,N($X1493)))</f>
        <v/>
      </c>
      <c r="Z1494">
        <f>IF($V1494="","",IF($AA1494&gt;N($AA1493),$AA1494,""))</f>
        <v/>
      </c>
      <c r="AA1494">
        <f>IF($V1494="",N($AA1493),IF(MATCH($V1494,$V$6:$V$6005,0)=ROW()-5,N($AA1493)+1,N($AA1493)))</f>
        <v/>
      </c>
    </row>
    <row r="1495" ht="21" customHeight="1" s="66">
      <c r="A1495" s="56" t="n"/>
      <c r="B1495" s="57" t="n"/>
      <c r="C1495" s="57" t="n"/>
      <c r="D1495" s="57" t="n"/>
      <c r="E1495" s="56" t="n"/>
      <c r="F1495" s="57" t="n"/>
      <c r="G1495" s="57" t="n"/>
      <c r="H1495" s="56" t="n"/>
      <c r="I1495" s="56" t="n"/>
      <c r="J1495" s="58" t="n"/>
      <c r="K1495" s="58" t="n"/>
      <c r="L1495" s="13">
        <f>IF(OR($A1495="",AND($J1495="",$K1495="")),"",ROUND(N($J1495)-N($K1495),2))</f>
        <v/>
      </c>
      <c r="M1495" s="13">
        <f>IF(OR($A1495="",AND($J1495="",$K1495="")),"",MIN($J1495,$K1495))</f>
        <v/>
      </c>
      <c r="Q1495">
        <f>IF($A1495="","",$D1495&amp;"("&amp;SUBSTITUTE($E1495," ","")&amp;")")</f>
        <v/>
      </c>
      <c r="R1495">
        <f>IF($A1495="","",$B1495&amp;" - "&amp;$C1495)</f>
        <v/>
      </c>
      <c r="S1495">
        <f>IF($A1495="","",$R1495&amp;"|"&amp;$Q1495)</f>
        <v/>
      </c>
      <c r="T1495">
        <f>IF($A1495="","",$S1495&amp;"|"&amp;$F1495)</f>
        <v/>
      </c>
      <c r="U1495">
        <f>IF($A1495="","",$R1495&amp;"("&amp;$E1495&amp;")")</f>
        <v/>
      </c>
      <c r="V1495">
        <f>IF($A1495="","",$F1495&amp;"|"&amp;$U1495&amp;"|"&amp;$D1495)</f>
        <v/>
      </c>
      <c r="W1495">
        <f>IF($T1495="","",IF($X1495&gt;N($X1494),$X1495,""))</f>
        <v/>
      </c>
      <c r="X1495">
        <f>IF($T1495="",N($X1494),IF(MATCH($T1495,$T$6:$T$6005,0)=ROW()-5,N($X1494)+1,N($X1494)))</f>
        <v/>
      </c>
      <c r="Z1495">
        <f>IF($V1495="","",IF($AA1495&gt;N($AA1494),$AA1495,""))</f>
        <v/>
      </c>
      <c r="AA1495">
        <f>IF($V1495="",N($AA1494),IF(MATCH($V1495,$V$6:$V$6005,0)=ROW()-5,N($AA1494)+1,N($AA1494)))</f>
        <v/>
      </c>
    </row>
    <row r="1496" ht="21" customHeight="1" s="66">
      <c r="A1496" s="56" t="n"/>
      <c r="B1496" s="57" t="n"/>
      <c r="C1496" s="57" t="n"/>
      <c r="D1496" s="57" t="n"/>
      <c r="E1496" s="56" t="n"/>
      <c r="F1496" s="57" t="n"/>
      <c r="G1496" s="57" t="n"/>
      <c r="H1496" s="56" t="n"/>
      <c r="I1496" s="56" t="n"/>
      <c r="J1496" s="58" t="n"/>
      <c r="K1496" s="58" t="n"/>
      <c r="L1496" s="13">
        <f>IF(OR($A1496="",AND($J1496="",$K1496="")),"",ROUND(N($J1496)-N($K1496),2))</f>
        <v/>
      </c>
      <c r="M1496" s="13">
        <f>IF(OR($A1496="",AND($J1496="",$K1496="")),"",MIN($J1496,$K1496))</f>
        <v/>
      </c>
      <c r="Q1496">
        <f>IF($A1496="","",$D1496&amp;"("&amp;SUBSTITUTE($E1496," ","")&amp;")")</f>
        <v/>
      </c>
      <c r="R1496">
        <f>IF($A1496="","",$B1496&amp;" - "&amp;$C1496)</f>
        <v/>
      </c>
      <c r="S1496">
        <f>IF($A1496="","",$R1496&amp;"|"&amp;$Q1496)</f>
        <v/>
      </c>
      <c r="T1496">
        <f>IF($A1496="","",$S1496&amp;"|"&amp;$F1496)</f>
        <v/>
      </c>
      <c r="U1496">
        <f>IF($A1496="","",$R1496&amp;"("&amp;$E1496&amp;")")</f>
        <v/>
      </c>
      <c r="V1496">
        <f>IF($A1496="","",$F1496&amp;"|"&amp;$U1496&amp;"|"&amp;$D1496)</f>
        <v/>
      </c>
      <c r="W1496">
        <f>IF($T1496="","",IF($X1496&gt;N($X1495),$X1496,""))</f>
        <v/>
      </c>
      <c r="X1496">
        <f>IF($T1496="",N($X1495),IF(MATCH($T1496,$T$6:$T$6005,0)=ROW()-5,N($X1495)+1,N($X1495)))</f>
        <v/>
      </c>
      <c r="Z1496">
        <f>IF($V1496="","",IF($AA1496&gt;N($AA1495),$AA1496,""))</f>
        <v/>
      </c>
      <c r="AA1496">
        <f>IF($V1496="",N($AA1495),IF(MATCH($V1496,$V$6:$V$6005,0)=ROW()-5,N($AA1495)+1,N($AA1495)))</f>
        <v/>
      </c>
    </row>
    <row r="1497" ht="21" customHeight="1" s="66">
      <c r="A1497" s="56" t="n"/>
      <c r="B1497" s="57" t="n"/>
      <c r="C1497" s="57" t="n"/>
      <c r="D1497" s="57" t="n"/>
      <c r="E1497" s="56" t="n"/>
      <c r="F1497" s="57" t="n"/>
      <c r="G1497" s="57" t="n"/>
      <c r="H1497" s="56" t="n"/>
      <c r="I1497" s="56" t="n"/>
      <c r="J1497" s="58" t="n"/>
      <c r="K1497" s="58" t="n"/>
      <c r="L1497" s="13">
        <f>IF(OR($A1497="",AND($J1497="",$K1497="")),"",ROUND(N($J1497)-N($K1497),2))</f>
        <v/>
      </c>
      <c r="M1497" s="13">
        <f>IF(OR($A1497="",AND($J1497="",$K1497="")),"",MIN($J1497,$K1497))</f>
        <v/>
      </c>
      <c r="Q1497">
        <f>IF($A1497="","",$D1497&amp;"("&amp;SUBSTITUTE($E1497," ","")&amp;")")</f>
        <v/>
      </c>
      <c r="R1497">
        <f>IF($A1497="","",$B1497&amp;" - "&amp;$C1497)</f>
        <v/>
      </c>
      <c r="S1497">
        <f>IF($A1497="","",$R1497&amp;"|"&amp;$Q1497)</f>
        <v/>
      </c>
      <c r="T1497">
        <f>IF($A1497="","",$S1497&amp;"|"&amp;$F1497)</f>
        <v/>
      </c>
      <c r="U1497">
        <f>IF($A1497="","",$R1497&amp;"("&amp;$E1497&amp;")")</f>
        <v/>
      </c>
      <c r="V1497">
        <f>IF($A1497="","",$F1497&amp;"|"&amp;$U1497&amp;"|"&amp;$D1497)</f>
        <v/>
      </c>
      <c r="W1497">
        <f>IF($T1497="","",IF($X1497&gt;N($X1496),$X1497,""))</f>
        <v/>
      </c>
      <c r="X1497">
        <f>IF($T1497="",N($X1496),IF(MATCH($T1497,$T$6:$T$6005,0)=ROW()-5,N($X1496)+1,N($X1496)))</f>
        <v/>
      </c>
      <c r="Z1497">
        <f>IF($V1497="","",IF($AA1497&gt;N($AA1496),$AA1497,""))</f>
        <v/>
      </c>
      <c r="AA1497">
        <f>IF($V1497="",N($AA1496),IF(MATCH($V1497,$V$6:$V$6005,0)=ROW()-5,N($AA1496)+1,N($AA1496)))</f>
        <v/>
      </c>
    </row>
    <row r="1498" ht="21" customHeight="1" s="66">
      <c r="A1498" s="56" t="n"/>
      <c r="B1498" s="57" t="n"/>
      <c r="C1498" s="57" t="n"/>
      <c r="D1498" s="57" t="n"/>
      <c r="E1498" s="56" t="n"/>
      <c r="F1498" s="57" t="n"/>
      <c r="G1498" s="57" t="n"/>
      <c r="H1498" s="56" t="n"/>
      <c r="I1498" s="56" t="n"/>
      <c r="J1498" s="58" t="n"/>
      <c r="K1498" s="58" t="n"/>
      <c r="L1498" s="13">
        <f>IF(OR($A1498="",AND($J1498="",$K1498="")),"",ROUND(N($J1498)-N($K1498),2))</f>
        <v/>
      </c>
      <c r="M1498" s="13">
        <f>IF(OR($A1498="",AND($J1498="",$K1498="")),"",MIN($J1498,$K1498))</f>
        <v/>
      </c>
      <c r="Q1498">
        <f>IF($A1498="","",$D1498&amp;"("&amp;SUBSTITUTE($E1498," ","")&amp;")")</f>
        <v/>
      </c>
      <c r="R1498">
        <f>IF($A1498="","",$B1498&amp;" - "&amp;$C1498)</f>
        <v/>
      </c>
      <c r="S1498">
        <f>IF($A1498="","",$R1498&amp;"|"&amp;$Q1498)</f>
        <v/>
      </c>
      <c r="T1498">
        <f>IF($A1498="","",$S1498&amp;"|"&amp;$F1498)</f>
        <v/>
      </c>
      <c r="U1498">
        <f>IF($A1498="","",$R1498&amp;"("&amp;$E1498&amp;")")</f>
        <v/>
      </c>
      <c r="V1498">
        <f>IF($A1498="","",$F1498&amp;"|"&amp;$U1498&amp;"|"&amp;$D1498)</f>
        <v/>
      </c>
      <c r="W1498">
        <f>IF($T1498="","",IF($X1498&gt;N($X1497),$X1498,""))</f>
        <v/>
      </c>
      <c r="X1498">
        <f>IF($T1498="",N($X1497),IF(MATCH($T1498,$T$6:$T$6005,0)=ROW()-5,N($X1497)+1,N($X1497)))</f>
        <v/>
      </c>
      <c r="Z1498">
        <f>IF($V1498="","",IF($AA1498&gt;N($AA1497),$AA1498,""))</f>
        <v/>
      </c>
      <c r="AA1498">
        <f>IF($V1498="",N($AA1497),IF(MATCH($V1498,$V$6:$V$6005,0)=ROW()-5,N($AA1497)+1,N($AA1497)))</f>
        <v/>
      </c>
    </row>
    <row r="1499" ht="21" customHeight="1" s="66">
      <c r="A1499" s="56" t="n"/>
      <c r="B1499" s="57" t="n"/>
      <c r="C1499" s="57" t="n"/>
      <c r="D1499" s="57" t="n"/>
      <c r="E1499" s="56" t="n"/>
      <c r="F1499" s="57" t="n"/>
      <c r="G1499" s="57" t="n"/>
      <c r="H1499" s="56" t="n"/>
      <c r="I1499" s="56" t="n"/>
      <c r="J1499" s="58" t="n"/>
      <c r="K1499" s="58" t="n"/>
      <c r="L1499" s="13">
        <f>IF(OR($A1499="",AND($J1499="",$K1499="")),"",ROUND(N($J1499)-N($K1499),2))</f>
        <v/>
      </c>
      <c r="M1499" s="13">
        <f>IF(OR($A1499="",AND($J1499="",$K1499="")),"",MIN($J1499,$K1499))</f>
        <v/>
      </c>
      <c r="Q1499">
        <f>IF($A1499="","",$D1499&amp;"("&amp;SUBSTITUTE($E1499," ","")&amp;")")</f>
        <v/>
      </c>
      <c r="R1499">
        <f>IF($A1499="","",$B1499&amp;" - "&amp;$C1499)</f>
        <v/>
      </c>
      <c r="S1499">
        <f>IF($A1499="","",$R1499&amp;"|"&amp;$Q1499)</f>
        <v/>
      </c>
      <c r="T1499">
        <f>IF($A1499="","",$S1499&amp;"|"&amp;$F1499)</f>
        <v/>
      </c>
      <c r="U1499">
        <f>IF($A1499="","",$R1499&amp;"("&amp;$E1499&amp;")")</f>
        <v/>
      </c>
      <c r="V1499">
        <f>IF($A1499="","",$F1499&amp;"|"&amp;$U1499&amp;"|"&amp;$D1499)</f>
        <v/>
      </c>
      <c r="W1499">
        <f>IF($T1499="","",IF($X1499&gt;N($X1498),$X1499,""))</f>
        <v/>
      </c>
      <c r="X1499">
        <f>IF($T1499="",N($X1498),IF(MATCH($T1499,$T$6:$T$6005,0)=ROW()-5,N($X1498)+1,N($X1498)))</f>
        <v/>
      </c>
      <c r="Z1499">
        <f>IF($V1499="","",IF($AA1499&gt;N($AA1498),$AA1499,""))</f>
        <v/>
      </c>
      <c r="AA1499">
        <f>IF($V1499="",N($AA1498),IF(MATCH($V1499,$V$6:$V$6005,0)=ROW()-5,N($AA1498)+1,N($AA1498)))</f>
        <v/>
      </c>
    </row>
    <row r="1500" ht="21" customHeight="1" s="66">
      <c r="A1500" s="56" t="n"/>
      <c r="B1500" s="57" t="n"/>
      <c r="C1500" s="57" t="n"/>
      <c r="D1500" s="57" t="n"/>
      <c r="E1500" s="56" t="n"/>
      <c r="F1500" s="57" t="n"/>
      <c r="G1500" s="57" t="n"/>
      <c r="H1500" s="56" t="n"/>
      <c r="I1500" s="56" t="n"/>
      <c r="J1500" s="58" t="n"/>
      <c r="K1500" s="58" t="n"/>
      <c r="L1500" s="13">
        <f>IF(OR($A1500="",AND($J1500="",$K1500="")),"",ROUND(N($J1500)-N($K1500),2))</f>
        <v/>
      </c>
      <c r="M1500" s="13">
        <f>IF(OR($A1500="",AND($J1500="",$K1500="")),"",MIN($J1500,$K1500))</f>
        <v/>
      </c>
      <c r="Q1500">
        <f>IF($A1500="","",$D1500&amp;"("&amp;SUBSTITUTE($E1500," ","")&amp;")")</f>
        <v/>
      </c>
      <c r="R1500">
        <f>IF($A1500="","",$B1500&amp;" - "&amp;$C1500)</f>
        <v/>
      </c>
      <c r="S1500">
        <f>IF($A1500="","",$R1500&amp;"|"&amp;$Q1500)</f>
        <v/>
      </c>
      <c r="T1500">
        <f>IF($A1500="","",$S1500&amp;"|"&amp;$F1500)</f>
        <v/>
      </c>
      <c r="U1500">
        <f>IF($A1500="","",$R1500&amp;"("&amp;$E1500&amp;")")</f>
        <v/>
      </c>
      <c r="V1500">
        <f>IF($A1500="","",$F1500&amp;"|"&amp;$U1500&amp;"|"&amp;$D1500)</f>
        <v/>
      </c>
      <c r="W1500">
        <f>IF($T1500="","",IF($X1500&gt;N($X1499),$X1500,""))</f>
        <v/>
      </c>
      <c r="X1500">
        <f>IF($T1500="",N($X1499),IF(MATCH($T1500,$T$6:$T$6005,0)=ROW()-5,N($X1499)+1,N($X1499)))</f>
        <v/>
      </c>
      <c r="Z1500">
        <f>IF($V1500="","",IF($AA1500&gt;N($AA1499),$AA1500,""))</f>
        <v/>
      </c>
      <c r="AA1500">
        <f>IF($V1500="",N($AA1499),IF(MATCH($V1500,$V$6:$V$6005,0)=ROW()-5,N($AA1499)+1,N($AA1499)))</f>
        <v/>
      </c>
    </row>
    <row r="1501" ht="21" customHeight="1" s="66">
      <c r="A1501" s="56" t="n"/>
      <c r="B1501" s="57" t="n"/>
      <c r="C1501" s="57" t="n"/>
      <c r="D1501" s="57" t="n"/>
      <c r="E1501" s="56" t="n"/>
      <c r="F1501" s="57" t="n"/>
      <c r="G1501" s="57" t="n"/>
      <c r="H1501" s="56" t="n"/>
      <c r="I1501" s="56" t="n"/>
      <c r="J1501" s="58" t="n"/>
      <c r="K1501" s="58" t="n"/>
      <c r="L1501" s="13">
        <f>IF(OR($A1501="",AND($J1501="",$K1501="")),"",ROUND(N($J1501)-N($K1501),2))</f>
        <v/>
      </c>
      <c r="M1501" s="13">
        <f>IF(OR($A1501="",AND($J1501="",$K1501="")),"",MIN($J1501,$K1501))</f>
        <v/>
      </c>
      <c r="Q1501">
        <f>IF($A1501="","",$D1501&amp;"("&amp;SUBSTITUTE($E1501," ","")&amp;")")</f>
        <v/>
      </c>
      <c r="R1501">
        <f>IF($A1501="","",$B1501&amp;" - "&amp;$C1501)</f>
        <v/>
      </c>
      <c r="S1501">
        <f>IF($A1501="","",$R1501&amp;"|"&amp;$Q1501)</f>
        <v/>
      </c>
      <c r="T1501">
        <f>IF($A1501="","",$S1501&amp;"|"&amp;$F1501)</f>
        <v/>
      </c>
      <c r="U1501">
        <f>IF($A1501="","",$R1501&amp;"("&amp;$E1501&amp;")")</f>
        <v/>
      </c>
      <c r="V1501">
        <f>IF($A1501="","",$F1501&amp;"|"&amp;$U1501&amp;"|"&amp;$D1501)</f>
        <v/>
      </c>
      <c r="W1501">
        <f>IF($T1501="","",IF($X1501&gt;N($X1500),$X1501,""))</f>
        <v/>
      </c>
      <c r="X1501">
        <f>IF($T1501="",N($X1500),IF(MATCH($T1501,$T$6:$T$6005,0)=ROW()-5,N($X1500)+1,N($X1500)))</f>
        <v/>
      </c>
      <c r="Z1501">
        <f>IF($V1501="","",IF($AA1501&gt;N($AA1500),$AA1501,""))</f>
        <v/>
      </c>
      <c r="AA1501">
        <f>IF($V1501="",N($AA1500),IF(MATCH($V1501,$V$6:$V$6005,0)=ROW()-5,N($AA1500)+1,N($AA1500)))</f>
        <v/>
      </c>
    </row>
    <row r="1502" ht="21" customHeight="1" s="66">
      <c r="A1502" s="56" t="n"/>
      <c r="B1502" s="57" t="n"/>
      <c r="C1502" s="57" t="n"/>
      <c r="D1502" s="57" t="n"/>
      <c r="E1502" s="56" t="n"/>
      <c r="F1502" s="57" t="n"/>
      <c r="G1502" s="57" t="n"/>
      <c r="H1502" s="56" t="n"/>
      <c r="I1502" s="56" t="n"/>
      <c r="J1502" s="58" t="n"/>
      <c r="K1502" s="58" t="n"/>
      <c r="L1502" s="13">
        <f>IF(OR($A1502="",AND($J1502="",$K1502="")),"",ROUND(N($J1502)-N($K1502),2))</f>
        <v/>
      </c>
      <c r="M1502" s="13">
        <f>IF(OR($A1502="",AND($J1502="",$K1502="")),"",MIN($J1502,$K1502))</f>
        <v/>
      </c>
      <c r="Q1502">
        <f>IF($A1502="","",$D1502&amp;"("&amp;SUBSTITUTE($E1502," ","")&amp;")")</f>
        <v/>
      </c>
      <c r="R1502">
        <f>IF($A1502="","",$B1502&amp;" - "&amp;$C1502)</f>
        <v/>
      </c>
      <c r="S1502">
        <f>IF($A1502="","",$R1502&amp;"|"&amp;$Q1502)</f>
        <v/>
      </c>
      <c r="T1502">
        <f>IF($A1502="","",$S1502&amp;"|"&amp;$F1502)</f>
        <v/>
      </c>
      <c r="U1502">
        <f>IF($A1502="","",$R1502&amp;"("&amp;$E1502&amp;")")</f>
        <v/>
      </c>
      <c r="V1502">
        <f>IF($A1502="","",$F1502&amp;"|"&amp;$U1502&amp;"|"&amp;$D1502)</f>
        <v/>
      </c>
      <c r="W1502">
        <f>IF($T1502="","",IF($X1502&gt;N($X1501),$X1502,""))</f>
        <v/>
      </c>
      <c r="X1502">
        <f>IF($T1502="",N($X1501),IF(MATCH($T1502,$T$6:$T$6005,0)=ROW()-5,N($X1501)+1,N($X1501)))</f>
        <v/>
      </c>
      <c r="Z1502">
        <f>IF($V1502="","",IF($AA1502&gt;N($AA1501),$AA1502,""))</f>
        <v/>
      </c>
      <c r="AA1502">
        <f>IF($V1502="",N($AA1501),IF(MATCH($V1502,$V$6:$V$6005,0)=ROW()-5,N($AA1501)+1,N($AA1501)))</f>
        <v/>
      </c>
    </row>
    <row r="1503" ht="21" customHeight="1" s="66">
      <c r="A1503" s="56" t="n"/>
      <c r="B1503" s="57" t="n"/>
      <c r="C1503" s="57" t="n"/>
      <c r="D1503" s="57" t="n"/>
      <c r="E1503" s="56" t="n"/>
      <c r="F1503" s="57" t="n"/>
      <c r="G1503" s="57" t="n"/>
      <c r="H1503" s="56" t="n"/>
      <c r="I1503" s="56" t="n"/>
      <c r="J1503" s="58" t="n"/>
      <c r="K1503" s="58" t="n"/>
      <c r="L1503" s="13">
        <f>IF(OR($A1503="",AND($J1503="",$K1503="")),"",ROUND(N($J1503)-N($K1503),2))</f>
        <v/>
      </c>
      <c r="M1503" s="13">
        <f>IF(OR($A1503="",AND($J1503="",$K1503="")),"",MIN($J1503,$K1503))</f>
        <v/>
      </c>
      <c r="Q1503">
        <f>IF($A1503="","",$D1503&amp;"("&amp;SUBSTITUTE($E1503," ","")&amp;")")</f>
        <v/>
      </c>
      <c r="R1503">
        <f>IF($A1503="","",$B1503&amp;" - "&amp;$C1503)</f>
        <v/>
      </c>
      <c r="S1503">
        <f>IF($A1503="","",$R1503&amp;"|"&amp;$Q1503)</f>
        <v/>
      </c>
      <c r="T1503">
        <f>IF($A1503="","",$S1503&amp;"|"&amp;$F1503)</f>
        <v/>
      </c>
      <c r="U1503">
        <f>IF($A1503="","",$R1503&amp;"("&amp;$E1503&amp;")")</f>
        <v/>
      </c>
      <c r="V1503">
        <f>IF($A1503="","",$F1503&amp;"|"&amp;$U1503&amp;"|"&amp;$D1503)</f>
        <v/>
      </c>
      <c r="W1503">
        <f>IF($T1503="","",IF($X1503&gt;N($X1502),$X1503,""))</f>
        <v/>
      </c>
      <c r="X1503">
        <f>IF($T1503="",N($X1502),IF(MATCH($T1503,$T$6:$T$6005,0)=ROW()-5,N($X1502)+1,N($X1502)))</f>
        <v/>
      </c>
      <c r="Z1503">
        <f>IF($V1503="","",IF($AA1503&gt;N($AA1502),$AA1503,""))</f>
        <v/>
      </c>
      <c r="AA1503">
        <f>IF($V1503="",N($AA1502),IF(MATCH($V1503,$V$6:$V$6005,0)=ROW()-5,N($AA1502)+1,N($AA1502)))</f>
        <v/>
      </c>
    </row>
    <row r="1504" ht="21" customHeight="1" s="66">
      <c r="A1504" s="56" t="n"/>
      <c r="B1504" s="57" t="n"/>
      <c r="C1504" s="57" t="n"/>
      <c r="D1504" s="57" t="n"/>
      <c r="E1504" s="56" t="n"/>
      <c r="F1504" s="57" t="n"/>
      <c r="G1504" s="57" t="n"/>
      <c r="H1504" s="56" t="n"/>
      <c r="I1504" s="56" t="n"/>
      <c r="J1504" s="58" t="n"/>
      <c r="K1504" s="58" t="n"/>
      <c r="L1504" s="13">
        <f>IF(OR($A1504="",AND($J1504="",$K1504="")),"",ROUND(N($J1504)-N($K1504),2))</f>
        <v/>
      </c>
      <c r="M1504" s="13">
        <f>IF(OR($A1504="",AND($J1504="",$K1504="")),"",MIN($J1504,$K1504))</f>
        <v/>
      </c>
      <c r="Q1504">
        <f>IF($A1504="","",$D1504&amp;"("&amp;SUBSTITUTE($E1504," ","")&amp;")")</f>
        <v/>
      </c>
      <c r="R1504">
        <f>IF($A1504="","",$B1504&amp;" - "&amp;$C1504)</f>
        <v/>
      </c>
      <c r="S1504">
        <f>IF($A1504="","",$R1504&amp;"|"&amp;$Q1504)</f>
        <v/>
      </c>
      <c r="T1504">
        <f>IF($A1504="","",$S1504&amp;"|"&amp;$F1504)</f>
        <v/>
      </c>
      <c r="U1504">
        <f>IF($A1504="","",$R1504&amp;"("&amp;$E1504&amp;")")</f>
        <v/>
      </c>
      <c r="V1504">
        <f>IF($A1504="","",$F1504&amp;"|"&amp;$U1504&amp;"|"&amp;$D1504)</f>
        <v/>
      </c>
      <c r="W1504">
        <f>IF($T1504="","",IF($X1504&gt;N($X1503),$X1504,""))</f>
        <v/>
      </c>
      <c r="X1504">
        <f>IF($T1504="",N($X1503),IF(MATCH($T1504,$T$6:$T$6005,0)=ROW()-5,N($X1503)+1,N($X1503)))</f>
        <v/>
      </c>
      <c r="Z1504">
        <f>IF($V1504="","",IF($AA1504&gt;N($AA1503),$AA1504,""))</f>
        <v/>
      </c>
      <c r="AA1504">
        <f>IF($V1504="",N($AA1503),IF(MATCH($V1504,$V$6:$V$6005,0)=ROW()-5,N($AA1503)+1,N($AA1503)))</f>
        <v/>
      </c>
    </row>
    <row r="1505" ht="21" customHeight="1" s="66">
      <c r="A1505" s="56" t="n"/>
      <c r="B1505" s="57" t="n"/>
      <c r="C1505" s="57" t="n"/>
      <c r="D1505" s="57" t="n"/>
      <c r="E1505" s="56" t="n"/>
      <c r="F1505" s="57" t="n"/>
      <c r="G1505" s="57" t="n"/>
      <c r="H1505" s="56" t="n"/>
      <c r="I1505" s="56" t="n"/>
      <c r="J1505" s="58" t="n"/>
      <c r="K1505" s="58" t="n"/>
      <c r="L1505" s="13">
        <f>IF(OR($A1505="",AND($J1505="",$K1505="")),"",ROUND(N($J1505)-N($K1505),2))</f>
        <v/>
      </c>
      <c r="M1505" s="13">
        <f>IF(OR($A1505="",AND($J1505="",$K1505="")),"",MIN($J1505,$K1505))</f>
        <v/>
      </c>
      <c r="Q1505">
        <f>IF($A1505="","",$D1505&amp;"("&amp;SUBSTITUTE($E1505," ","")&amp;")")</f>
        <v/>
      </c>
      <c r="R1505">
        <f>IF($A1505="","",$B1505&amp;" - "&amp;$C1505)</f>
        <v/>
      </c>
      <c r="S1505">
        <f>IF($A1505="","",$R1505&amp;"|"&amp;$Q1505)</f>
        <v/>
      </c>
      <c r="T1505">
        <f>IF($A1505="","",$S1505&amp;"|"&amp;$F1505)</f>
        <v/>
      </c>
      <c r="U1505">
        <f>IF($A1505="","",$R1505&amp;"("&amp;$E1505&amp;")")</f>
        <v/>
      </c>
      <c r="V1505">
        <f>IF($A1505="","",$F1505&amp;"|"&amp;$U1505&amp;"|"&amp;$D1505)</f>
        <v/>
      </c>
      <c r="W1505">
        <f>IF($T1505="","",IF($X1505&gt;N($X1504),$X1505,""))</f>
        <v/>
      </c>
      <c r="X1505">
        <f>IF($T1505="",N($X1504),IF(MATCH($T1505,$T$6:$T$6005,0)=ROW()-5,N($X1504)+1,N($X1504)))</f>
        <v/>
      </c>
      <c r="Z1505">
        <f>IF($V1505="","",IF($AA1505&gt;N($AA1504),$AA1505,""))</f>
        <v/>
      </c>
      <c r="AA1505">
        <f>IF($V1505="",N($AA1504),IF(MATCH($V1505,$V$6:$V$6005,0)=ROW()-5,N($AA1504)+1,N($AA1504)))</f>
        <v/>
      </c>
    </row>
    <row r="1506" ht="21" customHeight="1" s="66">
      <c r="A1506" s="56" t="n"/>
      <c r="B1506" s="57" t="n"/>
      <c r="C1506" s="57" t="n"/>
      <c r="D1506" s="57" t="n"/>
      <c r="E1506" s="56" t="n"/>
      <c r="F1506" s="57" t="n"/>
      <c r="G1506" s="57" t="n"/>
      <c r="H1506" s="56" t="n"/>
      <c r="I1506" s="56" t="n"/>
      <c r="J1506" s="58" t="n"/>
      <c r="K1506" s="58" t="n"/>
      <c r="L1506" s="13">
        <f>IF(OR($A1506="",AND($J1506="",$K1506="")),"",ROUND(N($J1506)-N($K1506),2))</f>
        <v/>
      </c>
      <c r="M1506" s="13">
        <f>IF(OR($A1506="",AND($J1506="",$K1506="")),"",MIN($J1506,$K1506))</f>
        <v/>
      </c>
      <c r="Q1506">
        <f>IF($A1506="","",$D1506&amp;"("&amp;SUBSTITUTE($E1506," ","")&amp;")")</f>
        <v/>
      </c>
      <c r="R1506">
        <f>IF($A1506="","",$B1506&amp;" - "&amp;$C1506)</f>
        <v/>
      </c>
      <c r="S1506">
        <f>IF($A1506="","",$R1506&amp;"|"&amp;$Q1506)</f>
        <v/>
      </c>
      <c r="T1506">
        <f>IF($A1506="","",$S1506&amp;"|"&amp;$F1506)</f>
        <v/>
      </c>
      <c r="U1506">
        <f>IF($A1506="","",$R1506&amp;"("&amp;$E1506&amp;")")</f>
        <v/>
      </c>
      <c r="V1506">
        <f>IF($A1506="","",$F1506&amp;"|"&amp;$U1506&amp;"|"&amp;$D1506)</f>
        <v/>
      </c>
      <c r="W1506">
        <f>IF($T1506="","",IF($X1506&gt;N($X1505),$X1506,""))</f>
        <v/>
      </c>
      <c r="X1506">
        <f>IF($T1506="",N($X1505),IF(MATCH($T1506,$T$6:$T$6005,0)=ROW()-5,N($X1505)+1,N($X1505)))</f>
        <v/>
      </c>
      <c r="Z1506">
        <f>IF($V1506="","",IF($AA1506&gt;N($AA1505),$AA1506,""))</f>
        <v/>
      </c>
      <c r="AA1506">
        <f>IF($V1506="",N($AA1505),IF(MATCH($V1506,$V$6:$V$6005,0)=ROW()-5,N($AA1505)+1,N($AA1505)))</f>
        <v/>
      </c>
    </row>
    <row r="1507" ht="21" customHeight="1" s="66">
      <c r="A1507" s="56" t="n"/>
      <c r="B1507" s="57" t="n"/>
      <c r="C1507" s="57" t="n"/>
      <c r="D1507" s="57" t="n"/>
      <c r="E1507" s="56" t="n"/>
      <c r="F1507" s="57" t="n"/>
      <c r="G1507" s="57" t="n"/>
      <c r="H1507" s="56" t="n"/>
      <c r="I1507" s="56" t="n"/>
      <c r="J1507" s="58" t="n"/>
      <c r="K1507" s="58" t="n"/>
      <c r="L1507" s="13">
        <f>IF(OR($A1507="",AND($J1507="",$K1507="")),"",ROUND(N($J1507)-N($K1507),2))</f>
        <v/>
      </c>
      <c r="M1507" s="13">
        <f>IF(OR($A1507="",AND($J1507="",$K1507="")),"",MIN($J1507,$K1507))</f>
        <v/>
      </c>
      <c r="Q1507">
        <f>IF($A1507="","",$D1507&amp;"("&amp;SUBSTITUTE($E1507," ","")&amp;")")</f>
        <v/>
      </c>
      <c r="R1507">
        <f>IF($A1507="","",$B1507&amp;" - "&amp;$C1507)</f>
        <v/>
      </c>
      <c r="S1507">
        <f>IF($A1507="","",$R1507&amp;"|"&amp;$Q1507)</f>
        <v/>
      </c>
      <c r="T1507">
        <f>IF($A1507="","",$S1507&amp;"|"&amp;$F1507)</f>
        <v/>
      </c>
      <c r="U1507">
        <f>IF($A1507="","",$R1507&amp;"("&amp;$E1507&amp;")")</f>
        <v/>
      </c>
      <c r="V1507">
        <f>IF($A1507="","",$F1507&amp;"|"&amp;$U1507&amp;"|"&amp;$D1507)</f>
        <v/>
      </c>
      <c r="W1507">
        <f>IF($T1507="","",IF($X1507&gt;N($X1506),$X1507,""))</f>
        <v/>
      </c>
      <c r="X1507">
        <f>IF($T1507="",N($X1506),IF(MATCH($T1507,$T$6:$T$6005,0)=ROW()-5,N($X1506)+1,N($X1506)))</f>
        <v/>
      </c>
      <c r="Z1507">
        <f>IF($V1507="","",IF($AA1507&gt;N($AA1506),$AA1507,""))</f>
        <v/>
      </c>
      <c r="AA1507">
        <f>IF($V1507="",N($AA1506),IF(MATCH($V1507,$V$6:$V$6005,0)=ROW()-5,N($AA1506)+1,N($AA1506)))</f>
        <v/>
      </c>
    </row>
    <row r="1508" ht="21" customHeight="1" s="66">
      <c r="A1508" s="56" t="n"/>
      <c r="B1508" s="57" t="n"/>
      <c r="C1508" s="57" t="n"/>
      <c r="D1508" s="57" t="n"/>
      <c r="E1508" s="56" t="n"/>
      <c r="F1508" s="57" t="n"/>
      <c r="G1508" s="57" t="n"/>
      <c r="H1508" s="56" t="n"/>
      <c r="I1508" s="56" t="n"/>
      <c r="J1508" s="58" t="n"/>
      <c r="K1508" s="58" t="n"/>
      <c r="L1508" s="13">
        <f>IF(OR($A1508="",AND($J1508="",$K1508="")),"",ROUND(N($J1508)-N($K1508),2))</f>
        <v/>
      </c>
      <c r="M1508" s="13">
        <f>IF(OR($A1508="",AND($J1508="",$K1508="")),"",MIN($J1508,$K1508))</f>
        <v/>
      </c>
      <c r="Q1508">
        <f>IF($A1508="","",$D1508&amp;"("&amp;SUBSTITUTE($E1508," ","")&amp;")")</f>
        <v/>
      </c>
      <c r="R1508">
        <f>IF($A1508="","",$B1508&amp;" - "&amp;$C1508)</f>
        <v/>
      </c>
      <c r="S1508">
        <f>IF($A1508="","",$R1508&amp;"|"&amp;$Q1508)</f>
        <v/>
      </c>
      <c r="T1508">
        <f>IF($A1508="","",$S1508&amp;"|"&amp;$F1508)</f>
        <v/>
      </c>
      <c r="U1508">
        <f>IF($A1508="","",$R1508&amp;"("&amp;$E1508&amp;")")</f>
        <v/>
      </c>
      <c r="V1508">
        <f>IF($A1508="","",$F1508&amp;"|"&amp;$U1508&amp;"|"&amp;$D1508)</f>
        <v/>
      </c>
      <c r="W1508">
        <f>IF($T1508="","",IF($X1508&gt;N($X1507),$X1508,""))</f>
        <v/>
      </c>
      <c r="X1508">
        <f>IF($T1508="",N($X1507),IF(MATCH($T1508,$T$6:$T$6005,0)=ROW()-5,N($X1507)+1,N($X1507)))</f>
        <v/>
      </c>
      <c r="Z1508">
        <f>IF($V1508="","",IF($AA1508&gt;N($AA1507),$AA1508,""))</f>
        <v/>
      </c>
      <c r="AA1508">
        <f>IF($V1508="",N($AA1507),IF(MATCH($V1508,$V$6:$V$6005,0)=ROW()-5,N($AA1507)+1,N($AA1507)))</f>
        <v/>
      </c>
    </row>
    <row r="1509" ht="21" customHeight="1" s="66">
      <c r="A1509" s="56" t="n"/>
      <c r="B1509" s="57" t="n"/>
      <c r="C1509" s="57" t="n"/>
      <c r="D1509" s="57" t="n"/>
      <c r="E1509" s="56" t="n"/>
      <c r="F1509" s="57" t="n"/>
      <c r="G1509" s="57" t="n"/>
      <c r="H1509" s="56" t="n"/>
      <c r="I1509" s="56" t="n"/>
      <c r="J1509" s="58" t="n"/>
      <c r="K1509" s="58" t="n"/>
      <c r="L1509" s="13">
        <f>IF(OR($A1509="",AND($J1509="",$K1509="")),"",ROUND(N($J1509)-N($K1509),2))</f>
        <v/>
      </c>
      <c r="M1509" s="13">
        <f>IF(OR($A1509="",AND($J1509="",$K1509="")),"",MIN($J1509,$K1509))</f>
        <v/>
      </c>
      <c r="Q1509">
        <f>IF($A1509="","",$D1509&amp;"("&amp;SUBSTITUTE($E1509," ","")&amp;")")</f>
        <v/>
      </c>
      <c r="R1509">
        <f>IF($A1509="","",$B1509&amp;" - "&amp;$C1509)</f>
        <v/>
      </c>
      <c r="S1509">
        <f>IF($A1509="","",$R1509&amp;"|"&amp;$Q1509)</f>
        <v/>
      </c>
      <c r="T1509">
        <f>IF($A1509="","",$S1509&amp;"|"&amp;$F1509)</f>
        <v/>
      </c>
      <c r="U1509">
        <f>IF($A1509="","",$R1509&amp;"("&amp;$E1509&amp;")")</f>
        <v/>
      </c>
      <c r="V1509">
        <f>IF($A1509="","",$F1509&amp;"|"&amp;$U1509&amp;"|"&amp;$D1509)</f>
        <v/>
      </c>
      <c r="W1509">
        <f>IF($T1509="","",IF($X1509&gt;N($X1508),$X1509,""))</f>
        <v/>
      </c>
      <c r="X1509">
        <f>IF($T1509="",N($X1508),IF(MATCH($T1509,$T$6:$T$6005,0)=ROW()-5,N($X1508)+1,N($X1508)))</f>
        <v/>
      </c>
      <c r="Z1509">
        <f>IF($V1509="","",IF($AA1509&gt;N($AA1508),$AA1509,""))</f>
        <v/>
      </c>
      <c r="AA1509">
        <f>IF($V1509="",N($AA1508),IF(MATCH($V1509,$V$6:$V$6005,0)=ROW()-5,N($AA1508)+1,N($AA1508)))</f>
        <v/>
      </c>
    </row>
    <row r="1510" ht="21" customHeight="1" s="66">
      <c r="A1510" s="56" t="n"/>
      <c r="B1510" s="57" t="n"/>
      <c r="C1510" s="57" t="n"/>
      <c r="D1510" s="57" t="n"/>
      <c r="E1510" s="56" t="n"/>
      <c r="F1510" s="57" t="n"/>
      <c r="G1510" s="57" t="n"/>
      <c r="H1510" s="56" t="n"/>
      <c r="I1510" s="56" t="n"/>
      <c r="J1510" s="58" t="n"/>
      <c r="K1510" s="58" t="n"/>
      <c r="L1510" s="13">
        <f>IF(OR($A1510="",AND($J1510="",$K1510="")),"",ROUND(N($J1510)-N($K1510),2))</f>
        <v/>
      </c>
      <c r="M1510" s="13">
        <f>IF(OR($A1510="",AND($J1510="",$K1510="")),"",MIN($J1510,$K1510))</f>
        <v/>
      </c>
      <c r="Q1510">
        <f>IF($A1510="","",$D1510&amp;"("&amp;SUBSTITUTE($E1510," ","")&amp;")")</f>
        <v/>
      </c>
      <c r="R1510">
        <f>IF($A1510="","",$B1510&amp;" - "&amp;$C1510)</f>
        <v/>
      </c>
      <c r="S1510">
        <f>IF($A1510="","",$R1510&amp;"|"&amp;$Q1510)</f>
        <v/>
      </c>
      <c r="T1510">
        <f>IF($A1510="","",$S1510&amp;"|"&amp;$F1510)</f>
        <v/>
      </c>
      <c r="U1510">
        <f>IF($A1510="","",$R1510&amp;"("&amp;$E1510&amp;")")</f>
        <v/>
      </c>
      <c r="V1510">
        <f>IF($A1510="","",$F1510&amp;"|"&amp;$U1510&amp;"|"&amp;$D1510)</f>
        <v/>
      </c>
      <c r="W1510">
        <f>IF($T1510="","",IF($X1510&gt;N($X1509),$X1510,""))</f>
        <v/>
      </c>
      <c r="X1510">
        <f>IF($T1510="",N($X1509),IF(MATCH($T1510,$T$6:$T$6005,0)=ROW()-5,N($X1509)+1,N($X1509)))</f>
        <v/>
      </c>
      <c r="Z1510">
        <f>IF($V1510="","",IF($AA1510&gt;N($AA1509),$AA1510,""))</f>
        <v/>
      </c>
      <c r="AA1510">
        <f>IF($V1510="",N($AA1509),IF(MATCH($V1510,$V$6:$V$6005,0)=ROW()-5,N($AA1509)+1,N($AA1509)))</f>
        <v/>
      </c>
    </row>
    <row r="1511" ht="21" customHeight="1" s="66">
      <c r="A1511" s="56" t="n"/>
      <c r="B1511" s="57" t="n"/>
      <c r="C1511" s="57" t="n"/>
      <c r="D1511" s="57" t="n"/>
      <c r="E1511" s="56" t="n"/>
      <c r="F1511" s="57" t="n"/>
      <c r="G1511" s="57" t="n"/>
      <c r="H1511" s="56" t="n"/>
      <c r="I1511" s="56" t="n"/>
      <c r="J1511" s="58" t="n"/>
      <c r="K1511" s="58" t="n"/>
      <c r="L1511" s="13">
        <f>IF(OR($A1511="",AND($J1511="",$K1511="")),"",ROUND(N($J1511)-N($K1511),2))</f>
        <v/>
      </c>
      <c r="M1511" s="13">
        <f>IF(OR($A1511="",AND($J1511="",$K1511="")),"",MIN($J1511,$K1511))</f>
        <v/>
      </c>
      <c r="Q1511">
        <f>IF($A1511="","",$D1511&amp;"("&amp;SUBSTITUTE($E1511," ","")&amp;")")</f>
        <v/>
      </c>
      <c r="R1511">
        <f>IF($A1511="","",$B1511&amp;" - "&amp;$C1511)</f>
        <v/>
      </c>
      <c r="S1511">
        <f>IF($A1511="","",$R1511&amp;"|"&amp;$Q1511)</f>
        <v/>
      </c>
      <c r="T1511">
        <f>IF($A1511="","",$S1511&amp;"|"&amp;$F1511)</f>
        <v/>
      </c>
      <c r="U1511">
        <f>IF($A1511="","",$R1511&amp;"("&amp;$E1511&amp;")")</f>
        <v/>
      </c>
      <c r="V1511">
        <f>IF($A1511="","",$F1511&amp;"|"&amp;$U1511&amp;"|"&amp;$D1511)</f>
        <v/>
      </c>
      <c r="W1511">
        <f>IF($T1511="","",IF($X1511&gt;N($X1510),$X1511,""))</f>
        <v/>
      </c>
      <c r="X1511">
        <f>IF($T1511="",N($X1510),IF(MATCH($T1511,$T$6:$T$6005,0)=ROW()-5,N($X1510)+1,N($X1510)))</f>
        <v/>
      </c>
      <c r="Z1511">
        <f>IF($V1511="","",IF($AA1511&gt;N($AA1510),$AA1511,""))</f>
        <v/>
      </c>
      <c r="AA1511">
        <f>IF($V1511="",N($AA1510),IF(MATCH($V1511,$V$6:$V$6005,0)=ROW()-5,N($AA1510)+1,N($AA1510)))</f>
        <v/>
      </c>
    </row>
    <row r="1512" ht="21" customHeight="1" s="66">
      <c r="A1512" s="56" t="n"/>
      <c r="B1512" s="57" t="n"/>
      <c r="C1512" s="57" t="n"/>
      <c r="D1512" s="57" t="n"/>
      <c r="E1512" s="56" t="n"/>
      <c r="F1512" s="57" t="n"/>
      <c r="G1512" s="57" t="n"/>
      <c r="H1512" s="56" t="n"/>
      <c r="I1512" s="56" t="n"/>
      <c r="J1512" s="58" t="n"/>
      <c r="K1512" s="58" t="n"/>
      <c r="L1512" s="13">
        <f>IF(OR($A1512="",AND($J1512="",$K1512="")),"",ROUND(N($J1512)-N($K1512),2))</f>
        <v/>
      </c>
      <c r="M1512" s="13">
        <f>IF(OR($A1512="",AND($J1512="",$K1512="")),"",MIN($J1512,$K1512))</f>
        <v/>
      </c>
      <c r="Q1512">
        <f>IF($A1512="","",$D1512&amp;"("&amp;SUBSTITUTE($E1512," ","")&amp;")")</f>
        <v/>
      </c>
      <c r="R1512">
        <f>IF($A1512="","",$B1512&amp;" - "&amp;$C1512)</f>
        <v/>
      </c>
      <c r="S1512">
        <f>IF($A1512="","",$R1512&amp;"|"&amp;$Q1512)</f>
        <v/>
      </c>
      <c r="T1512">
        <f>IF($A1512="","",$S1512&amp;"|"&amp;$F1512)</f>
        <v/>
      </c>
      <c r="U1512">
        <f>IF($A1512="","",$R1512&amp;"("&amp;$E1512&amp;")")</f>
        <v/>
      </c>
      <c r="V1512">
        <f>IF($A1512="","",$F1512&amp;"|"&amp;$U1512&amp;"|"&amp;$D1512)</f>
        <v/>
      </c>
      <c r="W1512">
        <f>IF($T1512="","",IF($X1512&gt;N($X1511),$X1512,""))</f>
        <v/>
      </c>
      <c r="X1512">
        <f>IF($T1512="",N($X1511),IF(MATCH($T1512,$T$6:$T$6005,0)=ROW()-5,N($X1511)+1,N($X1511)))</f>
        <v/>
      </c>
      <c r="Z1512">
        <f>IF($V1512="","",IF($AA1512&gt;N($AA1511),$AA1512,""))</f>
        <v/>
      </c>
      <c r="AA1512">
        <f>IF($V1512="",N($AA1511),IF(MATCH($V1512,$V$6:$V$6005,0)=ROW()-5,N($AA1511)+1,N($AA1511)))</f>
        <v/>
      </c>
    </row>
    <row r="1513" ht="21" customHeight="1" s="66">
      <c r="A1513" s="56" t="n"/>
      <c r="B1513" s="57" t="n"/>
      <c r="C1513" s="57" t="n"/>
      <c r="D1513" s="57" t="n"/>
      <c r="E1513" s="56" t="n"/>
      <c r="F1513" s="57" t="n"/>
      <c r="G1513" s="57" t="n"/>
      <c r="H1513" s="56" t="n"/>
      <c r="I1513" s="56" t="n"/>
      <c r="J1513" s="58" t="n"/>
      <c r="K1513" s="58" t="n"/>
      <c r="L1513" s="13">
        <f>IF(OR($A1513="",AND($J1513="",$K1513="")),"",ROUND(N($J1513)-N($K1513),2))</f>
        <v/>
      </c>
      <c r="M1513" s="13">
        <f>IF(OR($A1513="",AND($J1513="",$K1513="")),"",MIN($J1513,$K1513))</f>
        <v/>
      </c>
      <c r="Q1513">
        <f>IF($A1513="","",$D1513&amp;"("&amp;SUBSTITUTE($E1513," ","")&amp;")")</f>
        <v/>
      </c>
      <c r="R1513">
        <f>IF($A1513="","",$B1513&amp;" - "&amp;$C1513)</f>
        <v/>
      </c>
      <c r="S1513">
        <f>IF($A1513="","",$R1513&amp;"|"&amp;$Q1513)</f>
        <v/>
      </c>
      <c r="T1513">
        <f>IF($A1513="","",$S1513&amp;"|"&amp;$F1513)</f>
        <v/>
      </c>
      <c r="U1513">
        <f>IF($A1513="","",$R1513&amp;"("&amp;$E1513&amp;")")</f>
        <v/>
      </c>
      <c r="V1513">
        <f>IF($A1513="","",$F1513&amp;"|"&amp;$U1513&amp;"|"&amp;$D1513)</f>
        <v/>
      </c>
      <c r="W1513">
        <f>IF($T1513="","",IF($X1513&gt;N($X1512),$X1513,""))</f>
        <v/>
      </c>
      <c r="X1513">
        <f>IF($T1513="",N($X1512),IF(MATCH($T1513,$T$6:$T$6005,0)=ROW()-5,N($X1512)+1,N($X1512)))</f>
        <v/>
      </c>
      <c r="Z1513">
        <f>IF($V1513="","",IF($AA1513&gt;N($AA1512),$AA1513,""))</f>
        <v/>
      </c>
      <c r="AA1513">
        <f>IF($V1513="",N($AA1512),IF(MATCH($V1513,$V$6:$V$6005,0)=ROW()-5,N($AA1512)+1,N($AA1512)))</f>
        <v/>
      </c>
    </row>
    <row r="1514" ht="21" customHeight="1" s="66">
      <c r="A1514" s="56" t="n"/>
      <c r="B1514" s="57" t="n"/>
      <c r="C1514" s="57" t="n"/>
      <c r="D1514" s="57" t="n"/>
      <c r="E1514" s="56" t="n"/>
      <c r="F1514" s="57" t="n"/>
      <c r="G1514" s="57" t="n"/>
      <c r="H1514" s="56" t="n"/>
      <c r="I1514" s="56" t="n"/>
      <c r="J1514" s="58" t="n"/>
      <c r="K1514" s="58" t="n"/>
      <c r="L1514" s="13">
        <f>IF(OR($A1514="",AND($J1514="",$K1514="")),"",ROUND(N($J1514)-N($K1514),2))</f>
        <v/>
      </c>
      <c r="M1514" s="13">
        <f>IF(OR($A1514="",AND($J1514="",$K1514="")),"",MIN($J1514,$K1514))</f>
        <v/>
      </c>
      <c r="Q1514">
        <f>IF($A1514="","",$D1514&amp;"("&amp;SUBSTITUTE($E1514," ","")&amp;")")</f>
        <v/>
      </c>
      <c r="R1514">
        <f>IF($A1514="","",$B1514&amp;" - "&amp;$C1514)</f>
        <v/>
      </c>
      <c r="S1514">
        <f>IF($A1514="","",$R1514&amp;"|"&amp;$Q1514)</f>
        <v/>
      </c>
      <c r="T1514">
        <f>IF($A1514="","",$S1514&amp;"|"&amp;$F1514)</f>
        <v/>
      </c>
      <c r="U1514">
        <f>IF($A1514="","",$R1514&amp;"("&amp;$E1514&amp;")")</f>
        <v/>
      </c>
      <c r="V1514">
        <f>IF($A1514="","",$F1514&amp;"|"&amp;$U1514&amp;"|"&amp;$D1514)</f>
        <v/>
      </c>
      <c r="W1514">
        <f>IF($T1514="","",IF($X1514&gt;N($X1513),$X1514,""))</f>
        <v/>
      </c>
      <c r="X1514">
        <f>IF($T1514="",N($X1513),IF(MATCH($T1514,$T$6:$T$6005,0)=ROW()-5,N($X1513)+1,N($X1513)))</f>
        <v/>
      </c>
      <c r="Z1514">
        <f>IF($V1514="","",IF($AA1514&gt;N($AA1513),$AA1514,""))</f>
        <v/>
      </c>
      <c r="AA1514">
        <f>IF($V1514="",N($AA1513),IF(MATCH($V1514,$V$6:$V$6005,0)=ROW()-5,N($AA1513)+1,N($AA1513)))</f>
        <v/>
      </c>
    </row>
    <row r="1515" ht="21" customHeight="1" s="66">
      <c r="A1515" s="56" t="n"/>
      <c r="B1515" s="57" t="n"/>
      <c r="C1515" s="57" t="n"/>
      <c r="D1515" s="57" t="n"/>
      <c r="E1515" s="56" t="n"/>
      <c r="F1515" s="57" t="n"/>
      <c r="G1515" s="57" t="n"/>
      <c r="H1515" s="56" t="n"/>
      <c r="I1515" s="56" t="n"/>
      <c r="J1515" s="58" t="n"/>
      <c r="K1515" s="58" t="n"/>
      <c r="L1515" s="13">
        <f>IF(OR($A1515="",AND($J1515="",$K1515="")),"",ROUND(N($J1515)-N($K1515),2))</f>
        <v/>
      </c>
      <c r="M1515" s="13">
        <f>IF(OR($A1515="",AND($J1515="",$K1515="")),"",MIN($J1515,$K1515))</f>
        <v/>
      </c>
      <c r="Q1515">
        <f>IF($A1515="","",$D1515&amp;"("&amp;SUBSTITUTE($E1515," ","")&amp;")")</f>
        <v/>
      </c>
      <c r="R1515">
        <f>IF($A1515="","",$B1515&amp;" - "&amp;$C1515)</f>
        <v/>
      </c>
      <c r="S1515">
        <f>IF($A1515="","",$R1515&amp;"|"&amp;$Q1515)</f>
        <v/>
      </c>
      <c r="T1515">
        <f>IF($A1515="","",$S1515&amp;"|"&amp;$F1515)</f>
        <v/>
      </c>
      <c r="U1515">
        <f>IF($A1515="","",$R1515&amp;"("&amp;$E1515&amp;")")</f>
        <v/>
      </c>
      <c r="V1515">
        <f>IF($A1515="","",$F1515&amp;"|"&amp;$U1515&amp;"|"&amp;$D1515)</f>
        <v/>
      </c>
      <c r="W1515">
        <f>IF($T1515="","",IF($X1515&gt;N($X1514),$X1515,""))</f>
        <v/>
      </c>
      <c r="X1515">
        <f>IF($T1515="",N($X1514),IF(MATCH($T1515,$T$6:$T$6005,0)=ROW()-5,N($X1514)+1,N($X1514)))</f>
        <v/>
      </c>
      <c r="Z1515">
        <f>IF($V1515="","",IF($AA1515&gt;N($AA1514),$AA1515,""))</f>
        <v/>
      </c>
      <c r="AA1515">
        <f>IF($V1515="",N($AA1514),IF(MATCH($V1515,$V$6:$V$6005,0)=ROW()-5,N($AA1514)+1,N($AA1514)))</f>
        <v/>
      </c>
    </row>
    <row r="1516" ht="21" customHeight="1" s="66">
      <c r="A1516" s="56" t="n"/>
      <c r="B1516" s="57" t="n"/>
      <c r="C1516" s="57" t="n"/>
      <c r="D1516" s="57" t="n"/>
      <c r="E1516" s="56" t="n"/>
      <c r="F1516" s="57" t="n"/>
      <c r="G1516" s="57" t="n"/>
      <c r="H1516" s="56" t="n"/>
      <c r="I1516" s="56" t="n"/>
      <c r="J1516" s="58" t="n"/>
      <c r="K1516" s="58" t="n"/>
      <c r="L1516" s="13">
        <f>IF(OR($A1516="",AND($J1516="",$K1516="")),"",ROUND(N($J1516)-N($K1516),2))</f>
        <v/>
      </c>
      <c r="M1516" s="13">
        <f>IF(OR($A1516="",AND($J1516="",$K1516="")),"",MIN($J1516,$K1516))</f>
        <v/>
      </c>
      <c r="Q1516">
        <f>IF($A1516="","",$D1516&amp;"("&amp;SUBSTITUTE($E1516," ","")&amp;")")</f>
        <v/>
      </c>
      <c r="R1516">
        <f>IF($A1516="","",$B1516&amp;" - "&amp;$C1516)</f>
        <v/>
      </c>
      <c r="S1516">
        <f>IF($A1516="","",$R1516&amp;"|"&amp;$Q1516)</f>
        <v/>
      </c>
      <c r="T1516">
        <f>IF($A1516="","",$S1516&amp;"|"&amp;$F1516)</f>
        <v/>
      </c>
      <c r="U1516">
        <f>IF($A1516="","",$R1516&amp;"("&amp;$E1516&amp;")")</f>
        <v/>
      </c>
      <c r="V1516">
        <f>IF($A1516="","",$F1516&amp;"|"&amp;$U1516&amp;"|"&amp;$D1516)</f>
        <v/>
      </c>
      <c r="W1516">
        <f>IF($T1516="","",IF($X1516&gt;N($X1515),$X1516,""))</f>
        <v/>
      </c>
      <c r="X1516">
        <f>IF($T1516="",N($X1515),IF(MATCH($T1516,$T$6:$T$6005,0)=ROW()-5,N($X1515)+1,N($X1515)))</f>
        <v/>
      </c>
      <c r="Z1516">
        <f>IF($V1516="","",IF($AA1516&gt;N($AA1515),$AA1516,""))</f>
        <v/>
      </c>
      <c r="AA1516">
        <f>IF($V1516="",N($AA1515),IF(MATCH($V1516,$V$6:$V$6005,0)=ROW()-5,N($AA1515)+1,N($AA1515)))</f>
        <v/>
      </c>
    </row>
    <row r="1517" ht="21" customHeight="1" s="66">
      <c r="A1517" s="56" t="n"/>
      <c r="B1517" s="57" t="n"/>
      <c r="C1517" s="57" t="n"/>
      <c r="D1517" s="57" t="n"/>
      <c r="E1517" s="56" t="n"/>
      <c r="F1517" s="57" t="n"/>
      <c r="G1517" s="57" t="n"/>
      <c r="H1517" s="56" t="n"/>
      <c r="I1517" s="56" t="n"/>
      <c r="J1517" s="58" t="n"/>
      <c r="K1517" s="58" t="n"/>
      <c r="L1517" s="13">
        <f>IF(OR($A1517="",AND($J1517="",$K1517="")),"",ROUND(N($J1517)-N($K1517),2))</f>
        <v/>
      </c>
      <c r="M1517" s="13">
        <f>IF(OR($A1517="",AND($J1517="",$K1517="")),"",MIN($J1517,$K1517))</f>
        <v/>
      </c>
      <c r="Q1517">
        <f>IF($A1517="","",$D1517&amp;"("&amp;SUBSTITUTE($E1517," ","")&amp;")")</f>
        <v/>
      </c>
      <c r="R1517">
        <f>IF($A1517="","",$B1517&amp;" - "&amp;$C1517)</f>
        <v/>
      </c>
      <c r="S1517">
        <f>IF($A1517="","",$R1517&amp;"|"&amp;$Q1517)</f>
        <v/>
      </c>
      <c r="T1517">
        <f>IF($A1517="","",$S1517&amp;"|"&amp;$F1517)</f>
        <v/>
      </c>
      <c r="U1517">
        <f>IF($A1517="","",$R1517&amp;"("&amp;$E1517&amp;")")</f>
        <v/>
      </c>
      <c r="V1517">
        <f>IF($A1517="","",$F1517&amp;"|"&amp;$U1517&amp;"|"&amp;$D1517)</f>
        <v/>
      </c>
      <c r="W1517">
        <f>IF($T1517="","",IF($X1517&gt;N($X1516),$X1517,""))</f>
        <v/>
      </c>
      <c r="X1517">
        <f>IF($T1517="",N($X1516),IF(MATCH($T1517,$T$6:$T$6005,0)=ROW()-5,N($X1516)+1,N($X1516)))</f>
        <v/>
      </c>
      <c r="Z1517">
        <f>IF($V1517="","",IF($AA1517&gt;N($AA1516),$AA1517,""))</f>
        <v/>
      </c>
      <c r="AA1517">
        <f>IF($V1517="",N($AA1516),IF(MATCH($V1517,$V$6:$V$6005,0)=ROW()-5,N($AA1516)+1,N($AA1516)))</f>
        <v/>
      </c>
    </row>
    <row r="1518" ht="21" customHeight="1" s="66">
      <c r="A1518" s="56" t="n"/>
      <c r="B1518" s="57" t="n"/>
      <c r="C1518" s="57" t="n"/>
      <c r="D1518" s="57" t="n"/>
      <c r="E1518" s="56" t="n"/>
      <c r="F1518" s="57" t="n"/>
      <c r="G1518" s="57" t="n"/>
      <c r="H1518" s="56" t="n"/>
      <c r="I1518" s="56" t="n"/>
      <c r="J1518" s="58" t="n"/>
      <c r="K1518" s="58" t="n"/>
      <c r="L1518" s="13">
        <f>IF(OR($A1518="",AND($J1518="",$K1518="")),"",ROUND(N($J1518)-N($K1518),2))</f>
        <v/>
      </c>
      <c r="M1518" s="13">
        <f>IF(OR($A1518="",AND($J1518="",$K1518="")),"",MIN($J1518,$K1518))</f>
        <v/>
      </c>
      <c r="Q1518">
        <f>IF($A1518="","",$D1518&amp;"("&amp;SUBSTITUTE($E1518," ","")&amp;")")</f>
        <v/>
      </c>
      <c r="R1518">
        <f>IF($A1518="","",$B1518&amp;" - "&amp;$C1518)</f>
        <v/>
      </c>
      <c r="S1518">
        <f>IF($A1518="","",$R1518&amp;"|"&amp;$Q1518)</f>
        <v/>
      </c>
      <c r="T1518">
        <f>IF($A1518="","",$S1518&amp;"|"&amp;$F1518)</f>
        <v/>
      </c>
      <c r="U1518">
        <f>IF($A1518="","",$R1518&amp;"("&amp;$E1518&amp;")")</f>
        <v/>
      </c>
      <c r="V1518">
        <f>IF($A1518="","",$F1518&amp;"|"&amp;$U1518&amp;"|"&amp;$D1518)</f>
        <v/>
      </c>
      <c r="W1518">
        <f>IF($T1518="","",IF($X1518&gt;N($X1517),$X1518,""))</f>
        <v/>
      </c>
      <c r="X1518">
        <f>IF($T1518="",N($X1517),IF(MATCH($T1518,$T$6:$T$6005,0)=ROW()-5,N($X1517)+1,N($X1517)))</f>
        <v/>
      </c>
      <c r="Z1518">
        <f>IF($V1518="","",IF($AA1518&gt;N($AA1517),$AA1518,""))</f>
        <v/>
      </c>
      <c r="AA1518">
        <f>IF($V1518="",N($AA1517),IF(MATCH($V1518,$V$6:$V$6005,0)=ROW()-5,N($AA1517)+1,N($AA1517)))</f>
        <v/>
      </c>
    </row>
    <row r="1519" ht="21" customHeight="1" s="66">
      <c r="A1519" s="56" t="n"/>
      <c r="B1519" s="57" t="n"/>
      <c r="C1519" s="57" t="n"/>
      <c r="D1519" s="57" t="n"/>
      <c r="E1519" s="56" t="n"/>
      <c r="F1519" s="57" t="n"/>
      <c r="G1519" s="57" t="n"/>
      <c r="H1519" s="56" t="n"/>
      <c r="I1519" s="56" t="n"/>
      <c r="J1519" s="58" t="n"/>
      <c r="K1519" s="58" t="n"/>
      <c r="L1519" s="13">
        <f>IF(OR($A1519="",AND($J1519="",$K1519="")),"",ROUND(N($J1519)-N($K1519),2))</f>
        <v/>
      </c>
      <c r="M1519" s="13">
        <f>IF(OR($A1519="",AND($J1519="",$K1519="")),"",MIN($J1519,$K1519))</f>
        <v/>
      </c>
      <c r="Q1519">
        <f>IF($A1519="","",$D1519&amp;"("&amp;SUBSTITUTE($E1519," ","")&amp;")")</f>
        <v/>
      </c>
      <c r="R1519">
        <f>IF($A1519="","",$B1519&amp;" - "&amp;$C1519)</f>
        <v/>
      </c>
      <c r="S1519">
        <f>IF($A1519="","",$R1519&amp;"|"&amp;$Q1519)</f>
        <v/>
      </c>
      <c r="T1519">
        <f>IF($A1519="","",$S1519&amp;"|"&amp;$F1519)</f>
        <v/>
      </c>
      <c r="U1519">
        <f>IF($A1519="","",$R1519&amp;"("&amp;$E1519&amp;")")</f>
        <v/>
      </c>
      <c r="V1519">
        <f>IF($A1519="","",$F1519&amp;"|"&amp;$U1519&amp;"|"&amp;$D1519)</f>
        <v/>
      </c>
      <c r="W1519">
        <f>IF($T1519="","",IF($X1519&gt;N($X1518),$X1519,""))</f>
        <v/>
      </c>
      <c r="X1519">
        <f>IF($T1519="",N($X1518),IF(MATCH($T1519,$T$6:$T$6005,0)=ROW()-5,N($X1518)+1,N($X1518)))</f>
        <v/>
      </c>
      <c r="Z1519">
        <f>IF($V1519="","",IF($AA1519&gt;N($AA1518),$AA1519,""))</f>
        <v/>
      </c>
      <c r="AA1519">
        <f>IF($V1519="",N($AA1518),IF(MATCH($V1519,$V$6:$V$6005,0)=ROW()-5,N($AA1518)+1,N($AA1518)))</f>
        <v/>
      </c>
    </row>
    <row r="1520" ht="21" customHeight="1" s="66">
      <c r="A1520" s="56" t="n"/>
      <c r="B1520" s="57" t="n"/>
      <c r="C1520" s="57" t="n"/>
      <c r="D1520" s="57" t="n"/>
      <c r="E1520" s="56" t="n"/>
      <c r="F1520" s="57" t="n"/>
      <c r="G1520" s="57" t="n"/>
      <c r="H1520" s="56" t="n"/>
      <c r="I1520" s="56" t="n"/>
      <c r="J1520" s="58" t="n"/>
      <c r="K1520" s="58" t="n"/>
      <c r="L1520" s="13">
        <f>IF(OR($A1520="",AND($J1520="",$K1520="")),"",ROUND(N($J1520)-N($K1520),2))</f>
        <v/>
      </c>
      <c r="M1520" s="13">
        <f>IF(OR($A1520="",AND($J1520="",$K1520="")),"",MIN($J1520,$K1520))</f>
        <v/>
      </c>
      <c r="Q1520">
        <f>IF($A1520="","",$D1520&amp;"("&amp;SUBSTITUTE($E1520," ","")&amp;")")</f>
        <v/>
      </c>
      <c r="R1520">
        <f>IF($A1520="","",$B1520&amp;" - "&amp;$C1520)</f>
        <v/>
      </c>
      <c r="S1520">
        <f>IF($A1520="","",$R1520&amp;"|"&amp;$Q1520)</f>
        <v/>
      </c>
      <c r="T1520">
        <f>IF($A1520="","",$S1520&amp;"|"&amp;$F1520)</f>
        <v/>
      </c>
      <c r="U1520">
        <f>IF($A1520="","",$R1520&amp;"("&amp;$E1520&amp;")")</f>
        <v/>
      </c>
      <c r="V1520">
        <f>IF($A1520="","",$F1520&amp;"|"&amp;$U1520&amp;"|"&amp;$D1520)</f>
        <v/>
      </c>
      <c r="W1520">
        <f>IF($T1520="","",IF($X1520&gt;N($X1519),$X1520,""))</f>
        <v/>
      </c>
      <c r="X1520">
        <f>IF($T1520="",N($X1519),IF(MATCH($T1520,$T$6:$T$6005,0)=ROW()-5,N($X1519)+1,N($X1519)))</f>
        <v/>
      </c>
      <c r="Z1520">
        <f>IF($V1520="","",IF($AA1520&gt;N($AA1519),$AA1520,""))</f>
        <v/>
      </c>
      <c r="AA1520">
        <f>IF($V1520="",N($AA1519),IF(MATCH($V1520,$V$6:$V$6005,0)=ROW()-5,N($AA1519)+1,N($AA1519)))</f>
        <v/>
      </c>
    </row>
    <row r="1521" ht="21" customHeight="1" s="66">
      <c r="A1521" s="56" t="n"/>
      <c r="B1521" s="57" t="n"/>
      <c r="C1521" s="57" t="n"/>
      <c r="D1521" s="57" t="n"/>
      <c r="E1521" s="56" t="n"/>
      <c r="F1521" s="57" t="n"/>
      <c r="G1521" s="57" t="n"/>
      <c r="H1521" s="56" t="n"/>
      <c r="I1521" s="56" t="n"/>
      <c r="J1521" s="58" t="n"/>
      <c r="K1521" s="58" t="n"/>
      <c r="L1521" s="13">
        <f>IF(OR($A1521="",AND($J1521="",$K1521="")),"",ROUND(N($J1521)-N($K1521),2))</f>
        <v/>
      </c>
      <c r="M1521" s="13">
        <f>IF(OR($A1521="",AND($J1521="",$K1521="")),"",MIN($J1521,$K1521))</f>
        <v/>
      </c>
      <c r="Q1521">
        <f>IF($A1521="","",$D1521&amp;"("&amp;SUBSTITUTE($E1521," ","")&amp;")")</f>
        <v/>
      </c>
      <c r="R1521">
        <f>IF($A1521="","",$B1521&amp;" - "&amp;$C1521)</f>
        <v/>
      </c>
      <c r="S1521">
        <f>IF($A1521="","",$R1521&amp;"|"&amp;$Q1521)</f>
        <v/>
      </c>
      <c r="T1521">
        <f>IF($A1521="","",$S1521&amp;"|"&amp;$F1521)</f>
        <v/>
      </c>
      <c r="U1521">
        <f>IF($A1521="","",$R1521&amp;"("&amp;$E1521&amp;")")</f>
        <v/>
      </c>
      <c r="V1521">
        <f>IF($A1521="","",$F1521&amp;"|"&amp;$U1521&amp;"|"&amp;$D1521)</f>
        <v/>
      </c>
      <c r="W1521">
        <f>IF($T1521="","",IF($X1521&gt;N($X1520),$X1521,""))</f>
        <v/>
      </c>
      <c r="X1521">
        <f>IF($T1521="",N($X1520),IF(MATCH($T1521,$T$6:$T$6005,0)=ROW()-5,N($X1520)+1,N($X1520)))</f>
        <v/>
      </c>
      <c r="Z1521">
        <f>IF($V1521="","",IF($AA1521&gt;N($AA1520),$AA1521,""))</f>
        <v/>
      </c>
      <c r="AA1521">
        <f>IF($V1521="",N($AA1520),IF(MATCH($V1521,$V$6:$V$6005,0)=ROW()-5,N($AA1520)+1,N($AA1520)))</f>
        <v/>
      </c>
    </row>
    <row r="1522" ht="21" customHeight="1" s="66">
      <c r="A1522" s="56" t="n"/>
      <c r="B1522" s="57" t="n"/>
      <c r="C1522" s="57" t="n"/>
      <c r="D1522" s="57" t="n"/>
      <c r="E1522" s="56" t="n"/>
      <c r="F1522" s="57" t="n"/>
      <c r="G1522" s="57" t="n"/>
      <c r="H1522" s="56" t="n"/>
      <c r="I1522" s="56" t="n"/>
      <c r="J1522" s="58" t="n"/>
      <c r="K1522" s="58" t="n"/>
      <c r="L1522" s="13">
        <f>IF(OR($A1522="",AND($J1522="",$K1522="")),"",ROUND(N($J1522)-N($K1522),2))</f>
        <v/>
      </c>
      <c r="M1522" s="13">
        <f>IF(OR($A1522="",AND($J1522="",$K1522="")),"",MIN($J1522,$K1522))</f>
        <v/>
      </c>
      <c r="Q1522">
        <f>IF($A1522="","",$D1522&amp;"("&amp;SUBSTITUTE($E1522," ","")&amp;")")</f>
        <v/>
      </c>
      <c r="R1522">
        <f>IF($A1522="","",$B1522&amp;" - "&amp;$C1522)</f>
        <v/>
      </c>
      <c r="S1522">
        <f>IF($A1522="","",$R1522&amp;"|"&amp;$Q1522)</f>
        <v/>
      </c>
      <c r="T1522">
        <f>IF($A1522="","",$S1522&amp;"|"&amp;$F1522)</f>
        <v/>
      </c>
      <c r="U1522">
        <f>IF($A1522="","",$R1522&amp;"("&amp;$E1522&amp;")")</f>
        <v/>
      </c>
      <c r="V1522">
        <f>IF($A1522="","",$F1522&amp;"|"&amp;$U1522&amp;"|"&amp;$D1522)</f>
        <v/>
      </c>
      <c r="W1522">
        <f>IF($T1522="","",IF($X1522&gt;N($X1521),$X1522,""))</f>
        <v/>
      </c>
      <c r="X1522">
        <f>IF($T1522="",N($X1521),IF(MATCH($T1522,$T$6:$T$6005,0)=ROW()-5,N($X1521)+1,N($X1521)))</f>
        <v/>
      </c>
      <c r="Z1522">
        <f>IF($V1522="","",IF($AA1522&gt;N($AA1521),$AA1522,""))</f>
        <v/>
      </c>
      <c r="AA1522">
        <f>IF($V1522="",N($AA1521),IF(MATCH($V1522,$V$6:$V$6005,0)=ROW()-5,N($AA1521)+1,N($AA1521)))</f>
        <v/>
      </c>
    </row>
    <row r="1523" ht="21" customHeight="1" s="66">
      <c r="A1523" s="56" t="n"/>
      <c r="B1523" s="57" t="n"/>
      <c r="C1523" s="57" t="n"/>
      <c r="D1523" s="57" t="n"/>
      <c r="E1523" s="56" t="n"/>
      <c r="F1523" s="57" t="n"/>
      <c r="G1523" s="57" t="n"/>
      <c r="H1523" s="56" t="n"/>
      <c r="I1523" s="56" t="n"/>
      <c r="J1523" s="58" t="n"/>
      <c r="K1523" s="58" t="n"/>
      <c r="L1523" s="13">
        <f>IF(OR($A1523="",AND($J1523="",$K1523="")),"",ROUND(N($J1523)-N($K1523),2))</f>
        <v/>
      </c>
      <c r="M1523" s="13">
        <f>IF(OR($A1523="",AND($J1523="",$K1523="")),"",MIN($J1523,$K1523))</f>
        <v/>
      </c>
      <c r="Q1523">
        <f>IF($A1523="","",$D1523&amp;"("&amp;SUBSTITUTE($E1523," ","")&amp;")")</f>
        <v/>
      </c>
      <c r="R1523">
        <f>IF($A1523="","",$B1523&amp;" - "&amp;$C1523)</f>
        <v/>
      </c>
      <c r="S1523">
        <f>IF($A1523="","",$R1523&amp;"|"&amp;$Q1523)</f>
        <v/>
      </c>
      <c r="T1523">
        <f>IF($A1523="","",$S1523&amp;"|"&amp;$F1523)</f>
        <v/>
      </c>
      <c r="U1523">
        <f>IF($A1523="","",$R1523&amp;"("&amp;$E1523&amp;")")</f>
        <v/>
      </c>
      <c r="V1523">
        <f>IF($A1523="","",$F1523&amp;"|"&amp;$U1523&amp;"|"&amp;$D1523)</f>
        <v/>
      </c>
      <c r="W1523">
        <f>IF($T1523="","",IF($X1523&gt;N($X1522),$X1523,""))</f>
        <v/>
      </c>
      <c r="X1523">
        <f>IF($T1523="",N($X1522),IF(MATCH($T1523,$T$6:$T$6005,0)=ROW()-5,N($X1522)+1,N($X1522)))</f>
        <v/>
      </c>
      <c r="Z1523">
        <f>IF($V1523="","",IF($AA1523&gt;N($AA1522),$AA1523,""))</f>
        <v/>
      </c>
      <c r="AA1523">
        <f>IF($V1523="",N($AA1522),IF(MATCH($V1523,$V$6:$V$6005,0)=ROW()-5,N($AA1522)+1,N($AA1522)))</f>
        <v/>
      </c>
    </row>
    <row r="1524" ht="21" customHeight="1" s="66">
      <c r="A1524" s="56" t="n"/>
      <c r="B1524" s="57" t="n"/>
      <c r="C1524" s="57" t="n"/>
      <c r="D1524" s="57" t="n"/>
      <c r="E1524" s="56" t="n"/>
      <c r="F1524" s="57" t="n"/>
      <c r="G1524" s="57" t="n"/>
      <c r="H1524" s="56" t="n"/>
      <c r="I1524" s="56" t="n"/>
      <c r="J1524" s="58" t="n"/>
      <c r="K1524" s="58" t="n"/>
      <c r="L1524" s="13">
        <f>IF(OR($A1524="",AND($J1524="",$K1524="")),"",ROUND(N($J1524)-N($K1524),2))</f>
        <v/>
      </c>
      <c r="M1524" s="13">
        <f>IF(OR($A1524="",AND($J1524="",$K1524="")),"",MIN($J1524,$K1524))</f>
        <v/>
      </c>
      <c r="Q1524">
        <f>IF($A1524="","",$D1524&amp;"("&amp;SUBSTITUTE($E1524," ","")&amp;")")</f>
        <v/>
      </c>
      <c r="R1524">
        <f>IF($A1524="","",$B1524&amp;" - "&amp;$C1524)</f>
        <v/>
      </c>
      <c r="S1524">
        <f>IF($A1524="","",$R1524&amp;"|"&amp;$Q1524)</f>
        <v/>
      </c>
      <c r="T1524">
        <f>IF($A1524="","",$S1524&amp;"|"&amp;$F1524)</f>
        <v/>
      </c>
      <c r="U1524">
        <f>IF($A1524="","",$R1524&amp;"("&amp;$E1524&amp;")")</f>
        <v/>
      </c>
      <c r="V1524">
        <f>IF($A1524="","",$F1524&amp;"|"&amp;$U1524&amp;"|"&amp;$D1524)</f>
        <v/>
      </c>
      <c r="W1524">
        <f>IF($T1524="","",IF($X1524&gt;N($X1523),$X1524,""))</f>
        <v/>
      </c>
      <c r="X1524">
        <f>IF($T1524="",N($X1523),IF(MATCH($T1524,$T$6:$T$6005,0)=ROW()-5,N($X1523)+1,N($X1523)))</f>
        <v/>
      </c>
      <c r="Z1524">
        <f>IF($V1524="","",IF($AA1524&gt;N($AA1523),$AA1524,""))</f>
        <v/>
      </c>
      <c r="AA1524">
        <f>IF($V1524="",N($AA1523),IF(MATCH($V1524,$V$6:$V$6005,0)=ROW()-5,N($AA1523)+1,N($AA1523)))</f>
        <v/>
      </c>
    </row>
    <row r="1525" ht="21" customHeight="1" s="66">
      <c r="A1525" s="56" t="n"/>
      <c r="B1525" s="57" t="n"/>
      <c r="C1525" s="57" t="n"/>
      <c r="D1525" s="57" t="n"/>
      <c r="E1525" s="56" t="n"/>
      <c r="F1525" s="57" t="n"/>
      <c r="G1525" s="57" t="n"/>
      <c r="H1525" s="56" t="n"/>
      <c r="I1525" s="56" t="n"/>
      <c r="J1525" s="58" t="n"/>
      <c r="K1525" s="58" t="n"/>
      <c r="L1525" s="13">
        <f>IF(OR($A1525="",AND($J1525="",$K1525="")),"",ROUND(N($J1525)-N($K1525),2))</f>
        <v/>
      </c>
      <c r="M1525" s="13">
        <f>IF(OR($A1525="",AND($J1525="",$K1525="")),"",MIN($J1525,$K1525))</f>
        <v/>
      </c>
      <c r="Q1525">
        <f>IF($A1525="","",$D1525&amp;"("&amp;SUBSTITUTE($E1525," ","")&amp;")")</f>
        <v/>
      </c>
      <c r="R1525">
        <f>IF($A1525="","",$B1525&amp;" - "&amp;$C1525)</f>
        <v/>
      </c>
      <c r="S1525">
        <f>IF($A1525="","",$R1525&amp;"|"&amp;$Q1525)</f>
        <v/>
      </c>
      <c r="T1525">
        <f>IF($A1525="","",$S1525&amp;"|"&amp;$F1525)</f>
        <v/>
      </c>
      <c r="U1525">
        <f>IF($A1525="","",$R1525&amp;"("&amp;$E1525&amp;")")</f>
        <v/>
      </c>
      <c r="V1525">
        <f>IF($A1525="","",$F1525&amp;"|"&amp;$U1525&amp;"|"&amp;$D1525)</f>
        <v/>
      </c>
      <c r="W1525">
        <f>IF($T1525="","",IF($X1525&gt;N($X1524),$X1525,""))</f>
        <v/>
      </c>
      <c r="X1525">
        <f>IF($T1525="",N($X1524),IF(MATCH($T1525,$T$6:$T$6005,0)=ROW()-5,N($X1524)+1,N($X1524)))</f>
        <v/>
      </c>
      <c r="Z1525">
        <f>IF($V1525="","",IF($AA1525&gt;N($AA1524),$AA1525,""))</f>
        <v/>
      </c>
      <c r="AA1525">
        <f>IF($V1525="",N($AA1524),IF(MATCH($V1525,$V$6:$V$6005,0)=ROW()-5,N($AA1524)+1,N($AA1524)))</f>
        <v/>
      </c>
    </row>
    <row r="1526" ht="21" customHeight="1" s="66">
      <c r="A1526" s="56" t="n"/>
      <c r="B1526" s="57" t="n"/>
      <c r="C1526" s="57" t="n"/>
      <c r="D1526" s="57" t="n"/>
      <c r="E1526" s="56" t="n"/>
      <c r="F1526" s="57" t="n"/>
      <c r="G1526" s="57" t="n"/>
      <c r="H1526" s="56" t="n"/>
      <c r="I1526" s="56" t="n"/>
      <c r="J1526" s="58" t="n"/>
      <c r="K1526" s="58" t="n"/>
      <c r="L1526" s="13">
        <f>IF(OR($A1526="",AND($J1526="",$K1526="")),"",ROUND(N($J1526)-N($K1526),2))</f>
        <v/>
      </c>
      <c r="M1526" s="13">
        <f>IF(OR($A1526="",AND($J1526="",$K1526="")),"",MIN($J1526,$K1526))</f>
        <v/>
      </c>
      <c r="Q1526">
        <f>IF($A1526="","",$D1526&amp;"("&amp;SUBSTITUTE($E1526," ","")&amp;")")</f>
        <v/>
      </c>
      <c r="R1526">
        <f>IF($A1526="","",$B1526&amp;" - "&amp;$C1526)</f>
        <v/>
      </c>
      <c r="S1526">
        <f>IF($A1526="","",$R1526&amp;"|"&amp;$Q1526)</f>
        <v/>
      </c>
      <c r="T1526">
        <f>IF($A1526="","",$S1526&amp;"|"&amp;$F1526)</f>
        <v/>
      </c>
      <c r="U1526">
        <f>IF($A1526="","",$R1526&amp;"("&amp;$E1526&amp;")")</f>
        <v/>
      </c>
      <c r="V1526">
        <f>IF($A1526="","",$F1526&amp;"|"&amp;$U1526&amp;"|"&amp;$D1526)</f>
        <v/>
      </c>
      <c r="W1526">
        <f>IF($T1526="","",IF($X1526&gt;N($X1525),$X1526,""))</f>
        <v/>
      </c>
      <c r="X1526">
        <f>IF($T1526="",N($X1525),IF(MATCH($T1526,$T$6:$T$6005,0)=ROW()-5,N($X1525)+1,N($X1525)))</f>
        <v/>
      </c>
      <c r="Z1526">
        <f>IF($V1526="","",IF($AA1526&gt;N($AA1525),$AA1526,""))</f>
        <v/>
      </c>
      <c r="AA1526">
        <f>IF($V1526="",N($AA1525),IF(MATCH($V1526,$V$6:$V$6005,0)=ROW()-5,N($AA1525)+1,N($AA1525)))</f>
        <v/>
      </c>
    </row>
    <row r="1527" ht="21" customHeight="1" s="66">
      <c r="A1527" s="56" t="n"/>
      <c r="B1527" s="57" t="n"/>
      <c r="C1527" s="57" t="n"/>
      <c r="D1527" s="57" t="n"/>
      <c r="E1527" s="56" t="n"/>
      <c r="F1527" s="57" t="n"/>
      <c r="G1527" s="57" t="n"/>
      <c r="H1527" s="56" t="n"/>
      <c r="I1527" s="56" t="n"/>
      <c r="J1527" s="58" t="n"/>
      <c r="K1527" s="58" t="n"/>
      <c r="L1527" s="13">
        <f>IF(OR($A1527="",AND($J1527="",$K1527="")),"",ROUND(N($J1527)-N($K1527),2))</f>
        <v/>
      </c>
      <c r="M1527" s="13">
        <f>IF(OR($A1527="",AND($J1527="",$K1527="")),"",MIN($J1527,$K1527))</f>
        <v/>
      </c>
      <c r="Q1527">
        <f>IF($A1527="","",$D1527&amp;"("&amp;SUBSTITUTE($E1527," ","")&amp;")")</f>
        <v/>
      </c>
      <c r="R1527">
        <f>IF($A1527="","",$B1527&amp;" - "&amp;$C1527)</f>
        <v/>
      </c>
      <c r="S1527">
        <f>IF($A1527="","",$R1527&amp;"|"&amp;$Q1527)</f>
        <v/>
      </c>
      <c r="T1527">
        <f>IF($A1527="","",$S1527&amp;"|"&amp;$F1527)</f>
        <v/>
      </c>
      <c r="U1527">
        <f>IF($A1527="","",$R1527&amp;"("&amp;$E1527&amp;")")</f>
        <v/>
      </c>
      <c r="V1527">
        <f>IF($A1527="","",$F1527&amp;"|"&amp;$U1527&amp;"|"&amp;$D1527)</f>
        <v/>
      </c>
      <c r="W1527">
        <f>IF($T1527="","",IF($X1527&gt;N($X1526),$X1527,""))</f>
        <v/>
      </c>
      <c r="X1527">
        <f>IF($T1527="",N($X1526),IF(MATCH($T1527,$T$6:$T$6005,0)=ROW()-5,N($X1526)+1,N($X1526)))</f>
        <v/>
      </c>
      <c r="Z1527">
        <f>IF($V1527="","",IF($AA1527&gt;N($AA1526),$AA1527,""))</f>
        <v/>
      </c>
      <c r="AA1527">
        <f>IF($V1527="",N($AA1526),IF(MATCH($V1527,$V$6:$V$6005,0)=ROW()-5,N($AA1526)+1,N($AA1526)))</f>
        <v/>
      </c>
    </row>
    <row r="1528" ht="21" customHeight="1" s="66">
      <c r="A1528" s="56" t="n"/>
      <c r="B1528" s="57" t="n"/>
      <c r="C1528" s="57" t="n"/>
      <c r="D1528" s="57" t="n"/>
      <c r="E1528" s="56" t="n"/>
      <c r="F1528" s="57" t="n"/>
      <c r="G1528" s="57" t="n"/>
      <c r="H1528" s="56" t="n"/>
      <c r="I1528" s="56" t="n"/>
      <c r="J1528" s="58" t="n"/>
      <c r="K1528" s="58" t="n"/>
      <c r="L1528" s="13">
        <f>IF(OR($A1528="",AND($J1528="",$K1528="")),"",ROUND(N($J1528)-N($K1528),2))</f>
        <v/>
      </c>
      <c r="M1528" s="13">
        <f>IF(OR($A1528="",AND($J1528="",$K1528="")),"",MIN($J1528,$K1528))</f>
        <v/>
      </c>
      <c r="Q1528">
        <f>IF($A1528="","",$D1528&amp;"("&amp;SUBSTITUTE($E1528," ","")&amp;")")</f>
        <v/>
      </c>
      <c r="R1528">
        <f>IF($A1528="","",$B1528&amp;" - "&amp;$C1528)</f>
        <v/>
      </c>
      <c r="S1528">
        <f>IF($A1528="","",$R1528&amp;"|"&amp;$Q1528)</f>
        <v/>
      </c>
      <c r="T1528">
        <f>IF($A1528="","",$S1528&amp;"|"&amp;$F1528)</f>
        <v/>
      </c>
      <c r="U1528">
        <f>IF($A1528="","",$R1528&amp;"("&amp;$E1528&amp;")")</f>
        <v/>
      </c>
      <c r="V1528">
        <f>IF($A1528="","",$F1528&amp;"|"&amp;$U1528&amp;"|"&amp;$D1528)</f>
        <v/>
      </c>
      <c r="W1528">
        <f>IF($T1528="","",IF($X1528&gt;N($X1527),$X1528,""))</f>
        <v/>
      </c>
      <c r="X1528">
        <f>IF($T1528="",N($X1527),IF(MATCH($T1528,$T$6:$T$6005,0)=ROW()-5,N($X1527)+1,N($X1527)))</f>
        <v/>
      </c>
      <c r="Z1528">
        <f>IF($V1528="","",IF($AA1528&gt;N($AA1527),$AA1528,""))</f>
        <v/>
      </c>
      <c r="AA1528">
        <f>IF($V1528="",N($AA1527),IF(MATCH($V1528,$V$6:$V$6005,0)=ROW()-5,N($AA1527)+1,N($AA1527)))</f>
        <v/>
      </c>
    </row>
    <row r="1529" ht="21" customHeight="1" s="66">
      <c r="A1529" s="56" t="n"/>
      <c r="B1529" s="57" t="n"/>
      <c r="C1529" s="57" t="n"/>
      <c r="D1529" s="57" t="n"/>
      <c r="E1529" s="56" t="n"/>
      <c r="F1529" s="57" t="n"/>
      <c r="G1529" s="57" t="n"/>
      <c r="H1529" s="56" t="n"/>
      <c r="I1529" s="56" t="n"/>
      <c r="J1529" s="58" t="n"/>
      <c r="K1529" s="58" t="n"/>
      <c r="L1529" s="13">
        <f>IF(OR($A1529="",AND($J1529="",$K1529="")),"",ROUND(N($J1529)-N($K1529),2))</f>
        <v/>
      </c>
      <c r="M1529" s="13">
        <f>IF(OR($A1529="",AND($J1529="",$K1529="")),"",MIN($J1529,$K1529))</f>
        <v/>
      </c>
      <c r="Q1529">
        <f>IF($A1529="","",$D1529&amp;"("&amp;SUBSTITUTE($E1529," ","")&amp;")")</f>
        <v/>
      </c>
      <c r="R1529">
        <f>IF($A1529="","",$B1529&amp;" - "&amp;$C1529)</f>
        <v/>
      </c>
      <c r="S1529">
        <f>IF($A1529="","",$R1529&amp;"|"&amp;$Q1529)</f>
        <v/>
      </c>
      <c r="T1529">
        <f>IF($A1529="","",$S1529&amp;"|"&amp;$F1529)</f>
        <v/>
      </c>
      <c r="U1529">
        <f>IF($A1529="","",$R1529&amp;"("&amp;$E1529&amp;")")</f>
        <v/>
      </c>
      <c r="V1529">
        <f>IF($A1529="","",$F1529&amp;"|"&amp;$U1529&amp;"|"&amp;$D1529)</f>
        <v/>
      </c>
      <c r="W1529">
        <f>IF($T1529="","",IF($X1529&gt;N($X1528),$X1529,""))</f>
        <v/>
      </c>
      <c r="X1529">
        <f>IF($T1529="",N($X1528),IF(MATCH($T1529,$T$6:$T$6005,0)=ROW()-5,N($X1528)+1,N($X1528)))</f>
        <v/>
      </c>
      <c r="Z1529">
        <f>IF($V1529="","",IF($AA1529&gt;N($AA1528),$AA1529,""))</f>
        <v/>
      </c>
      <c r="AA1529">
        <f>IF($V1529="",N($AA1528),IF(MATCH($V1529,$V$6:$V$6005,0)=ROW()-5,N($AA1528)+1,N($AA1528)))</f>
        <v/>
      </c>
    </row>
    <row r="1530" ht="21" customHeight="1" s="66">
      <c r="A1530" s="56" t="n"/>
      <c r="B1530" s="57" t="n"/>
      <c r="C1530" s="57" t="n"/>
      <c r="D1530" s="57" t="n"/>
      <c r="E1530" s="56" t="n"/>
      <c r="F1530" s="57" t="n"/>
      <c r="G1530" s="57" t="n"/>
      <c r="H1530" s="56" t="n"/>
      <c r="I1530" s="56" t="n"/>
      <c r="J1530" s="58" t="n"/>
      <c r="K1530" s="58" t="n"/>
      <c r="L1530" s="13">
        <f>IF(OR($A1530="",AND($J1530="",$K1530="")),"",ROUND(N($J1530)-N($K1530),2))</f>
        <v/>
      </c>
      <c r="M1530" s="13">
        <f>IF(OR($A1530="",AND($J1530="",$K1530="")),"",MIN($J1530,$K1530))</f>
        <v/>
      </c>
      <c r="Q1530">
        <f>IF($A1530="","",$D1530&amp;"("&amp;SUBSTITUTE($E1530," ","")&amp;")")</f>
        <v/>
      </c>
      <c r="R1530">
        <f>IF($A1530="","",$B1530&amp;" - "&amp;$C1530)</f>
        <v/>
      </c>
      <c r="S1530">
        <f>IF($A1530="","",$R1530&amp;"|"&amp;$Q1530)</f>
        <v/>
      </c>
      <c r="T1530">
        <f>IF($A1530="","",$S1530&amp;"|"&amp;$F1530)</f>
        <v/>
      </c>
      <c r="U1530">
        <f>IF($A1530="","",$R1530&amp;"("&amp;$E1530&amp;")")</f>
        <v/>
      </c>
      <c r="V1530">
        <f>IF($A1530="","",$F1530&amp;"|"&amp;$U1530&amp;"|"&amp;$D1530)</f>
        <v/>
      </c>
      <c r="W1530">
        <f>IF($T1530="","",IF($X1530&gt;N($X1529),$X1530,""))</f>
        <v/>
      </c>
      <c r="X1530">
        <f>IF($T1530="",N($X1529),IF(MATCH($T1530,$T$6:$T$6005,0)=ROW()-5,N($X1529)+1,N($X1529)))</f>
        <v/>
      </c>
      <c r="Z1530">
        <f>IF($V1530="","",IF($AA1530&gt;N($AA1529),$AA1530,""))</f>
        <v/>
      </c>
      <c r="AA1530">
        <f>IF($V1530="",N($AA1529),IF(MATCH($V1530,$V$6:$V$6005,0)=ROW()-5,N($AA1529)+1,N($AA1529)))</f>
        <v/>
      </c>
    </row>
    <row r="1531" ht="21" customHeight="1" s="66">
      <c r="A1531" s="56" t="n"/>
      <c r="B1531" s="57" t="n"/>
      <c r="C1531" s="57" t="n"/>
      <c r="D1531" s="57" t="n"/>
      <c r="E1531" s="56" t="n"/>
      <c r="F1531" s="57" t="n"/>
      <c r="G1531" s="57" t="n"/>
      <c r="H1531" s="56" t="n"/>
      <c r="I1531" s="56" t="n"/>
      <c r="J1531" s="58" t="n"/>
      <c r="K1531" s="58" t="n"/>
      <c r="L1531" s="13">
        <f>IF(OR($A1531="",AND($J1531="",$K1531="")),"",ROUND(N($J1531)-N($K1531),2))</f>
        <v/>
      </c>
      <c r="M1531" s="13">
        <f>IF(OR($A1531="",AND($J1531="",$K1531="")),"",MIN($J1531,$K1531))</f>
        <v/>
      </c>
      <c r="Q1531">
        <f>IF($A1531="","",$D1531&amp;"("&amp;SUBSTITUTE($E1531," ","")&amp;")")</f>
        <v/>
      </c>
      <c r="R1531">
        <f>IF($A1531="","",$B1531&amp;" - "&amp;$C1531)</f>
        <v/>
      </c>
      <c r="S1531">
        <f>IF($A1531="","",$R1531&amp;"|"&amp;$Q1531)</f>
        <v/>
      </c>
      <c r="T1531">
        <f>IF($A1531="","",$S1531&amp;"|"&amp;$F1531)</f>
        <v/>
      </c>
      <c r="U1531">
        <f>IF($A1531="","",$R1531&amp;"("&amp;$E1531&amp;")")</f>
        <v/>
      </c>
      <c r="V1531">
        <f>IF($A1531="","",$F1531&amp;"|"&amp;$U1531&amp;"|"&amp;$D1531)</f>
        <v/>
      </c>
      <c r="W1531">
        <f>IF($T1531="","",IF($X1531&gt;N($X1530),$X1531,""))</f>
        <v/>
      </c>
      <c r="X1531">
        <f>IF($T1531="",N($X1530),IF(MATCH($T1531,$T$6:$T$6005,0)=ROW()-5,N($X1530)+1,N($X1530)))</f>
        <v/>
      </c>
      <c r="Z1531">
        <f>IF($V1531="","",IF($AA1531&gt;N($AA1530),$AA1531,""))</f>
        <v/>
      </c>
      <c r="AA1531">
        <f>IF($V1531="",N($AA1530),IF(MATCH($V1531,$V$6:$V$6005,0)=ROW()-5,N($AA1530)+1,N($AA1530)))</f>
        <v/>
      </c>
    </row>
    <row r="1532" ht="21" customHeight="1" s="66">
      <c r="A1532" s="56" t="n"/>
      <c r="B1532" s="57" t="n"/>
      <c r="C1532" s="57" t="n"/>
      <c r="D1532" s="57" t="n"/>
      <c r="E1532" s="56" t="n"/>
      <c r="F1532" s="57" t="n"/>
      <c r="G1532" s="57" t="n"/>
      <c r="H1532" s="56" t="n"/>
      <c r="I1532" s="56" t="n"/>
      <c r="J1532" s="58" t="n"/>
      <c r="K1532" s="58" t="n"/>
      <c r="L1532" s="13">
        <f>IF(OR($A1532="",AND($J1532="",$K1532="")),"",ROUND(N($J1532)-N($K1532),2))</f>
        <v/>
      </c>
      <c r="M1532" s="13">
        <f>IF(OR($A1532="",AND($J1532="",$K1532="")),"",MIN($J1532,$K1532))</f>
        <v/>
      </c>
      <c r="Q1532">
        <f>IF($A1532="","",$D1532&amp;"("&amp;SUBSTITUTE($E1532," ","")&amp;")")</f>
        <v/>
      </c>
      <c r="R1532">
        <f>IF($A1532="","",$B1532&amp;" - "&amp;$C1532)</f>
        <v/>
      </c>
      <c r="S1532">
        <f>IF($A1532="","",$R1532&amp;"|"&amp;$Q1532)</f>
        <v/>
      </c>
      <c r="T1532">
        <f>IF($A1532="","",$S1532&amp;"|"&amp;$F1532)</f>
        <v/>
      </c>
      <c r="U1532">
        <f>IF($A1532="","",$R1532&amp;"("&amp;$E1532&amp;")")</f>
        <v/>
      </c>
      <c r="V1532">
        <f>IF($A1532="","",$F1532&amp;"|"&amp;$U1532&amp;"|"&amp;$D1532)</f>
        <v/>
      </c>
      <c r="W1532">
        <f>IF($T1532="","",IF($X1532&gt;N($X1531),$X1532,""))</f>
        <v/>
      </c>
      <c r="X1532">
        <f>IF($T1532="",N($X1531),IF(MATCH($T1532,$T$6:$T$6005,0)=ROW()-5,N($X1531)+1,N($X1531)))</f>
        <v/>
      </c>
      <c r="Z1532">
        <f>IF($V1532="","",IF($AA1532&gt;N($AA1531),$AA1532,""))</f>
        <v/>
      </c>
      <c r="AA1532">
        <f>IF($V1532="",N($AA1531),IF(MATCH($V1532,$V$6:$V$6005,0)=ROW()-5,N($AA1531)+1,N($AA1531)))</f>
        <v/>
      </c>
    </row>
    <row r="1533" ht="21" customHeight="1" s="66">
      <c r="A1533" s="56" t="n"/>
      <c r="B1533" s="57" t="n"/>
      <c r="C1533" s="57" t="n"/>
      <c r="D1533" s="57" t="n"/>
      <c r="E1533" s="56" t="n"/>
      <c r="F1533" s="57" t="n"/>
      <c r="G1533" s="57" t="n"/>
      <c r="H1533" s="56" t="n"/>
      <c r="I1533" s="56" t="n"/>
      <c r="J1533" s="58" t="n"/>
      <c r="K1533" s="58" t="n"/>
      <c r="L1533" s="13">
        <f>IF(OR($A1533="",AND($J1533="",$K1533="")),"",ROUND(N($J1533)-N($K1533),2))</f>
        <v/>
      </c>
      <c r="M1533" s="13">
        <f>IF(OR($A1533="",AND($J1533="",$K1533="")),"",MIN($J1533,$K1533))</f>
        <v/>
      </c>
      <c r="Q1533">
        <f>IF($A1533="","",$D1533&amp;"("&amp;SUBSTITUTE($E1533," ","")&amp;")")</f>
        <v/>
      </c>
      <c r="R1533">
        <f>IF($A1533="","",$B1533&amp;" - "&amp;$C1533)</f>
        <v/>
      </c>
      <c r="S1533">
        <f>IF($A1533="","",$R1533&amp;"|"&amp;$Q1533)</f>
        <v/>
      </c>
      <c r="T1533">
        <f>IF($A1533="","",$S1533&amp;"|"&amp;$F1533)</f>
        <v/>
      </c>
      <c r="U1533">
        <f>IF($A1533="","",$R1533&amp;"("&amp;$E1533&amp;")")</f>
        <v/>
      </c>
      <c r="V1533">
        <f>IF($A1533="","",$F1533&amp;"|"&amp;$U1533&amp;"|"&amp;$D1533)</f>
        <v/>
      </c>
      <c r="W1533">
        <f>IF($T1533="","",IF($X1533&gt;N($X1532),$X1533,""))</f>
        <v/>
      </c>
      <c r="X1533">
        <f>IF($T1533="",N($X1532),IF(MATCH($T1533,$T$6:$T$6005,0)=ROW()-5,N($X1532)+1,N($X1532)))</f>
        <v/>
      </c>
      <c r="Z1533">
        <f>IF($V1533="","",IF($AA1533&gt;N($AA1532),$AA1533,""))</f>
        <v/>
      </c>
      <c r="AA1533">
        <f>IF($V1533="",N($AA1532),IF(MATCH($V1533,$V$6:$V$6005,0)=ROW()-5,N($AA1532)+1,N($AA1532)))</f>
        <v/>
      </c>
    </row>
    <row r="1534" ht="21" customHeight="1" s="66">
      <c r="A1534" s="56" t="n"/>
      <c r="B1534" s="57" t="n"/>
      <c r="C1534" s="57" t="n"/>
      <c r="D1534" s="57" t="n"/>
      <c r="E1534" s="56" t="n"/>
      <c r="F1534" s="57" t="n"/>
      <c r="G1534" s="57" t="n"/>
      <c r="H1534" s="56" t="n"/>
      <c r="I1534" s="56" t="n"/>
      <c r="J1534" s="58" t="n"/>
      <c r="K1534" s="58" t="n"/>
      <c r="L1534" s="13">
        <f>IF(OR($A1534="",AND($J1534="",$K1534="")),"",ROUND(N($J1534)-N($K1534),2))</f>
        <v/>
      </c>
      <c r="M1534" s="13">
        <f>IF(OR($A1534="",AND($J1534="",$K1534="")),"",MIN($J1534,$K1534))</f>
        <v/>
      </c>
      <c r="Q1534">
        <f>IF($A1534="","",$D1534&amp;"("&amp;SUBSTITUTE($E1534," ","")&amp;")")</f>
        <v/>
      </c>
      <c r="R1534">
        <f>IF($A1534="","",$B1534&amp;" - "&amp;$C1534)</f>
        <v/>
      </c>
      <c r="S1534">
        <f>IF($A1534="","",$R1534&amp;"|"&amp;$Q1534)</f>
        <v/>
      </c>
      <c r="T1534">
        <f>IF($A1534="","",$S1534&amp;"|"&amp;$F1534)</f>
        <v/>
      </c>
      <c r="U1534">
        <f>IF($A1534="","",$R1534&amp;"("&amp;$E1534&amp;")")</f>
        <v/>
      </c>
      <c r="V1534">
        <f>IF($A1534="","",$F1534&amp;"|"&amp;$U1534&amp;"|"&amp;$D1534)</f>
        <v/>
      </c>
      <c r="W1534">
        <f>IF($T1534="","",IF($X1534&gt;N($X1533),$X1534,""))</f>
        <v/>
      </c>
      <c r="X1534">
        <f>IF($T1534="",N($X1533),IF(MATCH($T1534,$T$6:$T$6005,0)=ROW()-5,N($X1533)+1,N($X1533)))</f>
        <v/>
      </c>
      <c r="Z1534">
        <f>IF($V1534="","",IF($AA1534&gt;N($AA1533),$AA1534,""))</f>
        <v/>
      </c>
      <c r="AA1534">
        <f>IF($V1534="",N($AA1533),IF(MATCH($V1534,$V$6:$V$6005,0)=ROW()-5,N($AA1533)+1,N($AA1533)))</f>
        <v/>
      </c>
    </row>
    <row r="1535" ht="21" customHeight="1" s="66">
      <c r="A1535" s="56" t="n"/>
      <c r="B1535" s="57" t="n"/>
      <c r="C1535" s="57" t="n"/>
      <c r="D1535" s="57" t="n"/>
      <c r="E1535" s="56" t="n"/>
      <c r="F1535" s="57" t="n"/>
      <c r="G1535" s="57" t="n"/>
      <c r="H1535" s="56" t="n"/>
      <c r="I1535" s="56" t="n"/>
      <c r="J1535" s="58" t="n"/>
      <c r="K1535" s="58" t="n"/>
      <c r="L1535" s="13">
        <f>IF(OR($A1535="",AND($J1535="",$K1535="")),"",ROUND(N($J1535)-N($K1535),2))</f>
        <v/>
      </c>
      <c r="M1535" s="13">
        <f>IF(OR($A1535="",AND($J1535="",$K1535="")),"",MIN($J1535,$K1535))</f>
        <v/>
      </c>
      <c r="Q1535">
        <f>IF($A1535="","",$D1535&amp;"("&amp;SUBSTITUTE($E1535," ","")&amp;")")</f>
        <v/>
      </c>
      <c r="R1535">
        <f>IF($A1535="","",$B1535&amp;" - "&amp;$C1535)</f>
        <v/>
      </c>
      <c r="S1535">
        <f>IF($A1535="","",$R1535&amp;"|"&amp;$Q1535)</f>
        <v/>
      </c>
      <c r="T1535">
        <f>IF($A1535="","",$S1535&amp;"|"&amp;$F1535)</f>
        <v/>
      </c>
      <c r="U1535">
        <f>IF($A1535="","",$R1535&amp;"("&amp;$E1535&amp;")")</f>
        <v/>
      </c>
      <c r="V1535">
        <f>IF($A1535="","",$F1535&amp;"|"&amp;$U1535&amp;"|"&amp;$D1535)</f>
        <v/>
      </c>
      <c r="W1535">
        <f>IF($T1535="","",IF($X1535&gt;N($X1534),$X1535,""))</f>
        <v/>
      </c>
      <c r="X1535">
        <f>IF($T1535="",N($X1534),IF(MATCH($T1535,$T$6:$T$6005,0)=ROW()-5,N($X1534)+1,N($X1534)))</f>
        <v/>
      </c>
      <c r="Z1535">
        <f>IF($V1535="","",IF($AA1535&gt;N($AA1534),$AA1535,""))</f>
        <v/>
      </c>
      <c r="AA1535">
        <f>IF($V1535="",N($AA1534),IF(MATCH($V1535,$V$6:$V$6005,0)=ROW()-5,N($AA1534)+1,N($AA1534)))</f>
        <v/>
      </c>
    </row>
    <row r="1536" ht="21" customHeight="1" s="66">
      <c r="A1536" s="56" t="n"/>
      <c r="B1536" s="57" t="n"/>
      <c r="C1536" s="57" t="n"/>
      <c r="D1536" s="57" t="n"/>
      <c r="E1536" s="56" t="n"/>
      <c r="F1536" s="57" t="n"/>
      <c r="G1536" s="57" t="n"/>
      <c r="H1536" s="56" t="n"/>
      <c r="I1536" s="56" t="n"/>
      <c r="J1536" s="58" t="n"/>
      <c r="K1536" s="58" t="n"/>
      <c r="L1536" s="13">
        <f>IF(OR($A1536="",AND($J1536="",$K1536="")),"",ROUND(N($J1536)-N($K1536),2))</f>
        <v/>
      </c>
      <c r="M1536" s="13">
        <f>IF(OR($A1536="",AND($J1536="",$K1536="")),"",MIN($J1536,$K1536))</f>
        <v/>
      </c>
      <c r="Q1536">
        <f>IF($A1536="","",$D1536&amp;"("&amp;SUBSTITUTE($E1536," ","")&amp;")")</f>
        <v/>
      </c>
      <c r="R1536">
        <f>IF($A1536="","",$B1536&amp;" - "&amp;$C1536)</f>
        <v/>
      </c>
      <c r="S1536">
        <f>IF($A1536="","",$R1536&amp;"|"&amp;$Q1536)</f>
        <v/>
      </c>
      <c r="T1536">
        <f>IF($A1536="","",$S1536&amp;"|"&amp;$F1536)</f>
        <v/>
      </c>
      <c r="U1536">
        <f>IF($A1536="","",$R1536&amp;"("&amp;$E1536&amp;")")</f>
        <v/>
      </c>
      <c r="V1536">
        <f>IF($A1536="","",$F1536&amp;"|"&amp;$U1536&amp;"|"&amp;$D1536)</f>
        <v/>
      </c>
      <c r="W1536">
        <f>IF($T1536="","",IF($X1536&gt;N($X1535),$X1536,""))</f>
        <v/>
      </c>
      <c r="X1536">
        <f>IF($T1536="",N($X1535),IF(MATCH($T1536,$T$6:$T$6005,0)=ROW()-5,N($X1535)+1,N($X1535)))</f>
        <v/>
      </c>
      <c r="Z1536">
        <f>IF($V1536="","",IF($AA1536&gt;N($AA1535),$AA1536,""))</f>
        <v/>
      </c>
      <c r="AA1536">
        <f>IF($V1536="",N($AA1535),IF(MATCH($V1536,$V$6:$V$6005,0)=ROW()-5,N($AA1535)+1,N($AA1535)))</f>
        <v/>
      </c>
    </row>
    <row r="1537" ht="21" customHeight="1" s="66">
      <c r="A1537" s="56" t="n"/>
      <c r="B1537" s="57" t="n"/>
      <c r="C1537" s="57" t="n"/>
      <c r="D1537" s="57" t="n"/>
      <c r="E1537" s="56" t="n"/>
      <c r="F1537" s="57" t="n"/>
      <c r="G1537" s="57" t="n"/>
      <c r="H1537" s="56" t="n"/>
      <c r="I1537" s="56" t="n"/>
      <c r="J1537" s="58" t="n"/>
      <c r="K1537" s="58" t="n"/>
      <c r="L1537" s="13">
        <f>IF(OR($A1537="",AND($J1537="",$K1537="")),"",ROUND(N($J1537)-N($K1537),2))</f>
        <v/>
      </c>
      <c r="M1537" s="13">
        <f>IF(OR($A1537="",AND($J1537="",$K1537="")),"",MIN($J1537,$K1537))</f>
        <v/>
      </c>
      <c r="Q1537">
        <f>IF($A1537="","",$D1537&amp;"("&amp;SUBSTITUTE($E1537," ","")&amp;")")</f>
        <v/>
      </c>
      <c r="R1537">
        <f>IF($A1537="","",$B1537&amp;" - "&amp;$C1537)</f>
        <v/>
      </c>
      <c r="S1537">
        <f>IF($A1537="","",$R1537&amp;"|"&amp;$Q1537)</f>
        <v/>
      </c>
      <c r="T1537">
        <f>IF($A1537="","",$S1537&amp;"|"&amp;$F1537)</f>
        <v/>
      </c>
      <c r="U1537">
        <f>IF($A1537="","",$R1537&amp;"("&amp;$E1537&amp;")")</f>
        <v/>
      </c>
      <c r="V1537">
        <f>IF($A1537="","",$F1537&amp;"|"&amp;$U1537&amp;"|"&amp;$D1537)</f>
        <v/>
      </c>
      <c r="W1537">
        <f>IF($T1537="","",IF($X1537&gt;N($X1536),$X1537,""))</f>
        <v/>
      </c>
      <c r="X1537">
        <f>IF($T1537="",N($X1536),IF(MATCH($T1537,$T$6:$T$6005,0)=ROW()-5,N($X1536)+1,N($X1536)))</f>
        <v/>
      </c>
      <c r="Z1537">
        <f>IF($V1537="","",IF($AA1537&gt;N($AA1536),$AA1537,""))</f>
        <v/>
      </c>
      <c r="AA1537">
        <f>IF($V1537="",N($AA1536),IF(MATCH($V1537,$V$6:$V$6005,0)=ROW()-5,N($AA1536)+1,N($AA1536)))</f>
        <v/>
      </c>
    </row>
    <row r="1538" ht="21" customHeight="1" s="66">
      <c r="A1538" s="56" t="n"/>
      <c r="B1538" s="57" t="n"/>
      <c r="C1538" s="57" t="n"/>
      <c r="D1538" s="57" t="n"/>
      <c r="E1538" s="56" t="n"/>
      <c r="F1538" s="57" t="n"/>
      <c r="G1538" s="57" t="n"/>
      <c r="H1538" s="56" t="n"/>
      <c r="I1538" s="56" t="n"/>
      <c r="J1538" s="58" t="n"/>
      <c r="K1538" s="58" t="n"/>
      <c r="L1538" s="13">
        <f>IF(OR($A1538="",AND($J1538="",$K1538="")),"",ROUND(N($J1538)-N($K1538),2))</f>
        <v/>
      </c>
      <c r="M1538" s="13">
        <f>IF(OR($A1538="",AND($J1538="",$K1538="")),"",MIN($J1538,$K1538))</f>
        <v/>
      </c>
      <c r="Q1538">
        <f>IF($A1538="","",$D1538&amp;"("&amp;SUBSTITUTE($E1538," ","")&amp;")")</f>
        <v/>
      </c>
      <c r="R1538">
        <f>IF($A1538="","",$B1538&amp;" - "&amp;$C1538)</f>
        <v/>
      </c>
      <c r="S1538">
        <f>IF($A1538="","",$R1538&amp;"|"&amp;$Q1538)</f>
        <v/>
      </c>
      <c r="T1538">
        <f>IF($A1538="","",$S1538&amp;"|"&amp;$F1538)</f>
        <v/>
      </c>
      <c r="U1538">
        <f>IF($A1538="","",$R1538&amp;"("&amp;$E1538&amp;")")</f>
        <v/>
      </c>
      <c r="V1538">
        <f>IF($A1538="","",$F1538&amp;"|"&amp;$U1538&amp;"|"&amp;$D1538)</f>
        <v/>
      </c>
      <c r="W1538">
        <f>IF($T1538="","",IF($X1538&gt;N($X1537),$X1538,""))</f>
        <v/>
      </c>
      <c r="X1538">
        <f>IF($T1538="",N($X1537),IF(MATCH($T1538,$T$6:$T$6005,0)=ROW()-5,N($X1537)+1,N($X1537)))</f>
        <v/>
      </c>
      <c r="Z1538">
        <f>IF($V1538="","",IF($AA1538&gt;N($AA1537),$AA1538,""))</f>
        <v/>
      </c>
      <c r="AA1538">
        <f>IF($V1538="",N($AA1537),IF(MATCH($V1538,$V$6:$V$6005,0)=ROW()-5,N($AA1537)+1,N($AA1537)))</f>
        <v/>
      </c>
    </row>
    <row r="1539" ht="21" customHeight="1" s="66">
      <c r="A1539" s="56" t="n"/>
      <c r="B1539" s="57" t="n"/>
      <c r="C1539" s="57" t="n"/>
      <c r="D1539" s="57" t="n"/>
      <c r="E1539" s="56" t="n"/>
      <c r="F1539" s="57" t="n"/>
      <c r="G1539" s="57" t="n"/>
      <c r="H1539" s="56" t="n"/>
      <c r="I1539" s="56" t="n"/>
      <c r="J1539" s="58" t="n"/>
      <c r="K1539" s="58" t="n"/>
      <c r="L1539" s="13">
        <f>IF(OR($A1539="",AND($J1539="",$K1539="")),"",ROUND(N($J1539)-N($K1539),2))</f>
        <v/>
      </c>
      <c r="M1539" s="13">
        <f>IF(OR($A1539="",AND($J1539="",$K1539="")),"",MIN($J1539,$K1539))</f>
        <v/>
      </c>
      <c r="Q1539">
        <f>IF($A1539="","",$D1539&amp;"("&amp;SUBSTITUTE($E1539," ","")&amp;")")</f>
        <v/>
      </c>
      <c r="R1539">
        <f>IF($A1539="","",$B1539&amp;" - "&amp;$C1539)</f>
        <v/>
      </c>
      <c r="S1539">
        <f>IF($A1539="","",$R1539&amp;"|"&amp;$Q1539)</f>
        <v/>
      </c>
      <c r="T1539">
        <f>IF($A1539="","",$S1539&amp;"|"&amp;$F1539)</f>
        <v/>
      </c>
      <c r="U1539">
        <f>IF($A1539="","",$R1539&amp;"("&amp;$E1539&amp;")")</f>
        <v/>
      </c>
      <c r="V1539">
        <f>IF($A1539="","",$F1539&amp;"|"&amp;$U1539&amp;"|"&amp;$D1539)</f>
        <v/>
      </c>
      <c r="W1539">
        <f>IF($T1539="","",IF($X1539&gt;N($X1538),$X1539,""))</f>
        <v/>
      </c>
      <c r="X1539">
        <f>IF($T1539="",N($X1538),IF(MATCH($T1539,$T$6:$T$6005,0)=ROW()-5,N($X1538)+1,N($X1538)))</f>
        <v/>
      </c>
      <c r="Z1539">
        <f>IF($V1539="","",IF($AA1539&gt;N($AA1538),$AA1539,""))</f>
        <v/>
      </c>
      <c r="AA1539">
        <f>IF($V1539="",N($AA1538),IF(MATCH($V1539,$V$6:$V$6005,0)=ROW()-5,N($AA1538)+1,N($AA1538)))</f>
        <v/>
      </c>
    </row>
    <row r="1540" ht="21" customHeight="1" s="66">
      <c r="A1540" s="56" t="n"/>
      <c r="B1540" s="57" t="n"/>
      <c r="C1540" s="57" t="n"/>
      <c r="D1540" s="57" t="n"/>
      <c r="E1540" s="56" t="n"/>
      <c r="F1540" s="57" t="n"/>
      <c r="G1540" s="57" t="n"/>
      <c r="H1540" s="56" t="n"/>
      <c r="I1540" s="56" t="n"/>
      <c r="J1540" s="58" t="n"/>
      <c r="K1540" s="58" t="n"/>
      <c r="L1540" s="13">
        <f>IF(OR($A1540="",AND($J1540="",$K1540="")),"",ROUND(N($J1540)-N($K1540),2))</f>
        <v/>
      </c>
      <c r="M1540" s="13">
        <f>IF(OR($A1540="",AND($J1540="",$K1540="")),"",MIN($J1540,$K1540))</f>
        <v/>
      </c>
      <c r="Q1540">
        <f>IF($A1540="","",$D1540&amp;"("&amp;SUBSTITUTE($E1540," ","")&amp;")")</f>
        <v/>
      </c>
      <c r="R1540">
        <f>IF($A1540="","",$B1540&amp;" - "&amp;$C1540)</f>
        <v/>
      </c>
      <c r="S1540">
        <f>IF($A1540="","",$R1540&amp;"|"&amp;$Q1540)</f>
        <v/>
      </c>
      <c r="T1540">
        <f>IF($A1540="","",$S1540&amp;"|"&amp;$F1540)</f>
        <v/>
      </c>
      <c r="U1540">
        <f>IF($A1540="","",$R1540&amp;"("&amp;$E1540&amp;")")</f>
        <v/>
      </c>
      <c r="V1540">
        <f>IF($A1540="","",$F1540&amp;"|"&amp;$U1540&amp;"|"&amp;$D1540)</f>
        <v/>
      </c>
      <c r="W1540">
        <f>IF($T1540="","",IF($X1540&gt;N($X1539),$X1540,""))</f>
        <v/>
      </c>
      <c r="X1540">
        <f>IF($T1540="",N($X1539),IF(MATCH($T1540,$T$6:$T$6005,0)=ROW()-5,N($X1539)+1,N($X1539)))</f>
        <v/>
      </c>
      <c r="Z1540">
        <f>IF($V1540="","",IF($AA1540&gt;N($AA1539),$AA1540,""))</f>
        <v/>
      </c>
      <c r="AA1540">
        <f>IF($V1540="",N($AA1539),IF(MATCH($V1540,$V$6:$V$6005,0)=ROW()-5,N($AA1539)+1,N($AA1539)))</f>
        <v/>
      </c>
    </row>
    <row r="1541" ht="21" customHeight="1" s="66">
      <c r="A1541" s="56" t="n"/>
      <c r="B1541" s="57" t="n"/>
      <c r="C1541" s="57" t="n"/>
      <c r="D1541" s="57" t="n"/>
      <c r="E1541" s="56" t="n"/>
      <c r="F1541" s="57" t="n"/>
      <c r="G1541" s="57" t="n"/>
      <c r="H1541" s="56" t="n"/>
      <c r="I1541" s="56" t="n"/>
      <c r="J1541" s="58" t="n"/>
      <c r="K1541" s="58" t="n"/>
      <c r="L1541" s="13">
        <f>IF(OR($A1541="",AND($J1541="",$K1541="")),"",ROUND(N($J1541)-N($K1541),2))</f>
        <v/>
      </c>
      <c r="M1541" s="13">
        <f>IF(OR($A1541="",AND($J1541="",$K1541="")),"",MIN($J1541,$K1541))</f>
        <v/>
      </c>
      <c r="Q1541">
        <f>IF($A1541="","",$D1541&amp;"("&amp;SUBSTITUTE($E1541," ","")&amp;")")</f>
        <v/>
      </c>
      <c r="R1541">
        <f>IF($A1541="","",$B1541&amp;" - "&amp;$C1541)</f>
        <v/>
      </c>
      <c r="S1541">
        <f>IF($A1541="","",$R1541&amp;"|"&amp;$Q1541)</f>
        <v/>
      </c>
      <c r="T1541">
        <f>IF($A1541="","",$S1541&amp;"|"&amp;$F1541)</f>
        <v/>
      </c>
      <c r="U1541">
        <f>IF($A1541="","",$R1541&amp;"("&amp;$E1541&amp;")")</f>
        <v/>
      </c>
      <c r="V1541">
        <f>IF($A1541="","",$F1541&amp;"|"&amp;$U1541&amp;"|"&amp;$D1541)</f>
        <v/>
      </c>
      <c r="W1541">
        <f>IF($T1541="","",IF($X1541&gt;N($X1540),$X1541,""))</f>
        <v/>
      </c>
      <c r="X1541">
        <f>IF($T1541="",N($X1540),IF(MATCH($T1541,$T$6:$T$6005,0)=ROW()-5,N($X1540)+1,N($X1540)))</f>
        <v/>
      </c>
      <c r="Z1541">
        <f>IF($V1541="","",IF($AA1541&gt;N($AA1540),$AA1541,""))</f>
        <v/>
      </c>
      <c r="AA1541">
        <f>IF($V1541="",N($AA1540),IF(MATCH($V1541,$V$6:$V$6005,0)=ROW()-5,N($AA1540)+1,N($AA1540)))</f>
        <v/>
      </c>
    </row>
    <row r="1542" ht="21" customHeight="1" s="66">
      <c r="A1542" s="56" t="n"/>
      <c r="B1542" s="57" t="n"/>
      <c r="C1542" s="57" t="n"/>
      <c r="D1542" s="57" t="n"/>
      <c r="E1542" s="56" t="n"/>
      <c r="F1542" s="57" t="n"/>
      <c r="G1542" s="57" t="n"/>
      <c r="H1542" s="56" t="n"/>
      <c r="I1542" s="56" t="n"/>
      <c r="J1542" s="58" t="n"/>
      <c r="K1542" s="58" t="n"/>
      <c r="L1542" s="13">
        <f>IF(OR($A1542="",AND($J1542="",$K1542="")),"",ROUND(N($J1542)-N($K1542),2))</f>
        <v/>
      </c>
      <c r="M1542" s="13">
        <f>IF(OR($A1542="",AND($J1542="",$K1542="")),"",MIN($J1542,$K1542))</f>
        <v/>
      </c>
      <c r="Q1542">
        <f>IF($A1542="","",$D1542&amp;"("&amp;SUBSTITUTE($E1542," ","")&amp;")")</f>
        <v/>
      </c>
      <c r="R1542">
        <f>IF($A1542="","",$B1542&amp;" - "&amp;$C1542)</f>
        <v/>
      </c>
      <c r="S1542">
        <f>IF($A1542="","",$R1542&amp;"|"&amp;$Q1542)</f>
        <v/>
      </c>
      <c r="T1542">
        <f>IF($A1542="","",$S1542&amp;"|"&amp;$F1542)</f>
        <v/>
      </c>
      <c r="U1542">
        <f>IF($A1542="","",$R1542&amp;"("&amp;$E1542&amp;")")</f>
        <v/>
      </c>
      <c r="V1542">
        <f>IF($A1542="","",$F1542&amp;"|"&amp;$U1542&amp;"|"&amp;$D1542)</f>
        <v/>
      </c>
      <c r="W1542">
        <f>IF($T1542="","",IF($X1542&gt;N($X1541),$X1542,""))</f>
        <v/>
      </c>
      <c r="X1542">
        <f>IF($T1542="",N($X1541),IF(MATCH($T1542,$T$6:$T$6005,0)=ROW()-5,N($X1541)+1,N($X1541)))</f>
        <v/>
      </c>
      <c r="Z1542">
        <f>IF($V1542="","",IF($AA1542&gt;N($AA1541),$AA1542,""))</f>
        <v/>
      </c>
      <c r="AA1542">
        <f>IF($V1542="",N($AA1541),IF(MATCH($V1542,$V$6:$V$6005,0)=ROW()-5,N($AA1541)+1,N($AA1541)))</f>
        <v/>
      </c>
    </row>
    <row r="1543" ht="21" customHeight="1" s="66">
      <c r="A1543" s="56" t="n"/>
      <c r="B1543" s="57" t="n"/>
      <c r="C1543" s="57" t="n"/>
      <c r="D1543" s="57" t="n"/>
      <c r="E1543" s="56" t="n"/>
      <c r="F1543" s="57" t="n"/>
      <c r="G1543" s="57" t="n"/>
      <c r="H1543" s="56" t="n"/>
      <c r="I1543" s="56" t="n"/>
      <c r="J1543" s="58" t="n"/>
      <c r="K1543" s="58" t="n"/>
      <c r="L1543" s="13">
        <f>IF(OR($A1543="",AND($J1543="",$K1543="")),"",ROUND(N($J1543)-N($K1543),2))</f>
        <v/>
      </c>
      <c r="M1543" s="13">
        <f>IF(OR($A1543="",AND($J1543="",$K1543="")),"",MIN($J1543,$K1543))</f>
        <v/>
      </c>
      <c r="Q1543">
        <f>IF($A1543="","",$D1543&amp;"("&amp;SUBSTITUTE($E1543," ","")&amp;")")</f>
        <v/>
      </c>
      <c r="R1543">
        <f>IF($A1543="","",$B1543&amp;" - "&amp;$C1543)</f>
        <v/>
      </c>
      <c r="S1543">
        <f>IF($A1543="","",$R1543&amp;"|"&amp;$Q1543)</f>
        <v/>
      </c>
      <c r="T1543">
        <f>IF($A1543="","",$S1543&amp;"|"&amp;$F1543)</f>
        <v/>
      </c>
      <c r="U1543">
        <f>IF($A1543="","",$R1543&amp;"("&amp;$E1543&amp;")")</f>
        <v/>
      </c>
      <c r="V1543">
        <f>IF($A1543="","",$F1543&amp;"|"&amp;$U1543&amp;"|"&amp;$D1543)</f>
        <v/>
      </c>
      <c r="W1543">
        <f>IF($T1543="","",IF($X1543&gt;N($X1542),$X1543,""))</f>
        <v/>
      </c>
      <c r="X1543">
        <f>IF($T1543="",N($X1542),IF(MATCH($T1543,$T$6:$T$6005,0)=ROW()-5,N($X1542)+1,N($X1542)))</f>
        <v/>
      </c>
      <c r="Z1543">
        <f>IF($V1543="","",IF($AA1543&gt;N($AA1542),$AA1543,""))</f>
        <v/>
      </c>
      <c r="AA1543">
        <f>IF($V1543="",N($AA1542),IF(MATCH($V1543,$V$6:$V$6005,0)=ROW()-5,N($AA1542)+1,N($AA1542)))</f>
        <v/>
      </c>
    </row>
    <row r="1544" ht="21" customHeight="1" s="66">
      <c r="A1544" s="56" t="n"/>
      <c r="B1544" s="57" t="n"/>
      <c r="C1544" s="57" t="n"/>
      <c r="D1544" s="57" t="n"/>
      <c r="E1544" s="56" t="n"/>
      <c r="F1544" s="57" t="n"/>
      <c r="G1544" s="57" t="n"/>
      <c r="H1544" s="56" t="n"/>
      <c r="I1544" s="56" t="n"/>
      <c r="J1544" s="58" t="n"/>
      <c r="K1544" s="58" t="n"/>
      <c r="L1544" s="13">
        <f>IF(OR($A1544="",AND($J1544="",$K1544="")),"",ROUND(N($J1544)-N($K1544),2))</f>
        <v/>
      </c>
      <c r="M1544" s="13">
        <f>IF(OR($A1544="",AND($J1544="",$K1544="")),"",MIN($J1544,$K1544))</f>
        <v/>
      </c>
      <c r="Q1544">
        <f>IF($A1544="","",$D1544&amp;"("&amp;SUBSTITUTE($E1544," ","")&amp;")")</f>
        <v/>
      </c>
      <c r="R1544">
        <f>IF($A1544="","",$B1544&amp;" - "&amp;$C1544)</f>
        <v/>
      </c>
      <c r="S1544">
        <f>IF($A1544="","",$R1544&amp;"|"&amp;$Q1544)</f>
        <v/>
      </c>
      <c r="T1544">
        <f>IF($A1544="","",$S1544&amp;"|"&amp;$F1544)</f>
        <v/>
      </c>
      <c r="U1544">
        <f>IF($A1544="","",$R1544&amp;"("&amp;$E1544&amp;")")</f>
        <v/>
      </c>
      <c r="V1544">
        <f>IF($A1544="","",$F1544&amp;"|"&amp;$U1544&amp;"|"&amp;$D1544)</f>
        <v/>
      </c>
      <c r="W1544">
        <f>IF($T1544="","",IF($X1544&gt;N($X1543),$X1544,""))</f>
        <v/>
      </c>
      <c r="X1544">
        <f>IF($T1544="",N($X1543),IF(MATCH($T1544,$T$6:$T$6005,0)=ROW()-5,N($X1543)+1,N($X1543)))</f>
        <v/>
      </c>
      <c r="Z1544">
        <f>IF($V1544="","",IF($AA1544&gt;N($AA1543),$AA1544,""))</f>
        <v/>
      </c>
      <c r="AA1544">
        <f>IF($V1544="",N($AA1543),IF(MATCH($V1544,$V$6:$V$6005,0)=ROW()-5,N($AA1543)+1,N($AA1543)))</f>
        <v/>
      </c>
    </row>
    <row r="1545" ht="21" customHeight="1" s="66">
      <c r="A1545" s="56" t="n"/>
      <c r="B1545" s="57" t="n"/>
      <c r="C1545" s="57" t="n"/>
      <c r="D1545" s="57" t="n"/>
      <c r="E1545" s="56" t="n"/>
      <c r="F1545" s="57" t="n"/>
      <c r="G1545" s="57" t="n"/>
      <c r="H1545" s="56" t="n"/>
      <c r="I1545" s="56" t="n"/>
      <c r="J1545" s="58" t="n"/>
      <c r="K1545" s="58" t="n"/>
      <c r="L1545" s="13">
        <f>IF(OR($A1545="",AND($J1545="",$K1545="")),"",ROUND(N($J1545)-N($K1545),2))</f>
        <v/>
      </c>
      <c r="M1545" s="13">
        <f>IF(OR($A1545="",AND($J1545="",$K1545="")),"",MIN($J1545,$K1545))</f>
        <v/>
      </c>
      <c r="Q1545">
        <f>IF($A1545="","",$D1545&amp;"("&amp;SUBSTITUTE($E1545," ","")&amp;")")</f>
        <v/>
      </c>
      <c r="R1545">
        <f>IF($A1545="","",$B1545&amp;" - "&amp;$C1545)</f>
        <v/>
      </c>
      <c r="S1545">
        <f>IF($A1545="","",$R1545&amp;"|"&amp;$Q1545)</f>
        <v/>
      </c>
      <c r="T1545">
        <f>IF($A1545="","",$S1545&amp;"|"&amp;$F1545)</f>
        <v/>
      </c>
      <c r="U1545">
        <f>IF($A1545="","",$R1545&amp;"("&amp;$E1545&amp;")")</f>
        <v/>
      </c>
      <c r="V1545">
        <f>IF($A1545="","",$F1545&amp;"|"&amp;$U1545&amp;"|"&amp;$D1545)</f>
        <v/>
      </c>
      <c r="W1545">
        <f>IF($T1545="","",IF($X1545&gt;N($X1544),$X1545,""))</f>
        <v/>
      </c>
      <c r="X1545">
        <f>IF($T1545="",N($X1544),IF(MATCH($T1545,$T$6:$T$6005,0)=ROW()-5,N($X1544)+1,N($X1544)))</f>
        <v/>
      </c>
      <c r="Z1545">
        <f>IF($V1545="","",IF($AA1545&gt;N($AA1544),$AA1545,""))</f>
        <v/>
      </c>
      <c r="AA1545">
        <f>IF($V1545="",N($AA1544),IF(MATCH($V1545,$V$6:$V$6005,0)=ROW()-5,N($AA1544)+1,N($AA1544)))</f>
        <v/>
      </c>
    </row>
    <row r="1546" ht="21" customHeight="1" s="66">
      <c r="A1546" s="56" t="n"/>
      <c r="B1546" s="57" t="n"/>
      <c r="C1546" s="57" t="n"/>
      <c r="D1546" s="57" t="n"/>
      <c r="E1546" s="56" t="n"/>
      <c r="F1546" s="57" t="n"/>
      <c r="G1546" s="57" t="n"/>
      <c r="H1546" s="56" t="n"/>
      <c r="I1546" s="56" t="n"/>
      <c r="J1546" s="58" t="n"/>
      <c r="K1546" s="58" t="n"/>
      <c r="L1546" s="13">
        <f>IF(OR($A1546="",AND($J1546="",$K1546="")),"",ROUND(N($J1546)-N($K1546),2))</f>
        <v/>
      </c>
      <c r="M1546" s="13">
        <f>IF(OR($A1546="",AND($J1546="",$K1546="")),"",MIN($J1546,$K1546))</f>
        <v/>
      </c>
      <c r="Q1546">
        <f>IF($A1546="","",$D1546&amp;"("&amp;SUBSTITUTE($E1546," ","")&amp;")")</f>
        <v/>
      </c>
      <c r="R1546">
        <f>IF($A1546="","",$B1546&amp;" - "&amp;$C1546)</f>
        <v/>
      </c>
      <c r="S1546">
        <f>IF($A1546="","",$R1546&amp;"|"&amp;$Q1546)</f>
        <v/>
      </c>
      <c r="T1546">
        <f>IF($A1546="","",$S1546&amp;"|"&amp;$F1546)</f>
        <v/>
      </c>
      <c r="U1546">
        <f>IF($A1546="","",$R1546&amp;"("&amp;$E1546&amp;")")</f>
        <v/>
      </c>
      <c r="V1546">
        <f>IF($A1546="","",$F1546&amp;"|"&amp;$U1546&amp;"|"&amp;$D1546)</f>
        <v/>
      </c>
      <c r="W1546">
        <f>IF($T1546="","",IF($X1546&gt;N($X1545),$X1546,""))</f>
        <v/>
      </c>
      <c r="X1546">
        <f>IF($T1546="",N($X1545),IF(MATCH($T1546,$T$6:$T$6005,0)=ROW()-5,N($X1545)+1,N($X1545)))</f>
        <v/>
      </c>
      <c r="Z1546">
        <f>IF($V1546="","",IF($AA1546&gt;N($AA1545),$AA1546,""))</f>
        <v/>
      </c>
      <c r="AA1546">
        <f>IF($V1546="",N($AA1545),IF(MATCH($V1546,$V$6:$V$6005,0)=ROW()-5,N($AA1545)+1,N($AA1545)))</f>
        <v/>
      </c>
    </row>
    <row r="1547" ht="21" customHeight="1" s="66">
      <c r="A1547" s="56" t="n"/>
      <c r="B1547" s="57" t="n"/>
      <c r="C1547" s="57" t="n"/>
      <c r="D1547" s="57" t="n"/>
      <c r="E1547" s="56" t="n"/>
      <c r="F1547" s="57" t="n"/>
      <c r="G1547" s="57" t="n"/>
      <c r="H1547" s="56" t="n"/>
      <c r="I1547" s="56" t="n"/>
      <c r="J1547" s="58" t="n"/>
      <c r="K1547" s="58" t="n"/>
      <c r="L1547" s="13">
        <f>IF(OR($A1547="",AND($J1547="",$K1547="")),"",ROUND(N($J1547)-N($K1547),2))</f>
        <v/>
      </c>
      <c r="M1547" s="13">
        <f>IF(OR($A1547="",AND($J1547="",$K1547="")),"",MIN($J1547,$K1547))</f>
        <v/>
      </c>
      <c r="Q1547">
        <f>IF($A1547="","",$D1547&amp;"("&amp;SUBSTITUTE($E1547," ","")&amp;")")</f>
        <v/>
      </c>
      <c r="R1547">
        <f>IF($A1547="","",$B1547&amp;" - "&amp;$C1547)</f>
        <v/>
      </c>
      <c r="S1547">
        <f>IF($A1547="","",$R1547&amp;"|"&amp;$Q1547)</f>
        <v/>
      </c>
      <c r="T1547">
        <f>IF($A1547="","",$S1547&amp;"|"&amp;$F1547)</f>
        <v/>
      </c>
      <c r="U1547">
        <f>IF($A1547="","",$R1547&amp;"("&amp;$E1547&amp;")")</f>
        <v/>
      </c>
      <c r="V1547">
        <f>IF($A1547="","",$F1547&amp;"|"&amp;$U1547&amp;"|"&amp;$D1547)</f>
        <v/>
      </c>
      <c r="W1547">
        <f>IF($T1547="","",IF($X1547&gt;N($X1546),$X1547,""))</f>
        <v/>
      </c>
      <c r="X1547">
        <f>IF($T1547="",N($X1546),IF(MATCH($T1547,$T$6:$T$6005,0)=ROW()-5,N($X1546)+1,N($X1546)))</f>
        <v/>
      </c>
      <c r="Z1547">
        <f>IF($V1547="","",IF($AA1547&gt;N($AA1546),$AA1547,""))</f>
        <v/>
      </c>
      <c r="AA1547">
        <f>IF($V1547="",N($AA1546),IF(MATCH($V1547,$V$6:$V$6005,0)=ROW()-5,N($AA1546)+1,N($AA1546)))</f>
        <v/>
      </c>
    </row>
    <row r="1548" ht="21" customHeight="1" s="66">
      <c r="A1548" s="56" t="n"/>
      <c r="B1548" s="57" t="n"/>
      <c r="C1548" s="57" t="n"/>
      <c r="D1548" s="57" t="n"/>
      <c r="E1548" s="56" t="n"/>
      <c r="F1548" s="57" t="n"/>
      <c r="G1548" s="57" t="n"/>
      <c r="H1548" s="56" t="n"/>
      <c r="I1548" s="56" t="n"/>
      <c r="J1548" s="58" t="n"/>
      <c r="K1548" s="58" t="n"/>
      <c r="L1548" s="13">
        <f>IF(OR($A1548="",AND($J1548="",$K1548="")),"",ROUND(N($J1548)-N($K1548),2))</f>
        <v/>
      </c>
      <c r="M1548" s="13">
        <f>IF(OR($A1548="",AND($J1548="",$K1548="")),"",MIN($J1548,$K1548))</f>
        <v/>
      </c>
      <c r="Q1548">
        <f>IF($A1548="","",$D1548&amp;"("&amp;SUBSTITUTE($E1548," ","")&amp;")")</f>
        <v/>
      </c>
      <c r="R1548">
        <f>IF($A1548="","",$B1548&amp;" - "&amp;$C1548)</f>
        <v/>
      </c>
      <c r="S1548">
        <f>IF($A1548="","",$R1548&amp;"|"&amp;$Q1548)</f>
        <v/>
      </c>
      <c r="T1548">
        <f>IF($A1548="","",$S1548&amp;"|"&amp;$F1548)</f>
        <v/>
      </c>
      <c r="U1548">
        <f>IF($A1548="","",$R1548&amp;"("&amp;$E1548&amp;")")</f>
        <v/>
      </c>
      <c r="V1548">
        <f>IF($A1548="","",$F1548&amp;"|"&amp;$U1548&amp;"|"&amp;$D1548)</f>
        <v/>
      </c>
      <c r="W1548">
        <f>IF($T1548="","",IF($X1548&gt;N($X1547),$X1548,""))</f>
        <v/>
      </c>
      <c r="X1548">
        <f>IF($T1548="",N($X1547),IF(MATCH($T1548,$T$6:$T$6005,0)=ROW()-5,N($X1547)+1,N($X1547)))</f>
        <v/>
      </c>
      <c r="Z1548">
        <f>IF($V1548="","",IF($AA1548&gt;N($AA1547),$AA1548,""))</f>
        <v/>
      </c>
      <c r="AA1548">
        <f>IF($V1548="",N($AA1547),IF(MATCH($V1548,$V$6:$V$6005,0)=ROW()-5,N($AA1547)+1,N($AA1547)))</f>
        <v/>
      </c>
    </row>
    <row r="1549" ht="21" customHeight="1" s="66">
      <c r="A1549" s="56" t="n"/>
      <c r="B1549" s="57" t="n"/>
      <c r="C1549" s="57" t="n"/>
      <c r="D1549" s="57" t="n"/>
      <c r="E1549" s="56" t="n"/>
      <c r="F1549" s="57" t="n"/>
      <c r="G1549" s="57" t="n"/>
      <c r="H1549" s="56" t="n"/>
      <c r="I1549" s="56" t="n"/>
      <c r="J1549" s="58" t="n"/>
      <c r="K1549" s="58" t="n"/>
      <c r="L1549" s="13">
        <f>IF(OR($A1549="",AND($J1549="",$K1549="")),"",ROUND(N($J1549)-N($K1549),2))</f>
        <v/>
      </c>
      <c r="M1549" s="13">
        <f>IF(OR($A1549="",AND($J1549="",$K1549="")),"",MIN($J1549,$K1549))</f>
        <v/>
      </c>
      <c r="Q1549">
        <f>IF($A1549="","",$D1549&amp;"("&amp;SUBSTITUTE($E1549," ","")&amp;")")</f>
        <v/>
      </c>
      <c r="R1549">
        <f>IF($A1549="","",$B1549&amp;" - "&amp;$C1549)</f>
        <v/>
      </c>
      <c r="S1549">
        <f>IF($A1549="","",$R1549&amp;"|"&amp;$Q1549)</f>
        <v/>
      </c>
      <c r="T1549">
        <f>IF($A1549="","",$S1549&amp;"|"&amp;$F1549)</f>
        <v/>
      </c>
      <c r="U1549">
        <f>IF($A1549="","",$R1549&amp;"("&amp;$E1549&amp;")")</f>
        <v/>
      </c>
      <c r="V1549">
        <f>IF($A1549="","",$F1549&amp;"|"&amp;$U1549&amp;"|"&amp;$D1549)</f>
        <v/>
      </c>
      <c r="W1549">
        <f>IF($T1549="","",IF($X1549&gt;N($X1548),$X1549,""))</f>
        <v/>
      </c>
      <c r="X1549">
        <f>IF($T1549="",N($X1548),IF(MATCH($T1549,$T$6:$T$6005,0)=ROW()-5,N($X1548)+1,N($X1548)))</f>
        <v/>
      </c>
      <c r="Z1549">
        <f>IF($V1549="","",IF($AA1549&gt;N($AA1548),$AA1549,""))</f>
        <v/>
      </c>
      <c r="AA1549">
        <f>IF($V1549="",N($AA1548),IF(MATCH($V1549,$V$6:$V$6005,0)=ROW()-5,N($AA1548)+1,N($AA1548)))</f>
        <v/>
      </c>
    </row>
    <row r="1550" ht="21" customHeight="1" s="66">
      <c r="A1550" s="56" t="n"/>
      <c r="B1550" s="57" t="n"/>
      <c r="C1550" s="57" t="n"/>
      <c r="D1550" s="57" t="n"/>
      <c r="E1550" s="56" t="n"/>
      <c r="F1550" s="57" t="n"/>
      <c r="G1550" s="57" t="n"/>
      <c r="H1550" s="56" t="n"/>
      <c r="I1550" s="56" t="n"/>
      <c r="J1550" s="58" t="n"/>
      <c r="K1550" s="58" t="n"/>
      <c r="L1550" s="13">
        <f>IF(OR($A1550="",AND($J1550="",$K1550="")),"",ROUND(N($J1550)-N($K1550),2))</f>
        <v/>
      </c>
      <c r="M1550" s="13">
        <f>IF(OR($A1550="",AND($J1550="",$K1550="")),"",MIN($J1550,$K1550))</f>
        <v/>
      </c>
      <c r="Q1550">
        <f>IF($A1550="","",$D1550&amp;"("&amp;SUBSTITUTE($E1550," ","")&amp;")")</f>
        <v/>
      </c>
      <c r="R1550">
        <f>IF($A1550="","",$B1550&amp;" - "&amp;$C1550)</f>
        <v/>
      </c>
      <c r="S1550">
        <f>IF($A1550="","",$R1550&amp;"|"&amp;$Q1550)</f>
        <v/>
      </c>
      <c r="T1550">
        <f>IF($A1550="","",$S1550&amp;"|"&amp;$F1550)</f>
        <v/>
      </c>
      <c r="U1550">
        <f>IF($A1550="","",$R1550&amp;"("&amp;$E1550&amp;")")</f>
        <v/>
      </c>
      <c r="V1550">
        <f>IF($A1550="","",$F1550&amp;"|"&amp;$U1550&amp;"|"&amp;$D1550)</f>
        <v/>
      </c>
      <c r="W1550">
        <f>IF($T1550="","",IF($X1550&gt;N($X1549),$X1550,""))</f>
        <v/>
      </c>
      <c r="X1550">
        <f>IF($T1550="",N($X1549),IF(MATCH($T1550,$T$6:$T$6005,0)=ROW()-5,N($X1549)+1,N($X1549)))</f>
        <v/>
      </c>
      <c r="Z1550">
        <f>IF($V1550="","",IF($AA1550&gt;N($AA1549),$AA1550,""))</f>
        <v/>
      </c>
      <c r="AA1550">
        <f>IF($V1550="",N($AA1549),IF(MATCH($V1550,$V$6:$V$6005,0)=ROW()-5,N($AA1549)+1,N($AA1549)))</f>
        <v/>
      </c>
    </row>
    <row r="1551" ht="21" customHeight="1" s="66">
      <c r="A1551" s="56" t="n"/>
      <c r="B1551" s="57" t="n"/>
      <c r="C1551" s="57" t="n"/>
      <c r="D1551" s="57" t="n"/>
      <c r="E1551" s="56" t="n"/>
      <c r="F1551" s="57" t="n"/>
      <c r="G1551" s="57" t="n"/>
      <c r="H1551" s="56" t="n"/>
      <c r="I1551" s="56" t="n"/>
      <c r="J1551" s="58" t="n"/>
      <c r="K1551" s="58" t="n"/>
      <c r="L1551" s="13">
        <f>IF(OR($A1551="",AND($J1551="",$K1551="")),"",ROUND(N($J1551)-N($K1551),2))</f>
        <v/>
      </c>
      <c r="M1551" s="13">
        <f>IF(OR($A1551="",AND($J1551="",$K1551="")),"",MIN($J1551,$K1551))</f>
        <v/>
      </c>
      <c r="Q1551">
        <f>IF($A1551="","",$D1551&amp;"("&amp;SUBSTITUTE($E1551," ","")&amp;")")</f>
        <v/>
      </c>
      <c r="R1551">
        <f>IF($A1551="","",$B1551&amp;" - "&amp;$C1551)</f>
        <v/>
      </c>
      <c r="S1551">
        <f>IF($A1551="","",$R1551&amp;"|"&amp;$Q1551)</f>
        <v/>
      </c>
      <c r="T1551">
        <f>IF($A1551="","",$S1551&amp;"|"&amp;$F1551)</f>
        <v/>
      </c>
      <c r="U1551">
        <f>IF($A1551="","",$R1551&amp;"("&amp;$E1551&amp;")")</f>
        <v/>
      </c>
      <c r="V1551">
        <f>IF($A1551="","",$F1551&amp;"|"&amp;$U1551&amp;"|"&amp;$D1551)</f>
        <v/>
      </c>
      <c r="W1551">
        <f>IF($T1551="","",IF($X1551&gt;N($X1550),$X1551,""))</f>
        <v/>
      </c>
      <c r="X1551">
        <f>IF($T1551="",N($X1550),IF(MATCH($T1551,$T$6:$T$6005,0)=ROW()-5,N($X1550)+1,N($X1550)))</f>
        <v/>
      </c>
      <c r="Z1551">
        <f>IF($V1551="","",IF($AA1551&gt;N($AA1550),$AA1551,""))</f>
        <v/>
      </c>
      <c r="AA1551">
        <f>IF($V1551="",N($AA1550),IF(MATCH($V1551,$V$6:$V$6005,0)=ROW()-5,N($AA1550)+1,N($AA1550)))</f>
        <v/>
      </c>
    </row>
    <row r="1552" ht="21" customHeight="1" s="66">
      <c r="A1552" s="56" t="n"/>
      <c r="B1552" s="57" t="n"/>
      <c r="C1552" s="57" t="n"/>
      <c r="D1552" s="57" t="n"/>
      <c r="E1552" s="56" t="n"/>
      <c r="F1552" s="57" t="n"/>
      <c r="G1552" s="57" t="n"/>
      <c r="H1552" s="56" t="n"/>
      <c r="I1552" s="56" t="n"/>
      <c r="J1552" s="58" t="n"/>
      <c r="K1552" s="58" t="n"/>
      <c r="L1552" s="13">
        <f>IF(OR($A1552="",AND($J1552="",$K1552="")),"",ROUND(N($J1552)-N($K1552),2))</f>
        <v/>
      </c>
      <c r="M1552" s="13">
        <f>IF(OR($A1552="",AND($J1552="",$K1552="")),"",MIN($J1552,$K1552))</f>
        <v/>
      </c>
      <c r="Q1552">
        <f>IF($A1552="","",$D1552&amp;"("&amp;SUBSTITUTE($E1552," ","")&amp;")")</f>
        <v/>
      </c>
      <c r="R1552">
        <f>IF($A1552="","",$B1552&amp;" - "&amp;$C1552)</f>
        <v/>
      </c>
      <c r="S1552">
        <f>IF($A1552="","",$R1552&amp;"|"&amp;$Q1552)</f>
        <v/>
      </c>
      <c r="T1552">
        <f>IF($A1552="","",$S1552&amp;"|"&amp;$F1552)</f>
        <v/>
      </c>
      <c r="U1552">
        <f>IF($A1552="","",$R1552&amp;"("&amp;$E1552&amp;")")</f>
        <v/>
      </c>
      <c r="V1552">
        <f>IF($A1552="","",$F1552&amp;"|"&amp;$U1552&amp;"|"&amp;$D1552)</f>
        <v/>
      </c>
      <c r="W1552">
        <f>IF($T1552="","",IF($X1552&gt;N($X1551),$X1552,""))</f>
        <v/>
      </c>
      <c r="X1552">
        <f>IF($T1552="",N($X1551),IF(MATCH($T1552,$T$6:$T$6005,0)=ROW()-5,N($X1551)+1,N($X1551)))</f>
        <v/>
      </c>
      <c r="Z1552">
        <f>IF($V1552="","",IF($AA1552&gt;N($AA1551),$AA1552,""))</f>
        <v/>
      </c>
      <c r="AA1552">
        <f>IF($V1552="",N($AA1551),IF(MATCH($V1552,$V$6:$V$6005,0)=ROW()-5,N($AA1551)+1,N($AA1551)))</f>
        <v/>
      </c>
    </row>
    <row r="1553" ht="21" customHeight="1" s="66">
      <c r="A1553" s="56" t="n"/>
      <c r="B1553" s="57" t="n"/>
      <c r="C1553" s="57" t="n"/>
      <c r="D1553" s="57" t="n"/>
      <c r="E1553" s="56" t="n"/>
      <c r="F1553" s="57" t="n"/>
      <c r="G1553" s="57" t="n"/>
      <c r="H1553" s="56" t="n"/>
      <c r="I1553" s="56" t="n"/>
      <c r="J1553" s="58" t="n"/>
      <c r="K1553" s="58" t="n"/>
      <c r="L1553" s="13">
        <f>IF(OR($A1553="",AND($J1553="",$K1553="")),"",ROUND(N($J1553)-N($K1553),2))</f>
        <v/>
      </c>
      <c r="M1553" s="13">
        <f>IF(OR($A1553="",AND($J1553="",$K1553="")),"",MIN($J1553,$K1553))</f>
        <v/>
      </c>
      <c r="Q1553">
        <f>IF($A1553="","",$D1553&amp;"("&amp;SUBSTITUTE($E1553," ","")&amp;")")</f>
        <v/>
      </c>
      <c r="R1553">
        <f>IF($A1553="","",$B1553&amp;" - "&amp;$C1553)</f>
        <v/>
      </c>
      <c r="S1553">
        <f>IF($A1553="","",$R1553&amp;"|"&amp;$Q1553)</f>
        <v/>
      </c>
      <c r="T1553">
        <f>IF($A1553="","",$S1553&amp;"|"&amp;$F1553)</f>
        <v/>
      </c>
      <c r="U1553">
        <f>IF($A1553="","",$R1553&amp;"("&amp;$E1553&amp;")")</f>
        <v/>
      </c>
      <c r="V1553">
        <f>IF($A1553="","",$F1553&amp;"|"&amp;$U1553&amp;"|"&amp;$D1553)</f>
        <v/>
      </c>
      <c r="W1553">
        <f>IF($T1553="","",IF($X1553&gt;N($X1552),$X1553,""))</f>
        <v/>
      </c>
      <c r="X1553">
        <f>IF($T1553="",N($X1552),IF(MATCH($T1553,$T$6:$T$6005,0)=ROW()-5,N($X1552)+1,N($X1552)))</f>
        <v/>
      </c>
      <c r="Z1553">
        <f>IF($V1553="","",IF($AA1553&gt;N($AA1552),$AA1553,""))</f>
        <v/>
      </c>
      <c r="AA1553">
        <f>IF($V1553="",N($AA1552),IF(MATCH($V1553,$V$6:$V$6005,0)=ROW()-5,N($AA1552)+1,N($AA1552)))</f>
        <v/>
      </c>
    </row>
    <row r="1554" ht="21" customHeight="1" s="66">
      <c r="A1554" s="56" t="n"/>
      <c r="B1554" s="57" t="n"/>
      <c r="C1554" s="57" t="n"/>
      <c r="D1554" s="57" t="n"/>
      <c r="E1554" s="56" t="n"/>
      <c r="F1554" s="57" t="n"/>
      <c r="G1554" s="57" t="n"/>
      <c r="H1554" s="56" t="n"/>
      <c r="I1554" s="56" t="n"/>
      <c r="J1554" s="58" t="n"/>
      <c r="K1554" s="58" t="n"/>
      <c r="L1554" s="13">
        <f>IF(OR($A1554="",AND($J1554="",$K1554="")),"",ROUND(N($J1554)-N($K1554),2))</f>
        <v/>
      </c>
      <c r="M1554" s="13">
        <f>IF(OR($A1554="",AND($J1554="",$K1554="")),"",MIN($J1554,$K1554))</f>
        <v/>
      </c>
      <c r="Q1554">
        <f>IF($A1554="","",$D1554&amp;"("&amp;SUBSTITUTE($E1554," ","")&amp;")")</f>
        <v/>
      </c>
      <c r="R1554">
        <f>IF($A1554="","",$B1554&amp;" - "&amp;$C1554)</f>
        <v/>
      </c>
      <c r="S1554">
        <f>IF($A1554="","",$R1554&amp;"|"&amp;$Q1554)</f>
        <v/>
      </c>
      <c r="T1554">
        <f>IF($A1554="","",$S1554&amp;"|"&amp;$F1554)</f>
        <v/>
      </c>
      <c r="U1554">
        <f>IF($A1554="","",$R1554&amp;"("&amp;$E1554&amp;")")</f>
        <v/>
      </c>
      <c r="V1554">
        <f>IF($A1554="","",$F1554&amp;"|"&amp;$U1554&amp;"|"&amp;$D1554)</f>
        <v/>
      </c>
      <c r="W1554">
        <f>IF($T1554="","",IF($X1554&gt;N($X1553),$X1554,""))</f>
        <v/>
      </c>
      <c r="X1554">
        <f>IF($T1554="",N($X1553),IF(MATCH($T1554,$T$6:$T$6005,0)=ROW()-5,N($X1553)+1,N($X1553)))</f>
        <v/>
      </c>
      <c r="Z1554">
        <f>IF($V1554="","",IF($AA1554&gt;N($AA1553),$AA1554,""))</f>
        <v/>
      </c>
      <c r="AA1554">
        <f>IF($V1554="",N($AA1553),IF(MATCH($V1554,$V$6:$V$6005,0)=ROW()-5,N($AA1553)+1,N($AA1553)))</f>
        <v/>
      </c>
    </row>
    <row r="1555" ht="21" customHeight="1" s="66">
      <c r="A1555" s="56" t="n"/>
      <c r="B1555" s="57" t="n"/>
      <c r="C1555" s="57" t="n"/>
      <c r="D1555" s="57" t="n"/>
      <c r="E1555" s="56" t="n"/>
      <c r="F1555" s="57" t="n"/>
      <c r="G1555" s="57" t="n"/>
      <c r="H1555" s="56" t="n"/>
      <c r="I1555" s="56" t="n"/>
      <c r="J1555" s="58" t="n"/>
      <c r="K1555" s="58" t="n"/>
      <c r="L1555" s="13">
        <f>IF(OR($A1555="",AND($J1555="",$K1555="")),"",ROUND(N($J1555)-N($K1555),2))</f>
        <v/>
      </c>
      <c r="M1555" s="13">
        <f>IF(OR($A1555="",AND($J1555="",$K1555="")),"",MIN($J1555,$K1555))</f>
        <v/>
      </c>
      <c r="Q1555">
        <f>IF($A1555="","",$D1555&amp;"("&amp;SUBSTITUTE($E1555," ","")&amp;")")</f>
        <v/>
      </c>
      <c r="R1555">
        <f>IF($A1555="","",$B1555&amp;" - "&amp;$C1555)</f>
        <v/>
      </c>
      <c r="S1555">
        <f>IF($A1555="","",$R1555&amp;"|"&amp;$Q1555)</f>
        <v/>
      </c>
      <c r="T1555">
        <f>IF($A1555="","",$S1555&amp;"|"&amp;$F1555)</f>
        <v/>
      </c>
      <c r="U1555">
        <f>IF($A1555="","",$R1555&amp;"("&amp;$E1555&amp;")")</f>
        <v/>
      </c>
      <c r="V1555">
        <f>IF($A1555="","",$F1555&amp;"|"&amp;$U1555&amp;"|"&amp;$D1555)</f>
        <v/>
      </c>
      <c r="W1555">
        <f>IF($T1555="","",IF($X1555&gt;N($X1554),$X1555,""))</f>
        <v/>
      </c>
      <c r="X1555">
        <f>IF($T1555="",N($X1554),IF(MATCH($T1555,$T$6:$T$6005,0)=ROW()-5,N($X1554)+1,N($X1554)))</f>
        <v/>
      </c>
      <c r="Z1555">
        <f>IF($V1555="","",IF($AA1555&gt;N($AA1554),$AA1555,""))</f>
        <v/>
      </c>
      <c r="AA1555">
        <f>IF($V1555="",N($AA1554),IF(MATCH($V1555,$V$6:$V$6005,0)=ROW()-5,N($AA1554)+1,N($AA1554)))</f>
        <v/>
      </c>
    </row>
    <row r="1556" ht="21" customHeight="1" s="66">
      <c r="A1556" s="56" t="n"/>
      <c r="B1556" s="57" t="n"/>
      <c r="C1556" s="57" t="n"/>
      <c r="D1556" s="57" t="n"/>
      <c r="E1556" s="56" t="n"/>
      <c r="F1556" s="57" t="n"/>
      <c r="G1556" s="57" t="n"/>
      <c r="H1556" s="56" t="n"/>
      <c r="I1556" s="56" t="n"/>
      <c r="J1556" s="58" t="n"/>
      <c r="K1556" s="58" t="n"/>
      <c r="L1556" s="13">
        <f>IF(OR($A1556="",AND($J1556="",$K1556="")),"",ROUND(N($J1556)-N($K1556),2))</f>
        <v/>
      </c>
      <c r="M1556" s="13">
        <f>IF(OR($A1556="",AND($J1556="",$K1556="")),"",MIN($J1556,$K1556))</f>
        <v/>
      </c>
      <c r="Q1556">
        <f>IF($A1556="","",$D1556&amp;"("&amp;SUBSTITUTE($E1556," ","")&amp;")")</f>
        <v/>
      </c>
      <c r="R1556">
        <f>IF($A1556="","",$B1556&amp;" - "&amp;$C1556)</f>
        <v/>
      </c>
      <c r="S1556">
        <f>IF($A1556="","",$R1556&amp;"|"&amp;$Q1556)</f>
        <v/>
      </c>
      <c r="T1556">
        <f>IF($A1556="","",$S1556&amp;"|"&amp;$F1556)</f>
        <v/>
      </c>
      <c r="U1556">
        <f>IF($A1556="","",$R1556&amp;"("&amp;$E1556&amp;")")</f>
        <v/>
      </c>
      <c r="V1556">
        <f>IF($A1556="","",$F1556&amp;"|"&amp;$U1556&amp;"|"&amp;$D1556)</f>
        <v/>
      </c>
      <c r="W1556">
        <f>IF($T1556="","",IF($X1556&gt;N($X1555),$X1556,""))</f>
        <v/>
      </c>
      <c r="X1556">
        <f>IF($T1556="",N($X1555),IF(MATCH($T1556,$T$6:$T$6005,0)=ROW()-5,N($X1555)+1,N($X1555)))</f>
        <v/>
      </c>
      <c r="Z1556">
        <f>IF($V1556="","",IF($AA1556&gt;N($AA1555),$AA1556,""))</f>
        <v/>
      </c>
      <c r="AA1556">
        <f>IF($V1556="",N($AA1555),IF(MATCH($V1556,$V$6:$V$6005,0)=ROW()-5,N($AA1555)+1,N($AA1555)))</f>
        <v/>
      </c>
    </row>
    <row r="1557" ht="21" customHeight="1" s="66">
      <c r="A1557" s="56" t="n"/>
      <c r="B1557" s="57" t="n"/>
      <c r="C1557" s="57" t="n"/>
      <c r="D1557" s="57" t="n"/>
      <c r="E1557" s="56" t="n"/>
      <c r="F1557" s="57" t="n"/>
      <c r="G1557" s="57" t="n"/>
      <c r="H1557" s="56" t="n"/>
      <c r="I1557" s="56" t="n"/>
      <c r="J1557" s="58" t="n"/>
      <c r="K1557" s="58" t="n"/>
      <c r="L1557" s="13">
        <f>IF(OR($A1557="",AND($J1557="",$K1557="")),"",ROUND(N($J1557)-N($K1557),2))</f>
        <v/>
      </c>
      <c r="M1557" s="13">
        <f>IF(OR($A1557="",AND($J1557="",$K1557="")),"",MIN($J1557,$K1557))</f>
        <v/>
      </c>
      <c r="Q1557">
        <f>IF($A1557="","",$D1557&amp;"("&amp;SUBSTITUTE($E1557," ","")&amp;")")</f>
        <v/>
      </c>
      <c r="R1557">
        <f>IF($A1557="","",$B1557&amp;" - "&amp;$C1557)</f>
        <v/>
      </c>
      <c r="S1557">
        <f>IF($A1557="","",$R1557&amp;"|"&amp;$Q1557)</f>
        <v/>
      </c>
      <c r="T1557">
        <f>IF($A1557="","",$S1557&amp;"|"&amp;$F1557)</f>
        <v/>
      </c>
      <c r="U1557">
        <f>IF($A1557="","",$R1557&amp;"("&amp;$E1557&amp;")")</f>
        <v/>
      </c>
      <c r="V1557">
        <f>IF($A1557="","",$F1557&amp;"|"&amp;$U1557&amp;"|"&amp;$D1557)</f>
        <v/>
      </c>
      <c r="W1557">
        <f>IF($T1557="","",IF($X1557&gt;N($X1556),$X1557,""))</f>
        <v/>
      </c>
      <c r="X1557">
        <f>IF($T1557="",N($X1556),IF(MATCH($T1557,$T$6:$T$6005,0)=ROW()-5,N($X1556)+1,N($X1556)))</f>
        <v/>
      </c>
      <c r="Z1557">
        <f>IF($V1557="","",IF($AA1557&gt;N($AA1556),$AA1557,""))</f>
        <v/>
      </c>
      <c r="AA1557">
        <f>IF($V1557="",N($AA1556),IF(MATCH($V1557,$V$6:$V$6005,0)=ROW()-5,N($AA1556)+1,N($AA1556)))</f>
        <v/>
      </c>
    </row>
    <row r="1558" ht="21" customHeight="1" s="66">
      <c r="A1558" s="56" t="n"/>
      <c r="B1558" s="57" t="n"/>
      <c r="C1558" s="57" t="n"/>
      <c r="D1558" s="57" t="n"/>
      <c r="E1558" s="56" t="n"/>
      <c r="F1558" s="57" t="n"/>
      <c r="G1558" s="57" t="n"/>
      <c r="H1558" s="56" t="n"/>
      <c r="I1558" s="56" t="n"/>
      <c r="J1558" s="58" t="n"/>
      <c r="K1558" s="58" t="n"/>
      <c r="L1558" s="13">
        <f>IF(OR($A1558="",AND($J1558="",$K1558="")),"",ROUND(N($J1558)-N($K1558),2))</f>
        <v/>
      </c>
      <c r="M1558" s="13">
        <f>IF(OR($A1558="",AND($J1558="",$K1558="")),"",MIN($J1558,$K1558))</f>
        <v/>
      </c>
      <c r="Q1558">
        <f>IF($A1558="","",$D1558&amp;"("&amp;SUBSTITUTE($E1558," ","")&amp;")")</f>
        <v/>
      </c>
      <c r="R1558">
        <f>IF($A1558="","",$B1558&amp;" - "&amp;$C1558)</f>
        <v/>
      </c>
      <c r="S1558">
        <f>IF($A1558="","",$R1558&amp;"|"&amp;$Q1558)</f>
        <v/>
      </c>
      <c r="T1558">
        <f>IF($A1558="","",$S1558&amp;"|"&amp;$F1558)</f>
        <v/>
      </c>
      <c r="U1558">
        <f>IF($A1558="","",$R1558&amp;"("&amp;$E1558&amp;")")</f>
        <v/>
      </c>
      <c r="V1558">
        <f>IF($A1558="","",$F1558&amp;"|"&amp;$U1558&amp;"|"&amp;$D1558)</f>
        <v/>
      </c>
      <c r="W1558">
        <f>IF($T1558="","",IF($X1558&gt;N($X1557),$X1558,""))</f>
        <v/>
      </c>
      <c r="X1558">
        <f>IF($T1558="",N($X1557),IF(MATCH($T1558,$T$6:$T$6005,0)=ROW()-5,N($X1557)+1,N($X1557)))</f>
        <v/>
      </c>
      <c r="Z1558">
        <f>IF($V1558="","",IF($AA1558&gt;N($AA1557),$AA1558,""))</f>
        <v/>
      </c>
      <c r="AA1558">
        <f>IF($V1558="",N($AA1557),IF(MATCH($V1558,$V$6:$V$6005,0)=ROW()-5,N($AA1557)+1,N($AA1557)))</f>
        <v/>
      </c>
    </row>
    <row r="1559" ht="21" customHeight="1" s="66">
      <c r="A1559" s="56" t="n"/>
      <c r="B1559" s="57" t="n"/>
      <c r="C1559" s="57" t="n"/>
      <c r="D1559" s="57" t="n"/>
      <c r="E1559" s="56" t="n"/>
      <c r="F1559" s="57" t="n"/>
      <c r="G1559" s="57" t="n"/>
      <c r="H1559" s="56" t="n"/>
      <c r="I1559" s="56" t="n"/>
      <c r="J1559" s="58" t="n"/>
      <c r="K1559" s="58" t="n"/>
      <c r="L1559" s="13">
        <f>IF(OR($A1559="",AND($J1559="",$K1559="")),"",ROUND(N($J1559)-N($K1559),2))</f>
        <v/>
      </c>
      <c r="M1559" s="13">
        <f>IF(OR($A1559="",AND($J1559="",$K1559="")),"",MIN($J1559,$K1559))</f>
        <v/>
      </c>
      <c r="Q1559">
        <f>IF($A1559="","",$D1559&amp;"("&amp;SUBSTITUTE($E1559," ","")&amp;")")</f>
        <v/>
      </c>
      <c r="R1559">
        <f>IF($A1559="","",$B1559&amp;" - "&amp;$C1559)</f>
        <v/>
      </c>
      <c r="S1559">
        <f>IF($A1559="","",$R1559&amp;"|"&amp;$Q1559)</f>
        <v/>
      </c>
      <c r="T1559">
        <f>IF($A1559="","",$S1559&amp;"|"&amp;$F1559)</f>
        <v/>
      </c>
      <c r="U1559">
        <f>IF($A1559="","",$R1559&amp;"("&amp;$E1559&amp;")")</f>
        <v/>
      </c>
      <c r="V1559">
        <f>IF($A1559="","",$F1559&amp;"|"&amp;$U1559&amp;"|"&amp;$D1559)</f>
        <v/>
      </c>
      <c r="W1559">
        <f>IF($T1559="","",IF($X1559&gt;N($X1558),$X1559,""))</f>
        <v/>
      </c>
      <c r="X1559">
        <f>IF($T1559="",N($X1558),IF(MATCH($T1559,$T$6:$T$6005,0)=ROW()-5,N($X1558)+1,N($X1558)))</f>
        <v/>
      </c>
      <c r="Z1559">
        <f>IF($V1559="","",IF($AA1559&gt;N($AA1558),$AA1559,""))</f>
        <v/>
      </c>
      <c r="AA1559">
        <f>IF($V1559="",N($AA1558),IF(MATCH($V1559,$V$6:$V$6005,0)=ROW()-5,N($AA1558)+1,N($AA1558)))</f>
        <v/>
      </c>
    </row>
    <row r="1560" ht="21" customHeight="1" s="66">
      <c r="A1560" s="56" t="n"/>
      <c r="B1560" s="57" t="n"/>
      <c r="C1560" s="57" t="n"/>
      <c r="D1560" s="57" t="n"/>
      <c r="E1560" s="56" t="n"/>
      <c r="F1560" s="57" t="n"/>
      <c r="G1560" s="57" t="n"/>
      <c r="H1560" s="56" t="n"/>
      <c r="I1560" s="56" t="n"/>
      <c r="J1560" s="58" t="n"/>
      <c r="K1560" s="58" t="n"/>
      <c r="L1560" s="13">
        <f>IF(OR($A1560="",AND($J1560="",$K1560="")),"",ROUND(N($J1560)-N($K1560),2))</f>
        <v/>
      </c>
      <c r="M1560" s="13">
        <f>IF(OR($A1560="",AND($J1560="",$K1560="")),"",MIN($J1560,$K1560))</f>
        <v/>
      </c>
      <c r="Q1560">
        <f>IF($A1560="","",$D1560&amp;"("&amp;SUBSTITUTE($E1560," ","")&amp;")")</f>
        <v/>
      </c>
      <c r="R1560">
        <f>IF($A1560="","",$B1560&amp;" - "&amp;$C1560)</f>
        <v/>
      </c>
      <c r="S1560">
        <f>IF($A1560="","",$R1560&amp;"|"&amp;$Q1560)</f>
        <v/>
      </c>
      <c r="T1560">
        <f>IF($A1560="","",$S1560&amp;"|"&amp;$F1560)</f>
        <v/>
      </c>
      <c r="U1560">
        <f>IF($A1560="","",$R1560&amp;"("&amp;$E1560&amp;")")</f>
        <v/>
      </c>
      <c r="V1560">
        <f>IF($A1560="","",$F1560&amp;"|"&amp;$U1560&amp;"|"&amp;$D1560)</f>
        <v/>
      </c>
      <c r="W1560">
        <f>IF($T1560="","",IF($X1560&gt;N($X1559),$X1560,""))</f>
        <v/>
      </c>
      <c r="X1560">
        <f>IF($T1560="",N($X1559),IF(MATCH($T1560,$T$6:$T$6005,0)=ROW()-5,N($X1559)+1,N($X1559)))</f>
        <v/>
      </c>
      <c r="Z1560">
        <f>IF($V1560="","",IF($AA1560&gt;N($AA1559),$AA1560,""))</f>
        <v/>
      </c>
      <c r="AA1560">
        <f>IF($V1560="",N($AA1559),IF(MATCH($V1560,$V$6:$V$6005,0)=ROW()-5,N($AA1559)+1,N($AA1559)))</f>
        <v/>
      </c>
    </row>
    <row r="1561" ht="21" customHeight="1" s="66">
      <c r="A1561" s="56" t="n"/>
      <c r="B1561" s="57" t="n"/>
      <c r="C1561" s="57" t="n"/>
      <c r="D1561" s="57" t="n"/>
      <c r="E1561" s="56" t="n"/>
      <c r="F1561" s="57" t="n"/>
      <c r="G1561" s="57" t="n"/>
      <c r="H1561" s="56" t="n"/>
      <c r="I1561" s="56" t="n"/>
      <c r="J1561" s="58" t="n"/>
      <c r="K1561" s="58" t="n"/>
      <c r="L1561" s="13">
        <f>IF(OR($A1561="",AND($J1561="",$K1561="")),"",ROUND(N($J1561)-N($K1561),2))</f>
        <v/>
      </c>
      <c r="M1561" s="13">
        <f>IF(OR($A1561="",AND($J1561="",$K1561="")),"",MIN($J1561,$K1561))</f>
        <v/>
      </c>
      <c r="Q1561">
        <f>IF($A1561="","",$D1561&amp;"("&amp;SUBSTITUTE($E1561," ","")&amp;")")</f>
        <v/>
      </c>
      <c r="R1561">
        <f>IF($A1561="","",$B1561&amp;" - "&amp;$C1561)</f>
        <v/>
      </c>
      <c r="S1561">
        <f>IF($A1561="","",$R1561&amp;"|"&amp;$Q1561)</f>
        <v/>
      </c>
      <c r="T1561">
        <f>IF($A1561="","",$S1561&amp;"|"&amp;$F1561)</f>
        <v/>
      </c>
      <c r="U1561">
        <f>IF($A1561="","",$R1561&amp;"("&amp;$E1561&amp;")")</f>
        <v/>
      </c>
      <c r="V1561">
        <f>IF($A1561="","",$F1561&amp;"|"&amp;$U1561&amp;"|"&amp;$D1561)</f>
        <v/>
      </c>
      <c r="W1561">
        <f>IF($T1561="","",IF($X1561&gt;N($X1560),$X1561,""))</f>
        <v/>
      </c>
      <c r="X1561">
        <f>IF($T1561="",N($X1560),IF(MATCH($T1561,$T$6:$T$6005,0)=ROW()-5,N($X1560)+1,N($X1560)))</f>
        <v/>
      </c>
      <c r="Z1561">
        <f>IF($V1561="","",IF($AA1561&gt;N($AA1560),$AA1561,""))</f>
        <v/>
      </c>
      <c r="AA1561">
        <f>IF($V1561="",N($AA1560),IF(MATCH($V1561,$V$6:$V$6005,0)=ROW()-5,N($AA1560)+1,N($AA1560)))</f>
        <v/>
      </c>
    </row>
    <row r="1562" ht="21" customHeight="1" s="66">
      <c r="A1562" s="56" t="n"/>
      <c r="B1562" s="57" t="n"/>
      <c r="C1562" s="57" t="n"/>
      <c r="D1562" s="57" t="n"/>
      <c r="E1562" s="56" t="n"/>
      <c r="F1562" s="57" t="n"/>
      <c r="G1562" s="57" t="n"/>
      <c r="H1562" s="56" t="n"/>
      <c r="I1562" s="56" t="n"/>
      <c r="J1562" s="58" t="n"/>
      <c r="K1562" s="58" t="n"/>
      <c r="L1562" s="13">
        <f>IF(OR($A1562="",AND($J1562="",$K1562="")),"",ROUND(N($J1562)-N($K1562),2))</f>
        <v/>
      </c>
      <c r="M1562" s="13">
        <f>IF(OR($A1562="",AND($J1562="",$K1562="")),"",MIN($J1562,$K1562))</f>
        <v/>
      </c>
      <c r="Q1562">
        <f>IF($A1562="","",$D1562&amp;"("&amp;SUBSTITUTE($E1562," ","")&amp;")")</f>
        <v/>
      </c>
      <c r="R1562">
        <f>IF($A1562="","",$B1562&amp;" - "&amp;$C1562)</f>
        <v/>
      </c>
      <c r="S1562">
        <f>IF($A1562="","",$R1562&amp;"|"&amp;$Q1562)</f>
        <v/>
      </c>
      <c r="T1562">
        <f>IF($A1562="","",$S1562&amp;"|"&amp;$F1562)</f>
        <v/>
      </c>
      <c r="U1562">
        <f>IF($A1562="","",$R1562&amp;"("&amp;$E1562&amp;")")</f>
        <v/>
      </c>
      <c r="V1562">
        <f>IF($A1562="","",$F1562&amp;"|"&amp;$U1562&amp;"|"&amp;$D1562)</f>
        <v/>
      </c>
      <c r="W1562">
        <f>IF($T1562="","",IF($X1562&gt;N($X1561),$X1562,""))</f>
        <v/>
      </c>
      <c r="X1562">
        <f>IF($T1562="",N($X1561),IF(MATCH($T1562,$T$6:$T$6005,0)=ROW()-5,N($X1561)+1,N($X1561)))</f>
        <v/>
      </c>
      <c r="Z1562">
        <f>IF($V1562="","",IF($AA1562&gt;N($AA1561),$AA1562,""))</f>
        <v/>
      </c>
      <c r="AA1562">
        <f>IF($V1562="",N($AA1561),IF(MATCH($V1562,$V$6:$V$6005,0)=ROW()-5,N($AA1561)+1,N($AA1561)))</f>
        <v/>
      </c>
    </row>
    <row r="1563" ht="21" customHeight="1" s="66">
      <c r="A1563" s="56" t="n"/>
      <c r="B1563" s="57" t="n"/>
      <c r="C1563" s="57" t="n"/>
      <c r="D1563" s="57" t="n"/>
      <c r="E1563" s="56" t="n"/>
      <c r="F1563" s="57" t="n"/>
      <c r="G1563" s="57" t="n"/>
      <c r="H1563" s="56" t="n"/>
      <c r="I1563" s="56" t="n"/>
      <c r="J1563" s="58" t="n"/>
      <c r="K1563" s="58" t="n"/>
      <c r="L1563" s="13">
        <f>IF(OR($A1563="",AND($J1563="",$K1563="")),"",ROUND(N($J1563)-N($K1563),2))</f>
        <v/>
      </c>
      <c r="M1563" s="13">
        <f>IF(OR($A1563="",AND($J1563="",$K1563="")),"",MIN($J1563,$K1563))</f>
        <v/>
      </c>
      <c r="Q1563">
        <f>IF($A1563="","",$D1563&amp;"("&amp;SUBSTITUTE($E1563," ","")&amp;")")</f>
        <v/>
      </c>
      <c r="R1563">
        <f>IF($A1563="","",$B1563&amp;" - "&amp;$C1563)</f>
        <v/>
      </c>
      <c r="S1563">
        <f>IF($A1563="","",$R1563&amp;"|"&amp;$Q1563)</f>
        <v/>
      </c>
      <c r="T1563">
        <f>IF($A1563="","",$S1563&amp;"|"&amp;$F1563)</f>
        <v/>
      </c>
      <c r="U1563">
        <f>IF($A1563="","",$R1563&amp;"("&amp;$E1563&amp;")")</f>
        <v/>
      </c>
      <c r="V1563">
        <f>IF($A1563="","",$F1563&amp;"|"&amp;$U1563&amp;"|"&amp;$D1563)</f>
        <v/>
      </c>
      <c r="W1563">
        <f>IF($T1563="","",IF($X1563&gt;N($X1562),$X1563,""))</f>
        <v/>
      </c>
      <c r="X1563">
        <f>IF($T1563="",N($X1562),IF(MATCH($T1563,$T$6:$T$6005,0)=ROW()-5,N($X1562)+1,N($X1562)))</f>
        <v/>
      </c>
      <c r="Z1563">
        <f>IF($V1563="","",IF($AA1563&gt;N($AA1562),$AA1563,""))</f>
        <v/>
      </c>
      <c r="AA1563">
        <f>IF($V1563="",N($AA1562),IF(MATCH($V1563,$V$6:$V$6005,0)=ROW()-5,N($AA1562)+1,N($AA1562)))</f>
        <v/>
      </c>
    </row>
    <row r="1564" ht="21" customHeight="1" s="66">
      <c r="A1564" s="56" t="n"/>
      <c r="B1564" s="57" t="n"/>
      <c r="C1564" s="57" t="n"/>
      <c r="D1564" s="57" t="n"/>
      <c r="E1564" s="56" t="n"/>
      <c r="F1564" s="57" t="n"/>
      <c r="G1564" s="57" t="n"/>
      <c r="H1564" s="56" t="n"/>
      <c r="I1564" s="56" t="n"/>
      <c r="J1564" s="58" t="n"/>
      <c r="K1564" s="58" t="n"/>
      <c r="L1564" s="13">
        <f>IF(OR($A1564="",AND($J1564="",$K1564="")),"",ROUND(N($J1564)-N($K1564),2))</f>
        <v/>
      </c>
      <c r="M1564" s="13">
        <f>IF(OR($A1564="",AND($J1564="",$K1564="")),"",MIN($J1564,$K1564))</f>
        <v/>
      </c>
      <c r="Q1564">
        <f>IF($A1564="","",$D1564&amp;"("&amp;SUBSTITUTE($E1564," ","")&amp;")")</f>
        <v/>
      </c>
      <c r="R1564">
        <f>IF($A1564="","",$B1564&amp;" - "&amp;$C1564)</f>
        <v/>
      </c>
      <c r="S1564">
        <f>IF($A1564="","",$R1564&amp;"|"&amp;$Q1564)</f>
        <v/>
      </c>
      <c r="T1564">
        <f>IF($A1564="","",$S1564&amp;"|"&amp;$F1564)</f>
        <v/>
      </c>
      <c r="U1564">
        <f>IF($A1564="","",$R1564&amp;"("&amp;$E1564&amp;")")</f>
        <v/>
      </c>
      <c r="V1564">
        <f>IF($A1564="","",$F1564&amp;"|"&amp;$U1564&amp;"|"&amp;$D1564)</f>
        <v/>
      </c>
      <c r="W1564">
        <f>IF($T1564="","",IF($X1564&gt;N($X1563),$X1564,""))</f>
        <v/>
      </c>
      <c r="X1564">
        <f>IF($T1564="",N($X1563),IF(MATCH($T1564,$T$6:$T$6005,0)=ROW()-5,N($X1563)+1,N($X1563)))</f>
        <v/>
      </c>
      <c r="Z1564">
        <f>IF($V1564="","",IF($AA1564&gt;N($AA1563),$AA1564,""))</f>
        <v/>
      </c>
      <c r="AA1564">
        <f>IF($V1564="",N($AA1563),IF(MATCH($V1564,$V$6:$V$6005,0)=ROW()-5,N($AA1563)+1,N($AA1563)))</f>
        <v/>
      </c>
    </row>
    <row r="1565" ht="21" customHeight="1" s="66">
      <c r="A1565" s="56" t="n"/>
      <c r="B1565" s="57" t="n"/>
      <c r="C1565" s="57" t="n"/>
      <c r="D1565" s="57" t="n"/>
      <c r="E1565" s="56" t="n"/>
      <c r="F1565" s="57" t="n"/>
      <c r="G1565" s="57" t="n"/>
      <c r="H1565" s="56" t="n"/>
      <c r="I1565" s="56" t="n"/>
      <c r="J1565" s="58" t="n"/>
      <c r="K1565" s="58" t="n"/>
      <c r="L1565" s="13">
        <f>IF(OR($A1565="",AND($J1565="",$K1565="")),"",ROUND(N($J1565)-N($K1565),2))</f>
        <v/>
      </c>
      <c r="M1565" s="13">
        <f>IF(OR($A1565="",AND($J1565="",$K1565="")),"",MIN($J1565,$K1565))</f>
        <v/>
      </c>
      <c r="Q1565">
        <f>IF($A1565="","",$D1565&amp;"("&amp;SUBSTITUTE($E1565," ","")&amp;")")</f>
        <v/>
      </c>
      <c r="R1565">
        <f>IF($A1565="","",$B1565&amp;" - "&amp;$C1565)</f>
        <v/>
      </c>
      <c r="S1565">
        <f>IF($A1565="","",$R1565&amp;"|"&amp;$Q1565)</f>
        <v/>
      </c>
      <c r="T1565">
        <f>IF($A1565="","",$S1565&amp;"|"&amp;$F1565)</f>
        <v/>
      </c>
      <c r="U1565">
        <f>IF($A1565="","",$R1565&amp;"("&amp;$E1565&amp;")")</f>
        <v/>
      </c>
      <c r="V1565">
        <f>IF($A1565="","",$F1565&amp;"|"&amp;$U1565&amp;"|"&amp;$D1565)</f>
        <v/>
      </c>
      <c r="W1565">
        <f>IF($T1565="","",IF($X1565&gt;N($X1564),$X1565,""))</f>
        <v/>
      </c>
      <c r="X1565">
        <f>IF($T1565="",N($X1564),IF(MATCH($T1565,$T$6:$T$6005,0)=ROW()-5,N($X1564)+1,N($X1564)))</f>
        <v/>
      </c>
      <c r="Z1565">
        <f>IF($V1565="","",IF($AA1565&gt;N($AA1564),$AA1565,""))</f>
        <v/>
      </c>
      <c r="AA1565">
        <f>IF($V1565="",N($AA1564),IF(MATCH($V1565,$V$6:$V$6005,0)=ROW()-5,N($AA1564)+1,N($AA1564)))</f>
        <v/>
      </c>
    </row>
    <row r="1566" ht="21" customHeight="1" s="66">
      <c r="A1566" s="56" t="n"/>
      <c r="B1566" s="57" t="n"/>
      <c r="C1566" s="57" t="n"/>
      <c r="D1566" s="57" t="n"/>
      <c r="E1566" s="56" t="n"/>
      <c r="F1566" s="57" t="n"/>
      <c r="G1566" s="57" t="n"/>
      <c r="H1566" s="56" t="n"/>
      <c r="I1566" s="56" t="n"/>
      <c r="J1566" s="58" t="n"/>
      <c r="K1566" s="58" t="n"/>
      <c r="L1566" s="13">
        <f>IF(OR($A1566="",AND($J1566="",$K1566="")),"",ROUND(N($J1566)-N($K1566),2))</f>
        <v/>
      </c>
      <c r="M1566" s="13">
        <f>IF(OR($A1566="",AND($J1566="",$K1566="")),"",MIN($J1566,$K1566))</f>
        <v/>
      </c>
      <c r="Q1566">
        <f>IF($A1566="","",$D1566&amp;"("&amp;SUBSTITUTE($E1566," ","")&amp;")")</f>
        <v/>
      </c>
      <c r="R1566">
        <f>IF($A1566="","",$B1566&amp;" - "&amp;$C1566)</f>
        <v/>
      </c>
      <c r="S1566">
        <f>IF($A1566="","",$R1566&amp;"|"&amp;$Q1566)</f>
        <v/>
      </c>
      <c r="T1566">
        <f>IF($A1566="","",$S1566&amp;"|"&amp;$F1566)</f>
        <v/>
      </c>
      <c r="U1566">
        <f>IF($A1566="","",$R1566&amp;"("&amp;$E1566&amp;")")</f>
        <v/>
      </c>
      <c r="V1566">
        <f>IF($A1566="","",$F1566&amp;"|"&amp;$U1566&amp;"|"&amp;$D1566)</f>
        <v/>
      </c>
      <c r="W1566">
        <f>IF($T1566="","",IF($X1566&gt;N($X1565),$X1566,""))</f>
        <v/>
      </c>
      <c r="X1566">
        <f>IF($T1566="",N($X1565),IF(MATCH($T1566,$T$6:$T$6005,0)=ROW()-5,N($X1565)+1,N($X1565)))</f>
        <v/>
      </c>
      <c r="Z1566">
        <f>IF($V1566="","",IF($AA1566&gt;N($AA1565),$AA1566,""))</f>
        <v/>
      </c>
      <c r="AA1566">
        <f>IF($V1566="",N($AA1565),IF(MATCH($V1566,$V$6:$V$6005,0)=ROW()-5,N($AA1565)+1,N($AA1565)))</f>
        <v/>
      </c>
    </row>
    <row r="1567" ht="21" customHeight="1" s="66">
      <c r="A1567" s="56" t="n"/>
      <c r="B1567" s="57" t="n"/>
      <c r="C1567" s="57" t="n"/>
      <c r="D1567" s="57" t="n"/>
      <c r="E1567" s="56" t="n"/>
      <c r="F1567" s="57" t="n"/>
      <c r="G1567" s="57" t="n"/>
      <c r="H1567" s="56" t="n"/>
      <c r="I1567" s="56" t="n"/>
      <c r="J1567" s="58" t="n"/>
      <c r="K1567" s="58" t="n"/>
      <c r="L1567" s="13">
        <f>IF(OR($A1567="",AND($J1567="",$K1567="")),"",ROUND(N($J1567)-N($K1567),2))</f>
        <v/>
      </c>
      <c r="M1567" s="13">
        <f>IF(OR($A1567="",AND($J1567="",$K1567="")),"",MIN($J1567,$K1567))</f>
        <v/>
      </c>
      <c r="Q1567">
        <f>IF($A1567="","",$D1567&amp;"("&amp;SUBSTITUTE($E1567," ","")&amp;")")</f>
        <v/>
      </c>
      <c r="R1567">
        <f>IF($A1567="","",$B1567&amp;" - "&amp;$C1567)</f>
        <v/>
      </c>
      <c r="S1567">
        <f>IF($A1567="","",$R1567&amp;"|"&amp;$Q1567)</f>
        <v/>
      </c>
      <c r="T1567">
        <f>IF($A1567="","",$S1567&amp;"|"&amp;$F1567)</f>
        <v/>
      </c>
      <c r="U1567">
        <f>IF($A1567="","",$R1567&amp;"("&amp;$E1567&amp;")")</f>
        <v/>
      </c>
      <c r="V1567">
        <f>IF($A1567="","",$F1567&amp;"|"&amp;$U1567&amp;"|"&amp;$D1567)</f>
        <v/>
      </c>
      <c r="W1567">
        <f>IF($T1567="","",IF($X1567&gt;N($X1566),$X1567,""))</f>
        <v/>
      </c>
      <c r="X1567">
        <f>IF($T1567="",N($X1566),IF(MATCH($T1567,$T$6:$T$6005,0)=ROW()-5,N($X1566)+1,N($X1566)))</f>
        <v/>
      </c>
      <c r="Z1567">
        <f>IF($V1567="","",IF($AA1567&gt;N($AA1566),$AA1567,""))</f>
        <v/>
      </c>
      <c r="AA1567">
        <f>IF($V1567="",N($AA1566),IF(MATCH($V1567,$V$6:$V$6005,0)=ROW()-5,N($AA1566)+1,N($AA1566)))</f>
        <v/>
      </c>
    </row>
    <row r="1568" ht="21" customHeight="1" s="66">
      <c r="A1568" s="56" t="n"/>
      <c r="B1568" s="57" t="n"/>
      <c r="C1568" s="57" t="n"/>
      <c r="D1568" s="57" t="n"/>
      <c r="E1568" s="56" t="n"/>
      <c r="F1568" s="57" t="n"/>
      <c r="G1568" s="57" t="n"/>
      <c r="H1568" s="56" t="n"/>
      <c r="I1568" s="56" t="n"/>
      <c r="J1568" s="58" t="n"/>
      <c r="K1568" s="58" t="n"/>
      <c r="L1568" s="13">
        <f>IF(OR($A1568="",AND($J1568="",$K1568="")),"",ROUND(N($J1568)-N($K1568),2))</f>
        <v/>
      </c>
      <c r="M1568" s="13">
        <f>IF(OR($A1568="",AND($J1568="",$K1568="")),"",MIN($J1568,$K1568))</f>
        <v/>
      </c>
      <c r="Q1568">
        <f>IF($A1568="","",$D1568&amp;"("&amp;SUBSTITUTE($E1568," ","")&amp;")")</f>
        <v/>
      </c>
      <c r="R1568">
        <f>IF($A1568="","",$B1568&amp;" - "&amp;$C1568)</f>
        <v/>
      </c>
      <c r="S1568">
        <f>IF($A1568="","",$R1568&amp;"|"&amp;$Q1568)</f>
        <v/>
      </c>
      <c r="T1568">
        <f>IF($A1568="","",$S1568&amp;"|"&amp;$F1568)</f>
        <v/>
      </c>
      <c r="U1568">
        <f>IF($A1568="","",$R1568&amp;"("&amp;$E1568&amp;")")</f>
        <v/>
      </c>
      <c r="V1568">
        <f>IF($A1568="","",$F1568&amp;"|"&amp;$U1568&amp;"|"&amp;$D1568)</f>
        <v/>
      </c>
      <c r="W1568">
        <f>IF($T1568="","",IF($X1568&gt;N($X1567),$X1568,""))</f>
        <v/>
      </c>
      <c r="X1568">
        <f>IF($T1568="",N($X1567),IF(MATCH($T1568,$T$6:$T$6005,0)=ROW()-5,N($X1567)+1,N($X1567)))</f>
        <v/>
      </c>
      <c r="Z1568">
        <f>IF($V1568="","",IF($AA1568&gt;N($AA1567),$AA1568,""))</f>
        <v/>
      </c>
      <c r="AA1568">
        <f>IF($V1568="",N($AA1567),IF(MATCH($V1568,$V$6:$V$6005,0)=ROW()-5,N($AA1567)+1,N($AA1567)))</f>
        <v/>
      </c>
    </row>
    <row r="1569" ht="21" customHeight="1" s="66">
      <c r="A1569" s="56" t="n"/>
      <c r="B1569" s="57" t="n"/>
      <c r="C1569" s="57" t="n"/>
      <c r="D1569" s="57" t="n"/>
      <c r="E1569" s="56" t="n"/>
      <c r="F1569" s="57" t="n"/>
      <c r="G1569" s="57" t="n"/>
      <c r="H1569" s="56" t="n"/>
      <c r="I1569" s="56" t="n"/>
      <c r="J1569" s="58" t="n"/>
      <c r="K1569" s="58" t="n"/>
      <c r="L1569" s="13">
        <f>IF(OR($A1569="",AND($J1569="",$K1569="")),"",ROUND(N($J1569)-N($K1569),2))</f>
        <v/>
      </c>
      <c r="M1569" s="13">
        <f>IF(OR($A1569="",AND($J1569="",$K1569="")),"",MIN($J1569,$K1569))</f>
        <v/>
      </c>
      <c r="Q1569">
        <f>IF($A1569="","",$D1569&amp;"("&amp;SUBSTITUTE($E1569," ","")&amp;")")</f>
        <v/>
      </c>
      <c r="R1569">
        <f>IF($A1569="","",$B1569&amp;" - "&amp;$C1569)</f>
        <v/>
      </c>
      <c r="S1569">
        <f>IF($A1569="","",$R1569&amp;"|"&amp;$Q1569)</f>
        <v/>
      </c>
      <c r="T1569">
        <f>IF($A1569="","",$S1569&amp;"|"&amp;$F1569)</f>
        <v/>
      </c>
      <c r="U1569">
        <f>IF($A1569="","",$R1569&amp;"("&amp;$E1569&amp;")")</f>
        <v/>
      </c>
      <c r="V1569">
        <f>IF($A1569="","",$F1569&amp;"|"&amp;$U1569&amp;"|"&amp;$D1569)</f>
        <v/>
      </c>
      <c r="W1569">
        <f>IF($T1569="","",IF($X1569&gt;N($X1568),$X1569,""))</f>
        <v/>
      </c>
      <c r="X1569">
        <f>IF($T1569="",N($X1568),IF(MATCH($T1569,$T$6:$T$6005,0)=ROW()-5,N($X1568)+1,N($X1568)))</f>
        <v/>
      </c>
      <c r="Z1569">
        <f>IF($V1569="","",IF($AA1569&gt;N($AA1568),$AA1569,""))</f>
        <v/>
      </c>
      <c r="AA1569">
        <f>IF($V1569="",N($AA1568),IF(MATCH($V1569,$V$6:$V$6005,0)=ROW()-5,N($AA1568)+1,N($AA1568)))</f>
        <v/>
      </c>
    </row>
    <row r="1570" ht="21" customHeight="1" s="66">
      <c r="A1570" s="56" t="n"/>
      <c r="B1570" s="57" t="n"/>
      <c r="C1570" s="57" t="n"/>
      <c r="D1570" s="57" t="n"/>
      <c r="E1570" s="56" t="n"/>
      <c r="F1570" s="57" t="n"/>
      <c r="G1570" s="57" t="n"/>
      <c r="H1570" s="56" t="n"/>
      <c r="I1570" s="56" t="n"/>
      <c r="J1570" s="58" t="n"/>
      <c r="K1570" s="58" t="n"/>
      <c r="L1570" s="13">
        <f>IF(OR($A1570="",AND($J1570="",$K1570="")),"",ROUND(N($J1570)-N($K1570),2))</f>
        <v/>
      </c>
      <c r="M1570" s="13">
        <f>IF(OR($A1570="",AND($J1570="",$K1570="")),"",MIN($J1570,$K1570))</f>
        <v/>
      </c>
      <c r="Q1570">
        <f>IF($A1570="","",$D1570&amp;"("&amp;SUBSTITUTE($E1570," ","")&amp;")")</f>
        <v/>
      </c>
      <c r="R1570">
        <f>IF($A1570="","",$B1570&amp;" - "&amp;$C1570)</f>
        <v/>
      </c>
      <c r="S1570">
        <f>IF($A1570="","",$R1570&amp;"|"&amp;$Q1570)</f>
        <v/>
      </c>
      <c r="T1570">
        <f>IF($A1570="","",$S1570&amp;"|"&amp;$F1570)</f>
        <v/>
      </c>
      <c r="U1570">
        <f>IF($A1570="","",$R1570&amp;"("&amp;$E1570&amp;")")</f>
        <v/>
      </c>
      <c r="V1570">
        <f>IF($A1570="","",$F1570&amp;"|"&amp;$U1570&amp;"|"&amp;$D1570)</f>
        <v/>
      </c>
      <c r="W1570">
        <f>IF($T1570="","",IF($X1570&gt;N($X1569),$X1570,""))</f>
        <v/>
      </c>
      <c r="X1570">
        <f>IF($T1570="",N($X1569),IF(MATCH($T1570,$T$6:$T$6005,0)=ROW()-5,N($X1569)+1,N($X1569)))</f>
        <v/>
      </c>
      <c r="Z1570">
        <f>IF($V1570="","",IF($AA1570&gt;N($AA1569),$AA1570,""))</f>
        <v/>
      </c>
      <c r="AA1570">
        <f>IF($V1570="",N($AA1569),IF(MATCH($V1570,$V$6:$V$6005,0)=ROW()-5,N($AA1569)+1,N($AA1569)))</f>
        <v/>
      </c>
    </row>
    <row r="1571" ht="21" customHeight="1" s="66">
      <c r="A1571" s="56" t="n"/>
      <c r="B1571" s="57" t="n"/>
      <c r="C1571" s="57" t="n"/>
      <c r="D1571" s="57" t="n"/>
      <c r="E1571" s="56" t="n"/>
      <c r="F1571" s="57" t="n"/>
      <c r="G1571" s="57" t="n"/>
      <c r="H1571" s="56" t="n"/>
      <c r="I1571" s="56" t="n"/>
      <c r="J1571" s="58" t="n"/>
      <c r="K1571" s="58" t="n"/>
      <c r="L1571" s="13">
        <f>IF(OR($A1571="",AND($J1571="",$K1571="")),"",ROUND(N($J1571)-N($K1571),2))</f>
        <v/>
      </c>
      <c r="M1571" s="13">
        <f>IF(OR($A1571="",AND($J1571="",$K1571="")),"",MIN($J1571,$K1571))</f>
        <v/>
      </c>
      <c r="Q1571">
        <f>IF($A1571="","",$D1571&amp;"("&amp;SUBSTITUTE($E1571," ","")&amp;")")</f>
        <v/>
      </c>
      <c r="R1571">
        <f>IF($A1571="","",$B1571&amp;" - "&amp;$C1571)</f>
        <v/>
      </c>
      <c r="S1571">
        <f>IF($A1571="","",$R1571&amp;"|"&amp;$Q1571)</f>
        <v/>
      </c>
      <c r="T1571">
        <f>IF($A1571="","",$S1571&amp;"|"&amp;$F1571)</f>
        <v/>
      </c>
      <c r="U1571">
        <f>IF($A1571="","",$R1571&amp;"("&amp;$E1571&amp;")")</f>
        <v/>
      </c>
      <c r="V1571">
        <f>IF($A1571="","",$F1571&amp;"|"&amp;$U1571&amp;"|"&amp;$D1571)</f>
        <v/>
      </c>
      <c r="W1571">
        <f>IF($T1571="","",IF($X1571&gt;N($X1570),$X1571,""))</f>
        <v/>
      </c>
      <c r="X1571">
        <f>IF($T1571="",N($X1570),IF(MATCH($T1571,$T$6:$T$6005,0)=ROW()-5,N($X1570)+1,N($X1570)))</f>
        <v/>
      </c>
      <c r="Z1571">
        <f>IF($V1571="","",IF($AA1571&gt;N($AA1570),$AA1571,""))</f>
        <v/>
      </c>
      <c r="AA1571">
        <f>IF($V1571="",N($AA1570),IF(MATCH($V1571,$V$6:$V$6005,0)=ROW()-5,N($AA1570)+1,N($AA1570)))</f>
        <v/>
      </c>
    </row>
    <row r="1572" ht="21" customHeight="1" s="66">
      <c r="A1572" s="56" t="n"/>
      <c r="B1572" s="57" t="n"/>
      <c r="C1572" s="57" t="n"/>
      <c r="D1572" s="57" t="n"/>
      <c r="E1572" s="56" t="n"/>
      <c r="F1572" s="57" t="n"/>
      <c r="G1572" s="57" t="n"/>
      <c r="H1572" s="56" t="n"/>
      <c r="I1572" s="56" t="n"/>
      <c r="J1572" s="58" t="n"/>
      <c r="K1572" s="58" t="n"/>
      <c r="L1572" s="13">
        <f>IF(OR($A1572="",AND($J1572="",$K1572="")),"",ROUND(N($J1572)-N($K1572),2))</f>
        <v/>
      </c>
      <c r="M1572" s="13">
        <f>IF(OR($A1572="",AND($J1572="",$K1572="")),"",MIN($J1572,$K1572))</f>
        <v/>
      </c>
      <c r="Q1572">
        <f>IF($A1572="","",$D1572&amp;"("&amp;SUBSTITUTE($E1572," ","")&amp;")")</f>
        <v/>
      </c>
      <c r="R1572">
        <f>IF($A1572="","",$B1572&amp;" - "&amp;$C1572)</f>
        <v/>
      </c>
      <c r="S1572">
        <f>IF($A1572="","",$R1572&amp;"|"&amp;$Q1572)</f>
        <v/>
      </c>
      <c r="T1572">
        <f>IF($A1572="","",$S1572&amp;"|"&amp;$F1572)</f>
        <v/>
      </c>
      <c r="U1572">
        <f>IF($A1572="","",$R1572&amp;"("&amp;$E1572&amp;")")</f>
        <v/>
      </c>
      <c r="V1572">
        <f>IF($A1572="","",$F1572&amp;"|"&amp;$U1572&amp;"|"&amp;$D1572)</f>
        <v/>
      </c>
      <c r="W1572">
        <f>IF($T1572="","",IF($X1572&gt;N($X1571),$X1572,""))</f>
        <v/>
      </c>
      <c r="X1572">
        <f>IF($T1572="",N($X1571),IF(MATCH($T1572,$T$6:$T$6005,0)=ROW()-5,N($X1571)+1,N($X1571)))</f>
        <v/>
      </c>
      <c r="Z1572">
        <f>IF($V1572="","",IF($AA1572&gt;N($AA1571),$AA1572,""))</f>
        <v/>
      </c>
      <c r="AA1572">
        <f>IF($V1572="",N($AA1571),IF(MATCH($V1572,$V$6:$V$6005,0)=ROW()-5,N($AA1571)+1,N($AA1571)))</f>
        <v/>
      </c>
    </row>
    <row r="1573" ht="21" customHeight="1" s="66">
      <c r="A1573" s="56" t="n"/>
      <c r="B1573" s="57" t="n"/>
      <c r="C1573" s="57" t="n"/>
      <c r="D1573" s="57" t="n"/>
      <c r="E1573" s="56" t="n"/>
      <c r="F1573" s="57" t="n"/>
      <c r="G1573" s="57" t="n"/>
      <c r="H1573" s="56" t="n"/>
      <c r="I1573" s="56" t="n"/>
      <c r="J1573" s="58" t="n"/>
      <c r="K1573" s="58" t="n"/>
      <c r="L1573" s="13">
        <f>IF(OR($A1573="",AND($J1573="",$K1573="")),"",ROUND(N($J1573)-N($K1573),2))</f>
        <v/>
      </c>
      <c r="M1573" s="13">
        <f>IF(OR($A1573="",AND($J1573="",$K1573="")),"",MIN($J1573,$K1573))</f>
        <v/>
      </c>
      <c r="Q1573">
        <f>IF($A1573="","",$D1573&amp;"("&amp;SUBSTITUTE($E1573," ","")&amp;")")</f>
        <v/>
      </c>
      <c r="R1573">
        <f>IF($A1573="","",$B1573&amp;" - "&amp;$C1573)</f>
        <v/>
      </c>
      <c r="S1573">
        <f>IF($A1573="","",$R1573&amp;"|"&amp;$Q1573)</f>
        <v/>
      </c>
      <c r="T1573">
        <f>IF($A1573="","",$S1573&amp;"|"&amp;$F1573)</f>
        <v/>
      </c>
      <c r="U1573">
        <f>IF($A1573="","",$R1573&amp;"("&amp;$E1573&amp;")")</f>
        <v/>
      </c>
      <c r="V1573">
        <f>IF($A1573="","",$F1573&amp;"|"&amp;$U1573&amp;"|"&amp;$D1573)</f>
        <v/>
      </c>
      <c r="W1573">
        <f>IF($T1573="","",IF($X1573&gt;N($X1572),$X1573,""))</f>
        <v/>
      </c>
      <c r="X1573">
        <f>IF($T1573="",N($X1572),IF(MATCH($T1573,$T$6:$T$6005,0)=ROW()-5,N($X1572)+1,N($X1572)))</f>
        <v/>
      </c>
      <c r="Z1573">
        <f>IF($V1573="","",IF($AA1573&gt;N($AA1572),$AA1573,""))</f>
        <v/>
      </c>
      <c r="AA1573">
        <f>IF($V1573="",N($AA1572),IF(MATCH($V1573,$V$6:$V$6005,0)=ROW()-5,N($AA1572)+1,N($AA1572)))</f>
        <v/>
      </c>
    </row>
    <row r="1574" ht="21" customHeight="1" s="66">
      <c r="A1574" s="56" t="n"/>
      <c r="B1574" s="57" t="n"/>
      <c r="C1574" s="57" t="n"/>
      <c r="D1574" s="57" t="n"/>
      <c r="E1574" s="56" t="n"/>
      <c r="F1574" s="57" t="n"/>
      <c r="G1574" s="57" t="n"/>
      <c r="H1574" s="56" t="n"/>
      <c r="I1574" s="56" t="n"/>
      <c r="J1574" s="58" t="n"/>
      <c r="K1574" s="58" t="n"/>
      <c r="L1574" s="13">
        <f>IF(OR($A1574="",AND($J1574="",$K1574="")),"",ROUND(N($J1574)-N($K1574),2))</f>
        <v/>
      </c>
      <c r="M1574" s="13">
        <f>IF(OR($A1574="",AND($J1574="",$K1574="")),"",MIN($J1574,$K1574))</f>
        <v/>
      </c>
      <c r="Q1574">
        <f>IF($A1574="","",$D1574&amp;"("&amp;SUBSTITUTE($E1574," ","")&amp;")")</f>
        <v/>
      </c>
      <c r="R1574">
        <f>IF($A1574="","",$B1574&amp;" - "&amp;$C1574)</f>
        <v/>
      </c>
      <c r="S1574">
        <f>IF($A1574="","",$R1574&amp;"|"&amp;$Q1574)</f>
        <v/>
      </c>
      <c r="T1574">
        <f>IF($A1574="","",$S1574&amp;"|"&amp;$F1574)</f>
        <v/>
      </c>
      <c r="U1574">
        <f>IF($A1574="","",$R1574&amp;"("&amp;$E1574&amp;")")</f>
        <v/>
      </c>
      <c r="V1574">
        <f>IF($A1574="","",$F1574&amp;"|"&amp;$U1574&amp;"|"&amp;$D1574)</f>
        <v/>
      </c>
      <c r="W1574">
        <f>IF($T1574="","",IF($X1574&gt;N($X1573),$X1574,""))</f>
        <v/>
      </c>
      <c r="X1574">
        <f>IF($T1574="",N($X1573),IF(MATCH($T1574,$T$6:$T$6005,0)=ROW()-5,N($X1573)+1,N($X1573)))</f>
        <v/>
      </c>
      <c r="Z1574">
        <f>IF($V1574="","",IF($AA1574&gt;N($AA1573),$AA1574,""))</f>
        <v/>
      </c>
      <c r="AA1574">
        <f>IF($V1574="",N($AA1573),IF(MATCH($V1574,$V$6:$V$6005,0)=ROW()-5,N($AA1573)+1,N($AA1573)))</f>
        <v/>
      </c>
    </row>
    <row r="1575" ht="21" customHeight="1" s="66">
      <c r="A1575" s="56" t="n"/>
      <c r="B1575" s="57" t="n"/>
      <c r="C1575" s="57" t="n"/>
      <c r="D1575" s="57" t="n"/>
      <c r="E1575" s="56" t="n"/>
      <c r="F1575" s="57" t="n"/>
      <c r="G1575" s="57" t="n"/>
      <c r="H1575" s="56" t="n"/>
      <c r="I1575" s="56" t="n"/>
      <c r="J1575" s="58" t="n"/>
      <c r="K1575" s="58" t="n"/>
      <c r="L1575" s="13">
        <f>IF(OR($A1575="",AND($J1575="",$K1575="")),"",ROUND(N($J1575)-N($K1575),2))</f>
        <v/>
      </c>
      <c r="M1575" s="13">
        <f>IF(OR($A1575="",AND($J1575="",$K1575="")),"",MIN($J1575,$K1575))</f>
        <v/>
      </c>
      <c r="Q1575">
        <f>IF($A1575="","",$D1575&amp;"("&amp;SUBSTITUTE($E1575," ","")&amp;")")</f>
        <v/>
      </c>
      <c r="R1575">
        <f>IF($A1575="","",$B1575&amp;" - "&amp;$C1575)</f>
        <v/>
      </c>
      <c r="S1575">
        <f>IF($A1575="","",$R1575&amp;"|"&amp;$Q1575)</f>
        <v/>
      </c>
      <c r="T1575">
        <f>IF($A1575="","",$S1575&amp;"|"&amp;$F1575)</f>
        <v/>
      </c>
      <c r="U1575">
        <f>IF($A1575="","",$R1575&amp;"("&amp;$E1575&amp;")")</f>
        <v/>
      </c>
      <c r="V1575">
        <f>IF($A1575="","",$F1575&amp;"|"&amp;$U1575&amp;"|"&amp;$D1575)</f>
        <v/>
      </c>
      <c r="W1575">
        <f>IF($T1575="","",IF($X1575&gt;N($X1574),$X1575,""))</f>
        <v/>
      </c>
      <c r="X1575">
        <f>IF($T1575="",N($X1574),IF(MATCH($T1575,$T$6:$T$6005,0)=ROW()-5,N($X1574)+1,N($X1574)))</f>
        <v/>
      </c>
      <c r="Z1575">
        <f>IF($V1575="","",IF($AA1575&gt;N($AA1574),$AA1575,""))</f>
        <v/>
      </c>
      <c r="AA1575">
        <f>IF($V1575="",N($AA1574),IF(MATCH($V1575,$V$6:$V$6005,0)=ROW()-5,N($AA1574)+1,N($AA1574)))</f>
        <v/>
      </c>
    </row>
    <row r="1576" ht="21" customHeight="1" s="66">
      <c r="A1576" s="56" t="n"/>
      <c r="B1576" s="57" t="n"/>
      <c r="C1576" s="57" t="n"/>
      <c r="D1576" s="57" t="n"/>
      <c r="E1576" s="56" t="n"/>
      <c r="F1576" s="57" t="n"/>
      <c r="G1576" s="57" t="n"/>
      <c r="H1576" s="56" t="n"/>
      <c r="I1576" s="56" t="n"/>
      <c r="J1576" s="58" t="n"/>
      <c r="K1576" s="58" t="n"/>
      <c r="L1576" s="13">
        <f>IF(OR($A1576="",AND($J1576="",$K1576="")),"",ROUND(N($J1576)-N($K1576),2))</f>
        <v/>
      </c>
      <c r="M1576" s="13">
        <f>IF(OR($A1576="",AND($J1576="",$K1576="")),"",MIN($J1576,$K1576))</f>
        <v/>
      </c>
      <c r="Q1576">
        <f>IF($A1576="","",$D1576&amp;"("&amp;SUBSTITUTE($E1576," ","")&amp;")")</f>
        <v/>
      </c>
      <c r="R1576">
        <f>IF($A1576="","",$B1576&amp;" - "&amp;$C1576)</f>
        <v/>
      </c>
      <c r="S1576">
        <f>IF($A1576="","",$R1576&amp;"|"&amp;$Q1576)</f>
        <v/>
      </c>
      <c r="T1576">
        <f>IF($A1576="","",$S1576&amp;"|"&amp;$F1576)</f>
        <v/>
      </c>
      <c r="U1576">
        <f>IF($A1576="","",$R1576&amp;"("&amp;$E1576&amp;")")</f>
        <v/>
      </c>
      <c r="V1576">
        <f>IF($A1576="","",$F1576&amp;"|"&amp;$U1576&amp;"|"&amp;$D1576)</f>
        <v/>
      </c>
      <c r="W1576">
        <f>IF($T1576="","",IF($X1576&gt;N($X1575),$X1576,""))</f>
        <v/>
      </c>
      <c r="X1576">
        <f>IF($T1576="",N($X1575),IF(MATCH($T1576,$T$6:$T$6005,0)=ROW()-5,N($X1575)+1,N($X1575)))</f>
        <v/>
      </c>
      <c r="Z1576">
        <f>IF($V1576="","",IF($AA1576&gt;N($AA1575),$AA1576,""))</f>
        <v/>
      </c>
      <c r="AA1576">
        <f>IF($V1576="",N($AA1575),IF(MATCH($V1576,$V$6:$V$6005,0)=ROW()-5,N($AA1575)+1,N($AA1575)))</f>
        <v/>
      </c>
    </row>
    <row r="1577" ht="21" customHeight="1" s="66">
      <c r="A1577" s="56" t="n"/>
      <c r="B1577" s="57" t="n"/>
      <c r="C1577" s="57" t="n"/>
      <c r="D1577" s="57" t="n"/>
      <c r="E1577" s="56" t="n"/>
      <c r="F1577" s="57" t="n"/>
      <c r="G1577" s="57" t="n"/>
      <c r="H1577" s="56" t="n"/>
      <c r="I1577" s="56" t="n"/>
      <c r="J1577" s="58" t="n"/>
      <c r="K1577" s="58" t="n"/>
      <c r="L1577" s="13">
        <f>IF(OR($A1577="",AND($J1577="",$K1577="")),"",ROUND(N($J1577)-N($K1577),2))</f>
        <v/>
      </c>
      <c r="M1577" s="13">
        <f>IF(OR($A1577="",AND($J1577="",$K1577="")),"",MIN($J1577,$K1577))</f>
        <v/>
      </c>
      <c r="Q1577">
        <f>IF($A1577="","",$D1577&amp;"("&amp;SUBSTITUTE($E1577," ","")&amp;")")</f>
        <v/>
      </c>
      <c r="R1577">
        <f>IF($A1577="","",$B1577&amp;" - "&amp;$C1577)</f>
        <v/>
      </c>
      <c r="S1577">
        <f>IF($A1577="","",$R1577&amp;"|"&amp;$Q1577)</f>
        <v/>
      </c>
      <c r="T1577">
        <f>IF($A1577="","",$S1577&amp;"|"&amp;$F1577)</f>
        <v/>
      </c>
      <c r="U1577">
        <f>IF($A1577="","",$R1577&amp;"("&amp;$E1577&amp;")")</f>
        <v/>
      </c>
      <c r="V1577">
        <f>IF($A1577="","",$F1577&amp;"|"&amp;$U1577&amp;"|"&amp;$D1577)</f>
        <v/>
      </c>
      <c r="W1577">
        <f>IF($T1577="","",IF($X1577&gt;N($X1576),$X1577,""))</f>
        <v/>
      </c>
      <c r="X1577">
        <f>IF($T1577="",N($X1576),IF(MATCH($T1577,$T$6:$T$6005,0)=ROW()-5,N($X1576)+1,N($X1576)))</f>
        <v/>
      </c>
      <c r="Z1577">
        <f>IF($V1577="","",IF($AA1577&gt;N($AA1576),$AA1577,""))</f>
        <v/>
      </c>
      <c r="AA1577">
        <f>IF($V1577="",N($AA1576),IF(MATCH($V1577,$V$6:$V$6005,0)=ROW()-5,N($AA1576)+1,N($AA1576)))</f>
        <v/>
      </c>
    </row>
    <row r="1578" ht="21" customHeight="1" s="66">
      <c r="A1578" s="56" t="n"/>
      <c r="B1578" s="57" t="n"/>
      <c r="C1578" s="57" t="n"/>
      <c r="D1578" s="57" t="n"/>
      <c r="E1578" s="56" t="n"/>
      <c r="F1578" s="57" t="n"/>
      <c r="G1578" s="57" t="n"/>
      <c r="H1578" s="56" t="n"/>
      <c r="I1578" s="56" t="n"/>
      <c r="J1578" s="58" t="n"/>
      <c r="K1578" s="58" t="n"/>
      <c r="L1578" s="13">
        <f>IF(OR($A1578="",AND($J1578="",$K1578="")),"",ROUND(N($J1578)-N($K1578),2))</f>
        <v/>
      </c>
      <c r="M1578" s="13">
        <f>IF(OR($A1578="",AND($J1578="",$K1578="")),"",MIN($J1578,$K1578))</f>
        <v/>
      </c>
      <c r="Q1578">
        <f>IF($A1578="","",$D1578&amp;"("&amp;SUBSTITUTE($E1578," ","")&amp;")")</f>
        <v/>
      </c>
      <c r="R1578">
        <f>IF($A1578="","",$B1578&amp;" - "&amp;$C1578)</f>
        <v/>
      </c>
      <c r="S1578">
        <f>IF($A1578="","",$R1578&amp;"|"&amp;$Q1578)</f>
        <v/>
      </c>
      <c r="T1578">
        <f>IF($A1578="","",$S1578&amp;"|"&amp;$F1578)</f>
        <v/>
      </c>
      <c r="U1578">
        <f>IF($A1578="","",$R1578&amp;"("&amp;$E1578&amp;")")</f>
        <v/>
      </c>
      <c r="V1578">
        <f>IF($A1578="","",$F1578&amp;"|"&amp;$U1578&amp;"|"&amp;$D1578)</f>
        <v/>
      </c>
      <c r="W1578">
        <f>IF($T1578="","",IF($X1578&gt;N($X1577),$X1578,""))</f>
        <v/>
      </c>
      <c r="X1578">
        <f>IF($T1578="",N($X1577),IF(MATCH($T1578,$T$6:$T$6005,0)=ROW()-5,N($X1577)+1,N($X1577)))</f>
        <v/>
      </c>
      <c r="Z1578">
        <f>IF($V1578="","",IF($AA1578&gt;N($AA1577),$AA1578,""))</f>
        <v/>
      </c>
      <c r="AA1578">
        <f>IF($V1578="",N($AA1577),IF(MATCH($V1578,$V$6:$V$6005,0)=ROW()-5,N($AA1577)+1,N($AA1577)))</f>
        <v/>
      </c>
    </row>
    <row r="1579" ht="21" customHeight="1" s="66">
      <c r="A1579" s="56" t="n"/>
      <c r="B1579" s="57" t="n"/>
      <c r="C1579" s="57" t="n"/>
      <c r="D1579" s="57" t="n"/>
      <c r="E1579" s="56" t="n"/>
      <c r="F1579" s="57" t="n"/>
      <c r="G1579" s="57" t="n"/>
      <c r="H1579" s="56" t="n"/>
      <c r="I1579" s="56" t="n"/>
      <c r="J1579" s="58" t="n"/>
      <c r="K1579" s="58" t="n"/>
      <c r="L1579" s="13">
        <f>IF(OR($A1579="",AND($J1579="",$K1579="")),"",ROUND(N($J1579)-N($K1579),2))</f>
        <v/>
      </c>
      <c r="M1579" s="13">
        <f>IF(OR($A1579="",AND($J1579="",$K1579="")),"",MIN($J1579,$K1579))</f>
        <v/>
      </c>
      <c r="Q1579">
        <f>IF($A1579="","",$D1579&amp;"("&amp;SUBSTITUTE($E1579," ","")&amp;")")</f>
        <v/>
      </c>
      <c r="R1579">
        <f>IF($A1579="","",$B1579&amp;" - "&amp;$C1579)</f>
        <v/>
      </c>
      <c r="S1579">
        <f>IF($A1579="","",$R1579&amp;"|"&amp;$Q1579)</f>
        <v/>
      </c>
      <c r="T1579">
        <f>IF($A1579="","",$S1579&amp;"|"&amp;$F1579)</f>
        <v/>
      </c>
      <c r="U1579">
        <f>IF($A1579="","",$R1579&amp;"("&amp;$E1579&amp;")")</f>
        <v/>
      </c>
      <c r="V1579">
        <f>IF($A1579="","",$F1579&amp;"|"&amp;$U1579&amp;"|"&amp;$D1579)</f>
        <v/>
      </c>
      <c r="W1579">
        <f>IF($T1579="","",IF($X1579&gt;N($X1578),$X1579,""))</f>
        <v/>
      </c>
      <c r="X1579">
        <f>IF($T1579="",N($X1578),IF(MATCH($T1579,$T$6:$T$6005,0)=ROW()-5,N($X1578)+1,N($X1578)))</f>
        <v/>
      </c>
      <c r="Z1579">
        <f>IF($V1579="","",IF($AA1579&gt;N($AA1578),$AA1579,""))</f>
        <v/>
      </c>
      <c r="AA1579">
        <f>IF($V1579="",N($AA1578),IF(MATCH($V1579,$V$6:$V$6005,0)=ROW()-5,N($AA1578)+1,N($AA1578)))</f>
        <v/>
      </c>
    </row>
    <row r="1580" ht="21" customHeight="1" s="66">
      <c r="A1580" s="56" t="n"/>
      <c r="B1580" s="57" t="n"/>
      <c r="C1580" s="57" t="n"/>
      <c r="D1580" s="57" t="n"/>
      <c r="E1580" s="56" t="n"/>
      <c r="F1580" s="57" t="n"/>
      <c r="G1580" s="57" t="n"/>
      <c r="H1580" s="56" t="n"/>
      <c r="I1580" s="56" t="n"/>
      <c r="J1580" s="58" t="n"/>
      <c r="K1580" s="58" t="n"/>
      <c r="L1580" s="13">
        <f>IF(OR($A1580="",AND($J1580="",$K1580="")),"",ROUND(N($J1580)-N($K1580),2))</f>
        <v/>
      </c>
      <c r="M1580" s="13">
        <f>IF(OR($A1580="",AND($J1580="",$K1580="")),"",MIN($J1580,$K1580))</f>
        <v/>
      </c>
      <c r="Q1580">
        <f>IF($A1580="","",$D1580&amp;"("&amp;SUBSTITUTE($E1580," ","")&amp;")")</f>
        <v/>
      </c>
      <c r="R1580">
        <f>IF($A1580="","",$B1580&amp;" - "&amp;$C1580)</f>
        <v/>
      </c>
      <c r="S1580">
        <f>IF($A1580="","",$R1580&amp;"|"&amp;$Q1580)</f>
        <v/>
      </c>
      <c r="T1580">
        <f>IF($A1580="","",$S1580&amp;"|"&amp;$F1580)</f>
        <v/>
      </c>
      <c r="U1580">
        <f>IF($A1580="","",$R1580&amp;"("&amp;$E1580&amp;")")</f>
        <v/>
      </c>
      <c r="V1580">
        <f>IF($A1580="","",$F1580&amp;"|"&amp;$U1580&amp;"|"&amp;$D1580)</f>
        <v/>
      </c>
      <c r="W1580">
        <f>IF($T1580="","",IF($X1580&gt;N($X1579),$X1580,""))</f>
        <v/>
      </c>
      <c r="X1580">
        <f>IF($T1580="",N($X1579),IF(MATCH($T1580,$T$6:$T$6005,0)=ROW()-5,N($X1579)+1,N($X1579)))</f>
        <v/>
      </c>
      <c r="Z1580">
        <f>IF($V1580="","",IF($AA1580&gt;N($AA1579),$AA1580,""))</f>
        <v/>
      </c>
      <c r="AA1580">
        <f>IF($V1580="",N($AA1579),IF(MATCH($V1580,$V$6:$V$6005,0)=ROW()-5,N($AA1579)+1,N($AA1579)))</f>
        <v/>
      </c>
    </row>
    <row r="1581" ht="21" customHeight="1" s="66">
      <c r="A1581" s="56" t="n"/>
      <c r="B1581" s="57" t="n"/>
      <c r="C1581" s="57" t="n"/>
      <c r="D1581" s="57" t="n"/>
      <c r="E1581" s="56" t="n"/>
      <c r="F1581" s="57" t="n"/>
      <c r="G1581" s="57" t="n"/>
      <c r="H1581" s="56" t="n"/>
      <c r="I1581" s="56" t="n"/>
      <c r="J1581" s="58" t="n"/>
      <c r="K1581" s="58" t="n"/>
      <c r="L1581" s="13">
        <f>IF(OR($A1581="",AND($J1581="",$K1581="")),"",ROUND(N($J1581)-N($K1581),2))</f>
        <v/>
      </c>
      <c r="M1581" s="13">
        <f>IF(OR($A1581="",AND($J1581="",$K1581="")),"",MIN($J1581,$K1581))</f>
        <v/>
      </c>
      <c r="Q1581">
        <f>IF($A1581="","",$D1581&amp;"("&amp;SUBSTITUTE($E1581," ","")&amp;")")</f>
        <v/>
      </c>
      <c r="R1581">
        <f>IF($A1581="","",$B1581&amp;" - "&amp;$C1581)</f>
        <v/>
      </c>
      <c r="S1581">
        <f>IF($A1581="","",$R1581&amp;"|"&amp;$Q1581)</f>
        <v/>
      </c>
      <c r="T1581">
        <f>IF($A1581="","",$S1581&amp;"|"&amp;$F1581)</f>
        <v/>
      </c>
      <c r="U1581">
        <f>IF($A1581="","",$R1581&amp;"("&amp;$E1581&amp;")")</f>
        <v/>
      </c>
      <c r="V1581">
        <f>IF($A1581="","",$F1581&amp;"|"&amp;$U1581&amp;"|"&amp;$D1581)</f>
        <v/>
      </c>
      <c r="W1581">
        <f>IF($T1581="","",IF($X1581&gt;N($X1580),$X1581,""))</f>
        <v/>
      </c>
      <c r="X1581">
        <f>IF($T1581="",N($X1580),IF(MATCH($T1581,$T$6:$T$6005,0)=ROW()-5,N($X1580)+1,N($X1580)))</f>
        <v/>
      </c>
      <c r="Z1581">
        <f>IF($V1581="","",IF($AA1581&gt;N($AA1580),$AA1581,""))</f>
        <v/>
      </c>
      <c r="AA1581">
        <f>IF($V1581="",N($AA1580),IF(MATCH($V1581,$V$6:$V$6005,0)=ROW()-5,N($AA1580)+1,N($AA1580)))</f>
        <v/>
      </c>
    </row>
    <row r="1582" ht="21" customHeight="1" s="66">
      <c r="A1582" s="56" t="n"/>
      <c r="B1582" s="57" t="n"/>
      <c r="C1582" s="57" t="n"/>
      <c r="D1582" s="57" t="n"/>
      <c r="E1582" s="56" t="n"/>
      <c r="F1582" s="57" t="n"/>
      <c r="G1582" s="57" t="n"/>
      <c r="H1582" s="56" t="n"/>
      <c r="I1582" s="56" t="n"/>
      <c r="J1582" s="58" t="n"/>
      <c r="K1582" s="58" t="n"/>
      <c r="L1582" s="13">
        <f>IF(OR($A1582="",AND($J1582="",$K1582="")),"",ROUND(N($J1582)-N($K1582),2))</f>
        <v/>
      </c>
      <c r="M1582" s="13">
        <f>IF(OR($A1582="",AND($J1582="",$K1582="")),"",MIN($J1582,$K1582))</f>
        <v/>
      </c>
      <c r="Q1582">
        <f>IF($A1582="","",$D1582&amp;"("&amp;SUBSTITUTE($E1582," ","")&amp;")")</f>
        <v/>
      </c>
      <c r="R1582">
        <f>IF($A1582="","",$B1582&amp;" - "&amp;$C1582)</f>
        <v/>
      </c>
      <c r="S1582">
        <f>IF($A1582="","",$R1582&amp;"|"&amp;$Q1582)</f>
        <v/>
      </c>
      <c r="T1582">
        <f>IF($A1582="","",$S1582&amp;"|"&amp;$F1582)</f>
        <v/>
      </c>
      <c r="U1582">
        <f>IF($A1582="","",$R1582&amp;"("&amp;$E1582&amp;")")</f>
        <v/>
      </c>
      <c r="V1582">
        <f>IF($A1582="","",$F1582&amp;"|"&amp;$U1582&amp;"|"&amp;$D1582)</f>
        <v/>
      </c>
      <c r="W1582">
        <f>IF($T1582="","",IF($X1582&gt;N($X1581),$X1582,""))</f>
        <v/>
      </c>
      <c r="X1582">
        <f>IF($T1582="",N($X1581),IF(MATCH($T1582,$T$6:$T$6005,0)=ROW()-5,N($X1581)+1,N($X1581)))</f>
        <v/>
      </c>
      <c r="Z1582">
        <f>IF($V1582="","",IF($AA1582&gt;N($AA1581),$AA1582,""))</f>
        <v/>
      </c>
      <c r="AA1582">
        <f>IF($V1582="",N($AA1581),IF(MATCH($V1582,$V$6:$V$6005,0)=ROW()-5,N($AA1581)+1,N($AA1581)))</f>
        <v/>
      </c>
    </row>
    <row r="1583" ht="21" customHeight="1" s="66">
      <c r="A1583" s="56" t="n"/>
      <c r="B1583" s="57" t="n"/>
      <c r="C1583" s="57" t="n"/>
      <c r="D1583" s="57" t="n"/>
      <c r="E1583" s="56" t="n"/>
      <c r="F1583" s="57" t="n"/>
      <c r="G1583" s="57" t="n"/>
      <c r="H1583" s="56" t="n"/>
      <c r="I1583" s="56" t="n"/>
      <c r="J1583" s="58" t="n"/>
      <c r="K1583" s="58" t="n"/>
      <c r="L1583" s="13">
        <f>IF(OR($A1583="",AND($J1583="",$K1583="")),"",ROUND(N($J1583)-N($K1583),2))</f>
        <v/>
      </c>
      <c r="M1583" s="13">
        <f>IF(OR($A1583="",AND($J1583="",$K1583="")),"",MIN($J1583,$K1583))</f>
        <v/>
      </c>
      <c r="Q1583">
        <f>IF($A1583="","",$D1583&amp;"("&amp;SUBSTITUTE($E1583," ","")&amp;")")</f>
        <v/>
      </c>
      <c r="R1583">
        <f>IF($A1583="","",$B1583&amp;" - "&amp;$C1583)</f>
        <v/>
      </c>
      <c r="S1583">
        <f>IF($A1583="","",$R1583&amp;"|"&amp;$Q1583)</f>
        <v/>
      </c>
      <c r="T1583">
        <f>IF($A1583="","",$S1583&amp;"|"&amp;$F1583)</f>
        <v/>
      </c>
      <c r="U1583">
        <f>IF($A1583="","",$R1583&amp;"("&amp;$E1583&amp;")")</f>
        <v/>
      </c>
      <c r="V1583">
        <f>IF($A1583="","",$F1583&amp;"|"&amp;$U1583&amp;"|"&amp;$D1583)</f>
        <v/>
      </c>
      <c r="W1583">
        <f>IF($T1583="","",IF($X1583&gt;N($X1582),$X1583,""))</f>
        <v/>
      </c>
      <c r="X1583">
        <f>IF($T1583="",N($X1582),IF(MATCH($T1583,$T$6:$T$6005,0)=ROW()-5,N($X1582)+1,N($X1582)))</f>
        <v/>
      </c>
      <c r="Z1583">
        <f>IF($V1583="","",IF($AA1583&gt;N($AA1582),$AA1583,""))</f>
        <v/>
      </c>
      <c r="AA1583">
        <f>IF($V1583="",N($AA1582),IF(MATCH($V1583,$V$6:$V$6005,0)=ROW()-5,N($AA1582)+1,N($AA1582)))</f>
        <v/>
      </c>
    </row>
    <row r="1584" ht="21" customHeight="1" s="66">
      <c r="A1584" s="56" t="n"/>
      <c r="B1584" s="57" t="n"/>
      <c r="C1584" s="57" t="n"/>
      <c r="D1584" s="57" t="n"/>
      <c r="E1584" s="56" t="n"/>
      <c r="F1584" s="57" t="n"/>
      <c r="G1584" s="57" t="n"/>
      <c r="H1584" s="56" t="n"/>
      <c r="I1584" s="56" t="n"/>
      <c r="J1584" s="58" t="n"/>
      <c r="K1584" s="58" t="n"/>
      <c r="L1584" s="13">
        <f>IF(OR($A1584="",AND($J1584="",$K1584="")),"",ROUND(N($J1584)-N($K1584),2))</f>
        <v/>
      </c>
      <c r="M1584" s="13">
        <f>IF(OR($A1584="",AND($J1584="",$K1584="")),"",MIN($J1584,$K1584))</f>
        <v/>
      </c>
      <c r="Q1584">
        <f>IF($A1584="","",$D1584&amp;"("&amp;SUBSTITUTE($E1584," ","")&amp;")")</f>
        <v/>
      </c>
      <c r="R1584">
        <f>IF($A1584="","",$B1584&amp;" - "&amp;$C1584)</f>
        <v/>
      </c>
      <c r="S1584">
        <f>IF($A1584="","",$R1584&amp;"|"&amp;$Q1584)</f>
        <v/>
      </c>
      <c r="T1584">
        <f>IF($A1584="","",$S1584&amp;"|"&amp;$F1584)</f>
        <v/>
      </c>
      <c r="U1584">
        <f>IF($A1584="","",$R1584&amp;"("&amp;$E1584&amp;")")</f>
        <v/>
      </c>
      <c r="V1584">
        <f>IF($A1584="","",$F1584&amp;"|"&amp;$U1584&amp;"|"&amp;$D1584)</f>
        <v/>
      </c>
      <c r="W1584">
        <f>IF($T1584="","",IF($X1584&gt;N($X1583),$X1584,""))</f>
        <v/>
      </c>
      <c r="X1584">
        <f>IF($T1584="",N($X1583),IF(MATCH($T1584,$T$6:$T$6005,0)=ROW()-5,N($X1583)+1,N($X1583)))</f>
        <v/>
      </c>
      <c r="Z1584">
        <f>IF($V1584="","",IF($AA1584&gt;N($AA1583),$AA1584,""))</f>
        <v/>
      </c>
      <c r="AA1584">
        <f>IF($V1584="",N($AA1583),IF(MATCH($V1584,$V$6:$V$6005,0)=ROW()-5,N($AA1583)+1,N($AA1583)))</f>
        <v/>
      </c>
    </row>
    <row r="1585" ht="21" customHeight="1" s="66">
      <c r="A1585" s="56" t="n"/>
      <c r="B1585" s="57" t="n"/>
      <c r="C1585" s="57" t="n"/>
      <c r="D1585" s="57" t="n"/>
      <c r="E1585" s="56" t="n"/>
      <c r="F1585" s="57" t="n"/>
      <c r="G1585" s="57" t="n"/>
      <c r="H1585" s="56" t="n"/>
      <c r="I1585" s="56" t="n"/>
      <c r="J1585" s="58" t="n"/>
      <c r="K1585" s="58" t="n"/>
      <c r="L1585" s="13">
        <f>IF(OR($A1585="",AND($J1585="",$K1585="")),"",ROUND(N($J1585)-N($K1585),2))</f>
        <v/>
      </c>
      <c r="M1585" s="13">
        <f>IF(OR($A1585="",AND($J1585="",$K1585="")),"",MIN($J1585,$K1585))</f>
        <v/>
      </c>
      <c r="Q1585">
        <f>IF($A1585="","",$D1585&amp;"("&amp;SUBSTITUTE($E1585," ","")&amp;")")</f>
        <v/>
      </c>
      <c r="R1585">
        <f>IF($A1585="","",$B1585&amp;" - "&amp;$C1585)</f>
        <v/>
      </c>
      <c r="S1585">
        <f>IF($A1585="","",$R1585&amp;"|"&amp;$Q1585)</f>
        <v/>
      </c>
      <c r="T1585">
        <f>IF($A1585="","",$S1585&amp;"|"&amp;$F1585)</f>
        <v/>
      </c>
      <c r="U1585">
        <f>IF($A1585="","",$R1585&amp;"("&amp;$E1585&amp;")")</f>
        <v/>
      </c>
      <c r="V1585">
        <f>IF($A1585="","",$F1585&amp;"|"&amp;$U1585&amp;"|"&amp;$D1585)</f>
        <v/>
      </c>
      <c r="W1585">
        <f>IF($T1585="","",IF($X1585&gt;N($X1584),$X1585,""))</f>
        <v/>
      </c>
      <c r="X1585">
        <f>IF($T1585="",N($X1584),IF(MATCH($T1585,$T$6:$T$6005,0)=ROW()-5,N($X1584)+1,N($X1584)))</f>
        <v/>
      </c>
      <c r="Z1585">
        <f>IF($V1585="","",IF($AA1585&gt;N($AA1584),$AA1585,""))</f>
        <v/>
      </c>
      <c r="AA1585">
        <f>IF($V1585="",N($AA1584),IF(MATCH($V1585,$V$6:$V$6005,0)=ROW()-5,N($AA1584)+1,N($AA1584)))</f>
        <v/>
      </c>
    </row>
    <row r="1586" ht="21" customHeight="1" s="66">
      <c r="A1586" s="56" t="n"/>
      <c r="B1586" s="57" t="n"/>
      <c r="C1586" s="57" t="n"/>
      <c r="D1586" s="57" t="n"/>
      <c r="E1586" s="56" t="n"/>
      <c r="F1586" s="57" t="n"/>
      <c r="G1586" s="57" t="n"/>
      <c r="H1586" s="56" t="n"/>
      <c r="I1586" s="56" t="n"/>
      <c r="J1586" s="58" t="n"/>
      <c r="K1586" s="58" t="n"/>
      <c r="L1586" s="13">
        <f>IF(OR($A1586="",AND($J1586="",$K1586="")),"",ROUND(N($J1586)-N($K1586),2))</f>
        <v/>
      </c>
      <c r="M1586" s="13">
        <f>IF(OR($A1586="",AND($J1586="",$K1586="")),"",MIN($J1586,$K1586))</f>
        <v/>
      </c>
      <c r="Q1586">
        <f>IF($A1586="","",$D1586&amp;"("&amp;SUBSTITUTE($E1586," ","")&amp;")")</f>
        <v/>
      </c>
      <c r="R1586">
        <f>IF($A1586="","",$B1586&amp;" - "&amp;$C1586)</f>
        <v/>
      </c>
      <c r="S1586">
        <f>IF($A1586="","",$R1586&amp;"|"&amp;$Q1586)</f>
        <v/>
      </c>
      <c r="T1586">
        <f>IF($A1586="","",$S1586&amp;"|"&amp;$F1586)</f>
        <v/>
      </c>
      <c r="U1586">
        <f>IF($A1586="","",$R1586&amp;"("&amp;$E1586&amp;")")</f>
        <v/>
      </c>
      <c r="V1586">
        <f>IF($A1586="","",$F1586&amp;"|"&amp;$U1586&amp;"|"&amp;$D1586)</f>
        <v/>
      </c>
      <c r="W1586">
        <f>IF($T1586="","",IF($X1586&gt;N($X1585),$X1586,""))</f>
        <v/>
      </c>
      <c r="X1586">
        <f>IF($T1586="",N($X1585),IF(MATCH($T1586,$T$6:$T$6005,0)=ROW()-5,N($X1585)+1,N($X1585)))</f>
        <v/>
      </c>
      <c r="Z1586">
        <f>IF($V1586="","",IF($AA1586&gt;N($AA1585),$AA1586,""))</f>
        <v/>
      </c>
      <c r="AA1586">
        <f>IF($V1586="",N($AA1585),IF(MATCH($V1586,$V$6:$V$6005,0)=ROW()-5,N($AA1585)+1,N($AA1585)))</f>
        <v/>
      </c>
    </row>
    <row r="1587" ht="21" customHeight="1" s="66">
      <c r="A1587" s="56" t="n"/>
      <c r="B1587" s="57" t="n"/>
      <c r="C1587" s="57" t="n"/>
      <c r="D1587" s="57" t="n"/>
      <c r="E1587" s="56" t="n"/>
      <c r="F1587" s="57" t="n"/>
      <c r="G1587" s="57" t="n"/>
      <c r="H1587" s="56" t="n"/>
      <c r="I1587" s="56" t="n"/>
      <c r="J1587" s="58" t="n"/>
      <c r="K1587" s="58" t="n"/>
      <c r="L1587" s="13">
        <f>IF(OR($A1587="",AND($J1587="",$K1587="")),"",ROUND(N($J1587)-N($K1587),2))</f>
        <v/>
      </c>
      <c r="M1587" s="13">
        <f>IF(OR($A1587="",AND($J1587="",$K1587="")),"",MIN($J1587,$K1587))</f>
        <v/>
      </c>
      <c r="Q1587">
        <f>IF($A1587="","",$D1587&amp;"("&amp;SUBSTITUTE($E1587," ","")&amp;")")</f>
        <v/>
      </c>
      <c r="R1587">
        <f>IF($A1587="","",$B1587&amp;" - "&amp;$C1587)</f>
        <v/>
      </c>
      <c r="S1587">
        <f>IF($A1587="","",$R1587&amp;"|"&amp;$Q1587)</f>
        <v/>
      </c>
      <c r="T1587">
        <f>IF($A1587="","",$S1587&amp;"|"&amp;$F1587)</f>
        <v/>
      </c>
      <c r="U1587">
        <f>IF($A1587="","",$R1587&amp;"("&amp;$E1587&amp;")")</f>
        <v/>
      </c>
      <c r="V1587">
        <f>IF($A1587="","",$F1587&amp;"|"&amp;$U1587&amp;"|"&amp;$D1587)</f>
        <v/>
      </c>
      <c r="W1587">
        <f>IF($T1587="","",IF($X1587&gt;N($X1586),$X1587,""))</f>
        <v/>
      </c>
      <c r="X1587">
        <f>IF($T1587="",N($X1586),IF(MATCH($T1587,$T$6:$T$6005,0)=ROW()-5,N($X1586)+1,N($X1586)))</f>
        <v/>
      </c>
      <c r="Z1587">
        <f>IF($V1587="","",IF($AA1587&gt;N($AA1586),$AA1587,""))</f>
        <v/>
      </c>
      <c r="AA1587">
        <f>IF($V1587="",N($AA1586),IF(MATCH($V1587,$V$6:$V$6005,0)=ROW()-5,N($AA1586)+1,N($AA1586)))</f>
        <v/>
      </c>
    </row>
    <row r="1588" ht="21" customHeight="1" s="66">
      <c r="A1588" s="56" t="n"/>
      <c r="B1588" s="57" t="n"/>
      <c r="C1588" s="57" t="n"/>
      <c r="D1588" s="57" t="n"/>
      <c r="E1588" s="56" t="n"/>
      <c r="F1588" s="57" t="n"/>
      <c r="G1588" s="57" t="n"/>
      <c r="H1588" s="56" t="n"/>
      <c r="I1588" s="56" t="n"/>
      <c r="J1588" s="58" t="n"/>
      <c r="K1588" s="58" t="n"/>
      <c r="L1588" s="13">
        <f>IF(OR($A1588="",AND($J1588="",$K1588="")),"",ROUND(N($J1588)-N($K1588),2))</f>
        <v/>
      </c>
      <c r="M1588" s="13">
        <f>IF(OR($A1588="",AND($J1588="",$K1588="")),"",MIN($J1588,$K1588))</f>
        <v/>
      </c>
      <c r="Q1588">
        <f>IF($A1588="","",$D1588&amp;"("&amp;SUBSTITUTE($E1588," ","")&amp;")")</f>
        <v/>
      </c>
      <c r="R1588">
        <f>IF($A1588="","",$B1588&amp;" - "&amp;$C1588)</f>
        <v/>
      </c>
      <c r="S1588">
        <f>IF($A1588="","",$R1588&amp;"|"&amp;$Q1588)</f>
        <v/>
      </c>
      <c r="T1588">
        <f>IF($A1588="","",$S1588&amp;"|"&amp;$F1588)</f>
        <v/>
      </c>
      <c r="U1588">
        <f>IF($A1588="","",$R1588&amp;"("&amp;$E1588&amp;")")</f>
        <v/>
      </c>
      <c r="V1588">
        <f>IF($A1588="","",$F1588&amp;"|"&amp;$U1588&amp;"|"&amp;$D1588)</f>
        <v/>
      </c>
      <c r="W1588">
        <f>IF($T1588="","",IF($X1588&gt;N($X1587),$X1588,""))</f>
        <v/>
      </c>
      <c r="X1588">
        <f>IF($T1588="",N($X1587),IF(MATCH($T1588,$T$6:$T$6005,0)=ROW()-5,N($X1587)+1,N($X1587)))</f>
        <v/>
      </c>
      <c r="Z1588">
        <f>IF($V1588="","",IF($AA1588&gt;N($AA1587),$AA1588,""))</f>
        <v/>
      </c>
      <c r="AA1588">
        <f>IF($V1588="",N($AA1587),IF(MATCH($V1588,$V$6:$V$6005,0)=ROW()-5,N($AA1587)+1,N($AA1587)))</f>
        <v/>
      </c>
    </row>
    <row r="1589" ht="21" customHeight="1" s="66">
      <c r="A1589" s="56" t="n"/>
      <c r="B1589" s="57" t="n"/>
      <c r="C1589" s="57" t="n"/>
      <c r="D1589" s="57" t="n"/>
      <c r="E1589" s="56" t="n"/>
      <c r="F1589" s="57" t="n"/>
      <c r="G1589" s="57" t="n"/>
      <c r="H1589" s="56" t="n"/>
      <c r="I1589" s="56" t="n"/>
      <c r="J1589" s="58" t="n"/>
      <c r="K1589" s="58" t="n"/>
      <c r="L1589" s="13">
        <f>IF(OR($A1589="",AND($J1589="",$K1589="")),"",ROUND(N($J1589)-N($K1589),2))</f>
        <v/>
      </c>
      <c r="M1589" s="13">
        <f>IF(OR($A1589="",AND($J1589="",$K1589="")),"",MIN($J1589,$K1589))</f>
        <v/>
      </c>
      <c r="Q1589">
        <f>IF($A1589="","",$D1589&amp;"("&amp;SUBSTITUTE($E1589," ","")&amp;")")</f>
        <v/>
      </c>
      <c r="R1589">
        <f>IF($A1589="","",$B1589&amp;" - "&amp;$C1589)</f>
        <v/>
      </c>
      <c r="S1589">
        <f>IF($A1589="","",$R1589&amp;"|"&amp;$Q1589)</f>
        <v/>
      </c>
      <c r="T1589">
        <f>IF($A1589="","",$S1589&amp;"|"&amp;$F1589)</f>
        <v/>
      </c>
      <c r="U1589">
        <f>IF($A1589="","",$R1589&amp;"("&amp;$E1589&amp;")")</f>
        <v/>
      </c>
      <c r="V1589">
        <f>IF($A1589="","",$F1589&amp;"|"&amp;$U1589&amp;"|"&amp;$D1589)</f>
        <v/>
      </c>
      <c r="W1589">
        <f>IF($T1589="","",IF($X1589&gt;N($X1588),$X1589,""))</f>
        <v/>
      </c>
      <c r="X1589">
        <f>IF($T1589="",N($X1588),IF(MATCH($T1589,$T$6:$T$6005,0)=ROW()-5,N($X1588)+1,N($X1588)))</f>
        <v/>
      </c>
      <c r="Z1589">
        <f>IF($V1589="","",IF($AA1589&gt;N($AA1588),$AA1589,""))</f>
        <v/>
      </c>
      <c r="AA1589">
        <f>IF($V1589="",N($AA1588),IF(MATCH($V1589,$V$6:$V$6005,0)=ROW()-5,N($AA1588)+1,N($AA1588)))</f>
        <v/>
      </c>
    </row>
    <row r="1590" ht="21" customHeight="1" s="66">
      <c r="A1590" s="56" t="n"/>
      <c r="B1590" s="57" t="n"/>
      <c r="C1590" s="57" t="n"/>
      <c r="D1590" s="57" t="n"/>
      <c r="E1590" s="56" t="n"/>
      <c r="F1590" s="57" t="n"/>
      <c r="G1590" s="57" t="n"/>
      <c r="H1590" s="56" t="n"/>
      <c r="I1590" s="56" t="n"/>
      <c r="J1590" s="58" t="n"/>
      <c r="K1590" s="58" t="n"/>
      <c r="L1590" s="13">
        <f>IF(OR($A1590="",AND($J1590="",$K1590="")),"",ROUND(N($J1590)-N($K1590),2))</f>
        <v/>
      </c>
      <c r="M1590" s="13">
        <f>IF(OR($A1590="",AND($J1590="",$K1590="")),"",MIN($J1590,$K1590))</f>
        <v/>
      </c>
      <c r="Q1590">
        <f>IF($A1590="","",$D1590&amp;"("&amp;SUBSTITUTE($E1590," ","")&amp;")")</f>
        <v/>
      </c>
      <c r="R1590">
        <f>IF($A1590="","",$B1590&amp;" - "&amp;$C1590)</f>
        <v/>
      </c>
      <c r="S1590">
        <f>IF($A1590="","",$R1590&amp;"|"&amp;$Q1590)</f>
        <v/>
      </c>
      <c r="T1590">
        <f>IF($A1590="","",$S1590&amp;"|"&amp;$F1590)</f>
        <v/>
      </c>
      <c r="U1590">
        <f>IF($A1590="","",$R1590&amp;"("&amp;$E1590&amp;")")</f>
        <v/>
      </c>
      <c r="V1590">
        <f>IF($A1590="","",$F1590&amp;"|"&amp;$U1590&amp;"|"&amp;$D1590)</f>
        <v/>
      </c>
      <c r="W1590">
        <f>IF($T1590="","",IF($X1590&gt;N($X1589),$X1590,""))</f>
        <v/>
      </c>
      <c r="X1590">
        <f>IF($T1590="",N($X1589),IF(MATCH($T1590,$T$6:$T$6005,0)=ROW()-5,N($X1589)+1,N($X1589)))</f>
        <v/>
      </c>
      <c r="Z1590">
        <f>IF($V1590="","",IF($AA1590&gt;N($AA1589),$AA1590,""))</f>
        <v/>
      </c>
      <c r="AA1590">
        <f>IF($V1590="",N($AA1589),IF(MATCH($V1590,$V$6:$V$6005,0)=ROW()-5,N($AA1589)+1,N($AA1589)))</f>
        <v/>
      </c>
    </row>
    <row r="1591" ht="21" customHeight="1" s="66">
      <c r="A1591" s="56" t="n"/>
      <c r="B1591" s="57" t="n"/>
      <c r="C1591" s="57" t="n"/>
      <c r="D1591" s="57" t="n"/>
      <c r="E1591" s="56" t="n"/>
      <c r="F1591" s="57" t="n"/>
      <c r="G1591" s="57" t="n"/>
      <c r="H1591" s="56" t="n"/>
      <c r="I1591" s="56" t="n"/>
      <c r="J1591" s="58" t="n"/>
      <c r="K1591" s="58" t="n"/>
      <c r="L1591" s="13">
        <f>IF(OR($A1591="",AND($J1591="",$K1591="")),"",ROUND(N($J1591)-N($K1591),2))</f>
        <v/>
      </c>
      <c r="M1591" s="13">
        <f>IF(OR($A1591="",AND($J1591="",$K1591="")),"",MIN($J1591,$K1591))</f>
        <v/>
      </c>
      <c r="Q1591">
        <f>IF($A1591="","",$D1591&amp;"("&amp;SUBSTITUTE($E1591," ","")&amp;")")</f>
        <v/>
      </c>
      <c r="R1591">
        <f>IF($A1591="","",$B1591&amp;" - "&amp;$C1591)</f>
        <v/>
      </c>
      <c r="S1591">
        <f>IF($A1591="","",$R1591&amp;"|"&amp;$Q1591)</f>
        <v/>
      </c>
      <c r="T1591">
        <f>IF($A1591="","",$S1591&amp;"|"&amp;$F1591)</f>
        <v/>
      </c>
      <c r="U1591">
        <f>IF($A1591="","",$R1591&amp;"("&amp;$E1591&amp;")")</f>
        <v/>
      </c>
      <c r="V1591">
        <f>IF($A1591="","",$F1591&amp;"|"&amp;$U1591&amp;"|"&amp;$D1591)</f>
        <v/>
      </c>
      <c r="W1591">
        <f>IF($T1591="","",IF($X1591&gt;N($X1590),$X1591,""))</f>
        <v/>
      </c>
      <c r="X1591">
        <f>IF($T1591="",N($X1590),IF(MATCH($T1591,$T$6:$T$6005,0)=ROW()-5,N($X1590)+1,N($X1590)))</f>
        <v/>
      </c>
      <c r="Z1591">
        <f>IF($V1591="","",IF($AA1591&gt;N($AA1590),$AA1591,""))</f>
        <v/>
      </c>
      <c r="AA1591">
        <f>IF($V1591="",N($AA1590),IF(MATCH($V1591,$V$6:$V$6005,0)=ROW()-5,N($AA1590)+1,N($AA1590)))</f>
        <v/>
      </c>
    </row>
    <row r="1592" ht="21" customHeight="1" s="66">
      <c r="A1592" s="56" t="n"/>
      <c r="B1592" s="57" t="n"/>
      <c r="C1592" s="57" t="n"/>
      <c r="D1592" s="57" t="n"/>
      <c r="E1592" s="56" t="n"/>
      <c r="F1592" s="57" t="n"/>
      <c r="G1592" s="57" t="n"/>
      <c r="H1592" s="56" t="n"/>
      <c r="I1592" s="56" t="n"/>
      <c r="J1592" s="58" t="n"/>
      <c r="K1592" s="58" t="n"/>
      <c r="L1592" s="13">
        <f>IF(OR($A1592="",AND($J1592="",$K1592="")),"",ROUND(N($J1592)-N($K1592),2))</f>
        <v/>
      </c>
      <c r="M1592" s="13">
        <f>IF(OR($A1592="",AND($J1592="",$K1592="")),"",MIN($J1592,$K1592))</f>
        <v/>
      </c>
      <c r="Q1592">
        <f>IF($A1592="","",$D1592&amp;"("&amp;SUBSTITUTE($E1592," ","")&amp;")")</f>
        <v/>
      </c>
      <c r="R1592">
        <f>IF($A1592="","",$B1592&amp;" - "&amp;$C1592)</f>
        <v/>
      </c>
      <c r="S1592">
        <f>IF($A1592="","",$R1592&amp;"|"&amp;$Q1592)</f>
        <v/>
      </c>
      <c r="T1592">
        <f>IF($A1592="","",$S1592&amp;"|"&amp;$F1592)</f>
        <v/>
      </c>
      <c r="U1592">
        <f>IF($A1592="","",$R1592&amp;"("&amp;$E1592&amp;")")</f>
        <v/>
      </c>
      <c r="V1592">
        <f>IF($A1592="","",$F1592&amp;"|"&amp;$U1592&amp;"|"&amp;$D1592)</f>
        <v/>
      </c>
      <c r="W1592">
        <f>IF($T1592="","",IF($X1592&gt;N($X1591),$X1592,""))</f>
        <v/>
      </c>
      <c r="X1592">
        <f>IF($T1592="",N($X1591),IF(MATCH($T1592,$T$6:$T$6005,0)=ROW()-5,N($X1591)+1,N($X1591)))</f>
        <v/>
      </c>
      <c r="Z1592">
        <f>IF($V1592="","",IF($AA1592&gt;N($AA1591),$AA1592,""))</f>
        <v/>
      </c>
      <c r="AA1592">
        <f>IF($V1592="",N($AA1591),IF(MATCH($V1592,$V$6:$V$6005,0)=ROW()-5,N($AA1591)+1,N($AA1591)))</f>
        <v/>
      </c>
    </row>
    <row r="1593" ht="21" customHeight="1" s="66">
      <c r="A1593" s="56" t="n"/>
      <c r="B1593" s="57" t="n"/>
      <c r="C1593" s="57" t="n"/>
      <c r="D1593" s="57" t="n"/>
      <c r="E1593" s="56" t="n"/>
      <c r="F1593" s="57" t="n"/>
      <c r="G1593" s="57" t="n"/>
      <c r="H1593" s="56" t="n"/>
      <c r="I1593" s="56" t="n"/>
      <c r="J1593" s="58" t="n"/>
      <c r="K1593" s="58" t="n"/>
      <c r="L1593" s="13">
        <f>IF(OR($A1593="",AND($J1593="",$K1593="")),"",ROUND(N($J1593)-N($K1593),2))</f>
        <v/>
      </c>
      <c r="M1593" s="13">
        <f>IF(OR($A1593="",AND($J1593="",$K1593="")),"",MIN($J1593,$K1593))</f>
        <v/>
      </c>
      <c r="Q1593">
        <f>IF($A1593="","",$D1593&amp;"("&amp;SUBSTITUTE($E1593," ","")&amp;")")</f>
        <v/>
      </c>
      <c r="R1593">
        <f>IF($A1593="","",$B1593&amp;" - "&amp;$C1593)</f>
        <v/>
      </c>
      <c r="S1593">
        <f>IF($A1593="","",$R1593&amp;"|"&amp;$Q1593)</f>
        <v/>
      </c>
      <c r="T1593">
        <f>IF($A1593="","",$S1593&amp;"|"&amp;$F1593)</f>
        <v/>
      </c>
      <c r="U1593">
        <f>IF($A1593="","",$R1593&amp;"("&amp;$E1593&amp;")")</f>
        <v/>
      </c>
      <c r="V1593">
        <f>IF($A1593="","",$F1593&amp;"|"&amp;$U1593&amp;"|"&amp;$D1593)</f>
        <v/>
      </c>
      <c r="W1593">
        <f>IF($T1593="","",IF($X1593&gt;N($X1592),$X1593,""))</f>
        <v/>
      </c>
      <c r="X1593">
        <f>IF($T1593="",N($X1592),IF(MATCH($T1593,$T$6:$T$6005,0)=ROW()-5,N($X1592)+1,N($X1592)))</f>
        <v/>
      </c>
      <c r="Z1593">
        <f>IF($V1593="","",IF($AA1593&gt;N($AA1592),$AA1593,""))</f>
        <v/>
      </c>
      <c r="AA1593">
        <f>IF($V1593="",N($AA1592),IF(MATCH($V1593,$V$6:$V$6005,0)=ROW()-5,N($AA1592)+1,N($AA1592)))</f>
        <v/>
      </c>
    </row>
    <row r="1594" ht="21" customHeight="1" s="66">
      <c r="A1594" s="56" t="n"/>
      <c r="B1594" s="57" t="n"/>
      <c r="C1594" s="57" t="n"/>
      <c r="D1594" s="57" t="n"/>
      <c r="E1594" s="56" t="n"/>
      <c r="F1594" s="57" t="n"/>
      <c r="G1594" s="57" t="n"/>
      <c r="H1594" s="56" t="n"/>
      <c r="I1594" s="56" t="n"/>
      <c r="J1594" s="58" t="n"/>
      <c r="K1594" s="58" t="n"/>
      <c r="L1594" s="13">
        <f>IF(OR($A1594="",AND($J1594="",$K1594="")),"",ROUND(N($J1594)-N($K1594),2))</f>
        <v/>
      </c>
      <c r="M1594" s="13">
        <f>IF(OR($A1594="",AND($J1594="",$K1594="")),"",MIN($J1594,$K1594))</f>
        <v/>
      </c>
      <c r="Q1594">
        <f>IF($A1594="","",$D1594&amp;"("&amp;SUBSTITUTE($E1594," ","")&amp;")")</f>
        <v/>
      </c>
      <c r="R1594">
        <f>IF($A1594="","",$B1594&amp;" - "&amp;$C1594)</f>
        <v/>
      </c>
      <c r="S1594">
        <f>IF($A1594="","",$R1594&amp;"|"&amp;$Q1594)</f>
        <v/>
      </c>
      <c r="T1594">
        <f>IF($A1594="","",$S1594&amp;"|"&amp;$F1594)</f>
        <v/>
      </c>
      <c r="U1594">
        <f>IF($A1594="","",$R1594&amp;"("&amp;$E1594&amp;")")</f>
        <v/>
      </c>
      <c r="V1594">
        <f>IF($A1594="","",$F1594&amp;"|"&amp;$U1594&amp;"|"&amp;$D1594)</f>
        <v/>
      </c>
      <c r="W1594">
        <f>IF($T1594="","",IF($X1594&gt;N($X1593),$X1594,""))</f>
        <v/>
      </c>
      <c r="X1594">
        <f>IF($T1594="",N($X1593),IF(MATCH($T1594,$T$6:$T$6005,0)=ROW()-5,N($X1593)+1,N($X1593)))</f>
        <v/>
      </c>
      <c r="Z1594">
        <f>IF($V1594="","",IF($AA1594&gt;N($AA1593),$AA1594,""))</f>
        <v/>
      </c>
      <c r="AA1594">
        <f>IF($V1594="",N($AA1593),IF(MATCH($V1594,$V$6:$V$6005,0)=ROW()-5,N($AA1593)+1,N($AA1593)))</f>
        <v/>
      </c>
    </row>
    <row r="1595" ht="21" customHeight="1" s="66">
      <c r="A1595" s="56" t="n"/>
      <c r="B1595" s="57" t="n"/>
      <c r="C1595" s="57" t="n"/>
      <c r="D1595" s="57" t="n"/>
      <c r="E1595" s="56" t="n"/>
      <c r="F1595" s="57" t="n"/>
      <c r="G1595" s="57" t="n"/>
      <c r="H1595" s="56" t="n"/>
      <c r="I1595" s="56" t="n"/>
      <c r="J1595" s="58" t="n"/>
      <c r="K1595" s="58" t="n"/>
      <c r="L1595" s="13">
        <f>IF(OR($A1595="",AND($J1595="",$K1595="")),"",ROUND(N($J1595)-N($K1595),2))</f>
        <v/>
      </c>
      <c r="M1595" s="13">
        <f>IF(OR($A1595="",AND($J1595="",$K1595="")),"",MIN($J1595,$K1595))</f>
        <v/>
      </c>
      <c r="Q1595">
        <f>IF($A1595="","",$D1595&amp;"("&amp;SUBSTITUTE($E1595," ","")&amp;")")</f>
        <v/>
      </c>
      <c r="R1595">
        <f>IF($A1595="","",$B1595&amp;" - "&amp;$C1595)</f>
        <v/>
      </c>
      <c r="S1595">
        <f>IF($A1595="","",$R1595&amp;"|"&amp;$Q1595)</f>
        <v/>
      </c>
      <c r="T1595">
        <f>IF($A1595="","",$S1595&amp;"|"&amp;$F1595)</f>
        <v/>
      </c>
      <c r="U1595">
        <f>IF($A1595="","",$R1595&amp;"("&amp;$E1595&amp;")")</f>
        <v/>
      </c>
      <c r="V1595">
        <f>IF($A1595="","",$F1595&amp;"|"&amp;$U1595&amp;"|"&amp;$D1595)</f>
        <v/>
      </c>
      <c r="W1595">
        <f>IF($T1595="","",IF($X1595&gt;N($X1594),$X1595,""))</f>
        <v/>
      </c>
      <c r="X1595">
        <f>IF($T1595="",N($X1594),IF(MATCH($T1595,$T$6:$T$6005,0)=ROW()-5,N($X1594)+1,N($X1594)))</f>
        <v/>
      </c>
      <c r="Z1595">
        <f>IF($V1595="","",IF($AA1595&gt;N($AA1594),$AA1595,""))</f>
        <v/>
      </c>
      <c r="AA1595">
        <f>IF($V1595="",N($AA1594),IF(MATCH($V1595,$V$6:$V$6005,0)=ROW()-5,N($AA1594)+1,N($AA1594)))</f>
        <v/>
      </c>
    </row>
    <row r="1596" ht="21" customHeight="1" s="66">
      <c r="A1596" s="56" t="n"/>
      <c r="B1596" s="57" t="n"/>
      <c r="C1596" s="57" t="n"/>
      <c r="D1596" s="57" t="n"/>
      <c r="E1596" s="56" t="n"/>
      <c r="F1596" s="57" t="n"/>
      <c r="G1596" s="57" t="n"/>
      <c r="H1596" s="56" t="n"/>
      <c r="I1596" s="56" t="n"/>
      <c r="J1596" s="58" t="n"/>
      <c r="K1596" s="58" t="n"/>
      <c r="L1596" s="13">
        <f>IF(OR($A1596="",AND($J1596="",$K1596="")),"",ROUND(N($J1596)-N($K1596),2))</f>
        <v/>
      </c>
      <c r="M1596" s="13">
        <f>IF(OR($A1596="",AND($J1596="",$K1596="")),"",MIN($J1596,$K1596))</f>
        <v/>
      </c>
      <c r="Q1596">
        <f>IF($A1596="","",$D1596&amp;"("&amp;SUBSTITUTE($E1596," ","")&amp;")")</f>
        <v/>
      </c>
      <c r="R1596">
        <f>IF($A1596="","",$B1596&amp;" - "&amp;$C1596)</f>
        <v/>
      </c>
      <c r="S1596">
        <f>IF($A1596="","",$R1596&amp;"|"&amp;$Q1596)</f>
        <v/>
      </c>
      <c r="T1596">
        <f>IF($A1596="","",$S1596&amp;"|"&amp;$F1596)</f>
        <v/>
      </c>
      <c r="U1596">
        <f>IF($A1596="","",$R1596&amp;"("&amp;$E1596&amp;")")</f>
        <v/>
      </c>
      <c r="V1596">
        <f>IF($A1596="","",$F1596&amp;"|"&amp;$U1596&amp;"|"&amp;$D1596)</f>
        <v/>
      </c>
      <c r="W1596">
        <f>IF($T1596="","",IF($X1596&gt;N($X1595),$X1596,""))</f>
        <v/>
      </c>
      <c r="X1596">
        <f>IF($T1596="",N($X1595),IF(MATCH($T1596,$T$6:$T$6005,0)=ROW()-5,N($X1595)+1,N($X1595)))</f>
        <v/>
      </c>
      <c r="Z1596">
        <f>IF($V1596="","",IF($AA1596&gt;N($AA1595),$AA1596,""))</f>
        <v/>
      </c>
      <c r="AA1596">
        <f>IF($V1596="",N($AA1595),IF(MATCH($V1596,$V$6:$V$6005,0)=ROW()-5,N($AA1595)+1,N($AA1595)))</f>
        <v/>
      </c>
    </row>
    <row r="1597" ht="21" customHeight="1" s="66">
      <c r="A1597" s="56" t="n"/>
      <c r="B1597" s="57" t="n"/>
      <c r="C1597" s="57" t="n"/>
      <c r="D1597" s="57" t="n"/>
      <c r="E1597" s="56" t="n"/>
      <c r="F1597" s="57" t="n"/>
      <c r="G1597" s="57" t="n"/>
      <c r="H1597" s="56" t="n"/>
      <c r="I1597" s="56" t="n"/>
      <c r="J1597" s="58" t="n"/>
      <c r="K1597" s="58" t="n"/>
      <c r="L1597" s="13">
        <f>IF(OR($A1597="",AND($J1597="",$K1597="")),"",ROUND(N($J1597)-N($K1597),2))</f>
        <v/>
      </c>
      <c r="M1597" s="13">
        <f>IF(OR($A1597="",AND($J1597="",$K1597="")),"",MIN($J1597,$K1597))</f>
        <v/>
      </c>
      <c r="Q1597">
        <f>IF($A1597="","",$D1597&amp;"("&amp;SUBSTITUTE($E1597," ","")&amp;")")</f>
        <v/>
      </c>
      <c r="R1597">
        <f>IF($A1597="","",$B1597&amp;" - "&amp;$C1597)</f>
        <v/>
      </c>
      <c r="S1597">
        <f>IF($A1597="","",$R1597&amp;"|"&amp;$Q1597)</f>
        <v/>
      </c>
      <c r="T1597">
        <f>IF($A1597="","",$S1597&amp;"|"&amp;$F1597)</f>
        <v/>
      </c>
      <c r="U1597">
        <f>IF($A1597="","",$R1597&amp;"("&amp;$E1597&amp;")")</f>
        <v/>
      </c>
      <c r="V1597">
        <f>IF($A1597="","",$F1597&amp;"|"&amp;$U1597&amp;"|"&amp;$D1597)</f>
        <v/>
      </c>
      <c r="W1597">
        <f>IF($T1597="","",IF($X1597&gt;N($X1596),$X1597,""))</f>
        <v/>
      </c>
      <c r="X1597">
        <f>IF($T1597="",N($X1596),IF(MATCH($T1597,$T$6:$T$6005,0)=ROW()-5,N($X1596)+1,N($X1596)))</f>
        <v/>
      </c>
      <c r="Z1597">
        <f>IF($V1597="","",IF($AA1597&gt;N($AA1596),$AA1597,""))</f>
        <v/>
      </c>
      <c r="AA1597">
        <f>IF($V1597="",N($AA1596),IF(MATCH($V1597,$V$6:$V$6005,0)=ROW()-5,N($AA1596)+1,N($AA1596)))</f>
        <v/>
      </c>
    </row>
    <row r="1598" ht="21" customHeight="1" s="66">
      <c r="A1598" s="56" t="n"/>
      <c r="B1598" s="57" t="n"/>
      <c r="C1598" s="57" t="n"/>
      <c r="D1598" s="57" t="n"/>
      <c r="E1598" s="56" t="n"/>
      <c r="F1598" s="57" t="n"/>
      <c r="G1598" s="57" t="n"/>
      <c r="H1598" s="56" t="n"/>
      <c r="I1598" s="56" t="n"/>
      <c r="J1598" s="58" t="n"/>
      <c r="K1598" s="58" t="n"/>
      <c r="L1598" s="13">
        <f>IF(OR($A1598="",AND($J1598="",$K1598="")),"",ROUND(N($J1598)-N($K1598),2))</f>
        <v/>
      </c>
      <c r="M1598" s="13">
        <f>IF(OR($A1598="",AND($J1598="",$K1598="")),"",MIN($J1598,$K1598))</f>
        <v/>
      </c>
      <c r="Q1598">
        <f>IF($A1598="","",$D1598&amp;"("&amp;SUBSTITUTE($E1598," ","")&amp;")")</f>
        <v/>
      </c>
      <c r="R1598">
        <f>IF($A1598="","",$B1598&amp;" - "&amp;$C1598)</f>
        <v/>
      </c>
      <c r="S1598">
        <f>IF($A1598="","",$R1598&amp;"|"&amp;$Q1598)</f>
        <v/>
      </c>
      <c r="T1598">
        <f>IF($A1598="","",$S1598&amp;"|"&amp;$F1598)</f>
        <v/>
      </c>
      <c r="U1598">
        <f>IF($A1598="","",$R1598&amp;"("&amp;$E1598&amp;")")</f>
        <v/>
      </c>
      <c r="V1598">
        <f>IF($A1598="","",$F1598&amp;"|"&amp;$U1598&amp;"|"&amp;$D1598)</f>
        <v/>
      </c>
      <c r="W1598">
        <f>IF($T1598="","",IF($X1598&gt;N($X1597),$X1598,""))</f>
        <v/>
      </c>
      <c r="X1598">
        <f>IF($T1598="",N($X1597),IF(MATCH($T1598,$T$6:$T$6005,0)=ROW()-5,N($X1597)+1,N($X1597)))</f>
        <v/>
      </c>
      <c r="Z1598">
        <f>IF($V1598="","",IF($AA1598&gt;N($AA1597),$AA1598,""))</f>
        <v/>
      </c>
      <c r="AA1598">
        <f>IF($V1598="",N($AA1597),IF(MATCH($V1598,$V$6:$V$6005,0)=ROW()-5,N($AA1597)+1,N($AA1597)))</f>
        <v/>
      </c>
    </row>
    <row r="1599" ht="21" customHeight="1" s="66">
      <c r="A1599" s="56" t="n"/>
      <c r="B1599" s="57" t="n"/>
      <c r="C1599" s="57" t="n"/>
      <c r="D1599" s="57" t="n"/>
      <c r="E1599" s="56" t="n"/>
      <c r="F1599" s="57" t="n"/>
      <c r="G1599" s="57" t="n"/>
      <c r="H1599" s="56" t="n"/>
      <c r="I1599" s="56" t="n"/>
      <c r="J1599" s="58" t="n"/>
      <c r="K1599" s="58" t="n"/>
      <c r="L1599" s="13">
        <f>IF(OR($A1599="",AND($J1599="",$K1599="")),"",ROUND(N($J1599)-N($K1599),2))</f>
        <v/>
      </c>
      <c r="M1599" s="13">
        <f>IF(OR($A1599="",AND($J1599="",$K1599="")),"",MIN($J1599,$K1599))</f>
        <v/>
      </c>
      <c r="Q1599">
        <f>IF($A1599="","",$D1599&amp;"("&amp;SUBSTITUTE($E1599," ","")&amp;")")</f>
        <v/>
      </c>
      <c r="R1599">
        <f>IF($A1599="","",$B1599&amp;" - "&amp;$C1599)</f>
        <v/>
      </c>
      <c r="S1599">
        <f>IF($A1599="","",$R1599&amp;"|"&amp;$Q1599)</f>
        <v/>
      </c>
      <c r="T1599">
        <f>IF($A1599="","",$S1599&amp;"|"&amp;$F1599)</f>
        <v/>
      </c>
      <c r="U1599">
        <f>IF($A1599="","",$R1599&amp;"("&amp;$E1599&amp;")")</f>
        <v/>
      </c>
      <c r="V1599">
        <f>IF($A1599="","",$F1599&amp;"|"&amp;$U1599&amp;"|"&amp;$D1599)</f>
        <v/>
      </c>
      <c r="W1599">
        <f>IF($T1599="","",IF($X1599&gt;N($X1598),$X1599,""))</f>
        <v/>
      </c>
      <c r="X1599">
        <f>IF($T1599="",N($X1598),IF(MATCH($T1599,$T$6:$T$6005,0)=ROW()-5,N($X1598)+1,N($X1598)))</f>
        <v/>
      </c>
      <c r="Z1599">
        <f>IF($V1599="","",IF($AA1599&gt;N($AA1598),$AA1599,""))</f>
        <v/>
      </c>
      <c r="AA1599">
        <f>IF($V1599="",N($AA1598),IF(MATCH($V1599,$V$6:$V$6005,0)=ROW()-5,N($AA1598)+1,N($AA1598)))</f>
        <v/>
      </c>
    </row>
    <row r="1600" ht="21" customHeight="1" s="66">
      <c r="A1600" s="56" t="n"/>
      <c r="B1600" s="57" t="n"/>
      <c r="C1600" s="57" t="n"/>
      <c r="D1600" s="57" t="n"/>
      <c r="E1600" s="56" t="n"/>
      <c r="F1600" s="57" t="n"/>
      <c r="G1600" s="57" t="n"/>
      <c r="H1600" s="56" t="n"/>
      <c r="I1600" s="56" t="n"/>
      <c r="J1600" s="58" t="n"/>
      <c r="K1600" s="58" t="n"/>
      <c r="L1600" s="13">
        <f>IF(OR($A1600="",AND($J1600="",$K1600="")),"",ROUND(N($J1600)-N($K1600),2))</f>
        <v/>
      </c>
      <c r="M1600" s="13">
        <f>IF(OR($A1600="",AND($J1600="",$K1600="")),"",MIN($J1600,$K1600))</f>
        <v/>
      </c>
      <c r="Q1600">
        <f>IF($A1600="","",$D1600&amp;"("&amp;SUBSTITUTE($E1600," ","")&amp;")")</f>
        <v/>
      </c>
      <c r="R1600">
        <f>IF($A1600="","",$B1600&amp;" - "&amp;$C1600)</f>
        <v/>
      </c>
      <c r="S1600">
        <f>IF($A1600="","",$R1600&amp;"|"&amp;$Q1600)</f>
        <v/>
      </c>
      <c r="T1600">
        <f>IF($A1600="","",$S1600&amp;"|"&amp;$F1600)</f>
        <v/>
      </c>
      <c r="U1600">
        <f>IF($A1600="","",$R1600&amp;"("&amp;$E1600&amp;")")</f>
        <v/>
      </c>
      <c r="V1600">
        <f>IF($A1600="","",$F1600&amp;"|"&amp;$U1600&amp;"|"&amp;$D1600)</f>
        <v/>
      </c>
      <c r="W1600">
        <f>IF($T1600="","",IF($X1600&gt;N($X1599),$X1600,""))</f>
        <v/>
      </c>
      <c r="X1600">
        <f>IF($T1600="",N($X1599),IF(MATCH($T1600,$T$6:$T$6005,0)=ROW()-5,N($X1599)+1,N($X1599)))</f>
        <v/>
      </c>
      <c r="Z1600">
        <f>IF($V1600="","",IF($AA1600&gt;N($AA1599),$AA1600,""))</f>
        <v/>
      </c>
      <c r="AA1600">
        <f>IF($V1600="",N($AA1599),IF(MATCH($V1600,$V$6:$V$6005,0)=ROW()-5,N($AA1599)+1,N($AA1599)))</f>
        <v/>
      </c>
    </row>
    <row r="1601" ht="21" customHeight="1" s="66">
      <c r="A1601" s="56" t="n"/>
      <c r="B1601" s="57" t="n"/>
      <c r="C1601" s="57" t="n"/>
      <c r="D1601" s="57" t="n"/>
      <c r="E1601" s="56" t="n"/>
      <c r="F1601" s="57" t="n"/>
      <c r="G1601" s="57" t="n"/>
      <c r="H1601" s="56" t="n"/>
      <c r="I1601" s="56" t="n"/>
      <c r="J1601" s="58" t="n"/>
      <c r="K1601" s="58" t="n"/>
      <c r="L1601" s="13">
        <f>IF(OR($A1601="",AND($J1601="",$K1601="")),"",ROUND(N($J1601)-N($K1601),2))</f>
        <v/>
      </c>
      <c r="M1601" s="13">
        <f>IF(OR($A1601="",AND($J1601="",$K1601="")),"",MIN($J1601,$K1601))</f>
        <v/>
      </c>
      <c r="Q1601">
        <f>IF($A1601="","",$D1601&amp;"("&amp;SUBSTITUTE($E1601," ","")&amp;")")</f>
        <v/>
      </c>
      <c r="R1601">
        <f>IF($A1601="","",$B1601&amp;" - "&amp;$C1601)</f>
        <v/>
      </c>
      <c r="S1601">
        <f>IF($A1601="","",$R1601&amp;"|"&amp;$Q1601)</f>
        <v/>
      </c>
      <c r="T1601">
        <f>IF($A1601="","",$S1601&amp;"|"&amp;$F1601)</f>
        <v/>
      </c>
      <c r="U1601">
        <f>IF($A1601="","",$R1601&amp;"("&amp;$E1601&amp;")")</f>
        <v/>
      </c>
      <c r="V1601">
        <f>IF($A1601="","",$F1601&amp;"|"&amp;$U1601&amp;"|"&amp;$D1601)</f>
        <v/>
      </c>
      <c r="W1601">
        <f>IF($T1601="","",IF($X1601&gt;N($X1600),$X1601,""))</f>
        <v/>
      </c>
      <c r="X1601">
        <f>IF($T1601="",N($X1600),IF(MATCH($T1601,$T$6:$T$6005,0)=ROW()-5,N($X1600)+1,N($X1600)))</f>
        <v/>
      </c>
      <c r="Z1601">
        <f>IF($V1601="","",IF($AA1601&gt;N($AA1600),$AA1601,""))</f>
        <v/>
      </c>
      <c r="AA1601">
        <f>IF($V1601="",N($AA1600),IF(MATCH($V1601,$V$6:$V$6005,0)=ROW()-5,N($AA1600)+1,N($AA1600)))</f>
        <v/>
      </c>
    </row>
    <row r="1602" ht="21" customHeight="1" s="66">
      <c r="A1602" s="56" t="n"/>
      <c r="B1602" s="57" t="n"/>
      <c r="C1602" s="57" t="n"/>
      <c r="D1602" s="57" t="n"/>
      <c r="E1602" s="56" t="n"/>
      <c r="F1602" s="57" t="n"/>
      <c r="G1602" s="57" t="n"/>
      <c r="H1602" s="56" t="n"/>
      <c r="I1602" s="56" t="n"/>
      <c r="J1602" s="58" t="n"/>
      <c r="K1602" s="58" t="n"/>
      <c r="L1602" s="13">
        <f>IF(OR($A1602="",AND($J1602="",$K1602="")),"",ROUND(N($J1602)-N($K1602),2))</f>
        <v/>
      </c>
      <c r="M1602" s="13">
        <f>IF(OR($A1602="",AND($J1602="",$K1602="")),"",MIN($J1602,$K1602))</f>
        <v/>
      </c>
      <c r="Q1602">
        <f>IF($A1602="","",$D1602&amp;"("&amp;SUBSTITUTE($E1602," ","")&amp;")")</f>
        <v/>
      </c>
      <c r="R1602">
        <f>IF($A1602="","",$B1602&amp;" - "&amp;$C1602)</f>
        <v/>
      </c>
      <c r="S1602">
        <f>IF($A1602="","",$R1602&amp;"|"&amp;$Q1602)</f>
        <v/>
      </c>
      <c r="T1602">
        <f>IF($A1602="","",$S1602&amp;"|"&amp;$F1602)</f>
        <v/>
      </c>
      <c r="U1602">
        <f>IF($A1602="","",$R1602&amp;"("&amp;$E1602&amp;")")</f>
        <v/>
      </c>
      <c r="V1602">
        <f>IF($A1602="","",$F1602&amp;"|"&amp;$U1602&amp;"|"&amp;$D1602)</f>
        <v/>
      </c>
      <c r="W1602">
        <f>IF($T1602="","",IF($X1602&gt;N($X1601),$X1602,""))</f>
        <v/>
      </c>
      <c r="X1602">
        <f>IF($T1602="",N($X1601),IF(MATCH($T1602,$T$6:$T$6005,0)=ROW()-5,N($X1601)+1,N($X1601)))</f>
        <v/>
      </c>
      <c r="Z1602">
        <f>IF($V1602="","",IF($AA1602&gt;N($AA1601),$AA1602,""))</f>
        <v/>
      </c>
      <c r="AA1602">
        <f>IF($V1602="",N($AA1601),IF(MATCH($V1602,$V$6:$V$6005,0)=ROW()-5,N($AA1601)+1,N($AA1601)))</f>
        <v/>
      </c>
    </row>
    <row r="1603" ht="21" customHeight="1" s="66">
      <c r="A1603" s="56" t="n"/>
      <c r="B1603" s="57" t="n"/>
      <c r="C1603" s="57" t="n"/>
      <c r="D1603" s="57" t="n"/>
      <c r="E1603" s="56" t="n"/>
      <c r="F1603" s="57" t="n"/>
      <c r="G1603" s="57" t="n"/>
      <c r="H1603" s="56" t="n"/>
      <c r="I1603" s="56" t="n"/>
      <c r="J1603" s="58" t="n"/>
      <c r="K1603" s="58" t="n"/>
      <c r="L1603" s="13">
        <f>IF(OR($A1603="",AND($J1603="",$K1603="")),"",ROUND(N($J1603)-N($K1603),2))</f>
        <v/>
      </c>
      <c r="M1603" s="13">
        <f>IF(OR($A1603="",AND($J1603="",$K1603="")),"",MIN($J1603,$K1603))</f>
        <v/>
      </c>
      <c r="Q1603">
        <f>IF($A1603="","",$D1603&amp;"("&amp;SUBSTITUTE($E1603," ","")&amp;")")</f>
        <v/>
      </c>
      <c r="R1603">
        <f>IF($A1603="","",$B1603&amp;" - "&amp;$C1603)</f>
        <v/>
      </c>
      <c r="S1603">
        <f>IF($A1603="","",$R1603&amp;"|"&amp;$Q1603)</f>
        <v/>
      </c>
      <c r="T1603">
        <f>IF($A1603="","",$S1603&amp;"|"&amp;$F1603)</f>
        <v/>
      </c>
      <c r="U1603">
        <f>IF($A1603="","",$R1603&amp;"("&amp;$E1603&amp;")")</f>
        <v/>
      </c>
      <c r="V1603">
        <f>IF($A1603="","",$F1603&amp;"|"&amp;$U1603&amp;"|"&amp;$D1603)</f>
        <v/>
      </c>
      <c r="W1603">
        <f>IF($T1603="","",IF($X1603&gt;N($X1602),$X1603,""))</f>
        <v/>
      </c>
      <c r="X1603">
        <f>IF($T1603="",N($X1602),IF(MATCH($T1603,$T$6:$T$6005,0)=ROW()-5,N($X1602)+1,N($X1602)))</f>
        <v/>
      </c>
      <c r="Z1603">
        <f>IF($V1603="","",IF($AA1603&gt;N($AA1602),$AA1603,""))</f>
        <v/>
      </c>
      <c r="AA1603">
        <f>IF($V1603="",N($AA1602),IF(MATCH($V1603,$V$6:$V$6005,0)=ROW()-5,N($AA1602)+1,N($AA1602)))</f>
        <v/>
      </c>
    </row>
    <row r="1604" ht="21" customHeight="1" s="66">
      <c r="A1604" s="56" t="n"/>
      <c r="B1604" s="57" t="n"/>
      <c r="C1604" s="57" t="n"/>
      <c r="D1604" s="57" t="n"/>
      <c r="E1604" s="56" t="n"/>
      <c r="F1604" s="57" t="n"/>
      <c r="G1604" s="57" t="n"/>
      <c r="H1604" s="56" t="n"/>
      <c r="I1604" s="56" t="n"/>
      <c r="J1604" s="58" t="n"/>
      <c r="K1604" s="58" t="n"/>
      <c r="L1604" s="13">
        <f>IF(OR($A1604="",AND($J1604="",$K1604="")),"",ROUND(N($J1604)-N($K1604),2))</f>
        <v/>
      </c>
      <c r="M1604" s="13">
        <f>IF(OR($A1604="",AND($J1604="",$K1604="")),"",MIN($J1604,$K1604))</f>
        <v/>
      </c>
      <c r="Q1604">
        <f>IF($A1604="","",$D1604&amp;"("&amp;SUBSTITUTE($E1604," ","")&amp;")")</f>
        <v/>
      </c>
      <c r="R1604">
        <f>IF($A1604="","",$B1604&amp;" - "&amp;$C1604)</f>
        <v/>
      </c>
      <c r="S1604">
        <f>IF($A1604="","",$R1604&amp;"|"&amp;$Q1604)</f>
        <v/>
      </c>
      <c r="T1604">
        <f>IF($A1604="","",$S1604&amp;"|"&amp;$F1604)</f>
        <v/>
      </c>
      <c r="U1604">
        <f>IF($A1604="","",$R1604&amp;"("&amp;$E1604&amp;")")</f>
        <v/>
      </c>
      <c r="V1604">
        <f>IF($A1604="","",$F1604&amp;"|"&amp;$U1604&amp;"|"&amp;$D1604)</f>
        <v/>
      </c>
      <c r="W1604">
        <f>IF($T1604="","",IF($X1604&gt;N($X1603),$X1604,""))</f>
        <v/>
      </c>
      <c r="X1604">
        <f>IF($T1604="",N($X1603),IF(MATCH($T1604,$T$6:$T$6005,0)=ROW()-5,N($X1603)+1,N($X1603)))</f>
        <v/>
      </c>
      <c r="Z1604">
        <f>IF($V1604="","",IF($AA1604&gt;N($AA1603),$AA1604,""))</f>
        <v/>
      </c>
      <c r="AA1604">
        <f>IF($V1604="",N($AA1603),IF(MATCH($V1604,$V$6:$V$6005,0)=ROW()-5,N($AA1603)+1,N($AA1603)))</f>
        <v/>
      </c>
    </row>
    <row r="1605" ht="21" customHeight="1" s="66">
      <c r="A1605" s="56" t="n"/>
      <c r="B1605" s="57" t="n"/>
      <c r="C1605" s="57" t="n"/>
      <c r="D1605" s="57" t="n"/>
      <c r="E1605" s="56" t="n"/>
      <c r="F1605" s="57" t="n"/>
      <c r="G1605" s="57" t="n"/>
      <c r="H1605" s="56" t="n"/>
      <c r="I1605" s="56" t="n"/>
      <c r="J1605" s="58" t="n"/>
      <c r="K1605" s="58" t="n"/>
      <c r="L1605" s="13">
        <f>IF(OR($A1605="",AND($J1605="",$K1605="")),"",ROUND(N($J1605)-N($K1605),2))</f>
        <v/>
      </c>
      <c r="M1605" s="13">
        <f>IF(OR($A1605="",AND($J1605="",$K1605="")),"",MIN($J1605,$K1605))</f>
        <v/>
      </c>
      <c r="Q1605">
        <f>IF($A1605="","",$D1605&amp;"("&amp;SUBSTITUTE($E1605," ","")&amp;")")</f>
        <v/>
      </c>
      <c r="R1605">
        <f>IF($A1605="","",$B1605&amp;" - "&amp;$C1605)</f>
        <v/>
      </c>
      <c r="S1605">
        <f>IF($A1605="","",$R1605&amp;"|"&amp;$Q1605)</f>
        <v/>
      </c>
      <c r="T1605">
        <f>IF($A1605="","",$S1605&amp;"|"&amp;$F1605)</f>
        <v/>
      </c>
      <c r="U1605">
        <f>IF($A1605="","",$R1605&amp;"("&amp;$E1605&amp;")")</f>
        <v/>
      </c>
      <c r="V1605">
        <f>IF($A1605="","",$F1605&amp;"|"&amp;$U1605&amp;"|"&amp;$D1605)</f>
        <v/>
      </c>
      <c r="W1605">
        <f>IF($T1605="","",IF($X1605&gt;N($X1604),$X1605,""))</f>
        <v/>
      </c>
      <c r="X1605">
        <f>IF($T1605="",N($X1604),IF(MATCH($T1605,$T$6:$T$6005,0)=ROW()-5,N($X1604)+1,N($X1604)))</f>
        <v/>
      </c>
      <c r="Z1605">
        <f>IF($V1605="","",IF($AA1605&gt;N($AA1604),$AA1605,""))</f>
        <v/>
      </c>
      <c r="AA1605">
        <f>IF($V1605="",N($AA1604),IF(MATCH($V1605,$V$6:$V$6005,0)=ROW()-5,N($AA1604)+1,N($AA1604)))</f>
        <v/>
      </c>
    </row>
    <row r="1606" ht="21" customHeight="1" s="66">
      <c r="A1606" s="56" t="n"/>
      <c r="B1606" s="57" t="n"/>
      <c r="C1606" s="57" t="n"/>
      <c r="D1606" s="57" t="n"/>
      <c r="E1606" s="56" t="n"/>
      <c r="F1606" s="57" t="n"/>
      <c r="G1606" s="57" t="n"/>
      <c r="H1606" s="56" t="n"/>
      <c r="I1606" s="56" t="n"/>
      <c r="J1606" s="58" t="n"/>
      <c r="K1606" s="58" t="n"/>
      <c r="L1606" s="13">
        <f>IF(OR($A1606="",AND($J1606="",$K1606="")),"",ROUND(N($J1606)-N($K1606),2))</f>
        <v/>
      </c>
      <c r="M1606" s="13">
        <f>IF(OR($A1606="",AND($J1606="",$K1606="")),"",MIN($J1606,$K1606))</f>
        <v/>
      </c>
      <c r="Q1606">
        <f>IF($A1606="","",$D1606&amp;"("&amp;SUBSTITUTE($E1606," ","")&amp;")")</f>
        <v/>
      </c>
      <c r="R1606">
        <f>IF($A1606="","",$B1606&amp;" - "&amp;$C1606)</f>
        <v/>
      </c>
      <c r="S1606">
        <f>IF($A1606="","",$R1606&amp;"|"&amp;$Q1606)</f>
        <v/>
      </c>
      <c r="T1606">
        <f>IF($A1606="","",$S1606&amp;"|"&amp;$F1606)</f>
        <v/>
      </c>
      <c r="U1606">
        <f>IF($A1606="","",$R1606&amp;"("&amp;$E1606&amp;")")</f>
        <v/>
      </c>
      <c r="V1606">
        <f>IF($A1606="","",$F1606&amp;"|"&amp;$U1606&amp;"|"&amp;$D1606)</f>
        <v/>
      </c>
      <c r="W1606">
        <f>IF($T1606="","",IF($X1606&gt;N($X1605),$X1606,""))</f>
        <v/>
      </c>
      <c r="X1606">
        <f>IF($T1606="",N($X1605),IF(MATCH($T1606,$T$6:$T$6005,0)=ROW()-5,N($X1605)+1,N($X1605)))</f>
        <v/>
      </c>
      <c r="Z1606">
        <f>IF($V1606="","",IF($AA1606&gt;N($AA1605),$AA1606,""))</f>
        <v/>
      </c>
      <c r="AA1606">
        <f>IF($V1606="",N($AA1605),IF(MATCH($V1606,$V$6:$V$6005,0)=ROW()-5,N($AA1605)+1,N($AA1605)))</f>
        <v/>
      </c>
    </row>
    <row r="1607" ht="21" customHeight="1" s="66">
      <c r="A1607" s="56" t="n"/>
      <c r="B1607" s="57" t="n"/>
      <c r="C1607" s="57" t="n"/>
      <c r="D1607" s="57" t="n"/>
      <c r="E1607" s="56" t="n"/>
      <c r="F1607" s="57" t="n"/>
      <c r="G1607" s="57" t="n"/>
      <c r="H1607" s="56" t="n"/>
      <c r="I1607" s="56" t="n"/>
      <c r="J1607" s="58" t="n"/>
      <c r="K1607" s="58" t="n"/>
      <c r="L1607" s="13">
        <f>IF(OR($A1607="",AND($J1607="",$K1607="")),"",ROUND(N($J1607)-N($K1607),2))</f>
        <v/>
      </c>
      <c r="M1607" s="13">
        <f>IF(OR($A1607="",AND($J1607="",$K1607="")),"",MIN($J1607,$K1607))</f>
        <v/>
      </c>
      <c r="Q1607">
        <f>IF($A1607="","",$D1607&amp;"("&amp;SUBSTITUTE($E1607," ","")&amp;")")</f>
        <v/>
      </c>
      <c r="R1607">
        <f>IF($A1607="","",$B1607&amp;" - "&amp;$C1607)</f>
        <v/>
      </c>
      <c r="S1607">
        <f>IF($A1607="","",$R1607&amp;"|"&amp;$Q1607)</f>
        <v/>
      </c>
      <c r="T1607">
        <f>IF($A1607="","",$S1607&amp;"|"&amp;$F1607)</f>
        <v/>
      </c>
      <c r="U1607">
        <f>IF($A1607="","",$R1607&amp;"("&amp;$E1607&amp;")")</f>
        <v/>
      </c>
      <c r="V1607">
        <f>IF($A1607="","",$F1607&amp;"|"&amp;$U1607&amp;"|"&amp;$D1607)</f>
        <v/>
      </c>
      <c r="W1607">
        <f>IF($T1607="","",IF($X1607&gt;N($X1606),$X1607,""))</f>
        <v/>
      </c>
      <c r="X1607">
        <f>IF($T1607="",N($X1606),IF(MATCH($T1607,$T$6:$T$6005,0)=ROW()-5,N($X1606)+1,N($X1606)))</f>
        <v/>
      </c>
      <c r="Z1607">
        <f>IF($V1607="","",IF($AA1607&gt;N($AA1606),$AA1607,""))</f>
        <v/>
      </c>
      <c r="AA1607">
        <f>IF($V1607="",N($AA1606),IF(MATCH($V1607,$V$6:$V$6005,0)=ROW()-5,N($AA1606)+1,N($AA1606)))</f>
        <v/>
      </c>
    </row>
    <row r="1608" ht="21" customHeight="1" s="66">
      <c r="A1608" s="56" t="n"/>
      <c r="B1608" s="57" t="n"/>
      <c r="C1608" s="57" t="n"/>
      <c r="D1608" s="57" t="n"/>
      <c r="E1608" s="56" t="n"/>
      <c r="F1608" s="57" t="n"/>
      <c r="G1608" s="57" t="n"/>
      <c r="H1608" s="56" t="n"/>
      <c r="I1608" s="56" t="n"/>
      <c r="J1608" s="58" t="n"/>
      <c r="K1608" s="58" t="n"/>
      <c r="L1608" s="13">
        <f>IF(OR($A1608="",AND($J1608="",$K1608="")),"",ROUND(N($J1608)-N($K1608),2))</f>
        <v/>
      </c>
      <c r="M1608" s="13">
        <f>IF(OR($A1608="",AND($J1608="",$K1608="")),"",MIN($J1608,$K1608))</f>
        <v/>
      </c>
      <c r="Q1608">
        <f>IF($A1608="","",$D1608&amp;"("&amp;SUBSTITUTE($E1608," ","")&amp;")")</f>
        <v/>
      </c>
      <c r="R1608">
        <f>IF($A1608="","",$B1608&amp;" - "&amp;$C1608)</f>
        <v/>
      </c>
      <c r="S1608">
        <f>IF($A1608="","",$R1608&amp;"|"&amp;$Q1608)</f>
        <v/>
      </c>
      <c r="T1608">
        <f>IF($A1608="","",$S1608&amp;"|"&amp;$F1608)</f>
        <v/>
      </c>
      <c r="U1608">
        <f>IF($A1608="","",$R1608&amp;"("&amp;$E1608&amp;")")</f>
        <v/>
      </c>
      <c r="V1608">
        <f>IF($A1608="","",$F1608&amp;"|"&amp;$U1608&amp;"|"&amp;$D1608)</f>
        <v/>
      </c>
      <c r="W1608">
        <f>IF($T1608="","",IF($X1608&gt;N($X1607),$X1608,""))</f>
        <v/>
      </c>
      <c r="X1608">
        <f>IF($T1608="",N($X1607),IF(MATCH($T1608,$T$6:$T$6005,0)=ROW()-5,N($X1607)+1,N($X1607)))</f>
        <v/>
      </c>
      <c r="Z1608">
        <f>IF($V1608="","",IF($AA1608&gt;N($AA1607),$AA1608,""))</f>
        <v/>
      </c>
      <c r="AA1608">
        <f>IF($V1608="",N($AA1607),IF(MATCH($V1608,$V$6:$V$6005,0)=ROW()-5,N($AA1607)+1,N($AA1607)))</f>
        <v/>
      </c>
    </row>
    <row r="1609" ht="21" customHeight="1" s="66">
      <c r="A1609" s="56" t="n"/>
      <c r="B1609" s="57" t="n"/>
      <c r="C1609" s="57" t="n"/>
      <c r="D1609" s="57" t="n"/>
      <c r="E1609" s="56" t="n"/>
      <c r="F1609" s="57" t="n"/>
      <c r="G1609" s="57" t="n"/>
      <c r="H1609" s="56" t="n"/>
      <c r="I1609" s="56" t="n"/>
      <c r="J1609" s="58" t="n"/>
      <c r="K1609" s="58" t="n"/>
      <c r="L1609" s="13">
        <f>IF(OR($A1609="",AND($J1609="",$K1609="")),"",ROUND(N($J1609)-N($K1609),2))</f>
        <v/>
      </c>
      <c r="M1609" s="13">
        <f>IF(OR($A1609="",AND($J1609="",$K1609="")),"",MIN($J1609,$K1609))</f>
        <v/>
      </c>
      <c r="Q1609">
        <f>IF($A1609="","",$D1609&amp;"("&amp;SUBSTITUTE($E1609," ","")&amp;")")</f>
        <v/>
      </c>
      <c r="R1609">
        <f>IF($A1609="","",$B1609&amp;" - "&amp;$C1609)</f>
        <v/>
      </c>
      <c r="S1609">
        <f>IF($A1609="","",$R1609&amp;"|"&amp;$Q1609)</f>
        <v/>
      </c>
      <c r="T1609">
        <f>IF($A1609="","",$S1609&amp;"|"&amp;$F1609)</f>
        <v/>
      </c>
      <c r="U1609">
        <f>IF($A1609="","",$R1609&amp;"("&amp;$E1609&amp;")")</f>
        <v/>
      </c>
      <c r="V1609">
        <f>IF($A1609="","",$F1609&amp;"|"&amp;$U1609&amp;"|"&amp;$D1609)</f>
        <v/>
      </c>
      <c r="W1609">
        <f>IF($T1609="","",IF($X1609&gt;N($X1608),$X1609,""))</f>
        <v/>
      </c>
      <c r="X1609">
        <f>IF($T1609="",N($X1608),IF(MATCH($T1609,$T$6:$T$6005,0)=ROW()-5,N($X1608)+1,N($X1608)))</f>
        <v/>
      </c>
      <c r="Z1609">
        <f>IF($V1609="","",IF($AA1609&gt;N($AA1608),$AA1609,""))</f>
        <v/>
      </c>
      <c r="AA1609">
        <f>IF($V1609="",N($AA1608),IF(MATCH($V1609,$V$6:$V$6005,0)=ROW()-5,N($AA1608)+1,N($AA1608)))</f>
        <v/>
      </c>
    </row>
    <row r="1610" ht="21" customHeight="1" s="66">
      <c r="A1610" s="56" t="n"/>
      <c r="B1610" s="57" t="n"/>
      <c r="C1610" s="57" t="n"/>
      <c r="D1610" s="57" t="n"/>
      <c r="E1610" s="56" t="n"/>
      <c r="F1610" s="57" t="n"/>
      <c r="G1610" s="57" t="n"/>
      <c r="H1610" s="56" t="n"/>
      <c r="I1610" s="56" t="n"/>
      <c r="J1610" s="58" t="n"/>
      <c r="K1610" s="58" t="n"/>
      <c r="L1610" s="13">
        <f>IF(OR($A1610="",AND($J1610="",$K1610="")),"",ROUND(N($J1610)-N($K1610),2))</f>
        <v/>
      </c>
      <c r="M1610" s="13">
        <f>IF(OR($A1610="",AND($J1610="",$K1610="")),"",MIN($J1610,$K1610))</f>
        <v/>
      </c>
      <c r="Q1610">
        <f>IF($A1610="","",$D1610&amp;"("&amp;SUBSTITUTE($E1610," ","")&amp;")")</f>
        <v/>
      </c>
      <c r="R1610">
        <f>IF($A1610="","",$B1610&amp;" - "&amp;$C1610)</f>
        <v/>
      </c>
      <c r="S1610">
        <f>IF($A1610="","",$R1610&amp;"|"&amp;$Q1610)</f>
        <v/>
      </c>
      <c r="T1610">
        <f>IF($A1610="","",$S1610&amp;"|"&amp;$F1610)</f>
        <v/>
      </c>
      <c r="U1610">
        <f>IF($A1610="","",$R1610&amp;"("&amp;$E1610&amp;")")</f>
        <v/>
      </c>
      <c r="V1610">
        <f>IF($A1610="","",$F1610&amp;"|"&amp;$U1610&amp;"|"&amp;$D1610)</f>
        <v/>
      </c>
      <c r="W1610">
        <f>IF($T1610="","",IF($X1610&gt;N($X1609),$X1610,""))</f>
        <v/>
      </c>
      <c r="X1610">
        <f>IF($T1610="",N($X1609),IF(MATCH($T1610,$T$6:$T$6005,0)=ROW()-5,N($X1609)+1,N($X1609)))</f>
        <v/>
      </c>
      <c r="Z1610">
        <f>IF($V1610="","",IF($AA1610&gt;N($AA1609),$AA1610,""))</f>
        <v/>
      </c>
      <c r="AA1610">
        <f>IF($V1610="",N($AA1609),IF(MATCH($V1610,$V$6:$V$6005,0)=ROW()-5,N($AA1609)+1,N($AA1609)))</f>
        <v/>
      </c>
    </row>
    <row r="1611" ht="21" customHeight="1" s="66">
      <c r="A1611" s="56" t="n"/>
      <c r="B1611" s="57" t="n"/>
      <c r="C1611" s="57" t="n"/>
      <c r="D1611" s="57" t="n"/>
      <c r="E1611" s="56" t="n"/>
      <c r="F1611" s="57" t="n"/>
      <c r="G1611" s="57" t="n"/>
      <c r="H1611" s="56" t="n"/>
      <c r="I1611" s="56" t="n"/>
      <c r="J1611" s="58" t="n"/>
      <c r="K1611" s="58" t="n"/>
      <c r="L1611" s="13">
        <f>IF(OR($A1611="",AND($J1611="",$K1611="")),"",ROUND(N($J1611)-N($K1611),2))</f>
        <v/>
      </c>
      <c r="M1611" s="13">
        <f>IF(OR($A1611="",AND($J1611="",$K1611="")),"",MIN($J1611,$K1611))</f>
        <v/>
      </c>
      <c r="Q1611">
        <f>IF($A1611="","",$D1611&amp;"("&amp;SUBSTITUTE($E1611," ","")&amp;")")</f>
        <v/>
      </c>
      <c r="R1611">
        <f>IF($A1611="","",$B1611&amp;" - "&amp;$C1611)</f>
        <v/>
      </c>
      <c r="S1611">
        <f>IF($A1611="","",$R1611&amp;"|"&amp;$Q1611)</f>
        <v/>
      </c>
      <c r="T1611">
        <f>IF($A1611="","",$S1611&amp;"|"&amp;$F1611)</f>
        <v/>
      </c>
      <c r="U1611">
        <f>IF($A1611="","",$R1611&amp;"("&amp;$E1611&amp;")")</f>
        <v/>
      </c>
      <c r="V1611">
        <f>IF($A1611="","",$F1611&amp;"|"&amp;$U1611&amp;"|"&amp;$D1611)</f>
        <v/>
      </c>
      <c r="W1611">
        <f>IF($T1611="","",IF($X1611&gt;N($X1610),$X1611,""))</f>
        <v/>
      </c>
      <c r="X1611">
        <f>IF($T1611="",N($X1610),IF(MATCH($T1611,$T$6:$T$6005,0)=ROW()-5,N($X1610)+1,N($X1610)))</f>
        <v/>
      </c>
      <c r="Z1611">
        <f>IF($V1611="","",IF($AA1611&gt;N($AA1610),$AA1611,""))</f>
        <v/>
      </c>
      <c r="AA1611">
        <f>IF($V1611="",N($AA1610),IF(MATCH($V1611,$V$6:$V$6005,0)=ROW()-5,N($AA1610)+1,N($AA1610)))</f>
        <v/>
      </c>
    </row>
    <row r="1612" ht="21" customHeight="1" s="66">
      <c r="A1612" s="56" t="n"/>
      <c r="B1612" s="57" t="n"/>
      <c r="C1612" s="57" t="n"/>
      <c r="D1612" s="57" t="n"/>
      <c r="E1612" s="56" t="n"/>
      <c r="F1612" s="57" t="n"/>
      <c r="G1612" s="57" t="n"/>
      <c r="H1612" s="56" t="n"/>
      <c r="I1612" s="56" t="n"/>
      <c r="J1612" s="58" t="n"/>
      <c r="K1612" s="58" t="n"/>
      <c r="L1612" s="13">
        <f>IF(OR($A1612="",AND($J1612="",$K1612="")),"",ROUND(N($J1612)-N($K1612),2))</f>
        <v/>
      </c>
      <c r="M1612" s="13">
        <f>IF(OR($A1612="",AND($J1612="",$K1612="")),"",MIN($J1612,$K1612))</f>
        <v/>
      </c>
      <c r="Q1612">
        <f>IF($A1612="","",$D1612&amp;"("&amp;SUBSTITUTE($E1612," ","")&amp;")")</f>
        <v/>
      </c>
      <c r="R1612">
        <f>IF($A1612="","",$B1612&amp;" - "&amp;$C1612)</f>
        <v/>
      </c>
      <c r="S1612">
        <f>IF($A1612="","",$R1612&amp;"|"&amp;$Q1612)</f>
        <v/>
      </c>
      <c r="T1612">
        <f>IF($A1612="","",$S1612&amp;"|"&amp;$F1612)</f>
        <v/>
      </c>
      <c r="U1612">
        <f>IF($A1612="","",$R1612&amp;"("&amp;$E1612&amp;")")</f>
        <v/>
      </c>
      <c r="V1612">
        <f>IF($A1612="","",$F1612&amp;"|"&amp;$U1612&amp;"|"&amp;$D1612)</f>
        <v/>
      </c>
      <c r="W1612">
        <f>IF($T1612="","",IF($X1612&gt;N($X1611),$X1612,""))</f>
        <v/>
      </c>
      <c r="X1612">
        <f>IF($T1612="",N($X1611),IF(MATCH($T1612,$T$6:$T$6005,0)=ROW()-5,N($X1611)+1,N($X1611)))</f>
        <v/>
      </c>
      <c r="Z1612">
        <f>IF($V1612="","",IF($AA1612&gt;N($AA1611),$AA1612,""))</f>
        <v/>
      </c>
      <c r="AA1612">
        <f>IF($V1612="",N($AA1611),IF(MATCH($V1612,$V$6:$V$6005,0)=ROW()-5,N($AA1611)+1,N($AA1611)))</f>
        <v/>
      </c>
    </row>
    <row r="1613" ht="21" customHeight="1" s="66">
      <c r="A1613" s="56" t="n"/>
      <c r="B1613" s="57" t="n"/>
      <c r="C1613" s="57" t="n"/>
      <c r="D1613" s="57" t="n"/>
      <c r="E1613" s="56" t="n"/>
      <c r="F1613" s="57" t="n"/>
      <c r="G1613" s="57" t="n"/>
      <c r="H1613" s="56" t="n"/>
      <c r="I1613" s="56" t="n"/>
      <c r="J1613" s="58" t="n"/>
      <c r="K1613" s="58" t="n"/>
      <c r="L1613" s="13">
        <f>IF(OR($A1613="",AND($J1613="",$K1613="")),"",ROUND(N($J1613)-N($K1613),2))</f>
        <v/>
      </c>
      <c r="M1613" s="13">
        <f>IF(OR($A1613="",AND($J1613="",$K1613="")),"",MIN($J1613,$K1613))</f>
        <v/>
      </c>
      <c r="Q1613">
        <f>IF($A1613="","",$D1613&amp;"("&amp;SUBSTITUTE($E1613," ","")&amp;")")</f>
        <v/>
      </c>
      <c r="R1613">
        <f>IF($A1613="","",$B1613&amp;" - "&amp;$C1613)</f>
        <v/>
      </c>
      <c r="S1613">
        <f>IF($A1613="","",$R1613&amp;"|"&amp;$Q1613)</f>
        <v/>
      </c>
      <c r="T1613">
        <f>IF($A1613="","",$S1613&amp;"|"&amp;$F1613)</f>
        <v/>
      </c>
      <c r="U1613">
        <f>IF($A1613="","",$R1613&amp;"("&amp;$E1613&amp;")")</f>
        <v/>
      </c>
      <c r="V1613">
        <f>IF($A1613="","",$F1613&amp;"|"&amp;$U1613&amp;"|"&amp;$D1613)</f>
        <v/>
      </c>
      <c r="W1613">
        <f>IF($T1613="","",IF($X1613&gt;N($X1612),$X1613,""))</f>
        <v/>
      </c>
      <c r="X1613">
        <f>IF($T1613="",N($X1612),IF(MATCH($T1613,$T$6:$T$6005,0)=ROW()-5,N($X1612)+1,N($X1612)))</f>
        <v/>
      </c>
      <c r="Z1613">
        <f>IF($V1613="","",IF($AA1613&gt;N($AA1612),$AA1613,""))</f>
        <v/>
      </c>
      <c r="AA1613">
        <f>IF($V1613="",N($AA1612),IF(MATCH($V1613,$V$6:$V$6005,0)=ROW()-5,N($AA1612)+1,N($AA1612)))</f>
        <v/>
      </c>
    </row>
    <row r="1614" ht="21" customHeight="1" s="66">
      <c r="A1614" s="56" t="n"/>
      <c r="B1614" s="57" t="n"/>
      <c r="C1614" s="57" t="n"/>
      <c r="D1614" s="57" t="n"/>
      <c r="E1614" s="56" t="n"/>
      <c r="F1614" s="57" t="n"/>
      <c r="G1614" s="57" t="n"/>
      <c r="H1614" s="56" t="n"/>
      <c r="I1614" s="56" t="n"/>
      <c r="J1614" s="58" t="n"/>
      <c r="K1614" s="58" t="n"/>
      <c r="L1614" s="13">
        <f>IF(OR($A1614="",AND($J1614="",$K1614="")),"",ROUND(N($J1614)-N($K1614),2))</f>
        <v/>
      </c>
      <c r="M1614" s="13">
        <f>IF(OR($A1614="",AND($J1614="",$K1614="")),"",MIN($J1614,$K1614))</f>
        <v/>
      </c>
      <c r="Q1614">
        <f>IF($A1614="","",$D1614&amp;"("&amp;SUBSTITUTE($E1614," ","")&amp;")")</f>
        <v/>
      </c>
      <c r="R1614">
        <f>IF($A1614="","",$B1614&amp;" - "&amp;$C1614)</f>
        <v/>
      </c>
      <c r="S1614">
        <f>IF($A1614="","",$R1614&amp;"|"&amp;$Q1614)</f>
        <v/>
      </c>
      <c r="T1614">
        <f>IF($A1614="","",$S1614&amp;"|"&amp;$F1614)</f>
        <v/>
      </c>
      <c r="U1614">
        <f>IF($A1614="","",$R1614&amp;"("&amp;$E1614&amp;")")</f>
        <v/>
      </c>
      <c r="V1614">
        <f>IF($A1614="","",$F1614&amp;"|"&amp;$U1614&amp;"|"&amp;$D1614)</f>
        <v/>
      </c>
      <c r="W1614">
        <f>IF($T1614="","",IF($X1614&gt;N($X1613),$X1614,""))</f>
        <v/>
      </c>
      <c r="X1614">
        <f>IF($T1614="",N($X1613),IF(MATCH($T1614,$T$6:$T$6005,0)=ROW()-5,N($X1613)+1,N($X1613)))</f>
        <v/>
      </c>
      <c r="Z1614">
        <f>IF($V1614="","",IF($AA1614&gt;N($AA1613),$AA1614,""))</f>
        <v/>
      </c>
      <c r="AA1614">
        <f>IF($V1614="",N($AA1613),IF(MATCH($V1614,$V$6:$V$6005,0)=ROW()-5,N($AA1613)+1,N($AA1613)))</f>
        <v/>
      </c>
    </row>
    <row r="1615" ht="21" customHeight="1" s="66">
      <c r="A1615" s="56" t="n"/>
      <c r="B1615" s="57" t="n"/>
      <c r="C1615" s="57" t="n"/>
      <c r="D1615" s="57" t="n"/>
      <c r="E1615" s="56" t="n"/>
      <c r="F1615" s="57" t="n"/>
      <c r="G1615" s="57" t="n"/>
      <c r="H1615" s="56" t="n"/>
      <c r="I1615" s="56" t="n"/>
      <c r="J1615" s="58" t="n"/>
      <c r="K1615" s="58" t="n"/>
      <c r="L1615" s="13">
        <f>IF(OR($A1615="",AND($J1615="",$K1615="")),"",ROUND(N($J1615)-N($K1615),2))</f>
        <v/>
      </c>
      <c r="M1615" s="13">
        <f>IF(OR($A1615="",AND($J1615="",$K1615="")),"",MIN($J1615,$K1615))</f>
        <v/>
      </c>
      <c r="Q1615">
        <f>IF($A1615="","",$D1615&amp;"("&amp;SUBSTITUTE($E1615," ","")&amp;")")</f>
        <v/>
      </c>
      <c r="R1615">
        <f>IF($A1615="","",$B1615&amp;" - "&amp;$C1615)</f>
        <v/>
      </c>
      <c r="S1615">
        <f>IF($A1615="","",$R1615&amp;"|"&amp;$Q1615)</f>
        <v/>
      </c>
      <c r="T1615">
        <f>IF($A1615="","",$S1615&amp;"|"&amp;$F1615)</f>
        <v/>
      </c>
      <c r="U1615">
        <f>IF($A1615="","",$R1615&amp;"("&amp;$E1615&amp;")")</f>
        <v/>
      </c>
      <c r="V1615">
        <f>IF($A1615="","",$F1615&amp;"|"&amp;$U1615&amp;"|"&amp;$D1615)</f>
        <v/>
      </c>
      <c r="W1615">
        <f>IF($T1615="","",IF($X1615&gt;N($X1614),$X1615,""))</f>
        <v/>
      </c>
      <c r="X1615">
        <f>IF($T1615="",N($X1614),IF(MATCH($T1615,$T$6:$T$6005,0)=ROW()-5,N($X1614)+1,N($X1614)))</f>
        <v/>
      </c>
      <c r="Z1615">
        <f>IF($V1615="","",IF($AA1615&gt;N($AA1614),$AA1615,""))</f>
        <v/>
      </c>
      <c r="AA1615">
        <f>IF($V1615="",N($AA1614),IF(MATCH($V1615,$V$6:$V$6005,0)=ROW()-5,N($AA1614)+1,N($AA1614)))</f>
        <v/>
      </c>
    </row>
    <row r="1616" ht="21" customHeight="1" s="66">
      <c r="A1616" s="56" t="n"/>
      <c r="B1616" s="57" t="n"/>
      <c r="C1616" s="57" t="n"/>
      <c r="D1616" s="57" t="n"/>
      <c r="E1616" s="56" t="n"/>
      <c r="F1616" s="57" t="n"/>
      <c r="G1616" s="57" t="n"/>
      <c r="H1616" s="56" t="n"/>
      <c r="I1616" s="56" t="n"/>
      <c r="J1616" s="58" t="n"/>
      <c r="K1616" s="58" t="n"/>
      <c r="L1616" s="13">
        <f>IF(OR($A1616="",AND($J1616="",$K1616="")),"",ROUND(N($J1616)-N($K1616),2))</f>
        <v/>
      </c>
      <c r="M1616" s="13">
        <f>IF(OR($A1616="",AND($J1616="",$K1616="")),"",MIN($J1616,$K1616))</f>
        <v/>
      </c>
      <c r="Q1616">
        <f>IF($A1616="","",$D1616&amp;"("&amp;SUBSTITUTE($E1616," ","")&amp;")")</f>
        <v/>
      </c>
      <c r="R1616">
        <f>IF($A1616="","",$B1616&amp;" - "&amp;$C1616)</f>
        <v/>
      </c>
      <c r="S1616">
        <f>IF($A1616="","",$R1616&amp;"|"&amp;$Q1616)</f>
        <v/>
      </c>
      <c r="T1616">
        <f>IF($A1616="","",$S1616&amp;"|"&amp;$F1616)</f>
        <v/>
      </c>
      <c r="U1616">
        <f>IF($A1616="","",$R1616&amp;"("&amp;$E1616&amp;")")</f>
        <v/>
      </c>
      <c r="V1616">
        <f>IF($A1616="","",$F1616&amp;"|"&amp;$U1616&amp;"|"&amp;$D1616)</f>
        <v/>
      </c>
      <c r="W1616">
        <f>IF($T1616="","",IF($X1616&gt;N($X1615),$X1616,""))</f>
        <v/>
      </c>
      <c r="X1616">
        <f>IF($T1616="",N($X1615),IF(MATCH($T1616,$T$6:$T$6005,0)=ROW()-5,N($X1615)+1,N($X1615)))</f>
        <v/>
      </c>
      <c r="Z1616">
        <f>IF($V1616="","",IF($AA1616&gt;N($AA1615),$AA1616,""))</f>
        <v/>
      </c>
      <c r="AA1616">
        <f>IF($V1616="",N($AA1615),IF(MATCH($V1616,$V$6:$V$6005,0)=ROW()-5,N($AA1615)+1,N($AA1615)))</f>
        <v/>
      </c>
    </row>
    <row r="1617" ht="21" customHeight="1" s="66">
      <c r="A1617" s="56" t="n"/>
      <c r="B1617" s="57" t="n"/>
      <c r="C1617" s="57" t="n"/>
      <c r="D1617" s="57" t="n"/>
      <c r="E1617" s="56" t="n"/>
      <c r="F1617" s="57" t="n"/>
      <c r="G1617" s="57" t="n"/>
      <c r="H1617" s="56" t="n"/>
      <c r="I1617" s="56" t="n"/>
      <c r="J1617" s="58" t="n"/>
      <c r="K1617" s="58" t="n"/>
      <c r="L1617" s="13">
        <f>IF(OR($A1617="",AND($J1617="",$K1617="")),"",ROUND(N($J1617)-N($K1617),2))</f>
        <v/>
      </c>
      <c r="M1617" s="13">
        <f>IF(OR($A1617="",AND($J1617="",$K1617="")),"",MIN($J1617,$K1617))</f>
        <v/>
      </c>
      <c r="Q1617">
        <f>IF($A1617="","",$D1617&amp;"("&amp;SUBSTITUTE($E1617," ","")&amp;")")</f>
        <v/>
      </c>
      <c r="R1617">
        <f>IF($A1617="","",$B1617&amp;" - "&amp;$C1617)</f>
        <v/>
      </c>
      <c r="S1617">
        <f>IF($A1617="","",$R1617&amp;"|"&amp;$Q1617)</f>
        <v/>
      </c>
      <c r="T1617">
        <f>IF($A1617="","",$S1617&amp;"|"&amp;$F1617)</f>
        <v/>
      </c>
      <c r="U1617">
        <f>IF($A1617="","",$R1617&amp;"("&amp;$E1617&amp;")")</f>
        <v/>
      </c>
      <c r="V1617">
        <f>IF($A1617="","",$F1617&amp;"|"&amp;$U1617&amp;"|"&amp;$D1617)</f>
        <v/>
      </c>
      <c r="W1617">
        <f>IF($T1617="","",IF($X1617&gt;N($X1616),$X1617,""))</f>
        <v/>
      </c>
      <c r="X1617">
        <f>IF($T1617="",N($X1616),IF(MATCH($T1617,$T$6:$T$6005,0)=ROW()-5,N($X1616)+1,N($X1616)))</f>
        <v/>
      </c>
      <c r="Z1617">
        <f>IF($V1617="","",IF($AA1617&gt;N($AA1616),$AA1617,""))</f>
        <v/>
      </c>
      <c r="AA1617">
        <f>IF($V1617="",N($AA1616),IF(MATCH($V1617,$V$6:$V$6005,0)=ROW()-5,N($AA1616)+1,N($AA1616)))</f>
        <v/>
      </c>
    </row>
    <row r="1618" ht="21" customHeight="1" s="66">
      <c r="A1618" s="56" t="n"/>
      <c r="B1618" s="57" t="n"/>
      <c r="C1618" s="57" t="n"/>
      <c r="D1618" s="57" t="n"/>
      <c r="E1618" s="56" t="n"/>
      <c r="F1618" s="57" t="n"/>
      <c r="G1618" s="57" t="n"/>
      <c r="H1618" s="56" t="n"/>
      <c r="I1618" s="56" t="n"/>
      <c r="J1618" s="58" t="n"/>
      <c r="K1618" s="58" t="n"/>
      <c r="L1618" s="13">
        <f>IF(OR($A1618="",AND($J1618="",$K1618="")),"",ROUND(N($J1618)-N($K1618),2))</f>
        <v/>
      </c>
      <c r="M1618" s="13">
        <f>IF(OR($A1618="",AND($J1618="",$K1618="")),"",MIN($J1618,$K1618))</f>
        <v/>
      </c>
      <c r="Q1618">
        <f>IF($A1618="","",$D1618&amp;"("&amp;SUBSTITUTE($E1618," ","")&amp;")")</f>
        <v/>
      </c>
      <c r="R1618">
        <f>IF($A1618="","",$B1618&amp;" - "&amp;$C1618)</f>
        <v/>
      </c>
      <c r="S1618">
        <f>IF($A1618="","",$R1618&amp;"|"&amp;$Q1618)</f>
        <v/>
      </c>
      <c r="T1618">
        <f>IF($A1618="","",$S1618&amp;"|"&amp;$F1618)</f>
        <v/>
      </c>
      <c r="U1618">
        <f>IF($A1618="","",$R1618&amp;"("&amp;$E1618&amp;")")</f>
        <v/>
      </c>
      <c r="V1618">
        <f>IF($A1618="","",$F1618&amp;"|"&amp;$U1618&amp;"|"&amp;$D1618)</f>
        <v/>
      </c>
      <c r="W1618">
        <f>IF($T1618="","",IF($X1618&gt;N($X1617),$X1618,""))</f>
        <v/>
      </c>
      <c r="X1618">
        <f>IF($T1618="",N($X1617),IF(MATCH($T1618,$T$6:$T$6005,0)=ROW()-5,N($X1617)+1,N($X1617)))</f>
        <v/>
      </c>
      <c r="Z1618">
        <f>IF($V1618="","",IF($AA1618&gt;N($AA1617),$AA1618,""))</f>
        <v/>
      </c>
      <c r="AA1618">
        <f>IF($V1618="",N($AA1617),IF(MATCH($V1618,$V$6:$V$6005,0)=ROW()-5,N($AA1617)+1,N($AA1617)))</f>
        <v/>
      </c>
    </row>
    <row r="1619" ht="21" customHeight="1" s="66">
      <c r="A1619" s="56" t="n"/>
      <c r="B1619" s="57" t="n"/>
      <c r="C1619" s="57" t="n"/>
      <c r="D1619" s="57" t="n"/>
      <c r="E1619" s="56" t="n"/>
      <c r="F1619" s="57" t="n"/>
      <c r="G1619" s="57" t="n"/>
      <c r="H1619" s="56" t="n"/>
      <c r="I1619" s="56" t="n"/>
      <c r="J1619" s="58" t="n"/>
      <c r="K1619" s="58" t="n"/>
      <c r="L1619" s="13">
        <f>IF(OR($A1619="",AND($J1619="",$K1619="")),"",ROUND(N($J1619)-N($K1619),2))</f>
        <v/>
      </c>
      <c r="M1619" s="13">
        <f>IF(OR($A1619="",AND($J1619="",$K1619="")),"",MIN($J1619,$K1619))</f>
        <v/>
      </c>
      <c r="Q1619">
        <f>IF($A1619="","",$D1619&amp;"("&amp;SUBSTITUTE($E1619," ","")&amp;")")</f>
        <v/>
      </c>
      <c r="R1619">
        <f>IF($A1619="","",$B1619&amp;" - "&amp;$C1619)</f>
        <v/>
      </c>
      <c r="S1619">
        <f>IF($A1619="","",$R1619&amp;"|"&amp;$Q1619)</f>
        <v/>
      </c>
      <c r="T1619">
        <f>IF($A1619="","",$S1619&amp;"|"&amp;$F1619)</f>
        <v/>
      </c>
      <c r="U1619">
        <f>IF($A1619="","",$R1619&amp;"("&amp;$E1619&amp;")")</f>
        <v/>
      </c>
      <c r="V1619">
        <f>IF($A1619="","",$F1619&amp;"|"&amp;$U1619&amp;"|"&amp;$D1619)</f>
        <v/>
      </c>
      <c r="W1619">
        <f>IF($T1619="","",IF($X1619&gt;N($X1618),$X1619,""))</f>
        <v/>
      </c>
      <c r="X1619">
        <f>IF($T1619="",N($X1618),IF(MATCH($T1619,$T$6:$T$6005,0)=ROW()-5,N($X1618)+1,N($X1618)))</f>
        <v/>
      </c>
      <c r="Z1619">
        <f>IF($V1619="","",IF($AA1619&gt;N($AA1618),$AA1619,""))</f>
        <v/>
      </c>
      <c r="AA1619">
        <f>IF($V1619="",N($AA1618),IF(MATCH($V1619,$V$6:$V$6005,0)=ROW()-5,N($AA1618)+1,N($AA1618)))</f>
        <v/>
      </c>
    </row>
    <row r="1620" ht="21" customHeight="1" s="66">
      <c r="A1620" s="56" t="n"/>
      <c r="B1620" s="57" t="n"/>
      <c r="C1620" s="57" t="n"/>
      <c r="D1620" s="57" t="n"/>
      <c r="E1620" s="56" t="n"/>
      <c r="F1620" s="57" t="n"/>
      <c r="G1620" s="57" t="n"/>
      <c r="H1620" s="56" t="n"/>
      <c r="I1620" s="56" t="n"/>
      <c r="J1620" s="58" t="n"/>
      <c r="K1620" s="58" t="n"/>
      <c r="L1620" s="13">
        <f>IF(OR($A1620="",AND($J1620="",$K1620="")),"",ROUND(N($J1620)-N($K1620),2))</f>
        <v/>
      </c>
      <c r="M1620" s="13">
        <f>IF(OR($A1620="",AND($J1620="",$K1620="")),"",MIN($J1620,$K1620))</f>
        <v/>
      </c>
      <c r="Q1620">
        <f>IF($A1620="","",$D1620&amp;"("&amp;SUBSTITUTE($E1620," ","")&amp;")")</f>
        <v/>
      </c>
      <c r="R1620">
        <f>IF($A1620="","",$B1620&amp;" - "&amp;$C1620)</f>
        <v/>
      </c>
      <c r="S1620">
        <f>IF($A1620="","",$R1620&amp;"|"&amp;$Q1620)</f>
        <v/>
      </c>
      <c r="T1620">
        <f>IF($A1620="","",$S1620&amp;"|"&amp;$F1620)</f>
        <v/>
      </c>
      <c r="U1620">
        <f>IF($A1620="","",$R1620&amp;"("&amp;$E1620&amp;")")</f>
        <v/>
      </c>
      <c r="V1620">
        <f>IF($A1620="","",$F1620&amp;"|"&amp;$U1620&amp;"|"&amp;$D1620)</f>
        <v/>
      </c>
      <c r="W1620">
        <f>IF($T1620="","",IF($X1620&gt;N($X1619),$X1620,""))</f>
        <v/>
      </c>
      <c r="X1620">
        <f>IF($T1620="",N($X1619),IF(MATCH($T1620,$T$6:$T$6005,0)=ROW()-5,N($X1619)+1,N($X1619)))</f>
        <v/>
      </c>
      <c r="Z1620">
        <f>IF($V1620="","",IF($AA1620&gt;N($AA1619),$AA1620,""))</f>
        <v/>
      </c>
      <c r="AA1620">
        <f>IF($V1620="",N($AA1619),IF(MATCH($V1620,$V$6:$V$6005,0)=ROW()-5,N($AA1619)+1,N($AA1619)))</f>
        <v/>
      </c>
    </row>
    <row r="1621" ht="21" customHeight="1" s="66">
      <c r="A1621" s="56" t="n"/>
      <c r="B1621" s="57" t="n"/>
      <c r="C1621" s="57" t="n"/>
      <c r="D1621" s="57" t="n"/>
      <c r="E1621" s="56" t="n"/>
      <c r="F1621" s="57" t="n"/>
      <c r="G1621" s="57" t="n"/>
      <c r="H1621" s="56" t="n"/>
      <c r="I1621" s="56" t="n"/>
      <c r="J1621" s="58" t="n"/>
      <c r="K1621" s="58" t="n"/>
      <c r="L1621" s="13">
        <f>IF(OR($A1621="",AND($J1621="",$K1621="")),"",ROUND(N($J1621)-N($K1621),2))</f>
        <v/>
      </c>
      <c r="M1621" s="13">
        <f>IF(OR($A1621="",AND($J1621="",$K1621="")),"",MIN($J1621,$K1621))</f>
        <v/>
      </c>
      <c r="Q1621">
        <f>IF($A1621="","",$D1621&amp;"("&amp;SUBSTITUTE($E1621," ","")&amp;")")</f>
        <v/>
      </c>
      <c r="R1621">
        <f>IF($A1621="","",$B1621&amp;" - "&amp;$C1621)</f>
        <v/>
      </c>
      <c r="S1621">
        <f>IF($A1621="","",$R1621&amp;"|"&amp;$Q1621)</f>
        <v/>
      </c>
      <c r="T1621">
        <f>IF($A1621="","",$S1621&amp;"|"&amp;$F1621)</f>
        <v/>
      </c>
      <c r="U1621">
        <f>IF($A1621="","",$R1621&amp;"("&amp;$E1621&amp;")")</f>
        <v/>
      </c>
      <c r="V1621">
        <f>IF($A1621="","",$F1621&amp;"|"&amp;$U1621&amp;"|"&amp;$D1621)</f>
        <v/>
      </c>
      <c r="W1621">
        <f>IF($T1621="","",IF($X1621&gt;N($X1620),$X1621,""))</f>
        <v/>
      </c>
      <c r="X1621">
        <f>IF($T1621="",N($X1620),IF(MATCH($T1621,$T$6:$T$6005,0)=ROW()-5,N($X1620)+1,N($X1620)))</f>
        <v/>
      </c>
      <c r="Z1621">
        <f>IF($V1621="","",IF($AA1621&gt;N($AA1620),$AA1621,""))</f>
        <v/>
      </c>
      <c r="AA1621">
        <f>IF($V1621="",N($AA1620),IF(MATCH($V1621,$V$6:$V$6005,0)=ROW()-5,N($AA1620)+1,N($AA1620)))</f>
        <v/>
      </c>
    </row>
    <row r="1622" ht="21" customHeight="1" s="66">
      <c r="A1622" s="56" t="n"/>
      <c r="B1622" s="57" t="n"/>
      <c r="C1622" s="57" t="n"/>
      <c r="D1622" s="57" t="n"/>
      <c r="E1622" s="56" t="n"/>
      <c r="F1622" s="57" t="n"/>
      <c r="G1622" s="57" t="n"/>
      <c r="H1622" s="56" t="n"/>
      <c r="I1622" s="56" t="n"/>
      <c r="J1622" s="58" t="n"/>
      <c r="K1622" s="58" t="n"/>
      <c r="L1622" s="13">
        <f>IF(OR($A1622="",AND($J1622="",$K1622="")),"",ROUND(N($J1622)-N($K1622),2))</f>
        <v/>
      </c>
      <c r="M1622" s="13">
        <f>IF(OR($A1622="",AND($J1622="",$K1622="")),"",MIN($J1622,$K1622))</f>
        <v/>
      </c>
      <c r="Q1622">
        <f>IF($A1622="","",$D1622&amp;"("&amp;SUBSTITUTE($E1622," ","")&amp;")")</f>
        <v/>
      </c>
      <c r="R1622">
        <f>IF($A1622="","",$B1622&amp;" - "&amp;$C1622)</f>
        <v/>
      </c>
      <c r="S1622">
        <f>IF($A1622="","",$R1622&amp;"|"&amp;$Q1622)</f>
        <v/>
      </c>
      <c r="T1622">
        <f>IF($A1622="","",$S1622&amp;"|"&amp;$F1622)</f>
        <v/>
      </c>
      <c r="U1622">
        <f>IF($A1622="","",$R1622&amp;"("&amp;$E1622&amp;")")</f>
        <v/>
      </c>
      <c r="V1622">
        <f>IF($A1622="","",$F1622&amp;"|"&amp;$U1622&amp;"|"&amp;$D1622)</f>
        <v/>
      </c>
      <c r="W1622">
        <f>IF($T1622="","",IF($X1622&gt;N($X1621),$X1622,""))</f>
        <v/>
      </c>
      <c r="X1622">
        <f>IF($T1622="",N($X1621),IF(MATCH($T1622,$T$6:$T$6005,0)=ROW()-5,N($X1621)+1,N($X1621)))</f>
        <v/>
      </c>
      <c r="Z1622">
        <f>IF($V1622="","",IF($AA1622&gt;N($AA1621),$AA1622,""))</f>
        <v/>
      </c>
      <c r="AA1622">
        <f>IF($V1622="",N($AA1621),IF(MATCH($V1622,$V$6:$V$6005,0)=ROW()-5,N($AA1621)+1,N($AA1621)))</f>
        <v/>
      </c>
    </row>
    <row r="1623" ht="21" customHeight="1" s="66">
      <c r="A1623" s="56" t="n"/>
      <c r="B1623" s="57" t="n"/>
      <c r="C1623" s="57" t="n"/>
      <c r="D1623" s="57" t="n"/>
      <c r="E1623" s="56" t="n"/>
      <c r="F1623" s="57" t="n"/>
      <c r="G1623" s="57" t="n"/>
      <c r="H1623" s="56" t="n"/>
      <c r="I1623" s="56" t="n"/>
      <c r="J1623" s="58" t="n"/>
      <c r="K1623" s="58" t="n"/>
      <c r="L1623" s="13">
        <f>IF(OR($A1623="",AND($J1623="",$K1623="")),"",ROUND(N($J1623)-N($K1623),2))</f>
        <v/>
      </c>
      <c r="M1623" s="13">
        <f>IF(OR($A1623="",AND($J1623="",$K1623="")),"",MIN($J1623,$K1623))</f>
        <v/>
      </c>
      <c r="Q1623">
        <f>IF($A1623="","",$D1623&amp;"("&amp;SUBSTITUTE($E1623," ","")&amp;")")</f>
        <v/>
      </c>
      <c r="R1623">
        <f>IF($A1623="","",$B1623&amp;" - "&amp;$C1623)</f>
        <v/>
      </c>
      <c r="S1623">
        <f>IF($A1623="","",$R1623&amp;"|"&amp;$Q1623)</f>
        <v/>
      </c>
      <c r="T1623">
        <f>IF($A1623="","",$S1623&amp;"|"&amp;$F1623)</f>
        <v/>
      </c>
      <c r="U1623">
        <f>IF($A1623="","",$R1623&amp;"("&amp;$E1623&amp;")")</f>
        <v/>
      </c>
      <c r="V1623">
        <f>IF($A1623="","",$F1623&amp;"|"&amp;$U1623&amp;"|"&amp;$D1623)</f>
        <v/>
      </c>
      <c r="W1623">
        <f>IF($T1623="","",IF($X1623&gt;N($X1622),$X1623,""))</f>
        <v/>
      </c>
      <c r="X1623">
        <f>IF($T1623="",N($X1622),IF(MATCH($T1623,$T$6:$T$6005,0)=ROW()-5,N($X1622)+1,N($X1622)))</f>
        <v/>
      </c>
      <c r="Z1623">
        <f>IF($V1623="","",IF($AA1623&gt;N($AA1622),$AA1623,""))</f>
        <v/>
      </c>
      <c r="AA1623">
        <f>IF($V1623="",N($AA1622),IF(MATCH($V1623,$V$6:$V$6005,0)=ROW()-5,N($AA1622)+1,N($AA1622)))</f>
        <v/>
      </c>
    </row>
    <row r="1624" ht="21" customHeight="1" s="66">
      <c r="A1624" s="56" t="n"/>
      <c r="B1624" s="57" t="n"/>
      <c r="C1624" s="57" t="n"/>
      <c r="D1624" s="57" t="n"/>
      <c r="E1624" s="56" t="n"/>
      <c r="F1624" s="57" t="n"/>
      <c r="G1624" s="57" t="n"/>
      <c r="H1624" s="56" t="n"/>
      <c r="I1624" s="56" t="n"/>
      <c r="J1624" s="58" t="n"/>
      <c r="K1624" s="58" t="n"/>
      <c r="L1624" s="13">
        <f>IF(OR($A1624="",AND($J1624="",$K1624="")),"",ROUND(N($J1624)-N($K1624),2))</f>
        <v/>
      </c>
      <c r="M1624" s="13">
        <f>IF(OR($A1624="",AND($J1624="",$K1624="")),"",MIN($J1624,$K1624))</f>
        <v/>
      </c>
      <c r="Q1624">
        <f>IF($A1624="","",$D1624&amp;"("&amp;SUBSTITUTE($E1624," ","")&amp;")")</f>
        <v/>
      </c>
      <c r="R1624">
        <f>IF($A1624="","",$B1624&amp;" - "&amp;$C1624)</f>
        <v/>
      </c>
      <c r="S1624">
        <f>IF($A1624="","",$R1624&amp;"|"&amp;$Q1624)</f>
        <v/>
      </c>
      <c r="T1624">
        <f>IF($A1624="","",$S1624&amp;"|"&amp;$F1624)</f>
        <v/>
      </c>
      <c r="U1624">
        <f>IF($A1624="","",$R1624&amp;"("&amp;$E1624&amp;")")</f>
        <v/>
      </c>
      <c r="V1624">
        <f>IF($A1624="","",$F1624&amp;"|"&amp;$U1624&amp;"|"&amp;$D1624)</f>
        <v/>
      </c>
      <c r="W1624">
        <f>IF($T1624="","",IF($X1624&gt;N($X1623),$X1624,""))</f>
        <v/>
      </c>
      <c r="X1624">
        <f>IF($T1624="",N($X1623),IF(MATCH($T1624,$T$6:$T$6005,0)=ROW()-5,N($X1623)+1,N($X1623)))</f>
        <v/>
      </c>
      <c r="Z1624">
        <f>IF($V1624="","",IF($AA1624&gt;N($AA1623),$AA1624,""))</f>
        <v/>
      </c>
      <c r="AA1624">
        <f>IF($V1624="",N($AA1623),IF(MATCH($V1624,$V$6:$V$6005,0)=ROW()-5,N($AA1623)+1,N($AA1623)))</f>
        <v/>
      </c>
    </row>
    <row r="1625" ht="21" customHeight="1" s="66">
      <c r="A1625" s="56" t="n"/>
      <c r="B1625" s="57" t="n"/>
      <c r="C1625" s="57" t="n"/>
      <c r="D1625" s="57" t="n"/>
      <c r="E1625" s="56" t="n"/>
      <c r="F1625" s="57" t="n"/>
      <c r="G1625" s="57" t="n"/>
      <c r="H1625" s="56" t="n"/>
      <c r="I1625" s="56" t="n"/>
      <c r="J1625" s="58" t="n"/>
      <c r="K1625" s="58" t="n"/>
      <c r="L1625" s="13">
        <f>IF(OR($A1625="",AND($J1625="",$K1625="")),"",ROUND(N($J1625)-N($K1625),2))</f>
        <v/>
      </c>
      <c r="M1625" s="13">
        <f>IF(OR($A1625="",AND($J1625="",$K1625="")),"",MIN($J1625,$K1625))</f>
        <v/>
      </c>
      <c r="Q1625">
        <f>IF($A1625="","",$D1625&amp;"("&amp;SUBSTITUTE($E1625," ","")&amp;")")</f>
        <v/>
      </c>
      <c r="R1625">
        <f>IF($A1625="","",$B1625&amp;" - "&amp;$C1625)</f>
        <v/>
      </c>
      <c r="S1625">
        <f>IF($A1625="","",$R1625&amp;"|"&amp;$Q1625)</f>
        <v/>
      </c>
      <c r="T1625">
        <f>IF($A1625="","",$S1625&amp;"|"&amp;$F1625)</f>
        <v/>
      </c>
      <c r="U1625">
        <f>IF($A1625="","",$R1625&amp;"("&amp;$E1625&amp;")")</f>
        <v/>
      </c>
      <c r="V1625">
        <f>IF($A1625="","",$F1625&amp;"|"&amp;$U1625&amp;"|"&amp;$D1625)</f>
        <v/>
      </c>
      <c r="W1625">
        <f>IF($T1625="","",IF($X1625&gt;N($X1624),$X1625,""))</f>
        <v/>
      </c>
      <c r="X1625">
        <f>IF($T1625="",N($X1624),IF(MATCH($T1625,$T$6:$T$6005,0)=ROW()-5,N($X1624)+1,N($X1624)))</f>
        <v/>
      </c>
      <c r="Z1625">
        <f>IF($V1625="","",IF($AA1625&gt;N($AA1624),$AA1625,""))</f>
        <v/>
      </c>
      <c r="AA1625">
        <f>IF($V1625="",N($AA1624),IF(MATCH($V1625,$V$6:$V$6005,0)=ROW()-5,N($AA1624)+1,N($AA1624)))</f>
        <v/>
      </c>
    </row>
    <row r="1626" ht="21" customHeight="1" s="66">
      <c r="A1626" s="56" t="n"/>
      <c r="B1626" s="57" t="n"/>
      <c r="C1626" s="57" t="n"/>
      <c r="D1626" s="57" t="n"/>
      <c r="E1626" s="56" t="n"/>
      <c r="F1626" s="57" t="n"/>
      <c r="G1626" s="57" t="n"/>
      <c r="H1626" s="56" t="n"/>
      <c r="I1626" s="56" t="n"/>
      <c r="J1626" s="58" t="n"/>
      <c r="K1626" s="58" t="n"/>
      <c r="L1626" s="13">
        <f>IF(OR($A1626="",AND($J1626="",$K1626="")),"",ROUND(N($J1626)-N($K1626),2))</f>
        <v/>
      </c>
      <c r="M1626" s="13">
        <f>IF(OR($A1626="",AND($J1626="",$K1626="")),"",MIN($J1626,$K1626))</f>
        <v/>
      </c>
      <c r="Q1626">
        <f>IF($A1626="","",$D1626&amp;"("&amp;SUBSTITUTE($E1626," ","")&amp;")")</f>
        <v/>
      </c>
      <c r="R1626">
        <f>IF($A1626="","",$B1626&amp;" - "&amp;$C1626)</f>
        <v/>
      </c>
      <c r="S1626">
        <f>IF($A1626="","",$R1626&amp;"|"&amp;$Q1626)</f>
        <v/>
      </c>
      <c r="T1626">
        <f>IF($A1626="","",$S1626&amp;"|"&amp;$F1626)</f>
        <v/>
      </c>
      <c r="U1626">
        <f>IF($A1626="","",$R1626&amp;"("&amp;$E1626&amp;")")</f>
        <v/>
      </c>
      <c r="V1626">
        <f>IF($A1626="","",$F1626&amp;"|"&amp;$U1626&amp;"|"&amp;$D1626)</f>
        <v/>
      </c>
      <c r="W1626">
        <f>IF($T1626="","",IF($X1626&gt;N($X1625),$X1626,""))</f>
        <v/>
      </c>
      <c r="X1626">
        <f>IF($T1626="",N($X1625),IF(MATCH($T1626,$T$6:$T$6005,0)=ROW()-5,N($X1625)+1,N($X1625)))</f>
        <v/>
      </c>
      <c r="Z1626">
        <f>IF($V1626="","",IF($AA1626&gt;N($AA1625),$AA1626,""))</f>
        <v/>
      </c>
      <c r="AA1626">
        <f>IF($V1626="",N($AA1625),IF(MATCH($V1626,$V$6:$V$6005,0)=ROW()-5,N($AA1625)+1,N($AA1625)))</f>
        <v/>
      </c>
    </row>
    <row r="1627" ht="21" customHeight="1" s="66">
      <c r="A1627" s="56" t="n"/>
      <c r="B1627" s="57" t="n"/>
      <c r="C1627" s="57" t="n"/>
      <c r="D1627" s="57" t="n"/>
      <c r="E1627" s="56" t="n"/>
      <c r="F1627" s="57" t="n"/>
      <c r="G1627" s="57" t="n"/>
      <c r="H1627" s="56" t="n"/>
      <c r="I1627" s="56" t="n"/>
      <c r="J1627" s="58" t="n"/>
      <c r="K1627" s="58" t="n"/>
      <c r="L1627" s="13">
        <f>IF(OR($A1627="",AND($J1627="",$K1627="")),"",ROUND(N($J1627)-N($K1627),2))</f>
        <v/>
      </c>
      <c r="M1627" s="13">
        <f>IF(OR($A1627="",AND($J1627="",$K1627="")),"",MIN($J1627,$K1627))</f>
        <v/>
      </c>
      <c r="Q1627">
        <f>IF($A1627="","",$D1627&amp;"("&amp;SUBSTITUTE($E1627," ","")&amp;")")</f>
        <v/>
      </c>
      <c r="R1627">
        <f>IF($A1627="","",$B1627&amp;" - "&amp;$C1627)</f>
        <v/>
      </c>
      <c r="S1627">
        <f>IF($A1627="","",$R1627&amp;"|"&amp;$Q1627)</f>
        <v/>
      </c>
      <c r="T1627">
        <f>IF($A1627="","",$S1627&amp;"|"&amp;$F1627)</f>
        <v/>
      </c>
      <c r="U1627">
        <f>IF($A1627="","",$R1627&amp;"("&amp;$E1627&amp;")")</f>
        <v/>
      </c>
      <c r="V1627">
        <f>IF($A1627="","",$F1627&amp;"|"&amp;$U1627&amp;"|"&amp;$D1627)</f>
        <v/>
      </c>
      <c r="W1627">
        <f>IF($T1627="","",IF($X1627&gt;N($X1626),$X1627,""))</f>
        <v/>
      </c>
      <c r="X1627">
        <f>IF($T1627="",N($X1626),IF(MATCH($T1627,$T$6:$T$6005,0)=ROW()-5,N($X1626)+1,N($X1626)))</f>
        <v/>
      </c>
      <c r="Z1627">
        <f>IF($V1627="","",IF($AA1627&gt;N($AA1626),$AA1627,""))</f>
        <v/>
      </c>
      <c r="AA1627">
        <f>IF($V1627="",N($AA1626),IF(MATCH($V1627,$V$6:$V$6005,0)=ROW()-5,N($AA1626)+1,N($AA1626)))</f>
        <v/>
      </c>
    </row>
    <row r="1628" ht="21" customHeight="1" s="66">
      <c r="A1628" s="56" t="n"/>
      <c r="B1628" s="57" t="n"/>
      <c r="C1628" s="57" t="n"/>
      <c r="D1628" s="57" t="n"/>
      <c r="E1628" s="56" t="n"/>
      <c r="F1628" s="57" t="n"/>
      <c r="G1628" s="57" t="n"/>
      <c r="H1628" s="56" t="n"/>
      <c r="I1628" s="56" t="n"/>
      <c r="J1628" s="58" t="n"/>
      <c r="K1628" s="58" t="n"/>
      <c r="L1628" s="13">
        <f>IF(OR($A1628="",AND($J1628="",$K1628="")),"",ROUND(N($J1628)-N($K1628),2))</f>
        <v/>
      </c>
      <c r="M1628" s="13">
        <f>IF(OR($A1628="",AND($J1628="",$K1628="")),"",MIN($J1628,$K1628))</f>
        <v/>
      </c>
      <c r="Q1628">
        <f>IF($A1628="","",$D1628&amp;"("&amp;SUBSTITUTE($E1628," ","")&amp;")")</f>
        <v/>
      </c>
      <c r="R1628">
        <f>IF($A1628="","",$B1628&amp;" - "&amp;$C1628)</f>
        <v/>
      </c>
      <c r="S1628">
        <f>IF($A1628="","",$R1628&amp;"|"&amp;$Q1628)</f>
        <v/>
      </c>
      <c r="T1628">
        <f>IF($A1628="","",$S1628&amp;"|"&amp;$F1628)</f>
        <v/>
      </c>
      <c r="U1628">
        <f>IF($A1628="","",$R1628&amp;"("&amp;$E1628&amp;")")</f>
        <v/>
      </c>
      <c r="V1628">
        <f>IF($A1628="","",$F1628&amp;"|"&amp;$U1628&amp;"|"&amp;$D1628)</f>
        <v/>
      </c>
      <c r="W1628">
        <f>IF($T1628="","",IF($X1628&gt;N($X1627),$X1628,""))</f>
        <v/>
      </c>
      <c r="X1628">
        <f>IF($T1628="",N($X1627),IF(MATCH($T1628,$T$6:$T$6005,0)=ROW()-5,N($X1627)+1,N($X1627)))</f>
        <v/>
      </c>
      <c r="Z1628">
        <f>IF($V1628="","",IF($AA1628&gt;N($AA1627),$AA1628,""))</f>
        <v/>
      </c>
      <c r="AA1628">
        <f>IF($V1628="",N($AA1627),IF(MATCH($V1628,$V$6:$V$6005,0)=ROW()-5,N($AA1627)+1,N($AA1627)))</f>
        <v/>
      </c>
    </row>
    <row r="1629" ht="21" customHeight="1" s="66">
      <c r="A1629" s="56" t="n"/>
      <c r="B1629" s="57" t="n"/>
      <c r="C1629" s="57" t="n"/>
      <c r="D1629" s="57" t="n"/>
      <c r="E1629" s="56" t="n"/>
      <c r="F1629" s="57" t="n"/>
      <c r="G1629" s="57" t="n"/>
      <c r="H1629" s="56" t="n"/>
      <c r="I1629" s="56" t="n"/>
      <c r="J1629" s="58" t="n"/>
      <c r="K1629" s="58" t="n"/>
      <c r="L1629" s="13">
        <f>IF(OR($A1629="",AND($J1629="",$K1629="")),"",ROUND(N($J1629)-N($K1629),2))</f>
        <v/>
      </c>
      <c r="M1629" s="13">
        <f>IF(OR($A1629="",AND($J1629="",$K1629="")),"",MIN($J1629,$K1629))</f>
        <v/>
      </c>
      <c r="Q1629">
        <f>IF($A1629="","",$D1629&amp;"("&amp;SUBSTITUTE($E1629," ","")&amp;")")</f>
        <v/>
      </c>
      <c r="R1629">
        <f>IF($A1629="","",$B1629&amp;" - "&amp;$C1629)</f>
        <v/>
      </c>
      <c r="S1629">
        <f>IF($A1629="","",$R1629&amp;"|"&amp;$Q1629)</f>
        <v/>
      </c>
      <c r="T1629">
        <f>IF($A1629="","",$S1629&amp;"|"&amp;$F1629)</f>
        <v/>
      </c>
      <c r="U1629">
        <f>IF($A1629="","",$R1629&amp;"("&amp;$E1629&amp;")")</f>
        <v/>
      </c>
      <c r="V1629">
        <f>IF($A1629="","",$F1629&amp;"|"&amp;$U1629&amp;"|"&amp;$D1629)</f>
        <v/>
      </c>
      <c r="W1629">
        <f>IF($T1629="","",IF($X1629&gt;N($X1628),$X1629,""))</f>
        <v/>
      </c>
      <c r="X1629">
        <f>IF($T1629="",N($X1628),IF(MATCH($T1629,$T$6:$T$6005,0)=ROW()-5,N($X1628)+1,N($X1628)))</f>
        <v/>
      </c>
      <c r="Z1629">
        <f>IF($V1629="","",IF($AA1629&gt;N($AA1628),$AA1629,""))</f>
        <v/>
      </c>
      <c r="AA1629">
        <f>IF($V1629="",N($AA1628),IF(MATCH($V1629,$V$6:$V$6005,0)=ROW()-5,N($AA1628)+1,N($AA1628)))</f>
        <v/>
      </c>
    </row>
    <row r="1630" ht="21" customHeight="1" s="66">
      <c r="A1630" s="56" t="n"/>
      <c r="B1630" s="57" t="n"/>
      <c r="C1630" s="57" t="n"/>
      <c r="D1630" s="57" t="n"/>
      <c r="E1630" s="56" t="n"/>
      <c r="F1630" s="57" t="n"/>
      <c r="G1630" s="57" t="n"/>
      <c r="H1630" s="56" t="n"/>
      <c r="I1630" s="56" t="n"/>
      <c r="J1630" s="58" t="n"/>
      <c r="K1630" s="58" t="n"/>
      <c r="L1630" s="13">
        <f>IF(OR($A1630="",AND($J1630="",$K1630="")),"",ROUND(N($J1630)-N($K1630),2))</f>
        <v/>
      </c>
      <c r="M1630" s="13">
        <f>IF(OR($A1630="",AND($J1630="",$K1630="")),"",MIN($J1630,$K1630))</f>
        <v/>
      </c>
      <c r="Q1630">
        <f>IF($A1630="","",$D1630&amp;"("&amp;SUBSTITUTE($E1630," ","")&amp;")")</f>
        <v/>
      </c>
      <c r="R1630">
        <f>IF($A1630="","",$B1630&amp;" - "&amp;$C1630)</f>
        <v/>
      </c>
      <c r="S1630">
        <f>IF($A1630="","",$R1630&amp;"|"&amp;$Q1630)</f>
        <v/>
      </c>
      <c r="T1630">
        <f>IF($A1630="","",$S1630&amp;"|"&amp;$F1630)</f>
        <v/>
      </c>
      <c r="U1630">
        <f>IF($A1630="","",$R1630&amp;"("&amp;$E1630&amp;")")</f>
        <v/>
      </c>
      <c r="V1630">
        <f>IF($A1630="","",$F1630&amp;"|"&amp;$U1630&amp;"|"&amp;$D1630)</f>
        <v/>
      </c>
      <c r="W1630">
        <f>IF($T1630="","",IF($X1630&gt;N($X1629),$X1630,""))</f>
        <v/>
      </c>
      <c r="X1630">
        <f>IF($T1630="",N($X1629),IF(MATCH($T1630,$T$6:$T$6005,0)=ROW()-5,N($X1629)+1,N($X1629)))</f>
        <v/>
      </c>
      <c r="Z1630">
        <f>IF($V1630="","",IF($AA1630&gt;N($AA1629),$AA1630,""))</f>
        <v/>
      </c>
      <c r="AA1630">
        <f>IF($V1630="",N($AA1629),IF(MATCH($V1630,$V$6:$V$6005,0)=ROW()-5,N($AA1629)+1,N($AA1629)))</f>
        <v/>
      </c>
    </row>
    <row r="1631" ht="21" customHeight="1" s="66">
      <c r="A1631" s="56" t="n"/>
      <c r="B1631" s="57" t="n"/>
      <c r="C1631" s="57" t="n"/>
      <c r="D1631" s="57" t="n"/>
      <c r="E1631" s="56" t="n"/>
      <c r="F1631" s="57" t="n"/>
      <c r="G1631" s="57" t="n"/>
      <c r="H1631" s="56" t="n"/>
      <c r="I1631" s="56" t="n"/>
      <c r="J1631" s="58" t="n"/>
      <c r="K1631" s="58" t="n"/>
      <c r="L1631" s="13">
        <f>IF(OR($A1631="",AND($J1631="",$K1631="")),"",ROUND(N($J1631)-N($K1631),2))</f>
        <v/>
      </c>
      <c r="M1631" s="13">
        <f>IF(OR($A1631="",AND($J1631="",$K1631="")),"",MIN($J1631,$K1631))</f>
        <v/>
      </c>
      <c r="Q1631">
        <f>IF($A1631="","",$D1631&amp;"("&amp;SUBSTITUTE($E1631," ","")&amp;")")</f>
        <v/>
      </c>
      <c r="R1631">
        <f>IF($A1631="","",$B1631&amp;" - "&amp;$C1631)</f>
        <v/>
      </c>
      <c r="S1631">
        <f>IF($A1631="","",$R1631&amp;"|"&amp;$Q1631)</f>
        <v/>
      </c>
      <c r="T1631">
        <f>IF($A1631="","",$S1631&amp;"|"&amp;$F1631)</f>
        <v/>
      </c>
      <c r="U1631">
        <f>IF($A1631="","",$R1631&amp;"("&amp;$E1631&amp;")")</f>
        <v/>
      </c>
      <c r="V1631">
        <f>IF($A1631="","",$F1631&amp;"|"&amp;$U1631&amp;"|"&amp;$D1631)</f>
        <v/>
      </c>
      <c r="W1631">
        <f>IF($T1631="","",IF($X1631&gt;N($X1630),$X1631,""))</f>
        <v/>
      </c>
      <c r="X1631">
        <f>IF($T1631="",N($X1630),IF(MATCH($T1631,$T$6:$T$6005,0)=ROW()-5,N($X1630)+1,N($X1630)))</f>
        <v/>
      </c>
      <c r="Z1631">
        <f>IF($V1631="","",IF($AA1631&gt;N($AA1630),$AA1631,""))</f>
        <v/>
      </c>
      <c r="AA1631">
        <f>IF($V1631="",N($AA1630),IF(MATCH($V1631,$V$6:$V$6005,0)=ROW()-5,N($AA1630)+1,N($AA1630)))</f>
        <v/>
      </c>
    </row>
    <row r="1632" ht="21" customHeight="1" s="66">
      <c r="A1632" s="56" t="n"/>
      <c r="B1632" s="57" t="n"/>
      <c r="C1632" s="57" t="n"/>
      <c r="D1632" s="57" t="n"/>
      <c r="E1632" s="56" t="n"/>
      <c r="F1632" s="57" t="n"/>
      <c r="G1632" s="57" t="n"/>
      <c r="H1632" s="56" t="n"/>
      <c r="I1632" s="56" t="n"/>
      <c r="J1632" s="58" t="n"/>
      <c r="K1632" s="58" t="n"/>
      <c r="L1632" s="13">
        <f>IF(OR($A1632="",AND($J1632="",$K1632="")),"",ROUND(N($J1632)-N($K1632),2))</f>
        <v/>
      </c>
      <c r="M1632" s="13">
        <f>IF(OR($A1632="",AND($J1632="",$K1632="")),"",MIN($J1632,$K1632))</f>
        <v/>
      </c>
      <c r="Q1632">
        <f>IF($A1632="","",$D1632&amp;"("&amp;SUBSTITUTE($E1632," ","")&amp;")")</f>
        <v/>
      </c>
      <c r="R1632">
        <f>IF($A1632="","",$B1632&amp;" - "&amp;$C1632)</f>
        <v/>
      </c>
      <c r="S1632">
        <f>IF($A1632="","",$R1632&amp;"|"&amp;$Q1632)</f>
        <v/>
      </c>
      <c r="T1632">
        <f>IF($A1632="","",$S1632&amp;"|"&amp;$F1632)</f>
        <v/>
      </c>
      <c r="U1632">
        <f>IF($A1632="","",$R1632&amp;"("&amp;$E1632&amp;")")</f>
        <v/>
      </c>
      <c r="V1632">
        <f>IF($A1632="","",$F1632&amp;"|"&amp;$U1632&amp;"|"&amp;$D1632)</f>
        <v/>
      </c>
      <c r="W1632">
        <f>IF($T1632="","",IF($X1632&gt;N($X1631),$X1632,""))</f>
        <v/>
      </c>
      <c r="X1632">
        <f>IF($T1632="",N($X1631),IF(MATCH($T1632,$T$6:$T$6005,0)=ROW()-5,N($X1631)+1,N($X1631)))</f>
        <v/>
      </c>
      <c r="Z1632">
        <f>IF($V1632="","",IF($AA1632&gt;N($AA1631),$AA1632,""))</f>
        <v/>
      </c>
      <c r="AA1632">
        <f>IF($V1632="",N($AA1631),IF(MATCH($V1632,$V$6:$V$6005,0)=ROW()-5,N($AA1631)+1,N($AA1631)))</f>
        <v/>
      </c>
    </row>
    <row r="1633" ht="21" customHeight="1" s="66">
      <c r="A1633" s="56" t="n"/>
      <c r="B1633" s="57" t="n"/>
      <c r="C1633" s="57" t="n"/>
      <c r="D1633" s="57" t="n"/>
      <c r="E1633" s="56" t="n"/>
      <c r="F1633" s="57" t="n"/>
      <c r="G1633" s="57" t="n"/>
      <c r="H1633" s="56" t="n"/>
      <c r="I1633" s="56" t="n"/>
      <c r="J1633" s="58" t="n"/>
      <c r="K1633" s="58" t="n"/>
      <c r="L1633" s="13">
        <f>IF(OR($A1633="",AND($J1633="",$K1633="")),"",ROUND(N($J1633)-N($K1633),2))</f>
        <v/>
      </c>
      <c r="M1633" s="13">
        <f>IF(OR($A1633="",AND($J1633="",$K1633="")),"",MIN($J1633,$K1633))</f>
        <v/>
      </c>
      <c r="Q1633">
        <f>IF($A1633="","",$D1633&amp;"("&amp;SUBSTITUTE($E1633," ","")&amp;")")</f>
        <v/>
      </c>
      <c r="R1633">
        <f>IF($A1633="","",$B1633&amp;" - "&amp;$C1633)</f>
        <v/>
      </c>
      <c r="S1633">
        <f>IF($A1633="","",$R1633&amp;"|"&amp;$Q1633)</f>
        <v/>
      </c>
      <c r="T1633">
        <f>IF($A1633="","",$S1633&amp;"|"&amp;$F1633)</f>
        <v/>
      </c>
      <c r="U1633">
        <f>IF($A1633="","",$R1633&amp;"("&amp;$E1633&amp;")")</f>
        <v/>
      </c>
      <c r="V1633">
        <f>IF($A1633="","",$F1633&amp;"|"&amp;$U1633&amp;"|"&amp;$D1633)</f>
        <v/>
      </c>
      <c r="W1633">
        <f>IF($T1633="","",IF($X1633&gt;N($X1632),$X1633,""))</f>
        <v/>
      </c>
      <c r="X1633">
        <f>IF($T1633="",N($X1632),IF(MATCH($T1633,$T$6:$T$6005,0)=ROW()-5,N($X1632)+1,N($X1632)))</f>
        <v/>
      </c>
      <c r="Z1633">
        <f>IF($V1633="","",IF($AA1633&gt;N($AA1632),$AA1633,""))</f>
        <v/>
      </c>
      <c r="AA1633">
        <f>IF($V1633="",N($AA1632),IF(MATCH($V1633,$V$6:$V$6005,0)=ROW()-5,N($AA1632)+1,N($AA1632)))</f>
        <v/>
      </c>
    </row>
    <row r="1634" ht="21" customHeight="1" s="66">
      <c r="A1634" s="56" t="n"/>
      <c r="B1634" s="57" t="n"/>
      <c r="C1634" s="57" t="n"/>
      <c r="D1634" s="57" t="n"/>
      <c r="E1634" s="56" t="n"/>
      <c r="F1634" s="57" t="n"/>
      <c r="G1634" s="57" t="n"/>
      <c r="H1634" s="56" t="n"/>
      <c r="I1634" s="56" t="n"/>
      <c r="J1634" s="58" t="n"/>
      <c r="K1634" s="58" t="n"/>
      <c r="L1634" s="13">
        <f>IF(OR($A1634="",AND($J1634="",$K1634="")),"",ROUND(N($J1634)-N($K1634),2))</f>
        <v/>
      </c>
      <c r="M1634" s="13">
        <f>IF(OR($A1634="",AND($J1634="",$K1634="")),"",MIN($J1634,$K1634))</f>
        <v/>
      </c>
      <c r="Q1634">
        <f>IF($A1634="","",$D1634&amp;"("&amp;SUBSTITUTE($E1634," ","")&amp;")")</f>
        <v/>
      </c>
      <c r="R1634">
        <f>IF($A1634="","",$B1634&amp;" - "&amp;$C1634)</f>
        <v/>
      </c>
      <c r="S1634">
        <f>IF($A1634="","",$R1634&amp;"|"&amp;$Q1634)</f>
        <v/>
      </c>
      <c r="T1634">
        <f>IF($A1634="","",$S1634&amp;"|"&amp;$F1634)</f>
        <v/>
      </c>
      <c r="U1634">
        <f>IF($A1634="","",$R1634&amp;"("&amp;$E1634&amp;")")</f>
        <v/>
      </c>
      <c r="V1634">
        <f>IF($A1634="","",$F1634&amp;"|"&amp;$U1634&amp;"|"&amp;$D1634)</f>
        <v/>
      </c>
      <c r="W1634">
        <f>IF($T1634="","",IF($X1634&gt;N($X1633),$X1634,""))</f>
        <v/>
      </c>
      <c r="X1634">
        <f>IF($T1634="",N($X1633),IF(MATCH($T1634,$T$6:$T$6005,0)=ROW()-5,N($X1633)+1,N($X1633)))</f>
        <v/>
      </c>
      <c r="Z1634">
        <f>IF($V1634="","",IF($AA1634&gt;N($AA1633),$AA1634,""))</f>
        <v/>
      </c>
      <c r="AA1634">
        <f>IF($V1634="",N($AA1633),IF(MATCH($V1634,$V$6:$V$6005,0)=ROW()-5,N($AA1633)+1,N($AA1633)))</f>
        <v/>
      </c>
    </row>
    <row r="1635" ht="21" customHeight="1" s="66">
      <c r="A1635" s="56" t="n"/>
      <c r="B1635" s="57" t="n"/>
      <c r="C1635" s="57" t="n"/>
      <c r="D1635" s="57" t="n"/>
      <c r="E1635" s="56" t="n"/>
      <c r="F1635" s="57" t="n"/>
      <c r="G1635" s="57" t="n"/>
      <c r="H1635" s="56" t="n"/>
      <c r="I1635" s="56" t="n"/>
      <c r="J1635" s="58" t="n"/>
      <c r="K1635" s="58" t="n"/>
      <c r="L1635" s="13">
        <f>IF(OR($A1635="",AND($J1635="",$K1635="")),"",ROUND(N($J1635)-N($K1635),2))</f>
        <v/>
      </c>
      <c r="M1635" s="13">
        <f>IF(OR($A1635="",AND($J1635="",$K1635="")),"",MIN($J1635,$K1635))</f>
        <v/>
      </c>
      <c r="Q1635">
        <f>IF($A1635="","",$D1635&amp;"("&amp;SUBSTITUTE($E1635," ","")&amp;")")</f>
        <v/>
      </c>
      <c r="R1635">
        <f>IF($A1635="","",$B1635&amp;" - "&amp;$C1635)</f>
        <v/>
      </c>
      <c r="S1635">
        <f>IF($A1635="","",$R1635&amp;"|"&amp;$Q1635)</f>
        <v/>
      </c>
      <c r="T1635">
        <f>IF($A1635="","",$S1635&amp;"|"&amp;$F1635)</f>
        <v/>
      </c>
      <c r="U1635">
        <f>IF($A1635="","",$R1635&amp;"("&amp;$E1635&amp;")")</f>
        <v/>
      </c>
      <c r="V1635">
        <f>IF($A1635="","",$F1635&amp;"|"&amp;$U1635&amp;"|"&amp;$D1635)</f>
        <v/>
      </c>
      <c r="W1635">
        <f>IF($T1635="","",IF($X1635&gt;N($X1634),$X1635,""))</f>
        <v/>
      </c>
      <c r="X1635">
        <f>IF($T1635="",N($X1634),IF(MATCH($T1635,$T$6:$T$6005,0)=ROW()-5,N($X1634)+1,N($X1634)))</f>
        <v/>
      </c>
      <c r="Z1635">
        <f>IF($V1635="","",IF($AA1635&gt;N($AA1634),$AA1635,""))</f>
        <v/>
      </c>
      <c r="AA1635">
        <f>IF($V1635="",N($AA1634),IF(MATCH($V1635,$V$6:$V$6005,0)=ROW()-5,N($AA1634)+1,N($AA1634)))</f>
        <v/>
      </c>
    </row>
    <row r="1636" ht="21" customHeight="1" s="66">
      <c r="A1636" s="56" t="n"/>
      <c r="B1636" s="57" t="n"/>
      <c r="C1636" s="57" t="n"/>
      <c r="D1636" s="57" t="n"/>
      <c r="E1636" s="56" t="n"/>
      <c r="F1636" s="57" t="n"/>
      <c r="G1636" s="57" t="n"/>
      <c r="H1636" s="56" t="n"/>
      <c r="I1636" s="56" t="n"/>
      <c r="J1636" s="58" t="n"/>
      <c r="K1636" s="58" t="n"/>
      <c r="L1636" s="13">
        <f>IF(OR($A1636="",AND($J1636="",$K1636="")),"",ROUND(N($J1636)-N($K1636),2))</f>
        <v/>
      </c>
      <c r="M1636" s="13">
        <f>IF(OR($A1636="",AND($J1636="",$K1636="")),"",MIN($J1636,$K1636))</f>
        <v/>
      </c>
      <c r="Q1636">
        <f>IF($A1636="","",$D1636&amp;"("&amp;SUBSTITUTE($E1636," ","")&amp;")")</f>
        <v/>
      </c>
      <c r="R1636">
        <f>IF($A1636="","",$B1636&amp;" - "&amp;$C1636)</f>
        <v/>
      </c>
      <c r="S1636">
        <f>IF($A1636="","",$R1636&amp;"|"&amp;$Q1636)</f>
        <v/>
      </c>
      <c r="T1636">
        <f>IF($A1636="","",$S1636&amp;"|"&amp;$F1636)</f>
        <v/>
      </c>
      <c r="U1636">
        <f>IF($A1636="","",$R1636&amp;"("&amp;$E1636&amp;")")</f>
        <v/>
      </c>
      <c r="V1636">
        <f>IF($A1636="","",$F1636&amp;"|"&amp;$U1636&amp;"|"&amp;$D1636)</f>
        <v/>
      </c>
      <c r="W1636">
        <f>IF($T1636="","",IF($X1636&gt;N($X1635),$X1636,""))</f>
        <v/>
      </c>
      <c r="X1636">
        <f>IF($T1636="",N($X1635),IF(MATCH($T1636,$T$6:$T$6005,0)=ROW()-5,N($X1635)+1,N($X1635)))</f>
        <v/>
      </c>
      <c r="Z1636">
        <f>IF($V1636="","",IF($AA1636&gt;N($AA1635),$AA1636,""))</f>
        <v/>
      </c>
      <c r="AA1636">
        <f>IF($V1636="",N($AA1635),IF(MATCH($V1636,$V$6:$V$6005,0)=ROW()-5,N($AA1635)+1,N($AA1635)))</f>
        <v/>
      </c>
    </row>
    <row r="1637" ht="21" customHeight="1" s="66">
      <c r="A1637" s="56" t="n"/>
      <c r="B1637" s="57" t="n"/>
      <c r="C1637" s="57" t="n"/>
      <c r="D1637" s="57" t="n"/>
      <c r="E1637" s="56" t="n"/>
      <c r="F1637" s="57" t="n"/>
      <c r="G1637" s="57" t="n"/>
      <c r="H1637" s="56" t="n"/>
      <c r="I1637" s="56" t="n"/>
      <c r="J1637" s="58" t="n"/>
      <c r="K1637" s="58" t="n"/>
      <c r="L1637" s="13">
        <f>IF(OR($A1637="",AND($J1637="",$K1637="")),"",ROUND(N($J1637)-N($K1637),2))</f>
        <v/>
      </c>
      <c r="M1637" s="13">
        <f>IF(OR($A1637="",AND($J1637="",$K1637="")),"",MIN($J1637,$K1637))</f>
        <v/>
      </c>
      <c r="Q1637">
        <f>IF($A1637="","",$D1637&amp;"("&amp;SUBSTITUTE($E1637," ","")&amp;")")</f>
        <v/>
      </c>
      <c r="R1637">
        <f>IF($A1637="","",$B1637&amp;" - "&amp;$C1637)</f>
        <v/>
      </c>
      <c r="S1637">
        <f>IF($A1637="","",$R1637&amp;"|"&amp;$Q1637)</f>
        <v/>
      </c>
      <c r="T1637">
        <f>IF($A1637="","",$S1637&amp;"|"&amp;$F1637)</f>
        <v/>
      </c>
      <c r="U1637">
        <f>IF($A1637="","",$R1637&amp;"("&amp;$E1637&amp;")")</f>
        <v/>
      </c>
      <c r="V1637">
        <f>IF($A1637="","",$F1637&amp;"|"&amp;$U1637&amp;"|"&amp;$D1637)</f>
        <v/>
      </c>
      <c r="W1637">
        <f>IF($T1637="","",IF($X1637&gt;N($X1636),$X1637,""))</f>
        <v/>
      </c>
      <c r="X1637">
        <f>IF($T1637="",N($X1636),IF(MATCH($T1637,$T$6:$T$6005,0)=ROW()-5,N($X1636)+1,N($X1636)))</f>
        <v/>
      </c>
      <c r="Z1637">
        <f>IF($V1637="","",IF($AA1637&gt;N($AA1636),$AA1637,""))</f>
        <v/>
      </c>
      <c r="AA1637">
        <f>IF($V1637="",N($AA1636),IF(MATCH($V1637,$V$6:$V$6005,0)=ROW()-5,N($AA1636)+1,N($AA1636)))</f>
        <v/>
      </c>
    </row>
    <row r="1638" ht="21" customHeight="1" s="66">
      <c r="A1638" s="56" t="n"/>
      <c r="B1638" s="57" t="n"/>
      <c r="C1638" s="57" t="n"/>
      <c r="D1638" s="57" t="n"/>
      <c r="E1638" s="56" t="n"/>
      <c r="F1638" s="57" t="n"/>
      <c r="G1638" s="57" t="n"/>
      <c r="H1638" s="56" t="n"/>
      <c r="I1638" s="56" t="n"/>
      <c r="J1638" s="58" t="n"/>
      <c r="K1638" s="58" t="n"/>
      <c r="L1638" s="13">
        <f>IF(OR($A1638="",AND($J1638="",$K1638="")),"",ROUND(N($J1638)-N($K1638),2))</f>
        <v/>
      </c>
      <c r="M1638" s="13">
        <f>IF(OR($A1638="",AND($J1638="",$K1638="")),"",MIN($J1638,$K1638))</f>
        <v/>
      </c>
      <c r="Q1638">
        <f>IF($A1638="","",$D1638&amp;"("&amp;SUBSTITUTE($E1638," ","")&amp;")")</f>
        <v/>
      </c>
      <c r="R1638">
        <f>IF($A1638="","",$B1638&amp;" - "&amp;$C1638)</f>
        <v/>
      </c>
      <c r="S1638">
        <f>IF($A1638="","",$R1638&amp;"|"&amp;$Q1638)</f>
        <v/>
      </c>
      <c r="T1638">
        <f>IF($A1638="","",$S1638&amp;"|"&amp;$F1638)</f>
        <v/>
      </c>
      <c r="U1638">
        <f>IF($A1638="","",$R1638&amp;"("&amp;$E1638&amp;")")</f>
        <v/>
      </c>
      <c r="V1638">
        <f>IF($A1638="","",$F1638&amp;"|"&amp;$U1638&amp;"|"&amp;$D1638)</f>
        <v/>
      </c>
      <c r="W1638">
        <f>IF($T1638="","",IF($X1638&gt;N($X1637),$X1638,""))</f>
        <v/>
      </c>
      <c r="X1638">
        <f>IF($T1638="",N($X1637),IF(MATCH($T1638,$T$6:$T$6005,0)=ROW()-5,N($X1637)+1,N($X1637)))</f>
        <v/>
      </c>
      <c r="Z1638">
        <f>IF($V1638="","",IF($AA1638&gt;N($AA1637),$AA1638,""))</f>
        <v/>
      </c>
      <c r="AA1638">
        <f>IF($V1638="",N($AA1637),IF(MATCH($V1638,$V$6:$V$6005,0)=ROW()-5,N($AA1637)+1,N($AA1637)))</f>
        <v/>
      </c>
    </row>
    <row r="1639" ht="21" customHeight="1" s="66">
      <c r="A1639" s="56" t="n"/>
      <c r="B1639" s="57" t="n"/>
      <c r="C1639" s="57" t="n"/>
      <c r="D1639" s="57" t="n"/>
      <c r="E1639" s="56" t="n"/>
      <c r="F1639" s="57" t="n"/>
      <c r="G1639" s="57" t="n"/>
      <c r="H1639" s="56" t="n"/>
      <c r="I1639" s="56" t="n"/>
      <c r="J1639" s="58" t="n"/>
      <c r="K1639" s="58" t="n"/>
      <c r="L1639" s="13">
        <f>IF(OR($A1639="",AND($J1639="",$K1639="")),"",ROUND(N($J1639)-N($K1639),2))</f>
        <v/>
      </c>
      <c r="M1639" s="13">
        <f>IF(OR($A1639="",AND($J1639="",$K1639="")),"",MIN($J1639,$K1639))</f>
        <v/>
      </c>
      <c r="Q1639">
        <f>IF($A1639="","",$D1639&amp;"("&amp;SUBSTITUTE($E1639," ","")&amp;")")</f>
        <v/>
      </c>
      <c r="R1639">
        <f>IF($A1639="","",$B1639&amp;" - "&amp;$C1639)</f>
        <v/>
      </c>
      <c r="S1639">
        <f>IF($A1639="","",$R1639&amp;"|"&amp;$Q1639)</f>
        <v/>
      </c>
      <c r="T1639">
        <f>IF($A1639="","",$S1639&amp;"|"&amp;$F1639)</f>
        <v/>
      </c>
      <c r="U1639">
        <f>IF($A1639="","",$R1639&amp;"("&amp;$E1639&amp;")")</f>
        <v/>
      </c>
      <c r="V1639">
        <f>IF($A1639="","",$F1639&amp;"|"&amp;$U1639&amp;"|"&amp;$D1639)</f>
        <v/>
      </c>
      <c r="W1639">
        <f>IF($T1639="","",IF($X1639&gt;N($X1638),$X1639,""))</f>
        <v/>
      </c>
      <c r="X1639">
        <f>IF($T1639="",N($X1638),IF(MATCH($T1639,$T$6:$T$6005,0)=ROW()-5,N($X1638)+1,N($X1638)))</f>
        <v/>
      </c>
      <c r="Z1639">
        <f>IF($V1639="","",IF($AA1639&gt;N($AA1638),$AA1639,""))</f>
        <v/>
      </c>
      <c r="AA1639">
        <f>IF($V1639="",N($AA1638),IF(MATCH($V1639,$V$6:$V$6005,0)=ROW()-5,N($AA1638)+1,N($AA1638)))</f>
        <v/>
      </c>
    </row>
    <row r="1640" ht="21" customHeight="1" s="66">
      <c r="A1640" s="56" t="n"/>
      <c r="B1640" s="57" t="n"/>
      <c r="C1640" s="57" t="n"/>
      <c r="D1640" s="57" t="n"/>
      <c r="E1640" s="56" t="n"/>
      <c r="F1640" s="57" t="n"/>
      <c r="G1640" s="57" t="n"/>
      <c r="H1640" s="56" t="n"/>
      <c r="I1640" s="56" t="n"/>
      <c r="J1640" s="58" t="n"/>
      <c r="K1640" s="58" t="n"/>
      <c r="L1640" s="13">
        <f>IF(OR($A1640="",AND($J1640="",$K1640="")),"",ROUND(N($J1640)-N($K1640),2))</f>
        <v/>
      </c>
      <c r="M1640" s="13">
        <f>IF(OR($A1640="",AND($J1640="",$K1640="")),"",MIN($J1640,$K1640))</f>
        <v/>
      </c>
      <c r="Q1640">
        <f>IF($A1640="","",$D1640&amp;"("&amp;SUBSTITUTE($E1640," ","")&amp;")")</f>
        <v/>
      </c>
      <c r="R1640">
        <f>IF($A1640="","",$B1640&amp;" - "&amp;$C1640)</f>
        <v/>
      </c>
      <c r="S1640">
        <f>IF($A1640="","",$R1640&amp;"|"&amp;$Q1640)</f>
        <v/>
      </c>
      <c r="T1640">
        <f>IF($A1640="","",$S1640&amp;"|"&amp;$F1640)</f>
        <v/>
      </c>
      <c r="U1640">
        <f>IF($A1640="","",$R1640&amp;"("&amp;$E1640&amp;")")</f>
        <v/>
      </c>
      <c r="V1640">
        <f>IF($A1640="","",$F1640&amp;"|"&amp;$U1640&amp;"|"&amp;$D1640)</f>
        <v/>
      </c>
      <c r="W1640">
        <f>IF($T1640="","",IF($X1640&gt;N($X1639),$X1640,""))</f>
        <v/>
      </c>
      <c r="X1640">
        <f>IF($T1640="",N($X1639),IF(MATCH($T1640,$T$6:$T$6005,0)=ROW()-5,N($X1639)+1,N($X1639)))</f>
        <v/>
      </c>
      <c r="Z1640">
        <f>IF($V1640="","",IF($AA1640&gt;N($AA1639),$AA1640,""))</f>
        <v/>
      </c>
      <c r="AA1640">
        <f>IF($V1640="",N($AA1639),IF(MATCH($V1640,$V$6:$V$6005,0)=ROW()-5,N($AA1639)+1,N($AA1639)))</f>
        <v/>
      </c>
    </row>
    <row r="1641" ht="21" customHeight="1" s="66">
      <c r="A1641" s="56" t="n"/>
      <c r="B1641" s="57" t="n"/>
      <c r="C1641" s="57" t="n"/>
      <c r="D1641" s="57" t="n"/>
      <c r="E1641" s="56" t="n"/>
      <c r="F1641" s="57" t="n"/>
      <c r="G1641" s="57" t="n"/>
      <c r="H1641" s="56" t="n"/>
      <c r="I1641" s="56" t="n"/>
      <c r="J1641" s="58" t="n"/>
      <c r="K1641" s="58" t="n"/>
      <c r="L1641" s="13">
        <f>IF(OR($A1641="",AND($J1641="",$K1641="")),"",ROUND(N($J1641)-N($K1641),2))</f>
        <v/>
      </c>
      <c r="M1641" s="13">
        <f>IF(OR($A1641="",AND($J1641="",$K1641="")),"",MIN($J1641,$K1641))</f>
        <v/>
      </c>
      <c r="Q1641">
        <f>IF($A1641="","",$D1641&amp;"("&amp;SUBSTITUTE($E1641," ","")&amp;")")</f>
        <v/>
      </c>
      <c r="R1641">
        <f>IF($A1641="","",$B1641&amp;" - "&amp;$C1641)</f>
        <v/>
      </c>
      <c r="S1641">
        <f>IF($A1641="","",$R1641&amp;"|"&amp;$Q1641)</f>
        <v/>
      </c>
      <c r="T1641">
        <f>IF($A1641="","",$S1641&amp;"|"&amp;$F1641)</f>
        <v/>
      </c>
      <c r="U1641">
        <f>IF($A1641="","",$R1641&amp;"("&amp;$E1641&amp;")")</f>
        <v/>
      </c>
      <c r="V1641">
        <f>IF($A1641="","",$F1641&amp;"|"&amp;$U1641&amp;"|"&amp;$D1641)</f>
        <v/>
      </c>
      <c r="W1641">
        <f>IF($T1641="","",IF($X1641&gt;N($X1640),$X1641,""))</f>
        <v/>
      </c>
      <c r="X1641">
        <f>IF($T1641="",N($X1640),IF(MATCH($T1641,$T$6:$T$6005,0)=ROW()-5,N($X1640)+1,N($X1640)))</f>
        <v/>
      </c>
      <c r="Z1641">
        <f>IF($V1641="","",IF($AA1641&gt;N($AA1640),$AA1641,""))</f>
        <v/>
      </c>
      <c r="AA1641">
        <f>IF($V1641="",N($AA1640),IF(MATCH($V1641,$V$6:$V$6005,0)=ROW()-5,N($AA1640)+1,N($AA1640)))</f>
        <v/>
      </c>
    </row>
    <row r="1642" ht="21" customHeight="1" s="66">
      <c r="A1642" s="56" t="n"/>
      <c r="B1642" s="57" t="n"/>
      <c r="C1642" s="57" t="n"/>
      <c r="D1642" s="57" t="n"/>
      <c r="E1642" s="56" t="n"/>
      <c r="F1642" s="57" t="n"/>
      <c r="G1642" s="57" t="n"/>
      <c r="H1642" s="56" t="n"/>
      <c r="I1642" s="56" t="n"/>
      <c r="J1642" s="58" t="n"/>
      <c r="K1642" s="58" t="n"/>
      <c r="L1642" s="13">
        <f>IF(OR($A1642="",AND($J1642="",$K1642="")),"",ROUND(N($J1642)-N($K1642),2))</f>
        <v/>
      </c>
      <c r="M1642" s="13">
        <f>IF(OR($A1642="",AND($J1642="",$K1642="")),"",MIN($J1642,$K1642))</f>
        <v/>
      </c>
      <c r="Q1642">
        <f>IF($A1642="","",$D1642&amp;"("&amp;SUBSTITUTE($E1642," ","")&amp;")")</f>
        <v/>
      </c>
      <c r="R1642">
        <f>IF($A1642="","",$B1642&amp;" - "&amp;$C1642)</f>
        <v/>
      </c>
      <c r="S1642">
        <f>IF($A1642="","",$R1642&amp;"|"&amp;$Q1642)</f>
        <v/>
      </c>
      <c r="T1642">
        <f>IF($A1642="","",$S1642&amp;"|"&amp;$F1642)</f>
        <v/>
      </c>
      <c r="U1642">
        <f>IF($A1642="","",$R1642&amp;"("&amp;$E1642&amp;")")</f>
        <v/>
      </c>
      <c r="V1642">
        <f>IF($A1642="","",$F1642&amp;"|"&amp;$U1642&amp;"|"&amp;$D1642)</f>
        <v/>
      </c>
      <c r="W1642">
        <f>IF($T1642="","",IF($X1642&gt;N($X1641),$X1642,""))</f>
        <v/>
      </c>
      <c r="X1642">
        <f>IF($T1642="",N($X1641),IF(MATCH($T1642,$T$6:$T$6005,0)=ROW()-5,N($X1641)+1,N($X1641)))</f>
        <v/>
      </c>
      <c r="Z1642">
        <f>IF($V1642="","",IF($AA1642&gt;N($AA1641),$AA1642,""))</f>
        <v/>
      </c>
      <c r="AA1642">
        <f>IF($V1642="",N($AA1641),IF(MATCH($V1642,$V$6:$V$6005,0)=ROW()-5,N($AA1641)+1,N($AA1641)))</f>
        <v/>
      </c>
    </row>
    <row r="1643" ht="21" customHeight="1" s="66">
      <c r="A1643" s="56" t="n"/>
      <c r="B1643" s="57" t="n"/>
      <c r="C1643" s="57" t="n"/>
      <c r="D1643" s="57" t="n"/>
      <c r="E1643" s="56" t="n"/>
      <c r="F1643" s="57" t="n"/>
      <c r="G1643" s="57" t="n"/>
      <c r="H1643" s="56" t="n"/>
      <c r="I1643" s="56" t="n"/>
      <c r="J1643" s="58" t="n"/>
      <c r="K1643" s="58" t="n"/>
      <c r="L1643" s="13">
        <f>IF(OR($A1643="",AND($J1643="",$K1643="")),"",ROUND(N($J1643)-N($K1643),2))</f>
        <v/>
      </c>
      <c r="M1643" s="13">
        <f>IF(OR($A1643="",AND($J1643="",$K1643="")),"",MIN($J1643,$K1643))</f>
        <v/>
      </c>
      <c r="Q1643">
        <f>IF($A1643="","",$D1643&amp;"("&amp;SUBSTITUTE($E1643," ","")&amp;")")</f>
        <v/>
      </c>
      <c r="R1643">
        <f>IF($A1643="","",$B1643&amp;" - "&amp;$C1643)</f>
        <v/>
      </c>
      <c r="S1643">
        <f>IF($A1643="","",$R1643&amp;"|"&amp;$Q1643)</f>
        <v/>
      </c>
      <c r="T1643">
        <f>IF($A1643="","",$S1643&amp;"|"&amp;$F1643)</f>
        <v/>
      </c>
      <c r="U1643">
        <f>IF($A1643="","",$R1643&amp;"("&amp;$E1643&amp;")")</f>
        <v/>
      </c>
      <c r="V1643">
        <f>IF($A1643="","",$F1643&amp;"|"&amp;$U1643&amp;"|"&amp;$D1643)</f>
        <v/>
      </c>
      <c r="W1643">
        <f>IF($T1643="","",IF($X1643&gt;N($X1642),$X1643,""))</f>
        <v/>
      </c>
      <c r="X1643">
        <f>IF($T1643="",N($X1642),IF(MATCH($T1643,$T$6:$T$6005,0)=ROW()-5,N($X1642)+1,N($X1642)))</f>
        <v/>
      </c>
      <c r="Z1643">
        <f>IF($V1643="","",IF($AA1643&gt;N($AA1642),$AA1643,""))</f>
        <v/>
      </c>
      <c r="AA1643">
        <f>IF($V1643="",N($AA1642),IF(MATCH($V1643,$V$6:$V$6005,0)=ROW()-5,N($AA1642)+1,N($AA1642)))</f>
        <v/>
      </c>
    </row>
    <row r="1644" ht="21" customHeight="1" s="66">
      <c r="A1644" s="56" t="n"/>
      <c r="B1644" s="57" t="n"/>
      <c r="C1644" s="57" t="n"/>
      <c r="D1644" s="57" t="n"/>
      <c r="E1644" s="56" t="n"/>
      <c r="F1644" s="57" t="n"/>
      <c r="G1644" s="57" t="n"/>
      <c r="H1644" s="56" t="n"/>
      <c r="I1644" s="56" t="n"/>
      <c r="J1644" s="58" t="n"/>
      <c r="K1644" s="58" t="n"/>
      <c r="L1644" s="13">
        <f>IF(OR($A1644="",AND($J1644="",$K1644="")),"",ROUND(N($J1644)-N($K1644),2))</f>
        <v/>
      </c>
      <c r="M1644" s="13">
        <f>IF(OR($A1644="",AND($J1644="",$K1644="")),"",MIN($J1644,$K1644))</f>
        <v/>
      </c>
      <c r="Q1644">
        <f>IF($A1644="","",$D1644&amp;"("&amp;SUBSTITUTE($E1644," ","")&amp;")")</f>
        <v/>
      </c>
      <c r="R1644">
        <f>IF($A1644="","",$B1644&amp;" - "&amp;$C1644)</f>
        <v/>
      </c>
      <c r="S1644">
        <f>IF($A1644="","",$R1644&amp;"|"&amp;$Q1644)</f>
        <v/>
      </c>
      <c r="T1644">
        <f>IF($A1644="","",$S1644&amp;"|"&amp;$F1644)</f>
        <v/>
      </c>
      <c r="U1644">
        <f>IF($A1644="","",$R1644&amp;"("&amp;$E1644&amp;")")</f>
        <v/>
      </c>
      <c r="V1644">
        <f>IF($A1644="","",$F1644&amp;"|"&amp;$U1644&amp;"|"&amp;$D1644)</f>
        <v/>
      </c>
      <c r="W1644">
        <f>IF($T1644="","",IF($X1644&gt;N($X1643),$X1644,""))</f>
        <v/>
      </c>
      <c r="X1644">
        <f>IF($T1644="",N($X1643),IF(MATCH($T1644,$T$6:$T$6005,0)=ROW()-5,N($X1643)+1,N($X1643)))</f>
        <v/>
      </c>
      <c r="Z1644">
        <f>IF($V1644="","",IF($AA1644&gt;N($AA1643),$AA1644,""))</f>
        <v/>
      </c>
      <c r="AA1644">
        <f>IF($V1644="",N($AA1643),IF(MATCH($V1644,$V$6:$V$6005,0)=ROW()-5,N($AA1643)+1,N($AA1643)))</f>
        <v/>
      </c>
    </row>
    <row r="1645" ht="21" customHeight="1" s="66">
      <c r="A1645" s="56" t="n"/>
      <c r="B1645" s="57" t="n"/>
      <c r="C1645" s="57" t="n"/>
      <c r="D1645" s="57" t="n"/>
      <c r="E1645" s="56" t="n"/>
      <c r="F1645" s="57" t="n"/>
      <c r="G1645" s="57" t="n"/>
      <c r="H1645" s="56" t="n"/>
      <c r="I1645" s="56" t="n"/>
      <c r="J1645" s="58" t="n"/>
      <c r="K1645" s="58" t="n"/>
      <c r="L1645" s="13">
        <f>IF(OR($A1645="",AND($J1645="",$K1645="")),"",ROUND(N($J1645)-N($K1645),2))</f>
        <v/>
      </c>
      <c r="M1645" s="13">
        <f>IF(OR($A1645="",AND($J1645="",$K1645="")),"",MIN($J1645,$K1645))</f>
        <v/>
      </c>
      <c r="Q1645">
        <f>IF($A1645="","",$D1645&amp;"("&amp;SUBSTITUTE($E1645," ","")&amp;")")</f>
        <v/>
      </c>
      <c r="R1645">
        <f>IF($A1645="","",$B1645&amp;" - "&amp;$C1645)</f>
        <v/>
      </c>
      <c r="S1645">
        <f>IF($A1645="","",$R1645&amp;"|"&amp;$Q1645)</f>
        <v/>
      </c>
      <c r="T1645">
        <f>IF($A1645="","",$S1645&amp;"|"&amp;$F1645)</f>
        <v/>
      </c>
      <c r="U1645">
        <f>IF($A1645="","",$R1645&amp;"("&amp;$E1645&amp;")")</f>
        <v/>
      </c>
      <c r="V1645">
        <f>IF($A1645="","",$F1645&amp;"|"&amp;$U1645&amp;"|"&amp;$D1645)</f>
        <v/>
      </c>
      <c r="W1645">
        <f>IF($T1645="","",IF($X1645&gt;N($X1644),$X1645,""))</f>
        <v/>
      </c>
      <c r="X1645">
        <f>IF($T1645="",N($X1644),IF(MATCH($T1645,$T$6:$T$6005,0)=ROW()-5,N($X1644)+1,N($X1644)))</f>
        <v/>
      </c>
      <c r="Z1645">
        <f>IF($V1645="","",IF($AA1645&gt;N($AA1644),$AA1645,""))</f>
        <v/>
      </c>
      <c r="AA1645">
        <f>IF($V1645="",N($AA1644),IF(MATCH($V1645,$V$6:$V$6005,0)=ROW()-5,N($AA1644)+1,N($AA1644)))</f>
        <v/>
      </c>
    </row>
    <row r="1646" ht="21" customHeight="1" s="66">
      <c r="A1646" s="56" t="n"/>
      <c r="B1646" s="57" t="n"/>
      <c r="C1646" s="57" t="n"/>
      <c r="D1646" s="57" t="n"/>
      <c r="E1646" s="56" t="n"/>
      <c r="F1646" s="57" t="n"/>
      <c r="G1646" s="57" t="n"/>
      <c r="H1646" s="56" t="n"/>
      <c r="I1646" s="56" t="n"/>
      <c r="J1646" s="58" t="n"/>
      <c r="K1646" s="58" t="n"/>
      <c r="L1646" s="13">
        <f>IF(OR($A1646="",AND($J1646="",$K1646="")),"",ROUND(N($J1646)-N($K1646),2))</f>
        <v/>
      </c>
      <c r="M1646" s="13">
        <f>IF(OR($A1646="",AND($J1646="",$K1646="")),"",MIN($J1646,$K1646))</f>
        <v/>
      </c>
      <c r="Q1646">
        <f>IF($A1646="","",$D1646&amp;"("&amp;SUBSTITUTE($E1646," ","")&amp;")")</f>
        <v/>
      </c>
      <c r="R1646">
        <f>IF($A1646="","",$B1646&amp;" - "&amp;$C1646)</f>
        <v/>
      </c>
      <c r="S1646">
        <f>IF($A1646="","",$R1646&amp;"|"&amp;$Q1646)</f>
        <v/>
      </c>
      <c r="T1646">
        <f>IF($A1646="","",$S1646&amp;"|"&amp;$F1646)</f>
        <v/>
      </c>
      <c r="U1646">
        <f>IF($A1646="","",$R1646&amp;"("&amp;$E1646&amp;")")</f>
        <v/>
      </c>
      <c r="V1646">
        <f>IF($A1646="","",$F1646&amp;"|"&amp;$U1646&amp;"|"&amp;$D1646)</f>
        <v/>
      </c>
      <c r="W1646">
        <f>IF($T1646="","",IF($X1646&gt;N($X1645),$X1646,""))</f>
        <v/>
      </c>
      <c r="X1646">
        <f>IF($T1646="",N($X1645),IF(MATCH($T1646,$T$6:$T$6005,0)=ROW()-5,N($X1645)+1,N($X1645)))</f>
        <v/>
      </c>
      <c r="Z1646">
        <f>IF($V1646="","",IF($AA1646&gt;N($AA1645),$AA1646,""))</f>
        <v/>
      </c>
      <c r="AA1646">
        <f>IF($V1646="",N($AA1645),IF(MATCH($V1646,$V$6:$V$6005,0)=ROW()-5,N($AA1645)+1,N($AA1645)))</f>
        <v/>
      </c>
    </row>
    <row r="1647" ht="21" customHeight="1" s="66">
      <c r="A1647" s="56" t="n"/>
      <c r="B1647" s="57" t="n"/>
      <c r="C1647" s="57" t="n"/>
      <c r="D1647" s="57" t="n"/>
      <c r="E1647" s="56" t="n"/>
      <c r="F1647" s="57" t="n"/>
      <c r="G1647" s="57" t="n"/>
      <c r="H1647" s="56" t="n"/>
      <c r="I1647" s="56" t="n"/>
      <c r="J1647" s="58" t="n"/>
      <c r="K1647" s="58" t="n"/>
      <c r="L1647" s="13">
        <f>IF(OR($A1647="",AND($J1647="",$K1647="")),"",ROUND(N($J1647)-N($K1647),2))</f>
        <v/>
      </c>
      <c r="M1647" s="13">
        <f>IF(OR($A1647="",AND($J1647="",$K1647="")),"",MIN($J1647,$K1647))</f>
        <v/>
      </c>
      <c r="Q1647">
        <f>IF($A1647="","",$D1647&amp;"("&amp;SUBSTITUTE($E1647," ","")&amp;")")</f>
        <v/>
      </c>
      <c r="R1647">
        <f>IF($A1647="","",$B1647&amp;" - "&amp;$C1647)</f>
        <v/>
      </c>
      <c r="S1647">
        <f>IF($A1647="","",$R1647&amp;"|"&amp;$Q1647)</f>
        <v/>
      </c>
      <c r="T1647">
        <f>IF($A1647="","",$S1647&amp;"|"&amp;$F1647)</f>
        <v/>
      </c>
      <c r="U1647">
        <f>IF($A1647="","",$R1647&amp;"("&amp;$E1647&amp;")")</f>
        <v/>
      </c>
      <c r="V1647">
        <f>IF($A1647="","",$F1647&amp;"|"&amp;$U1647&amp;"|"&amp;$D1647)</f>
        <v/>
      </c>
      <c r="W1647">
        <f>IF($T1647="","",IF($X1647&gt;N($X1646),$X1647,""))</f>
        <v/>
      </c>
      <c r="X1647">
        <f>IF($T1647="",N($X1646),IF(MATCH($T1647,$T$6:$T$6005,0)=ROW()-5,N($X1646)+1,N($X1646)))</f>
        <v/>
      </c>
      <c r="Z1647">
        <f>IF($V1647="","",IF($AA1647&gt;N($AA1646),$AA1647,""))</f>
        <v/>
      </c>
      <c r="AA1647">
        <f>IF($V1647="",N($AA1646),IF(MATCH($V1647,$V$6:$V$6005,0)=ROW()-5,N($AA1646)+1,N($AA1646)))</f>
        <v/>
      </c>
    </row>
    <row r="1648" ht="21" customHeight="1" s="66">
      <c r="A1648" s="56" t="n"/>
      <c r="B1648" s="57" t="n"/>
      <c r="C1648" s="57" t="n"/>
      <c r="D1648" s="57" t="n"/>
      <c r="E1648" s="56" t="n"/>
      <c r="F1648" s="57" t="n"/>
      <c r="G1648" s="57" t="n"/>
      <c r="H1648" s="56" t="n"/>
      <c r="I1648" s="56" t="n"/>
      <c r="J1648" s="58" t="n"/>
      <c r="K1648" s="58" t="n"/>
      <c r="L1648" s="13">
        <f>IF(OR($A1648="",AND($J1648="",$K1648="")),"",ROUND(N($J1648)-N($K1648),2))</f>
        <v/>
      </c>
      <c r="M1648" s="13">
        <f>IF(OR($A1648="",AND($J1648="",$K1648="")),"",MIN($J1648,$K1648))</f>
        <v/>
      </c>
      <c r="Q1648">
        <f>IF($A1648="","",$D1648&amp;"("&amp;SUBSTITUTE($E1648," ","")&amp;")")</f>
        <v/>
      </c>
      <c r="R1648">
        <f>IF($A1648="","",$B1648&amp;" - "&amp;$C1648)</f>
        <v/>
      </c>
      <c r="S1648">
        <f>IF($A1648="","",$R1648&amp;"|"&amp;$Q1648)</f>
        <v/>
      </c>
      <c r="T1648">
        <f>IF($A1648="","",$S1648&amp;"|"&amp;$F1648)</f>
        <v/>
      </c>
      <c r="U1648">
        <f>IF($A1648="","",$R1648&amp;"("&amp;$E1648&amp;")")</f>
        <v/>
      </c>
      <c r="V1648">
        <f>IF($A1648="","",$F1648&amp;"|"&amp;$U1648&amp;"|"&amp;$D1648)</f>
        <v/>
      </c>
      <c r="W1648">
        <f>IF($T1648="","",IF($X1648&gt;N($X1647),$X1648,""))</f>
        <v/>
      </c>
      <c r="X1648">
        <f>IF($T1648="",N($X1647),IF(MATCH($T1648,$T$6:$T$6005,0)=ROW()-5,N($X1647)+1,N($X1647)))</f>
        <v/>
      </c>
      <c r="Z1648">
        <f>IF($V1648="","",IF($AA1648&gt;N($AA1647),$AA1648,""))</f>
        <v/>
      </c>
      <c r="AA1648">
        <f>IF($V1648="",N($AA1647),IF(MATCH($V1648,$V$6:$V$6005,0)=ROW()-5,N($AA1647)+1,N($AA1647)))</f>
        <v/>
      </c>
    </row>
    <row r="1649" ht="21" customHeight="1" s="66">
      <c r="A1649" s="56" t="n"/>
      <c r="B1649" s="57" t="n"/>
      <c r="C1649" s="57" t="n"/>
      <c r="D1649" s="57" t="n"/>
      <c r="E1649" s="56" t="n"/>
      <c r="F1649" s="57" t="n"/>
      <c r="G1649" s="57" t="n"/>
      <c r="H1649" s="56" t="n"/>
      <c r="I1649" s="56" t="n"/>
      <c r="J1649" s="58" t="n"/>
      <c r="K1649" s="58" t="n"/>
      <c r="L1649" s="13">
        <f>IF(OR($A1649="",AND($J1649="",$K1649="")),"",ROUND(N($J1649)-N($K1649),2))</f>
        <v/>
      </c>
      <c r="M1649" s="13">
        <f>IF(OR($A1649="",AND($J1649="",$K1649="")),"",MIN($J1649,$K1649))</f>
        <v/>
      </c>
      <c r="Q1649">
        <f>IF($A1649="","",$D1649&amp;"("&amp;SUBSTITUTE($E1649," ","")&amp;")")</f>
        <v/>
      </c>
      <c r="R1649">
        <f>IF($A1649="","",$B1649&amp;" - "&amp;$C1649)</f>
        <v/>
      </c>
      <c r="S1649">
        <f>IF($A1649="","",$R1649&amp;"|"&amp;$Q1649)</f>
        <v/>
      </c>
      <c r="T1649">
        <f>IF($A1649="","",$S1649&amp;"|"&amp;$F1649)</f>
        <v/>
      </c>
      <c r="U1649">
        <f>IF($A1649="","",$R1649&amp;"("&amp;$E1649&amp;")")</f>
        <v/>
      </c>
      <c r="V1649">
        <f>IF($A1649="","",$F1649&amp;"|"&amp;$U1649&amp;"|"&amp;$D1649)</f>
        <v/>
      </c>
      <c r="W1649">
        <f>IF($T1649="","",IF($X1649&gt;N($X1648),$X1649,""))</f>
        <v/>
      </c>
      <c r="X1649">
        <f>IF($T1649="",N($X1648),IF(MATCH($T1649,$T$6:$T$6005,0)=ROW()-5,N($X1648)+1,N($X1648)))</f>
        <v/>
      </c>
      <c r="Z1649">
        <f>IF($V1649="","",IF($AA1649&gt;N($AA1648),$AA1649,""))</f>
        <v/>
      </c>
      <c r="AA1649">
        <f>IF($V1649="",N($AA1648),IF(MATCH($V1649,$V$6:$V$6005,0)=ROW()-5,N($AA1648)+1,N($AA1648)))</f>
        <v/>
      </c>
    </row>
    <row r="1650" ht="21" customHeight="1" s="66">
      <c r="A1650" s="56" t="n"/>
      <c r="B1650" s="57" t="n"/>
      <c r="C1650" s="57" t="n"/>
      <c r="D1650" s="57" t="n"/>
      <c r="E1650" s="56" t="n"/>
      <c r="F1650" s="57" t="n"/>
      <c r="G1650" s="57" t="n"/>
      <c r="H1650" s="56" t="n"/>
      <c r="I1650" s="56" t="n"/>
      <c r="J1650" s="58" t="n"/>
      <c r="K1650" s="58" t="n"/>
      <c r="L1650" s="13">
        <f>IF(OR($A1650="",AND($J1650="",$K1650="")),"",ROUND(N($J1650)-N($K1650),2))</f>
        <v/>
      </c>
      <c r="M1650" s="13">
        <f>IF(OR($A1650="",AND($J1650="",$K1650="")),"",MIN($J1650,$K1650))</f>
        <v/>
      </c>
      <c r="Q1650">
        <f>IF($A1650="","",$D1650&amp;"("&amp;SUBSTITUTE($E1650," ","")&amp;")")</f>
        <v/>
      </c>
      <c r="R1650">
        <f>IF($A1650="","",$B1650&amp;" - "&amp;$C1650)</f>
        <v/>
      </c>
      <c r="S1650">
        <f>IF($A1650="","",$R1650&amp;"|"&amp;$Q1650)</f>
        <v/>
      </c>
      <c r="T1650">
        <f>IF($A1650="","",$S1650&amp;"|"&amp;$F1650)</f>
        <v/>
      </c>
      <c r="U1650">
        <f>IF($A1650="","",$R1650&amp;"("&amp;$E1650&amp;")")</f>
        <v/>
      </c>
      <c r="V1650">
        <f>IF($A1650="","",$F1650&amp;"|"&amp;$U1650&amp;"|"&amp;$D1650)</f>
        <v/>
      </c>
      <c r="W1650">
        <f>IF($T1650="","",IF($X1650&gt;N($X1649),$X1650,""))</f>
        <v/>
      </c>
      <c r="X1650">
        <f>IF($T1650="",N($X1649),IF(MATCH($T1650,$T$6:$T$6005,0)=ROW()-5,N($X1649)+1,N($X1649)))</f>
        <v/>
      </c>
      <c r="Z1650">
        <f>IF($V1650="","",IF($AA1650&gt;N($AA1649),$AA1650,""))</f>
        <v/>
      </c>
      <c r="AA1650">
        <f>IF($V1650="",N($AA1649),IF(MATCH($V1650,$V$6:$V$6005,0)=ROW()-5,N($AA1649)+1,N($AA1649)))</f>
        <v/>
      </c>
    </row>
    <row r="1651" ht="21" customHeight="1" s="66">
      <c r="A1651" s="56" t="n"/>
      <c r="B1651" s="57" t="n"/>
      <c r="C1651" s="57" t="n"/>
      <c r="D1651" s="57" t="n"/>
      <c r="E1651" s="56" t="n"/>
      <c r="F1651" s="57" t="n"/>
      <c r="G1651" s="57" t="n"/>
      <c r="H1651" s="56" t="n"/>
      <c r="I1651" s="56" t="n"/>
      <c r="J1651" s="58" t="n"/>
      <c r="K1651" s="58" t="n"/>
      <c r="L1651" s="13">
        <f>IF(OR($A1651="",AND($J1651="",$K1651="")),"",ROUND(N($J1651)-N($K1651),2))</f>
        <v/>
      </c>
      <c r="M1651" s="13">
        <f>IF(OR($A1651="",AND($J1651="",$K1651="")),"",MIN($J1651,$K1651))</f>
        <v/>
      </c>
      <c r="Q1651">
        <f>IF($A1651="","",$D1651&amp;"("&amp;SUBSTITUTE($E1651," ","")&amp;")")</f>
        <v/>
      </c>
      <c r="R1651">
        <f>IF($A1651="","",$B1651&amp;" - "&amp;$C1651)</f>
        <v/>
      </c>
      <c r="S1651">
        <f>IF($A1651="","",$R1651&amp;"|"&amp;$Q1651)</f>
        <v/>
      </c>
      <c r="T1651">
        <f>IF($A1651="","",$S1651&amp;"|"&amp;$F1651)</f>
        <v/>
      </c>
      <c r="U1651">
        <f>IF($A1651="","",$R1651&amp;"("&amp;$E1651&amp;")")</f>
        <v/>
      </c>
      <c r="V1651">
        <f>IF($A1651="","",$F1651&amp;"|"&amp;$U1651&amp;"|"&amp;$D1651)</f>
        <v/>
      </c>
      <c r="W1651">
        <f>IF($T1651="","",IF($X1651&gt;N($X1650),$X1651,""))</f>
        <v/>
      </c>
      <c r="X1651">
        <f>IF($T1651="",N($X1650),IF(MATCH($T1651,$T$6:$T$6005,0)=ROW()-5,N($X1650)+1,N($X1650)))</f>
        <v/>
      </c>
      <c r="Z1651">
        <f>IF($V1651="","",IF($AA1651&gt;N($AA1650),$AA1651,""))</f>
        <v/>
      </c>
      <c r="AA1651">
        <f>IF($V1651="",N($AA1650),IF(MATCH($V1651,$V$6:$V$6005,0)=ROW()-5,N($AA1650)+1,N($AA1650)))</f>
        <v/>
      </c>
    </row>
    <row r="1652" ht="21" customHeight="1" s="66">
      <c r="A1652" s="56" t="n"/>
      <c r="B1652" s="57" t="n"/>
      <c r="C1652" s="57" t="n"/>
      <c r="D1652" s="57" t="n"/>
      <c r="E1652" s="56" t="n"/>
      <c r="F1652" s="57" t="n"/>
      <c r="G1652" s="57" t="n"/>
      <c r="H1652" s="56" t="n"/>
      <c r="I1652" s="56" t="n"/>
      <c r="J1652" s="58" t="n"/>
      <c r="K1652" s="58" t="n"/>
      <c r="L1652" s="13">
        <f>IF(OR($A1652="",AND($J1652="",$K1652="")),"",ROUND(N($J1652)-N($K1652),2))</f>
        <v/>
      </c>
      <c r="M1652" s="13">
        <f>IF(OR($A1652="",AND($J1652="",$K1652="")),"",MIN($J1652,$K1652))</f>
        <v/>
      </c>
      <c r="Q1652">
        <f>IF($A1652="","",$D1652&amp;"("&amp;SUBSTITUTE($E1652," ","")&amp;")")</f>
        <v/>
      </c>
      <c r="R1652">
        <f>IF($A1652="","",$B1652&amp;" - "&amp;$C1652)</f>
        <v/>
      </c>
      <c r="S1652">
        <f>IF($A1652="","",$R1652&amp;"|"&amp;$Q1652)</f>
        <v/>
      </c>
      <c r="T1652">
        <f>IF($A1652="","",$S1652&amp;"|"&amp;$F1652)</f>
        <v/>
      </c>
      <c r="U1652">
        <f>IF($A1652="","",$R1652&amp;"("&amp;$E1652&amp;")")</f>
        <v/>
      </c>
      <c r="V1652">
        <f>IF($A1652="","",$F1652&amp;"|"&amp;$U1652&amp;"|"&amp;$D1652)</f>
        <v/>
      </c>
      <c r="W1652">
        <f>IF($T1652="","",IF($X1652&gt;N($X1651),$X1652,""))</f>
        <v/>
      </c>
      <c r="X1652">
        <f>IF($T1652="",N($X1651),IF(MATCH($T1652,$T$6:$T$6005,0)=ROW()-5,N($X1651)+1,N($X1651)))</f>
        <v/>
      </c>
      <c r="Z1652">
        <f>IF($V1652="","",IF($AA1652&gt;N($AA1651),$AA1652,""))</f>
        <v/>
      </c>
      <c r="AA1652">
        <f>IF($V1652="",N($AA1651),IF(MATCH($V1652,$V$6:$V$6005,0)=ROW()-5,N($AA1651)+1,N($AA1651)))</f>
        <v/>
      </c>
    </row>
    <row r="1653" ht="21" customHeight="1" s="66">
      <c r="A1653" s="56" t="n"/>
      <c r="B1653" s="57" t="n"/>
      <c r="C1653" s="57" t="n"/>
      <c r="D1653" s="57" t="n"/>
      <c r="E1653" s="56" t="n"/>
      <c r="F1653" s="57" t="n"/>
      <c r="G1653" s="57" t="n"/>
      <c r="H1653" s="56" t="n"/>
      <c r="I1653" s="56" t="n"/>
      <c r="J1653" s="58" t="n"/>
      <c r="K1653" s="58" t="n"/>
      <c r="L1653" s="13">
        <f>IF(OR($A1653="",AND($J1653="",$K1653="")),"",ROUND(N($J1653)-N($K1653),2))</f>
        <v/>
      </c>
      <c r="M1653" s="13">
        <f>IF(OR($A1653="",AND($J1653="",$K1653="")),"",MIN($J1653,$K1653))</f>
        <v/>
      </c>
      <c r="Q1653">
        <f>IF($A1653="","",$D1653&amp;"("&amp;SUBSTITUTE($E1653," ","")&amp;")")</f>
        <v/>
      </c>
      <c r="R1653">
        <f>IF($A1653="","",$B1653&amp;" - "&amp;$C1653)</f>
        <v/>
      </c>
      <c r="S1653">
        <f>IF($A1653="","",$R1653&amp;"|"&amp;$Q1653)</f>
        <v/>
      </c>
      <c r="T1653">
        <f>IF($A1653="","",$S1653&amp;"|"&amp;$F1653)</f>
        <v/>
      </c>
      <c r="U1653">
        <f>IF($A1653="","",$R1653&amp;"("&amp;$E1653&amp;")")</f>
        <v/>
      </c>
      <c r="V1653">
        <f>IF($A1653="","",$F1653&amp;"|"&amp;$U1653&amp;"|"&amp;$D1653)</f>
        <v/>
      </c>
      <c r="W1653">
        <f>IF($T1653="","",IF($X1653&gt;N($X1652),$X1653,""))</f>
        <v/>
      </c>
      <c r="X1653">
        <f>IF($T1653="",N($X1652),IF(MATCH($T1653,$T$6:$T$6005,0)=ROW()-5,N($X1652)+1,N($X1652)))</f>
        <v/>
      </c>
      <c r="Z1653">
        <f>IF($V1653="","",IF($AA1653&gt;N($AA1652),$AA1653,""))</f>
        <v/>
      </c>
      <c r="AA1653">
        <f>IF($V1653="",N($AA1652),IF(MATCH($V1653,$V$6:$V$6005,0)=ROW()-5,N($AA1652)+1,N($AA1652)))</f>
        <v/>
      </c>
    </row>
    <row r="1654" ht="21" customHeight="1" s="66">
      <c r="A1654" s="56" t="n"/>
      <c r="B1654" s="57" t="n"/>
      <c r="C1654" s="57" t="n"/>
      <c r="D1654" s="57" t="n"/>
      <c r="E1654" s="56" t="n"/>
      <c r="F1654" s="57" t="n"/>
      <c r="G1654" s="57" t="n"/>
      <c r="H1654" s="56" t="n"/>
      <c r="I1654" s="56" t="n"/>
      <c r="J1654" s="58" t="n"/>
      <c r="K1654" s="58" t="n"/>
      <c r="L1654" s="13">
        <f>IF(OR($A1654="",AND($J1654="",$K1654="")),"",ROUND(N($J1654)-N($K1654),2))</f>
        <v/>
      </c>
      <c r="M1654" s="13">
        <f>IF(OR($A1654="",AND($J1654="",$K1654="")),"",MIN($J1654,$K1654))</f>
        <v/>
      </c>
      <c r="Q1654">
        <f>IF($A1654="","",$D1654&amp;"("&amp;SUBSTITUTE($E1654," ","")&amp;")")</f>
        <v/>
      </c>
      <c r="R1654">
        <f>IF($A1654="","",$B1654&amp;" - "&amp;$C1654)</f>
        <v/>
      </c>
      <c r="S1654">
        <f>IF($A1654="","",$R1654&amp;"|"&amp;$Q1654)</f>
        <v/>
      </c>
      <c r="T1654">
        <f>IF($A1654="","",$S1654&amp;"|"&amp;$F1654)</f>
        <v/>
      </c>
      <c r="U1654">
        <f>IF($A1654="","",$R1654&amp;"("&amp;$E1654&amp;")")</f>
        <v/>
      </c>
      <c r="V1654">
        <f>IF($A1654="","",$F1654&amp;"|"&amp;$U1654&amp;"|"&amp;$D1654)</f>
        <v/>
      </c>
      <c r="W1654">
        <f>IF($T1654="","",IF($X1654&gt;N($X1653),$X1654,""))</f>
        <v/>
      </c>
      <c r="X1654">
        <f>IF($T1654="",N($X1653),IF(MATCH($T1654,$T$6:$T$6005,0)=ROW()-5,N($X1653)+1,N($X1653)))</f>
        <v/>
      </c>
      <c r="Z1654">
        <f>IF($V1654="","",IF($AA1654&gt;N($AA1653),$AA1654,""))</f>
        <v/>
      </c>
      <c r="AA1654">
        <f>IF($V1654="",N($AA1653),IF(MATCH($V1654,$V$6:$V$6005,0)=ROW()-5,N($AA1653)+1,N($AA1653)))</f>
        <v/>
      </c>
    </row>
    <row r="1655" ht="21" customHeight="1" s="66">
      <c r="A1655" s="56" t="n"/>
      <c r="B1655" s="57" t="n"/>
      <c r="C1655" s="57" t="n"/>
      <c r="D1655" s="57" t="n"/>
      <c r="E1655" s="56" t="n"/>
      <c r="F1655" s="57" t="n"/>
      <c r="G1655" s="57" t="n"/>
      <c r="H1655" s="56" t="n"/>
      <c r="I1655" s="56" t="n"/>
      <c r="J1655" s="58" t="n"/>
      <c r="K1655" s="58" t="n"/>
      <c r="L1655" s="13">
        <f>IF(OR($A1655="",AND($J1655="",$K1655="")),"",ROUND(N($J1655)-N($K1655),2))</f>
        <v/>
      </c>
      <c r="M1655" s="13">
        <f>IF(OR($A1655="",AND($J1655="",$K1655="")),"",MIN($J1655,$K1655))</f>
        <v/>
      </c>
      <c r="Q1655">
        <f>IF($A1655="","",$D1655&amp;"("&amp;SUBSTITUTE($E1655," ","")&amp;")")</f>
        <v/>
      </c>
      <c r="R1655">
        <f>IF($A1655="","",$B1655&amp;" - "&amp;$C1655)</f>
        <v/>
      </c>
      <c r="S1655">
        <f>IF($A1655="","",$R1655&amp;"|"&amp;$Q1655)</f>
        <v/>
      </c>
      <c r="T1655">
        <f>IF($A1655="","",$S1655&amp;"|"&amp;$F1655)</f>
        <v/>
      </c>
      <c r="U1655">
        <f>IF($A1655="","",$R1655&amp;"("&amp;$E1655&amp;")")</f>
        <v/>
      </c>
      <c r="V1655">
        <f>IF($A1655="","",$F1655&amp;"|"&amp;$U1655&amp;"|"&amp;$D1655)</f>
        <v/>
      </c>
      <c r="W1655">
        <f>IF($T1655="","",IF($X1655&gt;N($X1654),$X1655,""))</f>
        <v/>
      </c>
      <c r="X1655">
        <f>IF($T1655="",N($X1654),IF(MATCH($T1655,$T$6:$T$6005,0)=ROW()-5,N($X1654)+1,N($X1654)))</f>
        <v/>
      </c>
      <c r="Z1655">
        <f>IF($V1655="","",IF($AA1655&gt;N($AA1654),$AA1655,""))</f>
        <v/>
      </c>
      <c r="AA1655">
        <f>IF($V1655="",N($AA1654),IF(MATCH($V1655,$V$6:$V$6005,0)=ROW()-5,N($AA1654)+1,N($AA1654)))</f>
        <v/>
      </c>
    </row>
    <row r="1656" ht="21" customHeight="1" s="66">
      <c r="A1656" s="56" t="n"/>
      <c r="B1656" s="57" t="n"/>
      <c r="C1656" s="57" t="n"/>
      <c r="D1656" s="57" t="n"/>
      <c r="E1656" s="56" t="n"/>
      <c r="F1656" s="57" t="n"/>
      <c r="G1656" s="57" t="n"/>
      <c r="H1656" s="56" t="n"/>
      <c r="I1656" s="56" t="n"/>
      <c r="J1656" s="58" t="n"/>
      <c r="K1656" s="58" t="n"/>
      <c r="L1656" s="13">
        <f>IF(OR($A1656="",AND($J1656="",$K1656="")),"",ROUND(N($J1656)-N($K1656),2))</f>
        <v/>
      </c>
      <c r="M1656" s="13">
        <f>IF(OR($A1656="",AND($J1656="",$K1656="")),"",MIN($J1656,$K1656))</f>
        <v/>
      </c>
      <c r="Q1656">
        <f>IF($A1656="","",$D1656&amp;"("&amp;SUBSTITUTE($E1656," ","")&amp;")")</f>
        <v/>
      </c>
      <c r="R1656">
        <f>IF($A1656="","",$B1656&amp;" - "&amp;$C1656)</f>
        <v/>
      </c>
      <c r="S1656">
        <f>IF($A1656="","",$R1656&amp;"|"&amp;$Q1656)</f>
        <v/>
      </c>
      <c r="T1656">
        <f>IF($A1656="","",$S1656&amp;"|"&amp;$F1656)</f>
        <v/>
      </c>
      <c r="U1656">
        <f>IF($A1656="","",$R1656&amp;"("&amp;$E1656&amp;")")</f>
        <v/>
      </c>
      <c r="V1656">
        <f>IF($A1656="","",$F1656&amp;"|"&amp;$U1656&amp;"|"&amp;$D1656)</f>
        <v/>
      </c>
      <c r="W1656">
        <f>IF($T1656="","",IF($X1656&gt;N($X1655),$X1656,""))</f>
        <v/>
      </c>
      <c r="X1656">
        <f>IF($T1656="",N($X1655),IF(MATCH($T1656,$T$6:$T$6005,0)=ROW()-5,N($X1655)+1,N($X1655)))</f>
        <v/>
      </c>
      <c r="Z1656">
        <f>IF($V1656="","",IF($AA1656&gt;N($AA1655),$AA1656,""))</f>
        <v/>
      </c>
      <c r="AA1656">
        <f>IF($V1656="",N($AA1655),IF(MATCH($V1656,$V$6:$V$6005,0)=ROW()-5,N($AA1655)+1,N($AA1655)))</f>
        <v/>
      </c>
    </row>
    <row r="1657" ht="21" customHeight="1" s="66">
      <c r="A1657" s="56" t="n"/>
      <c r="B1657" s="57" t="n"/>
      <c r="C1657" s="57" t="n"/>
      <c r="D1657" s="57" t="n"/>
      <c r="E1657" s="56" t="n"/>
      <c r="F1657" s="57" t="n"/>
      <c r="G1657" s="57" t="n"/>
      <c r="H1657" s="56" t="n"/>
      <c r="I1657" s="56" t="n"/>
      <c r="J1657" s="58" t="n"/>
      <c r="K1657" s="58" t="n"/>
      <c r="L1657" s="13">
        <f>IF(OR($A1657="",AND($J1657="",$K1657="")),"",ROUND(N($J1657)-N($K1657),2))</f>
        <v/>
      </c>
      <c r="M1657" s="13">
        <f>IF(OR($A1657="",AND($J1657="",$K1657="")),"",MIN($J1657,$K1657))</f>
        <v/>
      </c>
      <c r="Q1657">
        <f>IF($A1657="","",$D1657&amp;"("&amp;SUBSTITUTE($E1657," ","")&amp;")")</f>
        <v/>
      </c>
      <c r="R1657">
        <f>IF($A1657="","",$B1657&amp;" - "&amp;$C1657)</f>
        <v/>
      </c>
      <c r="S1657">
        <f>IF($A1657="","",$R1657&amp;"|"&amp;$Q1657)</f>
        <v/>
      </c>
      <c r="T1657">
        <f>IF($A1657="","",$S1657&amp;"|"&amp;$F1657)</f>
        <v/>
      </c>
      <c r="U1657">
        <f>IF($A1657="","",$R1657&amp;"("&amp;$E1657&amp;")")</f>
        <v/>
      </c>
      <c r="V1657">
        <f>IF($A1657="","",$F1657&amp;"|"&amp;$U1657&amp;"|"&amp;$D1657)</f>
        <v/>
      </c>
      <c r="W1657">
        <f>IF($T1657="","",IF($X1657&gt;N($X1656),$X1657,""))</f>
        <v/>
      </c>
      <c r="X1657">
        <f>IF($T1657="",N($X1656),IF(MATCH($T1657,$T$6:$T$6005,0)=ROW()-5,N($X1656)+1,N($X1656)))</f>
        <v/>
      </c>
      <c r="Z1657">
        <f>IF($V1657="","",IF($AA1657&gt;N($AA1656),$AA1657,""))</f>
        <v/>
      </c>
      <c r="AA1657">
        <f>IF($V1657="",N($AA1656),IF(MATCH($V1657,$V$6:$V$6005,0)=ROW()-5,N($AA1656)+1,N($AA1656)))</f>
        <v/>
      </c>
    </row>
    <row r="1658" ht="21" customHeight="1" s="66">
      <c r="A1658" s="56" t="n"/>
      <c r="B1658" s="57" t="n"/>
      <c r="C1658" s="57" t="n"/>
      <c r="D1658" s="57" t="n"/>
      <c r="E1658" s="56" t="n"/>
      <c r="F1658" s="57" t="n"/>
      <c r="G1658" s="57" t="n"/>
      <c r="H1658" s="56" t="n"/>
      <c r="I1658" s="56" t="n"/>
      <c r="J1658" s="58" t="n"/>
      <c r="K1658" s="58" t="n"/>
      <c r="L1658" s="13">
        <f>IF(OR($A1658="",AND($J1658="",$K1658="")),"",ROUND(N($J1658)-N($K1658),2))</f>
        <v/>
      </c>
      <c r="M1658" s="13">
        <f>IF(OR($A1658="",AND($J1658="",$K1658="")),"",MIN($J1658,$K1658))</f>
        <v/>
      </c>
      <c r="Q1658">
        <f>IF($A1658="","",$D1658&amp;"("&amp;SUBSTITUTE($E1658," ","")&amp;")")</f>
        <v/>
      </c>
      <c r="R1658">
        <f>IF($A1658="","",$B1658&amp;" - "&amp;$C1658)</f>
        <v/>
      </c>
      <c r="S1658">
        <f>IF($A1658="","",$R1658&amp;"|"&amp;$Q1658)</f>
        <v/>
      </c>
      <c r="T1658">
        <f>IF($A1658="","",$S1658&amp;"|"&amp;$F1658)</f>
        <v/>
      </c>
      <c r="U1658">
        <f>IF($A1658="","",$R1658&amp;"("&amp;$E1658&amp;")")</f>
        <v/>
      </c>
      <c r="V1658">
        <f>IF($A1658="","",$F1658&amp;"|"&amp;$U1658&amp;"|"&amp;$D1658)</f>
        <v/>
      </c>
      <c r="W1658">
        <f>IF($T1658="","",IF($X1658&gt;N($X1657),$X1658,""))</f>
        <v/>
      </c>
      <c r="X1658">
        <f>IF($T1658="",N($X1657),IF(MATCH($T1658,$T$6:$T$6005,0)=ROW()-5,N($X1657)+1,N($X1657)))</f>
        <v/>
      </c>
      <c r="Z1658">
        <f>IF($V1658="","",IF($AA1658&gt;N($AA1657),$AA1658,""))</f>
        <v/>
      </c>
      <c r="AA1658">
        <f>IF($V1658="",N($AA1657),IF(MATCH($V1658,$V$6:$V$6005,0)=ROW()-5,N($AA1657)+1,N($AA1657)))</f>
        <v/>
      </c>
    </row>
    <row r="1659" ht="21" customHeight="1" s="66">
      <c r="A1659" s="56" t="n"/>
      <c r="B1659" s="57" t="n"/>
      <c r="C1659" s="57" t="n"/>
      <c r="D1659" s="57" t="n"/>
      <c r="E1659" s="56" t="n"/>
      <c r="F1659" s="57" t="n"/>
      <c r="G1659" s="57" t="n"/>
      <c r="H1659" s="56" t="n"/>
      <c r="I1659" s="56" t="n"/>
      <c r="J1659" s="58" t="n"/>
      <c r="K1659" s="58" t="n"/>
      <c r="L1659" s="13">
        <f>IF(OR($A1659="",AND($J1659="",$K1659="")),"",ROUND(N($J1659)-N($K1659),2))</f>
        <v/>
      </c>
      <c r="M1659" s="13">
        <f>IF(OR($A1659="",AND($J1659="",$K1659="")),"",MIN($J1659,$K1659))</f>
        <v/>
      </c>
      <c r="Q1659">
        <f>IF($A1659="","",$D1659&amp;"("&amp;SUBSTITUTE($E1659," ","")&amp;")")</f>
        <v/>
      </c>
      <c r="R1659">
        <f>IF($A1659="","",$B1659&amp;" - "&amp;$C1659)</f>
        <v/>
      </c>
      <c r="S1659">
        <f>IF($A1659="","",$R1659&amp;"|"&amp;$Q1659)</f>
        <v/>
      </c>
      <c r="T1659">
        <f>IF($A1659="","",$S1659&amp;"|"&amp;$F1659)</f>
        <v/>
      </c>
      <c r="U1659">
        <f>IF($A1659="","",$R1659&amp;"("&amp;$E1659&amp;")")</f>
        <v/>
      </c>
      <c r="V1659">
        <f>IF($A1659="","",$F1659&amp;"|"&amp;$U1659&amp;"|"&amp;$D1659)</f>
        <v/>
      </c>
      <c r="W1659">
        <f>IF($T1659="","",IF($X1659&gt;N($X1658),$X1659,""))</f>
        <v/>
      </c>
      <c r="X1659">
        <f>IF($T1659="",N($X1658),IF(MATCH($T1659,$T$6:$T$6005,0)=ROW()-5,N($X1658)+1,N($X1658)))</f>
        <v/>
      </c>
      <c r="Z1659">
        <f>IF($V1659="","",IF($AA1659&gt;N($AA1658),$AA1659,""))</f>
        <v/>
      </c>
      <c r="AA1659">
        <f>IF($V1659="",N($AA1658),IF(MATCH($V1659,$V$6:$V$6005,0)=ROW()-5,N($AA1658)+1,N($AA1658)))</f>
        <v/>
      </c>
    </row>
    <row r="1660" ht="21" customHeight="1" s="66">
      <c r="A1660" s="56" t="n"/>
      <c r="B1660" s="57" t="n"/>
      <c r="C1660" s="57" t="n"/>
      <c r="D1660" s="57" t="n"/>
      <c r="E1660" s="56" t="n"/>
      <c r="F1660" s="57" t="n"/>
      <c r="G1660" s="57" t="n"/>
      <c r="H1660" s="56" t="n"/>
      <c r="I1660" s="56" t="n"/>
      <c r="J1660" s="58" t="n"/>
      <c r="K1660" s="58" t="n"/>
      <c r="L1660" s="13">
        <f>IF(OR($A1660="",AND($J1660="",$K1660="")),"",ROUND(N($J1660)-N($K1660),2))</f>
        <v/>
      </c>
      <c r="M1660" s="13">
        <f>IF(OR($A1660="",AND($J1660="",$K1660="")),"",MIN($J1660,$K1660))</f>
        <v/>
      </c>
      <c r="Q1660">
        <f>IF($A1660="","",$D1660&amp;"("&amp;SUBSTITUTE($E1660," ","")&amp;")")</f>
        <v/>
      </c>
      <c r="R1660">
        <f>IF($A1660="","",$B1660&amp;" - "&amp;$C1660)</f>
        <v/>
      </c>
      <c r="S1660">
        <f>IF($A1660="","",$R1660&amp;"|"&amp;$Q1660)</f>
        <v/>
      </c>
      <c r="T1660">
        <f>IF($A1660="","",$S1660&amp;"|"&amp;$F1660)</f>
        <v/>
      </c>
      <c r="U1660">
        <f>IF($A1660="","",$R1660&amp;"("&amp;$E1660&amp;")")</f>
        <v/>
      </c>
      <c r="V1660">
        <f>IF($A1660="","",$F1660&amp;"|"&amp;$U1660&amp;"|"&amp;$D1660)</f>
        <v/>
      </c>
      <c r="W1660">
        <f>IF($T1660="","",IF($X1660&gt;N($X1659),$X1660,""))</f>
        <v/>
      </c>
      <c r="X1660">
        <f>IF($T1660="",N($X1659),IF(MATCH($T1660,$T$6:$T$6005,0)=ROW()-5,N($X1659)+1,N($X1659)))</f>
        <v/>
      </c>
      <c r="Z1660">
        <f>IF($V1660="","",IF($AA1660&gt;N($AA1659),$AA1660,""))</f>
        <v/>
      </c>
      <c r="AA1660">
        <f>IF($V1660="",N($AA1659),IF(MATCH($V1660,$V$6:$V$6005,0)=ROW()-5,N($AA1659)+1,N($AA1659)))</f>
        <v/>
      </c>
    </row>
    <row r="1661" ht="21" customHeight="1" s="66">
      <c r="A1661" s="56" t="n"/>
      <c r="B1661" s="57" t="n"/>
      <c r="C1661" s="57" t="n"/>
      <c r="D1661" s="57" t="n"/>
      <c r="E1661" s="56" t="n"/>
      <c r="F1661" s="57" t="n"/>
      <c r="G1661" s="57" t="n"/>
      <c r="H1661" s="56" t="n"/>
      <c r="I1661" s="56" t="n"/>
      <c r="J1661" s="58" t="n"/>
      <c r="K1661" s="58" t="n"/>
      <c r="L1661" s="13">
        <f>IF(OR($A1661="",AND($J1661="",$K1661="")),"",ROUND(N($J1661)-N($K1661),2))</f>
        <v/>
      </c>
      <c r="M1661" s="13">
        <f>IF(OR($A1661="",AND($J1661="",$K1661="")),"",MIN($J1661,$K1661))</f>
        <v/>
      </c>
      <c r="Q1661">
        <f>IF($A1661="","",$D1661&amp;"("&amp;SUBSTITUTE($E1661," ","")&amp;")")</f>
        <v/>
      </c>
      <c r="R1661">
        <f>IF($A1661="","",$B1661&amp;" - "&amp;$C1661)</f>
        <v/>
      </c>
      <c r="S1661">
        <f>IF($A1661="","",$R1661&amp;"|"&amp;$Q1661)</f>
        <v/>
      </c>
      <c r="T1661">
        <f>IF($A1661="","",$S1661&amp;"|"&amp;$F1661)</f>
        <v/>
      </c>
      <c r="U1661">
        <f>IF($A1661="","",$R1661&amp;"("&amp;$E1661&amp;")")</f>
        <v/>
      </c>
      <c r="V1661">
        <f>IF($A1661="","",$F1661&amp;"|"&amp;$U1661&amp;"|"&amp;$D1661)</f>
        <v/>
      </c>
      <c r="W1661">
        <f>IF($T1661="","",IF($X1661&gt;N($X1660),$X1661,""))</f>
        <v/>
      </c>
      <c r="X1661">
        <f>IF($T1661="",N($X1660),IF(MATCH($T1661,$T$6:$T$6005,0)=ROW()-5,N($X1660)+1,N($X1660)))</f>
        <v/>
      </c>
      <c r="Z1661">
        <f>IF($V1661="","",IF($AA1661&gt;N($AA1660),$AA1661,""))</f>
        <v/>
      </c>
      <c r="AA1661">
        <f>IF($V1661="",N($AA1660),IF(MATCH($V1661,$V$6:$V$6005,0)=ROW()-5,N($AA1660)+1,N($AA1660)))</f>
        <v/>
      </c>
    </row>
    <row r="1662" ht="21" customHeight="1" s="66">
      <c r="A1662" s="56" t="n"/>
      <c r="B1662" s="57" t="n"/>
      <c r="C1662" s="57" t="n"/>
      <c r="D1662" s="57" t="n"/>
      <c r="E1662" s="56" t="n"/>
      <c r="F1662" s="57" t="n"/>
      <c r="G1662" s="57" t="n"/>
      <c r="H1662" s="56" t="n"/>
      <c r="I1662" s="56" t="n"/>
      <c r="J1662" s="58" t="n"/>
      <c r="K1662" s="58" t="n"/>
      <c r="L1662" s="13">
        <f>IF(OR($A1662="",AND($J1662="",$K1662="")),"",ROUND(N($J1662)-N($K1662),2))</f>
        <v/>
      </c>
      <c r="M1662" s="13">
        <f>IF(OR($A1662="",AND($J1662="",$K1662="")),"",MIN($J1662,$K1662))</f>
        <v/>
      </c>
      <c r="Q1662">
        <f>IF($A1662="","",$D1662&amp;"("&amp;SUBSTITUTE($E1662," ","")&amp;")")</f>
        <v/>
      </c>
      <c r="R1662">
        <f>IF($A1662="","",$B1662&amp;" - "&amp;$C1662)</f>
        <v/>
      </c>
      <c r="S1662">
        <f>IF($A1662="","",$R1662&amp;"|"&amp;$Q1662)</f>
        <v/>
      </c>
      <c r="T1662">
        <f>IF($A1662="","",$S1662&amp;"|"&amp;$F1662)</f>
        <v/>
      </c>
      <c r="U1662">
        <f>IF($A1662="","",$R1662&amp;"("&amp;$E1662&amp;")")</f>
        <v/>
      </c>
      <c r="V1662">
        <f>IF($A1662="","",$F1662&amp;"|"&amp;$U1662&amp;"|"&amp;$D1662)</f>
        <v/>
      </c>
      <c r="W1662">
        <f>IF($T1662="","",IF($X1662&gt;N($X1661),$X1662,""))</f>
        <v/>
      </c>
      <c r="X1662">
        <f>IF($T1662="",N($X1661),IF(MATCH($T1662,$T$6:$T$6005,0)=ROW()-5,N($X1661)+1,N($X1661)))</f>
        <v/>
      </c>
      <c r="Z1662">
        <f>IF($V1662="","",IF($AA1662&gt;N($AA1661),$AA1662,""))</f>
        <v/>
      </c>
      <c r="AA1662">
        <f>IF($V1662="",N($AA1661),IF(MATCH($V1662,$V$6:$V$6005,0)=ROW()-5,N($AA1661)+1,N($AA1661)))</f>
        <v/>
      </c>
    </row>
    <row r="1663" ht="21" customHeight="1" s="66">
      <c r="A1663" s="56" t="n"/>
      <c r="B1663" s="57" t="n"/>
      <c r="C1663" s="57" t="n"/>
      <c r="D1663" s="57" t="n"/>
      <c r="E1663" s="56" t="n"/>
      <c r="F1663" s="57" t="n"/>
      <c r="G1663" s="57" t="n"/>
      <c r="H1663" s="56" t="n"/>
      <c r="I1663" s="56" t="n"/>
      <c r="J1663" s="58" t="n"/>
      <c r="K1663" s="58" t="n"/>
      <c r="L1663" s="13">
        <f>IF(OR($A1663="",AND($J1663="",$K1663="")),"",ROUND(N($J1663)-N($K1663),2))</f>
        <v/>
      </c>
      <c r="M1663" s="13">
        <f>IF(OR($A1663="",AND($J1663="",$K1663="")),"",MIN($J1663,$K1663))</f>
        <v/>
      </c>
      <c r="Q1663">
        <f>IF($A1663="","",$D1663&amp;"("&amp;SUBSTITUTE($E1663," ","")&amp;")")</f>
        <v/>
      </c>
      <c r="R1663">
        <f>IF($A1663="","",$B1663&amp;" - "&amp;$C1663)</f>
        <v/>
      </c>
      <c r="S1663">
        <f>IF($A1663="","",$R1663&amp;"|"&amp;$Q1663)</f>
        <v/>
      </c>
      <c r="T1663">
        <f>IF($A1663="","",$S1663&amp;"|"&amp;$F1663)</f>
        <v/>
      </c>
      <c r="U1663">
        <f>IF($A1663="","",$R1663&amp;"("&amp;$E1663&amp;")")</f>
        <v/>
      </c>
      <c r="V1663">
        <f>IF($A1663="","",$F1663&amp;"|"&amp;$U1663&amp;"|"&amp;$D1663)</f>
        <v/>
      </c>
      <c r="W1663">
        <f>IF($T1663="","",IF($X1663&gt;N($X1662),$X1663,""))</f>
        <v/>
      </c>
      <c r="X1663">
        <f>IF($T1663="",N($X1662),IF(MATCH($T1663,$T$6:$T$6005,0)=ROW()-5,N($X1662)+1,N($X1662)))</f>
        <v/>
      </c>
      <c r="Z1663">
        <f>IF($V1663="","",IF($AA1663&gt;N($AA1662),$AA1663,""))</f>
        <v/>
      </c>
      <c r="AA1663">
        <f>IF($V1663="",N($AA1662),IF(MATCH($V1663,$V$6:$V$6005,0)=ROW()-5,N($AA1662)+1,N($AA1662)))</f>
        <v/>
      </c>
    </row>
    <row r="1664" ht="21" customHeight="1" s="66">
      <c r="A1664" s="56" t="n"/>
      <c r="B1664" s="57" t="n"/>
      <c r="C1664" s="57" t="n"/>
      <c r="D1664" s="57" t="n"/>
      <c r="E1664" s="56" t="n"/>
      <c r="F1664" s="57" t="n"/>
      <c r="G1664" s="57" t="n"/>
      <c r="H1664" s="56" t="n"/>
      <c r="I1664" s="56" t="n"/>
      <c r="J1664" s="58" t="n"/>
      <c r="K1664" s="58" t="n"/>
      <c r="L1664" s="13">
        <f>IF(OR($A1664="",AND($J1664="",$K1664="")),"",ROUND(N($J1664)-N($K1664),2))</f>
        <v/>
      </c>
      <c r="M1664" s="13">
        <f>IF(OR($A1664="",AND($J1664="",$K1664="")),"",MIN($J1664,$K1664))</f>
        <v/>
      </c>
      <c r="Q1664">
        <f>IF($A1664="","",$D1664&amp;"("&amp;SUBSTITUTE($E1664," ","")&amp;")")</f>
        <v/>
      </c>
      <c r="R1664">
        <f>IF($A1664="","",$B1664&amp;" - "&amp;$C1664)</f>
        <v/>
      </c>
      <c r="S1664">
        <f>IF($A1664="","",$R1664&amp;"|"&amp;$Q1664)</f>
        <v/>
      </c>
      <c r="T1664">
        <f>IF($A1664="","",$S1664&amp;"|"&amp;$F1664)</f>
        <v/>
      </c>
      <c r="U1664">
        <f>IF($A1664="","",$R1664&amp;"("&amp;$E1664&amp;")")</f>
        <v/>
      </c>
      <c r="V1664">
        <f>IF($A1664="","",$F1664&amp;"|"&amp;$U1664&amp;"|"&amp;$D1664)</f>
        <v/>
      </c>
      <c r="W1664">
        <f>IF($T1664="","",IF($X1664&gt;N($X1663),$X1664,""))</f>
        <v/>
      </c>
      <c r="X1664">
        <f>IF($T1664="",N($X1663),IF(MATCH($T1664,$T$6:$T$6005,0)=ROW()-5,N($X1663)+1,N($X1663)))</f>
        <v/>
      </c>
      <c r="Z1664">
        <f>IF($V1664="","",IF($AA1664&gt;N($AA1663),$AA1664,""))</f>
        <v/>
      </c>
      <c r="AA1664">
        <f>IF($V1664="",N($AA1663),IF(MATCH($V1664,$V$6:$V$6005,0)=ROW()-5,N($AA1663)+1,N($AA1663)))</f>
        <v/>
      </c>
    </row>
    <row r="1665" ht="21" customHeight="1" s="66">
      <c r="A1665" s="56" t="n"/>
      <c r="B1665" s="57" t="n"/>
      <c r="C1665" s="57" t="n"/>
      <c r="D1665" s="57" t="n"/>
      <c r="E1665" s="56" t="n"/>
      <c r="F1665" s="57" t="n"/>
      <c r="G1665" s="57" t="n"/>
      <c r="H1665" s="56" t="n"/>
      <c r="I1665" s="56" t="n"/>
      <c r="J1665" s="58" t="n"/>
      <c r="K1665" s="58" t="n"/>
      <c r="L1665" s="13">
        <f>IF(OR($A1665="",AND($J1665="",$K1665="")),"",ROUND(N($J1665)-N($K1665),2))</f>
        <v/>
      </c>
      <c r="M1665" s="13">
        <f>IF(OR($A1665="",AND($J1665="",$K1665="")),"",MIN($J1665,$K1665))</f>
        <v/>
      </c>
      <c r="Q1665">
        <f>IF($A1665="","",$D1665&amp;"("&amp;SUBSTITUTE($E1665," ","")&amp;")")</f>
        <v/>
      </c>
      <c r="R1665">
        <f>IF($A1665="","",$B1665&amp;" - "&amp;$C1665)</f>
        <v/>
      </c>
      <c r="S1665">
        <f>IF($A1665="","",$R1665&amp;"|"&amp;$Q1665)</f>
        <v/>
      </c>
      <c r="T1665">
        <f>IF($A1665="","",$S1665&amp;"|"&amp;$F1665)</f>
        <v/>
      </c>
      <c r="U1665">
        <f>IF($A1665="","",$R1665&amp;"("&amp;$E1665&amp;")")</f>
        <v/>
      </c>
      <c r="V1665">
        <f>IF($A1665="","",$F1665&amp;"|"&amp;$U1665&amp;"|"&amp;$D1665)</f>
        <v/>
      </c>
      <c r="W1665">
        <f>IF($T1665="","",IF($X1665&gt;N($X1664),$X1665,""))</f>
        <v/>
      </c>
      <c r="X1665">
        <f>IF($T1665="",N($X1664),IF(MATCH($T1665,$T$6:$T$6005,0)=ROW()-5,N($X1664)+1,N($X1664)))</f>
        <v/>
      </c>
      <c r="Z1665">
        <f>IF($V1665="","",IF($AA1665&gt;N($AA1664),$AA1665,""))</f>
        <v/>
      </c>
      <c r="AA1665">
        <f>IF($V1665="",N($AA1664),IF(MATCH($V1665,$V$6:$V$6005,0)=ROW()-5,N($AA1664)+1,N($AA1664)))</f>
        <v/>
      </c>
    </row>
    <row r="1666" ht="21" customHeight="1" s="66">
      <c r="A1666" s="56" t="n"/>
      <c r="B1666" s="57" t="n"/>
      <c r="C1666" s="57" t="n"/>
      <c r="D1666" s="57" t="n"/>
      <c r="E1666" s="56" t="n"/>
      <c r="F1666" s="57" t="n"/>
      <c r="G1666" s="57" t="n"/>
      <c r="H1666" s="56" t="n"/>
      <c r="I1666" s="56" t="n"/>
      <c r="J1666" s="58" t="n"/>
      <c r="K1666" s="58" t="n"/>
      <c r="L1666" s="13">
        <f>IF(OR($A1666="",AND($J1666="",$K1666="")),"",ROUND(N($J1666)-N($K1666),2))</f>
        <v/>
      </c>
      <c r="M1666" s="13">
        <f>IF(OR($A1666="",AND($J1666="",$K1666="")),"",MIN($J1666,$K1666))</f>
        <v/>
      </c>
      <c r="Q1666">
        <f>IF($A1666="","",$D1666&amp;"("&amp;SUBSTITUTE($E1666," ","")&amp;")")</f>
        <v/>
      </c>
      <c r="R1666">
        <f>IF($A1666="","",$B1666&amp;" - "&amp;$C1666)</f>
        <v/>
      </c>
      <c r="S1666">
        <f>IF($A1666="","",$R1666&amp;"|"&amp;$Q1666)</f>
        <v/>
      </c>
      <c r="T1666">
        <f>IF($A1666="","",$S1666&amp;"|"&amp;$F1666)</f>
        <v/>
      </c>
      <c r="U1666">
        <f>IF($A1666="","",$R1666&amp;"("&amp;$E1666&amp;")")</f>
        <v/>
      </c>
      <c r="V1666">
        <f>IF($A1666="","",$F1666&amp;"|"&amp;$U1666&amp;"|"&amp;$D1666)</f>
        <v/>
      </c>
      <c r="W1666">
        <f>IF($T1666="","",IF($X1666&gt;N($X1665),$X1666,""))</f>
        <v/>
      </c>
      <c r="X1666">
        <f>IF($T1666="",N($X1665),IF(MATCH($T1666,$T$6:$T$6005,0)=ROW()-5,N($X1665)+1,N($X1665)))</f>
        <v/>
      </c>
      <c r="Z1666">
        <f>IF($V1666="","",IF($AA1666&gt;N($AA1665),$AA1666,""))</f>
        <v/>
      </c>
      <c r="AA1666">
        <f>IF($V1666="",N($AA1665),IF(MATCH($V1666,$V$6:$V$6005,0)=ROW()-5,N($AA1665)+1,N($AA1665)))</f>
        <v/>
      </c>
    </row>
    <row r="1667" ht="21" customHeight="1" s="66">
      <c r="A1667" s="56" t="n"/>
      <c r="B1667" s="57" t="n"/>
      <c r="C1667" s="57" t="n"/>
      <c r="D1667" s="57" t="n"/>
      <c r="E1667" s="56" t="n"/>
      <c r="F1667" s="57" t="n"/>
      <c r="G1667" s="57" t="n"/>
      <c r="H1667" s="56" t="n"/>
      <c r="I1667" s="56" t="n"/>
      <c r="J1667" s="58" t="n"/>
      <c r="K1667" s="58" t="n"/>
      <c r="L1667" s="13">
        <f>IF(OR($A1667="",AND($J1667="",$K1667="")),"",ROUND(N($J1667)-N($K1667),2))</f>
        <v/>
      </c>
      <c r="M1667" s="13">
        <f>IF(OR($A1667="",AND($J1667="",$K1667="")),"",MIN($J1667,$K1667))</f>
        <v/>
      </c>
      <c r="Q1667">
        <f>IF($A1667="","",$D1667&amp;"("&amp;SUBSTITUTE($E1667," ","")&amp;")")</f>
        <v/>
      </c>
      <c r="R1667">
        <f>IF($A1667="","",$B1667&amp;" - "&amp;$C1667)</f>
        <v/>
      </c>
      <c r="S1667">
        <f>IF($A1667="","",$R1667&amp;"|"&amp;$Q1667)</f>
        <v/>
      </c>
      <c r="T1667">
        <f>IF($A1667="","",$S1667&amp;"|"&amp;$F1667)</f>
        <v/>
      </c>
      <c r="U1667">
        <f>IF($A1667="","",$R1667&amp;"("&amp;$E1667&amp;")")</f>
        <v/>
      </c>
      <c r="V1667">
        <f>IF($A1667="","",$F1667&amp;"|"&amp;$U1667&amp;"|"&amp;$D1667)</f>
        <v/>
      </c>
      <c r="W1667">
        <f>IF($T1667="","",IF($X1667&gt;N($X1666),$X1667,""))</f>
        <v/>
      </c>
      <c r="X1667">
        <f>IF($T1667="",N($X1666),IF(MATCH($T1667,$T$6:$T$6005,0)=ROW()-5,N($X1666)+1,N($X1666)))</f>
        <v/>
      </c>
      <c r="Z1667">
        <f>IF($V1667="","",IF($AA1667&gt;N($AA1666),$AA1667,""))</f>
        <v/>
      </c>
      <c r="AA1667">
        <f>IF($V1667="",N($AA1666),IF(MATCH($V1667,$V$6:$V$6005,0)=ROW()-5,N($AA1666)+1,N($AA1666)))</f>
        <v/>
      </c>
    </row>
    <row r="1668" ht="21" customHeight="1" s="66">
      <c r="A1668" s="56" t="n"/>
      <c r="B1668" s="57" t="n"/>
      <c r="C1668" s="57" t="n"/>
      <c r="D1668" s="57" t="n"/>
      <c r="E1668" s="56" t="n"/>
      <c r="F1668" s="57" t="n"/>
      <c r="G1668" s="57" t="n"/>
      <c r="H1668" s="56" t="n"/>
      <c r="I1668" s="56" t="n"/>
      <c r="J1668" s="58" t="n"/>
      <c r="K1668" s="58" t="n"/>
      <c r="L1668" s="13">
        <f>IF(OR($A1668="",AND($J1668="",$K1668="")),"",ROUND(N($J1668)-N($K1668),2))</f>
        <v/>
      </c>
      <c r="M1668" s="13">
        <f>IF(OR($A1668="",AND($J1668="",$K1668="")),"",MIN($J1668,$K1668))</f>
        <v/>
      </c>
      <c r="Q1668">
        <f>IF($A1668="","",$D1668&amp;"("&amp;SUBSTITUTE($E1668," ","")&amp;")")</f>
        <v/>
      </c>
      <c r="R1668">
        <f>IF($A1668="","",$B1668&amp;" - "&amp;$C1668)</f>
        <v/>
      </c>
      <c r="S1668">
        <f>IF($A1668="","",$R1668&amp;"|"&amp;$Q1668)</f>
        <v/>
      </c>
      <c r="T1668">
        <f>IF($A1668="","",$S1668&amp;"|"&amp;$F1668)</f>
        <v/>
      </c>
      <c r="U1668">
        <f>IF($A1668="","",$R1668&amp;"("&amp;$E1668&amp;")")</f>
        <v/>
      </c>
      <c r="V1668">
        <f>IF($A1668="","",$F1668&amp;"|"&amp;$U1668&amp;"|"&amp;$D1668)</f>
        <v/>
      </c>
      <c r="W1668">
        <f>IF($T1668="","",IF($X1668&gt;N($X1667),$X1668,""))</f>
        <v/>
      </c>
      <c r="X1668">
        <f>IF($T1668="",N($X1667),IF(MATCH($T1668,$T$6:$T$6005,0)=ROW()-5,N($X1667)+1,N($X1667)))</f>
        <v/>
      </c>
      <c r="Z1668">
        <f>IF($V1668="","",IF($AA1668&gt;N($AA1667),$AA1668,""))</f>
        <v/>
      </c>
      <c r="AA1668">
        <f>IF($V1668="",N($AA1667),IF(MATCH($V1668,$V$6:$V$6005,0)=ROW()-5,N($AA1667)+1,N($AA1667)))</f>
        <v/>
      </c>
    </row>
    <row r="1669" ht="21" customHeight="1" s="66">
      <c r="A1669" s="56" t="n"/>
      <c r="B1669" s="57" t="n"/>
      <c r="C1669" s="57" t="n"/>
      <c r="D1669" s="57" t="n"/>
      <c r="E1669" s="56" t="n"/>
      <c r="F1669" s="57" t="n"/>
      <c r="G1669" s="57" t="n"/>
      <c r="H1669" s="56" t="n"/>
      <c r="I1669" s="56" t="n"/>
      <c r="J1669" s="58" t="n"/>
      <c r="K1669" s="58" t="n"/>
      <c r="L1669" s="13">
        <f>IF(OR($A1669="",AND($J1669="",$K1669="")),"",ROUND(N($J1669)-N($K1669),2))</f>
        <v/>
      </c>
      <c r="M1669" s="13">
        <f>IF(OR($A1669="",AND($J1669="",$K1669="")),"",MIN($J1669,$K1669))</f>
        <v/>
      </c>
      <c r="Q1669">
        <f>IF($A1669="","",$D1669&amp;"("&amp;SUBSTITUTE($E1669," ","")&amp;")")</f>
        <v/>
      </c>
      <c r="R1669">
        <f>IF($A1669="","",$B1669&amp;" - "&amp;$C1669)</f>
        <v/>
      </c>
      <c r="S1669">
        <f>IF($A1669="","",$R1669&amp;"|"&amp;$Q1669)</f>
        <v/>
      </c>
      <c r="T1669">
        <f>IF($A1669="","",$S1669&amp;"|"&amp;$F1669)</f>
        <v/>
      </c>
      <c r="U1669">
        <f>IF($A1669="","",$R1669&amp;"("&amp;$E1669&amp;")")</f>
        <v/>
      </c>
      <c r="V1669">
        <f>IF($A1669="","",$F1669&amp;"|"&amp;$U1669&amp;"|"&amp;$D1669)</f>
        <v/>
      </c>
      <c r="W1669">
        <f>IF($T1669="","",IF($X1669&gt;N($X1668),$X1669,""))</f>
        <v/>
      </c>
      <c r="X1669">
        <f>IF($T1669="",N($X1668),IF(MATCH($T1669,$T$6:$T$6005,0)=ROW()-5,N($X1668)+1,N($X1668)))</f>
        <v/>
      </c>
      <c r="Z1669">
        <f>IF($V1669="","",IF($AA1669&gt;N($AA1668),$AA1669,""))</f>
        <v/>
      </c>
      <c r="AA1669">
        <f>IF($V1669="",N($AA1668),IF(MATCH($V1669,$V$6:$V$6005,0)=ROW()-5,N($AA1668)+1,N($AA1668)))</f>
        <v/>
      </c>
    </row>
    <row r="1670" ht="21" customHeight="1" s="66">
      <c r="A1670" s="56" t="n"/>
      <c r="B1670" s="57" t="n"/>
      <c r="C1670" s="57" t="n"/>
      <c r="D1670" s="57" t="n"/>
      <c r="E1670" s="56" t="n"/>
      <c r="F1670" s="57" t="n"/>
      <c r="G1670" s="57" t="n"/>
      <c r="H1670" s="56" t="n"/>
      <c r="I1670" s="56" t="n"/>
      <c r="J1670" s="58" t="n"/>
      <c r="K1670" s="58" t="n"/>
      <c r="L1670" s="13">
        <f>IF(OR($A1670="",AND($J1670="",$K1670="")),"",ROUND(N($J1670)-N($K1670),2))</f>
        <v/>
      </c>
      <c r="M1670" s="13">
        <f>IF(OR($A1670="",AND($J1670="",$K1670="")),"",MIN($J1670,$K1670))</f>
        <v/>
      </c>
      <c r="Q1670">
        <f>IF($A1670="","",$D1670&amp;"("&amp;SUBSTITUTE($E1670," ","")&amp;")")</f>
        <v/>
      </c>
      <c r="R1670">
        <f>IF($A1670="","",$B1670&amp;" - "&amp;$C1670)</f>
        <v/>
      </c>
      <c r="S1670">
        <f>IF($A1670="","",$R1670&amp;"|"&amp;$Q1670)</f>
        <v/>
      </c>
      <c r="T1670">
        <f>IF($A1670="","",$S1670&amp;"|"&amp;$F1670)</f>
        <v/>
      </c>
      <c r="U1670">
        <f>IF($A1670="","",$R1670&amp;"("&amp;$E1670&amp;")")</f>
        <v/>
      </c>
      <c r="V1670">
        <f>IF($A1670="","",$F1670&amp;"|"&amp;$U1670&amp;"|"&amp;$D1670)</f>
        <v/>
      </c>
      <c r="W1670">
        <f>IF($T1670="","",IF($X1670&gt;N($X1669),$X1670,""))</f>
        <v/>
      </c>
      <c r="X1670">
        <f>IF($T1670="",N($X1669),IF(MATCH($T1670,$T$6:$T$6005,0)=ROW()-5,N($X1669)+1,N($X1669)))</f>
        <v/>
      </c>
      <c r="Z1670">
        <f>IF($V1670="","",IF($AA1670&gt;N($AA1669),$AA1670,""))</f>
        <v/>
      </c>
      <c r="AA1670">
        <f>IF($V1670="",N($AA1669),IF(MATCH($V1670,$V$6:$V$6005,0)=ROW()-5,N($AA1669)+1,N($AA1669)))</f>
        <v/>
      </c>
    </row>
    <row r="1671" ht="21" customHeight="1" s="66">
      <c r="A1671" s="56" t="n"/>
      <c r="B1671" s="57" t="n"/>
      <c r="C1671" s="57" t="n"/>
      <c r="D1671" s="57" t="n"/>
      <c r="E1671" s="56" t="n"/>
      <c r="F1671" s="57" t="n"/>
      <c r="G1671" s="57" t="n"/>
      <c r="H1671" s="56" t="n"/>
      <c r="I1671" s="56" t="n"/>
      <c r="J1671" s="58" t="n"/>
      <c r="K1671" s="58" t="n"/>
      <c r="L1671" s="13">
        <f>IF(OR($A1671="",AND($J1671="",$K1671="")),"",ROUND(N($J1671)-N($K1671),2))</f>
        <v/>
      </c>
      <c r="M1671" s="13">
        <f>IF(OR($A1671="",AND($J1671="",$K1671="")),"",MIN($J1671,$K1671))</f>
        <v/>
      </c>
      <c r="Q1671">
        <f>IF($A1671="","",$D1671&amp;"("&amp;SUBSTITUTE($E1671," ","")&amp;")")</f>
        <v/>
      </c>
      <c r="R1671">
        <f>IF($A1671="","",$B1671&amp;" - "&amp;$C1671)</f>
        <v/>
      </c>
      <c r="S1671">
        <f>IF($A1671="","",$R1671&amp;"|"&amp;$Q1671)</f>
        <v/>
      </c>
      <c r="T1671">
        <f>IF($A1671="","",$S1671&amp;"|"&amp;$F1671)</f>
        <v/>
      </c>
      <c r="U1671">
        <f>IF($A1671="","",$R1671&amp;"("&amp;$E1671&amp;")")</f>
        <v/>
      </c>
      <c r="V1671">
        <f>IF($A1671="","",$F1671&amp;"|"&amp;$U1671&amp;"|"&amp;$D1671)</f>
        <v/>
      </c>
      <c r="W1671">
        <f>IF($T1671="","",IF($X1671&gt;N($X1670),$X1671,""))</f>
        <v/>
      </c>
      <c r="X1671">
        <f>IF($T1671="",N($X1670),IF(MATCH($T1671,$T$6:$T$6005,0)=ROW()-5,N($X1670)+1,N($X1670)))</f>
        <v/>
      </c>
      <c r="Z1671">
        <f>IF($V1671="","",IF($AA1671&gt;N($AA1670),$AA1671,""))</f>
        <v/>
      </c>
      <c r="AA1671">
        <f>IF($V1671="",N($AA1670),IF(MATCH($V1671,$V$6:$V$6005,0)=ROW()-5,N($AA1670)+1,N($AA1670)))</f>
        <v/>
      </c>
    </row>
    <row r="1672" ht="21" customHeight="1" s="66">
      <c r="A1672" s="56" t="n"/>
      <c r="B1672" s="57" t="n"/>
      <c r="C1672" s="57" t="n"/>
      <c r="D1672" s="57" t="n"/>
      <c r="E1672" s="56" t="n"/>
      <c r="F1672" s="57" t="n"/>
      <c r="G1672" s="57" t="n"/>
      <c r="H1672" s="56" t="n"/>
      <c r="I1672" s="56" t="n"/>
      <c r="J1672" s="58" t="n"/>
      <c r="K1672" s="58" t="n"/>
      <c r="L1672" s="13">
        <f>IF(OR($A1672="",AND($J1672="",$K1672="")),"",ROUND(N($J1672)-N($K1672),2))</f>
        <v/>
      </c>
      <c r="M1672" s="13">
        <f>IF(OR($A1672="",AND($J1672="",$K1672="")),"",MIN($J1672,$K1672))</f>
        <v/>
      </c>
      <c r="Q1672">
        <f>IF($A1672="","",$D1672&amp;"("&amp;SUBSTITUTE($E1672," ","")&amp;")")</f>
        <v/>
      </c>
      <c r="R1672">
        <f>IF($A1672="","",$B1672&amp;" - "&amp;$C1672)</f>
        <v/>
      </c>
      <c r="S1672">
        <f>IF($A1672="","",$R1672&amp;"|"&amp;$Q1672)</f>
        <v/>
      </c>
      <c r="T1672">
        <f>IF($A1672="","",$S1672&amp;"|"&amp;$F1672)</f>
        <v/>
      </c>
      <c r="U1672">
        <f>IF($A1672="","",$R1672&amp;"("&amp;$E1672&amp;")")</f>
        <v/>
      </c>
      <c r="V1672">
        <f>IF($A1672="","",$F1672&amp;"|"&amp;$U1672&amp;"|"&amp;$D1672)</f>
        <v/>
      </c>
      <c r="W1672">
        <f>IF($T1672="","",IF($X1672&gt;N($X1671),$X1672,""))</f>
        <v/>
      </c>
      <c r="X1672">
        <f>IF($T1672="",N($X1671),IF(MATCH($T1672,$T$6:$T$6005,0)=ROW()-5,N($X1671)+1,N($X1671)))</f>
        <v/>
      </c>
      <c r="Z1672">
        <f>IF($V1672="","",IF($AA1672&gt;N($AA1671),$AA1672,""))</f>
        <v/>
      </c>
      <c r="AA1672">
        <f>IF($V1672="",N($AA1671),IF(MATCH($V1672,$V$6:$V$6005,0)=ROW()-5,N($AA1671)+1,N($AA1671)))</f>
        <v/>
      </c>
    </row>
    <row r="1673" ht="21" customHeight="1" s="66">
      <c r="A1673" s="56" t="n"/>
      <c r="B1673" s="57" t="n"/>
      <c r="C1673" s="57" t="n"/>
      <c r="D1673" s="57" t="n"/>
      <c r="E1673" s="56" t="n"/>
      <c r="F1673" s="57" t="n"/>
      <c r="G1673" s="57" t="n"/>
      <c r="H1673" s="56" t="n"/>
      <c r="I1673" s="56" t="n"/>
      <c r="J1673" s="58" t="n"/>
      <c r="K1673" s="58" t="n"/>
      <c r="L1673" s="13">
        <f>IF(OR($A1673="",AND($J1673="",$K1673="")),"",ROUND(N($J1673)-N($K1673),2))</f>
        <v/>
      </c>
      <c r="M1673" s="13">
        <f>IF(OR($A1673="",AND($J1673="",$K1673="")),"",MIN($J1673,$K1673))</f>
        <v/>
      </c>
      <c r="Q1673">
        <f>IF($A1673="","",$D1673&amp;"("&amp;SUBSTITUTE($E1673," ","")&amp;")")</f>
        <v/>
      </c>
      <c r="R1673">
        <f>IF($A1673="","",$B1673&amp;" - "&amp;$C1673)</f>
        <v/>
      </c>
      <c r="S1673">
        <f>IF($A1673="","",$R1673&amp;"|"&amp;$Q1673)</f>
        <v/>
      </c>
      <c r="T1673">
        <f>IF($A1673="","",$S1673&amp;"|"&amp;$F1673)</f>
        <v/>
      </c>
      <c r="U1673">
        <f>IF($A1673="","",$R1673&amp;"("&amp;$E1673&amp;")")</f>
        <v/>
      </c>
      <c r="V1673">
        <f>IF($A1673="","",$F1673&amp;"|"&amp;$U1673&amp;"|"&amp;$D1673)</f>
        <v/>
      </c>
      <c r="W1673">
        <f>IF($T1673="","",IF($X1673&gt;N($X1672),$X1673,""))</f>
        <v/>
      </c>
      <c r="X1673">
        <f>IF($T1673="",N($X1672),IF(MATCH($T1673,$T$6:$T$6005,0)=ROW()-5,N($X1672)+1,N($X1672)))</f>
        <v/>
      </c>
      <c r="Z1673">
        <f>IF($V1673="","",IF($AA1673&gt;N($AA1672),$AA1673,""))</f>
        <v/>
      </c>
      <c r="AA1673">
        <f>IF($V1673="",N($AA1672),IF(MATCH($V1673,$V$6:$V$6005,0)=ROW()-5,N($AA1672)+1,N($AA1672)))</f>
        <v/>
      </c>
    </row>
    <row r="1674" ht="21" customHeight="1" s="66">
      <c r="A1674" s="56" t="n"/>
      <c r="B1674" s="57" t="n"/>
      <c r="C1674" s="57" t="n"/>
      <c r="D1674" s="57" t="n"/>
      <c r="E1674" s="56" t="n"/>
      <c r="F1674" s="57" t="n"/>
      <c r="G1674" s="57" t="n"/>
      <c r="H1674" s="56" t="n"/>
      <c r="I1674" s="56" t="n"/>
      <c r="J1674" s="58" t="n"/>
      <c r="K1674" s="58" t="n"/>
      <c r="L1674" s="13">
        <f>IF(OR($A1674="",AND($J1674="",$K1674="")),"",ROUND(N($J1674)-N($K1674),2))</f>
        <v/>
      </c>
      <c r="M1674" s="13">
        <f>IF(OR($A1674="",AND($J1674="",$K1674="")),"",MIN($J1674,$K1674))</f>
        <v/>
      </c>
      <c r="Q1674">
        <f>IF($A1674="","",$D1674&amp;"("&amp;SUBSTITUTE($E1674," ","")&amp;")")</f>
        <v/>
      </c>
      <c r="R1674">
        <f>IF($A1674="","",$B1674&amp;" - "&amp;$C1674)</f>
        <v/>
      </c>
      <c r="S1674">
        <f>IF($A1674="","",$R1674&amp;"|"&amp;$Q1674)</f>
        <v/>
      </c>
      <c r="T1674">
        <f>IF($A1674="","",$S1674&amp;"|"&amp;$F1674)</f>
        <v/>
      </c>
      <c r="U1674">
        <f>IF($A1674="","",$R1674&amp;"("&amp;$E1674&amp;")")</f>
        <v/>
      </c>
      <c r="V1674">
        <f>IF($A1674="","",$F1674&amp;"|"&amp;$U1674&amp;"|"&amp;$D1674)</f>
        <v/>
      </c>
      <c r="W1674">
        <f>IF($T1674="","",IF($X1674&gt;N($X1673),$X1674,""))</f>
        <v/>
      </c>
      <c r="X1674">
        <f>IF($T1674="",N($X1673),IF(MATCH($T1674,$T$6:$T$6005,0)=ROW()-5,N($X1673)+1,N($X1673)))</f>
        <v/>
      </c>
      <c r="Z1674">
        <f>IF($V1674="","",IF($AA1674&gt;N($AA1673),$AA1674,""))</f>
        <v/>
      </c>
      <c r="AA1674">
        <f>IF($V1674="",N($AA1673),IF(MATCH($V1674,$V$6:$V$6005,0)=ROW()-5,N($AA1673)+1,N($AA1673)))</f>
        <v/>
      </c>
    </row>
    <row r="1675" ht="21" customHeight="1" s="66">
      <c r="A1675" s="56" t="n"/>
      <c r="B1675" s="57" t="n"/>
      <c r="C1675" s="57" t="n"/>
      <c r="D1675" s="57" t="n"/>
      <c r="E1675" s="56" t="n"/>
      <c r="F1675" s="57" t="n"/>
      <c r="G1675" s="57" t="n"/>
      <c r="H1675" s="56" t="n"/>
      <c r="I1675" s="56" t="n"/>
      <c r="J1675" s="58" t="n"/>
      <c r="K1675" s="58" t="n"/>
      <c r="L1675" s="13">
        <f>IF(OR($A1675="",AND($J1675="",$K1675="")),"",ROUND(N($J1675)-N($K1675),2))</f>
        <v/>
      </c>
      <c r="M1675" s="13">
        <f>IF(OR($A1675="",AND($J1675="",$K1675="")),"",MIN($J1675,$K1675))</f>
        <v/>
      </c>
      <c r="Q1675">
        <f>IF($A1675="","",$D1675&amp;"("&amp;SUBSTITUTE($E1675," ","")&amp;")")</f>
        <v/>
      </c>
      <c r="R1675">
        <f>IF($A1675="","",$B1675&amp;" - "&amp;$C1675)</f>
        <v/>
      </c>
      <c r="S1675">
        <f>IF($A1675="","",$R1675&amp;"|"&amp;$Q1675)</f>
        <v/>
      </c>
      <c r="T1675">
        <f>IF($A1675="","",$S1675&amp;"|"&amp;$F1675)</f>
        <v/>
      </c>
      <c r="U1675">
        <f>IF($A1675="","",$R1675&amp;"("&amp;$E1675&amp;")")</f>
        <v/>
      </c>
      <c r="V1675">
        <f>IF($A1675="","",$F1675&amp;"|"&amp;$U1675&amp;"|"&amp;$D1675)</f>
        <v/>
      </c>
      <c r="W1675">
        <f>IF($T1675="","",IF($X1675&gt;N($X1674),$X1675,""))</f>
        <v/>
      </c>
      <c r="X1675">
        <f>IF($T1675="",N($X1674),IF(MATCH($T1675,$T$6:$T$6005,0)=ROW()-5,N($X1674)+1,N($X1674)))</f>
        <v/>
      </c>
      <c r="Z1675">
        <f>IF($V1675="","",IF($AA1675&gt;N($AA1674),$AA1675,""))</f>
        <v/>
      </c>
      <c r="AA1675">
        <f>IF($V1675="",N($AA1674),IF(MATCH($V1675,$V$6:$V$6005,0)=ROW()-5,N($AA1674)+1,N($AA1674)))</f>
        <v/>
      </c>
    </row>
    <row r="1676" ht="21" customHeight="1" s="66">
      <c r="A1676" s="56" t="n"/>
      <c r="B1676" s="57" t="n"/>
      <c r="C1676" s="57" t="n"/>
      <c r="D1676" s="57" t="n"/>
      <c r="E1676" s="56" t="n"/>
      <c r="F1676" s="57" t="n"/>
      <c r="G1676" s="57" t="n"/>
      <c r="H1676" s="56" t="n"/>
      <c r="I1676" s="56" t="n"/>
      <c r="J1676" s="58" t="n"/>
      <c r="K1676" s="58" t="n"/>
      <c r="L1676" s="13">
        <f>IF(OR($A1676="",AND($J1676="",$K1676="")),"",ROUND(N($J1676)-N($K1676),2))</f>
        <v/>
      </c>
      <c r="M1676" s="13">
        <f>IF(OR($A1676="",AND($J1676="",$K1676="")),"",MIN($J1676,$K1676))</f>
        <v/>
      </c>
      <c r="Q1676">
        <f>IF($A1676="","",$D1676&amp;"("&amp;SUBSTITUTE($E1676," ","")&amp;")")</f>
        <v/>
      </c>
      <c r="R1676">
        <f>IF($A1676="","",$B1676&amp;" - "&amp;$C1676)</f>
        <v/>
      </c>
      <c r="S1676">
        <f>IF($A1676="","",$R1676&amp;"|"&amp;$Q1676)</f>
        <v/>
      </c>
      <c r="T1676">
        <f>IF($A1676="","",$S1676&amp;"|"&amp;$F1676)</f>
        <v/>
      </c>
      <c r="U1676">
        <f>IF($A1676="","",$R1676&amp;"("&amp;$E1676&amp;")")</f>
        <v/>
      </c>
      <c r="V1676">
        <f>IF($A1676="","",$F1676&amp;"|"&amp;$U1676&amp;"|"&amp;$D1676)</f>
        <v/>
      </c>
      <c r="W1676">
        <f>IF($T1676="","",IF($X1676&gt;N($X1675),$X1676,""))</f>
        <v/>
      </c>
      <c r="X1676">
        <f>IF($T1676="",N($X1675),IF(MATCH($T1676,$T$6:$T$6005,0)=ROW()-5,N($X1675)+1,N($X1675)))</f>
        <v/>
      </c>
      <c r="Z1676">
        <f>IF($V1676="","",IF($AA1676&gt;N($AA1675),$AA1676,""))</f>
        <v/>
      </c>
      <c r="AA1676">
        <f>IF($V1676="",N($AA1675),IF(MATCH($V1676,$V$6:$V$6005,0)=ROW()-5,N($AA1675)+1,N($AA1675)))</f>
        <v/>
      </c>
    </row>
    <row r="1677" ht="21" customHeight="1" s="66">
      <c r="A1677" s="56" t="n"/>
      <c r="B1677" s="57" t="n"/>
      <c r="C1677" s="57" t="n"/>
      <c r="D1677" s="57" t="n"/>
      <c r="E1677" s="56" t="n"/>
      <c r="F1677" s="57" t="n"/>
      <c r="G1677" s="57" t="n"/>
      <c r="H1677" s="56" t="n"/>
      <c r="I1677" s="56" t="n"/>
      <c r="J1677" s="58" t="n"/>
      <c r="K1677" s="58" t="n"/>
      <c r="L1677" s="13">
        <f>IF(OR($A1677="",AND($J1677="",$K1677="")),"",ROUND(N($J1677)-N($K1677),2))</f>
        <v/>
      </c>
      <c r="M1677" s="13">
        <f>IF(OR($A1677="",AND($J1677="",$K1677="")),"",MIN($J1677,$K1677))</f>
        <v/>
      </c>
      <c r="Q1677">
        <f>IF($A1677="","",$D1677&amp;"("&amp;SUBSTITUTE($E1677," ","")&amp;")")</f>
        <v/>
      </c>
      <c r="R1677">
        <f>IF($A1677="","",$B1677&amp;" - "&amp;$C1677)</f>
        <v/>
      </c>
      <c r="S1677">
        <f>IF($A1677="","",$R1677&amp;"|"&amp;$Q1677)</f>
        <v/>
      </c>
      <c r="T1677">
        <f>IF($A1677="","",$S1677&amp;"|"&amp;$F1677)</f>
        <v/>
      </c>
      <c r="U1677">
        <f>IF($A1677="","",$R1677&amp;"("&amp;$E1677&amp;")")</f>
        <v/>
      </c>
      <c r="V1677">
        <f>IF($A1677="","",$F1677&amp;"|"&amp;$U1677&amp;"|"&amp;$D1677)</f>
        <v/>
      </c>
      <c r="W1677">
        <f>IF($T1677="","",IF($X1677&gt;N($X1676),$X1677,""))</f>
        <v/>
      </c>
      <c r="X1677">
        <f>IF($T1677="",N($X1676),IF(MATCH($T1677,$T$6:$T$6005,0)=ROW()-5,N($X1676)+1,N($X1676)))</f>
        <v/>
      </c>
      <c r="Z1677">
        <f>IF($V1677="","",IF($AA1677&gt;N($AA1676),$AA1677,""))</f>
        <v/>
      </c>
      <c r="AA1677">
        <f>IF($V1677="",N($AA1676),IF(MATCH($V1677,$V$6:$V$6005,0)=ROW()-5,N($AA1676)+1,N($AA1676)))</f>
        <v/>
      </c>
    </row>
    <row r="1678" ht="21" customHeight="1" s="66">
      <c r="A1678" s="56" t="n"/>
      <c r="B1678" s="57" t="n"/>
      <c r="C1678" s="57" t="n"/>
      <c r="D1678" s="57" t="n"/>
      <c r="E1678" s="56" t="n"/>
      <c r="F1678" s="57" t="n"/>
      <c r="G1678" s="57" t="n"/>
      <c r="H1678" s="56" t="n"/>
      <c r="I1678" s="56" t="n"/>
      <c r="J1678" s="58" t="n"/>
      <c r="K1678" s="58" t="n"/>
      <c r="L1678" s="13">
        <f>IF(OR($A1678="",AND($J1678="",$K1678="")),"",ROUND(N($J1678)-N($K1678),2))</f>
        <v/>
      </c>
      <c r="M1678" s="13">
        <f>IF(OR($A1678="",AND($J1678="",$K1678="")),"",MIN($J1678,$K1678))</f>
        <v/>
      </c>
      <c r="Q1678">
        <f>IF($A1678="","",$D1678&amp;"("&amp;SUBSTITUTE($E1678," ","")&amp;")")</f>
        <v/>
      </c>
      <c r="R1678">
        <f>IF($A1678="","",$B1678&amp;" - "&amp;$C1678)</f>
        <v/>
      </c>
      <c r="S1678">
        <f>IF($A1678="","",$R1678&amp;"|"&amp;$Q1678)</f>
        <v/>
      </c>
      <c r="T1678">
        <f>IF($A1678="","",$S1678&amp;"|"&amp;$F1678)</f>
        <v/>
      </c>
      <c r="U1678">
        <f>IF($A1678="","",$R1678&amp;"("&amp;$E1678&amp;")")</f>
        <v/>
      </c>
      <c r="V1678">
        <f>IF($A1678="","",$F1678&amp;"|"&amp;$U1678&amp;"|"&amp;$D1678)</f>
        <v/>
      </c>
      <c r="W1678">
        <f>IF($T1678="","",IF($X1678&gt;N($X1677),$X1678,""))</f>
        <v/>
      </c>
      <c r="X1678">
        <f>IF($T1678="",N($X1677),IF(MATCH($T1678,$T$6:$T$6005,0)=ROW()-5,N($X1677)+1,N($X1677)))</f>
        <v/>
      </c>
      <c r="Z1678">
        <f>IF($V1678="","",IF($AA1678&gt;N($AA1677),$AA1678,""))</f>
        <v/>
      </c>
      <c r="AA1678">
        <f>IF($V1678="",N($AA1677),IF(MATCH($V1678,$V$6:$V$6005,0)=ROW()-5,N($AA1677)+1,N($AA1677)))</f>
        <v/>
      </c>
    </row>
    <row r="1679" ht="21" customHeight="1" s="66">
      <c r="A1679" s="56" t="n"/>
      <c r="B1679" s="57" t="n"/>
      <c r="C1679" s="57" t="n"/>
      <c r="D1679" s="57" t="n"/>
      <c r="E1679" s="56" t="n"/>
      <c r="F1679" s="57" t="n"/>
      <c r="G1679" s="57" t="n"/>
      <c r="H1679" s="56" t="n"/>
      <c r="I1679" s="56" t="n"/>
      <c r="J1679" s="58" t="n"/>
      <c r="K1679" s="58" t="n"/>
      <c r="L1679" s="13">
        <f>IF(OR($A1679="",AND($J1679="",$K1679="")),"",ROUND(N($J1679)-N($K1679),2))</f>
        <v/>
      </c>
      <c r="M1679" s="13">
        <f>IF(OR($A1679="",AND($J1679="",$K1679="")),"",MIN($J1679,$K1679))</f>
        <v/>
      </c>
      <c r="Q1679">
        <f>IF($A1679="","",$D1679&amp;"("&amp;SUBSTITUTE($E1679," ","")&amp;")")</f>
        <v/>
      </c>
      <c r="R1679">
        <f>IF($A1679="","",$B1679&amp;" - "&amp;$C1679)</f>
        <v/>
      </c>
      <c r="S1679">
        <f>IF($A1679="","",$R1679&amp;"|"&amp;$Q1679)</f>
        <v/>
      </c>
      <c r="T1679">
        <f>IF($A1679="","",$S1679&amp;"|"&amp;$F1679)</f>
        <v/>
      </c>
      <c r="U1679">
        <f>IF($A1679="","",$R1679&amp;"("&amp;$E1679&amp;")")</f>
        <v/>
      </c>
      <c r="V1679">
        <f>IF($A1679="","",$F1679&amp;"|"&amp;$U1679&amp;"|"&amp;$D1679)</f>
        <v/>
      </c>
      <c r="W1679">
        <f>IF($T1679="","",IF($X1679&gt;N($X1678),$X1679,""))</f>
        <v/>
      </c>
      <c r="X1679">
        <f>IF($T1679="",N($X1678),IF(MATCH($T1679,$T$6:$T$6005,0)=ROW()-5,N($X1678)+1,N($X1678)))</f>
        <v/>
      </c>
      <c r="Z1679">
        <f>IF($V1679="","",IF($AA1679&gt;N($AA1678),$AA1679,""))</f>
        <v/>
      </c>
      <c r="AA1679">
        <f>IF($V1679="",N($AA1678),IF(MATCH($V1679,$V$6:$V$6005,0)=ROW()-5,N($AA1678)+1,N($AA1678)))</f>
        <v/>
      </c>
    </row>
    <row r="1680" ht="21" customHeight="1" s="66">
      <c r="A1680" s="56" t="n"/>
      <c r="B1680" s="57" t="n"/>
      <c r="C1680" s="57" t="n"/>
      <c r="D1680" s="57" t="n"/>
      <c r="E1680" s="56" t="n"/>
      <c r="F1680" s="57" t="n"/>
      <c r="G1680" s="57" t="n"/>
      <c r="H1680" s="56" t="n"/>
      <c r="I1680" s="56" t="n"/>
      <c r="J1680" s="58" t="n"/>
      <c r="K1680" s="58" t="n"/>
      <c r="L1680" s="13">
        <f>IF(OR($A1680="",AND($J1680="",$K1680="")),"",ROUND(N($J1680)-N($K1680),2))</f>
        <v/>
      </c>
      <c r="M1680" s="13">
        <f>IF(OR($A1680="",AND($J1680="",$K1680="")),"",MIN($J1680,$K1680))</f>
        <v/>
      </c>
      <c r="Q1680">
        <f>IF($A1680="","",$D1680&amp;"("&amp;SUBSTITUTE($E1680," ","")&amp;")")</f>
        <v/>
      </c>
      <c r="R1680">
        <f>IF($A1680="","",$B1680&amp;" - "&amp;$C1680)</f>
        <v/>
      </c>
      <c r="S1680">
        <f>IF($A1680="","",$R1680&amp;"|"&amp;$Q1680)</f>
        <v/>
      </c>
      <c r="T1680">
        <f>IF($A1680="","",$S1680&amp;"|"&amp;$F1680)</f>
        <v/>
      </c>
      <c r="U1680">
        <f>IF($A1680="","",$R1680&amp;"("&amp;$E1680&amp;")")</f>
        <v/>
      </c>
      <c r="V1680">
        <f>IF($A1680="","",$F1680&amp;"|"&amp;$U1680&amp;"|"&amp;$D1680)</f>
        <v/>
      </c>
      <c r="W1680">
        <f>IF($T1680="","",IF($X1680&gt;N($X1679),$X1680,""))</f>
        <v/>
      </c>
      <c r="X1680">
        <f>IF($T1680="",N($X1679),IF(MATCH($T1680,$T$6:$T$6005,0)=ROW()-5,N($X1679)+1,N($X1679)))</f>
        <v/>
      </c>
      <c r="Z1680">
        <f>IF($V1680="","",IF($AA1680&gt;N($AA1679),$AA1680,""))</f>
        <v/>
      </c>
      <c r="AA1680">
        <f>IF($V1680="",N($AA1679),IF(MATCH($V1680,$V$6:$V$6005,0)=ROW()-5,N($AA1679)+1,N($AA1679)))</f>
        <v/>
      </c>
    </row>
    <row r="1681" ht="21" customHeight="1" s="66">
      <c r="A1681" s="56" t="n"/>
      <c r="B1681" s="57" t="n"/>
      <c r="C1681" s="57" t="n"/>
      <c r="D1681" s="57" t="n"/>
      <c r="E1681" s="56" t="n"/>
      <c r="F1681" s="57" t="n"/>
      <c r="G1681" s="57" t="n"/>
      <c r="H1681" s="56" t="n"/>
      <c r="I1681" s="56" t="n"/>
      <c r="J1681" s="58" t="n"/>
      <c r="K1681" s="58" t="n"/>
      <c r="L1681" s="13">
        <f>IF(OR($A1681="",AND($J1681="",$K1681="")),"",ROUND(N($J1681)-N($K1681),2))</f>
        <v/>
      </c>
      <c r="M1681" s="13">
        <f>IF(OR($A1681="",AND($J1681="",$K1681="")),"",MIN($J1681,$K1681))</f>
        <v/>
      </c>
      <c r="Q1681">
        <f>IF($A1681="","",$D1681&amp;"("&amp;SUBSTITUTE($E1681," ","")&amp;")")</f>
        <v/>
      </c>
      <c r="R1681">
        <f>IF($A1681="","",$B1681&amp;" - "&amp;$C1681)</f>
        <v/>
      </c>
      <c r="S1681">
        <f>IF($A1681="","",$R1681&amp;"|"&amp;$Q1681)</f>
        <v/>
      </c>
      <c r="T1681">
        <f>IF($A1681="","",$S1681&amp;"|"&amp;$F1681)</f>
        <v/>
      </c>
      <c r="U1681">
        <f>IF($A1681="","",$R1681&amp;"("&amp;$E1681&amp;")")</f>
        <v/>
      </c>
      <c r="V1681">
        <f>IF($A1681="","",$F1681&amp;"|"&amp;$U1681&amp;"|"&amp;$D1681)</f>
        <v/>
      </c>
      <c r="W1681">
        <f>IF($T1681="","",IF($X1681&gt;N($X1680),$X1681,""))</f>
        <v/>
      </c>
      <c r="X1681">
        <f>IF($T1681="",N($X1680),IF(MATCH($T1681,$T$6:$T$6005,0)=ROW()-5,N($X1680)+1,N($X1680)))</f>
        <v/>
      </c>
      <c r="Z1681">
        <f>IF($V1681="","",IF($AA1681&gt;N($AA1680),$AA1681,""))</f>
        <v/>
      </c>
      <c r="AA1681">
        <f>IF($V1681="",N($AA1680),IF(MATCH($V1681,$V$6:$V$6005,0)=ROW()-5,N($AA1680)+1,N($AA1680)))</f>
        <v/>
      </c>
    </row>
    <row r="1682" ht="21" customHeight="1" s="66">
      <c r="A1682" s="56" t="n"/>
      <c r="B1682" s="57" t="n"/>
      <c r="C1682" s="57" t="n"/>
      <c r="D1682" s="57" t="n"/>
      <c r="E1682" s="56" t="n"/>
      <c r="F1682" s="57" t="n"/>
      <c r="G1682" s="57" t="n"/>
      <c r="H1682" s="56" t="n"/>
      <c r="I1682" s="56" t="n"/>
      <c r="J1682" s="58" t="n"/>
      <c r="K1682" s="58" t="n"/>
      <c r="L1682" s="13">
        <f>IF(OR($A1682="",AND($J1682="",$K1682="")),"",ROUND(N($J1682)-N($K1682),2))</f>
        <v/>
      </c>
      <c r="M1682" s="13">
        <f>IF(OR($A1682="",AND($J1682="",$K1682="")),"",MIN($J1682,$K1682))</f>
        <v/>
      </c>
      <c r="Q1682">
        <f>IF($A1682="","",$D1682&amp;"("&amp;SUBSTITUTE($E1682," ","")&amp;")")</f>
        <v/>
      </c>
      <c r="R1682">
        <f>IF($A1682="","",$B1682&amp;" - "&amp;$C1682)</f>
        <v/>
      </c>
      <c r="S1682">
        <f>IF($A1682="","",$R1682&amp;"|"&amp;$Q1682)</f>
        <v/>
      </c>
      <c r="T1682">
        <f>IF($A1682="","",$S1682&amp;"|"&amp;$F1682)</f>
        <v/>
      </c>
      <c r="U1682">
        <f>IF($A1682="","",$R1682&amp;"("&amp;$E1682&amp;")")</f>
        <v/>
      </c>
      <c r="V1682">
        <f>IF($A1682="","",$F1682&amp;"|"&amp;$U1682&amp;"|"&amp;$D1682)</f>
        <v/>
      </c>
      <c r="W1682">
        <f>IF($T1682="","",IF($X1682&gt;N($X1681),$X1682,""))</f>
        <v/>
      </c>
      <c r="X1682">
        <f>IF($T1682="",N($X1681),IF(MATCH($T1682,$T$6:$T$6005,0)=ROW()-5,N($X1681)+1,N($X1681)))</f>
        <v/>
      </c>
      <c r="Z1682">
        <f>IF($V1682="","",IF($AA1682&gt;N($AA1681),$AA1682,""))</f>
        <v/>
      </c>
      <c r="AA1682">
        <f>IF($V1682="",N($AA1681),IF(MATCH($V1682,$V$6:$V$6005,0)=ROW()-5,N($AA1681)+1,N($AA1681)))</f>
        <v/>
      </c>
    </row>
    <row r="1683" ht="21" customHeight="1" s="66">
      <c r="A1683" s="56" t="n"/>
      <c r="B1683" s="57" t="n"/>
      <c r="C1683" s="57" t="n"/>
      <c r="D1683" s="57" t="n"/>
      <c r="E1683" s="56" t="n"/>
      <c r="F1683" s="57" t="n"/>
      <c r="G1683" s="57" t="n"/>
      <c r="H1683" s="56" t="n"/>
      <c r="I1683" s="56" t="n"/>
      <c r="J1683" s="58" t="n"/>
      <c r="K1683" s="58" t="n"/>
      <c r="L1683" s="13">
        <f>IF(OR($A1683="",AND($J1683="",$K1683="")),"",ROUND(N($J1683)-N($K1683),2))</f>
        <v/>
      </c>
      <c r="M1683" s="13">
        <f>IF(OR($A1683="",AND($J1683="",$K1683="")),"",MIN($J1683,$K1683))</f>
        <v/>
      </c>
      <c r="Q1683">
        <f>IF($A1683="","",$D1683&amp;"("&amp;SUBSTITUTE($E1683," ","")&amp;")")</f>
        <v/>
      </c>
      <c r="R1683">
        <f>IF($A1683="","",$B1683&amp;" - "&amp;$C1683)</f>
        <v/>
      </c>
      <c r="S1683">
        <f>IF($A1683="","",$R1683&amp;"|"&amp;$Q1683)</f>
        <v/>
      </c>
      <c r="T1683">
        <f>IF($A1683="","",$S1683&amp;"|"&amp;$F1683)</f>
        <v/>
      </c>
      <c r="U1683">
        <f>IF($A1683="","",$R1683&amp;"("&amp;$E1683&amp;")")</f>
        <v/>
      </c>
      <c r="V1683">
        <f>IF($A1683="","",$F1683&amp;"|"&amp;$U1683&amp;"|"&amp;$D1683)</f>
        <v/>
      </c>
      <c r="W1683">
        <f>IF($T1683="","",IF($X1683&gt;N($X1682),$X1683,""))</f>
        <v/>
      </c>
      <c r="X1683">
        <f>IF($T1683="",N($X1682),IF(MATCH($T1683,$T$6:$T$6005,0)=ROW()-5,N($X1682)+1,N($X1682)))</f>
        <v/>
      </c>
      <c r="Z1683">
        <f>IF($V1683="","",IF($AA1683&gt;N($AA1682),$AA1683,""))</f>
        <v/>
      </c>
      <c r="AA1683">
        <f>IF($V1683="",N($AA1682),IF(MATCH($V1683,$V$6:$V$6005,0)=ROW()-5,N($AA1682)+1,N($AA1682)))</f>
        <v/>
      </c>
    </row>
    <row r="1684" ht="21" customHeight="1" s="66">
      <c r="A1684" s="56" t="n"/>
      <c r="B1684" s="57" t="n"/>
      <c r="C1684" s="57" t="n"/>
      <c r="D1684" s="57" t="n"/>
      <c r="E1684" s="56" t="n"/>
      <c r="F1684" s="57" t="n"/>
      <c r="G1684" s="57" t="n"/>
      <c r="H1684" s="56" t="n"/>
      <c r="I1684" s="56" t="n"/>
      <c r="J1684" s="58" t="n"/>
      <c r="K1684" s="58" t="n"/>
      <c r="L1684" s="13">
        <f>IF(OR($A1684="",AND($J1684="",$K1684="")),"",ROUND(N($J1684)-N($K1684),2))</f>
        <v/>
      </c>
      <c r="M1684" s="13">
        <f>IF(OR($A1684="",AND($J1684="",$K1684="")),"",MIN($J1684,$K1684))</f>
        <v/>
      </c>
      <c r="Q1684">
        <f>IF($A1684="","",$D1684&amp;"("&amp;SUBSTITUTE($E1684," ","")&amp;")")</f>
        <v/>
      </c>
      <c r="R1684">
        <f>IF($A1684="","",$B1684&amp;" - "&amp;$C1684)</f>
        <v/>
      </c>
      <c r="S1684">
        <f>IF($A1684="","",$R1684&amp;"|"&amp;$Q1684)</f>
        <v/>
      </c>
      <c r="T1684">
        <f>IF($A1684="","",$S1684&amp;"|"&amp;$F1684)</f>
        <v/>
      </c>
      <c r="U1684">
        <f>IF($A1684="","",$R1684&amp;"("&amp;$E1684&amp;")")</f>
        <v/>
      </c>
      <c r="V1684">
        <f>IF($A1684="","",$F1684&amp;"|"&amp;$U1684&amp;"|"&amp;$D1684)</f>
        <v/>
      </c>
      <c r="W1684">
        <f>IF($T1684="","",IF($X1684&gt;N($X1683),$X1684,""))</f>
        <v/>
      </c>
      <c r="X1684">
        <f>IF($T1684="",N($X1683),IF(MATCH($T1684,$T$6:$T$6005,0)=ROW()-5,N($X1683)+1,N($X1683)))</f>
        <v/>
      </c>
      <c r="Z1684">
        <f>IF($V1684="","",IF($AA1684&gt;N($AA1683),$AA1684,""))</f>
        <v/>
      </c>
      <c r="AA1684">
        <f>IF($V1684="",N($AA1683),IF(MATCH($V1684,$V$6:$V$6005,0)=ROW()-5,N($AA1683)+1,N($AA1683)))</f>
        <v/>
      </c>
    </row>
    <row r="1685" ht="21" customHeight="1" s="66">
      <c r="A1685" s="56" t="n"/>
      <c r="B1685" s="57" t="n"/>
      <c r="C1685" s="57" t="n"/>
      <c r="D1685" s="57" t="n"/>
      <c r="E1685" s="56" t="n"/>
      <c r="F1685" s="57" t="n"/>
      <c r="G1685" s="57" t="n"/>
      <c r="H1685" s="56" t="n"/>
      <c r="I1685" s="56" t="n"/>
      <c r="J1685" s="58" t="n"/>
      <c r="K1685" s="58" t="n"/>
      <c r="L1685" s="13">
        <f>IF(OR($A1685="",AND($J1685="",$K1685="")),"",ROUND(N($J1685)-N($K1685),2))</f>
        <v/>
      </c>
      <c r="M1685" s="13">
        <f>IF(OR($A1685="",AND($J1685="",$K1685="")),"",MIN($J1685,$K1685))</f>
        <v/>
      </c>
      <c r="Q1685">
        <f>IF($A1685="","",$D1685&amp;"("&amp;SUBSTITUTE($E1685," ","")&amp;")")</f>
        <v/>
      </c>
      <c r="R1685">
        <f>IF($A1685="","",$B1685&amp;" - "&amp;$C1685)</f>
        <v/>
      </c>
      <c r="S1685">
        <f>IF($A1685="","",$R1685&amp;"|"&amp;$Q1685)</f>
        <v/>
      </c>
      <c r="T1685">
        <f>IF($A1685="","",$S1685&amp;"|"&amp;$F1685)</f>
        <v/>
      </c>
      <c r="U1685">
        <f>IF($A1685="","",$R1685&amp;"("&amp;$E1685&amp;")")</f>
        <v/>
      </c>
      <c r="V1685">
        <f>IF($A1685="","",$F1685&amp;"|"&amp;$U1685&amp;"|"&amp;$D1685)</f>
        <v/>
      </c>
      <c r="W1685">
        <f>IF($T1685="","",IF($X1685&gt;N($X1684),$X1685,""))</f>
        <v/>
      </c>
      <c r="X1685">
        <f>IF($T1685="",N($X1684),IF(MATCH($T1685,$T$6:$T$6005,0)=ROW()-5,N($X1684)+1,N($X1684)))</f>
        <v/>
      </c>
      <c r="Z1685">
        <f>IF($V1685="","",IF($AA1685&gt;N($AA1684),$AA1685,""))</f>
        <v/>
      </c>
      <c r="AA1685">
        <f>IF($V1685="",N($AA1684),IF(MATCH($V1685,$V$6:$V$6005,0)=ROW()-5,N($AA1684)+1,N($AA1684)))</f>
        <v/>
      </c>
    </row>
    <row r="1686" ht="21" customHeight="1" s="66">
      <c r="A1686" s="56" t="n"/>
      <c r="B1686" s="57" t="n"/>
      <c r="C1686" s="57" t="n"/>
      <c r="D1686" s="57" t="n"/>
      <c r="E1686" s="56" t="n"/>
      <c r="F1686" s="57" t="n"/>
      <c r="G1686" s="57" t="n"/>
      <c r="H1686" s="56" t="n"/>
      <c r="I1686" s="56" t="n"/>
      <c r="J1686" s="58" t="n"/>
      <c r="K1686" s="58" t="n"/>
      <c r="L1686" s="13">
        <f>IF(OR($A1686="",AND($J1686="",$K1686="")),"",ROUND(N($J1686)-N($K1686),2))</f>
        <v/>
      </c>
      <c r="M1686" s="13">
        <f>IF(OR($A1686="",AND($J1686="",$K1686="")),"",MIN($J1686,$K1686))</f>
        <v/>
      </c>
      <c r="Q1686">
        <f>IF($A1686="","",$D1686&amp;"("&amp;SUBSTITUTE($E1686," ","")&amp;")")</f>
        <v/>
      </c>
      <c r="R1686">
        <f>IF($A1686="","",$B1686&amp;" - "&amp;$C1686)</f>
        <v/>
      </c>
      <c r="S1686">
        <f>IF($A1686="","",$R1686&amp;"|"&amp;$Q1686)</f>
        <v/>
      </c>
      <c r="T1686">
        <f>IF($A1686="","",$S1686&amp;"|"&amp;$F1686)</f>
        <v/>
      </c>
      <c r="U1686">
        <f>IF($A1686="","",$R1686&amp;"("&amp;$E1686&amp;")")</f>
        <v/>
      </c>
      <c r="V1686">
        <f>IF($A1686="","",$F1686&amp;"|"&amp;$U1686&amp;"|"&amp;$D1686)</f>
        <v/>
      </c>
      <c r="W1686">
        <f>IF($T1686="","",IF($X1686&gt;N($X1685),$X1686,""))</f>
        <v/>
      </c>
      <c r="X1686">
        <f>IF($T1686="",N($X1685),IF(MATCH($T1686,$T$6:$T$6005,0)=ROW()-5,N($X1685)+1,N($X1685)))</f>
        <v/>
      </c>
      <c r="Z1686">
        <f>IF($V1686="","",IF($AA1686&gt;N($AA1685),$AA1686,""))</f>
        <v/>
      </c>
      <c r="AA1686">
        <f>IF($V1686="",N($AA1685),IF(MATCH($V1686,$V$6:$V$6005,0)=ROW()-5,N($AA1685)+1,N($AA1685)))</f>
        <v/>
      </c>
    </row>
    <row r="1687" ht="21" customHeight="1" s="66">
      <c r="A1687" s="56" t="n"/>
      <c r="B1687" s="57" t="n"/>
      <c r="C1687" s="57" t="n"/>
      <c r="D1687" s="57" t="n"/>
      <c r="E1687" s="56" t="n"/>
      <c r="F1687" s="57" t="n"/>
      <c r="G1687" s="57" t="n"/>
      <c r="H1687" s="56" t="n"/>
      <c r="I1687" s="56" t="n"/>
      <c r="J1687" s="58" t="n"/>
      <c r="K1687" s="58" t="n"/>
      <c r="L1687" s="13">
        <f>IF(OR($A1687="",AND($J1687="",$K1687="")),"",ROUND(N($J1687)-N($K1687),2))</f>
        <v/>
      </c>
      <c r="M1687" s="13">
        <f>IF(OR($A1687="",AND($J1687="",$K1687="")),"",MIN($J1687,$K1687))</f>
        <v/>
      </c>
      <c r="Q1687">
        <f>IF($A1687="","",$D1687&amp;"("&amp;SUBSTITUTE($E1687," ","")&amp;")")</f>
        <v/>
      </c>
      <c r="R1687">
        <f>IF($A1687="","",$B1687&amp;" - "&amp;$C1687)</f>
        <v/>
      </c>
      <c r="S1687">
        <f>IF($A1687="","",$R1687&amp;"|"&amp;$Q1687)</f>
        <v/>
      </c>
      <c r="T1687">
        <f>IF($A1687="","",$S1687&amp;"|"&amp;$F1687)</f>
        <v/>
      </c>
      <c r="U1687">
        <f>IF($A1687="","",$R1687&amp;"("&amp;$E1687&amp;")")</f>
        <v/>
      </c>
      <c r="V1687">
        <f>IF($A1687="","",$F1687&amp;"|"&amp;$U1687&amp;"|"&amp;$D1687)</f>
        <v/>
      </c>
      <c r="W1687">
        <f>IF($T1687="","",IF($X1687&gt;N($X1686),$X1687,""))</f>
        <v/>
      </c>
      <c r="X1687">
        <f>IF($T1687="",N($X1686),IF(MATCH($T1687,$T$6:$T$6005,0)=ROW()-5,N($X1686)+1,N($X1686)))</f>
        <v/>
      </c>
      <c r="Z1687">
        <f>IF($V1687="","",IF($AA1687&gt;N($AA1686),$AA1687,""))</f>
        <v/>
      </c>
      <c r="AA1687">
        <f>IF($V1687="",N($AA1686),IF(MATCH($V1687,$V$6:$V$6005,0)=ROW()-5,N($AA1686)+1,N($AA1686)))</f>
        <v/>
      </c>
    </row>
    <row r="1688" ht="21" customHeight="1" s="66">
      <c r="A1688" s="56" t="n"/>
      <c r="B1688" s="57" t="n"/>
      <c r="C1688" s="57" t="n"/>
      <c r="D1688" s="57" t="n"/>
      <c r="E1688" s="56" t="n"/>
      <c r="F1688" s="57" t="n"/>
      <c r="G1688" s="57" t="n"/>
      <c r="H1688" s="56" t="n"/>
      <c r="I1688" s="56" t="n"/>
      <c r="J1688" s="58" t="n"/>
      <c r="K1688" s="58" t="n"/>
      <c r="L1688" s="13">
        <f>IF(OR($A1688="",AND($J1688="",$K1688="")),"",ROUND(N($J1688)-N($K1688),2))</f>
        <v/>
      </c>
      <c r="M1688" s="13">
        <f>IF(OR($A1688="",AND($J1688="",$K1688="")),"",MIN($J1688,$K1688))</f>
        <v/>
      </c>
      <c r="Q1688">
        <f>IF($A1688="","",$D1688&amp;"("&amp;SUBSTITUTE($E1688," ","")&amp;")")</f>
        <v/>
      </c>
      <c r="R1688">
        <f>IF($A1688="","",$B1688&amp;" - "&amp;$C1688)</f>
        <v/>
      </c>
      <c r="S1688">
        <f>IF($A1688="","",$R1688&amp;"|"&amp;$Q1688)</f>
        <v/>
      </c>
      <c r="T1688">
        <f>IF($A1688="","",$S1688&amp;"|"&amp;$F1688)</f>
        <v/>
      </c>
      <c r="U1688">
        <f>IF($A1688="","",$R1688&amp;"("&amp;$E1688&amp;")")</f>
        <v/>
      </c>
      <c r="V1688">
        <f>IF($A1688="","",$F1688&amp;"|"&amp;$U1688&amp;"|"&amp;$D1688)</f>
        <v/>
      </c>
      <c r="W1688">
        <f>IF($T1688="","",IF($X1688&gt;N($X1687),$X1688,""))</f>
        <v/>
      </c>
      <c r="X1688">
        <f>IF($T1688="",N($X1687),IF(MATCH($T1688,$T$6:$T$6005,0)=ROW()-5,N($X1687)+1,N($X1687)))</f>
        <v/>
      </c>
      <c r="Z1688">
        <f>IF($V1688="","",IF($AA1688&gt;N($AA1687),$AA1688,""))</f>
        <v/>
      </c>
      <c r="AA1688">
        <f>IF($V1688="",N($AA1687),IF(MATCH($V1688,$V$6:$V$6005,0)=ROW()-5,N($AA1687)+1,N($AA1687)))</f>
        <v/>
      </c>
    </row>
    <row r="1689" ht="21" customHeight="1" s="66">
      <c r="A1689" s="56" t="n"/>
      <c r="B1689" s="57" t="n"/>
      <c r="C1689" s="57" t="n"/>
      <c r="D1689" s="57" t="n"/>
      <c r="E1689" s="56" t="n"/>
      <c r="F1689" s="57" t="n"/>
      <c r="G1689" s="57" t="n"/>
      <c r="H1689" s="56" t="n"/>
      <c r="I1689" s="56" t="n"/>
      <c r="J1689" s="58" t="n"/>
      <c r="K1689" s="58" t="n"/>
      <c r="L1689" s="13">
        <f>IF(OR($A1689="",AND($J1689="",$K1689="")),"",ROUND(N($J1689)-N($K1689),2))</f>
        <v/>
      </c>
      <c r="M1689" s="13">
        <f>IF(OR($A1689="",AND($J1689="",$K1689="")),"",MIN($J1689,$K1689))</f>
        <v/>
      </c>
      <c r="Q1689">
        <f>IF($A1689="","",$D1689&amp;"("&amp;SUBSTITUTE($E1689," ","")&amp;")")</f>
        <v/>
      </c>
      <c r="R1689">
        <f>IF($A1689="","",$B1689&amp;" - "&amp;$C1689)</f>
        <v/>
      </c>
      <c r="S1689">
        <f>IF($A1689="","",$R1689&amp;"|"&amp;$Q1689)</f>
        <v/>
      </c>
      <c r="T1689">
        <f>IF($A1689="","",$S1689&amp;"|"&amp;$F1689)</f>
        <v/>
      </c>
      <c r="U1689">
        <f>IF($A1689="","",$R1689&amp;"("&amp;$E1689&amp;")")</f>
        <v/>
      </c>
      <c r="V1689">
        <f>IF($A1689="","",$F1689&amp;"|"&amp;$U1689&amp;"|"&amp;$D1689)</f>
        <v/>
      </c>
      <c r="W1689">
        <f>IF($T1689="","",IF($X1689&gt;N($X1688),$X1689,""))</f>
        <v/>
      </c>
      <c r="X1689">
        <f>IF($T1689="",N($X1688),IF(MATCH($T1689,$T$6:$T$6005,0)=ROW()-5,N($X1688)+1,N($X1688)))</f>
        <v/>
      </c>
      <c r="Z1689">
        <f>IF($V1689="","",IF($AA1689&gt;N($AA1688),$AA1689,""))</f>
        <v/>
      </c>
      <c r="AA1689">
        <f>IF($V1689="",N($AA1688),IF(MATCH($V1689,$V$6:$V$6005,0)=ROW()-5,N($AA1688)+1,N($AA1688)))</f>
        <v/>
      </c>
    </row>
    <row r="1690" ht="21" customHeight="1" s="66">
      <c r="A1690" s="56" t="n"/>
      <c r="B1690" s="57" t="n"/>
      <c r="C1690" s="57" t="n"/>
      <c r="D1690" s="57" t="n"/>
      <c r="E1690" s="56" t="n"/>
      <c r="F1690" s="57" t="n"/>
      <c r="G1690" s="57" t="n"/>
      <c r="H1690" s="56" t="n"/>
      <c r="I1690" s="56" t="n"/>
      <c r="J1690" s="58" t="n"/>
      <c r="K1690" s="58" t="n"/>
      <c r="L1690" s="13">
        <f>IF(OR($A1690="",AND($J1690="",$K1690="")),"",ROUND(N($J1690)-N($K1690),2))</f>
        <v/>
      </c>
      <c r="M1690" s="13">
        <f>IF(OR($A1690="",AND($J1690="",$K1690="")),"",MIN($J1690,$K1690))</f>
        <v/>
      </c>
      <c r="Q1690">
        <f>IF($A1690="","",$D1690&amp;"("&amp;SUBSTITUTE($E1690," ","")&amp;")")</f>
        <v/>
      </c>
      <c r="R1690">
        <f>IF($A1690="","",$B1690&amp;" - "&amp;$C1690)</f>
        <v/>
      </c>
      <c r="S1690">
        <f>IF($A1690="","",$R1690&amp;"|"&amp;$Q1690)</f>
        <v/>
      </c>
      <c r="T1690">
        <f>IF($A1690="","",$S1690&amp;"|"&amp;$F1690)</f>
        <v/>
      </c>
      <c r="U1690">
        <f>IF($A1690="","",$R1690&amp;"("&amp;$E1690&amp;")")</f>
        <v/>
      </c>
      <c r="V1690">
        <f>IF($A1690="","",$F1690&amp;"|"&amp;$U1690&amp;"|"&amp;$D1690)</f>
        <v/>
      </c>
      <c r="W1690">
        <f>IF($T1690="","",IF($X1690&gt;N($X1689),$X1690,""))</f>
        <v/>
      </c>
      <c r="X1690">
        <f>IF($T1690="",N($X1689),IF(MATCH($T1690,$T$6:$T$6005,0)=ROW()-5,N($X1689)+1,N($X1689)))</f>
        <v/>
      </c>
      <c r="Z1690">
        <f>IF($V1690="","",IF($AA1690&gt;N($AA1689),$AA1690,""))</f>
        <v/>
      </c>
      <c r="AA1690">
        <f>IF($V1690="",N($AA1689),IF(MATCH($V1690,$V$6:$V$6005,0)=ROW()-5,N($AA1689)+1,N($AA1689)))</f>
        <v/>
      </c>
    </row>
    <row r="1691" ht="21" customHeight="1" s="66">
      <c r="A1691" s="56" t="n"/>
      <c r="B1691" s="57" t="n"/>
      <c r="C1691" s="57" t="n"/>
      <c r="D1691" s="57" t="n"/>
      <c r="E1691" s="56" t="n"/>
      <c r="F1691" s="57" t="n"/>
      <c r="G1691" s="57" t="n"/>
      <c r="H1691" s="56" t="n"/>
      <c r="I1691" s="56" t="n"/>
      <c r="J1691" s="58" t="n"/>
      <c r="K1691" s="58" t="n"/>
      <c r="L1691" s="13">
        <f>IF(OR($A1691="",AND($J1691="",$K1691="")),"",ROUND(N($J1691)-N($K1691),2))</f>
        <v/>
      </c>
      <c r="M1691" s="13">
        <f>IF(OR($A1691="",AND($J1691="",$K1691="")),"",MIN($J1691,$K1691))</f>
        <v/>
      </c>
      <c r="Q1691">
        <f>IF($A1691="","",$D1691&amp;"("&amp;SUBSTITUTE($E1691," ","")&amp;")")</f>
        <v/>
      </c>
      <c r="R1691">
        <f>IF($A1691="","",$B1691&amp;" - "&amp;$C1691)</f>
        <v/>
      </c>
      <c r="S1691">
        <f>IF($A1691="","",$R1691&amp;"|"&amp;$Q1691)</f>
        <v/>
      </c>
      <c r="T1691">
        <f>IF($A1691="","",$S1691&amp;"|"&amp;$F1691)</f>
        <v/>
      </c>
      <c r="U1691">
        <f>IF($A1691="","",$R1691&amp;"("&amp;$E1691&amp;")")</f>
        <v/>
      </c>
      <c r="V1691">
        <f>IF($A1691="","",$F1691&amp;"|"&amp;$U1691&amp;"|"&amp;$D1691)</f>
        <v/>
      </c>
      <c r="W1691">
        <f>IF($T1691="","",IF($X1691&gt;N($X1690),$X1691,""))</f>
        <v/>
      </c>
      <c r="X1691">
        <f>IF($T1691="",N($X1690),IF(MATCH($T1691,$T$6:$T$6005,0)=ROW()-5,N($X1690)+1,N($X1690)))</f>
        <v/>
      </c>
      <c r="Z1691">
        <f>IF($V1691="","",IF($AA1691&gt;N($AA1690),$AA1691,""))</f>
        <v/>
      </c>
      <c r="AA1691">
        <f>IF($V1691="",N($AA1690),IF(MATCH($V1691,$V$6:$V$6005,0)=ROW()-5,N($AA1690)+1,N($AA1690)))</f>
        <v/>
      </c>
    </row>
    <row r="1692" ht="21" customHeight="1" s="66">
      <c r="A1692" s="56" t="n"/>
      <c r="B1692" s="57" t="n"/>
      <c r="C1692" s="57" t="n"/>
      <c r="D1692" s="57" t="n"/>
      <c r="E1692" s="56" t="n"/>
      <c r="F1692" s="57" t="n"/>
      <c r="G1692" s="57" t="n"/>
      <c r="H1692" s="56" t="n"/>
      <c r="I1692" s="56" t="n"/>
      <c r="J1692" s="58" t="n"/>
      <c r="K1692" s="58" t="n"/>
      <c r="L1692" s="13">
        <f>IF(OR($A1692="",AND($J1692="",$K1692="")),"",ROUND(N($J1692)-N($K1692),2))</f>
        <v/>
      </c>
      <c r="M1692" s="13">
        <f>IF(OR($A1692="",AND($J1692="",$K1692="")),"",MIN($J1692,$K1692))</f>
        <v/>
      </c>
      <c r="Q1692">
        <f>IF($A1692="","",$D1692&amp;"("&amp;SUBSTITUTE($E1692," ","")&amp;")")</f>
        <v/>
      </c>
      <c r="R1692">
        <f>IF($A1692="","",$B1692&amp;" - "&amp;$C1692)</f>
        <v/>
      </c>
      <c r="S1692">
        <f>IF($A1692="","",$R1692&amp;"|"&amp;$Q1692)</f>
        <v/>
      </c>
      <c r="T1692">
        <f>IF($A1692="","",$S1692&amp;"|"&amp;$F1692)</f>
        <v/>
      </c>
      <c r="U1692">
        <f>IF($A1692="","",$R1692&amp;"("&amp;$E1692&amp;")")</f>
        <v/>
      </c>
      <c r="V1692">
        <f>IF($A1692="","",$F1692&amp;"|"&amp;$U1692&amp;"|"&amp;$D1692)</f>
        <v/>
      </c>
      <c r="W1692">
        <f>IF($T1692="","",IF($X1692&gt;N($X1691),$X1692,""))</f>
        <v/>
      </c>
      <c r="X1692">
        <f>IF($T1692="",N($X1691),IF(MATCH($T1692,$T$6:$T$6005,0)=ROW()-5,N($X1691)+1,N($X1691)))</f>
        <v/>
      </c>
      <c r="Z1692">
        <f>IF($V1692="","",IF($AA1692&gt;N($AA1691),$AA1692,""))</f>
        <v/>
      </c>
      <c r="AA1692">
        <f>IF($V1692="",N($AA1691),IF(MATCH($V1692,$V$6:$V$6005,0)=ROW()-5,N($AA1691)+1,N($AA1691)))</f>
        <v/>
      </c>
    </row>
    <row r="1693" ht="21" customHeight="1" s="66">
      <c r="A1693" s="56" t="n"/>
      <c r="B1693" s="57" t="n"/>
      <c r="C1693" s="57" t="n"/>
      <c r="D1693" s="57" t="n"/>
      <c r="E1693" s="56" t="n"/>
      <c r="F1693" s="57" t="n"/>
      <c r="G1693" s="57" t="n"/>
      <c r="H1693" s="56" t="n"/>
      <c r="I1693" s="56" t="n"/>
      <c r="J1693" s="58" t="n"/>
      <c r="K1693" s="58" t="n"/>
      <c r="L1693" s="13">
        <f>IF(OR($A1693="",AND($J1693="",$K1693="")),"",ROUND(N($J1693)-N($K1693),2))</f>
        <v/>
      </c>
      <c r="M1693" s="13">
        <f>IF(OR($A1693="",AND($J1693="",$K1693="")),"",MIN($J1693,$K1693))</f>
        <v/>
      </c>
      <c r="Q1693">
        <f>IF($A1693="","",$D1693&amp;"("&amp;SUBSTITUTE($E1693," ","")&amp;")")</f>
        <v/>
      </c>
      <c r="R1693">
        <f>IF($A1693="","",$B1693&amp;" - "&amp;$C1693)</f>
        <v/>
      </c>
      <c r="S1693">
        <f>IF($A1693="","",$R1693&amp;"|"&amp;$Q1693)</f>
        <v/>
      </c>
      <c r="T1693">
        <f>IF($A1693="","",$S1693&amp;"|"&amp;$F1693)</f>
        <v/>
      </c>
      <c r="U1693">
        <f>IF($A1693="","",$R1693&amp;"("&amp;$E1693&amp;")")</f>
        <v/>
      </c>
      <c r="V1693">
        <f>IF($A1693="","",$F1693&amp;"|"&amp;$U1693&amp;"|"&amp;$D1693)</f>
        <v/>
      </c>
      <c r="W1693">
        <f>IF($T1693="","",IF($X1693&gt;N($X1692),$X1693,""))</f>
        <v/>
      </c>
      <c r="X1693">
        <f>IF($T1693="",N($X1692),IF(MATCH($T1693,$T$6:$T$6005,0)=ROW()-5,N($X1692)+1,N($X1692)))</f>
        <v/>
      </c>
      <c r="Z1693">
        <f>IF($V1693="","",IF($AA1693&gt;N($AA1692),$AA1693,""))</f>
        <v/>
      </c>
      <c r="AA1693">
        <f>IF($V1693="",N($AA1692),IF(MATCH($V1693,$V$6:$V$6005,0)=ROW()-5,N($AA1692)+1,N($AA1692)))</f>
        <v/>
      </c>
    </row>
    <row r="1694" ht="21" customHeight="1" s="66">
      <c r="A1694" s="56" t="n"/>
      <c r="B1694" s="57" t="n"/>
      <c r="C1694" s="57" t="n"/>
      <c r="D1694" s="57" t="n"/>
      <c r="E1694" s="56" t="n"/>
      <c r="F1694" s="57" t="n"/>
      <c r="G1694" s="57" t="n"/>
      <c r="H1694" s="56" t="n"/>
      <c r="I1694" s="56" t="n"/>
      <c r="J1694" s="58" t="n"/>
      <c r="K1694" s="58" t="n"/>
      <c r="L1694" s="13">
        <f>IF(OR($A1694="",AND($J1694="",$K1694="")),"",ROUND(N($J1694)-N($K1694),2))</f>
        <v/>
      </c>
      <c r="M1694" s="13">
        <f>IF(OR($A1694="",AND($J1694="",$K1694="")),"",MIN($J1694,$K1694))</f>
        <v/>
      </c>
      <c r="Q1694">
        <f>IF($A1694="","",$D1694&amp;"("&amp;SUBSTITUTE($E1694," ","")&amp;")")</f>
        <v/>
      </c>
      <c r="R1694">
        <f>IF($A1694="","",$B1694&amp;" - "&amp;$C1694)</f>
        <v/>
      </c>
      <c r="S1694">
        <f>IF($A1694="","",$R1694&amp;"|"&amp;$Q1694)</f>
        <v/>
      </c>
      <c r="T1694">
        <f>IF($A1694="","",$S1694&amp;"|"&amp;$F1694)</f>
        <v/>
      </c>
      <c r="U1694">
        <f>IF($A1694="","",$R1694&amp;"("&amp;$E1694&amp;")")</f>
        <v/>
      </c>
      <c r="V1694">
        <f>IF($A1694="","",$F1694&amp;"|"&amp;$U1694&amp;"|"&amp;$D1694)</f>
        <v/>
      </c>
      <c r="W1694">
        <f>IF($T1694="","",IF($X1694&gt;N($X1693),$X1694,""))</f>
        <v/>
      </c>
      <c r="X1694">
        <f>IF($T1694="",N($X1693),IF(MATCH($T1694,$T$6:$T$6005,0)=ROW()-5,N($X1693)+1,N($X1693)))</f>
        <v/>
      </c>
      <c r="Z1694">
        <f>IF($V1694="","",IF($AA1694&gt;N($AA1693),$AA1694,""))</f>
        <v/>
      </c>
      <c r="AA1694">
        <f>IF($V1694="",N($AA1693),IF(MATCH($V1694,$V$6:$V$6005,0)=ROW()-5,N($AA1693)+1,N($AA1693)))</f>
        <v/>
      </c>
    </row>
    <row r="1695" ht="21" customHeight="1" s="66">
      <c r="A1695" s="56" t="n"/>
      <c r="B1695" s="57" t="n"/>
      <c r="C1695" s="57" t="n"/>
      <c r="D1695" s="57" t="n"/>
      <c r="E1695" s="56" t="n"/>
      <c r="F1695" s="57" t="n"/>
      <c r="G1695" s="57" t="n"/>
      <c r="H1695" s="56" t="n"/>
      <c r="I1695" s="56" t="n"/>
      <c r="J1695" s="58" t="n"/>
      <c r="K1695" s="58" t="n"/>
      <c r="L1695" s="13">
        <f>IF(OR($A1695="",AND($J1695="",$K1695="")),"",ROUND(N($J1695)-N($K1695),2))</f>
        <v/>
      </c>
      <c r="M1695" s="13">
        <f>IF(OR($A1695="",AND($J1695="",$K1695="")),"",MIN($J1695,$K1695))</f>
        <v/>
      </c>
      <c r="Q1695">
        <f>IF($A1695="","",$D1695&amp;"("&amp;SUBSTITUTE($E1695," ","")&amp;")")</f>
        <v/>
      </c>
      <c r="R1695">
        <f>IF($A1695="","",$B1695&amp;" - "&amp;$C1695)</f>
        <v/>
      </c>
      <c r="S1695">
        <f>IF($A1695="","",$R1695&amp;"|"&amp;$Q1695)</f>
        <v/>
      </c>
      <c r="T1695">
        <f>IF($A1695="","",$S1695&amp;"|"&amp;$F1695)</f>
        <v/>
      </c>
      <c r="U1695">
        <f>IF($A1695="","",$R1695&amp;"("&amp;$E1695&amp;")")</f>
        <v/>
      </c>
      <c r="V1695">
        <f>IF($A1695="","",$F1695&amp;"|"&amp;$U1695&amp;"|"&amp;$D1695)</f>
        <v/>
      </c>
      <c r="W1695">
        <f>IF($T1695="","",IF($X1695&gt;N($X1694),$X1695,""))</f>
        <v/>
      </c>
      <c r="X1695">
        <f>IF($T1695="",N($X1694),IF(MATCH($T1695,$T$6:$T$6005,0)=ROW()-5,N($X1694)+1,N($X1694)))</f>
        <v/>
      </c>
      <c r="Z1695">
        <f>IF($V1695="","",IF($AA1695&gt;N($AA1694),$AA1695,""))</f>
        <v/>
      </c>
      <c r="AA1695">
        <f>IF($V1695="",N($AA1694),IF(MATCH($V1695,$V$6:$V$6005,0)=ROW()-5,N($AA1694)+1,N($AA1694)))</f>
        <v/>
      </c>
    </row>
    <row r="1696" ht="21" customHeight="1" s="66">
      <c r="A1696" s="56" t="n"/>
      <c r="B1696" s="57" t="n"/>
      <c r="C1696" s="57" t="n"/>
      <c r="D1696" s="57" t="n"/>
      <c r="E1696" s="56" t="n"/>
      <c r="F1696" s="57" t="n"/>
      <c r="G1696" s="57" t="n"/>
      <c r="H1696" s="56" t="n"/>
      <c r="I1696" s="56" t="n"/>
      <c r="J1696" s="58" t="n"/>
      <c r="K1696" s="58" t="n"/>
      <c r="L1696" s="13">
        <f>IF(OR($A1696="",AND($J1696="",$K1696="")),"",ROUND(N($J1696)-N($K1696),2))</f>
        <v/>
      </c>
      <c r="M1696" s="13">
        <f>IF(OR($A1696="",AND($J1696="",$K1696="")),"",MIN($J1696,$K1696))</f>
        <v/>
      </c>
      <c r="Q1696">
        <f>IF($A1696="","",$D1696&amp;"("&amp;SUBSTITUTE($E1696," ","")&amp;")")</f>
        <v/>
      </c>
      <c r="R1696">
        <f>IF($A1696="","",$B1696&amp;" - "&amp;$C1696)</f>
        <v/>
      </c>
      <c r="S1696">
        <f>IF($A1696="","",$R1696&amp;"|"&amp;$Q1696)</f>
        <v/>
      </c>
      <c r="T1696">
        <f>IF($A1696="","",$S1696&amp;"|"&amp;$F1696)</f>
        <v/>
      </c>
      <c r="U1696">
        <f>IF($A1696="","",$R1696&amp;"("&amp;$E1696&amp;")")</f>
        <v/>
      </c>
      <c r="V1696">
        <f>IF($A1696="","",$F1696&amp;"|"&amp;$U1696&amp;"|"&amp;$D1696)</f>
        <v/>
      </c>
      <c r="W1696">
        <f>IF($T1696="","",IF($X1696&gt;N($X1695),$X1696,""))</f>
        <v/>
      </c>
      <c r="X1696">
        <f>IF($T1696="",N($X1695),IF(MATCH($T1696,$T$6:$T$6005,0)=ROW()-5,N($X1695)+1,N($X1695)))</f>
        <v/>
      </c>
      <c r="Z1696">
        <f>IF($V1696="","",IF($AA1696&gt;N($AA1695),$AA1696,""))</f>
        <v/>
      </c>
      <c r="AA1696">
        <f>IF($V1696="",N($AA1695),IF(MATCH($V1696,$V$6:$V$6005,0)=ROW()-5,N($AA1695)+1,N($AA1695)))</f>
        <v/>
      </c>
    </row>
    <row r="1697" ht="21" customHeight="1" s="66">
      <c r="A1697" s="56" t="n"/>
      <c r="B1697" s="57" t="n"/>
      <c r="C1697" s="57" t="n"/>
      <c r="D1697" s="57" t="n"/>
      <c r="E1697" s="56" t="n"/>
      <c r="F1697" s="57" t="n"/>
      <c r="G1697" s="57" t="n"/>
      <c r="H1697" s="56" t="n"/>
      <c r="I1697" s="56" t="n"/>
      <c r="J1697" s="58" t="n"/>
      <c r="K1697" s="58" t="n"/>
      <c r="L1697" s="13">
        <f>IF(OR($A1697="",AND($J1697="",$K1697="")),"",ROUND(N($J1697)-N($K1697),2))</f>
        <v/>
      </c>
      <c r="M1697" s="13">
        <f>IF(OR($A1697="",AND($J1697="",$K1697="")),"",MIN($J1697,$K1697))</f>
        <v/>
      </c>
      <c r="Q1697">
        <f>IF($A1697="","",$D1697&amp;"("&amp;SUBSTITUTE($E1697," ","")&amp;")")</f>
        <v/>
      </c>
      <c r="R1697">
        <f>IF($A1697="","",$B1697&amp;" - "&amp;$C1697)</f>
        <v/>
      </c>
      <c r="S1697">
        <f>IF($A1697="","",$R1697&amp;"|"&amp;$Q1697)</f>
        <v/>
      </c>
      <c r="T1697">
        <f>IF($A1697="","",$S1697&amp;"|"&amp;$F1697)</f>
        <v/>
      </c>
      <c r="U1697">
        <f>IF($A1697="","",$R1697&amp;"("&amp;$E1697&amp;")")</f>
        <v/>
      </c>
      <c r="V1697">
        <f>IF($A1697="","",$F1697&amp;"|"&amp;$U1697&amp;"|"&amp;$D1697)</f>
        <v/>
      </c>
      <c r="W1697">
        <f>IF($T1697="","",IF($X1697&gt;N($X1696),$X1697,""))</f>
        <v/>
      </c>
      <c r="X1697">
        <f>IF($T1697="",N($X1696),IF(MATCH($T1697,$T$6:$T$6005,0)=ROW()-5,N($X1696)+1,N($X1696)))</f>
        <v/>
      </c>
      <c r="Z1697">
        <f>IF($V1697="","",IF($AA1697&gt;N($AA1696),$AA1697,""))</f>
        <v/>
      </c>
      <c r="AA1697">
        <f>IF($V1697="",N($AA1696),IF(MATCH($V1697,$V$6:$V$6005,0)=ROW()-5,N($AA1696)+1,N($AA1696)))</f>
        <v/>
      </c>
    </row>
    <row r="1698" ht="21" customHeight="1" s="66">
      <c r="A1698" s="56" t="n"/>
      <c r="B1698" s="57" t="n"/>
      <c r="C1698" s="57" t="n"/>
      <c r="D1698" s="57" t="n"/>
      <c r="E1698" s="56" t="n"/>
      <c r="F1698" s="57" t="n"/>
      <c r="G1698" s="57" t="n"/>
      <c r="H1698" s="56" t="n"/>
      <c r="I1698" s="56" t="n"/>
      <c r="J1698" s="58" t="n"/>
      <c r="K1698" s="58" t="n"/>
      <c r="L1698" s="13">
        <f>IF(OR($A1698="",AND($J1698="",$K1698="")),"",ROUND(N($J1698)-N($K1698),2))</f>
        <v/>
      </c>
      <c r="M1698" s="13">
        <f>IF(OR($A1698="",AND($J1698="",$K1698="")),"",MIN($J1698,$K1698))</f>
        <v/>
      </c>
      <c r="Q1698">
        <f>IF($A1698="","",$D1698&amp;"("&amp;SUBSTITUTE($E1698," ","")&amp;")")</f>
        <v/>
      </c>
      <c r="R1698">
        <f>IF($A1698="","",$B1698&amp;" - "&amp;$C1698)</f>
        <v/>
      </c>
      <c r="S1698">
        <f>IF($A1698="","",$R1698&amp;"|"&amp;$Q1698)</f>
        <v/>
      </c>
      <c r="T1698">
        <f>IF($A1698="","",$S1698&amp;"|"&amp;$F1698)</f>
        <v/>
      </c>
      <c r="U1698">
        <f>IF($A1698="","",$R1698&amp;"("&amp;$E1698&amp;")")</f>
        <v/>
      </c>
      <c r="V1698">
        <f>IF($A1698="","",$F1698&amp;"|"&amp;$U1698&amp;"|"&amp;$D1698)</f>
        <v/>
      </c>
      <c r="W1698">
        <f>IF($T1698="","",IF($X1698&gt;N($X1697),$X1698,""))</f>
        <v/>
      </c>
      <c r="X1698">
        <f>IF($T1698="",N($X1697),IF(MATCH($T1698,$T$6:$T$6005,0)=ROW()-5,N($X1697)+1,N($X1697)))</f>
        <v/>
      </c>
      <c r="Z1698">
        <f>IF($V1698="","",IF($AA1698&gt;N($AA1697),$AA1698,""))</f>
        <v/>
      </c>
      <c r="AA1698">
        <f>IF($V1698="",N($AA1697),IF(MATCH($V1698,$V$6:$V$6005,0)=ROW()-5,N($AA1697)+1,N($AA1697)))</f>
        <v/>
      </c>
    </row>
    <row r="1699" ht="21" customHeight="1" s="66">
      <c r="A1699" s="56" t="n"/>
      <c r="B1699" s="57" t="n"/>
      <c r="C1699" s="57" t="n"/>
      <c r="D1699" s="57" t="n"/>
      <c r="E1699" s="56" t="n"/>
      <c r="F1699" s="57" t="n"/>
      <c r="G1699" s="57" t="n"/>
      <c r="H1699" s="56" t="n"/>
      <c r="I1699" s="56" t="n"/>
      <c r="J1699" s="58" t="n"/>
      <c r="K1699" s="58" t="n"/>
      <c r="L1699" s="13">
        <f>IF(OR($A1699="",AND($J1699="",$K1699="")),"",ROUND(N($J1699)-N($K1699),2))</f>
        <v/>
      </c>
      <c r="M1699" s="13">
        <f>IF(OR($A1699="",AND($J1699="",$K1699="")),"",MIN($J1699,$K1699))</f>
        <v/>
      </c>
      <c r="Q1699">
        <f>IF($A1699="","",$D1699&amp;"("&amp;SUBSTITUTE($E1699," ","")&amp;")")</f>
        <v/>
      </c>
      <c r="R1699">
        <f>IF($A1699="","",$B1699&amp;" - "&amp;$C1699)</f>
        <v/>
      </c>
      <c r="S1699">
        <f>IF($A1699="","",$R1699&amp;"|"&amp;$Q1699)</f>
        <v/>
      </c>
      <c r="T1699">
        <f>IF($A1699="","",$S1699&amp;"|"&amp;$F1699)</f>
        <v/>
      </c>
      <c r="U1699">
        <f>IF($A1699="","",$R1699&amp;"("&amp;$E1699&amp;")")</f>
        <v/>
      </c>
      <c r="V1699">
        <f>IF($A1699="","",$F1699&amp;"|"&amp;$U1699&amp;"|"&amp;$D1699)</f>
        <v/>
      </c>
      <c r="W1699">
        <f>IF($T1699="","",IF($X1699&gt;N($X1698),$X1699,""))</f>
        <v/>
      </c>
      <c r="X1699">
        <f>IF($T1699="",N($X1698),IF(MATCH($T1699,$T$6:$T$6005,0)=ROW()-5,N($X1698)+1,N($X1698)))</f>
        <v/>
      </c>
      <c r="Z1699">
        <f>IF($V1699="","",IF($AA1699&gt;N($AA1698),$AA1699,""))</f>
        <v/>
      </c>
      <c r="AA1699">
        <f>IF($V1699="",N($AA1698),IF(MATCH($V1699,$V$6:$V$6005,0)=ROW()-5,N($AA1698)+1,N($AA1698)))</f>
        <v/>
      </c>
    </row>
    <row r="1700" ht="21" customHeight="1" s="66">
      <c r="A1700" s="56" t="n"/>
      <c r="B1700" s="57" t="n"/>
      <c r="C1700" s="57" t="n"/>
      <c r="D1700" s="57" t="n"/>
      <c r="E1700" s="56" t="n"/>
      <c r="F1700" s="57" t="n"/>
      <c r="G1700" s="57" t="n"/>
      <c r="H1700" s="56" t="n"/>
      <c r="I1700" s="56" t="n"/>
      <c r="J1700" s="58" t="n"/>
      <c r="K1700" s="58" t="n"/>
      <c r="L1700" s="13">
        <f>IF(OR($A1700="",AND($J1700="",$K1700="")),"",ROUND(N($J1700)-N($K1700),2))</f>
        <v/>
      </c>
      <c r="M1700" s="13">
        <f>IF(OR($A1700="",AND($J1700="",$K1700="")),"",MIN($J1700,$K1700))</f>
        <v/>
      </c>
      <c r="Q1700">
        <f>IF($A1700="","",$D1700&amp;"("&amp;SUBSTITUTE($E1700," ","")&amp;")")</f>
        <v/>
      </c>
      <c r="R1700">
        <f>IF($A1700="","",$B1700&amp;" - "&amp;$C1700)</f>
        <v/>
      </c>
      <c r="S1700">
        <f>IF($A1700="","",$R1700&amp;"|"&amp;$Q1700)</f>
        <v/>
      </c>
      <c r="T1700">
        <f>IF($A1700="","",$S1700&amp;"|"&amp;$F1700)</f>
        <v/>
      </c>
      <c r="U1700">
        <f>IF($A1700="","",$R1700&amp;"("&amp;$E1700&amp;")")</f>
        <v/>
      </c>
      <c r="V1700">
        <f>IF($A1700="","",$F1700&amp;"|"&amp;$U1700&amp;"|"&amp;$D1700)</f>
        <v/>
      </c>
      <c r="W1700">
        <f>IF($T1700="","",IF($X1700&gt;N($X1699),$X1700,""))</f>
        <v/>
      </c>
      <c r="X1700">
        <f>IF($T1700="",N($X1699),IF(MATCH($T1700,$T$6:$T$6005,0)=ROW()-5,N($X1699)+1,N($X1699)))</f>
        <v/>
      </c>
      <c r="Z1700">
        <f>IF($V1700="","",IF($AA1700&gt;N($AA1699),$AA1700,""))</f>
        <v/>
      </c>
      <c r="AA1700">
        <f>IF($V1700="",N($AA1699),IF(MATCH($V1700,$V$6:$V$6005,0)=ROW()-5,N($AA1699)+1,N($AA1699)))</f>
        <v/>
      </c>
    </row>
    <row r="1701" ht="21" customHeight="1" s="66">
      <c r="A1701" s="56" t="n"/>
      <c r="B1701" s="57" t="n"/>
      <c r="C1701" s="57" t="n"/>
      <c r="D1701" s="57" t="n"/>
      <c r="E1701" s="56" t="n"/>
      <c r="F1701" s="57" t="n"/>
      <c r="G1701" s="57" t="n"/>
      <c r="H1701" s="56" t="n"/>
      <c r="I1701" s="56" t="n"/>
      <c r="J1701" s="58" t="n"/>
      <c r="K1701" s="58" t="n"/>
      <c r="L1701" s="13">
        <f>IF(OR($A1701="",AND($J1701="",$K1701="")),"",ROUND(N($J1701)-N($K1701),2))</f>
        <v/>
      </c>
      <c r="M1701" s="13">
        <f>IF(OR($A1701="",AND($J1701="",$K1701="")),"",MIN($J1701,$K1701))</f>
        <v/>
      </c>
      <c r="Q1701">
        <f>IF($A1701="","",$D1701&amp;"("&amp;SUBSTITUTE($E1701," ","")&amp;")")</f>
        <v/>
      </c>
      <c r="R1701">
        <f>IF($A1701="","",$B1701&amp;" - "&amp;$C1701)</f>
        <v/>
      </c>
      <c r="S1701">
        <f>IF($A1701="","",$R1701&amp;"|"&amp;$Q1701)</f>
        <v/>
      </c>
      <c r="T1701">
        <f>IF($A1701="","",$S1701&amp;"|"&amp;$F1701)</f>
        <v/>
      </c>
      <c r="U1701">
        <f>IF($A1701="","",$R1701&amp;"("&amp;$E1701&amp;")")</f>
        <v/>
      </c>
      <c r="V1701">
        <f>IF($A1701="","",$F1701&amp;"|"&amp;$U1701&amp;"|"&amp;$D1701)</f>
        <v/>
      </c>
      <c r="W1701">
        <f>IF($T1701="","",IF($X1701&gt;N($X1700),$X1701,""))</f>
        <v/>
      </c>
      <c r="X1701">
        <f>IF($T1701="",N($X1700),IF(MATCH($T1701,$T$6:$T$6005,0)=ROW()-5,N($X1700)+1,N($X1700)))</f>
        <v/>
      </c>
      <c r="Z1701">
        <f>IF($V1701="","",IF($AA1701&gt;N($AA1700),$AA1701,""))</f>
        <v/>
      </c>
      <c r="AA1701">
        <f>IF($V1701="",N($AA1700),IF(MATCH($V1701,$V$6:$V$6005,0)=ROW()-5,N($AA1700)+1,N($AA1700)))</f>
        <v/>
      </c>
    </row>
    <row r="1702" ht="21" customHeight="1" s="66">
      <c r="A1702" s="56" t="n"/>
      <c r="B1702" s="57" t="n"/>
      <c r="C1702" s="57" t="n"/>
      <c r="D1702" s="57" t="n"/>
      <c r="E1702" s="56" t="n"/>
      <c r="F1702" s="57" t="n"/>
      <c r="G1702" s="57" t="n"/>
      <c r="H1702" s="56" t="n"/>
      <c r="I1702" s="56" t="n"/>
      <c r="J1702" s="58" t="n"/>
      <c r="K1702" s="58" t="n"/>
      <c r="L1702" s="13">
        <f>IF(OR($A1702="",AND($J1702="",$K1702="")),"",ROUND(N($J1702)-N($K1702),2))</f>
        <v/>
      </c>
      <c r="M1702" s="13">
        <f>IF(OR($A1702="",AND($J1702="",$K1702="")),"",MIN($J1702,$K1702))</f>
        <v/>
      </c>
      <c r="Q1702">
        <f>IF($A1702="","",$D1702&amp;"("&amp;SUBSTITUTE($E1702," ","")&amp;")")</f>
        <v/>
      </c>
      <c r="R1702">
        <f>IF($A1702="","",$B1702&amp;" - "&amp;$C1702)</f>
        <v/>
      </c>
      <c r="S1702">
        <f>IF($A1702="","",$R1702&amp;"|"&amp;$Q1702)</f>
        <v/>
      </c>
      <c r="T1702">
        <f>IF($A1702="","",$S1702&amp;"|"&amp;$F1702)</f>
        <v/>
      </c>
      <c r="U1702">
        <f>IF($A1702="","",$R1702&amp;"("&amp;$E1702&amp;")")</f>
        <v/>
      </c>
      <c r="V1702">
        <f>IF($A1702="","",$F1702&amp;"|"&amp;$U1702&amp;"|"&amp;$D1702)</f>
        <v/>
      </c>
      <c r="W1702">
        <f>IF($T1702="","",IF($X1702&gt;N($X1701),$X1702,""))</f>
        <v/>
      </c>
      <c r="X1702">
        <f>IF($T1702="",N($X1701),IF(MATCH($T1702,$T$6:$T$6005,0)=ROW()-5,N($X1701)+1,N($X1701)))</f>
        <v/>
      </c>
      <c r="Z1702">
        <f>IF($V1702="","",IF($AA1702&gt;N($AA1701),$AA1702,""))</f>
        <v/>
      </c>
      <c r="AA1702">
        <f>IF($V1702="",N($AA1701),IF(MATCH($V1702,$V$6:$V$6005,0)=ROW()-5,N($AA1701)+1,N($AA1701)))</f>
        <v/>
      </c>
    </row>
    <row r="1703" ht="21" customHeight="1" s="66">
      <c r="A1703" s="56" t="n"/>
      <c r="B1703" s="57" t="n"/>
      <c r="C1703" s="57" t="n"/>
      <c r="D1703" s="57" t="n"/>
      <c r="E1703" s="56" t="n"/>
      <c r="F1703" s="57" t="n"/>
      <c r="G1703" s="57" t="n"/>
      <c r="H1703" s="56" t="n"/>
      <c r="I1703" s="56" t="n"/>
      <c r="J1703" s="58" t="n"/>
      <c r="K1703" s="58" t="n"/>
      <c r="L1703" s="13">
        <f>IF(OR($A1703="",AND($J1703="",$K1703="")),"",ROUND(N($J1703)-N($K1703),2))</f>
        <v/>
      </c>
      <c r="M1703" s="13">
        <f>IF(OR($A1703="",AND($J1703="",$K1703="")),"",MIN($J1703,$K1703))</f>
        <v/>
      </c>
      <c r="Q1703">
        <f>IF($A1703="","",$D1703&amp;"("&amp;SUBSTITUTE($E1703," ","")&amp;")")</f>
        <v/>
      </c>
      <c r="R1703">
        <f>IF($A1703="","",$B1703&amp;" - "&amp;$C1703)</f>
        <v/>
      </c>
      <c r="S1703">
        <f>IF($A1703="","",$R1703&amp;"|"&amp;$Q1703)</f>
        <v/>
      </c>
      <c r="T1703">
        <f>IF($A1703="","",$S1703&amp;"|"&amp;$F1703)</f>
        <v/>
      </c>
      <c r="U1703">
        <f>IF($A1703="","",$R1703&amp;"("&amp;$E1703&amp;")")</f>
        <v/>
      </c>
      <c r="V1703">
        <f>IF($A1703="","",$F1703&amp;"|"&amp;$U1703&amp;"|"&amp;$D1703)</f>
        <v/>
      </c>
      <c r="W1703">
        <f>IF($T1703="","",IF($X1703&gt;N($X1702),$X1703,""))</f>
        <v/>
      </c>
      <c r="X1703">
        <f>IF($T1703="",N($X1702),IF(MATCH($T1703,$T$6:$T$6005,0)=ROW()-5,N($X1702)+1,N($X1702)))</f>
        <v/>
      </c>
      <c r="Z1703">
        <f>IF($V1703="","",IF($AA1703&gt;N($AA1702),$AA1703,""))</f>
        <v/>
      </c>
      <c r="AA1703">
        <f>IF($V1703="",N($AA1702),IF(MATCH($V1703,$V$6:$V$6005,0)=ROW()-5,N($AA1702)+1,N($AA1702)))</f>
        <v/>
      </c>
    </row>
    <row r="1704" ht="21" customHeight="1" s="66">
      <c r="A1704" s="56" t="n"/>
      <c r="B1704" s="57" t="n"/>
      <c r="C1704" s="57" t="n"/>
      <c r="D1704" s="57" t="n"/>
      <c r="E1704" s="56" t="n"/>
      <c r="F1704" s="57" t="n"/>
      <c r="G1704" s="57" t="n"/>
      <c r="H1704" s="56" t="n"/>
      <c r="I1704" s="56" t="n"/>
      <c r="J1704" s="58" t="n"/>
      <c r="K1704" s="58" t="n"/>
      <c r="L1704" s="13">
        <f>IF(OR($A1704="",AND($J1704="",$K1704="")),"",ROUND(N($J1704)-N($K1704),2))</f>
        <v/>
      </c>
      <c r="M1704" s="13">
        <f>IF(OR($A1704="",AND($J1704="",$K1704="")),"",MIN($J1704,$K1704))</f>
        <v/>
      </c>
      <c r="Q1704">
        <f>IF($A1704="","",$D1704&amp;"("&amp;SUBSTITUTE($E1704," ","")&amp;")")</f>
        <v/>
      </c>
      <c r="R1704">
        <f>IF($A1704="","",$B1704&amp;" - "&amp;$C1704)</f>
        <v/>
      </c>
      <c r="S1704">
        <f>IF($A1704="","",$R1704&amp;"|"&amp;$Q1704)</f>
        <v/>
      </c>
      <c r="T1704">
        <f>IF($A1704="","",$S1704&amp;"|"&amp;$F1704)</f>
        <v/>
      </c>
      <c r="U1704">
        <f>IF($A1704="","",$R1704&amp;"("&amp;$E1704&amp;")")</f>
        <v/>
      </c>
      <c r="V1704">
        <f>IF($A1704="","",$F1704&amp;"|"&amp;$U1704&amp;"|"&amp;$D1704)</f>
        <v/>
      </c>
      <c r="W1704">
        <f>IF($T1704="","",IF($X1704&gt;N($X1703),$X1704,""))</f>
        <v/>
      </c>
      <c r="X1704">
        <f>IF($T1704="",N($X1703),IF(MATCH($T1704,$T$6:$T$6005,0)=ROW()-5,N($X1703)+1,N($X1703)))</f>
        <v/>
      </c>
      <c r="Z1704">
        <f>IF($V1704="","",IF($AA1704&gt;N($AA1703),$AA1704,""))</f>
        <v/>
      </c>
      <c r="AA1704">
        <f>IF($V1704="",N($AA1703),IF(MATCH($V1704,$V$6:$V$6005,0)=ROW()-5,N($AA1703)+1,N($AA1703)))</f>
        <v/>
      </c>
    </row>
    <row r="1705" ht="21" customHeight="1" s="66">
      <c r="A1705" s="56" t="n"/>
      <c r="B1705" s="57" t="n"/>
      <c r="C1705" s="57" t="n"/>
      <c r="D1705" s="57" t="n"/>
      <c r="E1705" s="56" t="n"/>
      <c r="F1705" s="57" t="n"/>
      <c r="G1705" s="57" t="n"/>
      <c r="H1705" s="56" t="n"/>
      <c r="I1705" s="56" t="n"/>
      <c r="J1705" s="58" t="n"/>
      <c r="K1705" s="58" t="n"/>
      <c r="L1705" s="13">
        <f>IF(OR($A1705="",AND($J1705="",$K1705="")),"",ROUND(N($J1705)-N($K1705),2))</f>
        <v/>
      </c>
      <c r="M1705" s="13">
        <f>IF(OR($A1705="",AND($J1705="",$K1705="")),"",MIN($J1705,$K1705))</f>
        <v/>
      </c>
      <c r="Q1705">
        <f>IF($A1705="","",$D1705&amp;"("&amp;SUBSTITUTE($E1705," ","")&amp;")")</f>
        <v/>
      </c>
      <c r="R1705">
        <f>IF($A1705="","",$B1705&amp;" - "&amp;$C1705)</f>
        <v/>
      </c>
      <c r="S1705">
        <f>IF($A1705="","",$R1705&amp;"|"&amp;$Q1705)</f>
        <v/>
      </c>
      <c r="T1705">
        <f>IF($A1705="","",$S1705&amp;"|"&amp;$F1705)</f>
        <v/>
      </c>
      <c r="U1705">
        <f>IF($A1705="","",$R1705&amp;"("&amp;$E1705&amp;")")</f>
        <v/>
      </c>
      <c r="V1705">
        <f>IF($A1705="","",$F1705&amp;"|"&amp;$U1705&amp;"|"&amp;$D1705)</f>
        <v/>
      </c>
      <c r="W1705">
        <f>IF($T1705="","",IF($X1705&gt;N($X1704),$X1705,""))</f>
        <v/>
      </c>
      <c r="X1705">
        <f>IF($T1705="",N($X1704),IF(MATCH($T1705,$T$6:$T$6005,0)=ROW()-5,N($X1704)+1,N($X1704)))</f>
        <v/>
      </c>
      <c r="Z1705">
        <f>IF($V1705="","",IF($AA1705&gt;N($AA1704),$AA1705,""))</f>
        <v/>
      </c>
      <c r="AA1705">
        <f>IF($V1705="",N($AA1704),IF(MATCH($V1705,$V$6:$V$6005,0)=ROW()-5,N($AA1704)+1,N($AA1704)))</f>
        <v/>
      </c>
    </row>
    <row r="1706" ht="21" customHeight="1" s="66">
      <c r="A1706" s="56" t="n"/>
      <c r="B1706" s="57" t="n"/>
      <c r="C1706" s="57" t="n"/>
      <c r="D1706" s="57" t="n"/>
      <c r="E1706" s="56" t="n"/>
      <c r="F1706" s="57" t="n"/>
      <c r="G1706" s="57" t="n"/>
      <c r="H1706" s="56" t="n"/>
      <c r="I1706" s="56" t="n"/>
      <c r="J1706" s="58" t="n"/>
      <c r="K1706" s="58" t="n"/>
      <c r="L1706" s="13">
        <f>IF(OR($A1706="",AND($J1706="",$K1706="")),"",ROUND(N($J1706)-N($K1706),2))</f>
        <v/>
      </c>
      <c r="M1706" s="13">
        <f>IF(OR($A1706="",AND($J1706="",$K1706="")),"",MIN($J1706,$K1706))</f>
        <v/>
      </c>
      <c r="Q1706">
        <f>IF($A1706="","",$D1706&amp;"("&amp;SUBSTITUTE($E1706," ","")&amp;")")</f>
        <v/>
      </c>
      <c r="R1706">
        <f>IF($A1706="","",$B1706&amp;" - "&amp;$C1706)</f>
        <v/>
      </c>
      <c r="S1706">
        <f>IF($A1706="","",$R1706&amp;"|"&amp;$Q1706)</f>
        <v/>
      </c>
      <c r="T1706">
        <f>IF($A1706="","",$S1706&amp;"|"&amp;$F1706)</f>
        <v/>
      </c>
      <c r="U1706">
        <f>IF($A1706="","",$R1706&amp;"("&amp;$E1706&amp;")")</f>
        <v/>
      </c>
      <c r="V1706">
        <f>IF($A1706="","",$F1706&amp;"|"&amp;$U1706&amp;"|"&amp;$D1706)</f>
        <v/>
      </c>
      <c r="W1706">
        <f>IF($T1706="","",IF($X1706&gt;N($X1705),$X1706,""))</f>
        <v/>
      </c>
      <c r="X1706">
        <f>IF($T1706="",N($X1705),IF(MATCH($T1706,$T$6:$T$6005,0)=ROW()-5,N($X1705)+1,N($X1705)))</f>
        <v/>
      </c>
      <c r="Z1706">
        <f>IF($V1706="","",IF($AA1706&gt;N($AA1705),$AA1706,""))</f>
        <v/>
      </c>
      <c r="AA1706">
        <f>IF($V1706="",N($AA1705),IF(MATCH($V1706,$V$6:$V$6005,0)=ROW()-5,N($AA1705)+1,N($AA1705)))</f>
        <v/>
      </c>
    </row>
    <row r="1707" ht="21" customHeight="1" s="66">
      <c r="A1707" s="56" t="n"/>
      <c r="B1707" s="57" t="n"/>
      <c r="C1707" s="57" t="n"/>
      <c r="D1707" s="57" t="n"/>
      <c r="E1707" s="56" t="n"/>
      <c r="F1707" s="57" t="n"/>
      <c r="G1707" s="57" t="n"/>
      <c r="H1707" s="56" t="n"/>
      <c r="I1707" s="56" t="n"/>
      <c r="J1707" s="58" t="n"/>
      <c r="K1707" s="58" t="n"/>
      <c r="L1707" s="13">
        <f>IF(OR($A1707="",AND($J1707="",$K1707="")),"",ROUND(N($J1707)-N($K1707),2))</f>
        <v/>
      </c>
      <c r="M1707" s="13">
        <f>IF(OR($A1707="",AND($J1707="",$K1707="")),"",MIN($J1707,$K1707))</f>
        <v/>
      </c>
      <c r="Q1707">
        <f>IF($A1707="","",$D1707&amp;"("&amp;SUBSTITUTE($E1707," ","")&amp;")")</f>
        <v/>
      </c>
      <c r="R1707">
        <f>IF($A1707="","",$B1707&amp;" - "&amp;$C1707)</f>
        <v/>
      </c>
      <c r="S1707">
        <f>IF($A1707="","",$R1707&amp;"|"&amp;$Q1707)</f>
        <v/>
      </c>
      <c r="T1707">
        <f>IF($A1707="","",$S1707&amp;"|"&amp;$F1707)</f>
        <v/>
      </c>
      <c r="U1707">
        <f>IF($A1707="","",$R1707&amp;"("&amp;$E1707&amp;")")</f>
        <v/>
      </c>
      <c r="V1707">
        <f>IF($A1707="","",$F1707&amp;"|"&amp;$U1707&amp;"|"&amp;$D1707)</f>
        <v/>
      </c>
      <c r="W1707">
        <f>IF($T1707="","",IF($X1707&gt;N($X1706),$X1707,""))</f>
        <v/>
      </c>
      <c r="X1707">
        <f>IF($T1707="",N($X1706),IF(MATCH($T1707,$T$6:$T$6005,0)=ROW()-5,N($X1706)+1,N($X1706)))</f>
        <v/>
      </c>
      <c r="Z1707">
        <f>IF($V1707="","",IF($AA1707&gt;N($AA1706),$AA1707,""))</f>
        <v/>
      </c>
      <c r="AA1707">
        <f>IF($V1707="",N($AA1706),IF(MATCH($V1707,$V$6:$V$6005,0)=ROW()-5,N($AA1706)+1,N($AA1706)))</f>
        <v/>
      </c>
    </row>
    <row r="1708" ht="21" customHeight="1" s="66">
      <c r="A1708" s="56" t="n"/>
      <c r="B1708" s="57" t="n"/>
      <c r="C1708" s="57" t="n"/>
      <c r="D1708" s="57" t="n"/>
      <c r="E1708" s="56" t="n"/>
      <c r="F1708" s="57" t="n"/>
      <c r="G1708" s="57" t="n"/>
      <c r="H1708" s="56" t="n"/>
      <c r="I1708" s="56" t="n"/>
      <c r="J1708" s="58" t="n"/>
      <c r="K1708" s="58" t="n"/>
      <c r="L1708" s="13">
        <f>IF(OR($A1708="",AND($J1708="",$K1708="")),"",ROUND(N($J1708)-N($K1708),2))</f>
        <v/>
      </c>
      <c r="M1708" s="13">
        <f>IF(OR($A1708="",AND($J1708="",$K1708="")),"",MIN($J1708,$K1708))</f>
        <v/>
      </c>
      <c r="Q1708">
        <f>IF($A1708="","",$D1708&amp;"("&amp;SUBSTITUTE($E1708," ","")&amp;")")</f>
        <v/>
      </c>
      <c r="R1708">
        <f>IF($A1708="","",$B1708&amp;" - "&amp;$C1708)</f>
        <v/>
      </c>
      <c r="S1708">
        <f>IF($A1708="","",$R1708&amp;"|"&amp;$Q1708)</f>
        <v/>
      </c>
      <c r="T1708">
        <f>IF($A1708="","",$S1708&amp;"|"&amp;$F1708)</f>
        <v/>
      </c>
      <c r="U1708">
        <f>IF($A1708="","",$R1708&amp;"("&amp;$E1708&amp;")")</f>
        <v/>
      </c>
      <c r="V1708">
        <f>IF($A1708="","",$F1708&amp;"|"&amp;$U1708&amp;"|"&amp;$D1708)</f>
        <v/>
      </c>
      <c r="W1708">
        <f>IF($T1708="","",IF($X1708&gt;N($X1707),$X1708,""))</f>
        <v/>
      </c>
      <c r="X1708">
        <f>IF($T1708="",N($X1707),IF(MATCH($T1708,$T$6:$T$6005,0)=ROW()-5,N($X1707)+1,N($X1707)))</f>
        <v/>
      </c>
      <c r="Z1708">
        <f>IF($V1708="","",IF($AA1708&gt;N($AA1707),$AA1708,""))</f>
        <v/>
      </c>
      <c r="AA1708">
        <f>IF($V1708="",N($AA1707),IF(MATCH($V1708,$V$6:$V$6005,0)=ROW()-5,N($AA1707)+1,N($AA1707)))</f>
        <v/>
      </c>
    </row>
    <row r="1709" ht="21" customHeight="1" s="66">
      <c r="A1709" s="56" t="n"/>
      <c r="B1709" s="57" t="n"/>
      <c r="C1709" s="57" t="n"/>
      <c r="D1709" s="57" t="n"/>
      <c r="E1709" s="56" t="n"/>
      <c r="F1709" s="57" t="n"/>
      <c r="G1709" s="57" t="n"/>
      <c r="H1709" s="56" t="n"/>
      <c r="I1709" s="56" t="n"/>
      <c r="J1709" s="58" t="n"/>
      <c r="K1709" s="58" t="n"/>
      <c r="L1709" s="13">
        <f>IF(OR($A1709="",AND($J1709="",$K1709="")),"",ROUND(N($J1709)-N($K1709),2))</f>
        <v/>
      </c>
      <c r="M1709" s="13">
        <f>IF(OR($A1709="",AND($J1709="",$K1709="")),"",MIN($J1709,$K1709))</f>
        <v/>
      </c>
      <c r="Q1709">
        <f>IF($A1709="","",$D1709&amp;"("&amp;SUBSTITUTE($E1709," ","")&amp;")")</f>
        <v/>
      </c>
      <c r="R1709">
        <f>IF($A1709="","",$B1709&amp;" - "&amp;$C1709)</f>
        <v/>
      </c>
      <c r="S1709">
        <f>IF($A1709="","",$R1709&amp;"|"&amp;$Q1709)</f>
        <v/>
      </c>
      <c r="T1709">
        <f>IF($A1709="","",$S1709&amp;"|"&amp;$F1709)</f>
        <v/>
      </c>
      <c r="U1709">
        <f>IF($A1709="","",$R1709&amp;"("&amp;$E1709&amp;")")</f>
        <v/>
      </c>
      <c r="V1709">
        <f>IF($A1709="","",$F1709&amp;"|"&amp;$U1709&amp;"|"&amp;$D1709)</f>
        <v/>
      </c>
      <c r="W1709">
        <f>IF($T1709="","",IF($X1709&gt;N($X1708),$X1709,""))</f>
        <v/>
      </c>
      <c r="X1709">
        <f>IF($T1709="",N($X1708),IF(MATCH($T1709,$T$6:$T$6005,0)=ROW()-5,N($X1708)+1,N($X1708)))</f>
        <v/>
      </c>
      <c r="Z1709">
        <f>IF($V1709="","",IF($AA1709&gt;N($AA1708),$AA1709,""))</f>
        <v/>
      </c>
      <c r="AA1709">
        <f>IF($V1709="",N($AA1708),IF(MATCH($V1709,$V$6:$V$6005,0)=ROW()-5,N($AA1708)+1,N($AA1708)))</f>
        <v/>
      </c>
    </row>
    <row r="1710" ht="21" customHeight="1" s="66">
      <c r="A1710" s="56" t="n"/>
      <c r="B1710" s="57" t="n"/>
      <c r="C1710" s="57" t="n"/>
      <c r="D1710" s="57" t="n"/>
      <c r="E1710" s="56" t="n"/>
      <c r="F1710" s="57" t="n"/>
      <c r="G1710" s="57" t="n"/>
      <c r="H1710" s="56" t="n"/>
      <c r="I1710" s="56" t="n"/>
      <c r="J1710" s="58" t="n"/>
      <c r="K1710" s="58" t="n"/>
      <c r="L1710" s="13">
        <f>IF(OR($A1710="",AND($J1710="",$K1710="")),"",ROUND(N($J1710)-N($K1710),2))</f>
        <v/>
      </c>
      <c r="M1710" s="13">
        <f>IF(OR($A1710="",AND($J1710="",$K1710="")),"",MIN($J1710,$K1710))</f>
        <v/>
      </c>
      <c r="Q1710">
        <f>IF($A1710="","",$D1710&amp;"("&amp;SUBSTITUTE($E1710," ","")&amp;")")</f>
        <v/>
      </c>
      <c r="R1710">
        <f>IF($A1710="","",$B1710&amp;" - "&amp;$C1710)</f>
        <v/>
      </c>
      <c r="S1710">
        <f>IF($A1710="","",$R1710&amp;"|"&amp;$Q1710)</f>
        <v/>
      </c>
      <c r="T1710">
        <f>IF($A1710="","",$S1710&amp;"|"&amp;$F1710)</f>
        <v/>
      </c>
      <c r="U1710">
        <f>IF($A1710="","",$R1710&amp;"("&amp;$E1710&amp;")")</f>
        <v/>
      </c>
      <c r="V1710">
        <f>IF($A1710="","",$F1710&amp;"|"&amp;$U1710&amp;"|"&amp;$D1710)</f>
        <v/>
      </c>
      <c r="W1710">
        <f>IF($T1710="","",IF($X1710&gt;N($X1709),$X1710,""))</f>
        <v/>
      </c>
      <c r="X1710">
        <f>IF($T1710="",N($X1709),IF(MATCH($T1710,$T$6:$T$6005,0)=ROW()-5,N($X1709)+1,N($X1709)))</f>
        <v/>
      </c>
      <c r="Z1710">
        <f>IF($V1710="","",IF($AA1710&gt;N($AA1709),$AA1710,""))</f>
        <v/>
      </c>
      <c r="AA1710">
        <f>IF($V1710="",N($AA1709),IF(MATCH($V1710,$V$6:$V$6005,0)=ROW()-5,N($AA1709)+1,N($AA1709)))</f>
        <v/>
      </c>
    </row>
    <row r="1711" ht="21" customHeight="1" s="66">
      <c r="A1711" s="56" t="n"/>
      <c r="B1711" s="57" t="n"/>
      <c r="C1711" s="57" t="n"/>
      <c r="D1711" s="57" t="n"/>
      <c r="E1711" s="56" t="n"/>
      <c r="F1711" s="57" t="n"/>
      <c r="G1711" s="57" t="n"/>
      <c r="H1711" s="56" t="n"/>
      <c r="I1711" s="56" t="n"/>
      <c r="J1711" s="58" t="n"/>
      <c r="K1711" s="58" t="n"/>
      <c r="L1711" s="13">
        <f>IF(OR($A1711="",AND($J1711="",$K1711="")),"",ROUND(N($J1711)-N($K1711),2))</f>
        <v/>
      </c>
      <c r="M1711" s="13">
        <f>IF(OR($A1711="",AND($J1711="",$K1711="")),"",MIN($J1711,$K1711))</f>
        <v/>
      </c>
      <c r="Q1711">
        <f>IF($A1711="","",$D1711&amp;"("&amp;SUBSTITUTE($E1711," ","")&amp;")")</f>
        <v/>
      </c>
      <c r="R1711">
        <f>IF($A1711="","",$B1711&amp;" - "&amp;$C1711)</f>
        <v/>
      </c>
      <c r="S1711">
        <f>IF($A1711="","",$R1711&amp;"|"&amp;$Q1711)</f>
        <v/>
      </c>
      <c r="T1711">
        <f>IF($A1711="","",$S1711&amp;"|"&amp;$F1711)</f>
        <v/>
      </c>
      <c r="U1711">
        <f>IF($A1711="","",$R1711&amp;"("&amp;$E1711&amp;")")</f>
        <v/>
      </c>
      <c r="V1711">
        <f>IF($A1711="","",$F1711&amp;"|"&amp;$U1711&amp;"|"&amp;$D1711)</f>
        <v/>
      </c>
      <c r="W1711">
        <f>IF($T1711="","",IF($X1711&gt;N($X1710),$X1711,""))</f>
        <v/>
      </c>
      <c r="X1711">
        <f>IF($T1711="",N($X1710),IF(MATCH($T1711,$T$6:$T$6005,0)=ROW()-5,N($X1710)+1,N($X1710)))</f>
        <v/>
      </c>
      <c r="Z1711">
        <f>IF($V1711="","",IF($AA1711&gt;N($AA1710),$AA1711,""))</f>
        <v/>
      </c>
      <c r="AA1711">
        <f>IF($V1711="",N($AA1710),IF(MATCH($V1711,$V$6:$V$6005,0)=ROW()-5,N($AA1710)+1,N($AA1710)))</f>
        <v/>
      </c>
    </row>
    <row r="1712" ht="21" customHeight="1" s="66">
      <c r="A1712" s="56" t="n"/>
      <c r="B1712" s="57" t="n"/>
      <c r="C1712" s="57" t="n"/>
      <c r="D1712" s="57" t="n"/>
      <c r="E1712" s="56" t="n"/>
      <c r="F1712" s="57" t="n"/>
      <c r="G1712" s="57" t="n"/>
      <c r="H1712" s="56" t="n"/>
      <c r="I1712" s="56" t="n"/>
      <c r="J1712" s="58" t="n"/>
      <c r="K1712" s="58" t="n"/>
      <c r="L1712" s="13">
        <f>IF(OR($A1712="",AND($J1712="",$K1712="")),"",ROUND(N($J1712)-N($K1712),2))</f>
        <v/>
      </c>
      <c r="M1712" s="13">
        <f>IF(OR($A1712="",AND($J1712="",$K1712="")),"",MIN($J1712,$K1712))</f>
        <v/>
      </c>
      <c r="Q1712">
        <f>IF($A1712="","",$D1712&amp;"("&amp;SUBSTITUTE($E1712," ","")&amp;")")</f>
        <v/>
      </c>
      <c r="R1712">
        <f>IF($A1712="","",$B1712&amp;" - "&amp;$C1712)</f>
        <v/>
      </c>
      <c r="S1712">
        <f>IF($A1712="","",$R1712&amp;"|"&amp;$Q1712)</f>
        <v/>
      </c>
      <c r="T1712">
        <f>IF($A1712="","",$S1712&amp;"|"&amp;$F1712)</f>
        <v/>
      </c>
      <c r="U1712">
        <f>IF($A1712="","",$R1712&amp;"("&amp;$E1712&amp;")")</f>
        <v/>
      </c>
      <c r="V1712">
        <f>IF($A1712="","",$F1712&amp;"|"&amp;$U1712&amp;"|"&amp;$D1712)</f>
        <v/>
      </c>
      <c r="W1712">
        <f>IF($T1712="","",IF($X1712&gt;N($X1711),$X1712,""))</f>
        <v/>
      </c>
      <c r="X1712">
        <f>IF($T1712="",N($X1711),IF(MATCH($T1712,$T$6:$T$6005,0)=ROW()-5,N($X1711)+1,N($X1711)))</f>
        <v/>
      </c>
      <c r="Z1712">
        <f>IF($V1712="","",IF($AA1712&gt;N($AA1711),$AA1712,""))</f>
        <v/>
      </c>
      <c r="AA1712">
        <f>IF($V1712="",N($AA1711),IF(MATCH($V1712,$V$6:$V$6005,0)=ROW()-5,N($AA1711)+1,N($AA1711)))</f>
        <v/>
      </c>
    </row>
    <row r="1713" ht="21" customHeight="1" s="66">
      <c r="A1713" s="56" t="n"/>
      <c r="B1713" s="57" t="n"/>
      <c r="C1713" s="57" t="n"/>
      <c r="D1713" s="57" t="n"/>
      <c r="E1713" s="56" t="n"/>
      <c r="F1713" s="57" t="n"/>
      <c r="G1713" s="57" t="n"/>
      <c r="H1713" s="56" t="n"/>
      <c r="I1713" s="56" t="n"/>
      <c r="J1713" s="58" t="n"/>
      <c r="K1713" s="58" t="n"/>
      <c r="L1713" s="13">
        <f>IF(OR($A1713="",AND($J1713="",$K1713="")),"",ROUND(N($J1713)-N($K1713),2))</f>
        <v/>
      </c>
      <c r="M1713" s="13">
        <f>IF(OR($A1713="",AND($J1713="",$K1713="")),"",MIN($J1713,$K1713))</f>
        <v/>
      </c>
      <c r="Q1713">
        <f>IF($A1713="","",$D1713&amp;"("&amp;SUBSTITUTE($E1713," ","")&amp;")")</f>
        <v/>
      </c>
      <c r="R1713">
        <f>IF($A1713="","",$B1713&amp;" - "&amp;$C1713)</f>
        <v/>
      </c>
      <c r="S1713">
        <f>IF($A1713="","",$R1713&amp;"|"&amp;$Q1713)</f>
        <v/>
      </c>
      <c r="T1713">
        <f>IF($A1713="","",$S1713&amp;"|"&amp;$F1713)</f>
        <v/>
      </c>
      <c r="U1713">
        <f>IF($A1713="","",$R1713&amp;"("&amp;$E1713&amp;")")</f>
        <v/>
      </c>
      <c r="V1713">
        <f>IF($A1713="","",$F1713&amp;"|"&amp;$U1713&amp;"|"&amp;$D1713)</f>
        <v/>
      </c>
      <c r="W1713">
        <f>IF($T1713="","",IF($X1713&gt;N($X1712),$X1713,""))</f>
        <v/>
      </c>
      <c r="X1713">
        <f>IF($T1713="",N($X1712),IF(MATCH($T1713,$T$6:$T$6005,0)=ROW()-5,N($X1712)+1,N($X1712)))</f>
        <v/>
      </c>
      <c r="Z1713">
        <f>IF($V1713="","",IF($AA1713&gt;N($AA1712),$AA1713,""))</f>
        <v/>
      </c>
      <c r="AA1713">
        <f>IF($V1713="",N($AA1712),IF(MATCH($V1713,$V$6:$V$6005,0)=ROW()-5,N($AA1712)+1,N($AA1712)))</f>
        <v/>
      </c>
    </row>
    <row r="1714" ht="21" customHeight="1" s="66">
      <c r="A1714" s="56" t="n"/>
      <c r="B1714" s="57" t="n"/>
      <c r="C1714" s="57" t="n"/>
      <c r="D1714" s="57" t="n"/>
      <c r="E1714" s="56" t="n"/>
      <c r="F1714" s="57" t="n"/>
      <c r="G1714" s="57" t="n"/>
      <c r="H1714" s="56" t="n"/>
      <c r="I1714" s="56" t="n"/>
      <c r="J1714" s="58" t="n"/>
      <c r="K1714" s="58" t="n"/>
      <c r="L1714" s="13">
        <f>IF(OR($A1714="",AND($J1714="",$K1714="")),"",ROUND(N($J1714)-N($K1714),2))</f>
        <v/>
      </c>
      <c r="M1714" s="13">
        <f>IF(OR($A1714="",AND($J1714="",$K1714="")),"",MIN($J1714,$K1714))</f>
        <v/>
      </c>
      <c r="Q1714">
        <f>IF($A1714="","",$D1714&amp;"("&amp;SUBSTITUTE($E1714," ","")&amp;")")</f>
        <v/>
      </c>
      <c r="R1714">
        <f>IF($A1714="","",$B1714&amp;" - "&amp;$C1714)</f>
        <v/>
      </c>
      <c r="S1714">
        <f>IF($A1714="","",$R1714&amp;"|"&amp;$Q1714)</f>
        <v/>
      </c>
      <c r="T1714">
        <f>IF($A1714="","",$S1714&amp;"|"&amp;$F1714)</f>
        <v/>
      </c>
      <c r="U1714">
        <f>IF($A1714="","",$R1714&amp;"("&amp;$E1714&amp;")")</f>
        <v/>
      </c>
      <c r="V1714">
        <f>IF($A1714="","",$F1714&amp;"|"&amp;$U1714&amp;"|"&amp;$D1714)</f>
        <v/>
      </c>
      <c r="W1714">
        <f>IF($T1714="","",IF($X1714&gt;N($X1713),$X1714,""))</f>
        <v/>
      </c>
      <c r="X1714">
        <f>IF($T1714="",N($X1713),IF(MATCH($T1714,$T$6:$T$6005,0)=ROW()-5,N($X1713)+1,N($X1713)))</f>
        <v/>
      </c>
      <c r="Z1714">
        <f>IF($V1714="","",IF($AA1714&gt;N($AA1713),$AA1714,""))</f>
        <v/>
      </c>
      <c r="AA1714">
        <f>IF($V1714="",N($AA1713),IF(MATCH($V1714,$V$6:$V$6005,0)=ROW()-5,N($AA1713)+1,N($AA1713)))</f>
        <v/>
      </c>
    </row>
    <row r="1715" ht="21" customHeight="1" s="66">
      <c r="A1715" s="56" t="n"/>
      <c r="B1715" s="57" t="n"/>
      <c r="C1715" s="57" t="n"/>
      <c r="D1715" s="57" t="n"/>
      <c r="E1715" s="56" t="n"/>
      <c r="F1715" s="57" t="n"/>
      <c r="G1715" s="57" t="n"/>
      <c r="H1715" s="56" t="n"/>
      <c r="I1715" s="56" t="n"/>
      <c r="J1715" s="58" t="n"/>
      <c r="K1715" s="58" t="n"/>
      <c r="L1715" s="13">
        <f>IF(OR($A1715="",AND($J1715="",$K1715="")),"",ROUND(N($J1715)-N($K1715),2))</f>
        <v/>
      </c>
      <c r="M1715" s="13">
        <f>IF(OR($A1715="",AND($J1715="",$K1715="")),"",MIN($J1715,$K1715))</f>
        <v/>
      </c>
      <c r="Q1715">
        <f>IF($A1715="","",$D1715&amp;"("&amp;SUBSTITUTE($E1715," ","")&amp;")")</f>
        <v/>
      </c>
      <c r="R1715">
        <f>IF($A1715="","",$B1715&amp;" - "&amp;$C1715)</f>
        <v/>
      </c>
      <c r="S1715">
        <f>IF($A1715="","",$R1715&amp;"|"&amp;$Q1715)</f>
        <v/>
      </c>
      <c r="T1715">
        <f>IF($A1715="","",$S1715&amp;"|"&amp;$F1715)</f>
        <v/>
      </c>
      <c r="U1715">
        <f>IF($A1715="","",$R1715&amp;"("&amp;$E1715&amp;")")</f>
        <v/>
      </c>
      <c r="V1715">
        <f>IF($A1715="","",$F1715&amp;"|"&amp;$U1715&amp;"|"&amp;$D1715)</f>
        <v/>
      </c>
      <c r="W1715">
        <f>IF($T1715="","",IF($X1715&gt;N($X1714),$X1715,""))</f>
        <v/>
      </c>
      <c r="X1715">
        <f>IF($T1715="",N($X1714),IF(MATCH($T1715,$T$6:$T$6005,0)=ROW()-5,N($X1714)+1,N($X1714)))</f>
        <v/>
      </c>
      <c r="Z1715">
        <f>IF($V1715="","",IF($AA1715&gt;N($AA1714),$AA1715,""))</f>
        <v/>
      </c>
      <c r="AA1715">
        <f>IF($V1715="",N($AA1714),IF(MATCH($V1715,$V$6:$V$6005,0)=ROW()-5,N($AA1714)+1,N($AA1714)))</f>
        <v/>
      </c>
    </row>
    <row r="1716" ht="21" customHeight="1" s="66">
      <c r="A1716" s="56" t="n"/>
      <c r="B1716" s="57" t="n"/>
      <c r="C1716" s="57" t="n"/>
      <c r="D1716" s="57" t="n"/>
      <c r="E1716" s="56" t="n"/>
      <c r="F1716" s="57" t="n"/>
      <c r="G1716" s="57" t="n"/>
      <c r="H1716" s="56" t="n"/>
      <c r="I1716" s="56" t="n"/>
      <c r="J1716" s="58" t="n"/>
      <c r="K1716" s="58" t="n"/>
      <c r="L1716" s="13">
        <f>IF(OR($A1716="",AND($J1716="",$K1716="")),"",ROUND(N($J1716)-N($K1716),2))</f>
        <v/>
      </c>
      <c r="M1716" s="13">
        <f>IF(OR($A1716="",AND($J1716="",$K1716="")),"",MIN($J1716,$K1716))</f>
        <v/>
      </c>
      <c r="Q1716">
        <f>IF($A1716="","",$D1716&amp;"("&amp;SUBSTITUTE($E1716," ","")&amp;")")</f>
        <v/>
      </c>
      <c r="R1716">
        <f>IF($A1716="","",$B1716&amp;" - "&amp;$C1716)</f>
        <v/>
      </c>
      <c r="S1716">
        <f>IF($A1716="","",$R1716&amp;"|"&amp;$Q1716)</f>
        <v/>
      </c>
      <c r="T1716">
        <f>IF($A1716="","",$S1716&amp;"|"&amp;$F1716)</f>
        <v/>
      </c>
      <c r="U1716">
        <f>IF($A1716="","",$R1716&amp;"("&amp;$E1716&amp;")")</f>
        <v/>
      </c>
      <c r="V1716">
        <f>IF($A1716="","",$F1716&amp;"|"&amp;$U1716&amp;"|"&amp;$D1716)</f>
        <v/>
      </c>
      <c r="W1716">
        <f>IF($T1716="","",IF($X1716&gt;N($X1715),$X1716,""))</f>
        <v/>
      </c>
      <c r="X1716">
        <f>IF($T1716="",N($X1715),IF(MATCH($T1716,$T$6:$T$6005,0)=ROW()-5,N($X1715)+1,N($X1715)))</f>
        <v/>
      </c>
      <c r="Z1716">
        <f>IF($V1716="","",IF($AA1716&gt;N($AA1715),$AA1716,""))</f>
        <v/>
      </c>
      <c r="AA1716">
        <f>IF($V1716="",N($AA1715),IF(MATCH($V1716,$V$6:$V$6005,0)=ROW()-5,N($AA1715)+1,N($AA1715)))</f>
        <v/>
      </c>
    </row>
    <row r="1717" ht="21" customHeight="1" s="66">
      <c r="A1717" s="56" t="n"/>
      <c r="B1717" s="57" t="n"/>
      <c r="C1717" s="57" t="n"/>
      <c r="D1717" s="57" t="n"/>
      <c r="E1717" s="56" t="n"/>
      <c r="F1717" s="57" t="n"/>
      <c r="G1717" s="57" t="n"/>
      <c r="H1717" s="56" t="n"/>
      <c r="I1717" s="56" t="n"/>
      <c r="J1717" s="58" t="n"/>
      <c r="K1717" s="58" t="n"/>
      <c r="L1717" s="13">
        <f>IF(OR($A1717="",AND($J1717="",$K1717="")),"",ROUND(N($J1717)-N($K1717),2))</f>
        <v/>
      </c>
      <c r="M1717" s="13">
        <f>IF(OR($A1717="",AND($J1717="",$K1717="")),"",MIN($J1717,$K1717))</f>
        <v/>
      </c>
      <c r="Q1717">
        <f>IF($A1717="","",$D1717&amp;"("&amp;SUBSTITUTE($E1717," ","")&amp;")")</f>
        <v/>
      </c>
      <c r="R1717">
        <f>IF($A1717="","",$B1717&amp;" - "&amp;$C1717)</f>
        <v/>
      </c>
      <c r="S1717">
        <f>IF($A1717="","",$R1717&amp;"|"&amp;$Q1717)</f>
        <v/>
      </c>
      <c r="T1717">
        <f>IF($A1717="","",$S1717&amp;"|"&amp;$F1717)</f>
        <v/>
      </c>
      <c r="U1717">
        <f>IF($A1717="","",$R1717&amp;"("&amp;$E1717&amp;")")</f>
        <v/>
      </c>
      <c r="V1717">
        <f>IF($A1717="","",$F1717&amp;"|"&amp;$U1717&amp;"|"&amp;$D1717)</f>
        <v/>
      </c>
      <c r="W1717">
        <f>IF($T1717="","",IF($X1717&gt;N($X1716),$X1717,""))</f>
        <v/>
      </c>
      <c r="X1717">
        <f>IF($T1717="",N($X1716),IF(MATCH($T1717,$T$6:$T$6005,0)=ROW()-5,N($X1716)+1,N($X1716)))</f>
        <v/>
      </c>
      <c r="Z1717">
        <f>IF($V1717="","",IF($AA1717&gt;N($AA1716),$AA1717,""))</f>
        <v/>
      </c>
      <c r="AA1717">
        <f>IF($V1717="",N($AA1716),IF(MATCH($V1717,$V$6:$V$6005,0)=ROW()-5,N($AA1716)+1,N($AA1716)))</f>
        <v/>
      </c>
    </row>
    <row r="1718" ht="21" customHeight="1" s="66">
      <c r="A1718" s="56" t="n"/>
      <c r="B1718" s="57" t="n"/>
      <c r="C1718" s="57" t="n"/>
      <c r="D1718" s="57" t="n"/>
      <c r="E1718" s="56" t="n"/>
      <c r="F1718" s="57" t="n"/>
      <c r="G1718" s="57" t="n"/>
      <c r="H1718" s="56" t="n"/>
      <c r="I1718" s="56" t="n"/>
      <c r="J1718" s="58" t="n"/>
      <c r="K1718" s="58" t="n"/>
      <c r="L1718" s="13">
        <f>IF(OR($A1718="",AND($J1718="",$K1718="")),"",ROUND(N($J1718)-N($K1718),2))</f>
        <v/>
      </c>
      <c r="M1718" s="13">
        <f>IF(OR($A1718="",AND($J1718="",$K1718="")),"",MIN($J1718,$K1718))</f>
        <v/>
      </c>
      <c r="Q1718">
        <f>IF($A1718="","",$D1718&amp;"("&amp;SUBSTITUTE($E1718," ","")&amp;")")</f>
        <v/>
      </c>
      <c r="R1718">
        <f>IF($A1718="","",$B1718&amp;" - "&amp;$C1718)</f>
        <v/>
      </c>
      <c r="S1718">
        <f>IF($A1718="","",$R1718&amp;"|"&amp;$Q1718)</f>
        <v/>
      </c>
      <c r="T1718">
        <f>IF($A1718="","",$S1718&amp;"|"&amp;$F1718)</f>
        <v/>
      </c>
      <c r="U1718">
        <f>IF($A1718="","",$R1718&amp;"("&amp;$E1718&amp;")")</f>
        <v/>
      </c>
      <c r="V1718">
        <f>IF($A1718="","",$F1718&amp;"|"&amp;$U1718&amp;"|"&amp;$D1718)</f>
        <v/>
      </c>
      <c r="W1718">
        <f>IF($T1718="","",IF($X1718&gt;N($X1717),$X1718,""))</f>
        <v/>
      </c>
      <c r="X1718">
        <f>IF($T1718="",N($X1717),IF(MATCH($T1718,$T$6:$T$6005,0)=ROW()-5,N($X1717)+1,N($X1717)))</f>
        <v/>
      </c>
      <c r="Z1718">
        <f>IF($V1718="","",IF($AA1718&gt;N($AA1717),$AA1718,""))</f>
        <v/>
      </c>
      <c r="AA1718">
        <f>IF($V1718="",N($AA1717),IF(MATCH($V1718,$V$6:$V$6005,0)=ROW()-5,N($AA1717)+1,N($AA1717)))</f>
        <v/>
      </c>
    </row>
    <row r="1719" ht="21" customHeight="1" s="66">
      <c r="A1719" s="56" t="n"/>
      <c r="B1719" s="57" t="n"/>
      <c r="C1719" s="57" t="n"/>
      <c r="D1719" s="57" t="n"/>
      <c r="E1719" s="56" t="n"/>
      <c r="F1719" s="57" t="n"/>
      <c r="G1719" s="57" t="n"/>
      <c r="H1719" s="56" t="n"/>
      <c r="I1719" s="56" t="n"/>
      <c r="J1719" s="58" t="n"/>
      <c r="K1719" s="58" t="n"/>
      <c r="L1719" s="13">
        <f>IF(OR($A1719="",AND($J1719="",$K1719="")),"",ROUND(N($J1719)-N($K1719),2))</f>
        <v/>
      </c>
      <c r="M1719" s="13">
        <f>IF(OR($A1719="",AND($J1719="",$K1719="")),"",MIN($J1719,$K1719))</f>
        <v/>
      </c>
      <c r="Q1719">
        <f>IF($A1719="","",$D1719&amp;"("&amp;SUBSTITUTE($E1719," ","")&amp;")")</f>
        <v/>
      </c>
      <c r="R1719">
        <f>IF($A1719="","",$B1719&amp;" - "&amp;$C1719)</f>
        <v/>
      </c>
      <c r="S1719">
        <f>IF($A1719="","",$R1719&amp;"|"&amp;$Q1719)</f>
        <v/>
      </c>
      <c r="T1719">
        <f>IF($A1719="","",$S1719&amp;"|"&amp;$F1719)</f>
        <v/>
      </c>
      <c r="U1719">
        <f>IF($A1719="","",$R1719&amp;"("&amp;$E1719&amp;")")</f>
        <v/>
      </c>
      <c r="V1719">
        <f>IF($A1719="","",$F1719&amp;"|"&amp;$U1719&amp;"|"&amp;$D1719)</f>
        <v/>
      </c>
      <c r="W1719">
        <f>IF($T1719="","",IF($X1719&gt;N($X1718),$X1719,""))</f>
        <v/>
      </c>
      <c r="X1719">
        <f>IF($T1719="",N($X1718),IF(MATCH($T1719,$T$6:$T$6005,0)=ROW()-5,N($X1718)+1,N($X1718)))</f>
        <v/>
      </c>
      <c r="Z1719">
        <f>IF($V1719="","",IF($AA1719&gt;N($AA1718),$AA1719,""))</f>
        <v/>
      </c>
      <c r="AA1719">
        <f>IF($V1719="",N($AA1718),IF(MATCH($V1719,$V$6:$V$6005,0)=ROW()-5,N($AA1718)+1,N($AA1718)))</f>
        <v/>
      </c>
    </row>
    <row r="1720" ht="21" customHeight="1" s="66">
      <c r="A1720" s="56" t="n"/>
      <c r="B1720" s="57" t="n"/>
      <c r="C1720" s="57" t="n"/>
      <c r="D1720" s="57" t="n"/>
      <c r="E1720" s="56" t="n"/>
      <c r="F1720" s="57" t="n"/>
      <c r="G1720" s="57" t="n"/>
      <c r="H1720" s="56" t="n"/>
      <c r="I1720" s="56" t="n"/>
      <c r="J1720" s="58" t="n"/>
      <c r="K1720" s="58" t="n"/>
      <c r="L1720" s="13">
        <f>IF(OR($A1720="",AND($J1720="",$K1720="")),"",ROUND(N($J1720)-N($K1720),2))</f>
        <v/>
      </c>
      <c r="M1720" s="13">
        <f>IF(OR($A1720="",AND($J1720="",$K1720="")),"",MIN($J1720,$K1720))</f>
        <v/>
      </c>
      <c r="Q1720">
        <f>IF($A1720="","",$D1720&amp;"("&amp;SUBSTITUTE($E1720," ","")&amp;")")</f>
        <v/>
      </c>
      <c r="R1720">
        <f>IF($A1720="","",$B1720&amp;" - "&amp;$C1720)</f>
        <v/>
      </c>
      <c r="S1720">
        <f>IF($A1720="","",$R1720&amp;"|"&amp;$Q1720)</f>
        <v/>
      </c>
      <c r="T1720">
        <f>IF($A1720="","",$S1720&amp;"|"&amp;$F1720)</f>
        <v/>
      </c>
      <c r="U1720">
        <f>IF($A1720="","",$R1720&amp;"("&amp;$E1720&amp;")")</f>
        <v/>
      </c>
      <c r="V1720">
        <f>IF($A1720="","",$F1720&amp;"|"&amp;$U1720&amp;"|"&amp;$D1720)</f>
        <v/>
      </c>
      <c r="W1720">
        <f>IF($T1720="","",IF($X1720&gt;N($X1719),$X1720,""))</f>
        <v/>
      </c>
      <c r="X1720">
        <f>IF($T1720="",N($X1719),IF(MATCH($T1720,$T$6:$T$6005,0)=ROW()-5,N($X1719)+1,N($X1719)))</f>
        <v/>
      </c>
      <c r="Z1720">
        <f>IF($V1720="","",IF($AA1720&gt;N($AA1719),$AA1720,""))</f>
        <v/>
      </c>
      <c r="AA1720">
        <f>IF($V1720="",N($AA1719),IF(MATCH($V1720,$V$6:$V$6005,0)=ROW()-5,N($AA1719)+1,N($AA1719)))</f>
        <v/>
      </c>
    </row>
    <row r="1721" ht="21" customHeight="1" s="66">
      <c r="A1721" s="56" t="n"/>
      <c r="B1721" s="57" t="n"/>
      <c r="C1721" s="57" t="n"/>
      <c r="D1721" s="57" t="n"/>
      <c r="E1721" s="56" t="n"/>
      <c r="F1721" s="57" t="n"/>
      <c r="G1721" s="57" t="n"/>
      <c r="H1721" s="56" t="n"/>
      <c r="I1721" s="56" t="n"/>
      <c r="J1721" s="58" t="n"/>
      <c r="K1721" s="58" t="n"/>
      <c r="L1721" s="13">
        <f>IF(OR($A1721="",AND($J1721="",$K1721="")),"",ROUND(N($J1721)-N($K1721),2))</f>
        <v/>
      </c>
      <c r="M1721" s="13">
        <f>IF(OR($A1721="",AND($J1721="",$K1721="")),"",MIN($J1721,$K1721))</f>
        <v/>
      </c>
      <c r="Q1721">
        <f>IF($A1721="","",$D1721&amp;"("&amp;SUBSTITUTE($E1721," ","")&amp;")")</f>
        <v/>
      </c>
      <c r="R1721">
        <f>IF($A1721="","",$B1721&amp;" - "&amp;$C1721)</f>
        <v/>
      </c>
      <c r="S1721">
        <f>IF($A1721="","",$R1721&amp;"|"&amp;$Q1721)</f>
        <v/>
      </c>
      <c r="T1721">
        <f>IF($A1721="","",$S1721&amp;"|"&amp;$F1721)</f>
        <v/>
      </c>
      <c r="U1721">
        <f>IF($A1721="","",$R1721&amp;"("&amp;$E1721&amp;")")</f>
        <v/>
      </c>
      <c r="V1721">
        <f>IF($A1721="","",$F1721&amp;"|"&amp;$U1721&amp;"|"&amp;$D1721)</f>
        <v/>
      </c>
      <c r="W1721">
        <f>IF($T1721="","",IF($X1721&gt;N($X1720),$X1721,""))</f>
        <v/>
      </c>
      <c r="X1721">
        <f>IF($T1721="",N($X1720),IF(MATCH($T1721,$T$6:$T$6005,0)=ROW()-5,N($X1720)+1,N($X1720)))</f>
        <v/>
      </c>
      <c r="Z1721">
        <f>IF($V1721="","",IF($AA1721&gt;N($AA1720),$AA1721,""))</f>
        <v/>
      </c>
      <c r="AA1721">
        <f>IF($V1721="",N($AA1720),IF(MATCH($V1721,$V$6:$V$6005,0)=ROW()-5,N($AA1720)+1,N($AA1720)))</f>
        <v/>
      </c>
    </row>
    <row r="1722" ht="21" customHeight="1" s="66">
      <c r="A1722" s="56" t="n"/>
      <c r="B1722" s="57" t="n"/>
      <c r="C1722" s="57" t="n"/>
      <c r="D1722" s="57" t="n"/>
      <c r="E1722" s="56" t="n"/>
      <c r="F1722" s="57" t="n"/>
      <c r="G1722" s="57" t="n"/>
      <c r="H1722" s="56" t="n"/>
      <c r="I1722" s="56" t="n"/>
      <c r="J1722" s="58" t="n"/>
      <c r="K1722" s="58" t="n"/>
      <c r="L1722" s="13">
        <f>IF(OR($A1722="",AND($J1722="",$K1722="")),"",ROUND(N($J1722)-N($K1722),2))</f>
        <v/>
      </c>
      <c r="M1722" s="13">
        <f>IF(OR($A1722="",AND($J1722="",$K1722="")),"",MIN($J1722,$K1722))</f>
        <v/>
      </c>
      <c r="Q1722">
        <f>IF($A1722="","",$D1722&amp;"("&amp;SUBSTITUTE($E1722," ","")&amp;")")</f>
        <v/>
      </c>
      <c r="R1722">
        <f>IF($A1722="","",$B1722&amp;" - "&amp;$C1722)</f>
        <v/>
      </c>
      <c r="S1722">
        <f>IF($A1722="","",$R1722&amp;"|"&amp;$Q1722)</f>
        <v/>
      </c>
      <c r="T1722">
        <f>IF($A1722="","",$S1722&amp;"|"&amp;$F1722)</f>
        <v/>
      </c>
      <c r="U1722">
        <f>IF($A1722="","",$R1722&amp;"("&amp;$E1722&amp;")")</f>
        <v/>
      </c>
      <c r="V1722">
        <f>IF($A1722="","",$F1722&amp;"|"&amp;$U1722&amp;"|"&amp;$D1722)</f>
        <v/>
      </c>
      <c r="W1722">
        <f>IF($T1722="","",IF($X1722&gt;N($X1721),$X1722,""))</f>
        <v/>
      </c>
      <c r="X1722">
        <f>IF($T1722="",N($X1721),IF(MATCH($T1722,$T$6:$T$6005,0)=ROW()-5,N($X1721)+1,N($X1721)))</f>
        <v/>
      </c>
      <c r="Z1722">
        <f>IF($V1722="","",IF($AA1722&gt;N($AA1721),$AA1722,""))</f>
        <v/>
      </c>
      <c r="AA1722">
        <f>IF($V1722="",N($AA1721),IF(MATCH($V1722,$V$6:$V$6005,0)=ROW()-5,N($AA1721)+1,N($AA1721)))</f>
        <v/>
      </c>
    </row>
    <row r="1723" ht="21" customHeight="1" s="66">
      <c r="A1723" s="56" t="n"/>
      <c r="B1723" s="57" t="n"/>
      <c r="C1723" s="57" t="n"/>
      <c r="D1723" s="57" t="n"/>
      <c r="E1723" s="56" t="n"/>
      <c r="F1723" s="57" t="n"/>
      <c r="G1723" s="57" t="n"/>
      <c r="H1723" s="56" t="n"/>
      <c r="I1723" s="56" t="n"/>
      <c r="J1723" s="58" t="n"/>
      <c r="K1723" s="58" t="n"/>
      <c r="L1723" s="13">
        <f>IF(OR($A1723="",AND($J1723="",$K1723="")),"",ROUND(N($J1723)-N($K1723),2))</f>
        <v/>
      </c>
      <c r="M1723" s="13">
        <f>IF(OR($A1723="",AND($J1723="",$K1723="")),"",MIN($J1723,$K1723))</f>
        <v/>
      </c>
      <c r="Q1723">
        <f>IF($A1723="","",$D1723&amp;"("&amp;SUBSTITUTE($E1723," ","")&amp;")")</f>
        <v/>
      </c>
      <c r="R1723">
        <f>IF($A1723="","",$B1723&amp;" - "&amp;$C1723)</f>
        <v/>
      </c>
      <c r="S1723">
        <f>IF($A1723="","",$R1723&amp;"|"&amp;$Q1723)</f>
        <v/>
      </c>
      <c r="T1723">
        <f>IF($A1723="","",$S1723&amp;"|"&amp;$F1723)</f>
        <v/>
      </c>
      <c r="U1723">
        <f>IF($A1723="","",$R1723&amp;"("&amp;$E1723&amp;")")</f>
        <v/>
      </c>
      <c r="V1723">
        <f>IF($A1723="","",$F1723&amp;"|"&amp;$U1723&amp;"|"&amp;$D1723)</f>
        <v/>
      </c>
      <c r="W1723">
        <f>IF($T1723="","",IF($X1723&gt;N($X1722),$X1723,""))</f>
        <v/>
      </c>
      <c r="X1723">
        <f>IF($T1723="",N($X1722),IF(MATCH($T1723,$T$6:$T$6005,0)=ROW()-5,N($X1722)+1,N($X1722)))</f>
        <v/>
      </c>
      <c r="Z1723">
        <f>IF($V1723="","",IF($AA1723&gt;N($AA1722),$AA1723,""))</f>
        <v/>
      </c>
      <c r="AA1723">
        <f>IF($V1723="",N($AA1722),IF(MATCH($V1723,$V$6:$V$6005,0)=ROW()-5,N($AA1722)+1,N($AA1722)))</f>
        <v/>
      </c>
    </row>
    <row r="1724" ht="21" customHeight="1" s="66">
      <c r="A1724" s="56" t="n"/>
      <c r="B1724" s="57" t="n"/>
      <c r="C1724" s="57" t="n"/>
      <c r="D1724" s="57" t="n"/>
      <c r="E1724" s="56" t="n"/>
      <c r="F1724" s="57" t="n"/>
      <c r="G1724" s="57" t="n"/>
      <c r="H1724" s="56" t="n"/>
      <c r="I1724" s="56" t="n"/>
      <c r="J1724" s="58" t="n"/>
      <c r="K1724" s="58" t="n"/>
      <c r="L1724" s="13">
        <f>IF(OR($A1724="",AND($J1724="",$K1724="")),"",ROUND(N($J1724)-N($K1724),2))</f>
        <v/>
      </c>
      <c r="M1724" s="13">
        <f>IF(OR($A1724="",AND($J1724="",$K1724="")),"",MIN($J1724,$K1724))</f>
        <v/>
      </c>
      <c r="Q1724">
        <f>IF($A1724="","",$D1724&amp;"("&amp;SUBSTITUTE($E1724," ","")&amp;")")</f>
        <v/>
      </c>
      <c r="R1724">
        <f>IF($A1724="","",$B1724&amp;" - "&amp;$C1724)</f>
        <v/>
      </c>
      <c r="S1724">
        <f>IF($A1724="","",$R1724&amp;"|"&amp;$Q1724)</f>
        <v/>
      </c>
      <c r="T1724">
        <f>IF($A1724="","",$S1724&amp;"|"&amp;$F1724)</f>
        <v/>
      </c>
      <c r="U1724">
        <f>IF($A1724="","",$R1724&amp;"("&amp;$E1724&amp;")")</f>
        <v/>
      </c>
      <c r="V1724">
        <f>IF($A1724="","",$F1724&amp;"|"&amp;$U1724&amp;"|"&amp;$D1724)</f>
        <v/>
      </c>
      <c r="W1724">
        <f>IF($T1724="","",IF($X1724&gt;N($X1723),$X1724,""))</f>
        <v/>
      </c>
      <c r="X1724">
        <f>IF($T1724="",N($X1723),IF(MATCH($T1724,$T$6:$T$6005,0)=ROW()-5,N($X1723)+1,N($X1723)))</f>
        <v/>
      </c>
      <c r="Z1724">
        <f>IF($V1724="","",IF($AA1724&gt;N($AA1723),$AA1724,""))</f>
        <v/>
      </c>
      <c r="AA1724">
        <f>IF($V1724="",N($AA1723),IF(MATCH($V1724,$V$6:$V$6005,0)=ROW()-5,N($AA1723)+1,N($AA1723)))</f>
        <v/>
      </c>
    </row>
    <row r="1725" ht="21" customHeight="1" s="66">
      <c r="A1725" s="56" t="n"/>
      <c r="B1725" s="57" t="n"/>
      <c r="C1725" s="57" t="n"/>
      <c r="D1725" s="57" t="n"/>
      <c r="E1725" s="56" t="n"/>
      <c r="F1725" s="57" t="n"/>
      <c r="G1725" s="57" t="n"/>
      <c r="H1725" s="56" t="n"/>
      <c r="I1725" s="56" t="n"/>
      <c r="J1725" s="58" t="n"/>
      <c r="K1725" s="58" t="n"/>
      <c r="L1725" s="13">
        <f>IF(OR($A1725="",AND($J1725="",$K1725="")),"",ROUND(N($J1725)-N($K1725),2))</f>
        <v/>
      </c>
      <c r="M1725" s="13">
        <f>IF(OR($A1725="",AND($J1725="",$K1725="")),"",MIN($J1725,$K1725))</f>
        <v/>
      </c>
      <c r="Q1725">
        <f>IF($A1725="","",$D1725&amp;"("&amp;SUBSTITUTE($E1725," ","")&amp;")")</f>
        <v/>
      </c>
      <c r="R1725">
        <f>IF($A1725="","",$B1725&amp;" - "&amp;$C1725)</f>
        <v/>
      </c>
      <c r="S1725">
        <f>IF($A1725="","",$R1725&amp;"|"&amp;$Q1725)</f>
        <v/>
      </c>
      <c r="T1725">
        <f>IF($A1725="","",$S1725&amp;"|"&amp;$F1725)</f>
        <v/>
      </c>
      <c r="U1725">
        <f>IF($A1725="","",$R1725&amp;"("&amp;$E1725&amp;")")</f>
        <v/>
      </c>
      <c r="V1725">
        <f>IF($A1725="","",$F1725&amp;"|"&amp;$U1725&amp;"|"&amp;$D1725)</f>
        <v/>
      </c>
      <c r="W1725">
        <f>IF($T1725="","",IF($X1725&gt;N($X1724),$X1725,""))</f>
        <v/>
      </c>
      <c r="X1725">
        <f>IF($T1725="",N($X1724),IF(MATCH($T1725,$T$6:$T$6005,0)=ROW()-5,N($X1724)+1,N($X1724)))</f>
        <v/>
      </c>
      <c r="Z1725">
        <f>IF($V1725="","",IF($AA1725&gt;N($AA1724),$AA1725,""))</f>
        <v/>
      </c>
      <c r="AA1725">
        <f>IF($V1725="",N($AA1724),IF(MATCH($V1725,$V$6:$V$6005,0)=ROW()-5,N($AA1724)+1,N($AA1724)))</f>
        <v/>
      </c>
    </row>
    <row r="1726" ht="21" customHeight="1" s="66">
      <c r="A1726" s="56" t="n"/>
      <c r="B1726" s="57" t="n"/>
      <c r="C1726" s="57" t="n"/>
      <c r="D1726" s="57" t="n"/>
      <c r="E1726" s="56" t="n"/>
      <c r="F1726" s="57" t="n"/>
      <c r="G1726" s="57" t="n"/>
      <c r="H1726" s="56" t="n"/>
      <c r="I1726" s="56" t="n"/>
      <c r="J1726" s="58" t="n"/>
      <c r="K1726" s="58" t="n"/>
      <c r="L1726" s="13">
        <f>IF(OR($A1726="",AND($J1726="",$K1726="")),"",ROUND(N($J1726)-N($K1726),2))</f>
        <v/>
      </c>
      <c r="M1726" s="13">
        <f>IF(OR($A1726="",AND($J1726="",$K1726="")),"",MIN($J1726,$K1726))</f>
        <v/>
      </c>
      <c r="Q1726">
        <f>IF($A1726="","",$D1726&amp;"("&amp;SUBSTITUTE($E1726," ","")&amp;")")</f>
        <v/>
      </c>
      <c r="R1726">
        <f>IF($A1726="","",$B1726&amp;" - "&amp;$C1726)</f>
        <v/>
      </c>
      <c r="S1726">
        <f>IF($A1726="","",$R1726&amp;"|"&amp;$Q1726)</f>
        <v/>
      </c>
      <c r="T1726">
        <f>IF($A1726="","",$S1726&amp;"|"&amp;$F1726)</f>
        <v/>
      </c>
      <c r="U1726">
        <f>IF($A1726="","",$R1726&amp;"("&amp;$E1726&amp;")")</f>
        <v/>
      </c>
      <c r="V1726">
        <f>IF($A1726="","",$F1726&amp;"|"&amp;$U1726&amp;"|"&amp;$D1726)</f>
        <v/>
      </c>
      <c r="W1726">
        <f>IF($T1726="","",IF($X1726&gt;N($X1725),$X1726,""))</f>
        <v/>
      </c>
      <c r="X1726">
        <f>IF($T1726="",N($X1725),IF(MATCH($T1726,$T$6:$T$6005,0)=ROW()-5,N($X1725)+1,N($X1725)))</f>
        <v/>
      </c>
      <c r="Z1726">
        <f>IF($V1726="","",IF($AA1726&gt;N($AA1725),$AA1726,""))</f>
        <v/>
      </c>
      <c r="AA1726">
        <f>IF($V1726="",N($AA1725),IF(MATCH($V1726,$V$6:$V$6005,0)=ROW()-5,N($AA1725)+1,N($AA1725)))</f>
        <v/>
      </c>
    </row>
    <row r="1727" ht="21" customHeight="1" s="66">
      <c r="A1727" s="56" t="n"/>
      <c r="B1727" s="57" t="n"/>
      <c r="C1727" s="57" t="n"/>
      <c r="D1727" s="57" t="n"/>
      <c r="E1727" s="56" t="n"/>
      <c r="F1727" s="57" t="n"/>
      <c r="G1727" s="57" t="n"/>
      <c r="H1727" s="56" t="n"/>
      <c r="I1727" s="56" t="n"/>
      <c r="J1727" s="58" t="n"/>
      <c r="K1727" s="58" t="n"/>
      <c r="L1727" s="13">
        <f>IF(OR($A1727="",AND($J1727="",$K1727="")),"",ROUND(N($J1727)-N($K1727),2))</f>
        <v/>
      </c>
      <c r="M1727" s="13">
        <f>IF(OR($A1727="",AND($J1727="",$K1727="")),"",MIN($J1727,$K1727))</f>
        <v/>
      </c>
      <c r="Q1727">
        <f>IF($A1727="","",$D1727&amp;"("&amp;SUBSTITUTE($E1727," ","")&amp;")")</f>
        <v/>
      </c>
      <c r="R1727">
        <f>IF($A1727="","",$B1727&amp;" - "&amp;$C1727)</f>
        <v/>
      </c>
      <c r="S1727">
        <f>IF($A1727="","",$R1727&amp;"|"&amp;$Q1727)</f>
        <v/>
      </c>
      <c r="T1727">
        <f>IF($A1727="","",$S1727&amp;"|"&amp;$F1727)</f>
        <v/>
      </c>
      <c r="U1727">
        <f>IF($A1727="","",$R1727&amp;"("&amp;$E1727&amp;")")</f>
        <v/>
      </c>
      <c r="V1727">
        <f>IF($A1727="","",$F1727&amp;"|"&amp;$U1727&amp;"|"&amp;$D1727)</f>
        <v/>
      </c>
      <c r="W1727">
        <f>IF($T1727="","",IF($X1727&gt;N($X1726),$X1727,""))</f>
        <v/>
      </c>
      <c r="X1727">
        <f>IF($T1727="",N($X1726),IF(MATCH($T1727,$T$6:$T$6005,0)=ROW()-5,N($X1726)+1,N($X1726)))</f>
        <v/>
      </c>
      <c r="Z1727">
        <f>IF($V1727="","",IF($AA1727&gt;N($AA1726),$AA1727,""))</f>
        <v/>
      </c>
      <c r="AA1727">
        <f>IF($V1727="",N($AA1726),IF(MATCH($V1727,$V$6:$V$6005,0)=ROW()-5,N($AA1726)+1,N($AA1726)))</f>
        <v/>
      </c>
    </row>
    <row r="1728" ht="21" customHeight="1" s="66">
      <c r="A1728" s="56" t="n"/>
      <c r="B1728" s="57" t="n"/>
      <c r="C1728" s="57" t="n"/>
      <c r="D1728" s="57" t="n"/>
      <c r="E1728" s="56" t="n"/>
      <c r="F1728" s="57" t="n"/>
      <c r="G1728" s="57" t="n"/>
      <c r="H1728" s="56" t="n"/>
      <c r="I1728" s="56" t="n"/>
      <c r="J1728" s="58" t="n"/>
      <c r="K1728" s="58" t="n"/>
      <c r="L1728" s="13">
        <f>IF(OR($A1728="",AND($J1728="",$K1728="")),"",ROUND(N($J1728)-N($K1728),2))</f>
        <v/>
      </c>
      <c r="M1728" s="13">
        <f>IF(OR($A1728="",AND($J1728="",$K1728="")),"",MIN($J1728,$K1728))</f>
        <v/>
      </c>
      <c r="Q1728">
        <f>IF($A1728="","",$D1728&amp;"("&amp;SUBSTITUTE($E1728," ","")&amp;")")</f>
        <v/>
      </c>
      <c r="R1728">
        <f>IF($A1728="","",$B1728&amp;" - "&amp;$C1728)</f>
        <v/>
      </c>
      <c r="S1728">
        <f>IF($A1728="","",$R1728&amp;"|"&amp;$Q1728)</f>
        <v/>
      </c>
      <c r="T1728">
        <f>IF($A1728="","",$S1728&amp;"|"&amp;$F1728)</f>
        <v/>
      </c>
      <c r="U1728">
        <f>IF($A1728="","",$R1728&amp;"("&amp;$E1728&amp;")")</f>
        <v/>
      </c>
      <c r="V1728">
        <f>IF($A1728="","",$F1728&amp;"|"&amp;$U1728&amp;"|"&amp;$D1728)</f>
        <v/>
      </c>
      <c r="W1728">
        <f>IF($T1728="","",IF($X1728&gt;N($X1727),$X1728,""))</f>
        <v/>
      </c>
      <c r="X1728">
        <f>IF($T1728="",N($X1727),IF(MATCH($T1728,$T$6:$T$6005,0)=ROW()-5,N($X1727)+1,N($X1727)))</f>
        <v/>
      </c>
      <c r="Z1728">
        <f>IF($V1728="","",IF($AA1728&gt;N($AA1727),$AA1728,""))</f>
        <v/>
      </c>
      <c r="AA1728">
        <f>IF($V1728="",N($AA1727),IF(MATCH($V1728,$V$6:$V$6005,0)=ROW()-5,N($AA1727)+1,N($AA1727)))</f>
        <v/>
      </c>
    </row>
    <row r="1729" ht="21" customHeight="1" s="66">
      <c r="A1729" s="56" t="n"/>
      <c r="B1729" s="57" t="n"/>
      <c r="C1729" s="57" t="n"/>
      <c r="D1729" s="57" t="n"/>
      <c r="E1729" s="56" t="n"/>
      <c r="F1729" s="57" t="n"/>
      <c r="G1729" s="57" t="n"/>
      <c r="H1729" s="56" t="n"/>
      <c r="I1729" s="56" t="n"/>
      <c r="J1729" s="58" t="n"/>
      <c r="K1729" s="58" t="n"/>
      <c r="L1729" s="13">
        <f>IF(OR($A1729="",AND($J1729="",$K1729="")),"",ROUND(N($J1729)-N($K1729),2))</f>
        <v/>
      </c>
      <c r="M1729" s="13">
        <f>IF(OR($A1729="",AND($J1729="",$K1729="")),"",MIN($J1729,$K1729))</f>
        <v/>
      </c>
      <c r="Q1729">
        <f>IF($A1729="","",$D1729&amp;"("&amp;SUBSTITUTE($E1729," ","")&amp;")")</f>
        <v/>
      </c>
      <c r="R1729">
        <f>IF($A1729="","",$B1729&amp;" - "&amp;$C1729)</f>
        <v/>
      </c>
      <c r="S1729">
        <f>IF($A1729="","",$R1729&amp;"|"&amp;$Q1729)</f>
        <v/>
      </c>
      <c r="T1729">
        <f>IF($A1729="","",$S1729&amp;"|"&amp;$F1729)</f>
        <v/>
      </c>
      <c r="U1729">
        <f>IF($A1729="","",$R1729&amp;"("&amp;$E1729&amp;")")</f>
        <v/>
      </c>
      <c r="V1729">
        <f>IF($A1729="","",$F1729&amp;"|"&amp;$U1729&amp;"|"&amp;$D1729)</f>
        <v/>
      </c>
      <c r="W1729">
        <f>IF($T1729="","",IF($X1729&gt;N($X1728),$X1729,""))</f>
        <v/>
      </c>
      <c r="X1729">
        <f>IF($T1729="",N($X1728),IF(MATCH($T1729,$T$6:$T$6005,0)=ROW()-5,N($X1728)+1,N($X1728)))</f>
        <v/>
      </c>
      <c r="Z1729">
        <f>IF($V1729="","",IF($AA1729&gt;N($AA1728),$AA1729,""))</f>
        <v/>
      </c>
      <c r="AA1729">
        <f>IF($V1729="",N($AA1728),IF(MATCH($V1729,$V$6:$V$6005,0)=ROW()-5,N($AA1728)+1,N($AA1728)))</f>
        <v/>
      </c>
    </row>
    <row r="1730" ht="21" customHeight="1" s="66">
      <c r="A1730" s="56" t="n"/>
      <c r="B1730" s="57" t="n"/>
      <c r="C1730" s="57" t="n"/>
      <c r="D1730" s="57" t="n"/>
      <c r="E1730" s="56" t="n"/>
      <c r="F1730" s="57" t="n"/>
      <c r="G1730" s="57" t="n"/>
      <c r="H1730" s="56" t="n"/>
      <c r="I1730" s="56" t="n"/>
      <c r="J1730" s="58" t="n"/>
      <c r="K1730" s="58" t="n"/>
      <c r="L1730" s="13">
        <f>IF(OR($A1730="",AND($J1730="",$K1730="")),"",ROUND(N($J1730)-N($K1730),2))</f>
        <v/>
      </c>
      <c r="M1730" s="13">
        <f>IF(OR($A1730="",AND($J1730="",$K1730="")),"",MIN($J1730,$K1730))</f>
        <v/>
      </c>
      <c r="Q1730">
        <f>IF($A1730="","",$D1730&amp;"("&amp;SUBSTITUTE($E1730," ","")&amp;")")</f>
        <v/>
      </c>
      <c r="R1730">
        <f>IF($A1730="","",$B1730&amp;" - "&amp;$C1730)</f>
        <v/>
      </c>
      <c r="S1730">
        <f>IF($A1730="","",$R1730&amp;"|"&amp;$Q1730)</f>
        <v/>
      </c>
      <c r="T1730">
        <f>IF($A1730="","",$S1730&amp;"|"&amp;$F1730)</f>
        <v/>
      </c>
      <c r="U1730">
        <f>IF($A1730="","",$R1730&amp;"("&amp;$E1730&amp;")")</f>
        <v/>
      </c>
      <c r="V1730">
        <f>IF($A1730="","",$F1730&amp;"|"&amp;$U1730&amp;"|"&amp;$D1730)</f>
        <v/>
      </c>
      <c r="W1730">
        <f>IF($T1730="","",IF($X1730&gt;N($X1729),$X1730,""))</f>
        <v/>
      </c>
      <c r="X1730">
        <f>IF($T1730="",N($X1729),IF(MATCH($T1730,$T$6:$T$6005,0)=ROW()-5,N($X1729)+1,N($X1729)))</f>
        <v/>
      </c>
      <c r="Z1730">
        <f>IF($V1730="","",IF($AA1730&gt;N($AA1729),$AA1730,""))</f>
        <v/>
      </c>
      <c r="AA1730">
        <f>IF($V1730="",N($AA1729),IF(MATCH($V1730,$V$6:$V$6005,0)=ROW()-5,N($AA1729)+1,N($AA1729)))</f>
        <v/>
      </c>
    </row>
    <row r="1731" ht="21" customHeight="1" s="66">
      <c r="A1731" s="56" t="n"/>
      <c r="B1731" s="57" t="n"/>
      <c r="C1731" s="57" t="n"/>
      <c r="D1731" s="57" t="n"/>
      <c r="E1731" s="56" t="n"/>
      <c r="F1731" s="57" t="n"/>
      <c r="G1731" s="57" t="n"/>
      <c r="H1731" s="56" t="n"/>
      <c r="I1731" s="56" t="n"/>
      <c r="J1731" s="58" t="n"/>
      <c r="K1731" s="58" t="n"/>
      <c r="L1731" s="13">
        <f>IF(OR($A1731="",AND($J1731="",$K1731="")),"",ROUND(N($J1731)-N($K1731),2))</f>
        <v/>
      </c>
      <c r="M1731" s="13">
        <f>IF(OR($A1731="",AND($J1731="",$K1731="")),"",MIN($J1731,$K1731))</f>
        <v/>
      </c>
      <c r="Q1731">
        <f>IF($A1731="","",$D1731&amp;"("&amp;SUBSTITUTE($E1731," ","")&amp;")")</f>
        <v/>
      </c>
      <c r="R1731">
        <f>IF($A1731="","",$B1731&amp;" - "&amp;$C1731)</f>
        <v/>
      </c>
      <c r="S1731">
        <f>IF($A1731="","",$R1731&amp;"|"&amp;$Q1731)</f>
        <v/>
      </c>
      <c r="T1731">
        <f>IF($A1731="","",$S1731&amp;"|"&amp;$F1731)</f>
        <v/>
      </c>
      <c r="U1731">
        <f>IF($A1731="","",$R1731&amp;"("&amp;$E1731&amp;")")</f>
        <v/>
      </c>
      <c r="V1731">
        <f>IF($A1731="","",$F1731&amp;"|"&amp;$U1731&amp;"|"&amp;$D1731)</f>
        <v/>
      </c>
      <c r="W1731">
        <f>IF($T1731="","",IF($X1731&gt;N($X1730),$X1731,""))</f>
        <v/>
      </c>
      <c r="X1731">
        <f>IF($T1731="",N($X1730),IF(MATCH($T1731,$T$6:$T$6005,0)=ROW()-5,N($X1730)+1,N($X1730)))</f>
        <v/>
      </c>
      <c r="Z1731">
        <f>IF($V1731="","",IF($AA1731&gt;N($AA1730),$AA1731,""))</f>
        <v/>
      </c>
      <c r="AA1731">
        <f>IF($V1731="",N($AA1730),IF(MATCH($V1731,$V$6:$V$6005,0)=ROW()-5,N($AA1730)+1,N($AA1730)))</f>
        <v/>
      </c>
    </row>
    <row r="1732" ht="21" customHeight="1" s="66">
      <c r="A1732" s="56" t="n"/>
      <c r="B1732" s="57" t="n"/>
      <c r="C1732" s="57" t="n"/>
      <c r="D1732" s="57" t="n"/>
      <c r="E1732" s="56" t="n"/>
      <c r="F1732" s="57" t="n"/>
      <c r="G1732" s="57" t="n"/>
      <c r="H1732" s="56" t="n"/>
      <c r="I1732" s="56" t="n"/>
      <c r="J1732" s="58" t="n"/>
      <c r="K1732" s="58" t="n"/>
      <c r="L1732" s="13">
        <f>IF(OR($A1732="",AND($J1732="",$K1732="")),"",ROUND(N($J1732)-N($K1732),2))</f>
        <v/>
      </c>
      <c r="M1732" s="13">
        <f>IF(OR($A1732="",AND($J1732="",$K1732="")),"",MIN($J1732,$K1732))</f>
        <v/>
      </c>
      <c r="Q1732">
        <f>IF($A1732="","",$D1732&amp;"("&amp;SUBSTITUTE($E1732," ","")&amp;")")</f>
        <v/>
      </c>
      <c r="R1732">
        <f>IF($A1732="","",$B1732&amp;" - "&amp;$C1732)</f>
        <v/>
      </c>
      <c r="S1732">
        <f>IF($A1732="","",$R1732&amp;"|"&amp;$Q1732)</f>
        <v/>
      </c>
      <c r="T1732">
        <f>IF($A1732="","",$S1732&amp;"|"&amp;$F1732)</f>
        <v/>
      </c>
      <c r="U1732">
        <f>IF($A1732="","",$R1732&amp;"("&amp;$E1732&amp;")")</f>
        <v/>
      </c>
      <c r="V1732">
        <f>IF($A1732="","",$F1732&amp;"|"&amp;$U1732&amp;"|"&amp;$D1732)</f>
        <v/>
      </c>
      <c r="W1732">
        <f>IF($T1732="","",IF($X1732&gt;N($X1731),$X1732,""))</f>
        <v/>
      </c>
      <c r="X1732">
        <f>IF($T1732="",N($X1731),IF(MATCH($T1732,$T$6:$T$6005,0)=ROW()-5,N($X1731)+1,N($X1731)))</f>
        <v/>
      </c>
      <c r="Z1732">
        <f>IF($V1732="","",IF($AA1732&gt;N($AA1731),$AA1732,""))</f>
        <v/>
      </c>
      <c r="AA1732">
        <f>IF($V1732="",N($AA1731),IF(MATCH($V1732,$V$6:$V$6005,0)=ROW()-5,N($AA1731)+1,N($AA1731)))</f>
        <v/>
      </c>
    </row>
    <row r="1733" ht="21" customHeight="1" s="66">
      <c r="A1733" s="56" t="n"/>
      <c r="B1733" s="57" t="n"/>
      <c r="C1733" s="57" t="n"/>
      <c r="D1733" s="57" t="n"/>
      <c r="E1733" s="56" t="n"/>
      <c r="F1733" s="57" t="n"/>
      <c r="G1733" s="57" t="n"/>
      <c r="H1733" s="56" t="n"/>
      <c r="I1733" s="56" t="n"/>
      <c r="J1733" s="58" t="n"/>
      <c r="K1733" s="58" t="n"/>
      <c r="L1733" s="13">
        <f>IF(OR($A1733="",AND($J1733="",$K1733="")),"",ROUND(N($J1733)-N($K1733),2))</f>
        <v/>
      </c>
      <c r="M1733" s="13">
        <f>IF(OR($A1733="",AND($J1733="",$K1733="")),"",MIN($J1733,$K1733))</f>
        <v/>
      </c>
      <c r="Q1733">
        <f>IF($A1733="","",$D1733&amp;"("&amp;SUBSTITUTE($E1733," ","")&amp;")")</f>
        <v/>
      </c>
      <c r="R1733">
        <f>IF($A1733="","",$B1733&amp;" - "&amp;$C1733)</f>
        <v/>
      </c>
      <c r="S1733">
        <f>IF($A1733="","",$R1733&amp;"|"&amp;$Q1733)</f>
        <v/>
      </c>
      <c r="T1733">
        <f>IF($A1733="","",$S1733&amp;"|"&amp;$F1733)</f>
        <v/>
      </c>
      <c r="U1733">
        <f>IF($A1733="","",$R1733&amp;"("&amp;$E1733&amp;")")</f>
        <v/>
      </c>
      <c r="V1733">
        <f>IF($A1733="","",$F1733&amp;"|"&amp;$U1733&amp;"|"&amp;$D1733)</f>
        <v/>
      </c>
      <c r="W1733">
        <f>IF($T1733="","",IF($X1733&gt;N($X1732),$X1733,""))</f>
        <v/>
      </c>
      <c r="X1733">
        <f>IF($T1733="",N($X1732),IF(MATCH($T1733,$T$6:$T$6005,0)=ROW()-5,N($X1732)+1,N($X1732)))</f>
        <v/>
      </c>
      <c r="Z1733">
        <f>IF($V1733="","",IF($AA1733&gt;N($AA1732),$AA1733,""))</f>
        <v/>
      </c>
      <c r="AA1733">
        <f>IF($V1733="",N($AA1732),IF(MATCH($V1733,$V$6:$V$6005,0)=ROW()-5,N($AA1732)+1,N($AA1732)))</f>
        <v/>
      </c>
    </row>
    <row r="1734" ht="21" customHeight="1" s="66">
      <c r="A1734" s="56" t="n"/>
      <c r="B1734" s="57" t="n"/>
      <c r="C1734" s="57" t="n"/>
      <c r="D1734" s="57" t="n"/>
      <c r="E1734" s="56" t="n"/>
      <c r="F1734" s="57" t="n"/>
      <c r="G1734" s="57" t="n"/>
      <c r="H1734" s="56" t="n"/>
      <c r="I1734" s="56" t="n"/>
      <c r="J1734" s="58" t="n"/>
      <c r="K1734" s="58" t="n"/>
      <c r="L1734" s="13">
        <f>IF(OR($A1734="",AND($J1734="",$K1734="")),"",ROUND(N($J1734)-N($K1734),2))</f>
        <v/>
      </c>
      <c r="M1734" s="13">
        <f>IF(OR($A1734="",AND($J1734="",$K1734="")),"",MIN($J1734,$K1734))</f>
        <v/>
      </c>
      <c r="Q1734">
        <f>IF($A1734="","",$D1734&amp;"("&amp;SUBSTITUTE($E1734," ","")&amp;")")</f>
        <v/>
      </c>
      <c r="R1734">
        <f>IF($A1734="","",$B1734&amp;" - "&amp;$C1734)</f>
        <v/>
      </c>
      <c r="S1734">
        <f>IF($A1734="","",$R1734&amp;"|"&amp;$Q1734)</f>
        <v/>
      </c>
      <c r="T1734">
        <f>IF($A1734="","",$S1734&amp;"|"&amp;$F1734)</f>
        <v/>
      </c>
      <c r="U1734">
        <f>IF($A1734="","",$R1734&amp;"("&amp;$E1734&amp;")")</f>
        <v/>
      </c>
      <c r="V1734">
        <f>IF($A1734="","",$F1734&amp;"|"&amp;$U1734&amp;"|"&amp;$D1734)</f>
        <v/>
      </c>
      <c r="W1734">
        <f>IF($T1734="","",IF($X1734&gt;N($X1733),$X1734,""))</f>
        <v/>
      </c>
      <c r="X1734">
        <f>IF($T1734="",N($X1733),IF(MATCH($T1734,$T$6:$T$6005,0)=ROW()-5,N($X1733)+1,N($X1733)))</f>
        <v/>
      </c>
      <c r="Z1734">
        <f>IF($V1734="","",IF($AA1734&gt;N($AA1733),$AA1734,""))</f>
        <v/>
      </c>
      <c r="AA1734">
        <f>IF($V1734="",N($AA1733),IF(MATCH($V1734,$V$6:$V$6005,0)=ROW()-5,N($AA1733)+1,N($AA1733)))</f>
        <v/>
      </c>
    </row>
    <row r="1735" ht="21" customHeight="1" s="66">
      <c r="A1735" s="56" t="n"/>
      <c r="B1735" s="57" t="n"/>
      <c r="C1735" s="57" t="n"/>
      <c r="D1735" s="57" t="n"/>
      <c r="E1735" s="56" t="n"/>
      <c r="F1735" s="57" t="n"/>
      <c r="G1735" s="57" t="n"/>
      <c r="H1735" s="56" t="n"/>
      <c r="I1735" s="56" t="n"/>
      <c r="J1735" s="58" t="n"/>
      <c r="K1735" s="58" t="n"/>
      <c r="L1735" s="13">
        <f>IF(OR($A1735="",AND($J1735="",$K1735="")),"",ROUND(N($J1735)-N($K1735),2))</f>
        <v/>
      </c>
      <c r="M1735" s="13">
        <f>IF(OR($A1735="",AND($J1735="",$K1735="")),"",MIN($J1735,$K1735))</f>
        <v/>
      </c>
      <c r="Q1735">
        <f>IF($A1735="","",$D1735&amp;"("&amp;SUBSTITUTE($E1735," ","")&amp;")")</f>
        <v/>
      </c>
      <c r="R1735">
        <f>IF($A1735="","",$B1735&amp;" - "&amp;$C1735)</f>
        <v/>
      </c>
      <c r="S1735">
        <f>IF($A1735="","",$R1735&amp;"|"&amp;$Q1735)</f>
        <v/>
      </c>
      <c r="T1735">
        <f>IF($A1735="","",$S1735&amp;"|"&amp;$F1735)</f>
        <v/>
      </c>
      <c r="U1735">
        <f>IF($A1735="","",$R1735&amp;"("&amp;$E1735&amp;")")</f>
        <v/>
      </c>
      <c r="V1735">
        <f>IF($A1735="","",$F1735&amp;"|"&amp;$U1735&amp;"|"&amp;$D1735)</f>
        <v/>
      </c>
      <c r="W1735">
        <f>IF($T1735="","",IF($X1735&gt;N($X1734),$X1735,""))</f>
        <v/>
      </c>
      <c r="X1735">
        <f>IF($T1735="",N($X1734),IF(MATCH($T1735,$T$6:$T$6005,0)=ROW()-5,N($X1734)+1,N($X1734)))</f>
        <v/>
      </c>
      <c r="Z1735">
        <f>IF($V1735="","",IF($AA1735&gt;N($AA1734),$AA1735,""))</f>
        <v/>
      </c>
      <c r="AA1735">
        <f>IF($V1735="",N($AA1734),IF(MATCH($V1735,$V$6:$V$6005,0)=ROW()-5,N($AA1734)+1,N($AA1734)))</f>
        <v/>
      </c>
    </row>
    <row r="1736" ht="21" customHeight="1" s="66">
      <c r="A1736" s="56" t="n"/>
      <c r="B1736" s="57" t="n"/>
      <c r="C1736" s="57" t="n"/>
      <c r="D1736" s="57" t="n"/>
      <c r="E1736" s="56" t="n"/>
      <c r="F1736" s="57" t="n"/>
      <c r="G1736" s="57" t="n"/>
      <c r="H1736" s="56" t="n"/>
      <c r="I1736" s="56" t="n"/>
      <c r="J1736" s="58" t="n"/>
      <c r="K1736" s="58" t="n"/>
      <c r="L1736" s="13">
        <f>IF(OR($A1736="",AND($J1736="",$K1736="")),"",ROUND(N($J1736)-N($K1736),2))</f>
        <v/>
      </c>
      <c r="M1736" s="13">
        <f>IF(OR($A1736="",AND($J1736="",$K1736="")),"",MIN($J1736,$K1736))</f>
        <v/>
      </c>
      <c r="Q1736">
        <f>IF($A1736="","",$D1736&amp;"("&amp;SUBSTITUTE($E1736," ","")&amp;")")</f>
        <v/>
      </c>
      <c r="R1736">
        <f>IF($A1736="","",$B1736&amp;" - "&amp;$C1736)</f>
        <v/>
      </c>
      <c r="S1736">
        <f>IF($A1736="","",$R1736&amp;"|"&amp;$Q1736)</f>
        <v/>
      </c>
      <c r="T1736">
        <f>IF($A1736="","",$S1736&amp;"|"&amp;$F1736)</f>
        <v/>
      </c>
      <c r="U1736">
        <f>IF($A1736="","",$R1736&amp;"("&amp;$E1736&amp;")")</f>
        <v/>
      </c>
      <c r="V1736">
        <f>IF($A1736="","",$F1736&amp;"|"&amp;$U1736&amp;"|"&amp;$D1736)</f>
        <v/>
      </c>
      <c r="W1736">
        <f>IF($T1736="","",IF($X1736&gt;N($X1735),$X1736,""))</f>
        <v/>
      </c>
      <c r="X1736">
        <f>IF($T1736="",N($X1735),IF(MATCH($T1736,$T$6:$T$6005,0)=ROW()-5,N($X1735)+1,N($X1735)))</f>
        <v/>
      </c>
      <c r="Z1736">
        <f>IF($V1736="","",IF($AA1736&gt;N($AA1735),$AA1736,""))</f>
        <v/>
      </c>
      <c r="AA1736">
        <f>IF($V1736="",N($AA1735),IF(MATCH($V1736,$V$6:$V$6005,0)=ROW()-5,N($AA1735)+1,N($AA1735)))</f>
        <v/>
      </c>
    </row>
    <row r="1737" ht="21" customHeight="1" s="66">
      <c r="A1737" s="56" t="n"/>
      <c r="B1737" s="57" t="n"/>
      <c r="C1737" s="57" t="n"/>
      <c r="D1737" s="57" t="n"/>
      <c r="E1737" s="56" t="n"/>
      <c r="F1737" s="57" t="n"/>
      <c r="G1737" s="57" t="n"/>
      <c r="H1737" s="56" t="n"/>
      <c r="I1737" s="56" t="n"/>
      <c r="J1737" s="58" t="n"/>
      <c r="K1737" s="58" t="n"/>
      <c r="L1737" s="13">
        <f>IF(OR($A1737="",AND($J1737="",$K1737="")),"",ROUND(N($J1737)-N($K1737),2))</f>
        <v/>
      </c>
      <c r="M1737" s="13">
        <f>IF(OR($A1737="",AND($J1737="",$K1737="")),"",MIN($J1737,$K1737))</f>
        <v/>
      </c>
      <c r="Q1737">
        <f>IF($A1737="","",$D1737&amp;"("&amp;SUBSTITUTE($E1737," ","")&amp;")")</f>
        <v/>
      </c>
      <c r="R1737">
        <f>IF($A1737="","",$B1737&amp;" - "&amp;$C1737)</f>
        <v/>
      </c>
      <c r="S1737">
        <f>IF($A1737="","",$R1737&amp;"|"&amp;$Q1737)</f>
        <v/>
      </c>
      <c r="T1737">
        <f>IF($A1737="","",$S1737&amp;"|"&amp;$F1737)</f>
        <v/>
      </c>
      <c r="U1737">
        <f>IF($A1737="","",$R1737&amp;"("&amp;$E1737&amp;")")</f>
        <v/>
      </c>
      <c r="V1737">
        <f>IF($A1737="","",$F1737&amp;"|"&amp;$U1737&amp;"|"&amp;$D1737)</f>
        <v/>
      </c>
      <c r="W1737">
        <f>IF($T1737="","",IF($X1737&gt;N($X1736),$X1737,""))</f>
        <v/>
      </c>
      <c r="X1737">
        <f>IF($T1737="",N($X1736),IF(MATCH($T1737,$T$6:$T$6005,0)=ROW()-5,N($X1736)+1,N($X1736)))</f>
        <v/>
      </c>
      <c r="Z1737">
        <f>IF($V1737="","",IF($AA1737&gt;N($AA1736),$AA1737,""))</f>
        <v/>
      </c>
      <c r="AA1737">
        <f>IF($V1737="",N($AA1736),IF(MATCH($V1737,$V$6:$V$6005,0)=ROW()-5,N($AA1736)+1,N($AA1736)))</f>
        <v/>
      </c>
    </row>
    <row r="1738" ht="21" customHeight="1" s="66">
      <c r="A1738" s="56" t="n"/>
      <c r="B1738" s="57" t="n"/>
      <c r="C1738" s="57" t="n"/>
      <c r="D1738" s="57" t="n"/>
      <c r="E1738" s="56" t="n"/>
      <c r="F1738" s="57" t="n"/>
      <c r="G1738" s="57" t="n"/>
      <c r="H1738" s="56" t="n"/>
      <c r="I1738" s="56" t="n"/>
      <c r="J1738" s="58" t="n"/>
      <c r="K1738" s="58" t="n"/>
      <c r="L1738" s="13">
        <f>IF(OR($A1738="",AND($J1738="",$K1738="")),"",ROUND(N($J1738)-N($K1738),2))</f>
        <v/>
      </c>
      <c r="M1738" s="13">
        <f>IF(OR($A1738="",AND($J1738="",$K1738="")),"",MIN($J1738,$K1738))</f>
        <v/>
      </c>
      <c r="Q1738">
        <f>IF($A1738="","",$D1738&amp;"("&amp;SUBSTITUTE($E1738," ","")&amp;")")</f>
        <v/>
      </c>
      <c r="R1738">
        <f>IF($A1738="","",$B1738&amp;" - "&amp;$C1738)</f>
        <v/>
      </c>
      <c r="S1738">
        <f>IF($A1738="","",$R1738&amp;"|"&amp;$Q1738)</f>
        <v/>
      </c>
      <c r="T1738">
        <f>IF($A1738="","",$S1738&amp;"|"&amp;$F1738)</f>
        <v/>
      </c>
      <c r="U1738">
        <f>IF($A1738="","",$R1738&amp;"("&amp;$E1738&amp;")")</f>
        <v/>
      </c>
      <c r="V1738">
        <f>IF($A1738="","",$F1738&amp;"|"&amp;$U1738&amp;"|"&amp;$D1738)</f>
        <v/>
      </c>
      <c r="W1738">
        <f>IF($T1738="","",IF($X1738&gt;N($X1737),$X1738,""))</f>
        <v/>
      </c>
      <c r="X1738">
        <f>IF($T1738="",N($X1737),IF(MATCH($T1738,$T$6:$T$6005,0)=ROW()-5,N($X1737)+1,N($X1737)))</f>
        <v/>
      </c>
      <c r="Z1738">
        <f>IF($V1738="","",IF($AA1738&gt;N($AA1737),$AA1738,""))</f>
        <v/>
      </c>
      <c r="AA1738">
        <f>IF($V1738="",N($AA1737),IF(MATCH($V1738,$V$6:$V$6005,0)=ROW()-5,N($AA1737)+1,N($AA1737)))</f>
        <v/>
      </c>
    </row>
    <row r="1739" ht="21" customHeight="1" s="66">
      <c r="A1739" s="56" t="n"/>
      <c r="B1739" s="57" t="n"/>
      <c r="C1739" s="57" t="n"/>
      <c r="D1739" s="57" t="n"/>
      <c r="E1739" s="56" t="n"/>
      <c r="F1739" s="57" t="n"/>
      <c r="G1739" s="57" t="n"/>
      <c r="H1739" s="56" t="n"/>
      <c r="I1739" s="56" t="n"/>
      <c r="J1739" s="58" t="n"/>
      <c r="K1739" s="58" t="n"/>
      <c r="L1739" s="13">
        <f>IF(OR($A1739="",AND($J1739="",$K1739="")),"",ROUND(N($J1739)-N($K1739),2))</f>
        <v/>
      </c>
      <c r="M1739" s="13">
        <f>IF(OR($A1739="",AND($J1739="",$K1739="")),"",MIN($J1739,$K1739))</f>
        <v/>
      </c>
      <c r="Q1739">
        <f>IF($A1739="","",$D1739&amp;"("&amp;SUBSTITUTE($E1739," ","")&amp;")")</f>
        <v/>
      </c>
      <c r="R1739">
        <f>IF($A1739="","",$B1739&amp;" - "&amp;$C1739)</f>
        <v/>
      </c>
      <c r="S1739">
        <f>IF($A1739="","",$R1739&amp;"|"&amp;$Q1739)</f>
        <v/>
      </c>
      <c r="T1739">
        <f>IF($A1739="","",$S1739&amp;"|"&amp;$F1739)</f>
        <v/>
      </c>
      <c r="U1739">
        <f>IF($A1739="","",$R1739&amp;"("&amp;$E1739&amp;")")</f>
        <v/>
      </c>
      <c r="V1739">
        <f>IF($A1739="","",$F1739&amp;"|"&amp;$U1739&amp;"|"&amp;$D1739)</f>
        <v/>
      </c>
      <c r="W1739">
        <f>IF($T1739="","",IF($X1739&gt;N($X1738),$X1739,""))</f>
        <v/>
      </c>
      <c r="X1739">
        <f>IF($T1739="",N($X1738),IF(MATCH($T1739,$T$6:$T$6005,0)=ROW()-5,N($X1738)+1,N($X1738)))</f>
        <v/>
      </c>
      <c r="Z1739">
        <f>IF($V1739="","",IF($AA1739&gt;N($AA1738),$AA1739,""))</f>
        <v/>
      </c>
      <c r="AA1739">
        <f>IF($V1739="",N($AA1738),IF(MATCH($V1739,$V$6:$V$6005,0)=ROW()-5,N($AA1738)+1,N($AA1738)))</f>
        <v/>
      </c>
    </row>
    <row r="1740" ht="21" customHeight="1" s="66">
      <c r="A1740" s="56" t="n"/>
      <c r="B1740" s="57" t="n"/>
      <c r="C1740" s="57" t="n"/>
      <c r="D1740" s="57" t="n"/>
      <c r="E1740" s="56" t="n"/>
      <c r="F1740" s="57" t="n"/>
      <c r="G1740" s="57" t="n"/>
      <c r="H1740" s="56" t="n"/>
      <c r="I1740" s="56" t="n"/>
      <c r="J1740" s="58" t="n"/>
      <c r="K1740" s="58" t="n"/>
      <c r="L1740" s="13">
        <f>IF(OR($A1740="",AND($J1740="",$K1740="")),"",ROUND(N($J1740)-N($K1740),2))</f>
        <v/>
      </c>
      <c r="M1740" s="13">
        <f>IF(OR($A1740="",AND($J1740="",$K1740="")),"",MIN($J1740,$K1740))</f>
        <v/>
      </c>
      <c r="Q1740">
        <f>IF($A1740="","",$D1740&amp;"("&amp;SUBSTITUTE($E1740," ","")&amp;")")</f>
        <v/>
      </c>
      <c r="R1740">
        <f>IF($A1740="","",$B1740&amp;" - "&amp;$C1740)</f>
        <v/>
      </c>
      <c r="S1740">
        <f>IF($A1740="","",$R1740&amp;"|"&amp;$Q1740)</f>
        <v/>
      </c>
      <c r="T1740">
        <f>IF($A1740="","",$S1740&amp;"|"&amp;$F1740)</f>
        <v/>
      </c>
      <c r="U1740">
        <f>IF($A1740="","",$R1740&amp;"("&amp;$E1740&amp;")")</f>
        <v/>
      </c>
      <c r="V1740">
        <f>IF($A1740="","",$F1740&amp;"|"&amp;$U1740&amp;"|"&amp;$D1740)</f>
        <v/>
      </c>
      <c r="W1740">
        <f>IF($T1740="","",IF($X1740&gt;N($X1739),$X1740,""))</f>
        <v/>
      </c>
      <c r="X1740">
        <f>IF($T1740="",N($X1739),IF(MATCH($T1740,$T$6:$T$6005,0)=ROW()-5,N($X1739)+1,N($X1739)))</f>
        <v/>
      </c>
      <c r="Z1740">
        <f>IF($V1740="","",IF($AA1740&gt;N($AA1739),$AA1740,""))</f>
        <v/>
      </c>
      <c r="AA1740">
        <f>IF($V1740="",N($AA1739),IF(MATCH($V1740,$V$6:$V$6005,0)=ROW()-5,N($AA1739)+1,N($AA1739)))</f>
        <v/>
      </c>
    </row>
    <row r="1741" ht="21" customHeight="1" s="66">
      <c r="A1741" s="56" t="n"/>
      <c r="B1741" s="57" t="n"/>
      <c r="C1741" s="57" t="n"/>
      <c r="D1741" s="57" t="n"/>
      <c r="E1741" s="56" t="n"/>
      <c r="F1741" s="57" t="n"/>
      <c r="G1741" s="57" t="n"/>
      <c r="H1741" s="56" t="n"/>
      <c r="I1741" s="56" t="n"/>
      <c r="J1741" s="58" t="n"/>
      <c r="K1741" s="58" t="n"/>
      <c r="L1741" s="13">
        <f>IF(OR($A1741="",AND($J1741="",$K1741="")),"",ROUND(N($J1741)-N($K1741),2))</f>
        <v/>
      </c>
      <c r="M1741" s="13">
        <f>IF(OR($A1741="",AND($J1741="",$K1741="")),"",MIN($J1741,$K1741))</f>
        <v/>
      </c>
      <c r="Q1741">
        <f>IF($A1741="","",$D1741&amp;"("&amp;SUBSTITUTE($E1741," ","")&amp;")")</f>
        <v/>
      </c>
      <c r="R1741">
        <f>IF($A1741="","",$B1741&amp;" - "&amp;$C1741)</f>
        <v/>
      </c>
      <c r="S1741">
        <f>IF($A1741="","",$R1741&amp;"|"&amp;$Q1741)</f>
        <v/>
      </c>
      <c r="T1741">
        <f>IF($A1741="","",$S1741&amp;"|"&amp;$F1741)</f>
        <v/>
      </c>
      <c r="U1741">
        <f>IF($A1741="","",$R1741&amp;"("&amp;$E1741&amp;")")</f>
        <v/>
      </c>
      <c r="V1741">
        <f>IF($A1741="","",$F1741&amp;"|"&amp;$U1741&amp;"|"&amp;$D1741)</f>
        <v/>
      </c>
      <c r="W1741">
        <f>IF($T1741="","",IF($X1741&gt;N($X1740),$X1741,""))</f>
        <v/>
      </c>
      <c r="X1741">
        <f>IF($T1741="",N($X1740),IF(MATCH($T1741,$T$6:$T$6005,0)=ROW()-5,N($X1740)+1,N($X1740)))</f>
        <v/>
      </c>
      <c r="Z1741">
        <f>IF($V1741="","",IF($AA1741&gt;N($AA1740),$AA1741,""))</f>
        <v/>
      </c>
      <c r="AA1741">
        <f>IF($V1741="",N($AA1740),IF(MATCH($V1741,$V$6:$V$6005,0)=ROW()-5,N($AA1740)+1,N($AA1740)))</f>
        <v/>
      </c>
    </row>
    <row r="1742" ht="21" customHeight="1" s="66">
      <c r="A1742" s="56" t="n"/>
      <c r="B1742" s="57" t="n"/>
      <c r="C1742" s="57" t="n"/>
      <c r="D1742" s="57" t="n"/>
      <c r="E1742" s="56" t="n"/>
      <c r="F1742" s="57" t="n"/>
      <c r="G1742" s="57" t="n"/>
      <c r="H1742" s="56" t="n"/>
      <c r="I1742" s="56" t="n"/>
      <c r="J1742" s="58" t="n"/>
      <c r="K1742" s="58" t="n"/>
      <c r="L1742" s="13">
        <f>IF(OR($A1742="",AND($J1742="",$K1742="")),"",ROUND(N($J1742)-N($K1742),2))</f>
        <v/>
      </c>
      <c r="M1742" s="13">
        <f>IF(OR($A1742="",AND($J1742="",$K1742="")),"",MIN($J1742,$K1742))</f>
        <v/>
      </c>
      <c r="Q1742">
        <f>IF($A1742="","",$D1742&amp;"("&amp;SUBSTITUTE($E1742," ","")&amp;")")</f>
        <v/>
      </c>
      <c r="R1742">
        <f>IF($A1742="","",$B1742&amp;" - "&amp;$C1742)</f>
        <v/>
      </c>
      <c r="S1742">
        <f>IF($A1742="","",$R1742&amp;"|"&amp;$Q1742)</f>
        <v/>
      </c>
      <c r="T1742">
        <f>IF($A1742="","",$S1742&amp;"|"&amp;$F1742)</f>
        <v/>
      </c>
      <c r="U1742">
        <f>IF($A1742="","",$R1742&amp;"("&amp;$E1742&amp;")")</f>
        <v/>
      </c>
      <c r="V1742">
        <f>IF($A1742="","",$F1742&amp;"|"&amp;$U1742&amp;"|"&amp;$D1742)</f>
        <v/>
      </c>
      <c r="W1742">
        <f>IF($T1742="","",IF($X1742&gt;N($X1741),$X1742,""))</f>
        <v/>
      </c>
      <c r="X1742">
        <f>IF($T1742="",N($X1741),IF(MATCH($T1742,$T$6:$T$6005,0)=ROW()-5,N($X1741)+1,N($X1741)))</f>
        <v/>
      </c>
      <c r="Z1742">
        <f>IF($V1742="","",IF($AA1742&gt;N($AA1741),$AA1742,""))</f>
        <v/>
      </c>
      <c r="AA1742">
        <f>IF($V1742="",N($AA1741),IF(MATCH($V1742,$V$6:$V$6005,0)=ROW()-5,N($AA1741)+1,N($AA1741)))</f>
        <v/>
      </c>
    </row>
    <row r="1743" ht="21" customHeight="1" s="66">
      <c r="A1743" s="56" t="n"/>
      <c r="B1743" s="57" t="n"/>
      <c r="C1743" s="57" t="n"/>
      <c r="D1743" s="57" t="n"/>
      <c r="E1743" s="56" t="n"/>
      <c r="F1743" s="57" t="n"/>
      <c r="G1743" s="57" t="n"/>
      <c r="H1743" s="56" t="n"/>
      <c r="I1743" s="56" t="n"/>
      <c r="J1743" s="58" t="n"/>
      <c r="K1743" s="58" t="n"/>
      <c r="L1743" s="13">
        <f>IF(OR($A1743="",AND($J1743="",$K1743="")),"",ROUND(N($J1743)-N($K1743),2))</f>
        <v/>
      </c>
      <c r="M1743" s="13">
        <f>IF(OR($A1743="",AND($J1743="",$K1743="")),"",MIN($J1743,$K1743))</f>
        <v/>
      </c>
      <c r="Q1743">
        <f>IF($A1743="","",$D1743&amp;"("&amp;SUBSTITUTE($E1743," ","")&amp;")")</f>
        <v/>
      </c>
      <c r="R1743">
        <f>IF($A1743="","",$B1743&amp;" - "&amp;$C1743)</f>
        <v/>
      </c>
      <c r="S1743">
        <f>IF($A1743="","",$R1743&amp;"|"&amp;$Q1743)</f>
        <v/>
      </c>
      <c r="T1743">
        <f>IF($A1743="","",$S1743&amp;"|"&amp;$F1743)</f>
        <v/>
      </c>
      <c r="U1743">
        <f>IF($A1743="","",$R1743&amp;"("&amp;$E1743&amp;")")</f>
        <v/>
      </c>
      <c r="V1743">
        <f>IF($A1743="","",$F1743&amp;"|"&amp;$U1743&amp;"|"&amp;$D1743)</f>
        <v/>
      </c>
      <c r="W1743">
        <f>IF($T1743="","",IF($X1743&gt;N($X1742),$X1743,""))</f>
        <v/>
      </c>
      <c r="X1743">
        <f>IF($T1743="",N($X1742),IF(MATCH($T1743,$T$6:$T$6005,0)=ROW()-5,N($X1742)+1,N($X1742)))</f>
        <v/>
      </c>
      <c r="Z1743">
        <f>IF($V1743="","",IF($AA1743&gt;N($AA1742),$AA1743,""))</f>
        <v/>
      </c>
      <c r="AA1743">
        <f>IF($V1743="",N($AA1742),IF(MATCH($V1743,$V$6:$V$6005,0)=ROW()-5,N($AA1742)+1,N($AA1742)))</f>
        <v/>
      </c>
    </row>
    <row r="1744" ht="21" customHeight="1" s="66">
      <c r="A1744" s="56" t="n"/>
      <c r="B1744" s="57" t="n"/>
      <c r="C1744" s="57" t="n"/>
      <c r="D1744" s="57" t="n"/>
      <c r="E1744" s="56" t="n"/>
      <c r="F1744" s="57" t="n"/>
      <c r="G1744" s="57" t="n"/>
      <c r="H1744" s="56" t="n"/>
      <c r="I1744" s="56" t="n"/>
      <c r="J1744" s="58" t="n"/>
      <c r="K1744" s="58" t="n"/>
      <c r="L1744" s="13">
        <f>IF(OR($A1744="",AND($J1744="",$K1744="")),"",ROUND(N($J1744)-N($K1744),2))</f>
        <v/>
      </c>
      <c r="M1744" s="13">
        <f>IF(OR($A1744="",AND($J1744="",$K1744="")),"",MIN($J1744,$K1744))</f>
        <v/>
      </c>
      <c r="Q1744">
        <f>IF($A1744="","",$D1744&amp;"("&amp;SUBSTITUTE($E1744," ","")&amp;")")</f>
        <v/>
      </c>
      <c r="R1744">
        <f>IF($A1744="","",$B1744&amp;" - "&amp;$C1744)</f>
        <v/>
      </c>
      <c r="S1744">
        <f>IF($A1744="","",$R1744&amp;"|"&amp;$Q1744)</f>
        <v/>
      </c>
      <c r="T1744">
        <f>IF($A1744="","",$S1744&amp;"|"&amp;$F1744)</f>
        <v/>
      </c>
      <c r="U1744">
        <f>IF($A1744="","",$R1744&amp;"("&amp;$E1744&amp;")")</f>
        <v/>
      </c>
      <c r="V1744">
        <f>IF($A1744="","",$F1744&amp;"|"&amp;$U1744&amp;"|"&amp;$D1744)</f>
        <v/>
      </c>
      <c r="W1744">
        <f>IF($T1744="","",IF($X1744&gt;N($X1743),$X1744,""))</f>
        <v/>
      </c>
      <c r="X1744">
        <f>IF($T1744="",N($X1743),IF(MATCH($T1744,$T$6:$T$6005,0)=ROW()-5,N($X1743)+1,N($X1743)))</f>
        <v/>
      </c>
      <c r="Z1744">
        <f>IF($V1744="","",IF($AA1744&gt;N($AA1743),$AA1744,""))</f>
        <v/>
      </c>
      <c r="AA1744">
        <f>IF($V1744="",N($AA1743),IF(MATCH($V1744,$V$6:$V$6005,0)=ROW()-5,N($AA1743)+1,N($AA1743)))</f>
        <v/>
      </c>
    </row>
    <row r="1745" ht="21" customHeight="1" s="66">
      <c r="A1745" s="56" t="n"/>
      <c r="B1745" s="57" t="n"/>
      <c r="C1745" s="57" t="n"/>
      <c r="D1745" s="57" t="n"/>
      <c r="E1745" s="56" t="n"/>
      <c r="F1745" s="57" t="n"/>
      <c r="G1745" s="57" t="n"/>
      <c r="H1745" s="56" t="n"/>
      <c r="I1745" s="56" t="n"/>
      <c r="J1745" s="58" t="n"/>
      <c r="K1745" s="58" t="n"/>
      <c r="L1745" s="13">
        <f>IF(OR($A1745="",AND($J1745="",$K1745="")),"",ROUND(N($J1745)-N($K1745),2))</f>
        <v/>
      </c>
      <c r="M1745" s="13">
        <f>IF(OR($A1745="",AND($J1745="",$K1745="")),"",MIN($J1745,$K1745))</f>
        <v/>
      </c>
      <c r="Q1745">
        <f>IF($A1745="","",$D1745&amp;"("&amp;SUBSTITUTE($E1745," ","")&amp;")")</f>
        <v/>
      </c>
      <c r="R1745">
        <f>IF($A1745="","",$B1745&amp;" - "&amp;$C1745)</f>
        <v/>
      </c>
      <c r="S1745">
        <f>IF($A1745="","",$R1745&amp;"|"&amp;$Q1745)</f>
        <v/>
      </c>
      <c r="T1745">
        <f>IF($A1745="","",$S1745&amp;"|"&amp;$F1745)</f>
        <v/>
      </c>
      <c r="U1745">
        <f>IF($A1745="","",$R1745&amp;"("&amp;$E1745&amp;")")</f>
        <v/>
      </c>
      <c r="V1745">
        <f>IF($A1745="","",$F1745&amp;"|"&amp;$U1745&amp;"|"&amp;$D1745)</f>
        <v/>
      </c>
      <c r="W1745">
        <f>IF($T1745="","",IF($X1745&gt;N($X1744),$X1745,""))</f>
        <v/>
      </c>
      <c r="X1745">
        <f>IF($T1745="",N($X1744),IF(MATCH($T1745,$T$6:$T$6005,0)=ROW()-5,N($X1744)+1,N($X1744)))</f>
        <v/>
      </c>
      <c r="Z1745">
        <f>IF($V1745="","",IF($AA1745&gt;N($AA1744),$AA1745,""))</f>
        <v/>
      </c>
      <c r="AA1745">
        <f>IF($V1745="",N($AA1744),IF(MATCH($V1745,$V$6:$V$6005,0)=ROW()-5,N($AA1744)+1,N($AA1744)))</f>
        <v/>
      </c>
    </row>
    <row r="1746" ht="21" customHeight="1" s="66">
      <c r="A1746" s="56" t="n"/>
      <c r="B1746" s="57" t="n"/>
      <c r="C1746" s="57" t="n"/>
      <c r="D1746" s="57" t="n"/>
      <c r="E1746" s="56" t="n"/>
      <c r="F1746" s="57" t="n"/>
      <c r="G1746" s="57" t="n"/>
      <c r="H1746" s="56" t="n"/>
      <c r="I1746" s="56" t="n"/>
      <c r="J1746" s="58" t="n"/>
      <c r="K1746" s="58" t="n"/>
      <c r="L1746" s="13">
        <f>IF(OR($A1746="",AND($J1746="",$K1746="")),"",ROUND(N($J1746)-N($K1746),2))</f>
        <v/>
      </c>
      <c r="M1746" s="13">
        <f>IF(OR($A1746="",AND($J1746="",$K1746="")),"",MIN($J1746,$K1746))</f>
        <v/>
      </c>
      <c r="Q1746">
        <f>IF($A1746="","",$D1746&amp;"("&amp;SUBSTITUTE($E1746," ","")&amp;")")</f>
        <v/>
      </c>
      <c r="R1746">
        <f>IF($A1746="","",$B1746&amp;" - "&amp;$C1746)</f>
        <v/>
      </c>
      <c r="S1746">
        <f>IF($A1746="","",$R1746&amp;"|"&amp;$Q1746)</f>
        <v/>
      </c>
      <c r="T1746">
        <f>IF($A1746="","",$S1746&amp;"|"&amp;$F1746)</f>
        <v/>
      </c>
      <c r="U1746">
        <f>IF($A1746="","",$R1746&amp;"("&amp;$E1746&amp;")")</f>
        <v/>
      </c>
      <c r="V1746">
        <f>IF($A1746="","",$F1746&amp;"|"&amp;$U1746&amp;"|"&amp;$D1746)</f>
        <v/>
      </c>
      <c r="W1746">
        <f>IF($T1746="","",IF($X1746&gt;N($X1745),$X1746,""))</f>
        <v/>
      </c>
      <c r="X1746">
        <f>IF($T1746="",N($X1745),IF(MATCH($T1746,$T$6:$T$6005,0)=ROW()-5,N($X1745)+1,N($X1745)))</f>
        <v/>
      </c>
      <c r="Z1746">
        <f>IF($V1746="","",IF($AA1746&gt;N($AA1745),$AA1746,""))</f>
        <v/>
      </c>
      <c r="AA1746">
        <f>IF($V1746="",N($AA1745),IF(MATCH($V1746,$V$6:$V$6005,0)=ROW()-5,N($AA1745)+1,N($AA1745)))</f>
        <v/>
      </c>
    </row>
    <row r="1747" ht="21" customHeight="1" s="66">
      <c r="A1747" s="56" t="n"/>
      <c r="B1747" s="57" t="n"/>
      <c r="C1747" s="57" t="n"/>
      <c r="D1747" s="57" t="n"/>
      <c r="E1747" s="56" t="n"/>
      <c r="F1747" s="57" t="n"/>
      <c r="G1747" s="57" t="n"/>
      <c r="H1747" s="56" t="n"/>
      <c r="I1747" s="56" t="n"/>
      <c r="J1747" s="58" t="n"/>
      <c r="K1747" s="58" t="n"/>
      <c r="L1747" s="13">
        <f>IF(OR($A1747="",AND($J1747="",$K1747="")),"",ROUND(N($J1747)-N($K1747),2))</f>
        <v/>
      </c>
      <c r="M1747" s="13">
        <f>IF(OR($A1747="",AND($J1747="",$K1747="")),"",MIN($J1747,$K1747))</f>
        <v/>
      </c>
      <c r="Q1747">
        <f>IF($A1747="","",$D1747&amp;"("&amp;SUBSTITUTE($E1747," ","")&amp;")")</f>
        <v/>
      </c>
      <c r="R1747">
        <f>IF($A1747="","",$B1747&amp;" - "&amp;$C1747)</f>
        <v/>
      </c>
      <c r="S1747">
        <f>IF($A1747="","",$R1747&amp;"|"&amp;$Q1747)</f>
        <v/>
      </c>
      <c r="T1747">
        <f>IF($A1747="","",$S1747&amp;"|"&amp;$F1747)</f>
        <v/>
      </c>
      <c r="U1747">
        <f>IF($A1747="","",$R1747&amp;"("&amp;$E1747&amp;")")</f>
        <v/>
      </c>
      <c r="V1747">
        <f>IF($A1747="","",$F1747&amp;"|"&amp;$U1747&amp;"|"&amp;$D1747)</f>
        <v/>
      </c>
      <c r="W1747">
        <f>IF($T1747="","",IF($X1747&gt;N($X1746),$X1747,""))</f>
        <v/>
      </c>
      <c r="X1747">
        <f>IF($T1747="",N($X1746),IF(MATCH($T1747,$T$6:$T$6005,0)=ROW()-5,N($X1746)+1,N($X1746)))</f>
        <v/>
      </c>
      <c r="Z1747">
        <f>IF($V1747="","",IF($AA1747&gt;N($AA1746),$AA1747,""))</f>
        <v/>
      </c>
      <c r="AA1747">
        <f>IF($V1747="",N($AA1746),IF(MATCH($V1747,$V$6:$V$6005,0)=ROW()-5,N($AA1746)+1,N($AA1746)))</f>
        <v/>
      </c>
    </row>
    <row r="1748" ht="21" customHeight="1" s="66">
      <c r="A1748" s="56" t="n"/>
      <c r="B1748" s="57" t="n"/>
      <c r="C1748" s="57" t="n"/>
      <c r="D1748" s="57" t="n"/>
      <c r="E1748" s="56" t="n"/>
      <c r="F1748" s="57" t="n"/>
      <c r="G1748" s="57" t="n"/>
      <c r="H1748" s="56" t="n"/>
      <c r="I1748" s="56" t="n"/>
      <c r="J1748" s="58" t="n"/>
      <c r="K1748" s="58" t="n"/>
      <c r="L1748" s="13">
        <f>IF(OR($A1748="",AND($J1748="",$K1748="")),"",ROUND(N($J1748)-N($K1748),2))</f>
        <v/>
      </c>
      <c r="M1748" s="13">
        <f>IF(OR($A1748="",AND($J1748="",$K1748="")),"",MIN($J1748,$K1748))</f>
        <v/>
      </c>
      <c r="Q1748">
        <f>IF($A1748="","",$D1748&amp;"("&amp;SUBSTITUTE($E1748," ","")&amp;")")</f>
        <v/>
      </c>
      <c r="R1748">
        <f>IF($A1748="","",$B1748&amp;" - "&amp;$C1748)</f>
        <v/>
      </c>
      <c r="S1748">
        <f>IF($A1748="","",$R1748&amp;"|"&amp;$Q1748)</f>
        <v/>
      </c>
      <c r="T1748">
        <f>IF($A1748="","",$S1748&amp;"|"&amp;$F1748)</f>
        <v/>
      </c>
      <c r="U1748">
        <f>IF($A1748="","",$R1748&amp;"("&amp;$E1748&amp;")")</f>
        <v/>
      </c>
      <c r="V1748">
        <f>IF($A1748="","",$F1748&amp;"|"&amp;$U1748&amp;"|"&amp;$D1748)</f>
        <v/>
      </c>
      <c r="W1748">
        <f>IF($T1748="","",IF($X1748&gt;N($X1747),$X1748,""))</f>
        <v/>
      </c>
      <c r="X1748">
        <f>IF($T1748="",N($X1747),IF(MATCH($T1748,$T$6:$T$6005,0)=ROW()-5,N($X1747)+1,N($X1747)))</f>
        <v/>
      </c>
      <c r="Z1748">
        <f>IF($V1748="","",IF($AA1748&gt;N($AA1747),$AA1748,""))</f>
        <v/>
      </c>
      <c r="AA1748">
        <f>IF($V1748="",N($AA1747),IF(MATCH($V1748,$V$6:$V$6005,0)=ROW()-5,N($AA1747)+1,N($AA1747)))</f>
        <v/>
      </c>
    </row>
    <row r="1749" ht="21" customHeight="1" s="66">
      <c r="A1749" s="56" t="n"/>
      <c r="B1749" s="57" t="n"/>
      <c r="C1749" s="57" t="n"/>
      <c r="D1749" s="57" t="n"/>
      <c r="E1749" s="56" t="n"/>
      <c r="F1749" s="57" t="n"/>
      <c r="G1749" s="57" t="n"/>
      <c r="H1749" s="56" t="n"/>
      <c r="I1749" s="56" t="n"/>
      <c r="J1749" s="58" t="n"/>
      <c r="K1749" s="58" t="n"/>
      <c r="L1749" s="13">
        <f>IF(OR($A1749="",AND($J1749="",$K1749="")),"",ROUND(N($J1749)-N($K1749),2))</f>
        <v/>
      </c>
      <c r="M1749" s="13">
        <f>IF(OR($A1749="",AND($J1749="",$K1749="")),"",MIN($J1749,$K1749))</f>
        <v/>
      </c>
      <c r="Q1749">
        <f>IF($A1749="","",$D1749&amp;"("&amp;SUBSTITUTE($E1749," ","")&amp;")")</f>
        <v/>
      </c>
      <c r="R1749">
        <f>IF($A1749="","",$B1749&amp;" - "&amp;$C1749)</f>
        <v/>
      </c>
      <c r="S1749">
        <f>IF($A1749="","",$R1749&amp;"|"&amp;$Q1749)</f>
        <v/>
      </c>
      <c r="T1749">
        <f>IF($A1749="","",$S1749&amp;"|"&amp;$F1749)</f>
        <v/>
      </c>
      <c r="U1749">
        <f>IF($A1749="","",$R1749&amp;"("&amp;$E1749&amp;")")</f>
        <v/>
      </c>
      <c r="V1749">
        <f>IF($A1749="","",$F1749&amp;"|"&amp;$U1749&amp;"|"&amp;$D1749)</f>
        <v/>
      </c>
      <c r="W1749">
        <f>IF($T1749="","",IF($X1749&gt;N($X1748),$X1749,""))</f>
        <v/>
      </c>
      <c r="X1749">
        <f>IF($T1749="",N($X1748),IF(MATCH($T1749,$T$6:$T$6005,0)=ROW()-5,N($X1748)+1,N($X1748)))</f>
        <v/>
      </c>
      <c r="Z1749">
        <f>IF($V1749="","",IF($AA1749&gt;N($AA1748),$AA1749,""))</f>
        <v/>
      </c>
      <c r="AA1749">
        <f>IF($V1749="",N($AA1748),IF(MATCH($V1749,$V$6:$V$6005,0)=ROW()-5,N($AA1748)+1,N($AA1748)))</f>
        <v/>
      </c>
    </row>
    <row r="1750" ht="21" customHeight="1" s="66">
      <c r="A1750" s="56" t="n"/>
      <c r="B1750" s="57" t="n"/>
      <c r="C1750" s="57" t="n"/>
      <c r="D1750" s="57" t="n"/>
      <c r="E1750" s="56" t="n"/>
      <c r="F1750" s="57" t="n"/>
      <c r="G1750" s="57" t="n"/>
      <c r="H1750" s="56" t="n"/>
      <c r="I1750" s="56" t="n"/>
      <c r="J1750" s="58" t="n"/>
      <c r="K1750" s="58" t="n"/>
      <c r="L1750" s="13">
        <f>IF(OR($A1750="",AND($J1750="",$K1750="")),"",ROUND(N($J1750)-N($K1750),2))</f>
        <v/>
      </c>
      <c r="M1750" s="13">
        <f>IF(OR($A1750="",AND($J1750="",$K1750="")),"",MIN($J1750,$K1750))</f>
        <v/>
      </c>
      <c r="Q1750">
        <f>IF($A1750="","",$D1750&amp;"("&amp;SUBSTITUTE($E1750," ","")&amp;")")</f>
        <v/>
      </c>
      <c r="R1750">
        <f>IF($A1750="","",$B1750&amp;" - "&amp;$C1750)</f>
        <v/>
      </c>
      <c r="S1750">
        <f>IF($A1750="","",$R1750&amp;"|"&amp;$Q1750)</f>
        <v/>
      </c>
      <c r="T1750">
        <f>IF($A1750="","",$S1750&amp;"|"&amp;$F1750)</f>
        <v/>
      </c>
      <c r="U1750">
        <f>IF($A1750="","",$R1750&amp;"("&amp;$E1750&amp;")")</f>
        <v/>
      </c>
      <c r="V1750">
        <f>IF($A1750="","",$F1750&amp;"|"&amp;$U1750&amp;"|"&amp;$D1750)</f>
        <v/>
      </c>
      <c r="W1750">
        <f>IF($T1750="","",IF($X1750&gt;N($X1749),$X1750,""))</f>
        <v/>
      </c>
      <c r="X1750">
        <f>IF($T1750="",N($X1749),IF(MATCH($T1750,$T$6:$T$6005,0)=ROW()-5,N($X1749)+1,N($X1749)))</f>
        <v/>
      </c>
      <c r="Z1750">
        <f>IF($V1750="","",IF($AA1750&gt;N($AA1749),$AA1750,""))</f>
        <v/>
      </c>
      <c r="AA1750">
        <f>IF($V1750="",N($AA1749),IF(MATCH($V1750,$V$6:$V$6005,0)=ROW()-5,N($AA1749)+1,N($AA1749)))</f>
        <v/>
      </c>
    </row>
    <row r="1751" ht="21" customHeight="1" s="66">
      <c r="A1751" s="56" t="n"/>
      <c r="B1751" s="57" t="n"/>
      <c r="C1751" s="57" t="n"/>
      <c r="D1751" s="57" t="n"/>
      <c r="E1751" s="56" t="n"/>
      <c r="F1751" s="57" t="n"/>
      <c r="G1751" s="57" t="n"/>
      <c r="H1751" s="56" t="n"/>
      <c r="I1751" s="56" t="n"/>
      <c r="J1751" s="58" t="n"/>
      <c r="K1751" s="58" t="n"/>
      <c r="L1751" s="13">
        <f>IF(OR($A1751="",AND($J1751="",$K1751="")),"",ROUND(N($J1751)-N($K1751),2))</f>
        <v/>
      </c>
      <c r="M1751" s="13">
        <f>IF(OR($A1751="",AND($J1751="",$K1751="")),"",MIN($J1751,$K1751))</f>
        <v/>
      </c>
      <c r="Q1751">
        <f>IF($A1751="","",$D1751&amp;"("&amp;SUBSTITUTE($E1751," ","")&amp;")")</f>
        <v/>
      </c>
      <c r="R1751">
        <f>IF($A1751="","",$B1751&amp;" - "&amp;$C1751)</f>
        <v/>
      </c>
      <c r="S1751">
        <f>IF($A1751="","",$R1751&amp;"|"&amp;$Q1751)</f>
        <v/>
      </c>
      <c r="T1751">
        <f>IF($A1751="","",$S1751&amp;"|"&amp;$F1751)</f>
        <v/>
      </c>
      <c r="U1751">
        <f>IF($A1751="","",$R1751&amp;"("&amp;$E1751&amp;")")</f>
        <v/>
      </c>
      <c r="V1751">
        <f>IF($A1751="","",$F1751&amp;"|"&amp;$U1751&amp;"|"&amp;$D1751)</f>
        <v/>
      </c>
      <c r="W1751">
        <f>IF($T1751="","",IF($X1751&gt;N($X1750),$X1751,""))</f>
        <v/>
      </c>
      <c r="X1751">
        <f>IF($T1751="",N($X1750),IF(MATCH($T1751,$T$6:$T$6005,0)=ROW()-5,N($X1750)+1,N($X1750)))</f>
        <v/>
      </c>
      <c r="Z1751">
        <f>IF($V1751="","",IF($AA1751&gt;N($AA1750),$AA1751,""))</f>
        <v/>
      </c>
      <c r="AA1751">
        <f>IF($V1751="",N($AA1750),IF(MATCH($V1751,$V$6:$V$6005,0)=ROW()-5,N($AA1750)+1,N($AA1750)))</f>
        <v/>
      </c>
    </row>
    <row r="1752" ht="21" customHeight="1" s="66">
      <c r="A1752" s="56" t="n"/>
      <c r="B1752" s="57" t="n"/>
      <c r="C1752" s="57" t="n"/>
      <c r="D1752" s="57" t="n"/>
      <c r="E1752" s="56" t="n"/>
      <c r="F1752" s="57" t="n"/>
      <c r="G1752" s="57" t="n"/>
      <c r="H1752" s="56" t="n"/>
      <c r="I1752" s="56" t="n"/>
      <c r="J1752" s="58" t="n"/>
      <c r="K1752" s="58" t="n"/>
      <c r="L1752" s="13">
        <f>IF(OR($A1752="",AND($J1752="",$K1752="")),"",ROUND(N($J1752)-N($K1752),2))</f>
        <v/>
      </c>
      <c r="M1752" s="13">
        <f>IF(OR($A1752="",AND($J1752="",$K1752="")),"",MIN($J1752,$K1752))</f>
        <v/>
      </c>
      <c r="Q1752">
        <f>IF($A1752="","",$D1752&amp;"("&amp;SUBSTITUTE($E1752," ","")&amp;")")</f>
        <v/>
      </c>
      <c r="R1752">
        <f>IF($A1752="","",$B1752&amp;" - "&amp;$C1752)</f>
        <v/>
      </c>
      <c r="S1752">
        <f>IF($A1752="","",$R1752&amp;"|"&amp;$Q1752)</f>
        <v/>
      </c>
      <c r="T1752">
        <f>IF($A1752="","",$S1752&amp;"|"&amp;$F1752)</f>
        <v/>
      </c>
      <c r="U1752">
        <f>IF($A1752="","",$R1752&amp;"("&amp;$E1752&amp;")")</f>
        <v/>
      </c>
      <c r="V1752">
        <f>IF($A1752="","",$F1752&amp;"|"&amp;$U1752&amp;"|"&amp;$D1752)</f>
        <v/>
      </c>
      <c r="W1752">
        <f>IF($T1752="","",IF($X1752&gt;N($X1751),$X1752,""))</f>
        <v/>
      </c>
      <c r="X1752">
        <f>IF($T1752="",N($X1751),IF(MATCH($T1752,$T$6:$T$6005,0)=ROW()-5,N($X1751)+1,N($X1751)))</f>
        <v/>
      </c>
      <c r="Z1752">
        <f>IF($V1752="","",IF($AA1752&gt;N($AA1751),$AA1752,""))</f>
        <v/>
      </c>
      <c r="AA1752">
        <f>IF($V1752="",N($AA1751),IF(MATCH($V1752,$V$6:$V$6005,0)=ROW()-5,N($AA1751)+1,N($AA1751)))</f>
        <v/>
      </c>
    </row>
    <row r="1753" ht="21" customHeight="1" s="66">
      <c r="A1753" s="56" t="n"/>
      <c r="B1753" s="57" t="n"/>
      <c r="C1753" s="57" t="n"/>
      <c r="D1753" s="57" t="n"/>
      <c r="E1753" s="56" t="n"/>
      <c r="F1753" s="57" t="n"/>
      <c r="G1753" s="57" t="n"/>
      <c r="H1753" s="56" t="n"/>
      <c r="I1753" s="56" t="n"/>
      <c r="J1753" s="58" t="n"/>
      <c r="K1753" s="58" t="n"/>
      <c r="L1753" s="13">
        <f>IF(OR($A1753="",AND($J1753="",$K1753="")),"",ROUND(N($J1753)-N($K1753),2))</f>
        <v/>
      </c>
      <c r="M1753" s="13">
        <f>IF(OR($A1753="",AND($J1753="",$K1753="")),"",MIN($J1753,$K1753))</f>
        <v/>
      </c>
      <c r="Q1753">
        <f>IF($A1753="","",$D1753&amp;"("&amp;SUBSTITUTE($E1753," ","")&amp;")")</f>
        <v/>
      </c>
      <c r="R1753">
        <f>IF($A1753="","",$B1753&amp;" - "&amp;$C1753)</f>
        <v/>
      </c>
      <c r="S1753">
        <f>IF($A1753="","",$R1753&amp;"|"&amp;$Q1753)</f>
        <v/>
      </c>
      <c r="T1753">
        <f>IF($A1753="","",$S1753&amp;"|"&amp;$F1753)</f>
        <v/>
      </c>
      <c r="U1753">
        <f>IF($A1753="","",$R1753&amp;"("&amp;$E1753&amp;")")</f>
        <v/>
      </c>
      <c r="V1753">
        <f>IF($A1753="","",$F1753&amp;"|"&amp;$U1753&amp;"|"&amp;$D1753)</f>
        <v/>
      </c>
      <c r="W1753">
        <f>IF($T1753="","",IF($X1753&gt;N($X1752),$X1753,""))</f>
        <v/>
      </c>
      <c r="X1753">
        <f>IF($T1753="",N($X1752),IF(MATCH($T1753,$T$6:$T$6005,0)=ROW()-5,N($X1752)+1,N($X1752)))</f>
        <v/>
      </c>
      <c r="Z1753">
        <f>IF($V1753="","",IF($AA1753&gt;N($AA1752),$AA1753,""))</f>
        <v/>
      </c>
      <c r="AA1753">
        <f>IF($V1753="",N($AA1752),IF(MATCH($V1753,$V$6:$V$6005,0)=ROW()-5,N($AA1752)+1,N($AA1752)))</f>
        <v/>
      </c>
    </row>
    <row r="1754" ht="21" customHeight="1" s="66">
      <c r="A1754" s="56" t="n"/>
      <c r="B1754" s="57" t="n"/>
      <c r="C1754" s="57" t="n"/>
      <c r="D1754" s="57" t="n"/>
      <c r="E1754" s="56" t="n"/>
      <c r="F1754" s="57" t="n"/>
      <c r="G1754" s="57" t="n"/>
      <c r="H1754" s="56" t="n"/>
      <c r="I1754" s="56" t="n"/>
      <c r="J1754" s="58" t="n"/>
      <c r="K1754" s="58" t="n"/>
      <c r="L1754" s="13">
        <f>IF(OR($A1754="",AND($J1754="",$K1754="")),"",ROUND(N($J1754)-N($K1754),2))</f>
        <v/>
      </c>
      <c r="M1754" s="13">
        <f>IF(OR($A1754="",AND($J1754="",$K1754="")),"",MIN($J1754,$K1754))</f>
        <v/>
      </c>
      <c r="Q1754">
        <f>IF($A1754="","",$D1754&amp;"("&amp;SUBSTITUTE($E1754," ","")&amp;")")</f>
        <v/>
      </c>
      <c r="R1754">
        <f>IF($A1754="","",$B1754&amp;" - "&amp;$C1754)</f>
        <v/>
      </c>
      <c r="S1754">
        <f>IF($A1754="","",$R1754&amp;"|"&amp;$Q1754)</f>
        <v/>
      </c>
      <c r="T1754">
        <f>IF($A1754="","",$S1754&amp;"|"&amp;$F1754)</f>
        <v/>
      </c>
      <c r="U1754">
        <f>IF($A1754="","",$R1754&amp;"("&amp;$E1754&amp;")")</f>
        <v/>
      </c>
      <c r="V1754">
        <f>IF($A1754="","",$F1754&amp;"|"&amp;$U1754&amp;"|"&amp;$D1754)</f>
        <v/>
      </c>
      <c r="W1754">
        <f>IF($T1754="","",IF($X1754&gt;N($X1753),$X1754,""))</f>
        <v/>
      </c>
      <c r="X1754">
        <f>IF($T1754="",N($X1753),IF(MATCH($T1754,$T$6:$T$6005,0)=ROW()-5,N($X1753)+1,N($X1753)))</f>
        <v/>
      </c>
      <c r="Z1754">
        <f>IF($V1754="","",IF($AA1754&gt;N($AA1753),$AA1754,""))</f>
        <v/>
      </c>
      <c r="AA1754">
        <f>IF($V1754="",N($AA1753),IF(MATCH($V1754,$V$6:$V$6005,0)=ROW()-5,N($AA1753)+1,N($AA1753)))</f>
        <v/>
      </c>
    </row>
    <row r="1755" ht="21" customHeight="1" s="66">
      <c r="A1755" s="56" t="n"/>
      <c r="B1755" s="57" t="n"/>
      <c r="C1755" s="57" t="n"/>
      <c r="D1755" s="57" t="n"/>
      <c r="E1755" s="56" t="n"/>
      <c r="F1755" s="57" t="n"/>
      <c r="G1755" s="57" t="n"/>
      <c r="H1755" s="56" t="n"/>
      <c r="I1755" s="56" t="n"/>
      <c r="J1755" s="58" t="n"/>
      <c r="K1755" s="58" t="n"/>
      <c r="L1755" s="13">
        <f>IF(OR($A1755="",AND($J1755="",$K1755="")),"",ROUND(N($J1755)-N($K1755),2))</f>
        <v/>
      </c>
      <c r="M1755" s="13">
        <f>IF(OR($A1755="",AND($J1755="",$K1755="")),"",MIN($J1755,$K1755))</f>
        <v/>
      </c>
      <c r="Q1755">
        <f>IF($A1755="","",$D1755&amp;"("&amp;SUBSTITUTE($E1755," ","")&amp;")")</f>
        <v/>
      </c>
      <c r="R1755">
        <f>IF($A1755="","",$B1755&amp;" - "&amp;$C1755)</f>
        <v/>
      </c>
      <c r="S1755">
        <f>IF($A1755="","",$R1755&amp;"|"&amp;$Q1755)</f>
        <v/>
      </c>
      <c r="T1755">
        <f>IF($A1755="","",$S1755&amp;"|"&amp;$F1755)</f>
        <v/>
      </c>
      <c r="U1755">
        <f>IF($A1755="","",$R1755&amp;"("&amp;$E1755&amp;")")</f>
        <v/>
      </c>
      <c r="V1755">
        <f>IF($A1755="","",$F1755&amp;"|"&amp;$U1755&amp;"|"&amp;$D1755)</f>
        <v/>
      </c>
      <c r="W1755">
        <f>IF($T1755="","",IF($X1755&gt;N($X1754),$X1755,""))</f>
        <v/>
      </c>
      <c r="X1755">
        <f>IF($T1755="",N($X1754),IF(MATCH($T1755,$T$6:$T$6005,0)=ROW()-5,N($X1754)+1,N($X1754)))</f>
        <v/>
      </c>
      <c r="Z1755">
        <f>IF($V1755="","",IF($AA1755&gt;N($AA1754),$AA1755,""))</f>
        <v/>
      </c>
      <c r="AA1755">
        <f>IF($V1755="",N($AA1754),IF(MATCH($V1755,$V$6:$V$6005,0)=ROW()-5,N($AA1754)+1,N($AA1754)))</f>
        <v/>
      </c>
    </row>
    <row r="1756" ht="21" customHeight="1" s="66">
      <c r="A1756" s="56" t="n"/>
      <c r="B1756" s="57" t="n"/>
      <c r="C1756" s="57" t="n"/>
      <c r="D1756" s="57" t="n"/>
      <c r="E1756" s="56" t="n"/>
      <c r="F1756" s="57" t="n"/>
      <c r="G1756" s="57" t="n"/>
      <c r="H1756" s="56" t="n"/>
      <c r="I1756" s="56" t="n"/>
      <c r="J1756" s="58" t="n"/>
      <c r="K1756" s="58" t="n"/>
      <c r="L1756" s="13">
        <f>IF(OR($A1756="",AND($J1756="",$K1756="")),"",ROUND(N($J1756)-N($K1756),2))</f>
        <v/>
      </c>
      <c r="M1756" s="13">
        <f>IF(OR($A1756="",AND($J1756="",$K1756="")),"",MIN($J1756,$K1756))</f>
        <v/>
      </c>
      <c r="Q1756">
        <f>IF($A1756="","",$D1756&amp;"("&amp;SUBSTITUTE($E1756," ","")&amp;")")</f>
        <v/>
      </c>
      <c r="R1756">
        <f>IF($A1756="","",$B1756&amp;" - "&amp;$C1756)</f>
        <v/>
      </c>
      <c r="S1756">
        <f>IF($A1756="","",$R1756&amp;"|"&amp;$Q1756)</f>
        <v/>
      </c>
      <c r="T1756">
        <f>IF($A1756="","",$S1756&amp;"|"&amp;$F1756)</f>
        <v/>
      </c>
      <c r="U1756">
        <f>IF($A1756="","",$R1756&amp;"("&amp;$E1756&amp;")")</f>
        <v/>
      </c>
      <c r="V1756">
        <f>IF($A1756="","",$F1756&amp;"|"&amp;$U1756&amp;"|"&amp;$D1756)</f>
        <v/>
      </c>
      <c r="W1756">
        <f>IF($T1756="","",IF($X1756&gt;N($X1755),$X1756,""))</f>
        <v/>
      </c>
      <c r="X1756">
        <f>IF($T1756="",N($X1755),IF(MATCH($T1756,$T$6:$T$6005,0)=ROW()-5,N($X1755)+1,N($X1755)))</f>
        <v/>
      </c>
      <c r="Z1756">
        <f>IF($V1756="","",IF($AA1756&gt;N($AA1755),$AA1756,""))</f>
        <v/>
      </c>
      <c r="AA1756">
        <f>IF($V1756="",N($AA1755),IF(MATCH($V1756,$V$6:$V$6005,0)=ROW()-5,N($AA1755)+1,N($AA1755)))</f>
        <v/>
      </c>
    </row>
    <row r="1757" ht="21" customHeight="1" s="66">
      <c r="A1757" s="56" t="n"/>
      <c r="B1757" s="57" t="n"/>
      <c r="C1757" s="57" t="n"/>
      <c r="D1757" s="57" t="n"/>
      <c r="E1757" s="56" t="n"/>
      <c r="F1757" s="57" t="n"/>
      <c r="G1757" s="57" t="n"/>
      <c r="H1757" s="56" t="n"/>
      <c r="I1757" s="56" t="n"/>
      <c r="J1757" s="58" t="n"/>
      <c r="K1757" s="58" t="n"/>
      <c r="L1757" s="13">
        <f>IF(OR($A1757="",AND($J1757="",$K1757="")),"",ROUND(N($J1757)-N($K1757),2))</f>
        <v/>
      </c>
      <c r="M1757" s="13">
        <f>IF(OR($A1757="",AND($J1757="",$K1757="")),"",MIN($J1757,$K1757))</f>
        <v/>
      </c>
      <c r="Q1757">
        <f>IF($A1757="","",$D1757&amp;"("&amp;SUBSTITUTE($E1757," ","")&amp;")")</f>
        <v/>
      </c>
      <c r="R1757">
        <f>IF($A1757="","",$B1757&amp;" - "&amp;$C1757)</f>
        <v/>
      </c>
      <c r="S1757">
        <f>IF($A1757="","",$R1757&amp;"|"&amp;$Q1757)</f>
        <v/>
      </c>
      <c r="T1757">
        <f>IF($A1757="","",$S1757&amp;"|"&amp;$F1757)</f>
        <v/>
      </c>
      <c r="U1757">
        <f>IF($A1757="","",$R1757&amp;"("&amp;$E1757&amp;")")</f>
        <v/>
      </c>
      <c r="V1757">
        <f>IF($A1757="","",$F1757&amp;"|"&amp;$U1757&amp;"|"&amp;$D1757)</f>
        <v/>
      </c>
      <c r="W1757">
        <f>IF($T1757="","",IF($X1757&gt;N($X1756),$X1757,""))</f>
        <v/>
      </c>
      <c r="X1757">
        <f>IF($T1757="",N($X1756),IF(MATCH($T1757,$T$6:$T$6005,0)=ROW()-5,N($X1756)+1,N($X1756)))</f>
        <v/>
      </c>
      <c r="Z1757">
        <f>IF($V1757="","",IF($AA1757&gt;N($AA1756),$AA1757,""))</f>
        <v/>
      </c>
      <c r="AA1757">
        <f>IF($V1757="",N($AA1756),IF(MATCH($V1757,$V$6:$V$6005,0)=ROW()-5,N($AA1756)+1,N($AA1756)))</f>
        <v/>
      </c>
    </row>
    <row r="1758" ht="21" customHeight="1" s="66">
      <c r="A1758" s="56" t="n"/>
      <c r="B1758" s="57" t="n"/>
      <c r="C1758" s="57" t="n"/>
      <c r="D1758" s="57" t="n"/>
      <c r="E1758" s="56" t="n"/>
      <c r="F1758" s="57" t="n"/>
      <c r="G1758" s="57" t="n"/>
      <c r="H1758" s="56" t="n"/>
      <c r="I1758" s="56" t="n"/>
      <c r="J1758" s="58" t="n"/>
      <c r="K1758" s="58" t="n"/>
      <c r="L1758" s="13">
        <f>IF(OR($A1758="",AND($J1758="",$K1758="")),"",ROUND(N($J1758)-N($K1758),2))</f>
        <v/>
      </c>
      <c r="M1758" s="13">
        <f>IF(OR($A1758="",AND($J1758="",$K1758="")),"",MIN($J1758,$K1758))</f>
        <v/>
      </c>
      <c r="Q1758">
        <f>IF($A1758="","",$D1758&amp;"("&amp;SUBSTITUTE($E1758," ","")&amp;")")</f>
        <v/>
      </c>
      <c r="R1758">
        <f>IF($A1758="","",$B1758&amp;" - "&amp;$C1758)</f>
        <v/>
      </c>
      <c r="S1758">
        <f>IF($A1758="","",$R1758&amp;"|"&amp;$Q1758)</f>
        <v/>
      </c>
      <c r="T1758">
        <f>IF($A1758="","",$S1758&amp;"|"&amp;$F1758)</f>
        <v/>
      </c>
      <c r="U1758">
        <f>IF($A1758="","",$R1758&amp;"("&amp;$E1758&amp;")")</f>
        <v/>
      </c>
      <c r="V1758">
        <f>IF($A1758="","",$F1758&amp;"|"&amp;$U1758&amp;"|"&amp;$D1758)</f>
        <v/>
      </c>
      <c r="W1758">
        <f>IF($T1758="","",IF($X1758&gt;N($X1757),$X1758,""))</f>
        <v/>
      </c>
      <c r="X1758">
        <f>IF($T1758="",N($X1757),IF(MATCH($T1758,$T$6:$T$6005,0)=ROW()-5,N($X1757)+1,N($X1757)))</f>
        <v/>
      </c>
      <c r="Z1758">
        <f>IF($V1758="","",IF($AA1758&gt;N($AA1757),$AA1758,""))</f>
        <v/>
      </c>
      <c r="AA1758">
        <f>IF($V1758="",N($AA1757),IF(MATCH($V1758,$V$6:$V$6005,0)=ROW()-5,N($AA1757)+1,N($AA1757)))</f>
        <v/>
      </c>
    </row>
    <row r="1759" ht="21" customHeight="1" s="66">
      <c r="A1759" s="56" t="n"/>
      <c r="B1759" s="57" t="n"/>
      <c r="C1759" s="57" t="n"/>
      <c r="D1759" s="57" t="n"/>
      <c r="E1759" s="56" t="n"/>
      <c r="F1759" s="57" t="n"/>
      <c r="G1759" s="57" t="n"/>
      <c r="H1759" s="56" t="n"/>
      <c r="I1759" s="56" t="n"/>
      <c r="J1759" s="58" t="n"/>
      <c r="K1759" s="58" t="n"/>
      <c r="L1759" s="13">
        <f>IF(OR($A1759="",AND($J1759="",$K1759="")),"",ROUND(N($J1759)-N($K1759),2))</f>
        <v/>
      </c>
      <c r="M1759" s="13">
        <f>IF(OR($A1759="",AND($J1759="",$K1759="")),"",MIN($J1759,$K1759))</f>
        <v/>
      </c>
      <c r="Q1759">
        <f>IF($A1759="","",$D1759&amp;"("&amp;SUBSTITUTE($E1759," ","")&amp;")")</f>
        <v/>
      </c>
      <c r="R1759">
        <f>IF($A1759="","",$B1759&amp;" - "&amp;$C1759)</f>
        <v/>
      </c>
      <c r="S1759">
        <f>IF($A1759="","",$R1759&amp;"|"&amp;$Q1759)</f>
        <v/>
      </c>
      <c r="T1759">
        <f>IF($A1759="","",$S1759&amp;"|"&amp;$F1759)</f>
        <v/>
      </c>
      <c r="U1759">
        <f>IF($A1759="","",$R1759&amp;"("&amp;$E1759&amp;")")</f>
        <v/>
      </c>
      <c r="V1759">
        <f>IF($A1759="","",$F1759&amp;"|"&amp;$U1759&amp;"|"&amp;$D1759)</f>
        <v/>
      </c>
      <c r="W1759">
        <f>IF($T1759="","",IF($X1759&gt;N($X1758),$X1759,""))</f>
        <v/>
      </c>
      <c r="X1759">
        <f>IF($T1759="",N($X1758),IF(MATCH($T1759,$T$6:$T$6005,0)=ROW()-5,N($X1758)+1,N($X1758)))</f>
        <v/>
      </c>
      <c r="Z1759">
        <f>IF($V1759="","",IF($AA1759&gt;N($AA1758),$AA1759,""))</f>
        <v/>
      </c>
      <c r="AA1759">
        <f>IF($V1759="",N($AA1758),IF(MATCH($V1759,$V$6:$V$6005,0)=ROW()-5,N($AA1758)+1,N($AA1758)))</f>
        <v/>
      </c>
    </row>
    <row r="1760" ht="21" customHeight="1" s="66">
      <c r="A1760" s="56" t="n"/>
      <c r="B1760" s="57" t="n"/>
      <c r="C1760" s="57" t="n"/>
      <c r="D1760" s="57" t="n"/>
      <c r="E1760" s="56" t="n"/>
      <c r="F1760" s="57" t="n"/>
      <c r="G1760" s="57" t="n"/>
      <c r="H1760" s="56" t="n"/>
      <c r="I1760" s="56" t="n"/>
      <c r="J1760" s="58" t="n"/>
      <c r="K1760" s="58" t="n"/>
      <c r="L1760" s="13">
        <f>IF(OR($A1760="",AND($J1760="",$K1760="")),"",ROUND(N($J1760)-N($K1760),2))</f>
        <v/>
      </c>
      <c r="M1760" s="13">
        <f>IF(OR($A1760="",AND($J1760="",$K1760="")),"",MIN($J1760,$K1760))</f>
        <v/>
      </c>
      <c r="Q1760">
        <f>IF($A1760="","",$D1760&amp;"("&amp;SUBSTITUTE($E1760," ","")&amp;")")</f>
        <v/>
      </c>
      <c r="R1760">
        <f>IF($A1760="","",$B1760&amp;" - "&amp;$C1760)</f>
        <v/>
      </c>
      <c r="S1760">
        <f>IF($A1760="","",$R1760&amp;"|"&amp;$Q1760)</f>
        <v/>
      </c>
      <c r="T1760">
        <f>IF($A1760="","",$S1760&amp;"|"&amp;$F1760)</f>
        <v/>
      </c>
      <c r="U1760">
        <f>IF($A1760="","",$R1760&amp;"("&amp;$E1760&amp;")")</f>
        <v/>
      </c>
      <c r="V1760">
        <f>IF($A1760="","",$F1760&amp;"|"&amp;$U1760&amp;"|"&amp;$D1760)</f>
        <v/>
      </c>
      <c r="W1760">
        <f>IF($T1760="","",IF($X1760&gt;N($X1759),$X1760,""))</f>
        <v/>
      </c>
      <c r="X1760">
        <f>IF($T1760="",N($X1759),IF(MATCH($T1760,$T$6:$T$6005,0)=ROW()-5,N($X1759)+1,N($X1759)))</f>
        <v/>
      </c>
      <c r="Z1760">
        <f>IF($V1760="","",IF($AA1760&gt;N($AA1759),$AA1760,""))</f>
        <v/>
      </c>
      <c r="AA1760">
        <f>IF($V1760="",N($AA1759),IF(MATCH($V1760,$V$6:$V$6005,0)=ROW()-5,N($AA1759)+1,N($AA1759)))</f>
        <v/>
      </c>
    </row>
    <row r="1761" ht="21" customHeight="1" s="66">
      <c r="A1761" s="56" t="n"/>
      <c r="B1761" s="57" t="n"/>
      <c r="C1761" s="57" t="n"/>
      <c r="D1761" s="57" t="n"/>
      <c r="E1761" s="56" t="n"/>
      <c r="F1761" s="57" t="n"/>
      <c r="G1761" s="57" t="n"/>
      <c r="H1761" s="56" t="n"/>
      <c r="I1761" s="56" t="n"/>
      <c r="J1761" s="58" t="n"/>
      <c r="K1761" s="58" t="n"/>
      <c r="L1761" s="13">
        <f>IF(OR($A1761="",AND($J1761="",$K1761="")),"",ROUND(N($J1761)-N($K1761),2))</f>
        <v/>
      </c>
      <c r="M1761" s="13">
        <f>IF(OR($A1761="",AND($J1761="",$K1761="")),"",MIN($J1761,$K1761))</f>
        <v/>
      </c>
      <c r="Q1761">
        <f>IF($A1761="","",$D1761&amp;"("&amp;SUBSTITUTE($E1761," ","")&amp;")")</f>
        <v/>
      </c>
      <c r="R1761">
        <f>IF($A1761="","",$B1761&amp;" - "&amp;$C1761)</f>
        <v/>
      </c>
      <c r="S1761">
        <f>IF($A1761="","",$R1761&amp;"|"&amp;$Q1761)</f>
        <v/>
      </c>
      <c r="T1761">
        <f>IF($A1761="","",$S1761&amp;"|"&amp;$F1761)</f>
        <v/>
      </c>
      <c r="U1761">
        <f>IF($A1761="","",$R1761&amp;"("&amp;$E1761&amp;")")</f>
        <v/>
      </c>
      <c r="V1761">
        <f>IF($A1761="","",$F1761&amp;"|"&amp;$U1761&amp;"|"&amp;$D1761)</f>
        <v/>
      </c>
      <c r="W1761">
        <f>IF($T1761="","",IF($X1761&gt;N($X1760),$X1761,""))</f>
        <v/>
      </c>
      <c r="X1761">
        <f>IF($T1761="",N($X1760),IF(MATCH($T1761,$T$6:$T$6005,0)=ROW()-5,N($X1760)+1,N($X1760)))</f>
        <v/>
      </c>
      <c r="Z1761">
        <f>IF($V1761="","",IF($AA1761&gt;N($AA1760),$AA1761,""))</f>
        <v/>
      </c>
      <c r="AA1761">
        <f>IF($V1761="",N($AA1760),IF(MATCH($V1761,$V$6:$V$6005,0)=ROW()-5,N($AA1760)+1,N($AA1760)))</f>
        <v/>
      </c>
    </row>
    <row r="1762" ht="21" customHeight="1" s="66">
      <c r="A1762" s="56" t="n"/>
      <c r="B1762" s="57" t="n"/>
      <c r="C1762" s="57" t="n"/>
      <c r="D1762" s="57" t="n"/>
      <c r="E1762" s="56" t="n"/>
      <c r="F1762" s="57" t="n"/>
      <c r="G1762" s="57" t="n"/>
      <c r="H1762" s="56" t="n"/>
      <c r="I1762" s="56" t="n"/>
      <c r="J1762" s="58" t="n"/>
      <c r="K1762" s="58" t="n"/>
      <c r="L1762" s="13">
        <f>IF(OR($A1762="",AND($J1762="",$K1762="")),"",ROUND(N($J1762)-N($K1762),2))</f>
        <v/>
      </c>
      <c r="M1762" s="13">
        <f>IF(OR($A1762="",AND($J1762="",$K1762="")),"",MIN($J1762,$K1762))</f>
        <v/>
      </c>
      <c r="Q1762">
        <f>IF($A1762="","",$D1762&amp;"("&amp;SUBSTITUTE($E1762," ","")&amp;")")</f>
        <v/>
      </c>
      <c r="R1762">
        <f>IF($A1762="","",$B1762&amp;" - "&amp;$C1762)</f>
        <v/>
      </c>
      <c r="S1762">
        <f>IF($A1762="","",$R1762&amp;"|"&amp;$Q1762)</f>
        <v/>
      </c>
      <c r="T1762">
        <f>IF($A1762="","",$S1762&amp;"|"&amp;$F1762)</f>
        <v/>
      </c>
      <c r="U1762">
        <f>IF($A1762="","",$R1762&amp;"("&amp;$E1762&amp;")")</f>
        <v/>
      </c>
      <c r="V1762">
        <f>IF($A1762="","",$F1762&amp;"|"&amp;$U1762&amp;"|"&amp;$D1762)</f>
        <v/>
      </c>
      <c r="W1762">
        <f>IF($T1762="","",IF($X1762&gt;N($X1761),$X1762,""))</f>
        <v/>
      </c>
      <c r="X1762">
        <f>IF($T1762="",N($X1761),IF(MATCH($T1762,$T$6:$T$6005,0)=ROW()-5,N($X1761)+1,N($X1761)))</f>
        <v/>
      </c>
      <c r="Z1762">
        <f>IF($V1762="","",IF($AA1762&gt;N($AA1761),$AA1762,""))</f>
        <v/>
      </c>
      <c r="AA1762">
        <f>IF($V1762="",N($AA1761),IF(MATCH($V1762,$V$6:$V$6005,0)=ROW()-5,N($AA1761)+1,N($AA1761)))</f>
        <v/>
      </c>
    </row>
    <row r="1763" ht="21" customHeight="1" s="66">
      <c r="A1763" s="56" t="n"/>
      <c r="B1763" s="57" t="n"/>
      <c r="C1763" s="57" t="n"/>
      <c r="D1763" s="57" t="n"/>
      <c r="E1763" s="56" t="n"/>
      <c r="F1763" s="57" t="n"/>
      <c r="G1763" s="57" t="n"/>
      <c r="H1763" s="56" t="n"/>
      <c r="I1763" s="56" t="n"/>
      <c r="J1763" s="58" t="n"/>
      <c r="K1763" s="58" t="n"/>
      <c r="L1763" s="13">
        <f>IF(OR($A1763="",AND($J1763="",$K1763="")),"",ROUND(N($J1763)-N($K1763),2))</f>
        <v/>
      </c>
      <c r="M1763" s="13">
        <f>IF(OR($A1763="",AND($J1763="",$K1763="")),"",MIN($J1763,$K1763))</f>
        <v/>
      </c>
      <c r="Q1763">
        <f>IF($A1763="","",$D1763&amp;"("&amp;SUBSTITUTE($E1763," ","")&amp;")")</f>
        <v/>
      </c>
      <c r="R1763">
        <f>IF($A1763="","",$B1763&amp;" - "&amp;$C1763)</f>
        <v/>
      </c>
      <c r="S1763">
        <f>IF($A1763="","",$R1763&amp;"|"&amp;$Q1763)</f>
        <v/>
      </c>
      <c r="T1763">
        <f>IF($A1763="","",$S1763&amp;"|"&amp;$F1763)</f>
        <v/>
      </c>
      <c r="U1763">
        <f>IF($A1763="","",$R1763&amp;"("&amp;$E1763&amp;")")</f>
        <v/>
      </c>
      <c r="V1763">
        <f>IF($A1763="","",$F1763&amp;"|"&amp;$U1763&amp;"|"&amp;$D1763)</f>
        <v/>
      </c>
      <c r="W1763">
        <f>IF($T1763="","",IF($X1763&gt;N($X1762),$X1763,""))</f>
        <v/>
      </c>
      <c r="X1763">
        <f>IF($T1763="",N($X1762),IF(MATCH($T1763,$T$6:$T$6005,0)=ROW()-5,N($X1762)+1,N($X1762)))</f>
        <v/>
      </c>
      <c r="Z1763">
        <f>IF($V1763="","",IF($AA1763&gt;N($AA1762),$AA1763,""))</f>
        <v/>
      </c>
      <c r="AA1763">
        <f>IF($V1763="",N($AA1762),IF(MATCH($V1763,$V$6:$V$6005,0)=ROW()-5,N($AA1762)+1,N($AA1762)))</f>
        <v/>
      </c>
    </row>
    <row r="1764" ht="21" customHeight="1" s="66">
      <c r="A1764" s="56" t="n"/>
      <c r="B1764" s="57" t="n"/>
      <c r="C1764" s="57" t="n"/>
      <c r="D1764" s="57" t="n"/>
      <c r="E1764" s="56" t="n"/>
      <c r="F1764" s="57" t="n"/>
      <c r="G1764" s="57" t="n"/>
      <c r="H1764" s="56" t="n"/>
      <c r="I1764" s="56" t="n"/>
      <c r="J1764" s="58" t="n"/>
      <c r="K1764" s="58" t="n"/>
      <c r="L1764" s="13">
        <f>IF(OR($A1764="",AND($J1764="",$K1764="")),"",ROUND(N($J1764)-N($K1764),2))</f>
        <v/>
      </c>
      <c r="M1764" s="13">
        <f>IF(OR($A1764="",AND($J1764="",$K1764="")),"",MIN($J1764,$K1764))</f>
        <v/>
      </c>
      <c r="Q1764">
        <f>IF($A1764="","",$D1764&amp;"("&amp;SUBSTITUTE($E1764," ","")&amp;")")</f>
        <v/>
      </c>
      <c r="R1764">
        <f>IF($A1764="","",$B1764&amp;" - "&amp;$C1764)</f>
        <v/>
      </c>
      <c r="S1764">
        <f>IF($A1764="","",$R1764&amp;"|"&amp;$Q1764)</f>
        <v/>
      </c>
      <c r="T1764">
        <f>IF($A1764="","",$S1764&amp;"|"&amp;$F1764)</f>
        <v/>
      </c>
      <c r="U1764">
        <f>IF($A1764="","",$R1764&amp;"("&amp;$E1764&amp;")")</f>
        <v/>
      </c>
      <c r="V1764">
        <f>IF($A1764="","",$F1764&amp;"|"&amp;$U1764&amp;"|"&amp;$D1764)</f>
        <v/>
      </c>
      <c r="W1764">
        <f>IF($T1764="","",IF($X1764&gt;N($X1763),$X1764,""))</f>
        <v/>
      </c>
      <c r="X1764">
        <f>IF($T1764="",N($X1763),IF(MATCH($T1764,$T$6:$T$6005,0)=ROW()-5,N($X1763)+1,N($X1763)))</f>
        <v/>
      </c>
      <c r="Z1764">
        <f>IF($V1764="","",IF($AA1764&gt;N($AA1763),$AA1764,""))</f>
        <v/>
      </c>
      <c r="AA1764">
        <f>IF($V1764="",N($AA1763),IF(MATCH($V1764,$V$6:$V$6005,0)=ROW()-5,N($AA1763)+1,N($AA1763)))</f>
        <v/>
      </c>
    </row>
    <row r="1765" ht="21" customHeight="1" s="66">
      <c r="A1765" s="56" t="n"/>
      <c r="B1765" s="57" t="n"/>
      <c r="C1765" s="57" t="n"/>
      <c r="D1765" s="57" t="n"/>
      <c r="E1765" s="56" t="n"/>
      <c r="F1765" s="57" t="n"/>
      <c r="G1765" s="57" t="n"/>
      <c r="H1765" s="56" t="n"/>
      <c r="I1765" s="56" t="n"/>
      <c r="J1765" s="58" t="n"/>
      <c r="K1765" s="58" t="n"/>
      <c r="L1765" s="13">
        <f>IF(OR($A1765="",AND($J1765="",$K1765="")),"",ROUND(N($J1765)-N($K1765),2))</f>
        <v/>
      </c>
      <c r="M1765" s="13">
        <f>IF(OR($A1765="",AND($J1765="",$K1765="")),"",MIN($J1765,$K1765))</f>
        <v/>
      </c>
      <c r="Q1765">
        <f>IF($A1765="","",$D1765&amp;"("&amp;SUBSTITUTE($E1765," ","")&amp;")")</f>
        <v/>
      </c>
      <c r="R1765">
        <f>IF($A1765="","",$B1765&amp;" - "&amp;$C1765)</f>
        <v/>
      </c>
      <c r="S1765">
        <f>IF($A1765="","",$R1765&amp;"|"&amp;$Q1765)</f>
        <v/>
      </c>
      <c r="T1765">
        <f>IF($A1765="","",$S1765&amp;"|"&amp;$F1765)</f>
        <v/>
      </c>
      <c r="U1765">
        <f>IF($A1765="","",$R1765&amp;"("&amp;$E1765&amp;")")</f>
        <v/>
      </c>
      <c r="V1765">
        <f>IF($A1765="","",$F1765&amp;"|"&amp;$U1765&amp;"|"&amp;$D1765)</f>
        <v/>
      </c>
      <c r="W1765">
        <f>IF($T1765="","",IF($X1765&gt;N($X1764),$X1765,""))</f>
        <v/>
      </c>
      <c r="X1765">
        <f>IF($T1765="",N($X1764),IF(MATCH($T1765,$T$6:$T$6005,0)=ROW()-5,N($X1764)+1,N($X1764)))</f>
        <v/>
      </c>
      <c r="Z1765">
        <f>IF($V1765="","",IF($AA1765&gt;N($AA1764),$AA1765,""))</f>
        <v/>
      </c>
      <c r="AA1765">
        <f>IF($V1765="",N($AA1764),IF(MATCH($V1765,$V$6:$V$6005,0)=ROW()-5,N($AA1764)+1,N($AA1764)))</f>
        <v/>
      </c>
    </row>
    <row r="1766" ht="21" customHeight="1" s="66">
      <c r="A1766" s="56" t="n"/>
      <c r="B1766" s="57" t="n"/>
      <c r="C1766" s="57" t="n"/>
      <c r="D1766" s="57" t="n"/>
      <c r="E1766" s="56" t="n"/>
      <c r="F1766" s="57" t="n"/>
      <c r="G1766" s="57" t="n"/>
      <c r="H1766" s="56" t="n"/>
      <c r="I1766" s="56" t="n"/>
      <c r="J1766" s="58" t="n"/>
      <c r="K1766" s="58" t="n"/>
      <c r="L1766" s="13">
        <f>IF(OR($A1766="",AND($J1766="",$K1766="")),"",ROUND(N($J1766)-N($K1766),2))</f>
        <v/>
      </c>
      <c r="M1766" s="13">
        <f>IF(OR($A1766="",AND($J1766="",$K1766="")),"",MIN($J1766,$K1766))</f>
        <v/>
      </c>
      <c r="Q1766">
        <f>IF($A1766="","",$D1766&amp;"("&amp;SUBSTITUTE($E1766," ","")&amp;")")</f>
        <v/>
      </c>
      <c r="R1766">
        <f>IF($A1766="","",$B1766&amp;" - "&amp;$C1766)</f>
        <v/>
      </c>
      <c r="S1766">
        <f>IF($A1766="","",$R1766&amp;"|"&amp;$Q1766)</f>
        <v/>
      </c>
      <c r="T1766">
        <f>IF($A1766="","",$S1766&amp;"|"&amp;$F1766)</f>
        <v/>
      </c>
      <c r="U1766">
        <f>IF($A1766="","",$R1766&amp;"("&amp;$E1766&amp;")")</f>
        <v/>
      </c>
      <c r="V1766">
        <f>IF($A1766="","",$F1766&amp;"|"&amp;$U1766&amp;"|"&amp;$D1766)</f>
        <v/>
      </c>
      <c r="W1766">
        <f>IF($T1766="","",IF($X1766&gt;N($X1765),$X1766,""))</f>
        <v/>
      </c>
      <c r="X1766">
        <f>IF($T1766="",N($X1765),IF(MATCH($T1766,$T$6:$T$6005,0)=ROW()-5,N($X1765)+1,N($X1765)))</f>
        <v/>
      </c>
      <c r="Z1766">
        <f>IF($V1766="","",IF($AA1766&gt;N($AA1765),$AA1766,""))</f>
        <v/>
      </c>
      <c r="AA1766">
        <f>IF($V1766="",N($AA1765),IF(MATCH($V1766,$V$6:$V$6005,0)=ROW()-5,N($AA1765)+1,N($AA1765)))</f>
        <v/>
      </c>
    </row>
    <row r="1767" ht="21" customHeight="1" s="66">
      <c r="A1767" s="56" t="n"/>
      <c r="B1767" s="57" t="n"/>
      <c r="C1767" s="57" t="n"/>
      <c r="D1767" s="57" t="n"/>
      <c r="E1767" s="56" t="n"/>
      <c r="F1767" s="57" t="n"/>
      <c r="G1767" s="57" t="n"/>
      <c r="H1767" s="56" t="n"/>
      <c r="I1767" s="56" t="n"/>
      <c r="J1767" s="58" t="n"/>
      <c r="K1767" s="58" t="n"/>
      <c r="L1767" s="13">
        <f>IF(OR($A1767="",AND($J1767="",$K1767="")),"",ROUND(N($J1767)-N($K1767),2))</f>
        <v/>
      </c>
      <c r="M1767" s="13">
        <f>IF(OR($A1767="",AND($J1767="",$K1767="")),"",MIN($J1767,$K1767))</f>
        <v/>
      </c>
      <c r="Q1767">
        <f>IF($A1767="","",$D1767&amp;"("&amp;SUBSTITUTE($E1767," ","")&amp;")")</f>
        <v/>
      </c>
      <c r="R1767">
        <f>IF($A1767="","",$B1767&amp;" - "&amp;$C1767)</f>
        <v/>
      </c>
      <c r="S1767">
        <f>IF($A1767="","",$R1767&amp;"|"&amp;$Q1767)</f>
        <v/>
      </c>
      <c r="T1767">
        <f>IF($A1767="","",$S1767&amp;"|"&amp;$F1767)</f>
        <v/>
      </c>
      <c r="U1767">
        <f>IF($A1767="","",$R1767&amp;"("&amp;$E1767&amp;")")</f>
        <v/>
      </c>
      <c r="V1767">
        <f>IF($A1767="","",$F1767&amp;"|"&amp;$U1767&amp;"|"&amp;$D1767)</f>
        <v/>
      </c>
      <c r="W1767">
        <f>IF($T1767="","",IF($X1767&gt;N($X1766),$X1767,""))</f>
        <v/>
      </c>
      <c r="X1767">
        <f>IF($T1767="",N($X1766),IF(MATCH($T1767,$T$6:$T$6005,0)=ROW()-5,N($X1766)+1,N($X1766)))</f>
        <v/>
      </c>
      <c r="Z1767">
        <f>IF($V1767="","",IF($AA1767&gt;N($AA1766),$AA1767,""))</f>
        <v/>
      </c>
      <c r="AA1767">
        <f>IF($V1767="",N($AA1766),IF(MATCH($V1767,$V$6:$V$6005,0)=ROW()-5,N($AA1766)+1,N($AA1766)))</f>
        <v/>
      </c>
    </row>
    <row r="1768" ht="21" customHeight="1" s="66">
      <c r="A1768" s="56" t="n"/>
      <c r="B1768" s="57" t="n"/>
      <c r="C1768" s="57" t="n"/>
      <c r="D1768" s="57" t="n"/>
      <c r="E1768" s="56" t="n"/>
      <c r="F1768" s="57" t="n"/>
      <c r="G1768" s="57" t="n"/>
      <c r="H1768" s="56" t="n"/>
      <c r="I1768" s="56" t="n"/>
      <c r="J1768" s="58" t="n"/>
      <c r="K1768" s="58" t="n"/>
      <c r="L1768" s="13">
        <f>IF(OR($A1768="",AND($J1768="",$K1768="")),"",ROUND(N($J1768)-N($K1768),2))</f>
        <v/>
      </c>
      <c r="M1768" s="13">
        <f>IF(OR($A1768="",AND($J1768="",$K1768="")),"",MIN($J1768,$K1768))</f>
        <v/>
      </c>
      <c r="Q1768">
        <f>IF($A1768="","",$D1768&amp;"("&amp;SUBSTITUTE($E1768," ","")&amp;")")</f>
        <v/>
      </c>
      <c r="R1768">
        <f>IF($A1768="","",$B1768&amp;" - "&amp;$C1768)</f>
        <v/>
      </c>
      <c r="S1768">
        <f>IF($A1768="","",$R1768&amp;"|"&amp;$Q1768)</f>
        <v/>
      </c>
      <c r="T1768">
        <f>IF($A1768="","",$S1768&amp;"|"&amp;$F1768)</f>
        <v/>
      </c>
      <c r="U1768">
        <f>IF($A1768="","",$R1768&amp;"("&amp;$E1768&amp;")")</f>
        <v/>
      </c>
      <c r="V1768">
        <f>IF($A1768="","",$F1768&amp;"|"&amp;$U1768&amp;"|"&amp;$D1768)</f>
        <v/>
      </c>
      <c r="W1768">
        <f>IF($T1768="","",IF($X1768&gt;N($X1767),$X1768,""))</f>
        <v/>
      </c>
      <c r="X1768">
        <f>IF($T1768="",N($X1767),IF(MATCH($T1768,$T$6:$T$6005,0)=ROW()-5,N($X1767)+1,N($X1767)))</f>
        <v/>
      </c>
      <c r="Z1768">
        <f>IF($V1768="","",IF($AA1768&gt;N($AA1767),$AA1768,""))</f>
        <v/>
      </c>
      <c r="AA1768">
        <f>IF($V1768="",N($AA1767),IF(MATCH($V1768,$V$6:$V$6005,0)=ROW()-5,N($AA1767)+1,N($AA1767)))</f>
        <v/>
      </c>
    </row>
    <row r="1769" ht="21" customHeight="1" s="66">
      <c r="A1769" s="56" t="n"/>
      <c r="B1769" s="57" t="n"/>
      <c r="C1769" s="57" t="n"/>
      <c r="D1769" s="57" t="n"/>
      <c r="E1769" s="56" t="n"/>
      <c r="F1769" s="57" t="n"/>
      <c r="G1769" s="57" t="n"/>
      <c r="H1769" s="56" t="n"/>
      <c r="I1769" s="56" t="n"/>
      <c r="J1769" s="58" t="n"/>
      <c r="K1769" s="58" t="n"/>
      <c r="L1769" s="13">
        <f>IF(OR($A1769="",AND($J1769="",$K1769="")),"",ROUND(N($J1769)-N($K1769),2))</f>
        <v/>
      </c>
      <c r="M1769" s="13">
        <f>IF(OR($A1769="",AND($J1769="",$K1769="")),"",MIN($J1769,$K1769))</f>
        <v/>
      </c>
      <c r="Q1769">
        <f>IF($A1769="","",$D1769&amp;"("&amp;SUBSTITUTE($E1769," ","")&amp;")")</f>
        <v/>
      </c>
      <c r="R1769">
        <f>IF($A1769="","",$B1769&amp;" - "&amp;$C1769)</f>
        <v/>
      </c>
      <c r="S1769">
        <f>IF($A1769="","",$R1769&amp;"|"&amp;$Q1769)</f>
        <v/>
      </c>
      <c r="T1769">
        <f>IF($A1769="","",$S1769&amp;"|"&amp;$F1769)</f>
        <v/>
      </c>
      <c r="U1769">
        <f>IF($A1769="","",$R1769&amp;"("&amp;$E1769&amp;")")</f>
        <v/>
      </c>
      <c r="V1769">
        <f>IF($A1769="","",$F1769&amp;"|"&amp;$U1769&amp;"|"&amp;$D1769)</f>
        <v/>
      </c>
      <c r="W1769">
        <f>IF($T1769="","",IF($X1769&gt;N($X1768),$X1769,""))</f>
        <v/>
      </c>
      <c r="X1769">
        <f>IF($T1769="",N($X1768),IF(MATCH($T1769,$T$6:$T$6005,0)=ROW()-5,N($X1768)+1,N($X1768)))</f>
        <v/>
      </c>
      <c r="Z1769">
        <f>IF($V1769="","",IF($AA1769&gt;N($AA1768),$AA1769,""))</f>
        <v/>
      </c>
      <c r="AA1769">
        <f>IF($V1769="",N($AA1768),IF(MATCH($V1769,$V$6:$V$6005,0)=ROW()-5,N($AA1768)+1,N($AA1768)))</f>
        <v/>
      </c>
    </row>
    <row r="1770" ht="21" customHeight="1" s="66">
      <c r="A1770" s="56" t="n"/>
      <c r="B1770" s="57" t="n"/>
      <c r="C1770" s="57" t="n"/>
      <c r="D1770" s="57" t="n"/>
      <c r="E1770" s="56" t="n"/>
      <c r="F1770" s="57" t="n"/>
      <c r="G1770" s="57" t="n"/>
      <c r="H1770" s="56" t="n"/>
      <c r="I1770" s="56" t="n"/>
      <c r="J1770" s="58" t="n"/>
      <c r="K1770" s="58" t="n"/>
      <c r="L1770" s="13">
        <f>IF(OR($A1770="",AND($J1770="",$K1770="")),"",ROUND(N($J1770)-N($K1770),2))</f>
        <v/>
      </c>
      <c r="M1770" s="13">
        <f>IF(OR($A1770="",AND($J1770="",$K1770="")),"",MIN($J1770,$K1770))</f>
        <v/>
      </c>
      <c r="Q1770">
        <f>IF($A1770="","",$D1770&amp;"("&amp;SUBSTITUTE($E1770," ","")&amp;")")</f>
        <v/>
      </c>
      <c r="R1770">
        <f>IF($A1770="","",$B1770&amp;" - "&amp;$C1770)</f>
        <v/>
      </c>
      <c r="S1770">
        <f>IF($A1770="","",$R1770&amp;"|"&amp;$Q1770)</f>
        <v/>
      </c>
      <c r="T1770">
        <f>IF($A1770="","",$S1770&amp;"|"&amp;$F1770)</f>
        <v/>
      </c>
      <c r="U1770">
        <f>IF($A1770="","",$R1770&amp;"("&amp;$E1770&amp;")")</f>
        <v/>
      </c>
      <c r="V1770">
        <f>IF($A1770="","",$F1770&amp;"|"&amp;$U1770&amp;"|"&amp;$D1770)</f>
        <v/>
      </c>
      <c r="W1770">
        <f>IF($T1770="","",IF($X1770&gt;N($X1769),$X1770,""))</f>
        <v/>
      </c>
      <c r="X1770">
        <f>IF($T1770="",N($X1769),IF(MATCH($T1770,$T$6:$T$6005,0)=ROW()-5,N($X1769)+1,N($X1769)))</f>
        <v/>
      </c>
      <c r="Z1770">
        <f>IF($V1770="","",IF($AA1770&gt;N($AA1769),$AA1770,""))</f>
        <v/>
      </c>
      <c r="AA1770">
        <f>IF($V1770="",N($AA1769),IF(MATCH($V1770,$V$6:$V$6005,0)=ROW()-5,N($AA1769)+1,N($AA1769)))</f>
        <v/>
      </c>
    </row>
    <row r="1771" ht="21" customHeight="1" s="66">
      <c r="A1771" s="56" t="n"/>
      <c r="B1771" s="57" t="n"/>
      <c r="C1771" s="57" t="n"/>
      <c r="D1771" s="57" t="n"/>
      <c r="E1771" s="56" t="n"/>
      <c r="F1771" s="57" t="n"/>
      <c r="G1771" s="57" t="n"/>
      <c r="H1771" s="56" t="n"/>
      <c r="I1771" s="56" t="n"/>
      <c r="J1771" s="58" t="n"/>
      <c r="K1771" s="58" t="n"/>
      <c r="L1771" s="13">
        <f>IF(OR($A1771="",AND($J1771="",$K1771="")),"",ROUND(N($J1771)-N($K1771),2))</f>
        <v/>
      </c>
      <c r="M1771" s="13">
        <f>IF(OR($A1771="",AND($J1771="",$K1771="")),"",MIN($J1771,$K1771))</f>
        <v/>
      </c>
      <c r="Q1771">
        <f>IF($A1771="","",$D1771&amp;"("&amp;SUBSTITUTE($E1771," ","")&amp;")")</f>
        <v/>
      </c>
      <c r="R1771">
        <f>IF($A1771="","",$B1771&amp;" - "&amp;$C1771)</f>
        <v/>
      </c>
      <c r="S1771">
        <f>IF($A1771="","",$R1771&amp;"|"&amp;$Q1771)</f>
        <v/>
      </c>
      <c r="T1771">
        <f>IF($A1771="","",$S1771&amp;"|"&amp;$F1771)</f>
        <v/>
      </c>
      <c r="U1771">
        <f>IF($A1771="","",$R1771&amp;"("&amp;$E1771&amp;")")</f>
        <v/>
      </c>
      <c r="V1771">
        <f>IF($A1771="","",$F1771&amp;"|"&amp;$U1771&amp;"|"&amp;$D1771)</f>
        <v/>
      </c>
      <c r="W1771">
        <f>IF($T1771="","",IF($X1771&gt;N($X1770),$X1771,""))</f>
        <v/>
      </c>
      <c r="X1771">
        <f>IF($T1771="",N($X1770),IF(MATCH($T1771,$T$6:$T$6005,0)=ROW()-5,N($X1770)+1,N($X1770)))</f>
        <v/>
      </c>
      <c r="Z1771">
        <f>IF($V1771="","",IF($AA1771&gt;N($AA1770),$AA1771,""))</f>
        <v/>
      </c>
      <c r="AA1771">
        <f>IF($V1771="",N($AA1770),IF(MATCH($V1771,$V$6:$V$6005,0)=ROW()-5,N($AA1770)+1,N($AA1770)))</f>
        <v/>
      </c>
    </row>
    <row r="1772" ht="21" customHeight="1" s="66">
      <c r="A1772" s="56" t="n"/>
      <c r="B1772" s="57" t="n"/>
      <c r="C1772" s="57" t="n"/>
      <c r="D1772" s="57" t="n"/>
      <c r="E1772" s="56" t="n"/>
      <c r="F1772" s="57" t="n"/>
      <c r="G1772" s="57" t="n"/>
      <c r="H1772" s="56" t="n"/>
      <c r="I1772" s="56" t="n"/>
      <c r="J1772" s="58" t="n"/>
      <c r="K1772" s="58" t="n"/>
      <c r="L1772" s="13">
        <f>IF(OR($A1772="",AND($J1772="",$K1772="")),"",ROUND(N($J1772)-N($K1772),2))</f>
        <v/>
      </c>
      <c r="M1772" s="13">
        <f>IF(OR($A1772="",AND($J1772="",$K1772="")),"",MIN($J1772,$K1772))</f>
        <v/>
      </c>
      <c r="Q1772">
        <f>IF($A1772="","",$D1772&amp;"("&amp;SUBSTITUTE($E1772," ","")&amp;")")</f>
        <v/>
      </c>
      <c r="R1772">
        <f>IF($A1772="","",$B1772&amp;" - "&amp;$C1772)</f>
        <v/>
      </c>
      <c r="S1772">
        <f>IF($A1772="","",$R1772&amp;"|"&amp;$Q1772)</f>
        <v/>
      </c>
      <c r="T1772">
        <f>IF($A1772="","",$S1772&amp;"|"&amp;$F1772)</f>
        <v/>
      </c>
      <c r="U1772">
        <f>IF($A1772="","",$R1772&amp;"("&amp;$E1772&amp;")")</f>
        <v/>
      </c>
      <c r="V1772">
        <f>IF($A1772="","",$F1772&amp;"|"&amp;$U1772&amp;"|"&amp;$D1772)</f>
        <v/>
      </c>
      <c r="W1772">
        <f>IF($T1772="","",IF($X1772&gt;N($X1771),$X1772,""))</f>
        <v/>
      </c>
      <c r="X1772">
        <f>IF($T1772="",N($X1771),IF(MATCH($T1772,$T$6:$T$6005,0)=ROW()-5,N($X1771)+1,N($X1771)))</f>
        <v/>
      </c>
      <c r="Z1772">
        <f>IF($V1772="","",IF($AA1772&gt;N($AA1771),$AA1772,""))</f>
        <v/>
      </c>
      <c r="AA1772">
        <f>IF($V1772="",N($AA1771),IF(MATCH($V1772,$V$6:$V$6005,0)=ROW()-5,N($AA1771)+1,N($AA1771)))</f>
        <v/>
      </c>
    </row>
    <row r="1773" ht="21" customHeight="1" s="66">
      <c r="A1773" s="56" t="n"/>
      <c r="B1773" s="57" t="n"/>
      <c r="C1773" s="57" t="n"/>
      <c r="D1773" s="57" t="n"/>
      <c r="E1773" s="56" t="n"/>
      <c r="F1773" s="57" t="n"/>
      <c r="G1773" s="57" t="n"/>
      <c r="H1773" s="56" t="n"/>
      <c r="I1773" s="56" t="n"/>
      <c r="J1773" s="58" t="n"/>
      <c r="K1773" s="58" t="n"/>
      <c r="L1773" s="13">
        <f>IF(OR($A1773="",AND($J1773="",$K1773="")),"",ROUND(N($J1773)-N($K1773),2))</f>
        <v/>
      </c>
      <c r="M1773" s="13">
        <f>IF(OR($A1773="",AND($J1773="",$K1773="")),"",MIN($J1773,$K1773))</f>
        <v/>
      </c>
      <c r="Q1773">
        <f>IF($A1773="","",$D1773&amp;"("&amp;SUBSTITUTE($E1773," ","")&amp;")")</f>
        <v/>
      </c>
      <c r="R1773">
        <f>IF($A1773="","",$B1773&amp;" - "&amp;$C1773)</f>
        <v/>
      </c>
      <c r="S1773">
        <f>IF($A1773="","",$R1773&amp;"|"&amp;$Q1773)</f>
        <v/>
      </c>
      <c r="T1773">
        <f>IF($A1773="","",$S1773&amp;"|"&amp;$F1773)</f>
        <v/>
      </c>
      <c r="U1773">
        <f>IF($A1773="","",$R1773&amp;"("&amp;$E1773&amp;")")</f>
        <v/>
      </c>
      <c r="V1773">
        <f>IF($A1773="","",$F1773&amp;"|"&amp;$U1773&amp;"|"&amp;$D1773)</f>
        <v/>
      </c>
      <c r="W1773">
        <f>IF($T1773="","",IF($X1773&gt;N($X1772),$X1773,""))</f>
        <v/>
      </c>
      <c r="X1773">
        <f>IF($T1773="",N($X1772),IF(MATCH($T1773,$T$6:$T$6005,0)=ROW()-5,N($X1772)+1,N($X1772)))</f>
        <v/>
      </c>
      <c r="Z1773">
        <f>IF($V1773="","",IF($AA1773&gt;N($AA1772),$AA1773,""))</f>
        <v/>
      </c>
      <c r="AA1773">
        <f>IF($V1773="",N($AA1772),IF(MATCH($V1773,$V$6:$V$6005,0)=ROW()-5,N($AA1772)+1,N($AA1772)))</f>
        <v/>
      </c>
    </row>
    <row r="1774" ht="21" customHeight="1" s="66">
      <c r="A1774" s="56" t="n"/>
      <c r="B1774" s="57" t="n"/>
      <c r="C1774" s="57" t="n"/>
      <c r="D1774" s="57" t="n"/>
      <c r="E1774" s="56" t="n"/>
      <c r="F1774" s="57" t="n"/>
      <c r="G1774" s="57" t="n"/>
      <c r="H1774" s="56" t="n"/>
      <c r="I1774" s="56" t="n"/>
      <c r="J1774" s="58" t="n"/>
      <c r="K1774" s="58" t="n"/>
      <c r="L1774" s="13">
        <f>IF(OR($A1774="",AND($J1774="",$K1774="")),"",ROUND(N($J1774)-N($K1774),2))</f>
        <v/>
      </c>
      <c r="M1774" s="13">
        <f>IF(OR($A1774="",AND($J1774="",$K1774="")),"",MIN($J1774,$K1774))</f>
        <v/>
      </c>
      <c r="Q1774">
        <f>IF($A1774="","",$D1774&amp;"("&amp;SUBSTITUTE($E1774," ","")&amp;")")</f>
        <v/>
      </c>
      <c r="R1774">
        <f>IF($A1774="","",$B1774&amp;" - "&amp;$C1774)</f>
        <v/>
      </c>
      <c r="S1774">
        <f>IF($A1774="","",$R1774&amp;"|"&amp;$Q1774)</f>
        <v/>
      </c>
      <c r="T1774">
        <f>IF($A1774="","",$S1774&amp;"|"&amp;$F1774)</f>
        <v/>
      </c>
      <c r="U1774">
        <f>IF($A1774="","",$R1774&amp;"("&amp;$E1774&amp;")")</f>
        <v/>
      </c>
      <c r="V1774">
        <f>IF($A1774="","",$F1774&amp;"|"&amp;$U1774&amp;"|"&amp;$D1774)</f>
        <v/>
      </c>
      <c r="W1774">
        <f>IF($T1774="","",IF($X1774&gt;N($X1773),$X1774,""))</f>
        <v/>
      </c>
      <c r="X1774">
        <f>IF($T1774="",N($X1773),IF(MATCH($T1774,$T$6:$T$6005,0)=ROW()-5,N($X1773)+1,N($X1773)))</f>
        <v/>
      </c>
      <c r="Z1774">
        <f>IF($V1774="","",IF($AA1774&gt;N($AA1773),$AA1774,""))</f>
        <v/>
      </c>
      <c r="AA1774">
        <f>IF($V1774="",N($AA1773),IF(MATCH($V1774,$V$6:$V$6005,0)=ROW()-5,N($AA1773)+1,N($AA1773)))</f>
        <v/>
      </c>
    </row>
    <row r="1775" ht="21" customHeight="1" s="66">
      <c r="A1775" s="56" t="n"/>
      <c r="B1775" s="57" t="n"/>
      <c r="C1775" s="57" t="n"/>
      <c r="D1775" s="57" t="n"/>
      <c r="E1775" s="56" t="n"/>
      <c r="F1775" s="57" t="n"/>
      <c r="G1775" s="57" t="n"/>
      <c r="H1775" s="56" t="n"/>
      <c r="I1775" s="56" t="n"/>
      <c r="J1775" s="58" t="n"/>
      <c r="K1775" s="58" t="n"/>
      <c r="L1775" s="13">
        <f>IF(OR($A1775="",AND($J1775="",$K1775="")),"",ROUND(N($J1775)-N($K1775),2))</f>
        <v/>
      </c>
      <c r="M1775" s="13">
        <f>IF(OR($A1775="",AND($J1775="",$K1775="")),"",MIN($J1775,$K1775))</f>
        <v/>
      </c>
      <c r="Q1775">
        <f>IF($A1775="","",$D1775&amp;"("&amp;SUBSTITUTE($E1775," ","")&amp;")")</f>
        <v/>
      </c>
      <c r="R1775">
        <f>IF($A1775="","",$B1775&amp;" - "&amp;$C1775)</f>
        <v/>
      </c>
      <c r="S1775">
        <f>IF($A1775="","",$R1775&amp;"|"&amp;$Q1775)</f>
        <v/>
      </c>
      <c r="T1775">
        <f>IF($A1775="","",$S1775&amp;"|"&amp;$F1775)</f>
        <v/>
      </c>
      <c r="U1775">
        <f>IF($A1775="","",$R1775&amp;"("&amp;$E1775&amp;")")</f>
        <v/>
      </c>
      <c r="V1775">
        <f>IF($A1775="","",$F1775&amp;"|"&amp;$U1775&amp;"|"&amp;$D1775)</f>
        <v/>
      </c>
      <c r="W1775">
        <f>IF($T1775="","",IF($X1775&gt;N($X1774),$X1775,""))</f>
        <v/>
      </c>
      <c r="X1775">
        <f>IF($T1775="",N($X1774),IF(MATCH($T1775,$T$6:$T$6005,0)=ROW()-5,N($X1774)+1,N($X1774)))</f>
        <v/>
      </c>
      <c r="Z1775">
        <f>IF($V1775="","",IF($AA1775&gt;N($AA1774),$AA1775,""))</f>
        <v/>
      </c>
      <c r="AA1775">
        <f>IF($V1775="",N($AA1774),IF(MATCH($V1775,$V$6:$V$6005,0)=ROW()-5,N($AA1774)+1,N($AA1774)))</f>
        <v/>
      </c>
    </row>
    <row r="1776" ht="21" customHeight="1" s="66">
      <c r="A1776" s="56" t="n"/>
      <c r="B1776" s="57" t="n"/>
      <c r="C1776" s="57" t="n"/>
      <c r="D1776" s="57" t="n"/>
      <c r="E1776" s="56" t="n"/>
      <c r="F1776" s="57" t="n"/>
      <c r="G1776" s="57" t="n"/>
      <c r="H1776" s="56" t="n"/>
      <c r="I1776" s="56" t="n"/>
      <c r="J1776" s="58" t="n"/>
      <c r="K1776" s="58" t="n"/>
      <c r="L1776" s="13">
        <f>IF(OR($A1776="",AND($J1776="",$K1776="")),"",ROUND(N($J1776)-N($K1776),2))</f>
        <v/>
      </c>
      <c r="M1776" s="13">
        <f>IF(OR($A1776="",AND($J1776="",$K1776="")),"",MIN($J1776,$K1776))</f>
        <v/>
      </c>
      <c r="Q1776">
        <f>IF($A1776="","",$D1776&amp;"("&amp;SUBSTITUTE($E1776," ","")&amp;")")</f>
        <v/>
      </c>
      <c r="R1776">
        <f>IF($A1776="","",$B1776&amp;" - "&amp;$C1776)</f>
        <v/>
      </c>
      <c r="S1776">
        <f>IF($A1776="","",$R1776&amp;"|"&amp;$Q1776)</f>
        <v/>
      </c>
      <c r="T1776">
        <f>IF($A1776="","",$S1776&amp;"|"&amp;$F1776)</f>
        <v/>
      </c>
      <c r="U1776">
        <f>IF($A1776="","",$R1776&amp;"("&amp;$E1776&amp;")")</f>
        <v/>
      </c>
      <c r="V1776">
        <f>IF($A1776="","",$F1776&amp;"|"&amp;$U1776&amp;"|"&amp;$D1776)</f>
        <v/>
      </c>
      <c r="W1776">
        <f>IF($T1776="","",IF($X1776&gt;N($X1775),$X1776,""))</f>
        <v/>
      </c>
      <c r="X1776">
        <f>IF($T1776="",N($X1775),IF(MATCH($T1776,$T$6:$T$6005,0)=ROW()-5,N($X1775)+1,N($X1775)))</f>
        <v/>
      </c>
      <c r="Z1776">
        <f>IF($V1776="","",IF($AA1776&gt;N($AA1775),$AA1776,""))</f>
        <v/>
      </c>
      <c r="AA1776">
        <f>IF($V1776="",N($AA1775),IF(MATCH($V1776,$V$6:$V$6005,0)=ROW()-5,N($AA1775)+1,N($AA1775)))</f>
        <v/>
      </c>
    </row>
    <row r="1777" ht="21" customHeight="1" s="66">
      <c r="A1777" s="56" t="n"/>
      <c r="B1777" s="57" t="n"/>
      <c r="C1777" s="57" t="n"/>
      <c r="D1777" s="57" t="n"/>
      <c r="E1777" s="56" t="n"/>
      <c r="F1777" s="57" t="n"/>
      <c r="G1777" s="57" t="n"/>
      <c r="H1777" s="56" t="n"/>
      <c r="I1777" s="56" t="n"/>
      <c r="J1777" s="58" t="n"/>
      <c r="K1777" s="58" t="n"/>
      <c r="L1777" s="13">
        <f>IF(OR($A1777="",AND($J1777="",$K1777="")),"",ROUND(N($J1777)-N($K1777),2))</f>
        <v/>
      </c>
      <c r="M1777" s="13">
        <f>IF(OR($A1777="",AND($J1777="",$K1777="")),"",MIN($J1777,$K1777))</f>
        <v/>
      </c>
      <c r="Q1777">
        <f>IF($A1777="","",$D1777&amp;"("&amp;SUBSTITUTE($E1777," ","")&amp;")")</f>
        <v/>
      </c>
      <c r="R1777">
        <f>IF($A1777="","",$B1777&amp;" - "&amp;$C1777)</f>
        <v/>
      </c>
      <c r="S1777">
        <f>IF($A1777="","",$R1777&amp;"|"&amp;$Q1777)</f>
        <v/>
      </c>
      <c r="T1777">
        <f>IF($A1777="","",$S1777&amp;"|"&amp;$F1777)</f>
        <v/>
      </c>
      <c r="U1777">
        <f>IF($A1777="","",$R1777&amp;"("&amp;$E1777&amp;")")</f>
        <v/>
      </c>
      <c r="V1777">
        <f>IF($A1777="","",$F1777&amp;"|"&amp;$U1777&amp;"|"&amp;$D1777)</f>
        <v/>
      </c>
      <c r="W1777">
        <f>IF($T1777="","",IF($X1777&gt;N($X1776),$X1777,""))</f>
        <v/>
      </c>
      <c r="X1777">
        <f>IF($T1777="",N($X1776),IF(MATCH($T1777,$T$6:$T$6005,0)=ROW()-5,N($X1776)+1,N($X1776)))</f>
        <v/>
      </c>
      <c r="Z1777">
        <f>IF($V1777="","",IF($AA1777&gt;N($AA1776),$AA1777,""))</f>
        <v/>
      </c>
      <c r="AA1777">
        <f>IF($V1777="",N($AA1776),IF(MATCH($V1777,$V$6:$V$6005,0)=ROW()-5,N($AA1776)+1,N($AA1776)))</f>
        <v/>
      </c>
    </row>
    <row r="1778" ht="21" customHeight="1" s="66">
      <c r="A1778" s="56" t="n"/>
      <c r="B1778" s="57" t="n"/>
      <c r="C1778" s="57" t="n"/>
      <c r="D1778" s="57" t="n"/>
      <c r="E1778" s="56" t="n"/>
      <c r="F1778" s="57" t="n"/>
      <c r="G1778" s="57" t="n"/>
      <c r="H1778" s="56" t="n"/>
      <c r="I1778" s="56" t="n"/>
      <c r="J1778" s="58" t="n"/>
      <c r="K1778" s="58" t="n"/>
      <c r="L1778" s="13">
        <f>IF(OR($A1778="",AND($J1778="",$K1778="")),"",ROUND(N($J1778)-N($K1778),2))</f>
        <v/>
      </c>
      <c r="M1778" s="13">
        <f>IF(OR($A1778="",AND($J1778="",$K1778="")),"",MIN($J1778,$K1778))</f>
        <v/>
      </c>
      <c r="Q1778">
        <f>IF($A1778="","",$D1778&amp;"("&amp;SUBSTITUTE($E1778," ","")&amp;")")</f>
        <v/>
      </c>
      <c r="R1778">
        <f>IF($A1778="","",$B1778&amp;" - "&amp;$C1778)</f>
        <v/>
      </c>
      <c r="S1778">
        <f>IF($A1778="","",$R1778&amp;"|"&amp;$Q1778)</f>
        <v/>
      </c>
      <c r="T1778">
        <f>IF($A1778="","",$S1778&amp;"|"&amp;$F1778)</f>
        <v/>
      </c>
      <c r="U1778">
        <f>IF($A1778="","",$R1778&amp;"("&amp;$E1778&amp;")")</f>
        <v/>
      </c>
      <c r="V1778">
        <f>IF($A1778="","",$F1778&amp;"|"&amp;$U1778&amp;"|"&amp;$D1778)</f>
        <v/>
      </c>
      <c r="W1778">
        <f>IF($T1778="","",IF($X1778&gt;N($X1777),$X1778,""))</f>
        <v/>
      </c>
      <c r="X1778">
        <f>IF($T1778="",N($X1777),IF(MATCH($T1778,$T$6:$T$6005,0)=ROW()-5,N($X1777)+1,N($X1777)))</f>
        <v/>
      </c>
      <c r="Z1778">
        <f>IF($V1778="","",IF($AA1778&gt;N($AA1777),$AA1778,""))</f>
        <v/>
      </c>
      <c r="AA1778">
        <f>IF($V1778="",N($AA1777),IF(MATCH($V1778,$V$6:$V$6005,0)=ROW()-5,N($AA1777)+1,N($AA1777)))</f>
        <v/>
      </c>
    </row>
    <row r="1779" ht="21" customHeight="1" s="66">
      <c r="A1779" s="56" t="n"/>
      <c r="B1779" s="57" t="n"/>
      <c r="C1779" s="57" t="n"/>
      <c r="D1779" s="57" t="n"/>
      <c r="E1779" s="56" t="n"/>
      <c r="F1779" s="57" t="n"/>
      <c r="G1779" s="57" t="n"/>
      <c r="H1779" s="56" t="n"/>
      <c r="I1779" s="56" t="n"/>
      <c r="J1779" s="58" t="n"/>
      <c r="K1779" s="58" t="n"/>
      <c r="L1779" s="13">
        <f>IF(OR($A1779="",AND($J1779="",$K1779="")),"",ROUND(N($J1779)-N($K1779),2))</f>
        <v/>
      </c>
      <c r="M1779" s="13">
        <f>IF(OR($A1779="",AND($J1779="",$K1779="")),"",MIN($J1779,$K1779))</f>
        <v/>
      </c>
      <c r="Q1779">
        <f>IF($A1779="","",$D1779&amp;"("&amp;SUBSTITUTE($E1779," ","")&amp;")")</f>
        <v/>
      </c>
      <c r="R1779">
        <f>IF($A1779="","",$B1779&amp;" - "&amp;$C1779)</f>
        <v/>
      </c>
      <c r="S1779">
        <f>IF($A1779="","",$R1779&amp;"|"&amp;$Q1779)</f>
        <v/>
      </c>
      <c r="T1779">
        <f>IF($A1779="","",$S1779&amp;"|"&amp;$F1779)</f>
        <v/>
      </c>
      <c r="U1779">
        <f>IF($A1779="","",$R1779&amp;"("&amp;$E1779&amp;")")</f>
        <v/>
      </c>
      <c r="V1779">
        <f>IF($A1779="","",$F1779&amp;"|"&amp;$U1779&amp;"|"&amp;$D1779)</f>
        <v/>
      </c>
      <c r="W1779">
        <f>IF($T1779="","",IF($X1779&gt;N($X1778),$X1779,""))</f>
        <v/>
      </c>
      <c r="X1779">
        <f>IF($T1779="",N($X1778),IF(MATCH($T1779,$T$6:$T$6005,0)=ROW()-5,N($X1778)+1,N($X1778)))</f>
        <v/>
      </c>
      <c r="Z1779">
        <f>IF($V1779="","",IF($AA1779&gt;N($AA1778),$AA1779,""))</f>
        <v/>
      </c>
      <c r="AA1779">
        <f>IF($V1779="",N($AA1778),IF(MATCH($V1779,$V$6:$V$6005,0)=ROW()-5,N($AA1778)+1,N($AA1778)))</f>
        <v/>
      </c>
    </row>
    <row r="1780" ht="21" customHeight="1" s="66">
      <c r="A1780" s="56" t="n"/>
      <c r="B1780" s="57" t="n"/>
      <c r="C1780" s="57" t="n"/>
      <c r="D1780" s="57" t="n"/>
      <c r="E1780" s="56" t="n"/>
      <c r="F1780" s="57" t="n"/>
      <c r="G1780" s="57" t="n"/>
      <c r="H1780" s="56" t="n"/>
      <c r="I1780" s="56" t="n"/>
      <c r="J1780" s="58" t="n"/>
      <c r="K1780" s="58" t="n"/>
      <c r="L1780" s="13">
        <f>IF(OR($A1780="",AND($J1780="",$K1780="")),"",ROUND(N($J1780)-N($K1780),2))</f>
        <v/>
      </c>
      <c r="M1780" s="13">
        <f>IF(OR($A1780="",AND($J1780="",$K1780="")),"",MIN($J1780,$K1780))</f>
        <v/>
      </c>
      <c r="Q1780">
        <f>IF($A1780="","",$D1780&amp;"("&amp;SUBSTITUTE($E1780," ","")&amp;")")</f>
        <v/>
      </c>
      <c r="R1780">
        <f>IF($A1780="","",$B1780&amp;" - "&amp;$C1780)</f>
        <v/>
      </c>
      <c r="S1780">
        <f>IF($A1780="","",$R1780&amp;"|"&amp;$Q1780)</f>
        <v/>
      </c>
      <c r="T1780">
        <f>IF($A1780="","",$S1780&amp;"|"&amp;$F1780)</f>
        <v/>
      </c>
      <c r="U1780">
        <f>IF($A1780="","",$R1780&amp;"("&amp;$E1780&amp;")")</f>
        <v/>
      </c>
      <c r="V1780">
        <f>IF($A1780="","",$F1780&amp;"|"&amp;$U1780&amp;"|"&amp;$D1780)</f>
        <v/>
      </c>
      <c r="W1780">
        <f>IF($T1780="","",IF($X1780&gt;N($X1779),$X1780,""))</f>
        <v/>
      </c>
      <c r="X1780">
        <f>IF($T1780="",N($X1779),IF(MATCH($T1780,$T$6:$T$6005,0)=ROW()-5,N($X1779)+1,N($X1779)))</f>
        <v/>
      </c>
      <c r="Z1780">
        <f>IF($V1780="","",IF($AA1780&gt;N($AA1779),$AA1780,""))</f>
        <v/>
      </c>
      <c r="AA1780">
        <f>IF($V1780="",N($AA1779),IF(MATCH($V1780,$V$6:$V$6005,0)=ROW()-5,N($AA1779)+1,N($AA1779)))</f>
        <v/>
      </c>
    </row>
    <row r="1781" ht="21" customHeight="1" s="66">
      <c r="A1781" s="56" t="n"/>
      <c r="B1781" s="57" t="n"/>
      <c r="C1781" s="57" t="n"/>
      <c r="D1781" s="57" t="n"/>
      <c r="E1781" s="56" t="n"/>
      <c r="F1781" s="57" t="n"/>
      <c r="G1781" s="57" t="n"/>
      <c r="H1781" s="56" t="n"/>
      <c r="I1781" s="56" t="n"/>
      <c r="J1781" s="58" t="n"/>
      <c r="K1781" s="58" t="n"/>
      <c r="L1781" s="13">
        <f>IF(OR($A1781="",AND($J1781="",$K1781="")),"",ROUND(N($J1781)-N($K1781),2))</f>
        <v/>
      </c>
      <c r="M1781" s="13">
        <f>IF(OR($A1781="",AND($J1781="",$K1781="")),"",MIN($J1781,$K1781))</f>
        <v/>
      </c>
      <c r="Q1781">
        <f>IF($A1781="","",$D1781&amp;"("&amp;SUBSTITUTE($E1781," ","")&amp;")")</f>
        <v/>
      </c>
      <c r="R1781">
        <f>IF($A1781="","",$B1781&amp;" - "&amp;$C1781)</f>
        <v/>
      </c>
      <c r="S1781">
        <f>IF($A1781="","",$R1781&amp;"|"&amp;$Q1781)</f>
        <v/>
      </c>
      <c r="T1781">
        <f>IF($A1781="","",$S1781&amp;"|"&amp;$F1781)</f>
        <v/>
      </c>
      <c r="U1781">
        <f>IF($A1781="","",$R1781&amp;"("&amp;$E1781&amp;")")</f>
        <v/>
      </c>
      <c r="V1781">
        <f>IF($A1781="","",$F1781&amp;"|"&amp;$U1781&amp;"|"&amp;$D1781)</f>
        <v/>
      </c>
      <c r="W1781">
        <f>IF($T1781="","",IF($X1781&gt;N($X1780),$X1781,""))</f>
        <v/>
      </c>
      <c r="X1781">
        <f>IF($T1781="",N($X1780),IF(MATCH($T1781,$T$6:$T$6005,0)=ROW()-5,N($X1780)+1,N($X1780)))</f>
        <v/>
      </c>
      <c r="Z1781">
        <f>IF($V1781="","",IF($AA1781&gt;N($AA1780),$AA1781,""))</f>
        <v/>
      </c>
      <c r="AA1781">
        <f>IF($V1781="",N($AA1780),IF(MATCH($V1781,$V$6:$V$6005,0)=ROW()-5,N($AA1780)+1,N($AA1780)))</f>
        <v/>
      </c>
    </row>
    <row r="1782" ht="21" customHeight="1" s="66">
      <c r="A1782" s="56" t="n"/>
      <c r="B1782" s="57" t="n"/>
      <c r="C1782" s="57" t="n"/>
      <c r="D1782" s="57" t="n"/>
      <c r="E1782" s="56" t="n"/>
      <c r="F1782" s="57" t="n"/>
      <c r="G1782" s="57" t="n"/>
      <c r="H1782" s="56" t="n"/>
      <c r="I1782" s="56" t="n"/>
      <c r="J1782" s="58" t="n"/>
      <c r="K1782" s="58" t="n"/>
      <c r="L1782" s="13">
        <f>IF(OR($A1782="",AND($J1782="",$K1782="")),"",ROUND(N($J1782)-N($K1782),2))</f>
        <v/>
      </c>
      <c r="M1782" s="13">
        <f>IF(OR($A1782="",AND($J1782="",$K1782="")),"",MIN($J1782,$K1782))</f>
        <v/>
      </c>
      <c r="Q1782">
        <f>IF($A1782="","",$D1782&amp;"("&amp;SUBSTITUTE($E1782," ","")&amp;")")</f>
        <v/>
      </c>
      <c r="R1782">
        <f>IF($A1782="","",$B1782&amp;" - "&amp;$C1782)</f>
        <v/>
      </c>
      <c r="S1782">
        <f>IF($A1782="","",$R1782&amp;"|"&amp;$Q1782)</f>
        <v/>
      </c>
      <c r="T1782">
        <f>IF($A1782="","",$S1782&amp;"|"&amp;$F1782)</f>
        <v/>
      </c>
      <c r="U1782">
        <f>IF($A1782="","",$R1782&amp;"("&amp;$E1782&amp;")")</f>
        <v/>
      </c>
      <c r="V1782">
        <f>IF($A1782="","",$F1782&amp;"|"&amp;$U1782&amp;"|"&amp;$D1782)</f>
        <v/>
      </c>
      <c r="W1782">
        <f>IF($T1782="","",IF($X1782&gt;N($X1781),$X1782,""))</f>
        <v/>
      </c>
      <c r="X1782">
        <f>IF($T1782="",N($X1781),IF(MATCH($T1782,$T$6:$T$6005,0)=ROW()-5,N($X1781)+1,N($X1781)))</f>
        <v/>
      </c>
      <c r="Z1782">
        <f>IF($V1782="","",IF($AA1782&gt;N($AA1781),$AA1782,""))</f>
        <v/>
      </c>
      <c r="AA1782">
        <f>IF($V1782="",N($AA1781),IF(MATCH($V1782,$V$6:$V$6005,0)=ROW()-5,N($AA1781)+1,N($AA1781)))</f>
        <v/>
      </c>
    </row>
    <row r="1783" ht="21" customHeight="1" s="66">
      <c r="A1783" s="56" t="n"/>
      <c r="B1783" s="57" t="n"/>
      <c r="C1783" s="57" t="n"/>
      <c r="D1783" s="57" t="n"/>
      <c r="E1783" s="56" t="n"/>
      <c r="F1783" s="57" t="n"/>
      <c r="G1783" s="57" t="n"/>
      <c r="H1783" s="56" t="n"/>
      <c r="I1783" s="56" t="n"/>
      <c r="J1783" s="58" t="n"/>
      <c r="K1783" s="58" t="n"/>
      <c r="L1783" s="13">
        <f>IF(OR($A1783="",AND($J1783="",$K1783="")),"",ROUND(N($J1783)-N($K1783),2))</f>
        <v/>
      </c>
      <c r="M1783" s="13">
        <f>IF(OR($A1783="",AND($J1783="",$K1783="")),"",MIN($J1783,$K1783))</f>
        <v/>
      </c>
      <c r="Q1783">
        <f>IF($A1783="","",$D1783&amp;"("&amp;SUBSTITUTE($E1783," ","")&amp;")")</f>
        <v/>
      </c>
      <c r="R1783">
        <f>IF($A1783="","",$B1783&amp;" - "&amp;$C1783)</f>
        <v/>
      </c>
      <c r="S1783">
        <f>IF($A1783="","",$R1783&amp;"|"&amp;$Q1783)</f>
        <v/>
      </c>
      <c r="T1783">
        <f>IF($A1783="","",$S1783&amp;"|"&amp;$F1783)</f>
        <v/>
      </c>
      <c r="U1783">
        <f>IF($A1783="","",$R1783&amp;"("&amp;$E1783&amp;")")</f>
        <v/>
      </c>
      <c r="V1783">
        <f>IF($A1783="","",$F1783&amp;"|"&amp;$U1783&amp;"|"&amp;$D1783)</f>
        <v/>
      </c>
      <c r="W1783">
        <f>IF($T1783="","",IF($X1783&gt;N($X1782),$X1783,""))</f>
        <v/>
      </c>
      <c r="X1783">
        <f>IF($T1783="",N($X1782),IF(MATCH($T1783,$T$6:$T$6005,0)=ROW()-5,N($X1782)+1,N($X1782)))</f>
        <v/>
      </c>
      <c r="Z1783">
        <f>IF($V1783="","",IF($AA1783&gt;N($AA1782),$AA1783,""))</f>
        <v/>
      </c>
      <c r="AA1783">
        <f>IF($V1783="",N($AA1782),IF(MATCH($V1783,$V$6:$V$6005,0)=ROW()-5,N($AA1782)+1,N($AA1782)))</f>
        <v/>
      </c>
    </row>
    <row r="1784" ht="21" customHeight="1" s="66">
      <c r="A1784" s="56" t="n"/>
      <c r="B1784" s="57" t="n"/>
      <c r="C1784" s="57" t="n"/>
      <c r="D1784" s="57" t="n"/>
      <c r="E1784" s="56" t="n"/>
      <c r="F1784" s="57" t="n"/>
      <c r="G1784" s="57" t="n"/>
      <c r="H1784" s="56" t="n"/>
      <c r="I1784" s="56" t="n"/>
      <c r="J1784" s="58" t="n"/>
      <c r="K1784" s="58" t="n"/>
      <c r="L1784" s="13">
        <f>IF(OR($A1784="",AND($J1784="",$K1784="")),"",ROUND(N($J1784)-N($K1784),2))</f>
        <v/>
      </c>
      <c r="M1784" s="13">
        <f>IF(OR($A1784="",AND($J1784="",$K1784="")),"",MIN($J1784,$K1784))</f>
        <v/>
      </c>
      <c r="Q1784">
        <f>IF($A1784="","",$D1784&amp;"("&amp;SUBSTITUTE($E1784," ","")&amp;")")</f>
        <v/>
      </c>
      <c r="R1784">
        <f>IF($A1784="","",$B1784&amp;" - "&amp;$C1784)</f>
        <v/>
      </c>
      <c r="S1784">
        <f>IF($A1784="","",$R1784&amp;"|"&amp;$Q1784)</f>
        <v/>
      </c>
      <c r="T1784">
        <f>IF($A1784="","",$S1784&amp;"|"&amp;$F1784)</f>
        <v/>
      </c>
      <c r="U1784">
        <f>IF($A1784="","",$R1784&amp;"("&amp;$E1784&amp;")")</f>
        <v/>
      </c>
      <c r="V1784">
        <f>IF($A1784="","",$F1784&amp;"|"&amp;$U1784&amp;"|"&amp;$D1784)</f>
        <v/>
      </c>
      <c r="W1784">
        <f>IF($T1784="","",IF($X1784&gt;N($X1783),$X1784,""))</f>
        <v/>
      </c>
      <c r="X1784">
        <f>IF($T1784="",N($X1783),IF(MATCH($T1784,$T$6:$T$6005,0)=ROW()-5,N($X1783)+1,N($X1783)))</f>
        <v/>
      </c>
      <c r="Z1784">
        <f>IF($V1784="","",IF($AA1784&gt;N($AA1783),$AA1784,""))</f>
        <v/>
      </c>
      <c r="AA1784">
        <f>IF($V1784="",N($AA1783),IF(MATCH($V1784,$V$6:$V$6005,0)=ROW()-5,N($AA1783)+1,N($AA1783)))</f>
        <v/>
      </c>
    </row>
    <row r="1785" ht="21" customHeight="1" s="66">
      <c r="A1785" s="56" t="n"/>
      <c r="B1785" s="57" t="n"/>
      <c r="C1785" s="57" t="n"/>
      <c r="D1785" s="57" t="n"/>
      <c r="E1785" s="56" t="n"/>
      <c r="F1785" s="57" t="n"/>
      <c r="G1785" s="57" t="n"/>
      <c r="H1785" s="56" t="n"/>
      <c r="I1785" s="56" t="n"/>
      <c r="J1785" s="58" t="n"/>
      <c r="K1785" s="58" t="n"/>
      <c r="L1785" s="13">
        <f>IF(OR($A1785="",AND($J1785="",$K1785="")),"",ROUND(N($J1785)-N($K1785),2))</f>
        <v/>
      </c>
      <c r="M1785" s="13">
        <f>IF(OR($A1785="",AND($J1785="",$K1785="")),"",MIN($J1785,$K1785))</f>
        <v/>
      </c>
      <c r="Q1785">
        <f>IF($A1785="","",$D1785&amp;"("&amp;SUBSTITUTE($E1785," ","")&amp;")")</f>
        <v/>
      </c>
      <c r="R1785">
        <f>IF($A1785="","",$B1785&amp;" - "&amp;$C1785)</f>
        <v/>
      </c>
      <c r="S1785">
        <f>IF($A1785="","",$R1785&amp;"|"&amp;$Q1785)</f>
        <v/>
      </c>
      <c r="T1785">
        <f>IF($A1785="","",$S1785&amp;"|"&amp;$F1785)</f>
        <v/>
      </c>
      <c r="U1785">
        <f>IF($A1785="","",$R1785&amp;"("&amp;$E1785&amp;")")</f>
        <v/>
      </c>
      <c r="V1785">
        <f>IF($A1785="","",$F1785&amp;"|"&amp;$U1785&amp;"|"&amp;$D1785)</f>
        <v/>
      </c>
      <c r="W1785">
        <f>IF($T1785="","",IF($X1785&gt;N($X1784),$X1785,""))</f>
        <v/>
      </c>
      <c r="X1785">
        <f>IF($T1785="",N($X1784),IF(MATCH($T1785,$T$6:$T$6005,0)=ROW()-5,N($X1784)+1,N($X1784)))</f>
        <v/>
      </c>
      <c r="Z1785">
        <f>IF($V1785="","",IF($AA1785&gt;N($AA1784),$AA1785,""))</f>
        <v/>
      </c>
      <c r="AA1785">
        <f>IF($V1785="",N($AA1784),IF(MATCH($V1785,$V$6:$V$6005,0)=ROW()-5,N($AA1784)+1,N($AA1784)))</f>
        <v/>
      </c>
    </row>
    <row r="1786" ht="21" customHeight="1" s="66">
      <c r="A1786" s="56" t="n"/>
      <c r="B1786" s="57" t="n"/>
      <c r="C1786" s="57" t="n"/>
      <c r="D1786" s="57" t="n"/>
      <c r="E1786" s="56" t="n"/>
      <c r="F1786" s="57" t="n"/>
      <c r="G1786" s="57" t="n"/>
      <c r="H1786" s="56" t="n"/>
      <c r="I1786" s="56" t="n"/>
      <c r="J1786" s="58" t="n"/>
      <c r="K1786" s="58" t="n"/>
      <c r="L1786" s="13">
        <f>IF(OR($A1786="",AND($J1786="",$K1786="")),"",ROUND(N($J1786)-N($K1786),2))</f>
        <v/>
      </c>
      <c r="M1786" s="13">
        <f>IF(OR($A1786="",AND($J1786="",$K1786="")),"",MIN($J1786,$K1786))</f>
        <v/>
      </c>
      <c r="Q1786">
        <f>IF($A1786="","",$D1786&amp;"("&amp;SUBSTITUTE($E1786," ","")&amp;")")</f>
        <v/>
      </c>
      <c r="R1786">
        <f>IF($A1786="","",$B1786&amp;" - "&amp;$C1786)</f>
        <v/>
      </c>
      <c r="S1786">
        <f>IF($A1786="","",$R1786&amp;"|"&amp;$Q1786)</f>
        <v/>
      </c>
      <c r="T1786">
        <f>IF($A1786="","",$S1786&amp;"|"&amp;$F1786)</f>
        <v/>
      </c>
      <c r="U1786">
        <f>IF($A1786="","",$R1786&amp;"("&amp;$E1786&amp;")")</f>
        <v/>
      </c>
      <c r="V1786">
        <f>IF($A1786="","",$F1786&amp;"|"&amp;$U1786&amp;"|"&amp;$D1786)</f>
        <v/>
      </c>
      <c r="W1786">
        <f>IF($T1786="","",IF($X1786&gt;N($X1785),$X1786,""))</f>
        <v/>
      </c>
      <c r="X1786">
        <f>IF($T1786="",N($X1785),IF(MATCH($T1786,$T$6:$T$6005,0)=ROW()-5,N($X1785)+1,N($X1785)))</f>
        <v/>
      </c>
      <c r="Z1786">
        <f>IF($V1786="","",IF($AA1786&gt;N($AA1785),$AA1786,""))</f>
        <v/>
      </c>
      <c r="AA1786">
        <f>IF($V1786="",N($AA1785),IF(MATCH($V1786,$V$6:$V$6005,0)=ROW()-5,N($AA1785)+1,N($AA1785)))</f>
        <v/>
      </c>
    </row>
    <row r="1787" ht="21" customHeight="1" s="66">
      <c r="A1787" s="56" t="n"/>
      <c r="B1787" s="57" t="n"/>
      <c r="C1787" s="57" t="n"/>
      <c r="D1787" s="57" t="n"/>
      <c r="E1787" s="56" t="n"/>
      <c r="F1787" s="57" t="n"/>
      <c r="G1787" s="57" t="n"/>
      <c r="H1787" s="56" t="n"/>
      <c r="I1787" s="56" t="n"/>
      <c r="J1787" s="58" t="n"/>
      <c r="K1787" s="58" t="n"/>
      <c r="L1787" s="13">
        <f>IF(OR($A1787="",AND($J1787="",$K1787="")),"",ROUND(N($J1787)-N($K1787),2))</f>
        <v/>
      </c>
      <c r="M1787" s="13">
        <f>IF(OR($A1787="",AND($J1787="",$K1787="")),"",MIN($J1787,$K1787))</f>
        <v/>
      </c>
      <c r="Q1787">
        <f>IF($A1787="","",$D1787&amp;"("&amp;SUBSTITUTE($E1787," ","")&amp;")")</f>
        <v/>
      </c>
      <c r="R1787">
        <f>IF($A1787="","",$B1787&amp;" - "&amp;$C1787)</f>
        <v/>
      </c>
      <c r="S1787">
        <f>IF($A1787="","",$R1787&amp;"|"&amp;$Q1787)</f>
        <v/>
      </c>
      <c r="T1787">
        <f>IF($A1787="","",$S1787&amp;"|"&amp;$F1787)</f>
        <v/>
      </c>
      <c r="U1787">
        <f>IF($A1787="","",$R1787&amp;"("&amp;$E1787&amp;")")</f>
        <v/>
      </c>
      <c r="V1787">
        <f>IF($A1787="","",$F1787&amp;"|"&amp;$U1787&amp;"|"&amp;$D1787)</f>
        <v/>
      </c>
      <c r="W1787">
        <f>IF($T1787="","",IF($X1787&gt;N($X1786),$X1787,""))</f>
        <v/>
      </c>
      <c r="X1787">
        <f>IF($T1787="",N($X1786),IF(MATCH($T1787,$T$6:$T$6005,0)=ROW()-5,N($X1786)+1,N($X1786)))</f>
        <v/>
      </c>
      <c r="Z1787">
        <f>IF($V1787="","",IF($AA1787&gt;N($AA1786),$AA1787,""))</f>
        <v/>
      </c>
      <c r="AA1787">
        <f>IF($V1787="",N($AA1786),IF(MATCH($V1787,$V$6:$V$6005,0)=ROW()-5,N($AA1786)+1,N($AA1786)))</f>
        <v/>
      </c>
    </row>
    <row r="1788" ht="21" customHeight="1" s="66">
      <c r="A1788" s="56" t="n"/>
      <c r="B1788" s="57" t="n"/>
      <c r="C1788" s="57" t="n"/>
      <c r="D1788" s="57" t="n"/>
      <c r="E1788" s="56" t="n"/>
      <c r="F1788" s="57" t="n"/>
      <c r="G1788" s="57" t="n"/>
      <c r="H1788" s="56" t="n"/>
      <c r="I1788" s="56" t="n"/>
      <c r="J1788" s="58" t="n"/>
      <c r="K1788" s="58" t="n"/>
      <c r="L1788" s="13">
        <f>IF(OR($A1788="",AND($J1788="",$K1788="")),"",ROUND(N($J1788)-N($K1788),2))</f>
        <v/>
      </c>
      <c r="M1788" s="13">
        <f>IF(OR($A1788="",AND($J1788="",$K1788="")),"",MIN($J1788,$K1788))</f>
        <v/>
      </c>
      <c r="Q1788">
        <f>IF($A1788="","",$D1788&amp;"("&amp;SUBSTITUTE($E1788," ","")&amp;")")</f>
        <v/>
      </c>
      <c r="R1788">
        <f>IF($A1788="","",$B1788&amp;" - "&amp;$C1788)</f>
        <v/>
      </c>
      <c r="S1788">
        <f>IF($A1788="","",$R1788&amp;"|"&amp;$Q1788)</f>
        <v/>
      </c>
      <c r="T1788">
        <f>IF($A1788="","",$S1788&amp;"|"&amp;$F1788)</f>
        <v/>
      </c>
      <c r="U1788">
        <f>IF($A1788="","",$R1788&amp;"("&amp;$E1788&amp;")")</f>
        <v/>
      </c>
      <c r="V1788">
        <f>IF($A1788="","",$F1788&amp;"|"&amp;$U1788&amp;"|"&amp;$D1788)</f>
        <v/>
      </c>
      <c r="W1788">
        <f>IF($T1788="","",IF($X1788&gt;N($X1787),$X1788,""))</f>
        <v/>
      </c>
      <c r="X1788">
        <f>IF($T1788="",N($X1787),IF(MATCH($T1788,$T$6:$T$6005,0)=ROW()-5,N($X1787)+1,N($X1787)))</f>
        <v/>
      </c>
      <c r="Z1788">
        <f>IF($V1788="","",IF($AA1788&gt;N($AA1787),$AA1788,""))</f>
        <v/>
      </c>
      <c r="AA1788">
        <f>IF($V1788="",N($AA1787),IF(MATCH($V1788,$V$6:$V$6005,0)=ROW()-5,N($AA1787)+1,N($AA1787)))</f>
        <v/>
      </c>
    </row>
    <row r="1789" ht="21" customHeight="1" s="66">
      <c r="A1789" s="56" t="n"/>
      <c r="B1789" s="57" t="n"/>
      <c r="C1789" s="57" t="n"/>
      <c r="D1789" s="57" t="n"/>
      <c r="E1789" s="56" t="n"/>
      <c r="F1789" s="57" t="n"/>
      <c r="G1789" s="57" t="n"/>
      <c r="H1789" s="56" t="n"/>
      <c r="I1789" s="56" t="n"/>
      <c r="J1789" s="58" t="n"/>
      <c r="K1789" s="58" t="n"/>
      <c r="L1789" s="13">
        <f>IF(OR($A1789="",AND($J1789="",$K1789="")),"",ROUND(N($J1789)-N($K1789),2))</f>
        <v/>
      </c>
      <c r="M1789" s="13">
        <f>IF(OR($A1789="",AND($J1789="",$K1789="")),"",MIN($J1789,$K1789))</f>
        <v/>
      </c>
      <c r="Q1789">
        <f>IF($A1789="","",$D1789&amp;"("&amp;SUBSTITUTE($E1789," ","")&amp;")")</f>
        <v/>
      </c>
      <c r="R1789">
        <f>IF($A1789="","",$B1789&amp;" - "&amp;$C1789)</f>
        <v/>
      </c>
      <c r="S1789">
        <f>IF($A1789="","",$R1789&amp;"|"&amp;$Q1789)</f>
        <v/>
      </c>
      <c r="T1789">
        <f>IF($A1789="","",$S1789&amp;"|"&amp;$F1789)</f>
        <v/>
      </c>
      <c r="U1789">
        <f>IF($A1789="","",$R1789&amp;"("&amp;$E1789&amp;")")</f>
        <v/>
      </c>
      <c r="V1789">
        <f>IF($A1789="","",$F1789&amp;"|"&amp;$U1789&amp;"|"&amp;$D1789)</f>
        <v/>
      </c>
      <c r="W1789">
        <f>IF($T1789="","",IF($X1789&gt;N($X1788),$X1789,""))</f>
        <v/>
      </c>
      <c r="X1789">
        <f>IF($T1789="",N($X1788),IF(MATCH($T1789,$T$6:$T$6005,0)=ROW()-5,N($X1788)+1,N($X1788)))</f>
        <v/>
      </c>
      <c r="Z1789">
        <f>IF($V1789="","",IF($AA1789&gt;N($AA1788),$AA1789,""))</f>
        <v/>
      </c>
      <c r="AA1789">
        <f>IF($V1789="",N($AA1788),IF(MATCH($V1789,$V$6:$V$6005,0)=ROW()-5,N($AA1788)+1,N($AA1788)))</f>
        <v/>
      </c>
    </row>
    <row r="1790" ht="21" customHeight="1" s="66">
      <c r="A1790" s="56" t="n"/>
      <c r="B1790" s="57" t="n"/>
      <c r="C1790" s="57" t="n"/>
      <c r="D1790" s="57" t="n"/>
      <c r="E1790" s="56" t="n"/>
      <c r="F1790" s="57" t="n"/>
      <c r="G1790" s="57" t="n"/>
      <c r="H1790" s="56" t="n"/>
      <c r="I1790" s="56" t="n"/>
      <c r="J1790" s="58" t="n"/>
      <c r="K1790" s="58" t="n"/>
      <c r="L1790" s="13">
        <f>IF(OR($A1790="",AND($J1790="",$K1790="")),"",ROUND(N($J1790)-N($K1790),2))</f>
        <v/>
      </c>
      <c r="M1790" s="13">
        <f>IF(OR($A1790="",AND($J1790="",$K1790="")),"",MIN($J1790,$K1790))</f>
        <v/>
      </c>
      <c r="Q1790">
        <f>IF($A1790="","",$D1790&amp;"("&amp;SUBSTITUTE($E1790," ","")&amp;")")</f>
        <v/>
      </c>
      <c r="R1790">
        <f>IF($A1790="","",$B1790&amp;" - "&amp;$C1790)</f>
        <v/>
      </c>
      <c r="S1790">
        <f>IF($A1790="","",$R1790&amp;"|"&amp;$Q1790)</f>
        <v/>
      </c>
      <c r="T1790">
        <f>IF($A1790="","",$S1790&amp;"|"&amp;$F1790)</f>
        <v/>
      </c>
      <c r="U1790">
        <f>IF($A1790="","",$R1790&amp;"("&amp;$E1790&amp;")")</f>
        <v/>
      </c>
      <c r="V1790">
        <f>IF($A1790="","",$F1790&amp;"|"&amp;$U1790&amp;"|"&amp;$D1790)</f>
        <v/>
      </c>
      <c r="W1790">
        <f>IF($T1790="","",IF($X1790&gt;N($X1789),$X1790,""))</f>
        <v/>
      </c>
      <c r="X1790">
        <f>IF($T1790="",N($X1789),IF(MATCH($T1790,$T$6:$T$6005,0)=ROW()-5,N($X1789)+1,N($X1789)))</f>
        <v/>
      </c>
      <c r="Z1790">
        <f>IF($V1790="","",IF($AA1790&gt;N($AA1789),$AA1790,""))</f>
        <v/>
      </c>
      <c r="AA1790">
        <f>IF($V1790="",N($AA1789),IF(MATCH($V1790,$V$6:$V$6005,0)=ROW()-5,N($AA1789)+1,N($AA1789)))</f>
        <v/>
      </c>
    </row>
    <row r="1791" ht="21" customHeight="1" s="66">
      <c r="A1791" s="56" t="n"/>
      <c r="B1791" s="57" t="n"/>
      <c r="C1791" s="57" t="n"/>
      <c r="D1791" s="57" t="n"/>
      <c r="E1791" s="56" t="n"/>
      <c r="F1791" s="57" t="n"/>
      <c r="G1791" s="57" t="n"/>
      <c r="H1791" s="56" t="n"/>
      <c r="I1791" s="56" t="n"/>
      <c r="J1791" s="58" t="n"/>
      <c r="K1791" s="58" t="n"/>
      <c r="L1791" s="13">
        <f>IF(OR($A1791="",AND($J1791="",$K1791="")),"",ROUND(N($J1791)-N($K1791),2))</f>
        <v/>
      </c>
      <c r="M1791" s="13">
        <f>IF(OR($A1791="",AND($J1791="",$K1791="")),"",MIN($J1791,$K1791))</f>
        <v/>
      </c>
      <c r="Q1791">
        <f>IF($A1791="","",$D1791&amp;"("&amp;SUBSTITUTE($E1791," ","")&amp;")")</f>
        <v/>
      </c>
      <c r="R1791">
        <f>IF($A1791="","",$B1791&amp;" - "&amp;$C1791)</f>
        <v/>
      </c>
      <c r="S1791">
        <f>IF($A1791="","",$R1791&amp;"|"&amp;$Q1791)</f>
        <v/>
      </c>
      <c r="T1791">
        <f>IF($A1791="","",$S1791&amp;"|"&amp;$F1791)</f>
        <v/>
      </c>
      <c r="U1791">
        <f>IF($A1791="","",$R1791&amp;"("&amp;$E1791&amp;")")</f>
        <v/>
      </c>
      <c r="V1791">
        <f>IF($A1791="","",$F1791&amp;"|"&amp;$U1791&amp;"|"&amp;$D1791)</f>
        <v/>
      </c>
      <c r="W1791">
        <f>IF($T1791="","",IF($X1791&gt;N($X1790),$X1791,""))</f>
        <v/>
      </c>
      <c r="X1791">
        <f>IF($T1791="",N($X1790),IF(MATCH($T1791,$T$6:$T$6005,0)=ROW()-5,N($X1790)+1,N($X1790)))</f>
        <v/>
      </c>
      <c r="Z1791">
        <f>IF($V1791="","",IF($AA1791&gt;N($AA1790),$AA1791,""))</f>
        <v/>
      </c>
      <c r="AA1791">
        <f>IF($V1791="",N($AA1790),IF(MATCH($V1791,$V$6:$V$6005,0)=ROW()-5,N($AA1790)+1,N($AA1790)))</f>
        <v/>
      </c>
    </row>
    <row r="1792" ht="21" customHeight="1" s="66">
      <c r="A1792" s="56" t="n"/>
      <c r="B1792" s="57" t="n"/>
      <c r="C1792" s="57" t="n"/>
      <c r="D1792" s="57" t="n"/>
      <c r="E1792" s="56" t="n"/>
      <c r="F1792" s="57" t="n"/>
      <c r="G1792" s="57" t="n"/>
      <c r="H1792" s="56" t="n"/>
      <c r="I1792" s="56" t="n"/>
      <c r="J1792" s="58" t="n"/>
      <c r="K1792" s="58" t="n"/>
      <c r="L1792" s="13">
        <f>IF(OR($A1792="",AND($J1792="",$K1792="")),"",ROUND(N($J1792)-N($K1792),2))</f>
        <v/>
      </c>
      <c r="M1792" s="13">
        <f>IF(OR($A1792="",AND($J1792="",$K1792="")),"",MIN($J1792,$K1792))</f>
        <v/>
      </c>
      <c r="Q1792">
        <f>IF($A1792="","",$D1792&amp;"("&amp;SUBSTITUTE($E1792," ","")&amp;")")</f>
        <v/>
      </c>
      <c r="R1792">
        <f>IF($A1792="","",$B1792&amp;" - "&amp;$C1792)</f>
        <v/>
      </c>
      <c r="S1792">
        <f>IF($A1792="","",$R1792&amp;"|"&amp;$Q1792)</f>
        <v/>
      </c>
      <c r="T1792">
        <f>IF($A1792="","",$S1792&amp;"|"&amp;$F1792)</f>
        <v/>
      </c>
      <c r="U1792">
        <f>IF($A1792="","",$R1792&amp;"("&amp;$E1792&amp;")")</f>
        <v/>
      </c>
      <c r="V1792">
        <f>IF($A1792="","",$F1792&amp;"|"&amp;$U1792&amp;"|"&amp;$D1792)</f>
        <v/>
      </c>
      <c r="W1792">
        <f>IF($T1792="","",IF($X1792&gt;N($X1791),$X1792,""))</f>
        <v/>
      </c>
      <c r="X1792">
        <f>IF($T1792="",N($X1791),IF(MATCH($T1792,$T$6:$T$6005,0)=ROW()-5,N($X1791)+1,N($X1791)))</f>
        <v/>
      </c>
      <c r="Z1792">
        <f>IF($V1792="","",IF($AA1792&gt;N($AA1791),$AA1792,""))</f>
        <v/>
      </c>
      <c r="AA1792">
        <f>IF($V1792="",N($AA1791),IF(MATCH($V1792,$V$6:$V$6005,0)=ROW()-5,N($AA1791)+1,N($AA1791)))</f>
        <v/>
      </c>
    </row>
    <row r="1793" ht="21" customHeight="1" s="66">
      <c r="A1793" s="56" t="n"/>
      <c r="B1793" s="57" t="n"/>
      <c r="C1793" s="57" t="n"/>
      <c r="D1793" s="57" t="n"/>
      <c r="E1793" s="56" t="n"/>
      <c r="F1793" s="57" t="n"/>
      <c r="G1793" s="57" t="n"/>
      <c r="H1793" s="56" t="n"/>
      <c r="I1793" s="56" t="n"/>
      <c r="J1793" s="58" t="n"/>
      <c r="K1793" s="58" t="n"/>
      <c r="L1793" s="13">
        <f>IF(OR($A1793="",AND($J1793="",$K1793="")),"",ROUND(N($J1793)-N($K1793),2))</f>
        <v/>
      </c>
      <c r="M1793" s="13">
        <f>IF(OR($A1793="",AND($J1793="",$K1793="")),"",MIN($J1793,$K1793))</f>
        <v/>
      </c>
      <c r="Q1793">
        <f>IF($A1793="","",$D1793&amp;"("&amp;SUBSTITUTE($E1793," ","")&amp;")")</f>
        <v/>
      </c>
      <c r="R1793">
        <f>IF($A1793="","",$B1793&amp;" - "&amp;$C1793)</f>
        <v/>
      </c>
      <c r="S1793">
        <f>IF($A1793="","",$R1793&amp;"|"&amp;$Q1793)</f>
        <v/>
      </c>
      <c r="T1793">
        <f>IF($A1793="","",$S1793&amp;"|"&amp;$F1793)</f>
        <v/>
      </c>
      <c r="U1793">
        <f>IF($A1793="","",$R1793&amp;"("&amp;$E1793&amp;")")</f>
        <v/>
      </c>
      <c r="V1793">
        <f>IF($A1793="","",$F1793&amp;"|"&amp;$U1793&amp;"|"&amp;$D1793)</f>
        <v/>
      </c>
      <c r="W1793">
        <f>IF($T1793="","",IF($X1793&gt;N($X1792),$X1793,""))</f>
        <v/>
      </c>
      <c r="X1793">
        <f>IF($T1793="",N($X1792),IF(MATCH($T1793,$T$6:$T$6005,0)=ROW()-5,N($X1792)+1,N($X1792)))</f>
        <v/>
      </c>
      <c r="Z1793">
        <f>IF($V1793="","",IF($AA1793&gt;N($AA1792),$AA1793,""))</f>
        <v/>
      </c>
      <c r="AA1793">
        <f>IF($V1793="",N($AA1792),IF(MATCH($V1793,$V$6:$V$6005,0)=ROW()-5,N($AA1792)+1,N($AA1792)))</f>
        <v/>
      </c>
    </row>
    <row r="1794" ht="21" customHeight="1" s="66">
      <c r="A1794" s="56" t="n"/>
      <c r="B1794" s="57" t="n"/>
      <c r="C1794" s="57" t="n"/>
      <c r="D1794" s="57" t="n"/>
      <c r="E1794" s="56" t="n"/>
      <c r="F1794" s="57" t="n"/>
      <c r="G1794" s="57" t="n"/>
      <c r="H1794" s="56" t="n"/>
      <c r="I1794" s="56" t="n"/>
      <c r="J1794" s="58" t="n"/>
      <c r="K1794" s="58" t="n"/>
      <c r="L1794" s="13">
        <f>IF(OR($A1794="",AND($J1794="",$K1794="")),"",ROUND(N($J1794)-N($K1794),2))</f>
        <v/>
      </c>
      <c r="M1794" s="13">
        <f>IF(OR($A1794="",AND($J1794="",$K1794="")),"",MIN($J1794,$K1794))</f>
        <v/>
      </c>
      <c r="Q1794">
        <f>IF($A1794="","",$D1794&amp;"("&amp;SUBSTITUTE($E1794," ","")&amp;")")</f>
        <v/>
      </c>
      <c r="R1794">
        <f>IF($A1794="","",$B1794&amp;" - "&amp;$C1794)</f>
        <v/>
      </c>
      <c r="S1794">
        <f>IF($A1794="","",$R1794&amp;"|"&amp;$Q1794)</f>
        <v/>
      </c>
      <c r="T1794">
        <f>IF($A1794="","",$S1794&amp;"|"&amp;$F1794)</f>
        <v/>
      </c>
      <c r="U1794">
        <f>IF($A1794="","",$R1794&amp;"("&amp;$E1794&amp;")")</f>
        <v/>
      </c>
      <c r="V1794">
        <f>IF($A1794="","",$F1794&amp;"|"&amp;$U1794&amp;"|"&amp;$D1794)</f>
        <v/>
      </c>
      <c r="W1794">
        <f>IF($T1794="","",IF($X1794&gt;N($X1793),$X1794,""))</f>
        <v/>
      </c>
      <c r="X1794">
        <f>IF($T1794="",N($X1793),IF(MATCH($T1794,$T$6:$T$6005,0)=ROW()-5,N($X1793)+1,N($X1793)))</f>
        <v/>
      </c>
      <c r="Z1794">
        <f>IF($V1794="","",IF($AA1794&gt;N($AA1793),$AA1794,""))</f>
        <v/>
      </c>
      <c r="AA1794">
        <f>IF($V1794="",N($AA1793),IF(MATCH($V1794,$V$6:$V$6005,0)=ROW()-5,N($AA1793)+1,N($AA1793)))</f>
        <v/>
      </c>
    </row>
    <row r="1795" ht="21" customHeight="1" s="66">
      <c r="A1795" s="56" t="n"/>
      <c r="B1795" s="57" t="n"/>
      <c r="C1795" s="57" t="n"/>
      <c r="D1795" s="57" t="n"/>
      <c r="E1795" s="56" t="n"/>
      <c r="F1795" s="57" t="n"/>
      <c r="G1795" s="57" t="n"/>
      <c r="H1795" s="56" t="n"/>
      <c r="I1795" s="56" t="n"/>
      <c r="J1795" s="58" t="n"/>
      <c r="K1795" s="58" t="n"/>
      <c r="L1795" s="13">
        <f>IF(OR($A1795="",AND($J1795="",$K1795="")),"",ROUND(N($J1795)-N($K1795),2))</f>
        <v/>
      </c>
      <c r="M1795" s="13">
        <f>IF(OR($A1795="",AND($J1795="",$K1795="")),"",MIN($J1795,$K1795))</f>
        <v/>
      </c>
      <c r="Q1795">
        <f>IF($A1795="","",$D1795&amp;"("&amp;SUBSTITUTE($E1795," ","")&amp;")")</f>
        <v/>
      </c>
      <c r="R1795">
        <f>IF($A1795="","",$B1795&amp;" - "&amp;$C1795)</f>
        <v/>
      </c>
      <c r="S1795">
        <f>IF($A1795="","",$R1795&amp;"|"&amp;$Q1795)</f>
        <v/>
      </c>
      <c r="T1795">
        <f>IF($A1795="","",$S1795&amp;"|"&amp;$F1795)</f>
        <v/>
      </c>
      <c r="U1795">
        <f>IF($A1795="","",$R1795&amp;"("&amp;$E1795&amp;")")</f>
        <v/>
      </c>
      <c r="V1795">
        <f>IF($A1795="","",$F1795&amp;"|"&amp;$U1795&amp;"|"&amp;$D1795)</f>
        <v/>
      </c>
      <c r="W1795">
        <f>IF($T1795="","",IF($X1795&gt;N($X1794),$X1795,""))</f>
        <v/>
      </c>
      <c r="X1795">
        <f>IF($T1795="",N($X1794),IF(MATCH($T1795,$T$6:$T$6005,0)=ROW()-5,N($X1794)+1,N($X1794)))</f>
        <v/>
      </c>
      <c r="Z1795">
        <f>IF($V1795="","",IF($AA1795&gt;N($AA1794),$AA1795,""))</f>
        <v/>
      </c>
      <c r="AA1795">
        <f>IF($V1795="",N($AA1794),IF(MATCH($V1795,$V$6:$V$6005,0)=ROW()-5,N($AA1794)+1,N($AA1794)))</f>
        <v/>
      </c>
    </row>
    <row r="1796" ht="21" customHeight="1" s="66">
      <c r="A1796" s="56" t="n"/>
      <c r="B1796" s="57" t="n"/>
      <c r="C1796" s="57" t="n"/>
      <c r="D1796" s="57" t="n"/>
      <c r="E1796" s="56" t="n"/>
      <c r="F1796" s="57" t="n"/>
      <c r="G1796" s="57" t="n"/>
      <c r="H1796" s="56" t="n"/>
      <c r="I1796" s="56" t="n"/>
      <c r="J1796" s="58" t="n"/>
      <c r="K1796" s="58" t="n"/>
      <c r="L1796" s="13">
        <f>IF(OR($A1796="",AND($J1796="",$K1796="")),"",ROUND(N($J1796)-N($K1796),2))</f>
        <v/>
      </c>
      <c r="M1796" s="13">
        <f>IF(OR($A1796="",AND($J1796="",$K1796="")),"",MIN($J1796,$K1796))</f>
        <v/>
      </c>
      <c r="Q1796">
        <f>IF($A1796="","",$D1796&amp;"("&amp;SUBSTITUTE($E1796," ","")&amp;")")</f>
        <v/>
      </c>
      <c r="R1796">
        <f>IF($A1796="","",$B1796&amp;" - "&amp;$C1796)</f>
        <v/>
      </c>
      <c r="S1796">
        <f>IF($A1796="","",$R1796&amp;"|"&amp;$Q1796)</f>
        <v/>
      </c>
      <c r="T1796">
        <f>IF($A1796="","",$S1796&amp;"|"&amp;$F1796)</f>
        <v/>
      </c>
      <c r="U1796">
        <f>IF($A1796="","",$R1796&amp;"("&amp;$E1796&amp;")")</f>
        <v/>
      </c>
      <c r="V1796">
        <f>IF($A1796="","",$F1796&amp;"|"&amp;$U1796&amp;"|"&amp;$D1796)</f>
        <v/>
      </c>
      <c r="W1796">
        <f>IF($T1796="","",IF($X1796&gt;N($X1795),$X1796,""))</f>
        <v/>
      </c>
      <c r="X1796">
        <f>IF($T1796="",N($X1795),IF(MATCH($T1796,$T$6:$T$6005,0)=ROW()-5,N($X1795)+1,N($X1795)))</f>
        <v/>
      </c>
      <c r="Z1796">
        <f>IF($V1796="","",IF($AA1796&gt;N($AA1795),$AA1796,""))</f>
        <v/>
      </c>
      <c r="AA1796">
        <f>IF($V1796="",N($AA1795),IF(MATCH($V1796,$V$6:$V$6005,0)=ROW()-5,N($AA1795)+1,N($AA1795)))</f>
        <v/>
      </c>
    </row>
    <row r="1797" ht="21" customHeight="1" s="66">
      <c r="A1797" s="56" t="n"/>
      <c r="B1797" s="57" t="n"/>
      <c r="C1797" s="57" t="n"/>
      <c r="D1797" s="57" t="n"/>
      <c r="E1797" s="56" t="n"/>
      <c r="F1797" s="57" t="n"/>
      <c r="G1797" s="57" t="n"/>
      <c r="H1797" s="56" t="n"/>
      <c r="I1797" s="56" t="n"/>
      <c r="J1797" s="58" t="n"/>
      <c r="K1797" s="58" t="n"/>
      <c r="L1797" s="13">
        <f>IF(OR($A1797="",AND($J1797="",$K1797="")),"",ROUND(N($J1797)-N($K1797),2))</f>
        <v/>
      </c>
      <c r="M1797" s="13">
        <f>IF(OR($A1797="",AND($J1797="",$K1797="")),"",MIN($J1797,$K1797))</f>
        <v/>
      </c>
      <c r="Q1797">
        <f>IF($A1797="","",$D1797&amp;"("&amp;SUBSTITUTE($E1797," ","")&amp;")")</f>
        <v/>
      </c>
      <c r="R1797">
        <f>IF($A1797="","",$B1797&amp;" - "&amp;$C1797)</f>
        <v/>
      </c>
      <c r="S1797">
        <f>IF($A1797="","",$R1797&amp;"|"&amp;$Q1797)</f>
        <v/>
      </c>
      <c r="T1797">
        <f>IF($A1797="","",$S1797&amp;"|"&amp;$F1797)</f>
        <v/>
      </c>
      <c r="U1797">
        <f>IF($A1797="","",$R1797&amp;"("&amp;$E1797&amp;")")</f>
        <v/>
      </c>
      <c r="V1797">
        <f>IF($A1797="","",$F1797&amp;"|"&amp;$U1797&amp;"|"&amp;$D1797)</f>
        <v/>
      </c>
      <c r="W1797">
        <f>IF($T1797="","",IF($X1797&gt;N($X1796),$X1797,""))</f>
        <v/>
      </c>
      <c r="X1797">
        <f>IF($T1797="",N($X1796),IF(MATCH($T1797,$T$6:$T$6005,0)=ROW()-5,N($X1796)+1,N($X1796)))</f>
        <v/>
      </c>
      <c r="Z1797">
        <f>IF($V1797="","",IF($AA1797&gt;N($AA1796),$AA1797,""))</f>
        <v/>
      </c>
      <c r="AA1797">
        <f>IF($V1797="",N($AA1796),IF(MATCH($V1797,$V$6:$V$6005,0)=ROW()-5,N($AA1796)+1,N($AA1796)))</f>
        <v/>
      </c>
    </row>
    <row r="1798" ht="21" customHeight="1" s="66">
      <c r="A1798" s="56" t="n"/>
      <c r="B1798" s="57" t="n"/>
      <c r="C1798" s="57" t="n"/>
      <c r="D1798" s="57" t="n"/>
      <c r="E1798" s="56" t="n"/>
      <c r="F1798" s="57" t="n"/>
      <c r="G1798" s="57" t="n"/>
      <c r="H1798" s="56" t="n"/>
      <c r="I1798" s="56" t="n"/>
      <c r="J1798" s="58" t="n"/>
      <c r="K1798" s="58" t="n"/>
      <c r="L1798" s="13">
        <f>IF(OR($A1798="",AND($J1798="",$K1798="")),"",ROUND(N($J1798)-N($K1798),2))</f>
        <v/>
      </c>
      <c r="M1798" s="13">
        <f>IF(OR($A1798="",AND($J1798="",$K1798="")),"",MIN($J1798,$K1798))</f>
        <v/>
      </c>
      <c r="Q1798">
        <f>IF($A1798="","",$D1798&amp;"("&amp;SUBSTITUTE($E1798," ","")&amp;")")</f>
        <v/>
      </c>
      <c r="R1798">
        <f>IF($A1798="","",$B1798&amp;" - "&amp;$C1798)</f>
        <v/>
      </c>
      <c r="S1798">
        <f>IF($A1798="","",$R1798&amp;"|"&amp;$Q1798)</f>
        <v/>
      </c>
      <c r="T1798">
        <f>IF($A1798="","",$S1798&amp;"|"&amp;$F1798)</f>
        <v/>
      </c>
      <c r="U1798">
        <f>IF($A1798="","",$R1798&amp;"("&amp;$E1798&amp;")")</f>
        <v/>
      </c>
      <c r="V1798">
        <f>IF($A1798="","",$F1798&amp;"|"&amp;$U1798&amp;"|"&amp;$D1798)</f>
        <v/>
      </c>
      <c r="W1798">
        <f>IF($T1798="","",IF($X1798&gt;N($X1797),$X1798,""))</f>
        <v/>
      </c>
      <c r="X1798">
        <f>IF($T1798="",N($X1797),IF(MATCH($T1798,$T$6:$T$6005,0)=ROW()-5,N($X1797)+1,N($X1797)))</f>
        <v/>
      </c>
      <c r="Z1798">
        <f>IF($V1798="","",IF($AA1798&gt;N($AA1797),$AA1798,""))</f>
        <v/>
      </c>
      <c r="AA1798">
        <f>IF($V1798="",N($AA1797),IF(MATCH($V1798,$V$6:$V$6005,0)=ROW()-5,N($AA1797)+1,N($AA1797)))</f>
        <v/>
      </c>
    </row>
    <row r="1799" ht="21" customHeight="1" s="66">
      <c r="A1799" s="56" t="n"/>
      <c r="B1799" s="57" t="n"/>
      <c r="C1799" s="57" t="n"/>
      <c r="D1799" s="57" t="n"/>
      <c r="E1799" s="56" t="n"/>
      <c r="F1799" s="57" t="n"/>
      <c r="G1799" s="57" t="n"/>
      <c r="H1799" s="56" t="n"/>
      <c r="I1799" s="56" t="n"/>
      <c r="J1799" s="58" t="n"/>
      <c r="K1799" s="58" t="n"/>
      <c r="L1799" s="13">
        <f>IF(OR($A1799="",AND($J1799="",$K1799="")),"",ROUND(N($J1799)-N($K1799),2))</f>
        <v/>
      </c>
      <c r="M1799" s="13">
        <f>IF(OR($A1799="",AND($J1799="",$K1799="")),"",MIN($J1799,$K1799))</f>
        <v/>
      </c>
      <c r="Q1799">
        <f>IF($A1799="","",$D1799&amp;"("&amp;SUBSTITUTE($E1799," ","")&amp;")")</f>
        <v/>
      </c>
      <c r="R1799">
        <f>IF($A1799="","",$B1799&amp;" - "&amp;$C1799)</f>
        <v/>
      </c>
      <c r="S1799">
        <f>IF($A1799="","",$R1799&amp;"|"&amp;$Q1799)</f>
        <v/>
      </c>
      <c r="T1799">
        <f>IF($A1799="","",$S1799&amp;"|"&amp;$F1799)</f>
        <v/>
      </c>
      <c r="U1799">
        <f>IF($A1799="","",$R1799&amp;"("&amp;$E1799&amp;")")</f>
        <v/>
      </c>
      <c r="V1799">
        <f>IF($A1799="","",$F1799&amp;"|"&amp;$U1799&amp;"|"&amp;$D1799)</f>
        <v/>
      </c>
      <c r="W1799">
        <f>IF($T1799="","",IF($X1799&gt;N($X1798),$X1799,""))</f>
        <v/>
      </c>
      <c r="X1799">
        <f>IF($T1799="",N($X1798),IF(MATCH($T1799,$T$6:$T$6005,0)=ROW()-5,N($X1798)+1,N($X1798)))</f>
        <v/>
      </c>
      <c r="Z1799">
        <f>IF($V1799="","",IF($AA1799&gt;N($AA1798),$AA1799,""))</f>
        <v/>
      </c>
      <c r="AA1799">
        <f>IF($V1799="",N($AA1798),IF(MATCH($V1799,$V$6:$V$6005,0)=ROW()-5,N($AA1798)+1,N($AA1798)))</f>
        <v/>
      </c>
    </row>
    <row r="1800" ht="21" customHeight="1" s="66">
      <c r="A1800" s="56" t="n"/>
      <c r="B1800" s="57" t="n"/>
      <c r="C1800" s="57" t="n"/>
      <c r="D1800" s="57" t="n"/>
      <c r="E1800" s="56" t="n"/>
      <c r="F1800" s="57" t="n"/>
      <c r="G1800" s="57" t="n"/>
      <c r="H1800" s="56" t="n"/>
      <c r="I1800" s="56" t="n"/>
      <c r="J1800" s="58" t="n"/>
      <c r="K1800" s="58" t="n"/>
      <c r="L1800" s="13">
        <f>IF(OR($A1800="",AND($J1800="",$K1800="")),"",ROUND(N($J1800)-N($K1800),2))</f>
        <v/>
      </c>
      <c r="M1800" s="13">
        <f>IF(OR($A1800="",AND($J1800="",$K1800="")),"",MIN($J1800,$K1800))</f>
        <v/>
      </c>
      <c r="Q1800">
        <f>IF($A1800="","",$D1800&amp;"("&amp;SUBSTITUTE($E1800," ","")&amp;")")</f>
        <v/>
      </c>
      <c r="R1800">
        <f>IF($A1800="","",$B1800&amp;" - "&amp;$C1800)</f>
        <v/>
      </c>
      <c r="S1800">
        <f>IF($A1800="","",$R1800&amp;"|"&amp;$Q1800)</f>
        <v/>
      </c>
      <c r="T1800">
        <f>IF($A1800="","",$S1800&amp;"|"&amp;$F1800)</f>
        <v/>
      </c>
      <c r="U1800">
        <f>IF($A1800="","",$R1800&amp;"("&amp;$E1800&amp;")")</f>
        <v/>
      </c>
      <c r="V1800">
        <f>IF($A1800="","",$F1800&amp;"|"&amp;$U1800&amp;"|"&amp;$D1800)</f>
        <v/>
      </c>
      <c r="W1800">
        <f>IF($T1800="","",IF($X1800&gt;N($X1799),$X1800,""))</f>
        <v/>
      </c>
      <c r="X1800">
        <f>IF($T1800="",N($X1799),IF(MATCH($T1800,$T$6:$T$6005,0)=ROW()-5,N($X1799)+1,N($X1799)))</f>
        <v/>
      </c>
      <c r="Z1800">
        <f>IF($V1800="","",IF($AA1800&gt;N($AA1799),$AA1800,""))</f>
        <v/>
      </c>
      <c r="AA1800">
        <f>IF($V1800="",N($AA1799),IF(MATCH($V1800,$V$6:$V$6005,0)=ROW()-5,N($AA1799)+1,N($AA1799)))</f>
        <v/>
      </c>
    </row>
    <row r="1801" ht="21" customHeight="1" s="66">
      <c r="A1801" s="56" t="n"/>
      <c r="B1801" s="57" t="n"/>
      <c r="C1801" s="57" t="n"/>
      <c r="D1801" s="57" t="n"/>
      <c r="E1801" s="56" t="n"/>
      <c r="F1801" s="57" t="n"/>
      <c r="G1801" s="57" t="n"/>
      <c r="H1801" s="56" t="n"/>
      <c r="I1801" s="56" t="n"/>
      <c r="J1801" s="58" t="n"/>
      <c r="K1801" s="58" t="n"/>
      <c r="L1801" s="13">
        <f>IF(OR($A1801="",AND($J1801="",$K1801="")),"",ROUND(N($J1801)-N($K1801),2))</f>
        <v/>
      </c>
      <c r="M1801" s="13">
        <f>IF(OR($A1801="",AND($J1801="",$K1801="")),"",MIN($J1801,$K1801))</f>
        <v/>
      </c>
      <c r="Q1801">
        <f>IF($A1801="","",$D1801&amp;"("&amp;SUBSTITUTE($E1801," ","")&amp;")")</f>
        <v/>
      </c>
      <c r="R1801">
        <f>IF($A1801="","",$B1801&amp;" - "&amp;$C1801)</f>
        <v/>
      </c>
      <c r="S1801">
        <f>IF($A1801="","",$R1801&amp;"|"&amp;$Q1801)</f>
        <v/>
      </c>
      <c r="T1801">
        <f>IF($A1801="","",$S1801&amp;"|"&amp;$F1801)</f>
        <v/>
      </c>
      <c r="U1801">
        <f>IF($A1801="","",$R1801&amp;"("&amp;$E1801&amp;")")</f>
        <v/>
      </c>
      <c r="V1801">
        <f>IF($A1801="","",$F1801&amp;"|"&amp;$U1801&amp;"|"&amp;$D1801)</f>
        <v/>
      </c>
      <c r="W1801">
        <f>IF($T1801="","",IF($X1801&gt;N($X1800),$X1801,""))</f>
        <v/>
      </c>
      <c r="X1801">
        <f>IF($T1801="",N($X1800),IF(MATCH($T1801,$T$6:$T$6005,0)=ROW()-5,N($X1800)+1,N($X1800)))</f>
        <v/>
      </c>
      <c r="Z1801">
        <f>IF($V1801="","",IF($AA1801&gt;N($AA1800),$AA1801,""))</f>
        <v/>
      </c>
      <c r="AA1801">
        <f>IF($V1801="",N($AA1800),IF(MATCH($V1801,$V$6:$V$6005,0)=ROW()-5,N($AA1800)+1,N($AA1800)))</f>
        <v/>
      </c>
    </row>
    <row r="1802" ht="21" customHeight="1" s="66">
      <c r="A1802" s="56" t="n"/>
      <c r="B1802" s="57" t="n"/>
      <c r="C1802" s="57" t="n"/>
      <c r="D1802" s="57" t="n"/>
      <c r="E1802" s="56" t="n"/>
      <c r="F1802" s="57" t="n"/>
      <c r="G1802" s="57" t="n"/>
      <c r="H1802" s="56" t="n"/>
      <c r="I1802" s="56" t="n"/>
      <c r="J1802" s="58" t="n"/>
      <c r="K1802" s="58" t="n"/>
      <c r="L1802" s="13">
        <f>IF(OR($A1802="",AND($J1802="",$K1802="")),"",ROUND(N($J1802)-N($K1802),2))</f>
        <v/>
      </c>
      <c r="M1802" s="13">
        <f>IF(OR($A1802="",AND($J1802="",$K1802="")),"",MIN($J1802,$K1802))</f>
        <v/>
      </c>
      <c r="Q1802">
        <f>IF($A1802="","",$D1802&amp;"("&amp;SUBSTITUTE($E1802," ","")&amp;")")</f>
        <v/>
      </c>
      <c r="R1802">
        <f>IF($A1802="","",$B1802&amp;" - "&amp;$C1802)</f>
        <v/>
      </c>
      <c r="S1802">
        <f>IF($A1802="","",$R1802&amp;"|"&amp;$Q1802)</f>
        <v/>
      </c>
      <c r="T1802">
        <f>IF($A1802="","",$S1802&amp;"|"&amp;$F1802)</f>
        <v/>
      </c>
      <c r="U1802">
        <f>IF($A1802="","",$R1802&amp;"("&amp;$E1802&amp;")")</f>
        <v/>
      </c>
      <c r="V1802">
        <f>IF($A1802="","",$F1802&amp;"|"&amp;$U1802&amp;"|"&amp;$D1802)</f>
        <v/>
      </c>
      <c r="W1802">
        <f>IF($T1802="","",IF($X1802&gt;N($X1801),$X1802,""))</f>
        <v/>
      </c>
      <c r="X1802">
        <f>IF($T1802="",N($X1801),IF(MATCH($T1802,$T$6:$T$6005,0)=ROW()-5,N($X1801)+1,N($X1801)))</f>
        <v/>
      </c>
      <c r="Z1802">
        <f>IF($V1802="","",IF($AA1802&gt;N($AA1801),$AA1802,""))</f>
        <v/>
      </c>
      <c r="AA1802">
        <f>IF($V1802="",N($AA1801),IF(MATCH($V1802,$V$6:$V$6005,0)=ROW()-5,N($AA1801)+1,N($AA1801)))</f>
        <v/>
      </c>
    </row>
    <row r="1803" ht="21" customHeight="1" s="66">
      <c r="A1803" s="56" t="n"/>
      <c r="B1803" s="57" t="n"/>
      <c r="C1803" s="57" t="n"/>
      <c r="D1803" s="57" t="n"/>
      <c r="E1803" s="56" t="n"/>
      <c r="F1803" s="57" t="n"/>
      <c r="G1803" s="57" t="n"/>
      <c r="H1803" s="56" t="n"/>
      <c r="I1803" s="56" t="n"/>
      <c r="J1803" s="58" t="n"/>
      <c r="K1803" s="58" t="n"/>
      <c r="L1803" s="13">
        <f>IF(OR($A1803="",AND($J1803="",$K1803="")),"",ROUND(N($J1803)-N($K1803),2))</f>
        <v/>
      </c>
      <c r="M1803" s="13">
        <f>IF(OR($A1803="",AND($J1803="",$K1803="")),"",MIN($J1803,$K1803))</f>
        <v/>
      </c>
      <c r="Q1803">
        <f>IF($A1803="","",$D1803&amp;"("&amp;SUBSTITUTE($E1803," ","")&amp;")")</f>
        <v/>
      </c>
      <c r="R1803">
        <f>IF($A1803="","",$B1803&amp;" - "&amp;$C1803)</f>
        <v/>
      </c>
      <c r="S1803">
        <f>IF($A1803="","",$R1803&amp;"|"&amp;$Q1803)</f>
        <v/>
      </c>
      <c r="T1803">
        <f>IF($A1803="","",$S1803&amp;"|"&amp;$F1803)</f>
        <v/>
      </c>
      <c r="U1803">
        <f>IF($A1803="","",$R1803&amp;"("&amp;$E1803&amp;")")</f>
        <v/>
      </c>
      <c r="V1803">
        <f>IF($A1803="","",$F1803&amp;"|"&amp;$U1803&amp;"|"&amp;$D1803)</f>
        <v/>
      </c>
      <c r="W1803">
        <f>IF($T1803="","",IF($X1803&gt;N($X1802),$X1803,""))</f>
        <v/>
      </c>
      <c r="X1803">
        <f>IF($T1803="",N($X1802),IF(MATCH($T1803,$T$6:$T$6005,0)=ROW()-5,N($X1802)+1,N($X1802)))</f>
        <v/>
      </c>
      <c r="Z1803">
        <f>IF($V1803="","",IF($AA1803&gt;N($AA1802),$AA1803,""))</f>
        <v/>
      </c>
      <c r="AA1803">
        <f>IF($V1803="",N($AA1802),IF(MATCH($V1803,$V$6:$V$6005,0)=ROW()-5,N($AA1802)+1,N($AA1802)))</f>
        <v/>
      </c>
    </row>
    <row r="1804" ht="21" customHeight="1" s="66">
      <c r="A1804" s="56" t="n"/>
      <c r="B1804" s="57" t="n"/>
      <c r="C1804" s="57" t="n"/>
      <c r="D1804" s="57" t="n"/>
      <c r="E1804" s="56" t="n"/>
      <c r="F1804" s="57" t="n"/>
      <c r="G1804" s="57" t="n"/>
      <c r="H1804" s="56" t="n"/>
      <c r="I1804" s="56" t="n"/>
      <c r="J1804" s="58" t="n"/>
      <c r="K1804" s="58" t="n"/>
      <c r="L1804" s="13">
        <f>IF(OR($A1804="",AND($J1804="",$K1804="")),"",ROUND(N($J1804)-N($K1804),2))</f>
        <v/>
      </c>
      <c r="M1804" s="13">
        <f>IF(OR($A1804="",AND($J1804="",$K1804="")),"",MIN($J1804,$K1804))</f>
        <v/>
      </c>
      <c r="Q1804">
        <f>IF($A1804="","",$D1804&amp;"("&amp;SUBSTITUTE($E1804," ","")&amp;")")</f>
        <v/>
      </c>
      <c r="R1804">
        <f>IF($A1804="","",$B1804&amp;" - "&amp;$C1804)</f>
        <v/>
      </c>
      <c r="S1804">
        <f>IF($A1804="","",$R1804&amp;"|"&amp;$Q1804)</f>
        <v/>
      </c>
      <c r="T1804">
        <f>IF($A1804="","",$S1804&amp;"|"&amp;$F1804)</f>
        <v/>
      </c>
      <c r="U1804">
        <f>IF($A1804="","",$R1804&amp;"("&amp;$E1804&amp;")")</f>
        <v/>
      </c>
      <c r="V1804">
        <f>IF($A1804="","",$F1804&amp;"|"&amp;$U1804&amp;"|"&amp;$D1804)</f>
        <v/>
      </c>
      <c r="W1804">
        <f>IF($T1804="","",IF($X1804&gt;N($X1803),$X1804,""))</f>
        <v/>
      </c>
      <c r="X1804">
        <f>IF($T1804="",N($X1803),IF(MATCH($T1804,$T$6:$T$6005,0)=ROW()-5,N($X1803)+1,N($X1803)))</f>
        <v/>
      </c>
      <c r="Z1804">
        <f>IF($V1804="","",IF($AA1804&gt;N($AA1803),$AA1804,""))</f>
        <v/>
      </c>
      <c r="AA1804">
        <f>IF($V1804="",N($AA1803),IF(MATCH($V1804,$V$6:$V$6005,0)=ROW()-5,N($AA1803)+1,N($AA1803)))</f>
        <v/>
      </c>
    </row>
    <row r="1805" ht="21" customHeight="1" s="66">
      <c r="A1805" s="56" t="n"/>
      <c r="B1805" s="57" t="n"/>
      <c r="C1805" s="57" t="n"/>
      <c r="D1805" s="57" t="n"/>
      <c r="E1805" s="56" t="n"/>
      <c r="F1805" s="57" t="n"/>
      <c r="G1805" s="57" t="n"/>
      <c r="H1805" s="56" t="n"/>
      <c r="I1805" s="56" t="n"/>
      <c r="J1805" s="58" t="n"/>
      <c r="K1805" s="58" t="n"/>
      <c r="L1805" s="13">
        <f>IF(OR($A1805="",AND($J1805="",$K1805="")),"",ROUND(N($J1805)-N($K1805),2))</f>
        <v/>
      </c>
      <c r="M1805" s="13">
        <f>IF(OR($A1805="",AND($J1805="",$K1805="")),"",MIN($J1805,$K1805))</f>
        <v/>
      </c>
      <c r="Q1805">
        <f>IF($A1805="","",$D1805&amp;"("&amp;SUBSTITUTE($E1805," ","")&amp;")")</f>
        <v/>
      </c>
      <c r="R1805">
        <f>IF($A1805="","",$B1805&amp;" - "&amp;$C1805)</f>
        <v/>
      </c>
      <c r="S1805">
        <f>IF($A1805="","",$R1805&amp;"|"&amp;$Q1805)</f>
        <v/>
      </c>
      <c r="T1805">
        <f>IF($A1805="","",$S1805&amp;"|"&amp;$F1805)</f>
        <v/>
      </c>
      <c r="U1805">
        <f>IF($A1805="","",$R1805&amp;"("&amp;$E1805&amp;")")</f>
        <v/>
      </c>
      <c r="V1805">
        <f>IF($A1805="","",$F1805&amp;"|"&amp;$U1805&amp;"|"&amp;$D1805)</f>
        <v/>
      </c>
      <c r="W1805">
        <f>IF($T1805="","",IF($X1805&gt;N($X1804),$X1805,""))</f>
        <v/>
      </c>
      <c r="X1805">
        <f>IF($T1805="",N($X1804),IF(MATCH($T1805,$T$6:$T$6005,0)=ROW()-5,N($X1804)+1,N($X1804)))</f>
        <v/>
      </c>
      <c r="Z1805">
        <f>IF($V1805="","",IF($AA1805&gt;N($AA1804),$AA1805,""))</f>
        <v/>
      </c>
      <c r="AA1805">
        <f>IF($V1805="",N($AA1804),IF(MATCH($V1805,$V$6:$V$6005,0)=ROW()-5,N($AA1804)+1,N($AA1804)))</f>
        <v/>
      </c>
    </row>
    <row r="1806" ht="21" customHeight="1" s="66">
      <c r="A1806" s="56" t="n"/>
      <c r="B1806" s="57" t="n"/>
      <c r="C1806" s="57" t="n"/>
      <c r="D1806" s="57" t="n"/>
      <c r="E1806" s="56" t="n"/>
      <c r="F1806" s="57" t="n"/>
      <c r="G1806" s="57" t="n"/>
      <c r="H1806" s="56" t="n"/>
      <c r="I1806" s="56" t="n"/>
      <c r="J1806" s="58" t="n"/>
      <c r="K1806" s="58" t="n"/>
      <c r="L1806" s="13">
        <f>IF(OR($A1806="",AND($J1806="",$K1806="")),"",ROUND(N($J1806)-N($K1806),2))</f>
        <v/>
      </c>
      <c r="M1806" s="13">
        <f>IF(OR($A1806="",AND($J1806="",$K1806="")),"",MIN($J1806,$K1806))</f>
        <v/>
      </c>
      <c r="Q1806">
        <f>IF($A1806="","",$D1806&amp;"("&amp;SUBSTITUTE($E1806," ","")&amp;")")</f>
        <v/>
      </c>
      <c r="R1806">
        <f>IF($A1806="","",$B1806&amp;" - "&amp;$C1806)</f>
        <v/>
      </c>
      <c r="S1806">
        <f>IF($A1806="","",$R1806&amp;"|"&amp;$Q1806)</f>
        <v/>
      </c>
      <c r="T1806">
        <f>IF($A1806="","",$S1806&amp;"|"&amp;$F1806)</f>
        <v/>
      </c>
      <c r="U1806">
        <f>IF($A1806="","",$R1806&amp;"("&amp;$E1806&amp;")")</f>
        <v/>
      </c>
      <c r="V1806">
        <f>IF($A1806="","",$F1806&amp;"|"&amp;$U1806&amp;"|"&amp;$D1806)</f>
        <v/>
      </c>
      <c r="W1806">
        <f>IF($T1806="","",IF($X1806&gt;N($X1805),$X1806,""))</f>
        <v/>
      </c>
      <c r="X1806">
        <f>IF($T1806="",N($X1805),IF(MATCH($T1806,$T$6:$T$6005,0)=ROW()-5,N($X1805)+1,N($X1805)))</f>
        <v/>
      </c>
      <c r="Z1806">
        <f>IF($V1806="","",IF($AA1806&gt;N($AA1805),$AA1806,""))</f>
        <v/>
      </c>
      <c r="AA1806">
        <f>IF($V1806="",N($AA1805),IF(MATCH($V1806,$V$6:$V$6005,0)=ROW()-5,N($AA1805)+1,N($AA1805)))</f>
        <v/>
      </c>
    </row>
    <row r="1807" ht="21" customHeight="1" s="66">
      <c r="A1807" s="56" t="n"/>
      <c r="B1807" s="57" t="n"/>
      <c r="C1807" s="57" t="n"/>
      <c r="D1807" s="57" t="n"/>
      <c r="E1807" s="56" t="n"/>
      <c r="F1807" s="57" t="n"/>
      <c r="G1807" s="57" t="n"/>
      <c r="H1807" s="56" t="n"/>
      <c r="I1807" s="56" t="n"/>
      <c r="J1807" s="58" t="n"/>
      <c r="K1807" s="58" t="n"/>
      <c r="L1807" s="13">
        <f>IF(OR($A1807="",AND($J1807="",$K1807="")),"",ROUND(N($J1807)-N($K1807),2))</f>
        <v/>
      </c>
      <c r="M1807" s="13">
        <f>IF(OR($A1807="",AND($J1807="",$K1807="")),"",MIN($J1807,$K1807))</f>
        <v/>
      </c>
      <c r="Q1807">
        <f>IF($A1807="","",$D1807&amp;"("&amp;SUBSTITUTE($E1807," ","")&amp;")")</f>
        <v/>
      </c>
      <c r="R1807">
        <f>IF($A1807="","",$B1807&amp;" - "&amp;$C1807)</f>
        <v/>
      </c>
      <c r="S1807">
        <f>IF($A1807="","",$R1807&amp;"|"&amp;$Q1807)</f>
        <v/>
      </c>
      <c r="T1807">
        <f>IF($A1807="","",$S1807&amp;"|"&amp;$F1807)</f>
        <v/>
      </c>
      <c r="U1807">
        <f>IF($A1807="","",$R1807&amp;"("&amp;$E1807&amp;")")</f>
        <v/>
      </c>
      <c r="V1807">
        <f>IF($A1807="","",$F1807&amp;"|"&amp;$U1807&amp;"|"&amp;$D1807)</f>
        <v/>
      </c>
      <c r="W1807">
        <f>IF($T1807="","",IF($X1807&gt;N($X1806),$X1807,""))</f>
        <v/>
      </c>
      <c r="X1807">
        <f>IF($T1807="",N($X1806),IF(MATCH($T1807,$T$6:$T$6005,0)=ROW()-5,N($X1806)+1,N($X1806)))</f>
        <v/>
      </c>
      <c r="Z1807">
        <f>IF($V1807="","",IF($AA1807&gt;N($AA1806),$AA1807,""))</f>
        <v/>
      </c>
      <c r="AA1807">
        <f>IF($V1807="",N($AA1806),IF(MATCH($V1807,$V$6:$V$6005,0)=ROW()-5,N($AA1806)+1,N($AA1806)))</f>
        <v/>
      </c>
    </row>
    <row r="1808" ht="21" customHeight="1" s="66">
      <c r="A1808" s="56" t="n"/>
      <c r="B1808" s="57" t="n"/>
      <c r="C1808" s="57" t="n"/>
      <c r="D1808" s="57" t="n"/>
      <c r="E1808" s="56" t="n"/>
      <c r="F1808" s="57" t="n"/>
      <c r="G1808" s="57" t="n"/>
      <c r="H1808" s="56" t="n"/>
      <c r="I1808" s="56" t="n"/>
      <c r="J1808" s="58" t="n"/>
      <c r="K1808" s="58" t="n"/>
      <c r="L1808" s="13">
        <f>IF(OR($A1808="",AND($J1808="",$K1808="")),"",ROUND(N($J1808)-N($K1808),2))</f>
        <v/>
      </c>
      <c r="M1808" s="13">
        <f>IF(OR($A1808="",AND($J1808="",$K1808="")),"",MIN($J1808,$K1808))</f>
        <v/>
      </c>
      <c r="Q1808">
        <f>IF($A1808="","",$D1808&amp;"("&amp;SUBSTITUTE($E1808," ","")&amp;")")</f>
        <v/>
      </c>
      <c r="R1808">
        <f>IF($A1808="","",$B1808&amp;" - "&amp;$C1808)</f>
        <v/>
      </c>
      <c r="S1808">
        <f>IF($A1808="","",$R1808&amp;"|"&amp;$Q1808)</f>
        <v/>
      </c>
      <c r="T1808">
        <f>IF($A1808="","",$S1808&amp;"|"&amp;$F1808)</f>
        <v/>
      </c>
      <c r="U1808">
        <f>IF($A1808="","",$R1808&amp;"("&amp;$E1808&amp;")")</f>
        <v/>
      </c>
      <c r="V1808">
        <f>IF($A1808="","",$F1808&amp;"|"&amp;$U1808&amp;"|"&amp;$D1808)</f>
        <v/>
      </c>
      <c r="W1808">
        <f>IF($T1808="","",IF($X1808&gt;N($X1807),$X1808,""))</f>
        <v/>
      </c>
      <c r="X1808">
        <f>IF($T1808="",N($X1807),IF(MATCH($T1808,$T$6:$T$6005,0)=ROW()-5,N($X1807)+1,N($X1807)))</f>
        <v/>
      </c>
      <c r="Z1808">
        <f>IF($V1808="","",IF($AA1808&gt;N($AA1807),$AA1808,""))</f>
        <v/>
      </c>
      <c r="AA1808">
        <f>IF($V1808="",N($AA1807),IF(MATCH($V1808,$V$6:$V$6005,0)=ROW()-5,N($AA1807)+1,N($AA1807)))</f>
        <v/>
      </c>
    </row>
    <row r="1809" ht="21" customHeight="1" s="66">
      <c r="A1809" s="56" t="n"/>
      <c r="B1809" s="57" t="n"/>
      <c r="C1809" s="57" t="n"/>
      <c r="D1809" s="57" t="n"/>
      <c r="E1809" s="56" t="n"/>
      <c r="F1809" s="57" t="n"/>
      <c r="G1809" s="57" t="n"/>
      <c r="H1809" s="56" t="n"/>
      <c r="I1809" s="56" t="n"/>
      <c r="J1809" s="58" t="n"/>
      <c r="K1809" s="58" t="n"/>
      <c r="L1809" s="13">
        <f>IF(OR($A1809="",AND($J1809="",$K1809="")),"",ROUND(N($J1809)-N($K1809),2))</f>
        <v/>
      </c>
      <c r="M1809" s="13">
        <f>IF(OR($A1809="",AND($J1809="",$K1809="")),"",MIN($J1809,$K1809))</f>
        <v/>
      </c>
      <c r="Q1809">
        <f>IF($A1809="","",$D1809&amp;"("&amp;SUBSTITUTE($E1809," ","")&amp;")")</f>
        <v/>
      </c>
      <c r="R1809">
        <f>IF($A1809="","",$B1809&amp;" - "&amp;$C1809)</f>
        <v/>
      </c>
      <c r="S1809">
        <f>IF($A1809="","",$R1809&amp;"|"&amp;$Q1809)</f>
        <v/>
      </c>
      <c r="T1809">
        <f>IF($A1809="","",$S1809&amp;"|"&amp;$F1809)</f>
        <v/>
      </c>
      <c r="U1809">
        <f>IF($A1809="","",$R1809&amp;"("&amp;$E1809&amp;")")</f>
        <v/>
      </c>
      <c r="V1809">
        <f>IF($A1809="","",$F1809&amp;"|"&amp;$U1809&amp;"|"&amp;$D1809)</f>
        <v/>
      </c>
      <c r="W1809">
        <f>IF($T1809="","",IF($X1809&gt;N($X1808),$X1809,""))</f>
        <v/>
      </c>
      <c r="X1809">
        <f>IF($T1809="",N($X1808),IF(MATCH($T1809,$T$6:$T$6005,0)=ROW()-5,N($X1808)+1,N($X1808)))</f>
        <v/>
      </c>
      <c r="Z1809">
        <f>IF($V1809="","",IF($AA1809&gt;N($AA1808),$AA1809,""))</f>
        <v/>
      </c>
      <c r="AA1809">
        <f>IF($V1809="",N($AA1808),IF(MATCH($V1809,$V$6:$V$6005,0)=ROW()-5,N($AA1808)+1,N($AA1808)))</f>
        <v/>
      </c>
    </row>
    <row r="1810" ht="21" customHeight="1" s="66">
      <c r="A1810" s="56" t="n"/>
      <c r="B1810" s="57" t="n"/>
      <c r="C1810" s="57" t="n"/>
      <c r="D1810" s="57" t="n"/>
      <c r="E1810" s="56" t="n"/>
      <c r="F1810" s="57" t="n"/>
      <c r="G1810" s="57" t="n"/>
      <c r="H1810" s="56" t="n"/>
      <c r="I1810" s="56" t="n"/>
      <c r="J1810" s="58" t="n"/>
      <c r="K1810" s="58" t="n"/>
      <c r="L1810" s="13">
        <f>IF(OR($A1810="",AND($J1810="",$K1810="")),"",ROUND(N($J1810)-N($K1810),2))</f>
        <v/>
      </c>
      <c r="M1810" s="13">
        <f>IF(OR($A1810="",AND($J1810="",$K1810="")),"",MIN($J1810,$K1810))</f>
        <v/>
      </c>
      <c r="Q1810">
        <f>IF($A1810="","",$D1810&amp;"("&amp;SUBSTITUTE($E1810," ","")&amp;")")</f>
        <v/>
      </c>
      <c r="R1810">
        <f>IF($A1810="","",$B1810&amp;" - "&amp;$C1810)</f>
        <v/>
      </c>
      <c r="S1810">
        <f>IF($A1810="","",$R1810&amp;"|"&amp;$Q1810)</f>
        <v/>
      </c>
      <c r="T1810">
        <f>IF($A1810="","",$S1810&amp;"|"&amp;$F1810)</f>
        <v/>
      </c>
      <c r="U1810">
        <f>IF($A1810="","",$R1810&amp;"("&amp;$E1810&amp;")")</f>
        <v/>
      </c>
      <c r="V1810">
        <f>IF($A1810="","",$F1810&amp;"|"&amp;$U1810&amp;"|"&amp;$D1810)</f>
        <v/>
      </c>
      <c r="W1810">
        <f>IF($T1810="","",IF($X1810&gt;N($X1809),$X1810,""))</f>
        <v/>
      </c>
      <c r="X1810">
        <f>IF($T1810="",N($X1809),IF(MATCH($T1810,$T$6:$T$6005,0)=ROW()-5,N($X1809)+1,N($X1809)))</f>
        <v/>
      </c>
      <c r="Z1810">
        <f>IF($V1810="","",IF($AA1810&gt;N($AA1809),$AA1810,""))</f>
        <v/>
      </c>
      <c r="AA1810">
        <f>IF($V1810="",N($AA1809),IF(MATCH($V1810,$V$6:$V$6005,0)=ROW()-5,N($AA1809)+1,N($AA1809)))</f>
        <v/>
      </c>
    </row>
    <row r="1811" ht="21" customHeight="1" s="66">
      <c r="A1811" s="56" t="n"/>
      <c r="B1811" s="57" t="n"/>
      <c r="C1811" s="57" t="n"/>
      <c r="D1811" s="57" t="n"/>
      <c r="E1811" s="56" t="n"/>
      <c r="F1811" s="57" t="n"/>
      <c r="G1811" s="57" t="n"/>
      <c r="H1811" s="56" t="n"/>
      <c r="I1811" s="56" t="n"/>
      <c r="J1811" s="58" t="n"/>
      <c r="K1811" s="58" t="n"/>
      <c r="L1811" s="13">
        <f>IF(OR($A1811="",AND($J1811="",$K1811="")),"",ROUND(N($J1811)-N($K1811),2))</f>
        <v/>
      </c>
      <c r="M1811" s="13">
        <f>IF(OR($A1811="",AND($J1811="",$K1811="")),"",MIN($J1811,$K1811))</f>
        <v/>
      </c>
      <c r="Q1811">
        <f>IF($A1811="","",$D1811&amp;"("&amp;SUBSTITUTE($E1811," ","")&amp;")")</f>
        <v/>
      </c>
      <c r="R1811">
        <f>IF($A1811="","",$B1811&amp;" - "&amp;$C1811)</f>
        <v/>
      </c>
      <c r="S1811">
        <f>IF($A1811="","",$R1811&amp;"|"&amp;$Q1811)</f>
        <v/>
      </c>
      <c r="T1811">
        <f>IF($A1811="","",$S1811&amp;"|"&amp;$F1811)</f>
        <v/>
      </c>
      <c r="U1811">
        <f>IF($A1811="","",$R1811&amp;"("&amp;$E1811&amp;")")</f>
        <v/>
      </c>
      <c r="V1811">
        <f>IF($A1811="","",$F1811&amp;"|"&amp;$U1811&amp;"|"&amp;$D1811)</f>
        <v/>
      </c>
      <c r="W1811">
        <f>IF($T1811="","",IF($X1811&gt;N($X1810),$X1811,""))</f>
        <v/>
      </c>
      <c r="X1811">
        <f>IF($T1811="",N($X1810),IF(MATCH($T1811,$T$6:$T$6005,0)=ROW()-5,N($X1810)+1,N($X1810)))</f>
        <v/>
      </c>
      <c r="Z1811">
        <f>IF($V1811="","",IF($AA1811&gt;N($AA1810),$AA1811,""))</f>
        <v/>
      </c>
      <c r="AA1811">
        <f>IF($V1811="",N($AA1810),IF(MATCH($V1811,$V$6:$V$6005,0)=ROW()-5,N($AA1810)+1,N($AA1810)))</f>
        <v/>
      </c>
    </row>
    <row r="1812" ht="21" customHeight="1" s="66">
      <c r="A1812" s="56" t="n"/>
      <c r="B1812" s="57" t="n"/>
      <c r="C1812" s="57" t="n"/>
      <c r="D1812" s="57" t="n"/>
      <c r="E1812" s="56" t="n"/>
      <c r="F1812" s="57" t="n"/>
      <c r="G1812" s="57" t="n"/>
      <c r="H1812" s="56" t="n"/>
      <c r="I1812" s="56" t="n"/>
      <c r="J1812" s="58" t="n"/>
      <c r="K1812" s="58" t="n"/>
      <c r="L1812" s="13">
        <f>IF(OR($A1812="",AND($J1812="",$K1812="")),"",ROUND(N($J1812)-N($K1812),2))</f>
        <v/>
      </c>
      <c r="M1812" s="13">
        <f>IF(OR($A1812="",AND($J1812="",$K1812="")),"",MIN($J1812,$K1812))</f>
        <v/>
      </c>
      <c r="Q1812">
        <f>IF($A1812="","",$D1812&amp;"("&amp;SUBSTITUTE($E1812," ","")&amp;")")</f>
        <v/>
      </c>
      <c r="R1812">
        <f>IF($A1812="","",$B1812&amp;" - "&amp;$C1812)</f>
        <v/>
      </c>
      <c r="S1812">
        <f>IF($A1812="","",$R1812&amp;"|"&amp;$Q1812)</f>
        <v/>
      </c>
      <c r="T1812">
        <f>IF($A1812="","",$S1812&amp;"|"&amp;$F1812)</f>
        <v/>
      </c>
      <c r="U1812">
        <f>IF($A1812="","",$R1812&amp;"("&amp;$E1812&amp;")")</f>
        <v/>
      </c>
      <c r="V1812">
        <f>IF($A1812="","",$F1812&amp;"|"&amp;$U1812&amp;"|"&amp;$D1812)</f>
        <v/>
      </c>
      <c r="W1812">
        <f>IF($T1812="","",IF($X1812&gt;N($X1811),$X1812,""))</f>
        <v/>
      </c>
      <c r="X1812">
        <f>IF($T1812="",N($X1811),IF(MATCH($T1812,$T$6:$T$6005,0)=ROW()-5,N($X1811)+1,N($X1811)))</f>
        <v/>
      </c>
      <c r="Z1812">
        <f>IF($V1812="","",IF($AA1812&gt;N($AA1811),$AA1812,""))</f>
        <v/>
      </c>
      <c r="AA1812">
        <f>IF($V1812="",N($AA1811),IF(MATCH($V1812,$V$6:$V$6005,0)=ROW()-5,N($AA1811)+1,N($AA1811)))</f>
        <v/>
      </c>
    </row>
    <row r="1813" ht="21" customHeight="1" s="66">
      <c r="A1813" s="56" t="n"/>
      <c r="B1813" s="57" t="n"/>
      <c r="C1813" s="57" t="n"/>
      <c r="D1813" s="57" t="n"/>
      <c r="E1813" s="56" t="n"/>
      <c r="F1813" s="57" t="n"/>
      <c r="G1813" s="57" t="n"/>
      <c r="H1813" s="56" t="n"/>
      <c r="I1813" s="56" t="n"/>
      <c r="J1813" s="58" t="n"/>
      <c r="K1813" s="58" t="n"/>
      <c r="L1813" s="13">
        <f>IF(OR($A1813="",AND($J1813="",$K1813="")),"",ROUND(N($J1813)-N($K1813),2))</f>
        <v/>
      </c>
      <c r="M1813" s="13">
        <f>IF(OR($A1813="",AND($J1813="",$K1813="")),"",MIN($J1813,$K1813))</f>
        <v/>
      </c>
      <c r="Q1813">
        <f>IF($A1813="","",$D1813&amp;"("&amp;SUBSTITUTE($E1813," ","")&amp;")")</f>
        <v/>
      </c>
      <c r="R1813">
        <f>IF($A1813="","",$B1813&amp;" - "&amp;$C1813)</f>
        <v/>
      </c>
      <c r="S1813">
        <f>IF($A1813="","",$R1813&amp;"|"&amp;$Q1813)</f>
        <v/>
      </c>
      <c r="T1813">
        <f>IF($A1813="","",$S1813&amp;"|"&amp;$F1813)</f>
        <v/>
      </c>
      <c r="U1813">
        <f>IF($A1813="","",$R1813&amp;"("&amp;$E1813&amp;")")</f>
        <v/>
      </c>
      <c r="V1813">
        <f>IF($A1813="","",$F1813&amp;"|"&amp;$U1813&amp;"|"&amp;$D1813)</f>
        <v/>
      </c>
      <c r="W1813">
        <f>IF($T1813="","",IF($X1813&gt;N($X1812),$X1813,""))</f>
        <v/>
      </c>
      <c r="X1813">
        <f>IF($T1813="",N($X1812),IF(MATCH($T1813,$T$6:$T$6005,0)=ROW()-5,N($X1812)+1,N($X1812)))</f>
        <v/>
      </c>
      <c r="Z1813">
        <f>IF($V1813="","",IF($AA1813&gt;N($AA1812),$AA1813,""))</f>
        <v/>
      </c>
      <c r="AA1813">
        <f>IF($V1813="",N($AA1812),IF(MATCH($V1813,$V$6:$V$6005,0)=ROW()-5,N($AA1812)+1,N($AA1812)))</f>
        <v/>
      </c>
    </row>
    <row r="1814" ht="21" customHeight="1" s="66">
      <c r="A1814" s="56" t="n"/>
      <c r="B1814" s="57" t="n"/>
      <c r="C1814" s="57" t="n"/>
      <c r="D1814" s="57" t="n"/>
      <c r="E1814" s="56" t="n"/>
      <c r="F1814" s="57" t="n"/>
      <c r="G1814" s="57" t="n"/>
      <c r="H1814" s="56" t="n"/>
      <c r="I1814" s="56" t="n"/>
      <c r="J1814" s="58" t="n"/>
      <c r="K1814" s="58" t="n"/>
      <c r="L1814" s="13">
        <f>IF(OR($A1814="",AND($J1814="",$K1814="")),"",ROUND(N($J1814)-N($K1814),2))</f>
        <v/>
      </c>
      <c r="M1814" s="13">
        <f>IF(OR($A1814="",AND($J1814="",$K1814="")),"",MIN($J1814,$K1814))</f>
        <v/>
      </c>
      <c r="Q1814">
        <f>IF($A1814="","",$D1814&amp;"("&amp;SUBSTITUTE($E1814," ","")&amp;")")</f>
        <v/>
      </c>
      <c r="R1814">
        <f>IF($A1814="","",$B1814&amp;" - "&amp;$C1814)</f>
        <v/>
      </c>
      <c r="S1814">
        <f>IF($A1814="","",$R1814&amp;"|"&amp;$Q1814)</f>
        <v/>
      </c>
      <c r="T1814">
        <f>IF($A1814="","",$S1814&amp;"|"&amp;$F1814)</f>
        <v/>
      </c>
      <c r="U1814">
        <f>IF($A1814="","",$R1814&amp;"("&amp;$E1814&amp;")")</f>
        <v/>
      </c>
      <c r="V1814">
        <f>IF($A1814="","",$F1814&amp;"|"&amp;$U1814&amp;"|"&amp;$D1814)</f>
        <v/>
      </c>
      <c r="W1814">
        <f>IF($T1814="","",IF($X1814&gt;N($X1813),$X1814,""))</f>
        <v/>
      </c>
      <c r="X1814">
        <f>IF($T1814="",N($X1813),IF(MATCH($T1814,$T$6:$T$6005,0)=ROW()-5,N($X1813)+1,N($X1813)))</f>
        <v/>
      </c>
      <c r="Z1814">
        <f>IF($V1814="","",IF($AA1814&gt;N($AA1813),$AA1814,""))</f>
        <v/>
      </c>
      <c r="AA1814">
        <f>IF($V1814="",N($AA1813),IF(MATCH($V1814,$V$6:$V$6005,0)=ROW()-5,N($AA1813)+1,N($AA1813)))</f>
        <v/>
      </c>
    </row>
    <row r="1815" ht="21" customHeight="1" s="66">
      <c r="A1815" s="56" t="n"/>
      <c r="B1815" s="57" t="n"/>
      <c r="C1815" s="57" t="n"/>
      <c r="D1815" s="57" t="n"/>
      <c r="E1815" s="56" t="n"/>
      <c r="F1815" s="57" t="n"/>
      <c r="G1815" s="57" t="n"/>
      <c r="H1815" s="56" t="n"/>
      <c r="I1815" s="56" t="n"/>
      <c r="J1815" s="58" t="n"/>
      <c r="K1815" s="58" t="n"/>
      <c r="L1815" s="13">
        <f>IF(OR($A1815="",AND($J1815="",$K1815="")),"",ROUND(N($J1815)-N($K1815),2))</f>
        <v/>
      </c>
      <c r="M1815" s="13">
        <f>IF(OR($A1815="",AND($J1815="",$K1815="")),"",MIN($J1815,$K1815))</f>
        <v/>
      </c>
      <c r="Q1815">
        <f>IF($A1815="","",$D1815&amp;"("&amp;SUBSTITUTE($E1815," ","")&amp;")")</f>
        <v/>
      </c>
      <c r="R1815">
        <f>IF($A1815="","",$B1815&amp;" - "&amp;$C1815)</f>
        <v/>
      </c>
      <c r="S1815">
        <f>IF($A1815="","",$R1815&amp;"|"&amp;$Q1815)</f>
        <v/>
      </c>
      <c r="T1815">
        <f>IF($A1815="","",$S1815&amp;"|"&amp;$F1815)</f>
        <v/>
      </c>
      <c r="U1815">
        <f>IF($A1815="","",$R1815&amp;"("&amp;$E1815&amp;")")</f>
        <v/>
      </c>
      <c r="V1815">
        <f>IF($A1815="","",$F1815&amp;"|"&amp;$U1815&amp;"|"&amp;$D1815)</f>
        <v/>
      </c>
      <c r="W1815">
        <f>IF($T1815="","",IF($X1815&gt;N($X1814),$X1815,""))</f>
        <v/>
      </c>
      <c r="X1815">
        <f>IF($T1815="",N($X1814),IF(MATCH($T1815,$T$6:$T$6005,0)=ROW()-5,N($X1814)+1,N($X1814)))</f>
        <v/>
      </c>
      <c r="Z1815">
        <f>IF($V1815="","",IF($AA1815&gt;N($AA1814),$AA1815,""))</f>
        <v/>
      </c>
      <c r="AA1815">
        <f>IF($V1815="",N($AA1814),IF(MATCH($V1815,$V$6:$V$6005,0)=ROW()-5,N($AA1814)+1,N($AA1814)))</f>
        <v/>
      </c>
    </row>
    <row r="1816" ht="21" customHeight="1" s="66">
      <c r="A1816" s="56" t="n"/>
      <c r="B1816" s="57" t="n"/>
      <c r="C1816" s="57" t="n"/>
      <c r="D1816" s="57" t="n"/>
      <c r="E1816" s="56" t="n"/>
      <c r="F1816" s="57" t="n"/>
      <c r="G1816" s="57" t="n"/>
      <c r="H1816" s="56" t="n"/>
      <c r="I1816" s="56" t="n"/>
      <c r="J1816" s="58" t="n"/>
      <c r="K1816" s="58" t="n"/>
      <c r="L1816" s="13">
        <f>IF(OR($A1816="",AND($J1816="",$K1816="")),"",ROUND(N($J1816)-N($K1816),2))</f>
        <v/>
      </c>
      <c r="M1816" s="13">
        <f>IF(OR($A1816="",AND($J1816="",$K1816="")),"",MIN($J1816,$K1816))</f>
        <v/>
      </c>
      <c r="Q1816">
        <f>IF($A1816="","",$D1816&amp;"("&amp;SUBSTITUTE($E1816," ","")&amp;")")</f>
        <v/>
      </c>
      <c r="R1816">
        <f>IF($A1816="","",$B1816&amp;" - "&amp;$C1816)</f>
        <v/>
      </c>
      <c r="S1816">
        <f>IF($A1816="","",$R1816&amp;"|"&amp;$Q1816)</f>
        <v/>
      </c>
      <c r="T1816">
        <f>IF($A1816="","",$S1816&amp;"|"&amp;$F1816)</f>
        <v/>
      </c>
      <c r="U1816">
        <f>IF($A1816="","",$R1816&amp;"("&amp;$E1816&amp;")")</f>
        <v/>
      </c>
      <c r="V1816">
        <f>IF($A1816="","",$F1816&amp;"|"&amp;$U1816&amp;"|"&amp;$D1816)</f>
        <v/>
      </c>
      <c r="W1816">
        <f>IF($T1816="","",IF($X1816&gt;N($X1815),$X1816,""))</f>
        <v/>
      </c>
      <c r="X1816">
        <f>IF($T1816="",N($X1815),IF(MATCH($T1816,$T$6:$T$6005,0)=ROW()-5,N($X1815)+1,N($X1815)))</f>
        <v/>
      </c>
      <c r="Z1816">
        <f>IF($V1816="","",IF($AA1816&gt;N($AA1815),$AA1816,""))</f>
        <v/>
      </c>
      <c r="AA1816">
        <f>IF($V1816="",N($AA1815),IF(MATCH($V1816,$V$6:$V$6005,0)=ROW()-5,N($AA1815)+1,N($AA1815)))</f>
        <v/>
      </c>
    </row>
    <row r="1817" ht="21" customHeight="1" s="66">
      <c r="A1817" s="56" t="n"/>
      <c r="B1817" s="57" t="n"/>
      <c r="C1817" s="57" t="n"/>
      <c r="D1817" s="57" t="n"/>
      <c r="E1817" s="56" t="n"/>
      <c r="F1817" s="57" t="n"/>
      <c r="G1817" s="57" t="n"/>
      <c r="H1817" s="56" t="n"/>
      <c r="I1817" s="56" t="n"/>
      <c r="J1817" s="58" t="n"/>
      <c r="K1817" s="58" t="n"/>
      <c r="L1817" s="13">
        <f>IF(OR($A1817="",AND($J1817="",$K1817="")),"",ROUND(N($J1817)-N($K1817),2))</f>
        <v/>
      </c>
      <c r="M1817" s="13">
        <f>IF(OR($A1817="",AND($J1817="",$K1817="")),"",MIN($J1817,$K1817))</f>
        <v/>
      </c>
      <c r="Q1817">
        <f>IF($A1817="","",$D1817&amp;"("&amp;SUBSTITUTE($E1817," ","")&amp;")")</f>
        <v/>
      </c>
      <c r="R1817">
        <f>IF($A1817="","",$B1817&amp;" - "&amp;$C1817)</f>
        <v/>
      </c>
      <c r="S1817">
        <f>IF($A1817="","",$R1817&amp;"|"&amp;$Q1817)</f>
        <v/>
      </c>
      <c r="T1817">
        <f>IF($A1817="","",$S1817&amp;"|"&amp;$F1817)</f>
        <v/>
      </c>
      <c r="U1817">
        <f>IF($A1817="","",$R1817&amp;"("&amp;$E1817&amp;")")</f>
        <v/>
      </c>
      <c r="V1817">
        <f>IF($A1817="","",$F1817&amp;"|"&amp;$U1817&amp;"|"&amp;$D1817)</f>
        <v/>
      </c>
      <c r="W1817">
        <f>IF($T1817="","",IF($X1817&gt;N($X1816),$X1817,""))</f>
        <v/>
      </c>
      <c r="X1817">
        <f>IF($T1817="",N($X1816),IF(MATCH($T1817,$T$6:$T$6005,0)=ROW()-5,N($X1816)+1,N($X1816)))</f>
        <v/>
      </c>
      <c r="Z1817">
        <f>IF($V1817="","",IF($AA1817&gt;N($AA1816),$AA1817,""))</f>
        <v/>
      </c>
      <c r="AA1817">
        <f>IF($V1817="",N($AA1816),IF(MATCH($V1817,$V$6:$V$6005,0)=ROW()-5,N($AA1816)+1,N($AA1816)))</f>
        <v/>
      </c>
    </row>
    <row r="1818" ht="21" customHeight="1" s="66">
      <c r="A1818" s="56" t="n"/>
      <c r="B1818" s="57" t="n"/>
      <c r="C1818" s="57" t="n"/>
      <c r="D1818" s="57" t="n"/>
      <c r="E1818" s="56" t="n"/>
      <c r="F1818" s="57" t="n"/>
      <c r="G1818" s="57" t="n"/>
      <c r="H1818" s="56" t="n"/>
      <c r="I1818" s="56" t="n"/>
      <c r="J1818" s="58" t="n"/>
      <c r="K1818" s="58" t="n"/>
      <c r="L1818" s="13">
        <f>IF(OR($A1818="",AND($J1818="",$K1818="")),"",ROUND(N($J1818)-N($K1818),2))</f>
        <v/>
      </c>
      <c r="M1818" s="13">
        <f>IF(OR($A1818="",AND($J1818="",$K1818="")),"",MIN($J1818,$K1818))</f>
        <v/>
      </c>
      <c r="Q1818">
        <f>IF($A1818="","",$D1818&amp;"("&amp;SUBSTITUTE($E1818," ","")&amp;")")</f>
        <v/>
      </c>
      <c r="R1818">
        <f>IF($A1818="","",$B1818&amp;" - "&amp;$C1818)</f>
        <v/>
      </c>
      <c r="S1818">
        <f>IF($A1818="","",$R1818&amp;"|"&amp;$Q1818)</f>
        <v/>
      </c>
      <c r="T1818">
        <f>IF($A1818="","",$S1818&amp;"|"&amp;$F1818)</f>
        <v/>
      </c>
      <c r="U1818">
        <f>IF($A1818="","",$R1818&amp;"("&amp;$E1818&amp;")")</f>
        <v/>
      </c>
      <c r="V1818">
        <f>IF($A1818="","",$F1818&amp;"|"&amp;$U1818&amp;"|"&amp;$D1818)</f>
        <v/>
      </c>
      <c r="W1818">
        <f>IF($T1818="","",IF($X1818&gt;N($X1817),$X1818,""))</f>
        <v/>
      </c>
      <c r="X1818">
        <f>IF($T1818="",N($X1817),IF(MATCH($T1818,$T$6:$T$6005,0)=ROW()-5,N($X1817)+1,N($X1817)))</f>
        <v/>
      </c>
      <c r="Z1818">
        <f>IF($V1818="","",IF($AA1818&gt;N($AA1817),$AA1818,""))</f>
        <v/>
      </c>
      <c r="AA1818">
        <f>IF($V1818="",N($AA1817),IF(MATCH($V1818,$V$6:$V$6005,0)=ROW()-5,N($AA1817)+1,N($AA1817)))</f>
        <v/>
      </c>
    </row>
    <row r="1819" ht="21" customHeight="1" s="66">
      <c r="A1819" s="56" t="n"/>
      <c r="B1819" s="57" t="n"/>
      <c r="C1819" s="57" t="n"/>
      <c r="D1819" s="57" t="n"/>
      <c r="E1819" s="56" t="n"/>
      <c r="F1819" s="57" t="n"/>
      <c r="G1819" s="57" t="n"/>
      <c r="H1819" s="56" t="n"/>
      <c r="I1819" s="56" t="n"/>
      <c r="J1819" s="58" t="n"/>
      <c r="K1819" s="58" t="n"/>
      <c r="L1819" s="13">
        <f>IF(OR($A1819="",AND($J1819="",$K1819="")),"",ROUND(N($J1819)-N($K1819),2))</f>
        <v/>
      </c>
      <c r="M1819" s="13">
        <f>IF(OR($A1819="",AND($J1819="",$K1819="")),"",MIN($J1819,$K1819))</f>
        <v/>
      </c>
      <c r="Q1819">
        <f>IF($A1819="","",$D1819&amp;"("&amp;SUBSTITUTE($E1819," ","")&amp;")")</f>
        <v/>
      </c>
      <c r="R1819">
        <f>IF($A1819="","",$B1819&amp;" - "&amp;$C1819)</f>
        <v/>
      </c>
      <c r="S1819">
        <f>IF($A1819="","",$R1819&amp;"|"&amp;$Q1819)</f>
        <v/>
      </c>
      <c r="T1819">
        <f>IF($A1819="","",$S1819&amp;"|"&amp;$F1819)</f>
        <v/>
      </c>
      <c r="U1819">
        <f>IF($A1819="","",$R1819&amp;"("&amp;$E1819&amp;")")</f>
        <v/>
      </c>
      <c r="V1819">
        <f>IF($A1819="","",$F1819&amp;"|"&amp;$U1819&amp;"|"&amp;$D1819)</f>
        <v/>
      </c>
      <c r="W1819">
        <f>IF($T1819="","",IF($X1819&gt;N($X1818),$X1819,""))</f>
        <v/>
      </c>
      <c r="X1819">
        <f>IF($T1819="",N($X1818),IF(MATCH($T1819,$T$6:$T$6005,0)=ROW()-5,N($X1818)+1,N($X1818)))</f>
        <v/>
      </c>
      <c r="Z1819">
        <f>IF($V1819="","",IF($AA1819&gt;N($AA1818),$AA1819,""))</f>
        <v/>
      </c>
      <c r="AA1819">
        <f>IF($V1819="",N($AA1818),IF(MATCH($V1819,$V$6:$V$6005,0)=ROW()-5,N($AA1818)+1,N($AA1818)))</f>
        <v/>
      </c>
    </row>
    <row r="1820" ht="21" customHeight="1" s="66">
      <c r="A1820" s="56" t="n"/>
      <c r="B1820" s="57" t="n"/>
      <c r="C1820" s="57" t="n"/>
      <c r="D1820" s="57" t="n"/>
      <c r="E1820" s="56" t="n"/>
      <c r="F1820" s="57" t="n"/>
      <c r="G1820" s="57" t="n"/>
      <c r="H1820" s="56" t="n"/>
      <c r="I1820" s="56" t="n"/>
      <c r="J1820" s="58" t="n"/>
      <c r="K1820" s="58" t="n"/>
      <c r="L1820" s="13">
        <f>IF(OR($A1820="",AND($J1820="",$K1820="")),"",ROUND(N($J1820)-N($K1820),2))</f>
        <v/>
      </c>
      <c r="M1820" s="13">
        <f>IF(OR($A1820="",AND($J1820="",$K1820="")),"",MIN($J1820,$K1820))</f>
        <v/>
      </c>
      <c r="Q1820">
        <f>IF($A1820="","",$D1820&amp;"("&amp;SUBSTITUTE($E1820," ","")&amp;")")</f>
        <v/>
      </c>
      <c r="R1820">
        <f>IF($A1820="","",$B1820&amp;" - "&amp;$C1820)</f>
        <v/>
      </c>
      <c r="S1820">
        <f>IF($A1820="","",$R1820&amp;"|"&amp;$Q1820)</f>
        <v/>
      </c>
      <c r="T1820">
        <f>IF($A1820="","",$S1820&amp;"|"&amp;$F1820)</f>
        <v/>
      </c>
      <c r="U1820">
        <f>IF($A1820="","",$R1820&amp;"("&amp;$E1820&amp;")")</f>
        <v/>
      </c>
      <c r="V1820">
        <f>IF($A1820="","",$F1820&amp;"|"&amp;$U1820&amp;"|"&amp;$D1820)</f>
        <v/>
      </c>
      <c r="W1820">
        <f>IF($T1820="","",IF($X1820&gt;N($X1819),$X1820,""))</f>
        <v/>
      </c>
      <c r="X1820">
        <f>IF($T1820="",N($X1819),IF(MATCH($T1820,$T$6:$T$6005,0)=ROW()-5,N($X1819)+1,N($X1819)))</f>
        <v/>
      </c>
      <c r="Z1820">
        <f>IF($V1820="","",IF($AA1820&gt;N($AA1819),$AA1820,""))</f>
        <v/>
      </c>
      <c r="AA1820">
        <f>IF($V1820="",N($AA1819),IF(MATCH($V1820,$V$6:$V$6005,0)=ROW()-5,N($AA1819)+1,N($AA1819)))</f>
        <v/>
      </c>
    </row>
    <row r="1821" ht="21" customHeight="1" s="66">
      <c r="A1821" s="56" t="n"/>
      <c r="B1821" s="57" t="n"/>
      <c r="C1821" s="57" t="n"/>
      <c r="D1821" s="57" t="n"/>
      <c r="E1821" s="56" t="n"/>
      <c r="F1821" s="57" t="n"/>
      <c r="G1821" s="57" t="n"/>
      <c r="H1821" s="56" t="n"/>
      <c r="I1821" s="56" t="n"/>
      <c r="J1821" s="58" t="n"/>
      <c r="K1821" s="58" t="n"/>
      <c r="L1821" s="13">
        <f>IF(OR($A1821="",AND($J1821="",$K1821="")),"",ROUND(N($J1821)-N($K1821),2))</f>
        <v/>
      </c>
      <c r="M1821" s="13">
        <f>IF(OR($A1821="",AND($J1821="",$K1821="")),"",MIN($J1821,$K1821))</f>
        <v/>
      </c>
      <c r="Q1821">
        <f>IF($A1821="","",$D1821&amp;"("&amp;SUBSTITUTE($E1821," ","")&amp;")")</f>
        <v/>
      </c>
      <c r="R1821">
        <f>IF($A1821="","",$B1821&amp;" - "&amp;$C1821)</f>
        <v/>
      </c>
      <c r="S1821">
        <f>IF($A1821="","",$R1821&amp;"|"&amp;$Q1821)</f>
        <v/>
      </c>
      <c r="T1821">
        <f>IF($A1821="","",$S1821&amp;"|"&amp;$F1821)</f>
        <v/>
      </c>
      <c r="U1821">
        <f>IF($A1821="","",$R1821&amp;"("&amp;$E1821&amp;")")</f>
        <v/>
      </c>
      <c r="V1821">
        <f>IF($A1821="","",$F1821&amp;"|"&amp;$U1821&amp;"|"&amp;$D1821)</f>
        <v/>
      </c>
      <c r="W1821">
        <f>IF($T1821="","",IF($X1821&gt;N($X1820),$X1821,""))</f>
        <v/>
      </c>
      <c r="X1821">
        <f>IF($T1821="",N($X1820),IF(MATCH($T1821,$T$6:$T$6005,0)=ROW()-5,N($X1820)+1,N($X1820)))</f>
        <v/>
      </c>
      <c r="Z1821">
        <f>IF($V1821="","",IF($AA1821&gt;N($AA1820),$AA1821,""))</f>
        <v/>
      </c>
      <c r="AA1821">
        <f>IF($V1821="",N($AA1820),IF(MATCH($V1821,$V$6:$V$6005,0)=ROW()-5,N($AA1820)+1,N($AA1820)))</f>
        <v/>
      </c>
    </row>
    <row r="1822" ht="21" customHeight="1" s="66">
      <c r="A1822" s="56" t="n"/>
      <c r="B1822" s="57" t="n"/>
      <c r="C1822" s="57" t="n"/>
      <c r="D1822" s="57" t="n"/>
      <c r="E1822" s="56" t="n"/>
      <c r="F1822" s="57" t="n"/>
      <c r="G1822" s="57" t="n"/>
      <c r="H1822" s="56" t="n"/>
      <c r="I1822" s="56" t="n"/>
      <c r="J1822" s="58" t="n"/>
      <c r="K1822" s="58" t="n"/>
      <c r="L1822" s="13">
        <f>IF(OR($A1822="",AND($J1822="",$K1822="")),"",ROUND(N($J1822)-N($K1822),2))</f>
        <v/>
      </c>
      <c r="M1822" s="13">
        <f>IF(OR($A1822="",AND($J1822="",$K1822="")),"",MIN($J1822,$K1822))</f>
        <v/>
      </c>
      <c r="Q1822">
        <f>IF($A1822="","",$D1822&amp;"("&amp;SUBSTITUTE($E1822," ","")&amp;")")</f>
        <v/>
      </c>
      <c r="R1822">
        <f>IF($A1822="","",$B1822&amp;" - "&amp;$C1822)</f>
        <v/>
      </c>
      <c r="S1822">
        <f>IF($A1822="","",$R1822&amp;"|"&amp;$Q1822)</f>
        <v/>
      </c>
      <c r="T1822">
        <f>IF($A1822="","",$S1822&amp;"|"&amp;$F1822)</f>
        <v/>
      </c>
      <c r="U1822">
        <f>IF($A1822="","",$R1822&amp;"("&amp;$E1822&amp;")")</f>
        <v/>
      </c>
      <c r="V1822">
        <f>IF($A1822="","",$F1822&amp;"|"&amp;$U1822&amp;"|"&amp;$D1822)</f>
        <v/>
      </c>
      <c r="W1822">
        <f>IF($T1822="","",IF($X1822&gt;N($X1821),$X1822,""))</f>
        <v/>
      </c>
      <c r="X1822">
        <f>IF($T1822="",N($X1821),IF(MATCH($T1822,$T$6:$T$6005,0)=ROW()-5,N($X1821)+1,N($X1821)))</f>
        <v/>
      </c>
      <c r="Z1822">
        <f>IF($V1822="","",IF($AA1822&gt;N($AA1821),$AA1822,""))</f>
        <v/>
      </c>
      <c r="AA1822">
        <f>IF($V1822="",N($AA1821),IF(MATCH($V1822,$V$6:$V$6005,0)=ROW()-5,N($AA1821)+1,N($AA1821)))</f>
        <v/>
      </c>
    </row>
    <row r="1823" ht="21" customHeight="1" s="66">
      <c r="A1823" s="56" t="n"/>
      <c r="B1823" s="57" t="n"/>
      <c r="C1823" s="57" t="n"/>
      <c r="D1823" s="57" t="n"/>
      <c r="E1823" s="56" t="n"/>
      <c r="F1823" s="57" t="n"/>
      <c r="G1823" s="57" t="n"/>
      <c r="H1823" s="56" t="n"/>
      <c r="I1823" s="56" t="n"/>
      <c r="J1823" s="58" t="n"/>
      <c r="K1823" s="58" t="n"/>
      <c r="L1823" s="13">
        <f>IF(OR($A1823="",AND($J1823="",$K1823="")),"",ROUND(N($J1823)-N($K1823),2))</f>
        <v/>
      </c>
      <c r="M1823" s="13">
        <f>IF(OR($A1823="",AND($J1823="",$K1823="")),"",MIN($J1823,$K1823))</f>
        <v/>
      </c>
      <c r="Q1823">
        <f>IF($A1823="","",$D1823&amp;"("&amp;SUBSTITUTE($E1823," ","")&amp;")")</f>
        <v/>
      </c>
      <c r="R1823">
        <f>IF($A1823="","",$B1823&amp;" - "&amp;$C1823)</f>
        <v/>
      </c>
      <c r="S1823">
        <f>IF($A1823="","",$R1823&amp;"|"&amp;$Q1823)</f>
        <v/>
      </c>
      <c r="T1823">
        <f>IF($A1823="","",$S1823&amp;"|"&amp;$F1823)</f>
        <v/>
      </c>
      <c r="U1823">
        <f>IF($A1823="","",$R1823&amp;"("&amp;$E1823&amp;")")</f>
        <v/>
      </c>
      <c r="V1823">
        <f>IF($A1823="","",$F1823&amp;"|"&amp;$U1823&amp;"|"&amp;$D1823)</f>
        <v/>
      </c>
      <c r="W1823">
        <f>IF($T1823="","",IF($X1823&gt;N($X1822),$X1823,""))</f>
        <v/>
      </c>
      <c r="X1823">
        <f>IF($T1823="",N($X1822),IF(MATCH($T1823,$T$6:$T$6005,0)=ROW()-5,N($X1822)+1,N($X1822)))</f>
        <v/>
      </c>
      <c r="Z1823">
        <f>IF($V1823="","",IF($AA1823&gt;N($AA1822),$AA1823,""))</f>
        <v/>
      </c>
      <c r="AA1823">
        <f>IF($V1823="",N($AA1822),IF(MATCH($V1823,$V$6:$V$6005,0)=ROW()-5,N($AA1822)+1,N($AA1822)))</f>
        <v/>
      </c>
    </row>
    <row r="1824" ht="21" customHeight="1" s="66">
      <c r="A1824" s="56" t="n"/>
      <c r="B1824" s="57" t="n"/>
      <c r="C1824" s="57" t="n"/>
      <c r="D1824" s="57" t="n"/>
      <c r="E1824" s="56" t="n"/>
      <c r="F1824" s="57" t="n"/>
      <c r="G1824" s="57" t="n"/>
      <c r="H1824" s="56" t="n"/>
      <c r="I1824" s="56" t="n"/>
      <c r="J1824" s="58" t="n"/>
      <c r="K1824" s="58" t="n"/>
      <c r="L1824" s="13">
        <f>IF(OR($A1824="",AND($J1824="",$K1824="")),"",ROUND(N($J1824)-N($K1824),2))</f>
        <v/>
      </c>
      <c r="M1824" s="13">
        <f>IF(OR($A1824="",AND($J1824="",$K1824="")),"",MIN($J1824,$K1824))</f>
        <v/>
      </c>
      <c r="Q1824">
        <f>IF($A1824="","",$D1824&amp;"("&amp;SUBSTITUTE($E1824," ","")&amp;")")</f>
        <v/>
      </c>
      <c r="R1824">
        <f>IF($A1824="","",$B1824&amp;" - "&amp;$C1824)</f>
        <v/>
      </c>
      <c r="S1824">
        <f>IF($A1824="","",$R1824&amp;"|"&amp;$Q1824)</f>
        <v/>
      </c>
      <c r="T1824">
        <f>IF($A1824="","",$S1824&amp;"|"&amp;$F1824)</f>
        <v/>
      </c>
      <c r="U1824">
        <f>IF($A1824="","",$R1824&amp;"("&amp;$E1824&amp;")")</f>
        <v/>
      </c>
      <c r="V1824">
        <f>IF($A1824="","",$F1824&amp;"|"&amp;$U1824&amp;"|"&amp;$D1824)</f>
        <v/>
      </c>
      <c r="W1824">
        <f>IF($T1824="","",IF($X1824&gt;N($X1823),$X1824,""))</f>
        <v/>
      </c>
      <c r="X1824">
        <f>IF($T1824="",N($X1823),IF(MATCH($T1824,$T$6:$T$6005,0)=ROW()-5,N($X1823)+1,N($X1823)))</f>
        <v/>
      </c>
      <c r="Z1824">
        <f>IF($V1824="","",IF($AA1824&gt;N($AA1823),$AA1824,""))</f>
        <v/>
      </c>
      <c r="AA1824">
        <f>IF($V1824="",N($AA1823),IF(MATCH($V1824,$V$6:$V$6005,0)=ROW()-5,N($AA1823)+1,N($AA1823)))</f>
        <v/>
      </c>
    </row>
    <row r="1825" ht="21" customHeight="1" s="66">
      <c r="A1825" s="56" t="n"/>
      <c r="B1825" s="57" t="n"/>
      <c r="C1825" s="57" t="n"/>
      <c r="D1825" s="57" t="n"/>
      <c r="E1825" s="56" t="n"/>
      <c r="F1825" s="57" t="n"/>
      <c r="G1825" s="57" t="n"/>
      <c r="H1825" s="56" t="n"/>
      <c r="I1825" s="56" t="n"/>
      <c r="J1825" s="58" t="n"/>
      <c r="K1825" s="58" t="n"/>
      <c r="L1825" s="13">
        <f>IF(OR($A1825="",AND($J1825="",$K1825="")),"",ROUND(N($J1825)-N($K1825),2))</f>
        <v/>
      </c>
      <c r="M1825" s="13">
        <f>IF(OR($A1825="",AND($J1825="",$K1825="")),"",MIN($J1825,$K1825))</f>
        <v/>
      </c>
      <c r="Q1825">
        <f>IF($A1825="","",$D1825&amp;"("&amp;SUBSTITUTE($E1825," ","")&amp;")")</f>
        <v/>
      </c>
      <c r="R1825">
        <f>IF($A1825="","",$B1825&amp;" - "&amp;$C1825)</f>
        <v/>
      </c>
      <c r="S1825">
        <f>IF($A1825="","",$R1825&amp;"|"&amp;$Q1825)</f>
        <v/>
      </c>
      <c r="T1825">
        <f>IF($A1825="","",$S1825&amp;"|"&amp;$F1825)</f>
        <v/>
      </c>
      <c r="U1825">
        <f>IF($A1825="","",$R1825&amp;"("&amp;$E1825&amp;")")</f>
        <v/>
      </c>
      <c r="V1825">
        <f>IF($A1825="","",$F1825&amp;"|"&amp;$U1825&amp;"|"&amp;$D1825)</f>
        <v/>
      </c>
      <c r="W1825">
        <f>IF($T1825="","",IF($X1825&gt;N($X1824),$X1825,""))</f>
        <v/>
      </c>
      <c r="X1825">
        <f>IF($T1825="",N($X1824),IF(MATCH($T1825,$T$6:$T$6005,0)=ROW()-5,N($X1824)+1,N($X1824)))</f>
        <v/>
      </c>
      <c r="Z1825">
        <f>IF($V1825="","",IF($AA1825&gt;N($AA1824),$AA1825,""))</f>
        <v/>
      </c>
      <c r="AA1825">
        <f>IF($V1825="",N($AA1824),IF(MATCH($V1825,$V$6:$V$6005,0)=ROW()-5,N($AA1824)+1,N($AA1824)))</f>
        <v/>
      </c>
    </row>
    <row r="1826" ht="21" customHeight="1" s="66">
      <c r="A1826" s="56" t="n"/>
      <c r="B1826" s="57" t="n"/>
      <c r="C1826" s="57" t="n"/>
      <c r="D1826" s="57" t="n"/>
      <c r="E1826" s="56" t="n"/>
      <c r="F1826" s="57" t="n"/>
      <c r="G1826" s="57" t="n"/>
      <c r="H1826" s="56" t="n"/>
      <c r="I1826" s="56" t="n"/>
      <c r="J1826" s="58" t="n"/>
      <c r="K1826" s="58" t="n"/>
      <c r="L1826" s="13">
        <f>IF(OR($A1826="",AND($J1826="",$K1826="")),"",ROUND(N($J1826)-N($K1826),2))</f>
        <v/>
      </c>
      <c r="M1826" s="13">
        <f>IF(OR($A1826="",AND($J1826="",$K1826="")),"",MIN($J1826,$K1826))</f>
        <v/>
      </c>
      <c r="Q1826">
        <f>IF($A1826="","",$D1826&amp;"("&amp;SUBSTITUTE($E1826," ","")&amp;")")</f>
        <v/>
      </c>
      <c r="R1826">
        <f>IF($A1826="","",$B1826&amp;" - "&amp;$C1826)</f>
        <v/>
      </c>
      <c r="S1826">
        <f>IF($A1826="","",$R1826&amp;"|"&amp;$Q1826)</f>
        <v/>
      </c>
      <c r="T1826">
        <f>IF($A1826="","",$S1826&amp;"|"&amp;$F1826)</f>
        <v/>
      </c>
      <c r="U1826">
        <f>IF($A1826="","",$R1826&amp;"("&amp;$E1826&amp;")")</f>
        <v/>
      </c>
      <c r="V1826">
        <f>IF($A1826="","",$F1826&amp;"|"&amp;$U1826&amp;"|"&amp;$D1826)</f>
        <v/>
      </c>
      <c r="W1826">
        <f>IF($T1826="","",IF($X1826&gt;N($X1825),$X1826,""))</f>
        <v/>
      </c>
      <c r="X1826">
        <f>IF($T1826="",N($X1825),IF(MATCH($T1826,$T$6:$T$6005,0)=ROW()-5,N($X1825)+1,N($X1825)))</f>
        <v/>
      </c>
      <c r="Z1826">
        <f>IF($V1826="","",IF($AA1826&gt;N($AA1825),$AA1826,""))</f>
        <v/>
      </c>
      <c r="AA1826">
        <f>IF($V1826="",N($AA1825),IF(MATCH($V1826,$V$6:$V$6005,0)=ROW()-5,N($AA1825)+1,N($AA1825)))</f>
        <v/>
      </c>
    </row>
    <row r="1827" ht="21" customHeight="1" s="66">
      <c r="A1827" s="56" t="n"/>
      <c r="B1827" s="57" t="n"/>
      <c r="C1827" s="57" t="n"/>
      <c r="D1827" s="57" t="n"/>
      <c r="E1827" s="56" t="n"/>
      <c r="F1827" s="57" t="n"/>
      <c r="G1827" s="57" t="n"/>
      <c r="H1827" s="56" t="n"/>
      <c r="I1827" s="56" t="n"/>
      <c r="J1827" s="58" t="n"/>
      <c r="K1827" s="58" t="n"/>
      <c r="L1827" s="13">
        <f>IF(OR($A1827="",AND($J1827="",$K1827="")),"",ROUND(N($J1827)-N($K1827),2))</f>
        <v/>
      </c>
      <c r="M1827" s="13">
        <f>IF(OR($A1827="",AND($J1827="",$K1827="")),"",MIN($J1827,$K1827))</f>
        <v/>
      </c>
      <c r="Q1827">
        <f>IF($A1827="","",$D1827&amp;"("&amp;SUBSTITUTE($E1827," ","")&amp;")")</f>
        <v/>
      </c>
      <c r="R1827">
        <f>IF($A1827="","",$B1827&amp;" - "&amp;$C1827)</f>
        <v/>
      </c>
      <c r="S1827">
        <f>IF($A1827="","",$R1827&amp;"|"&amp;$Q1827)</f>
        <v/>
      </c>
      <c r="T1827">
        <f>IF($A1827="","",$S1827&amp;"|"&amp;$F1827)</f>
        <v/>
      </c>
      <c r="U1827">
        <f>IF($A1827="","",$R1827&amp;"("&amp;$E1827&amp;")")</f>
        <v/>
      </c>
      <c r="V1827">
        <f>IF($A1827="","",$F1827&amp;"|"&amp;$U1827&amp;"|"&amp;$D1827)</f>
        <v/>
      </c>
      <c r="W1827">
        <f>IF($T1827="","",IF($X1827&gt;N($X1826),$X1827,""))</f>
        <v/>
      </c>
      <c r="X1827">
        <f>IF($T1827="",N($X1826),IF(MATCH($T1827,$T$6:$T$6005,0)=ROW()-5,N($X1826)+1,N($X1826)))</f>
        <v/>
      </c>
      <c r="Z1827">
        <f>IF($V1827="","",IF($AA1827&gt;N($AA1826),$AA1827,""))</f>
        <v/>
      </c>
      <c r="AA1827">
        <f>IF($V1827="",N($AA1826),IF(MATCH($V1827,$V$6:$V$6005,0)=ROW()-5,N($AA1826)+1,N($AA1826)))</f>
        <v/>
      </c>
    </row>
    <row r="1828" ht="21" customHeight="1" s="66">
      <c r="A1828" s="56" t="n"/>
      <c r="B1828" s="57" t="n"/>
      <c r="C1828" s="57" t="n"/>
      <c r="D1828" s="57" t="n"/>
      <c r="E1828" s="56" t="n"/>
      <c r="F1828" s="57" t="n"/>
      <c r="G1828" s="57" t="n"/>
      <c r="H1828" s="56" t="n"/>
      <c r="I1828" s="56" t="n"/>
      <c r="J1828" s="58" t="n"/>
      <c r="K1828" s="58" t="n"/>
      <c r="L1828" s="13">
        <f>IF(OR($A1828="",AND($J1828="",$K1828="")),"",ROUND(N($J1828)-N($K1828),2))</f>
        <v/>
      </c>
      <c r="M1828" s="13">
        <f>IF(OR($A1828="",AND($J1828="",$K1828="")),"",MIN($J1828,$K1828))</f>
        <v/>
      </c>
      <c r="Q1828">
        <f>IF($A1828="","",$D1828&amp;"("&amp;SUBSTITUTE($E1828," ","")&amp;")")</f>
        <v/>
      </c>
      <c r="R1828">
        <f>IF($A1828="","",$B1828&amp;" - "&amp;$C1828)</f>
        <v/>
      </c>
      <c r="S1828">
        <f>IF($A1828="","",$R1828&amp;"|"&amp;$Q1828)</f>
        <v/>
      </c>
      <c r="T1828">
        <f>IF($A1828="","",$S1828&amp;"|"&amp;$F1828)</f>
        <v/>
      </c>
      <c r="U1828">
        <f>IF($A1828="","",$R1828&amp;"("&amp;$E1828&amp;")")</f>
        <v/>
      </c>
      <c r="V1828">
        <f>IF($A1828="","",$F1828&amp;"|"&amp;$U1828&amp;"|"&amp;$D1828)</f>
        <v/>
      </c>
      <c r="W1828">
        <f>IF($T1828="","",IF($X1828&gt;N($X1827),$X1828,""))</f>
        <v/>
      </c>
      <c r="X1828">
        <f>IF($T1828="",N($X1827),IF(MATCH($T1828,$T$6:$T$6005,0)=ROW()-5,N($X1827)+1,N($X1827)))</f>
        <v/>
      </c>
      <c r="Z1828">
        <f>IF($V1828="","",IF($AA1828&gt;N($AA1827),$AA1828,""))</f>
        <v/>
      </c>
      <c r="AA1828">
        <f>IF($V1828="",N($AA1827),IF(MATCH($V1828,$V$6:$V$6005,0)=ROW()-5,N($AA1827)+1,N($AA1827)))</f>
        <v/>
      </c>
    </row>
    <row r="1829" ht="21" customHeight="1" s="66">
      <c r="A1829" s="56" t="n"/>
      <c r="B1829" s="57" t="n"/>
      <c r="C1829" s="57" t="n"/>
      <c r="D1829" s="57" t="n"/>
      <c r="E1829" s="56" t="n"/>
      <c r="F1829" s="57" t="n"/>
      <c r="G1829" s="57" t="n"/>
      <c r="H1829" s="56" t="n"/>
      <c r="I1829" s="56" t="n"/>
      <c r="J1829" s="58" t="n"/>
      <c r="K1829" s="58" t="n"/>
      <c r="L1829" s="13">
        <f>IF(OR($A1829="",AND($J1829="",$K1829="")),"",ROUND(N($J1829)-N($K1829),2))</f>
        <v/>
      </c>
      <c r="M1829" s="13">
        <f>IF(OR($A1829="",AND($J1829="",$K1829="")),"",MIN($J1829,$K1829))</f>
        <v/>
      </c>
      <c r="Q1829">
        <f>IF($A1829="","",$D1829&amp;"("&amp;SUBSTITUTE($E1829," ","")&amp;")")</f>
        <v/>
      </c>
      <c r="R1829">
        <f>IF($A1829="","",$B1829&amp;" - "&amp;$C1829)</f>
        <v/>
      </c>
      <c r="S1829">
        <f>IF($A1829="","",$R1829&amp;"|"&amp;$Q1829)</f>
        <v/>
      </c>
      <c r="T1829">
        <f>IF($A1829="","",$S1829&amp;"|"&amp;$F1829)</f>
        <v/>
      </c>
      <c r="U1829">
        <f>IF($A1829="","",$R1829&amp;"("&amp;$E1829&amp;")")</f>
        <v/>
      </c>
      <c r="V1829">
        <f>IF($A1829="","",$F1829&amp;"|"&amp;$U1829&amp;"|"&amp;$D1829)</f>
        <v/>
      </c>
      <c r="W1829">
        <f>IF($T1829="","",IF($X1829&gt;N($X1828),$X1829,""))</f>
        <v/>
      </c>
      <c r="X1829">
        <f>IF($T1829="",N($X1828),IF(MATCH($T1829,$T$6:$T$6005,0)=ROW()-5,N($X1828)+1,N($X1828)))</f>
        <v/>
      </c>
      <c r="Z1829">
        <f>IF($V1829="","",IF($AA1829&gt;N($AA1828),$AA1829,""))</f>
        <v/>
      </c>
      <c r="AA1829">
        <f>IF($V1829="",N($AA1828),IF(MATCH($V1829,$V$6:$V$6005,0)=ROW()-5,N($AA1828)+1,N($AA1828)))</f>
        <v/>
      </c>
    </row>
    <row r="1830" ht="21" customHeight="1" s="66">
      <c r="A1830" s="56" t="n"/>
      <c r="B1830" s="57" t="n"/>
      <c r="C1830" s="57" t="n"/>
      <c r="D1830" s="57" t="n"/>
      <c r="E1830" s="56" t="n"/>
      <c r="F1830" s="57" t="n"/>
      <c r="G1830" s="57" t="n"/>
      <c r="H1830" s="56" t="n"/>
      <c r="I1830" s="56" t="n"/>
      <c r="J1830" s="58" t="n"/>
      <c r="K1830" s="58" t="n"/>
      <c r="L1830" s="13">
        <f>IF(OR($A1830="",AND($J1830="",$K1830="")),"",ROUND(N($J1830)-N($K1830),2))</f>
        <v/>
      </c>
      <c r="M1830" s="13">
        <f>IF(OR($A1830="",AND($J1830="",$K1830="")),"",MIN($J1830,$K1830))</f>
        <v/>
      </c>
      <c r="Q1830">
        <f>IF($A1830="","",$D1830&amp;"("&amp;SUBSTITUTE($E1830," ","")&amp;")")</f>
        <v/>
      </c>
      <c r="R1830">
        <f>IF($A1830="","",$B1830&amp;" - "&amp;$C1830)</f>
        <v/>
      </c>
      <c r="S1830">
        <f>IF($A1830="","",$R1830&amp;"|"&amp;$Q1830)</f>
        <v/>
      </c>
      <c r="T1830">
        <f>IF($A1830="","",$S1830&amp;"|"&amp;$F1830)</f>
        <v/>
      </c>
      <c r="U1830">
        <f>IF($A1830="","",$R1830&amp;"("&amp;$E1830&amp;")")</f>
        <v/>
      </c>
      <c r="V1830">
        <f>IF($A1830="","",$F1830&amp;"|"&amp;$U1830&amp;"|"&amp;$D1830)</f>
        <v/>
      </c>
      <c r="W1830">
        <f>IF($T1830="","",IF($X1830&gt;N($X1829),$X1830,""))</f>
        <v/>
      </c>
      <c r="X1830">
        <f>IF($T1830="",N($X1829),IF(MATCH($T1830,$T$6:$T$6005,0)=ROW()-5,N($X1829)+1,N($X1829)))</f>
        <v/>
      </c>
      <c r="Z1830">
        <f>IF($V1830="","",IF($AA1830&gt;N($AA1829),$AA1830,""))</f>
        <v/>
      </c>
      <c r="AA1830">
        <f>IF($V1830="",N($AA1829),IF(MATCH($V1830,$V$6:$V$6005,0)=ROW()-5,N($AA1829)+1,N($AA1829)))</f>
        <v/>
      </c>
    </row>
    <row r="1831" ht="21" customHeight="1" s="66">
      <c r="A1831" s="56" t="n"/>
      <c r="B1831" s="57" t="n"/>
      <c r="C1831" s="57" t="n"/>
      <c r="D1831" s="57" t="n"/>
      <c r="E1831" s="56" t="n"/>
      <c r="F1831" s="57" t="n"/>
      <c r="G1831" s="57" t="n"/>
      <c r="H1831" s="56" t="n"/>
      <c r="I1831" s="56" t="n"/>
      <c r="J1831" s="58" t="n"/>
      <c r="K1831" s="58" t="n"/>
      <c r="L1831" s="13">
        <f>IF(OR($A1831="",AND($J1831="",$K1831="")),"",ROUND(N($J1831)-N($K1831),2))</f>
        <v/>
      </c>
      <c r="M1831" s="13">
        <f>IF(OR($A1831="",AND($J1831="",$K1831="")),"",MIN($J1831,$K1831))</f>
        <v/>
      </c>
      <c r="Q1831">
        <f>IF($A1831="","",$D1831&amp;"("&amp;SUBSTITUTE($E1831," ","")&amp;")")</f>
        <v/>
      </c>
      <c r="R1831">
        <f>IF($A1831="","",$B1831&amp;" - "&amp;$C1831)</f>
        <v/>
      </c>
      <c r="S1831">
        <f>IF($A1831="","",$R1831&amp;"|"&amp;$Q1831)</f>
        <v/>
      </c>
      <c r="T1831">
        <f>IF($A1831="","",$S1831&amp;"|"&amp;$F1831)</f>
        <v/>
      </c>
      <c r="U1831">
        <f>IF($A1831="","",$R1831&amp;"("&amp;$E1831&amp;")")</f>
        <v/>
      </c>
      <c r="V1831">
        <f>IF($A1831="","",$F1831&amp;"|"&amp;$U1831&amp;"|"&amp;$D1831)</f>
        <v/>
      </c>
      <c r="W1831">
        <f>IF($T1831="","",IF($X1831&gt;N($X1830),$X1831,""))</f>
        <v/>
      </c>
      <c r="X1831">
        <f>IF($T1831="",N($X1830),IF(MATCH($T1831,$T$6:$T$6005,0)=ROW()-5,N($X1830)+1,N($X1830)))</f>
        <v/>
      </c>
      <c r="Z1831">
        <f>IF($V1831="","",IF($AA1831&gt;N($AA1830),$AA1831,""))</f>
        <v/>
      </c>
      <c r="AA1831">
        <f>IF($V1831="",N($AA1830),IF(MATCH($V1831,$V$6:$V$6005,0)=ROW()-5,N($AA1830)+1,N($AA1830)))</f>
        <v/>
      </c>
    </row>
    <row r="1832" ht="21" customHeight="1" s="66">
      <c r="A1832" s="56" t="n"/>
      <c r="B1832" s="57" t="n"/>
      <c r="C1832" s="57" t="n"/>
      <c r="D1832" s="57" t="n"/>
      <c r="E1832" s="56" t="n"/>
      <c r="F1832" s="57" t="n"/>
      <c r="G1832" s="57" t="n"/>
      <c r="H1832" s="56" t="n"/>
      <c r="I1832" s="56" t="n"/>
      <c r="J1832" s="58" t="n"/>
      <c r="K1832" s="58" t="n"/>
      <c r="L1832" s="13">
        <f>IF(OR($A1832="",AND($J1832="",$K1832="")),"",ROUND(N($J1832)-N($K1832),2))</f>
        <v/>
      </c>
      <c r="M1832" s="13">
        <f>IF(OR($A1832="",AND($J1832="",$K1832="")),"",MIN($J1832,$K1832))</f>
        <v/>
      </c>
      <c r="Q1832">
        <f>IF($A1832="","",$D1832&amp;"("&amp;SUBSTITUTE($E1832," ","")&amp;")")</f>
        <v/>
      </c>
      <c r="R1832">
        <f>IF($A1832="","",$B1832&amp;" - "&amp;$C1832)</f>
        <v/>
      </c>
      <c r="S1832">
        <f>IF($A1832="","",$R1832&amp;"|"&amp;$Q1832)</f>
        <v/>
      </c>
      <c r="T1832">
        <f>IF($A1832="","",$S1832&amp;"|"&amp;$F1832)</f>
        <v/>
      </c>
      <c r="U1832">
        <f>IF($A1832="","",$R1832&amp;"("&amp;$E1832&amp;")")</f>
        <v/>
      </c>
      <c r="V1832">
        <f>IF($A1832="","",$F1832&amp;"|"&amp;$U1832&amp;"|"&amp;$D1832)</f>
        <v/>
      </c>
      <c r="W1832">
        <f>IF($T1832="","",IF($X1832&gt;N($X1831),$X1832,""))</f>
        <v/>
      </c>
      <c r="X1832">
        <f>IF($T1832="",N($X1831),IF(MATCH($T1832,$T$6:$T$6005,0)=ROW()-5,N($X1831)+1,N($X1831)))</f>
        <v/>
      </c>
      <c r="Z1832">
        <f>IF($V1832="","",IF($AA1832&gt;N($AA1831),$AA1832,""))</f>
        <v/>
      </c>
      <c r="AA1832">
        <f>IF($V1832="",N($AA1831),IF(MATCH($V1832,$V$6:$V$6005,0)=ROW()-5,N($AA1831)+1,N($AA1831)))</f>
        <v/>
      </c>
    </row>
    <row r="1833" ht="21" customHeight="1" s="66">
      <c r="A1833" s="56" t="n"/>
      <c r="B1833" s="57" t="n"/>
      <c r="C1833" s="57" t="n"/>
      <c r="D1833" s="57" t="n"/>
      <c r="E1833" s="56" t="n"/>
      <c r="F1833" s="57" t="n"/>
      <c r="G1833" s="57" t="n"/>
      <c r="H1833" s="56" t="n"/>
      <c r="I1833" s="56" t="n"/>
      <c r="J1833" s="58" t="n"/>
      <c r="K1833" s="58" t="n"/>
      <c r="L1833" s="13">
        <f>IF(OR($A1833="",AND($J1833="",$K1833="")),"",ROUND(N($J1833)-N($K1833),2))</f>
        <v/>
      </c>
      <c r="M1833" s="13">
        <f>IF(OR($A1833="",AND($J1833="",$K1833="")),"",MIN($J1833,$K1833))</f>
        <v/>
      </c>
      <c r="Q1833">
        <f>IF($A1833="","",$D1833&amp;"("&amp;SUBSTITUTE($E1833," ","")&amp;")")</f>
        <v/>
      </c>
      <c r="R1833">
        <f>IF($A1833="","",$B1833&amp;" - "&amp;$C1833)</f>
        <v/>
      </c>
      <c r="S1833">
        <f>IF($A1833="","",$R1833&amp;"|"&amp;$Q1833)</f>
        <v/>
      </c>
      <c r="T1833">
        <f>IF($A1833="","",$S1833&amp;"|"&amp;$F1833)</f>
        <v/>
      </c>
      <c r="U1833">
        <f>IF($A1833="","",$R1833&amp;"("&amp;$E1833&amp;")")</f>
        <v/>
      </c>
      <c r="V1833">
        <f>IF($A1833="","",$F1833&amp;"|"&amp;$U1833&amp;"|"&amp;$D1833)</f>
        <v/>
      </c>
      <c r="W1833">
        <f>IF($T1833="","",IF($X1833&gt;N($X1832),$X1833,""))</f>
        <v/>
      </c>
      <c r="X1833">
        <f>IF($T1833="",N($X1832),IF(MATCH($T1833,$T$6:$T$6005,0)=ROW()-5,N($X1832)+1,N($X1832)))</f>
        <v/>
      </c>
      <c r="Z1833">
        <f>IF($V1833="","",IF($AA1833&gt;N($AA1832),$AA1833,""))</f>
        <v/>
      </c>
      <c r="AA1833">
        <f>IF($V1833="",N($AA1832),IF(MATCH($V1833,$V$6:$V$6005,0)=ROW()-5,N($AA1832)+1,N($AA1832)))</f>
        <v/>
      </c>
    </row>
    <row r="1834" ht="21" customHeight="1" s="66">
      <c r="A1834" s="56" t="n"/>
      <c r="B1834" s="57" t="n"/>
      <c r="C1834" s="57" t="n"/>
      <c r="D1834" s="57" t="n"/>
      <c r="E1834" s="56" t="n"/>
      <c r="F1834" s="57" t="n"/>
      <c r="G1834" s="57" t="n"/>
      <c r="H1834" s="56" t="n"/>
      <c r="I1834" s="56" t="n"/>
      <c r="J1834" s="58" t="n"/>
      <c r="K1834" s="58" t="n"/>
      <c r="L1834" s="13">
        <f>IF(OR($A1834="",AND($J1834="",$K1834="")),"",ROUND(N($J1834)-N($K1834),2))</f>
        <v/>
      </c>
      <c r="M1834" s="13">
        <f>IF(OR($A1834="",AND($J1834="",$K1834="")),"",MIN($J1834,$K1834))</f>
        <v/>
      </c>
      <c r="Q1834">
        <f>IF($A1834="","",$D1834&amp;"("&amp;SUBSTITUTE($E1834," ","")&amp;")")</f>
        <v/>
      </c>
      <c r="R1834">
        <f>IF($A1834="","",$B1834&amp;" - "&amp;$C1834)</f>
        <v/>
      </c>
      <c r="S1834">
        <f>IF($A1834="","",$R1834&amp;"|"&amp;$Q1834)</f>
        <v/>
      </c>
      <c r="T1834">
        <f>IF($A1834="","",$S1834&amp;"|"&amp;$F1834)</f>
        <v/>
      </c>
      <c r="U1834">
        <f>IF($A1834="","",$R1834&amp;"("&amp;$E1834&amp;")")</f>
        <v/>
      </c>
      <c r="V1834">
        <f>IF($A1834="","",$F1834&amp;"|"&amp;$U1834&amp;"|"&amp;$D1834)</f>
        <v/>
      </c>
      <c r="W1834">
        <f>IF($T1834="","",IF($X1834&gt;N($X1833),$X1834,""))</f>
        <v/>
      </c>
      <c r="X1834">
        <f>IF($T1834="",N($X1833),IF(MATCH($T1834,$T$6:$T$6005,0)=ROW()-5,N($X1833)+1,N($X1833)))</f>
        <v/>
      </c>
      <c r="Z1834">
        <f>IF($V1834="","",IF($AA1834&gt;N($AA1833),$AA1834,""))</f>
        <v/>
      </c>
      <c r="AA1834">
        <f>IF($V1834="",N($AA1833),IF(MATCH($V1834,$V$6:$V$6005,0)=ROW()-5,N($AA1833)+1,N($AA1833)))</f>
        <v/>
      </c>
    </row>
    <row r="1835" ht="21" customHeight="1" s="66">
      <c r="A1835" s="56" t="n"/>
      <c r="B1835" s="57" t="n"/>
      <c r="C1835" s="57" t="n"/>
      <c r="D1835" s="57" t="n"/>
      <c r="E1835" s="56" t="n"/>
      <c r="F1835" s="57" t="n"/>
      <c r="G1835" s="57" t="n"/>
      <c r="H1835" s="56" t="n"/>
      <c r="I1835" s="56" t="n"/>
      <c r="J1835" s="58" t="n"/>
      <c r="K1835" s="58" t="n"/>
      <c r="L1835" s="13">
        <f>IF(OR($A1835="",AND($J1835="",$K1835="")),"",ROUND(N($J1835)-N($K1835),2))</f>
        <v/>
      </c>
      <c r="M1835" s="13">
        <f>IF(OR($A1835="",AND($J1835="",$K1835="")),"",MIN($J1835,$K1835))</f>
        <v/>
      </c>
      <c r="Q1835">
        <f>IF($A1835="","",$D1835&amp;"("&amp;SUBSTITUTE($E1835," ","")&amp;")")</f>
        <v/>
      </c>
      <c r="R1835">
        <f>IF($A1835="","",$B1835&amp;" - "&amp;$C1835)</f>
        <v/>
      </c>
      <c r="S1835">
        <f>IF($A1835="","",$R1835&amp;"|"&amp;$Q1835)</f>
        <v/>
      </c>
      <c r="T1835">
        <f>IF($A1835="","",$S1835&amp;"|"&amp;$F1835)</f>
        <v/>
      </c>
      <c r="U1835">
        <f>IF($A1835="","",$R1835&amp;"("&amp;$E1835&amp;")")</f>
        <v/>
      </c>
      <c r="V1835">
        <f>IF($A1835="","",$F1835&amp;"|"&amp;$U1835&amp;"|"&amp;$D1835)</f>
        <v/>
      </c>
      <c r="W1835">
        <f>IF($T1835="","",IF($X1835&gt;N($X1834),$X1835,""))</f>
        <v/>
      </c>
      <c r="X1835">
        <f>IF($T1835="",N($X1834),IF(MATCH($T1835,$T$6:$T$6005,0)=ROW()-5,N($X1834)+1,N($X1834)))</f>
        <v/>
      </c>
      <c r="Z1835">
        <f>IF($V1835="","",IF($AA1835&gt;N($AA1834),$AA1835,""))</f>
        <v/>
      </c>
      <c r="AA1835">
        <f>IF($V1835="",N($AA1834),IF(MATCH($V1835,$V$6:$V$6005,0)=ROW()-5,N($AA1834)+1,N($AA1834)))</f>
        <v/>
      </c>
    </row>
    <row r="1836" ht="21" customHeight="1" s="66">
      <c r="A1836" s="56" t="n"/>
      <c r="B1836" s="57" t="n"/>
      <c r="C1836" s="57" t="n"/>
      <c r="D1836" s="57" t="n"/>
      <c r="E1836" s="56" t="n"/>
      <c r="F1836" s="57" t="n"/>
      <c r="G1836" s="57" t="n"/>
      <c r="H1836" s="56" t="n"/>
      <c r="I1836" s="56" t="n"/>
      <c r="J1836" s="58" t="n"/>
      <c r="K1836" s="58" t="n"/>
      <c r="L1836" s="13">
        <f>IF(OR($A1836="",AND($J1836="",$K1836="")),"",ROUND(N($J1836)-N($K1836),2))</f>
        <v/>
      </c>
      <c r="M1836" s="13">
        <f>IF(OR($A1836="",AND($J1836="",$K1836="")),"",MIN($J1836,$K1836))</f>
        <v/>
      </c>
      <c r="Q1836">
        <f>IF($A1836="","",$D1836&amp;"("&amp;SUBSTITUTE($E1836," ","")&amp;")")</f>
        <v/>
      </c>
      <c r="R1836">
        <f>IF($A1836="","",$B1836&amp;" - "&amp;$C1836)</f>
        <v/>
      </c>
      <c r="S1836">
        <f>IF($A1836="","",$R1836&amp;"|"&amp;$Q1836)</f>
        <v/>
      </c>
      <c r="T1836">
        <f>IF($A1836="","",$S1836&amp;"|"&amp;$F1836)</f>
        <v/>
      </c>
      <c r="U1836">
        <f>IF($A1836="","",$R1836&amp;"("&amp;$E1836&amp;")")</f>
        <v/>
      </c>
      <c r="V1836">
        <f>IF($A1836="","",$F1836&amp;"|"&amp;$U1836&amp;"|"&amp;$D1836)</f>
        <v/>
      </c>
      <c r="W1836">
        <f>IF($T1836="","",IF($X1836&gt;N($X1835),$X1836,""))</f>
        <v/>
      </c>
      <c r="X1836">
        <f>IF($T1836="",N($X1835),IF(MATCH($T1836,$T$6:$T$6005,0)=ROW()-5,N($X1835)+1,N($X1835)))</f>
        <v/>
      </c>
      <c r="Z1836">
        <f>IF($V1836="","",IF($AA1836&gt;N($AA1835),$AA1836,""))</f>
        <v/>
      </c>
      <c r="AA1836">
        <f>IF($V1836="",N($AA1835),IF(MATCH($V1836,$V$6:$V$6005,0)=ROW()-5,N($AA1835)+1,N($AA1835)))</f>
        <v/>
      </c>
    </row>
    <row r="1837" ht="21" customHeight="1" s="66">
      <c r="A1837" s="56" t="n"/>
      <c r="B1837" s="57" t="n"/>
      <c r="C1837" s="57" t="n"/>
      <c r="D1837" s="57" t="n"/>
      <c r="E1837" s="56" t="n"/>
      <c r="F1837" s="57" t="n"/>
      <c r="G1837" s="57" t="n"/>
      <c r="H1837" s="56" t="n"/>
      <c r="I1837" s="56" t="n"/>
      <c r="J1837" s="58" t="n"/>
      <c r="K1837" s="58" t="n"/>
      <c r="L1837" s="13">
        <f>IF(OR($A1837="",AND($J1837="",$K1837="")),"",ROUND(N($J1837)-N($K1837),2))</f>
        <v/>
      </c>
      <c r="M1837" s="13">
        <f>IF(OR($A1837="",AND($J1837="",$K1837="")),"",MIN($J1837,$K1837))</f>
        <v/>
      </c>
      <c r="Q1837">
        <f>IF($A1837="","",$D1837&amp;"("&amp;SUBSTITUTE($E1837," ","")&amp;")")</f>
        <v/>
      </c>
      <c r="R1837">
        <f>IF($A1837="","",$B1837&amp;" - "&amp;$C1837)</f>
        <v/>
      </c>
      <c r="S1837">
        <f>IF($A1837="","",$R1837&amp;"|"&amp;$Q1837)</f>
        <v/>
      </c>
      <c r="T1837">
        <f>IF($A1837="","",$S1837&amp;"|"&amp;$F1837)</f>
        <v/>
      </c>
      <c r="U1837">
        <f>IF($A1837="","",$R1837&amp;"("&amp;$E1837&amp;")")</f>
        <v/>
      </c>
      <c r="V1837">
        <f>IF($A1837="","",$F1837&amp;"|"&amp;$U1837&amp;"|"&amp;$D1837)</f>
        <v/>
      </c>
      <c r="W1837">
        <f>IF($T1837="","",IF($X1837&gt;N($X1836),$X1837,""))</f>
        <v/>
      </c>
      <c r="X1837">
        <f>IF($T1837="",N($X1836),IF(MATCH($T1837,$T$6:$T$6005,0)=ROW()-5,N($X1836)+1,N($X1836)))</f>
        <v/>
      </c>
      <c r="Z1837">
        <f>IF($V1837="","",IF($AA1837&gt;N($AA1836),$AA1837,""))</f>
        <v/>
      </c>
      <c r="AA1837">
        <f>IF($V1837="",N($AA1836),IF(MATCH($V1837,$V$6:$V$6005,0)=ROW()-5,N($AA1836)+1,N($AA1836)))</f>
        <v/>
      </c>
    </row>
    <row r="1838" ht="21" customHeight="1" s="66">
      <c r="A1838" s="56" t="n"/>
      <c r="B1838" s="57" t="n"/>
      <c r="C1838" s="57" t="n"/>
      <c r="D1838" s="57" t="n"/>
      <c r="E1838" s="56" t="n"/>
      <c r="F1838" s="57" t="n"/>
      <c r="G1838" s="57" t="n"/>
      <c r="H1838" s="56" t="n"/>
      <c r="I1838" s="56" t="n"/>
      <c r="J1838" s="58" t="n"/>
      <c r="K1838" s="58" t="n"/>
      <c r="L1838" s="13">
        <f>IF(OR($A1838="",AND($J1838="",$K1838="")),"",ROUND(N($J1838)-N($K1838),2))</f>
        <v/>
      </c>
      <c r="M1838" s="13">
        <f>IF(OR($A1838="",AND($J1838="",$K1838="")),"",MIN($J1838,$K1838))</f>
        <v/>
      </c>
      <c r="Q1838">
        <f>IF($A1838="","",$D1838&amp;"("&amp;SUBSTITUTE($E1838," ","")&amp;")")</f>
        <v/>
      </c>
      <c r="R1838">
        <f>IF($A1838="","",$B1838&amp;" - "&amp;$C1838)</f>
        <v/>
      </c>
      <c r="S1838">
        <f>IF($A1838="","",$R1838&amp;"|"&amp;$Q1838)</f>
        <v/>
      </c>
      <c r="T1838">
        <f>IF($A1838="","",$S1838&amp;"|"&amp;$F1838)</f>
        <v/>
      </c>
      <c r="U1838">
        <f>IF($A1838="","",$R1838&amp;"("&amp;$E1838&amp;")")</f>
        <v/>
      </c>
      <c r="V1838">
        <f>IF($A1838="","",$F1838&amp;"|"&amp;$U1838&amp;"|"&amp;$D1838)</f>
        <v/>
      </c>
      <c r="W1838">
        <f>IF($T1838="","",IF($X1838&gt;N($X1837),$X1838,""))</f>
        <v/>
      </c>
      <c r="X1838">
        <f>IF($T1838="",N($X1837),IF(MATCH($T1838,$T$6:$T$6005,0)=ROW()-5,N($X1837)+1,N($X1837)))</f>
        <v/>
      </c>
      <c r="Z1838">
        <f>IF($V1838="","",IF($AA1838&gt;N($AA1837),$AA1838,""))</f>
        <v/>
      </c>
      <c r="AA1838">
        <f>IF($V1838="",N($AA1837),IF(MATCH($V1838,$V$6:$V$6005,0)=ROW()-5,N($AA1837)+1,N($AA1837)))</f>
        <v/>
      </c>
    </row>
    <row r="1839" ht="21" customHeight="1" s="66">
      <c r="A1839" s="56" t="n"/>
      <c r="B1839" s="57" t="n"/>
      <c r="C1839" s="57" t="n"/>
      <c r="D1839" s="57" t="n"/>
      <c r="E1839" s="56" t="n"/>
      <c r="F1839" s="57" t="n"/>
      <c r="G1839" s="57" t="n"/>
      <c r="H1839" s="56" t="n"/>
      <c r="I1839" s="56" t="n"/>
      <c r="J1839" s="58" t="n"/>
      <c r="K1839" s="58" t="n"/>
      <c r="L1839" s="13">
        <f>IF(OR($A1839="",AND($J1839="",$K1839="")),"",ROUND(N($J1839)-N($K1839),2))</f>
        <v/>
      </c>
      <c r="M1839" s="13">
        <f>IF(OR($A1839="",AND($J1839="",$K1839="")),"",MIN($J1839,$K1839))</f>
        <v/>
      </c>
      <c r="Q1839">
        <f>IF($A1839="","",$D1839&amp;"("&amp;SUBSTITUTE($E1839," ","")&amp;")")</f>
        <v/>
      </c>
      <c r="R1839">
        <f>IF($A1839="","",$B1839&amp;" - "&amp;$C1839)</f>
        <v/>
      </c>
      <c r="S1839">
        <f>IF($A1839="","",$R1839&amp;"|"&amp;$Q1839)</f>
        <v/>
      </c>
      <c r="T1839">
        <f>IF($A1839="","",$S1839&amp;"|"&amp;$F1839)</f>
        <v/>
      </c>
      <c r="U1839">
        <f>IF($A1839="","",$R1839&amp;"("&amp;$E1839&amp;")")</f>
        <v/>
      </c>
      <c r="V1839">
        <f>IF($A1839="","",$F1839&amp;"|"&amp;$U1839&amp;"|"&amp;$D1839)</f>
        <v/>
      </c>
      <c r="W1839">
        <f>IF($T1839="","",IF($X1839&gt;N($X1838),$X1839,""))</f>
        <v/>
      </c>
      <c r="X1839">
        <f>IF($T1839="",N($X1838),IF(MATCH($T1839,$T$6:$T$6005,0)=ROW()-5,N($X1838)+1,N($X1838)))</f>
        <v/>
      </c>
      <c r="Z1839">
        <f>IF($V1839="","",IF($AA1839&gt;N($AA1838),$AA1839,""))</f>
        <v/>
      </c>
      <c r="AA1839">
        <f>IF($V1839="",N($AA1838),IF(MATCH($V1839,$V$6:$V$6005,0)=ROW()-5,N($AA1838)+1,N($AA1838)))</f>
        <v/>
      </c>
    </row>
    <row r="1840" ht="21" customHeight="1" s="66">
      <c r="A1840" s="56" t="n"/>
      <c r="B1840" s="57" t="n"/>
      <c r="C1840" s="57" t="n"/>
      <c r="D1840" s="57" t="n"/>
      <c r="E1840" s="56" t="n"/>
      <c r="F1840" s="57" t="n"/>
      <c r="G1840" s="57" t="n"/>
      <c r="H1840" s="56" t="n"/>
      <c r="I1840" s="56" t="n"/>
      <c r="J1840" s="58" t="n"/>
      <c r="K1840" s="58" t="n"/>
      <c r="L1840" s="13">
        <f>IF(OR($A1840="",AND($J1840="",$K1840="")),"",ROUND(N($J1840)-N($K1840),2))</f>
        <v/>
      </c>
      <c r="M1840" s="13">
        <f>IF(OR($A1840="",AND($J1840="",$K1840="")),"",MIN($J1840,$K1840))</f>
        <v/>
      </c>
      <c r="Q1840">
        <f>IF($A1840="","",$D1840&amp;"("&amp;SUBSTITUTE($E1840," ","")&amp;")")</f>
        <v/>
      </c>
      <c r="R1840">
        <f>IF($A1840="","",$B1840&amp;" - "&amp;$C1840)</f>
        <v/>
      </c>
      <c r="S1840">
        <f>IF($A1840="","",$R1840&amp;"|"&amp;$Q1840)</f>
        <v/>
      </c>
      <c r="T1840">
        <f>IF($A1840="","",$S1840&amp;"|"&amp;$F1840)</f>
        <v/>
      </c>
      <c r="U1840">
        <f>IF($A1840="","",$R1840&amp;"("&amp;$E1840&amp;")")</f>
        <v/>
      </c>
      <c r="V1840">
        <f>IF($A1840="","",$F1840&amp;"|"&amp;$U1840&amp;"|"&amp;$D1840)</f>
        <v/>
      </c>
      <c r="W1840">
        <f>IF($T1840="","",IF($X1840&gt;N($X1839),$X1840,""))</f>
        <v/>
      </c>
      <c r="X1840">
        <f>IF($T1840="",N($X1839),IF(MATCH($T1840,$T$6:$T$6005,0)=ROW()-5,N($X1839)+1,N($X1839)))</f>
        <v/>
      </c>
      <c r="Z1840">
        <f>IF($V1840="","",IF($AA1840&gt;N($AA1839),$AA1840,""))</f>
        <v/>
      </c>
      <c r="AA1840">
        <f>IF($V1840="",N($AA1839),IF(MATCH($V1840,$V$6:$V$6005,0)=ROW()-5,N($AA1839)+1,N($AA1839)))</f>
        <v/>
      </c>
    </row>
    <row r="1841" ht="21" customHeight="1" s="66">
      <c r="A1841" s="56" t="n"/>
      <c r="B1841" s="57" t="n"/>
      <c r="C1841" s="57" t="n"/>
      <c r="D1841" s="57" t="n"/>
      <c r="E1841" s="56" t="n"/>
      <c r="F1841" s="57" t="n"/>
      <c r="G1841" s="57" t="n"/>
      <c r="H1841" s="56" t="n"/>
      <c r="I1841" s="56" t="n"/>
      <c r="J1841" s="58" t="n"/>
      <c r="K1841" s="58" t="n"/>
      <c r="L1841" s="13">
        <f>IF(OR($A1841="",AND($J1841="",$K1841="")),"",ROUND(N($J1841)-N($K1841),2))</f>
        <v/>
      </c>
      <c r="M1841" s="13">
        <f>IF(OR($A1841="",AND($J1841="",$K1841="")),"",MIN($J1841,$K1841))</f>
        <v/>
      </c>
      <c r="Q1841">
        <f>IF($A1841="","",$D1841&amp;"("&amp;SUBSTITUTE($E1841," ","")&amp;")")</f>
        <v/>
      </c>
      <c r="R1841">
        <f>IF($A1841="","",$B1841&amp;" - "&amp;$C1841)</f>
        <v/>
      </c>
      <c r="S1841">
        <f>IF($A1841="","",$R1841&amp;"|"&amp;$Q1841)</f>
        <v/>
      </c>
      <c r="T1841">
        <f>IF($A1841="","",$S1841&amp;"|"&amp;$F1841)</f>
        <v/>
      </c>
      <c r="U1841">
        <f>IF($A1841="","",$R1841&amp;"("&amp;$E1841&amp;")")</f>
        <v/>
      </c>
      <c r="V1841">
        <f>IF($A1841="","",$F1841&amp;"|"&amp;$U1841&amp;"|"&amp;$D1841)</f>
        <v/>
      </c>
      <c r="W1841">
        <f>IF($T1841="","",IF($X1841&gt;N($X1840),$X1841,""))</f>
        <v/>
      </c>
      <c r="X1841">
        <f>IF($T1841="",N($X1840),IF(MATCH($T1841,$T$6:$T$6005,0)=ROW()-5,N($X1840)+1,N($X1840)))</f>
        <v/>
      </c>
      <c r="Z1841">
        <f>IF($V1841="","",IF($AA1841&gt;N($AA1840),$AA1841,""))</f>
        <v/>
      </c>
      <c r="AA1841">
        <f>IF($V1841="",N($AA1840),IF(MATCH($V1841,$V$6:$V$6005,0)=ROW()-5,N($AA1840)+1,N($AA1840)))</f>
        <v/>
      </c>
    </row>
    <row r="1842" ht="21" customHeight="1" s="66">
      <c r="A1842" s="56" t="n"/>
      <c r="B1842" s="57" t="n"/>
      <c r="C1842" s="57" t="n"/>
      <c r="D1842" s="57" t="n"/>
      <c r="E1842" s="56" t="n"/>
      <c r="F1842" s="57" t="n"/>
      <c r="G1842" s="57" t="n"/>
      <c r="H1842" s="56" t="n"/>
      <c r="I1842" s="56" t="n"/>
      <c r="J1842" s="58" t="n"/>
      <c r="K1842" s="58" t="n"/>
      <c r="L1842" s="13">
        <f>IF(OR($A1842="",AND($J1842="",$K1842="")),"",ROUND(N($J1842)-N($K1842),2))</f>
        <v/>
      </c>
      <c r="M1842" s="13">
        <f>IF(OR($A1842="",AND($J1842="",$K1842="")),"",MIN($J1842,$K1842))</f>
        <v/>
      </c>
      <c r="Q1842">
        <f>IF($A1842="","",$D1842&amp;"("&amp;SUBSTITUTE($E1842," ","")&amp;")")</f>
        <v/>
      </c>
      <c r="R1842">
        <f>IF($A1842="","",$B1842&amp;" - "&amp;$C1842)</f>
        <v/>
      </c>
      <c r="S1842">
        <f>IF($A1842="","",$R1842&amp;"|"&amp;$Q1842)</f>
        <v/>
      </c>
      <c r="T1842">
        <f>IF($A1842="","",$S1842&amp;"|"&amp;$F1842)</f>
        <v/>
      </c>
      <c r="U1842">
        <f>IF($A1842="","",$R1842&amp;"("&amp;$E1842&amp;")")</f>
        <v/>
      </c>
      <c r="V1842">
        <f>IF($A1842="","",$F1842&amp;"|"&amp;$U1842&amp;"|"&amp;$D1842)</f>
        <v/>
      </c>
      <c r="W1842">
        <f>IF($T1842="","",IF($X1842&gt;N($X1841),$X1842,""))</f>
        <v/>
      </c>
      <c r="X1842">
        <f>IF($T1842="",N($X1841),IF(MATCH($T1842,$T$6:$T$6005,0)=ROW()-5,N($X1841)+1,N($X1841)))</f>
        <v/>
      </c>
      <c r="Z1842">
        <f>IF($V1842="","",IF($AA1842&gt;N($AA1841),$AA1842,""))</f>
        <v/>
      </c>
      <c r="AA1842">
        <f>IF($V1842="",N($AA1841),IF(MATCH($V1842,$V$6:$V$6005,0)=ROW()-5,N($AA1841)+1,N($AA1841)))</f>
        <v/>
      </c>
    </row>
    <row r="1843" ht="21" customHeight="1" s="66">
      <c r="A1843" s="56" t="n"/>
      <c r="B1843" s="57" t="n"/>
      <c r="C1843" s="57" t="n"/>
      <c r="D1843" s="57" t="n"/>
      <c r="E1843" s="56" t="n"/>
      <c r="F1843" s="57" t="n"/>
      <c r="G1843" s="57" t="n"/>
      <c r="H1843" s="56" t="n"/>
      <c r="I1843" s="56" t="n"/>
      <c r="J1843" s="58" t="n"/>
      <c r="K1843" s="58" t="n"/>
      <c r="L1843" s="13">
        <f>IF(OR($A1843="",AND($J1843="",$K1843="")),"",ROUND(N($J1843)-N($K1843),2))</f>
        <v/>
      </c>
      <c r="M1843" s="13">
        <f>IF(OR($A1843="",AND($J1843="",$K1843="")),"",MIN($J1843,$K1843))</f>
        <v/>
      </c>
      <c r="Q1843">
        <f>IF($A1843="","",$D1843&amp;"("&amp;SUBSTITUTE($E1843," ","")&amp;")")</f>
        <v/>
      </c>
      <c r="R1843">
        <f>IF($A1843="","",$B1843&amp;" - "&amp;$C1843)</f>
        <v/>
      </c>
      <c r="S1843">
        <f>IF($A1843="","",$R1843&amp;"|"&amp;$Q1843)</f>
        <v/>
      </c>
      <c r="T1843">
        <f>IF($A1843="","",$S1843&amp;"|"&amp;$F1843)</f>
        <v/>
      </c>
      <c r="U1843">
        <f>IF($A1843="","",$R1843&amp;"("&amp;$E1843&amp;")")</f>
        <v/>
      </c>
      <c r="V1843">
        <f>IF($A1843="","",$F1843&amp;"|"&amp;$U1843&amp;"|"&amp;$D1843)</f>
        <v/>
      </c>
      <c r="W1843">
        <f>IF($T1843="","",IF($X1843&gt;N($X1842),$X1843,""))</f>
        <v/>
      </c>
      <c r="X1843">
        <f>IF($T1843="",N($X1842),IF(MATCH($T1843,$T$6:$T$6005,0)=ROW()-5,N($X1842)+1,N($X1842)))</f>
        <v/>
      </c>
      <c r="Z1843">
        <f>IF($V1843="","",IF($AA1843&gt;N($AA1842),$AA1843,""))</f>
        <v/>
      </c>
      <c r="AA1843">
        <f>IF($V1843="",N($AA1842),IF(MATCH($V1843,$V$6:$V$6005,0)=ROW()-5,N($AA1842)+1,N($AA1842)))</f>
        <v/>
      </c>
    </row>
    <row r="1844" ht="21" customHeight="1" s="66">
      <c r="A1844" s="56" t="n"/>
      <c r="B1844" s="57" t="n"/>
      <c r="C1844" s="57" t="n"/>
      <c r="D1844" s="57" t="n"/>
      <c r="E1844" s="56" t="n"/>
      <c r="F1844" s="57" t="n"/>
      <c r="G1844" s="57" t="n"/>
      <c r="H1844" s="56" t="n"/>
      <c r="I1844" s="56" t="n"/>
      <c r="J1844" s="58" t="n"/>
      <c r="K1844" s="58" t="n"/>
      <c r="L1844" s="13">
        <f>IF(OR($A1844="",AND($J1844="",$K1844="")),"",ROUND(N($J1844)-N($K1844),2))</f>
        <v/>
      </c>
      <c r="M1844" s="13">
        <f>IF(OR($A1844="",AND($J1844="",$K1844="")),"",MIN($J1844,$K1844))</f>
        <v/>
      </c>
      <c r="Q1844">
        <f>IF($A1844="","",$D1844&amp;"("&amp;SUBSTITUTE($E1844," ","")&amp;")")</f>
        <v/>
      </c>
      <c r="R1844">
        <f>IF($A1844="","",$B1844&amp;" - "&amp;$C1844)</f>
        <v/>
      </c>
      <c r="S1844">
        <f>IF($A1844="","",$R1844&amp;"|"&amp;$Q1844)</f>
        <v/>
      </c>
      <c r="T1844">
        <f>IF($A1844="","",$S1844&amp;"|"&amp;$F1844)</f>
        <v/>
      </c>
      <c r="U1844">
        <f>IF($A1844="","",$R1844&amp;"("&amp;$E1844&amp;")")</f>
        <v/>
      </c>
      <c r="V1844">
        <f>IF($A1844="","",$F1844&amp;"|"&amp;$U1844&amp;"|"&amp;$D1844)</f>
        <v/>
      </c>
      <c r="W1844">
        <f>IF($T1844="","",IF($X1844&gt;N($X1843),$X1844,""))</f>
        <v/>
      </c>
      <c r="X1844">
        <f>IF($T1844="",N($X1843),IF(MATCH($T1844,$T$6:$T$6005,0)=ROW()-5,N($X1843)+1,N($X1843)))</f>
        <v/>
      </c>
      <c r="Z1844">
        <f>IF($V1844="","",IF($AA1844&gt;N($AA1843),$AA1844,""))</f>
        <v/>
      </c>
      <c r="AA1844">
        <f>IF($V1844="",N($AA1843),IF(MATCH($V1844,$V$6:$V$6005,0)=ROW()-5,N($AA1843)+1,N($AA1843)))</f>
        <v/>
      </c>
    </row>
    <row r="1845" ht="21" customHeight="1" s="66">
      <c r="A1845" s="56" t="n"/>
      <c r="B1845" s="57" t="n"/>
      <c r="C1845" s="57" t="n"/>
      <c r="D1845" s="57" t="n"/>
      <c r="E1845" s="56" t="n"/>
      <c r="F1845" s="57" t="n"/>
      <c r="G1845" s="57" t="n"/>
      <c r="H1845" s="56" t="n"/>
      <c r="I1845" s="56" t="n"/>
      <c r="J1845" s="58" t="n"/>
      <c r="K1845" s="58" t="n"/>
      <c r="L1845" s="13">
        <f>IF(OR($A1845="",AND($J1845="",$K1845="")),"",ROUND(N($J1845)-N($K1845),2))</f>
        <v/>
      </c>
      <c r="M1845" s="13">
        <f>IF(OR($A1845="",AND($J1845="",$K1845="")),"",MIN($J1845,$K1845))</f>
        <v/>
      </c>
      <c r="Q1845">
        <f>IF($A1845="","",$D1845&amp;"("&amp;SUBSTITUTE($E1845," ","")&amp;")")</f>
        <v/>
      </c>
      <c r="R1845">
        <f>IF($A1845="","",$B1845&amp;" - "&amp;$C1845)</f>
        <v/>
      </c>
      <c r="S1845">
        <f>IF($A1845="","",$R1845&amp;"|"&amp;$Q1845)</f>
        <v/>
      </c>
      <c r="T1845">
        <f>IF($A1845="","",$S1845&amp;"|"&amp;$F1845)</f>
        <v/>
      </c>
      <c r="U1845">
        <f>IF($A1845="","",$R1845&amp;"("&amp;$E1845&amp;")")</f>
        <v/>
      </c>
      <c r="V1845">
        <f>IF($A1845="","",$F1845&amp;"|"&amp;$U1845&amp;"|"&amp;$D1845)</f>
        <v/>
      </c>
      <c r="W1845">
        <f>IF($T1845="","",IF($X1845&gt;N($X1844),$X1845,""))</f>
        <v/>
      </c>
      <c r="X1845">
        <f>IF($T1845="",N($X1844),IF(MATCH($T1845,$T$6:$T$6005,0)=ROW()-5,N($X1844)+1,N($X1844)))</f>
        <v/>
      </c>
      <c r="Z1845">
        <f>IF($V1845="","",IF($AA1845&gt;N($AA1844),$AA1845,""))</f>
        <v/>
      </c>
      <c r="AA1845">
        <f>IF($V1845="",N($AA1844),IF(MATCH($V1845,$V$6:$V$6005,0)=ROW()-5,N($AA1844)+1,N($AA1844)))</f>
        <v/>
      </c>
    </row>
    <row r="1846" ht="21" customHeight="1" s="66">
      <c r="A1846" s="56" t="n"/>
      <c r="B1846" s="57" t="n"/>
      <c r="C1846" s="57" t="n"/>
      <c r="D1846" s="57" t="n"/>
      <c r="E1846" s="56" t="n"/>
      <c r="F1846" s="57" t="n"/>
      <c r="G1846" s="57" t="n"/>
      <c r="H1846" s="56" t="n"/>
      <c r="I1846" s="56" t="n"/>
      <c r="J1846" s="58" t="n"/>
      <c r="K1846" s="58" t="n"/>
      <c r="L1846" s="13">
        <f>IF(OR($A1846="",AND($J1846="",$K1846="")),"",ROUND(N($J1846)-N($K1846),2))</f>
        <v/>
      </c>
      <c r="M1846" s="13">
        <f>IF(OR($A1846="",AND($J1846="",$K1846="")),"",MIN($J1846,$K1846))</f>
        <v/>
      </c>
      <c r="Q1846">
        <f>IF($A1846="","",$D1846&amp;"("&amp;SUBSTITUTE($E1846," ","")&amp;")")</f>
        <v/>
      </c>
      <c r="R1846">
        <f>IF($A1846="","",$B1846&amp;" - "&amp;$C1846)</f>
        <v/>
      </c>
      <c r="S1846">
        <f>IF($A1846="","",$R1846&amp;"|"&amp;$Q1846)</f>
        <v/>
      </c>
      <c r="T1846">
        <f>IF($A1846="","",$S1846&amp;"|"&amp;$F1846)</f>
        <v/>
      </c>
      <c r="U1846">
        <f>IF($A1846="","",$R1846&amp;"("&amp;$E1846&amp;")")</f>
        <v/>
      </c>
      <c r="V1846">
        <f>IF($A1846="","",$F1846&amp;"|"&amp;$U1846&amp;"|"&amp;$D1846)</f>
        <v/>
      </c>
      <c r="W1846">
        <f>IF($T1846="","",IF($X1846&gt;N($X1845),$X1846,""))</f>
        <v/>
      </c>
      <c r="X1846">
        <f>IF($T1846="",N($X1845),IF(MATCH($T1846,$T$6:$T$6005,0)=ROW()-5,N($X1845)+1,N($X1845)))</f>
        <v/>
      </c>
      <c r="Z1846">
        <f>IF($V1846="","",IF($AA1846&gt;N($AA1845),$AA1846,""))</f>
        <v/>
      </c>
      <c r="AA1846">
        <f>IF($V1846="",N($AA1845),IF(MATCH($V1846,$V$6:$V$6005,0)=ROW()-5,N($AA1845)+1,N($AA1845)))</f>
        <v/>
      </c>
    </row>
    <row r="1847" ht="21" customHeight="1" s="66">
      <c r="A1847" s="56" t="n"/>
      <c r="B1847" s="57" t="n"/>
      <c r="C1847" s="57" t="n"/>
      <c r="D1847" s="57" t="n"/>
      <c r="E1847" s="56" t="n"/>
      <c r="F1847" s="57" t="n"/>
      <c r="G1847" s="57" t="n"/>
      <c r="H1847" s="56" t="n"/>
      <c r="I1847" s="56" t="n"/>
      <c r="J1847" s="58" t="n"/>
      <c r="K1847" s="58" t="n"/>
      <c r="L1847" s="13">
        <f>IF(OR($A1847="",AND($J1847="",$K1847="")),"",ROUND(N($J1847)-N($K1847),2))</f>
        <v/>
      </c>
      <c r="M1847" s="13">
        <f>IF(OR($A1847="",AND($J1847="",$K1847="")),"",MIN($J1847,$K1847))</f>
        <v/>
      </c>
      <c r="Q1847">
        <f>IF($A1847="","",$D1847&amp;"("&amp;SUBSTITUTE($E1847," ","")&amp;")")</f>
        <v/>
      </c>
      <c r="R1847">
        <f>IF($A1847="","",$B1847&amp;" - "&amp;$C1847)</f>
        <v/>
      </c>
      <c r="S1847">
        <f>IF($A1847="","",$R1847&amp;"|"&amp;$Q1847)</f>
        <v/>
      </c>
      <c r="T1847">
        <f>IF($A1847="","",$S1847&amp;"|"&amp;$F1847)</f>
        <v/>
      </c>
      <c r="U1847">
        <f>IF($A1847="","",$R1847&amp;"("&amp;$E1847&amp;")")</f>
        <v/>
      </c>
      <c r="V1847">
        <f>IF($A1847="","",$F1847&amp;"|"&amp;$U1847&amp;"|"&amp;$D1847)</f>
        <v/>
      </c>
      <c r="W1847">
        <f>IF($T1847="","",IF($X1847&gt;N($X1846),$X1847,""))</f>
        <v/>
      </c>
      <c r="X1847">
        <f>IF($T1847="",N($X1846),IF(MATCH($T1847,$T$6:$T$6005,0)=ROW()-5,N($X1846)+1,N($X1846)))</f>
        <v/>
      </c>
      <c r="Z1847">
        <f>IF($V1847="","",IF($AA1847&gt;N($AA1846),$AA1847,""))</f>
        <v/>
      </c>
      <c r="AA1847">
        <f>IF($V1847="",N($AA1846),IF(MATCH($V1847,$V$6:$V$6005,0)=ROW()-5,N($AA1846)+1,N($AA1846)))</f>
        <v/>
      </c>
    </row>
    <row r="1848" ht="21" customHeight="1" s="66">
      <c r="A1848" s="56" t="n"/>
      <c r="B1848" s="57" t="n"/>
      <c r="C1848" s="57" t="n"/>
      <c r="D1848" s="57" t="n"/>
      <c r="E1848" s="56" t="n"/>
      <c r="F1848" s="57" t="n"/>
      <c r="G1848" s="57" t="n"/>
      <c r="H1848" s="56" t="n"/>
      <c r="I1848" s="56" t="n"/>
      <c r="J1848" s="58" t="n"/>
      <c r="K1848" s="58" t="n"/>
      <c r="L1848" s="13">
        <f>IF(OR($A1848="",AND($J1848="",$K1848="")),"",ROUND(N($J1848)-N($K1848),2))</f>
        <v/>
      </c>
      <c r="M1848" s="13">
        <f>IF(OR($A1848="",AND($J1848="",$K1848="")),"",MIN($J1848,$K1848))</f>
        <v/>
      </c>
      <c r="Q1848">
        <f>IF($A1848="","",$D1848&amp;"("&amp;SUBSTITUTE($E1848," ","")&amp;")")</f>
        <v/>
      </c>
      <c r="R1848">
        <f>IF($A1848="","",$B1848&amp;" - "&amp;$C1848)</f>
        <v/>
      </c>
      <c r="S1848">
        <f>IF($A1848="","",$R1848&amp;"|"&amp;$Q1848)</f>
        <v/>
      </c>
      <c r="T1848">
        <f>IF($A1848="","",$S1848&amp;"|"&amp;$F1848)</f>
        <v/>
      </c>
      <c r="U1848">
        <f>IF($A1848="","",$R1848&amp;"("&amp;$E1848&amp;")")</f>
        <v/>
      </c>
      <c r="V1848">
        <f>IF($A1848="","",$F1848&amp;"|"&amp;$U1848&amp;"|"&amp;$D1848)</f>
        <v/>
      </c>
      <c r="W1848">
        <f>IF($T1848="","",IF($X1848&gt;N($X1847),$X1848,""))</f>
        <v/>
      </c>
      <c r="X1848">
        <f>IF($T1848="",N($X1847),IF(MATCH($T1848,$T$6:$T$6005,0)=ROW()-5,N($X1847)+1,N($X1847)))</f>
        <v/>
      </c>
      <c r="Z1848">
        <f>IF($V1848="","",IF($AA1848&gt;N($AA1847),$AA1848,""))</f>
        <v/>
      </c>
      <c r="AA1848">
        <f>IF($V1848="",N($AA1847),IF(MATCH($V1848,$V$6:$V$6005,0)=ROW()-5,N($AA1847)+1,N($AA1847)))</f>
        <v/>
      </c>
    </row>
    <row r="1849" ht="21" customHeight="1" s="66">
      <c r="A1849" s="56" t="n"/>
      <c r="B1849" s="57" t="n"/>
      <c r="C1849" s="57" t="n"/>
      <c r="D1849" s="57" t="n"/>
      <c r="E1849" s="56" t="n"/>
      <c r="F1849" s="57" t="n"/>
      <c r="G1849" s="57" t="n"/>
      <c r="H1849" s="56" t="n"/>
      <c r="I1849" s="56" t="n"/>
      <c r="J1849" s="58" t="n"/>
      <c r="K1849" s="58" t="n"/>
      <c r="L1849" s="13">
        <f>IF(OR($A1849="",AND($J1849="",$K1849="")),"",ROUND(N($J1849)-N($K1849),2))</f>
        <v/>
      </c>
      <c r="M1849" s="13">
        <f>IF(OR($A1849="",AND($J1849="",$K1849="")),"",MIN($J1849,$K1849))</f>
        <v/>
      </c>
      <c r="Q1849">
        <f>IF($A1849="","",$D1849&amp;"("&amp;SUBSTITUTE($E1849," ","")&amp;")")</f>
        <v/>
      </c>
      <c r="R1849">
        <f>IF($A1849="","",$B1849&amp;" - "&amp;$C1849)</f>
        <v/>
      </c>
      <c r="S1849">
        <f>IF($A1849="","",$R1849&amp;"|"&amp;$Q1849)</f>
        <v/>
      </c>
      <c r="T1849">
        <f>IF($A1849="","",$S1849&amp;"|"&amp;$F1849)</f>
        <v/>
      </c>
      <c r="U1849">
        <f>IF($A1849="","",$R1849&amp;"("&amp;$E1849&amp;")")</f>
        <v/>
      </c>
      <c r="V1849">
        <f>IF($A1849="","",$F1849&amp;"|"&amp;$U1849&amp;"|"&amp;$D1849)</f>
        <v/>
      </c>
      <c r="W1849">
        <f>IF($T1849="","",IF($X1849&gt;N($X1848),$X1849,""))</f>
        <v/>
      </c>
      <c r="X1849">
        <f>IF($T1849="",N($X1848),IF(MATCH($T1849,$T$6:$T$6005,0)=ROW()-5,N($X1848)+1,N($X1848)))</f>
        <v/>
      </c>
      <c r="Z1849">
        <f>IF($V1849="","",IF($AA1849&gt;N($AA1848),$AA1849,""))</f>
        <v/>
      </c>
      <c r="AA1849">
        <f>IF($V1849="",N($AA1848),IF(MATCH($V1849,$V$6:$V$6005,0)=ROW()-5,N($AA1848)+1,N($AA1848)))</f>
        <v/>
      </c>
    </row>
    <row r="1850" ht="21" customHeight="1" s="66">
      <c r="A1850" s="56" t="n"/>
      <c r="B1850" s="57" t="n"/>
      <c r="C1850" s="57" t="n"/>
      <c r="D1850" s="57" t="n"/>
      <c r="E1850" s="56" t="n"/>
      <c r="F1850" s="57" t="n"/>
      <c r="G1850" s="57" t="n"/>
      <c r="H1850" s="56" t="n"/>
      <c r="I1850" s="56" t="n"/>
      <c r="J1850" s="58" t="n"/>
      <c r="K1850" s="58" t="n"/>
      <c r="L1850" s="13">
        <f>IF(OR($A1850="",AND($J1850="",$K1850="")),"",ROUND(N($J1850)-N($K1850),2))</f>
        <v/>
      </c>
      <c r="M1850" s="13">
        <f>IF(OR($A1850="",AND($J1850="",$K1850="")),"",MIN($J1850,$K1850))</f>
        <v/>
      </c>
      <c r="Q1850">
        <f>IF($A1850="","",$D1850&amp;"("&amp;SUBSTITUTE($E1850," ","")&amp;")")</f>
        <v/>
      </c>
      <c r="R1850">
        <f>IF($A1850="","",$B1850&amp;" - "&amp;$C1850)</f>
        <v/>
      </c>
      <c r="S1850">
        <f>IF($A1850="","",$R1850&amp;"|"&amp;$Q1850)</f>
        <v/>
      </c>
      <c r="T1850">
        <f>IF($A1850="","",$S1850&amp;"|"&amp;$F1850)</f>
        <v/>
      </c>
      <c r="U1850">
        <f>IF($A1850="","",$R1850&amp;"("&amp;$E1850&amp;")")</f>
        <v/>
      </c>
      <c r="V1850">
        <f>IF($A1850="","",$F1850&amp;"|"&amp;$U1850&amp;"|"&amp;$D1850)</f>
        <v/>
      </c>
      <c r="W1850">
        <f>IF($T1850="","",IF($X1850&gt;N($X1849),$X1850,""))</f>
        <v/>
      </c>
      <c r="X1850">
        <f>IF($T1850="",N($X1849),IF(MATCH($T1850,$T$6:$T$6005,0)=ROW()-5,N($X1849)+1,N($X1849)))</f>
        <v/>
      </c>
      <c r="Z1850">
        <f>IF($V1850="","",IF($AA1850&gt;N($AA1849),$AA1850,""))</f>
        <v/>
      </c>
      <c r="AA1850">
        <f>IF($V1850="",N($AA1849),IF(MATCH($V1850,$V$6:$V$6005,0)=ROW()-5,N($AA1849)+1,N($AA1849)))</f>
        <v/>
      </c>
    </row>
    <row r="1851" ht="21" customHeight="1" s="66">
      <c r="A1851" s="56" t="n"/>
      <c r="B1851" s="57" t="n"/>
      <c r="C1851" s="57" t="n"/>
      <c r="D1851" s="57" t="n"/>
      <c r="E1851" s="56" t="n"/>
      <c r="F1851" s="57" t="n"/>
      <c r="G1851" s="57" t="n"/>
      <c r="H1851" s="56" t="n"/>
      <c r="I1851" s="56" t="n"/>
      <c r="J1851" s="58" t="n"/>
      <c r="K1851" s="58" t="n"/>
      <c r="L1851" s="13">
        <f>IF(OR($A1851="",AND($J1851="",$K1851="")),"",ROUND(N($J1851)-N($K1851),2))</f>
        <v/>
      </c>
      <c r="M1851" s="13">
        <f>IF(OR($A1851="",AND($J1851="",$K1851="")),"",MIN($J1851,$K1851))</f>
        <v/>
      </c>
      <c r="Q1851">
        <f>IF($A1851="","",$D1851&amp;"("&amp;SUBSTITUTE($E1851," ","")&amp;")")</f>
        <v/>
      </c>
      <c r="R1851">
        <f>IF($A1851="","",$B1851&amp;" - "&amp;$C1851)</f>
        <v/>
      </c>
      <c r="S1851">
        <f>IF($A1851="","",$R1851&amp;"|"&amp;$Q1851)</f>
        <v/>
      </c>
      <c r="T1851">
        <f>IF($A1851="","",$S1851&amp;"|"&amp;$F1851)</f>
        <v/>
      </c>
      <c r="U1851">
        <f>IF($A1851="","",$R1851&amp;"("&amp;$E1851&amp;")")</f>
        <v/>
      </c>
      <c r="V1851">
        <f>IF($A1851="","",$F1851&amp;"|"&amp;$U1851&amp;"|"&amp;$D1851)</f>
        <v/>
      </c>
      <c r="W1851">
        <f>IF($T1851="","",IF($X1851&gt;N($X1850),$X1851,""))</f>
        <v/>
      </c>
      <c r="X1851">
        <f>IF($T1851="",N($X1850),IF(MATCH($T1851,$T$6:$T$6005,0)=ROW()-5,N($X1850)+1,N($X1850)))</f>
        <v/>
      </c>
      <c r="Z1851">
        <f>IF($V1851="","",IF($AA1851&gt;N($AA1850),$AA1851,""))</f>
        <v/>
      </c>
      <c r="AA1851">
        <f>IF($V1851="",N($AA1850),IF(MATCH($V1851,$V$6:$V$6005,0)=ROW()-5,N($AA1850)+1,N($AA1850)))</f>
        <v/>
      </c>
    </row>
    <row r="1852" ht="21" customHeight="1" s="66">
      <c r="A1852" s="56" t="n"/>
      <c r="B1852" s="57" t="n"/>
      <c r="C1852" s="57" t="n"/>
      <c r="D1852" s="57" t="n"/>
      <c r="E1852" s="56" t="n"/>
      <c r="F1852" s="57" t="n"/>
      <c r="G1852" s="57" t="n"/>
      <c r="H1852" s="56" t="n"/>
      <c r="I1852" s="56" t="n"/>
      <c r="J1852" s="58" t="n"/>
      <c r="K1852" s="58" t="n"/>
      <c r="L1852" s="13">
        <f>IF(OR($A1852="",AND($J1852="",$K1852="")),"",ROUND(N($J1852)-N($K1852),2))</f>
        <v/>
      </c>
      <c r="M1852" s="13">
        <f>IF(OR($A1852="",AND($J1852="",$K1852="")),"",MIN($J1852,$K1852))</f>
        <v/>
      </c>
      <c r="Q1852">
        <f>IF($A1852="","",$D1852&amp;"("&amp;SUBSTITUTE($E1852," ","")&amp;")")</f>
        <v/>
      </c>
      <c r="R1852">
        <f>IF($A1852="","",$B1852&amp;" - "&amp;$C1852)</f>
        <v/>
      </c>
      <c r="S1852">
        <f>IF($A1852="","",$R1852&amp;"|"&amp;$Q1852)</f>
        <v/>
      </c>
      <c r="T1852">
        <f>IF($A1852="","",$S1852&amp;"|"&amp;$F1852)</f>
        <v/>
      </c>
      <c r="U1852">
        <f>IF($A1852="","",$R1852&amp;"("&amp;$E1852&amp;")")</f>
        <v/>
      </c>
      <c r="V1852">
        <f>IF($A1852="","",$F1852&amp;"|"&amp;$U1852&amp;"|"&amp;$D1852)</f>
        <v/>
      </c>
      <c r="W1852">
        <f>IF($T1852="","",IF($X1852&gt;N($X1851),$X1852,""))</f>
        <v/>
      </c>
      <c r="X1852">
        <f>IF($T1852="",N($X1851),IF(MATCH($T1852,$T$6:$T$6005,0)=ROW()-5,N($X1851)+1,N($X1851)))</f>
        <v/>
      </c>
      <c r="Z1852">
        <f>IF($V1852="","",IF($AA1852&gt;N($AA1851),$AA1852,""))</f>
        <v/>
      </c>
      <c r="AA1852">
        <f>IF($V1852="",N($AA1851),IF(MATCH($V1852,$V$6:$V$6005,0)=ROW()-5,N($AA1851)+1,N($AA1851)))</f>
        <v/>
      </c>
    </row>
    <row r="1853" ht="21" customHeight="1" s="66">
      <c r="A1853" s="56" t="n"/>
      <c r="B1853" s="57" t="n"/>
      <c r="C1853" s="57" t="n"/>
      <c r="D1853" s="57" t="n"/>
      <c r="E1853" s="56" t="n"/>
      <c r="F1853" s="57" t="n"/>
      <c r="G1853" s="57" t="n"/>
      <c r="H1853" s="56" t="n"/>
      <c r="I1853" s="56" t="n"/>
      <c r="J1853" s="58" t="n"/>
      <c r="K1853" s="58" t="n"/>
      <c r="L1853" s="13">
        <f>IF(OR($A1853="",AND($J1853="",$K1853="")),"",ROUND(N($J1853)-N($K1853),2))</f>
        <v/>
      </c>
      <c r="M1853" s="13">
        <f>IF(OR($A1853="",AND($J1853="",$K1853="")),"",MIN($J1853,$K1853))</f>
        <v/>
      </c>
      <c r="Q1853">
        <f>IF($A1853="","",$D1853&amp;"("&amp;SUBSTITUTE($E1853," ","")&amp;")")</f>
        <v/>
      </c>
      <c r="R1853">
        <f>IF($A1853="","",$B1853&amp;" - "&amp;$C1853)</f>
        <v/>
      </c>
      <c r="S1853">
        <f>IF($A1853="","",$R1853&amp;"|"&amp;$Q1853)</f>
        <v/>
      </c>
      <c r="T1853">
        <f>IF($A1853="","",$S1853&amp;"|"&amp;$F1853)</f>
        <v/>
      </c>
      <c r="U1853">
        <f>IF($A1853="","",$R1853&amp;"("&amp;$E1853&amp;")")</f>
        <v/>
      </c>
      <c r="V1853">
        <f>IF($A1853="","",$F1853&amp;"|"&amp;$U1853&amp;"|"&amp;$D1853)</f>
        <v/>
      </c>
      <c r="W1853">
        <f>IF($T1853="","",IF($X1853&gt;N($X1852),$X1853,""))</f>
        <v/>
      </c>
      <c r="X1853">
        <f>IF($T1853="",N($X1852),IF(MATCH($T1853,$T$6:$T$6005,0)=ROW()-5,N($X1852)+1,N($X1852)))</f>
        <v/>
      </c>
      <c r="Z1853">
        <f>IF($V1853="","",IF($AA1853&gt;N($AA1852),$AA1853,""))</f>
        <v/>
      </c>
      <c r="AA1853">
        <f>IF($V1853="",N($AA1852),IF(MATCH($V1853,$V$6:$V$6005,0)=ROW()-5,N($AA1852)+1,N($AA1852)))</f>
        <v/>
      </c>
    </row>
    <row r="1854" ht="21" customHeight="1" s="66">
      <c r="A1854" s="56" t="n"/>
      <c r="B1854" s="57" t="n"/>
      <c r="C1854" s="57" t="n"/>
      <c r="D1854" s="57" t="n"/>
      <c r="E1854" s="56" t="n"/>
      <c r="F1854" s="57" t="n"/>
      <c r="G1854" s="57" t="n"/>
      <c r="H1854" s="56" t="n"/>
      <c r="I1854" s="56" t="n"/>
      <c r="J1854" s="58" t="n"/>
      <c r="K1854" s="58" t="n"/>
      <c r="L1854" s="13">
        <f>IF(OR($A1854="",AND($J1854="",$K1854="")),"",ROUND(N($J1854)-N($K1854),2))</f>
        <v/>
      </c>
      <c r="M1854" s="13">
        <f>IF(OR($A1854="",AND($J1854="",$K1854="")),"",MIN($J1854,$K1854))</f>
        <v/>
      </c>
      <c r="Q1854">
        <f>IF($A1854="","",$D1854&amp;"("&amp;SUBSTITUTE($E1854," ","")&amp;")")</f>
        <v/>
      </c>
      <c r="R1854">
        <f>IF($A1854="","",$B1854&amp;" - "&amp;$C1854)</f>
        <v/>
      </c>
      <c r="S1854">
        <f>IF($A1854="","",$R1854&amp;"|"&amp;$Q1854)</f>
        <v/>
      </c>
      <c r="T1854">
        <f>IF($A1854="","",$S1854&amp;"|"&amp;$F1854)</f>
        <v/>
      </c>
      <c r="U1854">
        <f>IF($A1854="","",$R1854&amp;"("&amp;$E1854&amp;")")</f>
        <v/>
      </c>
      <c r="V1854">
        <f>IF($A1854="","",$F1854&amp;"|"&amp;$U1854&amp;"|"&amp;$D1854)</f>
        <v/>
      </c>
      <c r="W1854">
        <f>IF($T1854="","",IF($X1854&gt;N($X1853),$X1854,""))</f>
        <v/>
      </c>
      <c r="X1854">
        <f>IF($T1854="",N($X1853),IF(MATCH($T1854,$T$6:$T$6005,0)=ROW()-5,N($X1853)+1,N($X1853)))</f>
        <v/>
      </c>
      <c r="Z1854">
        <f>IF($V1854="","",IF($AA1854&gt;N($AA1853),$AA1854,""))</f>
        <v/>
      </c>
      <c r="AA1854">
        <f>IF($V1854="",N($AA1853),IF(MATCH($V1854,$V$6:$V$6005,0)=ROW()-5,N($AA1853)+1,N($AA1853)))</f>
        <v/>
      </c>
    </row>
    <row r="1855" ht="21" customHeight="1" s="66">
      <c r="A1855" s="56" t="n"/>
      <c r="B1855" s="57" t="n"/>
      <c r="C1855" s="57" t="n"/>
      <c r="D1855" s="57" t="n"/>
      <c r="E1855" s="56" t="n"/>
      <c r="F1855" s="57" t="n"/>
      <c r="G1855" s="57" t="n"/>
      <c r="H1855" s="56" t="n"/>
      <c r="I1855" s="56" t="n"/>
      <c r="J1855" s="58" t="n"/>
      <c r="K1855" s="58" t="n"/>
      <c r="L1855" s="13">
        <f>IF(OR($A1855="",AND($J1855="",$K1855="")),"",ROUND(N($J1855)-N($K1855),2))</f>
        <v/>
      </c>
      <c r="M1855" s="13">
        <f>IF(OR($A1855="",AND($J1855="",$K1855="")),"",MIN($J1855,$K1855))</f>
        <v/>
      </c>
      <c r="Q1855">
        <f>IF($A1855="","",$D1855&amp;"("&amp;SUBSTITUTE($E1855," ","")&amp;")")</f>
        <v/>
      </c>
      <c r="R1855">
        <f>IF($A1855="","",$B1855&amp;" - "&amp;$C1855)</f>
        <v/>
      </c>
      <c r="S1855">
        <f>IF($A1855="","",$R1855&amp;"|"&amp;$Q1855)</f>
        <v/>
      </c>
      <c r="T1855">
        <f>IF($A1855="","",$S1855&amp;"|"&amp;$F1855)</f>
        <v/>
      </c>
      <c r="U1855">
        <f>IF($A1855="","",$R1855&amp;"("&amp;$E1855&amp;")")</f>
        <v/>
      </c>
      <c r="V1855">
        <f>IF($A1855="","",$F1855&amp;"|"&amp;$U1855&amp;"|"&amp;$D1855)</f>
        <v/>
      </c>
      <c r="W1855">
        <f>IF($T1855="","",IF($X1855&gt;N($X1854),$X1855,""))</f>
        <v/>
      </c>
      <c r="X1855">
        <f>IF($T1855="",N($X1854),IF(MATCH($T1855,$T$6:$T$6005,0)=ROW()-5,N($X1854)+1,N($X1854)))</f>
        <v/>
      </c>
      <c r="Z1855">
        <f>IF($V1855="","",IF($AA1855&gt;N($AA1854),$AA1855,""))</f>
        <v/>
      </c>
      <c r="AA1855">
        <f>IF($V1855="",N($AA1854),IF(MATCH($V1855,$V$6:$V$6005,0)=ROW()-5,N($AA1854)+1,N($AA1854)))</f>
        <v/>
      </c>
    </row>
    <row r="1856" ht="21" customHeight="1" s="66">
      <c r="A1856" s="56" t="n"/>
      <c r="B1856" s="57" t="n"/>
      <c r="C1856" s="57" t="n"/>
      <c r="D1856" s="57" t="n"/>
      <c r="E1856" s="56" t="n"/>
      <c r="F1856" s="57" t="n"/>
      <c r="G1856" s="57" t="n"/>
      <c r="H1856" s="56" t="n"/>
      <c r="I1856" s="56" t="n"/>
      <c r="J1856" s="58" t="n"/>
      <c r="K1856" s="58" t="n"/>
      <c r="L1856" s="13">
        <f>IF(OR($A1856="",AND($J1856="",$K1856="")),"",ROUND(N($J1856)-N($K1856),2))</f>
        <v/>
      </c>
      <c r="M1856" s="13">
        <f>IF(OR($A1856="",AND($J1856="",$K1856="")),"",MIN($J1856,$K1856))</f>
        <v/>
      </c>
      <c r="Q1856">
        <f>IF($A1856="","",$D1856&amp;"("&amp;SUBSTITUTE($E1856," ","")&amp;")")</f>
        <v/>
      </c>
      <c r="R1856">
        <f>IF($A1856="","",$B1856&amp;" - "&amp;$C1856)</f>
        <v/>
      </c>
      <c r="S1856">
        <f>IF($A1856="","",$R1856&amp;"|"&amp;$Q1856)</f>
        <v/>
      </c>
      <c r="T1856">
        <f>IF($A1856="","",$S1856&amp;"|"&amp;$F1856)</f>
        <v/>
      </c>
      <c r="U1856">
        <f>IF($A1856="","",$R1856&amp;"("&amp;$E1856&amp;")")</f>
        <v/>
      </c>
      <c r="V1856">
        <f>IF($A1856="","",$F1856&amp;"|"&amp;$U1856&amp;"|"&amp;$D1856)</f>
        <v/>
      </c>
      <c r="W1856">
        <f>IF($T1856="","",IF($X1856&gt;N($X1855),$X1856,""))</f>
        <v/>
      </c>
      <c r="X1856">
        <f>IF($T1856="",N($X1855),IF(MATCH($T1856,$T$6:$T$6005,0)=ROW()-5,N($X1855)+1,N($X1855)))</f>
        <v/>
      </c>
      <c r="Z1856">
        <f>IF($V1856="","",IF($AA1856&gt;N($AA1855),$AA1856,""))</f>
        <v/>
      </c>
      <c r="AA1856">
        <f>IF($V1856="",N($AA1855),IF(MATCH($V1856,$V$6:$V$6005,0)=ROW()-5,N($AA1855)+1,N($AA1855)))</f>
        <v/>
      </c>
    </row>
    <row r="1857" ht="21" customHeight="1" s="66">
      <c r="A1857" s="56" t="n"/>
      <c r="B1857" s="57" t="n"/>
      <c r="C1857" s="57" t="n"/>
      <c r="D1857" s="57" t="n"/>
      <c r="E1857" s="56" t="n"/>
      <c r="F1857" s="57" t="n"/>
      <c r="G1857" s="57" t="n"/>
      <c r="H1857" s="56" t="n"/>
      <c r="I1857" s="56" t="n"/>
      <c r="J1857" s="58" t="n"/>
      <c r="K1857" s="58" t="n"/>
      <c r="L1857" s="13">
        <f>IF(OR($A1857="",AND($J1857="",$K1857="")),"",ROUND(N($J1857)-N($K1857),2))</f>
        <v/>
      </c>
      <c r="M1857" s="13">
        <f>IF(OR($A1857="",AND($J1857="",$K1857="")),"",MIN($J1857,$K1857))</f>
        <v/>
      </c>
      <c r="Q1857">
        <f>IF($A1857="","",$D1857&amp;"("&amp;SUBSTITUTE($E1857," ","")&amp;")")</f>
        <v/>
      </c>
      <c r="R1857">
        <f>IF($A1857="","",$B1857&amp;" - "&amp;$C1857)</f>
        <v/>
      </c>
      <c r="S1857">
        <f>IF($A1857="","",$R1857&amp;"|"&amp;$Q1857)</f>
        <v/>
      </c>
      <c r="T1857">
        <f>IF($A1857="","",$S1857&amp;"|"&amp;$F1857)</f>
        <v/>
      </c>
      <c r="U1857">
        <f>IF($A1857="","",$R1857&amp;"("&amp;$E1857&amp;")")</f>
        <v/>
      </c>
      <c r="V1857">
        <f>IF($A1857="","",$F1857&amp;"|"&amp;$U1857&amp;"|"&amp;$D1857)</f>
        <v/>
      </c>
      <c r="W1857">
        <f>IF($T1857="","",IF($X1857&gt;N($X1856),$X1857,""))</f>
        <v/>
      </c>
      <c r="X1857">
        <f>IF($T1857="",N($X1856),IF(MATCH($T1857,$T$6:$T$6005,0)=ROW()-5,N($X1856)+1,N($X1856)))</f>
        <v/>
      </c>
      <c r="Z1857">
        <f>IF($V1857="","",IF($AA1857&gt;N($AA1856),$AA1857,""))</f>
        <v/>
      </c>
      <c r="AA1857">
        <f>IF($V1857="",N($AA1856),IF(MATCH($V1857,$V$6:$V$6005,0)=ROW()-5,N($AA1856)+1,N($AA1856)))</f>
        <v/>
      </c>
    </row>
    <row r="1858" ht="21" customHeight="1" s="66">
      <c r="A1858" s="56" t="n"/>
      <c r="B1858" s="57" t="n"/>
      <c r="C1858" s="57" t="n"/>
      <c r="D1858" s="57" t="n"/>
      <c r="E1858" s="56" t="n"/>
      <c r="F1858" s="57" t="n"/>
      <c r="G1858" s="57" t="n"/>
      <c r="H1858" s="56" t="n"/>
      <c r="I1858" s="56" t="n"/>
      <c r="J1858" s="58" t="n"/>
      <c r="K1858" s="58" t="n"/>
      <c r="L1858" s="13">
        <f>IF(OR($A1858="",AND($J1858="",$K1858="")),"",ROUND(N($J1858)-N($K1858),2))</f>
        <v/>
      </c>
      <c r="M1858" s="13">
        <f>IF(OR($A1858="",AND($J1858="",$K1858="")),"",MIN($J1858,$K1858))</f>
        <v/>
      </c>
      <c r="Q1858">
        <f>IF($A1858="","",$D1858&amp;"("&amp;SUBSTITUTE($E1858," ","")&amp;")")</f>
        <v/>
      </c>
      <c r="R1858">
        <f>IF($A1858="","",$B1858&amp;" - "&amp;$C1858)</f>
        <v/>
      </c>
      <c r="S1858">
        <f>IF($A1858="","",$R1858&amp;"|"&amp;$Q1858)</f>
        <v/>
      </c>
      <c r="T1858">
        <f>IF($A1858="","",$S1858&amp;"|"&amp;$F1858)</f>
        <v/>
      </c>
      <c r="U1858">
        <f>IF($A1858="","",$R1858&amp;"("&amp;$E1858&amp;")")</f>
        <v/>
      </c>
      <c r="V1858">
        <f>IF($A1858="","",$F1858&amp;"|"&amp;$U1858&amp;"|"&amp;$D1858)</f>
        <v/>
      </c>
      <c r="W1858">
        <f>IF($T1858="","",IF($X1858&gt;N($X1857),$X1858,""))</f>
        <v/>
      </c>
      <c r="X1858">
        <f>IF($T1858="",N($X1857),IF(MATCH($T1858,$T$6:$T$6005,0)=ROW()-5,N($X1857)+1,N($X1857)))</f>
        <v/>
      </c>
      <c r="Z1858">
        <f>IF($V1858="","",IF($AA1858&gt;N($AA1857),$AA1858,""))</f>
        <v/>
      </c>
      <c r="AA1858">
        <f>IF($V1858="",N($AA1857),IF(MATCH($V1858,$V$6:$V$6005,0)=ROW()-5,N($AA1857)+1,N($AA1857)))</f>
        <v/>
      </c>
    </row>
    <row r="1859" ht="21" customHeight="1" s="66">
      <c r="A1859" s="56" t="n"/>
      <c r="B1859" s="57" t="n"/>
      <c r="C1859" s="57" t="n"/>
      <c r="D1859" s="57" t="n"/>
      <c r="E1859" s="56" t="n"/>
      <c r="F1859" s="57" t="n"/>
      <c r="G1859" s="57" t="n"/>
      <c r="H1859" s="56" t="n"/>
      <c r="I1859" s="56" t="n"/>
      <c r="J1859" s="58" t="n"/>
      <c r="K1859" s="58" t="n"/>
      <c r="L1859" s="13">
        <f>IF(OR($A1859="",AND($J1859="",$K1859="")),"",ROUND(N($J1859)-N($K1859),2))</f>
        <v/>
      </c>
      <c r="M1859" s="13">
        <f>IF(OR($A1859="",AND($J1859="",$K1859="")),"",MIN($J1859,$K1859))</f>
        <v/>
      </c>
      <c r="Q1859">
        <f>IF($A1859="","",$D1859&amp;"("&amp;SUBSTITUTE($E1859," ","")&amp;")")</f>
        <v/>
      </c>
      <c r="R1859">
        <f>IF($A1859="","",$B1859&amp;" - "&amp;$C1859)</f>
        <v/>
      </c>
      <c r="S1859">
        <f>IF($A1859="","",$R1859&amp;"|"&amp;$Q1859)</f>
        <v/>
      </c>
      <c r="T1859">
        <f>IF($A1859="","",$S1859&amp;"|"&amp;$F1859)</f>
        <v/>
      </c>
      <c r="U1859">
        <f>IF($A1859="","",$R1859&amp;"("&amp;$E1859&amp;")")</f>
        <v/>
      </c>
      <c r="V1859">
        <f>IF($A1859="","",$F1859&amp;"|"&amp;$U1859&amp;"|"&amp;$D1859)</f>
        <v/>
      </c>
      <c r="W1859">
        <f>IF($T1859="","",IF($X1859&gt;N($X1858),$X1859,""))</f>
        <v/>
      </c>
      <c r="X1859">
        <f>IF($T1859="",N($X1858),IF(MATCH($T1859,$T$6:$T$6005,0)=ROW()-5,N($X1858)+1,N($X1858)))</f>
        <v/>
      </c>
      <c r="Z1859">
        <f>IF($V1859="","",IF($AA1859&gt;N($AA1858),$AA1859,""))</f>
        <v/>
      </c>
      <c r="AA1859">
        <f>IF($V1859="",N($AA1858),IF(MATCH($V1859,$V$6:$V$6005,0)=ROW()-5,N($AA1858)+1,N($AA1858)))</f>
        <v/>
      </c>
    </row>
    <row r="1860" ht="21" customHeight="1" s="66">
      <c r="A1860" s="56" t="n"/>
      <c r="B1860" s="57" t="n"/>
      <c r="C1860" s="57" t="n"/>
      <c r="D1860" s="57" t="n"/>
      <c r="E1860" s="56" t="n"/>
      <c r="F1860" s="57" t="n"/>
      <c r="G1860" s="57" t="n"/>
      <c r="H1860" s="56" t="n"/>
      <c r="I1860" s="56" t="n"/>
      <c r="J1860" s="58" t="n"/>
      <c r="K1860" s="58" t="n"/>
      <c r="L1860" s="13">
        <f>IF(OR($A1860="",AND($J1860="",$K1860="")),"",ROUND(N($J1860)-N($K1860),2))</f>
        <v/>
      </c>
      <c r="M1860" s="13">
        <f>IF(OR($A1860="",AND($J1860="",$K1860="")),"",MIN($J1860,$K1860))</f>
        <v/>
      </c>
      <c r="Q1860">
        <f>IF($A1860="","",$D1860&amp;"("&amp;SUBSTITUTE($E1860," ","")&amp;")")</f>
        <v/>
      </c>
      <c r="R1860">
        <f>IF($A1860="","",$B1860&amp;" - "&amp;$C1860)</f>
        <v/>
      </c>
      <c r="S1860">
        <f>IF($A1860="","",$R1860&amp;"|"&amp;$Q1860)</f>
        <v/>
      </c>
      <c r="T1860">
        <f>IF($A1860="","",$S1860&amp;"|"&amp;$F1860)</f>
        <v/>
      </c>
      <c r="U1860">
        <f>IF($A1860="","",$R1860&amp;"("&amp;$E1860&amp;")")</f>
        <v/>
      </c>
      <c r="V1860">
        <f>IF($A1860="","",$F1860&amp;"|"&amp;$U1860&amp;"|"&amp;$D1860)</f>
        <v/>
      </c>
      <c r="W1860">
        <f>IF($T1860="","",IF($X1860&gt;N($X1859),$X1860,""))</f>
        <v/>
      </c>
      <c r="X1860">
        <f>IF($T1860="",N($X1859),IF(MATCH($T1860,$T$6:$T$6005,0)=ROW()-5,N($X1859)+1,N($X1859)))</f>
        <v/>
      </c>
      <c r="Z1860">
        <f>IF($V1860="","",IF($AA1860&gt;N($AA1859),$AA1860,""))</f>
        <v/>
      </c>
      <c r="AA1860">
        <f>IF($V1860="",N($AA1859),IF(MATCH($V1860,$V$6:$V$6005,0)=ROW()-5,N($AA1859)+1,N($AA1859)))</f>
        <v/>
      </c>
    </row>
    <row r="1861" ht="21" customHeight="1" s="66">
      <c r="A1861" s="56" t="n"/>
      <c r="B1861" s="57" t="n"/>
      <c r="C1861" s="57" t="n"/>
      <c r="D1861" s="57" t="n"/>
      <c r="E1861" s="56" t="n"/>
      <c r="F1861" s="57" t="n"/>
      <c r="G1861" s="57" t="n"/>
      <c r="H1861" s="56" t="n"/>
      <c r="I1861" s="56" t="n"/>
      <c r="J1861" s="58" t="n"/>
      <c r="K1861" s="58" t="n"/>
      <c r="L1861" s="13">
        <f>IF(OR($A1861="",AND($J1861="",$K1861="")),"",ROUND(N($J1861)-N($K1861),2))</f>
        <v/>
      </c>
      <c r="M1861" s="13">
        <f>IF(OR($A1861="",AND($J1861="",$K1861="")),"",MIN($J1861,$K1861))</f>
        <v/>
      </c>
      <c r="Q1861">
        <f>IF($A1861="","",$D1861&amp;"("&amp;SUBSTITUTE($E1861," ","")&amp;")")</f>
        <v/>
      </c>
      <c r="R1861">
        <f>IF($A1861="","",$B1861&amp;" - "&amp;$C1861)</f>
        <v/>
      </c>
      <c r="S1861">
        <f>IF($A1861="","",$R1861&amp;"|"&amp;$Q1861)</f>
        <v/>
      </c>
      <c r="T1861">
        <f>IF($A1861="","",$S1861&amp;"|"&amp;$F1861)</f>
        <v/>
      </c>
      <c r="U1861">
        <f>IF($A1861="","",$R1861&amp;"("&amp;$E1861&amp;")")</f>
        <v/>
      </c>
      <c r="V1861">
        <f>IF($A1861="","",$F1861&amp;"|"&amp;$U1861&amp;"|"&amp;$D1861)</f>
        <v/>
      </c>
      <c r="W1861">
        <f>IF($T1861="","",IF($X1861&gt;N($X1860),$X1861,""))</f>
        <v/>
      </c>
      <c r="X1861">
        <f>IF($T1861="",N($X1860),IF(MATCH($T1861,$T$6:$T$6005,0)=ROW()-5,N($X1860)+1,N($X1860)))</f>
        <v/>
      </c>
      <c r="Z1861">
        <f>IF($V1861="","",IF($AA1861&gt;N($AA1860),$AA1861,""))</f>
        <v/>
      </c>
      <c r="AA1861">
        <f>IF($V1861="",N($AA1860),IF(MATCH($V1861,$V$6:$V$6005,0)=ROW()-5,N($AA1860)+1,N($AA1860)))</f>
        <v/>
      </c>
    </row>
    <row r="1862" ht="21" customHeight="1" s="66">
      <c r="A1862" s="56" t="n"/>
      <c r="B1862" s="57" t="n"/>
      <c r="C1862" s="57" t="n"/>
      <c r="D1862" s="57" t="n"/>
      <c r="E1862" s="56" t="n"/>
      <c r="F1862" s="57" t="n"/>
      <c r="G1862" s="57" t="n"/>
      <c r="H1862" s="56" t="n"/>
      <c r="I1862" s="56" t="n"/>
      <c r="J1862" s="58" t="n"/>
      <c r="K1862" s="58" t="n"/>
      <c r="L1862" s="13">
        <f>IF(OR($A1862="",AND($J1862="",$K1862="")),"",ROUND(N($J1862)-N($K1862),2))</f>
        <v/>
      </c>
      <c r="M1862" s="13">
        <f>IF(OR($A1862="",AND($J1862="",$K1862="")),"",MIN($J1862,$K1862))</f>
        <v/>
      </c>
      <c r="Q1862">
        <f>IF($A1862="","",$D1862&amp;"("&amp;SUBSTITUTE($E1862," ","")&amp;")")</f>
        <v/>
      </c>
      <c r="R1862">
        <f>IF($A1862="","",$B1862&amp;" - "&amp;$C1862)</f>
        <v/>
      </c>
      <c r="S1862">
        <f>IF($A1862="","",$R1862&amp;"|"&amp;$Q1862)</f>
        <v/>
      </c>
      <c r="T1862">
        <f>IF($A1862="","",$S1862&amp;"|"&amp;$F1862)</f>
        <v/>
      </c>
      <c r="U1862">
        <f>IF($A1862="","",$R1862&amp;"("&amp;$E1862&amp;")")</f>
        <v/>
      </c>
      <c r="V1862">
        <f>IF($A1862="","",$F1862&amp;"|"&amp;$U1862&amp;"|"&amp;$D1862)</f>
        <v/>
      </c>
      <c r="W1862">
        <f>IF($T1862="","",IF($X1862&gt;N($X1861),$X1862,""))</f>
        <v/>
      </c>
      <c r="X1862">
        <f>IF($T1862="",N($X1861),IF(MATCH($T1862,$T$6:$T$6005,0)=ROW()-5,N($X1861)+1,N($X1861)))</f>
        <v/>
      </c>
      <c r="Z1862">
        <f>IF($V1862="","",IF($AA1862&gt;N($AA1861),$AA1862,""))</f>
        <v/>
      </c>
      <c r="AA1862">
        <f>IF($V1862="",N($AA1861),IF(MATCH($V1862,$V$6:$V$6005,0)=ROW()-5,N($AA1861)+1,N($AA1861)))</f>
        <v/>
      </c>
    </row>
    <row r="1863" ht="21" customHeight="1" s="66">
      <c r="A1863" s="56" t="n"/>
      <c r="B1863" s="57" t="n"/>
      <c r="C1863" s="57" t="n"/>
      <c r="D1863" s="57" t="n"/>
      <c r="E1863" s="56" t="n"/>
      <c r="F1863" s="57" t="n"/>
      <c r="G1863" s="57" t="n"/>
      <c r="H1863" s="56" t="n"/>
      <c r="I1863" s="56" t="n"/>
      <c r="J1863" s="58" t="n"/>
      <c r="K1863" s="58" t="n"/>
      <c r="L1863" s="13">
        <f>IF(OR($A1863="",AND($J1863="",$K1863="")),"",ROUND(N($J1863)-N($K1863),2))</f>
        <v/>
      </c>
      <c r="M1863" s="13">
        <f>IF(OR($A1863="",AND($J1863="",$K1863="")),"",MIN($J1863,$K1863))</f>
        <v/>
      </c>
      <c r="Q1863">
        <f>IF($A1863="","",$D1863&amp;"("&amp;SUBSTITUTE($E1863," ","")&amp;")")</f>
        <v/>
      </c>
      <c r="R1863">
        <f>IF($A1863="","",$B1863&amp;" - "&amp;$C1863)</f>
        <v/>
      </c>
      <c r="S1863">
        <f>IF($A1863="","",$R1863&amp;"|"&amp;$Q1863)</f>
        <v/>
      </c>
      <c r="T1863">
        <f>IF($A1863="","",$S1863&amp;"|"&amp;$F1863)</f>
        <v/>
      </c>
      <c r="U1863">
        <f>IF($A1863="","",$R1863&amp;"("&amp;$E1863&amp;")")</f>
        <v/>
      </c>
      <c r="V1863">
        <f>IF($A1863="","",$F1863&amp;"|"&amp;$U1863&amp;"|"&amp;$D1863)</f>
        <v/>
      </c>
      <c r="W1863">
        <f>IF($T1863="","",IF($X1863&gt;N($X1862),$X1863,""))</f>
        <v/>
      </c>
      <c r="X1863">
        <f>IF($T1863="",N($X1862),IF(MATCH($T1863,$T$6:$T$6005,0)=ROW()-5,N($X1862)+1,N($X1862)))</f>
        <v/>
      </c>
      <c r="Z1863">
        <f>IF($V1863="","",IF($AA1863&gt;N($AA1862),$AA1863,""))</f>
        <v/>
      </c>
      <c r="AA1863">
        <f>IF($V1863="",N($AA1862),IF(MATCH($V1863,$V$6:$V$6005,0)=ROW()-5,N($AA1862)+1,N($AA1862)))</f>
        <v/>
      </c>
    </row>
    <row r="1864" ht="21" customHeight="1" s="66">
      <c r="A1864" s="56" t="n"/>
      <c r="B1864" s="57" t="n"/>
      <c r="C1864" s="57" t="n"/>
      <c r="D1864" s="57" t="n"/>
      <c r="E1864" s="56" t="n"/>
      <c r="F1864" s="57" t="n"/>
      <c r="G1864" s="57" t="n"/>
      <c r="H1864" s="56" t="n"/>
      <c r="I1864" s="56" t="n"/>
      <c r="J1864" s="58" t="n"/>
      <c r="K1864" s="58" t="n"/>
      <c r="L1864" s="13">
        <f>IF(OR($A1864="",AND($J1864="",$K1864="")),"",ROUND(N($J1864)-N($K1864),2))</f>
        <v/>
      </c>
      <c r="M1864" s="13">
        <f>IF(OR($A1864="",AND($J1864="",$K1864="")),"",MIN($J1864,$K1864))</f>
        <v/>
      </c>
      <c r="Q1864">
        <f>IF($A1864="","",$D1864&amp;"("&amp;SUBSTITUTE($E1864," ","")&amp;")")</f>
        <v/>
      </c>
      <c r="R1864">
        <f>IF($A1864="","",$B1864&amp;" - "&amp;$C1864)</f>
        <v/>
      </c>
      <c r="S1864">
        <f>IF($A1864="","",$R1864&amp;"|"&amp;$Q1864)</f>
        <v/>
      </c>
      <c r="T1864">
        <f>IF($A1864="","",$S1864&amp;"|"&amp;$F1864)</f>
        <v/>
      </c>
      <c r="U1864">
        <f>IF($A1864="","",$R1864&amp;"("&amp;$E1864&amp;")")</f>
        <v/>
      </c>
      <c r="V1864">
        <f>IF($A1864="","",$F1864&amp;"|"&amp;$U1864&amp;"|"&amp;$D1864)</f>
        <v/>
      </c>
      <c r="W1864">
        <f>IF($T1864="","",IF($X1864&gt;N($X1863),$X1864,""))</f>
        <v/>
      </c>
      <c r="X1864">
        <f>IF($T1864="",N($X1863),IF(MATCH($T1864,$T$6:$T$6005,0)=ROW()-5,N($X1863)+1,N($X1863)))</f>
        <v/>
      </c>
      <c r="Z1864">
        <f>IF($V1864="","",IF($AA1864&gt;N($AA1863),$AA1864,""))</f>
        <v/>
      </c>
      <c r="AA1864">
        <f>IF($V1864="",N($AA1863),IF(MATCH($V1864,$V$6:$V$6005,0)=ROW()-5,N($AA1863)+1,N($AA1863)))</f>
        <v/>
      </c>
    </row>
    <row r="1865" ht="21" customHeight="1" s="66">
      <c r="A1865" s="56" t="n"/>
      <c r="B1865" s="57" t="n"/>
      <c r="C1865" s="57" t="n"/>
      <c r="D1865" s="57" t="n"/>
      <c r="E1865" s="56" t="n"/>
      <c r="F1865" s="57" t="n"/>
      <c r="G1865" s="57" t="n"/>
      <c r="H1865" s="56" t="n"/>
      <c r="I1865" s="56" t="n"/>
      <c r="J1865" s="58" t="n"/>
      <c r="K1865" s="58" t="n"/>
      <c r="L1865" s="13">
        <f>IF(OR($A1865="",AND($J1865="",$K1865="")),"",ROUND(N($J1865)-N($K1865),2))</f>
        <v/>
      </c>
      <c r="M1865" s="13">
        <f>IF(OR($A1865="",AND($J1865="",$K1865="")),"",MIN($J1865,$K1865))</f>
        <v/>
      </c>
      <c r="Q1865">
        <f>IF($A1865="","",$D1865&amp;"("&amp;SUBSTITUTE($E1865," ","")&amp;")")</f>
        <v/>
      </c>
      <c r="R1865">
        <f>IF($A1865="","",$B1865&amp;" - "&amp;$C1865)</f>
        <v/>
      </c>
      <c r="S1865">
        <f>IF($A1865="","",$R1865&amp;"|"&amp;$Q1865)</f>
        <v/>
      </c>
      <c r="T1865">
        <f>IF($A1865="","",$S1865&amp;"|"&amp;$F1865)</f>
        <v/>
      </c>
      <c r="U1865">
        <f>IF($A1865="","",$R1865&amp;"("&amp;$E1865&amp;")")</f>
        <v/>
      </c>
      <c r="V1865">
        <f>IF($A1865="","",$F1865&amp;"|"&amp;$U1865&amp;"|"&amp;$D1865)</f>
        <v/>
      </c>
      <c r="W1865">
        <f>IF($T1865="","",IF($X1865&gt;N($X1864),$X1865,""))</f>
        <v/>
      </c>
      <c r="X1865">
        <f>IF($T1865="",N($X1864),IF(MATCH($T1865,$T$6:$T$6005,0)=ROW()-5,N($X1864)+1,N($X1864)))</f>
        <v/>
      </c>
      <c r="Z1865">
        <f>IF($V1865="","",IF($AA1865&gt;N($AA1864),$AA1865,""))</f>
        <v/>
      </c>
      <c r="AA1865">
        <f>IF($V1865="",N($AA1864),IF(MATCH($V1865,$V$6:$V$6005,0)=ROW()-5,N($AA1864)+1,N($AA1864)))</f>
        <v/>
      </c>
    </row>
    <row r="1866" ht="21" customHeight="1" s="66">
      <c r="A1866" s="56" t="n"/>
      <c r="B1866" s="57" t="n"/>
      <c r="C1866" s="57" t="n"/>
      <c r="D1866" s="57" t="n"/>
      <c r="E1866" s="56" t="n"/>
      <c r="F1866" s="57" t="n"/>
      <c r="G1866" s="57" t="n"/>
      <c r="H1866" s="56" t="n"/>
      <c r="I1866" s="56" t="n"/>
      <c r="J1866" s="58" t="n"/>
      <c r="K1866" s="58" t="n"/>
      <c r="L1866" s="13">
        <f>IF(OR($A1866="",AND($J1866="",$K1866="")),"",ROUND(N($J1866)-N($K1866),2))</f>
        <v/>
      </c>
      <c r="M1866" s="13">
        <f>IF(OR($A1866="",AND($J1866="",$K1866="")),"",MIN($J1866,$K1866))</f>
        <v/>
      </c>
      <c r="Q1866">
        <f>IF($A1866="","",$D1866&amp;"("&amp;SUBSTITUTE($E1866," ","")&amp;")")</f>
        <v/>
      </c>
      <c r="R1866">
        <f>IF($A1866="","",$B1866&amp;" - "&amp;$C1866)</f>
        <v/>
      </c>
      <c r="S1866">
        <f>IF($A1866="","",$R1866&amp;"|"&amp;$Q1866)</f>
        <v/>
      </c>
      <c r="T1866">
        <f>IF($A1866="","",$S1866&amp;"|"&amp;$F1866)</f>
        <v/>
      </c>
      <c r="U1866">
        <f>IF($A1866="","",$R1866&amp;"("&amp;$E1866&amp;")")</f>
        <v/>
      </c>
      <c r="V1866">
        <f>IF($A1866="","",$F1866&amp;"|"&amp;$U1866&amp;"|"&amp;$D1866)</f>
        <v/>
      </c>
      <c r="W1866">
        <f>IF($T1866="","",IF($X1866&gt;N($X1865),$X1866,""))</f>
        <v/>
      </c>
      <c r="X1866">
        <f>IF($T1866="",N($X1865),IF(MATCH($T1866,$T$6:$T$6005,0)=ROW()-5,N($X1865)+1,N($X1865)))</f>
        <v/>
      </c>
      <c r="Z1866">
        <f>IF($V1866="","",IF($AA1866&gt;N($AA1865),$AA1866,""))</f>
        <v/>
      </c>
      <c r="AA1866">
        <f>IF($V1866="",N($AA1865),IF(MATCH($V1866,$V$6:$V$6005,0)=ROW()-5,N($AA1865)+1,N($AA1865)))</f>
        <v/>
      </c>
    </row>
    <row r="1867" ht="21" customHeight="1" s="66">
      <c r="A1867" s="56" t="n"/>
      <c r="B1867" s="57" t="n"/>
      <c r="C1867" s="57" t="n"/>
      <c r="D1867" s="57" t="n"/>
      <c r="E1867" s="56" t="n"/>
      <c r="F1867" s="57" t="n"/>
      <c r="G1867" s="57" t="n"/>
      <c r="H1867" s="56" t="n"/>
      <c r="I1867" s="56" t="n"/>
      <c r="J1867" s="58" t="n"/>
      <c r="K1867" s="58" t="n"/>
      <c r="L1867" s="13">
        <f>IF(OR($A1867="",AND($J1867="",$K1867="")),"",ROUND(N($J1867)-N($K1867),2))</f>
        <v/>
      </c>
      <c r="M1867" s="13">
        <f>IF(OR($A1867="",AND($J1867="",$K1867="")),"",MIN($J1867,$K1867))</f>
        <v/>
      </c>
      <c r="Q1867">
        <f>IF($A1867="","",$D1867&amp;"("&amp;SUBSTITUTE($E1867," ","")&amp;")")</f>
        <v/>
      </c>
      <c r="R1867">
        <f>IF($A1867="","",$B1867&amp;" - "&amp;$C1867)</f>
        <v/>
      </c>
      <c r="S1867">
        <f>IF($A1867="","",$R1867&amp;"|"&amp;$Q1867)</f>
        <v/>
      </c>
      <c r="T1867">
        <f>IF($A1867="","",$S1867&amp;"|"&amp;$F1867)</f>
        <v/>
      </c>
      <c r="U1867">
        <f>IF($A1867="","",$R1867&amp;"("&amp;$E1867&amp;")")</f>
        <v/>
      </c>
      <c r="V1867">
        <f>IF($A1867="","",$F1867&amp;"|"&amp;$U1867&amp;"|"&amp;$D1867)</f>
        <v/>
      </c>
      <c r="W1867">
        <f>IF($T1867="","",IF($X1867&gt;N($X1866),$X1867,""))</f>
        <v/>
      </c>
      <c r="X1867">
        <f>IF($T1867="",N($X1866),IF(MATCH($T1867,$T$6:$T$6005,0)=ROW()-5,N($X1866)+1,N($X1866)))</f>
        <v/>
      </c>
      <c r="Z1867">
        <f>IF($V1867="","",IF($AA1867&gt;N($AA1866),$AA1867,""))</f>
        <v/>
      </c>
      <c r="AA1867">
        <f>IF($V1867="",N($AA1866),IF(MATCH($V1867,$V$6:$V$6005,0)=ROW()-5,N($AA1866)+1,N($AA1866)))</f>
        <v/>
      </c>
    </row>
    <row r="1868" ht="21" customHeight="1" s="66">
      <c r="A1868" s="56" t="n"/>
      <c r="B1868" s="57" t="n"/>
      <c r="C1868" s="57" t="n"/>
      <c r="D1868" s="57" t="n"/>
      <c r="E1868" s="56" t="n"/>
      <c r="F1868" s="57" t="n"/>
      <c r="G1868" s="57" t="n"/>
      <c r="H1868" s="56" t="n"/>
      <c r="I1868" s="56" t="n"/>
      <c r="J1868" s="58" t="n"/>
      <c r="K1868" s="58" t="n"/>
      <c r="L1868" s="13">
        <f>IF(OR($A1868="",AND($J1868="",$K1868="")),"",ROUND(N($J1868)-N($K1868),2))</f>
        <v/>
      </c>
      <c r="M1868" s="13">
        <f>IF(OR($A1868="",AND($J1868="",$K1868="")),"",MIN($J1868,$K1868))</f>
        <v/>
      </c>
      <c r="Q1868">
        <f>IF($A1868="","",$D1868&amp;"("&amp;SUBSTITUTE($E1868," ","")&amp;")")</f>
        <v/>
      </c>
      <c r="R1868">
        <f>IF($A1868="","",$B1868&amp;" - "&amp;$C1868)</f>
        <v/>
      </c>
      <c r="S1868">
        <f>IF($A1868="","",$R1868&amp;"|"&amp;$Q1868)</f>
        <v/>
      </c>
      <c r="T1868">
        <f>IF($A1868="","",$S1868&amp;"|"&amp;$F1868)</f>
        <v/>
      </c>
      <c r="U1868">
        <f>IF($A1868="","",$R1868&amp;"("&amp;$E1868&amp;")")</f>
        <v/>
      </c>
      <c r="V1868">
        <f>IF($A1868="","",$F1868&amp;"|"&amp;$U1868&amp;"|"&amp;$D1868)</f>
        <v/>
      </c>
      <c r="W1868">
        <f>IF($T1868="","",IF($X1868&gt;N($X1867),$X1868,""))</f>
        <v/>
      </c>
      <c r="X1868">
        <f>IF($T1868="",N($X1867),IF(MATCH($T1868,$T$6:$T$6005,0)=ROW()-5,N($X1867)+1,N($X1867)))</f>
        <v/>
      </c>
      <c r="Z1868">
        <f>IF($V1868="","",IF($AA1868&gt;N($AA1867),$AA1868,""))</f>
        <v/>
      </c>
      <c r="AA1868">
        <f>IF($V1868="",N($AA1867),IF(MATCH($V1868,$V$6:$V$6005,0)=ROW()-5,N($AA1867)+1,N($AA1867)))</f>
        <v/>
      </c>
    </row>
    <row r="1869" ht="21" customHeight="1" s="66">
      <c r="A1869" s="56" t="n"/>
      <c r="B1869" s="57" t="n"/>
      <c r="C1869" s="57" t="n"/>
      <c r="D1869" s="57" t="n"/>
      <c r="E1869" s="56" t="n"/>
      <c r="F1869" s="57" t="n"/>
      <c r="G1869" s="57" t="n"/>
      <c r="H1869" s="56" t="n"/>
      <c r="I1869" s="56" t="n"/>
      <c r="J1869" s="58" t="n"/>
      <c r="K1869" s="58" t="n"/>
      <c r="L1869" s="13">
        <f>IF(OR($A1869="",AND($J1869="",$K1869="")),"",ROUND(N($J1869)-N($K1869),2))</f>
        <v/>
      </c>
      <c r="M1869" s="13">
        <f>IF(OR($A1869="",AND($J1869="",$K1869="")),"",MIN($J1869,$K1869))</f>
        <v/>
      </c>
      <c r="Q1869">
        <f>IF($A1869="","",$D1869&amp;"("&amp;SUBSTITUTE($E1869," ","")&amp;")")</f>
        <v/>
      </c>
      <c r="R1869">
        <f>IF($A1869="","",$B1869&amp;" - "&amp;$C1869)</f>
        <v/>
      </c>
      <c r="S1869">
        <f>IF($A1869="","",$R1869&amp;"|"&amp;$Q1869)</f>
        <v/>
      </c>
      <c r="T1869">
        <f>IF($A1869="","",$S1869&amp;"|"&amp;$F1869)</f>
        <v/>
      </c>
      <c r="U1869">
        <f>IF($A1869="","",$R1869&amp;"("&amp;$E1869&amp;")")</f>
        <v/>
      </c>
      <c r="V1869">
        <f>IF($A1869="","",$F1869&amp;"|"&amp;$U1869&amp;"|"&amp;$D1869)</f>
        <v/>
      </c>
      <c r="W1869">
        <f>IF($T1869="","",IF($X1869&gt;N($X1868),$X1869,""))</f>
        <v/>
      </c>
      <c r="X1869">
        <f>IF($T1869="",N($X1868),IF(MATCH($T1869,$T$6:$T$6005,0)=ROW()-5,N($X1868)+1,N($X1868)))</f>
        <v/>
      </c>
      <c r="Z1869">
        <f>IF($V1869="","",IF($AA1869&gt;N($AA1868),$AA1869,""))</f>
        <v/>
      </c>
      <c r="AA1869">
        <f>IF($V1869="",N($AA1868),IF(MATCH($V1869,$V$6:$V$6005,0)=ROW()-5,N($AA1868)+1,N($AA1868)))</f>
        <v/>
      </c>
    </row>
    <row r="1870" ht="21" customHeight="1" s="66">
      <c r="A1870" s="56" t="n"/>
      <c r="B1870" s="57" t="n"/>
      <c r="C1870" s="57" t="n"/>
      <c r="D1870" s="57" t="n"/>
      <c r="E1870" s="56" t="n"/>
      <c r="F1870" s="57" t="n"/>
      <c r="G1870" s="57" t="n"/>
      <c r="H1870" s="56" t="n"/>
      <c r="I1870" s="56" t="n"/>
      <c r="J1870" s="58" t="n"/>
      <c r="K1870" s="58" t="n"/>
      <c r="L1870" s="13">
        <f>IF(OR($A1870="",AND($J1870="",$K1870="")),"",ROUND(N($J1870)-N($K1870),2))</f>
        <v/>
      </c>
      <c r="M1870" s="13">
        <f>IF(OR($A1870="",AND($J1870="",$K1870="")),"",MIN($J1870,$K1870))</f>
        <v/>
      </c>
      <c r="Q1870">
        <f>IF($A1870="","",$D1870&amp;"("&amp;SUBSTITUTE($E1870," ","")&amp;")")</f>
        <v/>
      </c>
      <c r="R1870">
        <f>IF($A1870="","",$B1870&amp;" - "&amp;$C1870)</f>
        <v/>
      </c>
      <c r="S1870">
        <f>IF($A1870="","",$R1870&amp;"|"&amp;$Q1870)</f>
        <v/>
      </c>
      <c r="T1870">
        <f>IF($A1870="","",$S1870&amp;"|"&amp;$F1870)</f>
        <v/>
      </c>
      <c r="U1870">
        <f>IF($A1870="","",$R1870&amp;"("&amp;$E1870&amp;")")</f>
        <v/>
      </c>
      <c r="V1870">
        <f>IF($A1870="","",$F1870&amp;"|"&amp;$U1870&amp;"|"&amp;$D1870)</f>
        <v/>
      </c>
      <c r="W1870">
        <f>IF($T1870="","",IF($X1870&gt;N($X1869),$X1870,""))</f>
        <v/>
      </c>
      <c r="X1870">
        <f>IF($T1870="",N($X1869),IF(MATCH($T1870,$T$6:$T$6005,0)=ROW()-5,N($X1869)+1,N($X1869)))</f>
        <v/>
      </c>
      <c r="Z1870">
        <f>IF($V1870="","",IF($AA1870&gt;N($AA1869),$AA1870,""))</f>
        <v/>
      </c>
      <c r="AA1870">
        <f>IF($V1870="",N($AA1869),IF(MATCH($V1870,$V$6:$V$6005,0)=ROW()-5,N($AA1869)+1,N($AA1869)))</f>
        <v/>
      </c>
    </row>
    <row r="1871" ht="21" customHeight="1" s="66">
      <c r="A1871" s="56" t="n"/>
      <c r="B1871" s="57" t="n"/>
      <c r="C1871" s="57" t="n"/>
      <c r="D1871" s="57" t="n"/>
      <c r="E1871" s="56" t="n"/>
      <c r="F1871" s="57" t="n"/>
      <c r="G1871" s="57" t="n"/>
      <c r="H1871" s="56" t="n"/>
      <c r="I1871" s="56" t="n"/>
      <c r="J1871" s="58" t="n"/>
      <c r="K1871" s="58" t="n"/>
      <c r="L1871" s="13">
        <f>IF(OR($A1871="",AND($J1871="",$K1871="")),"",ROUND(N($J1871)-N($K1871),2))</f>
        <v/>
      </c>
      <c r="M1871" s="13">
        <f>IF(OR($A1871="",AND($J1871="",$K1871="")),"",MIN($J1871,$K1871))</f>
        <v/>
      </c>
      <c r="Q1871">
        <f>IF($A1871="","",$D1871&amp;"("&amp;SUBSTITUTE($E1871," ","")&amp;")")</f>
        <v/>
      </c>
      <c r="R1871">
        <f>IF($A1871="","",$B1871&amp;" - "&amp;$C1871)</f>
        <v/>
      </c>
      <c r="S1871">
        <f>IF($A1871="","",$R1871&amp;"|"&amp;$Q1871)</f>
        <v/>
      </c>
      <c r="T1871">
        <f>IF($A1871="","",$S1871&amp;"|"&amp;$F1871)</f>
        <v/>
      </c>
      <c r="U1871">
        <f>IF($A1871="","",$R1871&amp;"("&amp;$E1871&amp;")")</f>
        <v/>
      </c>
      <c r="V1871">
        <f>IF($A1871="","",$F1871&amp;"|"&amp;$U1871&amp;"|"&amp;$D1871)</f>
        <v/>
      </c>
      <c r="W1871">
        <f>IF($T1871="","",IF($X1871&gt;N($X1870),$X1871,""))</f>
        <v/>
      </c>
      <c r="X1871">
        <f>IF($T1871="",N($X1870),IF(MATCH($T1871,$T$6:$T$6005,0)=ROW()-5,N($X1870)+1,N($X1870)))</f>
        <v/>
      </c>
      <c r="Z1871">
        <f>IF($V1871="","",IF($AA1871&gt;N($AA1870),$AA1871,""))</f>
        <v/>
      </c>
      <c r="AA1871">
        <f>IF($V1871="",N($AA1870),IF(MATCH($V1871,$V$6:$V$6005,0)=ROW()-5,N($AA1870)+1,N($AA1870)))</f>
        <v/>
      </c>
    </row>
    <row r="1872" ht="21" customHeight="1" s="66">
      <c r="A1872" s="56" t="n"/>
      <c r="B1872" s="57" t="n"/>
      <c r="C1872" s="57" t="n"/>
      <c r="D1872" s="57" t="n"/>
      <c r="E1872" s="56" t="n"/>
      <c r="F1872" s="57" t="n"/>
      <c r="G1872" s="57" t="n"/>
      <c r="H1872" s="56" t="n"/>
      <c r="I1872" s="56" t="n"/>
      <c r="J1872" s="58" t="n"/>
      <c r="K1872" s="58" t="n"/>
      <c r="L1872" s="13">
        <f>IF(OR($A1872="",AND($J1872="",$K1872="")),"",ROUND(N($J1872)-N($K1872),2))</f>
        <v/>
      </c>
      <c r="M1872" s="13">
        <f>IF(OR($A1872="",AND($J1872="",$K1872="")),"",MIN($J1872,$K1872))</f>
        <v/>
      </c>
      <c r="Q1872">
        <f>IF($A1872="","",$D1872&amp;"("&amp;SUBSTITUTE($E1872," ","")&amp;")")</f>
        <v/>
      </c>
      <c r="R1872">
        <f>IF($A1872="","",$B1872&amp;" - "&amp;$C1872)</f>
        <v/>
      </c>
      <c r="S1872">
        <f>IF($A1872="","",$R1872&amp;"|"&amp;$Q1872)</f>
        <v/>
      </c>
      <c r="T1872">
        <f>IF($A1872="","",$S1872&amp;"|"&amp;$F1872)</f>
        <v/>
      </c>
      <c r="U1872">
        <f>IF($A1872="","",$R1872&amp;"("&amp;$E1872&amp;")")</f>
        <v/>
      </c>
      <c r="V1872">
        <f>IF($A1872="","",$F1872&amp;"|"&amp;$U1872&amp;"|"&amp;$D1872)</f>
        <v/>
      </c>
      <c r="W1872">
        <f>IF($T1872="","",IF($X1872&gt;N($X1871),$X1872,""))</f>
        <v/>
      </c>
      <c r="X1872">
        <f>IF($T1872="",N($X1871),IF(MATCH($T1872,$T$6:$T$6005,0)=ROW()-5,N($X1871)+1,N($X1871)))</f>
        <v/>
      </c>
      <c r="Z1872">
        <f>IF($V1872="","",IF($AA1872&gt;N($AA1871),$AA1872,""))</f>
        <v/>
      </c>
      <c r="AA1872">
        <f>IF($V1872="",N($AA1871),IF(MATCH($V1872,$V$6:$V$6005,0)=ROW()-5,N($AA1871)+1,N($AA1871)))</f>
        <v/>
      </c>
    </row>
    <row r="1873" ht="21" customHeight="1" s="66">
      <c r="A1873" s="56" t="n"/>
      <c r="B1873" s="57" t="n"/>
      <c r="C1873" s="57" t="n"/>
      <c r="D1873" s="57" t="n"/>
      <c r="E1873" s="56" t="n"/>
      <c r="F1873" s="57" t="n"/>
      <c r="G1873" s="57" t="n"/>
      <c r="H1873" s="56" t="n"/>
      <c r="I1873" s="56" t="n"/>
      <c r="J1873" s="58" t="n"/>
      <c r="K1873" s="58" t="n"/>
      <c r="L1873" s="13">
        <f>IF(OR($A1873="",AND($J1873="",$K1873="")),"",ROUND(N($J1873)-N($K1873),2))</f>
        <v/>
      </c>
      <c r="M1873" s="13">
        <f>IF(OR($A1873="",AND($J1873="",$K1873="")),"",MIN($J1873,$K1873))</f>
        <v/>
      </c>
      <c r="Q1873">
        <f>IF($A1873="","",$D1873&amp;"("&amp;SUBSTITUTE($E1873," ","")&amp;")")</f>
        <v/>
      </c>
      <c r="R1873">
        <f>IF($A1873="","",$B1873&amp;" - "&amp;$C1873)</f>
        <v/>
      </c>
      <c r="S1873">
        <f>IF($A1873="","",$R1873&amp;"|"&amp;$Q1873)</f>
        <v/>
      </c>
      <c r="T1873">
        <f>IF($A1873="","",$S1873&amp;"|"&amp;$F1873)</f>
        <v/>
      </c>
      <c r="U1873">
        <f>IF($A1873="","",$R1873&amp;"("&amp;$E1873&amp;")")</f>
        <v/>
      </c>
      <c r="V1873">
        <f>IF($A1873="","",$F1873&amp;"|"&amp;$U1873&amp;"|"&amp;$D1873)</f>
        <v/>
      </c>
      <c r="W1873">
        <f>IF($T1873="","",IF($X1873&gt;N($X1872),$X1873,""))</f>
        <v/>
      </c>
      <c r="X1873">
        <f>IF($T1873="",N($X1872),IF(MATCH($T1873,$T$6:$T$6005,0)=ROW()-5,N($X1872)+1,N($X1872)))</f>
        <v/>
      </c>
      <c r="Z1873">
        <f>IF($V1873="","",IF($AA1873&gt;N($AA1872),$AA1873,""))</f>
        <v/>
      </c>
      <c r="AA1873">
        <f>IF($V1873="",N($AA1872),IF(MATCH($V1873,$V$6:$V$6005,0)=ROW()-5,N($AA1872)+1,N($AA1872)))</f>
        <v/>
      </c>
    </row>
    <row r="1874" ht="21" customHeight="1" s="66">
      <c r="A1874" s="56" t="n"/>
      <c r="B1874" s="57" t="n"/>
      <c r="C1874" s="57" t="n"/>
      <c r="D1874" s="57" t="n"/>
      <c r="E1874" s="56" t="n"/>
      <c r="F1874" s="57" t="n"/>
      <c r="G1874" s="57" t="n"/>
      <c r="H1874" s="56" t="n"/>
      <c r="I1874" s="56" t="n"/>
      <c r="J1874" s="58" t="n"/>
      <c r="K1874" s="58" t="n"/>
      <c r="L1874" s="13">
        <f>IF(OR($A1874="",AND($J1874="",$K1874="")),"",ROUND(N($J1874)-N($K1874),2))</f>
        <v/>
      </c>
      <c r="M1874" s="13">
        <f>IF(OR($A1874="",AND($J1874="",$K1874="")),"",MIN($J1874,$K1874))</f>
        <v/>
      </c>
      <c r="Q1874">
        <f>IF($A1874="","",$D1874&amp;"("&amp;SUBSTITUTE($E1874," ","")&amp;")")</f>
        <v/>
      </c>
      <c r="R1874">
        <f>IF($A1874="","",$B1874&amp;" - "&amp;$C1874)</f>
        <v/>
      </c>
      <c r="S1874">
        <f>IF($A1874="","",$R1874&amp;"|"&amp;$Q1874)</f>
        <v/>
      </c>
      <c r="T1874">
        <f>IF($A1874="","",$S1874&amp;"|"&amp;$F1874)</f>
        <v/>
      </c>
      <c r="U1874">
        <f>IF($A1874="","",$R1874&amp;"("&amp;$E1874&amp;")")</f>
        <v/>
      </c>
      <c r="V1874">
        <f>IF($A1874="","",$F1874&amp;"|"&amp;$U1874&amp;"|"&amp;$D1874)</f>
        <v/>
      </c>
      <c r="W1874">
        <f>IF($T1874="","",IF($X1874&gt;N($X1873),$X1874,""))</f>
        <v/>
      </c>
      <c r="X1874">
        <f>IF($T1874="",N($X1873),IF(MATCH($T1874,$T$6:$T$6005,0)=ROW()-5,N($X1873)+1,N($X1873)))</f>
        <v/>
      </c>
      <c r="Z1874">
        <f>IF($V1874="","",IF($AA1874&gt;N($AA1873),$AA1874,""))</f>
        <v/>
      </c>
      <c r="AA1874">
        <f>IF($V1874="",N($AA1873),IF(MATCH($V1874,$V$6:$V$6005,0)=ROW()-5,N($AA1873)+1,N($AA1873)))</f>
        <v/>
      </c>
    </row>
    <row r="1875" ht="21" customHeight="1" s="66">
      <c r="A1875" s="56" t="n"/>
      <c r="B1875" s="57" t="n"/>
      <c r="C1875" s="57" t="n"/>
      <c r="D1875" s="57" t="n"/>
      <c r="E1875" s="56" t="n"/>
      <c r="F1875" s="57" t="n"/>
      <c r="G1875" s="57" t="n"/>
      <c r="H1875" s="56" t="n"/>
      <c r="I1875" s="56" t="n"/>
      <c r="J1875" s="58" t="n"/>
      <c r="K1875" s="58" t="n"/>
      <c r="L1875" s="13">
        <f>IF(OR($A1875="",AND($J1875="",$K1875="")),"",ROUND(N($J1875)-N($K1875),2))</f>
        <v/>
      </c>
      <c r="M1875" s="13">
        <f>IF(OR($A1875="",AND($J1875="",$K1875="")),"",MIN($J1875,$K1875))</f>
        <v/>
      </c>
      <c r="Q1875">
        <f>IF($A1875="","",$D1875&amp;"("&amp;SUBSTITUTE($E1875," ","")&amp;")")</f>
        <v/>
      </c>
      <c r="R1875">
        <f>IF($A1875="","",$B1875&amp;" - "&amp;$C1875)</f>
        <v/>
      </c>
      <c r="S1875">
        <f>IF($A1875="","",$R1875&amp;"|"&amp;$Q1875)</f>
        <v/>
      </c>
      <c r="T1875">
        <f>IF($A1875="","",$S1875&amp;"|"&amp;$F1875)</f>
        <v/>
      </c>
      <c r="U1875">
        <f>IF($A1875="","",$R1875&amp;"("&amp;$E1875&amp;")")</f>
        <v/>
      </c>
      <c r="V1875">
        <f>IF($A1875="","",$F1875&amp;"|"&amp;$U1875&amp;"|"&amp;$D1875)</f>
        <v/>
      </c>
      <c r="W1875">
        <f>IF($T1875="","",IF($X1875&gt;N($X1874),$X1875,""))</f>
        <v/>
      </c>
      <c r="X1875">
        <f>IF($T1875="",N($X1874),IF(MATCH($T1875,$T$6:$T$6005,0)=ROW()-5,N($X1874)+1,N($X1874)))</f>
        <v/>
      </c>
      <c r="Z1875">
        <f>IF($V1875="","",IF($AA1875&gt;N($AA1874),$AA1875,""))</f>
        <v/>
      </c>
      <c r="AA1875">
        <f>IF($V1875="",N($AA1874),IF(MATCH($V1875,$V$6:$V$6005,0)=ROW()-5,N($AA1874)+1,N($AA1874)))</f>
        <v/>
      </c>
    </row>
    <row r="1876" ht="21" customHeight="1" s="66">
      <c r="A1876" s="56" t="n"/>
      <c r="B1876" s="57" t="n"/>
      <c r="C1876" s="57" t="n"/>
      <c r="D1876" s="57" t="n"/>
      <c r="E1876" s="56" t="n"/>
      <c r="F1876" s="57" t="n"/>
      <c r="G1876" s="57" t="n"/>
      <c r="H1876" s="56" t="n"/>
      <c r="I1876" s="56" t="n"/>
      <c r="J1876" s="58" t="n"/>
      <c r="K1876" s="58" t="n"/>
      <c r="L1876" s="13">
        <f>IF(OR($A1876="",AND($J1876="",$K1876="")),"",ROUND(N($J1876)-N($K1876),2))</f>
        <v/>
      </c>
      <c r="M1876" s="13">
        <f>IF(OR($A1876="",AND($J1876="",$K1876="")),"",MIN($J1876,$K1876))</f>
        <v/>
      </c>
      <c r="Q1876">
        <f>IF($A1876="","",$D1876&amp;"("&amp;SUBSTITUTE($E1876," ","")&amp;")")</f>
        <v/>
      </c>
      <c r="R1876">
        <f>IF($A1876="","",$B1876&amp;" - "&amp;$C1876)</f>
        <v/>
      </c>
      <c r="S1876">
        <f>IF($A1876="","",$R1876&amp;"|"&amp;$Q1876)</f>
        <v/>
      </c>
      <c r="T1876">
        <f>IF($A1876="","",$S1876&amp;"|"&amp;$F1876)</f>
        <v/>
      </c>
      <c r="U1876">
        <f>IF($A1876="","",$R1876&amp;"("&amp;$E1876&amp;")")</f>
        <v/>
      </c>
      <c r="V1876">
        <f>IF($A1876="","",$F1876&amp;"|"&amp;$U1876&amp;"|"&amp;$D1876)</f>
        <v/>
      </c>
      <c r="W1876">
        <f>IF($T1876="","",IF($X1876&gt;N($X1875),$X1876,""))</f>
        <v/>
      </c>
      <c r="X1876">
        <f>IF($T1876="",N($X1875),IF(MATCH($T1876,$T$6:$T$6005,0)=ROW()-5,N($X1875)+1,N($X1875)))</f>
        <v/>
      </c>
      <c r="Z1876">
        <f>IF($V1876="","",IF($AA1876&gt;N($AA1875),$AA1876,""))</f>
        <v/>
      </c>
      <c r="AA1876">
        <f>IF($V1876="",N($AA1875),IF(MATCH($V1876,$V$6:$V$6005,0)=ROW()-5,N($AA1875)+1,N($AA1875)))</f>
        <v/>
      </c>
    </row>
    <row r="1877" ht="21" customHeight="1" s="66">
      <c r="A1877" s="56" t="n"/>
      <c r="B1877" s="57" t="n"/>
      <c r="C1877" s="57" t="n"/>
      <c r="D1877" s="57" t="n"/>
      <c r="E1877" s="56" t="n"/>
      <c r="F1877" s="57" t="n"/>
      <c r="G1877" s="57" t="n"/>
      <c r="H1877" s="56" t="n"/>
      <c r="I1877" s="56" t="n"/>
      <c r="J1877" s="58" t="n"/>
      <c r="K1877" s="58" t="n"/>
      <c r="L1877" s="13">
        <f>IF(OR($A1877="",AND($J1877="",$K1877="")),"",ROUND(N($J1877)-N($K1877),2))</f>
        <v/>
      </c>
      <c r="M1877" s="13">
        <f>IF(OR($A1877="",AND($J1877="",$K1877="")),"",MIN($J1877,$K1877))</f>
        <v/>
      </c>
      <c r="Q1877">
        <f>IF($A1877="","",$D1877&amp;"("&amp;SUBSTITUTE($E1877," ","")&amp;")")</f>
        <v/>
      </c>
      <c r="R1877">
        <f>IF($A1877="","",$B1877&amp;" - "&amp;$C1877)</f>
        <v/>
      </c>
      <c r="S1877">
        <f>IF($A1877="","",$R1877&amp;"|"&amp;$Q1877)</f>
        <v/>
      </c>
      <c r="T1877">
        <f>IF($A1877="","",$S1877&amp;"|"&amp;$F1877)</f>
        <v/>
      </c>
      <c r="U1877">
        <f>IF($A1877="","",$R1877&amp;"("&amp;$E1877&amp;")")</f>
        <v/>
      </c>
      <c r="V1877">
        <f>IF($A1877="","",$F1877&amp;"|"&amp;$U1877&amp;"|"&amp;$D1877)</f>
        <v/>
      </c>
      <c r="W1877">
        <f>IF($T1877="","",IF($X1877&gt;N($X1876),$X1877,""))</f>
        <v/>
      </c>
      <c r="X1877">
        <f>IF($T1877="",N($X1876),IF(MATCH($T1877,$T$6:$T$6005,0)=ROW()-5,N($X1876)+1,N($X1876)))</f>
        <v/>
      </c>
      <c r="Z1877">
        <f>IF($V1877="","",IF($AA1877&gt;N($AA1876),$AA1877,""))</f>
        <v/>
      </c>
      <c r="AA1877">
        <f>IF($V1877="",N($AA1876),IF(MATCH($V1877,$V$6:$V$6005,0)=ROW()-5,N($AA1876)+1,N($AA1876)))</f>
        <v/>
      </c>
    </row>
    <row r="1878" ht="21" customHeight="1" s="66">
      <c r="A1878" s="56" t="n"/>
      <c r="B1878" s="57" t="n"/>
      <c r="C1878" s="57" t="n"/>
      <c r="D1878" s="57" t="n"/>
      <c r="E1878" s="56" t="n"/>
      <c r="F1878" s="57" t="n"/>
      <c r="G1878" s="57" t="n"/>
      <c r="H1878" s="56" t="n"/>
      <c r="I1878" s="56" t="n"/>
      <c r="J1878" s="58" t="n"/>
      <c r="K1878" s="58" t="n"/>
      <c r="L1878" s="13">
        <f>IF(OR($A1878="",AND($J1878="",$K1878="")),"",ROUND(N($J1878)-N($K1878),2))</f>
        <v/>
      </c>
      <c r="M1878" s="13">
        <f>IF(OR($A1878="",AND($J1878="",$K1878="")),"",MIN($J1878,$K1878))</f>
        <v/>
      </c>
      <c r="Q1878">
        <f>IF($A1878="","",$D1878&amp;"("&amp;SUBSTITUTE($E1878," ","")&amp;")")</f>
        <v/>
      </c>
      <c r="R1878">
        <f>IF($A1878="","",$B1878&amp;" - "&amp;$C1878)</f>
        <v/>
      </c>
      <c r="S1878">
        <f>IF($A1878="","",$R1878&amp;"|"&amp;$Q1878)</f>
        <v/>
      </c>
      <c r="T1878">
        <f>IF($A1878="","",$S1878&amp;"|"&amp;$F1878)</f>
        <v/>
      </c>
      <c r="U1878">
        <f>IF($A1878="","",$R1878&amp;"("&amp;$E1878&amp;")")</f>
        <v/>
      </c>
      <c r="V1878">
        <f>IF($A1878="","",$F1878&amp;"|"&amp;$U1878&amp;"|"&amp;$D1878)</f>
        <v/>
      </c>
      <c r="W1878">
        <f>IF($T1878="","",IF($X1878&gt;N($X1877),$X1878,""))</f>
        <v/>
      </c>
      <c r="X1878">
        <f>IF($T1878="",N($X1877),IF(MATCH($T1878,$T$6:$T$6005,0)=ROW()-5,N($X1877)+1,N($X1877)))</f>
        <v/>
      </c>
      <c r="Z1878">
        <f>IF($V1878="","",IF($AA1878&gt;N($AA1877),$AA1878,""))</f>
        <v/>
      </c>
      <c r="AA1878">
        <f>IF($V1878="",N($AA1877),IF(MATCH($V1878,$V$6:$V$6005,0)=ROW()-5,N($AA1877)+1,N($AA1877)))</f>
        <v/>
      </c>
    </row>
    <row r="1879" ht="21" customHeight="1" s="66">
      <c r="A1879" s="56" t="n"/>
      <c r="B1879" s="57" t="n"/>
      <c r="C1879" s="57" t="n"/>
      <c r="D1879" s="57" t="n"/>
      <c r="E1879" s="56" t="n"/>
      <c r="F1879" s="57" t="n"/>
      <c r="G1879" s="57" t="n"/>
      <c r="H1879" s="56" t="n"/>
      <c r="I1879" s="56" t="n"/>
      <c r="J1879" s="58" t="n"/>
      <c r="K1879" s="58" t="n"/>
      <c r="L1879" s="13">
        <f>IF(OR($A1879="",AND($J1879="",$K1879="")),"",ROUND(N($J1879)-N($K1879),2))</f>
        <v/>
      </c>
      <c r="M1879" s="13">
        <f>IF(OR($A1879="",AND($J1879="",$K1879="")),"",MIN($J1879,$K1879))</f>
        <v/>
      </c>
      <c r="Q1879">
        <f>IF($A1879="","",$D1879&amp;"("&amp;SUBSTITUTE($E1879," ","")&amp;")")</f>
        <v/>
      </c>
      <c r="R1879">
        <f>IF($A1879="","",$B1879&amp;" - "&amp;$C1879)</f>
        <v/>
      </c>
      <c r="S1879">
        <f>IF($A1879="","",$R1879&amp;"|"&amp;$Q1879)</f>
        <v/>
      </c>
      <c r="T1879">
        <f>IF($A1879="","",$S1879&amp;"|"&amp;$F1879)</f>
        <v/>
      </c>
      <c r="U1879">
        <f>IF($A1879="","",$R1879&amp;"("&amp;$E1879&amp;")")</f>
        <v/>
      </c>
      <c r="V1879">
        <f>IF($A1879="","",$F1879&amp;"|"&amp;$U1879&amp;"|"&amp;$D1879)</f>
        <v/>
      </c>
      <c r="W1879">
        <f>IF($T1879="","",IF($X1879&gt;N($X1878),$X1879,""))</f>
        <v/>
      </c>
      <c r="X1879">
        <f>IF($T1879="",N($X1878),IF(MATCH($T1879,$T$6:$T$6005,0)=ROW()-5,N($X1878)+1,N($X1878)))</f>
        <v/>
      </c>
      <c r="Z1879">
        <f>IF($V1879="","",IF($AA1879&gt;N($AA1878),$AA1879,""))</f>
        <v/>
      </c>
      <c r="AA1879">
        <f>IF($V1879="",N($AA1878),IF(MATCH($V1879,$V$6:$V$6005,0)=ROW()-5,N($AA1878)+1,N($AA1878)))</f>
        <v/>
      </c>
    </row>
    <row r="1880" ht="21" customHeight="1" s="66">
      <c r="A1880" s="56" t="n"/>
      <c r="B1880" s="57" t="n"/>
      <c r="C1880" s="57" t="n"/>
      <c r="D1880" s="57" t="n"/>
      <c r="E1880" s="56" t="n"/>
      <c r="F1880" s="57" t="n"/>
      <c r="G1880" s="57" t="n"/>
      <c r="H1880" s="56" t="n"/>
      <c r="I1880" s="56" t="n"/>
      <c r="J1880" s="58" t="n"/>
      <c r="K1880" s="58" t="n"/>
      <c r="L1880" s="13">
        <f>IF(OR($A1880="",AND($J1880="",$K1880="")),"",ROUND(N($J1880)-N($K1880),2))</f>
        <v/>
      </c>
      <c r="M1880" s="13">
        <f>IF(OR($A1880="",AND($J1880="",$K1880="")),"",MIN($J1880,$K1880))</f>
        <v/>
      </c>
      <c r="Q1880">
        <f>IF($A1880="","",$D1880&amp;"("&amp;SUBSTITUTE($E1880," ","")&amp;")")</f>
        <v/>
      </c>
      <c r="R1880">
        <f>IF($A1880="","",$B1880&amp;" - "&amp;$C1880)</f>
        <v/>
      </c>
      <c r="S1880">
        <f>IF($A1880="","",$R1880&amp;"|"&amp;$Q1880)</f>
        <v/>
      </c>
      <c r="T1880">
        <f>IF($A1880="","",$S1880&amp;"|"&amp;$F1880)</f>
        <v/>
      </c>
      <c r="U1880">
        <f>IF($A1880="","",$R1880&amp;"("&amp;$E1880&amp;")")</f>
        <v/>
      </c>
      <c r="V1880">
        <f>IF($A1880="","",$F1880&amp;"|"&amp;$U1880&amp;"|"&amp;$D1880)</f>
        <v/>
      </c>
      <c r="W1880">
        <f>IF($T1880="","",IF($X1880&gt;N($X1879),$X1880,""))</f>
        <v/>
      </c>
      <c r="X1880">
        <f>IF($T1880="",N($X1879),IF(MATCH($T1880,$T$6:$T$6005,0)=ROW()-5,N($X1879)+1,N($X1879)))</f>
        <v/>
      </c>
      <c r="Z1880">
        <f>IF($V1880="","",IF($AA1880&gt;N($AA1879),$AA1880,""))</f>
        <v/>
      </c>
      <c r="AA1880">
        <f>IF($V1880="",N($AA1879),IF(MATCH($V1880,$V$6:$V$6005,0)=ROW()-5,N($AA1879)+1,N($AA1879)))</f>
        <v/>
      </c>
    </row>
    <row r="1881" ht="21" customHeight="1" s="66">
      <c r="A1881" s="56" t="n"/>
      <c r="B1881" s="57" t="n"/>
      <c r="C1881" s="57" t="n"/>
      <c r="D1881" s="57" t="n"/>
      <c r="E1881" s="56" t="n"/>
      <c r="F1881" s="57" t="n"/>
      <c r="G1881" s="57" t="n"/>
      <c r="H1881" s="56" t="n"/>
      <c r="I1881" s="56" t="n"/>
      <c r="J1881" s="58" t="n"/>
      <c r="K1881" s="58" t="n"/>
      <c r="L1881" s="13">
        <f>IF(OR($A1881="",AND($J1881="",$K1881="")),"",ROUND(N($J1881)-N($K1881),2))</f>
        <v/>
      </c>
      <c r="M1881" s="13">
        <f>IF(OR($A1881="",AND($J1881="",$K1881="")),"",MIN($J1881,$K1881))</f>
        <v/>
      </c>
      <c r="Q1881">
        <f>IF($A1881="","",$D1881&amp;"("&amp;SUBSTITUTE($E1881," ","")&amp;")")</f>
        <v/>
      </c>
      <c r="R1881">
        <f>IF($A1881="","",$B1881&amp;" - "&amp;$C1881)</f>
        <v/>
      </c>
      <c r="S1881">
        <f>IF($A1881="","",$R1881&amp;"|"&amp;$Q1881)</f>
        <v/>
      </c>
      <c r="T1881">
        <f>IF($A1881="","",$S1881&amp;"|"&amp;$F1881)</f>
        <v/>
      </c>
      <c r="U1881">
        <f>IF($A1881="","",$R1881&amp;"("&amp;$E1881&amp;")")</f>
        <v/>
      </c>
      <c r="V1881">
        <f>IF($A1881="","",$F1881&amp;"|"&amp;$U1881&amp;"|"&amp;$D1881)</f>
        <v/>
      </c>
      <c r="W1881">
        <f>IF($T1881="","",IF($X1881&gt;N($X1880),$X1881,""))</f>
        <v/>
      </c>
      <c r="X1881">
        <f>IF($T1881="",N($X1880),IF(MATCH($T1881,$T$6:$T$6005,0)=ROW()-5,N($X1880)+1,N($X1880)))</f>
        <v/>
      </c>
      <c r="Z1881">
        <f>IF($V1881="","",IF($AA1881&gt;N($AA1880),$AA1881,""))</f>
        <v/>
      </c>
      <c r="AA1881">
        <f>IF($V1881="",N($AA1880),IF(MATCH($V1881,$V$6:$V$6005,0)=ROW()-5,N($AA1880)+1,N($AA1880)))</f>
        <v/>
      </c>
    </row>
    <row r="1882" ht="21" customHeight="1" s="66">
      <c r="A1882" s="56" t="n"/>
      <c r="B1882" s="57" t="n"/>
      <c r="C1882" s="57" t="n"/>
      <c r="D1882" s="57" t="n"/>
      <c r="E1882" s="56" t="n"/>
      <c r="F1882" s="57" t="n"/>
      <c r="G1882" s="57" t="n"/>
      <c r="H1882" s="56" t="n"/>
      <c r="I1882" s="56" t="n"/>
      <c r="J1882" s="58" t="n"/>
      <c r="K1882" s="58" t="n"/>
      <c r="L1882" s="13">
        <f>IF(OR($A1882="",AND($J1882="",$K1882="")),"",ROUND(N($J1882)-N($K1882),2))</f>
        <v/>
      </c>
      <c r="M1882" s="13">
        <f>IF(OR($A1882="",AND($J1882="",$K1882="")),"",MIN($J1882,$K1882))</f>
        <v/>
      </c>
      <c r="Q1882">
        <f>IF($A1882="","",$D1882&amp;"("&amp;SUBSTITUTE($E1882," ","")&amp;")")</f>
        <v/>
      </c>
      <c r="R1882">
        <f>IF($A1882="","",$B1882&amp;" - "&amp;$C1882)</f>
        <v/>
      </c>
      <c r="S1882">
        <f>IF($A1882="","",$R1882&amp;"|"&amp;$Q1882)</f>
        <v/>
      </c>
      <c r="T1882">
        <f>IF($A1882="","",$S1882&amp;"|"&amp;$F1882)</f>
        <v/>
      </c>
      <c r="U1882">
        <f>IF($A1882="","",$R1882&amp;"("&amp;$E1882&amp;")")</f>
        <v/>
      </c>
      <c r="V1882">
        <f>IF($A1882="","",$F1882&amp;"|"&amp;$U1882&amp;"|"&amp;$D1882)</f>
        <v/>
      </c>
      <c r="W1882">
        <f>IF($T1882="","",IF($X1882&gt;N($X1881),$X1882,""))</f>
        <v/>
      </c>
      <c r="X1882">
        <f>IF($T1882="",N($X1881),IF(MATCH($T1882,$T$6:$T$6005,0)=ROW()-5,N($X1881)+1,N($X1881)))</f>
        <v/>
      </c>
      <c r="Z1882">
        <f>IF($V1882="","",IF($AA1882&gt;N($AA1881),$AA1882,""))</f>
        <v/>
      </c>
      <c r="AA1882">
        <f>IF($V1882="",N($AA1881),IF(MATCH($V1882,$V$6:$V$6005,0)=ROW()-5,N($AA1881)+1,N($AA1881)))</f>
        <v/>
      </c>
    </row>
    <row r="1883" ht="21" customHeight="1" s="66">
      <c r="A1883" s="56" t="n"/>
      <c r="B1883" s="57" t="n"/>
      <c r="C1883" s="57" t="n"/>
      <c r="D1883" s="57" t="n"/>
      <c r="E1883" s="56" t="n"/>
      <c r="F1883" s="57" t="n"/>
      <c r="G1883" s="57" t="n"/>
      <c r="H1883" s="56" t="n"/>
      <c r="I1883" s="56" t="n"/>
      <c r="J1883" s="58" t="n"/>
      <c r="K1883" s="58" t="n"/>
      <c r="L1883" s="13">
        <f>IF(OR($A1883="",AND($J1883="",$K1883="")),"",ROUND(N($J1883)-N($K1883),2))</f>
        <v/>
      </c>
      <c r="M1883" s="13">
        <f>IF(OR($A1883="",AND($J1883="",$K1883="")),"",MIN($J1883,$K1883))</f>
        <v/>
      </c>
      <c r="Q1883">
        <f>IF($A1883="","",$D1883&amp;"("&amp;SUBSTITUTE($E1883," ","")&amp;")")</f>
        <v/>
      </c>
      <c r="R1883">
        <f>IF($A1883="","",$B1883&amp;" - "&amp;$C1883)</f>
        <v/>
      </c>
      <c r="S1883">
        <f>IF($A1883="","",$R1883&amp;"|"&amp;$Q1883)</f>
        <v/>
      </c>
      <c r="T1883">
        <f>IF($A1883="","",$S1883&amp;"|"&amp;$F1883)</f>
        <v/>
      </c>
      <c r="U1883">
        <f>IF($A1883="","",$R1883&amp;"("&amp;$E1883&amp;")")</f>
        <v/>
      </c>
      <c r="V1883">
        <f>IF($A1883="","",$F1883&amp;"|"&amp;$U1883&amp;"|"&amp;$D1883)</f>
        <v/>
      </c>
      <c r="W1883">
        <f>IF($T1883="","",IF($X1883&gt;N($X1882),$X1883,""))</f>
        <v/>
      </c>
      <c r="X1883">
        <f>IF($T1883="",N($X1882),IF(MATCH($T1883,$T$6:$T$6005,0)=ROW()-5,N($X1882)+1,N($X1882)))</f>
        <v/>
      </c>
      <c r="Z1883">
        <f>IF($V1883="","",IF($AA1883&gt;N($AA1882),$AA1883,""))</f>
        <v/>
      </c>
      <c r="AA1883">
        <f>IF($V1883="",N($AA1882),IF(MATCH($V1883,$V$6:$V$6005,0)=ROW()-5,N($AA1882)+1,N($AA1882)))</f>
        <v/>
      </c>
    </row>
    <row r="1884" ht="21" customHeight="1" s="66">
      <c r="A1884" s="56" t="n"/>
      <c r="B1884" s="57" t="n"/>
      <c r="C1884" s="57" t="n"/>
      <c r="D1884" s="57" t="n"/>
      <c r="E1884" s="56" t="n"/>
      <c r="F1884" s="57" t="n"/>
      <c r="G1884" s="57" t="n"/>
      <c r="H1884" s="56" t="n"/>
      <c r="I1884" s="56" t="n"/>
      <c r="J1884" s="58" t="n"/>
      <c r="K1884" s="58" t="n"/>
      <c r="L1884" s="13">
        <f>IF(OR($A1884="",AND($J1884="",$K1884="")),"",ROUND(N($J1884)-N($K1884),2))</f>
        <v/>
      </c>
      <c r="M1884" s="13">
        <f>IF(OR($A1884="",AND($J1884="",$K1884="")),"",MIN($J1884,$K1884))</f>
        <v/>
      </c>
      <c r="Q1884">
        <f>IF($A1884="","",$D1884&amp;"("&amp;SUBSTITUTE($E1884," ","")&amp;")")</f>
        <v/>
      </c>
      <c r="R1884">
        <f>IF($A1884="","",$B1884&amp;" - "&amp;$C1884)</f>
        <v/>
      </c>
      <c r="S1884">
        <f>IF($A1884="","",$R1884&amp;"|"&amp;$Q1884)</f>
        <v/>
      </c>
      <c r="T1884">
        <f>IF($A1884="","",$S1884&amp;"|"&amp;$F1884)</f>
        <v/>
      </c>
      <c r="U1884">
        <f>IF($A1884="","",$R1884&amp;"("&amp;$E1884&amp;")")</f>
        <v/>
      </c>
      <c r="V1884">
        <f>IF($A1884="","",$F1884&amp;"|"&amp;$U1884&amp;"|"&amp;$D1884)</f>
        <v/>
      </c>
      <c r="W1884">
        <f>IF($T1884="","",IF($X1884&gt;N($X1883),$X1884,""))</f>
        <v/>
      </c>
      <c r="X1884">
        <f>IF($T1884="",N($X1883),IF(MATCH($T1884,$T$6:$T$6005,0)=ROW()-5,N($X1883)+1,N($X1883)))</f>
        <v/>
      </c>
      <c r="Z1884">
        <f>IF($V1884="","",IF($AA1884&gt;N($AA1883),$AA1884,""))</f>
        <v/>
      </c>
      <c r="AA1884">
        <f>IF($V1884="",N($AA1883),IF(MATCH($V1884,$V$6:$V$6005,0)=ROW()-5,N($AA1883)+1,N($AA1883)))</f>
        <v/>
      </c>
    </row>
    <row r="1885" ht="21" customHeight="1" s="66">
      <c r="A1885" s="56" t="n"/>
      <c r="B1885" s="57" t="n"/>
      <c r="C1885" s="57" t="n"/>
      <c r="D1885" s="57" t="n"/>
      <c r="E1885" s="56" t="n"/>
      <c r="F1885" s="57" t="n"/>
      <c r="G1885" s="57" t="n"/>
      <c r="H1885" s="56" t="n"/>
      <c r="I1885" s="56" t="n"/>
      <c r="J1885" s="58" t="n"/>
      <c r="K1885" s="58" t="n"/>
      <c r="L1885" s="13">
        <f>IF(OR($A1885="",AND($J1885="",$K1885="")),"",ROUND(N($J1885)-N($K1885),2))</f>
        <v/>
      </c>
      <c r="M1885" s="13">
        <f>IF(OR($A1885="",AND($J1885="",$K1885="")),"",MIN($J1885,$K1885))</f>
        <v/>
      </c>
      <c r="Q1885">
        <f>IF($A1885="","",$D1885&amp;"("&amp;SUBSTITUTE($E1885," ","")&amp;")")</f>
        <v/>
      </c>
      <c r="R1885">
        <f>IF($A1885="","",$B1885&amp;" - "&amp;$C1885)</f>
        <v/>
      </c>
      <c r="S1885">
        <f>IF($A1885="","",$R1885&amp;"|"&amp;$Q1885)</f>
        <v/>
      </c>
      <c r="T1885">
        <f>IF($A1885="","",$S1885&amp;"|"&amp;$F1885)</f>
        <v/>
      </c>
      <c r="U1885">
        <f>IF($A1885="","",$R1885&amp;"("&amp;$E1885&amp;")")</f>
        <v/>
      </c>
      <c r="V1885">
        <f>IF($A1885="","",$F1885&amp;"|"&amp;$U1885&amp;"|"&amp;$D1885)</f>
        <v/>
      </c>
      <c r="W1885">
        <f>IF($T1885="","",IF($X1885&gt;N($X1884),$X1885,""))</f>
        <v/>
      </c>
      <c r="X1885">
        <f>IF($T1885="",N($X1884),IF(MATCH($T1885,$T$6:$T$6005,0)=ROW()-5,N($X1884)+1,N($X1884)))</f>
        <v/>
      </c>
      <c r="Z1885">
        <f>IF($V1885="","",IF($AA1885&gt;N($AA1884),$AA1885,""))</f>
        <v/>
      </c>
      <c r="AA1885">
        <f>IF($V1885="",N($AA1884),IF(MATCH($V1885,$V$6:$V$6005,0)=ROW()-5,N($AA1884)+1,N($AA1884)))</f>
        <v/>
      </c>
    </row>
    <row r="1886" ht="21" customHeight="1" s="66">
      <c r="A1886" s="56" t="n"/>
      <c r="B1886" s="57" t="n"/>
      <c r="C1886" s="57" t="n"/>
      <c r="D1886" s="57" t="n"/>
      <c r="E1886" s="56" t="n"/>
      <c r="F1886" s="57" t="n"/>
      <c r="G1886" s="57" t="n"/>
      <c r="H1886" s="56" t="n"/>
      <c r="I1886" s="56" t="n"/>
      <c r="J1886" s="58" t="n"/>
      <c r="K1886" s="58" t="n"/>
      <c r="L1886" s="13">
        <f>IF(OR($A1886="",AND($J1886="",$K1886="")),"",ROUND(N($J1886)-N($K1886),2))</f>
        <v/>
      </c>
      <c r="M1886" s="13">
        <f>IF(OR($A1886="",AND($J1886="",$K1886="")),"",MIN($J1886,$K1886))</f>
        <v/>
      </c>
      <c r="Q1886">
        <f>IF($A1886="","",$D1886&amp;"("&amp;SUBSTITUTE($E1886," ","")&amp;")")</f>
        <v/>
      </c>
      <c r="R1886">
        <f>IF($A1886="","",$B1886&amp;" - "&amp;$C1886)</f>
        <v/>
      </c>
      <c r="S1886">
        <f>IF($A1886="","",$R1886&amp;"|"&amp;$Q1886)</f>
        <v/>
      </c>
      <c r="T1886">
        <f>IF($A1886="","",$S1886&amp;"|"&amp;$F1886)</f>
        <v/>
      </c>
      <c r="U1886">
        <f>IF($A1886="","",$R1886&amp;"("&amp;$E1886&amp;")")</f>
        <v/>
      </c>
      <c r="V1886">
        <f>IF($A1886="","",$F1886&amp;"|"&amp;$U1886&amp;"|"&amp;$D1886)</f>
        <v/>
      </c>
      <c r="W1886">
        <f>IF($T1886="","",IF($X1886&gt;N($X1885),$X1886,""))</f>
        <v/>
      </c>
      <c r="X1886">
        <f>IF($T1886="",N($X1885),IF(MATCH($T1886,$T$6:$T$6005,0)=ROW()-5,N($X1885)+1,N($X1885)))</f>
        <v/>
      </c>
      <c r="Z1886">
        <f>IF($V1886="","",IF($AA1886&gt;N($AA1885),$AA1886,""))</f>
        <v/>
      </c>
      <c r="AA1886">
        <f>IF($V1886="",N($AA1885),IF(MATCH($V1886,$V$6:$V$6005,0)=ROW()-5,N($AA1885)+1,N($AA1885)))</f>
        <v/>
      </c>
    </row>
    <row r="1887" ht="21" customHeight="1" s="66">
      <c r="A1887" s="56" t="n"/>
      <c r="B1887" s="57" t="n"/>
      <c r="C1887" s="57" t="n"/>
      <c r="D1887" s="57" t="n"/>
      <c r="E1887" s="56" t="n"/>
      <c r="F1887" s="57" t="n"/>
      <c r="G1887" s="57" t="n"/>
      <c r="H1887" s="56" t="n"/>
      <c r="I1887" s="56" t="n"/>
      <c r="J1887" s="58" t="n"/>
      <c r="K1887" s="58" t="n"/>
      <c r="L1887" s="13">
        <f>IF(OR($A1887="",AND($J1887="",$K1887="")),"",ROUND(N($J1887)-N($K1887),2))</f>
        <v/>
      </c>
      <c r="M1887" s="13">
        <f>IF(OR($A1887="",AND($J1887="",$K1887="")),"",MIN($J1887,$K1887))</f>
        <v/>
      </c>
      <c r="Q1887">
        <f>IF($A1887="","",$D1887&amp;"("&amp;SUBSTITUTE($E1887," ","")&amp;")")</f>
        <v/>
      </c>
      <c r="R1887">
        <f>IF($A1887="","",$B1887&amp;" - "&amp;$C1887)</f>
        <v/>
      </c>
      <c r="S1887">
        <f>IF($A1887="","",$R1887&amp;"|"&amp;$Q1887)</f>
        <v/>
      </c>
      <c r="T1887">
        <f>IF($A1887="","",$S1887&amp;"|"&amp;$F1887)</f>
        <v/>
      </c>
      <c r="U1887">
        <f>IF($A1887="","",$R1887&amp;"("&amp;$E1887&amp;")")</f>
        <v/>
      </c>
      <c r="V1887">
        <f>IF($A1887="","",$F1887&amp;"|"&amp;$U1887&amp;"|"&amp;$D1887)</f>
        <v/>
      </c>
      <c r="W1887">
        <f>IF($T1887="","",IF($X1887&gt;N($X1886),$X1887,""))</f>
        <v/>
      </c>
      <c r="X1887">
        <f>IF($T1887="",N($X1886),IF(MATCH($T1887,$T$6:$T$6005,0)=ROW()-5,N($X1886)+1,N($X1886)))</f>
        <v/>
      </c>
      <c r="Z1887">
        <f>IF($V1887="","",IF($AA1887&gt;N($AA1886),$AA1887,""))</f>
        <v/>
      </c>
      <c r="AA1887">
        <f>IF($V1887="",N($AA1886),IF(MATCH($V1887,$V$6:$V$6005,0)=ROW()-5,N($AA1886)+1,N($AA1886)))</f>
        <v/>
      </c>
    </row>
    <row r="1888" ht="21" customHeight="1" s="66">
      <c r="A1888" s="56" t="n"/>
      <c r="B1888" s="57" t="n"/>
      <c r="C1888" s="57" t="n"/>
      <c r="D1888" s="57" t="n"/>
      <c r="E1888" s="56" t="n"/>
      <c r="F1888" s="57" t="n"/>
      <c r="G1888" s="57" t="n"/>
      <c r="H1888" s="56" t="n"/>
      <c r="I1888" s="56" t="n"/>
      <c r="J1888" s="58" t="n"/>
      <c r="K1888" s="58" t="n"/>
      <c r="L1888" s="13">
        <f>IF(OR($A1888="",AND($J1888="",$K1888="")),"",ROUND(N($J1888)-N($K1888),2))</f>
        <v/>
      </c>
      <c r="M1888" s="13">
        <f>IF(OR($A1888="",AND($J1888="",$K1888="")),"",MIN($J1888,$K1888))</f>
        <v/>
      </c>
      <c r="Q1888">
        <f>IF($A1888="","",$D1888&amp;"("&amp;SUBSTITUTE($E1888," ","")&amp;")")</f>
        <v/>
      </c>
      <c r="R1888">
        <f>IF($A1888="","",$B1888&amp;" - "&amp;$C1888)</f>
        <v/>
      </c>
      <c r="S1888">
        <f>IF($A1888="","",$R1888&amp;"|"&amp;$Q1888)</f>
        <v/>
      </c>
      <c r="T1888">
        <f>IF($A1888="","",$S1888&amp;"|"&amp;$F1888)</f>
        <v/>
      </c>
      <c r="U1888">
        <f>IF($A1888="","",$R1888&amp;"("&amp;$E1888&amp;")")</f>
        <v/>
      </c>
      <c r="V1888">
        <f>IF($A1888="","",$F1888&amp;"|"&amp;$U1888&amp;"|"&amp;$D1888)</f>
        <v/>
      </c>
      <c r="W1888">
        <f>IF($T1888="","",IF($X1888&gt;N($X1887),$X1888,""))</f>
        <v/>
      </c>
      <c r="X1888">
        <f>IF($T1888="",N($X1887),IF(MATCH($T1888,$T$6:$T$6005,0)=ROW()-5,N($X1887)+1,N($X1887)))</f>
        <v/>
      </c>
      <c r="Z1888">
        <f>IF($V1888="","",IF($AA1888&gt;N($AA1887),$AA1888,""))</f>
        <v/>
      </c>
      <c r="AA1888">
        <f>IF($V1888="",N($AA1887),IF(MATCH($V1888,$V$6:$V$6005,0)=ROW()-5,N($AA1887)+1,N($AA1887)))</f>
        <v/>
      </c>
    </row>
    <row r="1889" ht="21" customHeight="1" s="66">
      <c r="A1889" s="56" t="n"/>
      <c r="B1889" s="57" t="n"/>
      <c r="C1889" s="57" t="n"/>
      <c r="D1889" s="57" t="n"/>
      <c r="E1889" s="56" t="n"/>
      <c r="F1889" s="57" t="n"/>
      <c r="G1889" s="57" t="n"/>
      <c r="H1889" s="56" t="n"/>
      <c r="I1889" s="56" t="n"/>
      <c r="J1889" s="58" t="n"/>
      <c r="K1889" s="58" t="n"/>
      <c r="L1889" s="13">
        <f>IF(OR($A1889="",AND($J1889="",$K1889="")),"",ROUND(N($J1889)-N($K1889),2))</f>
        <v/>
      </c>
      <c r="M1889" s="13">
        <f>IF(OR($A1889="",AND($J1889="",$K1889="")),"",MIN($J1889,$K1889))</f>
        <v/>
      </c>
      <c r="Q1889">
        <f>IF($A1889="","",$D1889&amp;"("&amp;SUBSTITUTE($E1889," ","")&amp;")")</f>
        <v/>
      </c>
      <c r="R1889">
        <f>IF($A1889="","",$B1889&amp;" - "&amp;$C1889)</f>
        <v/>
      </c>
      <c r="S1889">
        <f>IF($A1889="","",$R1889&amp;"|"&amp;$Q1889)</f>
        <v/>
      </c>
      <c r="T1889">
        <f>IF($A1889="","",$S1889&amp;"|"&amp;$F1889)</f>
        <v/>
      </c>
      <c r="U1889">
        <f>IF($A1889="","",$R1889&amp;"("&amp;$E1889&amp;")")</f>
        <v/>
      </c>
      <c r="V1889">
        <f>IF($A1889="","",$F1889&amp;"|"&amp;$U1889&amp;"|"&amp;$D1889)</f>
        <v/>
      </c>
      <c r="W1889">
        <f>IF($T1889="","",IF($X1889&gt;N($X1888),$X1889,""))</f>
        <v/>
      </c>
      <c r="X1889">
        <f>IF($T1889="",N($X1888),IF(MATCH($T1889,$T$6:$T$6005,0)=ROW()-5,N($X1888)+1,N($X1888)))</f>
        <v/>
      </c>
      <c r="Z1889">
        <f>IF($V1889="","",IF($AA1889&gt;N($AA1888),$AA1889,""))</f>
        <v/>
      </c>
      <c r="AA1889">
        <f>IF($V1889="",N($AA1888),IF(MATCH($V1889,$V$6:$V$6005,0)=ROW()-5,N($AA1888)+1,N($AA1888)))</f>
        <v/>
      </c>
    </row>
    <row r="1890" ht="21" customHeight="1" s="66">
      <c r="A1890" s="56" t="n"/>
      <c r="B1890" s="57" t="n"/>
      <c r="C1890" s="57" t="n"/>
      <c r="D1890" s="57" t="n"/>
      <c r="E1890" s="56" t="n"/>
      <c r="F1890" s="57" t="n"/>
      <c r="G1890" s="57" t="n"/>
      <c r="H1890" s="56" t="n"/>
      <c r="I1890" s="56" t="n"/>
      <c r="J1890" s="58" t="n"/>
      <c r="K1890" s="58" t="n"/>
      <c r="L1890" s="13">
        <f>IF(OR($A1890="",AND($J1890="",$K1890="")),"",ROUND(N($J1890)-N($K1890),2))</f>
        <v/>
      </c>
      <c r="M1890" s="13">
        <f>IF(OR($A1890="",AND($J1890="",$K1890="")),"",MIN($J1890,$K1890))</f>
        <v/>
      </c>
      <c r="Q1890">
        <f>IF($A1890="","",$D1890&amp;"("&amp;SUBSTITUTE($E1890," ","")&amp;")")</f>
        <v/>
      </c>
      <c r="R1890">
        <f>IF($A1890="","",$B1890&amp;" - "&amp;$C1890)</f>
        <v/>
      </c>
      <c r="S1890">
        <f>IF($A1890="","",$R1890&amp;"|"&amp;$Q1890)</f>
        <v/>
      </c>
      <c r="T1890">
        <f>IF($A1890="","",$S1890&amp;"|"&amp;$F1890)</f>
        <v/>
      </c>
      <c r="U1890">
        <f>IF($A1890="","",$R1890&amp;"("&amp;$E1890&amp;")")</f>
        <v/>
      </c>
      <c r="V1890">
        <f>IF($A1890="","",$F1890&amp;"|"&amp;$U1890&amp;"|"&amp;$D1890)</f>
        <v/>
      </c>
      <c r="W1890">
        <f>IF($T1890="","",IF($X1890&gt;N($X1889),$X1890,""))</f>
        <v/>
      </c>
      <c r="X1890">
        <f>IF($T1890="",N($X1889),IF(MATCH($T1890,$T$6:$T$6005,0)=ROW()-5,N($X1889)+1,N($X1889)))</f>
        <v/>
      </c>
      <c r="Z1890">
        <f>IF($V1890="","",IF($AA1890&gt;N($AA1889),$AA1890,""))</f>
        <v/>
      </c>
      <c r="AA1890">
        <f>IF($V1890="",N($AA1889),IF(MATCH($V1890,$V$6:$V$6005,0)=ROW()-5,N($AA1889)+1,N($AA1889)))</f>
        <v/>
      </c>
    </row>
    <row r="1891" ht="21" customHeight="1" s="66">
      <c r="A1891" s="56" t="n"/>
      <c r="B1891" s="57" t="n"/>
      <c r="C1891" s="57" t="n"/>
      <c r="D1891" s="57" t="n"/>
      <c r="E1891" s="56" t="n"/>
      <c r="F1891" s="57" t="n"/>
      <c r="G1891" s="57" t="n"/>
      <c r="H1891" s="56" t="n"/>
      <c r="I1891" s="56" t="n"/>
      <c r="J1891" s="58" t="n"/>
      <c r="K1891" s="58" t="n"/>
      <c r="L1891" s="13">
        <f>IF(OR($A1891="",AND($J1891="",$K1891="")),"",ROUND(N($J1891)-N($K1891),2))</f>
        <v/>
      </c>
      <c r="M1891" s="13">
        <f>IF(OR($A1891="",AND($J1891="",$K1891="")),"",MIN($J1891,$K1891))</f>
        <v/>
      </c>
      <c r="Q1891">
        <f>IF($A1891="","",$D1891&amp;"("&amp;SUBSTITUTE($E1891," ","")&amp;")")</f>
        <v/>
      </c>
      <c r="R1891">
        <f>IF($A1891="","",$B1891&amp;" - "&amp;$C1891)</f>
        <v/>
      </c>
      <c r="S1891">
        <f>IF($A1891="","",$R1891&amp;"|"&amp;$Q1891)</f>
        <v/>
      </c>
      <c r="T1891">
        <f>IF($A1891="","",$S1891&amp;"|"&amp;$F1891)</f>
        <v/>
      </c>
      <c r="U1891">
        <f>IF($A1891="","",$R1891&amp;"("&amp;$E1891&amp;")")</f>
        <v/>
      </c>
      <c r="V1891">
        <f>IF($A1891="","",$F1891&amp;"|"&amp;$U1891&amp;"|"&amp;$D1891)</f>
        <v/>
      </c>
      <c r="W1891">
        <f>IF($T1891="","",IF($X1891&gt;N($X1890),$X1891,""))</f>
        <v/>
      </c>
      <c r="X1891">
        <f>IF($T1891="",N($X1890),IF(MATCH($T1891,$T$6:$T$6005,0)=ROW()-5,N($X1890)+1,N($X1890)))</f>
        <v/>
      </c>
      <c r="Z1891">
        <f>IF($V1891="","",IF($AA1891&gt;N($AA1890),$AA1891,""))</f>
        <v/>
      </c>
      <c r="AA1891">
        <f>IF($V1891="",N($AA1890),IF(MATCH($V1891,$V$6:$V$6005,0)=ROW()-5,N($AA1890)+1,N($AA1890)))</f>
        <v/>
      </c>
    </row>
    <row r="1892" ht="21" customHeight="1" s="66">
      <c r="A1892" s="56" t="n"/>
      <c r="B1892" s="57" t="n"/>
      <c r="C1892" s="57" t="n"/>
      <c r="D1892" s="57" t="n"/>
      <c r="E1892" s="56" t="n"/>
      <c r="F1892" s="57" t="n"/>
      <c r="G1892" s="57" t="n"/>
      <c r="H1892" s="56" t="n"/>
      <c r="I1892" s="56" t="n"/>
      <c r="J1892" s="58" t="n"/>
      <c r="K1892" s="58" t="n"/>
      <c r="L1892" s="13">
        <f>IF(OR($A1892="",AND($J1892="",$K1892="")),"",ROUND(N($J1892)-N($K1892),2))</f>
        <v/>
      </c>
      <c r="M1892" s="13">
        <f>IF(OR($A1892="",AND($J1892="",$K1892="")),"",MIN($J1892,$K1892))</f>
        <v/>
      </c>
      <c r="Q1892">
        <f>IF($A1892="","",$D1892&amp;"("&amp;SUBSTITUTE($E1892," ","")&amp;")")</f>
        <v/>
      </c>
      <c r="R1892">
        <f>IF($A1892="","",$B1892&amp;" - "&amp;$C1892)</f>
        <v/>
      </c>
      <c r="S1892">
        <f>IF($A1892="","",$R1892&amp;"|"&amp;$Q1892)</f>
        <v/>
      </c>
      <c r="T1892">
        <f>IF($A1892="","",$S1892&amp;"|"&amp;$F1892)</f>
        <v/>
      </c>
      <c r="U1892">
        <f>IF($A1892="","",$R1892&amp;"("&amp;$E1892&amp;")")</f>
        <v/>
      </c>
      <c r="V1892">
        <f>IF($A1892="","",$F1892&amp;"|"&amp;$U1892&amp;"|"&amp;$D1892)</f>
        <v/>
      </c>
      <c r="W1892">
        <f>IF($T1892="","",IF($X1892&gt;N($X1891),$X1892,""))</f>
        <v/>
      </c>
      <c r="X1892">
        <f>IF($T1892="",N($X1891),IF(MATCH($T1892,$T$6:$T$6005,0)=ROW()-5,N($X1891)+1,N($X1891)))</f>
        <v/>
      </c>
      <c r="Z1892">
        <f>IF($V1892="","",IF($AA1892&gt;N($AA1891),$AA1892,""))</f>
        <v/>
      </c>
      <c r="AA1892">
        <f>IF($V1892="",N($AA1891),IF(MATCH($V1892,$V$6:$V$6005,0)=ROW()-5,N($AA1891)+1,N($AA1891)))</f>
        <v/>
      </c>
    </row>
    <row r="1893" ht="21" customHeight="1" s="66">
      <c r="A1893" s="56" t="n"/>
      <c r="B1893" s="57" t="n"/>
      <c r="C1893" s="57" t="n"/>
      <c r="D1893" s="57" t="n"/>
      <c r="E1893" s="56" t="n"/>
      <c r="F1893" s="57" t="n"/>
      <c r="G1893" s="57" t="n"/>
      <c r="H1893" s="56" t="n"/>
      <c r="I1893" s="56" t="n"/>
      <c r="J1893" s="58" t="n"/>
      <c r="K1893" s="58" t="n"/>
      <c r="L1893" s="13">
        <f>IF(OR($A1893="",AND($J1893="",$K1893="")),"",ROUND(N($J1893)-N($K1893),2))</f>
        <v/>
      </c>
      <c r="M1893" s="13">
        <f>IF(OR($A1893="",AND($J1893="",$K1893="")),"",MIN($J1893,$K1893))</f>
        <v/>
      </c>
      <c r="Q1893">
        <f>IF($A1893="","",$D1893&amp;"("&amp;SUBSTITUTE($E1893," ","")&amp;")")</f>
        <v/>
      </c>
      <c r="R1893">
        <f>IF($A1893="","",$B1893&amp;" - "&amp;$C1893)</f>
        <v/>
      </c>
      <c r="S1893">
        <f>IF($A1893="","",$R1893&amp;"|"&amp;$Q1893)</f>
        <v/>
      </c>
      <c r="T1893">
        <f>IF($A1893="","",$S1893&amp;"|"&amp;$F1893)</f>
        <v/>
      </c>
      <c r="U1893">
        <f>IF($A1893="","",$R1893&amp;"("&amp;$E1893&amp;")")</f>
        <v/>
      </c>
      <c r="V1893">
        <f>IF($A1893="","",$F1893&amp;"|"&amp;$U1893&amp;"|"&amp;$D1893)</f>
        <v/>
      </c>
      <c r="W1893">
        <f>IF($T1893="","",IF($X1893&gt;N($X1892),$X1893,""))</f>
        <v/>
      </c>
      <c r="X1893">
        <f>IF($T1893="",N($X1892),IF(MATCH($T1893,$T$6:$T$6005,0)=ROW()-5,N($X1892)+1,N($X1892)))</f>
        <v/>
      </c>
      <c r="Z1893">
        <f>IF($V1893="","",IF($AA1893&gt;N($AA1892),$AA1893,""))</f>
        <v/>
      </c>
      <c r="AA1893">
        <f>IF($V1893="",N($AA1892),IF(MATCH($V1893,$V$6:$V$6005,0)=ROW()-5,N($AA1892)+1,N($AA1892)))</f>
        <v/>
      </c>
    </row>
    <row r="1894" ht="21" customHeight="1" s="66">
      <c r="A1894" s="56" t="n"/>
      <c r="B1894" s="57" t="n"/>
      <c r="C1894" s="57" t="n"/>
      <c r="D1894" s="57" t="n"/>
      <c r="E1894" s="56" t="n"/>
      <c r="F1894" s="57" t="n"/>
      <c r="G1894" s="57" t="n"/>
      <c r="H1894" s="56" t="n"/>
      <c r="I1894" s="56" t="n"/>
      <c r="J1894" s="58" t="n"/>
      <c r="K1894" s="58" t="n"/>
      <c r="L1894" s="13">
        <f>IF(OR($A1894="",AND($J1894="",$K1894="")),"",ROUND(N($J1894)-N($K1894),2))</f>
        <v/>
      </c>
      <c r="M1894" s="13">
        <f>IF(OR($A1894="",AND($J1894="",$K1894="")),"",MIN($J1894,$K1894))</f>
        <v/>
      </c>
      <c r="Q1894">
        <f>IF($A1894="","",$D1894&amp;"("&amp;SUBSTITUTE($E1894," ","")&amp;")")</f>
        <v/>
      </c>
      <c r="R1894">
        <f>IF($A1894="","",$B1894&amp;" - "&amp;$C1894)</f>
        <v/>
      </c>
      <c r="S1894">
        <f>IF($A1894="","",$R1894&amp;"|"&amp;$Q1894)</f>
        <v/>
      </c>
      <c r="T1894">
        <f>IF($A1894="","",$S1894&amp;"|"&amp;$F1894)</f>
        <v/>
      </c>
      <c r="U1894">
        <f>IF($A1894="","",$R1894&amp;"("&amp;$E1894&amp;")")</f>
        <v/>
      </c>
      <c r="V1894">
        <f>IF($A1894="","",$F1894&amp;"|"&amp;$U1894&amp;"|"&amp;$D1894)</f>
        <v/>
      </c>
      <c r="W1894">
        <f>IF($T1894="","",IF($X1894&gt;N($X1893),$X1894,""))</f>
        <v/>
      </c>
      <c r="X1894">
        <f>IF($T1894="",N($X1893),IF(MATCH($T1894,$T$6:$T$6005,0)=ROW()-5,N($X1893)+1,N($X1893)))</f>
        <v/>
      </c>
      <c r="Z1894">
        <f>IF($V1894="","",IF($AA1894&gt;N($AA1893),$AA1894,""))</f>
        <v/>
      </c>
      <c r="AA1894">
        <f>IF($V1894="",N($AA1893),IF(MATCH($V1894,$V$6:$V$6005,0)=ROW()-5,N($AA1893)+1,N($AA1893)))</f>
        <v/>
      </c>
    </row>
    <row r="1895" ht="21" customHeight="1" s="66">
      <c r="A1895" s="56" t="n"/>
      <c r="B1895" s="57" t="n"/>
      <c r="C1895" s="57" t="n"/>
      <c r="D1895" s="57" t="n"/>
      <c r="E1895" s="56" t="n"/>
      <c r="F1895" s="57" t="n"/>
      <c r="G1895" s="57" t="n"/>
      <c r="H1895" s="56" t="n"/>
      <c r="I1895" s="56" t="n"/>
      <c r="J1895" s="58" t="n"/>
      <c r="K1895" s="58" t="n"/>
      <c r="L1895" s="13">
        <f>IF(OR($A1895="",AND($J1895="",$K1895="")),"",ROUND(N($J1895)-N($K1895),2))</f>
        <v/>
      </c>
      <c r="M1895" s="13">
        <f>IF(OR($A1895="",AND($J1895="",$K1895="")),"",MIN($J1895,$K1895))</f>
        <v/>
      </c>
      <c r="Q1895">
        <f>IF($A1895="","",$D1895&amp;"("&amp;SUBSTITUTE($E1895," ","")&amp;")")</f>
        <v/>
      </c>
      <c r="R1895">
        <f>IF($A1895="","",$B1895&amp;" - "&amp;$C1895)</f>
        <v/>
      </c>
      <c r="S1895">
        <f>IF($A1895="","",$R1895&amp;"|"&amp;$Q1895)</f>
        <v/>
      </c>
      <c r="T1895">
        <f>IF($A1895="","",$S1895&amp;"|"&amp;$F1895)</f>
        <v/>
      </c>
      <c r="U1895">
        <f>IF($A1895="","",$R1895&amp;"("&amp;$E1895&amp;")")</f>
        <v/>
      </c>
      <c r="V1895">
        <f>IF($A1895="","",$F1895&amp;"|"&amp;$U1895&amp;"|"&amp;$D1895)</f>
        <v/>
      </c>
      <c r="W1895">
        <f>IF($T1895="","",IF($X1895&gt;N($X1894),$X1895,""))</f>
        <v/>
      </c>
      <c r="X1895">
        <f>IF($T1895="",N($X1894),IF(MATCH($T1895,$T$6:$T$6005,0)=ROW()-5,N($X1894)+1,N($X1894)))</f>
        <v/>
      </c>
      <c r="Z1895">
        <f>IF($V1895="","",IF($AA1895&gt;N($AA1894),$AA1895,""))</f>
        <v/>
      </c>
      <c r="AA1895">
        <f>IF($V1895="",N($AA1894),IF(MATCH($V1895,$V$6:$V$6005,0)=ROW()-5,N($AA1894)+1,N($AA1894)))</f>
        <v/>
      </c>
    </row>
    <row r="1896" ht="21" customHeight="1" s="66">
      <c r="A1896" s="56" t="n"/>
      <c r="B1896" s="57" t="n"/>
      <c r="C1896" s="57" t="n"/>
      <c r="D1896" s="57" t="n"/>
      <c r="E1896" s="56" t="n"/>
      <c r="F1896" s="57" t="n"/>
      <c r="G1896" s="57" t="n"/>
      <c r="H1896" s="56" t="n"/>
      <c r="I1896" s="56" t="n"/>
      <c r="J1896" s="58" t="n"/>
      <c r="K1896" s="58" t="n"/>
      <c r="L1896" s="13">
        <f>IF(OR($A1896="",AND($J1896="",$K1896="")),"",ROUND(N($J1896)-N($K1896),2))</f>
        <v/>
      </c>
      <c r="M1896" s="13">
        <f>IF(OR($A1896="",AND($J1896="",$K1896="")),"",MIN($J1896,$K1896))</f>
        <v/>
      </c>
      <c r="Q1896">
        <f>IF($A1896="","",$D1896&amp;"("&amp;SUBSTITUTE($E1896," ","")&amp;")")</f>
        <v/>
      </c>
      <c r="R1896">
        <f>IF($A1896="","",$B1896&amp;" - "&amp;$C1896)</f>
        <v/>
      </c>
      <c r="S1896">
        <f>IF($A1896="","",$R1896&amp;"|"&amp;$Q1896)</f>
        <v/>
      </c>
      <c r="T1896">
        <f>IF($A1896="","",$S1896&amp;"|"&amp;$F1896)</f>
        <v/>
      </c>
      <c r="U1896">
        <f>IF($A1896="","",$R1896&amp;"("&amp;$E1896&amp;")")</f>
        <v/>
      </c>
      <c r="V1896">
        <f>IF($A1896="","",$F1896&amp;"|"&amp;$U1896&amp;"|"&amp;$D1896)</f>
        <v/>
      </c>
      <c r="W1896">
        <f>IF($T1896="","",IF($X1896&gt;N($X1895),$X1896,""))</f>
        <v/>
      </c>
      <c r="X1896">
        <f>IF($T1896="",N($X1895),IF(MATCH($T1896,$T$6:$T$6005,0)=ROW()-5,N($X1895)+1,N($X1895)))</f>
        <v/>
      </c>
      <c r="Z1896">
        <f>IF($V1896="","",IF($AA1896&gt;N($AA1895),$AA1896,""))</f>
        <v/>
      </c>
      <c r="AA1896">
        <f>IF($V1896="",N($AA1895),IF(MATCH($V1896,$V$6:$V$6005,0)=ROW()-5,N($AA1895)+1,N($AA1895)))</f>
        <v/>
      </c>
    </row>
    <row r="1897" ht="21" customHeight="1" s="66">
      <c r="A1897" s="56" t="n"/>
      <c r="B1897" s="57" t="n"/>
      <c r="C1897" s="57" t="n"/>
      <c r="D1897" s="57" t="n"/>
      <c r="E1897" s="56" t="n"/>
      <c r="F1897" s="57" t="n"/>
      <c r="G1897" s="57" t="n"/>
      <c r="H1897" s="56" t="n"/>
      <c r="I1897" s="56" t="n"/>
      <c r="J1897" s="58" t="n"/>
      <c r="K1897" s="58" t="n"/>
      <c r="L1897" s="13">
        <f>IF(OR($A1897="",AND($J1897="",$K1897="")),"",ROUND(N($J1897)-N($K1897),2))</f>
        <v/>
      </c>
      <c r="M1897" s="13">
        <f>IF(OR($A1897="",AND($J1897="",$K1897="")),"",MIN($J1897,$K1897))</f>
        <v/>
      </c>
      <c r="Q1897">
        <f>IF($A1897="","",$D1897&amp;"("&amp;SUBSTITUTE($E1897," ","")&amp;")")</f>
        <v/>
      </c>
      <c r="R1897">
        <f>IF($A1897="","",$B1897&amp;" - "&amp;$C1897)</f>
        <v/>
      </c>
      <c r="S1897">
        <f>IF($A1897="","",$R1897&amp;"|"&amp;$Q1897)</f>
        <v/>
      </c>
      <c r="T1897">
        <f>IF($A1897="","",$S1897&amp;"|"&amp;$F1897)</f>
        <v/>
      </c>
      <c r="U1897">
        <f>IF($A1897="","",$R1897&amp;"("&amp;$E1897&amp;")")</f>
        <v/>
      </c>
      <c r="V1897">
        <f>IF($A1897="","",$F1897&amp;"|"&amp;$U1897&amp;"|"&amp;$D1897)</f>
        <v/>
      </c>
      <c r="W1897">
        <f>IF($T1897="","",IF($X1897&gt;N($X1896),$X1897,""))</f>
        <v/>
      </c>
      <c r="X1897">
        <f>IF($T1897="",N($X1896),IF(MATCH($T1897,$T$6:$T$6005,0)=ROW()-5,N($X1896)+1,N($X1896)))</f>
        <v/>
      </c>
      <c r="Z1897">
        <f>IF($V1897="","",IF($AA1897&gt;N($AA1896),$AA1897,""))</f>
        <v/>
      </c>
      <c r="AA1897">
        <f>IF($V1897="",N($AA1896),IF(MATCH($V1897,$V$6:$V$6005,0)=ROW()-5,N($AA1896)+1,N($AA1896)))</f>
        <v/>
      </c>
    </row>
    <row r="1898" ht="21" customHeight="1" s="66">
      <c r="A1898" s="56" t="n"/>
      <c r="B1898" s="57" t="n"/>
      <c r="C1898" s="57" t="n"/>
      <c r="D1898" s="57" t="n"/>
      <c r="E1898" s="56" t="n"/>
      <c r="F1898" s="57" t="n"/>
      <c r="G1898" s="57" t="n"/>
      <c r="H1898" s="56" t="n"/>
      <c r="I1898" s="56" t="n"/>
      <c r="J1898" s="58" t="n"/>
      <c r="K1898" s="58" t="n"/>
      <c r="L1898" s="13">
        <f>IF(OR($A1898="",AND($J1898="",$K1898="")),"",ROUND(N($J1898)-N($K1898),2))</f>
        <v/>
      </c>
      <c r="M1898" s="13">
        <f>IF(OR($A1898="",AND($J1898="",$K1898="")),"",MIN($J1898,$K1898))</f>
        <v/>
      </c>
      <c r="Q1898">
        <f>IF($A1898="","",$D1898&amp;"("&amp;SUBSTITUTE($E1898," ","")&amp;")")</f>
        <v/>
      </c>
      <c r="R1898">
        <f>IF($A1898="","",$B1898&amp;" - "&amp;$C1898)</f>
        <v/>
      </c>
      <c r="S1898">
        <f>IF($A1898="","",$R1898&amp;"|"&amp;$Q1898)</f>
        <v/>
      </c>
      <c r="T1898">
        <f>IF($A1898="","",$S1898&amp;"|"&amp;$F1898)</f>
        <v/>
      </c>
      <c r="U1898">
        <f>IF($A1898="","",$R1898&amp;"("&amp;$E1898&amp;")")</f>
        <v/>
      </c>
      <c r="V1898">
        <f>IF($A1898="","",$F1898&amp;"|"&amp;$U1898&amp;"|"&amp;$D1898)</f>
        <v/>
      </c>
      <c r="W1898">
        <f>IF($T1898="","",IF($X1898&gt;N($X1897),$X1898,""))</f>
        <v/>
      </c>
      <c r="X1898">
        <f>IF($T1898="",N($X1897),IF(MATCH($T1898,$T$6:$T$6005,0)=ROW()-5,N($X1897)+1,N($X1897)))</f>
        <v/>
      </c>
      <c r="Z1898">
        <f>IF($V1898="","",IF($AA1898&gt;N($AA1897),$AA1898,""))</f>
        <v/>
      </c>
      <c r="AA1898">
        <f>IF($V1898="",N($AA1897),IF(MATCH($V1898,$V$6:$V$6005,0)=ROW()-5,N($AA1897)+1,N($AA1897)))</f>
        <v/>
      </c>
    </row>
    <row r="1899" ht="21" customHeight="1" s="66">
      <c r="A1899" s="56" t="n"/>
      <c r="B1899" s="57" t="n"/>
      <c r="C1899" s="57" t="n"/>
      <c r="D1899" s="57" t="n"/>
      <c r="E1899" s="56" t="n"/>
      <c r="F1899" s="57" t="n"/>
      <c r="G1899" s="57" t="n"/>
      <c r="H1899" s="56" t="n"/>
      <c r="I1899" s="56" t="n"/>
      <c r="J1899" s="58" t="n"/>
      <c r="K1899" s="58" t="n"/>
      <c r="L1899" s="13">
        <f>IF(OR($A1899="",AND($J1899="",$K1899="")),"",ROUND(N($J1899)-N($K1899),2))</f>
        <v/>
      </c>
      <c r="M1899" s="13">
        <f>IF(OR($A1899="",AND($J1899="",$K1899="")),"",MIN($J1899,$K1899))</f>
        <v/>
      </c>
      <c r="Q1899">
        <f>IF($A1899="","",$D1899&amp;"("&amp;SUBSTITUTE($E1899," ","")&amp;")")</f>
        <v/>
      </c>
      <c r="R1899">
        <f>IF($A1899="","",$B1899&amp;" - "&amp;$C1899)</f>
        <v/>
      </c>
      <c r="S1899">
        <f>IF($A1899="","",$R1899&amp;"|"&amp;$Q1899)</f>
        <v/>
      </c>
      <c r="T1899">
        <f>IF($A1899="","",$S1899&amp;"|"&amp;$F1899)</f>
        <v/>
      </c>
      <c r="U1899">
        <f>IF($A1899="","",$R1899&amp;"("&amp;$E1899&amp;")")</f>
        <v/>
      </c>
      <c r="V1899">
        <f>IF($A1899="","",$F1899&amp;"|"&amp;$U1899&amp;"|"&amp;$D1899)</f>
        <v/>
      </c>
      <c r="W1899">
        <f>IF($T1899="","",IF($X1899&gt;N($X1898),$X1899,""))</f>
        <v/>
      </c>
      <c r="X1899">
        <f>IF($T1899="",N($X1898),IF(MATCH($T1899,$T$6:$T$6005,0)=ROW()-5,N($X1898)+1,N($X1898)))</f>
        <v/>
      </c>
      <c r="Z1899">
        <f>IF($V1899="","",IF($AA1899&gt;N($AA1898),$AA1899,""))</f>
        <v/>
      </c>
      <c r="AA1899">
        <f>IF($V1899="",N($AA1898),IF(MATCH($V1899,$V$6:$V$6005,0)=ROW()-5,N($AA1898)+1,N($AA1898)))</f>
        <v/>
      </c>
    </row>
    <row r="1900" ht="21" customHeight="1" s="66">
      <c r="A1900" s="56" t="n"/>
      <c r="B1900" s="57" t="n"/>
      <c r="C1900" s="57" t="n"/>
      <c r="D1900" s="57" t="n"/>
      <c r="E1900" s="56" t="n"/>
      <c r="F1900" s="57" t="n"/>
      <c r="G1900" s="57" t="n"/>
      <c r="H1900" s="56" t="n"/>
      <c r="I1900" s="56" t="n"/>
      <c r="J1900" s="58" t="n"/>
      <c r="K1900" s="58" t="n"/>
      <c r="L1900" s="13">
        <f>IF(OR($A1900="",AND($J1900="",$K1900="")),"",ROUND(N($J1900)-N($K1900),2))</f>
        <v/>
      </c>
      <c r="M1900" s="13">
        <f>IF(OR($A1900="",AND($J1900="",$K1900="")),"",MIN($J1900,$K1900))</f>
        <v/>
      </c>
      <c r="Q1900">
        <f>IF($A1900="","",$D1900&amp;"("&amp;SUBSTITUTE($E1900," ","")&amp;")")</f>
        <v/>
      </c>
      <c r="R1900">
        <f>IF($A1900="","",$B1900&amp;" - "&amp;$C1900)</f>
        <v/>
      </c>
      <c r="S1900">
        <f>IF($A1900="","",$R1900&amp;"|"&amp;$Q1900)</f>
        <v/>
      </c>
      <c r="T1900">
        <f>IF($A1900="","",$S1900&amp;"|"&amp;$F1900)</f>
        <v/>
      </c>
      <c r="U1900">
        <f>IF($A1900="","",$R1900&amp;"("&amp;$E1900&amp;")")</f>
        <v/>
      </c>
      <c r="V1900">
        <f>IF($A1900="","",$F1900&amp;"|"&amp;$U1900&amp;"|"&amp;$D1900)</f>
        <v/>
      </c>
      <c r="W1900">
        <f>IF($T1900="","",IF($X1900&gt;N($X1899),$X1900,""))</f>
        <v/>
      </c>
      <c r="X1900">
        <f>IF($T1900="",N($X1899),IF(MATCH($T1900,$T$6:$T$6005,0)=ROW()-5,N($X1899)+1,N($X1899)))</f>
        <v/>
      </c>
      <c r="Z1900">
        <f>IF($V1900="","",IF($AA1900&gt;N($AA1899),$AA1900,""))</f>
        <v/>
      </c>
      <c r="AA1900">
        <f>IF($V1900="",N($AA1899),IF(MATCH($V1900,$V$6:$V$6005,0)=ROW()-5,N($AA1899)+1,N($AA1899)))</f>
        <v/>
      </c>
    </row>
    <row r="1901" ht="21" customHeight="1" s="66">
      <c r="A1901" s="56" t="n"/>
      <c r="B1901" s="57" t="n"/>
      <c r="C1901" s="57" t="n"/>
      <c r="D1901" s="57" t="n"/>
      <c r="E1901" s="56" t="n"/>
      <c r="F1901" s="57" t="n"/>
      <c r="G1901" s="57" t="n"/>
      <c r="H1901" s="56" t="n"/>
      <c r="I1901" s="56" t="n"/>
      <c r="J1901" s="58" t="n"/>
      <c r="K1901" s="58" t="n"/>
      <c r="L1901" s="13">
        <f>IF(OR($A1901="",AND($J1901="",$K1901="")),"",ROUND(N($J1901)-N($K1901),2))</f>
        <v/>
      </c>
      <c r="M1901" s="13">
        <f>IF(OR($A1901="",AND($J1901="",$K1901="")),"",MIN($J1901,$K1901))</f>
        <v/>
      </c>
      <c r="Q1901">
        <f>IF($A1901="","",$D1901&amp;"("&amp;SUBSTITUTE($E1901," ","")&amp;")")</f>
        <v/>
      </c>
      <c r="R1901">
        <f>IF($A1901="","",$B1901&amp;" - "&amp;$C1901)</f>
        <v/>
      </c>
      <c r="S1901">
        <f>IF($A1901="","",$R1901&amp;"|"&amp;$Q1901)</f>
        <v/>
      </c>
      <c r="T1901">
        <f>IF($A1901="","",$S1901&amp;"|"&amp;$F1901)</f>
        <v/>
      </c>
      <c r="U1901">
        <f>IF($A1901="","",$R1901&amp;"("&amp;$E1901&amp;")")</f>
        <v/>
      </c>
      <c r="V1901">
        <f>IF($A1901="","",$F1901&amp;"|"&amp;$U1901&amp;"|"&amp;$D1901)</f>
        <v/>
      </c>
      <c r="W1901">
        <f>IF($T1901="","",IF($X1901&gt;N($X1900),$X1901,""))</f>
        <v/>
      </c>
      <c r="X1901">
        <f>IF($T1901="",N($X1900),IF(MATCH($T1901,$T$6:$T$6005,0)=ROW()-5,N($X1900)+1,N($X1900)))</f>
        <v/>
      </c>
      <c r="Z1901">
        <f>IF($V1901="","",IF($AA1901&gt;N($AA1900),$AA1901,""))</f>
        <v/>
      </c>
      <c r="AA1901">
        <f>IF($V1901="",N($AA1900),IF(MATCH($V1901,$V$6:$V$6005,0)=ROW()-5,N($AA1900)+1,N($AA1900)))</f>
        <v/>
      </c>
    </row>
    <row r="1902" ht="21" customHeight="1" s="66">
      <c r="A1902" s="56" t="n"/>
      <c r="B1902" s="57" t="n"/>
      <c r="C1902" s="57" t="n"/>
      <c r="D1902" s="57" t="n"/>
      <c r="E1902" s="56" t="n"/>
      <c r="F1902" s="57" t="n"/>
      <c r="G1902" s="57" t="n"/>
      <c r="H1902" s="56" t="n"/>
      <c r="I1902" s="56" t="n"/>
      <c r="J1902" s="58" t="n"/>
      <c r="K1902" s="58" t="n"/>
      <c r="L1902" s="13">
        <f>IF(OR($A1902="",AND($J1902="",$K1902="")),"",ROUND(N($J1902)-N($K1902),2))</f>
        <v/>
      </c>
      <c r="M1902" s="13">
        <f>IF(OR($A1902="",AND($J1902="",$K1902="")),"",MIN($J1902,$K1902))</f>
        <v/>
      </c>
      <c r="Q1902">
        <f>IF($A1902="","",$D1902&amp;"("&amp;SUBSTITUTE($E1902," ","")&amp;")")</f>
        <v/>
      </c>
      <c r="R1902">
        <f>IF($A1902="","",$B1902&amp;" - "&amp;$C1902)</f>
        <v/>
      </c>
      <c r="S1902">
        <f>IF($A1902="","",$R1902&amp;"|"&amp;$Q1902)</f>
        <v/>
      </c>
      <c r="T1902">
        <f>IF($A1902="","",$S1902&amp;"|"&amp;$F1902)</f>
        <v/>
      </c>
      <c r="U1902">
        <f>IF($A1902="","",$R1902&amp;"("&amp;$E1902&amp;")")</f>
        <v/>
      </c>
      <c r="V1902">
        <f>IF($A1902="","",$F1902&amp;"|"&amp;$U1902&amp;"|"&amp;$D1902)</f>
        <v/>
      </c>
      <c r="W1902">
        <f>IF($T1902="","",IF($X1902&gt;N($X1901),$X1902,""))</f>
        <v/>
      </c>
      <c r="X1902">
        <f>IF($T1902="",N($X1901),IF(MATCH($T1902,$T$6:$T$6005,0)=ROW()-5,N($X1901)+1,N($X1901)))</f>
        <v/>
      </c>
      <c r="Z1902">
        <f>IF($V1902="","",IF($AA1902&gt;N($AA1901),$AA1902,""))</f>
        <v/>
      </c>
      <c r="AA1902">
        <f>IF($V1902="",N($AA1901),IF(MATCH($V1902,$V$6:$V$6005,0)=ROW()-5,N($AA1901)+1,N($AA1901)))</f>
        <v/>
      </c>
    </row>
    <row r="1903" ht="21" customHeight="1" s="66">
      <c r="A1903" s="56" t="n"/>
      <c r="B1903" s="57" t="n"/>
      <c r="C1903" s="57" t="n"/>
      <c r="D1903" s="57" t="n"/>
      <c r="E1903" s="56" t="n"/>
      <c r="F1903" s="57" t="n"/>
      <c r="G1903" s="57" t="n"/>
      <c r="H1903" s="56" t="n"/>
      <c r="I1903" s="56" t="n"/>
      <c r="J1903" s="58" t="n"/>
      <c r="K1903" s="58" t="n"/>
      <c r="L1903" s="13">
        <f>IF(OR($A1903="",AND($J1903="",$K1903="")),"",ROUND(N($J1903)-N($K1903),2))</f>
        <v/>
      </c>
      <c r="M1903" s="13">
        <f>IF(OR($A1903="",AND($J1903="",$K1903="")),"",MIN($J1903,$K1903))</f>
        <v/>
      </c>
      <c r="Q1903">
        <f>IF($A1903="","",$D1903&amp;"("&amp;SUBSTITUTE($E1903," ","")&amp;")")</f>
        <v/>
      </c>
      <c r="R1903">
        <f>IF($A1903="","",$B1903&amp;" - "&amp;$C1903)</f>
        <v/>
      </c>
      <c r="S1903">
        <f>IF($A1903="","",$R1903&amp;"|"&amp;$Q1903)</f>
        <v/>
      </c>
      <c r="T1903">
        <f>IF($A1903="","",$S1903&amp;"|"&amp;$F1903)</f>
        <v/>
      </c>
      <c r="U1903">
        <f>IF($A1903="","",$R1903&amp;"("&amp;$E1903&amp;")")</f>
        <v/>
      </c>
      <c r="V1903">
        <f>IF($A1903="","",$F1903&amp;"|"&amp;$U1903&amp;"|"&amp;$D1903)</f>
        <v/>
      </c>
      <c r="W1903">
        <f>IF($T1903="","",IF($X1903&gt;N($X1902),$X1903,""))</f>
        <v/>
      </c>
      <c r="X1903">
        <f>IF($T1903="",N($X1902),IF(MATCH($T1903,$T$6:$T$6005,0)=ROW()-5,N($X1902)+1,N($X1902)))</f>
        <v/>
      </c>
      <c r="Z1903">
        <f>IF($V1903="","",IF($AA1903&gt;N($AA1902),$AA1903,""))</f>
        <v/>
      </c>
      <c r="AA1903">
        <f>IF($V1903="",N($AA1902),IF(MATCH($V1903,$V$6:$V$6005,0)=ROW()-5,N($AA1902)+1,N($AA1902)))</f>
        <v/>
      </c>
    </row>
    <row r="1904" ht="21" customHeight="1" s="66">
      <c r="A1904" s="56" t="n"/>
      <c r="B1904" s="57" t="n"/>
      <c r="C1904" s="57" t="n"/>
      <c r="D1904" s="57" t="n"/>
      <c r="E1904" s="56" t="n"/>
      <c r="F1904" s="57" t="n"/>
      <c r="G1904" s="57" t="n"/>
      <c r="H1904" s="56" t="n"/>
      <c r="I1904" s="56" t="n"/>
      <c r="J1904" s="58" t="n"/>
      <c r="K1904" s="58" t="n"/>
      <c r="L1904" s="13">
        <f>IF(OR($A1904="",AND($J1904="",$K1904="")),"",ROUND(N($J1904)-N($K1904),2))</f>
        <v/>
      </c>
      <c r="M1904" s="13">
        <f>IF(OR($A1904="",AND($J1904="",$K1904="")),"",MIN($J1904,$K1904))</f>
        <v/>
      </c>
      <c r="Q1904">
        <f>IF($A1904="","",$D1904&amp;"("&amp;SUBSTITUTE($E1904," ","")&amp;")")</f>
        <v/>
      </c>
      <c r="R1904">
        <f>IF($A1904="","",$B1904&amp;" - "&amp;$C1904)</f>
        <v/>
      </c>
      <c r="S1904">
        <f>IF($A1904="","",$R1904&amp;"|"&amp;$Q1904)</f>
        <v/>
      </c>
      <c r="T1904">
        <f>IF($A1904="","",$S1904&amp;"|"&amp;$F1904)</f>
        <v/>
      </c>
      <c r="U1904">
        <f>IF($A1904="","",$R1904&amp;"("&amp;$E1904&amp;")")</f>
        <v/>
      </c>
      <c r="V1904">
        <f>IF($A1904="","",$F1904&amp;"|"&amp;$U1904&amp;"|"&amp;$D1904)</f>
        <v/>
      </c>
      <c r="W1904">
        <f>IF($T1904="","",IF($X1904&gt;N($X1903),$X1904,""))</f>
        <v/>
      </c>
      <c r="X1904">
        <f>IF($T1904="",N($X1903),IF(MATCH($T1904,$T$6:$T$6005,0)=ROW()-5,N($X1903)+1,N($X1903)))</f>
        <v/>
      </c>
      <c r="Z1904">
        <f>IF($V1904="","",IF($AA1904&gt;N($AA1903),$AA1904,""))</f>
        <v/>
      </c>
      <c r="AA1904">
        <f>IF($V1904="",N($AA1903),IF(MATCH($V1904,$V$6:$V$6005,0)=ROW()-5,N($AA1903)+1,N($AA1903)))</f>
        <v/>
      </c>
    </row>
    <row r="1905" ht="21" customHeight="1" s="66">
      <c r="A1905" s="56" t="n"/>
      <c r="B1905" s="57" t="n"/>
      <c r="C1905" s="57" t="n"/>
      <c r="D1905" s="57" t="n"/>
      <c r="E1905" s="56" t="n"/>
      <c r="F1905" s="57" t="n"/>
      <c r="G1905" s="57" t="n"/>
      <c r="H1905" s="56" t="n"/>
      <c r="I1905" s="56" t="n"/>
      <c r="J1905" s="58" t="n"/>
      <c r="K1905" s="58" t="n"/>
      <c r="L1905" s="13">
        <f>IF(OR($A1905="",AND($J1905="",$K1905="")),"",ROUND(N($J1905)-N($K1905),2))</f>
        <v/>
      </c>
      <c r="M1905" s="13">
        <f>IF(OR($A1905="",AND($J1905="",$K1905="")),"",MIN($J1905,$K1905))</f>
        <v/>
      </c>
      <c r="Q1905">
        <f>IF($A1905="","",$D1905&amp;"("&amp;SUBSTITUTE($E1905," ","")&amp;")")</f>
        <v/>
      </c>
      <c r="R1905">
        <f>IF($A1905="","",$B1905&amp;" - "&amp;$C1905)</f>
        <v/>
      </c>
      <c r="S1905">
        <f>IF($A1905="","",$R1905&amp;"|"&amp;$Q1905)</f>
        <v/>
      </c>
      <c r="T1905">
        <f>IF($A1905="","",$S1905&amp;"|"&amp;$F1905)</f>
        <v/>
      </c>
      <c r="U1905">
        <f>IF($A1905="","",$R1905&amp;"("&amp;$E1905&amp;")")</f>
        <v/>
      </c>
      <c r="V1905">
        <f>IF($A1905="","",$F1905&amp;"|"&amp;$U1905&amp;"|"&amp;$D1905)</f>
        <v/>
      </c>
      <c r="W1905">
        <f>IF($T1905="","",IF($X1905&gt;N($X1904),$X1905,""))</f>
        <v/>
      </c>
      <c r="X1905">
        <f>IF($T1905="",N($X1904),IF(MATCH($T1905,$T$6:$T$6005,0)=ROW()-5,N($X1904)+1,N($X1904)))</f>
        <v/>
      </c>
      <c r="Z1905">
        <f>IF($V1905="","",IF($AA1905&gt;N($AA1904),$AA1905,""))</f>
        <v/>
      </c>
      <c r="AA1905">
        <f>IF($V1905="",N($AA1904),IF(MATCH($V1905,$V$6:$V$6005,0)=ROW()-5,N($AA1904)+1,N($AA1904)))</f>
        <v/>
      </c>
    </row>
    <row r="1906" ht="21" customHeight="1" s="66">
      <c r="A1906" s="56" t="n"/>
      <c r="B1906" s="57" t="n"/>
      <c r="C1906" s="57" t="n"/>
      <c r="D1906" s="57" t="n"/>
      <c r="E1906" s="56" t="n"/>
      <c r="F1906" s="57" t="n"/>
      <c r="G1906" s="57" t="n"/>
      <c r="H1906" s="56" t="n"/>
      <c r="I1906" s="56" t="n"/>
      <c r="J1906" s="58" t="n"/>
      <c r="K1906" s="58" t="n"/>
      <c r="L1906" s="13">
        <f>IF(OR($A1906="",AND($J1906="",$K1906="")),"",ROUND(N($J1906)-N($K1906),2))</f>
        <v/>
      </c>
      <c r="M1906" s="13">
        <f>IF(OR($A1906="",AND($J1906="",$K1906="")),"",MIN($J1906,$K1906))</f>
        <v/>
      </c>
      <c r="Q1906">
        <f>IF($A1906="","",$D1906&amp;"("&amp;SUBSTITUTE($E1906," ","")&amp;")")</f>
        <v/>
      </c>
      <c r="R1906">
        <f>IF($A1906="","",$B1906&amp;" - "&amp;$C1906)</f>
        <v/>
      </c>
      <c r="S1906">
        <f>IF($A1906="","",$R1906&amp;"|"&amp;$Q1906)</f>
        <v/>
      </c>
      <c r="T1906">
        <f>IF($A1906="","",$S1906&amp;"|"&amp;$F1906)</f>
        <v/>
      </c>
      <c r="U1906">
        <f>IF($A1906="","",$R1906&amp;"("&amp;$E1906&amp;")")</f>
        <v/>
      </c>
      <c r="V1906">
        <f>IF($A1906="","",$F1906&amp;"|"&amp;$U1906&amp;"|"&amp;$D1906)</f>
        <v/>
      </c>
      <c r="W1906">
        <f>IF($T1906="","",IF($X1906&gt;N($X1905),$X1906,""))</f>
        <v/>
      </c>
      <c r="X1906">
        <f>IF($T1906="",N($X1905),IF(MATCH($T1906,$T$6:$T$6005,0)=ROW()-5,N($X1905)+1,N($X1905)))</f>
        <v/>
      </c>
      <c r="Z1906">
        <f>IF($V1906="","",IF($AA1906&gt;N($AA1905),$AA1906,""))</f>
        <v/>
      </c>
      <c r="AA1906">
        <f>IF($V1906="",N($AA1905),IF(MATCH($V1906,$V$6:$V$6005,0)=ROW()-5,N($AA1905)+1,N($AA1905)))</f>
        <v/>
      </c>
    </row>
    <row r="1907" ht="21" customHeight="1" s="66">
      <c r="A1907" s="56" t="n"/>
      <c r="B1907" s="57" t="n"/>
      <c r="C1907" s="57" t="n"/>
      <c r="D1907" s="57" t="n"/>
      <c r="E1907" s="56" t="n"/>
      <c r="F1907" s="57" t="n"/>
      <c r="G1907" s="57" t="n"/>
      <c r="H1907" s="56" t="n"/>
      <c r="I1907" s="56" t="n"/>
      <c r="J1907" s="58" t="n"/>
      <c r="K1907" s="58" t="n"/>
      <c r="L1907" s="13">
        <f>IF(OR($A1907="",AND($J1907="",$K1907="")),"",ROUND(N($J1907)-N($K1907),2))</f>
        <v/>
      </c>
      <c r="M1907" s="13">
        <f>IF(OR($A1907="",AND($J1907="",$K1907="")),"",MIN($J1907,$K1907))</f>
        <v/>
      </c>
      <c r="Q1907">
        <f>IF($A1907="","",$D1907&amp;"("&amp;SUBSTITUTE($E1907," ","")&amp;")")</f>
        <v/>
      </c>
      <c r="R1907">
        <f>IF($A1907="","",$B1907&amp;" - "&amp;$C1907)</f>
        <v/>
      </c>
      <c r="S1907">
        <f>IF($A1907="","",$R1907&amp;"|"&amp;$Q1907)</f>
        <v/>
      </c>
      <c r="T1907">
        <f>IF($A1907="","",$S1907&amp;"|"&amp;$F1907)</f>
        <v/>
      </c>
      <c r="U1907">
        <f>IF($A1907="","",$R1907&amp;"("&amp;$E1907&amp;")")</f>
        <v/>
      </c>
      <c r="V1907">
        <f>IF($A1907="","",$F1907&amp;"|"&amp;$U1907&amp;"|"&amp;$D1907)</f>
        <v/>
      </c>
      <c r="W1907">
        <f>IF($T1907="","",IF($X1907&gt;N($X1906),$X1907,""))</f>
        <v/>
      </c>
      <c r="X1907">
        <f>IF($T1907="",N($X1906),IF(MATCH($T1907,$T$6:$T$6005,0)=ROW()-5,N($X1906)+1,N($X1906)))</f>
        <v/>
      </c>
      <c r="Z1907">
        <f>IF($V1907="","",IF($AA1907&gt;N($AA1906),$AA1907,""))</f>
        <v/>
      </c>
      <c r="AA1907">
        <f>IF($V1907="",N($AA1906),IF(MATCH($V1907,$V$6:$V$6005,0)=ROW()-5,N($AA1906)+1,N($AA1906)))</f>
        <v/>
      </c>
    </row>
    <row r="1908" ht="21" customHeight="1" s="66">
      <c r="A1908" s="56" t="n"/>
      <c r="B1908" s="57" t="n"/>
      <c r="C1908" s="57" t="n"/>
      <c r="D1908" s="57" t="n"/>
      <c r="E1908" s="56" t="n"/>
      <c r="F1908" s="57" t="n"/>
      <c r="G1908" s="57" t="n"/>
      <c r="H1908" s="56" t="n"/>
      <c r="I1908" s="56" t="n"/>
      <c r="J1908" s="58" t="n"/>
      <c r="K1908" s="58" t="n"/>
      <c r="L1908" s="13">
        <f>IF(OR($A1908="",AND($J1908="",$K1908="")),"",ROUND(N($J1908)-N($K1908),2))</f>
        <v/>
      </c>
      <c r="M1908" s="13">
        <f>IF(OR($A1908="",AND($J1908="",$K1908="")),"",MIN($J1908,$K1908))</f>
        <v/>
      </c>
      <c r="Q1908">
        <f>IF($A1908="","",$D1908&amp;"("&amp;SUBSTITUTE($E1908," ","")&amp;")")</f>
        <v/>
      </c>
      <c r="R1908">
        <f>IF($A1908="","",$B1908&amp;" - "&amp;$C1908)</f>
        <v/>
      </c>
      <c r="S1908">
        <f>IF($A1908="","",$R1908&amp;"|"&amp;$Q1908)</f>
        <v/>
      </c>
      <c r="T1908">
        <f>IF($A1908="","",$S1908&amp;"|"&amp;$F1908)</f>
        <v/>
      </c>
      <c r="U1908">
        <f>IF($A1908="","",$R1908&amp;"("&amp;$E1908&amp;")")</f>
        <v/>
      </c>
      <c r="V1908">
        <f>IF($A1908="","",$F1908&amp;"|"&amp;$U1908&amp;"|"&amp;$D1908)</f>
        <v/>
      </c>
      <c r="W1908">
        <f>IF($T1908="","",IF($X1908&gt;N($X1907),$X1908,""))</f>
        <v/>
      </c>
      <c r="X1908">
        <f>IF($T1908="",N($X1907),IF(MATCH($T1908,$T$6:$T$6005,0)=ROW()-5,N($X1907)+1,N($X1907)))</f>
        <v/>
      </c>
      <c r="Z1908">
        <f>IF($V1908="","",IF($AA1908&gt;N($AA1907),$AA1908,""))</f>
        <v/>
      </c>
      <c r="AA1908">
        <f>IF($V1908="",N($AA1907),IF(MATCH($V1908,$V$6:$V$6005,0)=ROW()-5,N($AA1907)+1,N($AA1907)))</f>
        <v/>
      </c>
    </row>
    <row r="1909" ht="21" customHeight="1" s="66">
      <c r="A1909" s="56" t="n"/>
      <c r="B1909" s="57" t="n"/>
      <c r="C1909" s="57" t="n"/>
      <c r="D1909" s="57" t="n"/>
      <c r="E1909" s="56" t="n"/>
      <c r="F1909" s="57" t="n"/>
      <c r="G1909" s="57" t="n"/>
      <c r="H1909" s="56" t="n"/>
      <c r="I1909" s="56" t="n"/>
      <c r="J1909" s="58" t="n"/>
      <c r="K1909" s="58" t="n"/>
      <c r="L1909" s="13">
        <f>IF(OR($A1909="",AND($J1909="",$K1909="")),"",ROUND(N($J1909)-N($K1909),2))</f>
        <v/>
      </c>
      <c r="M1909" s="13">
        <f>IF(OR($A1909="",AND($J1909="",$K1909="")),"",MIN($J1909,$K1909))</f>
        <v/>
      </c>
      <c r="Q1909">
        <f>IF($A1909="","",$D1909&amp;"("&amp;SUBSTITUTE($E1909," ","")&amp;")")</f>
        <v/>
      </c>
      <c r="R1909">
        <f>IF($A1909="","",$B1909&amp;" - "&amp;$C1909)</f>
        <v/>
      </c>
      <c r="S1909">
        <f>IF($A1909="","",$R1909&amp;"|"&amp;$Q1909)</f>
        <v/>
      </c>
      <c r="T1909">
        <f>IF($A1909="","",$S1909&amp;"|"&amp;$F1909)</f>
        <v/>
      </c>
      <c r="U1909">
        <f>IF($A1909="","",$R1909&amp;"("&amp;$E1909&amp;")")</f>
        <v/>
      </c>
      <c r="V1909">
        <f>IF($A1909="","",$F1909&amp;"|"&amp;$U1909&amp;"|"&amp;$D1909)</f>
        <v/>
      </c>
      <c r="W1909">
        <f>IF($T1909="","",IF($X1909&gt;N($X1908),$X1909,""))</f>
        <v/>
      </c>
      <c r="X1909">
        <f>IF($T1909="",N($X1908),IF(MATCH($T1909,$T$6:$T$6005,0)=ROW()-5,N($X1908)+1,N($X1908)))</f>
        <v/>
      </c>
      <c r="Z1909">
        <f>IF($V1909="","",IF($AA1909&gt;N($AA1908),$AA1909,""))</f>
        <v/>
      </c>
      <c r="AA1909">
        <f>IF($V1909="",N($AA1908),IF(MATCH($V1909,$V$6:$V$6005,0)=ROW()-5,N($AA1908)+1,N($AA1908)))</f>
        <v/>
      </c>
    </row>
    <row r="1910" ht="21" customHeight="1" s="66">
      <c r="A1910" s="56" t="n"/>
      <c r="B1910" s="57" t="n"/>
      <c r="C1910" s="57" t="n"/>
      <c r="D1910" s="57" t="n"/>
      <c r="E1910" s="56" t="n"/>
      <c r="F1910" s="57" t="n"/>
      <c r="G1910" s="57" t="n"/>
      <c r="H1910" s="56" t="n"/>
      <c r="I1910" s="56" t="n"/>
      <c r="J1910" s="58" t="n"/>
      <c r="K1910" s="58" t="n"/>
      <c r="L1910" s="13">
        <f>IF(OR($A1910="",AND($J1910="",$K1910="")),"",ROUND(N($J1910)-N($K1910),2))</f>
        <v/>
      </c>
      <c r="M1910" s="13">
        <f>IF(OR($A1910="",AND($J1910="",$K1910="")),"",MIN($J1910,$K1910))</f>
        <v/>
      </c>
      <c r="Q1910">
        <f>IF($A1910="","",$D1910&amp;"("&amp;SUBSTITUTE($E1910," ","")&amp;")")</f>
        <v/>
      </c>
      <c r="R1910">
        <f>IF($A1910="","",$B1910&amp;" - "&amp;$C1910)</f>
        <v/>
      </c>
      <c r="S1910">
        <f>IF($A1910="","",$R1910&amp;"|"&amp;$Q1910)</f>
        <v/>
      </c>
      <c r="T1910">
        <f>IF($A1910="","",$S1910&amp;"|"&amp;$F1910)</f>
        <v/>
      </c>
      <c r="U1910">
        <f>IF($A1910="","",$R1910&amp;"("&amp;$E1910&amp;")")</f>
        <v/>
      </c>
      <c r="V1910">
        <f>IF($A1910="","",$F1910&amp;"|"&amp;$U1910&amp;"|"&amp;$D1910)</f>
        <v/>
      </c>
      <c r="W1910">
        <f>IF($T1910="","",IF($X1910&gt;N($X1909),$X1910,""))</f>
        <v/>
      </c>
      <c r="X1910">
        <f>IF($T1910="",N($X1909),IF(MATCH($T1910,$T$6:$T$6005,0)=ROW()-5,N($X1909)+1,N($X1909)))</f>
        <v/>
      </c>
      <c r="Z1910">
        <f>IF($V1910="","",IF($AA1910&gt;N($AA1909),$AA1910,""))</f>
        <v/>
      </c>
      <c r="AA1910">
        <f>IF($V1910="",N($AA1909),IF(MATCH($V1910,$V$6:$V$6005,0)=ROW()-5,N($AA1909)+1,N($AA1909)))</f>
        <v/>
      </c>
    </row>
    <row r="1911" ht="21" customHeight="1" s="66">
      <c r="A1911" s="56" t="n"/>
      <c r="B1911" s="57" t="n"/>
      <c r="C1911" s="57" t="n"/>
      <c r="D1911" s="57" t="n"/>
      <c r="E1911" s="56" t="n"/>
      <c r="F1911" s="57" t="n"/>
      <c r="G1911" s="57" t="n"/>
      <c r="H1911" s="56" t="n"/>
      <c r="I1911" s="56" t="n"/>
      <c r="J1911" s="58" t="n"/>
      <c r="K1911" s="58" t="n"/>
      <c r="L1911" s="13">
        <f>IF(OR($A1911="",AND($J1911="",$K1911="")),"",ROUND(N($J1911)-N($K1911),2))</f>
        <v/>
      </c>
      <c r="M1911" s="13">
        <f>IF(OR($A1911="",AND($J1911="",$K1911="")),"",MIN($J1911,$K1911))</f>
        <v/>
      </c>
      <c r="Q1911">
        <f>IF($A1911="","",$D1911&amp;"("&amp;SUBSTITUTE($E1911," ","")&amp;")")</f>
        <v/>
      </c>
      <c r="R1911">
        <f>IF($A1911="","",$B1911&amp;" - "&amp;$C1911)</f>
        <v/>
      </c>
      <c r="S1911">
        <f>IF($A1911="","",$R1911&amp;"|"&amp;$Q1911)</f>
        <v/>
      </c>
      <c r="T1911">
        <f>IF($A1911="","",$S1911&amp;"|"&amp;$F1911)</f>
        <v/>
      </c>
      <c r="U1911">
        <f>IF($A1911="","",$R1911&amp;"("&amp;$E1911&amp;")")</f>
        <v/>
      </c>
      <c r="V1911">
        <f>IF($A1911="","",$F1911&amp;"|"&amp;$U1911&amp;"|"&amp;$D1911)</f>
        <v/>
      </c>
      <c r="W1911">
        <f>IF($T1911="","",IF($X1911&gt;N($X1910),$X1911,""))</f>
        <v/>
      </c>
      <c r="X1911">
        <f>IF($T1911="",N($X1910),IF(MATCH($T1911,$T$6:$T$6005,0)=ROW()-5,N($X1910)+1,N($X1910)))</f>
        <v/>
      </c>
      <c r="Z1911">
        <f>IF($V1911="","",IF($AA1911&gt;N($AA1910),$AA1911,""))</f>
        <v/>
      </c>
      <c r="AA1911">
        <f>IF($V1911="",N($AA1910),IF(MATCH($V1911,$V$6:$V$6005,0)=ROW()-5,N($AA1910)+1,N($AA1910)))</f>
        <v/>
      </c>
    </row>
    <row r="1912" ht="21" customHeight="1" s="66">
      <c r="A1912" s="56" t="n"/>
      <c r="B1912" s="57" t="n"/>
      <c r="C1912" s="57" t="n"/>
      <c r="D1912" s="57" t="n"/>
      <c r="E1912" s="56" t="n"/>
      <c r="F1912" s="57" t="n"/>
      <c r="G1912" s="57" t="n"/>
      <c r="H1912" s="56" t="n"/>
      <c r="I1912" s="56" t="n"/>
      <c r="J1912" s="58" t="n"/>
      <c r="K1912" s="58" t="n"/>
      <c r="L1912" s="13">
        <f>IF(OR($A1912="",AND($J1912="",$K1912="")),"",ROUND(N($J1912)-N($K1912),2))</f>
        <v/>
      </c>
      <c r="M1912" s="13">
        <f>IF(OR($A1912="",AND($J1912="",$K1912="")),"",MIN($J1912,$K1912))</f>
        <v/>
      </c>
      <c r="Q1912">
        <f>IF($A1912="","",$D1912&amp;"("&amp;SUBSTITUTE($E1912," ","")&amp;")")</f>
        <v/>
      </c>
      <c r="R1912">
        <f>IF($A1912="","",$B1912&amp;" - "&amp;$C1912)</f>
        <v/>
      </c>
      <c r="S1912">
        <f>IF($A1912="","",$R1912&amp;"|"&amp;$Q1912)</f>
        <v/>
      </c>
      <c r="T1912">
        <f>IF($A1912="","",$S1912&amp;"|"&amp;$F1912)</f>
        <v/>
      </c>
      <c r="U1912">
        <f>IF($A1912="","",$R1912&amp;"("&amp;$E1912&amp;")")</f>
        <v/>
      </c>
      <c r="V1912">
        <f>IF($A1912="","",$F1912&amp;"|"&amp;$U1912&amp;"|"&amp;$D1912)</f>
        <v/>
      </c>
      <c r="W1912">
        <f>IF($T1912="","",IF($X1912&gt;N($X1911),$X1912,""))</f>
        <v/>
      </c>
      <c r="X1912">
        <f>IF($T1912="",N($X1911),IF(MATCH($T1912,$T$6:$T$6005,0)=ROW()-5,N($X1911)+1,N($X1911)))</f>
        <v/>
      </c>
      <c r="Z1912">
        <f>IF($V1912="","",IF($AA1912&gt;N($AA1911),$AA1912,""))</f>
        <v/>
      </c>
      <c r="AA1912">
        <f>IF($V1912="",N($AA1911),IF(MATCH($V1912,$V$6:$V$6005,0)=ROW()-5,N($AA1911)+1,N($AA1911)))</f>
        <v/>
      </c>
    </row>
    <row r="1913" ht="21" customHeight="1" s="66">
      <c r="A1913" s="56" t="n"/>
      <c r="B1913" s="57" t="n"/>
      <c r="C1913" s="57" t="n"/>
      <c r="D1913" s="57" t="n"/>
      <c r="E1913" s="56" t="n"/>
      <c r="F1913" s="57" t="n"/>
      <c r="G1913" s="57" t="n"/>
      <c r="H1913" s="56" t="n"/>
      <c r="I1913" s="56" t="n"/>
      <c r="J1913" s="58" t="n"/>
      <c r="K1913" s="58" t="n"/>
      <c r="L1913" s="13">
        <f>IF(OR($A1913="",AND($J1913="",$K1913="")),"",ROUND(N($J1913)-N($K1913),2))</f>
        <v/>
      </c>
      <c r="M1913" s="13">
        <f>IF(OR($A1913="",AND($J1913="",$K1913="")),"",MIN($J1913,$K1913))</f>
        <v/>
      </c>
      <c r="Q1913">
        <f>IF($A1913="","",$D1913&amp;"("&amp;SUBSTITUTE($E1913," ","")&amp;")")</f>
        <v/>
      </c>
      <c r="R1913">
        <f>IF($A1913="","",$B1913&amp;" - "&amp;$C1913)</f>
        <v/>
      </c>
      <c r="S1913">
        <f>IF($A1913="","",$R1913&amp;"|"&amp;$Q1913)</f>
        <v/>
      </c>
      <c r="T1913">
        <f>IF($A1913="","",$S1913&amp;"|"&amp;$F1913)</f>
        <v/>
      </c>
      <c r="U1913">
        <f>IF($A1913="","",$R1913&amp;"("&amp;$E1913&amp;")")</f>
        <v/>
      </c>
      <c r="V1913">
        <f>IF($A1913="","",$F1913&amp;"|"&amp;$U1913&amp;"|"&amp;$D1913)</f>
        <v/>
      </c>
      <c r="W1913">
        <f>IF($T1913="","",IF($X1913&gt;N($X1912),$X1913,""))</f>
        <v/>
      </c>
      <c r="X1913">
        <f>IF($T1913="",N($X1912),IF(MATCH($T1913,$T$6:$T$6005,0)=ROW()-5,N($X1912)+1,N($X1912)))</f>
        <v/>
      </c>
      <c r="Z1913">
        <f>IF($V1913="","",IF($AA1913&gt;N($AA1912),$AA1913,""))</f>
        <v/>
      </c>
      <c r="AA1913">
        <f>IF($V1913="",N($AA1912),IF(MATCH($V1913,$V$6:$V$6005,0)=ROW()-5,N($AA1912)+1,N($AA1912)))</f>
        <v/>
      </c>
    </row>
    <row r="1914" ht="21" customHeight="1" s="66">
      <c r="A1914" s="56" t="n"/>
      <c r="B1914" s="57" t="n"/>
      <c r="C1914" s="57" t="n"/>
      <c r="D1914" s="57" t="n"/>
      <c r="E1914" s="56" t="n"/>
      <c r="F1914" s="57" t="n"/>
      <c r="G1914" s="57" t="n"/>
      <c r="H1914" s="56" t="n"/>
      <c r="I1914" s="56" t="n"/>
      <c r="J1914" s="58" t="n"/>
      <c r="K1914" s="58" t="n"/>
      <c r="L1914" s="13">
        <f>IF(OR($A1914="",AND($J1914="",$K1914="")),"",ROUND(N($J1914)-N($K1914),2))</f>
        <v/>
      </c>
      <c r="M1914" s="13">
        <f>IF(OR($A1914="",AND($J1914="",$K1914="")),"",MIN($J1914,$K1914))</f>
        <v/>
      </c>
      <c r="Q1914">
        <f>IF($A1914="","",$D1914&amp;"("&amp;SUBSTITUTE($E1914," ","")&amp;")")</f>
        <v/>
      </c>
      <c r="R1914">
        <f>IF($A1914="","",$B1914&amp;" - "&amp;$C1914)</f>
        <v/>
      </c>
      <c r="S1914">
        <f>IF($A1914="","",$R1914&amp;"|"&amp;$Q1914)</f>
        <v/>
      </c>
      <c r="T1914">
        <f>IF($A1914="","",$S1914&amp;"|"&amp;$F1914)</f>
        <v/>
      </c>
      <c r="U1914">
        <f>IF($A1914="","",$R1914&amp;"("&amp;$E1914&amp;")")</f>
        <v/>
      </c>
      <c r="V1914">
        <f>IF($A1914="","",$F1914&amp;"|"&amp;$U1914&amp;"|"&amp;$D1914)</f>
        <v/>
      </c>
      <c r="W1914">
        <f>IF($T1914="","",IF($X1914&gt;N($X1913),$X1914,""))</f>
        <v/>
      </c>
      <c r="X1914">
        <f>IF($T1914="",N($X1913),IF(MATCH($T1914,$T$6:$T$6005,0)=ROW()-5,N($X1913)+1,N($X1913)))</f>
        <v/>
      </c>
      <c r="Z1914">
        <f>IF($V1914="","",IF($AA1914&gt;N($AA1913),$AA1914,""))</f>
        <v/>
      </c>
      <c r="AA1914">
        <f>IF($V1914="",N($AA1913),IF(MATCH($V1914,$V$6:$V$6005,0)=ROW()-5,N($AA1913)+1,N($AA1913)))</f>
        <v/>
      </c>
    </row>
    <row r="1915" ht="21" customHeight="1" s="66">
      <c r="A1915" s="56" t="n"/>
      <c r="B1915" s="57" t="n"/>
      <c r="C1915" s="57" t="n"/>
      <c r="D1915" s="57" t="n"/>
      <c r="E1915" s="56" t="n"/>
      <c r="F1915" s="57" t="n"/>
      <c r="G1915" s="57" t="n"/>
      <c r="H1915" s="56" t="n"/>
      <c r="I1915" s="56" t="n"/>
      <c r="J1915" s="58" t="n"/>
      <c r="K1915" s="58" t="n"/>
      <c r="L1915" s="13">
        <f>IF(OR($A1915="",AND($J1915="",$K1915="")),"",ROUND(N($J1915)-N($K1915),2))</f>
        <v/>
      </c>
      <c r="M1915" s="13">
        <f>IF(OR($A1915="",AND($J1915="",$K1915="")),"",MIN($J1915,$K1915))</f>
        <v/>
      </c>
      <c r="Q1915">
        <f>IF($A1915="","",$D1915&amp;"("&amp;SUBSTITUTE($E1915," ","")&amp;")")</f>
        <v/>
      </c>
      <c r="R1915">
        <f>IF($A1915="","",$B1915&amp;" - "&amp;$C1915)</f>
        <v/>
      </c>
      <c r="S1915">
        <f>IF($A1915="","",$R1915&amp;"|"&amp;$Q1915)</f>
        <v/>
      </c>
      <c r="T1915">
        <f>IF($A1915="","",$S1915&amp;"|"&amp;$F1915)</f>
        <v/>
      </c>
      <c r="U1915">
        <f>IF($A1915="","",$R1915&amp;"("&amp;$E1915&amp;")")</f>
        <v/>
      </c>
      <c r="V1915">
        <f>IF($A1915="","",$F1915&amp;"|"&amp;$U1915&amp;"|"&amp;$D1915)</f>
        <v/>
      </c>
      <c r="W1915">
        <f>IF($T1915="","",IF($X1915&gt;N($X1914),$X1915,""))</f>
        <v/>
      </c>
      <c r="X1915">
        <f>IF($T1915="",N($X1914),IF(MATCH($T1915,$T$6:$T$6005,0)=ROW()-5,N($X1914)+1,N($X1914)))</f>
        <v/>
      </c>
      <c r="Z1915">
        <f>IF($V1915="","",IF($AA1915&gt;N($AA1914),$AA1915,""))</f>
        <v/>
      </c>
      <c r="AA1915">
        <f>IF($V1915="",N($AA1914),IF(MATCH($V1915,$V$6:$V$6005,0)=ROW()-5,N($AA1914)+1,N($AA1914)))</f>
        <v/>
      </c>
    </row>
    <row r="1916" ht="21" customHeight="1" s="66">
      <c r="A1916" s="56" t="n"/>
      <c r="B1916" s="57" t="n"/>
      <c r="C1916" s="57" t="n"/>
      <c r="D1916" s="57" t="n"/>
      <c r="E1916" s="56" t="n"/>
      <c r="F1916" s="57" t="n"/>
      <c r="G1916" s="57" t="n"/>
      <c r="H1916" s="56" t="n"/>
      <c r="I1916" s="56" t="n"/>
      <c r="J1916" s="58" t="n"/>
      <c r="K1916" s="58" t="n"/>
      <c r="L1916" s="13">
        <f>IF(OR($A1916="",AND($J1916="",$K1916="")),"",ROUND(N($J1916)-N($K1916),2))</f>
        <v/>
      </c>
      <c r="M1916" s="13">
        <f>IF(OR($A1916="",AND($J1916="",$K1916="")),"",MIN($J1916,$K1916))</f>
        <v/>
      </c>
      <c r="Q1916">
        <f>IF($A1916="","",$D1916&amp;"("&amp;SUBSTITUTE($E1916," ","")&amp;")")</f>
        <v/>
      </c>
      <c r="R1916">
        <f>IF($A1916="","",$B1916&amp;" - "&amp;$C1916)</f>
        <v/>
      </c>
      <c r="S1916">
        <f>IF($A1916="","",$R1916&amp;"|"&amp;$Q1916)</f>
        <v/>
      </c>
      <c r="T1916">
        <f>IF($A1916="","",$S1916&amp;"|"&amp;$F1916)</f>
        <v/>
      </c>
      <c r="U1916">
        <f>IF($A1916="","",$R1916&amp;"("&amp;$E1916&amp;")")</f>
        <v/>
      </c>
      <c r="V1916">
        <f>IF($A1916="","",$F1916&amp;"|"&amp;$U1916&amp;"|"&amp;$D1916)</f>
        <v/>
      </c>
      <c r="W1916">
        <f>IF($T1916="","",IF($X1916&gt;N($X1915),$X1916,""))</f>
        <v/>
      </c>
      <c r="X1916">
        <f>IF($T1916="",N($X1915),IF(MATCH($T1916,$T$6:$T$6005,0)=ROW()-5,N($X1915)+1,N($X1915)))</f>
        <v/>
      </c>
      <c r="Z1916">
        <f>IF($V1916="","",IF($AA1916&gt;N($AA1915),$AA1916,""))</f>
        <v/>
      </c>
      <c r="AA1916">
        <f>IF($V1916="",N($AA1915),IF(MATCH($V1916,$V$6:$V$6005,0)=ROW()-5,N($AA1915)+1,N($AA1915)))</f>
        <v/>
      </c>
    </row>
    <row r="1917" ht="21" customHeight="1" s="66">
      <c r="A1917" s="56" t="n"/>
      <c r="B1917" s="57" t="n"/>
      <c r="C1917" s="57" t="n"/>
      <c r="D1917" s="57" t="n"/>
      <c r="E1917" s="56" t="n"/>
      <c r="F1917" s="57" t="n"/>
      <c r="G1917" s="57" t="n"/>
      <c r="H1917" s="56" t="n"/>
      <c r="I1917" s="56" t="n"/>
      <c r="J1917" s="58" t="n"/>
      <c r="K1917" s="58" t="n"/>
      <c r="L1917" s="13">
        <f>IF(OR($A1917="",AND($J1917="",$K1917="")),"",ROUND(N($J1917)-N($K1917),2))</f>
        <v/>
      </c>
      <c r="M1917" s="13">
        <f>IF(OR($A1917="",AND($J1917="",$K1917="")),"",MIN($J1917,$K1917))</f>
        <v/>
      </c>
      <c r="Q1917">
        <f>IF($A1917="","",$D1917&amp;"("&amp;SUBSTITUTE($E1917," ","")&amp;")")</f>
        <v/>
      </c>
      <c r="R1917">
        <f>IF($A1917="","",$B1917&amp;" - "&amp;$C1917)</f>
        <v/>
      </c>
      <c r="S1917">
        <f>IF($A1917="","",$R1917&amp;"|"&amp;$Q1917)</f>
        <v/>
      </c>
      <c r="T1917">
        <f>IF($A1917="","",$S1917&amp;"|"&amp;$F1917)</f>
        <v/>
      </c>
      <c r="U1917">
        <f>IF($A1917="","",$R1917&amp;"("&amp;$E1917&amp;")")</f>
        <v/>
      </c>
      <c r="V1917">
        <f>IF($A1917="","",$F1917&amp;"|"&amp;$U1917&amp;"|"&amp;$D1917)</f>
        <v/>
      </c>
      <c r="W1917">
        <f>IF($T1917="","",IF($X1917&gt;N($X1916),$X1917,""))</f>
        <v/>
      </c>
      <c r="X1917">
        <f>IF($T1917="",N($X1916),IF(MATCH($T1917,$T$6:$T$6005,0)=ROW()-5,N($X1916)+1,N($X1916)))</f>
        <v/>
      </c>
      <c r="Z1917">
        <f>IF($V1917="","",IF($AA1917&gt;N($AA1916),$AA1917,""))</f>
        <v/>
      </c>
      <c r="AA1917">
        <f>IF($V1917="",N($AA1916),IF(MATCH($V1917,$V$6:$V$6005,0)=ROW()-5,N($AA1916)+1,N($AA1916)))</f>
        <v/>
      </c>
    </row>
    <row r="1918" ht="21" customHeight="1" s="66">
      <c r="A1918" s="56" t="n"/>
      <c r="B1918" s="57" t="n"/>
      <c r="C1918" s="57" t="n"/>
      <c r="D1918" s="57" t="n"/>
      <c r="E1918" s="56" t="n"/>
      <c r="F1918" s="57" t="n"/>
      <c r="G1918" s="57" t="n"/>
      <c r="H1918" s="56" t="n"/>
      <c r="I1918" s="56" t="n"/>
      <c r="J1918" s="58" t="n"/>
      <c r="K1918" s="58" t="n"/>
      <c r="L1918" s="13">
        <f>IF(OR($A1918="",AND($J1918="",$K1918="")),"",ROUND(N($J1918)-N($K1918),2))</f>
        <v/>
      </c>
      <c r="M1918" s="13">
        <f>IF(OR($A1918="",AND($J1918="",$K1918="")),"",MIN($J1918,$K1918))</f>
        <v/>
      </c>
      <c r="Q1918">
        <f>IF($A1918="","",$D1918&amp;"("&amp;SUBSTITUTE($E1918," ","")&amp;")")</f>
        <v/>
      </c>
      <c r="R1918">
        <f>IF($A1918="","",$B1918&amp;" - "&amp;$C1918)</f>
        <v/>
      </c>
      <c r="S1918">
        <f>IF($A1918="","",$R1918&amp;"|"&amp;$Q1918)</f>
        <v/>
      </c>
      <c r="T1918">
        <f>IF($A1918="","",$S1918&amp;"|"&amp;$F1918)</f>
        <v/>
      </c>
      <c r="U1918">
        <f>IF($A1918="","",$R1918&amp;"("&amp;$E1918&amp;")")</f>
        <v/>
      </c>
      <c r="V1918">
        <f>IF($A1918="","",$F1918&amp;"|"&amp;$U1918&amp;"|"&amp;$D1918)</f>
        <v/>
      </c>
      <c r="W1918">
        <f>IF($T1918="","",IF($X1918&gt;N($X1917),$X1918,""))</f>
        <v/>
      </c>
      <c r="X1918">
        <f>IF($T1918="",N($X1917),IF(MATCH($T1918,$T$6:$T$6005,0)=ROW()-5,N($X1917)+1,N($X1917)))</f>
        <v/>
      </c>
      <c r="Z1918">
        <f>IF($V1918="","",IF($AA1918&gt;N($AA1917),$AA1918,""))</f>
        <v/>
      </c>
      <c r="AA1918">
        <f>IF($V1918="",N($AA1917),IF(MATCH($V1918,$V$6:$V$6005,0)=ROW()-5,N($AA1917)+1,N($AA1917)))</f>
        <v/>
      </c>
    </row>
    <row r="1919" ht="21" customHeight="1" s="66">
      <c r="A1919" s="56" t="n"/>
      <c r="B1919" s="57" t="n"/>
      <c r="C1919" s="57" t="n"/>
      <c r="D1919" s="57" t="n"/>
      <c r="E1919" s="56" t="n"/>
      <c r="F1919" s="57" t="n"/>
      <c r="G1919" s="57" t="n"/>
      <c r="H1919" s="56" t="n"/>
      <c r="I1919" s="56" t="n"/>
      <c r="J1919" s="58" t="n"/>
      <c r="K1919" s="58" t="n"/>
      <c r="L1919" s="13">
        <f>IF(OR($A1919="",AND($J1919="",$K1919="")),"",ROUND(N($J1919)-N($K1919),2))</f>
        <v/>
      </c>
      <c r="M1919" s="13">
        <f>IF(OR($A1919="",AND($J1919="",$K1919="")),"",MIN($J1919,$K1919))</f>
        <v/>
      </c>
      <c r="Q1919">
        <f>IF($A1919="","",$D1919&amp;"("&amp;SUBSTITUTE($E1919," ","")&amp;")")</f>
        <v/>
      </c>
      <c r="R1919">
        <f>IF($A1919="","",$B1919&amp;" - "&amp;$C1919)</f>
        <v/>
      </c>
      <c r="S1919">
        <f>IF($A1919="","",$R1919&amp;"|"&amp;$Q1919)</f>
        <v/>
      </c>
      <c r="T1919">
        <f>IF($A1919="","",$S1919&amp;"|"&amp;$F1919)</f>
        <v/>
      </c>
      <c r="U1919">
        <f>IF($A1919="","",$R1919&amp;"("&amp;$E1919&amp;")")</f>
        <v/>
      </c>
      <c r="V1919">
        <f>IF($A1919="","",$F1919&amp;"|"&amp;$U1919&amp;"|"&amp;$D1919)</f>
        <v/>
      </c>
      <c r="W1919">
        <f>IF($T1919="","",IF($X1919&gt;N($X1918),$X1919,""))</f>
        <v/>
      </c>
      <c r="X1919">
        <f>IF($T1919="",N($X1918),IF(MATCH($T1919,$T$6:$T$6005,0)=ROW()-5,N($X1918)+1,N($X1918)))</f>
        <v/>
      </c>
      <c r="Z1919">
        <f>IF($V1919="","",IF($AA1919&gt;N($AA1918),$AA1919,""))</f>
        <v/>
      </c>
      <c r="AA1919">
        <f>IF($V1919="",N($AA1918),IF(MATCH($V1919,$V$6:$V$6005,0)=ROW()-5,N($AA1918)+1,N($AA1918)))</f>
        <v/>
      </c>
    </row>
    <row r="1920" ht="21" customHeight="1" s="66">
      <c r="A1920" s="56" t="n"/>
      <c r="B1920" s="57" t="n"/>
      <c r="C1920" s="57" t="n"/>
      <c r="D1920" s="57" t="n"/>
      <c r="E1920" s="56" t="n"/>
      <c r="F1920" s="57" t="n"/>
      <c r="G1920" s="57" t="n"/>
      <c r="H1920" s="56" t="n"/>
      <c r="I1920" s="56" t="n"/>
      <c r="J1920" s="58" t="n"/>
      <c r="K1920" s="58" t="n"/>
      <c r="L1920" s="13">
        <f>IF(OR($A1920="",AND($J1920="",$K1920="")),"",ROUND(N($J1920)-N($K1920),2))</f>
        <v/>
      </c>
      <c r="M1920" s="13">
        <f>IF(OR($A1920="",AND($J1920="",$K1920="")),"",MIN($J1920,$K1920))</f>
        <v/>
      </c>
      <c r="Q1920">
        <f>IF($A1920="","",$D1920&amp;"("&amp;SUBSTITUTE($E1920," ","")&amp;")")</f>
        <v/>
      </c>
      <c r="R1920">
        <f>IF($A1920="","",$B1920&amp;" - "&amp;$C1920)</f>
        <v/>
      </c>
      <c r="S1920">
        <f>IF($A1920="","",$R1920&amp;"|"&amp;$Q1920)</f>
        <v/>
      </c>
      <c r="T1920">
        <f>IF($A1920="","",$S1920&amp;"|"&amp;$F1920)</f>
        <v/>
      </c>
      <c r="U1920">
        <f>IF($A1920="","",$R1920&amp;"("&amp;$E1920&amp;")")</f>
        <v/>
      </c>
      <c r="V1920">
        <f>IF($A1920="","",$F1920&amp;"|"&amp;$U1920&amp;"|"&amp;$D1920)</f>
        <v/>
      </c>
      <c r="W1920">
        <f>IF($T1920="","",IF($X1920&gt;N($X1919),$X1920,""))</f>
        <v/>
      </c>
      <c r="X1920">
        <f>IF($T1920="",N($X1919),IF(MATCH($T1920,$T$6:$T$6005,0)=ROW()-5,N($X1919)+1,N($X1919)))</f>
        <v/>
      </c>
      <c r="Z1920">
        <f>IF($V1920="","",IF($AA1920&gt;N($AA1919),$AA1920,""))</f>
        <v/>
      </c>
      <c r="AA1920">
        <f>IF($V1920="",N($AA1919),IF(MATCH($V1920,$V$6:$V$6005,0)=ROW()-5,N($AA1919)+1,N($AA1919)))</f>
        <v/>
      </c>
    </row>
    <row r="1921" ht="21" customHeight="1" s="66">
      <c r="A1921" s="56" t="n"/>
      <c r="B1921" s="57" t="n"/>
      <c r="C1921" s="57" t="n"/>
      <c r="D1921" s="57" t="n"/>
      <c r="E1921" s="56" t="n"/>
      <c r="F1921" s="57" t="n"/>
      <c r="G1921" s="57" t="n"/>
      <c r="H1921" s="56" t="n"/>
      <c r="I1921" s="56" t="n"/>
      <c r="J1921" s="58" t="n"/>
      <c r="K1921" s="58" t="n"/>
      <c r="L1921" s="13">
        <f>IF(OR($A1921="",AND($J1921="",$K1921="")),"",ROUND(N($J1921)-N($K1921),2))</f>
        <v/>
      </c>
      <c r="M1921" s="13">
        <f>IF(OR($A1921="",AND($J1921="",$K1921="")),"",MIN($J1921,$K1921))</f>
        <v/>
      </c>
      <c r="Q1921">
        <f>IF($A1921="","",$D1921&amp;"("&amp;SUBSTITUTE($E1921," ","")&amp;")")</f>
        <v/>
      </c>
      <c r="R1921">
        <f>IF($A1921="","",$B1921&amp;" - "&amp;$C1921)</f>
        <v/>
      </c>
      <c r="S1921">
        <f>IF($A1921="","",$R1921&amp;"|"&amp;$Q1921)</f>
        <v/>
      </c>
      <c r="T1921">
        <f>IF($A1921="","",$S1921&amp;"|"&amp;$F1921)</f>
        <v/>
      </c>
      <c r="U1921">
        <f>IF($A1921="","",$R1921&amp;"("&amp;$E1921&amp;")")</f>
        <v/>
      </c>
      <c r="V1921">
        <f>IF($A1921="","",$F1921&amp;"|"&amp;$U1921&amp;"|"&amp;$D1921)</f>
        <v/>
      </c>
      <c r="W1921">
        <f>IF($T1921="","",IF($X1921&gt;N($X1920),$X1921,""))</f>
        <v/>
      </c>
      <c r="X1921">
        <f>IF($T1921="",N($X1920),IF(MATCH($T1921,$T$6:$T$6005,0)=ROW()-5,N($X1920)+1,N($X1920)))</f>
        <v/>
      </c>
      <c r="Z1921">
        <f>IF($V1921="","",IF($AA1921&gt;N($AA1920),$AA1921,""))</f>
        <v/>
      </c>
      <c r="AA1921">
        <f>IF($V1921="",N($AA1920),IF(MATCH($V1921,$V$6:$V$6005,0)=ROW()-5,N($AA1920)+1,N($AA1920)))</f>
        <v/>
      </c>
    </row>
    <row r="1922" ht="21" customHeight="1" s="66">
      <c r="A1922" s="56" t="n"/>
      <c r="B1922" s="57" t="n"/>
      <c r="C1922" s="57" t="n"/>
      <c r="D1922" s="57" t="n"/>
      <c r="E1922" s="56" t="n"/>
      <c r="F1922" s="57" t="n"/>
      <c r="G1922" s="57" t="n"/>
      <c r="H1922" s="56" t="n"/>
      <c r="I1922" s="56" t="n"/>
      <c r="J1922" s="58" t="n"/>
      <c r="K1922" s="58" t="n"/>
      <c r="L1922" s="13">
        <f>IF(OR($A1922="",AND($J1922="",$K1922="")),"",ROUND(N($J1922)-N($K1922),2))</f>
        <v/>
      </c>
      <c r="M1922" s="13">
        <f>IF(OR($A1922="",AND($J1922="",$K1922="")),"",MIN($J1922,$K1922))</f>
        <v/>
      </c>
      <c r="Q1922">
        <f>IF($A1922="","",$D1922&amp;"("&amp;SUBSTITUTE($E1922," ","")&amp;")")</f>
        <v/>
      </c>
      <c r="R1922">
        <f>IF($A1922="","",$B1922&amp;" - "&amp;$C1922)</f>
        <v/>
      </c>
      <c r="S1922">
        <f>IF($A1922="","",$R1922&amp;"|"&amp;$Q1922)</f>
        <v/>
      </c>
      <c r="T1922">
        <f>IF($A1922="","",$S1922&amp;"|"&amp;$F1922)</f>
        <v/>
      </c>
      <c r="U1922">
        <f>IF($A1922="","",$R1922&amp;"("&amp;$E1922&amp;")")</f>
        <v/>
      </c>
      <c r="V1922">
        <f>IF($A1922="","",$F1922&amp;"|"&amp;$U1922&amp;"|"&amp;$D1922)</f>
        <v/>
      </c>
      <c r="W1922">
        <f>IF($T1922="","",IF($X1922&gt;N($X1921),$X1922,""))</f>
        <v/>
      </c>
      <c r="X1922">
        <f>IF($T1922="",N($X1921),IF(MATCH($T1922,$T$6:$T$6005,0)=ROW()-5,N($X1921)+1,N($X1921)))</f>
        <v/>
      </c>
      <c r="Z1922">
        <f>IF($V1922="","",IF($AA1922&gt;N($AA1921),$AA1922,""))</f>
        <v/>
      </c>
      <c r="AA1922">
        <f>IF($V1922="",N($AA1921),IF(MATCH($V1922,$V$6:$V$6005,0)=ROW()-5,N($AA1921)+1,N($AA1921)))</f>
        <v/>
      </c>
    </row>
    <row r="1923" ht="21" customHeight="1" s="66">
      <c r="A1923" s="56" t="n"/>
      <c r="B1923" s="57" t="n"/>
      <c r="C1923" s="57" t="n"/>
      <c r="D1923" s="57" t="n"/>
      <c r="E1923" s="56" t="n"/>
      <c r="F1923" s="57" t="n"/>
      <c r="G1923" s="57" t="n"/>
      <c r="H1923" s="56" t="n"/>
      <c r="I1923" s="56" t="n"/>
      <c r="J1923" s="58" t="n"/>
      <c r="K1923" s="58" t="n"/>
      <c r="L1923" s="13">
        <f>IF(OR($A1923="",AND($J1923="",$K1923="")),"",ROUND(N($J1923)-N($K1923),2))</f>
        <v/>
      </c>
      <c r="M1923" s="13">
        <f>IF(OR($A1923="",AND($J1923="",$K1923="")),"",MIN($J1923,$K1923))</f>
        <v/>
      </c>
      <c r="Q1923">
        <f>IF($A1923="","",$D1923&amp;"("&amp;SUBSTITUTE($E1923," ","")&amp;")")</f>
        <v/>
      </c>
      <c r="R1923">
        <f>IF($A1923="","",$B1923&amp;" - "&amp;$C1923)</f>
        <v/>
      </c>
      <c r="S1923">
        <f>IF($A1923="","",$R1923&amp;"|"&amp;$Q1923)</f>
        <v/>
      </c>
      <c r="T1923">
        <f>IF($A1923="","",$S1923&amp;"|"&amp;$F1923)</f>
        <v/>
      </c>
      <c r="U1923">
        <f>IF($A1923="","",$R1923&amp;"("&amp;$E1923&amp;")")</f>
        <v/>
      </c>
      <c r="V1923">
        <f>IF($A1923="","",$F1923&amp;"|"&amp;$U1923&amp;"|"&amp;$D1923)</f>
        <v/>
      </c>
      <c r="W1923">
        <f>IF($T1923="","",IF($X1923&gt;N($X1922),$X1923,""))</f>
        <v/>
      </c>
      <c r="X1923">
        <f>IF($T1923="",N($X1922),IF(MATCH($T1923,$T$6:$T$6005,0)=ROW()-5,N($X1922)+1,N($X1922)))</f>
        <v/>
      </c>
      <c r="Z1923">
        <f>IF($V1923="","",IF($AA1923&gt;N($AA1922),$AA1923,""))</f>
        <v/>
      </c>
      <c r="AA1923">
        <f>IF($V1923="",N($AA1922),IF(MATCH($V1923,$V$6:$V$6005,0)=ROW()-5,N($AA1922)+1,N($AA1922)))</f>
        <v/>
      </c>
    </row>
    <row r="1924" ht="21" customHeight="1" s="66">
      <c r="A1924" s="56" t="n"/>
      <c r="B1924" s="57" t="n"/>
      <c r="C1924" s="57" t="n"/>
      <c r="D1924" s="57" t="n"/>
      <c r="E1924" s="56" t="n"/>
      <c r="F1924" s="57" t="n"/>
      <c r="G1924" s="57" t="n"/>
      <c r="H1924" s="56" t="n"/>
      <c r="I1924" s="56" t="n"/>
      <c r="J1924" s="58" t="n"/>
      <c r="K1924" s="58" t="n"/>
      <c r="L1924" s="13">
        <f>IF(OR($A1924="",AND($J1924="",$K1924="")),"",ROUND(N($J1924)-N($K1924),2))</f>
        <v/>
      </c>
      <c r="M1924" s="13">
        <f>IF(OR($A1924="",AND($J1924="",$K1924="")),"",MIN($J1924,$K1924))</f>
        <v/>
      </c>
      <c r="Q1924">
        <f>IF($A1924="","",$D1924&amp;"("&amp;SUBSTITUTE($E1924," ","")&amp;")")</f>
        <v/>
      </c>
      <c r="R1924">
        <f>IF($A1924="","",$B1924&amp;" - "&amp;$C1924)</f>
        <v/>
      </c>
      <c r="S1924">
        <f>IF($A1924="","",$R1924&amp;"|"&amp;$Q1924)</f>
        <v/>
      </c>
      <c r="T1924">
        <f>IF($A1924="","",$S1924&amp;"|"&amp;$F1924)</f>
        <v/>
      </c>
      <c r="U1924">
        <f>IF($A1924="","",$R1924&amp;"("&amp;$E1924&amp;")")</f>
        <v/>
      </c>
      <c r="V1924">
        <f>IF($A1924="","",$F1924&amp;"|"&amp;$U1924&amp;"|"&amp;$D1924)</f>
        <v/>
      </c>
      <c r="W1924">
        <f>IF($T1924="","",IF($X1924&gt;N($X1923),$X1924,""))</f>
        <v/>
      </c>
      <c r="X1924">
        <f>IF($T1924="",N($X1923),IF(MATCH($T1924,$T$6:$T$6005,0)=ROW()-5,N($X1923)+1,N($X1923)))</f>
        <v/>
      </c>
      <c r="Z1924">
        <f>IF($V1924="","",IF($AA1924&gt;N($AA1923),$AA1924,""))</f>
        <v/>
      </c>
      <c r="AA1924">
        <f>IF($V1924="",N($AA1923),IF(MATCH($V1924,$V$6:$V$6005,0)=ROW()-5,N($AA1923)+1,N($AA1923)))</f>
        <v/>
      </c>
    </row>
    <row r="1925" ht="21" customHeight="1" s="66">
      <c r="A1925" s="56" t="n"/>
      <c r="B1925" s="57" t="n"/>
      <c r="C1925" s="57" t="n"/>
      <c r="D1925" s="57" t="n"/>
      <c r="E1925" s="56" t="n"/>
      <c r="F1925" s="57" t="n"/>
      <c r="G1925" s="57" t="n"/>
      <c r="H1925" s="56" t="n"/>
      <c r="I1925" s="56" t="n"/>
      <c r="J1925" s="58" t="n"/>
      <c r="K1925" s="58" t="n"/>
      <c r="L1925" s="13">
        <f>IF(OR($A1925="",AND($J1925="",$K1925="")),"",ROUND(N($J1925)-N($K1925),2))</f>
        <v/>
      </c>
      <c r="M1925" s="13">
        <f>IF(OR($A1925="",AND($J1925="",$K1925="")),"",MIN($J1925,$K1925))</f>
        <v/>
      </c>
      <c r="Q1925">
        <f>IF($A1925="","",$D1925&amp;"("&amp;SUBSTITUTE($E1925," ","")&amp;")")</f>
        <v/>
      </c>
      <c r="R1925">
        <f>IF($A1925="","",$B1925&amp;" - "&amp;$C1925)</f>
        <v/>
      </c>
      <c r="S1925">
        <f>IF($A1925="","",$R1925&amp;"|"&amp;$Q1925)</f>
        <v/>
      </c>
      <c r="T1925">
        <f>IF($A1925="","",$S1925&amp;"|"&amp;$F1925)</f>
        <v/>
      </c>
      <c r="U1925">
        <f>IF($A1925="","",$R1925&amp;"("&amp;$E1925&amp;")")</f>
        <v/>
      </c>
      <c r="V1925">
        <f>IF($A1925="","",$F1925&amp;"|"&amp;$U1925&amp;"|"&amp;$D1925)</f>
        <v/>
      </c>
      <c r="W1925">
        <f>IF($T1925="","",IF($X1925&gt;N($X1924),$X1925,""))</f>
        <v/>
      </c>
      <c r="X1925">
        <f>IF($T1925="",N($X1924),IF(MATCH($T1925,$T$6:$T$6005,0)=ROW()-5,N($X1924)+1,N($X1924)))</f>
        <v/>
      </c>
      <c r="Z1925">
        <f>IF($V1925="","",IF($AA1925&gt;N($AA1924),$AA1925,""))</f>
        <v/>
      </c>
      <c r="AA1925">
        <f>IF($V1925="",N($AA1924),IF(MATCH($V1925,$V$6:$V$6005,0)=ROW()-5,N($AA1924)+1,N($AA1924)))</f>
        <v/>
      </c>
    </row>
    <row r="1926" ht="21" customHeight="1" s="66">
      <c r="A1926" s="56" t="n"/>
      <c r="B1926" s="57" t="n"/>
      <c r="C1926" s="57" t="n"/>
      <c r="D1926" s="57" t="n"/>
      <c r="E1926" s="56" t="n"/>
      <c r="F1926" s="57" t="n"/>
      <c r="G1926" s="57" t="n"/>
      <c r="H1926" s="56" t="n"/>
      <c r="I1926" s="56" t="n"/>
      <c r="J1926" s="58" t="n"/>
      <c r="K1926" s="58" t="n"/>
      <c r="L1926" s="13">
        <f>IF(OR($A1926="",AND($J1926="",$K1926="")),"",ROUND(N($J1926)-N($K1926),2))</f>
        <v/>
      </c>
      <c r="M1926" s="13">
        <f>IF(OR($A1926="",AND($J1926="",$K1926="")),"",MIN($J1926,$K1926))</f>
        <v/>
      </c>
      <c r="Q1926">
        <f>IF($A1926="","",$D1926&amp;"("&amp;SUBSTITUTE($E1926," ","")&amp;")")</f>
        <v/>
      </c>
      <c r="R1926">
        <f>IF($A1926="","",$B1926&amp;" - "&amp;$C1926)</f>
        <v/>
      </c>
      <c r="S1926">
        <f>IF($A1926="","",$R1926&amp;"|"&amp;$Q1926)</f>
        <v/>
      </c>
      <c r="T1926">
        <f>IF($A1926="","",$S1926&amp;"|"&amp;$F1926)</f>
        <v/>
      </c>
      <c r="U1926">
        <f>IF($A1926="","",$R1926&amp;"("&amp;$E1926&amp;")")</f>
        <v/>
      </c>
      <c r="V1926">
        <f>IF($A1926="","",$F1926&amp;"|"&amp;$U1926&amp;"|"&amp;$D1926)</f>
        <v/>
      </c>
      <c r="W1926">
        <f>IF($T1926="","",IF($X1926&gt;N($X1925),$X1926,""))</f>
        <v/>
      </c>
      <c r="X1926">
        <f>IF($T1926="",N($X1925),IF(MATCH($T1926,$T$6:$T$6005,0)=ROW()-5,N($X1925)+1,N($X1925)))</f>
        <v/>
      </c>
      <c r="Z1926">
        <f>IF($V1926="","",IF($AA1926&gt;N($AA1925),$AA1926,""))</f>
        <v/>
      </c>
      <c r="AA1926">
        <f>IF($V1926="",N($AA1925),IF(MATCH($V1926,$V$6:$V$6005,0)=ROW()-5,N($AA1925)+1,N($AA1925)))</f>
        <v/>
      </c>
    </row>
    <row r="1927" ht="21" customHeight="1" s="66">
      <c r="A1927" s="56" t="n"/>
      <c r="B1927" s="57" t="n"/>
      <c r="C1927" s="57" t="n"/>
      <c r="D1927" s="57" t="n"/>
      <c r="E1927" s="56" t="n"/>
      <c r="F1927" s="57" t="n"/>
      <c r="G1927" s="57" t="n"/>
      <c r="H1927" s="56" t="n"/>
      <c r="I1927" s="56" t="n"/>
      <c r="J1927" s="58" t="n"/>
      <c r="K1927" s="58" t="n"/>
      <c r="L1927" s="13">
        <f>IF(OR($A1927="",AND($J1927="",$K1927="")),"",ROUND(N($J1927)-N($K1927),2))</f>
        <v/>
      </c>
      <c r="M1927" s="13">
        <f>IF(OR($A1927="",AND($J1927="",$K1927="")),"",MIN($J1927,$K1927))</f>
        <v/>
      </c>
      <c r="Q1927">
        <f>IF($A1927="","",$D1927&amp;"("&amp;SUBSTITUTE($E1927," ","")&amp;")")</f>
        <v/>
      </c>
      <c r="R1927">
        <f>IF($A1927="","",$B1927&amp;" - "&amp;$C1927)</f>
        <v/>
      </c>
      <c r="S1927">
        <f>IF($A1927="","",$R1927&amp;"|"&amp;$Q1927)</f>
        <v/>
      </c>
      <c r="T1927">
        <f>IF($A1927="","",$S1927&amp;"|"&amp;$F1927)</f>
        <v/>
      </c>
      <c r="U1927">
        <f>IF($A1927="","",$R1927&amp;"("&amp;$E1927&amp;")")</f>
        <v/>
      </c>
      <c r="V1927">
        <f>IF($A1927="","",$F1927&amp;"|"&amp;$U1927&amp;"|"&amp;$D1927)</f>
        <v/>
      </c>
      <c r="W1927">
        <f>IF($T1927="","",IF($X1927&gt;N($X1926),$X1927,""))</f>
        <v/>
      </c>
      <c r="X1927">
        <f>IF($T1927="",N($X1926),IF(MATCH($T1927,$T$6:$T$6005,0)=ROW()-5,N($X1926)+1,N($X1926)))</f>
        <v/>
      </c>
      <c r="Z1927">
        <f>IF($V1927="","",IF($AA1927&gt;N($AA1926),$AA1927,""))</f>
        <v/>
      </c>
      <c r="AA1927">
        <f>IF($V1927="",N($AA1926),IF(MATCH($V1927,$V$6:$V$6005,0)=ROW()-5,N($AA1926)+1,N($AA1926)))</f>
        <v/>
      </c>
    </row>
    <row r="1928" ht="21" customHeight="1" s="66">
      <c r="A1928" s="56" t="n"/>
      <c r="B1928" s="57" t="n"/>
      <c r="C1928" s="57" t="n"/>
      <c r="D1928" s="57" t="n"/>
      <c r="E1928" s="56" t="n"/>
      <c r="F1928" s="57" t="n"/>
      <c r="G1928" s="57" t="n"/>
      <c r="H1928" s="56" t="n"/>
      <c r="I1928" s="56" t="n"/>
      <c r="J1928" s="58" t="n"/>
      <c r="K1928" s="58" t="n"/>
      <c r="L1928" s="13">
        <f>IF(OR($A1928="",AND($J1928="",$K1928="")),"",ROUND(N($J1928)-N($K1928),2))</f>
        <v/>
      </c>
      <c r="M1928" s="13">
        <f>IF(OR($A1928="",AND($J1928="",$K1928="")),"",MIN($J1928,$K1928))</f>
        <v/>
      </c>
      <c r="Q1928">
        <f>IF($A1928="","",$D1928&amp;"("&amp;SUBSTITUTE($E1928," ","")&amp;")")</f>
        <v/>
      </c>
      <c r="R1928">
        <f>IF($A1928="","",$B1928&amp;" - "&amp;$C1928)</f>
        <v/>
      </c>
      <c r="S1928">
        <f>IF($A1928="","",$R1928&amp;"|"&amp;$Q1928)</f>
        <v/>
      </c>
      <c r="T1928">
        <f>IF($A1928="","",$S1928&amp;"|"&amp;$F1928)</f>
        <v/>
      </c>
      <c r="U1928">
        <f>IF($A1928="","",$R1928&amp;"("&amp;$E1928&amp;")")</f>
        <v/>
      </c>
      <c r="V1928">
        <f>IF($A1928="","",$F1928&amp;"|"&amp;$U1928&amp;"|"&amp;$D1928)</f>
        <v/>
      </c>
      <c r="W1928">
        <f>IF($T1928="","",IF($X1928&gt;N($X1927),$X1928,""))</f>
        <v/>
      </c>
      <c r="X1928">
        <f>IF($T1928="",N($X1927),IF(MATCH($T1928,$T$6:$T$6005,0)=ROW()-5,N($X1927)+1,N($X1927)))</f>
        <v/>
      </c>
      <c r="Z1928">
        <f>IF($V1928="","",IF($AA1928&gt;N($AA1927),$AA1928,""))</f>
        <v/>
      </c>
      <c r="AA1928">
        <f>IF($V1928="",N($AA1927),IF(MATCH($V1928,$V$6:$V$6005,0)=ROW()-5,N($AA1927)+1,N($AA1927)))</f>
        <v/>
      </c>
    </row>
    <row r="1929" ht="21" customHeight="1" s="66">
      <c r="A1929" s="56" t="n"/>
      <c r="B1929" s="57" t="n"/>
      <c r="C1929" s="57" t="n"/>
      <c r="D1929" s="57" t="n"/>
      <c r="E1929" s="56" t="n"/>
      <c r="F1929" s="57" t="n"/>
      <c r="G1929" s="57" t="n"/>
      <c r="H1929" s="56" t="n"/>
      <c r="I1929" s="56" t="n"/>
      <c r="J1929" s="58" t="n"/>
      <c r="K1929" s="58" t="n"/>
      <c r="L1929" s="13">
        <f>IF(OR($A1929="",AND($J1929="",$K1929="")),"",ROUND(N($J1929)-N($K1929),2))</f>
        <v/>
      </c>
      <c r="M1929" s="13">
        <f>IF(OR($A1929="",AND($J1929="",$K1929="")),"",MIN($J1929,$K1929))</f>
        <v/>
      </c>
      <c r="Q1929">
        <f>IF($A1929="","",$D1929&amp;"("&amp;SUBSTITUTE($E1929," ","")&amp;")")</f>
        <v/>
      </c>
      <c r="R1929">
        <f>IF($A1929="","",$B1929&amp;" - "&amp;$C1929)</f>
        <v/>
      </c>
      <c r="S1929">
        <f>IF($A1929="","",$R1929&amp;"|"&amp;$Q1929)</f>
        <v/>
      </c>
      <c r="T1929">
        <f>IF($A1929="","",$S1929&amp;"|"&amp;$F1929)</f>
        <v/>
      </c>
      <c r="U1929">
        <f>IF($A1929="","",$R1929&amp;"("&amp;$E1929&amp;")")</f>
        <v/>
      </c>
      <c r="V1929">
        <f>IF($A1929="","",$F1929&amp;"|"&amp;$U1929&amp;"|"&amp;$D1929)</f>
        <v/>
      </c>
      <c r="W1929">
        <f>IF($T1929="","",IF($X1929&gt;N($X1928),$X1929,""))</f>
        <v/>
      </c>
      <c r="X1929">
        <f>IF($T1929="",N($X1928),IF(MATCH($T1929,$T$6:$T$6005,0)=ROW()-5,N($X1928)+1,N($X1928)))</f>
        <v/>
      </c>
      <c r="Z1929">
        <f>IF($V1929="","",IF($AA1929&gt;N($AA1928),$AA1929,""))</f>
        <v/>
      </c>
      <c r="AA1929">
        <f>IF($V1929="",N($AA1928),IF(MATCH($V1929,$V$6:$V$6005,0)=ROW()-5,N($AA1928)+1,N($AA1928)))</f>
        <v/>
      </c>
    </row>
    <row r="1930" ht="21" customHeight="1" s="66">
      <c r="A1930" s="56" t="n"/>
      <c r="B1930" s="57" t="n"/>
      <c r="C1930" s="57" t="n"/>
      <c r="D1930" s="57" t="n"/>
      <c r="E1930" s="56" t="n"/>
      <c r="F1930" s="57" t="n"/>
      <c r="G1930" s="57" t="n"/>
      <c r="H1930" s="56" t="n"/>
      <c r="I1930" s="56" t="n"/>
      <c r="J1930" s="58" t="n"/>
      <c r="K1930" s="58" t="n"/>
      <c r="L1930" s="13">
        <f>IF(OR($A1930="",AND($J1930="",$K1930="")),"",ROUND(N($J1930)-N($K1930),2))</f>
        <v/>
      </c>
      <c r="M1930" s="13">
        <f>IF(OR($A1930="",AND($J1930="",$K1930="")),"",MIN($J1930,$K1930))</f>
        <v/>
      </c>
      <c r="Q1930">
        <f>IF($A1930="","",$D1930&amp;"("&amp;SUBSTITUTE($E1930," ","")&amp;")")</f>
        <v/>
      </c>
      <c r="R1930">
        <f>IF($A1930="","",$B1930&amp;" - "&amp;$C1930)</f>
        <v/>
      </c>
      <c r="S1930">
        <f>IF($A1930="","",$R1930&amp;"|"&amp;$Q1930)</f>
        <v/>
      </c>
      <c r="T1930">
        <f>IF($A1930="","",$S1930&amp;"|"&amp;$F1930)</f>
        <v/>
      </c>
      <c r="U1930">
        <f>IF($A1930="","",$R1930&amp;"("&amp;$E1930&amp;")")</f>
        <v/>
      </c>
      <c r="V1930">
        <f>IF($A1930="","",$F1930&amp;"|"&amp;$U1930&amp;"|"&amp;$D1930)</f>
        <v/>
      </c>
      <c r="W1930">
        <f>IF($T1930="","",IF($X1930&gt;N($X1929),$X1930,""))</f>
        <v/>
      </c>
      <c r="X1930">
        <f>IF($T1930="",N($X1929),IF(MATCH($T1930,$T$6:$T$6005,0)=ROW()-5,N($X1929)+1,N($X1929)))</f>
        <v/>
      </c>
      <c r="Z1930">
        <f>IF($V1930="","",IF($AA1930&gt;N($AA1929),$AA1930,""))</f>
        <v/>
      </c>
      <c r="AA1930">
        <f>IF($V1930="",N($AA1929),IF(MATCH($V1930,$V$6:$V$6005,0)=ROW()-5,N($AA1929)+1,N($AA1929)))</f>
        <v/>
      </c>
    </row>
    <row r="1931" ht="21" customHeight="1" s="66">
      <c r="A1931" s="56" t="n"/>
      <c r="B1931" s="57" t="n"/>
      <c r="C1931" s="57" t="n"/>
      <c r="D1931" s="57" t="n"/>
      <c r="E1931" s="56" t="n"/>
      <c r="F1931" s="57" t="n"/>
      <c r="G1931" s="57" t="n"/>
      <c r="H1931" s="56" t="n"/>
      <c r="I1931" s="56" t="n"/>
      <c r="J1931" s="58" t="n"/>
      <c r="K1931" s="58" t="n"/>
      <c r="L1931" s="13">
        <f>IF(OR($A1931="",AND($J1931="",$K1931="")),"",ROUND(N($J1931)-N($K1931),2))</f>
        <v/>
      </c>
      <c r="M1931" s="13">
        <f>IF(OR($A1931="",AND($J1931="",$K1931="")),"",MIN($J1931,$K1931))</f>
        <v/>
      </c>
      <c r="Q1931">
        <f>IF($A1931="","",$D1931&amp;"("&amp;SUBSTITUTE($E1931," ","")&amp;")")</f>
        <v/>
      </c>
      <c r="R1931">
        <f>IF($A1931="","",$B1931&amp;" - "&amp;$C1931)</f>
        <v/>
      </c>
      <c r="S1931">
        <f>IF($A1931="","",$R1931&amp;"|"&amp;$Q1931)</f>
        <v/>
      </c>
      <c r="T1931">
        <f>IF($A1931="","",$S1931&amp;"|"&amp;$F1931)</f>
        <v/>
      </c>
      <c r="U1931">
        <f>IF($A1931="","",$R1931&amp;"("&amp;$E1931&amp;")")</f>
        <v/>
      </c>
      <c r="V1931">
        <f>IF($A1931="","",$F1931&amp;"|"&amp;$U1931&amp;"|"&amp;$D1931)</f>
        <v/>
      </c>
      <c r="W1931">
        <f>IF($T1931="","",IF($X1931&gt;N($X1930),$X1931,""))</f>
        <v/>
      </c>
      <c r="X1931">
        <f>IF($T1931="",N($X1930),IF(MATCH($T1931,$T$6:$T$6005,0)=ROW()-5,N($X1930)+1,N($X1930)))</f>
        <v/>
      </c>
      <c r="Z1931">
        <f>IF($V1931="","",IF($AA1931&gt;N($AA1930),$AA1931,""))</f>
        <v/>
      </c>
      <c r="AA1931">
        <f>IF($V1931="",N($AA1930),IF(MATCH($V1931,$V$6:$V$6005,0)=ROW()-5,N($AA1930)+1,N($AA1930)))</f>
        <v/>
      </c>
    </row>
    <row r="1932" ht="21" customHeight="1" s="66">
      <c r="A1932" s="56" t="n"/>
      <c r="B1932" s="57" t="n"/>
      <c r="C1932" s="57" t="n"/>
      <c r="D1932" s="57" t="n"/>
      <c r="E1932" s="56" t="n"/>
      <c r="F1932" s="57" t="n"/>
      <c r="G1932" s="57" t="n"/>
      <c r="H1932" s="56" t="n"/>
      <c r="I1932" s="56" t="n"/>
      <c r="J1932" s="58" t="n"/>
      <c r="K1932" s="58" t="n"/>
      <c r="L1932" s="13">
        <f>IF(OR($A1932="",AND($J1932="",$K1932="")),"",ROUND(N($J1932)-N($K1932),2))</f>
        <v/>
      </c>
      <c r="M1932" s="13">
        <f>IF(OR($A1932="",AND($J1932="",$K1932="")),"",MIN($J1932,$K1932))</f>
        <v/>
      </c>
      <c r="Q1932">
        <f>IF($A1932="","",$D1932&amp;"("&amp;SUBSTITUTE($E1932," ","")&amp;")")</f>
        <v/>
      </c>
      <c r="R1932">
        <f>IF($A1932="","",$B1932&amp;" - "&amp;$C1932)</f>
        <v/>
      </c>
      <c r="S1932">
        <f>IF($A1932="","",$R1932&amp;"|"&amp;$Q1932)</f>
        <v/>
      </c>
      <c r="T1932">
        <f>IF($A1932="","",$S1932&amp;"|"&amp;$F1932)</f>
        <v/>
      </c>
      <c r="U1932">
        <f>IF($A1932="","",$R1932&amp;"("&amp;$E1932&amp;")")</f>
        <v/>
      </c>
      <c r="V1932">
        <f>IF($A1932="","",$F1932&amp;"|"&amp;$U1932&amp;"|"&amp;$D1932)</f>
        <v/>
      </c>
      <c r="W1932">
        <f>IF($T1932="","",IF($X1932&gt;N($X1931),$X1932,""))</f>
        <v/>
      </c>
      <c r="X1932">
        <f>IF($T1932="",N($X1931),IF(MATCH($T1932,$T$6:$T$6005,0)=ROW()-5,N($X1931)+1,N($X1931)))</f>
        <v/>
      </c>
      <c r="Z1932">
        <f>IF($V1932="","",IF($AA1932&gt;N($AA1931),$AA1932,""))</f>
        <v/>
      </c>
      <c r="AA1932">
        <f>IF($V1932="",N($AA1931),IF(MATCH($V1932,$V$6:$V$6005,0)=ROW()-5,N($AA1931)+1,N($AA1931)))</f>
        <v/>
      </c>
    </row>
    <row r="1933" ht="21" customHeight="1" s="66">
      <c r="A1933" s="56" t="n"/>
      <c r="B1933" s="57" t="n"/>
      <c r="C1933" s="57" t="n"/>
      <c r="D1933" s="57" t="n"/>
      <c r="E1933" s="56" t="n"/>
      <c r="F1933" s="57" t="n"/>
      <c r="G1933" s="57" t="n"/>
      <c r="H1933" s="56" t="n"/>
      <c r="I1933" s="56" t="n"/>
      <c r="J1933" s="58" t="n"/>
      <c r="K1933" s="58" t="n"/>
      <c r="L1933" s="13">
        <f>IF(OR($A1933="",AND($J1933="",$K1933="")),"",ROUND(N($J1933)-N($K1933),2))</f>
        <v/>
      </c>
      <c r="M1933" s="13">
        <f>IF(OR($A1933="",AND($J1933="",$K1933="")),"",MIN($J1933,$K1933))</f>
        <v/>
      </c>
      <c r="Q1933">
        <f>IF($A1933="","",$D1933&amp;"("&amp;SUBSTITUTE($E1933," ","")&amp;")")</f>
        <v/>
      </c>
      <c r="R1933">
        <f>IF($A1933="","",$B1933&amp;" - "&amp;$C1933)</f>
        <v/>
      </c>
      <c r="S1933">
        <f>IF($A1933="","",$R1933&amp;"|"&amp;$Q1933)</f>
        <v/>
      </c>
      <c r="T1933">
        <f>IF($A1933="","",$S1933&amp;"|"&amp;$F1933)</f>
        <v/>
      </c>
      <c r="U1933">
        <f>IF($A1933="","",$R1933&amp;"("&amp;$E1933&amp;")")</f>
        <v/>
      </c>
      <c r="V1933">
        <f>IF($A1933="","",$F1933&amp;"|"&amp;$U1933&amp;"|"&amp;$D1933)</f>
        <v/>
      </c>
      <c r="W1933">
        <f>IF($T1933="","",IF($X1933&gt;N($X1932),$X1933,""))</f>
        <v/>
      </c>
      <c r="X1933">
        <f>IF($T1933="",N($X1932),IF(MATCH($T1933,$T$6:$T$6005,0)=ROW()-5,N($X1932)+1,N($X1932)))</f>
        <v/>
      </c>
      <c r="Z1933">
        <f>IF($V1933="","",IF($AA1933&gt;N($AA1932),$AA1933,""))</f>
        <v/>
      </c>
      <c r="AA1933">
        <f>IF($V1933="",N($AA1932),IF(MATCH($V1933,$V$6:$V$6005,0)=ROW()-5,N($AA1932)+1,N($AA1932)))</f>
        <v/>
      </c>
    </row>
    <row r="1934" ht="21" customHeight="1" s="66">
      <c r="A1934" s="56" t="n"/>
      <c r="B1934" s="57" t="n"/>
      <c r="C1934" s="57" t="n"/>
      <c r="D1934" s="57" t="n"/>
      <c r="E1934" s="56" t="n"/>
      <c r="F1934" s="57" t="n"/>
      <c r="G1934" s="57" t="n"/>
      <c r="H1934" s="56" t="n"/>
      <c r="I1934" s="56" t="n"/>
      <c r="J1934" s="58" t="n"/>
      <c r="K1934" s="58" t="n"/>
      <c r="L1934" s="13">
        <f>IF(OR($A1934="",AND($J1934="",$K1934="")),"",ROUND(N($J1934)-N($K1934),2))</f>
        <v/>
      </c>
      <c r="M1934" s="13">
        <f>IF(OR($A1934="",AND($J1934="",$K1934="")),"",MIN($J1934,$K1934))</f>
        <v/>
      </c>
      <c r="Q1934">
        <f>IF($A1934="","",$D1934&amp;"("&amp;SUBSTITUTE($E1934," ","")&amp;")")</f>
        <v/>
      </c>
      <c r="R1934">
        <f>IF($A1934="","",$B1934&amp;" - "&amp;$C1934)</f>
        <v/>
      </c>
      <c r="S1934">
        <f>IF($A1934="","",$R1934&amp;"|"&amp;$Q1934)</f>
        <v/>
      </c>
      <c r="T1934">
        <f>IF($A1934="","",$S1934&amp;"|"&amp;$F1934)</f>
        <v/>
      </c>
      <c r="U1934">
        <f>IF($A1934="","",$R1934&amp;"("&amp;$E1934&amp;")")</f>
        <v/>
      </c>
      <c r="V1934">
        <f>IF($A1934="","",$F1934&amp;"|"&amp;$U1934&amp;"|"&amp;$D1934)</f>
        <v/>
      </c>
      <c r="W1934">
        <f>IF($T1934="","",IF($X1934&gt;N($X1933),$X1934,""))</f>
        <v/>
      </c>
      <c r="X1934">
        <f>IF($T1934="",N($X1933),IF(MATCH($T1934,$T$6:$T$6005,0)=ROW()-5,N($X1933)+1,N($X1933)))</f>
        <v/>
      </c>
      <c r="Z1934">
        <f>IF($V1934="","",IF($AA1934&gt;N($AA1933),$AA1934,""))</f>
        <v/>
      </c>
      <c r="AA1934">
        <f>IF($V1934="",N($AA1933),IF(MATCH($V1934,$V$6:$V$6005,0)=ROW()-5,N($AA1933)+1,N($AA1933)))</f>
        <v/>
      </c>
    </row>
    <row r="1935" ht="21" customHeight="1" s="66">
      <c r="A1935" s="56" t="n"/>
      <c r="B1935" s="57" t="n"/>
      <c r="C1935" s="57" t="n"/>
      <c r="D1935" s="57" t="n"/>
      <c r="E1935" s="56" t="n"/>
      <c r="F1935" s="57" t="n"/>
      <c r="G1935" s="57" t="n"/>
      <c r="H1935" s="56" t="n"/>
      <c r="I1935" s="56" t="n"/>
      <c r="J1935" s="58" t="n"/>
      <c r="K1935" s="58" t="n"/>
      <c r="L1935" s="13">
        <f>IF(OR($A1935="",AND($J1935="",$K1935="")),"",ROUND(N($J1935)-N($K1935),2))</f>
        <v/>
      </c>
      <c r="M1935" s="13">
        <f>IF(OR($A1935="",AND($J1935="",$K1935="")),"",MIN($J1935,$K1935))</f>
        <v/>
      </c>
      <c r="Q1935">
        <f>IF($A1935="","",$D1935&amp;"("&amp;SUBSTITUTE($E1935," ","")&amp;")")</f>
        <v/>
      </c>
      <c r="R1935">
        <f>IF($A1935="","",$B1935&amp;" - "&amp;$C1935)</f>
        <v/>
      </c>
      <c r="S1935">
        <f>IF($A1935="","",$R1935&amp;"|"&amp;$Q1935)</f>
        <v/>
      </c>
      <c r="T1935">
        <f>IF($A1935="","",$S1935&amp;"|"&amp;$F1935)</f>
        <v/>
      </c>
      <c r="U1935">
        <f>IF($A1935="","",$R1935&amp;"("&amp;$E1935&amp;")")</f>
        <v/>
      </c>
      <c r="V1935">
        <f>IF($A1935="","",$F1935&amp;"|"&amp;$U1935&amp;"|"&amp;$D1935)</f>
        <v/>
      </c>
      <c r="W1935">
        <f>IF($T1935="","",IF($X1935&gt;N($X1934),$X1935,""))</f>
        <v/>
      </c>
      <c r="X1935">
        <f>IF($T1935="",N($X1934),IF(MATCH($T1935,$T$6:$T$6005,0)=ROW()-5,N($X1934)+1,N($X1934)))</f>
        <v/>
      </c>
      <c r="Z1935">
        <f>IF($V1935="","",IF($AA1935&gt;N($AA1934),$AA1935,""))</f>
        <v/>
      </c>
      <c r="AA1935">
        <f>IF($V1935="",N($AA1934),IF(MATCH($V1935,$V$6:$V$6005,0)=ROW()-5,N($AA1934)+1,N($AA1934)))</f>
        <v/>
      </c>
    </row>
    <row r="1936" ht="21" customHeight="1" s="66">
      <c r="A1936" s="56" t="n"/>
      <c r="B1936" s="57" t="n"/>
      <c r="C1936" s="57" t="n"/>
      <c r="D1936" s="57" t="n"/>
      <c r="E1936" s="56" t="n"/>
      <c r="F1936" s="57" t="n"/>
      <c r="G1936" s="57" t="n"/>
      <c r="H1936" s="56" t="n"/>
      <c r="I1936" s="56" t="n"/>
      <c r="J1936" s="58" t="n"/>
      <c r="K1936" s="58" t="n"/>
      <c r="L1936" s="13">
        <f>IF(OR($A1936="",AND($J1936="",$K1936="")),"",ROUND(N($J1936)-N($K1936),2))</f>
        <v/>
      </c>
      <c r="M1936" s="13">
        <f>IF(OR($A1936="",AND($J1936="",$K1936="")),"",MIN($J1936,$K1936))</f>
        <v/>
      </c>
      <c r="Q1936">
        <f>IF($A1936="","",$D1936&amp;"("&amp;SUBSTITUTE($E1936," ","")&amp;")")</f>
        <v/>
      </c>
      <c r="R1936">
        <f>IF($A1936="","",$B1936&amp;" - "&amp;$C1936)</f>
        <v/>
      </c>
      <c r="S1936">
        <f>IF($A1936="","",$R1936&amp;"|"&amp;$Q1936)</f>
        <v/>
      </c>
      <c r="T1936">
        <f>IF($A1936="","",$S1936&amp;"|"&amp;$F1936)</f>
        <v/>
      </c>
      <c r="U1936">
        <f>IF($A1936="","",$R1936&amp;"("&amp;$E1936&amp;")")</f>
        <v/>
      </c>
      <c r="V1936">
        <f>IF($A1936="","",$F1936&amp;"|"&amp;$U1936&amp;"|"&amp;$D1936)</f>
        <v/>
      </c>
      <c r="W1936">
        <f>IF($T1936="","",IF($X1936&gt;N($X1935),$X1936,""))</f>
        <v/>
      </c>
      <c r="X1936">
        <f>IF($T1936="",N($X1935),IF(MATCH($T1936,$T$6:$T$6005,0)=ROW()-5,N($X1935)+1,N($X1935)))</f>
        <v/>
      </c>
      <c r="Z1936">
        <f>IF($V1936="","",IF($AA1936&gt;N($AA1935),$AA1936,""))</f>
        <v/>
      </c>
      <c r="AA1936">
        <f>IF($V1936="",N($AA1935),IF(MATCH($V1936,$V$6:$V$6005,0)=ROW()-5,N($AA1935)+1,N($AA1935)))</f>
        <v/>
      </c>
    </row>
    <row r="1937" ht="21" customHeight="1" s="66">
      <c r="A1937" s="56" t="n"/>
      <c r="B1937" s="57" t="n"/>
      <c r="C1937" s="57" t="n"/>
      <c r="D1937" s="57" t="n"/>
      <c r="E1937" s="56" t="n"/>
      <c r="F1937" s="57" t="n"/>
      <c r="G1937" s="57" t="n"/>
      <c r="H1937" s="56" t="n"/>
      <c r="I1937" s="56" t="n"/>
      <c r="J1937" s="58" t="n"/>
      <c r="K1937" s="58" t="n"/>
      <c r="L1937" s="13">
        <f>IF(OR($A1937="",AND($J1937="",$K1937="")),"",ROUND(N($J1937)-N($K1937),2))</f>
        <v/>
      </c>
      <c r="M1937" s="13">
        <f>IF(OR($A1937="",AND($J1937="",$K1937="")),"",MIN($J1937,$K1937))</f>
        <v/>
      </c>
      <c r="Q1937">
        <f>IF($A1937="","",$D1937&amp;"("&amp;SUBSTITUTE($E1937," ","")&amp;")")</f>
        <v/>
      </c>
      <c r="R1937">
        <f>IF($A1937="","",$B1937&amp;" - "&amp;$C1937)</f>
        <v/>
      </c>
      <c r="S1937">
        <f>IF($A1937="","",$R1937&amp;"|"&amp;$Q1937)</f>
        <v/>
      </c>
      <c r="T1937">
        <f>IF($A1937="","",$S1937&amp;"|"&amp;$F1937)</f>
        <v/>
      </c>
      <c r="U1937">
        <f>IF($A1937="","",$R1937&amp;"("&amp;$E1937&amp;")")</f>
        <v/>
      </c>
      <c r="V1937">
        <f>IF($A1937="","",$F1937&amp;"|"&amp;$U1937&amp;"|"&amp;$D1937)</f>
        <v/>
      </c>
      <c r="W1937">
        <f>IF($T1937="","",IF($X1937&gt;N($X1936),$X1937,""))</f>
        <v/>
      </c>
      <c r="X1937">
        <f>IF($T1937="",N($X1936),IF(MATCH($T1937,$T$6:$T$6005,0)=ROW()-5,N($X1936)+1,N($X1936)))</f>
        <v/>
      </c>
      <c r="Z1937">
        <f>IF($V1937="","",IF($AA1937&gt;N($AA1936),$AA1937,""))</f>
        <v/>
      </c>
      <c r="AA1937">
        <f>IF($V1937="",N($AA1936),IF(MATCH($V1937,$V$6:$V$6005,0)=ROW()-5,N($AA1936)+1,N($AA1936)))</f>
        <v/>
      </c>
    </row>
    <row r="1938" ht="21" customHeight="1" s="66">
      <c r="A1938" s="56" t="n"/>
      <c r="B1938" s="57" t="n"/>
      <c r="C1938" s="57" t="n"/>
      <c r="D1938" s="57" t="n"/>
      <c r="E1938" s="56" t="n"/>
      <c r="F1938" s="57" t="n"/>
      <c r="G1938" s="57" t="n"/>
      <c r="H1938" s="56" t="n"/>
      <c r="I1938" s="56" t="n"/>
      <c r="J1938" s="58" t="n"/>
      <c r="K1938" s="58" t="n"/>
      <c r="L1938" s="13">
        <f>IF(OR($A1938="",AND($J1938="",$K1938="")),"",ROUND(N($J1938)-N($K1938),2))</f>
        <v/>
      </c>
      <c r="M1938" s="13">
        <f>IF(OR($A1938="",AND($J1938="",$K1938="")),"",MIN($J1938,$K1938))</f>
        <v/>
      </c>
      <c r="Q1938">
        <f>IF($A1938="","",$D1938&amp;"("&amp;SUBSTITUTE($E1938," ","")&amp;")")</f>
        <v/>
      </c>
      <c r="R1938">
        <f>IF($A1938="","",$B1938&amp;" - "&amp;$C1938)</f>
        <v/>
      </c>
      <c r="S1938">
        <f>IF($A1938="","",$R1938&amp;"|"&amp;$Q1938)</f>
        <v/>
      </c>
      <c r="T1938">
        <f>IF($A1938="","",$S1938&amp;"|"&amp;$F1938)</f>
        <v/>
      </c>
      <c r="U1938">
        <f>IF($A1938="","",$R1938&amp;"("&amp;$E1938&amp;")")</f>
        <v/>
      </c>
      <c r="V1938">
        <f>IF($A1938="","",$F1938&amp;"|"&amp;$U1938&amp;"|"&amp;$D1938)</f>
        <v/>
      </c>
      <c r="W1938">
        <f>IF($T1938="","",IF($X1938&gt;N($X1937),$X1938,""))</f>
        <v/>
      </c>
      <c r="X1938">
        <f>IF($T1938="",N($X1937),IF(MATCH($T1938,$T$6:$T$6005,0)=ROW()-5,N($X1937)+1,N($X1937)))</f>
        <v/>
      </c>
      <c r="Z1938">
        <f>IF($V1938="","",IF($AA1938&gt;N($AA1937),$AA1938,""))</f>
        <v/>
      </c>
      <c r="AA1938">
        <f>IF($V1938="",N($AA1937),IF(MATCH($V1938,$V$6:$V$6005,0)=ROW()-5,N($AA1937)+1,N($AA1937)))</f>
        <v/>
      </c>
    </row>
    <row r="1939" ht="21" customHeight="1" s="66">
      <c r="A1939" s="56" t="n"/>
      <c r="B1939" s="57" t="n"/>
      <c r="C1939" s="57" t="n"/>
      <c r="D1939" s="57" t="n"/>
      <c r="E1939" s="56" t="n"/>
      <c r="F1939" s="57" t="n"/>
      <c r="G1939" s="57" t="n"/>
      <c r="H1939" s="56" t="n"/>
      <c r="I1939" s="56" t="n"/>
      <c r="J1939" s="58" t="n"/>
      <c r="K1939" s="58" t="n"/>
      <c r="L1939" s="13">
        <f>IF(OR($A1939="",AND($J1939="",$K1939="")),"",ROUND(N($J1939)-N($K1939),2))</f>
        <v/>
      </c>
      <c r="M1939" s="13">
        <f>IF(OR($A1939="",AND($J1939="",$K1939="")),"",MIN($J1939,$K1939))</f>
        <v/>
      </c>
      <c r="Q1939">
        <f>IF($A1939="","",$D1939&amp;"("&amp;SUBSTITUTE($E1939," ","")&amp;")")</f>
        <v/>
      </c>
      <c r="R1939">
        <f>IF($A1939="","",$B1939&amp;" - "&amp;$C1939)</f>
        <v/>
      </c>
      <c r="S1939">
        <f>IF($A1939="","",$R1939&amp;"|"&amp;$Q1939)</f>
        <v/>
      </c>
      <c r="T1939">
        <f>IF($A1939="","",$S1939&amp;"|"&amp;$F1939)</f>
        <v/>
      </c>
      <c r="U1939">
        <f>IF($A1939="","",$R1939&amp;"("&amp;$E1939&amp;")")</f>
        <v/>
      </c>
      <c r="V1939">
        <f>IF($A1939="","",$F1939&amp;"|"&amp;$U1939&amp;"|"&amp;$D1939)</f>
        <v/>
      </c>
      <c r="W1939">
        <f>IF($T1939="","",IF($X1939&gt;N($X1938),$X1939,""))</f>
        <v/>
      </c>
      <c r="X1939">
        <f>IF($T1939="",N($X1938),IF(MATCH($T1939,$T$6:$T$6005,0)=ROW()-5,N($X1938)+1,N($X1938)))</f>
        <v/>
      </c>
      <c r="Z1939">
        <f>IF($V1939="","",IF($AA1939&gt;N($AA1938),$AA1939,""))</f>
        <v/>
      </c>
      <c r="AA1939">
        <f>IF($V1939="",N($AA1938),IF(MATCH($V1939,$V$6:$V$6005,0)=ROW()-5,N($AA1938)+1,N($AA1938)))</f>
        <v/>
      </c>
    </row>
    <row r="1940" ht="21" customHeight="1" s="66">
      <c r="A1940" s="56" t="n"/>
      <c r="B1940" s="57" t="n"/>
      <c r="C1940" s="57" t="n"/>
      <c r="D1940" s="57" t="n"/>
      <c r="E1940" s="56" t="n"/>
      <c r="F1940" s="57" t="n"/>
      <c r="G1940" s="57" t="n"/>
      <c r="H1940" s="56" t="n"/>
      <c r="I1940" s="56" t="n"/>
      <c r="J1940" s="58" t="n"/>
      <c r="K1940" s="58" t="n"/>
      <c r="L1940" s="13">
        <f>IF(OR($A1940="",AND($J1940="",$K1940="")),"",ROUND(N($J1940)-N($K1940),2))</f>
        <v/>
      </c>
      <c r="M1940" s="13">
        <f>IF(OR($A1940="",AND($J1940="",$K1940="")),"",MIN($J1940,$K1940))</f>
        <v/>
      </c>
      <c r="Q1940">
        <f>IF($A1940="","",$D1940&amp;"("&amp;SUBSTITUTE($E1940," ","")&amp;")")</f>
        <v/>
      </c>
      <c r="R1940">
        <f>IF($A1940="","",$B1940&amp;" - "&amp;$C1940)</f>
        <v/>
      </c>
      <c r="S1940">
        <f>IF($A1940="","",$R1940&amp;"|"&amp;$Q1940)</f>
        <v/>
      </c>
      <c r="T1940">
        <f>IF($A1940="","",$S1940&amp;"|"&amp;$F1940)</f>
        <v/>
      </c>
      <c r="U1940">
        <f>IF($A1940="","",$R1940&amp;"("&amp;$E1940&amp;")")</f>
        <v/>
      </c>
      <c r="V1940">
        <f>IF($A1940="","",$F1940&amp;"|"&amp;$U1940&amp;"|"&amp;$D1940)</f>
        <v/>
      </c>
      <c r="W1940">
        <f>IF($T1940="","",IF($X1940&gt;N($X1939),$X1940,""))</f>
        <v/>
      </c>
      <c r="X1940">
        <f>IF($T1940="",N($X1939),IF(MATCH($T1940,$T$6:$T$6005,0)=ROW()-5,N($X1939)+1,N($X1939)))</f>
        <v/>
      </c>
      <c r="Z1940">
        <f>IF($V1940="","",IF($AA1940&gt;N($AA1939),$AA1940,""))</f>
        <v/>
      </c>
      <c r="AA1940">
        <f>IF($V1940="",N($AA1939),IF(MATCH($V1940,$V$6:$V$6005,0)=ROW()-5,N($AA1939)+1,N($AA1939)))</f>
        <v/>
      </c>
    </row>
    <row r="1941" ht="21" customHeight="1" s="66">
      <c r="A1941" s="56" t="n"/>
      <c r="B1941" s="57" t="n"/>
      <c r="C1941" s="57" t="n"/>
      <c r="D1941" s="57" t="n"/>
      <c r="E1941" s="56" t="n"/>
      <c r="F1941" s="57" t="n"/>
      <c r="G1941" s="57" t="n"/>
      <c r="H1941" s="56" t="n"/>
      <c r="I1941" s="56" t="n"/>
      <c r="J1941" s="58" t="n"/>
      <c r="K1941" s="58" t="n"/>
      <c r="L1941" s="13">
        <f>IF(OR($A1941="",AND($J1941="",$K1941="")),"",ROUND(N($J1941)-N($K1941),2))</f>
        <v/>
      </c>
      <c r="M1941" s="13">
        <f>IF(OR($A1941="",AND($J1941="",$K1941="")),"",MIN($J1941,$K1941))</f>
        <v/>
      </c>
      <c r="Q1941">
        <f>IF($A1941="","",$D1941&amp;"("&amp;SUBSTITUTE($E1941," ","")&amp;")")</f>
        <v/>
      </c>
      <c r="R1941">
        <f>IF($A1941="","",$B1941&amp;" - "&amp;$C1941)</f>
        <v/>
      </c>
      <c r="S1941">
        <f>IF($A1941="","",$R1941&amp;"|"&amp;$Q1941)</f>
        <v/>
      </c>
      <c r="T1941">
        <f>IF($A1941="","",$S1941&amp;"|"&amp;$F1941)</f>
        <v/>
      </c>
      <c r="U1941">
        <f>IF($A1941="","",$R1941&amp;"("&amp;$E1941&amp;")")</f>
        <v/>
      </c>
      <c r="V1941">
        <f>IF($A1941="","",$F1941&amp;"|"&amp;$U1941&amp;"|"&amp;$D1941)</f>
        <v/>
      </c>
      <c r="W1941">
        <f>IF($T1941="","",IF($X1941&gt;N($X1940),$X1941,""))</f>
        <v/>
      </c>
      <c r="X1941">
        <f>IF($T1941="",N($X1940),IF(MATCH($T1941,$T$6:$T$6005,0)=ROW()-5,N($X1940)+1,N($X1940)))</f>
        <v/>
      </c>
      <c r="Z1941">
        <f>IF($V1941="","",IF($AA1941&gt;N($AA1940),$AA1941,""))</f>
        <v/>
      </c>
      <c r="AA1941">
        <f>IF($V1941="",N($AA1940),IF(MATCH($V1941,$V$6:$V$6005,0)=ROW()-5,N($AA1940)+1,N($AA1940)))</f>
        <v/>
      </c>
    </row>
    <row r="1942" ht="21" customHeight="1" s="66">
      <c r="A1942" s="56" t="n"/>
      <c r="B1942" s="57" t="n"/>
      <c r="C1942" s="57" t="n"/>
      <c r="D1942" s="57" t="n"/>
      <c r="E1942" s="56" t="n"/>
      <c r="F1942" s="57" t="n"/>
      <c r="G1942" s="57" t="n"/>
      <c r="H1942" s="56" t="n"/>
      <c r="I1942" s="56" t="n"/>
      <c r="J1942" s="58" t="n"/>
      <c r="K1942" s="58" t="n"/>
      <c r="L1942" s="13">
        <f>IF(OR($A1942="",AND($J1942="",$K1942="")),"",ROUND(N($J1942)-N($K1942),2))</f>
        <v/>
      </c>
      <c r="M1942" s="13">
        <f>IF(OR($A1942="",AND($J1942="",$K1942="")),"",MIN($J1942,$K1942))</f>
        <v/>
      </c>
      <c r="Q1942">
        <f>IF($A1942="","",$D1942&amp;"("&amp;SUBSTITUTE($E1942," ","")&amp;")")</f>
        <v/>
      </c>
      <c r="R1942">
        <f>IF($A1942="","",$B1942&amp;" - "&amp;$C1942)</f>
        <v/>
      </c>
      <c r="S1942">
        <f>IF($A1942="","",$R1942&amp;"|"&amp;$Q1942)</f>
        <v/>
      </c>
      <c r="T1942">
        <f>IF($A1942="","",$S1942&amp;"|"&amp;$F1942)</f>
        <v/>
      </c>
      <c r="U1942">
        <f>IF($A1942="","",$R1942&amp;"("&amp;$E1942&amp;")")</f>
        <v/>
      </c>
      <c r="V1942">
        <f>IF($A1942="","",$F1942&amp;"|"&amp;$U1942&amp;"|"&amp;$D1942)</f>
        <v/>
      </c>
      <c r="W1942">
        <f>IF($T1942="","",IF($X1942&gt;N($X1941),$X1942,""))</f>
        <v/>
      </c>
      <c r="X1942">
        <f>IF($T1942="",N($X1941),IF(MATCH($T1942,$T$6:$T$6005,0)=ROW()-5,N($X1941)+1,N($X1941)))</f>
        <v/>
      </c>
      <c r="Z1942">
        <f>IF($V1942="","",IF($AA1942&gt;N($AA1941),$AA1942,""))</f>
        <v/>
      </c>
      <c r="AA1942">
        <f>IF($V1942="",N($AA1941),IF(MATCH($V1942,$V$6:$V$6005,0)=ROW()-5,N($AA1941)+1,N($AA1941)))</f>
        <v/>
      </c>
    </row>
    <row r="1943" ht="21" customHeight="1" s="66">
      <c r="A1943" s="56" t="n"/>
      <c r="B1943" s="57" t="n"/>
      <c r="C1943" s="57" t="n"/>
      <c r="D1943" s="57" t="n"/>
      <c r="E1943" s="56" t="n"/>
      <c r="F1943" s="57" t="n"/>
      <c r="G1943" s="57" t="n"/>
      <c r="H1943" s="56" t="n"/>
      <c r="I1943" s="56" t="n"/>
      <c r="J1943" s="58" t="n"/>
      <c r="K1943" s="58" t="n"/>
      <c r="L1943" s="13">
        <f>IF(OR($A1943="",AND($J1943="",$K1943="")),"",ROUND(N($J1943)-N($K1943),2))</f>
        <v/>
      </c>
      <c r="M1943" s="13">
        <f>IF(OR($A1943="",AND($J1943="",$K1943="")),"",MIN($J1943,$K1943))</f>
        <v/>
      </c>
      <c r="Q1943">
        <f>IF($A1943="","",$D1943&amp;"("&amp;SUBSTITUTE($E1943," ","")&amp;")")</f>
        <v/>
      </c>
      <c r="R1943">
        <f>IF($A1943="","",$B1943&amp;" - "&amp;$C1943)</f>
        <v/>
      </c>
      <c r="S1943">
        <f>IF($A1943="","",$R1943&amp;"|"&amp;$Q1943)</f>
        <v/>
      </c>
      <c r="T1943">
        <f>IF($A1943="","",$S1943&amp;"|"&amp;$F1943)</f>
        <v/>
      </c>
      <c r="U1943">
        <f>IF($A1943="","",$R1943&amp;"("&amp;$E1943&amp;")")</f>
        <v/>
      </c>
      <c r="V1943">
        <f>IF($A1943="","",$F1943&amp;"|"&amp;$U1943&amp;"|"&amp;$D1943)</f>
        <v/>
      </c>
      <c r="W1943">
        <f>IF($T1943="","",IF($X1943&gt;N($X1942),$X1943,""))</f>
        <v/>
      </c>
      <c r="X1943">
        <f>IF($T1943="",N($X1942),IF(MATCH($T1943,$T$6:$T$6005,0)=ROW()-5,N($X1942)+1,N($X1942)))</f>
        <v/>
      </c>
      <c r="Z1943">
        <f>IF($V1943="","",IF($AA1943&gt;N($AA1942),$AA1943,""))</f>
        <v/>
      </c>
      <c r="AA1943">
        <f>IF($V1943="",N($AA1942),IF(MATCH($V1943,$V$6:$V$6005,0)=ROW()-5,N($AA1942)+1,N($AA1942)))</f>
        <v/>
      </c>
    </row>
    <row r="1944" ht="21" customHeight="1" s="66">
      <c r="A1944" s="56" t="n"/>
      <c r="B1944" s="57" t="n"/>
      <c r="C1944" s="57" t="n"/>
      <c r="D1944" s="57" t="n"/>
      <c r="E1944" s="56" t="n"/>
      <c r="F1944" s="57" t="n"/>
      <c r="G1944" s="57" t="n"/>
      <c r="H1944" s="56" t="n"/>
      <c r="I1944" s="56" t="n"/>
      <c r="J1944" s="58" t="n"/>
      <c r="K1944" s="58" t="n"/>
      <c r="L1944" s="13">
        <f>IF(OR($A1944="",AND($J1944="",$K1944="")),"",ROUND(N($J1944)-N($K1944),2))</f>
        <v/>
      </c>
      <c r="M1944" s="13">
        <f>IF(OR($A1944="",AND($J1944="",$K1944="")),"",MIN($J1944,$K1944))</f>
        <v/>
      </c>
      <c r="Q1944">
        <f>IF($A1944="","",$D1944&amp;"("&amp;SUBSTITUTE($E1944," ","")&amp;")")</f>
        <v/>
      </c>
      <c r="R1944">
        <f>IF($A1944="","",$B1944&amp;" - "&amp;$C1944)</f>
        <v/>
      </c>
      <c r="S1944">
        <f>IF($A1944="","",$R1944&amp;"|"&amp;$Q1944)</f>
        <v/>
      </c>
      <c r="T1944">
        <f>IF($A1944="","",$S1944&amp;"|"&amp;$F1944)</f>
        <v/>
      </c>
      <c r="U1944">
        <f>IF($A1944="","",$R1944&amp;"("&amp;$E1944&amp;")")</f>
        <v/>
      </c>
      <c r="V1944">
        <f>IF($A1944="","",$F1944&amp;"|"&amp;$U1944&amp;"|"&amp;$D1944)</f>
        <v/>
      </c>
      <c r="W1944">
        <f>IF($T1944="","",IF($X1944&gt;N($X1943),$X1944,""))</f>
        <v/>
      </c>
      <c r="X1944">
        <f>IF($T1944="",N($X1943),IF(MATCH($T1944,$T$6:$T$6005,0)=ROW()-5,N($X1943)+1,N($X1943)))</f>
        <v/>
      </c>
      <c r="Z1944">
        <f>IF($V1944="","",IF($AA1944&gt;N($AA1943),$AA1944,""))</f>
        <v/>
      </c>
      <c r="AA1944">
        <f>IF($V1944="",N($AA1943),IF(MATCH($V1944,$V$6:$V$6005,0)=ROW()-5,N($AA1943)+1,N($AA1943)))</f>
        <v/>
      </c>
    </row>
    <row r="1945" ht="21" customHeight="1" s="66">
      <c r="A1945" s="56" t="n"/>
      <c r="B1945" s="57" t="n"/>
      <c r="C1945" s="57" t="n"/>
      <c r="D1945" s="57" t="n"/>
      <c r="E1945" s="56" t="n"/>
      <c r="F1945" s="57" t="n"/>
      <c r="G1945" s="57" t="n"/>
      <c r="H1945" s="56" t="n"/>
      <c r="I1945" s="56" t="n"/>
      <c r="J1945" s="58" t="n"/>
      <c r="K1945" s="58" t="n"/>
      <c r="L1945" s="13">
        <f>IF(OR($A1945="",AND($J1945="",$K1945="")),"",ROUND(N($J1945)-N($K1945),2))</f>
        <v/>
      </c>
      <c r="M1945" s="13">
        <f>IF(OR($A1945="",AND($J1945="",$K1945="")),"",MIN($J1945,$K1945))</f>
        <v/>
      </c>
      <c r="Q1945">
        <f>IF($A1945="","",$D1945&amp;"("&amp;SUBSTITUTE($E1945," ","")&amp;")")</f>
        <v/>
      </c>
      <c r="R1945">
        <f>IF($A1945="","",$B1945&amp;" - "&amp;$C1945)</f>
        <v/>
      </c>
      <c r="S1945">
        <f>IF($A1945="","",$R1945&amp;"|"&amp;$Q1945)</f>
        <v/>
      </c>
      <c r="T1945">
        <f>IF($A1945="","",$S1945&amp;"|"&amp;$F1945)</f>
        <v/>
      </c>
      <c r="U1945">
        <f>IF($A1945="","",$R1945&amp;"("&amp;$E1945&amp;")")</f>
        <v/>
      </c>
      <c r="V1945">
        <f>IF($A1945="","",$F1945&amp;"|"&amp;$U1945&amp;"|"&amp;$D1945)</f>
        <v/>
      </c>
      <c r="W1945">
        <f>IF($T1945="","",IF($X1945&gt;N($X1944),$X1945,""))</f>
        <v/>
      </c>
      <c r="X1945">
        <f>IF($T1945="",N($X1944),IF(MATCH($T1945,$T$6:$T$6005,0)=ROW()-5,N($X1944)+1,N($X1944)))</f>
        <v/>
      </c>
      <c r="Z1945">
        <f>IF($V1945="","",IF($AA1945&gt;N($AA1944),$AA1945,""))</f>
        <v/>
      </c>
      <c r="AA1945">
        <f>IF($V1945="",N($AA1944),IF(MATCH($V1945,$V$6:$V$6005,0)=ROW()-5,N($AA1944)+1,N($AA1944)))</f>
        <v/>
      </c>
    </row>
    <row r="1946" ht="21" customHeight="1" s="66">
      <c r="A1946" s="56" t="n"/>
      <c r="B1946" s="57" t="n"/>
      <c r="C1946" s="57" t="n"/>
      <c r="D1946" s="57" t="n"/>
      <c r="E1946" s="56" t="n"/>
      <c r="F1946" s="57" t="n"/>
      <c r="G1946" s="57" t="n"/>
      <c r="H1946" s="56" t="n"/>
      <c r="I1946" s="56" t="n"/>
      <c r="J1946" s="58" t="n"/>
      <c r="K1946" s="58" t="n"/>
      <c r="L1946" s="13">
        <f>IF(OR($A1946="",AND($J1946="",$K1946="")),"",ROUND(N($J1946)-N($K1946),2))</f>
        <v/>
      </c>
      <c r="M1946" s="13">
        <f>IF(OR($A1946="",AND($J1946="",$K1946="")),"",MIN($J1946,$K1946))</f>
        <v/>
      </c>
      <c r="Q1946">
        <f>IF($A1946="","",$D1946&amp;"("&amp;SUBSTITUTE($E1946," ","")&amp;")")</f>
        <v/>
      </c>
      <c r="R1946">
        <f>IF($A1946="","",$B1946&amp;" - "&amp;$C1946)</f>
        <v/>
      </c>
      <c r="S1946">
        <f>IF($A1946="","",$R1946&amp;"|"&amp;$Q1946)</f>
        <v/>
      </c>
      <c r="T1946">
        <f>IF($A1946="","",$S1946&amp;"|"&amp;$F1946)</f>
        <v/>
      </c>
      <c r="U1946">
        <f>IF($A1946="","",$R1946&amp;"("&amp;$E1946&amp;")")</f>
        <v/>
      </c>
      <c r="V1946">
        <f>IF($A1946="","",$F1946&amp;"|"&amp;$U1946&amp;"|"&amp;$D1946)</f>
        <v/>
      </c>
      <c r="W1946">
        <f>IF($T1946="","",IF($X1946&gt;N($X1945),$X1946,""))</f>
        <v/>
      </c>
      <c r="X1946">
        <f>IF($T1946="",N($X1945),IF(MATCH($T1946,$T$6:$T$6005,0)=ROW()-5,N($X1945)+1,N($X1945)))</f>
        <v/>
      </c>
      <c r="Z1946">
        <f>IF($V1946="","",IF($AA1946&gt;N($AA1945),$AA1946,""))</f>
        <v/>
      </c>
      <c r="AA1946">
        <f>IF($V1946="",N($AA1945),IF(MATCH($V1946,$V$6:$V$6005,0)=ROW()-5,N($AA1945)+1,N($AA1945)))</f>
        <v/>
      </c>
    </row>
    <row r="1947" ht="21" customHeight="1" s="66">
      <c r="A1947" s="56" t="n"/>
      <c r="B1947" s="57" t="n"/>
      <c r="C1947" s="57" t="n"/>
      <c r="D1947" s="57" t="n"/>
      <c r="E1947" s="56" t="n"/>
      <c r="F1947" s="57" t="n"/>
      <c r="G1947" s="57" t="n"/>
      <c r="H1947" s="56" t="n"/>
      <c r="I1947" s="56" t="n"/>
      <c r="J1947" s="58" t="n"/>
      <c r="K1947" s="58" t="n"/>
      <c r="L1947" s="13">
        <f>IF(OR($A1947="",AND($J1947="",$K1947="")),"",ROUND(N($J1947)-N($K1947),2))</f>
        <v/>
      </c>
      <c r="M1947" s="13">
        <f>IF(OR($A1947="",AND($J1947="",$K1947="")),"",MIN($J1947,$K1947))</f>
        <v/>
      </c>
      <c r="Q1947">
        <f>IF($A1947="","",$D1947&amp;"("&amp;SUBSTITUTE($E1947," ","")&amp;")")</f>
        <v/>
      </c>
      <c r="R1947">
        <f>IF($A1947="","",$B1947&amp;" - "&amp;$C1947)</f>
        <v/>
      </c>
      <c r="S1947">
        <f>IF($A1947="","",$R1947&amp;"|"&amp;$Q1947)</f>
        <v/>
      </c>
      <c r="T1947">
        <f>IF($A1947="","",$S1947&amp;"|"&amp;$F1947)</f>
        <v/>
      </c>
      <c r="U1947">
        <f>IF($A1947="","",$R1947&amp;"("&amp;$E1947&amp;")")</f>
        <v/>
      </c>
      <c r="V1947">
        <f>IF($A1947="","",$F1947&amp;"|"&amp;$U1947&amp;"|"&amp;$D1947)</f>
        <v/>
      </c>
      <c r="W1947">
        <f>IF($T1947="","",IF($X1947&gt;N($X1946),$X1947,""))</f>
        <v/>
      </c>
      <c r="X1947">
        <f>IF($T1947="",N($X1946),IF(MATCH($T1947,$T$6:$T$6005,0)=ROW()-5,N($X1946)+1,N($X1946)))</f>
        <v/>
      </c>
      <c r="Z1947">
        <f>IF($V1947="","",IF($AA1947&gt;N($AA1946),$AA1947,""))</f>
        <v/>
      </c>
      <c r="AA1947">
        <f>IF($V1947="",N($AA1946),IF(MATCH($V1947,$V$6:$V$6005,0)=ROW()-5,N($AA1946)+1,N($AA1946)))</f>
        <v/>
      </c>
    </row>
    <row r="1948" ht="21" customHeight="1" s="66">
      <c r="A1948" s="56" t="n"/>
      <c r="B1948" s="57" t="n"/>
      <c r="C1948" s="57" t="n"/>
      <c r="D1948" s="57" t="n"/>
      <c r="E1948" s="56" t="n"/>
      <c r="F1948" s="57" t="n"/>
      <c r="G1948" s="57" t="n"/>
      <c r="H1948" s="56" t="n"/>
      <c r="I1948" s="56" t="n"/>
      <c r="J1948" s="58" t="n"/>
      <c r="K1948" s="58" t="n"/>
      <c r="L1948" s="13">
        <f>IF(OR($A1948="",AND($J1948="",$K1948="")),"",ROUND(N($J1948)-N($K1948),2))</f>
        <v/>
      </c>
      <c r="M1948" s="13">
        <f>IF(OR($A1948="",AND($J1948="",$K1948="")),"",MIN($J1948,$K1948))</f>
        <v/>
      </c>
      <c r="Q1948">
        <f>IF($A1948="","",$D1948&amp;"("&amp;SUBSTITUTE($E1948," ","")&amp;")")</f>
        <v/>
      </c>
      <c r="R1948">
        <f>IF($A1948="","",$B1948&amp;" - "&amp;$C1948)</f>
        <v/>
      </c>
      <c r="S1948">
        <f>IF($A1948="","",$R1948&amp;"|"&amp;$Q1948)</f>
        <v/>
      </c>
      <c r="T1948">
        <f>IF($A1948="","",$S1948&amp;"|"&amp;$F1948)</f>
        <v/>
      </c>
      <c r="U1948">
        <f>IF($A1948="","",$R1948&amp;"("&amp;$E1948&amp;")")</f>
        <v/>
      </c>
      <c r="V1948">
        <f>IF($A1948="","",$F1948&amp;"|"&amp;$U1948&amp;"|"&amp;$D1948)</f>
        <v/>
      </c>
      <c r="W1948">
        <f>IF($T1948="","",IF($X1948&gt;N($X1947),$X1948,""))</f>
        <v/>
      </c>
      <c r="X1948">
        <f>IF($T1948="",N($X1947),IF(MATCH($T1948,$T$6:$T$6005,0)=ROW()-5,N($X1947)+1,N($X1947)))</f>
        <v/>
      </c>
      <c r="Z1948">
        <f>IF($V1948="","",IF($AA1948&gt;N($AA1947),$AA1948,""))</f>
        <v/>
      </c>
      <c r="AA1948">
        <f>IF($V1948="",N($AA1947),IF(MATCH($V1948,$V$6:$V$6005,0)=ROW()-5,N($AA1947)+1,N($AA1947)))</f>
        <v/>
      </c>
    </row>
    <row r="1949" ht="21" customHeight="1" s="66">
      <c r="A1949" s="56" t="n"/>
      <c r="B1949" s="57" t="n"/>
      <c r="C1949" s="57" t="n"/>
      <c r="D1949" s="57" t="n"/>
      <c r="E1949" s="56" t="n"/>
      <c r="F1949" s="57" t="n"/>
      <c r="G1949" s="57" t="n"/>
      <c r="H1949" s="56" t="n"/>
      <c r="I1949" s="56" t="n"/>
      <c r="J1949" s="58" t="n"/>
      <c r="K1949" s="58" t="n"/>
      <c r="L1949" s="13">
        <f>IF(OR($A1949="",AND($J1949="",$K1949="")),"",ROUND(N($J1949)-N($K1949),2))</f>
        <v/>
      </c>
      <c r="M1949" s="13">
        <f>IF(OR($A1949="",AND($J1949="",$K1949="")),"",MIN($J1949,$K1949))</f>
        <v/>
      </c>
      <c r="Q1949">
        <f>IF($A1949="","",$D1949&amp;"("&amp;SUBSTITUTE($E1949," ","")&amp;")")</f>
        <v/>
      </c>
      <c r="R1949">
        <f>IF($A1949="","",$B1949&amp;" - "&amp;$C1949)</f>
        <v/>
      </c>
      <c r="S1949">
        <f>IF($A1949="","",$R1949&amp;"|"&amp;$Q1949)</f>
        <v/>
      </c>
      <c r="T1949">
        <f>IF($A1949="","",$S1949&amp;"|"&amp;$F1949)</f>
        <v/>
      </c>
      <c r="U1949">
        <f>IF($A1949="","",$R1949&amp;"("&amp;$E1949&amp;")")</f>
        <v/>
      </c>
      <c r="V1949">
        <f>IF($A1949="","",$F1949&amp;"|"&amp;$U1949&amp;"|"&amp;$D1949)</f>
        <v/>
      </c>
      <c r="W1949">
        <f>IF($T1949="","",IF($X1949&gt;N($X1948),$X1949,""))</f>
        <v/>
      </c>
      <c r="X1949">
        <f>IF($T1949="",N($X1948),IF(MATCH($T1949,$T$6:$T$6005,0)=ROW()-5,N($X1948)+1,N($X1948)))</f>
        <v/>
      </c>
      <c r="Z1949">
        <f>IF($V1949="","",IF($AA1949&gt;N($AA1948),$AA1949,""))</f>
        <v/>
      </c>
      <c r="AA1949">
        <f>IF($V1949="",N($AA1948),IF(MATCH($V1949,$V$6:$V$6005,0)=ROW()-5,N($AA1948)+1,N($AA1948)))</f>
        <v/>
      </c>
    </row>
    <row r="1950" ht="21" customHeight="1" s="66">
      <c r="A1950" s="56" t="n"/>
      <c r="B1950" s="57" t="n"/>
      <c r="C1950" s="57" t="n"/>
      <c r="D1950" s="57" t="n"/>
      <c r="E1950" s="56" t="n"/>
      <c r="F1950" s="57" t="n"/>
      <c r="G1950" s="57" t="n"/>
      <c r="H1950" s="56" t="n"/>
      <c r="I1950" s="56" t="n"/>
      <c r="J1950" s="58" t="n"/>
      <c r="K1950" s="58" t="n"/>
      <c r="L1950" s="13">
        <f>IF(OR($A1950="",AND($J1950="",$K1950="")),"",ROUND(N($J1950)-N($K1950),2))</f>
        <v/>
      </c>
      <c r="M1950" s="13">
        <f>IF(OR($A1950="",AND($J1950="",$K1950="")),"",MIN($J1950,$K1950))</f>
        <v/>
      </c>
      <c r="Q1950">
        <f>IF($A1950="","",$D1950&amp;"("&amp;SUBSTITUTE($E1950," ","")&amp;")")</f>
        <v/>
      </c>
      <c r="R1950">
        <f>IF($A1950="","",$B1950&amp;" - "&amp;$C1950)</f>
        <v/>
      </c>
      <c r="S1950">
        <f>IF($A1950="","",$R1950&amp;"|"&amp;$Q1950)</f>
        <v/>
      </c>
      <c r="T1950">
        <f>IF($A1950="","",$S1950&amp;"|"&amp;$F1950)</f>
        <v/>
      </c>
      <c r="U1950">
        <f>IF($A1950="","",$R1950&amp;"("&amp;$E1950&amp;")")</f>
        <v/>
      </c>
      <c r="V1950">
        <f>IF($A1950="","",$F1950&amp;"|"&amp;$U1950&amp;"|"&amp;$D1950)</f>
        <v/>
      </c>
      <c r="W1950">
        <f>IF($T1950="","",IF($X1950&gt;N($X1949),$X1950,""))</f>
        <v/>
      </c>
      <c r="X1950">
        <f>IF($T1950="",N($X1949),IF(MATCH($T1950,$T$6:$T$6005,0)=ROW()-5,N($X1949)+1,N($X1949)))</f>
        <v/>
      </c>
      <c r="Z1950">
        <f>IF($V1950="","",IF($AA1950&gt;N($AA1949),$AA1950,""))</f>
        <v/>
      </c>
      <c r="AA1950">
        <f>IF($V1950="",N($AA1949),IF(MATCH($V1950,$V$6:$V$6005,0)=ROW()-5,N($AA1949)+1,N($AA1949)))</f>
        <v/>
      </c>
    </row>
    <row r="1951" ht="21" customHeight="1" s="66">
      <c r="A1951" s="56" t="n"/>
      <c r="B1951" s="57" t="n"/>
      <c r="C1951" s="57" t="n"/>
      <c r="D1951" s="57" t="n"/>
      <c r="E1951" s="56" t="n"/>
      <c r="F1951" s="57" t="n"/>
      <c r="G1951" s="57" t="n"/>
      <c r="H1951" s="56" t="n"/>
      <c r="I1951" s="56" t="n"/>
      <c r="J1951" s="58" t="n"/>
      <c r="K1951" s="58" t="n"/>
      <c r="L1951" s="13">
        <f>IF(OR($A1951="",AND($J1951="",$K1951="")),"",ROUND(N($J1951)-N($K1951),2))</f>
        <v/>
      </c>
      <c r="M1951" s="13">
        <f>IF(OR($A1951="",AND($J1951="",$K1951="")),"",MIN($J1951,$K1951))</f>
        <v/>
      </c>
      <c r="Q1951">
        <f>IF($A1951="","",$D1951&amp;"("&amp;SUBSTITUTE($E1951," ","")&amp;")")</f>
        <v/>
      </c>
      <c r="R1951">
        <f>IF($A1951="","",$B1951&amp;" - "&amp;$C1951)</f>
        <v/>
      </c>
      <c r="S1951">
        <f>IF($A1951="","",$R1951&amp;"|"&amp;$Q1951)</f>
        <v/>
      </c>
      <c r="T1951">
        <f>IF($A1951="","",$S1951&amp;"|"&amp;$F1951)</f>
        <v/>
      </c>
      <c r="U1951">
        <f>IF($A1951="","",$R1951&amp;"("&amp;$E1951&amp;")")</f>
        <v/>
      </c>
      <c r="V1951">
        <f>IF($A1951="","",$F1951&amp;"|"&amp;$U1951&amp;"|"&amp;$D1951)</f>
        <v/>
      </c>
      <c r="W1951">
        <f>IF($T1951="","",IF($X1951&gt;N($X1950),$X1951,""))</f>
        <v/>
      </c>
      <c r="X1951">
        <f>IF($T1951="",N($X1950),IF(MATCH($T1951,$T$6:$T$6005,0)=ROW()-5,N($X1950)+1,N($X1950)))</f>
        <v/>
      </c>
      <c r="Z1951">
        <f>IF($V1951="","",IF($AA1951&gt;N($AA1950),$AA1951,""))</f>
        <v/>
      </c>
      <c r="AA1951">
        <f>IF($V1951="",N($AA1950),IF(MATCH($V1951,$V$6:$V$6005,0)=ROW()-5,N($AA1950)+1,N($AA1950)))</f>
        <v/>
      </c>
    </row>
    <row r="1952" ht="21" customHeight="1" s="66">
      <c r="A1952" s="56" t="n"/>
      <c r="B1952" s="57" t="n"/>
      <c r="C1952" s="57" t="n"/>
      <c r="D1952" s="57" t="n"/>
      <c r="E1952" s="56" t="n"/>
      <c r="F1952" s="57" t="n"/>
      <c r="G1952" s="57" t="n"/>
      <c r="H1952" s="56" t="n"/>
      <c r="I1952" s="56" t="n"/>
      <c r="J1952" s="58" t="n"/>
      <c r="K1952" s="58" t="n"/>
      <c r="L1952" s="13">
        <f>IF(OR($A1952="",AND($J1952="",$K1952="")),"",ROUND(N($J1952)-N($K1952),2))</f>
        <v/>
      </c>
      <c r="M1952" s="13">
        <f>IF(OR($A1952="",AND($J1952="",$K1952="")),"",MIN($J1952,$K1952))</f>
        <v/>
      </c>
      <c r="Q1952">
        <f>IF($A1952="","",$D1952&amp;"("&amp;SUBSTITUTE($E1952," ","")&amp;")")</f>
        <v/>
      </c>
      <c r="R1952">
        <f>IF($A1952="","",$B1952&amp;" - "&amp;$C1952)</f>
        <v/>
      </c>
      <c r="S1952">
        <f>IF($A1952="","",$R1952&amp;"|"&amp;$Q1952)</f>
        <v/>
      </c>
      <c r="T1952">
        <f>IF($A1952="","",$S1952&amp;"|"&amp;$F1952)</f>
        <v/>
      </c>
      <c r="U1952">
        <f>IF($A1952="","",$R1952&amp;"("&amp;$E1952&amp;")")</f>
        <v/>
      </c>
      <c r="V1952">
        <f>IF($A1952="","",$F1952&amp;"|"&amp;$U1952&amp;"|"&amp;$D1952)</f>
        <v/>
      </c>
      <c r="W1952">
        <f>IF($T1952="","",IF($X1952&gt;N($X1951),$X1952,""))</f>
        <v/>
      </c>
      <c r="X1952">
        <f>IF($T1952="",N($X1951),IF(MATCH($T1952,$T$6:$T$6005,0)=ROW()-5,N($X1951)+1,N($X1951)))</f>
        <v/>
      </c>
      <c r="Z1952">
        <f>IF($V1952="","",IF($AA1952&gt;N($AA1951),$AA1952,""))</f>
        <v/>
      </c>
      <c r="AA1952">
        <f>IF($V1952="",N($AA1951),IF(MATCH($V1952,$V$6:$V$6005,0)=ROW()-5,N($AA1951)+1,N($AA1951)))</f>
        <v/>
      </c>
    </row>
    <row r="1953" ht="21" customHeight="1" s="66">
      <c r="A1953" s="56" t="n"/>
      <c r="B1953" s="57" t="n"/>
      <c r="C1953" s="57" t="n"/>
      <c r="D1953" s="57" t="n"/>
      <c r="E1953" s="56" t="n"/>
      <c r="F1953" s="57" t="n"/>
      <c r="G1953" s="57" t="n"/>
      <c r="H1953" s="56" t="n"/>
      <c r="I1953" s="56" t="n"/>
      <c r="J1953" s="58" t="n"/>
      <c r="K1953" s="58" t="n"/>
      <c r="L1953" s="13">
        <f>IF(OR($A1953="",AND($J1953="",$K1953="")),"",ROUND(N($J1953)-N($K1953),2))</f>
        <v/>
      </c>
      <c r="M1953" s="13">
        <f>IF(OR($A1953="",AND($J1953="",$K1953="")),"",MIN($J1953,$K1953))</f>
        <v/>
      </c>
      <c r="Q1953">
        <f>IF($A1953="","",$D1953&amp;"("&amp;SUBSTITUTE($E1953," ","")&amp;")")</f>
        <v/>
      </c>
      <c r="R1953">
        <f>IF($A1953="","",$B1953&amp;" - "&amp;$C1953)</f>
        <v/>
      </c>
      <c r="S1953">
        <f>IF($A1953="","",$R1953&amp;"|"&amp;$Q1953)</f>
        <v/>
      </c>
      <c r="T1953">
        <f>IF($A1953="","",$S1953&amp;"|"&amp;$F1953)</f>
        <v/>
      </c>
      <c r="U1953">
        <f>IF($A1953="","",$R1953&amp;"("&amp;$E1953&amp;")")</f>
        <v/>
      </c>
      <c r="V1953">
        <f>IF($A1953="","",$F1953&amp;"|"&amp;$U1953&amp;"|"&amp;$D1953)</f>
        <v/>
      </c>
      <c r="W1953">
        <f>IF($T1953="","",IF($X1953&gt;N($X1952),$X1953,""))</f>
        <v/>
      </c>
      <c r="X1953">
        <f>IF($T1953="",N($X1952),IF(MATCH($T1953,$T$6:$T$6005,0)=ROW()-5,N($X1952)+1,N($X1952)))</f>
        <v/>
      </c>
      <c r="Z1953">
        <f>IF($V1953="","",IF($AA1953&gt;N($AA1952),$AA1953,""))</f>
        <v/>
      </c>
      <c r="AA1953">
        <f>IF($V1953="",N($AA1952),IF(MATCH($V1953,$V$6:$V$6005,0)=ROW()-5,N($AA1952)+1,N($AA1952)))</f>
        <v/>
      </c>
    </row>
    <row r="1954" ht="21" customHeight="1" s="66">
      <c r="A1954" s="56" t="n"/>
      <c r="B1954" s="57" t="n"/>
      <c r="C1954" s="57" t="n"/>
      <c r="D1954" s="57" t="n"/>
      <c r="E1954" s="56" t="n"/>
      <c r="F1954" s="57" t="n"/>
      <c r="G1954" s="57" t="n"/>
      <c r="H1954" s="56" t="n"/>
      <c r="I1954" s="56" t="n"/>
      <c r="J1954" s="58" t="n"/>
      <c r="K1954" s="58" t="n"/>
      <c r="L1954" s="13">
        <f>IF(OR($A1954="",AND($J1954="",$K1954="")),"",ROUND(N($J1954)-N($K1954),2))</f>
        <v/>
      </c>
      <c r="M1954" s="13">
        <f>IF(OR($A1954="",AND($J1954="",$K1954="")),"",MIN($J1954,$K1954))</f>
        <v/>
      </c>
      <c r="Q1954">
        <f>IF($A1954="","",$D1954&amp;"("&amp;SUBSTITUTE($E1954," ","")&amp;")")</f>
        <v/>
      </c>
      <c r="R1954">
        <f>IF($A1954="","",$B1954&amp;" - "&amp;$C1954)</f>
        <v/>
      </c>
      <c r="S1954">
        <f>IF($A1954="","",$R1954&amp;"|"&amp;$Q1954)</f>
        <v/>
      </c>
      <c r="T1954">
        <f>IF($A1954="","",$S1954&amp;"|"&amp;$F1954)</f>
        <v/>
      </c>
      <c r="U1954">
        <f>IF($A1954="","",$R1954&amp;"("&amp;$E1954&amp;")")</f>
        <v/>
      </c>
      <c r="V1954">
        <f>IF($A1954="","",$F1954&amp;"|"&amp;$U1954&amp;"|"&amp;$D1954)</f>
        <v/>
      </c>
      <c r="W1954">
        <f>IF($T1954="","",IF($X1954&gt;N($X1953),$X1954,""))</f>
        <v/>
      </c>
      <c r="X1954">
        <f>IF($T1954="",N($X1953),IF(MATCH($T1954,$T$6:$T$6005,0)=ROW()-5,N($X1953)+1,N($X1953)))</f>
        <v/>
      </c>
      <c r="Z1954">
        <f>IF($V1954="","",IF($AA1954&gt;N($AA1953),$AA1954,""))</f>
        <v/>
      </c>
      <c r="AA1954">
        <f>IF($V1954="",N($AA1953),IF(MATCH($V1954,$V$6:$V$6005,0)=ROW()-5,N($AA1953)+1,N($AA1953)))</f>
        <v/>
      </c>
    </row>
    <row r="1955" ht="21" customHeight="1" s="66">
      <c r="A1955" s="56" t="n"/>
      <c r="B1955" s="57" t="n"/>
      <c r="C1955" s="57" t="n"/>
      <c r="D1955" s="57" t="n"/>
      <c r="E1955" s="56" t="n"/>
      <c r="F1955" s="57" t="n"/>
      <c r="G1955" s="57" t="n"/>
      <c r="H1955" s="56" t="n"/>
      <c r="I1955" s="56" t="n"/>
      <c r="J1955" s="58" t="n"/>
      <c r="K1955" s="58" t="n"/>
      <c r="L1955" s="13">
        <f>IF(OR($A1955="",AND($J1955="",$K1955="")),"",ROUND(N($J1955)-N($K1955),2))</f>
        <v/>
      </c>
      <c r="M1955" s="13">
        <f>IF(OR($A1955="",AND($J1955="",$K1955="")),"",MIN($J1955,$K1955))</f>
        <v/>
      </c>
      <c r="Q1955">
        <f>IF($A1955="","",$D1955&amp;"("&amp;SUBSTITUTE($E1955," ","")&amp;")")</f>
        <v/>
      </c>
      <c r="R1955">
        <f>IF($A1955="","",$B1955&amp;" - "&amp;$C1955)</f>
        <v/>
      </c>
      <c r="S1955">
        <f>IF($A1955="","",$R1955&amp;"|"&amp;$Q1955)</f>
        <v/>
      </c>
      <c r="T1955">
        <f>IF($A1955="","",$S1955&amp;"|"&amp;$F1955)</f>
        <v/>
      </c>
      <c r="U1955">
        <f>IF($A1955="","",$R1955&amp;"("&amp;$E1955&amp;")")</f>
        <v/>
      </c>
      <c r="V1955">
        <f>IF($A1955="","",$F1955&amp;"|"&amp;$U1955&amp;"|"&amp;$D1955)</f>
        <v/>
      </c>
      <c r="W1955">
        <f>IF($T1955="","",IF($X1955&gt;N($X1954),$X1955,""))</f>
        <v/>
      </c>
      <c r="X1955">
        <f>IF($T1955="",N($X1954),IF(MATCH($T1955,$T$6:$T$6005,0)=ROW()-5,N($X1954)+1,N($X1954)))</f>
        <v/>
      </c>
      <c r="Z1955">
        <f>IF($V1955="","",IF($AA1955&gt;N($AA1954),$AA1955,""))</f>
        <v/>
      </c>
      <c r="AA1955">
        <f>IF($V1955="",N($AA1954),IF(MATCH($V1955,$V$6:$V$6005,0)=ROW()-5,N($AA1954)+1,N($AA1954)))</f>
        <v/>
      </c>
    </row>
    <row r="1956" ht="21" customHeight="1" s="66">
      <c r="A1956" s="56" t="n"/>
      <c r="B1956" s="57" t="n"/>
      <c r="C1956" s="57" t="n"/>
      <c r="D1956" s="57" t="n"/>
      <c r="E1956" s="56" t="n"/>
      <c r="F1956" s="57" t="n"/>
      <c r="G1956" s="57" t="n"/>
      <c r="H1956" s="56" t="n"/>
      <c r="I1956" s="56" t="n"/>
      <c r="J1956" s="58" t="n"/>
      <c r="K1956" s="58" t="n"/>
      <c r="L1956" s="13">
        <f>IF(OR($A1956="",AND($J1956="",$K1956="")),"",ROUND(N($J1956)-N($K1956),2))</f>
        <v/>
      </c>
      <c r="M1956" s="13">
        <f>IF(OR($A1956="",AND($J1956="",$K1956="")),"",MIN($J1956,$K1956))</f>
        <v/>
      </c>
      <c r="Q1956">
        <f>IF($A1956="","",$D1956&amp;"("&amp;SUBSTITUTE($E1956," ","")&amp;")")</f>
        <v/>
      </c>
      <c r="R1956">
        <f>IF($A1956="","",$B1956&amp;" - "&amp;$C1956)</f>
        <v/>
      </c>
      <c r="S1956">
        <f>IF($A1956="","",$R1956&amp;"|"&amp;$Q1956)</f>
        <v/>
      </c>
      <c r="T1956">
        <f>IF($A1956="","",$S1956&amp;"|"&amp;$F1956)</f>
        <v/>
      </c>
      <c r="U1956">
        <f>IF($A1956="","",$R1956&amp;"("&amp;$E1956&amp;")")</f>
        <v/>
      </c>
      <c r="V1956">
        <f>IF($A1956="","",$F1956&amp;"|"&amp;$U1956&amp;"|"&amp;$D1956)</f>
        <v/>
      </c>
      <c r="W1956">
        <f>IF($T1956="","",IF($X1956&gt;N($X1955),$X1956,""))</f>
        <v/>
      </c>
      <c r="X1956">
        <f>IF($T1956="",N($X1955),IF(MATCH($T1956,$T$6:$T$6005,0)=ROW()-5,N($X1955)+1,N($X1955)))</f>
        <v/>
      </c>
      <c r="Z1956">
        <f>IF($V1956="","",IF($AA1956&gt;N($AA1955),$AA1956,""))</f>
        <v/>
      </c>
      <c r="AA1956">
        <f>IF($V1956="",N($AA1955),IF(MATCH($V1956,$V$6:$V$6005,0)=ROW()-5,N($AA1955)+1,N($AA1955)))</f>
        <v/>
      </c>
    </row>
    <row r="1957" ht="21" customHeight="1" s="66">
      <c r="A1957" s="56" t="n"/>
      <c r="B1957" s="57" t="n"/>
      <c r="C1957" s="57" t="n"/>
      <c r="D1957" s="57" t="n"/>
      <c r="E1957" s="56" t="n"/>
      <c r="F1957" s="57" t="n"/>
      <c r="G1957" s="57" t="n"/>
      <c r="H1957" s="56" t="n"/>
      <c r="I1957" s="56" t="n"/>
      <c r="J1957" s="58" t="n"/>
      <c r="K1957" s="58" t="n"/>
      <c r="L1957" s="13">
        <f>IF(OR($A1957="",AND($J1957="",$K1957="")),"",ROUND(N($J1957)-N($K1957),2))</f>
        <v/>
      </c>
      <c r="M1957" s="13">
        <f>IF(OR($A1957="",AND($J1957="",$K1957="")),"",MIN($J1957,$K1957))</f>
        <v/>
      </c>
      <c r="Q1957">
        <f>IF($A1957="","",$D1957&amp;"("&amp;SUBSTITUTE($E1957," ","")&amp;")")</f>
        <v/>
      </c>
      <c r="R1957">
        <f>IF($A1957="","",$B1957&amp;" - "&amp;$C1957)</f>
        <v/>
      </c>
      <c r="S1957">
        <f>IF($A1957="","",$R1957&amp;"|"&amp;$Q1957)</f>
        <v/>
      </c>
      <c r="T1957">
        <f>IF($A1957="","",$S1957&amp;"|"&amp;$F1957)</f>
        <v/>
      </c>
      <c r="U1957">
        <f>IF($A1957="","",$R1957&amp;"("&amp;$E1957&amp;")")</f>
        <v/>
      </c>
      <c r="V1957">
        <f>IF($A1957="","",$F1957&amp;"|"&amp;$U1957&amp;"|"&amp;$D1957)</f>
        <v/>
      </c>
      <c r="W1957">
        <f>IF($T1957="","",IF($X1957&gt;N($X1956),$X1957,""))</f>
        <v/>
      </c>
      <c r="X1957">
        <f>IF($T1957="",N($X1956),IF(MATCH($T1957,$T$6:$T$6005,0)=ROW()-5,N($X1956)+1,N($X1956)))</f>
        <v/>
      </c>
      <c r="Z1957">
        <f>IF($V1957="","",IF($AA1957&gt;N($AA1956),$AA1957,""))</f>
        <v/>
      </c>
      <c r="AA1957">
        <f>IF($V1957="",N($AA1956),IF(MATCH($V1957,$V$6:$V$6005,0)=ROW()-5,N($AA1956)+1,N($AA1956)))</f>
        <v/>
      </c>
    </row>
    <row r="1958" ht="21" customHeight="1" s="66">
      <c r="A1958" s="56" t="n"/>
      <c r="B1958" s="57" t="n"/>
      <c r="C1958" s="57" t="n"/>
      <c r="D1958" s="57" t="n"/>
      <c r="E1958" s="56" t="n"/>
      <c r="F1958" s="57" t="n"/>
      <c r="G1958" s="57" t="n"/>
      <c r="H1958" s="56" t="n"/>
      <c r="I1958" s="56" t="n"/>
      <c r="J1958" s="58" t="n"/>
      <c r="K1958" s="58" t="n"/>
      <c r="L1958" s="13">
        <f>IF(OR($A1958="",AND($J1958="",$K1958="")),"",ROUND(N($J1958)-N($K1958),2))</f>
        <v/>
      </c>
      <c r="M1958" s="13">
        <f>IF(OR($A1958="",AND($J1958="",$K1958="")),"",MIN($J1958,$K1958))</f>
        <v/>
      </c>
      <c r="Q1958">
        <f>IF($A1958="","",$D1958&amp;"("&amp;SUBSTITUTE($E1958," ","")&amp;")")</f>
        <v/>
      </c>
      <c r="R1958">
        <f>IF($A1958="","",$B1958&amp;" - "&amp;$C1958)</f>
        <v/>
      </c>
      <c r="S1958">
        <f>IF($A1958="","",$R1958&amp;"|"&amp;$Q1958)</f>
        <v/>
      </c>
      <c r="T1958">
        <f>IF($A1958="","",$S1958&amp;"|"&amp;$F1958)</f>
        <v/>
      </c>
      <c r="U1958">
        <f>IF($A1958="","",$R1958&amp;"("&amp;$E1958&amp;")")</f>
        <v/>
      </c>
      <c r="V1958">
        <f>IF($A1958="","",$F1958&amp;"|"&amp;$U1958&amp;"|"&amp;$D1958)</f>
        <v/>
      </c>
      <c r="W1958">
        <f>IF($T1958="","",IF($X1958&gt;N($X1957),$X1958,""))</f>
        <v/>
      </c>
      <c r="X1958">
        <f>IF($T1958="",N($X1957),IF(MATCH($T1958,$T$6:$T$6005,0)=ROW()-5,N($X1957)+1,N($X1957)))</f>
        <v/>
      </c>
      <c r="Z1958">
        <f>IF($V1958="","",IF($AA1958&gt;N($AA1957),$AA1958,""))</f>
        <v/>
      </c>
      <c r="AA1958">
        <f>IF($V1958="",N($AA1957),IF(MATCH($V1958,$V$6:$V$6005,0)=ROW()-5,N($AA1957)+1,N($AA1957)))</f>
        <v/>
      </c>
    </row>
    <row r="1959" ht="21" customHeight="1" s="66">
      <c r="A1959" s="56" t="n"/>
      <c r="B1959" s="57" t="n"/>
      <c r="C1959" s="57" t="n"/>
      <c r="D1959" s="57" t="n"/>
      <c r="E1959" s="56" t="n"/>
      <c r="F1959" s="57" t="n"/>
      <c r="G1959" s="57" t="n"/>
      <c r="H1959" s="56" t="n"/>
      <c r="I1959" s="56" t="n"/>
      <c r="J1959" s="58" t="n"/>
      <c r="K1959" s="58" t="n"/>
      <c r="L1959" s="13">
        <f>IF(OR($A1959="",AND($J1959="",$K1959="")),"",ROUND(N($J1959)-N($K1959),2))</f>
        <v/>
      </c>
      <c r="M1959" s="13">
        <f>IF(OR($A1959="",AND($J1959="",$K1959="")),"",MIN($J1959,$K1959))</f>
        <v/>
      </c>
      <c r="Q1959">
        <f>IF($A1959="","",$D1959&amp;"("&amp;SUBSTITUTE($E1959," ","")&amp;")")</f>
        <v/>
      </c>
      <c r="R1959">
        <f>IF($A1959="","",$B1959&amp;" - "&amp;$C1959)</f>
        <v/>
      </c>
      <c r="S1959">
        <f>IF($A1959="","",$R1959&amp;"|"&amp;$Q1959)</f>
        <v/>
      </c>
      <c r="T1959">
        <f>IF($A1959="","",$S1959&amp;"|"&amp;$F1959)</f>
        <v/>
      </c>
      <c r="U1959">
        <f>IF($A1959="","",$R1959&amp;"("&amp;$E1959&amp;")")</f>
        <v/>
      </c>
      <c r="V1959">
        <f>IF($A1959="","",$F1959&amp;"|"&amp;$U1959&amp;"|"&amp;$D1959)</f>
        <v/>
      </c>
      <c r="W1959">
        <f>IF($T1959="","",IF($X1959&gt;N($X1958),$X1959,""))</f>
        <v/>
      </c>
      <c r="X1959">
        <f>IF($T1959="",N($X1958),IF(MATCH($T1959,$T$6:$T$6005,0)=ROW()-5,N($X1958)+1,N($X1958)))</f>
        <v/>
      </c>
      <c r="Z1959">
        <f>IF($V1959="","",IF($AA1959&gt;N($AA1958),$AA1959,""))</f>
        <v/>
      </c>
      <c r="AA1959">
        <f>IF($V1959="",N($AA1958),IF(MATCH($V1959,$V$6:$V$6005,0)=ROW()-5,N($AA1958)+1,N($AA1958)))</f>
        <v/>
      </c>
    </row>
    <row r="1960" ht="21" customHeight="1" s="66">
      <c r="A1960" s="56" t="n"/>
      <c r="B1960" s="57" t="n"/>
      <c r="C1960" s="57" t="n"/>
      <c r="D1960" s="57" t="n"/>
      <c r="E1960" s="56" t="n"/>
      <c r="F1960" s="57" t="n"/>
      <c r="G1960" s="57" t="n"/>
      <c r="H1960" s="56" t="n"/>
      <c r="I1960" s="56" t="n"/>
      <c r="J1960" s="58" t="n"/>
      <c r="K1960" s="58" t="n"/>
      <c r="L1960" s="13">
        <f>IF(OR($A1960="",AND($J1960="",$K1960="")),"",ROUND(N($J1960)-N($K1960),2))</f>
        <v/>
      </c>
      <c r="M1960" s="13">
        <f>IF(OR($A1960="",AND($J1960="",$K1960="")),"",MIN($J1960,$K1960))</f>
        <v/>
      </c>
      <c r="Q1960">
        <f>IF($A1960="","",$D1960&amp;"("&amp;SUBSTITUTE($E1960," ","")&amp;")")</f>
        <v/>
      </c>
      <c r="R1960">
        <f>IF($A1960="","",$B1960&amp;" - "&amp;$C1960)</f>
        <v/>
      </c>
      <c r="S1960">
        <f>IF($A1960="","",$R1960&amp;"|"&amp;$Q1960)</f>
        <v/>
      </c>
      <c r="T1960">
        <f>IF($A1960="","",$S1960&amp;"|"&amp;$F1960)</f>
        <v/>
      </c>
      <c r="U1960">
        <f>IF($A1960="","",$R1960&amp;"("&amp;$E1960&amp;")")</f>
        <v/>
      </c>
      <c r="V1960">
        <f>IF($A1960="","",$F1960&amp;"|"&amp;$U1960&amp;"|"&amp;$D1960)</f>
        <v/>
      </c>
      <c r="W1960">
        <f>IF($T1960="","",IF($X1960&gt;N($X1959),$X1960,""))</f>
        <v/>
      </c>
      <c r="X1960">
        <f>IF($T1960="",N($X1959),IF(MATCH($T1960,$T$6:$T$6005,0)=ROW()-5,N($X1959)+1,N($X1959)))</f>
        <v/>
      </c>
      <c r="Z1960">
        <f>IF($V1960="","",IF($AA1960&gt;N($AA1959),$AA1960,""))</f>
        <v/>
      </c>
      <c r="AA1960">
        <f>IF($V1960="",N($AA1959),IF(MATCH($V1960,$V$6:$V$6005,0)=ROW()-5,N($AA1959)+1,N($AA1959)))</f>
        <v/>
      </c>
    </row>
    <row r="1961" ht="21" customHeight="1" s="66">
      <c r="A1961" s="56" t="n"/>
      <c r="B1961" s="57" t="n"/>
      <c r="C1961" s="57" t="n"/>
      <c r="D1961" s="57" t="n"/>
      <c r="E1961" s="56" t="n"/>
      <c r="F1961" s="57" t="n"/>
      <c r="G1961" s="57" t="n"/>
      <c r="H1961" s="56" t="n"/>
      <c r="I1961" s="56" t="n"/>
      <c r="J1961" s="58" t="n"/>
      <c r="K1961" s="58" t="n"/>
      <c r="L1961" s="13">
        <f>IF(OR($A1961="",AND($J1961="",$K1961="")),"",ROUND(N($J1961)-N($K1961),2))</f>
        <v/>
      </c>
      <c r="M1961" s="13">
        <f>IF(OR($A1961="",AND($J1961="",$K1961="")),"",MIN($J1961,$K1961))</f>
        <v/>
      </c>
      <c r="Q1961">
        <f>IF($A1961="","",$D1961&amp;"("&amp;SUBSTITUTE($E1961," ","")&amp;")")</f>
        <v/>
      </c>
      <c r="R1961">
        <f>IF($A1961="","",$B1961&amp;" - "&amp;$C1961)</f>
        <v/>
      </c>
      <c r="S1961">
        <f>IF($A1961="","",$R1961&amp;"|"&amp;$Q1961)</f>
        <v/>
      </c>
      <c r="T1961">
        <f>IF($A1961="","",$S1961&amp;"|"&amp;$F1961)</f>
        <v/>
      </c>
      <c r="U1961">
        <f>IF($A1961="","",$R1961&amp;"("&amp;$E1961&amp;")")</f>
        <v/>
      </c>
      <c r="V1961">
        <f>IF($A1961="","",$F1961&amp;"|"&amp;$U1961&amp;"|"&amp;$D1961)</f>
        <v/>
      </c>
      <c r="W1961">
        <f>IF($T1961="","",IF($X1961&gt;N($X1960),$X1961,""))</f>
        <v/>
      </c>
      <c r="X1961">
        <f>IF($T1961="",N($X1960),IF(MATCH($T1961,$T$6:$T$6005,0)=ROW()-5,N($X1960)+1,N($X1960)))</f>
        <v/>
      </c>
      <c r="Z1961">
        <f>IF($V1961="","",IF($AA1961&gt;N($AA1960),$AA1961,""))</f>
        <v/>
      </c>
      <c r="AA1961">
        <f>IF($V1961="",N($AA1960),IF(MATCH($V1961,$V$6:$V$6005,0)=ROW()-5,N($AA1960)+1,N($AA1960)))</f>
        <v/>
      </c>
    </row>
    <row r="1962" ht="21" customHeight="1" s="66">
      <c r="A1962" s="56" t="n"/>
      <c r="B1962" s="57" t="n"/>
      <c r="C1962" s="57" t="n"/>
      <c r="D1962" s="57" t="n"/>
      <c r="E1962" s="56" t="n"/>
      <c r="F1962" s="57" t="n"/>
      <c r="G1962" s="57" t="n"/>
      <c r="H1962" s="56" t="n"/>
      <c r="I1962" s="56" t="n"/>
      <c r="J1962" s="58" t="n"/>
      <c r="K1962" s="58" t="n"/>
      <c r="L1962" s="13">
        <f>IF(OR($A1962="",AND($J1962="",$K1962="")),"",ROUND(N($J1962)-N($K1962),2))</f>
        <v/>
      </c>
      <c r="M1962" s="13">
        <f>IF(OR($A1962="",AND($J1962="",$K1962="")),"",MIN($J1962,$K1962))</f>
        <v/>
      </c>
      <c r="Q1962">
        <f>IF($A1962="","",$D1962&amp;"("&amp;SUBSTITUTE($E1962," ","")&amp;")")</f>
        <v/>
      </c>
      <c r="R1962">
        <f>IF($A1962="","",$B1962&amp;" - "&amp;$C1962)</f>
        <v/>
      </c>
      <c r="S1962">
        <f>IF($A1962="","",$R1962&amp;"|"&amp;$Q1962)</f>
        <v/>
      </c>
      <c r="T1962">
        <f>IF($A1962="","",$S1962&amp;"|"&amp;$F1962)</f>
        <v/>
      </c>
      <c r="U1962">
        <f>IF($A1962="","",$R1962&amp;"("&amp;$E1962&amp;")")</f>
        <v/>
      </c>
      <c r="V1962">
        <f>IF($A1962="","",$F1962&amp;"|"&amp;$U1962&amp;"|"&amp;$D1962)</f>
        <v/>
      </c>
      <c r="W1962">
        <f>IF($T1962="","",IF($X1962&gt;N($X1961),$X1962,""))</f>
        <v/>
      </c>
      <c r="X1962">
        <f>IF($T1962="",N($X1961),IF(MATCH($T1962,$T$6:$T$6005,0)=ROW()-5,N($X1961)+1,N($X1961)))</f>
        <v/>
      </c>
      <c r="Z1962">
        <f>IF($V1962="","",IF($AA1962&gt;N($AA1961),$AA1962,""))</f>
        <v/>
      </c>
      <c r="AA1962">
        <f>IF($V1962="",N($AA1961),IF(MATCH($V1962,$V$6:$V$6005,0)=ROW()-5,N($AA1961)+1,N($AA1961)))</f>
        <v/>
      </c>
    </row>
    <row r="1963" ht="21" customHeight="1" s="66">
      <c r="A1963" s="56" t="n"/>
      <c r="B1963" s="57" t="n"/>
      <c r="C1963" s="57" t="n"/>
      <c r="D1963" s="57" t="n"/>
      <c r="E1963" s="56" t="n"/>
      <c r="F1963" s="57" t="n"/>
      <c r="G1963" s="57" t="n"/>
      <c r="H1963" s="56" t="n"/>
      <c r="I1963" s="56" t="n"/>
      <c r="J1963" s="58" t="n"/>
      <c r="K1963" s="58" t="n"/>
      <c r="L1963" s="13">
        <f>IF(OR($A1963="",AND($J1963="",$K1963="")),"",ROUND(N($J1963)-N($K1963),2))</f>
        <v/>
      </c>
      <c r="M1963" s="13">
        <f>IF(OR($A1963="",AND($J1963="",$K1963="")),"",MIN($J1963,$K1963))</f>
        <v/>
      </c>
      <c r="Q1963">
        <f>IF($A1963="","",$D1963&amp;"("&amp;SUBSTITUTE($E1963," ","")&amp;")")</f>
        <v/>
      </c>
      <c r="R1963">
        <f>IF($A1963="","",$B1963&amp;" - "&amp;$C1963)</f>
        <v/>
      </c>
      <c r="S1963">
        <f>IF($A1963="","",$R1963&amp;"|"&amp;$Q1963)</f>
        <v/>
      </c>
      <c r="T1963">
        <f>IF($A1963="","",$S1963&amp;"|"&amp;$F1963)</f>
        <v/>
      </c>
      <c r="U1963">
        <f>IF($A1963="","",$R1963&amp;"("&amp;$E1963&amp;")")</f>
        <v/>
      </c>
      <c r="V1963">
        <f>IF($A1963="","",$F1963&amp;"|"&amp;$U1963&amp;"|"&amp;$D1963)</f>
        <v/>
      </c>
      <c r="W1963">
        <f>IF($T1963="","",IF($X1963&gt;N($X1962),$X1963,""))</f>
        <v/>
      </c>
      <c r="X1963">
        <f>IF($T1963="",N($X1962),IF(MATCH($T1963,$T$6:$T$6005,0)=ROW()-5,N($X1962)+1,N($X1962)))</f>
        <v/>
      </c>
      <c r="Z1963">
        <f>IF($V1963="","",IF($AA1963&gt;N($AA1962),$AA1963,""))</f>
        <v/>
      </c>
      <c r="AA1963">
        <f>IF($V1963="",N($AA1962),IF(MATCH($V1963,$V$6:$V$6005,0)=ROW()-5,N($AA1962)+1,N($AA1962)))</f>
        <v/>
      </c>
    </row>
    <row r="1964" ht="21" customHeight="1" s="66">
      <c r="A1964" s="56" t="n"/>
      <c r="B1964" s="57" t="n"/>
      <c r="C1964" s="57" t="n"/>
      <c r="D1964" s="57" t="n"/>
      <c r="E1964" s="56" t="n"/>
      <c r="F1964" s="57" t="n"/>
      <c r="G1964" s="57" t="n"/>
      <c r="H1964" s="56" t="n"/>
      <c r="I1964" s="56" t="n"/>
      <c r="J1964" s="58" t="n"/>
      <c r="K1964" s="58" t="n"/>
      <c r="L1964" s="13">
        <f>IF(OR($A1964="",AND($J1964="",$K1964="")),"",ROUND(N($J1964)-N($K1964),2))</f>
        <v/>
      </c>
      <c r="M1964" s="13">
        <f>IF(OR($A1964="",AND($J1964="",$K1964="")),"",MIN($J1964,$K1964))</f>
        <v/>
      </c>
      <c r="Q1964">
        <f>IF($A1964="","",$D1964&amp;"("&amp;SUBSTITUTE($E1964," ","")&amp;")")</f>
        <v/>
      </c>
      <c r="R1964">
        <f>IF($A1964="","",$B1964&amp;" - "&amp;$C1964)</f>
        <v/>
      </c>
      <c r="S1964">
        <f>IF($A1964="","",$R1964&amp;"|"&amp;$Q1964)</f>
        <v/>
      </c>
      <c r="T1964">
        <f>IF($A1964="","",$S1964&amp;"|"&amp;$F1964)</f>
        <v/>
      </c>
      <c r="U1964">
        <f>IF($A1964="","",$R1964&amp;"("&amp;$E1964&amp;")")</f>
        <v/>
      </c>
      <c r="V1964">
        <f>IF($A1964="","",$F1964&amp;"|"&amp;$U1964&amp;"|"&amp;$D1964)</f>
        <v/>
      </c>
      <c r="W1964">
        <f>IF($T1964="","",IF($X1964&gt;N($X1963),$X1964,""))</f>
        <v/>
      </c>
      <c r="X1964">
        <f>IF($T1964="",N($X1963),IF(MATCH($T1964,$T$6:$T$6005,0)=ROW()-5,N($X1963)+1,N($X1963)))</f>
        <v/>
      </c>
      <c r="Z1964">
        <f>IF($V1964="","",IF($AA1964&gt;N($AA1963),$AA1964,""))</f>
        <v/>
      </c>
      <c r="AA1964">
        <f>IF($V1964="",N($AA1963),IF(MATCH($V1964,$V$6:$V$6005,0)=ROW()-5,N($AA1963)+1,N($AA1963)))</f>
        <v/>
      </c>
    </row>
    <row r="1965" ht="21" customHeight="1" s="66">
      <c r="A1965" s="56" t="n"/>
      <c r="B1965" s="57" t="n"/>
      <c r="C1965" s="57" t="n"/>
      <c r="D1965" s="57" t="n"/>
      <c r="E1965" s="56" t="n"/>
      <c r="F1965" s="57" t="n"/>
      <c r="G1965" s="57" t="n"/>
      <c r="H1965" s="56" t="n"/>
      <c r="I1965" s="56" t="n"/>
      <c r="J1965" s="58" t="n"/>
      <c r="K1965" s="58" t="n"/>
      <c r="L1965" s="13">
        <f>IF(OR($A1965="",AND($J1965="",$K1965="")),"",ROUND(N($J1965)-N($K1965),2))</f>
        <v/>
      </c>
      <c r="M1965" s="13">
        <f>IF(OR($A1965="",AND($J1965="",$K1965="")),"",MIN($J1965,$K1965))</f>
        <v/>
      </c>
      <c r="Q1965">
        <f>IF($A1965="","",$D1965&amp;"("&amp;SUBSTITUTE($E1965," ","")&amp;")")</f>
        <v/>
      </c>
      <c r="R1965">
        <f>IF($A1965="","",$B1965&amp;" - "&amp;$C1965)</f>
        <v/>
      </c>
      <c r="S1965">
        <f>IF($A1965="","",$R1965&amp;"|"&amp;$Q1965)</f>
        <v/>
      </c>
      <c r="T1965">
        <f>IF($A1965="","",$S1965&amp;"|"&amp;$F1965)</f>
        <v/>
      </c>
      <c r="U1965">
        <f>IF($A1965="","",$R1965&amp;"("&amp;$E1965&amp;")")</f>
        <v/>
      </c>
      <c r="V1965">
        <f>IF($A1965="","",$F1965&amp;"|"&amp;$U1965&amp;"|"&amp;$D1965)</f>
        <v/>
      </c>
      <c r="W1965">
        <f>IF($T1965="","",IF($X1965&gt;N($X1964),$X1965,""))</f>
        <v/>
      </c>
      <c r="X1965">
        <f>IF($T1965="",N($X1964),IF(MATCH($T1965,$T$6:$T$6005,0)=ROW()-5,N($X1964)+1,N($X1964)))</f>
        <v/>
      </c>
      <c r="Z1965">
        <f>IF($V1965="","",IF($AA1965&gt;N($AA1964),$AA1965,""))</f>
        <v/>
      </c>
      <c r="AA1965">
        <f>IF($V1965="",N($AA1964),IF(MATCH($V1965,$V$6:$V$6005,0)=ROW()-5,N($AA1964)+1,N($AA1964)))</f>
        <v/>
      </c>
    </row>
    <row r="1966" ht="21" customHeight="1" s="66">
      <c r="A1966" s="56" t="n"/>
      <c r="B1966" s="57" t="n"/>
      <c r="C1966" s="57" t="n"/>
      <c r="D1966" s="57" t="n"/>
      <c r="E1966" s="56" t="n"/>
      <c r="F1966" s="57" t="n"/>
      <c r="G1966" s="57" t="n"/>
      <c r="H1966" s="56" t="n"/>
      <c r="I1966" s="56" t="n"/>
      <c r="J1966" s="58" t="n"/>
      <c r="K1966" s="58" t="n"/>
      <c r="L1966" s="13">
        <f>IF(OR($A1966="",AND($J1966="",$K1966="")),"",ROUND(N($J1966)-N($K1966),2))</f>
        <v/>
      </c>
      <c r="M1966" s="13">
        <f>IF(OR($A1966="",AND($J1966="",$K1966="")),"",MIN($J1966,$K1966))</f>
        <v/>
      </c>
      <c r="Q1966">
        <f>IF($A1966="","",$D1966&amp;"("&amp;SUBSTITUTE($E1966," ","")&amp;")")</f>
        <v/>
      </c>
      <c r="R1966">
        <f>IF($A1966="","",$B1966&amp;" - "&amp;$C1966)</f>
        <v/>
      </c>
      <c r="S1966">
        <f>IF($A1966="","",$R1966&amp;"|"&amp;$Q1966)</f>
        <v/>
      </c>
      <c r="T1966">
        <f>IF($A1966="","",$S1966&amp;"|"&amp;$F1966)</f>
        <v/>
      </c>
      <c r="U1966">
        <f>IF($A1966="","",$R1966&amp;"("&amp;$E1966&amp;")")</f>
        <v/>
      </c>
      <c r="V1966">
        <f>IF($A1966="","",$F1966&amp;"|"&amp;$U1966&amp;"|"&amp;$D1966)</f>
        <v/>
      </c>
      <c r="W1966">
        <f>IF($T1966="","",IF($X1966&gt;N($X1965),$X1966,""))</f>
        <v/>
      </c>
      <c r="X1966">
        <f>IF($T1966="",N($X1965),IF(MATCH($T1966,$T$6:$T$6005,0)=ROW()-5,N($X1965)+1,N($X1965)))</f>
        <v/>
      </c>
      <c r="Z1966">
        <f>IF($V1966="","",IF($AA1966&gt;N($AA1965),$AA1966,""))</f>
        <v/>
      </c>
      <c r="AA1966">
        <f>IF($V1966="",N($AA1965),IF(MATCH($V1966,$V$6:$V$6005,0)=ROW()-5,N($AA1965)+1,N($AA1965)))</f>
        <v/>
      </c>
    </row>
    <row r="1967" ht="21" customHeight="1" s="66">
      <c r="A1967" s="56" t="n"/>
      <c r="B1967" s="57" t="n"/>
      <c r="C1967" s="57" t="n"/>
      <c r="D1967" s="57" t="n"/>
      <c r="E1967" s="56" t="n"/>
      <c r="F1967" s="57" t="n"/>
      <c r="G1967" s="57" t="n"/>
      <c r="H1967" s="56" t="n"/>
      <c r="I1967" s="56" t="n"/>
      <c r="J1967" s="58" t="n"/>
      <c r="K1967" s="58" t="n"/>
      <c r="L1967" s="13">
        <f>IF(OR($A1967="",AND($J1967="",$K1967="")),"",ROUND(N($J1967)-N($K1967),2))</f>
        <v/>
      </c>
      <c r="M1967" s="13">
        <f>IF(OR($A1967="",AND($J1967="",$K1967="")),"",MIN($J1967,$K1967))</f>
        <v/>
      </c>
      <c r="Q1967">
        <f>IF($A1967="","",$D1967&amp;"("&amp;SUBSTITUTE($E1967," ","")&amp;")")</f>
        <v/>
      </c>
      <c r="R1967">
        <f>IF($A1967="","",$B1967&amp;" - "&amp;$C1967)</f>
        <v/>
      </c>
      <c r="S1967">
        <f>IF($A1967="","",$R1967&amp;"|"&amp;$Q1967)</f>
        <v/>
      </c>
      <c r="T1967">
        <f>IF($A1967="","",$S1967&amp;"|"&amp;$F1967)</f>
        <v/>
      </c>
      <c r="U1967">
        <f>IF($A1967="","",$R1967&amp;"("&amp;$E1967&amp;")")</f>
        <v/>
      </c>
      <c r="V1967">
        <f>IF($A1967="","",$F1967&amp;"|"&amp;$U1967&amp;"|"&amp;$D1967)</f>
        <v/>
      </c>
      <c r="W1967">
        <f>IF($T1967="","",IF($X1967&gt;N($X1966),$X1967,""))</f>
        <v/>
      </c>
      <c r="X1967">
        <f>IF($T1967="",N($X1966),IF(MATCH($T1967,$T$6:$T$6005,0)=ROW()-5,N($X1966)+1,N($X1966)))</f>
        <v/>
      </c>
      <c r="Z1967">
        <f>IF($V1967="","",IF($AA1967&gt;N($AA1966),$AA1967,""))</f>
        <v/>
      </c>
      <c r="AA1967">
        <f>IF($V1967="",N($AA1966),IF(MATCH($V1967,$V$6:$V$6005,0)=ROW()-5,N($AA1966)+1,N($AA1966)))</f>
        <v/>
      </c>
    </row>
    <row r="1968" ht="21" customHeight="1" s="66">
      <c r="A1968" s="56" t="n"/>
      <c r="B1968" s="57" t="n"/>
      <c r="C1968" s="57" t="n"/>
      <c r="D1968" s="57" t="n"/>
      <c r="E1968" s="56" t="n"/>
      <c r="F1968" s="57" t="n"/>
      <c r="G1968" s="57" t="n"/>
      <c r="H1968" s="56" t="n"/>
      <c r="I1968" s="56" t="n"/>
      <c r="J1968" s="58" t="n"/>
      <c r="K1968" s="58" t="n"/>
      <c r="L1968" s="13">
        <f>IF(OR($A1968="",AND($J1968="",$K1968="")),"",ROUND(N($J1968)-N($K1968),2))</f>
        <v/>
      </c>
      <c r="M1968" s="13">
        <f>IF(OR($A1968="",AND($J1968="",$K1968="")),"",MIN($J1968,$K1968))</f>
        <v/>
      </c>
      <c r="Q1968">
        <f>IF($A1968="","",$D1968&amp;"("&amp;SUBSTITUTE($E1968," ","")&amp;")")</f>
        <v/>
      </c>
      <c r="R1968">
        <f>IF($A1968="","",$B1968&amp;" - "&amp;$C1968)</f>
        <v/>
      </c>
      <c r="S1968">
        <f>IF($A1968="","",$R1968&amp;"|"&amp;$Q1968)</f>
        <v/>
      </c>
      <c r="T1968">
        <f>IF($A1968="","",$S1968&amp;"|"&amp;$F1968)</f>
        <v/>
      </c>
      <c r="U1968">
        <f>IF($A1968="","",$R1968&amp;"("&amp;$E1968&amp;")")</f>
        <v/>
      </c>
      <c r="V1968">
        <f>IF($A1968="","",$F1968&amp;"|"&amp;$U1968&amp;"|"&amp;$D1968)</f>
        <v/>
      </c>
      <c r="W1968">
        <f>IF($T1968="","",IF($X1968&gt;N($X1967),$X1968,""))</f>
        <v/>
      </c>
      <c r="X1968">
        <f>IF($T1968="",N($X1967),IF(MATCH($T1968,$T$6:$T$6005,0)=ROW()-5,N($X1967)+1,N($X1967)))</f>
        <v/>
      </c>
      <c r="Z1968">
        <f>IF($V1968="","",IF($AA1968&gt;N($AA1967),$AA1968,""))</f>
        <v/>
      </c>
      <c r="AA1968">
        <f>IF($V1968="",N($AA1967),IF(MATCH($V1968,$V$6:$V$6005,0)=ROW()-5,N($AA1967)+1,N($AA1967)))</f>
        <v/>
      </c>
    </row>
    <row r="1969" ht="21" customHeight="1" s="66">
      <c r="A1969" s="56" t="n"/>
      <c r="B1969" s="57" t="n"/>
      <c r="C1969" s="57" t="n"/>
      <c r="D1969" s="57" t="n"/>
      <c r="E1969" s="56" t="n"/>
      <c r="F1969" s="57" t="n"/>
      <c r="G1969" s="57" t="n"/>
      <c r="H1969" s="56" t="n"/>
      <c r="I1969" s="56" t="n"/>
      <c r="J1969" s="58" t="n"/>
      <c r="K1969" s="58" t="n"/>
      <c r="L1969" s="13">
        <f>IF(OR($A1969="",AND($J1969="",$K1969="")),"",ROUND(N($J1969)-N($K1969),2))</f>
        <v/>
      </c>
      <c r="M1969" s="13">
        <f>IF(OR($A1969="",AND($J1969="",$K1969="")),"",MIN($J1969,$K1969))</f>
        <v/>
      </c>
      <c r="Q1969">
        <f>IF($A1969="","",$D1969&amp;"("&amp;SUBSTITUTE($E1969," ","")&amp;")")</f>
        <v/>
      </c>
      <c r="R1969">
        <f>IF($A1969="","",$B1969&amp;" - "&amp;$C1969)</f>
        <v/>
      </c>
      <c r="S1969">
        <f>IF($A1969="","",$R1969&amp;"|"&amp;$Q1969)</f>
        <v/>
      </c>
      <c r="T1969">
        <f>IF($A1969="","",$S1969&amp;"|"&amp;$F1969)</f>
        <v/>
      </c>
      <c r="U1969">
        <f>IF($A1969="","",$R1969&amp;"("&amp;$E1969&amp;")")</f>
        <v/>
      </c>
      <c r="V1969">
        <f>IF($A1969="","",$F1969&amp;"|"&amp;$U1969&amp;"|"&amp;$D1969)</f>
        <v/>
      </c>
      <c r="W1969">
        <f>IF($T1969="","",IF($X1969&gt;N($X1968),$X1969,""))</f>
        <v/>
      </c>
      <c r="X1969">
        <f>IF($T1969="",N($X1968),IF(MATCH($T1969,$T$6:$T$6005,0)=ROW()-5,N($X1968)+1,N($X1968)))</f>
        <v/>
      </c>
      <c r="Z1969">
        <f>IF($V1969="","",IF($AA1969&gt;N($AA1968),$AA1969,""))</f>
        <v/>
      </c>
      <c r="AA1969">
        <f>IF($V1969="",N($AA1968),IF(MATCH($V1969,$V$6:$V$6005,0)=ROW()-5,N($AA1968)+1,N($AA1968)))</f>
        <v/>
      </c>
    </row>
    <row r="1970" ht="21" customHeight="1" s="66">
      <c r="A1970" s="56" t="n"/>
      <c r="B1970" s="57" t="n"/>
      <c r="C1970" s="57" t="n"/>
      <c r="D1970" s="57" t="n"/>
      <c r="E1970" s="56" t="n"/>
      <c r="F1970" s="57" t="n"/>
      <c r="G1970" s="57" t="n"/>
      <c r="H1970" s="56" t="n"/>
      <c r="I1970" s="56" t="n"/>
      <c r="J1970" s="58" t="n"/>
      <c r="K1970" s="58" t="n"/>
      <c r="L1970" s="13">
        <f>IF(OR($A1970="",AND($J1970="",$K1970="")),"",ROUND(N($J1970)-N($K1970),2))</f>
        <v/>
      </c>
      <c r="M1970" s="13">
        <f>IF(OR($A1970="",AND($J1970="",$K1970="")),"",MIN($J1970,$K1970))</f>
        <v/>
      </c>
      <c r="Q1970">
        <f>IF($A1970="","",$D1970&amp;"("&amp;SUBSTITUTE($E1970," ","")&amp;")")</f>
        <v/>
      </c>
      <c r="R1970">
        <f>IF($A1970="","",$B1970&amp;" - "&amp;$C1970)</f>
        <v/>
      </c>
      <c r="S1970">
        <f>IF($A1970="","",$R1970&amp;"|"&amp;$Q1970)</f>
        <v/>
      </c>
      <c r="T1970">
        <f>IF($A1970="","",$S1970&amp;"|"&amp;$F1970)</f>
        <v/>
      </c>
      <c r="U1970">
        <f>IF($A1970="","",$R1970&amp;"("&amp;$E1970&amp;")")</f>
        <v/>
      </c>
      <c r="V1970">
        <f>IF($A1970="","",$F1970&amp;"|"&amp;$U1970&amp;"|"&amp;$D1970)</f>
        <v/>
      </c>
      <c r="W1970">
        <f>IF($T1970="","",IF($X1970&gt;N($X1969),$X1970,""))</f>
        <v/>
      </c>
      <c r="X1970">
        <f>IF($T1970="",N($X1969),IF(MATCH($T1970,$T$6:$T$6005,0)=ROW()-5,N($X1969)+1,N($X1969)))</f>
        <v/>
      </c>
      <c r="Z1970">
        <f>IF($V1970="","",IF($AA1970&gt;N($AA1969),$AA1970,""))</f>
        <v/>
      </c>
      <c r="AA1970">
        <f>IF($V1970="",N($AA1969),IF(MATCH($V1970,$V$6:$V$6005,0)=ROW()-5,N($AA1969)+1,N($AA1969)))</f>
        <v/>
      </c>
    </row>
    <row r="1971" ht="21" customHeight="1" s="66">
      <c r="A1971" s="56" t="n"/>
      <c r="B1971" s="57" t="n"/>
      <c r="C1971" s="57" t="n"/>
      <c r="D1971" s="57" t="n"/>
      <c r="E1971" s="56" t="n"/>
      <c r="F1971" s="57" t="n"/>
      <c r="G1971" s="57" t="n"/>
      <c r="H1971" s="56" t="n"/>
      <c r="I1971" s="56" t="n"/>
      <c r="J1971" s="58" t="n"/>
      <c r="K1971" s="58" t="n"/>
      <c r="L1971" s="13">
        <f>IF(OR($A1971="",AND($J1971="",$K1971="")),"",ROUND(N($J1971)-N($K1971),2))</f>
        <v/>
      </c>
      <c r="M1971" s="13">
        <f>IF(OR($A1971="",AND($J1971="",$K1971="")),"",MIN($J1971,$K1971))</f>
        <v/>
      </c>
      <c r="Q1971">
        <f>IF($A1971="","",$D1971&amp;"("&amp;SUBSTITUTE($E1971," ","")&amp;")")</f>
        <v/>
      </c>
      <c r="R1971">
        <f>IF($A1971="","",$B1971&amp;" - "&amp;$C1971)</f>
        <v/>
      </c>
      <c r="S1971">
        <f>IF($A1971="","",$R1971&amp;"|"&amp;$Q1971)</f>
        <v/>
      </c>
      <c r="T1971">
        <f>IF($A1971="","",$S1971&amp;"|"&amp;$F1971)</f>
        <v/>
      </c>
      <c r="U1971">
        <f>IF($A1971="","",$R1971&amp;"("&amp;$E1971&amp;")")</f>
        <v/>
      </c>
      <c r="V1971">
        <f>IF($A1971="","",$F1971&amp;"|"&amp;$U1971&amp;"|"&amp;$D1971)</f>
        <v/>
      </c>
      <c r="W1971">
        <f>IF($T1971="","",IF($X1971&gt;N($X1970),$X1971,""))</f>
        <v/>
      </c>
      <c r="X1971">
        <f>IF($T1971="",N($X1970),IF(MATCH($T1971,$T$6:$T$6005,0)=ROW()-5,N($X1970)+1,N($X1970)))</f>
        <v/>
      </c>
      <c r="Z1971">
        <f>IF($V1971="","",IF($AA1971&gt;N($AA1970),$AA1971,""))</f>
        <v/>
      </c>
      <c r="AA1971">
        <f>IF($V1971="",N($AA1970),IF(MATCH($V1971,$V$6:$V$6005,0)=ROW()-5,N($AA1970)+1,N($AA1970)))</f>
        <v/>
      </c>
    </row>
    <row r="1972" ht="21" customHeight="1" s="66">
      <c r="A1972" s="56" t="n"/>
      <c r="B1972" s="57" t="n"/>
      <c r="C1972" s="57" t="n"/>
      <c r="D1972" s="57" t="n"/>
      <c r="E1972" s="56" t="n"/>
      <c r="F1972" s="57" t="n"/>
      <c r="G1972" s="57" t="n"/>
      <c r="H1972" s="56" t="n"/>
      <c r="I1972" s="56" t="n"/>
      <c r="J1972" s="58" t="n"/>
      <c r="K1972" s="58" t="n"/>
      <c r="L1972" s="13">
        <f>IF(OR($A1972="",AND($J1972="",$K1972="")),"",ROUND(N($J1972)-N($K1972),2))</f>
        <v/>
      </c>
      <c r="M1972" s="13">
        <f>IF(OR($A1972="",AND($J1972="",$K1972="")),"",MIN($J1972,$K1972))</f>
        <v/>
      </c>
      <c r="Q1972">
        <f>IF($A1972="","",$D1972&amp;"("&amp;SUBSTITUTE($E1972," ","")&amp;")")</f>
        <v/>
      </c>
      <c r="R1972">
        <f>IF($A1972="","",$B1972&amp;" - "&amp;$C1972)</f>
        <v/>
      </c>
      <c r="S1972">
        <f>IF($A1972="","",$R1972&amp;"|"&amp;$Q1972)</f>
        <v/>
      </c>
      <c r="T1972">
        <f>IF($A1972="","",$S1972&amp;"|"&amp;$F1972)</f>
        <v/>
      </c>
      <c r="U1972">
        <f>IF($A1972="","",$R1972&amp;"("&amp;$E1972&amp;")")</f>
        <v/>
      </c>
      <c r="V1972">
        <f>IF($A1972="","",$F1972&amp;"|"&amp;$U1972&amp;"|"&amp;$D1972)</f>
        <v/>
      </c>
      <c r="W1972">
        <f>IF($T1972="","",IF($X1972&gt;N($X1971),$X1972,""))</f>
        <v/>
      </c>
      <c r="X1972">
        <f>IF($T1972="",N($X1971),IF(MATCH($T1972,$T$6:$T$6005,0)=ROW()-5,N($X1971)+1,N($X1971)))</f>
        <v/>
      </c>
      <c r="Z1972">
        <f>IF($V1972="","",IF($AA1972&gt;N($AA1971),$AA1972,""))</f>
        <v/>
      </c>
      <c r="AA1972">
        <f>IF($V1972="",N($AA1971),IF(MATCH($V1972,$V$6:$V$6005,0)=ROW()-5,N($AA1971)+1,N($AA1971)))</f>
        <v/>
      </c>
    </row>
    <row r="1973" ht="21" customHeight="1" s="66">
      <c r="A1973" s="56" t="n"/>
      <c r="B1973" s="57" t="n"/>
      <c r="C1973" s="57" t="n"/>
      <c r="D1973" s="57" t="n"/>
      <c r="E1973" s="56" t="n"/>
      <c r="F1973" s="57" t="n"/>
      <c r="G1973" s="57" t="n"/>
      <c r="H1973" s="56" t="n"/>
      <c r="I1973" s="56" t="n"/>
      <c r="J1973" s="58" t="n"/>
      <c r="K1973" s="58" t="n"/>
      <c r="L1973" s="13">
        <f>IF(OR($A1973="",AND($J1973="",$K1973="")),"",ROUND(N($J1973)-N($K1973),2))</f>
        <v/>
      </c>
      <c r="M1973" s="13">
        <f>IF(OR($A1973="",AND($J1973="",$K1973="")),"",MIN($J1973,$K1973))</f>
        <v/>
      </c>
      <c r="Q1973">
        <f>IF($A1973="","",$D1973&amp;"("&amp;SUBSTITUTE($E1973," ","")&amp;")")</f>
        <v/>
      </c>
      <c r="R1973">
        <f>IF($A1973="","",$B1973&amp;" - "&amp;$C1973)</f>
        <v/>
      </c>
      <c r="S1973">
        <f>IF($A1973="","",$R1973&amp;"|"&amp;$Q1973)</f>
        <v/>
      </c>
      <c r="T1973">
        <f>IF($A1973="","",$S1973&amp;"|"&amp;$F1973)</f>
        <v/>
      </c>
      <c r="U1973">
        <f>IF($A1973="","",$R1973&amp;"("&amp;$E1973&amp;")")</f>
        <v/>
      </c>
      <c r="V1973">
        <f>IF($A1973="","",$F1973&amp;"|"&amp;$U1973&amp;"|"&amp;$D1973)</f>
        <v/>
      </c>
      <c r="W1973">
        <f>IF($T1973="","",IF($X1973&gt;N($X1972),$X1973,""))</f>
        <v/>
      </c>
      <c r="X1973">
        <f>IF($T1973="",N($X1972),IF(MATCH($T1973,$T$6:$T$6005,0)=ROW()-5,N($X1972)+1,N($X1972)))</f>
        <v/>
      </c>
      <c r="Z1973">
        <f>IF($V1973="","",IF($AA1973&gt;N($AA1972),$AA1973,""))</f>
        <v/>
      </c>
      <c r="AA1973">
        <f>IF($V1973="",N($AA1972),IF(MATCH($V1973,$V$6:$V$6005,0)=ROW()-5,N($AA1972)+1,N($AA1972)))</f>
        <v/>
      </c>
    </row>
    <row r="1974" ht="21" customHeight="1" s="66">
      <c r="A1974" s="56" t="n"/>
      <c r="B1974" s="57" t="n"/>
      <c r="C1974" s="57" t="n"/>
      <c r="D1974" s="57" t="n"/>
      <c r="E1974" s="56" t="n"/>
      <c r="F1974" s="57" t="n"/>
      <c r="G1974" s="57" t="n"/>
      <c r="H1974" s="56" t="n"/>
      <c r="I1974" s="56" t="n"/>
      <c r="J1974" s="58" t="n"/>
      <c r="K1974" s="58" t="n"/>
      <c r="L1974" s="13">
        <f>IF(OR($A1974="",AND($J1974="",$K1974="")),"",ROUND(N($J1974)-N($K1974),2))</f>
        <v/>
      </c>
      <c r="M1974" s="13">
        <f>IF(OR($A1974="",AND($J1974="",$K1974="")),"",MIN($J1974,$K1974))</f>
        <v/>
      </c>
      <c r="Q1974">
        <f>IF($A1974="","",$D1974&amp;"("&amp;SUBSTITUTE($E1974," ","")&amp;")")</f>
        <v/>
      </c>
      <c r="R1974">
        <f>IF($A1974="","",$B1974&amp;" - "&amp;$C1974)</f>
        <v/>
      </c>
      <c r="S1974">
        <f>IF($A1974="","",$R1974&amp;"|"&amp;$Q1974)</f>
        <v/>
      </c>
      <c r="T1974">
        <f>IF($A1974="","",$S1974&amp;"|"&amp;$F1974)</f>
        <v/>
      </c>
      <c r="U1974">
        <f>IF($A1974="","",$R1974&amp;"("&amp;$E1974&amp;")")</f>
        <v/>
      </c>
      <c r="V1974">
        <f>IF($A1974="","",$F1974&amp;"|"&amp;$U1974&amp;"|"&amp;$D1974)</f>
        <v/>
      </c>
      <c r="W1974">
        <f>IF($T1974="","",IF($X1974&gt;N($X1973),$X1974,""))</f>
        <v/>
      </c>
      <c r="X1974">
        <f>IF($T1974="",N($X1973),IF(MATCH($T1974,$T$6:$T$6005,0)=ROW()-5,N($X1973)+1,N($X1973)))</f>
        <v/>
      </c>
      <c r="Z1974">
        <f>IF($V1974="","",IF($AA1974&gt;N($AA1973),$AA1974,""))</f>
        <v/>
      </c>
      <c r="AA1974">
        <f>IF($V1974="",N($AA1973),IF(MATCH($V1974,$V$6:$V$6005,0)=ROW()-5,N($AA1973)+1,N($AA1973)))</f>
        <v/>
      </c>
    </row>
    <row r="1975" ht="21" customHeight="1" s="66">
      <c r="A1975" s="56" t="n"/>
      <c r="B1975" s="57" t="n"/>
      <c r="C1975" s="57" t="n"/>
      <c r="D1975" s="57" t="n"/>
      <c r="E1975" s="56" t="n"/>
      <c r="F1975" s="57" t="n"/>
      <c r="G1975" s="57" t="n"/>
      <c r="H1975" s="56" t="n"/>
      <c r="I1975" s="56" t="n"/>
      <c r="J1975" s="58" t="n"/>
      <c r="K1975" s="58" t="n"/>
      <c r="L1975" s="13">
        <f>IF(OR($A1975="",AND($J1975="",$K1975="")),"",ROUND(N($J1975)-N($K1975),2))</f>
        <v/>
      </c>
      <c r="M1975" s="13">
        <f>IF(OR($A1975="",AND($J1975="",$K1975="")),"",MIN($J1975,$K1975))</f>
        <v/>
      </c>
      <c r="Q1975">
        <f>IF($A1975="","",$D1975&amp;"("&amp;SUBSTITUTE($E1975," ","")&amp;")")</f>
        <v/>
      </c>
      <c r="R1975">
        <f>IF($A1975="","",$B1975&amp;" - "&amp;$C1975)</f>
        <v/>
      </c>
      <c r="S1975">
        <f>IF($A1975="","",$R1975&amp;"|"&amp;$Q1975)</f>
        <v/>
      </c>
      <c r="T1975">
        <f>IF($A1975="","",$S1975&amp;"|"&amp;$F1975)</f>
        <v/>
      </c>
      <c r="U1975">
        <f>IF($A1975="","",$R1975&amp;"("&amp;$E1975&amp;")")</f>
        <v/>
      </c>
      <c r="V1975">
        <f>IF($A1975="","",$F1975&amp;"|"&amp;$U1975&amp;"|"&amp;$D1975)</f>
        <v/>
      </c>
      <c r="W1975">
        <f>IF($T1975="","",IF($X1975&gt;N($X1974),$X1975,""))</f>
        <v/>
      </c>
      <c r="X1975">
        <f>IF($T1975="",N($X1974),IF(MATCH($T1975,$T$6:$T$6005,0)=ROW()-5,N($X1974)+1,N($X1974)))</f>
        <v/>
      </c>
      <c r="Z1975">
        <f>IF($V1975="","",IF($AA1975&gt;N($AA1974),$AA1975,""))</f>
        <v/>
      </c>
      <c r="AA1975">
        <f>IF($V1975="",N($AA1974),IF(MATCH($V1975,$V$6:$V$6005,0)=ROW()-5,N($AA1974)+1,N($AA1974)))</f>
        <v/>
      </c>
    </row>
    <row r="1976" ht="21" customHeight="1" s="66">
      <c r="A1976" s="56" t="n"/>
      <c r="B1976" s="57" t="n"/>
      <c r="C1976" s="57" t="n"/>
      <c r="D1976" s="57" t="n"/>
      <c r="E1976" s="56" t="n"/>
      <c r="F1976" s="57" t="n"/>
      <c r="G1976" s="57" t="n"/>
      <c r="H1976" s="56" t="n"/>
      <c r="I1976" s="56" t="n"/>
      <c r="J1976" s="58" t="n"/>
      <c r="K1976" s="58" t="n"/>
      <c r="L1976" s="13">
        <f>IF(OR($A1976="",AND($J1976="",$K1976="")),"",ROUND(N($J1976)-N($K1976),2))</f>
        <v/>
      </c>
      <c r="M1976" s="13">
        <f>IF(OR($A1976="",AND($J1976="",$K1976="")),"",MIN($J1976,$K1976))</f>
        <v/>
      </c>
      <c r="Q1976">
        <f>IF($A1976="","",$D1976&amp;"("&amp;SUBSTITUTE($E1976," ","")&amp;")")</f>
        <v/>
      </c>
      <c r="R1976">
        <f>IF($A1976="","",$B1976&amp;" - "&amp;$C1976)</f>
        <v/>
      </c>
      <c r="S1976">
        <f>IF($A1976="","",$R1976&amp;"|"&amp;$Q1976)</f>
        <v/>
      </c>
      <c r="T1976">
        <f>IF($A1976="","",$S1976&amp;"|"&amp;$F1976)</f>
        <v/>
      </c>
      <c r="U1976">
        <f>IF($A1976="","",$R1976&amp;"("&amp;$E1976&amp;")")</f>
        <v/>
      </c>
      <c r="V1976">
        <f>IF($A1976="","",$F1976&amp;"|"&amp;$U1976&amp;"|"&amp;$D1976)</f>
        <v/>
      </c>
      <c r="W1976">
        <f>IF($T1976="","",IF($X1976&gt;N($X1975),$X1976,""))</f>
        <v/>
      </c>
      <c r="X1976">
        <f>IF($T1976="",N($X1975),IF(MATCH($T1976,$T$6:$T$6005,0)=ROW()-5,N($X1975)+1,N($X1975)))</f>
        <v/>
      </c>
      <c r="Z1976">
        <f>IF($V1976="","",IF($AA1976&gt;N($AA1975),$AA1976,""))</f>
        <v/>
      </c>
      <c r="AA1976">
        <f>IF($V1976="",N($AA1975),IF(MATCH($V1976,$V$6:$V$6005,0)=ROW()-5,N($AA1975)+1,N($AA1975)))</f>
        <v/>
      </c>
    </row>
    <row r="1977" ht="21" customHeight="1" s="66">
      <c r="A1977" s="56" t="n"/>
      <c r="B1977" s="57" t="n"/>
      <c r="C1977" s="57" t="n"/>
      <c r="D1977" s="57" t="n"/>
      <c r="E1977" s="56" t="n"/>
      <c r="F1977" s="57" t="n"/>
      <c r="G1977" s="57" t="n"/>
      <c r="H1977" s="56" t="n"/>
      <c r="I1977" s="56" t="n"/>
      <c r="J1977" s="58" t="n"/>
      <c r="K1977" s="58" t="n"/>
      <c r="L1977" s="13">
        <f>IF(OR($A1977="",AND($J1977="",$K1977="")),"",ROUND(N($J1977)-N($K1977),2))</f>
        <v/>
      </c>
      <c r="M1977" s="13">
        <f>IF(OR($A1977="",AND($J1977="",$K1977="")),"",MIN($J1977,$K1977))</f>
        <v/>
      </c>
      <c r="Q1977">
        <f>IF($A1977="","",$D1977&amp;"("&amp;SUBSTITUTE($E1977," ","")&amp;")")</f>
        <v/>
      </c>
      <c r="R1977">
        <f>IF($A1977="","",$B1977&amp;" - "&amp;$C1977)</f>
        <v/>
      </c>
      <c r="S1977">
        <f>IF($A1977="","",$R1977&amp;"|"&amp;$Q1977)</f>
        <v/>
      </c>
      <c r="T1977">
        <f>IF($A1977="","",$S1977&amp;"|"&amp;$F1977)</f>
        <v/>
      </c>
      <c r="U1977">
        <f>IF($A1977="","",$R1977&amp;"("&amp;$E1977&amp;")")</f>
        <v/>
      </c>
      <c r="V1977">
        <f>IF($A1977="","",$F1977&amp;"|"&amp;$U1977&amp;"|"&amp;$D1977)</f>
        <v/>
      </c>
      <c r="W1977">
        <f>IF($T1977="","",IF($X1977&gt;N($X1976),$X1977,""))</f>
        <v/>
      </c>
      <c r="X1977">
        <f>IF($T1977="",N($X1976),IF(MATCH($T1977,$T$6:$T$6005,0)=ROW()-5,N($X1976)+1,N($X1976)))</f>
        <v/>
      </c>
      <c r="Z1977">
        <f>IF($V1977="","",IF($AA1977&gt;N($AA1976),$AA1977,""))</f>
        <v/>
      </c>
      <c r="AA1977">
        <f>IF($V1977="",N($AA1976),IF(MATCH($V1977,$V$6:$V$6005,0)=ROW()-5,N($AA1976)+1,N($AA1976)))</f>
        <v/>
      </c>
    </row>
    <row r="1978" ht="21" customHeight="1" s="66">
      <c r="A1978" s="56" t="n"/>
      <c r="B1978" s="57" t="n"/>
      <c r="C1978" s="57" t="n"/>
      <c r="D1978" s="57" t="n"/>
      <c r="E1978" s="56" t="n"/>
      <c r="F1978" s="57" t="n"/>
      <c r="G1978" s="57" t="n"/>
      <c r="H1978" s="56" t="n"/>
      <c r="I1978" s="56" t="n"/>
      <c r="J1978" s="58" t="n"/>
      <c r="K1978" s="58" t="n"/>
      <c r="L1978" s="13">
        <f>IF(OR($A1978="",AND($J1978="",$K1978="")),"",ROUND(N($J1978)-N($K1978),2))</f>
        <v/>
      </c>
      <c r="M1978" s="13">
        <f>IF(OR($A1978="",AND($J1978="",$K1978="")),"",MIN($J1978,$K1978))</f>
        <v/>
      </c>
      <c r="Q1978">
        <f>IF($A1978="","",$D1978&amp;"("&amp;SUBSTITUTE($E1978," ","")&amp;")")</f>
        <v/>
      </c>
      <c r="R1978">
        <f>IF($A1978="","",$B1978&amp;" - "&amp;$C1978)</f>
        <v/>
      </c>
      <c r="S1978">
        <f>IF($A1978="","",$R1978&amp;"|"&amp;$Q1978)</f>
        <v/>
      </c>
      <c r="T1978">
        <f>IF($A1978="","",$S1978&amp;"|"&amp;$F1978)</f>
        <v/>
      </c>
      <c r="U1978">
        <f>IF($A1978="","",$R1978&amp;"("&amp;$E1978&amp;")")</f>
        <v/>
      </c>
      <c r="V1978">
        <f>IF($A1978="","",$F1978&amp;"|"&amp;$U1978&amp;"|"&amp;$D1978)</f>
        <v/>
      </c>
      <c r="W1978">
        <f>IF($T1978="","",IF($X1978&gt;N($X1977),$X1978,""))</f>
        <v/>
      </c>
      <c r="X1978">
        <f>IF($T1978="",N($X1977),IF(MATCH($T1978,$T$6:$T$6005,0)=ROW()-5,N($X1977)+1,N($X1977)))</f>
        <v/>
      </c>
      <c r="Z1978">
        <f>IF($V1978="","",IF($AA1978&gt;N($AA1977),$AA1978,""))</f>
        <v/>
      </c>
      <c r="AA1978">
        <f>IF($V1978="",N($AA1977),IF(MATCH($V1978,$V$6:$V$6005,0)=ROW()-5,N($AA1977)+1,N($AA1977)))</f>
        <v/>
      </c>
    </row>
    <row r="1979" ht="21" customHeight="1" s="66">
      <c r="A1979" s="56" t="n"/>
      <c r="B1979" s="57" t="n"/>
      <c r="C1979" s="57" t="n"/>
      <c r="D1979" s="57" t="n"/>
      <c r="E1979" s="56" t="n"/>
      <c r="F1979" s="57" t="n"/>
      <c r="G1979" s="57" t="n"/>
      <c r="H1979" s="56" t="n"/>
      <c r="I1979" s="56" t="n"/>
      <c r="J1979" s="58" t="n"/>
      <c r="K1979" s="58" t="n"/>
      <c r="L1979" s="13">
        <f>IF(OR($A1979="",AND($J1979="",$K1979="")),"",ROUND(N($J1979)-N($K1979),2))</f>
        <v/>
      </c>
      <c r="M1979" s="13">
        <f>IF(OR($A1979="",AND($J1979="",$K1979="")),"",MIN($J1979,$K1979))</f>
        <v/>
      </c>
      <c r="Q1979">
        <f>IF($A1979="","",$D1979&amp;"("&amp;SUBSTITUTE($E1979," ","")&amp;")")</f>
        <v/>
      </c>
      <c r="R1979">
        <f>IF($A1979="","",$B1979&amp;" - "&amp;$C1979)</f>
        <v/>
      </c>
      <c r="S1979">
        <f>IF($A1979="","",$R1979&amp;"|"&amp;$Q1979)</f>
        <v/>
      </c>
      <c r="T1979">
        <f>IF($A1979="","",$S1979&amp;"|"&amp;$F1979)</f>
        <v/>
      </c>
      <c r="U1979">
        <f>IF($A1979="","",$R1979&amp;"("&amp;$E1979&amp;")")</f>
        <v/>
      </c>
      <c r="V1979">
        <f>IF($A1979="","",$F1979&amp;"|"&amp;$U1979&amp;"|"&amp;$D1979)</f>
        <v/>
      </c>
      <c r="W1979">
        <f>IF($T1979="","",IF($X1979&gt;N($X1978),$X1979,""))</f>
        <v/>
      </c>
      <c r="X1979">
        <f>IF($T1979="",N($X1978),IF(MATCH($T1979,$T$6:$T$6005,0)=ROW()-5,N($X1978)+1,N($X1978)))</f>
        <v/>
      </c>
      <c r="Z1979">
        <f>IF($V1979="","",IF($AA1979&gt;N($AA1978),$AA1979,""))</f>
        <v/>
      </c>
      <c r="AA1979">
        <f>IF($V1979="",N($AA1978),IF(MATCH($V1979,$V$6:$V$6005,0)=ROW()-5,N($AA1978)+1,N($AA1978)))</f>
        <v/>
      </c>
    </row>
    <row r="1980" ht="21" customHeight="1" s="66">
      <c r="A1980" s="56" t="n"/>
      <c r="B1980" s="57" t="n"/>
      <c r="C1980" s="57" t="n"/>
      <c r="D1980" s="57" t="n"/>
      <c r="E1980" s="56" t="n"/>
      <c r="F1980" s="57" t="n"/>
      <c r="G1980" s="57" t="n"/>
      <c r="H1980" s="56" t="n"/>
      <c r="I1980" s="56" t="n"/>
      <c r="J1980" s="58" t="n"/>
      <c r="K1980" s="58" t="n"/>
      <c r="L1980" s="13">
        <f>IF(OR($A1980="",AND($J1980="",$K1980="")),"",ROUND(N($J1980)-N($K1980),2))</f>
        <v/>
      </c>
      <c r="M1980" s="13">
        <f>IF(OR($A1980="",AND($J1980="",$K1980="")),"",MIN($J1980,$K1980))</f>
        <v/>
      </c>
      <c r="Q1980">
        <f>IF($A1980="","",$D1980&amp;"("&amp;SUBSTITUTE($E1980," ","")&amp;")")</f>
        <v/>
      </c>
      <c r="R1980">
        <f>IF($A1980="","",$B1980&amp;" - "&amp;$C1980)</f>
        <v/>
      </c>
      <c r="S1980">
        <f>IF($A1980="","",$R1980&amp;"|"&amp;$Q1980)</f>
        <v/>
      </c>
      <c r="T1980">
        <f>IF($A1980="","",$S1980&amp;"|"&amp;$F1980)</f>
        <v/>
      </c>
      <c r="U1980">
        <f>IF($A1980="","",$R1980&amp;"("&amp;$E1980&amp;")")</f>
        <v/>
      </c>
      <c r="V1980">
        <f>IF($A1980="","",$F1980&amp;"|"&amp;$U1980&amp;"|"&amp;$D1980)</f>
        <v/>
      </c>
      <c r="W1980">
        <f>IF($T1980="","",IF($X1980&gt;N($X1979),$X1980,""))</f>
        <v/>
      </c>
      <c r="X1980">
        <f>IF($T1980="",N($X1979),IF(MATCH($T1980,$T$6:$T$6005,0)=ROW()-5,N($X1979)+1,N($X1979)))</f>
        <v/>
      </c>
      <c r="Z1980">
        <f>IF($V1980="","",IF($AA1980&gt;N($AA1979),$AA1980,""))</f>
        <v/>
      </c>
      <c r="AA1980">
        <f>IF($V1980="",N($AA1979),IF(MATCH($V1980,$V$6:$V$6005,0)=ROW()-5,N($AA1979)+1,N($AA1979)))</f>
        <v/>
      </c>
    </row>
    <row r="1981" ht="21" customHeight="1" s="66">
      <c r="A1981" s="56" t="n"/>
      <c r="B1981" s="57" t="n"/>
      <c r="C1981" s="57" t="n"/>
      <c r="D1981" s="57" t="n"/>
      <c r="E1981" s="56" t="n"/>
      <c r="F1981" s="57" t="n"/>
      <c r="G1981" s="57" t="n"/>
      <c r="H1981" s="56" t="n"/>
      <c r="I1981" s="56" t="n"/>
      <c r="J1981" s="58" t="n"/>
      <c r="K1981" s="58" t="n"/>
      <c r="L1981" s="13">
        <f>IF(OR($A1981="",AND($J1981="",$K1981="")),"",ROUND(N($J1981)-N($K1981),2))</f>
        <v/>
      </c>
      <c r="M1981" s="13">
        <f>IF(OR($A1981="",AND($J1981="",$K1981="")),"",MIN($J1981,$K1981))</f>
        <v/>
      </c>
      <c r="Q1981">
        <f>IF($A1981="","",$D1981&amp;"("&amp;SUBSTITUTE($E1981," ","")&amp;")")</f>
        <v/>
      </c>
      <c r="R1981">
        <f>IF($A1981="","",$B1981&amp;" - "&amp;$C1981)</f>
        <v/>
      </c>
      <c r="S1981">
        <f>IF($A1981="","",$R1981&amp;"|"&amp;$Q1981)</f>
        <v/>
      </c>
      <c r="T1981">
        <f>IF($A1981="","",$S1981&amp;"|"&amp;$F1981)</f>
        <v/>
      </c>
      <c r="U1981">
        <f>IF($A1981="","",$R1981&amp;"("&amp;$E1981&amp;")")</f>
        <v/>
      </c>
      <c r="V1981">
        <f>IF($A1981="","",$F1981&amp;"|"&amp;$U1981&amp;"|"&amp;$D1981)</f>
        <v/>
      </c>
      <c r="W1981">
        <f>IF($T1981="","",IF($X1981&gt;N($X1980),$X1981,""))</f>
        <v/>
      </c>
      <c r="X1981">
        <f>IF($T1981="",N($X1980),IF(MATCH($T1981,$T$6:$T$6005,0)=ROW()-5,N($X1980)+1,N($X1980)))</f>
        <v/>
      </c>
      <c r="Z1981">
        <f>IF($V1981="","",IF($AA1981&gt;N($AA1980),$AA1981,""))</f>
        <v/>
      </c>
      <c r="AA1981">
        <f>IF($V1981="",N($AA1980),IF(MATCH($V1981,$V$6:$V$6005,0)=ROW()-5,N($AA1980)+1,N($AA1980)))</f>
        <v/>
      </c>
    </row>
    <row r="1982" ht="21" customHeight="1" s="66">
      <c r="A1982" s="56" t="n"/>
      <c r="B1982" s="57" t="n"/>
      <c r="C1982" s="57" t="n"/>
      <c r="D1982" s="57" t="n"/>
      <c r="E1982" s="56" t="n"/>
      <c r="F1982" s="57" t="n"/>
      <c r="G1982" s="57" t="n"/>
      <c r="H1982" s="56" t="n"/>
      <c r="I1982" s="56" t="n"/>
      <c r="J1982" s="58" t="n"/>
      <c r="K1982" s="58" t="n"/>
      <c r="L1982" s="13">
        <f>IF(OR($A1982="",AND($J1982="",$K1982="")),"",ROUND(N($J1982)-N($K1982),2))</f>
        <v/>
      </c>
      <c r="M1982" s="13">
        <f>IF(OR($A1982="",AND($J1982="",$K1982="")),"",MIN($J1982,$K1982))</f>
        <v/>
      </c>
      <c r="Q1982">
        <f>IF($A1982="","",$D1982&amp;"("&amp;SUBSTITUTE($E1982," ","")&amp;")")</f>
        <v/>
      </c>
      <c r="R1982">
        <f>IF($A1982="","",$B1982&amp;" - "&amp;$C1982)</f>
        <v/>
      </c>
      <c r="S1982">
        <f>IF($A1982="","",$R1982&amp;"|"&amp;$Q1982)</f>
        <v/>
      </c>
      <c r="T1982">
        <f>IF($A1982="","",$S1982&amp;"|"&amp;$F1982)</f>
        <v/>
      </c>
      <c r="U1982">
        <f>IF($A1982="","",$R1982&amp;"("&amp;$E1982&amp;")")</f>
        <v/>
      </c>
      <c r="V1982">
        <f>IF($A1982="","",$F1982&amp;"|"&amp;$U1982&amp;"|"&amp;$D1982)</f>
        <v/>
      </c>
      <c r="W1982">
        <f>IF($T1982="","",IF($X1982&gt;N($X1981),$X1982,""))</f>
        <v/>
      </c>
      <c r="X1982">
        <f>IF($T1982="",N($X1981),IF(MATCH($T1982,$T$6:$T$6005,0)=ROW()-5,N($X1981)+1,N($X1981)))</f>
        <v/>
      </c>
      <c r="Z1982">
        <f>IF($V1982="","",IF($AA1982&gt;N($AA1981),$AA1982,""))</f>
        <v/>
      </c>
      <c r="AA1982">
        <f>IF($V1982="",N($AA1981),IF(MATCH($V1982,$V$6:$V$6005,0)=ROW()-5,N($AA1981)+1,N($AA1981)))</f>
        <v/>
      </c>
    </row>
    <row r="1983" ht="21" customHeight="1" s="66">
      <c r="A1983" s="56" t="n"/>
      <c r="B1983" s="57" t="n"/>
      <c r="C1983" s="57" t="n"/>
      <c r="D1983" s="57" t="n"/>
      <c r="E1983" s="56" t="n"/>
      <c r="F1983" s="57" t="n"/>
      <c r="G1983" s="57" t="n"/>
      <c r="H1983" s="56" t="n"/>
      <c r="I1983" s="56" t="n"/>
      <c r="J1983" s="58" t="n"/>
      <c r="K1983" s="58" t="n"/>
      <c r="L1983" s="13">
        <f>IF(OR($A1983="",AND($J1983="",$K1983="")),"",ROUND(N($J1983)-N($K1983),2))</f>
        <v/>
      </c>
      <c r="M1983" s="13">
        <f>IF(OR($A1983="",AND($J1983="",$K1983="")),"",MIN($J1983,$K1983))</f>
        <v/>
      </c>
      <c r="Q1983">
        <f>IF($A1983="","",$D1983&amp;"("&amp;SUBSTITUTE($E1983," ","")&amp;")")</f>
        <v/>
      </c>
      <c r="R1983">
        <f>IF($A1983="","",$B1983&amp;" - "&amp;$C1983)</f>
        <v/>
      </c>
      <c r="S1983">
        <f>IF($A1983="","",$R1983&amp;"|"&amp;$Q1983)</f>
        <v/>
      </c>
      <c r="T1983">
        <f>IF($A1983="","",$S1983&amp;"|"&amp;$F1983)</f>
        <v/>
      </c>
      <c r="U1983">
        <f>IF($A1983="","",$R1983&amp;"("&amp;$E1983&amp;")")</f>
        <v/>
      </c>
      <c r="V1983">
        <f>IF($A1983="","",$F1983&amp;"|"&amp;$U1983&amp;"|"&amp;$D1983)</f>
        <v/>
      </c>
      <c r="W1983">
        <f>IF($T1983="","",IF($X1983&gt;N($X1982),$X1983,""))</f>
        <v/>
      </c>
      <c r="X1983">
        <f>IF($T1983="",N($X1982),IF(MATCH($T1983,$T$6:$T$6005,0)=ROW()-5,N($X1982)+1,N($X1982)))</f>
        <v/>
      </c>
      <c r="Z1983">
        <f>IF($V1983="","",IF($AA1983&gt;N($AA1982),$AA1983,""))</f>
        <v/>
      </c>
      <c r="AA1983">
        <f>IF($V1983="",N($AA1982),IF(MATCH($V1983,$V$6:$V$6005,0)=ROW()-5,N($AA1982)+1,N($AA1982)))</f>
        <v/>
      </c>
    </row>
    <row r="1984" ht="21" customHeight="1" s="66">
      <c r="A1984" s="56" t="n"/>
      <c r="B1984" s="57" t="n"/>
      <c r="C1984" s="57" t="n"/>
      <c r="D1984" s="57" t="n"/>
      <c r="E1984" s="56" t="n"/>
      <c r="F1984" s="57" t="n"/>
      <c r="G1984" s="57" t="n"/>
      <c r="H1984" s="56" t="n"/>
      <c r="I1984" s="56" t="n"/>
      <c r="J1984" s="58" t="n"/>
      <c r="K1984" s="58" t="n"/>
      <c r="L1984" s="13">
        <f>IF(OR($A1984="",AND($J1984="",$K1984="")),"",ROUND(N($J1984)-N($K1984),2))</f>
        <v/>
      </c>
      <c r="M1984" s="13">
        <f>IF(OR($A1984="",AND($J1984="",$K1984="")),"",MIN($J1984,$K1984))</f>
        <v/>
      </c>
      <c r="Q1984">
        <f>IF($A1984="","",$D1984&amp;"("&amp;SUBSTITUTE($E1984," ","")&amp;")")</f>
        <v/>
      </c>
      <c r="R1984">
        <f>IF($A1984="","",$B1984&amp;" - "&amp;$C1984)</f>
        <v/>
      </c>
      <c r="S1984">
        <f>IF($A1984="","",$R1984&amp;"|"&amp;$Q1984)</f>
        <v/>
      </c>
      <c r="T1984">
        <f>IF($A1984="","",$S1984&amp;"|"&amp;$F1984)</f>
        <v/>
      </c>
      <c r="U1984">
        <f>IF($A1984="","",$R1984&amp;"("&amp;$E1984&amp;")")</f>
        <v/>
      </c>
      <c r="V1984">
        <f>IF($A1984="","",$F1984&amp;"|"&amp;$U1984&amp;"|"&amp;$D1984)</f>
        <v/>
      </c>
      <c r="W1984">
        <f>IF($T1984="","",IF($X1984&gt;N($X1983),$X1984,""))</f>
        <v/>
      </c>
      <c r="X1984">
        <f>IF($T1984="",N($X1983),IF(MATCH($T1984,$T$6:$T$6005,0)=ROW()-5,N($X1983)+1,N($X1983)))</f>
        <v/>
      </c>
      <c r="Z1984">
        <f>IF($V1984="","",IF($AA1984&gt;N($AA1983),$AA1984,""))</f>
        <v/>
      </c>
      <c r="AA1984">
        <f>IF($V1984="",N($AA1983),IF(MATCH($V1984,$V$6:$V$6005,0)=ROW()-5,N($AA1983)+1,N($AA1983)))</f>
        <v/>
      </c>
    </row>
    <row r="1985" ht="21" customHeight="1" s="66">
      <c r="A1985" s="56" t="n"/>
      <c r="B1985" s="57" t="n"/>
      <c r="C1985" s="57" t="n"/>
      <c r="D1985" s="57" t="n"/>
      <c r="E1985" s="56" t="n"/>
      <c r="F1985" s="57" t="n"/>
      <c r="G1985" s="57" t="n"/>
      <c r="H1985" s="56" t="n"/>
      <c r="I1985" s="56" t="n"/>
      <c r="J1985" s="58" t="n"/>
      <c r="K1985" s="58" t="n"/>
      <c r="L1985" s="13">
        <f>IF(OR($A1985="",AND($J1985="",$K1985="")),"",ROUND(N($J1985)-N($K1985),2))</f>
        <v/>
      </c>
      <c r="M1985" s="13">
        <f>IF(OR($A1985="",AND($J1985="",$K1985="")),"",MIN($J1985,$K1985))</f>
        <v/>
      </c>
      <c r="Q1985">
        <f>IF($A1985="","",$D1985&amp;"("&amp;SUBSTITUTE($E1985," ","")&amp;")")</f>
        <v/>
      </c>
      <c r="R1985">
        <f>IF($A1985="","",$B1985&amp;" - "&amp;$C1985)</f>
        <v/>
      </c>
      <c r="S1985">
        <f>IF($A1985="","",$R1985&amp;"|"&amp;$Q1985)</f>
        <v/>
      </c>
      <c r="T1985">
        <f>IF($A1985="","",$S1985&amp;"|"&amp;$F1985)</f>
        <v/>
      </c>
      <c r="U1985">
        <f>IF($A1985="","",$R1985&amp;"("&amp;$E1985&amp;")")</f>
        <v/>
      </c>
      <c r="V1985">
        <f>IF($A1985="","",$F1985&amp;"|"&amp;$U1985&amp;"|"&amp;$D1985)</f>
        <v/>
      </c>
      <c r="W1985">
        <f>IF($T1985="","",IF($X1985&gt;N($X1984),$X1985,""))</f>
        <v/>
      </c>
      <c r="X1985">
        <f>IF($T1985="",N($X1984),IF(MATCH($T1985,$T$6:$T$6005,0)=ROW()-5,N($X1984)+1,N($X1984)))</f>
        <v/>
      </c>
      <c r="Z1985">
        <f>IF($V1985="","",IF($AA1985&gt;N($AA1984),$AA1985,""))</f>
        <v/>
      </c>
      <c r="AA1985">
        <f>IF($V1985="",N($AA1984),IF(MATCH($V1985,$V$6:$V$6005,0)=ROW()-5,N($AA1984)+1,N($AA1984)))</f>
        <v/>
      </c>
    </row>
    <row r="1986" ht="21" customHeight="1" s="66">
      <c r="A1986" s="56" t="n"/>
      <c r="B1986" s="57" t="n"/>
      <c r="C1986" s="57" t="n"/>
      <c r="D1986" s="57" t="n"/>
      <c r="E1986" s="56" t="n"/>
      <c r="F1986" s="57" t="n"/>
      <c r="G1986" s="57" t="n"/>
      <c r="H1986" s="56" t="n"/>
      <c r="I1986" s="56" t="n"/>
      <c r="J1986" s="58" t="n"/>
      <c r="K1986" s="58" t="n"/>
      <c r="L1986" s="13">
        <f>IF(OR($A1986="",AND($J1986="",$K1986="")),"",ROUND(N($J1986)-N($K1986),2))</f>
        <v/>
      </c>
      <c r="M1986" s="13">
        <f>IF(OR($A1986="",AND($J1986="",$K1986="")),"",MIN($J1986,$K1986))</f>
        <v/>
      </c>
      <c r="Q1986">
        <f>IF($A1986="","",$D1986&amp;"("&amp;SUBSTITUTE($E1986," ","")&amp;")")</f>
        <v/>
      </c>
      <c r="R1986">
        <f>IF($A1986="","",$B1986&amp;" - "&amp;$C1986)</f>
        <v/>
      </c>
      <c r="S1986">
        <f>IF($A1986="","",$R1986&amp;"|"&amp;$Q1986)</f>
        <v/>
      </c>
      <c r="T1986">
        <f>IF($A1986="","",$S1986&amp;"|"&amp;$F1986)</f>
        <v/>
      </c>
      <c r="U1986">
        <f>IF($A1986="","",$R1986&amp;"("&amp;$E1986&amp;")")</f>
        <v/>
      </c>
      <c r="V1986">
        <f>IF($A1986="","",$F1986&amp;"|"&amp;$U1986&amp;"|"&amp;$D1986)</f>
        <v/>
      </c>
      <c r="W1986">
        <f>IF($T1986="","",IF($X1986&gt;N($X1985),$X1986,""))</f>
        <v/>
      </c>
      <c r="X1986">
        <f>IF($T1986="",N($X1985),IF(MATCH($T1986,$T$6:$T$6005,0)=ROW()-5,N($X1985)+1,N($X1985)))</f>
        <v/>
      </c>
      <c r="Z1986">
        <f>IF($V1986="","",IF($AA1986&gt;N($AA1985),$AA1986,""))</f>
        <v/>
      </c>
      <c r="AA1986">
        <f>IF($V1986="",N($AA1985),IF(MATCH($V1986,$V$6:$V$6005,0)=ROW()-5,N($AA1985)+1,N($AA1985)))</f>
        <v/>
      </c>
    </row>
    <row r="1987" ht="21" customHeight="1" s="66">
      <c r="A1987" s="56" t="n"/>
      <c r="B1987" s="57" t="n"/>
      <c r="C1987" s="57" t="n"/>
      <c r="D1987" s="57" t="n"/>
      <c r="E1987" s="56" t="n"/>
      <c r="F1987" s="57" t="n"/>
      <c r="G1987" s="57" t="n"/>
      <c r="H1987" s="56" t="n"/>
      <c r="I1987" s="56" t="n"/>
      <c r="J1987" s="58" t="n"/>
      <c r="K1987" s="58" t="n"/>
      <c r="L1987" s="13">
        <f>IF(OR($A1987="",AND($J1987="",$K1987="")),"",ROUND(N($J1987)-N($K1987),2))</f>
        <v/>
      </c>
      <c r="M1987" s="13">
        <f>IF(OR($A1987="",AND($J1987="",$K1987="")),"",MIN($J1987,$K1987))</f>
        <v/>
      </c>
      <c r="Q1987">
        <f>IF($A1987="","",$D1987&amp;"("&amp;SUBSTITUTE($E1987," ","")&amp;")")</f>
        <v/>
      </c>
      <c r="R1987">
        <f>IF($A1987="","",$B1987&amp;" - "&amp;$C1987)</f>
        <v/>
      </c>
      <c r="S1987">
        <f>IF($A1987="","",$R1987&amp;"|"&amp;$Q1987)</f>
        <v/>
      </c>
      <c r="T1987">
        <f>IF($A1987="","",$S1987&amp;"|"&amp;$F1987)</f>
        <v/>
      </c>
      <c r="U1987">
        <f>IF($A1987="","",$R1987&amp;"("&amp;$E1987&amp;")")</f>
        <v/>
      </c>
      <c r="V1987">
        <f>IF($A1987="","",$F1987&amp;"|"&amp;$U1987&amp;"|"&amp;$D1987)</f>
        <v/>
      </c>
      <c r="W1987">
        <f>IF($T1987="","",IF($X1987&gt;N($X1986),$X1987,""))</f>
        <v/>
      </c>
      <c r="X1987">
        <f>IF($T1987="",N($X1986),IF(MATCH($T1987,$T$6:$T$6005,0)=ROW()-5,N($X1986)+1,N($X1986)))</f>
        <v/>
      </c>
      <c r="Z1987">
        <f>IF($V1987="","",IF($AA1987&gt;N($AA1986),$AA1987,""))</f>
        <v/>
      </c>
      <c r="AA1987">
        <f>IF($V1987="",N($AA1986),IF(MATCH($V1987,$V$6:$V$6005,0)=ROW()-5,N($AA1986)+1,N($AA1986)))</f>
        <v/>
      </c>
    </row>
    <row r="1988" ht="21" customHeight="1" s="66">
      <c r="A1988" s="56" t="n"/>
      <c r="B1988" s="57" t="n"/>
      <c r="C1988" s="57" t="n"/>
      <c r="D1988" s="57" t="n"/>
      <c r="E1988" s="56" t="n"/>
      <c r="F1988" s="57" t="n"/>
      <c r="G1988" s="57" t="n"/>
      <c r="H1988" s="56" t="n"/>
      <c r="I1988" s="56" t="n"/>
      <c r="J1988" s="58" t="n"/>
      <c r="K1988" s="58" t="n"/>
      <c r="L1988" s="13">
        <f>IF(OR($A1988="",AND($J1988="",$K1988="")),"",ROUND(N($J1988)-N($K1988),2))</f>
        <v/>
      </c>
      <c r="M1988" s="13">
        <f>IF(OR($A1988="",AND($J1988="",$K1988="")),"",MIN($J1988,$K1988))</f>
        <v/>
      </c>
      <c r="Q1988">
        <f>IF($A1988="","",$D1988&amp;"("&amp;SUBSTITUTE($E1988," ","")&amp;")")</f>
        <v/>
      </c>
      <c r="R1988">
        <f>IF($A1988="","",$B1988&amp;" - "&amp;$C1988)</f>
        <v/>
      </c>
      <c r="S1988">
        <f>IF($A1988="","",$R1988&amp;"|"&amp;$Q1988)</f>
        <v/>
      </c>
      <c r="T1988">
        <f>IF($A1988="","",$S1988&amp;"|"&amp;$F1988)</f>
        <v/>
      </c>
      <c r="U1988">
        <f>IF($A1988="","",$R1988&amp;"("&amp;$E1988&amp;")")</f>
        <v/>
      </c>
      <c r="V1988">
        <f>IF($A1988="","",$F1988&amp;"|"&amp;$U1988&amp;"|"&amp;$D1988)</f>
        <v/>
      </c>
      <c r="W1988">
        <f>IF($T1988="","",IF($X1988&gt;N($X1987),$X1988,""))</f>
        <v/>
      </c>
      <c r="X1988">
        <f>IF($T1988="",N($X1987),IF(MATCH($T1988,$T$6:$T$6005,0)=ROW()-5,N($X1987)+1,N($X1987)))</f>
        <v/>
      </c>
      <c r="Z1988">
        <f>IF($V1988="","",IF($AA1988&gt;N($AA1987),$AA1988,""))</f>
        <v/>
      </c>
      <c r="AA1988">
        <f>IF($V1988="",N($AA1987),IF(MATCH($V1988,$V$6:$V$6005,0)=ROW()-5,N($AA1987)+1,N($AA1987)))</f>
        <v/>
      </c>
    </row>
    <row r="1989" ht="21" customHeight="1" s="66">
      <c r="A1989" s="56" t="n"/>
      <c r="B1989" s="57" t="n"/>
      <c r="C1989" s="57" t="n"/>
      <c r="D1989" s="57" t="n"/>
      <c r="E1989" s="56" t="n"/>
      <c r="F1989" s="57" t="n"/>
      <c r="G1989" s="57" t="n"/>
      <c r="H1989" s="56" t="n"/>
      <c r="I1989" s="56" t="n"/>
      <c r="J1989" s="58" t="n"/>
      <c r="K1989" s="58" t="n"/>
      <c r="L1989" s="13">
        <f>IF(OR($A1989="",AND($J1989="",$K1989="")),"",ROUND(N($J1989)-N($K1989),2))</f>
        <v/>
      </c>
      <c r="M1989" s="13">
        <f>IF(OR($A1989="",AND($J1989="",$K1989="")),"",MIN($J1989,$K1989))</f>
        <v/>
      </c>
      <c r="Q1989">
        <f>IF($A1989="","",$D1989&amp;"("&amp;SUBSTITUTE($E1989," ","")&amp;")")</f>
        <v/>
      </c>
      <c r="R1989">
        <f>IF($A1989="","",$B1989&amp;" - "&amp;$C1989)</f>
        <v/>
      </c>
      <c r="S1989">
        <f>IF($A1989="","",$R1989&amp;"|"&amp;$Q1989)</f>
        <v/>
      </c>
      <c r="T1989">
        <f>IF($A1989="","",$S1989&amp;"|"&amp;$F1989)</f>
        <v/>
      </c>
      <c r="U1989">
        <f>IF($A1989="","",$R1989&amp;"("&amp;$E1989&amp;")")</f>
        <v/>
      </c>
      <c r="V1989">
        <f>IF($A1989="","",$F1989&amp;"|"&amp;$U1989&amp;"|"&amp;$D1989)</f>
        <v/>
      </c>
      <c r="W1989">
        <f>IF($T1989="","",IF($X1989&gt;N($X1988),$X1989,""))</f>
        <v/>
      </c>
      <c r="X1989">
        <f>IF($T1989="",N($X1988),IF(MATCH($T1989,$T$6:$T$6005,0)=ROW()-5,N($X1988)+1,N($X1988)))</f>
        <v/>
      </c>
      <c r="Z1989">
        <f>IF($V1989="","",IF($AA1989&gt;N($AA1988),$AA1989,""))</f>
        <v/>
      </c>
      <c r="AA1989">
        <f>IF($V1989="",N($AA1988),IF(MATCH($V1989,$V$6:$V$6005,0)=ROW()-5,N($AA1988)+1,N($AA1988)))</f>
        <v/>
      </c>
    </row>
    <row r="1990" ht="21" customHeight="1" s="66">
      <c r="A1990" s="56" t="n"/>
      <c r="B1990" s="57" t="n"/>
      <c r="C1990" s="57" t="n"/>
      <c r="D1990" s="57" t="n"/>
      <c r="E1990" s="56" t="n"/>
      <c r="F1990" s="57" t="n"/>
      <c r="G1990" s="57" t="n"/>
      <c r="H1990" s="56" t="n"/>
      <c r="I1990" s="56" t="n"/>
      <c r="J1990" s="58" t="n"/>
      <c r="K1990" s="58" t="n"/>
      <c r="L1990" s="13">
        <f>IF(OR($A1990="",AND($J1990="",$K1990="")),"",ROUND(N($J1990)-N($K1990),2))</f>
        <v/>
      </c>
      <c r="M1990" s="13">
        <f>IF(OR($A1990="",AND($J1990="",$K1990="")),"",MIN($J1990,$K1990))</f>
        <v/>
      </c>
      <c r="Q1990">
        <f>IF($A1990="","",$D1990&amp;"("&amp;SUBSTITUTE($E1990," ","")&amp;")")</f>
        <v/>
      </c>
      <c r="R1990">
        <f>IF($A1990="","",$B1990&amp;" - "&amp;$C1990)</f>
        <v/>
      </c>
      <c r="S1990">
        <f>IF($A1990="","",$R1990&amp;"|"&amp;$Q1990)</f>
        <v/>
      </c>
      <c r="T1990">
        <f>IF($A1990="","",$S1990&amp;"|"&amp;$F1990)</f>
        <v/>
      </c>
      <c r="U1990">
        <f>IF($A1990="","",$R1990&amp;"("&amp;$E1990&amp;")")</f>
        <v/>
      </c>
      <c r="V1990">
        <f>IF($A1990="","",$F1990&amp;"|"&amp;$U1990&amp;"|"&amp;$D1990)</f>
        <v/>
      </c>
      <c r="W1990">
        <f>IF($T1990="","",IF($X1990&gt;N($X1989),$X1990,""))</f>
        <v/>
      </c>
      <c r="X1990">
        <f>IF($T1990="",N($X1989),IF(MATCH($T1990,$T$6:$T$6005,0)=ROW()-5,N($X1989)+1,N($X1989)))</f>
        <v/>
      </c>
      <c r="Z1990">
        <f>IF($V1990="","",IF($AA1990&gt;N($AA1989),$AA1990,""))</f>
        <v/>
      </c>
      <c r="AA1990">
        <f>IF($V1990="",N($AA1989),IF(MATCH($V1990,$V$6:$V$6005,0)=ROW()-5,N($AA1989)+1,N($AA1989)))</f>
        <v/>
      </c>
    </row>
    <row r="1991" ht="21" customHeight="1" s="66">
      <c r="A1991" s="56" t="n"/>
      <c r="B1991" s="57" t="n"/>
      <c r="C1991" s="57" t="n"/>
      <c r="D1991" s="57" t="n"/>
      <c r="E1991" s="56" t="n"/>
      <c r="F1991" s="57" t="n"/>
      <c r="G1991" s="57" t="n"/>
      <c r="H1991" s="56" t="n"/>
      <c r="I1991" s="56" t="n"/>
      <c r="J1991" s="58" t="n"/>
      <c r="K1991" s="58" t="n"/>
      <c r="L1991" s="13">
        <f>IF(OR($A1991="",AND($J1991="",$K1991="")),"",ROUND(N($J1991)-N($K1991),2))</f>
        <v/>
      </c>
      <c r="M1991" s="13">
        <f>IF(OR($A1991="",AND($J1991="",$K1991="")),"",MIN($J1991,$K1991))</f>
        <v/>
      </c>
      <c r="Q1991">
        <f>IF($A1991="","",$D1991&amp;"("&amp;SUBSTITUTE($E1991," ","")&amp;")")</f>
        <v/>
      </c>
      <c r="R1991">
        <f>IF($A1991="","",$B1991&amp;" - "&amp;$C1991)</f>
        <v/>
      </c>
      <c r="S1991">
        <f>IF($A1991="","",$R1991&amp;"|"&amp;$Q1991)</f>
        <v/>
      </c>
      <c r="T1991">
        <f>IF($A1991="","",$S1991&amp;"|"&amp;$F1991)</f>
        <v/>
      </c>
      <c r="U1991">
        <f>IF($A1991="","",$R1991&amp;"("&amp;$E1991&amp;")")</f>
        <v/>
      </c>
      <c r="V1991">
        <f>IF($A1991="","",$F1991&amp;"|"&amp;$U1991&amp;"|"&amp;$D1991)</f>
        <v/>
      </c>
      <c r="W1991">
        <f>IF($T1991="","",IF($X1991&gt;N($X1990),$X1991,""))</f>
        <v/>
      </c>
      <c r="X1991">
        <f>IF($T1991="",N($X1990),IF(MATCH($T1991,$T$6:$T$6005,0)=ROW()-5,N($X1990)+1,N($X1990)))</f>
        <v/>
      </c>
      <c r="Z1991">
        <f>IF($V1991="","",IF($AA1991&gt;N($AA1990),$AA1991,""))</f>
        <v/>
      </c>
      <c r="AA1991">
        <f>IF($V1991="",N($AA1990),IF(MATCH($V1991,$V$6:$V$6005,0)=ROW()-5,N($AA1990)+1,N($AA1990)))</f>
        <v/>
      </c>
    </row>
    <row r="1992" ht="21" customHeight="1" s="66">
      <c r="A1992" s="56" t="n"/>
      <c r="B1992" s="57" t="n"/>
      <c r="C1992" s="57" t="n"/>
      <c r="D1992" s="57" t="n"/>
      <c r="E1992" s="56" t="n"/>
      <c r="F1992" s="57" t="n"/>
      <c r="G1992" s="57" t="n"/>
      <c r="H1992" s="56" t="n"/>
      <c r="I1992" s="56" t="n"/>
      <c r="J1992" s="58" t="n"/>
      <c r="K1992" s="58" t="n"/>
      <c r="L1992" s="13">
        <f>IF(OR($A1992="",AND($J1992="",$K1992="")),"",ROUND(N($J1992)-N($K1992),2))</f>
        <v/>
      </c>
      <c r="M1992" s="13">
        <f>IF(OR($A1992="",AND($J1992="",$K1992="")),"",MIN($J1992,$K1992))</f>
        <v/>
      </c>
      <c r="Q1992">
        <f>IF($A1992="","",$D1992&amp;"("&amp;SUBSTITUTE($E1992," ","")&amp;")")</f>
        <v/>
      </c>
      <c r="R1992">
        <f>IF($A1992="","",$B1992&amp;" - "&amp;$C1992)</f>
        <v/>
      </c>
      <c r="S1992">
        <f>IF($A1992="","",$R1992&amp;"|"&amp;$Q1992)</f>
        <v/>
      </c>
      <c r="T1992">
        <f>IF($A1992="","",$S1992&amp;"|"&amp;$F1992)</f>
        <v/>
      </c>
      <c r="U1992">
        <f>IF($A1992="","",$R1992&amp;"("&amp;$E1992&amp;")")</f>
        <v/>
      </c>
      <c r="V1992">
        <f>IF($A1992="","",$F1992&amp;"|"&amp;$U1992&amp;"|"&amp;$D1992)</f>
        <v/>
      </c>
      <c r="W1992">
        <f>IF($T1992="","",IF($X1992&gt;N($X1991),$X1992,""))</f>
        <v/>
      </c>
      <c r="X1992">
        <f>IF($T1992="",N($X1991),IF(MATCH($T1992,$T$6:$T$6005,0)=ROW()-5,N($X1991)+1,N($X1991)))</f>
        <v/>
      </c>
      <c r="Z1992">
        <f>IF($V1992="","",IF($AA1992&gt;N($AA1991),$AA1992,""))</f>
        <v/>
      </c>
      <c r="AA1992">
        <f>IF($V1992="",N($AA1991),IF(MATCH($V1992,$V$6:$V$6005,0)=ROW()-5,N($AA1991)+1,N($AA1991)))</f>
        <v/>
      </c>
    </row>
    <row r="1993" ht="21" customHeight="1" s="66">
      <c r="A1993" s="56" t="n"/>
      <c r="B1993" s="57" t="n"/>
      <c r="C1993" s="57" t="n"/>
      <c r="D1993" s="57" t="n"/>
      <c r="E1993" s="56" t="n"/>
      <c r="F1993" s="57" t="n"/>
      <c r="G1993" s="57" t="n"/>
      <c r="H1993" s="56" t="n"/>
      <c r="I1993" s="56" t="n"/>
      <c r="J1993" s="58" t="n"/>
      <c r="K1993" s="58" t="n"/>
      <c r="L1993" s="13">
        <f>IF(OR($A1993="",AND($J1993="",$K1993="")),"",ROUND(N($J1993)-N($K1993),2))</f>
        <v/>
      </c>
      <c r="M1993" s="13">
        <f>IF(OR($A1993="",AND($J1993="",$K1993="")),"",MIN($J1993,$K1993))</f>
        <v/>
      </c>
      <c r="Q1993">
        <f>IF($A1993="","",$D1993&amp;"("&amp;SUBSTITUTE($E1993," ","")&amp;")")</f>
        <v/>
      </c>
      <c r="R1993">
        <f>IF($A1993="","",$B1993&amp;" - "&amp;$C1993)</f>
        <v/>
      </c>
      <c r="S1993">
        <f>IF($A1993="","",$R1993&amp;"|"&amp;$Q1993)</f>
        <v/>
      </c>
      <c r="T1993">
        <f>IF($A1993="","",$S1993&amp;"|"&amp;$F1993)</f>
        <v/>
      </c>
      <c r="U1993">
        <f>IF($A1993="","",$R1993&amp;"("&amp;$E1993&amp;")")</f>
        <v/>
      </c>
      <c r="V1993">
        <f>IF($A1993="","",$F1993&amp;"|"&amp;$U1993&amp;"|"&amp;$D1993)</f>
        <v/>
      </c>
      <c r="W1993">
        <f>IF($T1993="","",IF($X1993&gt;N($X1992),$X1993,""))</f>
        <v/>
      </c>
      <c r="X1993">
        <f>IF($T1993="",N($X1992),IF(MATCH($T1993,$T$6:$T$6005,0)=ROW()-5,N($X1992)+1,N($X1992)))</f>
        <v/>
      </c>
      <c r="Z1993">
        <f>IF($V1993="","",IF($AA1993&gt;N($AA1992),$AA1993,""))</f>
        <v/>
      </c>
      <c r="AA1993">
        <f>IF($V1993="",N($AA1992),IF(MATCH($V1993,$V$6:$V$6005,0)=ROW()-5,N($AA1992)+1,N($AA1992)))</f>
        <v/>
      </c>
    </row>
    <row r="1994" ht="21" customHeight="1" s="66">
      <c r="A1994" s="56" t="n"/>
      <c r="B1994" s="57" t="n"/>
      <c r="C1994" s="57" t="n"/>
      <c r="D1994" s="57" t="n"/>
      <c r="E1994" s="56" t="n"/>
      <c r="F1994" s="57" t="n"/>
      <c r="G1994" s="57" t="n"/>
      <c r="H1994" s="56" t="n"/>
      <c r="I1994" s="56" t="n"/>
      <c r="J1994" s="58" t="n"/>
      <c r="K1994" s="58" t="n"/>
      <c r="L1994" s="13">
        <f>IF(OR($A1994="",AND($J1994="",$K1994="")),"",ROUND(N($J1994)-N($K1994),2))</f>
        <v/>
      </c>
      <c r="M1994" s="13">
        <f>IF(OR($A1994="",AND($J1994="",$K1994="")),"",MIN($J1994,$K1994))</f>
        <v/>
      </c>
      <c r="Q1994">
        <f>IF($A1994="","",$D1994&amp;"("&amp;SUBSTITUTE($E1994," ","")&amp;")")</f>
        <v/>
      </c>
      <c r="R1994">
        <f>IF($A1994="","",$B1994&amp;" - "&amp;$C1994)</f>
        <v/>
      </c>
      <c r="S1994">
        <f>IF($A1994="","",$R1994&amp;"|"&amp;$Q1994)</f>
        <v/>
      </c>
      <c r="T1994">
        <f>IF($A1994="","",$S1994&amp;"|"&amp;$F1994)</f>
        <v/>
      </c>
      <c r="U1994">
        <f>IF($A1994="","",$R1994&amp;"("&amp;$E1994&amp;")")</f>
        <v/>
      </c>
      <c r="V1994">
        <f>IF($A1994="","",$F1994&amp;"|"&amp;$U1994&amp;"|"&amp;$D1994)</f>
        <v/>
      </c>
      <c r="W1994">
        <f>IF($T1994="","",IF($X1994&gt;N($X1993),$X1994,""))</f>
        <v/>
      </c>
      <c r="X1994">
        <f>IF($T1994="",N($X1993),IF(MATCH($T1994,$T$6:$T$6005,0)=ROW()-5,N($X1993)+1,N($X1993)))</f>
        <v/>
      </c>
      <c r="Z1994">
        <f>IF($V1994="","",IF($AA1994&gt;N($AA1993),$AA1994,""))</f>
        <v/>
      </c>
      <c r="AA1994">
        <f>IF($V1994="",N($AA1993),IF(MATCH($V1994,$V$6:$V$6005,0)=ROW()-5,N($AA1993)+1,N($AA1993)))</f>
        <v/>
      </c>
    </row>
    <row r="1995" ht="21" customHeight="1" s="66">
      <c r="A1995" s="56" t="n"/>
      <c r="B1995" s="57" t="n"/>
      <c r="C1995" s="57" t="n"/>
      <c r="D1995" s="57" t="n"/>
      <c r="E1995" s="56" t="n"/>
      <c r="F1995" s="57" t="n"/>
      <c r="G1995" s="57" t="n"/>
      <c r="H1995" s="56" t="n"/>
      <c r="I1995" s="56" t="n"/>
      <c r="J1995" s="58" t="n"/>
      <c r="K1995" s="58" t="n"/>
      <c r="L1995" s="13">
        <f>IF(OR($A1995="",AND($J1995="",$K1995="")),"",ROUND(N($J1995)-N($K1995),2))</f>
        <v/>
      </c>
      <c r="M1995" s="13">
        <f>IF(OR($A1995="",AND($J1995="",$K1995="")),"",MIN($J1995,$K1995))</f>
        <v/>
      </c>
      <c r="Q1995">
        <f>IF($A1995="","",$D1995&amp;"("&amp;SUBSTITUTE($E1995," ","")&amp;")")</f>
        <v/>
      </c>
      <c r="R1995">
        <f>IF($A1995="","",$B1995&amp;" - "&amp;$C1995)</f>
        <v/>
      </c>
      <c r="S1995">
        <f>IF($A1995="","",$R1995&amp;"|"&amp;$Q1995)</f>
        <v/>
      </c>
      <c r="T1995">
        <f>IF($A1995="","",$S1995&amp;"|"&amp;$F1995)</f>
        <v/>
      </c>
      <c r="U1995">
        <f>IF($A1995="","",$R1995&amp;"("&amp;$E1995&amp;")")</f>
        <v/>
      </c>
      <c r="V1995">
        <f>IF($A1995="","",$F1995&amp;"|"&amp;$U1995&amp;"|"&amp;$D1995)</f>
        <v/>
      </c>
      <c r="W1995">
        <f>IF($T1995="","",IF($X1995&gt;N($X1994),$X1995,""))</f>
        <v/>
      </c>
      <c r="X1995">
        <f>IF($T1995="",N($X1994),IF(MATCH($T1995,$T$6:$T$6005,0)=ROW()-5,N($X1994)+1,N($X1994)))</f>
        <v/>
      </c>
      <c r="Z1995">
        <f>IF($V1995="","",IF($AA1995&gt;N($AA1994),$AA1995,""))</f>
        <v/>
      </c>
      <c r="AA1995">
        <f>IF($V1995="",N($AA1994),IF(MATCH($V1995,$V$6:$V$6005,0)=ROW()-5,N($AA1994)+1,N($AA1994)))</f>
        <v/>
      </c>
    </row>
    <row r="1996" ht="21" customHeight="1" s="66">
      <c r="A1996" s="56" t="n"/>
      <c r="B1996" s="57" t="n"/>
      <c r="C1996" s="57" t="n"/>
      <c r="D1996" s="57" t="n"/>
      <c r="E1996" s="56" t="n"/>
      <c r="F1996" s="57" t="n"/>
      <c r="G1996" s="57" t="n"/>
      <c r="H1996" s="56" t="n"/>
      <c r="I1996" s="56" t="n"/>
      <c r="J1996" s="58" t="n"/>
      <c r="K1996" s="58" t="n"/>
      <c r="L1996" s="13">
        <f>IF(OR($A1996="",AND($J1996="",$K1996="")),"",ROUND(N($J1996)-N($K1996),2))</f>
        <v/>
      </c>
      <c r="M1996" s="13">
        <f>IF(OR($A1996="",AND($J1996="",$K1996="")),"",MIN($J1996,$K1996))</f>
        <v/>
      </c>
      <c r="Q1996">
        <f>IF($A1996="","",$D1996&amp;"("&amp;SUBSTITUTE($E1996," ","")&amp;")")</f>
        <v/>
      </c>
      <c r="R1996">
        <f>IF($A1996="","",$B1996&amp;" - "&amp;$C1996)</f>
        <v/>
      </c>
      <c r="S1996">
        <f>IF($A1996="","",$R1996&amp;"|"&amp;$Q1996)</f>
        <v/>
      </c>
      <c r="T1996">
        <f>IF($A1996="","",$S1996&amp;"|"&amp;$F1996)</f>
        <v/>
      </c>
      <c r="U1996">
        <f>IF($A1996="","",$R1996&amp;"("&amp;$E1996&amp;")")</f>
        <v/>
      </c>
      <c r="V1996">
        <f>IF($A1996="","",$F1996&amp;"|"&amp;$U1996&amp;"|"&amp;$D1996)</f>
        <v/>
      </c>
      <c r="W1996">
        <f>IF($T1996="","",IF($X1996&gt;N($X1995),$X1996,""))</f>
        <v/>
      </c>
      <c r="X1996">
        <f>IF($T1996="",N($X1995),IF(MATCH($T1996,$T$6:$T$6005,0)=ROW()-5,N($X1995)+1,N($X1995)))</f>
        <v/>
      </c>
      <c r="Z1996">
        <f>IF($V1996="","",IF($AA1996&gt;N($AA1995),$AA1996,""))</f>
        <v/>
      </c>
      <c r="AA1996">
        <f>IF($V1996="",N($AA1995),IF(MATCH($V1996,$V$6:$V$6005,0)=ROW()-5,N($AA1995)+1,N($AA1995)))</f>
        <v/>
      </c>
    </row>
    <row r="1997" ht="21" customHeight="1" s="66">
      <c r="A1997" s="56" t="n"/>
      <c r="B1997" s="57" t="n"/>
      <c r="C1997" s="57" t="n"/>
      <c r="D1997" s="57" t="n"/>
      <c r="E1997" s="56" t="n"/>
      <c r="F1997" s="57" t="n"/>
      <c r="G1997" s="57" t="n"/>
      <c r="H1997" s="56" t="n"/>
      <c r="I1997" s="56" t="n"/>
      <c r="J1997" s="58" t="n"/>
      <c r="K1997" s="58" t="n"/>
      <c r="L1997" s="13">
        <f>IF(OR($A1997="",AND($J1997="",$K1997="")),"",ROUND(N($J1997)-N($K1997),2))</f>
        <v/>
      </c>
      <c r="M1997" s="13">
        <f>IF(OR($A1997="",AND($J1997="",$K1997="")),"",MIN($J1997,$K1997))</f>
        <v/>
      </c>
      <c r="Q1997">
        <f>IF($A1997="","",$D1997&amp;"("&amp;SUBSTITUTE($E1997," ","")&amp;")")</f>
        <v/>
      </c>
      <c r="R1997">
        <f>IF($A1997="","",$B1997&amp;" - "&amp;$C1997)</f>
        <v/>
      </c>
      <c r="S1997">
        <f>IF($A1997="","",$R1997&amp;"|"&amp;$Q1997)</f>
        <v/>
      </c>
      <c r="T1997">
        <f>IF($A1997="","",$S1997&amp;"|"&amp;$F1997)</f>
        <v/>
      </c>
      <c r="U1997">
        <f>IF($A1997="","",$R1997&amp;"("&amp;$E1997&amp;")")</f>
        <v/>
      </c>
      <c r="V1997">
        <f>IF($A1997="","",$F1997&amp;"|"&amp;$U1997&amp;"|"&amp;$D1997)</f>
        <v/>
      </c>
      <c r="W1997">
        <f>IF($T1997="","",IF($X1997&gt;N($X1996),$X1997,""))</f>
        <v/>
      </c>
      <c r="X1997">
        <f>IF($T1997="",N($X1996),IF(MATCH($T1997,$T$6:$T$6005,0)=ROW()-5,N($X1996)+1,N($X1996)))</f>
        <v/>
      </c>
      <c r="Z1997">
        <f>IF($V1997="","",IF($AA1997&gt;N($AA1996),$AA1997,""))</f>
        <v/>
      </c>
      <c r="AA1997">
        <f>IF($V1997="",N($AA1996),IF(MATCH($V1997,$V$6:$V$6005,0)=ROW()-5,N($AA1996)+1,N($AA1996)))</f>
        <v/>
      </c>
    </row>
    <row r="1998" ht="21" customHeight="1" s="66">
      <c r="A1998" s="56" t="n"/>
      <c r="B1998" s="57" t="n"/>
      <c r="C1998" s="57" t="n"/>
      <c r="D1998" s="57" t="n"/>
      <c r="E1998" s="56" t="n"/>
      <c r="F1998" s="57" t="n"/>
      <c r="G1998" s="57" t="n"/>
      <c r="H1998" s="56" t="n"/>
      <c r="I1998" s="56" t="n"/>
      <c r="J1998" s="58" t="n"/>
      <c r="K1998" s="58" t="n"/>
      <c r="L1998" s="13">
        <f>IF(OR($A1998="",AND($J1998="",$K1998="")),"",ROUND(N($J1998)-N($K1998),2))</f>
        <v/>
      </c>
      <c r="M1998" s="13">
        <f>IF(OR($A1998="",AND($J1998="",$K1998="")),"",MIN($J1998,$K1998))</f>
        <v/>
      </c>
      <c r="Q1998">
        <f>IF($A1998="","",$D1998&amp;"("&amp;SUBSTITUTE($E1998," ","")&amp;")")</f>
        <v/>
      </c>
      <c r="R1998">
        <f>IF($A1998="","",$B1998&amp;" - "&amp;$C1998)</f>
        <v/>
      </c>
      <c r="S1998">
        <f>IF($A1998="","",$R1998&amp;"|"&amp;$Q1998)</f>
        <v/>
      </c>
      <c r="T1998">
        <f>IF($A1998="","",$S1998&amp;"|"&amp;$F1998)</f>
        <v/>
      </c>
      <c r="U1998">
        <f>IF($A1998="","",$R1998&amp;"("&amp;$E1998&amp;")")</f>
        <v/>
      </c>
      <c r="V1998">
        <f>IF($A1998="","",$F1998&amp;"|"&amp;$U1998&amp;"|"&amp;$D1998)</f>
        <v/>
      </c>
      <c r="W1998">
        <f>IF($T1998="","",IF($X1998&gt;N($X1997),$X1998,""))</f>
        <v/>
      </c>
      <c r="X1998">
        <f>IF($T1998="",N($X1997),IF(MATCH($T1998,$T$6:$T$6005,0)=ROW()-5,N($X1997)+1,N($X1997)))</f>
        <v/>
      </c>
      <c r="Z1998">
        <f>IF($V1998="","",IF($AA1998&gt;N($AA1997),$AA1998,""))</f>
        <v/>
      </c>
      <c r="AA1998">
        <f>IF($V1998="",N($AA1997),IF(MATCH($V1998,$V$6:$V$6005,0)=ROW()-5,N($AA1997)+1,N($AA1997)))</f>
        <v/>
      </c>
    </row>
    <row r="1999" ht="21" customHeight="1" s="66">
      <c r="A1999" s="56" t="n"/>
      <c r="B1999" s="57" t="n"/>
      <c r="C1999" s="57" t="n"/>
      <c r="D1999" s="57" t="n"/>
      <c r="E1999" s="56" t="n"/>
      <c r="F1999" s="57" t="n"/>
      <c r="G1999" s="57" t="n"/>
      <c r="H1999" s="56" t="n"/>
      <c r="I1999" s="56" t="n"/>
      <c r="J1999" s="58" t="n"/>
      <c r="K1999" s="58" t="n"/>
      <c r="L1999" s="13">
        <f>IF(OR($A1999="",AND($J1999="",$K1999="")),"",ROUND(N($J1999)-N($K1999),2))</f>
        <v/>
      </c>
      <c r="M1999" s="13">
        <f>IF(OR($A1999="",AND($J1999="",$K1999="")),"",MIN($J1999,$K1999))</f>
        <v/>
      </c>
      <c r="Q1999">
        <f>IF($A1999="","",$D1999&amp;"("&amp;SUBSTITUTE($E1999," ","")&amp;")")</f>
        <v/>
      </c>
      <c r="R1999">
        <f>IF($A1999="","",$B1999&amp;" - "&amp;$C1999)</f>
        <v/>
      </c>
      <c r="S1999">
        <f>IF($A1999="","",$R1999&amp;"|"&amp;$Q1999)</f>
        <v/>
      </c>
      <c r="T1999">
        <f>IF($A1999="","",$S1999&amp;"|"&amp;$F1999)</f>
        <v/>
      </c>
      <c r="U1999">
        <f>IF($A1999="","",$R1999&amp;"("&amp;$E1999&amp;")")</f>
        <v/>
      </c>
      <c r="V1999">
        <f>IF($A1999="","",$F1999&amp;"|"&amp;$U1999&amp;"|"&amp;$D1999)</f>
        <v/>
      </c>
      <c r="W1999">
        <f>IF($T1999="","",IF($X1999&gt;N($X1998),$X1999,""))</f>
        <v/>
      </c>
      <c r="X1999">
        <f>IF($T1999="",N($X1998),IF(MATCH($T1999,$T$6:$T$6005,0)=ROW()-5,N($X1998)+1,N($X1998)))</f>
        <v/>
      </c>
      <c r="Z1999">
        <f>IF($V1999="","",IF($AA1999&gt;N($AA1998),$AA1999,""))</f>
        <v/>
      </c>
      <c r="AA1999">
        <f>IF($V1999="",N($AA1998),IF(MATCH($V1999,$V$6:$V$6005,0)=ROW()-5,N($AA1998)+1,N($AA1998)))</f>
        <v/>
      </c>
    </row>
    <row r="2000" ht="21" customHeight="1" s="66">
      <c r="A2000" s="56" t="n"/>
      <c r="B2000" s="57" t="n"/>
      <c r="C2000" s="57" t="n"/>
      <c r="D2000" s="57" t="n"/>
      <c r="E2000" s="56" t="n"/>
      <c r="F2000" s="57" t="n"/>
      <c r="G2000" s="57" t="n"/>
      <c r="H2000" s="56" t="n"/>
      <c r="I2000" s="56" t="n"/>
      <c r="J2000" s="58" t="n"/>
      <c r="K2000" s="58" t="n"/>
      <c r="L2000" s="13">
        <f>IF(OR($A2000="",AND($J2000="",$K2000="")),"",ROUND(N($J2000)-N($K2000),2))</f>
        <v/>
      </c>
      <c r="M2000" s="13">
        <f>IF(OR($A2000="",AND($J2000="",$K2000="")),"",MIN($J2000,$K2000))</f>
        <v/>
      </c>
      <c r="Q2000">
        <f>IF($A2000="","",$D2000&amp;"("&amp;SUBSTITUTE($E2000," ","")&amp;")")</f>
        <v/>
      </c>
      <c r="R2000">
        <f>IF($A2000="","",$B2000&amp;" - "&amp;$C2000)</f>
        <v/>
      </c>
      <c r="S2000">
        <f>IF($A2000="","",$R2000&amp;"|"&amp;$Q2000)</f>
        <v/>
      </c>
      <c r="T2000">
        <f>IF($A2000="","",$S2000&amp;"|"&amp;$F2000)</f>
        <v/>
      </c>
      <c r="U2000">
        <f>IF($A2000="","",$R2000&amp;"("&amp;$E2000&amp;")")</f>
        <v/>
      </c>
      <c r="V2000">
        <f>IF($A2000="","",$F2000&amp;"|"&amp;$U2000&amp;"|"&amp;$D2000)</f>
        <v/>
      </c>
      <c r="W2000">
        <f>IF($T2000="","",IF($X2000&gt;N($X1999),$X2000,""))</f>
        <v/>
      </c>
      <c r="X2000">
        <f>IF($T2000="",N($X1999),IF(MATCH($T2000,$T$6:$T$6005,0)=ROW()-5,N($X1999)+1,N($X1999)))</f>
        <v/>
      </c>
      <c r="Z2000">
        <f>IF($V2000="","",IF($AA2000&gt;N($AA1999),$AA2000,""))</f>
        <v/>
      </c>
      <c r="AA2000">
        <f>IF($V2000="",N($AA1999),IF(MATCH($V2000,$V$6:$V$6005,0)=ROW()-5,N($AA1999)+1,N($AA1999)))</f>
        <v/>
      </c>
    </row>
    <row r="2001" ht="21" customHeight="1" s="66">
      <c r="A2001" s="56" t="n"/>
      <c r="B2001" s="57" t="n"/>
      <c r="C2001" s="57" t="n"/>
      <c r="D2001" s="57" t="n"/>
      <c r="E2001" s="56" t="n"/>
      <c r="F2001" s="57" t="n"/>
      <c r="G2001" s="57" t="n"/>
      <c r="H2001" s="56" t="n"/>
      <c r="I2001" s="56" t="n"/>
      <c r="J2001" s="58" t="n"/>
      <c r="K2001" s="58" t="n"/>
      <c r="L2001" s="13">
        <f>IF(OR($A2001="",AND($J2001="",$K2001="")),"",ROUND(N($J2001)-N($K2001),2))</f>
        <v/>
      </c>
      <c r="M2001" s="13">
        <f>IF(OR($A2001="",AND($J2001="",$K2001="")),"",MIN($J2001,$K2001))</f>
        <v/>
      </c>
      <c r="Q2001">
        <f>IF($A2001="","",$D2001&amp;"("&amp;SUBSTITUTE($E2001," ","")&amp;")")</f>
        <v/>
      </c>
      <c r="R2001">
        <f>IF($A2001="","",$B2001&amp;" - "&amp;$C2001)</f>
        <v/>
      </c>
      <c r="S2001">
        <f>IF($A2001="","",$R2001&amp;"|"&amp;$Q2001)</f>
        <v/>
      </c>
      <c r="T2001">
        <f>IF($A2001="","",$S2001&amp;"|"&amp;$F2001)</f>
        <v/>
      </c>
      <c r="U2001">
        <f>IF($A2001="","",$R2001&amp;"("&amp;$E2001&amp;")")</f>
        <v/>
      </c>
      <c r="V2001">
        <f>IF($A2001="","",$F2001&amp;"|"&amp;$U2001&amp;"|"&amp;$D2001)</f>
        <v/>
      </c>
      <c r="W2001">
        <f>IF($T2001="","",IF($X2001&gt;N($X2000),$X2001,""))</f>
        <v/>
      </c>
      <c r="X2001">
        <f>IF($T2001="",N($X2000),IF(MATCH($T2001,$T$6:$T$6005,0)=ROW()-5,N($X2000)+1,N($X2000)))</f>
        <v/>
      </c>
      <c r="Z2001">
        <f>IF($V2001="","",IF($AA2001&gt;N($AA2000),$AA2001,""))</f>
        <v/>
      </c>
      <c r="AA2001">
        <f>IF($V2001="",N($AA2000),IF(MATCH($V2001,$V$6:$V$6005,0)=ROW()-5,N($AA2000)+1,N($AA2000)))</f>
        <v/>
      </c>
    </row>
    <row r="2002" ht="21" customHeight="1" s="66">
      <c r="A2002" s="56" t="n"/>
      <c r="B2002" s="57" t="n"/>
      <c r="C2002" s="57" t="n"/>
      <c r="D2002" s="57" t="n"/>
      <c r="E2002" s="56" t="n"/>
      <c r="F2002" s="57" t="n"/>
      <c r="G2002" s="57" t="n"/>
      <c r="H2002" s="56" t="n"/>
      <c r="I2002" s="56" t="n"/>
      <c r="J2002" s="58" t="n"/>
      <c r="K2002" s="58" t="n"/>
      <c r="L2002" s="13">
        <f>IF(OR($A2002="",AND($J2002="",$K2002="")),"",ROUND(N($J2002)-N($K2002),2))</f>
        <v/>
      </c>
      <c r="M2002" s="13">
        <f>IF(OR($A2002="",AND($J2002="",$K2002="")),"",MIN($J2002,$K2002))</f>
        <v/>
      </c>
      <c r="Q2002">
        <f>IF($A2002="","",$D2002&amp;"("&amp;SUBSTITUTE($E2002," ","")&amp;")")</f>
        <v/>
      </c>
      <c r="R2002">
        <f>IF($A2002="","",$B2002&amp;" - "&amp;$C2002)</f>
        <v/>
      </c>
      <c r="S2002">
        <f>IF($A2002="","",$R2002&amp;"|"&amp;$Q2002)</f>
        <v/>
      </c>
      <c r="T2002">
        <f>IF($A2002="","",$S2002&amp;"|"&amp;$F2002)</f>
        <v/>
      </c>
      <c r="U2002">
        <f>IF($A2002="","",$R2002&amp;"("&amp;$E2002&amp;")")</f>
        <v/>
      </c>
      <c r="V2002">
        <f>IF($A2002="","",$F2002&amp;"|"&amp;$U2002&amp;"|"&amp;$D2002)</f>
        <v/>
      </c>
      <c r="W2002">
        <f>IF($T2002="","",IF($X2002&gt;N($X2001),$X2002,""))</f>
        <v/>
      </c>
      <c r="X2002">
        <f>IF($T2002="",N($X2001),IF(MATCH($T2002,$T$6:$T$6005,0)=ROW()-5,N($X2001)+1,N($X2001)))</f>
        <v/>
      </c>
      <c r="Z2002">
        <f>IF($V2002="","",IF($AA2002&gt;N($AA2001),$AA2002,""))</f>
        <v/>
      </c>
      <c r="AA2002">
        <f>IF($V2002="",N($AA2001),IF(MATCH($V2002,$V$6:$V$6005,0)=ROW()-5,N($AA2001)+1,N($AA2001)))</f>
        <v/>
      </c>
    </row>
    <row r="2003" ht="21" customHeight="1" s="66">
      <c r="A2003" s="56" t="n"/>
      <c r="B2003" s="57" t="n"/>
      <c r="C2003" s="57" t="n"/>
      <c r="D2003" s="57" t="n"/>
      <c r="E2003" s="56" t="n"/>
      <c r="F2003" s="57" t="n"/>
      <c r="G2003" s="57" t="n"/>
      <c r="H2003" s="56" t="n"/>
      <c r="I2003" s="56" t="n"/>
      <c r="J2003" s="58" t="n"/>
      <c r="K2003" s="58" t="n"/>
      <c r="L2003" s="13">
        <f>IF(OR($A2003="",AND($J2003="",$K2003="")),"",ROUND(N($J2003)-N($K2003),2))</f>
        <v/>
      </c>
      <c r="M2003" s="13">
        <f>IF(OR($A2003="",AND($J2003="",$K2003="")),"",MIN($J2003,$K2003))</f>
        <v/>
      </c>
      <c r="Q2003">
        <f>IF($A2003="","",$D2003&amp;"("&amp;SUBSTITUTE($E2003," ","")&amp;")")</f>
        <v/>
      </c>
      <c r="R2003">
        <f>IF($A2003="","",$B2003&amp;" - "&amp;$C2003)</f>
        <v/>
      </c>
      <c r="S2003">
        <f>IF($A2003="","",$R2003&amp;"|"&amp;$Q2003)</f>
        <v/>
      </c>
      <c r="T2003">
        <f>IF($A2003="","",$S2003&amp;"|"&amp;$F2003)</f>
        <v/>
      </c>
      <c r="U2003">
        <f>IF($A2003="","",$R2003&amp;"("&amp;$E2003&amp;")")</f>
        <v/>
      </c>
      <c r="V2003">
        <f>IF($A2003="","",$F2003&amp;"|"&amp;$U2003&amp;"|"&amp;$D2003)</f>
        <v/>
      </c>
      <c r="W2003">
        <f>IF($T2003="","",IF($X2003&gt;N($X2002),$X2003,""))</f>
        <v/>
      </c>
      <c r="X2003">
        <f>IF($T2003="",N($X2002),IF(MATCH($T2003,$T$6:$T$6005,0)=ROW()-5,N($X2002)+1,N($X2002)))</f>
        <v/>
      </c>
      <c r="Z2003">
        <f>IF($V2003="","",IF($AA2003&gt;N($AA2002),$AA2003,""))</f>
        <v/>
      </c>
      <c r="AA2003">
        <f>IF($V2003="",N($AA2002),IF(MATCH($V2003,$V$6:$V$6005,0)=ROW()-5,N($AA2002)+1,N($AA2002)))</f>
        <v/>
      </c>
    </row>
    <row r="2004" ht="21" customHeight="1" s="66">
      <c r="A2004" s="56" t="n"/>
      <c r="B2004" s="57" t="n"/>
      <c r="C2004" s="57" t="n"/>
      <c r="D2004" s="57" t="n"/>
      <c r="E2004" s="56" t="n"/>
      <c r="F2004" s="57" t="n"/>
      <c r="G2004" s="57" t="n"/>
      <c r="H2004" s="56" t="n"/>
      <c r="I2004" s="56" t="n"/>
      <c r="J2004" s="58" t="n"/>
      <c r="K2004" s="58" t="n"/>
      <c r="L2004" s="13">
        <f>IF(OR($A2004="",AND($J2004="",$K2004="")),"",ROUND(N($J2004)-N($K2004),2))</f>
        <v/>
      </c>
      <c r="M2004" s="13">
        <f>IF(OR($A2004="",AND($J2004="",$K2004="")),"",MIN($J2004,$K2004))</f>
        <v/>
      </c>
      <c r="Q2004">
        <f>IF($A2004="","",$D2004&amp;"("&amp;SUBSTITUTE($E2004," ","")&amp;")")</f>
        <v/>
      </c>
      <c r="R2004">
        <f>IF($A2004="","",$B2004&amp;" - "&amp;$C2004)</f>
        <v/>
      </c>
      <c r="S2004">
        <f>IF($A2004="","",$R2004&amp;"|"&amp;$Q2004)</f>
        <v/>
      </c>
      <c r="T2004">
        <f>IF($A2004="","",$S2004&amp;"|"&amp;$F2004)</f>
        <v/>
      </c>
      <c r="U2004">
        <f>IF($A2004="","",$R2004&amp;"("&amp;$E2004&amp;")")</f>
        <v/>
      </c>
      <c r="V2004">
        <f>IF($A2004="","",$F2004&amp;"|"&amp;$U2004&amp;"|"&amp;$D2004)</f>
        <v/>
      </c>
      <c r="W2004">
        <f>IF($T2004="","",IF($X2004&gt;N($X2003),$X2004,""))</f>
        <v/>
      </c>
      <c r="X2004">
        <f>IF($T2004="",N($X2003),IF(MATCH($T2004,$T$6:$T$6005,0)=ROW()-5,N($X2003)+1,N($X2003)))</f>
        <v/>
      </c>
      <c r="Z2004">
        <f>IF($V2004="","",IF($AA2004&gt;N($AA2003),$AA2004,""))</f>
        <v/>
      </c>
      <c r="AA2004">
        <f>IF($V2004="",N($AA2003),IF(MATCH($V2004,$V$6:$V$6005,0)=ROW()-5,N($AA2003)+1,N($AA2003)))</f>
        <v/>
      </c>
    </row>
    <row r="2005" ht="21" customHeight="1" s="66">
      <c r="A2005" s="56" t="n"/>
      <c r="B2005" s="57" t="n"/>
      <c r="C2005" s="57" t="n"/>
      <c r="D2005" s="57" t="n"/>
      <c r="E2005" s="56" t="n"/>
      <c r="F2005" s="57" t="n"/>
      <c r="G2005" s="57" t="n"/>
      <c r="H2005" s="56" t="n"/>
      <c r="I2005" s="56" t="n"/>
      <c r="J2005" s="58" t="n"/>
      <c r="K2005" s="58" t="n"/>
      <c r="L2005" s="13">
        <f>IF(OR($A2005="",AND($J2005="",$K2005="")),"",ROUND(N($J2005)-N($K2005),2))</f>
        <v/>
      </c>
      <c r="M2005" s="13">
        <f>IF(OR($A2005="",AND($J2005="",$K2005="")),"",MIN($J2005,$K2005))</f>
        <v/>
      </c>
      <c r="Q2005">
        <f>IF($A2005="","",$D2005&amp;"("&amp;SUBSTITUTE($E2005," ","")&amp;")")</f>
        <v/>
      </c>
      <c r="R2005">
        <f>IF($A2005="","",$B2005&amp;" - "&amp;$C2005)</f>
        <v/>
      </c>
      <c r="S2005">
        <f>IF($A2005="","",$R2005&amp;"|"&amp;$Q2005)</f>
        <v/>
      </c>
      <c r="T2005">
        <f>IF($A2005="","",$S2005&amp;"|"&amp;$F2005)</f>
        <v/>
      </c>
      <c r="U2005">
        <f>IF($A2005="","",$R2005&amp;"("&amp;$E2005&amp;")")</f>
        <v/>
      </c>
      <c r="V2005">
        <f>IF($A2005="","",$F2005&amp;"|"&amp;$U2005&amp;"|"&amp;$D2005)</f>
        <v/>
      </c>
      <c r="W2005">
        <f>IF($T2005="","",IF($X2005&gt;N($X2004),$X2005,""))</f>
        <v/>
      </c>
      <c r="X2005">
        <f>IF($T2005="",N($X2004),IF(MATCH($T2005,$T$6:$T$6005,0)=ROW()-5,N($X2004)+1,N($X2004)))</f>
        <v/>
      </c>
      <c r="Z2005">
        <f>IF($V2005="","",IF($AA2005&gt;N($AA2004),$AA2005,""))</f>
        <v/>
      </c>
      <c r="AA2005">
        <f>IF($V2005="",N($AA2004),IF(MATCH($V2005,$V$6:$V$6005,0)=ROW()-5,N($AA2004)+1,N($AA2004)))</f>
        <v/>
      </c>
    </row>
    <row r="2006" ht="21" customHeight="1" s="66">
      <c r="A2006" s="56" t="n"/>
      <c r="B2006" s="57" t="n"/>
      <c r="C2006" s="57" t="n"/>
      <c r="D2006" s="57" t="n"/>
      <c r="E2006" s="56" t="n"/>
      <c r="F2006" s="57" t="n"/>
      <c r="G2006" s="57" t="n"/>
      <c r="H2006" s="56" t="n"/>
      <c r="I2006" s="56" t="n"/>
      <c r="J2006" s="58" t="n"/>
      <c r="K2006" s="58" t="n"/>
      <c r="L2006" s="13">
        <f>IF(OR($A2006="",AND($J2006="",$K2006="")),"",ROUND(N($J2006)-N($K2006),2))</f>
        <v/>
      </c>
      <c r="M2006" s="13">
        <f>IF(OR($A2006="",AND($J2006="",$K2006="")),"",MIN($J2006,$K2006))</f>
        <v/>
      </c>
      <c r="Q2006">
        <f>IF($A2006="","",$D2006&amp;"("&amp;SUBSTITUTE($E2006," ","")&amp;")")</f>
        <v/>
      </c>
      <c r="R2006">
        <f>IF($A2006="","",$B2006&amp;" - "&amp;$C2006)</f>
        <v/>
      </c>
      <c r="S2006">
        <f>IF($A2006="","",$R2006&amp;"|"&amp;$Q2006)</f>
        <v/>
      </c>
      <c r="T2006">
        <f>IF($A2006="","",$S2006&amp;"|"&amp;$F2006)</f>
        <v/>
      </c>
      <c r="U2006">
        <f>IF($A2006="","",$R2006&amp;"("&amp;$E2006&amp;")")</f>
        <v/>
      </c>
      <c r="V2006">
        <f>IF($A2006="","",$F2006&amp;"|"&amp;$U2006&amp;"|"&amp;$D2006)</f>
        <v/>
      </c>
      <c r="W2006">
        <f>IF($T2006="","",IF($X2006&gt;N($X2005),$X2006,""))</f>
        <v/>
      </c>
      <c r="X2006">
        <f>IF($T2006="",N($X2005),IF(MATCH($T2006,$T$6:$T$6005,0)=ROW()-5,N($X2005)+1,N($X2005)))</f>
        <v/>
      </c>
      <c r="Z2006">
        <f>IF($V2006="","",IF($AA2006&gt;N($AA2005),$AA2006,""))</f>
        <v/>
      </c>
      <c r="AA2006">
        <f>IF($V2006="",N($AA2005),IF(MATCH($V2006,$V$6:$V$6005,0)=ROW()-5,N($AA2005)+1,N($AA2005)))</f>
        <v/>
      </c>
    </row>
    <row r="2007" ht="21" customHeight="1" s="66">
      <c r="A2007" s="56" t="n"/>
      <c r="B2007" s="57" t="n"/>
      <c r="C2007" s="57" t="n"/>
      <c r="D2007" s="57" t="n"/>
      <c r="E2007" s="56" t="n"/>
      <c r="F2007" s="57" t="n"/>
      <c r="G2007" s="57" t="n"/>
      <c r="H2007" s="56" t="n"/>
      <c r="I2007" s="56" t="n"/>
      <c r="J2007" s="58" t="n"/>
      <c r="K2007" s="58" t="n"/>
      <c r="L2007" s="13">
        <f>IF(OR($A2007="",AND($J2007="",$K2007="")),"",ROUND(N($J2007)-N($K2007),2))</f>
        <v/>
      </c>
      <c r="M2007" s="13">
        <f>IF(OR($A2007="",AND($J2007="",$K2007="")),"",MIN($J2007,$K2007))</f>
        <v/>
      </c>
      <c r="Q2007">
        <f>IF($A2007="","",$D2007&amp;"("&amp;SUBSTITUTE($E2007," ","")&amp;")")</f>
        <v/>
      </c>
      <c r="R2007">
        <f>IF($A2007="","",$B2007&amp;" - "&amp;$C2007)</f>
        <v/>
      </c>
      <c r="S2007">
        <f>IF($A2007="","",$R2007&amp;"|"&amp;$Q2007)</f>
        <v/>
      </c>
      <c r="T2007">
        <f>IF($A2007="","",$S2007&amp;"|"&amp;$F2007)</f>
        <v/>
      </c>
      <c r="U2007">
        <f>IF($A2007="","",$R2007&amp;"("&amp;$E2007&amp;")")</f>
        <v/>
      </c>
      <c r="V2007">
        <f>IF($A2007="","",$F2007&amp;"|"&amp;$U2007&amp;"|"&amp;$D2007)</f>
        <v/>
      </c>
      <c r="W2007">
        <f>IF($T2007="","",IF($X2007&gt;N($X2006),$X2007,""))</f>
        <v/>
      </c>
      <c r="X2007">
        <f>IF($T2007="",N($X2006),IF(MATCH($T2007,$T$6:$T$6005,0)=ROW()-5,N($X2006)+1,N($X2006)))</f>
        <v/>
      </c>
      <c r="Z2007">
        <f>IF($V2007="","",IF($AA2007&gt;N($AA2006),$AA2007,""))</f>
        <v/>
      </c>
      <c r="AA2007">
        <f>IF($V2007="",N($AA2006),IF(MATCH($V2007,$V$6:$V$6005,0)=ROW()-5,N($AA2006)+1,N($AA2006)))</f>
        <v/>
      </c>
    </row>
    <row r="2008" ht="21" customHeight="1" s="66">
      <c r="A2008" s="56" t="n"/>
      <c r="B2008" s="57" t="n"/>
      <c r="C2008" s="57" t="n"/>
      <c r="D2008" s="57" t="n"/>
      <c r="E2008" s="56" t="n"/>
      <c r="F2008" s="57" t="n"/>
      <c r="G2008" s="57" t="n"/>
      <c r="H2008" s="56" t="n"/>
      <c r="I2008" s="56" t="n"/>
      <c r="J2008" s="58" t="n"/>
      <c r="K2008" s="58" t="n"/>
      <c r="L2008" s="13">
        <f>IF(OR($A2008="",AND($J2008="",$K2008="")),"",ROUND(N($J2008)-N($K2008),2))</f>
        <v/>
      </c>
      <c r="M2008" s="13">
        <f>IF(OR($A2008="",AND($J2008="",$K2008="")),"",MIN($J2008,$K2008))</f>
        <v/>
      </c>
      <c r="Q2008">
        <f>IF($A2008="","",$D2008&amp;"("&amp;SUBSTITUTE($E2008," ","")&amp;")")</f>
        <v/>
      </c>
      <c r="R2008">
        <f>IF($A2008="","",$B2008&amp;" - "&amp;$C2008)</f>
        <v/>
      </c>
      <c r="S2008">
        <f>IF($A2008="","",$R2008&amp;"|"&amp;$Q2008)</f>
        <v/>
      </c>
      <c r="T2008">
        <f>IF($A2008="","",$S2008&amp;"|"&amp;$F2008)</f>
        <v/>
      </c>
      <c r="U2008">
        <f>IF($A2008="","",$R2008&amp;"("&amp;$E2008&amp;")")</f>
        <v/>
      </c>
      <c r="V2008">
        <f>IF($A2008="","",$F2008&amp;"|"&amp;$U2008&amp;"|"&amp;$D2008)</f>
        <v/>
      </c>
      <c r="W2008">
        <f>IF($T2008="","",IF($X2008&gt;N($X2007),$X2008,""))</f>
        <v/>
      </c>
      <c r="X2008">
        <f>IF($T2008="",N($X2007),IF(MATCH($T2008,$T$6:$T$6005,0)=ROW()-5,N($X2007)+1,N($X2007)))</f>
        <v/>
      </c>
      <c r="Z2008">
        <f>IF($V2008="","",IF($AA2008&gt;N($AA2007),$AA2008,""))</f>
        <v/>
      </c>
      <c r="AA2008">
        <f>IF($V2008="",N($AA2007),IF(MATCH($V2008,$V$6:$V$6005,0)=ROW()-5,N($AA2007)+1,N($AA2007)))</f>
        <v/>
      </c>
    </row>
    <row r="2009" ht="21" customHeight="1" s="66">
      <c r="A2009" s="56" t="n"/>
      <c r="B2009" s="57" t="n"/>
      <c r="C2009" s="57" t="n"/>
      <c r="D2009" s="57" t="n"/>
      <c r="E2009" s="56" t="n"/>
      <c r="F2009" s="57" t="n"/>
      <c r="G2009" s="57" t="n"/>
      <c r="H2009" s="56" t="n"/>
      <c r="I2009" s="56" t="n"/>
      <c r="J2009" s="58" t="n"/>
      <c r="K2009" s="58" t="n"/>
      <c r="L2009" s="13">
        <f>IF(OR($A2009="",AND($J2009="",$K2009="")),"",ROUND(N($J2009)-N($K2009),2))</f>
        <v/>
      </c>
      <c r="M2009" s="13">
        <f>IF(OR($A2009="",AND($J2009="",$K2009="")),"",MIN($J2009,$K2009))</f>
        <v/>
      </c>
      <c r="Q2009">
        <f>IF($A2009="","",$D2009&amp;"("&amp;SUBSTITUTE($E2009," ","")&amp;")")</f>
        <v/>
      </c>
      <c r="R2009">
        <f>IF($A2009="","",$B2009&amp;" - "&amp;$C2009)</f>
        <v/>
      </c>
      <c r="S2009">
        <f>IF($A2009="","",$R2009&amp;"|"&amp;$Q2009)</f>
        <v/>
      </c>
      <c r="T2009">
        <f>IF($A2009="","",$S2009&amp;"|"&amp;$F2009)</f>
        <v/>
      </c>
      <c r="U2009">
        <f>IF($A2009="","",$R2009&amp;"("&amp;$E2009&amp;")")</f>
        <v/>
      </c>
      <c r="V2009">
        <f>IF($A2009="","",$F2009&amp;"|"&amp;$U2009&amp;"|"&amp;$D2009)</f>
        <v/>
      </c>
      <c r="W2009">
        <f>IF($T2009="","",IF($X2009&gt;N($X2008),$X2009,""))</f>
        <v/>
      </c>
      <c r="X2009">
        <f>IF($T2009="",N($X2008),IF(MATCH($T2009,$T$6:$T$6005,0)=ROW()-5,N($X2008)+1,N($X2008)))</f>
        <v/>
      </c>
      <c r="Z2009">
        <f>IF($V2009="","",IF($AA2009&gt;N($AA2008),$AA2009,""))</f>
        <v/>
      </c>
      <c r="AA2009">
        <f>IF($V2009="",N($AA2008),IF(MATCH($V2009,$V$6:$V$6005,0)=ROW()-5,N($AA2008)+1,N($AA2008)))</f>
        <v/>
      </c>
    </row>
    <row r="2010" ht="21" customHeight="1" s="66">
      <c r="A2010" s="56" t="n"/>
      <c r="B2010" s="57" t="n"/>
      <c r="C2010" s="57" t="n"/>
      <c r="D2010" s="57" t="n"/>
      <c r="E2010" s="56" t="n"/>
      <c r="F2010" s="57" t="n"/>
      <c r="G2010" s="57" t="n"/>
      <c r="H2010" s="56" t="n"/>
      <c r="I2010" s="56" t="n"/>
      <c r="J2010" s="58" t="n"/>
      <c r="K2010" s="58" t="n"/>
      <c r="L2010" s="13">
        <f>IF(OR($A2010="",AND($J2010="",$K2010="")),"",ROUND(N($J2010)-N($K2010),2))</f>
        <v/>
      </c>
      <c r="M2010" s="13">
        <f>IF(OR($A2010="",AND($J2010="",$K2010="")),"",MIN($J2010,$K2010))</f>
        <v/>
      </c>
      <c r="Q2010">
        <f>IF($A2010="","",$D2010&amp;"("&amp;SUBSTITUTE($E2010," ","")&amp;")")</f>
        <v/>
      </c>
      <c r="R2010">
        <f>IF($A2010="","",$B2010&amp;" - "&amp;$C2010)</f>
        <v/>
      </c>
      <c r="S2010">
        <f>IF($A2010="","",$R2010&amp;"|"&amp;$Q2010)</f>
        <v/>
      </c>
      <c r="T2010">
        <f>IF($A2010="","",$S2010&amp;"|"&amp;$F2010)</f>
        <v/>
      </c>
      <c r="U2010">
        <f>IF($A2010="","",$R2010&amp;"("&amp;$E2010&amp;")")</f>
        <v/>
      </c>
      <c r="V2010">
        <f>IF($A2010="","",$F2010&amp;"|"&amp;$U2010&amp;"|"&amp;$D2010)</f>
        <v/>
      </c>
      <c r="W2010">
        <f>IF($T2010="","",IF($X2010&gt;N($X2009),$X2010,""))</f>
        <v/>
      </c>
      <c r="X2010">
        <f>IF($T2010="",N($X2009),IF(MATCH($T2010,$T$6:$T$6005,0)=ROW()-5,N($X2009)+1,N($X2009)))</f>
        <v/>
      </c>
      <c r="Z2010">
        <f>IF($V2010="","",IF($AA2010&gt;N($AA2009),$AA2010,""))</f>
        <v/>
      </c>
      <c r="AA2010">
        <f>IF($V2010="",N($AA2009),IF(MATCH($V2010,$V$6:$V$6005,0)=ROW()-5,N($AA2009)+1,N($AA2009)))</f>
        <v/>
      </c>
    </row>
    <row r="2011" ht="21" customHeight="1" s="66">
      <c r="A2011" s="56" t="n"/>
      <c r="B2011" s="57" t="n"/>
      <c r="C2011" s="57" t="n"/>
      <c r="D2011" s="57" t="n"/>
      <c r="E2011" s="56" t="n"/>
      <c r="F2011" s="57" t="n"/>
      <c r="G2011" s="57" t="n"/>
      <c r="H2011" s="56" t="n"/>
      <c r="I2011" s="56" t="n"/>
      <c r="J2011" s="58" t="n"/>
      <c r="K2011" s="58" t="n"/>
      <c r="L2011" s="13">
        <f>IF(OR($A2011="",AND($J2011="",$K2011="")),"",ROUND(N($J2011)-N($K2011),2))</f>
        <v/>
      </c>
      <c r="M2011" s="13">
        <f>IF(OR($A2011="",AND($J2011="",$K2011="")),"",MIN($J2011,$K2011))</f>
        <v/>
      </c>
      <c r="Q2011">
        <f>IF($A2011="","",$D2011&amp;"("&amp;SUBSTITUTE($E2011," ","")&amp;")")</f>
        <v/>
      </c>
      <c r="R2011">
        <f>IF($A2011="","",$B2011&amp;" - "&amp;$C2011)</f>
        <v/>
      </c>
      <c r="S2011">
        <f>IF($A2011="","",$R2011&amp;"|"&amp;$Q2011)</f>
        <v/>
      </c>
      <c r="T2011">
        <f>IF($A2011="","",$S2011&amp;"|"&amp;$F2011)</f>
        <v/>
      </c>
      <c r="U2011">
        <f>IF($A2011="","",$R2011&amp;"("&amp;$E2011&amp;")")</f>
        <v/>
      </c>
      <c r="V2011">
        <f>IF($A2011="","",$F2011&amp;"|"&amp;$U2011&amp;"|"&amp;$D2011)</f>
        <v/>
      </c>
      <c r="W2011">
        <f>IF($T2011="","",IF($X2011&gt;N($X2010),$X2011,""))</f>
        <v/>
      </c>
      <c r="X2011">
        <f>IF($T2011="",N($X2010),IF(MATCH($T2011,$T$6:$T$6005,0)=ROW()-5,N($X2010)+1,N($X2010)))</f>
        <v/>
      </c>
      <c r="Z2011">
        <f>IF($V2011="","",IF($AA2011&gt;N($AA2010),$AA2011,""))</f>
        <v/>
      </c>
      <c r="AA2011">
        <f>IF($V2011="",N($AA2010),IF(MATCH($V2011,$V$6:$V$6005,0)=ROW()-5,N($AA2010)+1,N($AA2010)))</f>
        <v/>
      </c>
    </row>
    <row r="2012" ht="21" customHeight="1" s="66">
      <c r="A2012" s="56" t="n"/>
      <c r="B2012" s="57" t="n"/>
      <c r="C2012" s="57" t="n"/>
      <c r="D2012" s="57" t="n"/>
      <c r="E2012" s="56" t="n"/>
      <c r="F2012" s="57" t="n"/>
      <c r="G2012" s="57" t="n"/>
      <c r="H2012" s="56" t="n"/>
      <c r="I2012" s="56" t="n"/>
      <c r="J2012" s="58" t="n"/>
      <c r="K2012" s="58" t="n"/>
      <c r="L2012" s="13">
        <f>IF(OR($A2012="",AND($J2012="",$K2012="")),"",ROUND(N($J2012)-N($K2012),2))</f>
        <v/>
      </c>
      <c r="M2012" s="13">
        <f>IF(OR($A2012="",AND($J2012="",$K2012="")),"",MIN($J2012,$K2012))</f>
        <v/>
      </c>
      <c r="Q2012">
        <f>IF($A2012="","",$D2012&amp;"("&amp;SUBSTITUTE($E2012," ","")&amp;")")</f>
        <v/>
      </c>
      <c r="R2012">
        <f>IF($A2012="","",$B2012&amp;" - "&amp;$C2012)</f>
        <v/>
      </c>
      <c r="S2012">
        <f>IF($A2012="","",$R2012&amp;"|"&amp;$Q2012)</f>
        <v/>
      </c>
      <c r="T2012">
        <f>IF($A2012="","",$S2012&amp;"|"&amp;$F2012)</f>
        <v/>
      </c>
      <c r="U2012">
        <f>IF($A2012="","",$R2012&amp;"("&amp;$E2012&amp;")")</f>
        <v/>
      </c>
      <c r="V2012">
        <f>IF($A2012="","",$F2012&amp;"|"&amp;$U2012&amp;"|"&amp;$D2012)</f>
        <v/>
      </c>
      <c r="W2012">
        <f>IF($T2012="","",IF($X2012&gt;N($X2011),$X2012,""))</f>
        <v/>
      </c>
      <c r="X2012">
        <f>IF($T2012="",N($X2011),IF(MATCH($T2012,$T$6:$T$6005,0)=ROW()-5,N($X2011)+1,N($X2011)))</f>
        <v/>
      </c>
      <c r="Z2012">
        <f>IF($V2012="","",IF($AA2012&gt;N($AA2011),$AA2012,""))</f>
        <v/>
      </c>
      <c r="AA2012">
        <f>IF($V2012="",N($AA2011),IF(MATCH($V2012,$V$6:$V$6005,0)=ROW()-5,N($AA2011)+1,N($AA2011)))</f>
        <v/>
      </c>
    </row>
    <row r="2013" ht="21" customHeight="1" s="66">
      <c r="A2013" s="56" t="n"/>
      <c r="B2013" s="57" t="n"/>
      <c r="C2013" s="57" t="n"/>
      <c r="D2013" s="57" t="n"/>
      <c r="E2013" s="56" t="n"/>
      <c r="F2013" s="57" t="n"/>
      <c r="G2013" s="57" t="n"/>
      <c r="H2013" s="56" t="n"/>
      <c r="I2013" s="56" t="n"/>
      <c r="J2013" s="58" t="n"/>
      <c r="K2013" s="58" t="n"/>
      <c r="L2013" s="13">
        <f>IF(OR($A2013="",AND($J2013="",$K2013="")),"",ROUND(N($J2013)-N($K2013),2))</f>
        <v/>
      </c>
      <c r="M2013" s="13">
        <f>IF(OR($A2013="",AND($J2013="",$K2013="")),"",MIN($J2013,$K2013))</f>
        <v/>
      </c>
      <c r="Q2013">
        <f>IF($A2013="","",$D2013&amp;"("&amp;SUBSTITUTE($E2013," ","")&amp;")")</f>
        <v/>
      </c>
      <c r="R2013">
        <f>IF($A2013="","",$B2013&amp;" - "&amp;$C2013)</f>
        <v/>
      </c>
      <c r="S2013">
        <f>IF($A2013="","",$R2013&amp;"|"&amp;$Q2013)</f>
        <v/>
      </c>
      <c r="T2013">
        <f>IF($A2013="","",$S2013&amp;"|"&amp;$F2013)</f>
        <v/>
      </c>
      <c r="U2013">
        <f>IF($A2013="","",$R2013&amp;"("&amp;$E2013&amp;")")</f>
        <v/>
      </c>
      <c r="V2013">
        <f>IF($A2013="","",$F2013&amp;"|"&amp;$U2013&amp;"|"&amp;$D2013)</f>
        <v/>
      </c>
      <c r="W2013">
        <f>IF($T2013="","",IF($X2013&gt;N($X2012),$X2013,""))</f>
        <v/>
      </c>
      <c r="X2013">
        <f>IF($T2013="",N($X2012),IF(MATCH($T2013,$T$6:$T$6005,0)=ROW()-5,N($X2012)+1,N($X2012)))</f>
        <v/>
      </c>
      <c r="Z2013">
        <f>IF($V2013="","",IF($AA2013&gt;N($AA2012),$AA2013,""))</f>
        <v/>
      </c>
      <c r="AA2013">
        <f>IF($V2013="",N($AA2012),IF(MATCH($V2013,$V$6:$V$6005,0)=ROW()-5,N($AA2012)+1,N($AA2012)))</f>
        <v/>
      </c>
    </row>
    <row r="2014" ht="21" customHeight="1" s="66">
      <c r="A2014" s="56" t="n"/>
      <c r="B2014" s="57" t="n"/>
      <c r="C2014" s="57" t="n"/>
      <c r="D2014" s="57" t="n"/>
      <c r="E2014" s="56" t="n"/>
      <c r="F2014" s="57" t="n"/>
      <c r="G2014" s="57" t="n"/>
      <c r="H2014" s="56" t="n"/>
      <c r="I2014" s="56" t="n"/>
      <c r="J2014" s="58" t="n"/>
      <c r="K2014" s="58" t="n"/>
      <c r="L2014" s="13">
        <f>IF(OR($A2014="",AND($J2014="",$K2014="")),"",ROUND(N($J2014)-N($K2014),2))</f>
        <v/>
      </c>
      <c r="M2014" s="13">
        <f>IF(OR($A2014="",AND($J2014="",$K2014="")),"",MIN($J2014,$K2014))</f>
        <v/>
      </c>
      <c r="Q2014">
        <f>IF($A2014="","",$D2014&amp;"("&amp;SUBSTITUTE($E2014," ","")&amp;")")</f>
        <v/>
      </c>
      <c r="R2014">
        <f>IF($A2014="","",$B2014&amp;" - "&amp;$C2014)</f>
        <v/>
      </c>
      <c r="S2014">
        <f>IF($A2014="","",$R2014&amp;"|"&amp;$Q2014)</f>
        <v/>
      </c>
      <c r="T2014">
        <f>IF($A2014="","",$S2014&amp;"|"&amp;$F2014)</f>
        <v/>
      </c>
      <c r="U2014">
        <f>IF($A2014="","",$R2014&amp;"("&amp;$E2014&amp;")")</f>
        <v/>
      </c>
      <c r="V2014">
        <f>IF($A2014="","",$F2014&amp;"|"&amp;$U2014&amp;"|"&amp;$D2014)</f>
        <v/>
      </c>
      <c r="W2014">
        <f>IF($T2014="","",IF($X2014&gt;N($X2013),$X2014,""))</f>
        <v/>
      </c>
      <c r="X2014">
        <f>IF($T2014="",N($X2013),IF(MATCH($T2014,$T$6:$T$6005,0)=ROW()-5,N($X2013)+1,N($X2013)))</f>
        <v/>
      </c>
      <c r="Z2014">
        <f>IF($V2014="","",IF($AA2014&gt;N($AA2013),$AA2014,""))</f>
        <v/>
      </c>
      <c r="AA2014">
        <f>IF($V2014="",N($AA2013),IF(MATCH($V2014,$V$6:$V$6005,0)=ROW()-5,N($AA2013)+1,N($AA2013)))</f>
        <v/>
      </c>
    </row>
    <row r="2015" ht="21" customHeight="1" s="66">
      <c r="A2015" s="56" t="n"/>
      <c r="B2015" s="57" t="n"/>
      <c r="C2015" s="57" t="n"/>
      <c r="D2015" s="57" t="n"/>
      <c r="E2015" s="56" t="n"/>
      <c r="F2015" s="57" t="n"/>
      <c r="G2015" s="57" t="n"/>
      <c r="H2015" s="56" t="n"/>
      <c r="I2015" s="56" t="n"/>
      <c r="J2015" s="58" t="n"/>
      <c r="K2015" s="58" t="n"/>
      <c r="L2015" s="13">
        <f>IF(OR($A2015="",AND($J2015="",$K2015="")),"",ROUND(N($J2015)-N($K2015),2))</f>
        <v/>
      </c>
      <c r="M2015" s="13">
        <f>IF(OR($A2015="",AND($J2015="",$K2015="")),"",MIN($J2015,$K2015))</f>
        <v/>
      </c>
      <c r="Q2015">
        <f>IF($A2015="","",$D2015&amp;"("&amp;SUBSTITUTE($E2015," ","")&amp;")")</f>
        <v/>
      </c>
      <c r="R2015">
        <f>IF($A2015="","",$B2015&amp;" - "&amp;$C2015)</f>
        <v/>
      </c>
      <c r="S2015">
        <f>IF($A2015="","",$R2015&amp;"|"&amp;$Q2015)</f>
        <v/>
      </c>
      <c r="T2015">
        <f>IF($A2015="","",$S2015&amp;"|"&amp;$F2015)</f>
        <v/>
      </c>
      <c r="U2015">
        <f>IF($A2015="","",$R2015&amp;"("&amp;$E2015&amp;")")</f>
        <v/>
      </c>
      <c r="V2015">
        <f>IF($A2015="","",$F2015&amp;"|"&amp;$U2015&amp;"|"&amp;$D2015)</f>
        <v/>
      </c>
      <c r="W2015">
        <f>IF($T2015="","",IF($X2015&gt;N($X2014),$X2015,""))</f>
        <v/>
      </c>
      <c r="X2015">
        <f>IF($T2015="",N($X2014),IF(MATCH($T2015,$T$6:$T$6005,0)=ROW()-5,N($X2014)+1,N($X2014)))</f>
        <v/>
      </c>
      <c r="Z2015">
        <f>IF($V2015="","",IF($AA2015&gt;N($AA2014),$AA2015,""))</f>
        <v/>
      </c>
      <c r="AA2015">
        <f>IF($V2015="",N($AA2014),IF(MATCH($V2015,$V$6:$V$6005,0)=ROW()-5,N($AA2014)+1,N($AA2014)))</f>
        <v/>
      </c>
    </row>
    <row r="2016" ht="21" customHeight="1" s="66">
      <c r="A2016" s="56" t="n"/>
      <c r="B2016" s="57" t="n"/>
      <c r="C2016" s="57" t="n"/>
      <c r="D2016" s="57" t="n"/>
      <c r="E2016" s="56" t="n"/>
      <c r="F2016" s="57" t="n"/>
      <c r="G2016" s="57" t="n"/>
      <c r="H2016" s="56" t="n"/>
      <c r="I2016" s="56" t="n"/>
      <c r="J2016" s="58" t="n"/>
      <c r="K2016" s="58" t="n"/>
      <c r="L2016" s="13">
        <f>IF(OR($A2016="",AND($J2016="",$K2016="")),"",ROUND(N($J2016)-N($K2016),2))</f>
        <v/>
      </c>
      <c r="M2016" s="13">
        <f>IF(OR($A2016="",AND($J2016="",$K2016="")),"",MIN($J2016,$K2016))</f>
        <v/>
      </c>
      <c r="Q2016">
        <f>IF($A2016="","",$D2016&amp;"("&amp;SUBSTITUTE($E2016," ","")&amp;")")</f>
        <v/>
      </c>
      <c r="R2016">
        <f>IF($A2016="","",$B2016&amp;" - "&amp;$C2016)</f>
        <v/>
      </c>
      <c r="S2016">
        <f>IF($A2016="","",$R2016&amp;"|"&amp;$Q2016)</f>
        <v/>
      </c>
      <c r="T2016">
        <f>IF($A2016="","",$S2016&amp;"|"&amp;$F2016)</f>
        <v/>
      </c>
      <c r="U2016">
        <f>IF($A2016="","",$R2016&amp;"("&amp;$E2016&amp;")")</f>
        <v/>
      </c>
      <c r="V2016">
        <f>IF($A2016="","",$F2016&amp;"|"&amp;$U2016&amp;"|"&amp;$D2016)</f>
        <v/>
      </c>
      <c r="W2016">
        <f>IF($T2016="","",IF($X2016&gt;N($X2015),$X2016,""))</f>
        <v/>
      </c>
      <c r="X2016">
        <f>IF($T2016="",N($X2015),IF(MATCH($T2016,$T$6:$T$6005,0)=ROW()-5,N($X2015)+1,N($X2015)))</f>
        <v/>
      </c>
      <c r="Z2016">
        <f>IF($V2016="","",IF($AA2016&gt;N($AA2015),$AA2016,""))</f>
        <v/>
      </c>
      <c r="AA2016">
        <f>IF($V2016="",N($AA2015),IF(MATCH($V2016,$V$6:$V$6005,0)=ROW()-5,N($AA2015)+1,N($AA2015)))</f>
        <v/>
      </c>
    </row>
    <row r="2017" ht="21" customHeight="1" s="66">
      <c r="A2017" s="56" t="n"/>
      <c r="B2017" s="57" t="n"/>
      <c r="C2017" s="57" t="n"/>
      <c r="D2017" s="57" t="n"/>
      <c r="E2017" s="56" t="n"/>
      <c r="F2017" s="57" t="n"/>
      <c r="G2017" s="57" t="n"/>
      <c r="H2017" s="56" t="n"/>
      <c r="I2017" s="56" t="n"/>
      <c r="J2017" s="58" t="n"/>
      <c r="K2017" s="58" t="n"/>
      <c r="L2017" s="13">
        <f>IF(OR($A2017="",AND($J2017="",$K2017="")),"",ROUND(N($J2017)-N($K2017),2))</f>
        <v/>
      </c>
      <c r="M2017" s="13">
        <f>IF(OR($A2017="",AND($J2017="",$K2017="")),"",MIN($J2017,$K2017))</f>
        <v/>
      </c>
      <c r="Q2017">
        <f>IF($A2017="","",$D2017&amp;"("&amp;SUBSTITUTE($E2017," ","")&amp;")")</f>
        <v/>
      </c>
      <c r="R2017">
        <f>IF($A2017="","",$B2017&amp;" - "&amp;$C2017)</f>
        <v/>
      </c>
      <c r="S2017">
        <f>IF($A2017="","",$R2017&amp;"|"&amp;$Q2017)</f>
        <v/>
      </c>
      <c r="T2017">
        <f>IF($A2017="","",$S2017&amp;"|"&amp;$F2017)</f>
        <v/>
      </c>
      <c r="U2017">
        <f>IF($A2017="","",$R2017&amp;"("&amp;$E2017&amp;")")</f>
        <v/>
      </c>
      <c r="V2017">
        <f>IF($A2017="","",$F2017&amp;"|"&amp;$U2017&amp;"|"&amp;$D2017)</f>
        <v/>
      </c>
      <c r="W2017">
        <f>IF($T2017="","",IF($X2017&gt;N($X2016),$X2017,""))</f>
        <v/>
      </c>
      <c r="X2017">
        <f>IF($T2017="",N($X2016),IF(MATCH($T2017,$T$6:$T$6005,0)=ROW()-5,N($X2016)+1,N($X2016)))</f>
        <v/>
      </c>
      <c r="Z2017">
        <f>IF($V2017="","",IF($AA2017&gt;N($AA2016),$AA2017,""))</f>
        <v/>
      </c>
      <c r="AA2017">
        <f>IF($V2017="",N($AA2016),IF(MATCH($V2017,$V$6:$V$6005,0)=ROW()-5,N($AA2016)+1,N($AA2016)))</f>
        <v/>
      </c>
    </row>
    <row r="2018" ht="21" customHeight="1" s="66">
      <c r="A2018" s="56" t="n"/>
      <c r="B2018" s="57" t="n"/>
      <c r="C2018" s="57" t="n"/>
      <c r="D2018" s="57" t="n"/>
      <c r="E2018" s="56" t="n"/>
      <c r="F2018" s="57" t="n"/>
      <c r="G2018" s="57" t="n"/>
      <c r="H2018" s="56" t="n"/>
      <c r="I2018" s="56" t="n"/>
      <c r="J2018" s="58" t="n"/>
      <c r="K2018" s="58" t="n"/>
      <c r="L2018" s="13">
        <f>IF(OR($A2018="",AND($J2018="",$K2018="")),"",ROUND(N($J2018)-N($K2018),2))</f>
        <v/>
      </c>
      <c r="M2018" s="13">
        <f>IF(OR($A2018="",AND($J2018="",$K2018="")),"",MIN($J2018,$K2018))</f>
        <v/>
      </c>
      <c r="Q2018">
        <f>IF($A2018="","",$D2018&amp;"("&amp;SUBSTITUTE($E2018," ","")&amp;")")</f>
        <v/>
      </c>
      <c r="R2018">
        <f>IF($A2018="","",$B2018&amp;" - "&amp;$C2018)</f>
        <v/>
      </c>
      <c r="S2018">
        <f>IF($A2018="","",$R2018&amp;"|"&amp;$Q2018)</f>
        <v/>
      </c>
      <c r="T2018">
        <f>IF($A2018="","",$S2018&amp;"|"&amp;$F2018)</f>
        <v/>
      </c>
      <c r="U2018">
        <f>IF($A2018="","",$R2018&amp;"("&amp;$E2018&amp;")")</f>
        <v/>
      </c>
      <c r="V2018">
        <f>IF($A2018="","",$F2018&amp;"|"&amp;$U2018&amp;"|"&amp;$D2018)</f>
        <v/>
      </c>
      <c r="W2018">
        <f>IF($T2018="","",IF($X2018&gt;N($X2017),$X2018,""))</f>
        <v/>
      </c>
      <c r="X2018">
        <f>IF($T2018="",N($X2017),IF(MATCH($T2018,$T$6:$T$6005,0)=ROW()-5,N($X2017)+1,N($X2017)))</f>
        <v/>
      </c>
      <c r="Z2018">
        <f>IF($V2018="","",IF($AA2018&gt;N($AA2017),$AA2018,""))</f>
        <v/>
      </c>
      <c r="AA2018">
        <f>IF($V2018="",N($AA2017),IF(MATCH($V2018,$V$6:$V$6005,0)=ROW()-5,N($AA2017)+1,N($AA2017)))</f>
        <v/>
      </c>
    </row>
    <row r="2019" ht="21" customHeight="1" s="66">
      <c r="A2019" s="56" t="n"/>
      <c r="B2019" s="57" t="n"/>
      <c r="C2019" s="57" t="n"/>
      <c r="D2019" s="57" t="n"/>
      <c r="E2019" s="56" t="n"/>
      <c r="F2019" s="57" t="n"/>
      <c r="G2019" s="57" t="n"/>
      <c r="H2019" s="56" t="n"/>
      <c r="I2019" s="56" t="n"/>
      <c r="J2019" s="58" t="n"/>
      <c r="K2019" s="58" t="n"/>
      <c r="L2019" s="13">
        <f>IF(OR($A2019="",AND($J2019="",$K2019="")),"",ROUND(N($J2019)-N($K2019),2))</f>
        <v/>
      </c>
      <c r="M2019" s="13">
        <f>IF(OR($A2019="",AND($J2019="",$K2019="")),"",MIN($J2019,$K2019))</f>
        <v/>
      </c>
      <c r="Q2019">
        <f>IF($A2019="","",$D2019&amp;"("&amp;SUBSTITUTE($E2019," ","")&amp;")")</f>
        <v/>
      </c>
      <c r="R2019">
        <f>IF($A2019="","",$B2019&amp;" - "&amp;$C2019)</f>
        <v/>
      </c>
      <c r="S2019">
        <f>IF($A2019="","",$R2019&amp;"|"&amp;$Q2019)</f>
        <v/>
      </c>
      <c r="T2019">
        <f>IF($A2019="","",$S2019&amp;"|"&amp;$F2019)</f>
        <v/>
      </c>
      <c r="U2019">
        <f>IF($A2019="","",$R2019&amp;"("&amp;$E2019&amp;")")</f>
        <v/>
      </c>
      <c r="V2019">
        <f>IF($A2019="","",$F2019&amp;"|"&amp;$U2019&amp;"|"&amp;$D2019)</f>
        <v/>
      </c>
      <c r="W2019">
        <f>IF($T2019="","",IF($X2019&gt;N($X2018),$X2019,""))</f>
        <v/>
      </c>
      <c r="X2019">
        <f>IF($T2019="",N($X2018),IF(MATCH($T2019,$T$6:$T$6005,0)=ROW()-5,N($X2018)+1,N($X2018)))</f>
        <v/>
      </c>
      <c r="Z2019">
        <f>IF($V2019="","",IF($AA2019&gt;N($AA2018),$AA2019,""))</f>
        <v/>
      </c>
      <c r="AA2019">
        <f>IF($V2019="",N($AA2018),IF(MATCH($V2019,$V$6:$V$6005,0)=ROW()-5,N($AA2018)+1,N($AA2018)))</f>
        <v/>
      </c>
    </row>
    <row r="2020" ht="21" customHeight="1" s="66">
      <c r="A2020" s="56" t="n"/>
      <c r="B2020" s="57" t="n"/>
      <c r="C2020" s="57" t="n"/>
      <c r="D2020" s="57" t="n"/>
      <c r="E2020" s="56" t="n"/>
      <c r="F2020" s="57" t="n"/>
      <c r="G2020" s="57" t="n"/>
      <c r="H2020" s="56" t="n"/>
      <c r="I2020" s="56" t="n"/>
      <c r="J2020" s="58" t="n"/>
      <c r="K2020" s="58" t="n"/>
      <c r="L2020" s="13">
        <f>IF(OR($A2020="",AND($J2020="",$K2020="")),"",ROUND(N($J2020)-N($K2020),2))</f>
        <v/>
      </c>
      <c r="M2020" s="13">
        <f>IF(OR($A2020="",AND($J2020="",$K2020="")),"",MIN($J2020,$K2020))</f>
        <v/>
      </c>
      <c r="Q2020">
        <f>IF($A2020="","",$D2020&amp;"("&amp;SUBSTITUTE($E2020," ","")&amp;")")</f>
        <v/>
      </c>
      <c r="R2020">
        <f>IF($A2020="","",$B2020&amp;" - "&amp;$C2020)</f>
        <v/>
      </c>
      <c r="S2020">
        <f>IF($A2020="","",$R2020&amp;"|"&amp;$Q2020)</f>
        <v/>
      </c>
      <c r="T2020">
        <f>IF($A2020="","",$S2020&amp;"|"&amp;$F2020)</f>
        <v/>
      </c>
      <c r="U2020">
        <f>IF($A2020="","",$R2020&amp;"("&amp;$E2020&amp;")")</f>
        <v/>
      </c>
      <c r="V2020">
        <f>IF($A2020="","",$F2020&amp;"|"&amp;$U2020&amp;"|"&amp;$D2020)</f>
        <v/>
      </c>
      <c r="W2020">
        <f>IF($T2020="","",IF($X2020&gt;N($X2019),$X2020,""))</f>
        <v/>
      </c>
      <c r="X2020">
        <f>IF($T2020="",N($X2019),IF(MATCH($T2020,$T$6:$T$6005,0)=ROW()-5,N($X2019)+1,N($X2019)))</f>
        <v/>
      </c>
      <c r="Z2020">
        <f>IF($V2020="","",IF($AA2020&gt;N($AA2019),$AA2020,""))</f>
        <v/>
      </c>
      <c r="AA2020">
        <f>IF($V2020="",N($AA2019),IF(MATCH($V2020,$V$6:$V$6005,0)=ROW()-5,N($AA2019)+1,N($AA2019)))</f>
        <v/>
      </c>
    </row>
    <row r="2021" ht="21" customHeight="1" s="66">
      <c r="A2021" s="56" t="n"/>
      <c r="B2021" s="57" t="n"/>
      <c r="C2021" s="57" t="n"/>
      <c r="D2021" s="57" t="n"/>
      <c r="E2021" s="56" t="n"/>
      <c r="F2021" s="57" t="n"/>
      <c r="G2021" s="57" t="n"/>
      <c r="H2021" s="56" t="n"/>
      <c r="I2021" s="56" t="n"/>
      <c r="J2021" s="58" t="n"/>
      <c r="K2021" s="58" t="n"/>
      <c r="L2021" s="13">
        <f>IF(OR($A2021="",AND($J2021="",$K2021="")),"",ROUND(N($J2021)-N($K2021),2))</f>
        <v/>
      </c>
      <c r="M2021" s="13">
        <f>IF(OR($A2021="",AND($J2021="",$K2021="")),"",MIN($J2021,$K2021))</f>
        <v/>
      </c>
      <c r="Q2021">
        <f>IF($A2021="","",$D2021&amp;"("&amp;SUBSTITUTE($E2021," ","")&amp;")")</f>
        <v/>
      </c>
      <c r="R2021">
        <f>IF($A2021="","",$B2021&amp;" - "&amp;$C2021)</f>
        <v/>
      </c>
      <c r="S2021">
        <f>IF($A2021="","",$R2021&amp;"|"&amp;$Q2021)</f>
        <v/>
      </c>
      <c r="T2021">
        <f>IF($A2021="","",$S2021&amp;"|"&amp;$F2021)</f>
        <v/>
      </c>
      <c r="U2021">
        <f>IF($A2021="","",$R2021&amp;"("&amp;$E2021&amp;")")</f>
        <v/>
      </c>
      <c r="V2021">
        <f>IF($A2021="","",$F2021&amp;"|"&amp;$U2021&amp;"|"&amp;$D2021)</f>
        <v/>
      </c>
      <c r="W2021">
        <f>IF($T2021="","",IF($X2021&gt;N($X2020),$X2021,""))</f>
        <v/>
      </c>
      <c r="X2021">
        <f>IF($T2021="",N($X2020),IF(MATCH($T2021,$T$6:$T$6005,0)=ROW()-5,N($X2020)+1,N($X2020)))</f>
        <v/>
      </c>
      <c r="Z2021">
        <f>IF($V2021="","",IF($AA2021&gt;N($AA2020),$AA2021,""))</f>
        <v/>
      </c>
      <c r="AA2021">
        <f>IF($V2021="",N($AA2020),IF(MATCH($V2021,$V$6:$V$6005,0)=ROW()-5,N($AA2020)+1,N($AA2020)))</f>
        <v/>
      </c>
    </row>
    <row r="2022" ht="21" customHeight="1" s="66">
      <c r="A2022" s="56" t="n"/>
      <c r="B2022" s="57" t="n"/>
      <c r="C2022" s="57" t="n"/>
      <c r="D2022" s="57" t="n"/>
      <c r="E2022" s="56" t="n"/>
      <c r="F2022" s="57" t="n"/>
      <c r="G2022" s="57" t="n"/>
      <c r="H2022" s="56" t="n"/>
      <c r="I2022" s="56" t="n"/>
      <c r="J2022" s="58" t="n"/>
      <c r="K2022" s="58" t="n"/>
      <c r="L2022" s="13">
        <f>IF(OR($A2022="",AND($J2022="",$K2022="")),"",ROUND(N($J2022)-N($K2022),2))</f>
        <v/>
      </c>
      <c r="M2022" s="13">
        <f>IF(OR($A2022="",AND($J2022="",$K2022="")),"",MIN($J2022,$K2022))</f>
        <v/>
      </c>
      <c r="Q2022">
        <f>IF($A2022="","",$D2022&amp;"("&amp;SUBSTITUTE($E2022," ","")&amp;")")</f>
        <v/>
      </c>
      <c r="R2022">
        <f>IF($A2022="","",$B2022&amp;" - "&amp;$C2022)</f>
        <v/>
      </c>
      <c r="S2022">
        <f>IF($A2022="","",$R2022&amp;"|"&amp;$Q2022)</f>
        <v/>
      </c>
      <c r="T2022">
        <f>IF($A2022="","",$S2022&amp;"|"&amp;$F2022)</f>
        <v/>
      </c>
      <c r="U2022">
        <f>IF($A2022="","",$R2022&amp;"("&amp;$E2022&amp;")")</f>
        <v/>
      </c>
      <c r="V2022">
        <f>IF($A2022="","",$F2022&amp;"|"&amp;$U2022&amp;"|"&amp;$D2022)</f>
        <v/>
      </c>
      <c r="W2022">
        <f>IF($T2022="","",IF($X2022&gt;N($X2021),$X2022,""))</f>
        <v/>
      </c>
      <c r="X2022">
        <f>IF($T2022="",N($X2021),IF(MATCH($T2022,$T$6:$T$6005,0)=ROW()-5,N($X2021)+1,N($X2021)))</f>
        <v/>
      </c>
      <c r="Z2022">
        <f>IF($V2022="","",IF($AA2022&gt;N($AA2021),$AA2022,""))</f>
        <v/>
      </c>
      <c r="AA2022">
        <f>IF($V2022="",N($AA2021),IF(MATCH($V2022,$V$6:$V$6005,0)=ROW()-5,N($AA2021)+1,N($AA2021)))</f>
        <v/>
      </c>
    </row>
    <row r="2023" ht="21" customHeight="1" s="66">
      <c r="A2023" s="56" t="n"/>
      <c r="B2023" s="57" t="n"/>
      <c r="C2023" s="57" t="n"/>
      <c r="D2023" s="57" t="n"/>
      <c r="E2023" s="56" t="n"/>
      <c r="F2023" s="57" t="n"/>
      <c r="G2023" s="57" t="n"/>
      <c r="H2023" s="56" t="n"/>
      <c r="I2023" s="56" t="n"/>
      <c r="J2023" s="58" t="n"/>
      <c r="K2023" s="58" t="n"/>
      <c r="L2023" s="13">
        <f>IF(OR($A2023="",AND($J2023="",$K2023="")),"",ROUND(N($J2023)-N($K2023),2))</f>
        <v/>
      </c>
      <c r="M2023" s="13">
        <f>IF(OR($A2023="",AND($J2023="",$K2023="")),"",MIN($J2023,$K2023))</f>
        <v/>
      </c>
      <c r="Q2023">
        <f>IF($A2023="","",$D2023&amp;"("&amp;SUBSTITUTE($E2023," ","")&amp;")")</f>
        <v/>
      </c>
      <c r="R2023">
        <f>IF($A2023="","",$B2023&amp;" - "&amp;$C2023)</f>
        <v/>
      </c>
      <c r="S2023">
        <f>IF($A2023="","",$R2023&amp;"|"&amp;$Q2023)</f>
        <v/>
      </c>
      <c r="T2023">
        <f>IF($A2023="","",$S2023&amp;"|"&amp;$F2023)</f>
        <v/>
      </c>
      <c r="U2023">
        <f>IF($A2023="","",$R2023&amp;"("&amp;$E2023&amp;")")</f>
        <v/>
      </c>
      <c r="V2023">
        <f>IF($A2023="","",$F2023&amp;"|"&amp;$U2023&amp;"|"&amp;$D2023)</f>
        <v/>
      </c>
      <c r="W2023">
        <f>IF($T2023="","",IF($X2023&gt;N($X2022),$X2023,""))</f>
        <v/>
      </c>
      <c r="X2023">
        <f>IF($T2023="",N($X2022),IF(MATCH($T2023,$T$6:$T$6005,0)=ROW()-5,N($X2022)+1,N($X2022)))</f>
        <v/>
      </c>
      <c r="Z2023">
        <f>IF($V2023="","",IF($AA2023&gt;N($AA2022),$AA2023,""))</f>
        <v/>
      </c>
      <c r="AA2023">
        <f>IF($V2023="",N($AA2022),IF(MATCH($V2023,$V$6:$V$6005,0)=ROW()-5,N($AA2022)+1,N($AA2022)))</f>
        <v/>
      </c>
    </row>
    <row r="2024" ht="21" customHeight="1" s="66">
      <c r="A2024" s="56" t="n"/>
      <c r="B2024" s="57" t="n"/>
      <c r="C2024" s="57" t="n"/>
      <c r="D2024" s="57" t="n"/>
      <c r="E2024" s="56" t="n"/>
      <c r="F2024" s="57" t="n"/>
      <c r="G2024" s="57" t="n"/>
      <c r="H2024" s="56" t="n"/>
      <c r="I2024" s="56" t="n"/>
      <c r="J2024" s="58" t="n"/>
      <c r="K2024" s="58" t="n"/>
      <c r="L2024" s="13">
        <f>IF(OR($A2024="",AND($J2024="",$K2024="")),"",ROUND(N($J2024)-N($K2024),2))</f>
        <v/>
      </c>
      <c r="M2024" s="13">
        <f>IF(OR($A2024="",AND($J2024="",$K2024="")),"",MIN($J2024,$K2024))</f>
        <v/>
      </c>
      <c r="Q2024">
        <f>IF($A2024="","",$D2024&amp;"("&amp;SUBSTITUTE($E2024," ","")&amp;")")</f>
        <v/>
      </c>
      <c r="R2024">
        <f>IF($A2024="","",$B2024&amp;" - "&amp;$C2024)</f>
        <v/>
      </c>
      <c r="S2024">
        <f>IF($A2024="","",$R2024&amp;"|"&amp;$Q2024)</f>
        <v/>
      </c>
      <c r="T2024">
        <f>IF($A2024="","",$S2024&amp;"|"&amp;$F2024)</f>
        <v/>
      </c>
      <c r="U2024">
        <f>IF($A2024="","",$R2024&amp;"("&amp;$E2024&amp;")")</f>
        <v/>
      </c>
      <c r="V2024">
        <f>IF($A2024="","",$F2024&amp;"|"&amp;$U2024&amp;"|"&amp;$D2024)</f>
        <v/>
      </c>
      <c r="W2024">
        <f>IF($T2024="","",IF($X2024&gt;N($X2023),$X2024,""))</f>
        <v/>
      </c>
      <c r="X2024">
        <f>IF($T2024="",N($X2023),IF(MATCH($T2024,$T$6:$T$6005,0)=ROW()-5,N($X2023)+1,N($X2023)))</f>
        <v/>
      </c>
      <c r="Z2024">
        <f>IF($V2024="","",IF($AA2024&gt;N($AA2023),$AA2024,""))</f>
        <v/>
      </c>
      <c r="AA2024">
        <f>IF($V2024="",N($AA2023),IF(MATCH($V2024,$V$6:$V$6005,0)=ROW()-5,N($AA2023)+1,N($AA2023)))</f>
        <v/>
      </c>
    </row>
    <row r="2025" ht="21" customHeight="1" s="66">
      <c r="A2025" s="56" t="n"/>
      <c r="B2025" s="57" t="n"/>
      <c r="C2025" s="57" t="n"/>
      <c r="D2025" s="57" t="n"/>
      <c r="E2025" s="56" t="n"/>
      <c r="F2025" s="57" t="n"/>
      <c r="G2025" s="57" t="n"/>
      <c r="H2025" s="56" t="n"/>
      <c r="I2025" s="56" t="n"/>
      <c r="J2025" s="58" t="n"/>
      <c r="K2025" s="58" t="n"/>
      <c r="L2025" s="13">
        <f>IF(OR($A2025="",AND($J2025="",$K2025="")),"",ROUND(N($J2025)-N($K2025),2))</f>
        <v/>
      </c>
      <c r="M2025" s="13">
        <f>IF(OR($A2025="",AND($J2025="",$K2025="")),"",MIN($J2025,$K2025))</f>
        <v/>
      </c>
      <c r="Q2025">
        <f>IF($A2025="","",$D2025&amp;"("&amp;SUBSTITUTE($E2025," ","")&amp;")")</f>
        <v/>
      </c>
      <c r="R2025">
        <f>IF($A2025="","",$B2025&amp;" - "&amp;$C2025)</f>
        <v/>
      </c>
      <c r="S2025">
        <f>IF($A2025="","",$R2025&amp;"|"&amp;$Q2025)</f>
        <v/>
      </c>
      <c r="T2025">
        <f>IF($A2025="","",$S2025&amp;"|"&amp;$F2025)</f>
        <v/>
      </c>
      <c r="U2025">
        <f>IF($A2025="","",$R2025&amp;"("&amp;$E2025&amp;")")</f>
        <v/>
      </c>
      <c r="V2025">
        <f>IF($A2025="","",$F2025&amp;"|"&amp;$U2025&amp;"|"&amp;$D2025)</f>
        <v/>
      </c>
      <c r="W2025">
        <f>IF($T2025="","",IF($X2025&gt;N($X2024),$X2025,""))</f>
        <v/>
      </c>
      <c r="X2025">
        <f>IF($T2025="",N($X2024),IF(MATCH($T2025,$T$6:$T$6005,0)=ROW()-5,N($X2024)+1,N($X2024)))</f>
        <v/>
      </c>
      <c r="Z2025">
        <f>IF($V2025="","",IF($AA2025&gt;N($AA2024),$AA2025,""))</f>
        <v/>
      </c>
      <c r="AA2025">
        <f>IF($V2025="",N($AA2024),IF(MATCH($V2025,$V$6:$V$6005,0)=ROW()-5,N($AA2024)+1,N($AA2024)))</f>
        <v/>
      </c>
    </row>
    <row r="2026" ht="21" customHeight="1" s="66">
      <c r="A2026" s="56" t="n"/>
      <c r="B2026" s="57" t="n"/>
      <c r="C2026" s="57" t="n"/>
      <c r="D2026" s="57" t="n"/>
      <c r="E2026" s="56" t="n"/>
      <c r="F2026" s="57" t="n"/>
      <c r="G2026" s="57" t="n"/>
      <c r="H2026" s="56" t="n"/>
      <c r="I2026" s="56" t="n"/>
      <c r="J2026" s="58" t="n"/>
      <c r="K2026" s="58" t="n"/>
      <c r="L2026" s="13">
        <f>IF(OR($A2026="",AND($J2026="",$K2026="")),"",ROUND(N($J2026)-N($K2026),2))</f>
        <v/>
      </c>
      <c r="M2026" s="13">
        <f>IF(OR($A2026="",AND($J2026="",$K2026="")),"",MIN($J2026,$K2026))</f>
        <v/>
      </c>
      <c r="Q2026">
        <f>IF($A2026="","",$D2026&amp;"("&amp;SUBSTITUTE($E2026," ","")&amp;")")</f>
        <v/>
      </c>
      <c r="R2026">
        <f>IF($A2026="","",$B2026&amp;" - "&amp;$C2026)</f>
        <v/>
      </c>
      <c r="S2026">
        <f>IF($A2026="","",$R2026&amp;"|"&amp;$Q2026)</f>
        <v/>
      </c>
      <c r="T2026">
        <f>IF($A2026="","",$S2026&amp;"|"&amp;$F2026)</f>
        <v/>
      </c>
      <c r="U2026">
        <f>IF($A2026="","",$R2026&amp;"("&amp;$E2026&amp;")")</f>
        <v/>
      </c>
      <c r="V2026">
        <f>IF($A2026="","",$F2026&amp;"|"&amp;$U2026&amp;"|"&amp;$D2026)</f>
        <v/>
      </c>
      <c r="W2026">
        <f>IF($T2026="","",IF($X2026&gt;N($X2025),$X2026,""))</f>
        <v/>
      </c>
      <c r="X2026">
        <f>IF($T2026="",N($X2025),IF(MATCH($T2026,$T$6:$T$6005,0)=ROW()-5,N($X2025)+1,N($X2025)))</f>
        <v/>
      </c>
      <c r="Z2026">
        <f>IF($V2026="","",IF($AA2026&gt;N($AA2025),$AA2026,""))</f>
        <v/>
      </c>
      <c r="AA2026">
        <f>IF($V2026="",N($AA2025),IF(MATCH($V2026,$V$6:$V$6005,0)=ROW()-5,N($AA2025)+1,N($AA2025)))</f>
        <v/>
      </c>
    </row>
    <row r="2027" ht="21" customHeight="1" s="66">
      <c r="A2027" s="56" t="n"/>
      <c r="B2027" s="57" t="n"/>
      <c r="C2027" s="57" t="n"/>
      <c r="D2027" s="57" t="n"/>
      <c r="E2027" s="56" t="n"/>
      <c r="F2027" s="57" t="n"/>
      <c r="G2027" s="57" t="n"/>
      <c r="H2027" s="56" t="n"/>
      <c r="I2027" s="56" t="n"/>
      <c r="J2027" s="58" t="n"/>
      <c r="K2027" s="58" t="n"/>
      <c r="L2027" s="13">
        <f>IF(OR($A2027="",AND($J2027="",$K2027="")),"",ROUND(N($J2027)-N($K2027),2))</f>
        <v/>
      </c>
      <c r="M2027" s="13">
        <f>IF(OR($A2027="",AND($J2027="",$K2027="")),"",MIN($J2027,$K2027))</f>
        <v/>
      </c>
      <c r="Q2027">
        <f>IF($A2027="","",$D2027&amp;"("&amp;SUBSTITUTE($E2027," ","")&amp;")")</f>
        <v/>
      </c>
      <c r="R2027">
        <f>IF($A2027="","",$B2027&amp;" - "&amp;$C2027)</f>
        <v/>
      </c>
      <c r="S2027">
        <f>IF($A2027="","",$R2027&amp;"|"&amp;$Q2027)</f>
        <v/>
      </c>
      <c r="T2027">
        <f>IF($A2027="","",$S2027&amp;"|"&amp;$F2027)</f>
        <v/>
      </c>
      <c r="U2027">
        <f>IF($A2027="","",$R2027&amp;"("&amp;$E2027&amp;")")</f>
        <v/>
      </c>
      <c r="V2027">
        <f>IF($A2027="","",$F2027&amp;"|"&amp;$U2027&amp;"|"&amp;$D2027)</f>
        <v/>
      </c>
      <c r="W2027">
        <f>IF($T2027="","",IF($X2027&gt;N($X2026),$X2027,""))</f>
        <v/>
      </c>
      <c r="X2027">
        <f>IF($T2027="",N($X2026),IF(MATCH($T2027,$T$6:$T$6005,0)=ROW()-5,N($X2026)+1,N($X2026)))</f>
        <v/>
      </c>
      <c r="Z2027">
        <f>IF($V2027="","",IF($AA2027&gt;N($AA2026),$AA2027,""))</f>
        <v/>
      </c>
      <c r="AA2027">
        <f>IF($V2027="",N($AA2026),IF(MATCH($V2027,$V$6:$V$6005,0)=ROW()-5,N($AA2026)+1,N($AA2026)))</f>
        <v/>
      </c>
    </row>
    <row r="2028" ht="21" customHeight="1" s="66">
      <c r="A2028" s="56" t="n"/>
      <c r="B2028" s="57" t="n"/>
      <c r="C2028" s="57" t="n"/>
      <c r="D2028" s="57" t="n"/>
      <c r="E2028" s="56" t="n"/>
      <c r="F2028" s="57" t="n"/>
      <c r="G2028" s="57" t="n"/>
      <c r="H2028" s="56" t="n"/>
      <c r="I2028" s="56" t="n"/>
      <c r="J2028" s="58" t="n"/>
      <c r="K2028" s="58" t="n"/>
      <c r="L2028" s="13">
        <f>IF(OR($A2028="",AND($J2028="",$K2028="")),"",ROUND(N($J2028)-N($K2028),2))</f>
        <v/>
      </c>
      <c r="M2028" s="13">
        <f>IF(OR($A2028="",AND($J2028="",$K2028="")),"",MIN($J2028,$K2028))</f>
        <v/>
      </c>
      <c r="Q2028">
        <f>IF($A2028="","",$D2028&amp;"("&amp;SUBSTITUTE($E2028," ","")&amp;")")</f>
        <v/>
      </c>
      <c r="R2028">
        <f>IF($A2028="","",$B2028&amp;" - "&amp;$C2028)</f>
        <v/>
      </c>
      <c r="S2028">
        <f>IF($A2028="","",$R2028&amp;"|"&amp;$Q2028)</f>
        <v/>
      </c>
      <c r="T2028">
        <f>IF($A2028="","",$S2028&amp;"|"&amp;$F2028)</f>
        <v/>
      </c>
      <c r="U2028">
        <f>IF($A2028="","",$R2028&amp;"("&amp;$E2028&amp;")")</f>
        <v/>
      </c>
      <c r="V2028">
        <f>IF($A2028="","",$F2028&amp;"|"&amp;$U2028&amp;"|"&amp;$D2028)</f>
        <v/>
      </c>
      <c r="W2028">
        <f>IF($T2028="","",IF($X2028&gt;N($X2027),$X2028,""))</f>
        <v/>
      </c>
      <c r="X2028">
        <f>IF($T2028="",N($X2027),IF(MATCH($T2028,$T$6:$T$6005,0)=ROW()-5,N($X2027)+1,N($X2027)))</f>
        <v/>
      </c>
      <c r="Z2028">
        <f>IF($V2028="","",IF($AA2028&gt;N($AA2027),$AA2028,""))</f>
        <v/>
      </c>
      <c r="AA2028">
        <f>IF($V2028="",N($AA2027),IF(MATCH($V2028,$V$6:$V$6005,0)=ROW()-5,N($AA2027)+1,N($AA2027)))</f>
        <v/>
      </c>
    </row>
    <row r="2029" ht="21" customHeight="1" s="66">
      <c r="A2029" s="56" t="n"/>
      <c r="B2029" s="57" t="n"/>
      <c r="C2029" s="57" t="n"/>
      <c r="D2029" s="57" t="n"/>
      <c r="E2029" s="56" t="n"/>
      <c r="F2029" s="57" t="n"/>
      <c r="G2029" s="57" t="n"/>
      <c r="H2029" s="56" t="n"/>
      <c r="I2029" s="56" t="n"/>
      <c r="J2029" s="58" t="n"/>
      <c r="K2029" s="58" t="n"/>
      <c r="L2029" s="13">
        <f>IF(OR($A2029="",AND($J2029="",$K2029="")),"",ROUND(N($J2029)-N($K2029),2))</f>
        <v/>
      </c>
      <c r="M2029" s="13">
        <f>IF(OR($A2029="",AND($J2029="",$K2029="")),"",MIN($J2029,$K2029))</f>
        <v/>
      </c>
      <c r="Q2029">
        <f>IF($A2029="","",$D2029&amp;"("&amp;SUBSTITUTE($E2029," ","")&amp;")")</f>
        <v/>
      </c>
      <c r="R2029">
        <f>IF($A2029="","",$B2029&amp;" - "&amp;$C2029)</f>
        <v/>
      </c>
      <c r="S2029">
        <f>IF($A2029="","",$R2029&amp;"|"&amp;$Q2029)</f>
        <v/>
      </c>
      <c r="T2029">
        <f>IF($A2029="","",$S2029&amp;"|"&amp;$F2029)</f>
        <v/>
      </c>
      <c r="U2029">
        <f>IF($A2029="","",$R2029&amp;"("&amp;$E2029&amp;")")</f>
        <v/>
      </c>
      <c r="V2029">
        <f>IF($A2029="","",$F2029&amp;"|"&amp;$U2029&amp;"|"&amp;$D2029)</f>
        <v/>
      </c>
      <c r="W2029">
        <f>IF($T2029="","",IF($X2029&gt;N($X2028),$X2029,""))</f>
        <v/>
      </c>
      <c r="X2029">
        <f>IF($T2029="",N($X2028),IF(MATCH($T2029,$T$6:$T$6005,0)=ROW()-5,N($X2028)+1,N($X2028)))</f>
        <v/>
      </c>
      <c r="Z2029">
        <f>IF($V2029="","",IF($AA2029&gt;N($AA2028),$AA2029,""))</f>
        <v/>
      </c>
      <c r="AA2029">
        <f>IF($V2029="",N($AA2028),IF(MATCH($V2029,$V$6:$V$6005,0)=ROW()-5,N($AA2028)+1,N($AA2028)))</f>
        <v/>
      </c>
    </row>
    <row r="2030" ht="21" customHeight="1" s="66">
      <c r="A2030" s="56" t="n"/>
      <c r="B2030" s="57" t="n"/>
      <c r="C2030" s="57" t="n"/>
      <c r="D2030" s="57" t="n"/>
      <c r="E2030" s="56" t="n"/>
      <c r="F2030" s="57" t="n"/>
      <c r="G2030" s="57" t="n"/>
      <c r="H2030" s="56" t="n"/>
      <c r="I2030" s="56" t="n"/>
      <c r="J2030" s="58" t="n"/>
      <c r="K2030" s="58" t="n"/>
      <c r="L2030" s="13">
        <f>IF(OR($A2030="",AND($J2030="",$K2030="")),"",ROUND(N($J2030)-N($K2030),2))</f>
        <v/>
      </c>
      <c r="M2030" s="13">
        <f>IF(OR($A2030="",AND($J2030="",$K2030="")),"",MIN($J2030,$K2030))</f>
        <v/>
      </c>
      <c r="Q2030">
        <f>IF($A2030="","",$D2030&amp;"("&amp;SUBSTITUTE($E2030," ","")&amp;")")</f>
        <v/>
      </c>
      <c r="R2030">
        <f>IF($A2030="","",$B2030&amp;" - "&amp;$C2030)</f>
        <v/>
      </c>
      <c r="S2030">
        <f>IF($A2030="","",$R2030&amp;"|"&amp;$Q2030)</f>
        <v/>
      </c>
      <c r="T2030">
        <f>IF($A2030="","",$S2030&amp;"|"&amp;$F2030)</f>
        <v/>
      </c>
      <c r="U2030">
        <f>IF($A2030="","",$R2030&amp;"("&amp;$E2030&amp;")")</f>
        <v/>
      </c>
      <c r="V2030">
        <f>IF($A2030="","",$F2030&amp;"|"&amp;$U2030&amp;"|"&amp;$D2030)</f>
        <v/>
      </c>
      <c r="W2030">
        <f>IF($T2030="","",IF($X2030&gt;N($X2029),$X2030,""))</f>
        <v/>
      </c>
      <c r="X2030">
        <f>IF($T2030="",N($X2029),IF(MATCH($T2030,$T$6:$T$6005,0)=ROW()-5,N($X2029)+1,N($X2029)))</f>
        <v/>
      </c>
      <c r="Z2030">
        <f>IF($V2030="","",IF($AA2030&gt;N($AA2029),$AA2030,""))</f>
        <v/>
      </c>
      <c r="AA2030">
        <f>IF($V2030="",N($AA2029),IF(MATCH($V2030,$V$6:$V$6005,0)=ROW()-5,N($AA2029)+1,N($AA2029)))</f>
        <v/>
      </c>
    </row>
    <row r="2031" ht="21" customHeight="1" s="66">
      <c r="A2031" s="56" t="n"/>
      <c r="B2031" s="57" t="n"/>
      <c r="C2031" s="57" t="n"/>
      <c r="D2031" s="57" t="n"/>
      <c r="E2031" s="56" t="n"/>
      <c r="F2031" s="57" t="n"/>
      <c r="G2031" s="57" t="n"/>
      <c r="H2031" s="56" t="n"/>
      <c r="I2031" s="56" t="n"/>
      <c r="J2031" s="58" t="n"/>
      <c r="K2031" s="58" t="n"/>
      <c r="L2031" s="13">
        <f>IF(OR($A2031="",AND($J2031="",$K2031="")),"",ROUND(N($J2031)-N($K2031),2))</f>
        <v/>
      </c>
      <c r="M2031" s="13">
        <f>IF(OR($A2031="",AND($J2031="",$K2031="")),"",MIN($J2031,$K2031))</f>
        <v/>
      </c>
      <c r="Q2031">
        <f>IF($A2031="","",$D2031&amp;"("&amp;SUBSTITUTE($E2031," ","")&amp;")")</f>
        <v/>
      </c>
      <c r="R2031">
        <f>IF($A2031="","",$B2031&amp;" - "&amp;$C2031)</f>
        <v/>
      </c>
      <c r="S2031">
        <f>IF($A2031="","",$R2031&amp;"|"&amp;$Q2031)</f>
        <v/>
      </c>
      <c r="T2031">
        <f>IF($A2031="","",$S2031&amp;"|"&amp;$F2031)</f>
        <v/>
      </c>
      <c r="U2031">
        <f>IF($A2031="","",$R2031&amp;"("&amp;$E2031&amp;")")</f>
        <v/>
      </c>
      <c r="V2031">
        <f>IF($A2031="","",$F2031&amp;"|"&amp;$U2031&amp;"|"&amp;$D2031)</f>
        <v/>
      </c>
      <c r="W2031">
        <f>IF($T2031="","",IF($X2031&gt;N($X2030),$X2031,""))</f>
        <v/>
      </c>
      <c r="X2031">
        <f>IF($T2031="",N($X2030),IF(MATCH($T2031,$T$6:$T$6005,0)=ROW()-5,N($X2030)+1,N($X2030)))</f>
        <v/>
      </c>
      <c r="Z2031">
        <f>IF($V2031="","",IF($AA2031&gt;N($AA2030),$AA2031,""))</f>
        <v/>
      </c>
      <c r="AA2031">
        <f>IF($V2031="",N($AA2030),IF(MATCH($V2031,$V$6:$V$6005,0)=ROW()-5,N($AA2030)+1,N($AA2030)))</f>
        <v/>
      </c>
    </row>
    <row r="2032" ht="21" customHeight="1" s="66">
      <c r="A2032" s="56" t="n"/>
      <c r="B2032" s="57" t="n"/>
      <c r="C2032" s="57" t="n"/>
      <c r="D2032" s="57" t="n"/>
      <c r="E2032" s="56" t="n"/>
      <c r="F2032" s="57" t="n"/>
      <c r="G2032" s="57" t="n"/>
      <c r="H2032" s="56" t="n"/>
      <c r="I2032" s="56" t="n"/>
      <c r="J2032" s="58" t="n"/>
      <c r="K2032" s="58" t="n"/>
      <c r="L2032" s="13">
        <f>IF(OR($A2032="",AND($J2032="",$K2032="")),"",ROUND(N($J2032)-N($K2032),2))</f>
        <v/>
      </c>
      <c r="M2032" s="13">
        <f>IF(OR($A2032="",AND($J2032="",$K2032="")),"",MIN($J2032,$K2032))</f>
        <v/>
      </c>
      <c r="Q2032">
        <f>IF($A2032="","",$D2032&amp;"("&amp;SUBSTITUTE($E2032," ","")&amp;")")</f>
        <v/>
      </c>
      <c r="R2032">
        <f>IF($A2032="","",$B2032&amp;" - "&amp;$C2032)</f>
        <v/>
      </c>
      <c r="S2032">
        <f>IF($A2032="","",$R2032&amp;"|"&amp;$Q2032)</f>
        <v/>
      </c>
      <c r="T2032">
        <f>IF($A2032="","",$S2032&amp;"|"&amp;$F2032)</f>
        <v/>
      </c>
      <c r="U2032">
        <f>IF($A2032="","",$R2032&amp;"("&amp;$E2032&amp;")")</f>
        <v/>
      </c>
      <c r="V2032">
        <f>IF($A2032="","",$F2032&amp;"|"&amp;$U2032&amp;"|"&amp;$D2032)</f>
        <v/>
      </c>
      <c r="W2032">
        <f>IF($T2032="","",IF($X2032&gt;N($X2031),$X2032,""))</f>
        <v/>
      </c>
      <c r="X2032">
        <f>IF($T2032="",N($X2031),IF(MATCH($T2032,$T$6:$T$6005,0)=ROW()-5,N($X2031)+1,N($X2031)))</f>
        <v/>
      </c>
      <c r="Z2032">
        <f>IF($V2032="","",IF($AA2032&gt;N($AA2031),$AA2032,""))</f>
        <v/>
      </c>
      <c r="AA2032">
        <f>IF($V2032="",N($AA2031),IF(MATCH($V2032,$V$6:$V$6005,0)=ROW()-5,N($AA2031)+1,N($AA2031)))</f>
        <v/>
      </c>
    </row>
    <row r="2033" ht="21" customHeight="1" s="66">
      <c r="A2033" s="56" t="n"/>
      <c r="B2033" s="57" t="n"/>
      <c r="C2033" s="57" t="n"/>
      <c r="D2033" s="57" t="n"/>
      <c r="E2033" s="56" t="n"/>
      <c r="F2033" s="57" t="n"/>
      <c r="G2033" s="57" t="n"/>
      <c r="H2033" s="56" t="n"/>
      <c r="I2033" s="56" t="n"/>
      <c r="J2033" s="58" t="n"/>
      <c r="K2033" s="58" t="n"/>
      <c r="L2033" s="13">
        <f>IF(OR($A2033="",AND($J2033="",$K2033="")),"",ROUND(N($J2033)-N($K2033),2))</f>
        <v/>
      </c>
      <c r="M2033" s="13">
        <f>IF(OR($A2033="",AND($J2033="",$K2033="")),"",MIN($J2033,$K2033))</f>
        <v/>
      </c>
      <c r="Q2033">
        <f>IF($A2033="","",$D2033&amp;"("&amp;SUBSTITUTE($E2033," ","")&amp;")")</f>
        <v/>
      </c>
      <c r="R2033">
        <f>IF($A2033="","",$B2033&amp;" - "&amp;$C2033)</f>
        <v/>
      </c>
      <c r="S2033">
        <f>IF($A2033="","",$R2033&amp;"|"&amp;$Q2033)</f>
        <v/>
      </c>
      <c r="T2033">
        <f>IF($A2033="","",$S2033&amp;"|"&amp;$F2033)</f>
        <v/>
      </c>
      <c r="U2033">
        <f>IF($A2033="","",$R2033&amp;"("&amp;$E2033&amp;")")</f>
        <v/>
      </c>
      <c r="V2033">
        <f>IF($A2033="","",$F2033&amp;"|"&amp;$U2033&amp;"|"&amp;$D2033)</f>
        <v/>
      </c>
      <c r="W2033">
        <f>IF($T2033="","",IF($X2033&gt;N($X2032),$X2033,""))</f>
        <v/>
      </c>
      <c r="X2033">
        <f>IF($T2033="",N($X2032),IF(MATCH($T2033,$T$6:$T$6005,0)=ROW()-5,N($X2032)+1,N($X2032)))</f>
        <v/>
      </c>
      <c r="Z2033">
        <f>IF($V2033="","",IF($AA2033&gt;N($AA2032),$AA2033,""))</f>
        <v/>
      </c>
      <c r="AA2033">
        <f>IF($V2033="",N($AA2032),IF(MATCH($V2033,$V$6:$V$6005,0)=ROW()-5,N($AA2032)+1,N($AA2032)))</f>
        <v/>
      </c>
    </row>
    <row r="2034" ht="21" customHeight="1" s="66">
      <c r="A2034" s="56" t="n"/>
      <c r="B2034" s="57" t="n"/>
      <c r="C2034" s="57" t="n"/>
      <c r="D2034" s="57" t="n"/>
      <c r="E2034" s="56" t="n"/>
      <c r="F2034" s="57" t="n"/>
      <c r="G2034" s="57" t="n"/>
      <c r="H2034" s="56" t="n"/>
      <c r="I2034" s="56" t="n"/>
      <c r="J2034" s="58" t="n"/>
      <c r="K2034" s="58" t="n"/>
      <c r="L2034" s="13">
        <f>IF(OR($A2034="",AND($J2034="",$K2034="")),"",ROUND(N($J2034)-N($K2034),2))</f>
        <v/>
      </c>
      <c r="M2034" s="13">
        <f>IF(OR($A2034="",AND($J2034="",$K2034="")),"",MIN($J2034,$K2034))</f>
        <v/>
      </c>
      <c r="Q2034">
        <f>IF($A2034="","",$D2034&amp;"("&amp;SUBSTITUTE($E2034," ","")&amp;")")</f>
        <v/>
      </c>
      <c r="R2034">
        <f>IF($A2034="","",$B2034&amp;" - "&amp;$C2034)</f>
        <v/>
      </c>
      <c r="S2034">
        <f>IF($A2034="","",$R2034&amp;"|"&amp;$Q2034)</f>
        <v/>
      </c>
      <c r="T2034">
        <f>IF($A2034="","",$S2034&amp;"|"&amp;$F2034)</f>
        <v/>
      </c>
      <c r="U2034">
        <f>IF($A2034="","",$R2034&amp;"("&amp;$E2034&amp;")")</f>
        <v/>
      </c>
      <c r="V2034">
        <f>IF($A2034="","",$F2034&amp;"|"&amp;$U2034&amp;"|"&amp;$D2034)</f>
        <v/>
      </c>
      <c r="W2034">
        <f>IF($T2034="","",IF($X2034&gt;N($X2033),$X2034,""))</f>
        <v/>
      </c>
      <c r="X2034">
        <f>IF($T2034="",N($X2033),IF(MATCH($T2034,$T$6:$T$6005,0)=ROW()-5,N($X2033)+1,N($X2033)))</f>
        <v/>
      </c>
      <c r="Z2034">
        <f>IF($V2034="","",IF($AA2034&gt;N($AA2033),$AA2034,""))</f>
        <v/>
      </c>
      <c r="AA2034">
        <f>IF($V2034="",N($AA2033),IF(MATCH($V2034,$V$6:$V$6005,0)=ROW()-5,N($AA2033)+1,N($AA2033)))</f>
        <v/>
      </c>
    </row>
    <row r="2035" ht="21" customHeight="1" s="66">
      <c r="A2035" s="56" t="n"/>
      <c r="B2035" s="57" t="n"/>
      <c r="C2035" s="57" t="n"/>
      <c r="D2035" s="57" t="n"/>
      <c r="E2035" s="56" t="n"/>
      <c r="F2035" s="57" t="n"/>
      <c r="G2035" s="57" t="n"/>
      <c r="H2035" s="56" t="n"/>
      <c r="I2035" s="56" t="n"/>
      <c r="J2035" s="58" t="n"/>
      <c r="K2035" s="58" t="n"/>
      <c r="L2035" s="13">
        <f>IF(OR($A2035="",AND($J2035="",$K2035="")),"",ROUND(N($J2035)-N($K2035),2))</f>
        <v/>
      </c>
      <c r="M2035" s="13">
        <f>IF(OR($A2035="",AND($J2035="",$K2035="")),"",MIN($J2035,$K2035))</f>
        <v/>
      </c>
      <c r="Q2035">
        <f>IF($A2035="","",$D2035&amp;"("&amp;SUBSTITUTE($E2035," ","")&amp;")")</f>
        <v/>
      </c>
      <c r="R2035">
        <f>IF($A2035="","",$B2035&amp;" - "&amp;$C2035)</f>
        <v/>
      </c>
      <c r="S2035">
        <f>IF($A2035="","",$R2035&amp;"|"&amp;$Q2035)</f>
        <v/>
      </c>
      <c r="T2035">
        <f>IF($A2035="","",$S2035&amp;"|"&amp;$F2035)</f>
        <v/>
      </c>
      <c r="U2035">
        <f>IF($A2035="","",$R2035&amp;"("&amp;$E2035&amp;")")</f>
        <v/>
      </c>
      <c r="V2035">
        <f>IF($A2035="","",$F2035&amp;"|"&amp;$U2035&amp;"|"&amp;$D2035)</f>
        <v/>
      </c>
      <c r="W2035">
        <f>IF($T2035="","",IF($X2035&gt;N($X2034),$X2035,""))</f>
        <v/>
      </c>
      <c r="X2035">
        <f>IF($T2035="",N($X2034),IF(MATCH($T2035,$T$6:$T$6005,0)=ROW()-5,N($X2034)+1,N($X2034)))</f>
        <v/>
      </c>
      <c r="Z2035">
        <f>IF($V2035="","",IF($AA2035&gt;N($AA2034),$AA2035,""))</f>
        <v/>
      </c>
      <c r="AA2035">
        <f>IF($V2035="",N($AA2034),IF(MATCH($V2035,$V$6:$V$6005,0)=ROW()-5,N($AA2034)+1,N($AA2034)))</f>
        <v/>
      </c>
    </row>
    <row r="2036" ht="21" customHeight="1" s="66">
      <c r="A2036" s="56" t="n"/>
      <c r="B2036" s="57" t="n"/>
      <c r="C2036" s="57" t="n"/>
      <c r="D2036" s="57" t="n"/>
      <c r="E2036" s="56" t="n"/>
      <c r="F2036" s="57" t="n"/>
      <c r="G2036" s="57" t="n"/>
      <c r="H2036" s="56" t="n"/>
      <c r="I2036" s="56" t="n"/>
      <c r="J2036" s="58" t="n"/>
      <c r="K2036" s="58" t="n"/>
      <c r="L2036" s="13">
        <f>IF(OR($A2036="",AND($J2036="",$K2036="")),"",ROUND(N($J2036)-N($K2036),2))</f>
        <v/>
      </c>
      <c r="M2036" s="13">
        <f>IF(OR($A2036="",AND($J2036="",$K2036="")),"",MIN($J2036,$K2036))</f>
        <v/>
      </c>
      <c r="Q2036">
        <f>IF($A2036="","",$D2036&amp;"("&amp;SUBSTITUTE($E2036," ","")&amp;")")</f>
        <v/>
      </c>
      <c r="R2036">
        <f>IF($A2036="","",$B2036&amp;" - "&amp;$C2036)</f>
        <v/>
      </c>
      <c r="S2036">
        <f>IF($A2036="","",$R2036&amp;"|"&amp;$Q2036)</f>
        <v/>
      </c>
      <c r="T2036">
        <f>IF($A2036="","",$S2036&amp;"|"&amp;$F2036)</f>
        <v/>
      </c>
      <c r="U2036">
        <f>IF($A2036="","",$R2036&amp;"("&amp;$E2036&amp;")")</f>
        <v/>
      </c>
      <c r="V2036">
        <f>IF($A2036="","",$F2036&amp;"|"&amp;$U2036&amp;"|"&amp;$D2036)</f>
        <v/>
      </c>
      <c r="W2036">
        <f>IF($T2036="","",IF($X2036&gt;N($X2035),$X2036,""))</f>
        <v/>
      </c>
      <c r="X2036">
        <f>IF($T2036="",N($X2035),IF(MATCH($T2036,$T$6:$T$6005,0)=ROW()-5,N($X2035)+1,N($X2035)))</f>
        <v/>
      </c>
      <c r="Z2036">
        <f>IF($V2036="","",IF($AA2036&gt;N($AA2035),$AA2036,""))</f>
        <v/>
      </c>
      <c r="AA2036">
        <f>IF($V2036="",N($AA2035),IF(MATCH($V2036,$V$6:$V$6005,0)=ROW()-5,N($AA2035)+1,N($AA2035)))</f>
        <v/>
      </c>
    </row>
    <row r="2037" ht="21" customHeight="1" s="66">
      <c r="A2037" s="56" t="n"/>
      <c r="B2037" s="57" t="n"/>
      <c r="C2037" s="57" t="n"/>
      <c r="D2037" s="57" t="n"/>
      <c r="E2037" s="56" t="n"/>
      <c r="F2037" s="57" t="n"/>
      <c r="G2037" s="57" t="n"/>
      <c r="H2037" s="56" t="n"/>
      <c r="I2037" s="56" t="n"/>
      <c r="J2037" s="58" t="n"/>
      <c r="K2037" s="58" t="n"/>
      <c r="L2037" s="13">
        <f>IF(OR($A2037="",AND($J2037="",$K2037="")),"",ROUND(N($J2037)-N($K2037),2))</f>
        <v/>
      </c>
      <c r="M2037" s="13">
        <f>IF(OR($A2037="",AND($J2037="",$K2037="")),"",MIN($J2037,$K2037))</f>
        <v/>
      </c>
      <c r="Q2037">
        <f>IF($A2037="","",$D2037&amp;"("&amp;SUBSTITUTE($E2037," ","")&amp;")")</f>
        <v/>
      </c>
      <c r="R2037">
        <f>IF($A2037="","",$B2037&amp;" - "&amp;$C2037)</f>
        <v/>
      </c>
      <c r="S2037">
        <f>IF($A2037="","",$R2037&amp;"|"&amp;$Q2037)</f>
        <v/>
      </c>
      <c r="T2037">
        <f>IF($A2037="","",$S2037&amp;"|"&amp;$F2037)</f>
        <v/>
      </c>
      <c r="U2037">
        <f>IF($A2037="","",$R2037&amp;"("&amp;$E2037&amp;")")</f>
        <v/>
      </c>
      <c r="V2037">
        <f>IF($A2037="","",$F2037&amp;"|"&amp;$U2037&amp;"|"&amp;$D2037)</f>
        <v/>
      </c>
      <c r="W2037">
        <f>IF($T2037="","",IF($X2037&gt;N($X2036),$X2037,""))</f>
        <v/>
      </c>
      <c r="X2037">
        <f>IF($T2037="",N($X2036),IF(MATCH($T2037,$T$6:$T$6005,0)=ROW()-5,N($X2036)+1,N($X2036)))</f>
        <v/>
      </c>
      <c r="Z2037">
        <f>IF($V2037="","",IF($AA2037&gt;N($AA2036),$AA2037,""))</f>
        <v/>
      </c>
      <c r="AA2037">
        <f>IF($V2037="",N($AA2036),IF(MATCH($V2037,$V$6:$V$6005,0)=ROW()-5,N($AA2036)+1,N($AA2036)))</f>
        <v/>
      </c>
    </row>
    <row r="2038" ht="21" customHeight="1" s="66">
      <c r="A2038" s="56" t="n"/>
      <c r="B2038" s="57" t="n"/>
      <c r="C2038" s="57" t="n"/>
      <c r="D2038" s="57" t="n"/>
      <c r="E2038" s="56" t="n"/>
      <c r="F2038" s="57" t="n"/>
      <c r="G2038" s="57" t="n"/>
      <c r="H2038" s="56" t="n"/>
      <c r="I2038" s="56" t="n"/>
      <c r="J2038" s="58" t="n"/>
      <c r="K2038" s="58" t="n"/>
      <c r="L2038" s="13">
        <f>IF(OR($A2038="",AND($J2038="",$K2038="")),"",ROUND(N($J2038)-N($K2038),2))</f>
        <v/>
      </c>
      <c r="M2038" s="13">
        <f>IF(OR($A2038="",AND($J2038="",$K2038="")),"",MIN($J2038,$K2038))</f>
        <v/>
      </c>
      <c r="Q2038">
        <f>IF($A2038="","",$D2038&amp;"("&amp;SUBSTITUTE($E2038," ","")&amp;")")</f>
        <v/>
      </c>
      <c r="R2038">
        <f>IF($A2038="","",$B2038&amp;" - "&amp;$C2038)</f>
        <v/>
      </c>
      <c r="S2038">
        <f>IF($A2038="","",$R2038&amp;"|"&amp;$Q2038)</f>
        <v/>
      </c>
      <c r="T2038">
        <f>IF($A2038="","",$S2038&amp;"|"&amp;$F2038)</f>
        <v/>
      </c>
      <c r="U2038">
        <f>IF($A2038="","",$R2038&amp;"("&amp;$E2038&amp;")")</f>
        <v/>
      </c>
      <c r="V2038">
        <f>IF($A2038="","",$F2038&amp;"|"&amp;$U2038&amp;"|"&amp;$D2038)</f>
        <v/>
      </c>
      <c r="W2038">
        <f>IF($T2038="","",IF($X2038&gt;N($X2037),$X2038,""))</f>
        <v/>
      </c>
      <c r="X2038">
        <f>IF($T2038="",N($X2037),IF(MATCH($T2038,$T$6:$T$6005,0)=ROW()-5,N($X2037)+1,N($X2037)))</f>
        <v/>
      </c>
      <c r="Z2038">
        <f>IF($V2038="","",IF($AA2038&gt;N($AA2037),$AA2038,""))</f>
        <v/>
      </c>
      <c r="AA2038">
        <f>IF($V2038="",N($AA2037),IF(MATCH($V2038,$V$6:$V$6005,0)=ROW()-5,N($AA2037)+1,N($AA2037)))</f>
        <v/>
      </c>
    </row>
    <row r="2039" ht="21" customHeight="1" s="66">
      <c r="A2039" s="56" t="n"/>
      <c r="B2039" s="57" t="n"/>
      <c r="C2039" s="57" t="n"/>
      <c r="D2039" s="57" t="n"/>
      <c r="E2039" s="56" t="n"/>
      <c r="F2039" s="57" t="n"/>
      <c r="G2039" s="57" t="n"/>
      <c r="H2039" s="56" t="n"/>
      <c r="I2039" s="56" t="n"/>
      <c r="J2039" s="58" t="n"/>
      <c r="K2039" s="58" t="n"/>
      <c r="L2039" s="13">
        <f>IF(OR($A2039="",AND($J2039="",$K2039="")),"",ROUND(N($J2039)-N($K2039),2))</f>
        <v/>
      </c>
      <c r="M2039" s="13">
        <f>IF(OR($A2039="",AND($J2039="",$K2039="")),"",MIN($J2039,$K2039))</f>
        <v/>
      </c>
      <c r="Q2039">
        <f>IF($A2039="","",$D2039&amp;"("&amp;SUBSTITUTE($E2039," ","")&amp;")")</f>
        <v/>
      </c>
      <c r="R2039">
        <f>IF($A2039="","",$B2039&amp;" - "&amp;$C2039)</f>
        <v/>
      </c>
      <c r="S2039">
        <f>IF($A2039="","",$R2039&amp;"|"&amp;$Q2039)</f>
        <v/>
      </c>
      <c r="T2039">
        <f>IF($A2039="","",$S2039&amp;"|"&amp;$F2039)</f>
        <v/>
      </c>
      <c r="U2039">
        <f>IF($A2039="","",$R2039&amp;"("&amp;$E2039&amp;")")</f>
        <v/>
      </c>
      <c r="V2039">
        <f>IF($A2039="","",$F2039&amp;"|"&amp;$U2039&amp;"|"&amp;$D2039)</f>
        <v/>
      </c>
      <c r="W2039">
        <f>IF($T2039="","",IF($X2039&gt;N($X2038),$X2039,""))</f>
        <v/>
      </c>
      <c r="X2039">
        <f>IF($T2039="",N($X2038),IF(MATCH($T2039,$T$6:$T$6005,0)=ROW()-5,N($X2038)+1,N($X2038)))</f>
        <v/>
      </c>
      <c r="Z2039">
        <f>IF($V2039="","",IF($AA2039&gt;N($AA2038),$AA2039,""))</f>
        <v/>
      </c>
      <c r="AA2039">
        <f>IF($V2039="",N($AA2038),IF(MATCH($V2039,$V$6:$V$6005,0)=ROW()-5,N($AA2038)+1,N($AA2038)))</f>
        <v/>
      </c>
    </row>
    <row r="2040" ht="21" customHeight="1" s="66">
      <c r="A2040" s="56" t="n"/>
      <c r="B2040" s="57" t="n"/>
      <c r="C2040" s="57" t="n"/>
      <c r="D2040" s="57" t="n"/>
      <c r="E2040" s="56" t="n"/>
      <c r="F2040" s="57" t="n"/>
      <c r="G2040" s="57" t="n"/>
      <c r="H2040" s="56" t="n"/>
      <c r="I2040" s="56" t="n"/>
      <c r="J2040" s="58" t="n"/>
      <c r="K2040" s="58" t="n"/>
      <c r="L2040" s="13">
        <f>IF(OR($A2040="",AND($J2040="",$K2040="")),"",ROUND(N($J2040)-N($K2040),2))</f>
        <v/>
      </c>
      <c r="M2040" s="13">
        <f>IF(OR($A2040="",AND($J2040="",$K2040="")),"",MIN($J2040,$K2040))</f>
        <v/>
      </c>
      <c r="Q2040">
        <f>IF($A2040="","",$D2040&amp;"("&amp;SUBSTITUTE($E2040," ","")&amp;")")</f>
        <v/>
      </c>
      <c r="R2040">
        <f>IF($A2040="","",$B2040&amp;" - "&amp;$C2040)</f>
        <v/>
      </c>
      <c r="S2040">
        <f>IF($A2040="","",$R2040&amp;"|"&amp;$Q2040)</f>
        <v/>
      </c>
      <c r="T2040">
        <f>IF($A2040="","",$S2040&amp;"|"&amp;$F2040)</f>
        <v/>
      </c>
      <c r="U2040">
        <f>IF($A2040="","",$R2040&amp;"("&amp;$E2040&amp;")")</f>
        <v/>
      </c>
      <c r="V2040">
        <f>IF($A2040="","",$F2040&amp;"|"&amp;$U2040&amp;"|"&amp;$D2040)</f>
        <v/>
      </c>
      <c r="W2040">
        <f>IF($T2040="","",IF($X2040&gt;N($X2039),$X2040,""))</f>
        <v/>
      </c>
      <c r="X2040">
        <f>IF($T2040="",N($X2039),IF(MATCH($T2040,$T$6:$T$6005,0)=ROW()-5,N($X2039)+1,N($X2039)))</f>
        <v/>
      </c>
      <c r="Z2040">
        <f>IF($V2040="","",IF($AA2040&gt;N($AA2039),$AA2040,""))</f>
        <v/>
      </c>
      <c r="AA2040">
        <f>IF($V2040="",N($AA2039),IF(MATCH($V2040,$V$6:$V$6005,0)=ROW()-5,N($AA2039)+1,N($AA2039)))</f>
        <v/>
      </c>
    </row>
    <row r="2041" ht="21" customHeight="1" s="66">
      <c r="A2041" s="56" t="n"/>
      <c r="B2041" s="57" t="n"/>
      <c r="C2041" s="57" t="n"/>
      <c r="D2041" s="57" t="n"/>
      <c r="E2041" s="56" t="n"/>
      <c r="F2041" s="57" t="n"/>
      <c r="G2041" s="57" t="n"/>
      <c r="H2041" s="56" t="n"/>
      <c r="I2041" s="56" t="n"/>
      <c r="J2041" s="58" t="n"/>
      <c r="K2041" s="58" t="n"/>
      <c r="L2041" s="13">
        <f>IF(OR($A2041="",AND($J2041="",$K2041="")),"",ROUND(N($J2041)-N($K2041),2))</f>
        <v/>
      </c>
      <c r="M2041" s="13">
        <f>IF(OR($A2041="",AND($J2041="",$K2041="")),"",MIN($J2041,$K2041))</f>
        <v/>
      </c>
      <c r="Q2041">
        <f>IF($A2041="","",$D2041&amp;"("&amp;SUBSTITUTE($E2041," ","")&amp;")")</f>
        <v/>
      </c>
      <c r="R2041">
        <f>IF($A2041="","",$B2041&amp;" - "&amp;$C2041)</f>
        <v/>
      </c>
      <c r="S2041">
        <f>IF($A2041="","",$R2041&amp;"|"&amp;$Q2041)</f>
        <v/>
      </c>
      <c r="T2041">
        <f>IF($A2041="","",$S2041&amp;"|"&amp;$F2041)</f>
        <v/>
      </c>
      <c r="U2041">
        <f>IF($A2041="","",$R2041&amp;"("&amp;$E2041&amp;")")</f>
        <v/>
      </c>
      <c r="V2041">
        <f>IF($A2041="","",$F2041&amp;"|"&amp;$U2041&amp;"|"&amp;$D2041)</f>
        <v/>
      </c>
      <c r="W2041">
        <f>IF($T2041="","",IF($X2041&gt;N($X2040),$X2041,""))</f>
        <v/>
      </c>
      <c r="X2041">
        <f>IF($T2041="",N($X2040),IF(MATCH($T2041,$T$6:$T$6005,0)=ROW()-5,N($X2040)+1,N($X2040)))</f>
        <v/>
      </c>
      <c r="Z2041">
        <f>IF($V2041="","",IF($AA2041&gt;N($AA2040),$AA2041,""))</f>
        <v/>
      </c>
      <c r="AA2041">
        <f>IF($V2041="",N($AA2040),IF(MATCH($V2041,$V$6:$V$6005,0)=ROW()-5,N($AA2040)+1,N($AA2040)))</f>
        <v/>
      </c>
    </row>
    <row r="2042" ht="21" customHeight="1" s="66">
      <c r="A2042" s="56" t="n"/>
      <c r="B2042" s="57" t="n"/>
      <c r="C2042" s="57" t="n"/>
      <c r="D2042" s="57" t="n"/>
      <c r="E2042" s="56" t="n"/>
      <c r="F2042" s="57" t="n"/>
      <c r="G2042" s="57" t="n"/>
      <c r="H2042" s="56" t="n"/>
      <c r="I2042" s="56" t="n"/>
      <c r="J2042" s="58" t="n"/>
      <c r="K2042" s="58" t="n"/>
      <c r="L2042" s="13">
        <f>IF(OR($A2042="",AND($J2042="",$K2042="")),"",ROUND(N($J2042)-N($K2042),2))</f>
        <v/>
      </c>
      <c r="M2042" s="13">
        <f>IF(OR($A2042="",AND($J2042="",$K2042="")),"",MIN($J2042,$K2042))</f>
        <v/>
      </c>
      <c r="Q2042">
        <f>IF($A2042="","",$D2042&amp;"("&amp;SUBSTITUTE($E2042," ","")&amp;")")</f>
        <v/>
      </c>
      <c r="R2042">
        <f>IF($A2042="","",$B2042&amp;" - "&amp;$C2042)</f>
        <v/>
      </c>
      <c r="S2042">
        <f>IF($A2042="","",$R2042&amp;"|"&amp;$Q2042)</f>
        <v/>
      </c>
      <c r="T2042">
        <f>IF($A2042="","",$S2042&amp;"|"&amp;$F2042)</f>
        <v/>
      </c>
      <c r="U2042">
        <f>IF($A2042="","",$R2042&amp;"("&amp;$E2042&amp;")")</f>
        <v/>
      </c>
      <c r="V2042">
        <f>IF($A2042="","",$F2042&amp;"|"&amp;$U2042&amp;"|"&amp;$D2042)</f>
        <v/>
      </c>
      <c r="W2042">
        <f>IF($T2042="","",IF($X2042&gt;N($X2041),$X2042,""))</f>
        <v/>
      </c>
      <c r="X2042">
        <f>IF($T2042="",N($X2041),IF(MATCH($T2042,$T$6:$T$6005,0)=ROW()-5,N($X2041)+1,N($X2041)))</f>
        <v/>
      </c>
      <c r="Z2042">
        <f>IF($V2042="","",IF($AA2042&gt;N($AA2041),$AA2042,""))</f>
        <v/>
      </c>
      <c r="AA2042">
        <f>IF($V2042="",N($AA2041),IF(MATCH($V2042,$V$6:$V$6005,0)=ROW()-5,N($AA2041)+1,N($AA2041)))</f>
        <v/>
      </c>
    </row>
    <row r="2043" ht="21" customHeight="1" s="66">
      <c r="A2043" s="56" t="n"/>
      <c r="B2043" s="57" t="n"/>
      <c r="C2043" s="57" t="n"/>
      <c r="D2043" s="57" t="n"/>
      <c r="E2043" s="56" t="n"/>
      <c r="F2043" s="57" t="n"/>
      <c r="G2043" s="57" t="n"/>
      <c r="H2043" s="56" t="n"/>
      <c r="I2043" s="56" t="n"/>
      <c r="J2043" s="58" t="n"/>
      <c r="K2043" s="58" t="n"/>
      <c r="L2043" s="13">
        <f>IF(OR($A2043="",AND($J2043="",$K2043="")),"",ROUND(N($J2043)-N($K2043),2))</f>
        <v/>
      </c>
      <c r="M2043" s="13">
        <f>IF(OR($A2043="",AND($J2043="",$K2043="")),"",MIN($J2043,$K2043))</f>
        <v/>
      </c>
      <c r="Q2043">
        <f>IF($A2043="","",$D2043&amp;"("&amp;SUBSTITUTE($E2043," ","")&amp;")")</f>
        <v/>
      </c>
      <c r="R2043">
        <f>IF($A2043="","",$B2043&amp;" - "&amp;$C2043)</f>
        <v/>
      </c>
      <c r="S2043">
        <f>IF($A2043="","",$R2043&amp;"|"&amp;$Q2043)</f>
        <v/>
      </c>
      <c r="T2043">
        <f>IF($A2043="","",$S2043&amp;"|"&amp;$F2043)</f>
        <v/>
      </c>
      <c r="U2043">
        <f>IF($A2043="","",$R2043&amp;"("&amp;$E2043&amp;")")</f>
        <v/>
      </c>
      <c r="V2043">
        <f>IF($A2043="","",$F2043&amp;"|"&amp;$U2043&amp;"|"&amp;$D2043)</f>
        <v/>
      </c>
      <c r="W2043">
        <f>IF($T2043="","",IF($X2043&gt;N($X2042),$X2043,""))</f>
        <v/>
      </c>
      <c r="X2043">
        <f>IF($T2043="",N($X2042),IF(MATCH($T2043,$T$6:$T$6005,0)=ROW()-5,N($X2042)+1,N($X2042)))</f>
        <v/>
      </c>
      <c r="Z2043">
        <f>IF($V2043="","",IF($AA2043&gt;N($AA2042),$AA2043,""))</f>
        <v/>
      </c>
      <c r="AA2043">
        <f>IF($V2043="",N($AA2042),IF(MATCH($V2043,$V$6:$V$6005,0)=ROW()-5,N($AA2042)+1,N($AA2042)))</f>
        <v/>
      </c>
    </row>
    <row r="2044" ht="21" customHeight="1" s="66">
      <c r="A2044" s="56" t="n"/>
      <c r="B2044" s="57" t="n"/>
      <c r="C2044" s="57" t="n"/>
      <c r="D2044" s="57" t="n"/>
      <c r="E2044" s="56" t="n"/>
      <c r="F2044" s="57" t="n"/>
      <c r="G2044" s="57" t="n"/>
      <c r="H2044" s="56" t="n"/>
      <c r="I2044" s="56" t="n"/>
      <c r="J2044" s="58" t="n"/>
      <c r="K2044" s="58" t="n"/>
      <c r="L2044" s="13">
        <f>IF(OR($A2044="",AND($J2044="",$K2044="")),"",ROUND(N($J2044)-N($K2044),2))</f>
        <v/>
      </c>
      <c r="M2044" s="13">
        <f>IF(OR($A2044="",AND($J2044="",$K2044="")),"",MIN($J2044,$K2044))</f>
        <v/>
      </c>
      <c r="Q2044">
        <f>IF($A2044="","",$D2044&amp;"("&amp;SUBSTITUTE($E2044," ","")&amp;")")</f>
        <v/>
      </c>
      <c r="R2044">
        <f>IF($A2044="","",$B2044&amp;" - "&amp;$C2044)</f>
        <v/>
      </c>
      <c r="S2044">
        <f>IF($A2044="","",$R2044&amp;"|"&amp;$Q2044)</f>
        <v/>
      </c>
      <c r="T2044">
        <f>IF($A2044="","",$S2044&amp;"|"&amp;$F2044)</f>
        <v/>
      </c>
      <c r="U2044">
        <f>IF($A2044="","",$R2044&amp;"("&amp;$E2044&amp;")")</f>
        <v/>
      </c>
      <c r="V2044">
        <f>IF($A2044="","",$F2044&amp;"|"&amp;$U2044&amp;"|"&amp;$D2044)</f>
        <v/>
      </c>
      <c r="W2044">
        <f>IF($T2044="","",IF($X2044&gt;N($X2043),$X2044,""))</f>
        <v/>
      </c>
      <c r="X2044">
        <f>IF($T2044="",N($X2043),IF(MATCH($T2044,$T$6:$T$6005,0)=ROW()-5,N($X2043)+1,N($X2043)))</f>
        <v/>
      </c>
      <c r="Z2044">
        <f>IF($V2044="","",IF($AA2044&gt;N($AA2043),$AA2044,""))</f>
        <v/>
      </c>
      <c r="AA2044">
        <f>IF($V2044="",N($AA2043),IF(MATCH($V2044,$V$6:$V$6005,0)=ROW()-5,N($AA2043)+1,N($AA2043)))</f>
        <v/>
      </c>
    </row>
    <row r="2045" ht="21" customHeight="1" s="66">
      <c r="A2045" s="56" t="n"/>
      <c r="B2045" s="57" t="n"/>
      <c r="C2045" s="57" t="n"/>
      <c r="D2045" s="57" t="n"/>
      <c r="E2045" s="56" t="n"/>
      <c r="F2045" s="57" t="n"/>
      <c r="G2045" s="57" t="n"/>
      <c r="H2045" s="56" t="n"/>
      <c r="I2045" s="56" t="n"/>
      <c r="J2045" s="58" t="n"/>
      <c r="K2045" s="58" t="n"/>
      <c r="L2045" s="13">
        <f>IF(OR($A2045="",AND($J2045="",$K2045="")),"",ROUND(N($J2045)-N($K2045),2))</f>
        <v/>
      </c>
      <c r="M2045" s="13">
        <f>IF(OR($A2045="",AND($J2045="",$K2045="")),"",MIN($J2045,$K2045))</f>
        <v/>
      </c>
      <c r="Q2045">
        <f>IF($A2045="","",$D2045&amp;"("&amp;SUBSTITUTE($E2045," ","")&amp;")")</f>
        <v/>
      </c>
      <c r="R2045">
        <f>IF($A2045="","",$B2045&amp;" - "&amp;$C2045)</f>
        <v/>
      </c>
      <c r="S2045">
        <f>IF($A2045="","",$R2045&amp;"|"&amp;$Q2045)</f>
        <v/>
      </c>
      <c r="T2045">
        <f>IF($A2045="","",$S2045&amp;"|"&amp;$F2045)</f>
        <v/>
      </c>
      <c r="U2045">
        <f>IF($A2045="","",$R2045&amp;"("&amp;$E2045&amp;")")</f>
        <v/>
      </c>
      <c r="V2045">
        <f>IF($A2045="","",$F2045&amp;"|"&amp;$U2045&amp;"|"&amp;$D2045)</f>
        <v/>
      </c>
      <c r="W2045">
        <f>IF($T2045="","",IF($X2045&gt;N($X2044),$X2045,""))</f>
        <v/>
      </c>
      <c r="X2045">
        <f>IF($T2045="",N($X2044),IF(MATCH($T2045,$T$6:$T$6005,0)=ROW()-5,N($X2044)+1,N($X2044)))</f>
        <v/>
      </c>
      <c r="Z2045">
        <f>IF($V2045="","",IF($AA2045&gt;N($AA2044),$AA2045,""))</f>
        <v/>
      </c>
      <c r="AA2045">
        <f>IF($V2045="",N($AA2044),IF(MATCH($V2045,$V$6:$V$6005,0)=ROW()-5,N($AA2044)+1,N($AA2044)))</f>
        <v/>
      </c>
    </row>
    <row r="2046" ht="21" customHeight="1" s="66">
      <c r="A2046" s="56" t="n"/>
      <c r="B2046" s="57" t="n"/>
      <c r="C2046" s="57" t="n"/>
      <c r="D2046" s="57" t="n"/>
      <c r="E2046" s="56" t="n"/>
      <c r="F2046" s="57" t="n"/>
      <c r="G2046" s="57" t="n"/>
      <c r="H2046" s="56" t="n"/>
      <c r="I2046" s="56" t="n"/>
      <c r="J2046" s="58" t="n"/>
      <c r="K2046" s="58" t="n"/>
      <c r="L2046" s="13">
        <f>IF(OR($A2046="",AND($J2046="",$K2046="")),"",ROUND(N($J2046)-N($K2046),2))</f>
        <v/>
      </c>
      <c r="M2046" s="13">
        <f>IF(OR($A2046="",AND($J2046="",$K2046="")),"",MIN($J2046,$K2046))</f>
        <v/>
      </c>
      <c r="Q2046">
        <f>IF($A2046="","",$D2046&amp;"("&amp;SUBSTITUTE($E2046," ","")&amp;")")</f>
        <v/>
      </c>
      <c r="R2046">
        <f>IF($A2046="","",$B2046&amp;" - "&amp;$C2046)</f>
        <v/>
      </c>
      <c r="S2046">
        <f>IF($A2046="","",$R2046&amp;"|"&amp;$Q2046)</f>
        <v/>
      </c>
      <c r="T2046">
        <f>IF($A2046="","",$S2046&amp;"|"&amp;$F2046)</f>
        <v/>
      </c>
      <c r="U2046">
        <f>IF($A2046="","",$R2046&amp;"("&amp;$E2046&amp;")")</f>
        <v/>
      </c>
      <c r="V2046">
        <f>IF($A2046="","",$F2046&amp;"|"&amp;$U2046&amp;"|"&amp;$D2046)</f>
        <v/>
      </c>
      <c r="W2046">
        <f>IF($T2046="","",IF($X2046&gt;N($X2045),$X2046,""))</f>
        <v/>
      </c>
      <c r="X2046">
        <f>IF($T2046="",N($X2045),IF(MATCH($T2046,$T$6:$T$6005,0)=ROW()-5,N($X2045)+1,N($X2045)))</f>
        <v/>
      </c>
      <c r="Z2046">
        <f>IF($V2046="","",IF($AA2046&gt;N($AA2045),$AA2046,""))</f>
        <v/>
      </c>
      <c r="AA2046">
        <f>IF($V2046="",N($AA2045),IF(MATCH($V2046,$V$6:$V$6005,0)=ROW()-5,N($AA2045)+1,N($AA2045)))</f>
        <v/>
      </c>
    </row>
    <row r="2047" ht="21" customHeight="1" s="66">
      <c r="A2047" s="56" t="n"/>
      <c r="B2047" s="57" t="n"/>
      <c r="C2047" s="57" t="n"/>
      <c r="D2047" s="57" t="n"/>
      <c r="E2047" s="56" t="n"/>
      <c r="F2047" s="57" t="n"/>
      <c r="G2047" s="57" t="n"/>
      <c r="H2047" s="56" t="n"/>
      <c r="I2047" s="56" t="n"/>
      <c r="J2047" s="58" t="n"/>
      <c r="K2047" s="58" t="n"/>
      <c r="L2047" s="13">
        <f>IF(OR($A2047="",AND($J2047="",$K2047="")),"",ROUND(N($J2047)-N($K2047),2))</f>
        <v/>
      </c>
      <c r="M2047" s="13">
        <f>IF(OR($A2047="",AND($J2047="",$K2047="")),"",MIN($J2047,$K2047))</f>
        <v/>
      </c>
      <c r="Q2047">
        <f>IF($A2047="","",$D2047&amp;"("&amp;SUBSTITUTE($E2047," ","")&amp;")")</f>
        <v/>
      </c>
      <c r="R2047">
        <f>IF($A2047="","",$B2047&amp;" - "&amp;$C2047)</f>
        <v/>
      </c>
      <c r="S2047">
        <f>IF($A2047="","",$R2047&amp;"|"&amp;$Q2047)</f>
        <v/>
      </c>
      <c r="T2047">
        <f>IF($A2047="","",$S2047&amp;"|"&amp;$F2047)</f>
        <v/>
      </c>
      <c r="U2047">
        <f>IF($A2047="","",$R2047&amp;"("&amp;$E2047&amp;")")</f>
        <v/>
      </c>
      <c r="V2047">
        <f>IF($A2047="","",$F2047&amp;"|"&amp;$U2047&amp;"|"&amp;$D2047)</f>
        <v/>
      </c>
      <c r="W2047">
        <f>IF($T2047="","",IF($X2047&gt;N($X2046),$X2047,""))</f>
        <v/>
      </c>
      <c r="X2047">
        <f>IF($T2047="",N($X2046),IF(MATCH($T2047,$T$6:$T$6005,0)=ROW()-5,N($X2046)+1,N($X2046)))</f>
        <v/>
      </c>
      <c r="Z2047">
        <f>IF($V2047="","",IF($AA2047&gt;N($AA2046),$AA2047,""))</f>
        <v/>
      </c>
      <c r="AA2047">
        <f>IF($V2047="",N($AA2046),IF(MATCH($V2047,$V$6:$V$6005,0)=ROW()-5,N($AA2046)+1,N($AA2046)))</f>
        <v/>
      </c>
    </row>
    <row r="2048" ht="21" customHeight="1" s="66">
      <c r="A2048" s="56" t="n"/>
      <c r="B2048" s="57" t="n"/>
      <c r="C2048" s="57" t="n"/>
      <c r="D2048" s="57" t="n"/>
      <c r="E2048" s="56" t="n"/>
      <c r="F2048" s="57" t="n"/>
      <c r="G2048" s="57" t="n"/>
      <c r="H2048" s="56" t="n"/>
      <c r="I2048" s="56" t="n"/>
      <c r="J2048" s="58" t="n"/>
      <c r="K2048" s="58" t="n"/>
      <c r="L2048" s="13">
        <f>IF(OR($A2048="",AND($J2048="",$K2048="")),"",ROUND(N($J2048)-N($K2048),2))</f>
        <v/>
      </c>
      <c r="M2048" s="13">
        <f>IF(OR($A2048="",AND($J2048="",$K2048="")),"",MIN($J2048,$K2048))</f>
        <v/>
      </c>
      <c r="Q2048">
        <f>IF($A2048="","",$D2048&amp;"("&amp;SUBSTITUTE($E2048," ","")&amp;")")</f>
        <v/>
      </c>
      <c r="R2048">
        <f>IF($A2048="","",$B2048&amp;" - "&amp;$C2048)</f>
        <v/>
      </c>
      <c r="S2048">
        <f>IF($A2048="","",$R2048&amp;"|"&amp;$Q2048)</f>
        <v/>
      </c>
      <c r="T2048">
        <f>IF($A2048="","",$S2048&amp;"|"&amp;$F2048)</f>
        <v/>
      </c>
      <c r="U2048">
        <f>IF($A2048="","",$R2048&amp;"("&amp;$E2048&amp;")")</f>
        <v/>
      </c>
      <c r="V2048">
        <f>IF($A2048="","",$F2048&amp;"|"&amp;$U2048&amp;"|"&amp;$D2048)</f>
        <v/>
      </c>
      <c r="W2048">
        <f>IF($T2048="","",IF($X2048&gt;N($X2047),$X2048,""))</f>
        <v/>
      </c>
      <c r="X2048">
        <f>IF($T2048="",N($X2047),IF(MATCH($T2048,$T$6:$T$6005,0)=ROW()-5,N($X2047)+1,N($X2047)))</f>
        <v/>
      </c>
      <c r="Z2048">
        <f>IF($V2048="","",IF($AA2048&gt;N($AA2047),$AA2048,""))</f>
        <v/>
      </c>
      <c r="AA2048">
        <f>IF($V2048="",N($AA2047),IF(MATCH($V2048,$V$6:$V$6005,0)=ROW()-5,N($AA2047)+1,N($AA2047)))</f>
        <v/>
      </c>
    </row>
    <row r="2049" ht="21" customHeight="1" s="66">
      <c r="A2049" s="56" t="n"/>
      <c r="B2049" s="57" t="n"/>
      <c r="C2049" s="57" t="n"/>
      <c r="D2049" s="57" t="n"/>
      <c r="E2049" s="56" t="n"/>
      <c r="F2049" s="57" t="n"/>
      <c r="G2049" s="57" t="n"/>
      <c r="H2049" s="56" t="n"/>
      <c r="I2049" s="56" t="n"/>
      <c r="J2049" s="58" t="n"/>
      <c r="K2049" s="58" t="n"/>
      <c r="L2049" s="13">
        <f>IF(OR($A2049="",AND($J2049="",$K2049="")),"",ROUND(N($J2049)-N($K2049),2))</f>
        <v/>
      </c>
      <c r="M2049" s="13">
        <f>IF(OR($A2049="",AND($J2049="",$K2049="")),"",MIN($J2049,$K2049))</f>
        <v/>
      </c>
      <c r="Q2049">
        <f>IF($A2049="","",$D2049&amp;"("&amp;SUBSTITUTE($E2049," ","")&amp;")")</f>
        <v/>
      </c>
      <c r="R2049">
        <f>IF($A2049="","",$B2049&amp;" - "&amp;$C2049)</f>
        <v/>
      </c>
      <c r="S2049">
        <f>IF($A2049="","",$R2049&amp;"|"&amp;$Q2049)</f>
        <v/>
      </c>
      <c r="T2049">
        <f>IF($A2049="","",$S2049&amp;"|"&amp;$F2049)</f>
        <v/>
      </c>
      <c r="U2049">
        <f>IF($A2049="","",$R2049&amp;"("&amp;$E2049&amp;")")</f>
        <v/>
      </c>
      <c r="V2049">
        <f>IF($A2049="","",$F2049&amp;"|"&amp;$U2049&amp;"|"&amp;$D2049)</f>
        <v/>
      </c>
      <c r="W2049">
        <f>IF($T2049="","",IF($X2049&gt;N($X2048),$X2049,""))</f>
        <v/>
      </c>
      <c r="X2049">
        <f>IF($T2049="",N($X2048),IF(MATCH($T2049,$T$6:$T$6005,0)=ROW()-5,N($X2048)+1,N($X2048)))</f>
        <v/>
      </c>
      <c r="Z2049">
        <f>IF($V2049="","",IF($AA2049&gt;N($AA2048),$AA2049,""))</f>
        <v/>
      </c>
      <c r="AA2049">
        <f>IF($V2049="",N($AA2048),IF(MATCH($V2049,$V$6:$V$6005,0)=ROW()-5,N($AA2048)+1,N($AA2048)))</f>
        <v/>
      </c>
    </row>
    <row r="2050" ht="21" customHeight="1" s="66">
      <c r="A2050" s="56" t="n"/>
      <c r="B2050" s="57" t="n"/>
      <c r="C2050" s="57" t="n"/>
      <c r="D2050" s="57" t="n"/>
      <c r="E2050" s="56" t="n"/>
      <c r="F2050" s="57" t="n"/>
      <c r="G2050" s="57" t="n"/>
      <c r="H2050" s="56" t="n"/>
      <c r="I2050" s="56" t="n"/>
      <c r="J2050" s="58" t="n"/>
      <c r="K2050" s="58" t="n"/>
      <c r="L2050" s="13">
        <f>IF(OR($A2050="",AND($J2050="",$K2050="")),"",ROUND(N($J2050)-N($K2050),2))</f>
        <v/>
      </c>
      <c r="M2050" s="13">
        <f>IF(OR($A2050="",AND($J2050="",$K2050="")),"",MIN($J2050,$K2050))</f>
        <v/>
      </c>
      <c r="Q2050">
        <f>IF($A2050="","",$D2050&amp;"("&amp;SUBSTITUTE($E2050," ","")&amp;")")</f>
        <v/>
      </c>
      <c r="R2050">
        <f>IF($A2050="","",$B2050&amp;" - "&amp;$C2050)</f>
        <v/>
      </c>
      <c r="S2050">
        <f>IF($A2050="","",$R2050&amp;"|"&amp;$Q2050)</f>
        <v/>
      </c>
      <c r="T2050">
        <f>IF($A2050="","",$S2050&amp;"|"&amp;$F2050)</f>
        <v/>
      </c>
      <c r="U2050">
        <f>IF($A2050="","",$R2050&amp;"("&amp;$E2050&amp;")")</f>
        <v/>
      </c>
      <c r="V2050">
        <f>IF($A2050="","",$F2050&amp;"|"&amp;$U2050&amp;"|"&amp;$D2050)</f>
        <v/>
      </c>
      <c r="W2050">
        <f>IF($T2050="","",IF($X2050&gt;N($X2049),$X2050,""))</f>
        <v/>
      </c>
      <c r="X2050">
        <f>IF($T2050="",N($X2049),IF(MATCH($T2050,$T$6:$T$6005,0)=ROW()-5,N($X2049)+1,N($X2049)))</f>
        <v/>
      </c>
      <c r="Z2050">
        <f>IF($V2050="","",IF($AA2050&gt;N($AA2049),$AA2050,""))</f>
        <v/>
      </c>
      <c r="AA2050">
        <f>IF($V2050="",N($AA2049),IF(MATCH($V2050,$V$6:$V$6005,0)=ROW()-5,N($AA2049)+1,N($AA2049)))</f>
        <v/>
      </c>
    </row>
    <row r="2051" ht="21" customHeight="1" s="66">
      <c r="A2051" s="56" t="n"/>
      <c r="B2051" s="57" t="n"/>
      <c r="C2051" s="57" t="n"/>
      <c r="D2051" s="57" t="n"/>
      <c r="E2051" s="56" t="n"/>
      <c r="F2051" s="57" t="n"/>
      <c r="G2051" s="57" t="n"/>
      <c r="H2051" s="56" t="n"/>
      <c r="I2051" s="56" t="n"/>
      <c r="J2051" s="58" t="n"/>
      <c r="K2051" s="58" t="n"/>
      <c r="L2051" s="13">
        <f>IF(OR($A2051="",AND($J2051="",$K2051="")),"",ROUND(N($J2051)-N($K2051),2))</f>
        <v/>
      </c>
      <c r="M2051" s="13">
        <f>IF(OR($A2051="",AND($J2051="",$K2051="")),"",MIN($J2051,$K2051))</f>
        <v/>
      </c>
      <c r="Q2051">
        <f>IF($A2051="","",$D2051&amp;"("&amp;SUBSTITUTE($E2051," ","")&amp;")")</f>
        <v/>
      </c>
      <c r="R2051">
        <f>IF($A2051="","",$B2051&amp;" - "&amp;$C2051)</f>
        <v/>
      </c>
      <c r="S2051">
        <f>IF($A2051="","",$R2051&amp;"|"&amp;$Q2051)</f>
        <v/>
      </c>
      <c r="T2051">
        <f>IF($A2051="","",$S2051&amp;"|"&amp;$F2051)</f>
        <v/>
      </c>
      <c r="U2051">
        <f>IF($A2051="","",$R2051&amp;"("&amp;$E2051&amp;")")</f>
        <v/>
      </c>
      <c r="V2051">
        <f>IF($A2051="","",$F2051&amp;"|"&amp;$U2051&amp;"|"&amp;$D2051)</f>
        <v/>
      </c>
      <c r="W2051">
        <f>IF($T2051="","",IF($X2051&gt;N($X2050),$X2051,""))</f>
        <v/>
      </c>
      <c r="X2051">
        <f>IF($T2051="",N($X2050),IF(MATCH($T2051,$T$6:$T$6005,0)=ROW()-5,N($X2050)+1,N($X2050)))</f>
        <v/>
      </c>
      <c r="Z2051">
        <f>IF($V2051="","",IF($AA2051&gt;N($AA2050),$AA2051,""))</f>
        <v/>
      </c>
      <c r="AA2051">
        <f>IF($V2051="",N($AA2050),IF(MATCH($V2051,$V$6:$V$6005,0)=ROW()-5,N($AA2050)+1,N($AA2050)))</f>
        <v/>
      </c>
    </row>
    <row r="2052" ht="21" customHeight="1" s="66">
      <c r="A2052" s="56" t="n"/>
      <c r="B2052" s="57" t="n"/>
      <c r="C2052" s="57" t="n"/>
      <c r="D2052" s="57" t="n"/>
      <c r="E2052" s="56" t="n"/>
      <c r="F2052" s="57" t="n"/>
      <c r="G2052" s="57" t="n"/>
      <c r="H2052" s="56" t="n"/>
      <c r="I2052" s="56" t="n"/>
      <c r="J2052" s="58" t="n"/>
      <c r="K2052" s="58" t="n"/>
      <c r="L2052" s="13">
        <f>IF(OR($A2052="",AND($J2052="",$K2052="")),"",ROUND(N($J2052)-N($K2052),2))</f>
        <v/>
      </c>
      <c r="M2052" s="13">
        <f>IF(OR($A2052="",AND($J2052="",$K2052="")),"",MIN($J2052,$K2052))</f>
        <v/>
      </c>
      <c r="Q2052">
        <f>IF($A2052="","",$D2052&amp;"("&amp;SUBSTITUTE($E2052," ","")&amp;")")</f>
        <v/>
      </c>
      <c r="R2052">
        <f>IF($A2052="","",$B2052&amp;" - "&amp;$C2052)</f>
        <v/>
      </c>
      <c r="S2052">
        <f>IF($A2052="","",$R2052&amp;"|"&amp;$Q2052)</f>
        <v/>
      </c>
      <c r="T2052">
        <f>IF($A2052="","",$S2052&amp;"|"&amp;$F2052)</f>
        <v/>
      </c>
      <c r="U2052">
        <f>IF($A2052="","",$R2052&amp;"("&amp;$E2052&amp;")")</f>
        <v/>
      </c>
      <c r="V2052">
        <f>IF($A2052="","",$F2052&amp;"|"&amp;$U2052&amp;"|"&amp;$D2052)</f>
        <v/>
      </c>
      <c r="W2052">
        <f>IF($T2052="","",IF($X2052&gt;N($X2051),$X2052,""))</f>
        <v/>
      </c>
      <c r="X2052">
        <f>IF($T2052="",N($X2051),IF(MATCH($T2052,$T$6:$T$6005,0)=ROW()-5,N($X2051)+1,N($X2051)))</f>
        <v/>
      </c>
      <c r="Z2052">
        <f>IF($V2052="","",IF($AA2052&gt;N($AA2051),$AA2052,""))</f>
        <v/>
      </c>
      <c r="AA2052">
        <f>IF($V2052="",N($AA2051),IF(MATCH($V2052,$V$6:$V$6005,0)=ROW()-5,N($AA2051)+1,N($AA2051)))</f>
        <v/>
      </c>
    </row>
    <row r="2053" ht="21" customHeight="1" s="66">
      <c r="A2053" s="56" t="n"/>
      <c r="B2053" s="57" t="n"/>
      <c r="C2053" s="57" t="n"/>
      <c r="D2053" s="57" t="n"/>
      <c r="E2053" s="56" t="n"/>
      <c r="F2053" s="57" t="n"/>
      <c r="G2053" s="57" t="n"/>
      <c r="H2053" s="56" t="n"/>
      <c r="I2053" s="56" t="n"/>
      <c r="J2053" s="58" t="n"/>
      <c r="K2053" s="58" t="n"/>
      <c r="L2053" s="13">
        <f>IF(OR($A2053="",AND($J2053="",$K2053="")),"",ROUND(N($J2053)-N($K2053),2))</f>
        <v/>
      </c>
      <c r="M2053" s="13">
        <f>IF(OR($A2053="",AND($J2053="",$K2053="")),"",MIN($J2053,$K2053))</f>
        <v/>
      </c>
      <c r="Q2053">
        <f>IF($A2053="","",$D2053&amp;"("&amp;SUBSTITUTE($E2053," ","")&amp;")")</f>
        <v/>
      </c>
      <c r="R2053">
        <f>IF($A2053="","",$B2053&amp;" - "&amp;$C2053)</f>
        <v/>
      </c>
      <c r="S2053">
        <f>IF($A2053="","",$R2053&amp;"|"&amp;$Q2053)</f>
        <v/>
      </c>
      <c r="T2053">
        <f>IF($A2053="","",$S2053&amp;"|"&amp;$F2053)</f>
        <v/>
      </c>
      <c r="U2053">
        <f>IF($A2053="","",$R2053&amp;"("&amp;$E2053&amp;")")</f>
        <v/>
      </c>
      <c r="V2053">
        <f>IF($A2053="","",$F2053&amp;"|"&amp;$U2053&amp;"|"&amp;$D2053)</f>
        <v/>
      </c>
      <c r="W2053">
        <f>IF($T2053="","",IF($X2053&gt;N($X2052),$X2053,""))</f>
        <v/>
      </c>
      <c r="X2053">
        <f>IF($T2053="",N($X2052),IF(MATCH($T2053,$T$6:$T$6005,0)=ROW()-5,N($X2052)+1,N($X2052)))</f>
        <v/>
      </c>
      <c r="Z2053">
        <f>IF($V2053="","",IF($AA2053&gt;N($AA2052),$AA2053,""))</f>
        <v/>
      </c>
      <c r="AA2053">
        <f>IF($V2053="",N($AA2052),IF(MATCH($V2053,$V$6:$V$6005,0)=ROW()-5,N($AA2052)+1,N($AA2052)))</f>
        <v/>
      </c>
    </row>
    <row r="2054" ht="21" customHeight="1" s="66">
      <c r="A2054" s="56" t="n"/>
      <c r="B2054" s="57" t="n"/>
      <c r="C2054" s="57" t="n"/>
      <c r="D2054" s="57" t="n"/>
      <c r="E2054" s="56" t="n"/>
      <c r="F2054" s="57" t="n"/>
      <c r="G2054" s="57" t="n"/>
      <c r="H2054" s="56" t="n"/>
      <c r="I2054" s="56" t="n"/>
      <c r="J2054" s="58" t="n"/>
      <c r="K2054" s="58" t="n"/>
      <c r="L2054" s="13">
        <f>IF(OR($A2054="",AND($J2054="",$K2054="")),"",ROUND(N($J2054)-N($K2054),2))</f>
        <v/>
      </c>
      <c r="M2054" s="13">
        <f>IF(OR($A2054="",AND($J2054="",$K2054="")),"",MIN($J2054,$K2054))</f>
        <v/>
      </c>
      <c r="Q2054">
        <f>IF($A2054="","",$D2054&amp;"("&amp;SUBSTITUTE($E2054," ","")&amp;")")</f>
        <v/>
      </c>
      <c r="R2054">
        <f>IF($A2054="","",$B2054&amp;" - "&amp;$C2054)</f>
        <v/>
      </c>
      <c r="S2054">
        <f>IF($A2054="","",$R2054&amp;"|"&amp;$Q2054)</f>
        <v/>
      </c>
      <c r="T2054">
        <f>IF($A2054="","",$S2054&amp;"|"&amp;$F2054)</f>
        <v/>
      </c>
      <c r="U2054">
        <f>IF($A2054="","",$R2054&amp;"("&amp;$E2054&amp;")")</f>
        <v/>
      </c>
      <c r="V2054">
        <f>IF($A2054="","",$F2054&amp;"|"&amp;$U2054&amp;"|"&amp;$D2054)</f>
        <v/>
      </c>
      <c r="W2054">
        <f>IF($T2054="","",IF($X2054&gt;N($X2053),$X2054,""))</f>
        <v/>
      </c>
      <c r="X2054">
        <f>IF($T2054="",N($X2053),IF(MATCH($T2054,$T$6:$T$6005,0)=ROW()-5,N($X2053)+1,N($X2053)))</f>
        <v/>
      </c>
      <c r="Z2054">
        <f>IF($V2054="","",IF($AA2054&gt;N($AA2053),$AA2054,""))</f>
        <v/>
      </c>
      <c r="AA2054">
        <f>IF($V2054="",N($AA2053),IF(MATCH($V2054,$V$6:$V$6005,0)=ROW()-5,N($AA2053)+1,N($AA2053)))</f>
        <v/>
      </c>
    </row>
    <row r="2055" ht="21" customHeight="1" s="66">
      <c r="A2055" s="56" t="n"/>
      <c r="B2055" s="57" t="n"/>
      <c r="C2055" s="57" t="n"/>
      <c r="D2055" s="57" t="n"/>
      <c r="E2055" s="56" t="n"/>
      <c r="F2055" s="57" t="n"/>
      <c r="G2055" s="57" t="n"/>
      <c r="H2055" s="56" t="n"/>
      <c r="I2055" s="56" t="n"/>
      <c r="J2055" s="58" t="n"/>
      <c r="K2055" s="58" t="n"/>
      <c r="L2055" s="13">
        <f>IF(OR($A2055="",AND($J2055="",$K2055="")),"",ROUND(N($J2055)-N($K2055),2))</f>
        <v/>
      </c>
      <c r="M2055" s="13">
        <f>IF(OR($A2055="",AND($J2055="",$K2055="")),"",MIN($J2055,$K2055))</f>
        <v/>
      </c>
      <c r="Q2055">
        <f>IF($A2055="","",$D2055&amp;"("&amp;SUBSTITUTE($E2055," ","")&amp;")")</f>
        <v/>
      </c>
      <c r="R2055">
        <f>IF($A2055="","",$B2055&amp;" - "&amp;$C2055)</f>
        <v/>
      </c>
      <c r="S2055">
        <f>IF($A2055="","",$R2055&amp;"|"&amp;$Q2055)</f>
        <v/>
      </c>
      <c r="T2055">
        <f>IF($A2055="","",$S2055&amp;"|"&amp;$F2055)</f>
        <v/>
      </c>
      <c r="U2055">
        <f>IF($A2055="","",$R2055&amp;"("&amp;$E2055&amp;")")</f>
        <v/>
      </c>
      <c r="V2055">
        <f>IF($A2055="","",$F2055&amp;"|"&amp;$U2055&amp;"|"&amp;$D2055)</f>
        <v/>
      </c>
      <c r="W2055">
        <f>IF($T2055="","",IF($X2055&gt;N($X2054),$X2055,""))</f>
        <v/>
      </c>
      <c r="X2055">
        <f>IF($T2055="",N($X2054),IF(MATCH($T2055,$T$6:$T$6005,0)=ROW()-5,N($X2054)+1,N($X2054)))</f>
        <v/>
      </c>
      <c r="Z2055">
        <f>IF($V2055="","",IF($AA2055&gt;N($AA2054),$AA2055,""))</f>
        <v/>
      </c>
      <c r="AA2055">
        <f>IF($V2055="",N($AA2054),IF(MATCH($V2055,$V$6:$V$6005,0)=ROW()-5,N($AA2054)+1,N($AA2054)))</f>
        <v/>
      </c>
    </row>
    <row r="2056" ht="21" customHeight="1" s="66">
      <c r="A2056" s="56" t="n"/>
      <c r="B2056" s="57" t="n"/>
      <c r="C2056" s="57" t="n"/>
      <c r="D2056" s="57" t="n"/>
      <c r="E2056" s="56" t="n"/>
      <c r="F2056" s="57" t="n"/>
      <c r="G2056" s="57" t="n"/>
      <c r="H2056" s="56" t="n"/>
      <c r="I2056" s="56" t="n"/>
      <c r="J2056" s="58" t="n"/>
      <c r="K2056" s="58" t="n"/>
      <c r="L2056" s="13">
        <f>IF(OR($A2056="",AND($J2056="",$K2056="")),"",ROUND(N($J2056)-N($K2056),2))</f>
        <v/>
      </c>
      <c r="M2056" s="13">
        <f>IF(OR($A2056="",AND($J2056="",$K2056="")),"",MIN($J2056,$K2056))</f>
        <v/>
      </c>
      <c r="Q2056">
        <f>IF($A2056="","",$D2056&amp;"("&amp;SUBSTITUTE($E2056," ","")&amp;")")</f>
        <v/>
      </c>
      <c r="R2056">
        <f>IF($A2056="","",$B2056&amp;" - "&amp;$C2056)</f>
        <v/>
      </c>
      <c r="S2056">
        <f>IF($A2056="","",$R2056&amp;"|"&amp;$Q2056)</f>
        <v/>
      </c>
      <c r="T2056">
        <f>IF($A2056="","",$S2056&amp;"|"&amp;$F2056)</f>
        <v/>
      </c>
      <c r="U2056">
        <f>IF($A2056="","",$R2056&amp;"("&amp;$E2056&amp;")")</f>
        <v/>
      </c>
      <c r="V2056">
        <f>IF($A2056="","",$F2056&amp;"|"&amp;$U2056&amp;"|"&amp;$D2056)</f>
        <v/>
      </c>
      <c r="W2056">
        <f>IF($T2056="","",IF($X2056&gt;N($X2055),$X2056,""))</f>
        <v/>
      </c>
      <c r="X2056">
        <f>IF($T2056="",N($X2055),IF(MATCH($T2056,$T$6:$T$6005,0)=ROW()-5,N($X2055)+1,N($X2055)))</f>
        <v/>
      </c>
      <c r="Z2056">
        <f>IF($V2056="","",IF($AA2056&gt;N($AA2055),$AA2056,""))</f>
        <v/>
      </c>
      <c r="AA2056">
        <f>IF($V2056="",N($AA2055),IF(MATCH($V2056,$V$6:$V$6005,0)=ROW()-5,N($AA2055)+1,N($AA2055)))</f>
        <v/>
      </c>
    </row>
    <row r="2057" ht="21" customHeight="1" s="66">
      <c r="A2057" s="56" t="n"/>
      <c r="B2057" s="57" t="n"/>
      <c r="C2057" s="57" t="n"/>
      <c r="D2057" s="57" t="n"/>
      <c r="E2057" s="56" t="n"/>
      <c r="F2057" s="57" t="n"/>
      <c r="G2057" s="57" t="n"/>
      <c r="H2057" s="56" t="n"/>
      <c r="I2057" s="56" t="n"/>
      <c r="J2057" s="58" t="n"/>
      <c r="K2057" s="58" t="n"/>
      <c r="L2057" s="13">
        <f>IF(OR($A2057="",AND($J2057="",$K2057="")),"",ROUND(N($J2057)-N($K2057),2))</f>
        <v/>
      </c>
      <c r="M2057" s="13">
        <f>IF(OR($A2057="",AND($J2057="",$K2057="")),"",MIN($J2057,$K2057))</f>
        <v/>
      </c>
      <c r="Q2057">
        <f>IF($A2057="","",$D2057&amp;"("&amp;SUBSTITUTE($E2057," ","")&amp;")")</f>
        <v/>
      </c>
      <c r="R2057">
        <f>IF($A2057="","",$B2057&amp;" - "&amp;$C2057)</f>
        <v/>
      </c>
      <c r="S2057">
        <f>IF($A2057="","",$R2057&amp;"|"&amp;$Q2057)</f>
        <v/>
      </c>
      <c r="T2057">
        <f>IF($A2057="","",$S2057&amp;"|"&amp;$F2057)</f>
        <v/>
      </c>
      <c r="U2057">
        <f>IF($A2057="","",$R2057&amp;"("&amp;$E2057&amp;")")</f>
        <v/>
      </c>
      <c r="V2057">
        <f>IF($A2057="","",$F2057&amp;"|"&amp;$U2057&amp;"|"&amp;$D2057)</f>
        <v/>
      </c>
      <c r="W2057">
        <f>IF($T2057="","",IF($X2057&gt;N($X2056),$X2057,""))</f>
        <v/>
      </c>
      <c r="X2057">
        <f>IF($T2057="",N($X2056),IF(MATCH($T2057,$T$6:$T$6005,0)=ROW()-5,N($X2056)+1,N($X2056)))</f>
        <v/>
      </c>
      <c r="Z2057">
        <f>IF($V2057="","",IF($AA2057&gt;N($AA2056),$AA2057,""))</f>
        <v/>
      </c>
      <c r="AA2057">
        <f>IF($V2057="",N($AA2056),IF(MATCH($V2057,$V$6:$V$6005,0)=ROW()-5,N($AA2056)+1,N($AA2056)))</f>
        <v/>
      </c>
    </row>
    <row r="2058" ht="21" customHeight="1" s="66">
      <c r="A2058" s="56" t="n"/>
      <c r="B2058" s="57" t="n"/>
      <c r="C2058" s="57" t="n"/>
      <c r="D2058" s="57" t="n"/>
      <c r="E2058" s="56" t="n"/>
      <c r="F2058" s="57" t="n"/>
      <c r="G2058" s="57" t="n"/>
      <c r="H2058" s="56" t="n"/>
      <c r="I2058" s="56" t="n"/>
      <c r="J2058" s="58" t="n"/>
      <c r="K2058" s="58" t="n"/>
      <c r="L2058" s="13">
        <f>IF(OR($A2058="",AND($J2058="",$K2058="")),"",ROUND(N($J2058)-N($K2058),2))</f>
        <v/>
      </c>
      <c r="M2058" s="13">
        <f>IF(OR($A2058="",AND($J2058="",$K2058="")),"",MIN($J2058,$K2058))</f>
        <v/>
      </c>
      <c r="Q2058">
        <f>IF($A2058="","",$D2058&amp;"("&amp;SUBSTITUTE($E2058," ","")&amp;")")</f>
        <v/>
      </c>
      <c r="R2058">
        <f>IF($A2058="","",$B2058&amp;" - "&amp;$C2058)</f>
        <v/>
      </c>
      <c r="S2058">
        <f>IF($A2058="","",$R2058&amp;"|"&amp;$Q2058)</f>
        <v/>
      </c>
      <c r="T2058">
        <f>IF($A2058="","",$S2058&amp;"|"&amp;$F2058)</f>
        <v/>
      </c>
      <c r="U2058">
        <f>IF($A2058="","",$R2058&amp;"("&amp;$E2058&amp;")")</f>
        <v/>
      </c>
      <c r="V2058">
        <f>IF($A2058="","",$F2058&amp;"|"&amp;$U2058&amp;"|"&amp;$D2058)</f>
        <v/>
      </c>
      <c r="W2058">
        <f>IF($T2058="","",IF($X2058&gt;N($X2057),$X2058,""))</f>
        <v/>
      </c>
      <c r="X2058">
        <f>IF($T2058="",N($X2057),IF(MATCH($T2058,$T$6:$T$6005,0)=ROW()-5,N($X2057)+1,N($X2057)))</f>
        <v/>
      </c>
      <c r="Z2058">
        <f>IF($V2058="","",IF($AA2058&gt;N($AA2057),$AA2058,""))</f>
        <v/>
      </c>
      <c r="AA2058">
        <f>IF($V2058="",N($AA2057),IF(MATCH($V2058,$V$6:$V$6005,0)=ROW()-5,N($AA2057)+1,N($AA2057)))</f>
        <v/>
      </c>
    </row>
    <row r="2059" ht="21" customHeight="1" s="66">
      <c r="A2059" s="56" t="n"/>
      <c r="B2059" s="57" t="n"/>
      <c r="C2059" s="57" t="n"/>
      <c r="D2059" s="57" t="n"/>
      <c r="E2059" s="56" t="n"/>
      <c r="F2059" s="57" t="n"/>
      <c r="G2059" s="57" t="n"/>
      <c r="H2059" s="56" t="n"/>
      <c r="I2059" s="56" t="n"/>
      <c r="J2059" s="58" t="n"/>
      <c r="K2059" s="58" t="n"/>
      <c r="L2059" s="13">
        <f>IF(OR($A2059="",AND($J2059="",$K2059="")),"",ROUND(N($J2059)-N($K2059),2))</f>
        <v/>
      </c>
      <c r="M2059" s="13">
        <f>IF(OR($A2059="",AND($J2059="",$K2059="")),"",MIN($J2059,$K2059))</f>
        <v/>
      </c>
      <c r="Q2059">
        <f>IF($A2059="","",$D2059&amp;"("&amp;SUBSTITUTE($E2059," ","")&amp;")")</f>
        <v/>
      </c>
      <c r="R2059">
        <f>IF($A2059="","",$B2059&amp;" - "&amp;$C2059)</f>
        <v/>
      </c>
      <c r="S2059">
        <f>IF($A2059="","",$R2059&amp;"|"&amp;$Q2059)</f>
        <v/>
      </c>
      <c r="T2059">
        <f>IF($A2059="","",$S2059&amp;"|"&amp;$F2059)</f>
        <v/>
      </c>
      <c r="U2059">
        <f>IF($A2059="","",$R2059&amp;"("&amp;$E2059&amp;")")</f>
        <v/>
      </c>
      <c r="V2059">
        <f>IF($A2059="","",$F2059&amp;"|"&amp;$U2059&amp;"|"&amp;$D2059)</f>
        <v/>
      </c>
      <c r="W2059">
        <f>IF($T2059="","",IF($X2059&gt;N($X2058),$X2059,""))</f>
        <v/>
      </c>
      <c r="X2059">
        <f>IF($T2059="",N($X2058),IF(MATCH($T2059,$T$6:$T$6005,0)=ROW()-5,N($X2058)+1,N($X2058)))</f>
        <v/>
      </c>
      <c r="Z2059">
        <f>IF($V2059="","",IF($AA2059&gt;N($AA2058),$AA2059,""))</f>
        <v/>
      </c>
      <c r="AA2059">
        <f>IF($V2059="",N($AA2058),IF(MATCH($V2059,$V$6:$V$6005,0)=ROW()-5,N($AA2058)+1,N($AA2058)))</f>
        <v/>
      </c>
    </row>
    <row r="2060" ht="21" customHeight="1" s="66">
      <c r="A2060" s="56" t="n"/>
      <c r="B2060" s="57" t="n"/>
      <c r="C2060" s="57" t="n"/>
      <c r="D2060" s="57" t="n"/>
      <c r="E2060" s="56" t="n"/>
      <c r="F2060" s="57" t="n"/>
      <c r="G2060" s="57" t="n"/>
      <c r="H2060" s="56" t="n"/>
      <c r="I2060" s="56" t="n"/>
      <c r="J2060" s="58" t="n"/>
      <c r="K2060" s="58" t="n"/>
      <c r="L2060" s="13">
        <f>IF(OR($A2060="",AND($J2060="",$K2060="")),"",ROUND(N($J2060)-N($K2060),2))</f>
        <v/>
      </c>
      <c r="M2060" s="13">
        <f>IF(OR($A2060="",AND($J2060="",$K2060="")),"",MIN($J2060,$K2060))</f>
        <v/>
      </c>
      <c r="Q2060">
        <f>IF($A2060="","",$D2060&amp;"("&amp;SUBSTITUTE($E2060," ","")&amp;")")</f>
        <v/>
      </c>
      <c r="R2060">
        <f>IF($A2060="","",$B2060&amp;" - "&amp;$C2060)</f>
        <v/>
      </c>
      <c r="S2060">
        <f>IF($A2060="","",$R2060&amp;"|"&amp;$Q2060)</f>
        <v/>
      </c>
      <c r="T2060">
        <f>IF($A2060="","",$S2060&amp;"|"&amp;$F2060)</f>
        <v/>
      </c>
      <c r="U2060">
        <f>IF($A2060="","",$R2060&amp;"("&amp;$E2060&amp;")")</f>
        <v/>
      </c>
      <c r="V2060">
        <f>IF($A2060="","",$F2060&amp;"|"&amp;$U2060&amp;"|"&amp;$D2060)</f>
        <v/>
      </c>
      <c r="W2060">
        <f>IF($T2060="","",IF($X2060&gt;N($X2059),$X2060,""))</f>
        <v/>
      </c>
      <c r="X2060">
        <f>IF($T2060="",N($X2059),IF(MATCH($T2060,$T$6:$T$6005,0)=ROW()-5,N($X2059)+1,N($X2059)))</f>
        <v/>
      </c>
      <c r="Z2060">
        <f>IF($V2060="","",IF($AA2060&gt;N($AA2059),$AA2060,""))</f>
        <v/>
      </c>
      <c r="AA2060">
        <f>IF($V2060="",N($AA2059),IF(MATCH($V2060,$V$6:$V$6005,0)=ROW()-5,N($AA2059)+1,N($AA2059)))</f>
        <v/>
      </c>
    </row>
    <row r="2061" ht="21" customHeight="1" s="66">
      <c r="A2061" s="56" t="n"/>
      <c r="B2061" s="57" t="n"/>
      <c r="C2061" s="57" t="n"/>
      <c r="D2061" s="57" t="n"/>
      <c r="E2061" s="56" t="n"/>
      <c r="F2061" s="57" t="n"/>
      <c r="G2061" s="57" t="n"/>
      <c r="H2061" s="56" t="n"/>
      <c r="I2061" s="56" t="n"/>
      <c r="J2061" s="58" t="n"/>
      <c r="K2061" s="58" t="n"/>
      <c r="L2061" s="13">
        <f>IF(OR($A2061="",AND($J2061="",$K2061="")),"",ROUND(N($J2061)-N($K2061),2))</f>
        <v/>
      </c>
      <c r="M2061" s="13">
        <f>IF(OR($A2061="",AND($J2061="",$K2061="")),"",MIN($J2061,$K2061))</f>
        <v/>
      </c>
      <c r="Q2061">
        <f>IF($A2061="","",$D2061&amp;"("&amp;SUBSTITUTE($E2061," ","")&amp;")")</f>
        <v/>
      </c>
      <c r="R2061">
        <f>IF($A2061="","",$B2061&amp;" - "&amp;$C2061)</f>
        <v/>
      </c>
      <c r="S2061">
        <f>IF($A2061="","",$R2061&amp;"|"&amp;$Q2061)</f>
        <v/>
      </c>
      <c r="T2061">
        <f>IF($A2061="","",$S2061&amp;"|"&amp;$F2061)</f>
        <v/>
      </c>
      <c r="U2061">
        <f>IF($A2061="","",$R2061&amp;"("&amp;$E2061&amp;")")</f>
        <v/>
      </c>
      <c r="V2061">
        <f>IF($A2061="","",$F2061&amp;"|"&amp;$U2061&amp;"|"&amp;$D2061)</f>
        <v/>
      </c>
      <c r="W2061">
        <f>IF($T2061="","",IF($X2061&gt;N($X2060),$X2061,""))</f>
        <v/>
      </c>
      <c r="X2061">
        <f>IF($T2061="",N($X2060),IF(MATCH($T2061,$T$6:$T$6005,0)=ROW()-5,N($X2060)+1,N($X2060)))</f>
        <v/>
      </c>
      <c r="Z2061">
        <f>IF($V2061="","",IF($AA2061&gt;N($AA2060),$AA2061,""))</f>
        <v/>
      </c>
      <c r="AA2061">
        <f>IF($V2061="",N($AA2060),IF(MATCH($V2061,$V$6:$V$6005,0)=ROW()-5,N($AA2060)+1,N($AA2060)))</f>
        <v/>
      </c>
    </row>
    <row r="2062" ht="21" customHeight="1" s="66">
      <c r="A2062" s="56" t="n"/>
      <c r="B2062" s="57" t="n"/>
      <c r="C2062" s="57" t="n"/>
      <c r="D2062" s="57" t="n"/>
      <c r="E2062" s="56" t="n"/>
      <c r="F2062" s="57" t="n"/>
      <c r="G2062" s="57" t="n"/>
      <c r="H2062" s="56" t="n"/>
      <c r="I2062" s="56" t="n"/>
      <c r="J2062" s="58" t="n"/>
      <c r="K2062" s="58" t="n"/>
      <c r="L2062" s="13">
        <f>IF(OR($A2062="",AND($J2062="",$K2062="")),"",ROUND(N($J2062)-N($K2062),2))</f>
        <v/>
      </c>
      <c r="M2062" s="13">
        <f>IF(OR($A2062="",AND($J2062="",$K2062="")),"",MIN($J2062,$K2062))</f>
        <v/>
      </c>
      <c r="Q2062">
        <f>IF($A2062="","",$D2062&amp;"("&amp;SUBSTITUTE($E2062," ","")&amp;")")</f>
        <v/>
      </c>
      <c r="R2062">
        <f>IF($A2062="","",$B2062&amp;" - "&amp;$C2062)</f>
        <v/>
      </c>
      <c r="S2062">
        <f>IF($A2062="","",$R2062&amp;"|"&amp;$Q2062)</f>
        <v/>
      </c>
      <c r="T2062">
        <f>IF($A2062="","",$S2062&amp;"|"&amp;$F2062)</f>
        <v/>
      </c>
      <c r="U2062">
        <f>IF($A2062="","",$R2062&amp;"("&amp;$E2062&amp;")")</f>
        <v/>
      </c>
      <c r="V2062">
        <f>IF($A2062="","",$F2062&amp;"|"&amp;$U2062&amp;"|"&amp;$D2062)</f>
        <v/>
      </c>
      <c r="W2062">
        <f>IF($T2062="","",IF($X2062&gt;N($X2061),$X2062,""))</f>
        <v/>
      </c>
      <c r="X2062">
        <f>IF($T2062="",N($X2061),IF(MATCH($T2062,$T$6:$T$6005,0)=ROW()-5,N($X2061)+1,N($X2061)))</f>
        <v/>
      </c>
      <c r="Z2062">
        <f>IF($V2062="","",IF($AA2062&gt;N($AA2061),$AA2062,""))</f>
        <v/>
      </c>
      <c r="AA2062">
        <f>IF($V2062="",N($AA2061),IF(MATCH($V2062,$V$6:$V$6005,0)=ROW()-5,N($AA2061)+1,N($AA2061)))</f>
        <v/>
      </c>
    </row>
    <row r="2063" ht="21" customHeight="1" s="66">
      <c r="A2063" s="56" t="n"/>
      <c r="B2063" s="57" t="n"/>
      <c r="C2063" s="57" t="n"/>
      <c r="D2063" s="57" t="n"/>
      <c r="E2063" s="56" t="n"/>
      <c r="F2063" s="57" t="n"/>
      <c r="G2063" s="57" t="n"/>
      <c r="H2063" s="56" t="n"/>
      <c r="I2063" s="56" t="n"/>
      <c r="J2063" s="58" t="n"/>
      <c r="K2063" s="58" t="n"/>
      <c r="L2063" s="13">
        <f>IF(OR($A2063="",AND($J2063="",$K2063="")),"",ROUND(N($J2063)-N($K2063),2))</f>
        <v/>
      </c>
      <c r="M2063" s="13">
        <f>IF(OR($A2063="",AND($J2063="",$K2063="")),"",MIN($J2063,$K2063))</f>
        <v/>
      </c>
      <c r="Q2063">
        <f>IF($A2063="","",$D2063&amp;"("&amp;SUBSTITUTE($E2063," ","")&amp;")")</f>
        <v/>
      </c>
      <c r="R2063">
        <f>IF($A2063="","",$B2063&amp;" - "&amp;$C2063)</f>
        <v/>
      </c>
      <c r="S2063">
        <f>IF($A2063="","",$R2063&amp;"|"&amp;$Q2063)</f>
        <v/>
      </c>
      <c r="T2063">
        <f>IF($A2063="","",$S2063&amp;"|"&amp;$F2063)</f>
        <v/>
      </c>
      <c r="U2063">
        <f>IF($A2063="","",$R2063&amp;"("&amp;$E2063&amp;")")</f>
        <v/>
      </c>
      <c r="V2063">
        <f>IF($A2063="","",$F2063&amp;"|"&amp;$U2063&amp;"|"&amp;$D2063)</f>
        <v/>
      </c>
      <c r="W2063">
        <f>IF($T2063="","",IF($X2063&gt;N($X2062),$X2063,""))</f>
        <v/>
      </c>
      <c r="X2063">
        <f>IF($T2063="",N($X2062),IF(MATCH($T2063,$T$6:$T$6005,0)=ROW()-5,N($X2062)+1,N($X2062)))</f>
        <v/>
      </c>
      <c r="Z2063">
        <f>IF($V2063="","",IF($AA2063&gt;N($AA2062),$AA2063,""))</f>
        <v/>
      </c>
      <c r="AA2063">
        <f>IF($V2063="",N($AA2062),IF(MATCH($V2063,$V$6:$V$6005,0)=ROW()-5,N($AA2062)+1,N($AA2062)))</f>
        <v/>
      </c>
    </row>
    <row r="2064" ht="21" customHeight="1" s="66">
      <c r="A2064" s="56" t="n"/>
      <c r="B2064" s="57" t="n"/>
      <c r="C2064" s="57" t="n"/>
      <c r="D2064" s="57" t="n"/>
      <c r="E2064" s="56" t="n"/>
      <c r="F2064" s="57" t="n"/>
      <c r="G2064" s="57" t="n"/>
      <c r="H2064" s="56" t="n"/>
      <c r="I2064" s="56" t="n"/>
      <c r="J2064" s="58" t="n"/>
      <c r="K2064" s="58" t="n"/>
      <c r="L2064" s="13">
        <f>IF(OR($A2064="",AND($J2064="",$K2064="")),"",ROUND(N($J2064)-N($K2064),2))</f>
        <v/>
      </c>
      <c r="M2064" s="13">
        <f>IF(OR($A2064="",AND($J2064="",$K2064="")),"",MIN($J2064,$K2064))</f>
        <v/>
      </c>
      <c r="Q2064">
        <f>IF($A2064="","",$D2064&amp;"("&amp;SUBSTITUTE($E2064," ","")&amp;")")</f>
        <v/>
      </c>
      <c r="R2064">
        <f>IF($A2064="","",$B2064&amp;" - "&amp;$C2064)</f>
        <v/>
      </c>
      <c r="S2064">
        <f>IF($A2064="","",$R2064&amp;"|"&amp;$Q2064)</f>
        <v/>
      </c>
      <c r="T2064">
        <f>IF($A2064="","",$S2064&amp;"|"&amp;$F2064)</f>
        <v/>
      </c>
      <c r="U2064">
        <f>IF($A2064="","",$R2064&amp;"("&amp;$E2064&amp;")")</f>
        <v/>
      </c>
      <c r="V2064">
        <f>IF($A2064="","",$F2064&amp;"|"&amp;$U2064&amp;"|"&amp;$D2064)</f>
        <v/>
      </c>
      <c r="W2064">
        <f>IF($T2064="","",IF($X2064&gt;N($X2063),$X2064,""))</f>
        <v/>
      </c>
      <c r="X2064">
        <f>IF($T2064="",N($X2063),IF(MATCH($T2064,$T$6:$T$6005,0)=ROW()-5,N($X2063)+1,N($X2063)))</f>
        <v/>
      </c>
      <c r="Z2064">
        <f>IF($V2064="","",IF($AA2064&gt;N($AA2063),$AA2064,""))</f>
        <v/>
      </c>
      <c r="AA2064">
        <f>IF($V2064="",N($AA2063),IF(MATCH($V2064,$V$6:$V$6005,0)=ROW()-5,N($AA2063)+1,N($AA2063)))</f>
        <v/>
      </c>
    </row>
    <row r="2065" ht="21" customHeight="1" s="66">
      <c r="A2065" s="56" t="n"/>
      <c r="B2065" s="57" t="n"/>
      <c r="C2065" s="57" t="n"/>
      <c r="D2065" s="57" t="n"/>
      <c r="E2065" s="56" t="n"/>
      <c r="F2065" s="57" t="n"/>
      <c r="G2065" s="57" t="n"/>
      <c r="H2065" s="56" t="n"/>
      <c r="I2065" s="56" t="n"/>
      <c r="J2065" s="58" t="n"/>
      <c r="K2065" s="58" t="n"/>
      <c r="L2065" s="13">
        <f>IF(OR($A2065="",AND($J2065="",$K2065="")),"",ROUND(N($J2065)-N($K2065),2))</f>
        <v/>
      </c>
      <c r="M2065" s="13">
        <f>IF(OR($A2065="",AND($J2065="",$K2065="")),"",MIN($J2065,$K2065))</f>
        <v/>
      </c>
      <c r="Q2065">
        <f>IF($A2065="","",$D2065&amp;"("&amp;SUBSTITUTE($E2065," ","")&amp;")")</f>
        <v/>
      </c>
      <c r="R2065">
        <f>IF($A2065="","",$B2065&amp;" - "&amp;$C2065)</f>
        <v/>
      </c>
      <c r="S2065">
        <f>IF($A2065="","",$R2065&amp;"|"&amp;$Q2065)</f>
        <v/>
      </c>
      <c r="T2065">
        <f>IF($A2065="","",$S2065&amp;"|"&amp;$F2065)</f>
        <v/>
      </c>
      <c r="U2065">
        <f>IF($A2065="","",$R2065&amp;"("&amp;$E2065&amp;")")</f>
        <v/>
      </c>
      <c r="V2065">
        <f>IF($A2065="","",$F2065&amp;"|"&amp;$U2065&amp;"|"&amp;$D2065)</f>
        <v/>
      </c>
      <c r="W2065">
        <f>IF($T2065="","",IF($X2065&gt;N($X2064),$X2065,""))</f>
        <v/>
      </c>
      <c r="X2065">
        <f>IF($T2065="",N($X2064),IF(MATCH($T2065,$T$6:$T$6005,0)=ROW()-5,N($X2064)+1,N($X2064)))</f>
        <v/>
      </c>
      <c r="Z2065">
        <f>IF($V2065="","",IF($AA2065&gt;N($AA2064),$AA2065,""))</f>
        <v/>
      </c>
      <c r="AA2065">
        <f>IF($V2065="",N($AA2064),IF(MATCH($V2065,$V$6:$V$6005,0)=ROW()-5,N($AA2064)+1,N($AA2064)))</f>
        <v/>
      </c>
    </row>
    <row r="2066" ht="21" customHeight="1" s="66">
      <c r="A2066" s="56" t="n"/>
      <c r="B2066" s="57" t="n"/>
      <c r="C2066" s="57" t="n"/>
      <c r="D2066" s="57" t="n"/>
      <c r="E2066" s="56" t="n"/>
      <c r="F2066" s="57" t="n"/>
      <c r="G2066" s="57" t="n"/>
      <c r="H2066" s="56" t="n"/>
      <c r="I2066" s="56" t="n"/>
      <c r="J2066" s="58" t="n"/>
      <c r="K2066" s="58" t="n"/>
      <c r="L2066" s="13">
        <f>IF(OR($A2066="",AND($J2066="",$K2066="")),"",ROUND(N($J2066)-N($K2066),2))</f>
        <v/>
      </c>
      <c r="M2066" s="13">
        <f>IF(OR($A2066="",AND($J2066="",$K2066="")),"",MIN($J2066,$K2066))</f>
        <v/>
      </c>
      <c r="Q2066">
        <f>IF($A2066="","",$D2066&amp;"("&amp;SUBSTITUTE($E2066," ","")&amp;")")</f>
        <v/>
      </c>
      <c r="R2066">
        <f>IF($A2066="","",$B2066&amp;" - "&amp;$C2066)</f>
        <v/>
      </c>
      <c r="S2066">
        <f>IF($A2066="","",$R2066&amp;"|"&amp;$Q2066)</f>
        <v/>
      </c>
      <c r="T2066">
        <f>IF($A2066="","",$S2066&amp;"|"&amp;$F2066)</f>
        <v/>
      </c>
      <c r="U2066">
        <f>IF($A2066="","",$R2066&amp;"("&amp;$E2066&amp;")")</f>
        <v/>
      </c>
      <c r="V2066">
        <f>IF($A2066="","",$F2066&amp;"|"&amp;$U2066&amp;"|"&amp;$D2066)</f>
        <v/>
      </c>
      <c r="W2066">
        <f>IF($T2066="","",IF($X2066&gt;N($X2065),$X2066,""))</f>
        <v/>
      </c>
      <c r="X2066">
        <f>IF($T2066="",N($X2065),IF(MATCH($T2066,$T$6:$T$6005,0)=ROW()-5,N($X2065)+1,N($X2065)))</f>
        <v/>
      </c>
      <c r="Z2066">
        <f>IF($V2066="","",IF($AA2066&gt;N($AA2065),$AA2066,""))</f>
        <v/>
      </c>
      <c r="AA2066">
        <f>IF($V2066="",N($AA2065),IF(MATCH($V2066,$V$6:$V$6005,0)=ROW()-5,N($AA2065)+1,N($AA2065)))</f>
        <v/>
      </c>
    </row>
    <row r="2067" ht="21" customHeight="1" s="66">
      <c r="A2067" s="56" t="n"/>
      <c r="B2067" s="57" t="n"/>
      <c r="C2067" s="57" t="n"/>
      <c r="D2067" s="57" t="n"/>
      <c r="E2067" s="56" t="n"/>
      <c r="F2067" s="57" t="n"/>
      <c r="G2067" s="57" t="n"/>
      <c r="H2067" s="56" t="n"/>
      <c r="I2067" s="56" t="n"/>
      <c r="J2067" s="58" t="n"/>
      <c r="K2067" s="58" t="n"/>
      <c r="L2067" s="13">
        <f>IF(OR($A2067="",AND($J2067="",$K2067="")),"",ROUND(N($J2067)-N($K2067),2))</f>
        <v/>
      </c>
      <c r="M2067" s="13">
        <f>IF(OR($A2067="",AND($J2067="",$K2067="")),"",MIN($J2067,$K2067))</f>
        <v/>
      </c>
      <c r="Q2067">
        <f>IF($A2067="","",$D2067&amp;"("&amp;SUBSTITUTE($E2067," ","")&amp;")")</f>
        <v/>
      </c>
      <c r="R2067">
        <f>IF($A2067="","",$B2067&amp;" - "&amp;$C2067)</f>
        <v/>
      </c>
      <c r="S2067">
        <f>IF($A2067="","",$R2067&amp;"|"&amp;$Q2067)</f>
        <v/>
      </c>
      <c r="T2067">
        <f>IF($A2067="","",$S2067&amp;"|"&amp;$F2067)</f>
        <v/>
      </c>
      <c r="U2067">
        <f>IF($A2067="","",$R2067&amp;"("&amp;$E2067&amp;")")</f>
        <v/>
      </c>
      <c r="V2067">
        <f>IF($A2067="","",$F2067&amp;"|"&amp;$U2067&amp;"|"&amp;$D2067)</f>
        <v/>
      </c>
      <c r="W2067">
        <f>IF($T2067="","",IF($X2067&gt;N($X2066),$X2067,""))</f>
        <v/>
      </c>
      <c r="X2067">
        <f>IF($T2067="",N($X2066),IF(MATCH($T2067,$T$6:$T$6005,0)=ROW()-5,N($X2066)+1,N($X2066)))</f>
        <v/>
      </c>
      <c r="Z2067">
        <f>IF($V2067="","",IF($AA2067&gt;N($AA2066),$AA2067,""))</f>
        <v/>
      </c>
      <c r="AA2067">
        <f>IF($V2067="",N($AA2066),IF(MATCH($V2067,$V$6:$V$6005,0)=ROW()-5,N($AA2066)+1,N($AA2066)))</f>
        <v/>
      </c>
    </row>
    <row r="2068" ht="21" customHeight="1" s="66">
      <c r="A2068" s="56" t="n"/>
      <c r="B2068" s="57" t="n"/>
      <c r="C2068" s="57" t="n"/>
      <c r="D2068" s="57" t="n"/>
      <c r="E2068" s="56" t="n"/>
      <c r="F2068" s="57" t="n"/>
      <c r="G2068" s="57" t="n"/>
      <c r="H2068" s="56" t="n"/>
      <c r="I2068" s="56" t="n"/>
      <c r="J2068" s="58" t="n"/>
      <c r="K2068" s="58" t="n"/>
      <c r="L2068" s="13">
        <f>IF(OR($A2068="",AND($J2068="",$K2068="")),"",ROUND(N($J2068)-N($K2068),2))</f>
        <v/>
      </c>
      <c r="M2068" s="13">
        <f>IF(OR($A2068="",AND($J2068="",$K2068="")),"",MIN($J2068,$K2068))</f>
        <v/>
      </c>
      <c r="Q2068">
        <f>IF($A2068="","",$D2068&amp;"("&amp;SUBSTITUTE($E2068," ","")&amp;")")</f>
        <v/>
      </c>
      <c r="R2068">
        <f>IF($A2068="","",$B2068&amp;" - "&amp;$C2068)</f>
        <v/>
      </c>
      <c r="S2068">
        <f>IF($A2068="","",$R2068&amp;"|"&amp;$Q2068)</f>
        <v/>
      </c>
      <c r="T2068">
        <f>IF($A2068="","",$S2068&amp;"|"&amp;$F2068)</f>
        <v/>
      </c>
      <c r="U2068">
        <f>IF($A2068="","",$R2068&amp;"("&amp;$E2068&amp;")")</f>
        <v/>
      </c>
      <c r="V2068">
        <f>IF($A2068="","",$F2068&amp;"|"&amp;$U2068&amp;"|"&amp;$D2068)</f>
        <v/>
      </c>
      <c r="W2068">
        <f>IF($T2068="","",IF($X2068&gt;N($X2067),$X2068,""))</f>
        <v/>
      </c>
      <c r="X2068">
        <f>IF($T2068="",N($X2067),IF(MATCH($T2068,$T$6:$T$6005,0)=ROW()-5,N($X2067)+1,N($X2067)))</f>
        <v/>
      </c>
      <c r="Z2068">
        <f>IF($V2068="","",IF($AA2068&gt;N($AA2067),$AA2068,""))</f>
        <v/>
      </c>
      <c r="AA2068">
        <f>IF($V2068="",N($AA2067),IF(MATCH($V2068,$V$6:$V$6005,0)=ROW()-5,N($AA2067)+1,N($AA2067)))</f>
        <v/>
      </c>
    </row>
    <row r="2069" ht="21" customHeight="1" s="66">
      <c r="A2069" s="56" t="n"/>
      <c r="B2069" s="57" t="n"/>
      <c r="C2069" s="57" t="n"/>
      <c r="D2069" s="57" t="n"/>
      <c r="E2069" s="56" t="n"/>
      <c r="F2069" s="57" t="n"/>
      <c r="G2069" s="57" t="n"/>
      <c r="H2069" s="56" t="n"/>
      <c r="I2069" s="56" t="n"/>
      <c r="J2069" s="58" t="n"/>
      <c r="K2069" s="58" t="n"/>
      <c r="L2069" s="13">
        <f>IF(OR($A2069="",AND($J2069="",$K2069="")),"",ROUND(N($J2069)-N($K2069),2))</f>
        <v/>
      </c>
      <c r="M2069" s="13">
        <f>IF(OR($A2069="",AND($J2069="",$K2069="")),"",MIN($J2069,$K2069))</f>
        <v/>
      </c>
      <c r="Q2069">
        <f>IF($A2069="","",$D2069&amp;"("&amp;SUBSTITUTE($E2069," ","")&amp;")")</f>
        <v/>
      </c>
      <c r="R2069">
        <f>IF($A2069="","",$B2069&amp;" - "&amp;$C2069)</f>
        <v/>
      </c>
      <c r="S2069">
        <f>IF($A2069="","",$R2069&amp;"|"&amp;$Q2069)</f>
        <v/>
      </c>
      <c r="T2069">
        <f>IF($A2069="","",$S2069&amp;"|"&amp;$F2069)</f>
        <v/>
      </c>
      <c r="U2069">
        <f>IF($A2069="","",$R2069&amp;"("&amp;$E2069&amp;")")</f>
        <v/>
      </c>
      <c r="V2069">
        <f>IF($A2069="","",$F2069&amp;"|"&amp;$U2069&amp;"|"&amp;$D2069)</f>
        <v/>
      </c>
      <c r="W2069">
        <f>IF($T2069="","",IF($X2069&gt;N($X2068),$X2069,""))</f>
        <v/>
      </c>
      <c r="X2069">
        <f>IF($T2069="",N($X2068),IF(MATCH($T2069,$T$6:$T$6005,0)=ROW()-5,N($X2068)+1,N($X2068)))</f>
        <v/>
      </c>
      <c r="Z2069">
        <f>IF($V2069="","",IF($AA2069&gt;N($AA2068),$AA2069,""))</f>
        <v/>
      </c>
      <c r="AA2069">
        <f>IF($V2069="",N($AA2068),IF(MATCH($V2069,$V$6:$V$6005,0)=ROW()-5,N($AA2068)+1,N($AA2068)))</f>
        <v/>
      </c>
    </row>
    <row r="2070" ht="21" customHeight="1" s="66">
      <c r="A2070" s="56" t="n"/>
      <c r="B2070" s="57" t="n"/>
      <c r="C2070" s="57" t="n"/>
      <c r="D2070" s="57" t="n"/>
      <c r="E2070" s="56" t="n"/>
      <c r="F2070" s="57" t="n"/>
      <c r="G2070" s="57" t="n"/>
      <c r="H2070" s="56" t="n"/>
      <c r="I2070" s="56" t="n"/>
      <c r="J2070" s="58" t="n"/>
      <c r="K2070" s="58" t="n"/>
      <c r="L2070" s="13">
        <f>IF(OR($A2070="",AND($J2070="",$K2070="")),"",ROUND(N($J2070)-N($K2070),2))</f>
        <v/>
      </c>
      <c r="M2070" s="13">
        <f>IF(OR($A2070="",AND($J2070="",$K2070="")),"",MIN($J2070,$K2070))</f>
        <v/>
      </c>
      <c r="Q2070">
        <f>IF($A2070="","",$D2070&amp;"("&amp;SUBSTITUTE($E2070," ","")&amp;")")</f>
        <v/>
      </c>
      <c r="R2070">
        <f>IF($A2070="","",$B2070&amp;" - "&amp;$C2070)</f>
        <v/>
      </c>
      <c r="S2070">
        <f>IF($A2070="","",$R2070&amp;"|"&amp;$Q2070)</f>
        <v/>
      </c>
      <c r="T2070">
        <f>IF($A2070="","",$S2070&amp;"|"&amp;$F2070)</f>
        <v/>
      </c>
      <c r="U2070">
        <f>IF($A2070="","",$R2070&amp;"("&amp;$E2070&amp;")")</f>
        <v/>
      </c>
      <c r="V2070">
        <f>IF($A2070="","",$F2070&amp;"|"&amp;$U2070&amp;"|"&amp;$D2070)</f>
        <v/>
      </c>
      <c r="W2070">
        <f>IF($T2070="","",IF($X2070&gt;N($X2069),$X2070,""))</f>
        <v/>
      </c>
      <c r="X2070">
        <f>IF($T2070="",N($X2069),IF(MATCH($T2070,$T$6:$T$6005,0)=ROW()-5,N($X2069)+1,N($X2069)))</f>
        <v/>
      </c>
      <c r="Z2070">
        <f>IF($V2070="","",IF($AA2070&gt;N($AA2069),$AA2070,""))</f>
        <v/>
      </c>
      <c r="AA2070">
        <f>IF($V2070="",N($AA2069),IF(MATCH($V2070,$V$6:$V$6005,0)=ROW()-5,N($AA2069)+1,N($AA2069)))</f>
        <v/>
      </c>
    </row>
    <row r="2071" ht="21" customHeight="1" s="66">
      <c r="A2071" s="56" t="n"/>
      <c r="B2071" s="57" t="n"/>
      <c r="C2071" s="57" t="n"/>
      <c r="D2071" s="57" t="n"/>
      <c r="E2071" s="56" t="n"/>
      <c r="F2071" s="57" t="n"/>
      <c r="G2071" s="57" t="n"/>
      <c r="H2071" s="56" t="n"/>
      <c r="I2071" s="56" t="n"/>
      <c r="J2071" s="58" t="n"/>
      <c r="K2071" s="58" t="n"/>
      <c r="L2071" s="13">
        <f>IF(OR($A2071="",AND($J2071="",$K2071="")),"",ROUND(N($J2071)-N($K2071),2))</f>
        <v/>
      </c>
      <c r="M2071" s="13">
        <f>IF(OR($A2071="",AND($J2071="",$K2071="")),"",MIN($J2071,$K2071))</f>
        <v/>
      </c>
      <c r="Q2071">
        <f>IF($A2071="","",$D2071&amp;"("&amp;SUBSTITUTE($E2071," ","")&amp;")")</f>
        <v/>
      </c>
      <c r="R2071">
        <f>IF($A2071="","",$B2071&amp;" - "&amp;$C2071)</f>
        <v/>
      </c>
      <c r="S2071">
        <f>IF($A2071="","",$R2071&amp;"|"&amp;$Q2071)</f>
        <v/>
      </c>
      <c r="T2071">
        <f>IF($A2071="","",$S2071&amp;"|"&amp;$F2071)</f>
        <v/>
      </c>
      <c r="U2071">
        <f>IF($A2071="","",$R2071&amp;"("&amp;$E2071&amp;")")</f>
        <v/>
      </c>
      <c r="V2071">
        <f>IF($A2071="","",$F2071&amp;"|"&amp;$U2071&amp;"|"&amp;$D2071)</f>
        <v/>
      </c>
      <c r="W2071">
        <f>IF($T2071="","",IF($X2071&gt;N($X2070),$X2071,""))</f>
        <v/>
      </c>
      <c r="X2071">
        <f>IF($T2071="",N($X2070),IF(MATCH($T2071,$T$6:$T$6005,0)=ROW()-5,N($X2070)+1,N($X2070)))</f>
        <v/>
      </c>
      <c r="Z2071">
        <f>IF($V2071="","",IF($AA2071&gt;N($AA2070),$AA2071,""))</f>
        <v/>
      </c>
      <c r="AA2071">
        <f>IF($V2071="",N($AA2070),IF(MATCH($V2071,$V$6:$V$6005,0)=ROW()-5,N($AA2070)+1,N($AA2070)))</f>
        <v/>
      </c>
    </row>
    <row r="2072" ht="21" customHeight="1" s="66">
      <c r="A2072" s="56" t="n"/>
      <c r="B2072" s="57" t="n"/>
      <c r="C2072" s="57" t="n"/>
      <c r="D2072" s="57" t="n"/>
      <c r="E2072" s="56" t="n"/>
      <c r="F2072" s="57" t="n"/>
      <c r="G2072" s="57" t="n"/>
      <c r="H2072" s="56" t="n"/>
      <c r="I2072" s="56" t="n"/>
      <c r="J2072" s="58" t="n"/>
      <c r="K2072" s="58" t="n"/>
      <c r="L2072" s="13">
        <f>IF(OR($A2072="",AND($J2072="",$K2072="")),"",ROUND(N($J2072)-N($K2072),2))</f>
        <v/>
      </c>
      <c r="M2072" s="13">
        <f>IF(OR($A2072="",AND($J2072="",$K2072="")),"",MIN($J2072,$K2072))</f>
        <v/>
      </c>
      <c r="Q2072">
        <f>IF($A2072="","",$D2072&amp;"("&amp;SUBSTITUTE($E2072," ","")&amp;")")</f>
        <v/>
      </c>
      <c r="R2072">
        <f>IF($A2072="","",$B2072&amp;" - "&amp;$C2072)</f>
        <v/>
      </c>
      <c r="S2072">
        <f>IF($A2072="","",$R2072&amp;"|"&amp;$Q2072)</f>
        <v/>
      </c>
      <c r="T2072">
        <f>IF($A2072="","",$S2072&amp;"|"&amp;$F2072)</f>
        <v/>
      </c>
      <c r="U2072">
        <f>IF($A2072="","",$R2072&amp;"("&amp;$E2072&amp;")")</f>
        <v/>
      </c>
      <c r="V2072">
        <f>IF($A2072="","",$F2072&amp;"|"&amp;$U2072&amp;"|"&amp;$D2072)</f>
        <v/>
      </c>
      <c r="W2072">
        <f>IF($T2072="","",IF($X2072&gt;N($X2071),$X2072,""))</f>
        <v/>
      </c>
      <c r="X2072">
        <f>IF($T2072="",N($X2071),IF(MATCH($T2072,$T$6:$T$6005,0)=ROW()-5,N($X2071)+1,N($X2071)))</f>
        <v/>
      </c>
      <c r="Z2072">
        <f>IF($V2072="","",IF($AA2072&gt;N($AA2071),$AA2072,""))</f>
        <v/>
      </c>
      <c r="AA2072">
        <f>IF($V2072="",N($AA2071),IF(MATCH($V2072,$V$6:$V$6005,0)=ROW()-5,N($AA2071)+1,N($AA2071)))</f>
        <v/>
      </c>
    </row>
    <row r="2073" ht="21" customHeight="1" s="66">
      <c r="A2073" s="56" t="n"/>
      <c r="B2073" s="57" t="n"/>
      <c r="C2073" s="57" t="n"/>
      <c r="D2073" s="57" t="n"/>
      <c r="E2073" s="56" t="n"/>
      <c r="F2073" s="57" t="n"/>
      <c r="G2073" s="57" t="n"/>
      <c r="H2073" s="56" t="n"/>
      <c r="I2073" s="56" t="n"/>
      <c r="J2073" s="58" t="n"/>
      <c r="K2073" s="58" t="n"/>
      <c r="L2073" s="13">
        <f>IF(OR($A2073="",AND($J2073="",$K2073="")),"",ROUND(N($J2073)-N($K2073),2))</f>
        <v/>
      </c>
      <c r="M2073" s="13">
        <f>IF(OR($A2073="",AND($J2073="",$K2073="")),"",MIN($J2073,$K2073))</f>
        <v/>
      </c>
      <c r="Q2073">
        <f>IF($A2073="","",$D2073&amp;"("&amp;SUBSTITUTE($E2073," ","")&amp;")")</f>
        <v/>
      </c>
      <c r="R2073">
        <f>IF($A2073="","",$B2073&amp;" - "&amp;$C2073)</f>
        <v/>
      </c>
      <c r="S2073">
        <f>IF($A2073="","",$R2073&amp;"|"&amp;$Q2073)</f>
        <v/>
      </c>
      <c r="T2073">
        <f>IF($A2073="","",$S2073&amp;"|"&amp;$F2073)</f>
        <v/>
      </c>
      <c r="U2073">
        <f>IF($A2073="","",$R2073&amp;"("&amp;$E2073&amp;")")</f>
        <v/>
      </c>
      <c r="V2073">
        <f>IF($A2073="","",$F2073&amp;"|"&amp;$U2073&amp;"|"&amp;$D2073)</f>
        <v/>
      </c>
      <c r="W2073">
        <f>IF($T2073="","",IF($X2073&gt;N($X2072),$X2073,""))</f>
        <v/>
      </c>
      <c r="X2073">
        <f>IF($T2073="",N($X2072),IF(MATCH($T2073,$T$6:$T$6005,0)=ROW()-5,N($X2072)+1,N($X2072)))</f>
        <v/>
      </c>
      <c r="Z2073">
        <f>IF($V2073="","",IF($AA2073&gt;N($AA2072),$AA2073,""))</f>
        <v/>
      </c>
      <c r="AA2073">
        <f>IF($V2073="",N($AA2072),IF(MATCH($V2073,$V$6:$V$6005,0)=ROW()-5,N($AA2072)+1,N($AA2072)))</f>
        <v/>
      </c>
    </row>
    <row r="2074" ht="21" customHeight="1" s="66">
      <c r="A2074" s="56" t="n"/>
      <c r="B2074" s="57" t="n"/>
      <c r="C2074" s="57" t="n"/>
      <c r="D2074" s="57" t="n"/>
      <c r="E2074" s="56" t="n"/>
      <c r="F2074" s="57" t="n"/>
      <c r="G2074" s="57" t="n"/>
      <c r="H2074" s="56" t="n"/>
      <c r="I2074" s="56" t="n"/>
      <c r="J2074" s="58" t="n"/>
      <c r="K2074" s="58" t="n"/>
      <c r="L2074" s="13">
        <f>IF(OR($A2074="",AND($J2074="",$K2074="")),"",ROUND(N($J2074)-N($K2074),2))</f>
        <v/>
      </c>
      <c r="M2074" s="13">
        <f>IF(OR($A2074="",AND($J2074="",$K2074="")),"",MIN($J2074,$K2074))</f>
        <v/>
      </c>
      <c r="Q2074">
        <f>IF($A2074="","",$D2074&amp;"("&amp;SUBSTITUTE($E2074," ","")&amp;")")</f>
        <v/>
      </c>
      <c r="R2074">
        <f>IF($A2074="","",$B2074&amp;" - "&amp;$C2074)</f>
        <v/>
      </c>
      <c r="S2074">
        <f>IF($A2074="","",$R2074&amp;"|"&amp;$Q2074)</f>
        <v/>
      </c>
      <c r="T2074">
        <f>IF($A2074="","",$S2074&amp;"|"&amp;$F2074)</f>
        <v/>
      </c>
      <c r="U2074">
        <f>IF($A2074="","",$R2074&amp;"("&amp;$E2074&amp;")")</f>
        <v/>
      </c>
      <c r="V2074">
        <f>IF($A2074="","",$F2074&amp;"|"&amp;$U2074&amp;"|"&amp;$D2074)</f>
        <v/>
      </c>
      <c r="W2074">
        <f>IF($T2074="","",IF($X2074&gt;N($X2073),$X2074,""))</f>
        <v/>
      </c>
      <c r="X2074">
        <f>IF($T2074="",N($X2073),IF(MATCH($T2074,$T$6:$T$6005,0)=ROW()-5,N($X2073)+1,N($X2073)))</f>
        <v/>
      </c>
      <c r="Z2074">
        <f>IF($V2074="","",IF($AA2074&gt;N($AA2073),$AA2074,""))</f>
        <v/>
      </c>
      <c r="AA2074">
        <f>IF($V2074="",N($AA2073),IF(MATCH($V2074,$V$6:$V$6005,0)=ROW()-5,N($AA2073)+1,N($AA2073)))</f>
        <v/>
      </c>
    </row>
    <row r="2075" ht="21" customHeight="1" s="66">
      <c r="A2075" s="56" t="n"/>
      <c r="B2075" s="57" t="n"/>
      <c r="C2075" s="57" t="n"/>
      <c r="D2075" s="57" t="n"/>
      <c r="E2075" s="56" t="n"/>
      <c r="F2075" s="57" t="n"/>
      <c r="G2075" s="57" t="n"/>
      <c r="H2075" s="56" t="n"/>
      <c r="I2075" s="56" t="n"/>
      <c r="J2075" s="58" t="n"/>
      <c r="K2075" s="58" t="n"/>
      <c r="L2075" s="13">
        <f>IF(OR($A2075="",AND($J2075="",$K2075="")),"",ROUND(N($J2075)-N($K2075),2))</f>
        <v/>
      </c>
      <c r="M2075" s="13">
        <f>IF(OR($A2075="",AND($J2075="",$K2075="")),"",MIN($J2075,$K2075))</f>
        <v/>
      </c>
      <c r="Q2075">
        <f>IF($A2075="","",$D2075&amp;"("&amp;SUBSTITUTE($E2075," ","")&amp;")")</f>
        <v/>
      </c>
      <c r="R2075">
        <f>IF($A2075="","",$B2075&amp;" - "&amp;$C2075)</f>
        <v/>
      </c>
      <c r="S2075">
        <f>IF($A2075="","",$R2075&amp;"|"&amp;$Q2075)</f>
        <v/>
      </c>
      <c r="T2075">
        <f>IF($A2075="","",$S2075&amp;"|"&amp;$F2075)</f>
        <v/>
      </c>
      <c r="U2075">
        <f>IF($A2075="","",$R2075&amp;"("&amp;$E2075&amp;")")</f>
        <v/>
      </c>
      <c r="V2075">
        <f>IF($A2075="","",$F2075&amp;"|"&amp;$U2075&amp;"|"&amp;$D2075)</f>
        <v/>
      </c>
      <c r="W2075">
        <f>IF($T2075="","",IF($X2075&gt;N($X2074),$X2075,""))</f>
        <v/>
      </c>
      <c r="X2075">
        <f>IF($T2075="",N($X2074),IF(MATCH($T2075,$T$6:$T$6005,0)=ROW()-5,N($X2074)+1,N($X2074)))</f>
        <v/>
      </c>
      <c r="Z2075">
        <f>IF($V2075="","",IF($AA2075&gt;N($AA2074),$AA2075,""))</f>
        <v/>
      </c>
      <c r="AA2075">
        <f>IF($V2075="",N($AA2074),IF(MATCH($V2075,$V$6:$V$6005,0)=ROW()-5,N($AA2074)+1,N($AA2074)))</f>
        <v/>
      </c>
    </row>
    <row r="2076" ht="21" customHeight="1" s="66">
      <c r="A2076" s="56" t="n"/>
      <c r="B2076" s="57" t="n"/>
      <c r="C2076" s="57" t="n"/>
      <c r="D2076" s="57" t="n"/>
      <c r="E2076" s="56" t="n"/>
      <c r="F2076" s="57" t="n"/>
      <c r="G2076" s="57" t="n"/>
      <c r="H2076" s="56" t="n"/>
      <c r="I2076" s="56" t="n"/>
      <c r="J2076" s="58" t="n"/>
      <c r="K2076" s="58" t="n"/>
      <c r="L2076" s="13">
        <f>IF(OR($A2076="",AND($J2076="",$K2076="")),"",ROUND(N($J2076)-N($K2076),2))</f>
        <v/>
      </c>
      <c r="M2076" s="13">
        <f>IF(OR($A2076="",AND($J2076="",$K2076="")),"",MIN($J2076,$K2076))</f>
        <v/>
      </c>
      <c r="Q2076">
        <f>IF($A2076="","",$D2076&amp;"("&amp;SUBSTITUTE($E2076," ","")&amp;")")</f>
        <v/>
      </c>
      <c r="R2076">
        <f>IF($A2076="","",$B2076&amp;" - "&amp;$C2076)</f>
        <v/>
      </c>
      <c r="S2076">
        <f>IF($A2076="","",$R2076&amp;"|"&amp;$Q2076)</f>
        <v/>
      </c>
      <c r="T2076">
        <f>IF($A2076="","",$S2076&amp;"|"&amp;$F2076)</f>
        <v/>
      </c>
      <c r="U2076">
        <f>IF($A2076="","",$R2076&amp;"("&amp;$E2076&amp;")")</f>
        <v/>
      </c>
      <c r="V2076">
        <f>IF($A2076="","",$F2076&amp;"|"&amp;$U2076&amp;"|"&amp;$D2076)</f>
        <v/>
      </c>
      <c r="W2076">
        <f>IF($T2076="","",IF($X2076&gt;N($X2075),$X2076,""))</f>
        <v/>
      </c>
      <c r="X2076">
        <f>IF($T2076="",N($X2075),IF(MATCH($T2076,$T$6:$T$6005,0)=ROW()-5,N($X2075)+1,N($X2075)))</f>
        <v/>
      </c>
      <c r="Z2076">
        <f>IF($V2076="","",IF($AA2076&gt;N($AA2075),$AA2076,""))</f>
        <v/>
      </c>
      <c r="AA2076">
        <f>IF($V2076="",N($AA2075),IF(MATCH($V2076,$V$6:$V$6005,0)=ROW()-5,N($AA2075)+1,N($AA2075)))</f>
        <v/>
      </c>
    </row>
    <row r="2077" ht="21" customHeight="1" s="66">
      <c r="A2077" s="56" t="n"/>
      <c r="B2077" s="57" t="n"/>
      <c r="C2077" s="57" t="n"/>
      <c r="D2077" s="57" t="n"/>
      <c r="E2077" s="56" t="n"/>
      <c r="F2077" s="57" t="n"/>
      <c r="G2077" s="57" t="n"/>
      <c r="H2077" s="56" t="n"/>
      <c r="I2077" s="56" t="n"/>
      <c r="J2077" s="58" t="n"/>
      <c r="K2077" s="58" t="n"/>
      <c r="L2077" s="13">
        <f>IF(OR($A2077="",AND($J2077="",$K2077="")),"",ROUND(N($J2077)-N($K2077),2))</f>
        <v/>
      </c>
      <c r="M2077" s="13">
        <f>IF(OR($A2077="",AND($J2077="",$K2077="")),"",MIN($J2077,$K2077))</f>
        <v/>
      </c>
      <c r="Q2077">
        <f>IF($A2077="","",$D2077&amp;"("&amp;SUBSTITUTE($E2077," ","")&amp;")")</f>
        <v/>
      </c>
      <c r="R2077">
        <f>IF($A2077="","",$B2077&amp;" - "&amp;$C2077)</f>
        <v/>
      </c>
      <c r="S2077">
        <f>IF($A2077="","",$R2077&amp;"|"&amp;$Q2077)</f>
        <v/>
      </c>
      <c r="T2077">
        <f>IF($A2077="","",$S2077&amp;"|"&amp;$F2077)</f>
        <v/>
      </c>
      <c r="U2077">
        <f>IF($A2077="","",$R2077&amp;"("&amp;$E2077&amp;")")</f>
        <v/>
      </c>
      <c r="V2077">
        <f>IF($A2077="","",$F2077&amp;"|"&amp;$U2077&amp;"|"&amp;$D2077)</f>
        <v/>
      </c>
      <c r="W2077">
        <f>IF($T2077="","",IF($X2077&gt;N($X2076),$X2077,""))</f>
        <v/>
      </c>
      <c r="X2077">
        <f>IF($T2077="",N($X2076),IF(MATCH($T2077,$T$6:$T$6005,0)=ROW()-5,N($X2076)+1,N($X2076)))</f>
        <v/>
      </c>
      <c r="Z2077">
        <f>IF($V2077="","",IF($AA2077&gt;N($AA2076),$AA2077,""))</f>
        <v/>
      </c>
      <c r="AA2077">
        <f>IF($V2077="",N($AA2076),IF(MATCH($V2077,$V$6:$V$6005,0)=ROW()-5,N($AA2076)+1,N($AA2076)))</f>
        <v/>
      </c>
    </row>
    <row r="2078" ht="21" customHeight="1" s="66">
      <c r="A2078" s="56" t="n"/>
      <c r="B2078" s="57" t="n"/>
      <c r="C2078" s="57" t="n"/>
      <c r="D2078" s="57" t="n"/>
      <c r="E2078" s="56" t="n"/>
      <c r="F2078" s="57" t="n"/>
      <c r="G2078" s="57" t="n"/>
      <c r="H2078" s="56" t="n"/>
      <c r="I2078" s="56" t="n"/>
      <c r="J2078" s="58" t="n"/>
      <c r="K2078" s="58" t="n"/>
      <c r="L2078" s="13">
        <f>IF(OR($A2078="",AND($J2078="",$K2078="")),"",ROUND(N($J2078)-N($K2078),2))</f>
        <v/>
      </c>
      <c r="M2078" s="13">
        <f>IF(OR($A2078="",AND($J2078="",$K2078="")),"",MIN($J2078,$K2078))</f>
        <v/>
      </c>
      <c r="Q2078">
        <f>IF($A2078="","",$D2078&amp;"("&amp;SUBSTITUTE($E2078," ","")&amp;")")</f>
        <v/>
      </c>
      <c r="R2078">
        <f>IF($A2078="","",$B2078&amp;" - "&amp;$C2078)</f>
        <v/>
      </c>
      <c r="S2078">
        <f>IF($A2078="","",$R2078&amp;"|"&amp;$Q2078)</f>
        <v/>
      </c>
      <c r="T2078">
        <f>IF($A2078="","",$S2078&amp;"|"&amp;$F2078)</f>
        <v/>
      </c>
      <c r="U2078">
        <f>IF($A2078="","",$R2078&amp;"("&amp;$E2078&amp;")")</f>
        <v/>
      </c>
      <c r="V2078">
        <f>IF($A2078="","",$F2078&amp;"|"&amp;$U2078&amp;"|"&amp;$D2078)</f>
        <v/>
      </c>
      <c r="W2078">
        <f>IF($T2078="","",IF($X2078&gt;N($X2077),$X2078,""))</f>
        <v/>
      </c>
      <c r="X2078">
        <f>IF($T2078="",N($X2077),IF(MATCH($T2078,$T$6:$T$6005,0)=ROW()-5,N($X2077)+1,N($X2077)))</f>
        <v/>
      </c>
      <c r="Z2078">
        <f>IF($V2078="","",IF($AA2078&gt;N($AA2077),$AA2078,""))</f>
        <v/>
      </c>
      <c r="AA2078">
        <f>IF($V2078="",N($AA2077),IF(MATCH($V2078,$V$6:$V$6005,0)=ROW()-5,N($AA2077)+1,N($AA2077)))</f>
        <v/>
      </c>
    </row>
    <row r="2079" ht="21" customHeight="1" s="66">
      <c r="A2079" s="56" t="n"/>
      <c r="B2079" s="57" t="n"/>
      <c r="C2079" s="57" t="n"/>
      <c r="D2079" s="57" t="n"/>
      <c r="E2079" s="56" t="n"/>
      <c r="F2079" s="57" t="n"/>
      <c r="G2079" s="57" t="n"/>
      <c r="H2079" s="56" t="n"/>
      <c r="I2079" s="56" t="n"/>
      <c r="J2079" s="58" t="n"/>
      <c r="K2079" s="58" t="n"/>
      <c r="L2079" s="13">
        <f>IF(OR($A2079="",AND($J2079="",$K2079="")),"",ROUND(N($J2079)-N($K2079),2))</f>
        <v/>
      </c>
      <c r="M2079" s="13">
        <f>IF(OR($A2079="",AND($J2079="",$K2079="")),"",MIN($J2079,$K2079))</f>
        <v/>
      </c>
      <c r="Q2079">
        <f>IF($A2079="","",$D2079&amp;"("&amp;SUBSTITUTE($E2079," ","")&amp;")")</f>
        <v/>
      </c>
      <c r="R2079">
        <f>IF($A2079="","",$B2079&amp;" - "&amp;$C2079)</f>
        <v/>
      </c>
      <c r="S2079">
        <f>IF($A2079="","",$R2079&amp;"|"&amp;$Q2079)</f>
        <v/>
      </c>
      <c r="T2079">
        <f>IF($A2079="","",$S2079&amp;"|"&amp;$F2079)</f>
        <v/>
      </c>
      <c r="U2079">
        <f>IF($A2079="","",$R2079&amp;"("&amp;$E2079&amp;")")</f>
        <v/>
      </c>
      <c r="V2079">
        <f>IF($A2079="","",$F2079&amp;"|"&amp;$U2079&amp;"|"&amp;$D2079)</f>
        <v/>
      </c>
      <c r="W2079">
        <f>IF($T2079="","",IF($X2079&gt;N($X2078),$X2079,""))</f>
        <v/>
      </c>
      <c r="X2079">
        <f>IF($T2079="",N($X2078),IF(MATCH($T2079,$T$6:$T$6005,0)=ROW()-5,N($X2078)+1,N($X2078)))</f>
        <v/>
      </c>
      <c r="Z2079">
        <f>IF($V2079="","",IF($AA2079&gt;N($AA2078),$AA2079,""))</f>
        <v/>
      </c>
      <c r="AA2079">
        <f>IF($V2079="",N($AA2078),IF(MATCH($V2079,$V$6:$V$6005,0)=ROW()-5,N($AA2078)+1,N($AA2078)))</f>
        <v/>
      </c>
    </row>
    <row r="2080" ht="21" customHeight="1" s="66">
      <c r="A2080" s="56" t="n"/>
      <c r="B2080" s="57" t="n"/>
      <c r="C2080" s="57" t="n"/>
      <c r="D2080" s="57" t="n"/>
      <c r="E2080" s="56" t="n"/>
      <c r="F2080" s="57" t="n"/>
      <c r="G2080" s="57" t="n"/>
      <c r="H2080" s="56" t="n"/>
      <c r="I2080" s="56" t="n"/>
      <c r="J2080" s="58" t="n"/>
      <c r="K2080" s="58" t="n"/>
      <c r="L2080" s="13">
        <f>IF(OR($A2080="",AND($J2080="",$K2080="")),"",ROUND(N($J2080)-N($K2080),2))</f>
        <v/>
      </c>
      <c r="M2080" s="13">
        <f>IF(OR($A2080="",AND($J2080="",$K2080="")),"",MIN($J2080,$K2080))</f>
        <v/>
      </c>
      <c r="Q2080">
        <f>IF($A2080="","",$D2080&amp;"("&amp;SUBSTITUTE($E2080," ","")&amp;")")</f>
        <v/>
      </c>
      <c r="R2080">
        <f>IF($A2080="","",$B2080&amp;" - "&amp;$C2080)</f>
        <v/>
      </c>
      <c r="S2080">
        <f>IF($A2080="","",$R2080&amp;"|"&amp;$Q2080)</f>
        <v/>
      </c>
      <c r="T2080">
        <f>IF($A2080="","",$S2080&amp;"|"&amp;$F2080)</f>
        <v/>
      </c>
      <c r="U2080">
        <f>IF($A2080="","",$R2080&amp;"("&amp;$E2080&amp;")")</f>
        <v/>
      </c>
      <c r="V2080">
        <f>IF($A2080="","",$F2080&amp;"|"&amp;$U2080&amp;"|"&amp;$D2080)</f>
        <v/>
      </c>
      <c r="W2080">
        <f>IF($T2080="","",IF($X2080&gt;N($X2079),$X2080,""))</f>
        <v/>
      </c>
      <c r="X2080">
        <f>IF($T2080="",N($X2079),IF(MATCH($T2080,$T$6:$T$6005,0)=ROW()-5,N($X2079)+1,N($X2079)))</f>
        <v/>
      </c>
      <c r="Z2080">
        <f>IF($V2080="","",IF($AA2080&gt;N($AA2079),$AA2080,""))</f>
        <v/>
      </c>
      <c r="AA2080">
        <f>IF($V2080="",N($AA2079),IF(MATCH($V2080,$V$6:$V$6005,0)=ROW()-5,N($AA2079)+1,N($AA2079)))</f>
        <v/>
      </c>
    </row>
    <row r="2081" ht="21" customHeight="1" s="66">
      <c r="A2081" s="56" t="n"/>
      <c r="B2081" s="57" t="n"/>
      <c r="C2081" s="57" t="n"/>
      <c r="D2081" s="57" t="n"/>
      <c r="E2081" s="56" t="n"/>
      <c r="F2081" s="57" t="n"/>
      <c r="G2081" s="57" t="n"/>
      <c r="H2081" s="56" t="n"/>
      <c r="I2081" s="56" t="n"/>
      <c r="J2081" s="58" t="n"/>
      <c r="K2081" s="58" t="n"/>
      <c r="L2081" s="13">
        <f>IF(OR($A2081="",AND($J2081="",$K2081="")),"",ROUND(N($J2081)-N($K2081),2))</f>
        <v/>
      </c>
      <c r="M2081" s="13">
        <f>IF(OR($A2081="",AND($J2081="",$K2081="")),"",MIN($J2081,$K2081))</f>
        <v/>
      </c>
      <c r="Q2081">
        <f>IF($A2081="","",$D2081&amp;"("&amp;SUBSTITUTE($E2081," ","")&amp;")")</f>
        <v/>
      </c>
      <c r="R2081">
        <f>IF($A2081="","",$B2081&amp;" - "&amp;$C2081)</f>
        <v/>
      </c>
      <c r="S2081">
        <f>IF($A2081="","",$R2081&amp;"|"&amp;$Q2081)</f>
        <v/>
      </c>
      <c r="T2081">
        <f>IF($A2081="","",$S2081&amp;"|"&amp;$F2081)</f>
        <v/>
      </c>
      <c r="U2081">
        <f>IF($A2081="","",$R2081&amp;"("&amp;$E2081&amp;")")</f>
        <v/>
      </c>
      <c r="V2081">
        <f>IF($A2081="","",$F2081&amp;"|"&amp;$U2081&amp;"|"&amp;$D2081)</f>
        <v/>
      </c>
      <c r="W2081">
        <f>IF($T2081="","",IF($X2081&gt;N($X2080),$X2081,""))</f>
        <v/>
      </c>
      <c r="X2081">
        <f>IF($T2081="",N($X2080),IF(MATCH($T2081,$T$6:$T$6005,0)=ROW()-5,N($X2080)+1,N($X2080)))</f>
        <v/>
      </c>
      <c r="Z2081">
        <f>IF($V2081="","",IF($AA2081&gt;N($AA2080),$AA2081,""))</f>
        <v/>
      </c>
      <c r="AA2081">
        <f>IF($V2081="",N($AA2080),IF(MATCH($V2081,$V$6:$V$6005,0)=ROW()-5,N($AA2080)+1,N($AA2080)))</f>
        <v/>
      </c>
    </row>
    <row r="2082" ht="21" customHeight="1" s="66">
      <c r="A2082" s="56" t="n"/>
      <c r="B2082" s="57" t="n"/>
      <c r="C2082" s="57" t="n"/>
      <c r="D2082" s="57" t="n"/>
      <c r="E2082" s="56" t="n"/>
      <c r="F2082" s="57" t="n"/>
      <c r="G2082" s="57" t="n"/>
      <c r="H2082" s="56" t="n"/>
      <c r="I2082" s="56" t="n"/>
      <c r="J2082" s="58" t="n"/>
      <c r="K2082" s="58" t="n"/>
      <c r="L2082" s="13">
        <f>IF(OR($A2082="",AND($J2082="",$K2082="")),"",ROUND(N($J2082)-N($K2082),2))</f>
        <v/>
      </c>
      <c r="M2082" s="13">
        <f>IF(OR($A2082="",AND($J2082="",$K2082="")),"",MIN($J2082,$K2082))</f>
        <v/>
      </c>
      <c r="Q2082">
        <f>IF($A2082="","",$D2082&amp;"("&amp;SUBSTITUTE($E2082," ","")&amp;")")</f>
        <v/>
      </c>
      <c r="R2082">
        <f>IF($A2082="","",$B2082&amp;" - "&amp;$C2082)</f>
        <v/>
      </c>
      <c r="S2082">
        <f>IF($A2082="","",$R2082&amp;"|"&amp;$Q2082)</f>
        <v/>
      </c>
      <c r="T2082">
        <f>IF($A2082="","",$S2082&amp;"|"&amp;$F2082)</f>
        <v/>
      </c>
      <c r="U2082">
        <f>IF($A2082="","",$R2082&amp;"("&amp;$E2082&amp;")")</f>
        <v/>
      </c>
      <c r="V2082">
        <f>IF($A2082="","",$F2082&amp;"|"&amp;$U2082&amp;"|"&amp;$D2082)</f>
        <v/>
      </c>
      <c r="W2082">
        <f>IF($T2082="","",IF($X2082&gt;N($X2081),$X2082,""))</f>
        <v/>
      </c>
      <c r="X2082">
        <f>IF($T2082="",N($X2081),IF(MATCH($T2082,$T$6:$T$6005,0)=ROW()-5,N($X2081)+1,N($X2081)))</f>
        <v/>
      </c>
      <c r="Z2082">
        <f>IF($V2082="","",IF($AA2082&gt;N($AA2081),$AA2082,""))</f>
        <v/>
      </c>
      <c r="AA2082">
        <f>IF($V2082="",N($AA2081),IF(MATCH($V2082,$V$6:$V$6005,0)=ROW()-5,N($AA2081)+1,N($AA2081)))</f>
        <v/>
      </c>
    </row>
    <row r="2083" ht="21" customHeight="1" s="66">
      <c r="A2083" s="56" t="n"/>
      <c r="B2083" s="57" t="n"/>
      <c r="C2083" s="57" t="n"/>
      <c r="D2083" s="57" t="n"/>
      <c r="E2083" s="56" t="n"/>
      <c r="F2083" s="57" t="n"/>
      <c r="G2083" s="57" t="n"/>
      <c r="H2083" s="56" t="n"/>
      <c r="I2083" s="56" t="n"/>
      <c r="J2083" s="58" t="n"/>
      <c r="K2083" s="58" t="n"/>
      <c r="L2083" s="13">
        <f>IF(OR($A2083="",AND($J2083="",$K2083="")),"",ROUND(N($J2083)-N($K2083),2))</f>
        <v/>
      </c>
      <c r="M2083" s="13">
        <f>IF(OR($A2083="",AND($J2083="",$K2083="")),"",MIN($J2083,$K2083))</f>
        <v/>
      </c>
      <c r="Q2083">
        <f>IF($A2083="","",$D2083&amp;"("&amp;SUBSTITUTE($E2083," ","")&amp;")")</f>
        <v/>
      </c>
      <c r="R2083">
        <f>IF($A2083="","",$B2083&amp;" - "&amp;$C2083)</f>
        <v/>
      </c>
      <c r="S2083">
        <f>IF($A2083="","",$R2083&amp;"|"&amp;$Q2083)</f>
        <v/>
      </c>
      <c r="T2083">
        <f>IF($A2083="","",$S2083&amp;"|"&amp;$F2083)</f>
        <v/>
      </c>
      <c r="U2083">
        <f>IF($A2083="","",$R2083&amp;"("&amp;$E2083&amp;")")</f>
        <v/>
      </c>
      <c r="V2083">
        <f>IF($A2083="","",$F2083&amp;"|"&amp;$U2083&amp;"|"&amp;$D2083)</f>
        <v/>
      </c>
      <c r="W2083">
        <f>IF($T2083="","",IF($X2083&gt;N($X2082),$X2083,""))</f>
        <v/>
      </c>
      <c r="X2083">
        <f>IF($T2083="",N($X2082),IF(MATCH($T2083,$T$6:$T$6005,0)=ROW()-5,N($X2082)+1,N($X2082)))</f>
        <v/>
      </c>
      <c r="Z2083">
        <f>IF($V2083="","",IF($AA2083&gt;N($AA2082),$AA2083,""))</f>
        <v/>
      </c>
      <c r="AA2083">
        <f>IF($V2083="",N($AA2082),IF(MATCH($V2083,$V$6:$V$6005,0)=ROW()-5,N($AA2082)+1,N($AA2082)))</f>
        <v/>
      </c>
    </row>
    <row r="2084" ht="21" customHeight="1" s="66">
      <c r="A2084" s="56" t="n"/>
      <c r="B2084" s="57" t="n"/>
      <c r="C2084" s="57" t="n"/>
      <c r="D2084" s="57" t="n"/>
      <c r="E2084" s="56" t="n"/>
      <c r="F2084" s="57" t="n"/>
      <c r="G2084" s="57" t="n"/>
      <c r="H2084" s="56" t="n"/>
      <c r="I2084" s="56" t="n"/>
      <c r="J2084" s="58" t="n"/>
      <c r="K2084" s="58" t="n"/>
      <c r="L2084" s="13">
        <f>IF(OR($A2084="",AND($J2084="",$K2084="")),"",ROUND(N($J2084)-N($K2084),2))</f>
        <v/>
      </c>
      <c r="M2084" s="13">
        <f>IF(OR($A2084="",AND($J2084="",$K2084="")),"",MIN($J2084,$K2084))</f>
        <v/>
      </c>
      <c r="Q2084">
        <f>IF($A2084="","",$D2084&amp;"("&amp;SUBSTITUTE($E2084," ","")&amp;")")</f>
        <v/>
      </c>
      <c r="R2084">
        <f>IF($A2084="","",$B2084&amp;" - "&amp;$C2084)</f>
        <v/>
      </c>
      <c r="S2084">
        <f>IF($A2084="","",$R2084&amp;"|"&amp;$Q2084)</f>
        <v/>
      </c>
      <c r="T2084">
        <f>IF($A2084="","",$S2084&amp;"|"&amp;$F2084)</f>
        <v/>
      </c>
      <c r="U2084">
        <f>IF($A2084="","",$R2084&amp;"("&amp;$E2084&amp;")")</f>
        <v/>
      </c>
      <c r="V2084">
        <f>IF($A2084="","",$F2084&amp;"|"&amp;$U2084&amp;"|"&amp;$D2084)</f>
        <v/>
      </c>
      <c r="W2084">
        <f>IF($T2084="","",IF($X2084&gt;N($X2083),$X2084,""))</f>
        <v/>
      </c>
      <c r="X2084">
        <f>IF($T2084="",N($X2083),IF(MATCH($T2084,$T$6:$T$6005,0)=ROW()-5,N($X2083)+1,N($X2083)))</f>
        <v/>
      </c>
      <c r="Z2084">
        <f>IF($V2084="","",IF($AA2084&gt;N($AA2083),$AA2084,""))</f>
        <v/>
      </c>
      <c r="AA2084">
        <f>IF($V2084="",N($AA2083),IF(MATCH($V2084,$V$6:$V$6005,0)=ROW()-5,N($AA2083)+1,N($AA2083)))</f>
        <v/>
      </c>
    </row>
    <row r="2085" ht="21" customHeight="1" s="66">
      <c r="A2085" s="56" t="n"/>
      <c r="B2085" s="57" t="n"/>
      <c r="C2085" s="57" t="n"/>
      <c r="D2085" s="57" t="n"/>
      <c r="E2085" s="56" t="n"/>
      <c r="F2085" s="57" t="n"/>
      <c r="G2085" s="57" t="n"/>
      <c r="H2085" s="56" t="n"/>
      <c r="I2085" s="56" t="n"/>
      <c r="J2085" s="58" t="n"/>
      <c r="K2085" s="58" t="n"/>
      <c r="L2085" s="13">
        <f>IF(OR($A2085="",AND($J2085="",$K2085="")),"",ROUND(N($J2085)-N($K2085),2))</f>
        <v/>
      </c>
      <c r="M2085" s="13">
        <f>IF(OR($A2085="",AND($J2085="",$K2085="")),"",MIN($J2085,$K2085))</f>
        <v/>
      </c>
      <c r="Q2085">
        <f>IF($A2085="","",$D2085&amp;"("&amp;SUBSTITUTE($E2085," ","")&amp;")")</f>
        <v/>
      </c>
      <c r="R2085">
        <f>IF($A2085="","",$B2085&amp;" - "&amp;$C2085)</f>
        <v/>
      </c>
      <c r="S2085">
        <f>IF($A2085="","",$R2085&amp;"|"&amp;$Q2085)</f>
        <v/>
      </c>
      <c r="T2085">
        <f>IF($A2085="","",$S2085&amp;"|"&amp;$F2085)</f>
        <v/>
      </c>
      <c r="U2085">
        <f>IF($A2085="","",$R2085&amp;"("&amp;$E2085&amp;")")</f>
        <v/>
      </c>
      <c r="V2085">
        <f>IF($A2085="","",$F2085&amp;"|"&amp;$U2085&amp;"|"&amp;$D2085)</f>
        <v/>
      </c>
      <c r="W2085">
        <f>IF($T2085="","",IF($X2085&gt;N($X2084),$X2085,""))</f>
        <v/>
      </c>
      <c r="X2085">
        <f>IF($T2085="",N($X2084),IF(MATCH($T2085,$T$6:$T$6005,0)=ROW()-5,N($X2084)+1,N($X2084)))</f>
        <v/>
      </c>
      <c r="Z2085">
        <f>IF($V2085="","",IF($AA2085&gt;N($AA2084),$AA2085,""))</f>
        <v/>
      </c>
      <c r="AA2085">
        <f>IF($V2085="",N($AA2084),IF(MATCH($V2085,$V$6:$V$6005,0)=ROW()-5,N($AA2084)+1,N($AA2084)))</f>
        <v/>
      </c>
    </row>
    <row r="2086" ht="21" customHeight="1" s="66">
      <c r="A2086" s="56" t="n"/>
      <c r="B2086" s="57" t="n"/>
      <c r="C2086" s="57" t="n"/>
      <c r="D2086" s="57" t="n"/>
      <c r="E2086" s="56" t="n"/>
      <c r="F2086" s="57" t="n"/>
      <c r="G2086" s="57" t="n"/>
      <c r="H2086" s="56" t="n"/>
      <c r="I2086" s="56" t="n"/>
      <c r="J2086" s="58" t="n"/>
      <c r="K2086" s="58" t="n"/>
      <c r="L2086" s="13">
        <f>IF(OR($A2086="",AND($J2086="",$K2086="")),"",ROUND(N($J2086)-N($K2086),2))</f>
        <v/>
      </c>
      <c r="M2086" s="13">
        <f>IF(OR($A2086="",AND($J2086="",$K2086="")),"",MIN($J2086,$K2086))</f>
        <v/>
      </c>
      <c r="Q2086">
        <f>IF($A2086="","",$D2086&amp;"("&amp;SUBSTITUTE($E2086," ","")&amp;")")</f>
        <v/>
      </c>
      <c r="R2086">
        <f>IF($A2086="","",$B2086&amp;" - "&amp;$C2086)</f>
        <v/>
      </c>
      <c r="S2086">
        <f>IF($A2086="","",$R2086&amp;"|"&amp;$Q2086)</f>
        <v/>
      </c>
      <c r="T2086">
        <f>IF($A2086="","",$S2086&amp;"|"&amp;$F2086)</f>
        <v/>
      </c>
      <c r="U2086">
        <f>IF($A2086="","",$R2086&amp;"("&amp;$E2086&amp;")")</f>
        <v/>
      </c>
      <c r="V2086">
        <f>IF($A2086="","",$F2086&amp;"|"&amp;$U2086&amp;"|"&amp;$D2086)</f>
        <v/>
      </c>
      <c r="W2086">
        <f>IF($T2086="","",IF($X2086&gt;N($X2085),$X2086,""))</f>
        <v/>
      </c>
      <c r="X2086">
        <f>IF($T2086="",N($X2085),IF(MATCH($T2086,$T$6:$T$6005,0)=ROW()-5,N($X2085)+1,N($X2085)))</f>
        <v/>
      </c>
      <c r="Z2086">
        <f>IF($V2086="","",IF($AA2086&gt;N($AA2085),$AA2086,""))</f>
        <v/>
      </c>
      <c r="AA2086">
        <f>IF($V2086="",N($AA2085),IF(MATCH($V2086,$V$6:$V$6005,0)=ROW()-5,N($AA2085)+1,N($AA2085)))</f>
        <v/>
      </c>
    </row>
    <row r="2087" ht="21" customHeight="1" s="66">
      <c r="A2087" s="56" t="n"/>
      <c r="B2087" s="57" t="n"/>
      <c r="C2087" s="57" t="n"/>
      <c r="D2087" s="57" t="n"/>
      <c r="E2087" s="56" t="n"/>
      <c r="F2087" s="57" t="n"/>
      <c r="G2087" s="57" t="n"/>
      <c r="H2087" s="56" t="n"/>
      <c r="I2087" s="56" t="n"/>
      <c r="J2087" s="58" t="n"/>
      <c r="K2087" s="58" t="n"/>
      <c r="L2087" s="13">
        <f>IF(OR($A2087="",AND($J2087="",$K2087="")),"",ROUND(N($J2087)-N($K2087),2))</f>
        <v/>
      </c>
      <c r="M2087" s="13">
        <f>IF(OR($A2087="",AND($J2087="",$K2087="")),"",MIN($J2087,$K2087))</f>
        <v/>
      </c>
      <c r="Q2087">
        <f>IF($A2087="","",$D2087&amp;"("&amp;SUBSTITUTE($E2087," ","")&amp;")")</f>
        <v/>
      </c>
      <c r="R2087">
        <f>IF($A2087="","",$B2087&amp;" - "&amp;$C2087)</f>
        <v/>
      </c>
      <c r="S2087">
        <f>IF($A2087="","",$R2087&amp;"|"&amp;$Q2087)</f>
        <v/>
      </c>
      <c r="T2087">
        <f>IF($A2087="","",$S2087&amp;"|"&amp;$F2087)</f>
        <v/>
      </c>
      <c r="U2087">
        <f>IF($A2087="","",$R2087&amp;"("&amp;$E2087&amp;")")</f>
        <v/>
      </c>
      <c r="V2087">
        <f>IF($A2087="","",$F2087&amp;"|"&amp;$U2087&amp;"|"&amp;$D2087)</f>
        <v/>
      </c>
      <c r="W2087">
        <f>IF($T2087="","",IF($X2087&gt;N($X2086),$X2087,""))</f>
        <v/>
      </c>
      <c r="X2087">
        <f>IF($T2087="",N($X2086),IF(MATCH($T2087,$T$6:$T$6005,0)=ROW()-5,N($X2086)+1,N($X2086)))</f>
        <v/>
      </c>
      <c r="Z2087">
        <f>IF($V2087="","",IF($AA2087&gt;N($AA2086),$AA2087,""))</f>
        <v/>
      </c>
      <c r="AA2087">
        <f>IF($V2087="",N($AA2086),IF(MATCH($V2087,$V$6:$V$6005,0)=ROW()-5,N($AA2086)+1,N($AA2086)))</f>
        <v/>
      </c>
    </row>
    <row r="2088" ht="21" customHeight="1" s="66">
      <c r="A2088" s="56" t="n"/>
      <c r="B2088" s="57" t="n"/>
      <c r="C2088" s="57" t="n"/>
      <c r="D2088" s="57" t="n"/>
      <c r="E2088" s="56" t="n"/>
      <c r="F2088" s="57" t="n"/>
      <c r="G2088" s="57" t="n"/>
      <c r="H2088" s="56" t="n"/>
      <c r="I2088" s="56" t="n"/>
      <c r="J2088" s="58" t="n"/>
      <c r="K2088" s="58" t="n"/>
      <c r="L2088" s="13">
        <f>IF(OR($A2088="",AND($J2088="",$K2088="")),"",ROUND(N($J2088)-N($K2088),2))</f>
        <v/>
      </c>
      <c r="M2088" s="13">
        <f>IF(OR($A2088="",AND($J2088="",$K2088="")),"",MIN($J2088,$K2088))</f>
        <v/>
      </c>
      <c r="Q2088">
        <f>IF($A2088="","",$D2088&amp;"("&amp;SUBSTITUTE($E2088," ","")&amp;")")</f>
        <v/>
      </c>
      <c r="R2088">
        <f>IF($A2088="","",$B2088&amp;" - "&amp;$C2088)</f>
        <v/>
      </c>
      <c r="S2088">
        <f>IF($A2088="","",$R2088&amp;"|"&amp;$Q2088)</f>
        <v/>
      </c>
      <c r="T2088">
        <f>IF($A2088="","",$S2088&amp;"|"&amp;$F2088)</f>
        <v/>
      </c>
      <c r="U2088">
        <f>IF($A2088="","",$R2088&amp;"("&amp;$E2088&amp;")")</f>
        <v/>
      </c>
      <c r="V2088">
        <f>IF($A2088="","",$F2088&amp;"|"&amp;$U2088&amp;"|"&amp;$D2088)</f>
        <v/>
      </c>
      <c r="W2088">
        <f>IF($T2088="","",IF($X2088&gt;N($X2087),$X2088,""))</f>
        <v/>
      </c>
      <c r="X2088">
        <f>IF($T2088="",N($X2087),IF(MATCH($T2088,$T$6:$T$6005,0)=ROW()-5,N($X2087)+1,N($X2087)))</f>
        <v/>
      </c>
      <c r="Z2088">
        <f>IF($V2088="","",IF($AA2088&gt;N($AA2087),$AA2088,""))</f>
        <v/>
      </c>
      <c r="AA2088">
        <f>IF($V2088="",N($AA2087),IF(MATCH($V2088,$V$6:$V$6005,0)=ROW()-5,N($AA2087)+1,N($AA2087)))</f>
        <v/>
      </c>
    </row>
    <row r="2089" ht="21" customHeight="1" s="66">
      <c r="A2089" s="56" t="n"/>
      <c r="B2089" s="57" t="n"/>
      <c r="C2089" s="57" t="n"/>
      <c r="D2089" s="57" t="n"/>
      <c r="E2089" s="56" t="n"/>
      <c r="F2089" s="57" t="n"/>
      <c r="G2089" s="57" t="n"/>
      <c r="H2089" s="56" t="n"/>
      <c r="I2089" s="56" t="n"/>
      <c r="J2089" s="58" t="n"/>
      <c r="K2089" s="58" t="n"/>
      <c r="L2089" s="13">
        <f>IF(OR($A2089="",AND($J2089="",$K2089="")),"",ROUND(N($J2089)-N($K2089),2))</f>
        <v/>
      </c>
      <c r="M2089" s="13">
        <f>IF(OR($A2089="",AND($J2089="",$K2089="")),"",MIN($J2089,$K2089))</f>
        <v/>
      </c>
      <c r="Q2089">
        <f>IF($A2089="","",$D2089&amp;"("&amp;SUBSTITUTE($E2089," ","")&amp;")")</f>
        <v/>
      </c>
      <c r="R2089">
        <f>IF($A2089="","",$B2089&amp;" - "&amp;$C2089)</f>
        <v/>
      </c>
      <c r="S2089">
        <f>IF($A2089="","",$R2089&amp;"|"&amp;$Q2089)</f>
        <v/>
      </c>
      <c r="T2089">
        <f>IF($A2089="","",$S2089&amp;"|"&amp;$F2089)</f>
        <v/>
      </c>
      <c r="U2089">
        <f>IF($A2089="","",$R2089&amp;"("&amp;$E2089&amp;")")</f>
        <v/>
      </c>
      <c r="V2089">
        <f>IF($A2089="","",$F2089&amp;"|"&amp;$U2089&amp;"|"&amp;$D2089)</f>
        <v/>
      </c>
      <c r="W2089">
        <f>IF($T2089="","",IF($X2089&gt;N($X2088),$X2089,""))</f>
        <v/>
      </c>
      <c r="X2089">
        <f>IF($T2089="",N($X2088),IF(MATCH($T2089,$T$6:$T$6005,0)=ROW()-5,N($X2088)+1,N($X2088)))</f>
        <v/>
      </c>
      <c r="Z2089">
        <f>IF($V2089="","",IF($AA2089&gt;N($AA2088),$AA2089,""))</f>
        <v/>
      </c>
      <c r="AA2089">
        <f>IF($V2089="",N($AA2088),IF(MATCH($V2089,$V$6:$V$6005,0)=ROW()-5,N($AA2088)+1,N($AA2088)))</f>
        <v/>
      </c>
    </row>
    <row r="2090" ht="21" customHeight="1" s="66">
      <c r="A2090" s="56" t="n"/>
      <c r="B2090" s="57" t="n"/>
      <c r="C2090" s="57" t="n"/>
      <c r="D2090" s="57" t="n"/>
      <c r="E2090" s="56" t="n"/>
      <c r="F2090" s="57" t="n"/>
      <c r="G2090" s="57" t="n"/>
      <c r="H2090" s="56" t="n"/>
      <c r="I2090" s="56" t="n"/>
      <c r="J2090" s="58" t="n"/>
      <c r="K2090" s="58" t="n"/>
      <c r="L2090" s="13">
        <f>IF(OR($A2090="",AND($J2090="",$K2090="")),"",ROUND(N($J2090)-N($K2090),2))</f>
        <v/>
      </c>
      <c r="M2090" s="13">
        <f>IF(OR($A2090="",AND($J2090="",$K2090="")),"",MIN($J2090,$K2090))</f>
        <v/>
      </c>
      <c r="Q2090">
        <f>IF($A2090="","",$D2090&amp;"("&amp;SUBSTITUTE($E2090," ","")&amp;")")</f>
        <v/>
      </c>
      <c r="R2090">
        <f>IF($A2090="","",$B2090&amp;" - "&amp;$C2090)</f>
        <v/>
      </c>
      <c r="S2090">
        <f>IF($A2090="","",$R2090&amp;"|"&amp;$Q2090)</f>
        <v/>
      </c>
      <c r="T2090">
        <f>IF($A2090="","",$S2090&amp;"|"&amp;$F2090)</f>
        <v/>
      </c>
      <c r="U2090">
        <f>IF($A2090="","",$R2090&amp;"("&amp;$E2090&amp;")")</f>
        <v/>
      </c>
      <c r="V2090">
        <f>IF($A2090="","",$F2090&amp;"|"&amp;$U2090&amp;"|"&amp;$D2090)</f>
        <v/>
      </c>
      <c r="W2090">
        <f>IF($T2090="","",IF($X2090&gt;N($X2089),$X2090,""))</f>
        <v/>
      </c>
      <c r="X2090">
        <f>IF($T2090="",N($X2089),IF(MATCH($T2090,$T$6:$T$6005,0)=ROW()-5,N($X2089)+1,N($X2089)))</f>
        <v/>
      </c>
      <c r="Z2090">
        <f>IF($V2090="","",IF($AA2090&gt;N($AA2089),$AA2090,""))</f>
        <v/>
      </c>
      <c r="AA2090">
        <f>IF($V2090="",N($AA2089),IF(MATCH($V2090,$V$6:$V$6005,0)=ROW()-5,N($AA2089)+1,N($AA2089)))</f>
        <v/>
      </c>
    </row>
    <row r="2091" ht="21" customHeight="1" s="66">
      <c r="A2091" s="56" t="n"/>
      <c r="B2091" s="57" t="n"/>
      <c r="C2091" s="57" t="n"/>
      <c r="D2091" s="57" t="n"/>
      <c r="E2091" s="56" t="n"/>
      <c r="F2091" s="57" t="n"/>
      <c r="G2091" s="57" t="n"/>
      <c r="H2091" s="56" t="n"/>
      <c r="I2091" s="56" t="n"/>
      <c r="J2091" s="58" t="n"/>
      <c r="K2091" s="58" t="n"/>
      <c r="L2091" s="13">
        <f>IF(OR($A2091="",AND($J2091="",$K2091="")),"",ROUND(N($J2091)-N($K2091),2))</f>
        <v/>
      </c>
      <c r="M2091" s="13">
        <f>IF(OR($A2091="",AND($J2091="",$K2091="")),"",MIN($J2091,$K2091))</f>
        <v/>
      </c>
      <c r="Q2091">
        <f>IF($A2091="","",$D2091&amp;"("&amp;SUBSTITUTE($E2091," ","")&amp;")")</f>
        <v/>
      </c>
      <c r="R2091">
        <f>IF($A2091="","",$B2091&amp;" - "&amp;$C2091)</f>
        <v/>
      </c>
      <c r="S2091">
        <f>IF($A2091="","",$R2091&amp;"|"&amp;$Q2091)</f>
        <v/>
      </c>
      <c r="T2091">
        <f>IF($A2091="","",$S2091&amp;"|"&amp;$F2091)</f>
        <v/>
      </c>
      <c r="U2091">
        <f>IF($A2091="","",$R2091&amp;"("&amp;$E2091&amp;")")</f>
        <v/>
      </c>
      <c r="V2091">
        <f>IF($A2091="","",$F2091&amp;"|"&amp;$U2091&amp;"|"&amp;$D2091)</f>
        <v/>
      </c>
      <c r="W2091">
        <f>IF($T2091="","",IF($X2091&gt;N($X2090),$X2091,""))</f>
        <v/>
      </c>
      <c r="X2091">
        <f>IF($T2091="",N($X2090),IF(MATCH($T2091,$T$6:$T$6005,0)=ROW()-5,N($X2090)+1,N($X2090)))</f>
        <v/>
      </c>
      <c r="Z2091">
        <f>IF($V2091="","",IF($AA2091&gt;N($AA2090),$AA2091,""))</f>
        <v/>
      </c>
      <c r="AA2091">
        <f>IF($V2091="",N($AA2090),IF(MATCH($V2091,$V$6:$V$6005,0)=ROW()-5,N($AA2090)+1,N($AA2090)))</f>
        <v/>
      </c>
    </row>
    <row r="2092" ht="21" customHeight="1" s="66">
      <c r="A2092" s="56" t="n"/>
      <c r="B2092" s="57" t="n"/>
      <c r="C2092" s="57" t="n"/>
      <c r="D2092" s="57" t="n"/>
      <c r="E2092" s="56" t="n"/>
      <c r="F2092" s="57" t="n"/>
      <c r="G2092" s="57" t="n"/>
      <c r="H2092" s="56" t="n"/>
      <c r="I2092" s="56" t="n"/>
      <c r="J2092" s="58" t="n"/>
      <c r="K2092" s="58" t="n"/>
      <c r="L2092" s="13">
        <f>IF(OR($A2092="",AND($J2092="",$K2092="")),"",ROUND(N($J2092)-N($K2092),2))</f>
        <v/>
      </c>
      <c r="M2092" s="13">
        <f>IF(OR($A2092="",AND($J2092="",$K2092="")),"",MIN($J2092,$K2092))</f>
        <v/>
      </c>
      <c r="Q2092">
        <f>IF($A2092="","",$D2092&amp;"("&amp;SUBSTITUTE($E2092," ","")&amp;")")</f>
        <v/>
      </c>
      <c r="R2092">
        <f>IF($A2092="","",$B2092&amp;" - "&amp;$C2092)</f>
        <v/>
      </c>
      <c r="S2092">
        <f>IF($A2092="","",$R2092&amp;"|"&amp;$Q2092)</f>
        <v/>
      </c>
      <c r="T2092">
        <f>IF($A2092="","",$S2092&amp;"|"&amp;$F2092)</f>
        <v/>
      </c>
      <c r="U2092">
        <f>IF($A2092="","",$R2092&amp;"("&amp;$E2092&amp;")")</f>
        <v/>
      </c>
      <c r="V2092">
        <f>IF($A2092="","",$F2092&amp;"|"&amp;$U2092&amp;"|"&amp;$D2092)</f>
        <v/>
      </c>
      <c r="W2092">
        <f>IF($T2092="","",IF($X2092&gt;N($X2091),$X2092,""))</f>
        <v/>
      </c>
      <c r="X2092">
        <f>IF($T2092="",N($X2091),IF(MATCH($T2092,$T$6:$T$6005,0)=ROW()-5,N($X2091)+1,N($X2091)))</f>
        <v/>
      </c>
      <c r="Z2092">
        <f>IF($V2092="","",IF($AA2092&gt;N($AA2091),$AA2092,""))</f>
        <v/>
      </c>
      <c r="AA2092">
        <f>IF($V2092="",N($AA2091),IF(MATCH($V2092,$V$6:$V$6005,0)=ROW()-5,N($AA2091)+1,N($AA2091)))</f>
        <v/>
      </c>
    </row>
    <row r="2093" ht="21" customHeight="1" s="66">
      <c r="A2093" s="56" t="n"/>
      <c r="B2093" s="57" t="n"/>
      <c r="C2093" s="57" t="n"/>
      <c r="D2093" s="57" t="n"/>
      <c r="E2093" s="56" t="n"/>
      <c r="F2093" s="57" t="n"/>
      <c r="G2093" s="57" t="n"/>
      <c r="H2093" s="56" t="n"/>
      <c r="I2093" s="56" t="n"/>
      <c r="J2093" s="58" t="n"/>
      <c r="K2093" s="58" t="n"/>
      <c r="L2093" s="13">
        <f>IF(OR($A2093="",AND($J2093="",$K2093="")),"",ROUND(N($J2093)-N($K2093),2))</f>
        <v/>
      </c>
      <c r="M2093" s="13">
        <f>IF(OR($A2093="",AND($J2093="",$K2093="")),"",MIN($J2093,$K2093))</f>
        <v/>
      </c>
      <c r="Q2093">
        <f>IF($A2093="","",$D2093&amp;"("&amp;SUBSTITUTE($E2093," ","")&amp;")")</f>
        <v/>
      </c>
      <c r="R2093">
        <f>IF($A2093="","",$B2093&amp;" - "&amp;$C2093)</f>
        <v/>
      </c>
      <c r="S2093">
        <f>IF($A2093="","",$R2093&amp;"|"&amp;$Q2093)</f>
        <v/>
      </c>
      <c r="T2093">
        <f>IF($A2093="","",$S2093&amp;"|"&amp;$F2093)</f>
        <v/>
      </c>
      <c r="U2093">
        <f>IF($A2093="","",$R2093&amp;"("&amp;$E2093&amp;")")</f>
        <v/>
      </c>
      <c r="V2093">
        <f>IF($A2093="","",$F2093&amp;"|"&amp;$U2093&amp;"|"&amp;$D2093)</f>
        <v/>
      </c>
      <c r="W2093">
        <f>IF($T2093="","",IF($X2093&gt;N($X2092),$X2093,""))</f>
        <v/>
      </c>
      <c r="X2093">
        <f>IF($T2093="",N($X2092),IF(MATCH($T2093,$T$6:$T$6005,0)=ROW()-5,N($X2092)+1,N($X2092)))</f>
        <v/>
      </c>
      <c r="Z2093">
        <f>IF($V2093="","",IF($AA2093&gt;N($AA2092),$AA2093,""))</f>
        <v/>
      </c>
      <c r="AA2093">
        <f>IF($V2093="",N($AA2092),IF(MATCH($V2093,$V$6:$V$6005,0)=ROW()-5,N($AA2092)+1,N($AA2092)))</f>
        <v/>
      </c>
    </row>
    <row r="2094" ht="21" customHeight="1" s="66">
      <c r="A2094" s="56" t="n"/>
      <c r="B2094" s="57" t="n"/>
      <c r="C2094" s="57" t="n"/>
      <c r="D2094" s="57" t="n"/>
      <c r="E2094" s="56" t="n"/>
      <c r="F2094" s="57" t="n"/>
      <c r="G2094" s="57" t="n"/>
      <c r="H2094" s="56" t="n"/>
      <c r="I2094" s="56" t="n"/>
      <c r="J2094" s="58" t="n"/>
      <c r="K2094" s="58" t="n"/>
      <c r="L2094" s="13">
        <f>IF(OR($A2094="",AND($J2094="",$K2094="")),"",ROUND(N($J2094)-N($K2094),2))</f>
        <v/>
      </c>
      <c r="M2094" s="13">
        <f>IF(OR($A2094="",AND($J2094="",$K2094="")),"",MIN($J2094,$K2094))</f>
        <v/>
      </c>
      <c r="Q2094">
        <f>IF($A2094="","",$D2094&amp;"("&amp;SUBSTITUTE($E2094," ","")&amp;")")</f>
        <v/>
      </c>
      <c r="R2094">
        <f>IF($A2094="","",$B2094&amp;" - "&amp;$C2094)</f>
        <v/>
      </c>
      <c r="S2094">
        <f>IF($A2094="","",$R2094&amp;"|"&amp;$Q2094)</f>
        <v/>
      </c>
      <c r="T2094">
        <f>IF($A2094="","",$S2094&amp;"|"&amp;$F2094)</f>
        <v/>
      </c>
      <c r="U2094">
        <f>IF($A2094="","",$R2094&amp;"("&amp;$E2094&amp;")")</f>
        <v/>
      </c>
      <c r="V2094">
        <f>IF($A2094="","",$F2094&amp;"|"&amp;$U2094&amp;"|"&amp;$D2094)</f>
        <v/>
      </c>
      <c r="W2094">
        <f>IF($T2094="","",IF($X2094&gt;N($X2093),$X2094,""))</f>
        <v/>
      </c>
      <c r="X2094">
        <f>IF($T2094="",N($X2093),IF(MATCH($T2094,$T$6:$T$6005,0)=ROW()-5,N($X2093)+1,N($X2093)))</f>
        <v/>
      </c>
      <c r="Z2094">
        <f>IF($V2094="","",IF($AA2094&gt;N($AA2093),$AA2094,""))</f>
        <v/>
      </c>
      <c r="AA2094">
        <f>IF($V2094="",N($AA2093),IF(MATCH($V2094,$V$6:$V$6005,0)=ROW()-5,N($AA2093)+1,N($AA2093)))</f>
        <v/>
      </c>
    </row>
    <row r="2095" ht="21" customHeight="1" s="66">
      <c r="A2095" s="56" t="n"/>
      <c r="B2095" s="57" t="n"/>
      <c r="C2095" s="57" t="n"/>
      <c r="D2095" s="57" t="n"/>
      <c r="E2095" s="56" t="n"/>
      <c r="F2095" s="57" t="n"/>
      <c r="G2095" s="57" t="n"/>
      <c r="H2095" s="56" t="n"/>
      <c r="I2095" s="56" t="n"/>
      <c r="J2095" s="58" t="n"/>
      <c r="K2095" s="58" t="n"/>
      <c r="L2095" s="13">
        <f>IF(OR($A2095="",AND($J2095="",$K2095="")),"",ROUND(N($J2095)-N($K2095),2))</f>
        <v/>
      </c>
      <c r="M2095" s="13">
        <f>IF(OR($A2095="",AND($J2095="",$K2095="")),"",MIN($J2095,$K2095))</f>
        <v/>
      </c>
      <c r="Q2095">
        <f>IF($A2095="","",$D2095&amp;"("&amp;SUBSTITUTE($E2095," ","")&amp;")")</f>
        <v/>
      </c>
      <c r="R2095">
        <f>IF($A2095="","",$B2095&amp;" - "&amp;$C2095)</f>
        <v/>
      </c>
      <c r="S2095">
        <f>IF($A2095="","",$R2095&amp;"|"&amp;$Q2095)</f>
        <v/>
      </c>
      <c r="T2095">
        <f>IF($A2095="","",$S2095&amp;"|"&amp;$F2095)</f>
        <v/>
      </c>
      <c r="U2095">
        <f>IF($A2095="","",$R2095&amp;"("&amp;$E2095&amp;")")</f>
        <v/>
      </c>
      <c r="V2095">
        <f>IF($A2095="","",$F2095&amp;"|"&amp;$U2095&amp;"|"&amp;$D2095)</f>
        <v/>
      </c>
      <c r="W2095">
        <f>IF($T2095="","",IF($X2095&gt;N($X2094),$X2095,""))</f>
        <v/>
      </c>
      <c r="X2095">
        <f>IF($T2095="",N($X2094),IF(MATCH($T2095,$T$6:$T$6005,0)=ROW()-5,N($X2094)+1,N($X2094)))</f>
        <v/>
      </c>
      <c r="Z2095">
        <f>IF($V2095="","",IF($AA2095&gt;N($AA2094),$AA2095,""))</f>
        <v/>
      </c>
      <c r="AA2095">
        <f>IF($V2095="",N($AA2094),IF(MATCH($V2095,$V$6:$V$6005,0)=ROW()-5,N($AA2094)+1,N($AA2094)))</f>
        <v/>
      </c>
    </row>
    <row r="2096" ht="21" customHeight="1" s="66">
      <c r="A2096" s="56" t="n"/>
      <c r="B2096" s="57" t="n"/>
      <c r="C2096" s="57" t="n"/>
      <c r="D2096" s="57" t="n"/>
      <c r="E2096" s="56" t="n"/>
      <c r="F2096" s="57" t="n"/>
      <c r="G2096" s="57" t="n"/>
      <c r="H2096" s="56" t="n"/>
      <c r="I2096" s="56" t="n"/>
      <c r="J2096" s="58" t="n"/>
      <c r="K2096" s="58" t="n"/>
      <c r="L2096" s="13">
        <f>IF(OR($A2096="",AND($J2096="",$K2096="")),"",ROUND(N($J2096)-N($K2096),2))</f>
        <v/>
      </c>
      <c r="M2096" s="13">
        <f>IF(OR($A2096="",AND($J2096="",$K2096="")),"",MIN($J2096,$K2096))</f>
        <v/>
      </c>
      <c r="Q2096">
        <f>IF($A2096="","",$D2096&amp;"("&amp;SUBSTITUTE($E2096," ","")&amp;")")</f>
        <v/>
      </c>
      <c r="R2096">
        <f>IF($A2096="","",$B2096&amp;" - "&amp;$C2096)</f>
        <v/>
      </c>
      <c r="S2096">
        <f>IF($A2096="","",$R2096&amp;"|"&amp;$Q2096)</f>
        <v/>
      </c>
      <c r="T2096">
        <f>IF($A2096="","",$S2096&amp;"|"&amp;$F2096)</f>
        <v/>
      </c>
      <c r="U2096">
        <f>IF($A2096="","",$R2096&amp;"("&amp;$E2096&amp;")")</f>
        <v/>
      </c>
      <c r="V2096">
        <f>IF($A2096="","",$F2096&amp;"|"&amp;$U2096&amp;"|"&amp;$D2096)</f>
        <v/>
      </c>
      <c r="W2096">
        <f>IF($T2096="","",IF($X2096&gt;N($X2095),$X2096,""))</f>
        <v/>
      </c>
      <c r="X2096">
        <f>IF($T2096="",N($X2095),IF(MATCH($T2096,$T$6:$T$6005,0)=ROW()-5,N($X2095)+1,N($X2095)))</f>
        <v/>
      </c>
      <c r="Z2096">
        <f>IF($V2096="","",IF($AA2096&gt;N($AA2095),$AA2096,""))</f>
        <v/>
      </c>
      <c r="AA2096">
        <f>IF($V2096="",N($AA2095),IF(MATCH($V2096,$V$6:$V$6005,0)=ROW()-5,N($AA2095)+1,N($AA2095)))</f>
        <v/>
      </c>
    </row>
    <row r="2097" ht="21" customHeight="1" s="66">
      <c r="A2097" s="56" t="n"/>
      <c r="B2097" s="57" t="n"/>
      <c r="C2097" s="57" t="n"/>
      <c r="D2097" s="57" t="n"/>
      <c r="E2097" s="56" t="n"/>
      <c r="F2097" s="57" t="n"/>
      <c r="G2097" s="57" t="n"/>
      <c r="H2097" s="56" t="n"/>
      <c r="I2097" s="56" t="n"/>
      <c r="J2097" s="58" t="n"/>
      <c r="K2097" s="58" t="n"/>
      <c r="L2097" s="13">
        <f>IF(OR($A2097="",AND($J2097="",$K2097="")),"",ROUND(N($J2097)-N($K2097),2))</f>
        <v/>
      </c>
      <c r="M2097" s="13">
        <f>IF(OR($A2097="",AND($J2097="",$K2097="")),"",MIN($J2097,$K2097))</f>
        <v/>
      </c>
      <c r="Q2097">
        <f>IF($A2097="","",$D2097&amp;"("&amp;SUBSTITUTE($E2097," ","")&amp;")")</f>
        <v/>
      </c>
      <c r="R2097">
        <f>IF($A2097="","",$B2097&amp;" - "&amp;$C2097)</f>
        <v/>
      </c>
      <c r="S2097">
        <f>IF($A2097="","",$R2097&amp;"|"&amp;$Q2097)</f>
        <v/>
      </c>
      <c r="T2097">
        <f>IF($A2097="","",$S2097&amp;"|"&amp;$F2097)</f>
        <v/>
      </c>
      <c r="U2097">
        <f>IF($A2097="","",$R2097&amp;"("&amp;$E2097&amp;")")</f>
        <v/>
      </c>
      <c r="V2097">
        <f>IF($A2097="","",$F2097&amp;"|"&amp;$U2097&amp;"|"&amp;$D2097)</f>
        <v/>
      </c>
      <c r="W2097">
        <f>IF($T2097="","",IF($X2097&gt;N($X2096),$X2097,""))</f>
        <v/>
      </c>
      <c r="X2097">
        <f>IF($T2097="",N($X2096),IF(MATCH($T2097,$T$6:$T$6005,0)=ROW()-5,N($X2096)+1,N($X2096)))</f>
        <v/>
      </c>
      <c r="Z2097">
        <f>IF($V2097="","",IF($AA2097&gt;N($AA2096),$AA2097,""))</f>
        <v/>
      </c>
      <c r="AA2097">
        <f>IF($V2097="",N($AA2096),IF(MATCH($V2097,$V$6:$V$6005,0)=ROW()-5,N($AA2096)+1,N($AA2096)))</f>
        <v/>
      </c>
    </row>
    <row r="2098" ht="21" customHeight="1" s="66">
      <c r="A2098" s="56" t="n"/>
      <c r="B2098" s="57" t="n"/>
      <c r="C2098" s="57" t="n"/>
      <c r="D2098" s="57" t="n"/>
      <c r="E2098" s="56" t="n"/>
      <c r="F2098" s="57" t="n"/>
      <c r="G2098" s="57" t="n"/>
      <c r="H2098" s="56" t="n"/>
      <c r="I2098" s="56" t="n"/>
      <c r="J2098" s="58" t="n"/>
      <c r="K2098" s="58" t="n"/>
      <c r="L2098" s="13">
        <f>IF(OR($A2098="",AND($J2098="",$K2098="")),"",ROUND(N($J2098)-N($K2098),2))</f>
        <v/>
      </c>
      <c r="M2098" s="13">
        <f>IF(OR($A2098="",AND($J2098="",$K2098="")),"",MIN($J2098,$K2098))</f>
        <v/>
      </c>
      <c r="Q2098">
        <f>IF($A2098="","",$D2098&amp;"("&amp;SUBSTITUTE($E2098," ","")&amp;")")</f>
        <v/>
      </c>
      <c r="R2098">
        <f>IF($A2098="","",$B2098&amp;" - "&amp;$C2098)</f>
        <v/>
      </c>
      <c r="S2098">
        <f>IF($A2098="","",$R2098&amp;"|"&amp;$Q2098)</f>
        <v/>
      </c>
      <c r="T2098">
        <f>IF($A2098="","",$S2098&amp;"|"&amp;$F2098)</f>
        <v/>
      </c>
      <c r="U2098">
        <f>IF($A2098="","",$R2098&amp;"("&amp;$E2098&amp;")")</f>
        <v/>
      </c>
      <c r="V2098">
        <f>IF($A2098="","",$F2098&amp;"|"&amp;$U2098&amp;"|"&amp;$D2098)</f>
        <v/>
      </c>
      <c r="W2098">
        <f>IF($T2098="","",IF($X2098&gt;N($X2097),$X2098,""))</f>
        <v/>
      </c>
      <c r="X2098">
        <f>IF($T2098="",N($X2097),IF(MATCH($T2098,$T$6:$T$6005,0)=ROW()-5,N($X2097)+1,N($X2097)))</f>
        <v/>
      </c>
      <c r="Z2098">
        <f>IF($V2098="","",IF($AA2098&gt;N($AA2097),$AA2098,""))</f>
        <v/>
      </c>
      <c r="AA2098">
        <f>IF($V2098="",N($AA2097),IF(MATCH($V2098,$V$6:$V$6005,0)=ROW()-5,N($AA2097)+1,N($AA2097)))</f>
        <v/>
      </c>
    </row>
    <row r="2099" ht="21" customHeight="1" s="66">
      <c r="A2099" s="56" t="n"/>
      <c r="B2099" s="57" t="n"/>
      <c r="C2099" s="57" t="n"/>
      <c r="D2099" s="57" t="n"/>
      <c r="E2099" s="56" t="n"/>
      <c r="F2099" s="57" t="n"/>
      <c r="G2099" s="57" t="n"/>
      <c r="H2099" s="56" t="n"/>
      <c r="I2099" s="56" t="n"/>
      <c r="J2099" s="58" t="n"/>
      <c r="K2099" s="58" t="n"/>
      <c r="L2099" s="13">
        <f>IF(OR($A2099="",AND($J2099="",$K2099="")),"",ROUND(N($J2099)-N($K2099),2))</f>
        <v/>
      </c>
      <c r="M2099" s="13">
        <f>IF(OR($A2099="",AND($J2099="",$K2099="")),"",MIN($J2099,$K2099))</f>
        <v/>
      </c>
      <c r="Q2099">
        <f>IF($A2099="","",$D2099&amp;"("&amp;SUBSTITUTE($E2099," ","")&amp;")")</f>
        <v/>
      </c>
      <c r="R2099">
        <f>IF($A2099="","",$B2099&amp;" - "&amp;$C2099)</f>
        <v/>
      </c>
      <c r="S2099">
        <f>IF($A2099="","",$R2099&amp;"|"&amp;$Q2099)</f>
        <v/>
      </c>
      <c r="T2099">
        <f>IF($A2099="","",$S2099&amp;"|"&amp;$F2099)</f>
        <v/>
      </c>
      <c r="U2099">
        <f>IF($A2099="","",$R2099&amp;"("&amp;$E2099&amp;")")</f>
        <v/>
      </c>
      <c r="V2099">
        <f>IF($A2099="","",$F2099&amp;"|"&amp;$U2099&amp;"|"&amp;$D2099)</f>
        <v/>
      </c>
      <c r="W2099">
        <f>IF($T2099="","",IF($X2099&gt;N($X2098),$X2099,""))</f>
        <v/>
      </c>
      <c r="X2099">
        <f>IF($T2099="",N($X2098),IF(MATCH($T2099,$T$6:$T$6005,0)=ROW()-5,N($X2098)+1,N($X2098)))</f>
        <v/>
      </c>
      <c r="Z2099">
        <f>IF($V2099="","",IF($AA2099&gt;N($AA2098),$AA2099,""))</f>
        <v/>
      </c>
      <c r="AA2099">
        <f>IF($V2099="",N($AA2098),IF(MATCH($V2099,$V$6:$V$6005,0)=ROW()-5,N($AA2098)+1,N($AA2098)))</f>
        <v/>
      </c>
    </row>
    <row r="2100" ht="21" customHeight="1" s="66">
      <c r="A2100" s="56" t="n"/>
      <c r="B2100" s="57" t="n"/>
      <c r="C2100" s="57" t="n"/>
      <c r="D2100" s="57" t="n"/>
      <c r="E2100" s="56" t="n"/>
      <c r="F2100" s="57" t="n"/>
      <c r="G2100" s="57" t="n"/>
      <c r="H2100" s="56" t="n"/>
      <c r="I2100" s="56" t="n"/>
      <c r="J2100" s="58" t="n"/>
      <c r="K2100" s="58" t="n"/>
      <c r="L2100" s="13">
        <f>IF(OR($A2100="",AND($J2100="",$K2100="")),"",ROUND(N($J2100)-N($K2100),2))</f>
        <v/>
      </c>
      <c r="M2100" s="13">
        <f>IF(OR($A2100="",AND($J2100="",$K2100="")),"",MIN($J2100,$K2100))</f>
        <v/>
      </c>
      <c r="Q2100">
        <f>IF($A2100="","",$D2100&amp;"("&amp;SUBSTITUTE($E2100," ","")&amp;")")</f>
        <v/>
      </c>
      <c r="R2100">
        <f>IF($A2100="","",$B2100&amp;" - "&amp;$C2100)</f>
        <v/>
      </c>
      <c r="S2100">
        <f>IF($A2100="","",$R2100&amp;"|"&amp;$Q2100)</f>
        <v/>
      </c>
      <c r="T2100">
        <f>IF($A2100="","",$S2100&amp;"|"&amp;$F2100)</f>
        <v/>
      </c>
      <c r="U2100">
        <f>IF($A2100="","",$R2100&amp;"("&amp;$E2100&amp;")")</f>
        <v/>
      </c>
      <c r="V2100">
        <f>IF($A2100="","",$F2100&amp;"|"&amp;$U2100&amp;"|"&amp;$D2100)</f>
        <v/>
      </c>
      <c r="W2100">
        <f>IF($T2100="","",IF($X2100&gt;N($X2099),$X2100,""))</f>
        <v/>
      </c>
      <c r="X2100">
        <f>IF($T2100="",N($X2099),IF(MATCH($T2100,$T$6:$T$6005,0)=ROW()-5,N($X2099)+1,N($X2099)))</f>
        <v/>
      </c>
      <c r="Z2100">
        <f>IF($V2100="","",IF($AA2100&gt;N($AA2099),$AA2100,""))</f>
        <v/>
      </c>
      <c r="AA2100">
        <f>IF($V2100="",N($AA2099),IF(MATCH($V2100,$V$6:$V$6005,0)=ROW()-5,N($AA2099)+1,N($AA2099)))</f>
        <v/>
      </c>
    </row>
    <row r="2101" ht="21" customHeight="1" s="66">
      <c r="A2101" s="56" t="n"/>
      <c r="B2101" s="57" t="n"/>
      <c r="C2101" s="57" t="n"/>
      <c r="D2101" s="57" t="n"/>
      <c r="E2101" s="56" t="n"/>
      <c r="F2101" s="57" t="n"/>
      <c r="G2101" s="57" t="n"/>
      <c r="H2101" s="56" t="n"/>
      <c r="I2101" s="56" t="n"/>
      <c r="J2101" s="58" t="n"/>
      <c r="K2101" s="58" t="n"/>
      <c r="L2101" s="13">
        <f>IF(OR($A2101="",AND($J2101="",$K2101="")),"",ROUND(N($J2101)-N($K2101),2))</f>
        <v/>
      </c>
      <c r="M2101" s="13">
        <f>IF(OR($A2101="",AND($J2101="",$K2101="")),"",MIN($J2101,$K2101))</f>
        <v/>
      </c>
      <c r="Q2101">
        <f>IF($A2101="","",$D2101&amp;"("&amp;SUBSTITUTE($E2101," ","")&amp;")")</f>
        <v/>
      </c>
      <c r="R2101">
        <f>IF($A2101="","",$B2101&amp;" - "&amp;$C2101)</f>
        <v/>
      </c>
      <c r="S2101">
        <f>IF($A2101="","",$R2101&amp;"|"&amp;$Q2101)</f>
        <v/>
      </c>
      <c r="T2101">
        <f>IF($A2101="","",$S2101&amp;"|"&amp;$F2101)</f>
        <v/>
      </c>
      <c r="U2101">
        <f>IF($A2101="","",$R2101&amp;"("&amp;$E2101&amp;")")</f>
        <v/>
      </c>
      <c r="V2101">
        <f>IF($A2101="","",$F2101&amp;"|"&amp;$U2101&amp;"|"&amp;$D2101)</f>
        <v/>
      </c>
      <c r="W2101">
        <f>IF($T2101="","",IF($X2101&gt;N($X2100),$X2101,""))</f>
        <v/>
      </c>
      <c r="X2101">
        <f>IF($T2101="",N($X2100),IF(MATCH($T2101,$T$6:$T$6005,0)=ROW()-5,N($X2100)+1,N($X2100)))</f>
        <v/>
      </c>
      <c r="Z2101">
        <f>IF($V2101="","",IF($AA2101&gt;N($AA2100),$AA2101,""))</f>
        <v/>
      </c>
      <c r="AA2101">
        <f>IF($V2101="",N($AA2100),IF(MATCH($V2101,$V$6:$V$6005,0)=ROW()-5,N($AA2100)+1,N($AA2100)))</f>
        <v/>
      </c>
    </row>
    <row r="2102" ht="21" customHeight="1" s="66">
      <c r="A2102" s="56" t="n"/>
      <c r="B2102" s="57" t="n"/>
      <c r="C2102" s="57" t="n"/>
      <c r="D2102" s="57" t="n"/>
      <c r="E2102" s="56" t="n"/>
      <c r="F2102" s="57" t="n"/>
      <c r="G2102" s="57" t="n"/>
      <c r="H2102" s="56" t="n"/>
      <c r="I2102" s="56" t="n"/>
      <c r="J2102" s="58" t="n"/>
      <c r="K2102" s="58" t="n"/>
      <c r="L2102" s="13">
        <f>IF(OR($A2102="",AND($J2102="",$K2102="")),"",ROUND(N($J2102)-N($K2102),2))</f>
        <v/>
      </c>
      <c r="M2102" s="13">
        <f>IF(OR($A2102="",AND($J2102="",$K2102="")),"",MIN($J2102,$K2102))</f>
        <v/>
      </c>
      <c r="Q2102">
        <f>IF($A2102="","",$D2102&amp;"("&amp;SUBSTITUTE($E2102," ","")&amp;")")</f>
        <v/>
      </c>
      <c r="R2102">
        <f>IF($A2102="","",$B2102&amp;" - "&amp;$C2102)</f>
        <v/>
      </c>
      <c r="S2102">
        <f>IF($A2102="","",$R2102&amp;"|"&amp;$Q2102)</f>
        <v/>
      </c>
      <c r="T2102">
        <f>IF($A2102="","",$S2102&amp;"|"&amp;$F2102)</f>
        <v/>
      </c>
      <c r="U2102">
        <f>IF($A2102="","",$R2102&amp;"("&amp;$E2102&amp;")")</f>
        <v/>
      </c>
      <c r="V2102">
        <f>IF($A2102="","",$F2102&amp;"|"&amp;$U2102&amp;"|"&amp;$D2102)</f>
        <v/>
      </c>
      <c r="W2102">
        <f>IF($T2102="","",IF($X2102&gt;N($X2101),$X2102,""))</f>
        <v/>
      </c>
      <c r="X2102">
        <f>IF($T2102="",N($X2101),IF(MATCH($T2102,$T$6:$T$6005,0)=ROW()-5,N($X2101)+1,N($X2101)))</f>
        <v/>
      </c>
      <c r="Z2102">
        <f>IF($V2102="","",IF($AA2102&gt;N($AA2101),$AA2102,""))</f>
        <v/>
      </c>
      <c r="AA2102">
        <f>IF($V2102="",N($AA2101),IF(MATCH($V2102,$V$6:$V$6005,0)=ROW()-5,N($AA2101)+1,N($AA2101)))</f>
        <v/>
      </c>
    </row>
    <row r="2103" ht="21" customHeight="1" s="66">
      <c r="A2103" s="56" t="n"/>
      <c r="B2103" s="57" t="n"/>
      <c r="C2103" s="57" t="n"/>
      <c r="D2103" s="57" t="n"/>
      <c r="E2103" s="56" t="n"/>
      <c r="F2103" s="57" t="n"/>
      <c r="G2103" s="57" t="n"/>
      <c r="H2103" s="56" t="n"/>
      <c r="I2103" s="56" t="n"/>
      <c r="J2103" s="58" t="n"/>
      <c r="K2103" s="58" t="n"/>
      <c r="L2103" s="13">
        <f>IF(OR($A2103="",AND($J2103="",$K2103="")),"",ROUND(N($J2103)-N($K2103),2))</f>
        <v/>
      </c>
      <c r="M2103" s="13">
        <f>IF(OR($A2103="",AND($J2103="",$K2103="")),"",MIN($J2103,$K2103))</f>
        <v/>
      </c>
      <c r="Q2103">
        <f>IF($A2103="","",$D2103&amp;"("&amp;SUBSTITUTE($E2103," ","")&amp;")")</f>
        <v/>
      </c>
      <c r="R2103">
        <f>IF($A2103="","",$B2103&amp;" - "&amp;$C2103)</f>
        <v/>
      </c>
      <c r="S2103">
        <f>IF($A2103="","",$R2103&amp;"|"&amp;$Q2103)</f>
        <v/>
      </c>
      <c r="T2103">
        <f>IF($A2103="","",$S2103&amp;"|"&amp;$F2103)</f>
        <v/>
      </c>
      <c r="U2103">
        <f>IF($A2103="","",$R2103&amp;"("&amp;$E2103&amp;")")</f>
        <v/>
      </c>
      <c r="V2103">
        <f>IF($A2103="","",$F2103&amp;"|"&amp;$U2103&amp;"|"&amp;$D2103)</f>
        <v/>
      </c>
      <c r="W2103">
        <f>IF($T2103="","",IF($X2103&gt;N($X2102),$X2103,""))</f>
        <v/>
      </c>
      <c r="X2103">
        <f>IF($T2103="",N($X2102),IF(MATCH($T2103,$T$6:$T$6005,0)=ROW()-5,N($X2102)+1,N($X2102)))</f>
        <v/>
      </c>
      <c r="Z2103">
        <f>IF($V2103="","",IF($AA2103&gt;N($AA2102),$AA2103,""))</f>
        <v/>
      </c>
      <c r="AA2103">
        <f>IF($V2103="",N($AA2102),IF(MATCH($V2103,$V$6:$V$6005,0)=ROW()-5,N($AA2102)+1,N($AA2102)))</f>
        <v/>
      </c>
    </row>
    <row r="2104" ht="21" customHeight="1" s="66">
      <c r="A2104" s="56" t="n"/>
      <c r="B2104" s="57" t="n"/>
      <c r="C2104" s="57" t="n"/>
      <c r="D2104" s="57" t="n"/>
      <c r="E2104" s="56" t="n"/>
      <c r="F2104" s="57" t="n"/>
      <c r="G2104" s="57" t="n"/>
      <c r="H2104" s="56" t="n"/>
      <c r="I2104" s="56" t="n"/>
      <c r="J2104" s="58" t="n"/>
      <c r="K2104" s="58" t="n"/>
      <c r="L2104" s="13">
        <f>IF(OR($A2104="",AND($J2104="",$K2104="")),"",ROUND(N($J2104)-N($K2104),2))</f>
        <v/>
      </c>
      <c r="M2104" s="13">
        <f>IF(OR($A2104="",AND($J2104="",$K2104="")),"",MIN($J2104,$K2104))</f>
        <v/>
      </c>
      <c r="Q2104">
        <f>IF($A2104="","",$D2104&amp;"("&amp;SUBSTITUTE($E2104," ","")&amp;")")</f>
        <v/>
      </c>
      <c r="R2104">
        <f>IF($A2104="","",$B2104&amp;" - "&amp;$C2104)</f>
        <v/>
      </c>
      <c r="S2104">
        <f>IF($A2104="","",$R2104&amp;"|"&amp;$Q2104)</f>
        <v/>
      </c>
      <c r="T2104">
        <f>IF($A2104="","",$S2104&amp;"|"&amp;$F2104)</f>
        <v/>
      </c>
      <c r="U2104">
        <f>IF($A2104="","",$R2104&amp;"("&amp;$E2104&amp;")")</f>
        <v/>
      </c>
      <c r="V2104">
        <f>IF($A2104="","",$F2104&amp;"|"&amp;$U2104&amp;"|"&amp;$D2104)</f>
        <v/>
      </c>
      <c r="W2104">
        <f>IF($T2104="","",IF($X2104&gt;N($X2103),$X2104,""))</f>
        <v/>
      </c>
      <c r="X2104">
        <f>IF($T2104="",N($X2103),IF(MATCH($T2104,$T$6:$T$6005,0)=ROW()-5,N($X2103)+1,N($X2103)))</f>
        <v/>
      </c>
      <c r="Z2104">
        <f>IF($V2104="","",IF($AA2104&gt;N($AA2103),$AA2104,""))</f>
        <v/>
      </c>
      <c r="AA2104">
        <f>IF($V2104="",N($AA2103),IF(MATCH($V2104,$V$6:$V$6005,0)=ROW()-5,N($AA2103)+1,N($AA2103)))</f>
        <v/>
      </c>
    </row>
    <row r="2105" ht="21" customHeight="1" s="66">
      <c r="A2105" s="56" t="n"/>
      <c r="B2105" s="57" t="n"/>
      <c r="C2105" s="57" t="n"/>
      <c r="D2105" s="57" t="n"/>
      <c r="E2105" s="56" t="n"/>
      <c r="F2105" s="57" t="n"/>
      <c r="G2105" s="57" t="n"/>
      <c r="H2105" s="56" t="n"/>
      <c r="I2105" s="56" t="n"/>
      <c r="J2105" s="58" t="n"/>
      <c r="K2105" s="58" t="n"/>
      <c r="L2105" s="13">
        <f>IF(OR($A2105="",AND($J2105="",$K2105="")),"",ROUND(N($J2105)-N($K2105),2))</f>
        <v/>
      </c>
      <c r="M2105" s="13">
        <f>IF(OR($A2105="",AND($J2105="",$K2105="")),"",MIN($J2105,$K2105))</f>
        <v/>
      </c>
      <c r="Q2105">
        <f>IF($A2105="","",$D2105&amp;"("&amp;SUBSTITUTE($E2105," ","")&amp;")")</f>
        <v/>
      </c>
      <c r="R2105">
        <f>IF($A2105="","",$B2105&amp;" - "&amp;$C2105)</f>
        <v/>
      </c>
      <c r="S2105">
        <f>IF($A2105="","",$R2105&amp;"|"&amp;$Q2105)</f>
        <v/>
      </c>
      <c r="T2105">
        <f>IF($A2105="","",$S2105&amp;"|"&amp;$F2105)</f>
        <v/>
      </c>
      <c r="U2105">
        <f>IF($A2105="","",$R2105&amp;"("&amp;$E2105&amp;")")</f>
        <v/>
      </c>
      <c r="V2105">
        <f>IF($A2105="","",$F2105&amp;"|"&amp;$U2105&amp;"|"&amp;$D2105)</f>
        <v/>
      </c>
      <c r="W2105">
        <f>IF($T2105="","",IF($X2105&gt;N($X2104),$X2105,""))</f>
        <v/>
      </c>
      <c r="X2105">
        <f>IF($T2105="",N($X2104),IF(MATCH($T2105,$T$6:$T$6005,0)=ROW()-5,N($X2104)+1,N($X2104)))</f>
        <v/>
      </c>
      <c r="Z2105">
        <f>IF($V2105="","",IF($AA2105&gt;N($AA2104),$AA2105,""))</f>
        <v/>
      </c>
      <c r="AA2105">
        <f>IF($V2105="",N($AA2104),IF(MATCH($V2105,$V$6:$V$6005,0)=ROW()-5,N($AA2104)+1,N($AA2104)))</f>
        <v/>
      </c>
    </row>
    <row r="2106" ht="21" customHeight="1" s="66">
      <c r="A2106" s="56" t="n"/>
      <c r="B2106" s="57" t="n"/>
      <c r="C2106" s="57" t="n"/>
      <c r="D2106" s="57" t="n"/>
      <c r="E2106" s="56" t="n"/>
      <c r="F2106" s="57" t="n"/>
      <c r="G2106" s="57" t="n"/>
      <c r="H2106" s="56" t="n"/>
      <c r="I2106" s="56" t="n"/>
      <c r="J2106" s="58" t="n"/>
      <c r="K2106" s="58" t="n"/>
      <c r="L2106" s="13">
        <f>IF(OR($A2106="",AND($J2106="",$K2106="")),"",ROUND(N($J2106)-N($K2106),2))</f>
        <v/>
      </c>
      <c r="M2106" s="13">
        <f>IF(OR($A2106="",AND($J2106="",$K2106="")),"",MIN($J2106,$K2106))</f>
        <v/>
      </c>
      <c r="Q2106">
        <f>IF($A2106="","",$D2106&amp;"("&amp;SUBSTITUTE($E2106," ","")&amp;")")</f>
        <v/>
      </c>
      <c r="R2106">
        <f>IF($A2106="","",$B2106&amp;" - "&amp;$C2106)</f>
        <v/>
      </c>
      <c r="S2106">
        <f>IF($A2106="","",$R2106&amp;"|"&amp;$Q2106)</f>
        <v/>
      </c>
      <c r="T2106">
        <f>IF($A2106="","",$S2106&amp;"|"&amp;$F2106)</f>
        <v/>
      </c>
      <c r="U2106">
        <f>IF($A2106="","",$R2106&amp;"("&amp;$E2106&amp;")")</f>
        <v/>
      </c>
      <c r="V2106">
        <f>IF($A2106="","",$F2106&amp;"|"&amp;$U2106&amp;"|"&amp;$D2106)</f>
        <v/>
      </c>
      <c r="W2106">
        <f>IF($T2106="","",IF($X2106&gt;N($X2105),$X2106,""))</f>
        <v/>
      </c>
      <c r="X2106">
        <f>IF($T2106="",N($X2105),IF(MATCH($T2106,$T$6:$T$6005,0)=ROW()-5,N($X2105)+1,N($X2105)))</f>
        <v/>
      </c>
      <c r="Z2106">
        <f>IF($V2106="","",IF($AA2106&gt;N($AA2105),$AA2106,""))</f>
        <v/>
      </c>
      <c r="AA2106">
        <f>IF($V2106="",N($AA2105),IF(MATCH($V2106,$V$6:$V$6005,0)=ROW()-5,N($AA2105)+1,N($AA2105)))</f>
        <v/>
      </c>
    </row>
    <row r="2107" ht="21" customHeight="1" s="66">
      <c r="A2107" s="56" t="n"/>
      <c r="B2107" s="57" t="n"/>
      <c r="C2107" s="57" t="n"/>
      <c r="D2107" s="57" t="n"/>
      <c r="E2107" s="56" t="n"/>
      <c r="F2107" s="57" t="n"/>
      <c r="G2107" s="57" t="n"/>
      <c r="H2107" s="56" t="n"/>
      <c r="I2107" s="56" t="n"/>
      <c r="J2107" s="58" t="n"/>
      <c r="K2107" s="58" t="n"/>
      <c r="L2107" s="13">
        <f>IF(OR($A2107="",AND($J2107="",$K2107="")),"",ROUND(N($J2107)-N($K2107),2))</f>
        <v/>
      </c>
      <c r="M2107" s="13">
        <f>IF(OR($A2107="",AND($J2107="",$K2107="")),"",MIN($J2107,$K2107))</f>
        <v/>
      </c>
      <c r="Q2107">
        <f>IF($A2107="","",$D2107&amp;"("&amp;SUBSTITUTE($E2107," ","")&amp;")")</f>
        <v/>
      </c>
      <c r="R2107">
        <f>IF($A2107="","",$B2107&amp;" - "&amp;$C2107)</f>
        <v/>
      </c>
      <c r="S2107">
        <f>IF($A2107="","",$R2107&amp;"|"&amp;$Q2107)</f>
        <v/>
      </c>
      <c r="T2107">
        <f>IF($A2107="","",$S2107&amp;"|"&amp;$F2107)</f>
        <v/>
      </c>
      <c r="U2107">
        <f>IF($A2107="","",$R2107&amp;"("&amp;$E2107&amp;")")</f>
        <v/>
      </c>
      <c r="V2107">
        <f>IF($A2107="","",$F2107&amp;"|"&amp;$U2107&amp;"|"&amp;$D2107)</f>
        <v/>
      </c>
      <c r="W2107">
        <f>IF($T2107="","",IF($X2107&gt;N($X2106),$X2107,""))</f>
        <v/>
      </c>
      <c r="X2107">
        <f>IF($T2107="",N($X2106),IF(MATCH($T2107,$T$6:$T$6005,0)=ROW()-5,N($X2106)+1,N($X2106)))</f>
        <v/>
      </c>
      <c r="Z2107">
        <f>IF($V2107="","",IF($AA2107&gt;N($AA2106),$AA2107,""))</f>
        <v/>
      </c>
      <c r="AA2107">
        <f>IF($V2107="",N($AA2106),IF(MATCH($V2107,$V$6:$V$6005,0)=ROW()-5,N($AA2106)+1,N($AA2106)))</f>
        <v/>
      </c>
    </row>
    <row r="2108" ht="21" customHeight="1" s="66">
      <c r="A2108" s="56" t="n"/>
      <c r="B2108" s="57" t="n"/>
      <c r="C2108" s="57" t="n"/>
      <c r="D2108" s="57" t="n"/>
      <c r="E2108" s="56" t="n"/>
      <c r="F2108" s="57" t="n"/>
      <c r="G2108" s="57" t="n"/>
      <c r="H2108" s="56" t="n"/>
      <c r="I2108" s="56" t="n"/>
      <c r="J2108" s="58" t="n"/>
      <c r="K2108" s="58" t="n"/>
      <c r="L2108" s="13">
        <f>IF(OR($A2108="",AND($J2108="",$K2108="")),"",ROUND(N($J2108)-N($K2108),2))</f>
        <v/>
      </c>
      <c r="M2108" s="13">
        <f>IF(OR($A2108="",AND($J2108="",$K2108="")),"",MIN($J2108,$K2108))</f>
        <v/>
      </c>
      <c r="Q2108">
        <f>IF($A2108="","",$D2108&amp;"("&amp;SUBSTITUTE($E2108," ","")&amp;")")</f>
        <v/>
      </c>
      <c r="R2108">
        <f>IF($A2108="","",$B2108&amp;" - "&amp;$C2108)</f>
        <v/>
      </c>
      <c r="S2108">
        <f>IF($A2108="","",$R2108&amp;"|"&amp;$Q2108)</f>
        <v/>
      </c>
      <c r="T2108">
        <f>IF($A2108="","",$S2108&amp;"|"&amp;$F2108)</f>
        <v/>
      </c>
      <c r="U2108">
        <f>IF($A2108="","",$R2108&amp;"("&amp;$E2108&amp;")")</f>
        <v/>
      </c>
      <c r="V2108">
        <f>IF($A2108="","",$F2108&amp;"|"&amp;$U2108&amp;"|"&amp;$D2108)</f>
        <v/>
      </c>
      <c r="W2108">
        <f>IF($T2108="","",IF($X2108&gt;N($X2107),$X2108,""))</f>
        <v/>
      </c>
      <c r="X2108">
        <f>IF($T2108="",N($X2107),IF(MATCH($T2108,$T$6:$T$6005,0)=ROW()-5,N($X2107)+1,N($X2107)))</f>
        <v/>
      </c>
      <c r="Z2108">
        <f>IF($V2108="","",IF($AA2108&gt;N($AA2107),$AA2108,""))</f>
        <v/>
      </c>
      <c r="AA2108">
        <f>IF($V2108="",N($AA2107),IF(MATCH($V2108,$V$6:$V$6005,0)=ROW()-5,N($AA2107)+1,N($AA2107)))</f>
        <v/>
      </c>
    </row>
    <row r="2109" ht="21" customHeight="1" s="66">
      <c r="A2109" s="56" t="n"/>
      <c r="B2109" s="57" t="n"/>
      <c r="C2109" s="57" t="n"/>
      <c r="D2109" s="57" t="n"/>
      <c r="E2109" s="56" t="n"/>
      <c r="F2109" s="57" t="n"/>
      <c r="G2109" s="57" t="n"/>
      <c r="H2109" s="56" t="n"/>
      <c r="I2109" s="56" t="n"/>
      <c r="J2109" s="58" t="n"/>
      <c r="K2109" s="58" t="n"/>
      <c r="L2109" s="13">
        <f>IF(OR($A2109="",AND($J2109="",$K2109="")),"",ROUND(N($J2109)-N($K2109),2))</f>
        <v/>
      </c>
      <c r="M2109" s="13">
        <f>IF(OR($A2109="",AND($J2109="",$K2109="")),"",MIN($J2109,$K2109))</f>
        <v/>
      </c>
      <c r="Q2109">
        <f>IF($A2109="","",$D2109&amp;"("&amp;SUBSTITUTE($E2109," ","")&amp;")")</f>
        <v/>
      </c>
      <c r="R2109">
        <f>IF($A2109="","",$B2109&amp;" - "&amp;$C2109)</f>
        <v/>
      </c>
      <c r="S2109">
        <f>IF($A2109="","",$R2109&amp;"|"&amp;$Q2109)</f>
        <v/>
      </c>
      <c r="T2109">
        <f>IF($A2109="","",$S2109&amp;"|"&amp;$F2109)</f>
        <v/>
      </c>
      <c r="U2109">
        <f>IF($A2109="","",$R2109&amp;"("&amp;$E2109&amp;")")</f>
        <v/>
      </c>
      <c r="V2109">
        <f>IF($A2109="","",$F2109&amp;"|"&amp;$U2109&amp;"|"&amp;$D2109)</f>
        <v/>
      </c>
      <c r="W2109">
        <f>IF($T2109="","",IF($X2109&gt;N($X2108),$X2109,""))</f>
        <v/>
      </c>
      <c r="X2109">
        <f>IF($T2109="",N($X2108),IF(MATCH($T2109,$T$6:$T$6005,0)=ROW()-5,N($X2108)+1,N($X2108)))</f>
        <v/>
      </c>
      <c r="Z2109">
        <f>IF($V2109="","",IF($AA2109&gt;N($AA2108),$AA2109,""))</f>
        <v/>
      </c>
      <c r="AA2109">
        <f>IF($V2109="",N($AA2108),IF(MATCH($V2109,$V$6:$V$6005,0)=ROW()-5,N($AA2108)+1,N($AA2108)))</f>
        <v/>
      </c>
    </row>
    <row r="2110" ht="21" customHeight="1" s="66">
      <c r="A2110" s="56" t="n"/>
      <c r="B2110" s="57" t="n"/>
      <c r="C2110" s="57" t="n"/>
      <c r="D2110" s="57" t="n"/>
      <c r="E2110" s="56" t="n"/>
      <c r="F2110" s="57" t="n"/>
      <c r="G2110" s="57" t="n"/>
      <c r="H2110" s="56" t="n"/>
      <c r="I2110" s="56" t="n"/>
      <c r="J2110" s="58" t="n"/>
      <c r="K2110" s="58" t="n"/>
      <c r="L2110" s="13">
        <f>IF(OR($A2110="",AND($J2110="",$K2110="")),"",ROUND(N($J2110)-N($K2110),2))</f>
        <v/>
      </c>
      <c r="M2110" s="13">
        <f>IF(OR($A2110="",AND($J2110="",$K2110="")),"",MIN($J2110,$K2110))</f>
        <v/>
      </c>
      <c r="Q2110">
        <f>IF($A2110="","",$D2110&amp;"("&amp;SUBSTITUTE($E2110," ","")&amp;")")</f>
        <v/>
      </c>
      <c r="R2110">
        <f>IF($A2110="","",$B2110&amp;" - "&amp;$C2110)</f>
        <v/>
      </c>
      <c r="S2110">
        <f>IF($A2110="","",$R2110&amp;"|"&amp;$Q2110)</f>
        <v/>
      </c>
      <c r="T2110">
        <f>IF($A2110="","",$S2110&amp;"|"&amp;$F2110)</f>
        <v/>
      </c>
      <c r="U2110">
        <f>IF($A2110="","",$R2110&amp;"("&amp;$E2110&amp;")")</f>
        <v/>
      </c>
      <c r="V2110">
        <f>IF($A2110="","",$F2110&amp;"|"&amp;$U2110&amp;"|"&amp;$D2110)</f>
        <v/>
      </c>
      <c r="W2110">
        <f>IF($T2110="","",IF($X2110&gt;N($X2109),$X2110,""))</f>
        <v/>
      </c>
      <c r="X2110">
        <f>IF($T2110="",N($X2109),IF(MATCH($T2110,$T$6:$T$6005,0)=ROW()-5,N($X2109)+1,N($X2109)))</f>
        <v/>
      </c>
      <c r="Z2110">
        <f>IF($V2110="","",IF($AA2110&gt;N($AA2109),$AA2110,""))</f>
        <v/>
      </c>
      <c r="AA2110">
        <f>IF($V2110="",N($AA2109),IF(MATCH($V2110,$V$6:$V$6005,0)=ROW()-5,N($AA2109)+1,N($AA2109)))</f>
        <v/>
      </c>
    </row>
    <row r="2111" ht="21" customHeight="1" s="66">
      <c r="A2111" s="56" t="n"/>
      <c r="B2111" s="57" t="n"/>
      <c r="C2111" s="57" t="n"/>
      <c r="D2111" s="57" t="n"/>
      <c r="E2111" s="56" t="n"/>
      <c r="F2111" s="57" t="n"/>
      <c r="G2111" s="57" t="n"/>
      <c r="H2111" s="56" t="n"/>
      <c r="I2111" s="56" t="n"/>
      <c r="J2111" s="58" t="n"/>
      <c r="K2111" s="58" t="n"/>
      <c r="L2111" s="13">
        <f>IF(OR($A2111="",AND($J2111="",$K2111="")),"",ROUND(N($J2111)-N($K2111),2))</f>
        <v/>
      </c>
      <c r="M2111" s="13">
        <f>IF(OR($A2111="",AND($J2111="",$K2111="")),"",MIN($J2111,$K2111))</f>
        <v/>
      </c>
      <c r="Q2111">
        <f>IF($A2111="","",$D2111&amp;"("&amp;SUBSTITUTE($E2111," ","")&amp;")")</f>
        <v/>
      </c>
      <c r="R2111">
        <f>IF($A2111="","",$B2111&amp;" - "&amp;$C2111)</f>
        <v/>
      </c>
      <c r="S2111">
        <f>IF($A2111="","",$R2111&amp;"|"&amp;$Q2111)</f>
        <v/>
      </c>
      <c r="T2111">
        <f>IF($A2111="","",$S2111&amp;"|"&amp;$F2111)</f>
        <v/>
      </c>
      <c r="U2111">
        <f>IF($A2111="","",$R2111&amp;"("&amp;$E2111&amp;")")</f>
        <v/>
      </c>
      <c r="V2111">
        <f>IF($A2111="","",$F2111&amp;"|"&amp;$U2111&amp;"|"&amp;$D2111)</f>
        <v/>
      </c>
      <c r="W2111">
        <f>IF($T2111="","",IF($X2111&gt;N($X2110),$X2111,""))</f>
        <v/>
      </c>
      <c r="X2111">
        <f>IF($T2111="",N($X2110),IF(MATCH($T2111,$T$6:$T$6005,0)=ROW()-5,N($X2110)+1,N($X2110)))</f>
        <v/>
      </c>
      <c r="Z2111">
        <f>IF($V2111="","",IF($AA2111&gt;N($AA2110),$AA2111,""))</f>
        <v/>
      </c>
      <c r="AA2111">
        <f>IF($V2111="",N($AA2110),IF(MATCH($V2111,$V$6:$V$6005,0)=ROW()-5,N($AA2110)+1,N($AA2110)))</f>
        <v/>
      </c>
    </row>
    <row r="2112" ht="21" customHeight="1" s="66">
      <c r="A2112" s="56" t="n"/>
      <c r="B2112" s="57" t="n"/>
      <c r="C2112" s="57" t="n"/>
      <c r="D2112" s="57" t="n"/>
      <c r="E2112" s="56" t="n"/>
      <c r="F2112" s="57" t="n"/>
      <c r="G2112" s="57" t="n"/>
      <c r="H2112" s="56" t="n"/>
      <c r="I2112" s="56" t="n"/>
      <c r="J2112" s="58" t="n"/>
      <c r="K2112" s="58" t="n"/>
      <c r="L2112" s="13">
        <f>IF(OR($A2112="",AND($J2112="",$K2112="")),"",ROUND(N($J2112)-N($K2112),2))</f>
        <v/>
      </c>
      <c r="M2112" s="13">
        <f>IF(OR($A2112="",AND($J2112="",$K2112="")),"",MIN($J2112,$K2112))</f>
        <v/>
      </c>
      <c r="Q2112">
        <f>IF($A2112="","",$D2112&amp;"("&amp;SUBSTITUTE($E2112," ","")&amp;")")</f>
        <v/>
      </c>
      <c r="R2112">
        <f>IF($A2112="","",$B2112&amp;" - "&amp;$C2112)</f>
        <v/>
      </c>
      <c r="S2112">
        <f>IF($A2112="","",$R2112&amp;"|"&amp;$Q2112)</f>
        <v/>
      </c>
      <c r="T2112">
        <f>IF($A2112="","",$S2112&amp;"|"&amp;$F2112)</f>
        <v/>
      </c>
      <c r="U2112">
        <f>IF($A2112="","",$R2112&amp;"("&amp;$E2112&amp;")")</f>
        <v/>
      </c>
      <c r="V2112">
        <f>IF($A2112="","",$F2112&amp;"|"&amp;$U2112&amp;"|"&amp;$D2112)</f>
        <v/>
      </c>
      <c r="W2112">
        <f>IF($T2112="","",IF($X2112&gt;N($X2111),$X2112,""))</f>
        <v/>
      </c>
      <c r="X2112">
        <f>IF($T2112="",N($X2111),IF(MATCH($T2112,$T$6:$T$6005,0)=ROW()-5,N($X2111)+1,N($X2111)))</f>
        <v/>
      </c>
      <c r="Z2112">
        <f>IF($V2112="","",IF($AA2112&gt;N($AA2111),$AA2112,""))</f>
        <v/>
      </c>
      <c r="AA2112">
        <f>IF($V2112="",N($AA2111),IF(MATCH($V2112,$V$6:$V$6005,0)=ROW()-5,N($AA2111)+1,N($AA2111)))</f>
        <v/>
      </c>
    </row>
    <row r="2113" ht="21" customHeight="1" s="66">
      <c r="A2113" s="56" t="n"/>
      <c r="B2113" s="57" t="n"/>
      <c r="C2113" s="57" t="n"/>
      <c r="D2113" s="57" t="n"/>
      <c r="E2113" s="56" t="n"/>
      <c r="F2113" s="57" t="n"/>
      <c r="G2113" s="57" t="n"/>
      <c r="H2113" s="56" t="n"/>
      <c r="I2113" s="56" t="n"/>
      <c r="J2113" s="58" t="n"/>
      <c r="K2113" s="58" t="n"/>
      <c r="L2113" s="13">
        <f>IF(OR($A2113="",AND($J2113="",$K2113="")),"",ROUND(N($J2113)-N($K2113),2))</f>
        <v/>
      </c>
      <c r="M2113" s="13">
        <f>IF(OR($A2113="",AND($J2113="",$K2113="")),"",MIN($J2113,$K2113))</f>
        <v/>
      </c>
      <c r="Q2113">
        <f>IF($A2113="","",$D2113&amp;"("&amp;SUBSTITUTE($E2113," ","")&amp;")")</f>
        <v/>
      </c>
      <c r="R2113">
        <f>IF($A2113="","",$B2113&amp;" - "&amp;$C2113)</f>
        <v/>
      </c>
      <c r="S2113">
        <f>IF($A2113="","",$R2113&amp;"|"&amp;$Q2113)</f>
        <v/>
      </c>
      <c r="T2113">
        <f>IF($A2113="","",$S2113&amp;"|"&amp;$F2113)</f>
        <v/>
      </c>
      <c r="U2113">
        <f>IF($A2113="","",$R2113&amp;"("&amp;$E2113&amp;")")</f>
        <v/>
      </c>
      <c r="V2113">
        <f>IF($A2113="","",$F2113&amp;"|"&amp;$U2113&amp;"|"&amp;$D2113)</f>
        <v/>
      </c>
      <c r="W2113">
        <f>IF($T2113="","",IF($X2113&gt;N($X2112),$X2113,""))</f>
        <v/>
      </c>
      <c r="X2113">
        <f>IF($T2113="",N($X2112),IF(MATCH($T2113,$T$6:$T$6005,0)=ROW()-5,N($X2112)+1,N($X2112)))</f>
        <v/>
      </c>
      <c r="Z2113">
        <f>IF($V2113="","",IF($AA2113&gt;N($AA2112),$AA2113,""))</f>
        <v/>
      </c>
      <c r="AA2113">
        <f>IF($V2113="",N($AA2112),IF(MATCH($V2113,$V$6:$V$6005,0)=ROW()-5,N($AA2112)+1,N($AA2112)))</f>
        <v/>
      </c>
    </row>
    <row r="2114" ht="21" customHeight="1" s="66">
      <c r="A2114" s="56" t="n"/>
      <c r="B2114" s="57" t="n"/>
      <c r="C2114" s="57" t="n"/>
      <c r="D2114" s="57" t="n"/>
      <c r="E2114" s="56" t="n"/>
      <c r="F2114" s="57" t="n"/>
      <c r="G2114" s="57" t="n"/>
      <c r="H2114" s="56" t="n"/>
      <c r="I2114" s="56" t="n"/>
      <c r="J2114" s="58" t="n"/>
      <c r="K2114" s="58" t="n"/>
      <c r="L2114" s="13">
        <f>IF(OR($A2114="",AND($J2114="",$K2114="")),"",ROUND(N($J2114)-N($K2114),2))</f>
        <v/>
      </c>
      <c r="M2114" s="13">
        <f>IF(OR($A2114="",AND($J2114="",$K2114="")),"",MIN($J2114,$K2114))</f>
        <v/>
      </c>
      <c r="Q2114">
        <f>IF($A2114="","",$D2114&amp;"("&amp;SUBSTITUTE($E2114," ","")&amp;")")</f>
        <v/>
      </c>
      <c r="R2114">
        <f>IF($A2114="","",$B2114&amp;" - "&amp;$C2114)</f>
        <v/>
      </c>
      <c r="S2114">
        <f>IF($A2114="","",$R2114&amp;"|"&amp;$Q2114)</f>
        <v/>
      </c>
      <c r="T2114">
        <f>IF($A2114="","",$S2114&amp;"|"&amp;$F2114)</f>
        <v/>
      </c>
      <c r="U2114">
        <f>IF($A2114="","",$R2114&amp;"("&amp;$E2114&amp;")")</f>
        <v/>
      </c>
      <c r="V2114">
        <f>IF($A2114="","",$F2114&amp;"|"&amp;$U2114&amp;"|"&amp;$D2114)</f>
        <v/>
      </c>
      <c r="W2114">
        <f>IF($T2114="","",IF($X2114&gt;N($X2113),$X2114,""))</f>
        <v/>
      </c>
      <c r="X2114">
        <f>IF($T2114="",N($X2113),IF(MATCH($T2114,$T$6:$T$6005,0)=ROW()-5,N($X2113)+1,N($X2113)))</f>
        <v/>
      </c>
      <c r="Z2114">
        <f>IF($V2114="","",IF($AA2114&gt;N($AA2113),$AA2114,""))</f>
        <v/>
      </c>
      <c r="AA2114">
        <f>IF($V2114="",N($AA2113),IF(MATCH($V2114,$V$6:$V$6005,0)=ROW()-5,N($AA2113)+1,N($AA2113)))</f>
        <v/>
      </c>
    </row>
    <row r="2115" ht="21" customHeight="1" s="66">
      <c r="A2115" s="56" t="n"/>
      <c r="B2115" s="57" t="n"/>
      <c r="C2115" s="57" t="n"/>
      <c r="D2115" s="57" t="n"/>
      <c r="E2115" s="56" t="n"/>
      <c r="F2115" s="57" t="n"/>
      <c r="G2115" s="57" t="n"/>
      <c r="H2115" s="56" t="n"/>
      <c r="I2115" s="56" t="n"/>
      <c r="J2115" s="58" t="n"/>
      <c r="K2115" s="58" t="n"/>
      <c r="L2115" s="13">
        <f>IF(OR($A2115="",AND($J2115="",$K2115="")),"",ROUND(N($J2115)-N($K2115),2))</f>
        <v/>
      </c>
      <c r="M2115" s="13">
        <f>IF(OR($A2115="",AND($J2115="",$K2115="")),"",MIN($J2115,$K2115))</f>
        <v/>
      </c>
      <c r="Q2115">
        <f>IF($A2115="","",$D2115&amp;"("&amp;SUBSTITUTE($E2115," ","")&amp;")")</f>
        <v/>
      </c>
      <c r="R2115">
        <f>IF($A2115="","",$B2115&amp;" - "&amp;$C2115)</f>
        <v/>
      </c>
      <c r="S2115">
        <f>IF($A2115="","",$R2115&amp;"|"&amp;$Q2115)</f>
        <v/>
      </c>
      <c r="T2115">
        <f>IF($A2115="","",$S2115&amp;"|"&amp;$F2115)</f>
        <v/>
      </c>
      <c r="U2115">
        <f>IF($A2115="","",$R2115&amp;"("&amp;$E2115&amp;")")</f>
        <v/>
      </c>
      <c r="V2115">
        <f>IF($A2115="","",$F2115&amp;"|"&amp;$U2115&amp;"|"&amp;$D2115)</f>
        <v/>
      </c>
      <c r="W2115">
        <f>IF($T2115="","",IF($X2115&gt;N($X2114),$X2115,""))</f>
        <v/>
      </c>
      <c r="X2115">
        <f>IF($T2115="",N($X2114),IF(MATCH($T2115,$T$6:$T$6005,0)=ROW()-5,N($X2114)+1,N($X2114)))</f>
        <v/>
      </c>
      <c r="Z2115">
        <f>IF($V2115="","",IF($AA2115&gt;N($AA2114),$AA2115,""))</f>
        <v/>
      </c>
      <c r="AA2115">
        <f>IF($V2115="",N($AA2114),IF(MATCH($V2115,$V$6:$V$6005,0)=ROW()-5,N($AA2114)+1,N($AA2114)))</f>
        <v/>
      </c>
    </row>
    <row r="2116" ht="21" customHeight="1" s="66">
      <c r="A2116" s="56" t="n"/>
      <c r="B2116" s="57" t="n"/>
      <c r="C2116" s="57" t="n"/>
      <c r="D2116" s="57" t="n"/>
      <c r="E2116" s="56" t="n"/>
      <c r="F2116" s="57" t="n"/>
      <c r="G2116" s="57" t="n"/>
      <c r="H2116" s="56" t="n"/>
      <c r="I2116" s="56" t="n"/>
      <c r="J2116" s="58" t="n"/>
      <c r="K2116" s="58" t="n"/>
      <c r="L2116" s="13">
        <f>IF(OR($A2116="",AND($J2116="",$K2116="")),"",ROUND(N($J2116)-N($K2116),2))</f>
        <v/>
      </c>
      <c r="M2116" s="13">
        <f>IF(OR($A2116="",AND($J2116="",$K2116="")),"",MIN($J2116,$K2116))</f>
        <v/>
      </c>
      <c r="Q2116">
        <f>IF($A2116="","",$D2116&amp;"("&amp;SUBSTITUTE($E2116," ","")&amp;")")</f>
        <v/>
      </c>
      <c r="R2116">
        <f>IF($A2116="","",$B2116&amp;" - "&amp;$C2116)</f>
        <v/>
      </c>
      <c r="S2116">
        <f>IF($A2116="","",$R2116&amp;"|"&amp;$Q2116)</f>
        <v/>
      </c>
      <c r="T2116">
        <f>IF($A2116="","",$S2116&amp;"|"&amp;$F2116)</f>
        <v/>
      </c>
      <c r="U2116">
        <f>IF($A2116="","",$R2116&amp;"("&amp;$E2116&amp;")")</f>
        <v/>
      </c>
      <c r="V2116">
        <f>IF($A2116="","",$F2116&amp;"|"&amp;$U2116&amp;"|"&amp;$D2116)</f>
        <v/>
      </c>
      <c r="W2116">
        <f>IF($T2116="","",IF($X2116&gt;N($X2115),$X2116,""))</f>
        <v/>
      </c>
      <c r="X2116">
        <f>IF($T2116="",N($X2115),IF(MATCH($T2116,$T$6:$T$6005,0)=ROW()-5,N($X2115)+1,N($X2115)))</f>
        <v/>
      </c>
      <c r="Z2116">
        <f>IF($V2116="","",IF($AA2116&gt;N($AA2115),$AA2116,""))</f>
        <v/>
      </c>
      <c r="AA2116">
        <f>IF($V2116="",N($AA2115),IF(MATCH($V2116,$V$6:$V$6005,0)=ROW()-5,N($AA2115)+1,N($AA2115)))</f>
        <v/>
      </c>
    </row>
    <row r="2117" ht="21" customHeight="1" s="66">
      <c r="A2117" s="56" t="n"/>
      <c r="B2117" s="57" t="n"/>
      <c r="C2117" s="57" t="n"/>
      <c r="D2117" s="57" t="n"/>
      <c r="E2117" s="56" t="n"/>
      <c r="F2117" s="57" t="n"/>
      <c r="G2117" s="57" t="n"/>
      <c r="H2117" s="56" t="n"/>
      <c r="I2117" s="56" t="n"/>
      <c r="J2117" s="58" t="n"/>
      <c r="K2117" s="58" t="n"/>
      <c r="L2117" s="13">
        <f>IF(OR($A2117="",AND($J2117="",$K2117="")),"",ROUND(N($J2117)-N($K2117),2))</f>
        <v/>
      </c>
      <c r="M2117" s="13">
        <f>IF(OR($A2117="",AND($J2117="",$K2117="")),"",MIN($J2117,$K2117))</f>
        <v/>
      </c>
      <c r="Q2117">
        <f>IF($A2117="","",$D2117&amp;"("&amp;SUBSTITUTE($E2117," ","")&amp;")")</f>
        <v/>
      </c>
      <c r="R2117">
        <f>IF($A2117="","",$B2117&amp;" - "&amp;$C2117)</f>
        <v/>
      </c>
      <c r="S2117">
        <f>IF($A2117="","",$R2117&amp;"|"&amp;$Q2117)</f>
        <v/>
      </c>
      <c r="T2117">
        <f>IF($A2117="","",$S2117&amp;"|"&amp;$F2117)</f>
        <v/>
      </c>
      <c r="U2117">
        <f>IF($A2117="","",$R2117&amp;"("&amp;$E2117&amp;")")</f>
        <v/>
      </c>
      <c r="V2117">
        <f>IF($A2117="","",$F2117&amp;"|"&amp;$U2117&amp;"|"&amp;$D2117)</f>
        <v/>
      </c>
      <c r="W2117">
        <f>IF($T2117="","",IF($X2117&gt;N($X2116),$X2117,""))</f>
        <v/>
      </c>
      <c r="X2117">
        <f>IF($T2117="",N($X2116),IF(MATCH($T2117,$T$6:$T$6005,0)=ROW()-5,N($X2116)+1,N($X2116)))</f>
        <v/>
      </c>
      <c r="Z2117">
        <f>IF($V2117="","",IF($AA2117&gt;N($AA2116),$AA2117,""))</f>
        <v/>
      </c>
      <c r="AA2117">
        <f>IF($V2117="",N($AA2116),IF(MATCH($V2117,$V$6:$V$6005,0)=ROW()-5,N($AA2116)+1,N($AA2116)))</f>
        <v/>
      </c>
    </row>
    <row r="2118" ht="21" customHeight="1" s="66">
      <c r="A2118" s="56" t="n"/>
      <c r="B2118" s="57" t="n"/>
      <c r="C2118" s="57" t="n"/>
      <c r="D2118" s="57" t="n"/>
      <c r="E2118" s="56" t="n"/>
      <c r="F2118" s="57" t="n"/>
      <c r="G2118" s="57" t="n"/>
      <c r="H2118" s="56" t="n"/>
      <c r="I2118" s="56" t="n"/>
      <c r="J2118" s="58" t="n"/>
      <c r="K2118" s="58" t="n"/>
      <c r="L2118" s="13">
        <f>IF(OR($A2118="",AND($J2118="",$K2118="")),"",ROUND(N($J2118)-N($K2118),2))</f>
        <v/>
      </c>
      <c r="M2118" s="13">
        <f>IF(OR($A2118="",AND($J2118="",$K2118="")),"",MIN($J2118,$K2118))</f>
        <v/>
      </c>
      <c r="Q2118">
        <f>IF($A2118="","",$D2118&amp;"("&amp;SUBSTITUTE($E2118," ","")&amp;")")</f>
        <v/>
      </c>
      <c r="R2118">
        <f>IF($A2118="","",$B2118&amp;" - "&amp;$C2118)</f>
        <v/>
      </c>
      <c r="S2118">
        <f>IF($A2118="","",$R2118&amp;"|"&amp;$Q2118)</f>
        <v/>
      </c>
      <c r="T2118">
        <f>IF($A2118="","",$S2118&amp;"|"&amp;$F2118)</f>
        <v/>
      </c>
      <c r="U2118">
        <f>IF($A2118="","",$R2118&amp;"("&amp;$E2118&amp;")")</f>
        <v/>
      </c>
      <c r="V2118">
        <f>IF($A2118="","",$F2118&amp;"|"&amp;$U2118&amp;"|"&amp;$D2118)</f>
        <v/>
      </c>
      <c r="W2118">
        <f>IF($T2118="","",IF($X2118&gt;N($X2117),$X2118,""))</f>
        <v/>
      </c>
      <c r="X2118">
        <f>IF($T2118="",N($X2117),IF(MATCH($T2118,$T$6:$T$6005,0)=ROW()-5,N($X2117)+1,N($X2117)))</f>
        <v/>
      </c>
      <c r="Z2118">
        <f>IF($V2118="","",IF($AA2118&gt;N($AA2117),$AA2118,""))</f>
        <v/>
      </c>
      <c r="AA2118">
        <f>IF($V2118="",N($AA2117),IF(MATCH($V2118,$V$6:$V$6005,0)=ROW()-5,N($AA2117)+1,N($AA2117)))</f>
        <v/>
      </c>
    </row>
    <row r="2119" ht="21" customHeight="1" s="66">
      <c r="A2119" s="56" t="n"/>
      <c r="B2119" s="57" t="n"/>
      <c r="C2119" s="57" t="n"/>
      <c r="D2119" s="57" t="n"/>
      <c r="E2119" s="56" t="n"/>
      <c r="F2119" s="57" t="n"/>
      <c r="G2119" s="57" t="n"/>
      <c r="H2119" s="56" t="n"/>
      <c r="I2119" s="56" t="n"/>
      <c r="J2119" s="58" t="n"/>
      <c r="K2119" s="58" t="n"/>
      <c r="L2119" s="13">
        <f>IF(OR($A2119="",AND($J2119="",$K2119="")),"",ROUND(N($J2119)-N($K2119),2))</f>
        <v/>
      </c>
      <c r="M2119" s="13">
        <f>IF(OR($A2119="",AND($J2119="",$K2119="")),"",MIN($J2119,$K2119))</f>
        <v/>
      </c>
      <c r="Q2119">
        <f>IF($A2119="","",$D2119&amp;"("&amp;SUBSTITUTE($E2119," ","")&amp;")")</f>
        <v/>
      </c>
      <c r="R2119">
        <f>IF($A2119="","",$B2119&amp;" - "&amp;$C2119)</f>
        <v/>
      </c>
      <c r="S2119">
        <f>IF($A2119="","",$R2119&amp;"|"&amp;$Q2119)</f>
        <v/>
      </c>
      <c r="T2119">
        <f>IF($A2119="","",$S2119&amp;"|"&amp;$F2119)</f>
        <v/>
      </c>
      <c r="U2119">
        <f>IF($A2119="","",$R2119&amp;"("&amp;$E2119&amp;")")</f>
        <v/>
      </c>
      <c r="V2119">
        <f>IF($A2119="","",$F2119&amp;"|"&amp;$U2119&amp;"|"&amp;$D2119)</f>
        <v/>
      </c>
      <c r="W2119">
        <f>IF($T2119="","",IF($X2119&gt;N($X2118),$X2119,""))</f>
        <v/>
      </c>
      <c r="X2119">
        <f>IF($T2119="",N($X2118),IF(MATCH($T2119,$T$6:$T$6005,0)=ROW()-5,N($X2118)+1,N($X2118)))</f>
        <v/>
      </c>
      <c r="Z2119">
        <f>IF($V2119="","",IF($AA2119&gt;N($AA2118),$AA2119,""))</f>
        <v/>
      </c>
      <c r="AA2119">
        <f>IF($V2119="",N($AA2118),IF(MATCH($V2119,$V$6:$V$6005,0)=ROW()-5,N($AA2118)+1,N($AA2118)))</f>
        <v/>
      </c>
    </row>
    <row r="2120" ht="21" customHeight="1" s="66">
      <c r="A2120" s="56" t="n"/>
      <c r="B2120" s="57" t="n"/>
      <c r="C2120" s="57" t="n"/>
      <c r="D2120" s="57" t="n"/>
      <c r="E2120" s="56" t="n"/>
      <c r="F2120" s="57" t="n"/>
      <c r="G2120" s="57" t="n"/>
      <c r="H2120" s="56" t="n"/>
      <c r="I2120" s="56" t="n"/>
      <c r="J2120" s="58" t="n"/>
      <c r="K2120" s="58" t="n"/>
      <c r="L2120" s="13">
        <f>IF(OR($A2120="",AND($J2120="",$K2120="")),"",ROUND(N($J2120)-N($K2120),2))</f>
        <v/>
      </c>
      <c r="M2120" s="13">
        <f>IF(OR($A2120="",AND($J2120="",$K2120="")),"",MIN($J2120,$K2120))</f>
        <v/>
      </c>
      <c r="Q2120">
        <f>IF($A2120="","",$D2120&amp;"("&amp;SUBSTITUTE($E2120," ","")&amp;")")</f>
        <v/>
      </c>
      <c r="R2120">
        <f>IF($A2120="","",$B2120&amp;" - "&amp;$C2120)</f>
        <v/>
      </c>
      <c r="S2120">
        <f>IF($A2120="","",$R2120&amp;"|"&amp;$Q2120)</f>
        <v/>
      </c>
      <c r="T2120">
        <f>IF($A2120="","",$S2120&amp;"|"&amp;$F2120)</f>
        <v/>
      </c>
      <c r="U2120">
        <f>IF($A2120="","",$R2120&amp;"("&amp;$E2120&amp;")")</f>
        <v/>
      </c>
      <c r="V2120">
        <f>IF($A2120="","",$F2120&amp;"|"&amp;$U2120&amp;"|"&amp;$D2120)</f>
        <v/>
      </c>
      <c r="W2120">
        <f>IF($T2120="","",IF($X2120&gt;N($X2119),$X2120,""))</f>
        <v/>
      </c>
      <c r="X2120">
        <f>IF($T2120="",N($X2119),IF(MATCH($T2120,$T$6:$T$6005,0)=ROW()-5,N($X2119)+1,N($X2119)))</f>
        <v/>
      </c>
      <c r="Z2120">
        <f>IF($V2120="","",IF($AA2120&gt;N($AA2119),$AA2120,""))</f>
        <v/>
      </c>
      <c r="AA2120">
        <f>IF($V2120="",N($AA2119),IF(MATCH($V2120,$V$6:$V$6005,0)=ROW()-5,N($AA2119)+1,N($AA2119)))</f>
        <v/>
      </c>
    </row>
    <row r="2121" ht="21" customHeight="1" s="66">
      <c r="A2121" s="56" t="n"/>
      <c r="B2121" s="57" t="n"/>
      <c r="C2121" s="57" t="n"/>
      <c r="D2121" s="57" t="n"/>
      <c r="E2121" s="56" t="n"/>
      <c r="F2121" s="57" t="n"/>
      <c r="G2121" s="57" t="n"/>
      <c r="H2121" s="56" t="n"/>
      <c r="I2121" s="56" t="n"/>
      <c r="J2121" s="58" t="n"/>
      <c r="K2121" s="58" t="n"/>
      <c r="L2121" s="13">
        <f>IF(OR($A2121="",AND($J2121="",$K2121="")),"",ROUND(N($J2121)-N($K2121),2))</f>
        <v/>
      </c>
      <c r="M2121" s="13">
        <f>IF(OR($A2121="",AND($J2121="",$K2121="")),"",MIN($J2121,$K2121))</f>
        <v/>
      </c>
      <c r="Q2121">
        <f>IF($A2121="","",$D2121&amp;"("&amp;SUBSTITUTE($E2121," ","")&amp;")")</f>
        <v/>
      </c>
      <c r="R2121">
        <f>IF($A2121="","",$B2121&amp;" - "&amp;$C2121)</f>
        <v/>
      </c>
      <c r="S2121">
        <f>IF($A2121="","",$R2121&amp;"|"&amp;$Q2121)</f>
        <v/>
      </c>
      <c r="T2121">
        <f>IF($A2121="","",$S2121&amp;"|"&amp;$F2121)</f>
        <v/>
      </c>
      <c r="U2121">
        <f>IF($A2121="","",$R2121&amp;"("&amp;$E2121&amp;")")</f>
        <v/>
      </c>
      <c r="V2121">
        <f>IF($A2121="","",$F2121&amp;"|"&amp;$U2121&amp;"|"&amp;$D2121)</f>
        <v/>
      </c>
      <c r="W2121">
        <f>IF($T2121="","",IF($X2121&gt;N($X2120),$X2121,""))</f>
        <v/>
      </c>
      <c r="X2121">
        <f>IF($T2121="",N($X2120),IF(MATCH($T2121,$T$6:$T$6005,0)=ROW()-5,N($X2120)+1,N($X2120)))</f>
        <v/>
      </c>
      <c r="Z2121">
        <f>IF($V2121="","",IF($AA2121&gt;N($AA2120),$AA2121,""))</f>
        <v/>
      </c>
      <c r="AA2121">
        <f>IF($V2121="",N($AA2120),IF(MATCH($V2121,$V$6:$V$6005,0)=ROW()-5,N($AA2120)+1,N($AA2120)))</f>
        <v/>
      </c>
    </row>
    <row r="2122" ht="21" customHeight="1" s="66">
      <c r="A2122" s="56" t="n"/>
      <c r="B2122" s="57" t="n"/>
      <c r="C2122" s="57" t="n"/>
      <c r="D2122" s="57" t="n"/>
      <c r="E2122" s="56" t="n"/>
      <c r="F2122" s="57" t="n"/>
      <c r="G2122" s="57" t="n"/>
      <c r="H2122" s="56" t="n"/>
      <c r="I2122" s="56" t="n"/>
      <c r="J2122" s="58" t="n"/>
      <c r="K2122" s="58" t="n"/>
      <c r="L2122" s="13">
        <f>IF(OR($A2122="",AND($J2122="",$K2122="")),"",ROUND(N($J2122)-N($K2122),2))</f>
        <v/>
      </c>
      <c r="M2122" s="13">
        <f>IF(OR($A2122="",AND($J2122="",$K2122="")),"",MIN($J2122,$K2122))</f>
        <v/>
      </c>
      <c r="Q2122">
        <f>IF($A2122="","",$D2122&amp;"("&amp;SUBSTITUTE($E2122," ","")&amp;")")</f>
        <v/>
      </c>
      <c r="R2122">
        <f>IF($A2122="","",$B2122&amp;" - "&amp;$C2122)</f>
        <v/>
      </c>
      <c r="S2122">
        <f>IF($A2122="","",$R2122&amp;"|"&amp;$Q2122)</f>
        <v/>
      </c>
      <c r="T2122">
        <f>IF($A2122="","",$S2122&amp;"|"&amp;$F2122)</f>
        <v/>
      </c>
      <c r="U2122">
        <f>IF($A2122="","",$R2122&amp;"("&amp;$E2122&amp;")")</f>
        <v/>
      </c>
      <c r="V2122">
        <f>IF($A2122="","",$F2122&amp;"|"&amp;$U2122&amp;"|"&amp;$D2122)</f>
        <v/>
      </c>
      <c r="W2122">
        <f>IF($T2122="","",IF($X2122&gt;N($X2121),$X2122,""))</f>
        <v/>
      </c>
      <c r="X2122">
        <f>IF($T2122="",N($X2121),IF(MATCH($T2122,$T$6:$T$6005,0)=ROW()-5,N($X2121)+1,N($X2121)))</f>
        <v/>
      </c>
      <c r="Z2122">
        <f>IF($V2122="","",IF($AA2122&gt;N($AA2121),$AA2122,""))</f>
        <v/>
      </c>
      <c r="AA2122">
        <f>IF($V2122="",N($AA2121),IF(MATCH($V2122,$V$6:$V$6005,0)=ROW()-5,N($AA2121)+1,N($AA2121)))</f>
        <v/>
      </c>
    </row>
    <row r="2123" ht="21" customHeight="1" s="66">
      <c r="A2123" s="56" t="n"/>
      <c r="B2123" s="57" t="n"/>
      <c r="C2123" s="57" t="n"/>
      <c r="D2123" s="57" t="n"/>
      <c r="E2123" s="56" t="n"/>
      <c r="F2123" s="57" t="n"/>
      <c r="G2123" s="57" t="n"/>
      <c r="H2123" s="56" t="n"/>
      <c r="I2123" s="56" t="n"/>
      <c r="J2123" s="58" t="n"/>
      <c r="K2123" s="58" t="n"/>
      <c r="L2123" s="13">
        <f>IF(OR($A2123="",AND($J2123="",$K2123="")),"",ROUND(N($J2123)-N($K2123),2))</f>
        <v/>
      </c>
      <c r="M2123" s="13">
        <f>IF(OR($A2123="",AND($J2123="",$K2123="")),"",MIN($J2123,$K2123))</f>
        <v/>
      </c>
      <c r="Q2123">
        <f>IF($A2123="","",$D2123&amp;"("&amp;SUBSTITUTE($E2123," ","")&amp;")")</f>
        <v/>
      </c>
      <c r="R2123">
        <f>IF($A2123="","",$B2123&amp;" - "&amp;$C2123)</f>
        <v/>
      </c>
      <c r="S2123">
        <f>IF($A2123="","",$R2123&amp;"|"&amp;$Q2123)</f>
        <v/>
      </c>
      <c r="T2123">
        <f>IF($A2123="","",$S2123&amp;"|"&amp;$F2123)</f>
        <v/>
      </c>
      <c r="U2123">
        <f>IF($A2123="","",$R2123&amp;"("&amp;$E2123&amp;")")</f>
        <v/>
      </c>
      <c r="V2123">
        <f>IF($A2123="","",$F2123&amp;"|"&amp;$U2123&amp;"|"&amp;$D2123)</f>
        <v/>
      </c>
      <c r="W2123">
        <f>IF($T2123="","",IF($X2123&gt;N($X2122),$X2123,""))</f>
        <v/>
      </c>
      <c r="X2123">
        <f>IF($T2123="",N($X2122),IF(MATCH($T2123,$T$6:$T$6005,0)=ROW()-5,N($X2122)+1,N($X2122)))</f>
        <v/>
      </c>
      <c r="Z2123">
        <f>IF($V2123="","",IF($AA2123&gt;N($AA2122),$AA2123,""))</f>
        <v/>
      </c>
      <c r="AA2123">
        <f>IF($V2123="",N($AA2122),IF(MATCH($V2123,$V$6:$V$6005,0)=ROW()-5,N($AA2122)+1,N($AA2122)))</f>
        <v/>
      </c>
    </row>
    <row r="2124" ht="21" customHeight="1" s="66">
      <c r="A2124" s="56" t="n"/>
      <c r="B2124" s="57" t="n"/>
      <c r="C2124" s="57" t="n"/>
      <c r="D2124" s="57" t="n"/>
      <c r="E2124" s="56" t="n"/>
      <c r="F2124" s="57" t="n"/>
      <c r="G2124" s="57" t="n"/>
      <c r="H2124" s="56" t="n"/>
      <c r="I2124" s="56" t="n"/>
      <c r="J2124" s="58" t="n"/>
      <c r="K2124" s="58" t="n"/>
      <c r="L2124" s="13">
        <f>IF(OR($A2124="",AND($J2124="",$K2124="")),"",ROUND(N($J2124)-N($K2124),2))</f>
        <v/>
      </c>
      <c r="M2124" s="13">
        <f>IF(OR($A2124="",AND($J2124="",$K2124="")),"",MIN($J2124,$K2124))</f>
        <v/>
      </c>
      <c r="Q2124">
        <f>IF($A2124="","",$D2124&amp;"("&amp;SUBSTITUTE($E2124," ","")&amp;")")</f>
        <v/>
      </c>
      <c r="R2124">
        <f>IF($A2124="","",$B2124&amp;" - "&amp;$C2124)</f>
        <v/>
      </c>
      <c r="S2124">
        <f>IF($A2124="","",$R2124&amp;"|"&amp;$Q2124)</f>
        <v/>
      </c>
      <c r="T2124">
        <f>IF($A2124="","",$S2124&amp;"|"&amp;$F2124)</f>
        <v/>
      </c>
      <c r="U2124">
        <f>IF($A2124="","",$R2124&amp;"("&amp;$E2124&amp;")")</f>
        <v/>
      </c>
      <c r="V2124">
        <f>IF($A2124="","",$F2124&amp;"|"&amp;$U2124&amp;"|"&amp;$D2124)</f>
        <v/>
      </c>
      <c r="W2124">
        <f>IF($T2124="","",IF($X2124&gt;N($X2123),$X2124,""))</f>
        <v/>
      </c>
      <c r="X2124">
        <f>IF($T2124="",N($X2123),IF(MATCH($T2124,$T$6:$T$6005,0)=ROW()-5,N($X2123)+1,N($X2123)))</f>
        <v/>
      </c>
      <c r="Z2124">
        <f>IF($V2124="","",IF($AA2124&gt;N($AA2123),$AA2124,""))</f>
        <v/>
      </c>
      <c r="AA2124">
        <f>IF($V2124="",N($AA2123),IF(MATCH($V2124,$V$6:$V$6005,0)=ROW()-5,N($AA2123)+1,N($AA2123)))</f>
        <v/>
      </c>
    </row>
    <row r="2125" ht="21" customHeight="1" s="66">
      <c r="A2125" s="56" t="n"/>
      <c r="B2125" s="57" t="n"/>
      <c r="C2125" s="57" t="n"/>
      <c r="D2125" s="57" t="n"/>
      <c r="E2125" s="56" t="n"/>
      <c r="F2125" s="57" t="n"/>
      <c r="G2125" s="57" t="n"/>
      <c r="H2125" s="56" t="n"/>
      <c r="I2125" s="56" t="n"/>
      <c r="J2125" s="58" t="n"/>
      <c r="K2125" s="58" t="n"/>
      <c r="L2125" s="13">
        <f>IF(OR($A2125="",AND($J2125="",$K2125="")),"",ROUND(N($J2125)-N($K2125),2))</f>
        <v/>
      </c>
      <c r="M2125" s="13">
        <f>IF(OR($A2125="",AND($J2125="",$K2125="")),"",MIN($J2125,$K2125))</f>
        <v/>
      </c>
      <c r="Q2125">
        <f>IF($A2125="","",$D2125&amp;"("&amp;SUBSTITUTE($E2125," ","")&amp;")")</f>
        <v/>
      </c>
      <c r="R2125">
        <f>IF($A2125="","",$B2125&amp;" - "&amp;$C2125)</f>
        <v/>
      </c>
      <c r="S2125">
        <f>IF($A2125="","",$R2125&amp;"|"&amp;$Q2125)</f>
        <v/>
      </c>
      <c r="T2125">
        <f>IF($A2125="","",$S2125&amp;"|"&amp;$F2125)</f>
        <v/>
      </c>
      <c r="U2125">
        <f>IF($A2125="","",$R2125&amp;"("&amp;$E2125&amp;")")</f>
        <v/>
      </c>
      <c r="V2125">
        <f>IF($A2125="","",$F2125&amp;"|"&amp;$U2125&amp;"|"&amp;$D2125)</f>
        <v/>
      </c>
      <c r="W2125">
        <f>IF($T2125="","",IF($X2125&gt;N($X2124),$X2125,""))</f>
        <v/>
      </c>
      <c r="X2125">
        <f>IF($T2125="",N($X2124),IF(MATCH($T2125,$T$6:$T$6005,0)=ROW()-5,N($X2124)+1,N($X2124)))</f>
        <v/>
      </c>
      <c r="Z2125">
        <f>IF($V2125="","",IF($AA2125&gt;N($AA2124),$AA2125,""))</f>
        <v/>
      </c>
      <c r="AA2125">
        <f>IF($V2125="",N($AA2124),IF(MATCH($V2125,$V$6:$V$6005,0)=ROW()-5,N($AA2124)+1,N($AA2124)))</f>
        <v/>
      </c>
    </row>
    <row r="2126" ht="21" customHeight="1" s="66">
      <c r="A2126" s="56" t="n"/>
      <c r="B2126" s="57" t="n"/>
      <c r="C2126" s="57" t="n"/>
      <c r="D2126" s="57" t="n"/>
      <c r="E2126" s="56" t="n"/>
      <c r="F2126" s="57" t="n"/>
      <c r="G2126" s="57" t="n"/>
      <c r="H2126" s="56" t="n"/>
      <c r="I2126" s="56" t="n"/>
      <c r="J2126" s="58" t="n"/>
      <c r="K2126" s="58" t="n"/>
      <c r="L2126" s="13">
        <f>IF(OR($A2126="",AND($J2126="",$K2126="")),"",ROUND(N($J2126)-N($K2126),2))</f>
        <v/>
      </c>
      <c r="M2126" s="13">
        <f>IF(OR($A2126="",AND($J2126="",$K2126="")),"",MIN($J2126,$K2126))</f>
        <v/>
      </c>
      <c r="Q2126">
        <f>IF($A2126="","",$D2126&amp;"("&amp;SUBSTITUTE($E2126," ","")&amp;")")</f>
        <v/>
      </c>
      <c r="R2126">
        <f>IF($A2126="","",$B2126&amp;" - "&amp;$C2126)</f>
        <v/>
      </c>
      <c r="S2126">
        <f>IF($A2126="","",$R2126&amp;"|"&amp;$Q2126)</f>
        <v/>
      </c>
      <c r="T2126">
        <f>IF($A2126="","",$S2126&amp;"|"&amp;$F2126)</f>
        <v/>
      </c>
      <c r="U2126">
        <f>IF($A2126="","",$R2126&amp;"("&amp;$E2126&amp;")")</f>
        <v/>
      </c>
      <c r="V2126">
        <f>IF($A2126="","",$F2126&amp;"|"&amp;$U2126&amp;"|"&amp;$D2126)</f>
        <v/>
      </c>
      <c r="W2126">
        <f>IF($T2126="","",IF($X2126&gt;N($X2125),$X2126,""))</f>
        <v/>
      </c>
      <c r="X2126">
        <f>IF($T2126="",N($X2125),IF(MATCH($T2126,$T$6:$T$6005,0)=ROW()-5,N($X2125)+1,N($X2125)))</f>
        <v/>
      </c>
      <c r="Z2126">
        <f>IF($V2126="","",IF($AA2126&gt;N($AA2125),$AA2126,""))</f>
        <v/>
      </c>
      <c r="AA2126">
        <f>IF($V2126="",N($AA2125),IF(MATCH($V2126,$V$6:$V$6005,0)=ROW()-5,N($AA2125)+1,N($AA2125)))</f>
        <v/>
      </c>
    </row>
    <row r="2127" ht="21" customHeight="1" s="66">
      <c r="A2127" s="56" t="n"/>
      <c r="B2127" s="57" t="n"/>
      <c r="C2127" s="57" t="n"/>
      <c r="D2127" s="57" t="n"/>
      <c r="E2127" s="56" t="n"/>
      <c r="F2127" s="57" t="n"/>
      <c r="G2127" s="57" t="n"/>
      <c r="H2127" s="56" t="n"/>
      <c r="I2127" s="56" t="n"/>
      <c r="J2127" s="58" t="n"/>
      <c r="K2127" s="58" t="n"/>
      <c r="L2127" s="13">
        <f>IF(OR($A2127="",AND($J2127="",$K2127="")),"",ROUND(N($J2127)-N($K2127),2))</f>
        <v/>
      </c>
      <c r="M2127" s="13">
        <f>IF(OR($A2127="",AND($J2127="",$K2127="")),"",MIN($J2127,$K2127))</f>
        <v/>
      </c>
      <c r="Q2127">
        <f>IF($A2127="","",$D2127&amp;"("&amp;SUBSTITUTE($E2127," ","")&amp;")")</f>
        <v/>
      </c>
      <c r="R2127">
        <f>IF($A2127="","",$B2127&amp;" - "&amp;$C2127)</f>
        <v/>
      </c>
      <c r="S2127">
        <f>IF($A2127="","",$R2127&amp;"|"&amp;$Q2127)</f>
        <v/>
      </c>
      <c r="T2127">
        <f>IF($A2127="","",$S2127&amp;"|"&amp;$F2127)</f>
        <v/>
      </c>
      <c r="U2127">
        <f>IF($A2127="","",$R2127&amp;"("&amp;$E2127&amp;")")</f>
        <v/>
      </c>
      <c r="V2127">
        <f>IF($A2127="","",$F2127&amp;"|"&amp;$U2127&amp;"|"&amp;$D2127)</f>
        <v/>
      </c>
      <c r="W2127">
        <f>IF($T2127="","",IF($X2127&gt;N($X2126),$X2127,""))</f>
        <v/>
      </c>
      <c r="X2127">
        <f>IF($T2127="",N($X2126),IF(MATCH($T2127,$T$6:$T$6005,0)=ROW()-5,N($X2126)+1,N($X2126)))</f>
        <v/>
      </c>
      <c r="Z2127">
        <f>IF($V2127="","",IF($AA2127&gt;N($AA2126),$AA2127,""))</f>
        <v/>
      </c>
      <c r="AA2127">
        <f>IF($V2127="",N($AA2126),IF(MATCH($V2127,$V$6:$V$6005,0)=ROW()-5,N($AA2126)+1,N($AA2126)))</f>
        <v/>
      </c>
    </row>
    <row r="2128" ht="21" customHeight="1" s="66">
      <c r="A2128" s="56" t="n"/>
      <c r="B2128" s="57" t="n"/>
      <c r="C2128" s="57" t="n"/>
      <c r="D2128" s="57" t="n"/>
      <c r="E2128" s="56" t="n"/>
      <c r="F2128" s="57" t="n"/>
      <c r="G2128" s="57" t="n"/>
      <c r="H2128" s="56" t="n"/>
      <c r="I2128" s="56" t="n"/>
      <c r="J2128" s="58" t="n"/>
      <c r="K2128" s="58" t="n"/>
      <c r="L2128" s="13">
        <f>IF(OR($A2128="",AND($J2128="",$K2128="")),"",ROUND(N($J2128)-N($K2128),2))</f>
        <v/>
      </c>
      <c r="M2128" s="13">
        <f>IF(OR($A2128="",AND($J2128="",$K2128="")),"",MIN($J2128,$K2128))</f>
        <v/>
      </c>
      <c r="Q2128">
        <f>IF($A2128="","",$D2128&amp;"("&amp;SUBSTITUTE($E2128," ","")&amp;")")</f>
        <v/>
      </c>
      <c r="R2128">
        <f>IF($A2128="","",$B2128&amp;" - "&amp;$C2128)</f>
        <v/>
      </c>
      <c r="S2128">
        <f>IF($A2128="","",$R2128&amp;"|"&amp;$Q2128)</f>
        <v/>
      </c>
      <c r="T2128">
        <f>IF($A2128="","",$S2128&amp;"|"&amp;$F2128)</f>
        <v/>
      </c>
      <c r="U2128">
        <f>IF($A2128="","",$R2128&amp;"("&amp;$E2128&amp;")")</f>
        <v/>
      </c>
      <c r="V2128">
        <f>IF($A2128="","",$F2128&amp;"|"&amp;$U2128&amp;"|"&amp;$D2128)</f>
        <v/>
      </c>
      <c r="W2128">
        <f>IF($T2128="","",IF($X2128&gt;N($X2127),$X2128,""))</f>
        <v/>
      </c>
      <c r="X2128">
        <f>IF($T2128="",N($X2127),IF(MATCH($T2128,$T$6:$T$6005,0)=ROW()-5,N($X2127)+1,N($X2127)))</f>
        <v/>
      </c>
      <c r="Z2128">
        <f>IF($V2128="","",IF($AA2128&gt;N($AA2127),$AA2128,""))</f>
        <v/>
      </c>
      <c r="AA2128">
        <f>IF($V2128="",N($AA2127),IF(MATCH($V2128,$V$6:$V$6005,0)=ROW()-5,N($AA2127)+1,N($AA2127)))</f>
        <v/>
      </c>
    </row>
    <row r="2129" ht="21" customHeight="1" s="66">
      <c r="A2129" s="56" t="n"/>
      <c r="B2129" s="57" t="n"/>
      <c r="C2129" s="57" t="n"/>
      <c r="D2129" s="57" t="n"/>
      <c r="E2129" s="56" t="n"/>
      <c r="F2129" s="57" t="n"/>
      <c r="G2129" s="57" t="n"/>
      <c r="H2129" s="56" t="n"/>
      <c r="I2129" s="56" t="n"/>
      <c r="J2129" s="58" t="n"/>
      <c r="K2129" s="58" t="n"/>
      <c r="L2129" s="13">
        <f>IF(OR($A2129="",AND($J2129="",$K2129="")),"",ROUND(N($J2129)-N($K2129),2))</f>
        <v/>
      </c>
      <c r="M2129" s="13">
        <f>IF(OR($A2129="",AND($J2129="",$K2129="")),"",MIN($J2129,$K2129))</f>
        <v/>
      </c>
      <c r="Q2129">
        <f>IF($A2129="","",$D2129&amp;"("&amp;SUBSTITUTE($E2129," ","")&amp;")")</f>
        <v/>
      </c>
      <c r="R2129">
        <f>IF($A2129="","",$B2129&amp;" - "&amp;$C2129)</f>
        <v/>
      </c>
      <c r="S2129">
        <f>IF($A2129="","",$R2129&amp;"|"&amp;$Q2129)</f>
        <v/>
      </c>
      <c r="T2129">
        <f>IF($A2129="","",$S2129&amp;"|"&amp;$F2129)</f>
        <v/>
      </c>
      <c r="U2129">
        <f>IF($A2129="","",$R2129&amp;"("&amp;$E2129&amp;")")</f>
        <v/>
      </c>
      <c r="V2129">
        <f>IF($A2129="","",$F2129&amp;"|"&amp;$U2129&amp;"|"&amp;$D2129)</f>
        <v/>
      </c>
      <c r="W2129">
        <f>IF($T2129="","",IF($X2129&gt;N($X2128),$X2129,""))</f>
        <v/>
      </c>
      <c r="X2129">
        <f>IF($T2129="",N($X2128),IF(MATCH($T2129,$T$6:$T$6005,0)=ROW()-5,N($X2128)+1,N($X2128)))</f>
        <v/>
      </c>
      <c r="Z2129">
        <f>IF($V2129="","",IF($AA2129&gt;N($AA2128),$AA2129,""))</f>
        <v/>
      </c>
      <c r="AA2129">
        <f>IF($V2129="",N($AA2128),IF(MATCH($V2129,$V$6:$V$6005,0)=ROW()-5,N($AA2128)+1,N($AA2128)))</f>
        <v/>
      </c>
    </row>
    <row r="2130" ht="21" customHeight="1" s="66">
      <c r="A2130" s="56" t="n"/>
      <c r="B2130" s="57" t="n"/>
      <c r="C2130" s="57" t="n"/>
      <c r="D2130" s="57" t="n"/>
      <c r="E2130" s="56" t="n"/>
      <c r="F2130" s="57" t="n"/>
      <c r="G2130" s="57" t="n"/>
      <c r="H2130" s="56" t="n"/>
      <c r="I2130" s="56" t="n"/>
      <c r="J2130" s="58" t="n"/>
      <c r="K2130" s="58" t="n"/>
      <c r="L2130" s="13">
        <f>IF(OR($A2130="",AND($J2130="",$K2130="")),"",ROUND(N($J2130)-N($K2130),2))</f>
        <v/>
      </c>
      <c r="M2130" s="13">
        <f>IF(OR($A2130="",AND($J2130="",$K2130="")),"",MIN($J2130,$K2130))</f>
        <v/>
      </c>
      <c r="Q2130">
        <f>IF($A2130="","",$D2130&amp;"("&amp;SUBSTITUTE($E2130," ","")&amp;")")</f>
        <v/>
      </c>
      <c r="R2130">
        <f>IF($A2130="","",$B2130&amp;" - "&amp;$C2130)</f>
        <v/>
      </c>
      <c r="S2130">
        <f>IF($A2130="","",$R2130&amp;"|"&amp;$Q2130)</f>
        <v/>
      </c>
      <c r="T2130">
        <f>IF($A2130="","",$S2130&amp;"|"&amp;$F2130)</f>
        <v/>
      </c>
      <c r="U2130">
        <f>IF($A2130="","",$R2130&amp;"("&amp;$E2130&amp;")")</f>
        <v/>
      </c>
      <c r="V2130">
        <f>IF($A2130="","",$F2130&amp;"|"&amp;$U2130&amp;"|"&amp;$D2130)</f>
        <v/>
      </c>
      <c r="W2130">
        <f>IF($T2130="","",IF($X2130&gt;N($X2129),$X2130,""))</f>
        <v/>
      </c>
      <c r="X2130">
        <f>IF($T2130="",N($X2129),IF(MATCH($T2130,$T$6:$T$6005,0)=ROW()-5,N($X2129)+1,N($X2129)))</f>
        <v/>
      </c>
      <c r="Z2130">
        <f>IF($V2130="","",IF($AA2130&gt;N($AA2129),$AA2130,""))</f>
        <v/>
      </c>
      <c r="AA2130">
        <f>IF($V2130="",N($AA2129),IF(MATCH($V2130,$V$6:$V$6005,0)=ROW()-5,N($AA2129)+1,N($AA2129)))</f>
        <v/>
      </c>
    </row>
    <row r="2131" ht="21" customHeight="1" s="66">
      <c r="A2131" s="56" t="n"/>
      <c r="B2131" s="57" t="n"/>
      <c r="C2131" s="57" t="n"/>
      <c r="D2131" s="57" t="n"/>
      <c r="E2131" s="56" t="n"/>
      <c r="F2131" s="57" t="n"/>
      <c r="G2131" s="57" t="n"/>
      <c r="H2131" s="56" t="n"/>
      <c r="I2131" s="56" t="n"/>
      <c r="J2131" s="58" t="n"/>
      <c r="K2131" s="58" t="n"/>
      <c r="L2131" s="13">
        <f>IF(OR($A2131="",AND($J2131="",$K2131="")),"",ROUND(N($J2131)-N($K2131),2))</f>
        <v/>
      </c>
      <c r="M2131" s="13">
        <f>IF(OR($A2131="",AND($J2131="",$K2131="")),"",MIN($J2131,$K2131))</f>
        <v/>
      </c>
      <c r="Q2131">
        <f>IF($A2131="","",$D2131&amp;"("&amp;SUBSTITUTE($E2131," ","")&amp;")")</f>
        <v/>
      </c>
      <c r="R2131">
        <f>IF($A2131="","",$B2131&amp;" - "&amp;$C2131)</f>
        <v/>
      </c>
      <c r="S2131">
        <f>IF($A2131="","",$R2131&amp;"|"&amp;$Q2131)</f>
        <v/>
      </c>
      <c r="T2131">
        <f>IF($A2131="","",$S2131&amp;"|"&amp;$F2131)</f>
        <v/>
      </c>
      <c r="U2131">
        <f>IF($A2131="","",$R2131&amp;"("&amp;$E2131&amp;")")</f>
        <v/>
      </c>
      <c r="V2131">
        <f>IF($A2131="","",$F2131&amp;"|"&amp;$U2131&amp;"|"&amp;$D2131)</f>
        <v/>
      </c>
      <c r="W2131">
        <f>IF($T2131="","",IF($X2131&gt;N($X2130),$X2131,""))</f>
        <v/>
      </c>
      <c r="X2131">
        <f>IF($T2131="",N($X2130),IF(MATCH($T2131,$T$6:$T$6005,0)=ROW()-5,N($X2130)+1,N($X2130)))</f>
        <v/>
      </c>
      <c r="Z2131">
        <f>IF($V2131="","",IF($AA2131&gt;N($AA2130),$AA2131,""))</f>
        <v/>
      </c>
      <c r="AA2131">
        <f>IF($V2131="",N($AA2130),IF(MATCH($V2131,$V$6:$V$6005,0)=ROW()-5,N($AA2130)+1,N($AA2130)))</f>
        <v/>
      </c>
    </row>
    <row r="2132" ht="21" customHeight="1" s="66">
      <c r="A2132" s="56" t="n"/>
      <c r="B2132" s="57" t="n"/>
      <c r="C2132" s="57" t="n"/>
      <c r="D2132" s="57" t="n"/>
      <c r="E2132" s="56" t="n"/>
      <c r="F2132" s="57" t="n"/>
      <c r="G2132" s="57" t="n"/>
      <c r="H2132" s="56" t="n"/>
      <c r="I2132" s="56" t="n"/>
      <c r="J2132" s="58" t="n"/>
      <c r="K2132" s="58" t="n"/>
      <c r="L2132" s="13">
        <f>IF(OR($A2132="",AND($J2132="",$K2132="")),"",ROUND(N($J2132)-N($K2132),2))</f>
        <v/>
      </c>
      <c r="M2132" s="13">
        <f>IF(OR($A2132="",AND($J2132="",$K2132="")),"",MIN($J2132,$K2132))</f>
        <v/>
      </c>
      <c r="Q2132">
        <f>IF($A2132="","",$D2132&amp;"("&amp;SUBSTITUTE($E2132," ","")&amp;")")</f>
        <v/>
      </c>
      <c r="R2132">
        <f>IF($A2132="","",$B2132&amp;" - "&amp;$C2132)</f>
        <v/>
      </c>
      <c r="S2132">
        <f>IF($A2132="","",$R2132&amp;"|"&amp;$Q2132)</f>
        <v/>
      </c>
      <c r="T2132">
        <f>IF($A2132="","",$S2132&amp;"|"&amp;$F2132)</f>
        <v/>
      </c>
      <c r="U2132">
        <f>IF($A2132="","",$R2132&amp;"("&amp;$E2132&amp;")")</f>
        <v/>
      </c>
      <c r="V2132">
        <f>IF($A2132="","",$F2132&amp;"|"&amp;$U2132&amp;"|"&amp;$D2132)</f>
        <v/>
      </c>
      <c r="W2132">
        <f>IF($T2132="","",IF($X2132&gt;N($X2131),$X2132,""))</f>
        <v/>
      </c>
      <c r="X2132">
        <f>IF($T2132="",N($X2131),IF(MATCH($T2132,$T$6:$T$6005,0)=ROW()-5,N($X2131)+1,N($X2131)))</f>
        <v/>
      </c>
      <c r="Z2132">
        <f>IF($V2132="","",IF($AA2132&gt;N($AA2131),$AA2132,""))</f>
        <v/>
      </c>
      <c r="AA2132">
        <f>IF($V2132="",N($AA2131),IF(MATCH($V2132,$V$6:$V$6005,0)=ROW()-5,N($AA2131)+1,N($AA2131)))</f>
        <v/>
      </c>
    </row>
    <row r="2133" ht="21" customHeight="1" s="66">
      <c r="A2133" s="56" t="n"/>
      <c r="B2133" s="57" t="n"/>
      <c r="C2133" s="57" t="n"/>
      <c r="D2133" s="57" t="n"/>
      <c r="E2133" s="56" t="n"/>
      <c r="F2133" s="57" t="n"/>
      <c r="G2133" s="57" t="n"/>
      <c r="H2133" s="56" t="n"/>
      <c r="I2133" s="56" t="n"/>
      <c r="J2133" s="58" t="n"/>
      <c r="K2133" s="58" t="n"/>
      <c r="L2133" s="13">
        <f>IF(OR($A2133="",AND($J2133="",$K2133="")),"",ROUND(N($J2133)-N($K2133),2))</f>
        <v/>
      </c>
      <c r="M2133" s="13">
        <f>IF(OR($A2133="",AND($J2133="",$K2133="")),"",MIN($J2133,$K2133))</f>
        <v/>
      </c>
      <c r="Q2133">
        <f>IF($A2133="","",$D2133&amp;"("&amp;SUBSTITUTE($E2133," ","")&amp;")")</f>
        <v/>
      </c>
      <c r="R2133">
        <f>IF($A2133="","",$B2133&amp;" - "&amp;$C2133)</f>
        <v/>
      </c>
      <c r="S2133">
        <f>IF($A2133="","",$R2133&amp;"|"&amp;$Q2133)</f>
        <v/>
      </c>
      <c r="T2133">
        <f>IF($A2133="","",$S2133&amp;"|"&amp;$F2133)</f>
        <v/>
      </c>
      <c r="U2133">
        <f>IF($A2133="","",$R2133&amp;"("&amp;$E2133&amp;")")</f>
        <v/>
      </c>
      <c r="V2133">
        <f>IF($A2133="","",$F2133&amp;"|"&amp;$U2133&amp;"|"&amp;$D2133)</f>
        <v/>
      </c>
      <c r="W2133">
        <f>IF($T2133="","",IF($X2133&gt;N($X2132),$X2133,""))</f>
        <v/>
      </c>
      <c r="X2133">
        <f>IF($T2133="",N($X2132),IF(MATCH($T2133,$T$6:$T$6005,0)=ROW()-5,N($X2132)+1,N($X2132)))</f>
        <v/>
      </c>
      <c r="Z2133">
        <f>IF($V2133="","",IF($AA2133&gt;N($AA2132),$AA2133,""))</f>
        <v/>
      </c>
      <c r="AA2133">
        <f>IF($V2133="",N($AA2132),IF(MATCH($V2133,$V$6:$V$6005,0)=ROW()-5,N($AA2132)+1,N($AA2132)))</f>
        <v/>
      </c>
    </row>
    <row r="2134" ht="21" customHeight="1" s="66">
      <c r="A2134" s="56" t="n"/>
      <c r="B2134" s="57" t="n"/>
      <c r="C2134" s="57" t="n"/>
      <c r="D2134" s="57" t="n"/>
      <c r="E2134" s="56" t="n"/>
      <c r="F2134" s="57" t="n"/>
      <c r="G2134" s="57" t="n"/>
      <c r="H2134" s="56" t="n"/>
      <c r="I2134" s="56" t="n"/>
      <c r="J2134" s="58" t="n"/>
      <c r="K2134" s="58" t="n"/>
      <c r="L2134" s="13">
        <f>IF(OR($A2134="",AND($J2134="",$K2134="")),"",ROUND(N($J2134)-N($K2134),2))</f>
        <v/>
      </c>
      <c r="M2134" s="13">
        <f>IF(OR($A2134="",AND($J2134="",$K2134="")),"",MIN($J2134,$K2134))</f>
        <v/>
      </c>
      <c r="Q2134">
        <f>IF($A2134="","",$D2134&amp;"("&amp;SUBSTITUTE($E2134," ","")&amp;")")</f>
        <v/>
      </c>
      <c r="R2134">
        <f>IF($A2134="","",$B2134&amp;" - "&amp;$C2134)</f>
        <v/>
      </c>
      <c r="S2134">
        <f>IF($A2134="","",$R2134&amp;"|"&amp;$Q2134)</f>
        <v/>
      </c>
      <c r="T2134">
        <f>IF($A2134="","",$S2134&amp;"|"&amp;$F2134)</f>
        <v/>
      </c>
      <c r="U2134">
        <f>IF($A2134="","",$R2134&amp;"("&amp;$E2134&amp;")")</f>
        <v/>
      </c>
      <c r="V2134">
        <f>IF($A2134="","",$F2134&amp;"|"&amp;$U2134&amp;"|"&amp;$D2134)</f>
        <v/>
      </c>
      <c r="W2134">
        <f>IF($T2134="","",IF($X2134&gt;N($X2133),$X2134,""))</f>
        <v/>
      </c>
      <c r="X2134">
        <f>IF($T2134="",N($X2133),IF(MATCH($T2134,$T$6:$T$6005,0)=ROW()-5,N($X2133)+1,N($X2133)))</f>
        <v/>
      </c>
      <c r="Z2134">
        <f>IF($V2134="","",IF($AA2134&gt;N($AA2133),$AA2134,""))</f>
        <v/>
      </c>
      <c r="AA2134">
        <f>IF($V2134="",N($AA2133),IF(MATCH($V2134,$V$6:$V$6005,0)=ROW()-5,N($AA2133)+1,N($AA2133)))</f>
        <v/>
      </c>
    </row>
    <row r="2135" ht="21" customHeight="1" s="66">
      <c r="A2135" s="56" t="n"/>
      <c r="B2135" s="57" t="n"/>
      <c r="C2135" s="57" t="n"/>
      <c r="D2135" s="57" t="n"/>
      <c r="E2135" s="56" t="n"/>
      <c r="F2135" s="57" t="n"/>
      <c r="G2135" s="57" t="n"/>
      <c r="H2135" s="56" t="n"/>
      <c r="I2135" s="56" t="n"/>
      <c r="J2135" s="58" t="n"/>
      <c r="K2135" s="58" t="n"/>
      <c r="L2135" s="13">
        <f>IF(OR($A2135="",AND($J2135="",$K2135="")),"",ROUND(N($J2135)-N($K2135),2))</f>
        <v/>
      </c>
      <c r="M2135" s="13">
        <f>IF(OR($A2135="",AND($J2135="",$K2135="")),"",MIN($J2135,$K2135))</f>
        <v/>
      </c>
      <c r="Q2135">
        <f>IF($A2135="","",$D2135&amp;"("&amp;SUBSTITUTE($E2135," ","")&amp;")")</f>
        <v/>
      </c>
      <c r="R2135">
        <f>IF($A2135="","",$B2135&amp;" - "&amp;$C2135)</f>
        <v/>
      </c>
      <c r="S2135">
        <f>IF($A2135="","",$R2135&amp;"|"&amp;$Q2135)</f>
        <v/>
      </c>
      <c r="T2135">
        <f>IF($A2135="","",$S2135&amp;"|"&amp;$F2135)</f>
        <v/>
      </c>
      <c r="U2135">
        <f>IF($A2135="","",$R2135&amp;"("&amp;$E2135&amp;")")</f>
        <v/>
      </c>
      <c r="V2135">
        <f>IF($A2135="","",$F2135&amp;"|"&amp;$U2135&amp;"|"&amp;$D2135)</f>
        <v/>
      </c>
      <c r="W2135">
        <f>IF($T2135="","",IF($X2135&gt;N($X2134),$X2135,""))</f>
        <v/>
      </c>
      <c r="X2135">
        <f>IF($T2135="",N($X2134),IF(MATCH($T2135,$T$6:$T$6005,0)=ROW()-5,N($X2134)+1,N($X2134)))</f>
        <v/>
      </c>
      <c r="Z2135">
        <f>IF($V2135="","",IF($AA2135&gt;N($AA2134),$AA2135,""))</f>
        <v/>
      </c>
      <c r="AA2135">
        <f>IF($V2135="",N($AA2134),IF(MATCH($V2135,$V$6:$V$6005,0)=ROW()-5,N($AA2134)+1,N($AA2134)))</f>
        <v/>
      </c>
    </row>
    <row r="2136" ht="21" customHeight="1" s="66">
      <c r="A2136" s="56" t="n"/>
      <c r="B2136" s="57" t="n"/>
      <c r="C2136" s="57" t="n"/>
      <c r="D2136" s="57" t="n"/>
      <c r="E2136" s="56" t="n"/>
      <c r="F2136" s="57" t="n"/>
      <c r="G2136" s="57" t="n"/>
      <c r="H2136" s="56" t="n"/>
      <c r="I2136" s="56" t="n"/>
      <c r="J2136" s="58" t="n"/>
      <c r="K2136" s="58" t="n"/>
      <c r="L2136" s="13">
        <f>IF(OR($A2136="",AND($J2136="",$K2136="")),"",ROUND(N($J2136)-N($K2136),2))</f>
        <v/>
      </c>
      <c r="M2136" s="13">
        <f>IF(OR($A2136="",AND($J2136="",$K2136="")),"",MIN($J2136,$K2136))</f>
        <v/>
      </c>
      <c r="Q2136">
        <f>IF($A2136="","",$D2136&amp;"("&amp;SUBSTITUTE($E2136," ","")&amp;")")</f>
        <v/>
      </c>
      <c r="R2136">
        <f>IF($A2136="","",$B2136&amp;" - "&amp;$C2136)</f>
        <v/>
      </c>
      <c r="S2136">
        <f>IF($A2136="","",$R2136&amp;"|"&amp;$Q2136)</f>
        <v/>
      </c>
      <c r="T2136">
        <f>IF($A2136="","",$S2136&amp;"|"&amp;$F2136)</f>
        <v/>
      </c>
      <c r="U2136">
        <f>IF($A2136="","",$R2136&amp;"("&amp;$E2136&amp;")")</f>
        <v/>
      </c>
      <c r="V2136">
        <f>IF($A2136="","",$F2136&amp;"|"&amp;$U2136&amp;"|"&amp;$D2136)</f>
        <v/>
      </c>
      <c r="W2136">
        <f>IF($T2136="","",IF($X2136&gt;N($X2135),$X2136,""))</f>
        <v/>
      </c>
      <c r="X2136">
        <f>IF($T2136="",N($X2135),IF(MATCH($T2136,$T$6:$T$6005,0)=ROW()-5,N($X2135)+1,N($X2135)))</f>
        <v/>
      </c>
      <c r="Z2136">
        <f>IF($V2136="","",IF($AA2136&gt;N($AA2135),$AA2136,""))</f>
        <v/>
      </c>
      <c r="AA2136">
        <f>IF($V2136="",N($AA2135),IF(MATCH($V2136,$V$6:$V$6005,0)=ROW()-5,N($AA2135)+1,N($AA2135)))</f>
        <v/>
      </c>
    </row>
    <row r="2137" ht="21" customHeight="1" s="66">
      <c r="A2137" s="56" t="n"/>
      <c r="B2137" s="57" t="n"/>
      <c r="C2137" s="57" t="n"/>
      <c r="D2137" s="57" t="n"/>
      <c r="E2137" s="56" t="n"/>
      <c r="F2137" s="57" t="n"/>
      <c r="G2137" s="57" t="n"/>
      <c r="H2137" s="56" t="n"/>
      <c r="I2137" s="56" t="n"/>
      <c r="J2137" s="58" t="n"/>
      <c r="K2137" s="58" t="n"/>
      <c r="L2137" s="13">
        <f>IF(OR($A2137="",AND($J2137="",$K2137="")),"",ROUND(N($J2137)-N($K2137),2))</f>
        <v/>
      </c>
      <c r="M2137" s="13">
        <f>IF(OR($A2137="",AND($J2137="",$K2137="")),"",MIN($J2137,$K2137))</f>
        <v/>
      </c>
      <c r="Q2137">
        <f>IF($A2137="","",$D2137&amp;"("&amp;SUBSTITUTE($E2137," ","")&amp;")")</f>
        <v/>
      </c>
      <c r="R2137">
        <f>IF($A2137="","",$B2137&amp;" - "&amp;$C2137)</f>
        <v/>
      </c>
      <c r="S2137">
        <f>IF($A2137="","",$R2137&amp;"|"&amp;$Q2137)</f>
        <v/>
      </c>
      <c r="T2137">
        <f>IF($A2137="","",$S2137&amp;"|"&amp;$F2137)</f>
        <v/>
      </c>
      <c r="U2137">
        <f>IF($A2137="","",$R2137&amp;"("&amp;$E2137&amp;")")</f>
        <v/>
      </c>
      <c r="V2137">
        <f>IF($A2137="","",$F2137&amp;"|"&amp;$U2137&amp;"|"&amp;$D2137)</f>
        <v/>
      </c>
      <c r="W2137">
        <f>IF($T2137="","",IF($X2137&gt;N($X2136),$X2137,""))</f>
        <v/>
      </c>
      <c r="X2137">
        <f>IF($T2137="",N($X2136),IF(MATCH($T2137,$T$6:$T$6005,0)=ROW()-5,N($X2136)+1,N($X2136)))</f>
        <v/>
      </c>
      <c r="Z2137">
        <f>IF($V2137="","",IF($AA2137&gt;N($AA2136),$AA2137,""))</f>
        <v/>
      </c>
      <c r="AA2137">
        <f>IF($V2137="",N($AA2136),IF(MATCH($V2137,$V$6:$V$6005,0)=ROW()-5,N($AA2136)+1,N($AA2136)))</f>
        <v/>
      </c>
    </row>
    <row r="2138" ht="21" customHeight="1" s="66">
      <c r="A2138" s="56" t="n"/>
      <c r="B2138" s="57" t="n"/>
      <c r="C2138" s="57" t="n"/>
      <c r="D2138" s="57" t="n"/>
      <c r="E2138" s="56" t="n"/>
      <c r="F2138" s="57" t="n"/>
      <c r="G2138" s="57" t="n"/>
      <c r="H2138" s="56" t="n"/>
      <c r="I2138" s="56" t="n"/>
      <c r="J2138" s="58" t="n"/>
      <c r="K2138" s="58" t="n"/>
      <c r="L2138" s="13">
        <f>IF(OR($A2138="",AND($J2138="",$K2138="")),"",ROUND(N($J2138)-N($K2138),2))</f>
        <v/>
      </c>
      <c r="M2138" s="13">
        <f>IF(OR($A2138="",AND($J2138="",$K2138="")),"",MIN($J2138,$K2138))</f>
        <v/>
      </c>
      <c r="Q2138">
        <f>IF($A2138="","",$D2138&amp;"("&amp;SUBSTITUTE($E2138," ","")&amp;")")</f>
        <v/>
      </c>
      <c r="R2138">
        <f>IF($A2138="","",$B2138&amp;" - "&amp;$C2138)</f>
        <v/>
      </c>
      <c r="S2138">
        <f>IF($A2138="","",$R2138&amp;"|"&amp;$Q2138)</f>
        <v/>
      </c>
      <c r="T2138">
        <f>IF($A2138="","",$S2138&amp;"|"&amp;$F2138)</f>
        <v/>
      </c>
      <c r="U2138">
        <f>IF($A2138="","",$R2138&amp;"("&amp;$E2138&amp;")")</f>
        <v/>
      </c>
      <c r="V2138">
        <f>IF($A2138="","",$F2138&amp;"|"&amp;$U2138&amp;"|"&amp;$D2138)</f>
        <v/>
      </c>
      <c r="W2138">
        <f>IF($T2138="","",IF($X2138&gt;N($X2137),$X2138,""))</f>
        <v/>
      </c>
      <c r="X2138">
        <f>IF($T2138="",N($X2137),IF(MATCH($T2138,$T$6:$T$6005,0)=ROW()-5,N($X2137)+1,N($X2137)))</f>
        <v/>
      </c>
      <c r="Z2138">
        <f>IF($V2138="","",IF($AA2138&gt;N($AA2137),$AA2138,""))</f>
        <v/>
      </c>
      <c r="AA2138">
        <f>IF($V2138="",N($AA2137),IF(MATCH($V2138,$V$6:$V$6005,0)=ROW()-5,N($AA2137)+1,N($AA2137)))</f>
        <v/>
      </c>
    </row>
    <row r="2139" ht="21" customHeight="1" s="66">
      <c r="A2139" s="56" t="n"/>
      <c r="B2139" s="57" t="n"/>
      <c r="C2139" s="57" t="n"/>
      <c r="D2139" s="57" t="n"/>
      <c r="E2139" s="56" t="n"/>
      <c r="F2139" s="57" t="n"/>
      <c r="G2139" s="57" t="n"/>
      <c r="H2139" s="56" t="n"/>
      <c r="I2139" s="56" t="n"/>
      <c r="J2139" s="58" t="n"/>
      <c r="K2139" s="58" t="n"/>
      <c r="L2139" s="13">
        <f>IF(OR($A2139="",AND($J2139="",$K2139="")),"",ROUND(N($J2139)-N($K2139),2))</f>
        <v/>
      </c>
      <c r="M2139" s="13">
        <f>IF(OR($A2139="",AND($J2139="",$K2139="")),"",MIN($J2139,$K2139))</f>
        <v/>
      </c>
      <c r="Q2139">
        <f>IF($A2139="","",$D2139&amp;"("&amp;SUBSTITUTE($E2139," ","")&amp;")")</f>
        <v/>
      </c>
      <c r="R2139">
        <f>IF($A2139="","",$B2139&amp;" - "&amp;$C2139)</f>
        <v/>
      </c>
      <c r="S2139">
        <f>IF($A2139="","",$R2139&amp;"|"&amp;$Q2139)</f>
        <v/>
      </c>
      <c r="T2139">
        <f>IF($A2139="","",$S2139&amp;"|"&amp;$F2139)</f>
        <v/>
      </c>
      <c r="U2139">
        <f>IF($A2139="","",$R2139&amp;"("&amp;$E2139&amp;")")</f>
        <v/>
      </c>
      <c r="V2139">
        <f>IF($A2139="","",$F2139&amp;"|"&amp;$U2139&amp;"|"&amp;$D2139)</f>
        <v/>
      </c>
      <c r="W2139">
        <f>IF($T2139="","",IF($X2139&gt;N($X2138),$X2139,""))</f>
        <v/>
      </c>
      <c r="X2139">
        <f>IF($T2139="",N($X2138),IF(MATCH($T2139,$T$6:$T$6005,0)=ROW()-5,N($X2138)+1,N($X2138)))</f>
        <v/>
      </c>
      <c r="Z2139">
        <f>IF($V2139="","",IF($AA2139&gt;N($AA2138),$AA2139,""))</f>
        <v/>
      </c>
      <c r="AA2139">
        <f>IF($V2139="",N($AA2138),IF(MATCH($V2139,$V$6:$V$6005,0)=ROW()-5,N($AA2138)+1,N($AA2138)))</f>
        <v/>
      </c>
    </row>
    <row r="2140" ht="21" customHeight="1" s="66">
      <c r="A2140" s="56" t="n"/>
      <c r="B2140" s="57" t="n"/>
      <c r="C2140" s="57" t="n"/>
      <c r="D2140" s="57" t="n"/>
      <c r="E2140" s="56" t="n"/>
      <c r="F2140" s="57" t="n"/>
      <c r="G2140" s="57" t="n"/>
      <c r="H2140" s="56" t="n"/>
      <c r="I2140" s="56" t="n"/>
      <c r="J2140" s="58" t="n"/>
      <c r="K2140" s="58" t="n"/>
      <c r="L2140" s="13">
        <f>IF(OR($A2140="",AND($J2140="",$K2140="")),"",ROUND(N($J2140)-N($K2140),2))</f>
        <v/>
      </c>
      <c r="M2140" s="13">
        <f>IF(OR($A2140="",AND($J2140="",$K2140="")),"",MIN($J2140,$K2140))</f>
        <v/>
      </c>
      <c r="Q2140">
        <f>IF($A2140="","",$D2140&amp;"("&amp;SUBSTITUTE($E2140," ","")&amp;")")</f>
        <v/>
      </c>
      <c r="R2140">
        <f>IF($A2140="","",$B2140&amp;" - "&amp;$C2140)</f>
        <v/>
      </c>
      <c r="S2140">
        <f>IF($A2140="","",$R2140&amp;"|"&amp;$Q2140)</f>
        <v/>
      </c>
      <c r="T2140">
        <f>IF($A2140="","",$S2140&amp;"|"&amp;$F2140)</f>
        <v/>
      </c>
      <c r="U2140">
        <f>IF($A2140="","",$R2140&amp;"("&amp;$E2140&amp;")")</f>
        <v/>
      </c>
      <c r="V2140">
        <f>IF($A2140="","",$F2140&amp;"|"&amp;$U2140&amp;"|"&amp;$D2140)</f>
        <v/>
      </c>
      <c r="W2140">
        <f>IF($T2140="","",IF($X2140&gt;N($X2139),$X2140,""))</f>
        <v/>
      </c>
      <c r="X2140">
        <f>IF($T2140="",N($X2139),IF(MATCH($T2140,$T$6:$T$6005,0)=ROW()-5,N($X2139)+1,N($X2139)))</f>
        <v/>
      </c>
      <c r="Z2140">
        <f>IF($V2140="","",IF($AA2140&gt;N($AA2139),$AA2140,""))</f>
        <v/>
      </c>
      <c r="AA2140">
        <f>IF($V2140="",N($AA2139),IF(MATCH($V2140,$V$6:$V$6005,0)=ROW()-5,N($AA2139)+1,N($AA2139)))</f>
        <v/>
      </c>
    </row>
    <row r="2141" ht="21" customHeight="1" s="66">
      <c r="A2141" s="56" t="n"/>
      <c r="B2141" s="57" t="n"/>
      <c r="C2141" s="57" t="n"/>
      <c r="D2141" s="57" t="n"/>
      <c r="E2141" s="56" t="n"/>
      <c r="F2141" s="57" t="n"/>
      <c r="G2141" s="57" t="n"/>
      <c r="H2141" s="56" t="n"/>
      <c r="I2141" s="56" t="n"/>
      <c r="J2141" s="58" t="n"/>
      <c r="K2141" s="58" t="n"/>
      <c r="L2141" s="13">
        <f>IF(OR($A2141="",AND($J2141="",$K2141="")),"",ROUND(N($J2141)-N($K2141),2))</f>
        <v/>
      </c>
      <c r="M2141" s="13">
        <f>IF(OR($A2141="",AND($J2141="",$K2141="")),"",MIN($J2141,$K2141))</f>
        <v/>
      </c>
      <c r="Q2141">
        <f>IF($A2141="","",$D2141&amp;"("&amp;SUBSTITUTE($E2141," ","")&amp;")")</f>
        <v/>
      </c>
      <c r="R2141">
        <f>IF($A2141="","",$B2141&amp;" - "&amp;$C2141)</f>
        <v/>
      </c>
      <c r="S2141">
        <f>IF($A2141="","",$R2141&amp;"|"&amp;$Q2141)</f>
        <v/>
      </c>
      <c r="T2141">
        <f>IF($A2141="","",$S2141&amp;"|"&amp;$F2141)</f>
        <v/>
      </c>
      <c r="U2141">
        <f>IF($A2141="","",$R2141&amp;"("&amp;$E2141&amp;")")</f>
        <v/>
      </c>
      <c r="V2141">
        <f>IF($A2141="","",$F2141&amp;"|"&amp;$U2141&amp;"|"&amp;$D2141)</f>
        <v/>
      </c>
      <c r="W2141">
        <f>IF($T2141="","",IF($X2141&gt;N($X2140),$X2141,""))</f>
        <v/>
      </c>
      <c r="X2141">
        <f>IF($T2141="",N($X2140),IF(MATCH($T2141,$T$6:$T$6005,0)=ROW()-5,N($X2140)+1,N($X2140)))</f>
        <v/>
      </c>
      <c r="Z2141">
        <f>IF($V2141="","",IF($AA2141&gt;N($AA2140),$AA2141,""))</f>
        <v/>
      </c>
      <c r="AA2141">
        <f>IF($V2141="",N($AA2140),IF(MATCH($V2141,$V$6:$V$6005,0)=ROW()-5,N($AA2140)+1,N($AA2140)))</f>
        <v/>
      </c>
    </row>
    <row r="2142" ht="21" customHeight="1" s="66">
      <c r="A2142" s="56" t="n"/>
      <c r="B2142" s="57" t="n"/>
      <c r="C2142" s="57" t="n"/>
      <c r="D2142" s="57" t="n"/>
      <c r="E2142" s="56" t="n"/>
      <c r="F2142" s="57" t="n"/>
      <c r="G2142" s="57" t="n"/>
      <c r="H2142" s="56" t="n"/>
      <c r="I2142" s="56" t="n"/>
      <c r="J2142" s="58" t="n"/>
      <c r="K2142" s="58" t="n"/>
      <c r="L2142" s="13">
        <f>IF(OR($A2142="",AND($J2142="",$K2142="")),"",ROUND(N($J2142)-N($K2142),2))</f>
        <v/>
      </c>
      <c r="M2142" s="13">
        <f>IF(OR($A2142="",AND($J2142="",$K2142="")),"",MIN($J2142,$K2142))</f>
        <v/>
      </c>
      <c r="Q2142">
        <f>IF($A2142="","",$D2142&amp;"("&amp;SUBSTITUTE($E2142," ","")&amp;")")</f>
        <v/>
      </c>
      <c r="R2142">
        <f>IF($A2142="","",$B2142&amp;" - "&amp;$C2142)</f>
        <v/>
      </c>
      <c r="S2142">
        <f>IF($A2142="","",$R2142&amp;"|"&amp;$Q2142)</f>
        <v/>
      </c>
      <c r="T2142">
        <f>IF($A2142="","",$S2142&amp;"|"&amp;$F2142)</f>
        <v/>
      </c>
      <c r="U2142">
        <f>IF($A2142="","",$R2142&amp;"("&amp;$E2142&amp;")")</f>
        <v/>
      </c>
      <c r="V2142">
        <f>IF($A2142="","",$F2142&amp;"|"&amp;$U2142&amp;"|"&amp;$D2142)</f>
        <v/>
      </c>
      <c r="W2142">
        <f>IF($T2142="","",IF($X2142&gt;N($X2141),$X2142,""))</f>
        <v/>
      </c>
      <c r="X2142">
        <f>IF($T2142="",N($X2141),IF(MATCH($T2142,$T$6:$T$6005,0)=ROW()-5,N($X2141)+1,N($X2141)))</f>
        <v/>
      </c>
      <c r="Z2142">
        <f>IF($V2142="","",IF($AA2142&gt;N($AA2141),$AA2142,""))</f>
        <v/>
      </c>
      <c r="AA2142">
        <f>IF($V2142="",N($AA2141),IF(MATCH($V2142,$V$6:$V$6005,0)=ROW()-5,N($AA2141)+1,N($AA2141)))</f>
        <v/>
      </c>
    </row>
    <row r="2143" ht="21" customHeight="1" s="66">
      <c r="A2143" s="56" t="n"/>
      <c r="B2143" s="57" t="n"/>
      <c r="C2143" s="57" t="n"/>
      <c r="D2143" s="57" t="n"/>
      <c r="E2143" s="56" t="n"/>
      <c r="F2143" s="57" t="n"/>
      <c r="G2143" s="57" t="n"/>
      <c r="H2143" s="56" t="n"/>
      <c r="I2143" s="56" t="n"/>
      <c r="J2143" s="58" t="n"/>
      <c r="K2143" s="58" t="n"/>
      <c r="L2143" s="13">
        <f>IF(OR($A2143="",AND($J2143="",$K2143="")),"",ROUND(N($J2143)-N($K2143),2))</f>
        <v/>
      </c>
      <c r="M2143" s="13">
        <f>IF(OR($A2143="",AND($J2143="",$K2143="")),"",MIN($J2143,$K2143))</f>
        <v/>
      </c>
      <c r="Q2143">
        <f>IF($A2143="","",$D2143&amp;"("&amp;SUBSTITUTE($E2143," ","")&amp;")")</f>
        <v/>
      </c>
      <c r="R2143">
        <f>IF($A2143="","",$B2143&amp;" - "&amp;$C2143)</f>
        <v/>
      </c>
      <c r="S2143">
        <f>IF($A2143="","",$R2143&amp;"|"&amp;$Q2143)</f>
        <v/>
      </c>
      <c r="T2143">
        <f>IF($A2143="","",$S2143&amp;"|"&amp;$F2143)</f>
        <v/>
      </c>
      <c r="U2143">
        <f>IF($A2143="","",$R2143&amp;"("&amp;$E2143&amp;")")</f>
        <v/>
      </c>
      <c r="V2143">
        <f>IF($A2143="","",$F2143&amp;"|"&amp;$U2143&amp;"|"&amp;$D2143)</f>
        <v/>
      </c>
      <c r="W2143">
        <f>IF($T2143="","",IF($X2143&gt;N($X2142),$X2143,""))</f>
        <v/>
      </c>
      <c r="X2143">
        <f>IF($T2143="",N($X2142),IF(MATCH($T2143,$T$6:$T$6005,0)=ROW()-5,N($X2142)+1,N($X2142)))</f>
        <v/>
      </c>
      <c r="Z2143">
        <f>IF($V2143="","",IF($AA2143&gt;N($AA2142),$AA2143,""))</f>
        <v/>
      </c>
      <c r="AA2143">
        <f>IF($V2143="",N($AA2142),IF(MATCH($V2143,$V$6:$V$6005,0)=ROW()-5,N($AA2142)+1,N($AA2142)))</f>
        <v/>
      </c>
    </row>
    <row r="2144" ht="21" customHeight="1" s="66">
      <c r="A2144" s="56" t="n"/>
      <c r="B2144" s="57" t="n"/>
      <c r="C2144" s="57" t="n"/>
      <c r="D2144" s="57" t="n"/>
      <c r="E2144" s="56" t="n"/>
      <c r="F2144" s="57" t="n"/>
      <c r="G2144" s="57" t="n"/>
      <c r="H2144" s="56" t="n"/>
      <c r="I2144" s="56" t="n"/>
      <c r="J2144" s="58" t="n"/>
      <c r="K2144" s="58" t="n"/>
      <c r="L2144" s="13">
        <f>IF(OR($A2144="",AND($J2144="",$K2144="")),"",ROUND(N($J2144)-N($K2144),2))</f>
        <v/>
      </c>
      <c r="M2144" s="13">
        <f>IF(OR($A2144="",AND($J2144="",$K2144="")),"",MIN($J2144,$K2144))</f>
        <v/>
      </c>
      <c r="Q2144">
        <f>IF($A2144="","",$D2144&amp;"("&amp;SUBSTITUTE($E2144," ","")&amp;")")</f>
        <v/>
      </c>
      <c r="R2144">
        <f>IF($A2144="","",$B2144&amp;" - "&amp;$C2144)</f>
        <v/>
      </c>
      <c r="S2144">
        <f>IF($A2144="","",$R2144&amp;"|"&amp;$Q2144)</f>
        <v/>
      </c>
      <c r="T2144">
        <f>IF($A2144="","",$S2144&amp;"|"&amp;$F2144)</f>
        <v/>
      </c>
      <c r="U2144">
        <f>IF($A2144="","",$R2144&amp;"("&amp;$E2144&amp;")")</f>
        <v/>
      </c>
      <c r="V2144">
        <f>IF($A2144="","",$F2144&amp;"|"&amp;$U2144&amp;"|"&amp;$D2144)</f>
        <v/>
      </c>
      <c r="W2144">
        <f>IF($T2144="","",IF($X2144&gt;N($X2143),$X2144,""))</f>
        <v/>
      </c>
      <c r="X2144">
        <f>IF($T2144="",N($X2143),IF(MATCH($T2144,$T$6:$T$6005,0)=ROW()-5,N($X2143)+1,N($X2143)))</f>
        <v/>
      </c>
      <c r="Z2144">
        <f>IF($V2144="","",IF($AA2144&gt;N($AA2143),$AA2144,""))</f>
        <v/>
      </c>
      <c r="AA2144">
        <f>IF($V2144="",N($AA2143),IF(MATCH($V2144,$V$6:$V$6005,0)=ROW()-5,N($AA2143)+1,N($AA2143)))</f>
        <v/>
      </c>
    </row>
    <row r="2145" ht="21" customHeight="1" s="66">
      <c r="A2145" s="56" t="n"/>
      <c r="B2145" s="57" t="n"/>
      <c r="C2145" s="57" t="n"/>
      <c r="D2145" s="57" t="n"/>
      <c r="E2145" s="56" t="n"/>
      <c r="F2145" s="57" t="n"/>
      <c r="G2145" s="57" t="n"/>
      <c r="H2145" s="56" t="n"/>
      <c r="I2145" s="56" t="n"/>
      <c r="J2145" s="58" t="n"/>
      <c r="K2145" s="58" t="n"/>
      <c r="L2145" s="13">
        <f>IF(OR($A2145="",AND($J2145="",$K2145="")),"",ROUND(N($J2145)-N($K2145),2))</f>
        <v/>
      </c>
      <c r="M2145" s="13">
        <f>IF(OR($A2145="",AND($J2145="",$K2145="")),"",MIN($J2145,$K2145))</f>
        <v/>
      </c>
      <c r="Q2145">
        <f>IF($A2145="","",$D2145&amp;"("&amp;SUBSTITUTE($E2145," ","")&amp;")")</f>
        <v/>
      </c>
      <c r="R2145">
        <f>IF($A2145="","",$B2145&amp;" - "&amp;$C2145)</f>
        <v/>
      </c>
      <c r="S2145">
        <f>IF($A2145="","",$R2145&amp;"|"&amp;$Q2145)</f>
        <v/>
      </c>
      <c r="T2145">
        <f>IF($A2145="","",$S2145&amp;"|"&amp;$F2145)</f>
        <v/>
      </c>
      <c r="U2145">
        <f>IF($A2145="","",$R2145&amp;"("&amp;$E2145&amp;")")</f>
        <v/>
      </c>
      <c r="V2145">
        <f>IF($A2145="","",$F2145&amp;"|"&amp;$U2145&amp;"|"&amp;$D2145)</f>
        <v/>
      </c>
      <c r="W2145">
        <f>IF($T2145="","",IF($X2145&gt;N($X2144),$X2145,""))</f>
        <v/>
      </c>
      <c r="X2145">
        <f>IF($T2145="",N($X2144),IF(MATCH($T2145,$T$6:$T$6005,0)=ROW()-5,N($X2144)+1,N($X2144)))</f>
        <v/>
      </c>
      <c r="Z2145">
        <f>IF($V2145="","",IF($AA2145&gt;N($AA2144),$AA2145,""))</f>
        <v/>
      </c>
      <c r="AA2145">
        <f>IF($V2145="",N($AA2144),IF(MATCH($V2145,$V$6:$V$6005,0)=ROW()-5,N($AA2144)+1,N($AA2144)))</f>
        <v/>
      </c>
    </row>
    <row r="2146" ht="21" customHeight="1" s="66">
      <c r="A2146" s="56" t="n"/>
      <c r="B2146" s="57" t="n"/>
      <c r="C2146" s="57" t="n"/>
      <c r="D2146" s="57" t="n"/>
      <c r="E2146" s="56" t="n"/>
      <c r="F2146" s="57" t="n"/>
      <c r="G2146" s="57" t="n"/>
      <c r="H2146" s="56" t="n"/>
      <c r="I2146" s="56" t="n"/>
      <c r="J2146" s="58" t="n"/>
      <c r="K2146" s="58" t="n"/>
      <c r="L2146" s="13">
        <f>IF(OR($A2146="",AND($J2146="",$K2146="")),"",ROUND(N($J2146)-N($K2146),2))</f>
        <v/>
      </c>
      <c r="M2146" s="13">
        <f>IF(OR($A2146="",AND($J2146="",$K2146="")),"",MIN($J2146,$K2146))</f>
        <v/>
      </c>
      <c r="Q2146">
        <f>IF($A2146="","",$D2146&amp;"("&amp;SUBSTITUTE($E2146," ","")&amp;")")</f>
        <v/>
      </c>
      <c r="R2146">
        <f>IF($A2146="","",$B2146&amp;" - "&amp;$C2146)</f>
        <v/>
      </c>
      <c r="S2146">
        <f>IF($A2146="","",$R2146&amp;"|"&amp;$Q2146)</f>
        <v/>
      </c>
      <c r="T2146">
        <f>IF($A2146="","",$S2146&amp;"|"&amp;$F2146)</f>
        <v/>
      </c>
      <c r="U2146">
        <f>IF($A2146="","",$R2146&amp;"("&amp;$E2146&amp;")")</f>
        <v/>
      </c>
      <c r="V2146">
        <f>IF($A2146="","",$F2146&amp;"|"&amp;$U2146&amp;"|"&amp;$D2146)</f>
        <v/>
      </c>
      <c r="W2146">
        <f>IF($T2146="","",IF($X2146&gt;N($X2145),$X2146,""))</f>
        <v/>
      </c>
      <c r="X2146">
        <f>IF($T2146="",N($X2145),IF(MATCH($T2146,$T$6:$T$6005,0)=ROW()-5,N($X2145)+1,N($X2145)))</f>
        <v/>
      </c>
      <c r="Z2146">
        <f>IF($V2146="","",IF($AA2146&gt;N($AA2145),$AA2146,""))</f>
        <v/>
      </c>
      <c r="AA2146">
        <f>IF($V2146="",N($AA2145),IF(MATCH($V2146,$V$6:$V$6005,0)=ROW()-5,N($AA2145)+1,N($AA2145)))</f>
        <v/>
      </c>
    </row>
    <row r="2147" ht="21" customHeight="1" s="66">
      <c r="A2147" s="56" t="n"/>
      <c r="B2147" s="57" t="n"/>
      <c r="C2147" s="57" t="n"/>
      <c r="D2147" s="57" t="n"/>
      <c r="E2147" s="56" t="n"/>
      <c r="F2147" s="57" t="n"/>
      <c r="G2147" s="57" t="n"/>
      <c r="H2147" s="56" t="n"/>
      <c r="I2147" s="56" t="n"/>
      <c r="J2147" s="58" t="n"/>
      <c r="K2147" s="58" t="n"/>
      <c r="L2147" s="13">
        <f>IF(OR($A2147="",AND($J2147="",$K2147="")),"",ROUND(N($J2147)-N($K2147),2))</f>
        <v/>
      </c>
      <c r="M2147" s="13">
        <f>IF(OR($A2147="",AND($J2147="",$K2147="")),"",MIN($J2147,$K2147))</f>
        <v/>
      </c>
      <c r="Q2147">
        <f>IF($A2147="","",$D2147&amp;"("&amp;SUBSTITUTE($E2147," ","")&amp;")")</f>
        <v/>
      </c>
      <c r="R2147">
        <f>IF($A2147="","",$B2147&amp;" - "&amp;$C2147)</f>
        <v/>
      </c>
      <c r="S2147">
        <f>IF($A2147="","",$R2147&amp;"|"&amp;$Q2147)</f>
        <v/>
      </c>
      <c r="T2147">
        <f>IF($A2147="","",$S2147&amp;"|"&amp;$F2147)</f>
        <v/>
      </c>
      <c r="U2147">
        <f>IF($A2147="","",$R2147&amp;"("&amp;$E2147&amp;")")</f>
        <v/>
      </c>
      <c r="V2147">
        <f>IF($A2147="","",$F2147&amp;"|"&amp;$U2147&amp;"|"&amp;$D2147)</f>
        <v/>
      </c>
      <c r="W2147">
        <f>IF($T2147="","",IF($X2147&gt;N($X2146),$X2147,""))</f>
        <v/>
      </c>
      <c r="X2147">
        <f>IF($T2147="",N($X2146),IF(MATCH($T2147,$T$6:$T$6005,0)=ROW()-5,N($X2146)+1,N($X2146)))</f>
        <v/>
      </c>
      <c r="Z2147">
        <f>IF($V2147="","",IF($AA2147&gt;N($AA2146),$AA2147,""))</f>
        <v/>
      </c>
      <c r="AA2147">
        <f>IF($V2147="",N($AA2146),IF(MATCH($V2147,$V$6:$V$6005,0)=ROW()-5,N($AA2146)+1,N($AA2146)))</f>
        <v/>
      </c>
    </row>
    <row r="2148" ht="21" customHeight="1" s="66">
      <c r="A2148" s="56" t="n"/>
      <c r="B2148" s="57" t="n"/>
      <c r="C2148" s="57" t="n"/>
      <c r="D2148" s="57" t="n"/>
      <c r="E2148" s="56" t="n"/>
      <c r="F2148" s="57" t="n"/>
      <c r="G2148" s="57" t="n"/>
      <c r="H2148" s="56" t="n"/>
      <c r="I2148" s="56" t="n"/>
      <c r="J2148" s="58" t="n"/>
      <c r="K2148" s="58" t="n"/>
      <c r="L2148" s="13">
        <f>IF(OR($A2148="",AND($J2148="",$K2148="")),"",ROUND(N($J2148)-N($K2148),2))</f>
        <v/>
      </c>
      <c r="M2148" s="13">
        <f>IF(OR($A2148="",AND($J2148="",$K2148="")),"",MIN($J2148,$K2148))</f>
        <v/>
      </c>
      <c r="Q2148">
        <f>IF($A2148="","",$D2148&amp;"("&amp;SUBSTITUTE($E2148," ","")&amp;")")</f>
        <v/>
      </c>
      <c r="R2148">
        <f>IF($A2148="","",$B2148&amp;" - "&amp;$C2148)</f>
        <v/>
      </c>
      <c r="S2148">
        <f>IF($A2148="","",$R2148&amp;"|"&amp;$Q2148)</f>
        <v/>
      </c>
      <c r="T2148">
        <f>IF($A2148="","",$S2148&amp;"|"&amp;$F2148)</f>
        <v/>
      </c>
      <c r="U2148">
        <f>IF($A2148="","",$R2148&amp;"("&amp;$E2148&amp;")")</f>
        <v/>
      </c>
      <c r="V2148">
        <f>IF($A2148="","",$F2148&amp;"|"&amp;$U2148&amp;"|"&amp;$D2148)</f>
        <v/>
      </c>
      <c r="W2148">
        <f>IF($T2148="","",IF($X2148&gt;N($X2147),$X2148,""))</f>
        <v/>
      </c>
      <c r="X2148">
        <f>IF($T2148="",N($X2147),IF(MATCH($T2148,$T$6:$T$6005,0)=ROW()-5,N($X2147)+1,N($X2147)))</f>
        <v/>
      </c>
      <c r="Z2148">
        <f>IF($V2148="","",IF($AA2148&gt;N($AA2147),$AA2148,""))</f>
        <v/>
      </c>
      <c r="AA2148">
        <f>IF($V2148="",N($AA2147),IF(MATCH($V2148,$V$6:$V$6005,0)=ROW()-5,N($AA2147)+1,N($AA2147)))</f>
        <v/>
      </c>
    </row>
    <row r="2149" ht="21" customHeight="1" s="66">
      <c r="A2149" s="56" t="n"/>
      <c r="B2149" s="57" t="n"/>
      <c r="C2149" s="57" t="n"/>
      <c r="D2149" s="57" t="n"/>
      <c r="E2149" s="56" t="n"/>
      <c r="F2149" s="57" t="n"/>
      <c r="G2149" s="57" t="n"/>
      <c r="H2149" s="56" t="n"/>
      <c r="I2149" s="56" t="n"/>
      <c r="J2149" s="58" t="n"/>
      <c r="K2149" s="58" t="n"/>
      <c r="L2149" s="13">
        <f>IF(OR($A2149="",AND($J2149="",$K2149="")),"",ROUND(N($J2149)-N($K2149),2))</f>
        <v/>
      </c>
      <c r="M2149" s="13">
        <f>IF(OR($A2149="",AND($J2149="",$K2149="")),"",MIN($J2149,$K2149))</f>
        <v/>
      </c>
      <c r="Q2149">
        <f>IF($A2149="","",$D2149&amp;"("&amp;SUBSTITUTE($E2149," ","")&amp;")")</f>
        <v/>
      </c>
      <c r="R2149">
        <f>IF($A2149="","",$B2149&amp;" - "&amp;$C2149)</f>
        <v/>
      </c>
      <c r="S2149">
        <f>IF($A2149="","",$R2149&amp;"|"&amp;$Q2149)</f>
        <v/>
      </c>
      <c r="T2149">
        <f>IF($A2149="","",$S2149&amp;"|"&amp;$F2149)</f>
        <v/>
      </c>
      <c r="U2149">
        <f>IF($A2149="","",$R2149&amp;"("&amp;$E2149&amp;")")</f>
        <v/>
      </c>
      <c r="V2149">
        <f>IF($A2149="","",$F2149&amp;"|"&amp;$U2149&amp;"|"&amp;$D2149)</f>
        <v/>
      </c>
      <c r="W2149">
        <f>IF($T2149="","",IF($X2149&gt;N($X2148),$X2149,""))</f>
        <v/>
      </c>
      <c r="X2149">
        <f>IF($T2149="",N($X2148),IF(MATCH($T2149,$T$6:$T$6005,0)=ROW()-5,N($X2148)+1,N($X2148)))</f>
        <v/>
      </c>
      <c r="Z2149">
        <f>IF($V2149="","",IF($AA2149&gt;N($AA2148),$AA2149,""))</f>
        <v/>
      </c>
      <c r="AA2149">
        <f>IF($V2149="",N($AA2148),IF(MATCH($V2149,$V$6:$V$6005,0)=ROW()-5,N($AA2148)+1,N($AA2148)))</f>
        <v/>
      </c>
    </row>
    <row r="2150" ht="21" customHeight="1" s="66">
      <c r="A2150" s="56" t="n"/>
      <c r="B2150" s="57" t="n"/>
      <c r="C2150" s="57" t="n"/>
      <c r="D2150" s="57" t="n"/>
      <c r="E2150" s="56" t="n"/>
      <c r="F2150" s="57" t="n"/>
      <c r="G2150" s="57" t="n"/>
      <c r="H2150" s="56" t="n"/>
      <c r="I2150" s="56" t="n"/>
      <c r="J2150" s="58" t="n"/>
      <c r="K2150" s="58" t="n"/>
      <c r="L2150" s="13">
        <f>IF(OR($A2150="",AND($J2150="",$K2150="")),"",ROUND(N($J2150)-N($K2150),2))</f>
        <v/>
      </c>
      <c r="M2150" s="13">
        <f>IF(OR($A2150="",AND($J2150="",$K2150="")),"",MIN($J2150,$K2150))</f>
        <v/>
      </c>
      <c r="Q2150">
        <f>IF($A2150="","",$D2150&amp;"("&amp;SUBSTITUTE($E2150," ","")&amp;")")</f>
        <v/>
      </c>
      <c r="R2150">
        <f>IF($A2150="","",$B2150&amp;" - "&amp;$C2150)</f>
        <v/>
      </c>
      <c r="S2150">
        <f>IF($A2150="","",$R2150&amp;"|"&amp;$Q2150)</f>
        <v/>
      </c>
      <c r="T2150">
        <f>IF($A2150="","",$S2150&amp;"|"&amp;$F2150)</f>
        <v/>
      </c>
      <c r="U2150">
        <f>IF($A2150="","",$R2150&amp;"("&amp;$E2150&amp;")")</f>
        <v/>
      </c>
      <c r="V2150">
        <f>IF($A2150="","",$F2150&amp;"|"&amp;$U2150&amp;"|"&amp;$D2150)</f>
        <v/>
      </c>
      <c r="W2150">
        <f>IF($T2150="","",IF($X2150&gt;N($X2149),$X2150,""))</f>
        <v/>
      </c>
      <c r="X2150">
        <f>IF($T2150="",N($X2149),IF(MATCH($T2150,$T$6:$T$6005,0)=ROW()-5,N($X2149)+1,N($X2149)))</f>
        <v/>
      </c>
      <c r="Z2150">
        <f>IF($V2150="","",IF($AA2150&gt;N($AA2149),$AA2150,""))</f>
        <v/>
      </c>
      <c r="AA2150">
        <f>IF($V2150="",N($AA2149),IF(MATCH($V2150,$V$6:$V$6005,0)=ROW()-5,N($AA2149)+1,N($AA2149)))</f>
        <v/>
      </c>
    </row>
    <row r="2151" ht="21" customHeight="1" s="66">
      <c r="A2151" s="56" t="n"/>
      <c r="B2151" s="57" t="n"/>
      <c r="C2151" s="57" t="n"/>
      <c r="D2151" s="57" t="n"/>
      <c r="E2151" s="56" t="n"/>
      <c r="F2151" s="57" t="n"/>
      <c r="G2151" s="57" t="n"/>
      <c r="H2151" s="56" t="n"/>
      <c r="I2151" s="56" t="n"/>
      <c r="J2151" s="58" t="n"/>
      <c r="K2151" s="58" t="n"/>
      <c r="L2151" s="13">
        <f>IF(OR($A2151="",AND($J2151="",$K2151="")),"",ROUND(N($J2151)-N($K2151),2))</f>
        <v/>
      </c>
      <c r="M2151" s="13">
        <f>IF(OR($A2151="",AND($J2151="",$K2151="")),"",MIN($J2151,$K2151))</f>
        <v/>
      </c>
      <c r="Q2151">
        <f>IF($A2151="","",$D2151&amp;"("&amp;SUBSTITUTE($E2151," ","")&amp;")")</f>
        <v/>
      </c>
      <c r="R2151">
        <f>IF($A2151="","",$B2151&amp;" - "&amp;$C2151)</f>
        <v/>
      </c>
      <c r="S2151">
        <f>IF($A2151="","",$R2151&amp;"|"&amp;$Q2151)</f>
        <v/>
      </c>
      <c r="T2151">
        <f>IF($A2151="","",$S2151&amp;"|"&amp;$F2151)</f>
        <v/>
      </c>
      <c r="U2151">
        <f>IF($A2151="","",$R2151&amp;"("&amp;$E2151&amp;")")</f>
        <v/>
      </c>
      <c r="V2151">
        <f>IF($A2151="","",$F2151&amp;"|"&amp;$U2151&amp;"|"&amp;$D2151)</f>
        <v/>
      </c>
      <c r="W2151">
        <f>IF($T2151="","",IF($X2151&gt;N($X2150),$X2151,""))</f>
        <v/>
      </c>
      <c r="X2151">
        <f>IF($T2151="",N($X2150),IF(MATCH($T2151,$T$6:$T$6005,0)=ROW()-5,N($X2150)+1,N($X2150)))</f>
        <v/>
      </c>
      <c r="Z2151">
        <f>IF($V2151="","",IF($AA2151&gt;N($AA2150),$AA2151,""))</f>
        <v/>
      </c>
      <c r="AA2151">
        <f>IF($V2151="",N($AA2150),IF(MATCH($V2151,$V$6:$V$6005,0)=ROW()-5,N($AA2150)+1,N($AA2150)))</f>
        <v/>
      </c>
    </row>
    <row r="2152" ht="21" customHeight="1" s="66">
      <c r="A2152" s="56" t="n"/>
      <c r="B2152" s="57" t="n"/>
      <c r="C2152" s="57" t="n"/>
      <c r="D2152" s="57" t="n"/>
      <c r="E2152" s="56" t="n"/>
      <c r="F2152" s="57" t="n"/>
      <c r="G2152" s="57" t="n"/>
      <c r="H2152" s="56" t="n"/>
      <c r="I2152" s="56" t="n"/>
      <c r="J2152" s="58" t="n"/>
      <c r="K2152" s="58" t="n"/>
      <c r="L2152" s="13">
        <f>IF(OR($A2152="",AND($J2152="",$K2152="")),"",ROUND(N($J2152)-N($K2152),2))</f>
        <v/>
      </c>
      <c r="M2152" s="13">
        <f>IF(OR($A2152="",AND($J2152="",$K2152="")),"",MIN($J2152,$K2152))</f>
        <v/>
      </c>
      <c r="Q2152">
        <f>IF($A2152="","",$D2152&amp;"("&amp;SUBSTITUTE($E2152," ","")&amp;")")</f>
        <v/>
      </c>
      <c r="R2152">
        <f>IF($A2152="","",$B2152&amp;" - "&amp;$C2152)</f>
        <v/>
      </c>
      <c r="S2152">
        <f>IF($A2152="","",$R2152&amp;"|"&amp;$Q2152)</f>
        <v/>
      </c>
      <c r="T2152">
        <f>IF($A2152="","",$S2152&amp;"|"&amp;$F2152)</f>
        <v/>
      </c>
      <c r="U2152">
        <f>IF($A2152="","",$R2152&amp;"("&amp;$E2152&amp;")")</f>
        <v/>
      </c>
      <c r="V2152">
        <f>IF($A2152="","",$F2152&amp;"|"&amp;$U2152&amp;"|"&amp;$D2152)</f>
        <v/>
      </c>
      <c r="W2152">
        <f>IF($T2152="","",IF($X2152&gt;N($X2151),$X2152,""))</f>
        <v/>
      </c>
      <c r="X2152">
        <f>IF($T2152="",N($X2151),IF(MATCH($T2152,$T$6:$T$6005,0)=ROW()-5,N($X2151)+1,N($X2151)))</f>
        <v/>
      </c>
      <c r="Z2152">
        <f>IF($V2152="","",IF($AA2152&gt;N($AA2151),$AA2152,""))</f>
        <v/>
      </c>
      <c r="AA2152">
        <f>IF($V2152="",N($AA2151),IF(MATCH($V2152,$V$6:$V$6005,0)=ROW()-5,N($AA2151)+1,N($AA2151)))</f>
        <v/>
      </c>
    </row>
    <row r="2153" ht="21" customHeight="1" s="66">
      <c r="A2153" s="56" t="n"/>
      <c r="B2153" s="57" t="n"/>
      <c r="C2153" s="57" t="n"/>
      <c r="D2153" s="57" t="n"/>
      <c r="E2153" s="56" t="n"/>
      <c r="F2153" s="57" t="n"/>
      <c r="G2153" s="57" t="n"/>
      <c r="H2153" s="56" t="n"/>
      <c r="I2153" s="56" t="n"/>
      <c r="J2153" s="58" t="n"/>
      <c r="K2153" s="58" t="n"/>
      <c r="L2153" s="13">
        <f>IF(OR($A2153="",AND($J2153="",$K2153="")),"",ROUND(N($J2153)-N($K2153),2))</f>
        <v/>
      </c>
      <c r="M2153" s="13">
        <f>IF(OR($A2153="",AND($J2153="",$K2153="")),"",MIN($J2153,$K2153))</f>
        <v/>
      </c>
      <c r="Q2153">
        <f>IF($A2153="","",$D2153&amp;"("&amp;SUBSTITUTE($E2153," ","")&amp;")")</f>
        <v/>
      </c>
      <c r="R2153">
        <f>IF($A2153="","",$B2153&amp;" - "&amp;$C2153)</f>
        <v/>
      </c>
      <c r="S2153">
        <f>IF($A2153="","",$R2153&amp;"|"&amp;$Q2153)</f>
        <v/>
      </c>
      <c r="T2153">
        <f>IF($A2153="","",$S2153&amp;"|"&amp;$F2153)</f>
        <v/>
      </c>
      <c r="U2153">
        <f>IF($A2153="","",$R2153&amp;"("&amp;$E2153&amp;")")</f>
        <v/>
      </c>
      <c r="V2153">
        <f>IF($A2153="","",$F2153&amp;"|"&amp;$U2153&amp;"|"&amp;$D2153)</f>
        <v/>
      </c>
      <c r="W2153">
        <f>IF($T2153="","",IF($X2153&gt;N($X2152),$X2153,""))</f>
        <v/>
      </c>
      <c r="X2153">
        <f>IF($T2153="",N($X2152),IF(MATCH($T2153,$T$6:$T$6005,0)=ROW()-5,N($X2152)+1,N($X2152)))</f>
        <v/>
      </c>
      <c r="Z2153">
        <f>IF($V2153="","",IF($AA2153&gt;N($AA2152),$AA2153,""))</f>
        <v/>
      </c>
      <c r="AA2153">
        <f>IF($V2153="",N($AA2152),IF(MATCH($V2153,$V$6:$V$6005,0)=ROW()-5,N($AA2152)+1,N($AA2152)))</f>
        <v/>
      </c>
    </row>
    <row r="2154" ht="21" customHeight="1" s="66">
      <c r="A2154" s="56" t="n"/>
      <c r="B2154" s="57" t="n"/>
      <c r="C2154" s="57" t="n"/>
      <c r="D2154" s="57" t="n"/>
      <c r="E2154" s="56" t="n"/>
      <c r="F2154" s="57" t="n"/>
      <c r="G2154" s="57" t="n"/>
      <c r="H2154" s="56" t="n"/>
      <c r="I2154" s="56" t="n"/>
      <c r="J2154" s="58" t="n"/>
      <c r="K2154" s="58" t="n"/>
      <c r="L2154" s="13">
        <f>IF(OR($A2154="",AND($J2154="",$K2154="")),"",ROUND(N($J2154)-N($K2154),2))</f>
        <v/>
      </c>
      <c r="M2154" s="13">
        <f>IF(OR($A2154="",AND($J2154="",$K2154="")),"",MIN($J2154,$K2154))</f>
        <v/>
      </c>
      <c r="Q2154">
        <f>IF($A2154="","",$D2154&amp;"("&amp;SUBSTITUTE($E2154," ","")&amp;")")</f>
        <v/>
      </c>
      <c r="R2154">
        <f>IF($A2154="","",$B2154&amp;" - "&amp;$C2154)</f>
        <v/>
      </c>
      <c r="S2154">
        <f>IF($A2154="","",$R2154&amp;"|"&amp;$Q2154)</f>
        <v/>
      </c>
      <c r="T2154">
        <f>IF($A2154="","",$S2154&amp;"|"&amp;$F2154)</f>
        <v/>
      </c>
      <c r="U2154">
        <f>IF($A2154="","",$R2154&amp;"("&amp;$E2154&amp;")")</f>
        <v/>
      </c>
      <c r="V2154">
        <f>IF($A2154="","",$F2154&amp;"|"&amp;$U2154&amp;"|"&amp;$D2154)</f>
        <v/>
      </c>
      <c r="W2154">
        <f>IF($T2154="","",IF($X2154&gt;N($X2153),$X2154,""))</f>
        <v/>
      </c>
      <c r="X2154">
        <f>IF($T2154="",N($X2153),IF(MATCH($T2154,$T$6:$T$6005,0)=ROW()-5,N($X2153)+1,N($X2153)))</f>
        <v/>
      </c>
      <c r="Z2154">
        <f>IF($V2154="","",IF($AA2154&gt;N($AA2153),$AA2154,""))</f>
        <v/>
      </c>
      <c r="AA2154">
        <f>IF($V2154="",N($AA2153),IF(MATCH($V2154,$V$6:$V$6005,0)=ROW()-5,N($AA2153)+1,N($AA2153)))</f>
        <v/>
      </c>
    </row>
    <row r="2155" ht="21" customHeight="1" s="66">
      <c r="A2155" s="56" t="n"/>
      <c r="B2155" s="57" t="n"/>
      <c r="C2155" s="57" t="n"/>
      <c r="D2155" s="57" t="n"/>
      <c r="E2155" s="56" t="n"/>
      <c r="F2155" s="57" t="n"/>
      <c r="G2155" s="57" t="n"/>
      <c r="H2155" s="56" t="n"/>
      <c r="I2155" s="56" t="n"/>
      <c r="J2155" s="58" t="n"/>
      <c r="K2155" s="58" t="n"/>
      <c r="L2155" s="13">
        <f>IF(OR($A2155="",AND($J2155="",$K2155="")),"",ROUND(N($J2155)-N($K2155),2))</f>
        <v/>
      </c>
      <c r="M2155" s="13">
        <f>IF(OR($A2155="",AND($J2155="",$K2155="")),"",MIN($J2155,$K2155))</f>
        <v/>
      </c>
      <c r="Q2155">
        <f>IF($A2155="","",$D2155&amp;"("&amp;SUBSTITUTE($E2155," ","")&amp;")")</f>
        <v/>
      </c>
      <c r="R2155">
        <f>IF($A2155="","",$B2155&amp;" - "&amp;$C2155)</f>
        <v/>
      </c>
      <c r="S2155">
        <f>IF($A2155="","",$R2155&amp;"|"&amp;$Q2155)</f>
        <v/>
      </c>
      <c r="T2155">
        <f>IF($A2155="","",$S2155&amp;"|"&amp;$F2155)</f>
        <v/>
      </c>
      <c r="U2155">
        <f>IF($A2155="","",$R2155&amp;"("&amp;$E2155&amp;")")</f>
        <v/>
      </c>
      <c r="V2155">
        <f>IF($A2155="","",$F2155&amp;"|"&amp;$U2155&amp;"|"&amp;$D2155)</f>
        <v/>
      </c>
      <c r="W2155">
        <f>IF($T2155="","",IF($X2155&gt;N($X2154),$X2155,""))</f>
        <v/>
      </c>
      <c r="X2155">
        <f>IF($T2155="",N($X2154),IF(MATCH($T2155,$T$6:$T$6005,0)=ROW()-5,N($X2154)+1,N($X2154)))</f>
        <v/>
      </c>
      <c r="Z2155">
        <f>IF($V2155="","",IF($AA2155&gt;N($AA2154),$AA2155,""))</f>
        <v/>
      </c>
      <c r="AA2155">
        <f>IF($V2155="",N($AA2154),IF(MATCH($V2155,$V$6:$V$6005,0)=ROW()-5,N($AA2154)+1,N($AA2154)))</f>
        <v/>
      </c>
    </row>
    <row r="2156" ht="21" customHeight="1" s="66">
      <c r="A2156" s="56" t="n"/>
      <c r="B2156" s="57" t="n"/>
      <c r="C2156" s="57" t="n"/>
      <c r="D2156" s="57" t="n"/>
      <c r="E2156" s="56" t="n"/>
      <c r="F2156" s="57" t="n"/>
      <c r="G2156" s="57" t="n"/>
      <c r="H2156" s="56" t="n"/>
      <c r="I2156" s="56" t="n"/>
      <c r="J2156" s="58" t="n"/>
      <c r="K2156" s="58" t="n"/>
      <c r="L2156" s="13">
        <f>IF(OR($A2156="",AND($J2156="",$K2156="")),"",ROUND(N($J2156)-N($K2156),2))</f>
        <v/>
      </c>
      <c r="M2156" s="13">
        <f>IF(OR($A2156="",AND($J2156="",$K2156="")),"",MIN($J2156,$K2156))</f>
        <v/>
      </c>
      <c r="Q2156">
        <f>IF($A2156="","",$D2156&amp;"("&amp;SUBSTITUTE($E2156," ","")&amp;")")</f>
        <v/>
      </c>
      <c r="R2156">
        <f>IF($A2156="","",$B2156&amp;" - "&amp;$C2156)</f>
        <v/>
      </c>
      <c r="S2156">
        <f>IF($A2156="","",$R2156&amp;"|"&amp;$Q2156)</f>
        <v/>
      </c>
      <c r="T2156">
        <f>IF($A2156="","",$S2156&amp;"|"&amp;$F2156)</f>
        <v/>
      </c>
      <c r="U2156">
        <f>IF($A2156="","",$R2156&amp;"("&amp;$E2156&amp;")")</f>
        <v/>
      </c>
      <c r="V2156">
        <f>IF($A2156="","",$F2156&amp;"|"&amp;$U2156&amp;"|"&amp;$D2156)</f>
        <v/>
      </c>
      <c r="W2156">
        <f>IF($T2156="","",IF($X2156&gt;N($X2155),$X2156,""))</f>
        <v/>
      </c>
      <c r="X2156">
        <f>IF($T2156="",N($X2155),IF(MATCH($T2156,$T$6:$T$6005,0)=ROW()-5,N($X2155)+1,N($X2155)))</f>
        <v/>
      </c>
      <c r="Z2156">
        <f>IF($V2156="","",IF($AA2156&gt;N($AA2155),$AA2156,""))</f>
        <v/>
      </c>
      <c r="AA2156">
        <f>IF($V2156="",N($AA2155),IF(MATCH($V2156,$V$6:$V$6005,0)=ROW()-5,N($AA2155)+1,N($AA2155)))</f>
        <v/>
      </c>
    </row>
    <row r="2157" ht="21" customHeight="1" s="66">
      <c r="A2157" s="56" t="n"/>
      <c r="B2157" s="57" t="n"/>
      <c r="C2157" s="57" t="n"/>
      <c r="D2157" s="57" t="n"/>
      <c r="E2157" s="56" t="n"/>
      <c r="F2157" s="57" t="n"/>
      <c r="G2157" s="57" t="n"/>
      <c r="H2157" s="56" t="n"/>
      <c r="I2157" s="56" t="n"/>
      <c r="J2157" s="58" t="n"/>
      <c r="K2157" s="58" t="n"/>
      <c r="L2157" s="13">
        <f>IF(OR($A2157="",AND($J2157="",$K2157="")),"",ROUND(N($J2157)-N($K2157),2))</f>
        <v/>
      </c>
      <c r="M2157" s="13">
        <f>IF(OR($A2157="",AND($J2157="",$K2157="")),"",MIN($J2157,$K2157))</f>
        <v/>
      </c>
      <c r="Q2157">
        <f>IF($A2157="","",$D2157&amp;"("&amp;SUBSTITUTE($E2157," ","")&amp;")")</f>
        <v/>
      </c>
      <c r="R2157">
        <f>IF($A2157="","",$B2157&amp;" - "&amp;$C2157)</f>
        <v/>
      </c>
      <c r="S2157">
        <f>IF($A2157="","",$R2157&amp;"|"&amp;$Q2157)</f>
        <v/>
      </c>
      <c r="T2157">
        <f>IF($A2157="","",$S2157&amp;"|"&amp;$F2157)</f>
        <v/>
      </c>
      <c r="U2157">
        <f>IF($A2157="","",$R2157&amp;"("&amp;$E2157&amp;")")</f>
        <v/>
      </c>
      <c r="V2157">
        <f>IF($A2157="","",$F2157&amp;"|"&amp;$U2157&amp;"|"&amp;$D2157)</f>
        <v/>
      </c>
      <c r="W2157">
        <f>IF($T2157="","",IF($X2157&gt;N($X2156),$X2157,""))</f>
        <v/>
      </c>
      <c r="X2157">
        <f>IF($T2157="",N($X2156),IF(MATCH($T2157,$T$6:$T$6005,0)=ROW()-5,N($X2156)+1,N($X2156)))</f>
        <v/>
      </c>
      <c r="Z2157">
        <f>IF($V2157="","",IF($AA2157&gt;N($AA2156),$AA2157,""))</f>
        <v/>
      </c>
      <c r="AA2157">
        <f>IF($V2157="",N($AA2156),IF(MATCH($V2157,$V$6:$V$6005,0)=ROW()-5,N($AA2156)+1,N($AA2156)))</f>
        <v/>
      </c>
    </row>
    <row r="2158" ht="21" customHeight="1" s="66">
      <c r="A2158" s="56" t="n"/>
      <c r="B2158" s="57" t="n"/>
      <c r="C2158" s="57" t="n"/>
      <c r="D2158" s="57" t="n"/>
      <c r="E2158" s="56" t="n"/>
      <c r="F2158" s="57" t="n"/>
      <c r="G2158" s="57" t="n"/>
      <c r="H2158" s="56" t="n"/>
      <c r="I2158" s="56" t="n"/>
      <c r="J2158" s="58" t="n"/>
      <c r="K2158" s="58" t="n"/>
      <c r="L2158" s="13">
        <f>IF(OR($A2158="",AND($J2158="",$K2158="")),"",ROUND(N($J2158)-N($K2158),2))</f>
        <v/>
      </c>
      <c r="M2158" s="13">
        <f>IF(OR($A2158="",AND($J2158="",$K2158="")),"",MIN($J2158,$K2158))</f>
        <v/>
      </c>
      <c r="Q2158">
        <f>IF($A2158="","",$D2158&amp;"("&amp;SUBSTITUTE($E2158," ","")&amp;")")</f>
        <v/>
      </c>
      <c r="R2158">
        <f>IF($A2158="","",$B2158&amp;" - "&amp;$C2158)</f>
        <v/>
      </c>
      <c r="S2158">
        <f>IF($A2158="","",$R2158&amp;"|"&amp;$Q2158)</f>
        <v/>
      </c>
      <c r="T2158">
        <f>IF($A2158="","",$S2158&amp;"|"&amp;$F2158)</f>
        <v/>
      </c>
      <c r="U2158">
        <f>IF($A2158="","",$R2158&amp;"("&amp;$E2158&amp;")")</f>
        <v/>
      </c>
      <c r="V2158">
        <f>IF($A2158="","",$F2158&amp;"|"&amp;$U2158&amp;"|"&amp;$D2158)</f>
        <v/>
      </c>
      <c r="W2158">
        <f>IF($T2158="","",IF($X2158&gt;N($X2157),$X2158,""))</f>
        <v/>
      </c>
      <c r="X2158">
        <f>IF($T2158="",N($X2157),IF(MATCH($T2158,$T$6:$T$6005,0)=ROW()-5,N($X2157)+1,N($X2157)))</f>
        <v/>
      </c>
      <c r="Z2158">
        <f>IF($V2158="","",IF($AA2158&gt;N($AA2157),$AA2158,""))</f>
        <v/>
      </c>
      <c r="AA2158">
        <f>IF($V2158="",N($AA2157),IF(MATCH($V2158,$V$6:$V$6005,0)=ROW()-5,N($AA2157)+1,N($AA2157)))</f>
        <v/>
      </c>
    </row>
    <row r="2159" ht="21" customHeight="1" s="66">
      <c r="A2159" s="56" t="n"/>
      <c r="B2159" s="57" t="n"/>
      <c r="C2159" s="57" t="n"/>
      <c r="D2159" s="57" t="n"/>
      <c r="E2159" s="56" t="n"/>
      <c r="F2159" s="57" t="n"/>
      <c r="G2159" s="57" t="n"/>
      <c r="H2159" s="56" t="n"/>
      <c r="I2159" s="56" t="n"/>
      <c r="J2159" s="58" t="n"/>
      <c r="K2159" s="58" t="n"/>
      <c r="L2159" s="13">
        <f>IF(OR($A2159="",AND($J2159="",$K2159="")),"",ROUND(N($J2159)-N($K2159),2))</f>
        <v/>
      </c>
      <c r="M2159" s="13">
        <f>IF(OR($A2159="",AND($J2159="",$K2159="")),"",MIN($J2159,$K2159))</f>
        <v/>
      </c>
      <c r="Q2159">
        <f>IF($A2159="","",$D2159&amp;"("&amp;SUBSTITUTE($E2159," ","")&amp;")")</f>
        <v/>
      </c>
      <c r="R2159">
        <f>IF($A2159="","",$B2159&amp;" - "&amp;$C2159)</f>
        <v/>
      </c>
      <c r="S2159">
        <f>IF($A2159="","",$R2159&amp;"|"&amp;$Q2159)</f>
        <v/>
      </c>
      <c r="T2159">
        <f>IF($A2159="","",$S2159&amp;"|"&amp;$F2159)</f>
        <v/>
      </c>
      <c r="U2159">
        <f>IF($A2159="","",$R2159&amp;"("&amp;$E2159&amp;")")</f>
        <v/>
      </c>
      <c r="V2159">
        <f>IF($A2159="","",$F2159&amp;"|"&amp;$U2159&amp;"|"&amp;$D2159)</f>
        <v/>
      </c>
      <c r="W2159">
        <f>IF($T2159="","",IF($X2159&gt;N($X2158),$X2159,""))</f>
        <v/>
      </c>
      <c r="X2159">
        <f>IF($T2159="",N($X2158),IF(MATCH($T2159,$T$6:$T$6005,0)=ROW()-5,N($X2158)+1,N($X2158)))</f>
        <v/>
      </c>
      <c r="Z2159">
        <f>IF($V2159="","",IF($AA2159&gt;N($AA2158),$AA2159,""))</f>
        <v/>
      </c>
      <c r="AA2159">
        <f>IF($V2159="",N($AA2158),IF(MATCH($V2159,$V$6:$V$6005,0)=ROW()-5,N($AA2158)+1,N($AA2158)))</f>
        <v/>
      </c>
    </row>
    <row r="2160" ht="21" customHeight="1" s="66">
      <c r="A2160" s="56" t="n"/>
      <c r="B2160" s="57" t="n"/>
      <c r="C2160" s="57" t="n"/>
      <c r="D2160" s="57" t="n"/>
      <c r="E2160" s="56" t="n"/>
      <c r="F2160" s="57" t="n"/>
      <c r="G2160" s="57" t="n"/>
      <c r="H2160" s="56" t="n"/>
      <c r="I2160" s="56" t="n"/>
      <c r="J2160" s="58" t="n"/>
      <c r="K2160" s="58" t="n"/>
      <c r="L2160" s="13">
        <f>IF(OR($A2160="",AND($J2160="",$K2160="")),"",ROUND(N($J2160)-N($K2160),2))</f>
        <v/>
      </c>
      <c r="M2160" s="13">
        <f>IF(OR($A2160="",AND($J2160="",$K2160="")),"",MIN($J2160,$K2160))</f>
        <v/>
      </c>
      <c r="Q2160">
        <f>IF($A2160="","",$D2160&amp;"("&amp;SUBSTITUTE($E2160," ","")&amp;")")</f>
        <v/>
      </c>
      <c r="R2160">
        <f>IF($A2160="","",$B2160&amp;" - "&amp;$C2160)</f>
        <v/>
      </c>
      <c r="S2160">
        <f>IF($A2160="","",$R2160&amp;"|"&amp;$Q2160)</f>
        <v/>
      </c>
      <c r="T2160">
        <f>IF($A2160="","",$S2160&amp;"|"&amp;$F2160)</f>
        <v/>
      </c>
      <c r="U2160">
        <f>IF($A2160="","",$R2160&amp;"("&amp;$E2160&amp;")")</f>
        <v/>
      </c>
      <c r="V2160">
        <f>IF($A2160="","",$F2160&amp;"|"&amp;$U2160&amp;"|"&amp;$D2160)</f>
        <v/>
      </c>
      <c r="W2160">
        <f>IF($T2160="","",IF($X2160&gt;N($X2159),$X2160,""))</f>
        <v/>
      </c>
      <c r="X2160">
        <f>IF($T2160="",N($X2159),IF(MATCH($T2160,$T$6:$T$6005,0)=ROW()-5,N($X2159)+1,N($X2159)))</f>
        <v/>
      </c>
      <c r="Z2160">
        <f>IF($V2160="","",IF($AA2160&gt;N($AA2159),$AA2160,""))</f>
        <v/>
      </c>
      <c r="AA2160">
        <f>IF($V2160="",N($AA2159),IF(MATCH($V2160,$V$6:$V$6005,0)=ROW()-5,N($AA2159)+1,N($AA2159)))</f>
        <v/>
      </c>
    </row>
    <row r="2161" ht="21" customHeight="1" s="66">
      <c r="A2161" s="56" t="n"/>
      <c r="B2161" s="57" t="n"/>
      <c r="C2161" s="57" t="n"/>
      <c r="D2161" s="57" t="n"/>
      <c r="E2161" s="56" t="n"/>
      <c r="F2161" s="57" t="n"/>
      <c r="G2161" s="57" t="n"/>
      <c r="H2161" s="56" t="n"/>
      <c r="I2161" s="56" t="n"/>
      <c r="J2161" s="58" t="n"/>
      <c r="K2161" s="58" t="n"/>
      <c r="L2161" s="13">
        <f>IF(OR($A2161="",AND($J2161="",$K2161="")),"",ROUND(N($J2161)-N($K2161),2))</f>
        <v/>
      </c>
      <c r="M2161" s="13">
        <f>IF(OR($A2161="",AND($J2161="",$K2161="")),"",MIN($J2161,$K2161))</f>
        <v/>
      </c>
      <c r="Q2161">
        <f>IF($A2161="","",$D2161&amp;"("&amp;SUBSTITUTE($E2161," ","")&amp;")")</f>
        <v/>
      </c>
      <c r="R2161">
        <f>IF($A2161="","",$B2161&amp;" - "&amp;$C2161)</f>
        <v/>
      </c>
      <c r="S2161">
        <f>IF($A2161="","",$R2161&amp;"|"&amp;$Q2161)</f>
        <v/>
      </c>
      <c r="T2161">
        <f>IF($A2161="","",$S2161&amp;"|"&amp;$F2161)</f>
        <v/>
      </c>
      <c r="U2161">
        <f>IF($A2161="","",$R2161&amp;"("&amp;$E2161&amp;")")</f>
        <v/>
      </c>
      <c r="V2161">
        <f>IF($A2161="","",$F2161&amp;"|"&amp;$U2161&amp;"|"&amp;$D2161)</f>
        <v/>
      </c>
      <c r="W2161">
        <f>IF($T2161="","",IF($X2161&gt;N($X2160),$X2161,""))</f>
        <v/>
      </c>
      <c r="X2161">
        <f>IF($T2161="",N($X2160),IF(MATCH($T2161,$T$6:$T$6005,0)=ROW()-5,N($X2160)+1,N($X2160)))</f>
        <v/>
      </c>
      <c r="Z2161">
        <f>IF($V2161="","",IF($AA2161&gt;N($AA2160),$AA2161,""))</f>
        <v/>
      </c>
      <c r="AA2161">
        <f>IF($V2161="",N($AA2160),IF(MATCH($V2161,$V$6:$V$6005,0)=ROW()-5,N($AA2160)+1,N($AA2160)))</f>
        <v/>
      </c>
    </row>
    <row r="2162" ht="21" customHeight="1" s="66">
      <c r="A2162" s="56" t="n"/>
      <c r="B2162" s="57" t="n"/>
      <c r="C2162" s="57" t="n"/>
      <c r="D2162" s="57" t="n"/>
      <c r="E2162" s="56" t="n"/>
      <c r="F2162" s="57" t="n"/>
      <c r="G2162" s="57" t="n"/>
      <c r="H2162" s="56" t="n"/>
      <c r="I2162" s="56" t="n"/>
      <c r="J2162" s="58" t="n"/>
      <c r="K2162" s="58" t="n"/>
      <c r="L2162" s="13">
        <f>IF(OR($A2162="",AND($J2162="",$K2162="")),"",ROUND(N($J2162)-N($K2162),2))</f>
        <v/>
      </c>
      <c r="M2162" s="13">
        <f>IF(OR($A2162="",AND($J2162="",$K2162="")),"",MIN($J2162,$K2162))</f>
        <v/>
      </c>
      <c r="Q2162">
        <f>IF($A2162="","",$D2162&amp;"("&amp;SUBSTITUTE($E2162," ","")&amp;")")</f>
        <v/>
      </c>
      <c r="R2162">
        <f>IF($A2162="","",$B2162&amp;" - "&amp;$C2162)</f>
        <v/>
      </c>
      <c r="S2162">
        <f>IF($A2162="","",$R2162&amp;"|"&amp;$Q2162)</f>
        <v/>
      </c>
      <c r="T2162">
        <f>IF($A2162="","",$S2162&amp;"|"&amp;$F2162)</f>
        <v/>
      </c>
      <c r="U2162">
        <f>IF($A2162="","",$R2162&amp;"("&amp;$E2162&amp;")")</f>
        <v/>
      </c>
      <c r="V2162">
        <f>IF($A2162="","",$F2162&amp;"|"&amp;$U2162&amp;"|"&amp;$D2162)</f>
        <v/>
      </c>
      <c r="W2162">
        <f>IF($T2162="","",IF($X2162&gt;N($X2161),$X2162,""))</f>
        <v/>
      </c>
      <c r="X2162">
        <f>IF($T2162="",N($X2161),IF(MATCH($T2162,$T$6:$T$6005,0)=ROW()-5,N($X2161)+1,N($X2161)))</f>
        <v/>
      </c>
      <c r="Z2162">
        <f>IF($V2162="","",IF($AA2162&gt;N($AA2161),$AA2162,""))</f>
        <v/>
      </c>
      <c r="AA2162">
        <f>IF($V2162="",N($AA2161),IF(MATCH($V2162,$V$6:$V$6005,0)=ROW()-5,N($AA2161)+1,N($AA2161)))</f>
        <v/>
      </c>
    </row>
    <row r="2163" ht="21" customHeight="1" s="66">
      <c r="A2163" s="56" t="n"/>
      <c r="B2163" s="57" t="n"/>
      <c r="C2163" s="57" t="n"/>
      <c r="D2163" s="57" t="n"/>
      <c r="E2163" s="56" t="n"/>
      <c r="F2163" s="57" t="n"/>
      <c r="G2163" s="57" t="n"/>
      <c r="H2163" s="56" t="n"/>
      <c r="I2163" s="56" t="n"/>
      <c r="J2163" s="58" t="n"/>
      <c r="K2163" s="58" t="n"/>
      <c r="L2163" s="13">
        <f>IF(OR($A2163="",AND($J2163="",$K2163="")),"",ROUND(N($J2163)-N($K2163),2))</f>
        <v/>
      </c>
      <c r="M2163" s="13">
        <f>IF(OR($A2163="",AND($J2163="",$K2163="")),"",MIN($J2163,$K2163))</f>
        <v/>
      </c>
      <c r="Q2163">
        <f>IF($A2163="","",$D2163&amp;"("&amp;SUBSTITUTE($E2163," ","")&amp;")")</f>
        <v/>
      </c>
      <c r="R2163">
        <f>IF($A2163="","",$B2163&amp;" - "&amp;$C2163)</f>
        <v/>
      </c>
      <c r="S2163">
        <f>IF($A2163="","",$R2163&amp;"|"&amp;$Q2163)</f>
        <v/>
      </c>
      <c r="T2163">
        <f>IF($A2163="","",$S2163&amp;"|"&amp;$F2163)</f>
        <v/>
      </c>
      <c r="U2163">
        <f>IF($A2163="","",$R2163&amp;"("&amp;$E2163&amp;")")</f>
        <v/>
      </c>
      <c r="V2163">
        <f>IF($A2163="","",$F2163&amp;"|"&amp;$U2163&amp;"|"&amp;$D2163)</f>
        <v/>
      </c>
      <c r="W2163">
        <f>IF($T2163="","",IF($X2163&gt;N($X2162),$X2163,""))</f>
        <v/>
      </c>
      <c r="X2163">
        <f>IF($T2163="",N($X2162),IF(MATCH($T2163,$T$6:$T$6005,0)=ROW()-5,N($X2162)+1,N($X2162)))</f>
        <v/>
      </c>
      <c r="Z2163">
        <f>IF($V2163="","",IF($AA2163&gt;N($AA2162),$AA2163,""))</f>
        <v/>
      </c>
      <c r="AA2163">
        <f>IF($V2163="",N($AA2162),IF(MATCH($V2163,$V$6:$V$6005,0)=ROW()-5,N($AA2162)+1,N($AA2162)))</f>
        <v/>
      </c>
    </row>
    <row r="2164" ht="21" customHeight="1" s="66">
      <c r="A2164" s="56" t="n"/>
      <c r="B2164" s="57" t="n"/>
      <c r="C2164" s="57" t="n"/>
      <c r="D2164" s="57" t="n"/>
      <c r="E2164" s="56" t="n"/>
      <c r="F2164" s="57" t="n"/>
      <c r="G2164" s="57" t="n"/>
      <c r="H2164" s="56" t="n"/>
      <c r="I2164" s="56" t="n"/>
      <c r="J2164" s="58" t="n"/>
      <c r="K2164" s="58" t="n"/>
      <c r="L2164" s="13">
        <f>IF(OR($A2164="",AND($J2164="",$K2164="")),"",ROUND(N($J2164)-N($K2164),2))</f>
        <v/>
      </c>
      <c r="M2164" s="13">
        <f>IF(OR($A2164="",AND($J2164="",$K2164="")),"",MIN($J2164,$K2164))</f>
        <v/>
      </c>
      <c r="Q2164">
        <f>IF($A2164="","",$D2164&amp;"("&amp;SUBSTITUTE($E2164," ","")&amp;")")</f>
        <v/>
      </c>
      <c r="R2164">
        <f>IF($A2164="","",$B2164&amp;" - "&amp;$C2164)</f>
        <v/>
      </c>
      <c r="S2164">
        <f>IF($A2164="","",$R2164&amp;"|"&amp;$Q2164)</f>
        <v/>
      </c>
      <c r="T2164">
        <f>IF($A2164="","",$S2164&amp;"|"&amp;$F2164)</f>
        <v/>
      </c>
      <c r="U2164">
        <f>IF($A2164="","",$R2164&amp;"("&amp;$E2164&amp;")")</f>
        <v/>
      </c>
      <c r="V2164">
        <f>IF($A2164="","",$F2164&amp;"|"&amp;$U2164&amp;"|"&amp;$D2164)</f>
        <v/>
      </c>
      <c r="W2164">
        <f>IF($T2164="","",IF($X2164&gt;N($X2163),$X2164,""))</f>
        <v/>
      </c>
      <c r="X2164">
        <f>IF($T2164="",N($X2163),IF(MATCH($T2164,$T$6:$T$6005,0)=ROW()-5,N($X2163)+1,N($X2163)))</f>
        <v/>
      </c>
      <c r="Z2164">
        <f>IF($V2164="","",IF($AA2164&gt;N($AA2163),$AA2164,""))</f>
        <v/>
      </c>
      <c r="AA2164">
        <f>IF($V2164="",N($AA2163),IF(MATCH($V2164,$V$6:$V$6005,0)=ROW()-5,N($AA2163)+1,N($AA2163)))</f>
        <v/>
      </c>
    </row>
    <row r="2165" ht="21" customHeight="1" s="66">
      <c r="A2165" s="56" t="n"/>
      <c r="B2165" s="57" t="n"/>
      <c r="C2165" s="57" t="n"/>
      <c r="D2165" s="57" t="n"/>
      <c r="E2165" s="56" t="n"/>
      <c r="F2165" s="57" t="n"/>
      <c r="G2165" s="57" t="n"/>
      <c r="H2165" s="56" t="n"/>
      <c r="I2165" s="56" t="n"/>
      <c r="J2165" s="58" t="n"/>
      <c r="K2165" s="58" t="n"/>
      <c r="L2165" s="13">
        <f>IF(OR($A2165="",AND($J2165="",$K2165="")),"",ROUND(N($J2165)-N($K2165),2))</f>
        <v/>
      </c>
      <c r="M2165" s="13">
        <f>IF(OR($A2165="",AND($J2165="",$K2165="")),"",MIN($J2165,$K2165))</f>
        <v/>
      </c>
      <c r="Q2165">
        <f>IF($A2165="","",$D2165&amp;"("&amp;SUBSTITUTE($E2165," ","")&amp;")")</f>
        <v/>
      </c>
      <c r="R2165">
        <f>IF($A2165="","",$B2165&amp;" - "&amp;$C2165)</f>
        <v/>
      </c>
      <c r="S2165">
        <f>IF($A2165="","",$R2165&amp;"|"&amp;$Q2165)</f>
        <v/>
      </c>
      <c r="T2165">
        <f>IF($A2165="","",$S2165&amp;"|"&amp;$F2165)</f>
        <v/>
      </c>
      <c r="U2165">
        <f>IF($A2165="","",$R2165&amp;"("&amp;$E2165&amp;")")</f>
        <v/>
      </c>
      <c r="V2165">
        <f>IF($A2165="","",$F2165&amp;"|"&amp;$U2165&amp;"|"&amp;$D2165)</f>
        <v/>
      </c>
      <c r="W2165">
        <f>IF($T2165="","",IF($X2165&gt;N($X2164),$X2165,""))</f>
        <v/>
      </c>
      <c r="X2165">
        <f>IF($T2165="",N($X2164),IF(MATCH($T2165,$T$6:$T$6005,0)=ROW()-5,N($X2164)+1,N($X2164)))</f>
        <v/>
      </c>
      <c r="Z2165">
        <f>IF($V2165="","",IF($AA2165&gt;N($AA2164),$AA2165,""))</f>
        <v/>
      </c>
      <c r="AA2165">
        <f>IF($V2165="",N($AA2164),IF(MATCH($V2165,$V$6:$V$6005,0)=ROW()-5,N($AA2164)+1,N($AA2164)))</f>
        <v/>
      </c>
    </row>
    <row r="2166" ht="21" customHeight="1" s="66">
      <c r="A2166" s="56" t="n"/>
      <c r="B2166" s="57" t="n"/>
      <c r="C2166" s="57" t="n"/>
      <c r="D2166" s="57" t="n"/>
      <c r="E2166" s="56" t="n"/>
      <c r="F2166" s="57" t="n"/>
      <c r="G2166" s="57" t="n"/>
      <c r="H2166" s="56" t="n"/>
      <c r="I2166" s="56" t="n"/>
      <c r="J2166" s="58" t="n"/>
      <c r="K2166" s="58" t="n"/>
      <c r="L2166" s="13">
        <f>IF(OR($A2166="",AND($J2166="",$K2166="")),"",ROUND(N($J2166)-N($K2166),2))</f>
        <v/>
      </c>
      <c r="M2166" s="13">
        <f>IF(OR($A2166="",AND($J2166="",$K2166="")),"",MIN($J2166,$K2166))</f>
        <v/>
      </c>
      <c r="Q2166">
        <f>IF($A2166="","",$D2166&amp;"("&amp;SUBSTITUTE($E2166," ","")&amp;")")</f>
        <v/>
      </c>
      <c r="R2166">
        <f>IF($A2166="","",$B2166&amp;" - "&amp;$C2166)</f>
        <v/>
      </c>
      <c r="S2166">
        <f>IF($A2166="","",$R2166&amp;"|"&amp;$Q2166)</f>
        <v/>
      </c>
      <c r="T2166">
        <f>IF($A2166="","",$S2166&amp;"|"&amp;$F2166)</f>
        <v/>
      </c>
      <c r="U2166">
        <f>IF($A2166="","",$R2166&amp;"("&amp;$E2166&amp;")")</f>
        <v/>
      </c>
      <c r="V2166">
        <f>IF($A2166="","",$F2166&amp;"|"&amp;$U2166&amp;"|"&amp;$D2166)</f>
        <v/>
      </c>
      <c r="W2166">
        <f>IF($T2166="","",IF($X2166&gt;N($X2165),$X2166,""))</f>
        <v/>
      </c>
      <c r="X2166">
        <f>IF($T2166="",N($X2165),IF(MATCH($T2166,$T$6:$T$6005,0)=ROW()-5,N($X2165)+1,N($X2165)))</f>
        <v/>
      </c>
      <c r="Z2166">
        <f>IF($V2166="","",IF($AA2166&gt;N($AA2165),$AA2166,""))</f>
        <v/>
      </c>
      <c r="AA2166">
        <f>IF($V2166="",N($AA2165),IF(MATCH($V2166,$V$6:$V$6005,0)=ROW()-5,N($AA2165)+1,N($AA2165)))</f>
        <v/>
      </c>
    </row>
    <row r="2167" ht="21" customHeight="1" s="66">
      <c r="A2167" s="56" t="n"/>
      <c r="B2167" s="57" t="n"/>
      <c r="C2167" s="57" t="n"/>
      <c r="D2167" s="57" t="n"/>
      <c r="E2167" s="56" t="n"/>
      <c r="F2167" s="57" t="n"/>
      <c r="G2167" s="57" t="n"/>
      <c r="H2167" s="56" t="n"/>
      <c r="I2167" s="56" t="n"/>
      <c r="J2167" s="58" t="n"/>
      <c r="K2167" s="58" t="n"/>
      <c r="L2167" s="13">
        <f>IF(OR($A2167="",AND($J2167="",$K2167="")),"",ROUND(N($J2167)-N($K2167),2))</f>
        <v/>
      </c>
      <c r="M2167" s="13">
        <f>IF(OR($A2167="",AND($J2167="",$K2167="")),"",MIN($J2167,$K2167))</f>
        <v/>
      </c>
      <c r="Q2167">
        <f>IF($A2167="","",$D2167&amp;"("&amp;SUBSTITUTE($E2167," ","")&amp;")")</f>
        <v/>
      </c>
      <c r="R2167">
        <f>IF($A2167="","",$B2167&amp;" - "&amp;$C2167)</f>
        <v/>
      </c>
      <c r="S2167">
        <f>IF($A2167="","",$R2167&amp;"|"&amp;$Q2167)</f>
        <v/>
      </c>
      <c r="T2167">
        <f>IF($A2167="","",$S2167&amp;"|"&amp;$F2167)</f>
        <v/>
      </c>
      <c r="U2167">
        <f>IF($A2167="","",$R2167&amp;"("&amp;$E2167&amp;")")</f>
        <v/>
      </c>
      <c r="V2167">
        <f>IF($A2167="","",$F2167&amp;"|"&amp;$U2167&amp;"|"&amp;$D2167)</f>
        <v/>
      </c>
      <c r="W2167">
        <f>IF($T2167="","",IF($X2167&gt;N($X2166),$X2167,""))</f>
        <v/>
      </c>
      <c r="X2167">
        <f>IF($T2167="",N($X2166),IF(MATCH($T2167,$T$6:$T$6005,0)=ROW()-5,N($X2166)+1,N($X2166)))</f>
        <v/>
      </c>
      <c r="Z2167">
        <f>IF($V2167="","",IF($AA2167&gt;N($AA2166),$AA2167,""))</f>
        <v/>
      </c>
      <c r="AA2167">
        <f>IF($V2167="",N($AA2166),IF(MATCH($V2167,$V$6:$V$6005,0)=ROW()-5,N($AA2166)+1,N($AA2166)))</f>
        <v/>
      </c>
    </row>
    <row r="2168" ht="21" customHeight="1" s="66">
      <c r="A2168" s="56" t="n"/>
      <c r="B2168" s="57" t="n"/>
      <c r="C2168" s="57" t="n"/>
      <c r="D2168" s="57" t="n"/>
      <c r="E2168" s="56" t="n"/>
      <c r="F2168" s="57" t="n"/>
      <c r="G2168" s="57" t="n"/>
      <c r="H2168" s="56" t="n"/>
      <c r="I2168" s="56" t="n"/>
      <c r="J2168" s="58" t="n"/>
      <c r="K2168" s="58" t="n"/>
      <c r="L2168" s="13">
        <f>IF(OR($A2168="",AND($J2168="",$K2168="")),"",ROUND(N($J2168)-N($K2168),2))</f>
        <v/>
      </c>
      <c r="M2168" s="13">
        <f>IF(OR($A2168="",AND($J2168="",$K2168="")),"",MIN($J2168,$K2168))</f>
        <v/>
      </c>
      <c r="Q2168">
        <f>IF($A2168="","",$D2168&amp;"("&amp;SUBSTITUTE($E2168," ","")&amp;")")</f>
        <v/>
      </c>
      <c r="R2168">
        <f>IF($A2168="","",$B2168&amp;" - "&amp;$C2168)</f>
        <v/>
      </c>
      <c r="S2168">
        <f>IF($A2168="","",$R2168&amp;"|"&amp;$Q2168)</f>
        <v/>
      </c>
      <c r="T2168">
        <f>IF($A2168="","",$S2168&amp;"|"&amp;$F2168)</f>
        <v/>
      </c>
      <c r="U2168">
        <f>IF($A2168="","",$R2168&amp;"("&amp;$E2168&amp;")")</f>
        <v/>
      </c>
      <c r="V2168">
        <f>IF($A2168="","",$F2168&amp;"|"&amp;$U2168&amp;"|"&amp;$D2168)</f>
        <v/>
      </c>
      <c r="W2168">
        <f>IF($T2168="","",IF($X2168&gt;N($X2167),$X2168,""))</f>
        <v/>
      </c>
      <c r="X2168">
        <f>IF($T2168="",N($X2167),IF(MATCH($T2168,$T$6:$T$6005,0)=ROW()-5,N($X2167)+1,N($X2167)))</f>
        <v/>
      </c>
      <c r="Z2168">
        <f>IF($V2168="","",IF($AA2168&gt;N($AA2167),$AA2168,""))</f>
        <v/>
      </c>
      <c r="AA2168">
        <f>IF($V2168="",N($AA2167),IF(MATCH($V2168,$V$6:$V$6005,0)=ROW()-5,N($AA2167)+1,N($AA2167)))</f>
        <v/>
      </c>
    </row>
    <row r="2169" ht="21" customHeight="1" s="66">
      <c r="A2169" s="56" t="n"/>
      <c r="B2169" s="57" t="n"/>
      <c r="C2169" s="57" t="n"/>
      <c r="D2169" s="57" t="n"/>
      <c r="E2169" s="56" t="n"/>
      <c r="F2169" s="57" t="n"/>
      <c r="G2169" s="57" t="n"/>
      <c r="H2169" s="56" t="n"/>
      <c r="I2169" s="56" t="n"/>
      <c r="J2169" s="58" t="n"/>
      <c r="K2169" s="58" t="n"/>
      <c r="L2169" s="13">
        <f>IF(OR($A2169="",AND($J2169="",$K2169="")),"",ROUND(N($J2169)-N($K2169),2))</f>
        <v/>
      </c>
      <c r="M2169" s="13">
        <f>IF(OR($A2169="",AND($J2169="",$K2169="")),"",MIN($J2169,$K2169))</f>
        <v/>
      </c>
      <c r="Q2169">
        <f>IF($A2169="","",$D2169&amp;"("&amp;SUBSTITUTE($E2169," ","")&amp;")")</f>
        <v/>
      </c>
      <c r="R2169">
        <f>IF($A2169="","",$B2169&amp;" - "&amp;$C2169)</f>
        <v/>
      </c>
      <c r="S2169">
        <f>IF($A2169="","",$R2169&amp;"|"&amp;$Q2169)</f>
        <v/>
      </c>
      <c r="T2169">
        <f>IF($A2169="","",$S2169&amp;"|"&amp;$F2169)</f>
        <v/>
      </c>
      <c r="U2169">
        <f>IF($A2169="","",$R2169&amp;"("&amp;$E2169&amp;")")</f>
        <v/>
      </c>
      <c r="V2169">
        <f>IF($A2169="","",$F2169&amp;"|"&amp;$U2169&amp;"|"&amp;$D2169)</f>
        <v/>
      </c>
      <c r="W2169">
        <f>IF($T2169="","",IF($X2169&gt;N($X2168),$X2169,""))</f>
        <v/>
      </c>
      <c r="X2169">
        <f>IF($T2169="",N($X2168),IF(MATCH($T2169,$T$6:$T$6005,0)=ROW()-5,N($X2168)+1,N($X2168)))</f>
        <v/>
      </c>
      <c r="Z2169">
        <f>IF($V2169="","",IF($AA2169&gt;N($AA2168),$AA2169,""))</f>
        <v/>
      </c>
      <c r="AA2169">
        <f>IF($V2169="",N($AA2168),IF(MATCH($V2169,$V$6:$V$6005,0)=ROW()-5,N($AA2168)+1,N($AA2168)))</f>
        <v/>
      </c>
    </row>
    <row r="2170" ht="21" customHeight="1" s="66">
      <c r="A2170" s="56" t="n"/>
      <c r="B2170" s="57" t="n"/>
      <c r="C2170" s="57" t="n"/>
      <c r="D2170" s="57" t="n"/>
      <c r="E2170" s="56" t="n"/>
      <c r="F2170" s="57" t="n"/>
      <c r="G2170" s="57" t="n"/>
      <c r="H2170" s="56" t="n"/>
      <c r="I2170" s="56" t="n"/>
      <c r="J2170" s="58" t="n"/>
      <c r="K2170" s="58" t="n"/>
      <c r="L2170" s="13">
        <f>IF(OR($A2170="",AND($J2170="",$K2170="")),"",ROUND(N($J2170)-N($K2170),2))</f>
        <v/>
      </c>
      <c r="M2170" s="13">
        <f>IF(OR($A2170="",AND($J2170="",$K2170="")),"",MIN($J2170,$K2170))</f>
        <v/>
      </c>
      <c r="Q2170">
        <f>IF($A2170="","",$D2170&amp;"("&amp;SUBSTITUTE($E2170," ","")&amp;")")</f>
        <v/>
      </c>
      <c r="R2170">
        <f>IF($A2170="","",$B2170&amp;" - "&amp;$C2170)</f>
        <v/>
      </c>
      <c r="S2170">
        <f>IF($A2170="","",$R2170&amp;"|"&amp;$Q2170)</f>
        <v/>
      </c>
      <c r="T2170">
        <f>IF($A2170="","",$S2170&amp;"|"&amp;$F2170)</f>
        <v/>
      </c>
      <c r="U2170">
        <f>IF($A2170="","",$R2170&amp;"("&amp;$E2170&amp;")")</f>
        <v/>
      </c>
      <c r="V2170">
        <f>IF($A2170="","",$F2170&amp;"|"&amp;$U2170&amp;"|"&amp;$D2170)</f>
        <v/>
      </c>
      <c r="W2170">
        <f>IF($T2170="","",IF($X2170&gt;N($X2169),$X2170,""))</f>
        <v/>
      </c>
      <c r="X2170">
        <f>IF($T2170="",N($X2169),IF(MATCH($T2170,$T$6:$T$6005,0)=ROW()-5,N($X2169)+1,N($X2169)))</f>
        <v/>
      </c>
      <c r="Z2170">
        <f>IF($V2170="","",IF($AA2170&gt;N($AA2169),$AA2170,""))</f>
        <v/>
      </c>
      <c r="AA2170">
        <f>IF($V2170="",N($AA2169),IF(MATCH($V2170,$V$6:$V$6005,0)=ROW()-5,N($AA2169)+1,N($AA2169)))</f>
        <v/>
      </c>
    </row>
    <row r="2171" ht="21" customHeight="1" s="66">
      <c r="A2171" s="56" t="n"/>
      <c r="B2171" s="57" t="n"/>
      <c r="C2171" s="57" t="n"/>
      <c r="D2171" s="57" t="n"/>
      <c r="E2171" s="56" t="n"/>
      <c r="F2171" s="57" t="n"/>
      <c r="G2171" s="57" t="n"/>
      <c r="H2171" s="56" t="n"/>
      <c r="I2171" s="56" t="n"/>
      <c r="J2171" s="58" t="n"/>
      <c r="K2171" s="58" t="n"/>
      <c r="L2171" s="13">
        <f>IF(OR($A2171="",AND($J2171="",$K2171="")),"",ROUND(N($J2171)-N($K2171),2))</f>
        <v/>
      </c>
      <c r="M2171" s="13">
        <f>IF(OR($A2171="",AND($J2171="",$K2171="")),"",MIN($J2171,$K2171))</f>
        <v/>
      </c>
      <c r="Q2171">
        <f>IF($A2171="","",$D2171&amp;"("&amp;SUBSTITUTE($E2171," ","")&amp;")")</f>
        <v/>
      </c>
      <c r="R2171">
        <f>IF($A2171="","",$B2171&amp;" - "&amp;$C2171)</f>
        <v/>
      </c>
      <c r="S2171">
        <f>IF($A2171="","",$R2171&amp;"|"&amp;$Q2171)</f>
        <v/>
      </c>
      <c r="T2171">
        <f>IF($A2171="","",$S2171&amp;"|"&amp;$F2171)</f>
        <v/>
      </c>
      <c r="U2171">
        <f>IF($A2171="","",$R2171&amp;"("&amp;$E2171&amp;")")</f>
        <v/>
      </c>
      <c r="V2171">
        <f>IF($A2171="","",$F2171&amp;"|"&amp;$U2171&amp;"|"&amp;$D2171)</f>
        <v/>
      </c>
      <c r="W2171">
        <f>IF($T2171="","",IF($X2171&gt;N($X2170),$X2171,""))</f>
        <v/>
      </c>
      <c r="X2171">
        <f>IF($T2171="",N($X2170),IF(MATCH($T2171,$T$6:$T$6005,0)=ROW()-5,N($X2170)+1,N($X2170)))</f>
        <v/>
      </c>
      <c r="Z2171">
        <f>IF($V2171="","",IF($AA2171&gt;N($AA2170),$AA2171,""))</f>
        <v/>
      </c>
      <c r="AA2171">
        <f>IF($V2171="",N($AA2170),IF(MATCH($V2171,$V$6:$V$6005,0)=ROW()-5,N($AA2170)+1,N($AA2170)))</f>
        <v/>
      </c>
    </row>
    <row r="2172" ht="21" customHeight="1" s="66">
      <c r="A2172" s="56" t="n"/>
      <c r="B2172" s="57" t="n"/>
      <c r="C2172" s="57" t="n"/>
      <c r="D2172" s="57" t="n"/>
      <c r="E2172" s="56" t="n"/>
      <c r="F2172" s="57" t="n"/>
      <c r="G2172" s="57" t="n"/>
      <c r="H2172" s="56" t="n"/>
      <c r="I2172" s="56" t="n"/>
      <c r="J2172" s="58" t="n"/>
      <c r="K2172" s="58" t="n"/>
      <c r="L2172" s="13">
        <f>IF(OR($A2172="",AND($J2172="",$K2172="")),"",ROUND(N($J2172)-N($K2172),2))</f>
        <v/>
      </c>
      <c r="M2172" s="13">
        <f>IF(OR($A2172="",AND($J2172="",$K2172="")),"",MIN($J2172,$K2172))</f>
        <v/>
      </c>
      <c r="Q2172">
        <f>IF($A2172="","",$D2172&amp;"("&amp;SUBSTITUTE($E2172," ","")&amp;")")</f>
        <v/>
      </c>
      <c r="R2172">
        <f>IF($A2172="","",$B2172&amp;" - "&amp;$C2172)</f>
        <v/>
      </c>
      <c r="S2172">
        <f>IF($A2172="","",$R2172&amp;"|"&amp;$Q2172)</f>
        <v/>
      </c>
      <c r="T2172">
        <f>IF($A2172="","",$S2172&amp;"|"&amp;$F2172)</f>
        <v/>
      </c>
      <c r="U2172">
        <f>IF($A2172="","",$R2172&amp;"("&amp;$E2172&amp;")")</f>
        <v/>
      </c>
      <c r="V2172">
        <f>IF($A2172="","",$F2172&amp;"|"&amp;$U2172&amp;"|"&amp;$D2172)</f>
        <v/>
      </c>
      <c r="W2172">
        <f>IF($T2172="","",IF($X2172&gt;N($X2171),$X2172,""))</f>
        <v/>
      </c>
      <c r="X2172">
        <f>IF($T2172="",N($X2171),IF(MATCH($T2172,$T$6:$T$6005,0)=ROW()-5,N($X2171)+1,N($X2171)))</f>
        <v/>
      </c>
      <c r="Z2172">
        <f>IF($V2172="","",IF($AA2172&gt;N($AA2171),$AA2172,""))</f>
        <v/>
      </c>
      <c r="AA2172">
        <f>IF($V2172="",N($AA2171),IF(MATCH($V2172,$V$6:$V$6005,0)=ROW()-5,N($AA2171)+1,N($AA2171)))</f>
        <v/>
      </c>
    </row>
    <row r="2173" ht="21" customHeight="1" s="66">
      <c r="A2173" s="56" t="n"/>
      <c r="B2173" s="57" t="n"/>
      <c r="C2173" s="57" t="n"/>
      <c r="D2173" s="57" t="n"/>
      <c r="E2173" s="56" t="n"/>
      <c r="F2173" s="57" t="n"/>
      <c r="G2173" s="57" t="n"/>
      <c r="H2173" s="56" t="n"/>
      <c r="I2173" s="56" t="n"/>
      <c r="J2173" s="58" t="n"/>
      <c r="K2173" s="58" t="n"/>
      <c r="L2173" s="13">
        <f>IF(OR($A2173="",AND($J2173="",$K2173="")),"",ROUND(N($J2173)-N($K2173),2))</f>
        <v/>
      </c>
      <c r="M2173" s="13">
        <f>IF(OR($A2173="",AND($J2173="",$K2173="")),"",MIN($J2173,$K2173))</f>
        <v/>
      </c>
      <c r="Q2173">
        <f>IF($A2173="","",$D2173&amp;"("&amp;SUBSTITUTE($E2173," ","")&amp;")")</f>
        <v/>
      </c>
      <c r="R2173">
        <f>IF($A2173="","",$B2173&amp;" - "&amp;$C2173)</f>
        <v/>
      </c>
      <c r="S2173">
        <f>IF($A2173="","",$R2173&amp;"|"&amp;$Q2173)</f>
        <v/>
      </c>
      <c r="T2173">
        <f>IF($A2173="","",$S2173&amp;"|"&amp;$F2173)</f>
        <v/>
      </c>
      <c r="U2173">
        <f>IF($A2173="","",$R2173&amp;"("&amp;$E2173&amp;")")</f>
        <v/>
      </c>
      <c r="V2173">
        <f>IF($A2173="","",$F2173&amp;"|"&amp;$U2173&amp;"|"&amp;$D2173)</f>
        <v/>
      </c>
      <c r="W2173">
        <f>IF($T2173="","",IF($X2173&gt;N($X2172),$X2173,""))</f>
        <v/>
      </c>
      <c r="X2173">
        <f>IF($T2173="",N($X2172),IF(MATCH($T2173,$T$6:$T$6005,0)=ROW()-5,N($X2172)+1,N($X2172)))</f>
        <v/>
      </c>
      <c r="Z2173">
        <f>IF($V2173="","",IF($AA2173&gt;N($AA2172),$AA2173,""))</f>
        <v/>
      </c>
      <c r="AA2173">
        <f>IF($V2173="",N($AA2172),IF(MATCH($V2173,$V$6:$V$6005,0)=ROW()-5,N($AA2172)+1,N($AA2172)))</f>
        <v/>
      </c>
    </row>
    <row r="2174" ht="21" customHeight="1" s="66">
      <c r="A2174" s="56" t="n"/>
      <c r="B2174" s="57" t="n"/>
      <c r="C2174" s="57" t="n"/>
      <c r="D2174" s="57" t="n"/>
      <c r="E2174" s="56" t="n"/>
      <c r="F2174" s="57" t="n"/>
      <c r="G2174" s="57" t="n"/>
      <c r="H2174" s="56" t="n"/>
      <c r="I2174" s="56" t="n"/>
      <c r="J2174" s="58" t="n"/>
      <c r="K2174" s="58" t="n"/>
      <c r="L2174" s="13">
        <f>IF(OR($A2174="",AND($J2174="",$K2174="")),"",ROUND(N($J2174)-N($K2174),2))</f>
        <v/>
      </c>
      <c r="M2174" s="13">
        <f>IF(OR($A2174="",AND($J2174="",$K2174="")),"",MIN($J2174,$K2174))</f>
        <v/>
      </c>
      <c r="Q2174">
        <f>IF($A2174="","",$D2174&amp;"("&amp;SUBSTITUTE($E2174," ","")&amp;")")</f>
        <v/>
      </c>
      <c r="R2174">
        <f>IF($A2174="","",$B2174&amp;" - "&amp;$C2174)</f>
        <v/>
      </c>
      <c r="S2174">
        <f>IF($A2174="","",$R2174&amp;"|"&amp;$Q2174)</f>
        <v/>
      </c>
      <c r="T2174">
        <f>IF($A2174="","",$S2174&amp;"|"&amp;$F2174)</f>
        <v/>
      </c>
      <c r="U2174">
        <f>IF($A2174="","",$R2174&amp;"("&amp;$E2174&amp;")")</f>
        <v/>
      </c>
      <c r="V2174">
        <f>IF($A2174="","",$F2174&amp;"|"&amp;$U2174&amp;"|"&amp;$D2174)</f>
        <v/>
      </c>
      <c r="W2174">
        <f>IF($T2174="","",IF($X2174&gt;N($X2173),$X2174,""))</f>
        <v/>
      </c>
      <c r="X2174">
        <f>IF($T2174="",N($X2173),IF(MATCH($T2174,$T$6:$T$6005,0)=ROW()-5,N($X2173)+1,N($X2173)))</f>
        <v/>
      </c>
      <c r="Z2174">
        <f>IF($V2174="","",IF($AA2174&gt;N($AA2173),$AA2174,""))</f>
        <v/>
      </c>
      <c r="AA2174">
        <f>IF($V2174="",N($AA2173),IF(MATCH($V2174,$V$6:$V$6005,0)=ROW()-5,N($AA2173)+1,N($AA2173)))</f>
        <v/>
      </c>
    </row>
    <row r="2175" ht="21" customHeight="1" s="66">
      <c r="A2175" s="56" t="n"/>
      <c r="B2175" s="57" t="n"/>
      <c r="C2175" s="57" t="n"/>
      <c r="D2175" s="57" t="n"/>
      <c r="E2175" s="56" t="n"/>
      <c r="F2175" s="57" t="n"/>
      <c r="G2175" s="57" t="n"/>
      <c r="H2175" s="56" t="n"/>
      <c r="I2175" s="56" t="n"/>
      <c r="J2175" s="58" t="n"/>
      <c r="K2175" s="58" t="n"/>
      <c r="L2175" s="13">
        <f>IF(OR($A2175="",AND($J2175="",$K2175="")),"",ROUND(N($J2175)-N($K2175),2))</f>
        <v/>
      </c>
      <c r="M2175" s="13">
        <f>IF(OR($A2175="",AND($J2175="",$K2175="")),"",MIN($J2175,$K2175))</f>
        <v/>
      </c>
      <c r="Q2175">
        <f>IF($A2175="","",$D2175&amp;"("&amp;SUBSTITUTE($E2175," ","")&amp;")")</f>
        <v/>
      </c>
      <c r="R2175">
        <f>IF($A2175="","",$B2175&amp;" - "&amp;$C2175)</f>
        <v/>
      </c>
      <c r="S2175">
        <f>IF($A2175="","",$R2175&amp;"|"&amp;$Q2175)</f>
        <v/>
      </c>
      <c r="T2175">
        <f>IF($A2175="","",$S2175&amp;"|"&amp;$F2175)</f>
        <v/>
      </c>
      <c r="U2175">
        <f>IF($A2175="","",$R2175&amp;"("&amp;$E2175&amp;")")</f>
        <v/>
      </c>
      <c r="V2175">
        <f>IF($A2175="","",$F2175&amp;"|"&amp;$U2175&amp;"|"&amp;$D2175)</f>
        <v/>
      </c>
      <c r="W2175">
        <f>IF($T2175="","",IF($X2175&gt;N($X2174),$X2175,""))</f>
        <v/>
      </c>
      <c r="X2175">
        <f>IF($T2175="",N($X2174),IF(MATCH($T2175,$T$6:$T$6005,0)=ROW()-5,N($X2174)+1,N($X2174)))</f>
        <v/>
      </c>
      <c r="Z2175">
        <f>IF($V2175="","",IF($AA2175&gt;N($AA2174),$AA2175,""))</f>
        <v/>
      </c>
      <c r="AA2175">
        <f>IF($V2175="",N($AA2174),IF(MATCH($V2175,$V$6:$V$6005,0)=ROW()-5,N($AA2174)+1,N($AA2174)))</f>
        <v/>
      </c>
    </row>
    <row r="2176" ht="21" customHeight="1" s="66">
      <c r="A2176" s="56" t="n"/>
      <c r="B2176" s="57" t="n"/>
      <c r="C2176" s="57" t="n"/>
      <c r="D2176" s="57" t="n"/>
      <c r="E2176" s="56" t="n"/>
      <c r="F2176" s="57" t="n"/>
      <c r="G2176" s="57" t="n"/>
      <c r="H2176" s="56" t="n"/>
      <c r="I2176" s="56" t="n"/>
      <c r="J2176" s="58" t="n"/>
      <c r="K2176" s="58" t="n"/>
      <c r="L2176" s="13">
        <f>IF(OR($A2176="",AND($J2176="",$K2176="")),"",ROUND(N($J2176)-N($K2176),2))</f>
        <v/>
      </c>
      <c r="M2176" s="13">
        <f>IF(OR($A2176="",AND($J2176="",$K2176="")),"",MIN($J2176,$K2176))</f>
        <v/>
      </c>
      <c r="Q2176">
        <f>IF($A2176="","",$D2176&amp;"("&amp;SUBSTITUTE($E2176," ","")&amp;")")</f>
        <v/>
      </c>
      <c r="R2176">
        <f>IF($A2176="","",$B2176&amp;" - "&amp;$C2176)</f>
        <v/>
      </c>
      <c r="S2176">
        <f>IF($A2176="","",$R2176&amp;"|"&amp;$Q2176)</f>
        <v/>
      </c>
      <c r="T2176">
        <f>IF($A2176="","",$S2176&amp;"|"&amp;$F2176)</f>
        <v/>
      </c>
      <c r="U2176">
        <f>IF($A2176="","",$R2176&amp;"("&amp;$E2176&amp;")")</f>
        <v/>
      </c>
      <c r="V2176">
        <f>IF($A2176="","",$F2176&amp;"|"&amp;$U2176&amp;"|"&amp;$D2176)</f>
        <v/>
      </c>
      <c r="W2176">
        <f>IF($T2176="","",IF($X2176&gt;N($X2175),$X2176,""))</f>
        <v/>
      </c>
      <c r="X2176">
        <f>IF($T2176="",N($X2175),IF(MATCH($T2176,$T$6:$T$6005,0)=ROW()-5,N($X2175)+1,N($X2175)))</f>
        <v/>
      </c>
      <c r="Z2176">
        <f>IF($V2176="","",IF($AA2176&gt;N($AA2175),$AA2176,""))</f>
        <v/>
      </c>
      <c r="AA2176">
        <f>IF($V2176="",N($AA2175),IF(MATCH($V2176,$V$6:$V$6005,0)=ROW()-5,N($AA2175)+1,N($AA2175)))</f>
        <v/>
      </c>
    </row>
    <row r="2177" ht="21" customHeight="1" s="66">
      <c r="A2177" s="56" t="n"/>
      <c r="B2177" s="57" t="n"/>
      <c r="C2177" s="57" t="n"/>
      <c r="D2177" s="57" t="n"/>
      <c r="E2177" s="56" t="n"/>
      <c r="F2177" s="57" t="n"/>
      <c r="G2177" s="57" t="n"/>
      <c r="H2177" s="56" t="n"/>
      <c r="I2177" s="56" t="n"/>
      <c r="J2177" s="58" t="n"/>
      <c r="K2177" s="58" t="n"/>
      <c r="L2177" s="13">
        <f>IF(OR($A2177="",AND($J2177="",$K2177="")),"",ROUND(N($J2177)-N($K2177),2))</f>
        <v/>
      </c>
      <c r="M2177" s="13">
        <f>IF(OR($A2177="",AND($J2177="",$K2177="")),"",MIN($J2177,$K2177))</f>
        <v/>
      </c>
      <c r="Q2177">
        <f>IF($A2177="","",$D2177&amp;"("&amp;SUBSTITUTE($E2177," ","")&amp;")")</f>
        <v/>
      </c>
      <c r="R2177">
        <f>IF($A2177="","",$B2177&amp;" - "&amp;$C2177)</f>
        <v/>
      </c>
      <c r="S2177">
        <f>IF($A2177="","",$R2177&amp;"|"&amp;$Q2177)</f>
        <v/>
      </c>
      <c r="T2177">
        <f>IF($A2177="","",$S2177&amp;"|"&amp;$F2177)</f>
        <v/>
      </c>
      <c r="U2177">
        <f>IF($A2177="","",$R2177&amp;"("&amp;$E2177&amp;")")</f>
        <v/>
      </c>
      <c r="V2177">
        <f>IF($A2177="","",$F2177&amp;"|"&amp;$U2177&amp;"|"&amp;$D2177)</f>
        <v/>
      </c>
      <c r="W2177">
        <f>IF($T2177="","",IF($X2177&gt;N($X2176),$X2177,""))</f>
        <v/>
      </c>
      <c r="X2177">
        <f>IF($T2177="",N($X2176),IF(MATCH($T2177,$T$6:$T$6005,0)=ROW()-5,N($X2176)+1,N($X2176)))</f>
        <v/>
      </c>
      <c r="Z2177">
        <f>IF($V2177="","",IF($AA2177&gt;N($AA2176),$AA2177,""))</f>
        <v/>
      </c>
      <c r="AA2177">
        <f>IF($V2177="",N($AA2176),IF(MATCH($V2177,$V$6:$V$6005,0)=ROW()-5,N($AA2176)+1,N($AA2176)))</f>
        <v/>
      </c>
    </row>
    <row r="2178" ht="21" customHeight="1" s="66">
      <c r="A2178" s="56" t="n"/>
      <c r="B2178" s="57" t="n"/>
      <c r="C2178" s="57" t="n"/>
      <c r="D2178" s="57" t="n"/>
      <c r="E2178" s="56" t="n"/>
      <c r="F2178" s="57" t="n"/>
      <c r="G2178" s="57" t="n"/>
      <c r="H2178" s="56" t="n"/>
      <c r="I2178" s="56" t="n"/>
      <c r="J2178" s="58" t="n"/>
      <c r="K2178" s="58" t="n"/>
      <c r="L2178" s="13">
        <f>IF(OR($A2178="",AND($J2178="",$K2178="")),"",ROUND(N($J2178)-N($K2178),2))</f>
        <v/>
      </c>
      <c r="M2178" s="13">
        <f>IF(OR($A2178="",AND($J2178="",$K2178="")),"",MIN($J2178,$K2178))</f>
        <v/>
      </c>
      <c r="Q2178">
        <f>IF($A2178="","",$D2178&amp;"("&amp;SUBSTITUTE($E2178," ","")&amp;")")</f>
        <v/>
      </c>
      <c r="R2178">
        <f>IF($A2178="","",$B2178&amp;" - "&amp;$C2178)</f>
        <v/>
      </c>
      <c r="S2178">
        <f>IF($A2178="","",$R2178&amp;"|"&amp;$Q2178)</f>
        <v/>
      </c>
      <c r="T2178">
        <f>IF($A2178="","",$S2178&amp;"|"&amp;$F2178)</f>
        <v/>
      </c>
      <c r="U2178">
        <f>IF($A2178="","",$R2178&amp;"("&amp;$E2178&amp;")")</f>
        <v/>
      </c>
      <c r="V2178">
        <f>IF($A2178="","",$F2178&amp;"|"&amp;$U2178&amp;"|"&amp;$D2178)</f>
        <v/>
      </c>
      <c r="W2178">
        <f>IF($T2178="","",IF($X2178&gt;N($X2177),$X2178,""))</f>
        <v/>
      </c>
      <c r="X2178">
        <f>IF($T2178="",N($X2177),IF(MATCH($T2178,$T$6:$T$6005,0)=ROW()-5,N($X2177)+1,N($X2177)))</f>
        <v/>
      </c>
      <c r="Z2178">
        <f>IF($V2178="","",IF($AA2178&gt;N($AA2177),$AA2178,""))</f>
        <v/>
      </c>
      <c r="AA2178">
        <f>IF($V2178="",N($AA2177),IF(MATCH($V2178,$V$6:$V$6005,0)=ROW()-5,N($AA2177)+1,N($AA2177)))</f>
        <v/>
      </c>
    </row>
    <row r="2179" ht="21" customHeight="1" s="66">
      <c r="A2179" s="56" t="n"/>
      <c r="B2179" s="57" t="n"/>
      <c r="C2179" s="57" t="n"/>
      <c r="D2179" s="57" t="n"/>
      <c r="E2179" s="56" t="n"/>
      <c r="F2179" s="57" t="n"/>
      <c r="G2179" s="57" t="n"/>
      <c r="H2179" s="56" t="n"/>
      <c r="I2179" s="56" t="n"/>
      <c r="J2179" s="58" t="n"/>
      <c r="K2179" s="58" t="n"/>
      <c r="L2179" s="13">
        <f>IF(OR($A2179="",AND($J2179="",$K2179="")),"",ROUND(N($J2179)-N($K2179),2))</f>
        <v/>
      </c>
      <c r="M2179" s="13">
        <f>IF(OR($A2179="",AND($J2179="",$K2179="")),"",MIN($J2179,$K2179))</f>
        <v/>
      </c>
      <c r="Q2179">
        <f>IF($A2179="","",$D2179&amp;"("&amp;SUBSTITUTE($E2179," ","")&amp;")")</f>
        <v/>
      </c>
      <c r="R2179">
        <f>IF($A2179="","",$B2179&amp;" - "&amp;$C2179)</f>
        <v/>
      </c>
      <c r="S2179">
        <f>IF($A2179="","",$R2179&amp;"|"&amp;$Q2179)</f>
        <v/>
      </c>
      <c r="T2179">
        <f>IF($A2179="","",$S2179&amp;"|"&amp;$F2179)</f>
        <v/>
      </c>
      <c r="U2179">
        <f>IF($A2179="","",$R2179&amp;"("&amp;$E2179&amp;")")</f>
        <v/>
      </c>
      <c r="V2179">
        <f>IF($A2179="","",$F2179&amp;"|"&amp;$U2179&amp;"|"&amp;$D2179)</f>
        <v/>
      </c>
      <c r="W2179">
        <f>IF($T2179="","",IF($X2179&gt;N($X2178),$X2179,""))</f>
        <v/>
      </c>
      <c r="X2179">
        <f>IF($T2179="",N($X2178),IF(MATCH($T2179,$T$6:$T$6005,0)=ROW()-5,N($X2178)+1,N($X2178)))</f>
        <v/>
      </c>
      <c r="Z2179">
        <f>IF($V2179="","",IF($AA2179&gt;N($AA2178),$AA2179,""))</f>
        <v/>
      </c>
      <c r="AA2179">
        <f>IF($V2179="",N($AA2178),IF(MATCH($V2179,$V$6:$V$6005,0)=ROW()-5,N($AA2178)+1,N($AA2178)))</f>
        <v/>
      </c>
    </row>
    <row r="2180" ht="21" customHeight="1" s="66">
      <c r="A2180" s="56" t="n"/>
      <c r="B2180" s="57" t="n"/>
      <c r="C2180" s="57" t="n"/>
      <c r="D2180" s="57" t="n"/>
      <c r="E2180" s="56" t="n"/>
      <c r="F2180" s="57" t="n"/>
      <c r="G2180" s="57" t="n"/>
      <c r="H2180" s="56" t="n"/>
      <c r="I2180" s="56" t="n"/>
      <c r="J2180" s="58" t="n"/>
      <c r="K2180" s="58" t="n"/>
      <c r="L2180" s="13">
        <f>IF(OR($A2180="",AND($J2180="",$K2180="")),"",ROUND(N($J2180)-N($K2180),2))</f>
        <v/>
      </c>
      <c r="M2180" s="13">
        <f>IF(OR($A2180="",AND($J2180="",$K2180="")),"",MIN($J2180,$K2180))</f>
        <v/>
      </c>
      <c r="Q2180">
        <f>IF($A2180="","",$D2180&amp;"("&amp;SUBSTITUTE($E2180," ","")&amp;")")</f>
        <v/>
      </c>
      <c r="R2180">
        <f>IF($A2180="","",$B2180&amp;" - "&amp;$C2180)</f>
        <v/>
      </c>
      <c r="S2180">
        <f>IF($A2180="","",$R2180&amp;"|"&amp;$Q2180)</f>
        <v/>
      </c>
      <c r="T2180">
        <f>IF($A2180="","",$S2180&amp;"|"&amp;$F2180)</f>
        <v/>
      </c>
      <c r="U2180">
        <f>IF($A2180="","",$R2180&amp;"("&amp;$E2180&amp;")")</f>
        <v/>
      </c>
      <c r="V2180">
        <f>IF($A2180="","",$F2180&amp;"|"&amp;$U2180&amp;"|"&amp;$D2180)</f>
        <v/>
      </c>
      <c r="W2180">
        <f>IF($T2180="","",IF($X2180&gt;N($X2179),$X2180,""))</f>
        <v/>
      </c>
      <c r="X2180">
        <f>IF($T2180="",N($X2179),IF(MATCH($T2180,$T$6:$T$6005,0)=ROW()-5,N($X2179)+1,N($X2179)))</f>
        <v/>
      </c>
      <c r="Z2180">
        <f>IF($V2180="","",IF($AA2180&gt;N($AA2179),$AA2180,""))</f>
        <v/>
      </c>
      <c r="AA2180">
        <f>IF($V2180="",N($AA2179),IF(MATCH($V2180,$V$6:$V$6005,0)=ROW()-5,N($AA2179)+1,N($AA2179)))</f>
        <v/>
      </c>
    </row>
    <row r="2181" ht="21" customHeight="1" s="66">
      <c r="A2181" s="56" t="n"/>
      <c r="B2181" s="57" t="n"/>
      <c r="C2181" s="57" t="n"/>
      <c r="D2181" s="57" t="n"/>
      <c r="E2181" s="56" t="n"/>
      <c r="F2181" s="57" t="n"/>
      <c r="G2181" s="57" t="n"/>
      <c r="H2181" s="56" t="n"/>
      <c r="I2181" s="56" t="n"/>
      <c r="J2181" s="58" t="n"/>
      <c r="K2181" s="58" t="n"/>
      <c r="L2181" s="13">
        <f>IF(OR($A2181="",AND($J2181="",$K2181="")),"",ROUND(N($J2181)-N($K2181),2))</f>
        <v/>
      </c>
      <c r="M2181" s="13">
        <f>IF(OR($A2181="",AND($J2181="",$K2181="")),"",MIN($J2181,$K2181))</f>
        <v/>
      </c>
      <c r="Q2181">
        <f>IF($A2181="","",$D2181&amp;"("&amp;SUBSTITUTE($E2181," ","")&amp;")")</f>
        <v/>
      </c>
      <c r="R2181">
        <f>IF($A2181="","",$B2181&amp;" - "&amp;$C2181)</f>
        <v/>
      </c>
      <c r="S2181">
        <f>IF($A2181="","",$R2181&amp;"|"&amp;$Q2181)</f>
        <v/>
      </c>
      <c r="T2181">
        <f>IF($A2181="","",$S2181&amp;"|"&amp;$F2181)</f>
        <v/>
      </c>
      <c r="U2181">
        <f>IF($A2181="","",$R2181&amp;"("&amp;$E2181&amp;")")</f>
        <v/>
      </c>
      <c r="V2181">
        <f>IF($A2181="","",$F2181&amp;"|"&amp;$U2181&amp;"|"&amp;$D2181)</f>
        <v/>
      </c>
      <c r="W2181">
        <f>IF($T2181="","",IF($X2181&gt;N($X2180),$X2181,""))</f>
        <v/>
      </c>
      <c r="X2181">
        <f>IF($T2181="",N($X2180),IF(MATCH($T2181,$T$6:$T$6005,0)=ROW()-5,N($X2180)+1,N($X2180)))</f>
        <v/>
      </c>
      <c r="Z2181">
        <f>IF($V2181="","",IF($AA2181&gt;N($AA2180),$AA2181,""))</f>
        <v/>
      </c>
      <c r="AA2181">
        <f>IF($V2181="",N($AA2180),IF(MATCH($V2181,$V$6:$V$6005,0)=ROW()-5,N($AA2180)+1,N($AA2180)))</f>
        <v/>
      </c>
    </row>
    <row r="2182" ht="21" customHeight="1" s="66">
      <c r="A2182" s="56" t="n"/>
      <c r="B2182" s="57" t="n"/>
      <c r="C2182" s="57" t="n"/>
      <c r="D2182" s="57" t="n"/>
      <c r="E2182" s="56" t="n"/>
      <c r="F2182" s="57" t="n"/>
      <c r="G2182" s="57" t="n"/>
      <c r="H2182" s="56" t="n"/>
      <c r="I2182" s="56" t="n"/>
      <c r="J2182" s="58" t="n"/>
      <c r="K2182" s="58" t="n"/>
      <c r="L2182" s="13">
        <f>IF(OR($A2182="",AND($J2182="",$K2182="")),"",ROUND(N($J2182)-N($K2182),2))</f>
        <v/>
      </c>
      <c r="M2182" s="13">
        <f>IF(OR($A2182="",AND($J2182="",$K2182="")),"",MIN($J2182,$K2182))</f>
        <v/>
      </c>
      <c r="Q2182">
        <f>IF($A2182="","",$D2182&amp;"("&amp;SUBSTITUTE($E2182," ","")&amp;")")</f>
        <v/>
      </c>
      <c r="R2182">
        <f>IF($A2182="","",$B2182&amp;" - "&amp;$C2182)</f>
        <v/>
      </c>
      <c r="S2182">
        <f>IF($A2182="","",$R2182&amp;"|"&amp;$Q2182)</f>
        <v/>
      </c>
      <c r="T2182">
        <f>IF($A2182="","",$S2182&amp;"|"&amp;$F2182)</f>
        <v/>
      </c>
      <c r="U2182">
        <f>IF($A2182="","",$R2182&amp;"("&amp;$E2182&amp;")")</f>
        <v/>
      </c>
      <c r="V2182">
        <f>IF($A2182="","",$F2182&amp;"|"&amp;$U2182&amp;"|"&amp;$D2182)</f>
        <v/>
      </c>
      <c r="W2182">
        <f>IF($T2182="","",IF($X2182&gt;N($X2181),$X2182,""))</f>
        <v/>
      </c>
      <c r="X2182">
        <f>IF($T2182="",N($X2181),IF(MATCH($T2182,$T$6:$T$6005,0)=ROW()-5,N($X2181)+1,N($X2181)))</f>
        <v/>
      </c>
      <c r="Z2182">
        <f>IF($V2182="","",IF($AA2182&gt;N($AA2181),$AA2182,""))</f>
        <v/>
      </c>
      <c r="AA2182">
        <f>IF($V2182="",N($AA2181),IF(MATCH($V2182,$V$6:$V$6005,0)=ROW()-5,N($AA2181)+1,N($AA2181)))</f>
        <v/>
      </c>
    </row>
    <row r="2183" ht="21" customHeight="1" s="66">
      <c r="A2183" s="56" t="n"/>
      <c r="B2183" s="57" t="n"/>
      <c r="C2183" s="57" t="n"/>
      <c r="D2183" s="57" t="n"/>
      <c r="E2183" s="56" t="n"/>
      <c r="F2183" s="57" t="n"/>
      <c r="G2183" s="57" t="n"/>
      <c r="H2183" s="56" t="n"/>
      <c r="I2183" s="56" t="n"/>
      <c r="J2183" s="58" t="n"/>
      <c r="K2183" s="58" t="n"/>
      <c r="L2183" s="13">
        <f>IF(OR($A2183="",AND($J2183="",$K2183="")),"",ROUND(N($J2183)-N($K2183),2))</f>
        <v/>
      </c>
      <c r="M2183" s="13">
        <f>IF(OR($A2183="",AND($J2183="",$K2183="")),"",MIN($J2183,$K2183))</f>
        <v/>
      </c>
      <c r="Q2183">
        <f>IF($A2183="","",$D2183&amp;"("&amp;SUBSTITUTE($E2183," ","")&amp;")")</f>
        <v/>
      </c>
      <c r="R2183">
        <f>IF($A2183="","",$B2183&amp;" - "&amp;$C2183)</f>
        <v/>
      </c>
      <c r="S2183">
        <f>IF($A2183="","",$R2183&amp;"|"&amp;$Q2183)</f>
        <v/>
      </c>
      <c r="T2183">
        <f>IF($A2183="","",$S2183&amp;"|"&amp;$F2183)</f>
        <v/>
      </c>
      <c r="U2183">
        <f>IF($A2183="","",$R2183&amp;"("&amp;$E2183&amp;")")</f>
        <v/>
      </c>
      <c r="V2183">
        <f>IF($A2183="","",$F2183&amp;"|"&amp;$U2183&amp;"|"&amp;$D2183)</f>
        <v/>
      </c>
      <c r="W2183">
        <f>IF($T2183="","",IF($X2183&gt;N($X2182),$X2183,""))</f>
        <v/>
      </c>
      <c r="X2183">
        <f>IF($T2183="",N($X2182),IF(MATCH($T2183,$T$6:$T$6005,0)=ROW()-5,N($X2182)+1,N($X2182)))</f>
        <v/>
      </c>
      <c r="Z2183">
        <f>IF($V2183="","",IF($AA2183&gt;N($AA2182),$AA2183,""))</f>
        <v/>
      </c>
      <c r="AA2183">
        <f>IF($V2183="",N($AA2182),IF(MATCH($V2183,$V$6:$V$6005,0)=ROW()-5,N($AA2182)+1,N($AA2182)))</f>
        <v/>
      </c>
    </row>
    <row r="2184" ht="21" customHeight="1" s="66">
      <c r="A2184" s="56" t="n"/>
      <c r="B2184" s="57" t="n"/>
      <c r="C2184" s="57" t="n"/>
      <c r="D2184" s="57" t="n"/>
      <c r="E2184" s="56" t="n"/>
      <c r="F2184" s="57" t="n"/>
      <c r="G2184" s="57" t="n"/>
      <c r="H2184" s="56" t="n"/>
      <c r="I2184" s="56" t="n"/>
      <c r="J2184" s="58" t="n"/>
      <c r="K2184" s="58" t="n"/>
      <c r="L2184" s="13">
        <f>IF(OR($A2184="",AND($J2184="",$K2184="")),"",ROUND(N($J2184)-N($K2184),2))</f>
        <v/>
      </c>
      <c r="M2184" s="13">
        <f>IF(OR($A2184="",AND($J2184="",$K2184="")),"",MIN($J2184,$K2184))</f>
        <v/>
      </c>
      <c r="Q2184">
        <f>IF($A2184="","",$D2184&amp;"("&amp;SUBSTITUTE($E2184," ","")&amp;")")</f>
        <v/>
      </c>
      <c r="R2184">
        <f>IF($A2184="","",$B2184&amp;" - "&amp;$C2184)</f>
        <v/>
      </c>
      <c r="S2184">
        <f>IF($A2184="","",$R2184&amp;"|"&amp;$Q2184)</f>
        <v/>
      </c>
      <c r="T2184">
        <f>IF($A2184="","",$S2184&amp;"|"&amp;$F2184)</f>
        <v/>
      </c>
      <c r="U2184">
        <f>IF($A2184="","",$R2184&amp;"("&amp;$E2184&amp;")")</f>
        <v/>
      </c>
      <c r="V2184">
        <f>IF($A2184="","",$F2184&amp;"|"&amp;$U2184&amp;"|"&amp;$D2184)</f>
        <v/>
      </c>
      <c r="W2184">
        <f>IF($T2184="","",IF($X2184&gt;N($X2183),$X2184,""))</f>
        <v/>
      </c>
      <c r="X2184">
        <f>IF($T2184="",N($X2183),IF(MATCH($T2184,$T$6:$T$6005,0)=ROW()-5,N($X2183)+1,N($X2183)))</f>
        <v/>
      </c>
      <c r="Z2184">
        <f>IF($V2184="","",IF($AA2184&gt;N($AA2183),$AA2184,""))</f>
        <v/>
      </c>
      <c r="AA2184">
        <f>IF($V2184="",N($AA2183),IF(MATCH($V2184,$V$6:$V$6005,0)=ROW()-5,N($AA2183)+1,N($AA2183)))</f>
        <v/>
      </c>
    </row>
    <row r="2185" ht="21" customHeight="1" s="66">
      <c r="A2185" s="56" t="n"/>
      <c r="B2185" s="57" t="n"/>
      <c r="C2185" s="57" t="n"/>
      <c r="D2185" s="57" t="n"/>
      <c r="E2185" s="56" t="n"/>
      <c r="F2185" s="57" t="n"/>
      <c r="G2185" s="57" t="n"/>
      <c r="H2185" s="56" t="n"/>
      <c r="I2185" s="56" t="n"/>
      <c r="J2185" s="58" t="n"/>
      <c r="K2185" s="58" t="n"/>
      <c r="L2185" s="13">
        <f>IF(OR($A2185="",AND($J2185="",$K2185="")),"",ROUND(N($J2185)-N($K2185),2))</f>
        <v/>
      </c>
      <c r="M2185" s="13">
        <f>IF(OR($A2185="",AND($J2185="",$K2185="")),"",MIN($J2185,$K2185))</f>
        <v/>
      </c>
      <c r="Q2185">
        <f>IF($A2185="","",$D2185&amp;"("&amp;SUBSTITUTE($E2185," ","")&amp;")")</f>
        <v/>
      </c>
      <c r="R2185">
        <f>IF($A2185="","",$B2185&amp;" - "&amp;$C2185)</f>
        <v/>
      </c>
      <c r="S2185">
        <f>IF($A2185="","",$R2185&amp;"|"&amp;$Q2185)</f>
        <v/>
      </c>
      <c r="T2185">
        <f>IF($A2185="","",$S2185&amp;"|"&amp;$F2185)</f>
        <v/>
      </c>
      <c r="U2185">
        <f>IF($A2185="","",$R2185&amp;"("&amp;$E2185&amp;")")</f>
        <v/>
      </c>
      <c r="V2185">
        <f>IF($A2185="","",$F2185&amp;"|"&amp;$U2185&amp;"|"&amp;$D2185)</f>
        <v/>
      </c>
      <c r="W2185">
        <f>IF($T2185="","",IF($X2185&gt;N($X2184),$X2185,""))</f>
        <v/>
      </c>
      <c r="X2185">
        <f>IF($T2185="",N($X2184),IF(MATCH($T2185,$T$6:$T$6005,0)=ROW()-5,N($X2184)+1,N($X2184)))</f>
        <v/>
      </c>
      <c r="Z2185">
        <f>IF($V2185="","",IF($AA2185&gt;N($AA2184),$AA2185,""))</f>
        <v/>
      </c>
      <c r="AA2185">
        <f>IF($V2185="",N($AA2184),IF(MATCH($V2185,$V$6:$V$6005,0)=ROW()-5,N($AA2184)+1,N($AA2184)))</f>
        <v/>
      </c>
    </row>
    <row r="2186" ht="21" customHeight="1" s="66">
      <c r="A2186" s="56" t="n"/>
      <c r="B2186" s="57" t="n"/>
      <c r="C2186" s="57" t="n"/>
      <c r="D2186" s="57" t="n"/>
      <c r="E2186" s="56" t="n"/>
      <c r="F2186" s="57" t="n"/>
      <c r="G2186" s="57" t="n"/>
      <c r="H2186" s="56" t="n"/>
      <c r="I2186" s="56" t="n"/>
      <c r="J2186" s="58" t="n"/>
      <c r="K2186" s="58" t="n"/>
      <c r="L2186" s="13">
        <f>IF(OR($A2186="",AND($J2186="",$K2186="")),"",ROUND(N($J2186)-N($K2186),2))</f>
        <v/>
      </c>
      <c r="M2186" s="13">
        <f>IF(OR($A2186="",AND($J2186="",$K2186="")),"",MIN($J2186,$K2186))</f>
        <v/>
      </c>
      <c r="Q2186">
        <f>IF($A2186="","",$D2186&amp;"("&amp;SUBSTITUTE($E2186," ","")&amp;")")</f>
        <v/>
      </c>
      <c r="R2186">
        <f>IF($A2186="","",$B2186&amp;" - "&amp;$C2186)</f>
        <v/>
      </c>
      <c r="S2186">
        <f>IF($A2186="","",$R2186&amp;"|"&amp;$Q2186)</f>
        <v/>
      </c>
      <c r="T2186">
        <f>IF($A2186="","",$S2186&amp;"|"&amp;$F2186)</f>
        <v/>
      </c>
      <c r="U2186">
        <f>IF($A2186="","",$R2186&amp;"("&amp;$E2186&amp;")")</f>
        <v/>
      </c>
      <c r="V2186">
        <f>IF($A2186="","",$F2186&amp;"|"&amp;$U2186&amp;"|"&amp;$D2186)</f>
        <v/>
      </c>
      <c r="W2186">
        <f>IF($T2186="","",IF($X2186&gt;N($X2185),$X2186,""))</f>
        <v/>
      </c>
      <c r="X2186">
        <f>IF($T2186="",N($X2185),IF(MATCH($T2186,$T$6:$T$6005,0)=ROW()-5,N($X2185)+1,N($X2185)))</f>
        <v/>
      </c>
      <c r="Z2186">
        <f>IF($V2186="","",IF($AA2186&gt;N($AA2185),$AA2186,""))</f>
        <v/>
      </c>
      <c r="AA2186">
        <f>IF($V2186="",N($AA2185),IF(MATCH($V2186,$V$6:$V$6005,0)=ROW()-5,N($AA2185)+1,N($AA2185)))</f>
        <v/>
      </c>
    </row>
    <row r="2187" ht="21" customHeight="1" s="66">
      <c r="A2187" s="56" t="n"/>
      <c r="B2187" s="57" t="n"/>
      <c r="C2187" s="57" t="n"/>
      <c r="D2187" s="57" t="n"/>
      <c r="E2187" s="56" t="n"/>
      <c r="F2187" s="57" t="n"/>
      <c r="G2187" s="57" t="n"/>
      <c r="H2187" s="56" t="n"/>
      <c r="I2187" s="56" t="n"/>
      <c r="J2187" s="58" t="n"/>
      <c r="K2187" s="58" t="n"/>
      <c r="L2187" s="13">
        <f>IF(OR($A2187="",AND($J2187="",$K2187="")),"",ROUND(N($J2187)-N($K2187),2))</f>
        <v/>
      </c>
      <c r="M2187" s="13">
        <f>IF(OR($A2187="",AND($J2187="",$K2187="")),"",MIN($J2187,$K2187))</f>
        <v/>
      </c>
      <c r="Q2187">
        <f>IF($A2187="","",$D2187&amp;"("&amp;SUBSTITUTE($E2187," ","")&amp;")")</f>
        <v/>
      </c>
      <c r="R2187">
        <f>IF($A2187="","",$B2187&amp;" - "&amp;$C2187)</f>
        <v/>
      </c>
      <c r="S2187">
        <f>IF($A2187="","",$R2187&amp;"|"&amp;$Q2187)</f>
        <v/>
      </c>
      <c r="T2187">
        <f>IF($A2187="","",$S2187&amp;"|"&amp;$F2187)</f>
        <v/>
      </c>
      <c r="U2187">
        <f>IF($A2187="","",$R2187&amp;"("&amp;$E2187&amp;")")</f>
        <v/>
      </c>
      <c r="V2187">
        <f>IF($A2187="","",$F2187&amp;"|"&amp;$U2187&amp;"|"&amp;$D2187)</f>
        <v/>
      </c>
      <c r="W2187">
        <f>IF($T2187="","",IF($X2187&gt;N($X2186),$X2187,""))</f>
        <v/>
      </c>
      <c r="X2187">
        <f>IF($T2187="",N($X2186),IF(MATCH($T2187,$T$6:$T$6005,0)=ROW()-5,N($X2186)+1,N($X2186)))</f>
        <v/>
      </c>
      <c r="Z2187">
        <f>IF($V2187="","",IF($AA2187&gt;N($AA2186),$AA2187,""))</f>
        <v/>
      </c>
      <c r="AA2187">
        <f>IF($V2187="",N($AA2186),IF(MATCH($V2187,$V$6:$V$6005,0)=ROW()-5,N($AA2186)+1,N($AA2186)))</f>
        <v/>
      </c>
    </row>
    <row r="2188" ht="21" customHeight="1" s="66">
      <c r="A2188" s="56" t="n"/>
      <c r="B2188" s="57" t="n"/>
      <c r="C2188" s="57" t="n"/>
      <c r="D2188" s="57" t="n"/>
      <c r="E2188" s="56" t="n"/>
      <c r="F2188" s="57" t="n"/>
      <c r="G2188" s="57" t="n"/>
      <c r="H2188" s="56" t="n"/>
      <c r="I2188" s="56" t="n"/>
      <c r="J2188" s="58" t="n"/>
      <c r="K2188" s="58" t="n"/>
      <c r="L2188" s="13">
        <f>IF(OR($A2188="",AND($J2188="",$K2188="")),"",ROUND(N($J2188)-N($K2188),2))</f>
        <v/>
      </c>
      <c r="M2188" s="13">
        <f>IF(OR($A2188="",AND($J2188="",$K2188="")),"",MIN($J2188,$K2188))</f>
        <v/>
      </c>
      <c r="Q2188">
        <f>IF($A2188="","",$D2188&amp;"("&amp;SUBSTITUTE($E2188," ","")&amp;")")</f>
        <v/>
      </c>
      <c r="R2188">
        <f>IF($A2188="","",$B2188&amp;" - "&amp;$C2188)</f>
        <v/>
      </c>
      <c r="S2188">
        <f>IF($A2188="","",$R2188&amp;"|"&amp;$Q2188)</f>
        <v/>
      </c>
      <c r="T2188">
        <f>IF($A2188="","",$S2188&amp;"|"&amp;$F2188)</f>
        <v/>
      </c>
      <c r="U2188">
        <f>IF($A2188="","",$R2188&amp;"("&amp;$E2188&amp;")")</f>
        <v/>
      </c>
      <c r="V2188">
        <f>IF($A2188="","",$F2188&amp;"|"&amp;$U2188&amp;"|"&amp;$D2188)</f>
        <v/>
      </c>
      <c r="W2188">
        <f>IF($T2188="","",IF($X2188&gt;N($X2187),$X2188,""))</f>
        <v/>
      </c>
      <c r="X2188">
        <f>IF($T2188="",N($X2187),IF(MATCH($T2188,$T$6:$T$6005,0)=ROW()-5,N($X2187)+1,N($X2187)))</f>
        <v/>
      </c>
      <c r="Z2188">
        <f>IF($V2188="","",IF($AA2188&gt;N($AA2187),$AA2188,""))</f>
        <v/>
      </c>
      <c r="AA2188">
        <f>IF($V2188="",N($AA2187),IF(MATCH($V2188,$V$6:$V$6005,0)=ROW()-5,N($AA2187)+1,N($AA2187)))</f>
        <v/>
      </c>
    </row>
    <row r="2189" ht="21" customHeight="1" s="66">
      <c r="A2189" s="56" t="n"/>
      <c r="B2189" s="57" t="n"/>
      <c r="C2189" s="57" t="n"/>
      <c r="D2189" s="57" t="n"/>
      <c r="E2189" s="56" t="n"/>
      <c r="F2189" s="57" t="n"/>
      <c r="G2189" s="57" t="n"/>
      <c r="H2189" s="56" t="n"/>
      <c r="I2189" s="56" t="n"/>
      <c r="J2189" s="58" t="n"/>
      <c r="K2189" s="58" t="n"/>
      <c r="L2189" s="13">
        <f>IF(OR($A2189="",AND($J2189="",$K2189="")),"",ROUND(N($J2189)-N($K2189),2))</f>
        <v/>
      </c>
      <c r="M2189" s="13">
        <f>IF(OR($A2189="",AND($J2189="",$K2189="")),"",MIN($J2189,$K2189))</f>
        <v/>
      </c>
      <c r="Q2189">
        <f>IF($A2189="","",$D2189&amp;"("&amp;SUBSTITUTE($E2189," ","")&amp;")")</f>
        <v/>
      </c>
      <c r="R2189">
        <f>IF($A2189="","",$B2189&amp;" - "&amp;$C2189)</f>
        <v/>
      </c>
      <c r="S2189">
        <f>IF($A2189="","",$R2189&amp;"|"&amp;$Q2189)</f>
        <v/>
      </c>
      <c r="T2189">
        <f>IF($A2189="","",$S2189&amp;"|"&amp;$F2189)</f>
        <v/>
      </c>
      <c r="U2189">
        <f>IF($A2189="","",$R2189&amp;"("&amp;$E2189&amp;")")</f>
        <v/>
      </c>
      <c r="V2189">
        <f>IF($A2189="","",$F2189&amp;"|"&amp;$U2189&amp;"|"&amp;$D2189)</f>
        <v/>
      </c>
      <c r="W2189">
        <f>IF($T2189="","",IF($X2189&gt;N($X2188),$X2189,""))</f>
        <v/>
      </c>
      <c r="X2189">
        <f>IF($T2189="",N($X2188),IF(MATCH($T2189,$T$6:$T$6005,0)=ROW()-5,N($X2188)+1,N($X2188)))</f>
        <v/>
      </c>
      <c r="Z2189">
        <f>IF($V2189="","",IF($AA2189&gt;N($AA2188),$AA2189,""))</f>
        <v/>
      </c>
      <c r="AA2189">
        <f>IF($V2189="",N($AA2188),IF(MATCH($V2189,$V$6:$V$6005,0)=ROW()-5,N($AA2188)+1,N($AA2188)))</f>
        <v/>
      </c>
    </row>
    <row r="2190" ht="21" customHeight="1" s="66">
      <c r="A2190" s="56" t="n"/>
      <c r="B2190" s="57" t="n"/>
      <c r="C2190" s="57" t="n"/>
      <c r="D2190" s="57" t="n"/>
      <c r="E2190" s="56" t="n"/>
      <c r="F2190" s="57" t="n"/>
      <c r="G2190" s="57" t="n"/>
      <c r="H2190" s="56" t="n"/>
      <c r="I2190" s="56" t="n"/>
      <c r="J2190" s="58" t="n"/>
      <c r="K2190" s="58" t="n"/>
      <c r="L2190" s="13">
        <f>IF(OR($A2190="",AND($J2190="",$K2190="")),"",ROUND(N($J2190)-N($K2190),2))</f>
        <v/>
      </c>
      <c r="M2190" s="13">
        <f>IF(OR($A2190="",AND($J2190="",$K2190="")),"",MIN($J2190,$K2190))</f>
        <v/>
      </c>
      <c r="Q2190">
        <f>IF($A2190="","",$D2190&amp;"("&amp;SUBSTITUTE($E2190," ","")&amp;")")</f>
        <v/>
      </c>
      <c r="R2190">
        <f>IF($A2190="","",$B2190&amp;" - "&amp;$C2190)</f>
        <v/>
      </c>
      <c r="S2190">
        <f>IF($A2190="","",$R2190&amp;"|"&amp;$Q2190)</f>
        <v/>
      </c>
      <c r="T2190">
        <f>IF($A2190="","",$S2190&amp;"|"&amp;$F2190)</f>
        <v/>
      </c>
      <c r="U2190">
        <f>IF($A2190="","",$R2190&amp;"("&amp;$E2190&amp;")")</f>
        <v/>
      </c>
      <c r="V2190">
        <f>IF($A2190="","",$F2190&amp;"|"&amp;$U2190&amp;"|"&amp;$D2190)</f>
        <v/>
      </c>
      <c r="W2190">
        <f>IF($T2190="","",IF($X2190&gt;N($X2189),$X2190,""))</f>
        <v/>
      </c>
      <c r="X2190">
        <f>IF($T2190="",N($X2189),IF(MATCH($T2190,$T$6:$T$6005,0)=ROW()-5,N($X2189)+1,N($X2189)))</f>
        <v/>
      </c>
      <c r="Z2190">
        <f>IF($V2190="","",IF($AA2190&gt;N($AA2189),$AA2190,""))</f>
        <v/>
      </c>
      <c r="AA2190">
        <f>IF($V2190="",N($AA2189),IF(MATCH($V2190,$V$6:$V$6005,0)=ROW()-5,N($AA2189)+1,N($AA2189)))</f>
        <v/>
      </c>
    </row>
    <row r="2191" ht="21" customHeight="1" s="66">
      <c r="A2191" s="56" t="n"/>
      <c r="B2191" s="57" t="n"/>
      <c r="C2191" s="57" t="n"/>
      <c r="D2191" s="57" t="n"/>
      <c r="E2191" s="56" t="n"/>
      <c r="F2191" s="57" t="n"/>
      <c r="G2191" s="57" t="n"/>
      <c r="H2191" s="56" t="n"/>
      <c r="I2191" s="56" t="n"/>
      <c r="J2191" s="58" t="n"/>
      <c r="K2191" s="58" t="n"/>
      <c r="L2191" s="13">
        <f>IF(OR($A2191="",AND($J2191="",$K2191="")),"",ROUND(N($J2191)-N($K2191),2))</f>
        <v/>
      </c>
      <c r="M2191" s="13">
        <f>IF(OR($A2191="",AND($J2191="",$K2191="")),"",MIN($J2191,$K2191))</f>
        <v/>
      </c>
      <c r="Q2191">
        <f>IF($A2191="","",$D2191&amp;"("&amp;SUBSTITUTE($E2191," ","")&amp;")")</f>
        <v/>
      </c>
      <c r="R2191">
        <f>IF($A2191="","",$B2191&amp;" - "&amp;$C2191)</f>
        <v/>
      </c>
      <c r="S2191">
        <f>IF($A2191="","",$R2191&amp;"|"&amp;$Q2191)</f>
        <v/>
      </c>
      <c r="T2191">
        <f>IF($A2191="","",$S2191&amp;"|"&amp;$F2191)</f>
        <v/>
      </c>
      <c r="U2191">
        <f>IF($A2191="","",$R2191&amp;"("&amp;$E2191&amp;")")</f>
        <v/>
      </c>
      <c r="V2191">
        <f>IF($A2191="","",$F2191&amp;"|"&amp;$U2191&amp;"|"&amp;$D2191)</f>
        <v/>
      </c>
      <c r="W2191">
        <f>IF($T2191="","",IF($X2191&gt;N($X2190),$X2191,""))</f>
        <v/>
      </c>
      <c r="X2191">
        <f>IF($T2191="",N($X2190),IF(MATCH($T2191,$T$6:$T$6005,0)=ROW()-5,N($X2190)+1,N($X2190)))</f>
        <v/>
      </c>
      <c r="Z2191">
        <f>IF($V2191="","",IF($AA2191&gt;N($AA2190),$AA2191,""))</f>
        <v/>
      </c>
      <c r="AA2191">
        <f>IF($V2191="",N($AA2190),IF(MATCH($V2191,$V$6:$V$6005,0)=ROW()-5,N($AA2190)+1,N($AA2190)))</f>
        <v/>
      </c>
    </row>
    <row r="2192" ht="21" customHeight="1" s="66">
      <c r="A2192" s="56" t="n"/>
      <c r="B2192" s="57" t="n"/>
      <c r="C2192" s="57" t="n"/>
      <c r="D2192" s="57" t="n"/>
      <c r="E2192" s="56" t="n"/>
      <c r="F2192" s="57" t="n"/>
      <c r="G2192" s="57" t="n"/>
      <c r="H2192" s="56" t="n"/>
      <c r="I2192" s="56" t="n"/>
      <c r="J2192" s="58" t="n"/>
      <c r="K2192" s="58" t="n"/>
      <c r="L2192" s="13">
        <f>IF(OR($A2192="",AND($J2192="",$K2192="")),"",ROUND(N($J2192)-N($K2192),2))</f>
        <v/>
      </c>
      <c r="M2192" s="13">
        <f>IF(OR($A2192="",AND($J2192="",$K2192="")),"",MIN($J2192,$K2192))</f>
        <v/>
      </c>
      <c r="Q2192">
        <f>IF($A2192="","",$D2192&amp;"("&amp;SUBSTITUTE($E2192," ","")&amp;")")</f>
        <v/>
      </c>
      <c r="R2192">
        <f>IF($A2192="","",$B2192&amp;" - "&amp;$C2192)</f>
        <v/>
      </c>
      <c r="S2192">
        <f>IF($A2192="","",$R2192&amp;"|"&amp;$Q2192)</f>
        <v/>
      </c>
      <c r="T2192">
        <f>IF($A2192="","",$S2192&amp;"|"&amp;$F2192)</f>
        <v/>
      </c>
      <c r="U2192">
        <f>IF($A2192="","",$R2192&amp;"("&amp;$E2192&amp;")")</f>
        <v/>
      </c>
      <c r="V2192">
        <f>IF($A2192="","",$F2192&amp;"|"&amp;$U2192&amp;"|"&amp;$D2192)</f>
        <v/>
      </c>
      <c r="W2192">
        <f>IF($T2192="","",IF($X2192&gt;N($X2191),$X2192,""))</f>
        <v/>
      </c>
      <c r="X2192">
        <f>IF($T2192="",N($X2191),IF(MATCH($T2192,$T$6:$T$6005,0)=ROW()-5,N($X2191)+1,N($X2191)))</f>
        <v/>
      </c>
      <c r="Z2192">
        <f>IF($V2192="","",IF($AA2192&gt;N($AA2191),$AA2192,""))</f>
        <v/>
      </c>
      <c r="AA2192">
        <f>IF($V2192="",N($AA2191),IF(MATCH($V2192,$V$6:$V$6005,0)=ROW()-5,N($AA2191)+1,N($AA2191)))</f>
        <v/>
      </c>
    </row>
    <row r="2193" ht="21" customHeight="1" s="66">
      <c r="A2193" s="56" t="n"/>
      <c r="B2193" s="57" t="n"/>
      <c r="C2193" s="57" t="n"/>
      <c r="D2193" s="57" t="n"/>
      <c r="E2193" s="56" t="n"/>
      <c r="F2193" s="57" t="n"/>
      <c r="G2193" s="57" t="n"/>
      <c r="H2193" s="56" t="n"/>
      <c r="I2193" s="56" t="n"/>
      <c r="J2193" s="58" t="n"/>
      <c r="K2193" s="58" t="n"/>
      <c r="L2193" s="13">
        <f>IF(OR($A2193="",AND($J2193="",$K2193="")),"",ROUND(N($J2193)-N($K2193),2))</f>
        <v/>
      </c>
      <c r="M2193" s="13">
        <f>IF(OR($A2193="",AND($J2193="",$K2193="")),"",MIN($J2193,$K2193))</f>
        <v/>
      </c>
      <c r="Q2193">
        <f>IF($A2193="","",$D2193&amp;"("&amp;SUBSTITUTE($E2193," ","")&amp;")")</f>
        <v/>
      </c>
      <c r="R2193">
        <f>IF($A2193="","",$B2193&amp;" - "&amp;$C2193)</f>
        <v/>
      </c>
      <c r="S2193">
        <f>IF($A2193="","",$R2193&amp;"|"&amp;$Q2193)</f>
        <v/>
      </c>
      <c r="T2193">
        <f>IF($A2193="","",$S2193&amp;"|"&amp;$F2193)</f>
        <v/>
      </c>
      <c r="U2193">
        <f>IF($A2193="","",$R2193&amp;"("&amp;$E2193&amp;")")</f>
        <v/>
      </c>
      <c r="V2193">
        <f>IF($A2193="","",$F2193&amp;"|"&amp;$U2193&amp;"|"&amp;$D2193)</f>
        <v/>
      </c>
      <c r="W2193">
        <f>IF($T2193="","",IF($X2193&gt;N($X2192),$X2193,""))</f>
        <v/>
      </c>
      <c r="X2193">
        <f>IF($T2193="",N($X2192),IF(MATCH($T2193,$T$6:$T$6005,0)=ROW()-5,N($X2192)+1,N($X2192)))</f>
        <v/>
      </c>
      <c r="Z2193">
        <f>IF($V2193="","",IF($AA2193&gt;N($AA2192),$AA2193,""))</f>
        <v/>
      </c>
      <c r="AA2193">
        <f>IF($V2193="",N($AA2192),IF(MATCH($V2193,$V$6:$V$6005,0)=ROW()-5,N($AA2192)+1,N($AA2192)))</f>
        <v/>
      </c>
    </row>
    <row r="2194" ht="21" customHeight="1" s="66">
      <c r="A2194" s="56" t="n"/>
      <c r="B2194" s="57" t="n"/>
      <c r="C2194" s="57" t="n"/>
      <c r="D2194" s="57" t="n"/>
      <c r="E2194" s="56" t="n"/>
      <c r="F2194" s="57" t="n"/>
      <c r="G2194" s="57" t="n"/>
      <c r="H2194" s="56" t="n"/>
      <c r="I2194" s="56" t="n"/>
      <c r="J2194" s="58" t="n"/>
      <c r="K2194" s="58" t="n"/>
      <c r="L2194" s="13">
        <f>IF(OR($A2194="",AND($J2194="",$K2194="")),"",ROUND(N($J2194)-N($K2194),2))</f>
        <v/>
      </c>
      <c r="M2194" s="13">
        <f>IF(OR($A2194="",AND($J2194="",$K2194="")),"",MIN($J2194,$K2194))</f>
        <v/>
      </c>
      <c r="Q2194">
        <f>IF($A2194="","",$D2194&amp;"("&amp;SUBSTITUTE($E2194," ","")&amp;")")</f>
        <v/>
      </c>
      <c r="R2194">
        <f>IF($A2194="","",$B2194&amp;" - "&amp;$C2194)</f>
        <v/>
      </c>
      <c r="S2194">
        <f>IF($A2194="","",$R2194&amp;"|"&amp;$Q2194)</f>
        <v/>
      </c>
      <c r="T2194">
        <f>IF($A2194="","",$S2194&amp;"|"&amp;$F2194)</f>
        <v/>
      </c>
      <c r="U2194">
        <f>IF($A2194="","",$R2194&amp;"("&amp;$E2194&amp;")")</f>
        <v/>
      </c>
      <c r="V2194">
        <f>IF($A2194="","",$F2194&amp;"|"&amp;$U2194&amp;"|"&amp;$D2194)</f>
        <v/>
      </c>
      <c r="W2194">
        <f>IF($T2194="","",IF($X2194&gt;N($X2193),$X2194,""))</f>
        <v/>
      </c>
      <c r="X2194">
        <f>IF($T2194="",N($X2193),IF(MATCH($T2194,$T$6:$T$6005,0)=ROW()-5,N($X2193)+1,N($X2193)))</f>
        <v/>
      </c>
      <c r="Z2194">
        <f>IF($V2194="","",IF($AA2194&gt;N($AA2193),$AA2194,""))</f>
        <v/>
      </c>
      <c r="AA2194">
        <f>IF($V2194="",N($AA2193),IF(MATCH($V2194,$V$6:$V$6005,0)=ROW()-5,N($AA2193)+1,N($AA2193)))</f>
        <v/>
      </c>
    </row>
    <row r="2195" ht="21" customHeight="1" s="66">
      <c r="A2195" s="56" t="n"/>
      <c r="B2195" s="57" t="n"/>
      <c r="C2195" s="57" t="n"/>
      <c r="D2195" s="57" t="n"/>
      <c r="E2195" s="56" t="n"/>
      <c r="F2195" s="57" t="n"/>
      <c r="G2195" s="57" t="n"/>
      <c r="H2195" s="56" t="n"/>
      <c r="I2195" s="56" t="n"/>
      <c r="J2195" s="58" t="n"/>
      <c r="K2195" s="58" t="n"/>
      <c r="L2195" s="13">
        <f>IF(OR($A2195="",AND($J2195="",$K2195="")),"",ROUND(N($J2195)-N($K2195),2))</f>
        <v/>
      </c>
      <c r="M2195" s="13">
        <f>IF(OR($A2195="",AND($J2195="",$K2195="")),"",MIN($J2195,$K2195))</f>
        <v/>
      </c>
      <c r="Q2195">
        <f>IF($A2195="","",$D2195&amp;"("&amp;SUBSTITUTE($E2195," ","")&amp;")")</f>
        <v/>
      </c>
      <c r="R2195">
        <f>IF($A2195="","",$B2195&amp;" - "&amp;$C2195)</f>
        <v/>
      </c>
      <c r="S2195">
        <f>IF($A2195="","",$R2195&amp;"|"&amp;$Q2195)</f>
        <v/>
      </c>
      <c r="T2195">
        <f>IF($A2195="","",$S2195&amp;"|"&amp;$F2195)</f>
        <v/>
      </c>
      <c r="U2195">
        <f>IF($A2195="","",$R2195&amp;"("&amp;$E2195&amp;")")</f>
        <v/>
      </c>
      <c r="V2195">
        <f>IF($A2195="","",$F2195&amp;"|"&amp;$U2195&amp;"|"&amp;$D2195)</f>
        <v/>
      </c>
      <c r="W2195">
        <f>IF($T2195="","",IF($X2195&gt;N($X2194),$X2195,""))</f>
        <v/>
      </c>
      <c r="X2195">
        <f>IF($T2195="",N($X2194),IF(MATCH($T2195,$T$6:$T$6005,0)=ROW()-5,N($X2194)+1,N($X2194)))</f>
        <v/>
      </c>
      <c r="Z2195">
        <f>IF($V2195="","",IF($AA2195&gt;N($AA2194),$AA2195,""))</f>
        <v/>
      </c>
      <c r="AA2195">
        <f>IF($V2195="",N($AA2194),IF(MATCH($V2195,$V$6:$V$6005,0)=ROW()-5,N($AA2194)+1,N($AA2194)))</f>
        <v/>
      </c>
    </row>
    <row r="2196" ht="21" customHeight="1" s="66">
      <c r="A2196" s="56" t="n"/>
      <c r="B2196" s="57" t="n"/>
      <c r="C2196" s="57" t="n"/>
      <c r="D2196" s="57" t="n"/>
      <c r="E2196" s="56" t="n"/>
      <c r="F2196" s="57" t="n"/>
      <c r="G2196" s="57" t="n"/>
      <c r="H2196" s="56" t="n"/>
      <c r="I2196" s="56" t="n"/>
      <c r="J2196" s="58" t="n"/>
      <c r="K2196" s="58" t="n"/>
      <c r="L2196" s="13">
        <f>IF(OR($A2196="",AND($J2196="",$K2196="")),"",ROUND(N($J2196)-N($K2196),2))</f>
        <v/>
      </c>
      <c r="M2196" s="13">
        <f>IF(OR($A2196="",AND($J2196="",$K2196="")),"",MIN($J2196,$K2196))</f>
        <v/>
      </c>
      <c r="Q2196">
        <f>IF($A2196="","",$D2196&amp;"("&amp;SUBSTITUTE($E2196," ","")&amp;")")</f>
        <v/>
      </c>
      <c r="R2196">
        <f>IF($A2196="","",$B2196&amp;" - "&amp;$C2196)</f>
        <v/>
      </c>
      <c r="S2196">
        <f>IF($A2196="","",$R2196&amp;"|"&amp;$Q2196)</f>
        <v/>
      </c>
      <c r="T2196">
        <f>IF($A2196="","",$S2196&amp;"|"&amp;$F2196)</f>
        <v/>
      </c>
      <c r="U2196">
        <f>IF($A2196="","",$R2196&amp;"("&amp;$E2196&amp;")")</f>
        <v/>
      </c>
      <c r="V2196">
        <f>IF($A2196="","",$F2196&amp;"|"&amp;$U2196&amp;"|"&amp;$D2196)</f>
        <v/>
      </c>
      <c r="W2196">
        <f>IF($T2196="","",IF($X2196&gt;N($X2195),$X2196,""))</f>
        <v/>
      </c>
      <c r="X2196">
        <f>IF($T2196="",N($X2195),IF(MATCH($T2196,$T$6:$T$6005,0)=ROW()-5,N($X2195)+1,N($X2195)))</f>
        <v/>
      </c>
      <c r="Z2196">
        <f>IF($V2196="","",IF($AA2196&gt;N($AA2195),$AA2196,""))</f>
        <v/>
      </c>
      <c r="AA2196">
        <f>IF($V2196="",N($AA2195),IF(MATCH($V2196,$V$6:$V$6005,0)=ROW()-5,N($AA2195)+1,N($AA2195)))</f>
        <v/>
      </c>
    </row>
    <row r="2197" ht="21" customHeight="1" s="66">
      <c r="A2197" s="56" t="n"/>
      <c r="B2197" s="57" t="n"/>
      <c r="C2197" s="57" t="n"/>
      <c r="D2197" s="57" t="n"/>
      <c r="E2197" s="56" t="n"/>
      <c r="F2197" s="57" t="n"/>
      <c r="G2197" s="57" t="n"/>
      <c r="H2197" s="56" t="n"/>
      <c r="I2197" s="56" t="n"/>
      <c r="J2197" s="58" t="n"/>
      <c r="K2197" s="58" t="n"/>
      <c r="L2197" s="13">
        <f>IF(OR($A2197="",AND($J2197="",$K2197="")),"",ROUND(N($J2197)-N($K2197),2))</f>
        <v/>
      </c>
      <c r="M2197" s="13">
        <f>IF(OR($A2197="",AND($J2197="",$K2197="")),"",MIN($J2197,$K2197))</f>
        <v/>
      </c>
      <c r="Q2197">
        <f>IF($A2197="","",$D2197&amp;"("&amp;SUBSTITUTE($E2197," ","")&amp;")")</f>
        <v/>
      </c>
      <c r="R2197">
        <f>IF($A2197="","",$B2197&amp;" - "&amp;$C2197)</f>
        <v/>
      </c>
      <c r="S2197">
        <f>IF($A2197="","",$R2197&amp;"|"&amp;$Q2197)</f>
        <v/>
      </c>
      <c r="T2197">
        <f>IF($A2197="","",$S2197&amp;"|"&amp;$F2197)</f>
        <v/>
      </c>
      <c r="U2197">
        <f>IF($A2197="","",$R2197&amp;"("&amp;$E2197&amp;")")</f>
        <v/>
      </c>
      <c r="V2197">
        <f>IF($A2197="","",$F2197&amp;"|"&amp;$U2197&amp;"|"&amp;$D2197)</f>
        <v/>
      </c>
      <c r="W2197">
        <f>IF($T2197="","",IF($X2197&gt;N($X2196),$X2197,""))</f>
        <v/>
      </c>
      <c r="X2197">
        <f>IF($T2197="",N($X2196),IF(MATCH($T2197,$T$6:$T$6005,0)=ROW()-5,N($X2196)+1,N($X2196)))</f>
        <v/>
      </c>
      <c r="Z2197">
        <f>IF($V2197="","",IF($AA2197&gt;N($AA2196),$AA2197,""))</f>
        <v/>
      </c>
      <c r="AA2197">
        <f>IF($V2197="",N($AA2196),IF(MATCH($V2197,$V$6:$V$6005,0)=ROW()-5,N($AA2196)+1,N($AA2196)))</f>
        <v/>
      </c>
    </row>
    <row r="2198" ht="21" customHeight="1" s="66">
      <c r="A2198" s="56" t="n"/>
      <c r="B2198" s="57" t="n"/>
      <c r="C2198" s="57" t="n"/>
      <c r="D2198" s="57" t="n"/>
      <c r="E2198" s="56" t="n"/>
      <c r="F2198" s="57" t="n"/>
      <c r="G2198" s="57" t="n"/>
      <c r="H2198" s="56" t="n"/>
      <c r="I2198" s="56" t="n"/>
      <c r="J2198" s="58" t="n"/>
      <c r="K2198" s="58" t="n"/>
      <c r="L2198" s="13">
        <f>IF(OR($A2198="",AND($J2198="",$K2198="")),"",ROUND(N($J2198)-N($K2198),2))</f>
        <v/>
      </c>
      <c r="M2198" s="13">
        <f>IF(OR($A2198="",AND($J2198="",$K2198="")),"",MIN($J2198,$K2198))</f>
        <v/>
      </c>
      <c r="Q2198">
        <f>IF($A2198="","",$D2198&amp;"("&amp;SUBSTITUTE($E2198," ","")&amp;")")</f>
        <v/>
      </c>
      <c r="R2198">
        <f>IF($A2198="","",$B2198&amp;" - "&amp;$C2198)</f>
        <v/>
      </c>
      <c r="S2198">
        <f>IF($A2198="","",$R2198&amp;"|"&amp;$Q2198)</f>
        <v/>
      </c>
      <c r="T2198">
        <f>IF($A2198="","",$S2198&amp;"|"&amp;$F2198)</f>
        <v/>
      </c>
      <c r="U2198">
        <f>IF($A2198="","",$R2198&amp;"("&amp;$E2198&amp;")")</f>
        <v/>
      </c>
      <c r="V2198">
        <f>IF($A2198="","",$F2198&amp;"|"&amp;$U2198&amp;"|"&amp;$D2198)</f>
        <v/>
      </c>
      <c r="W2198">
        <f>IF($T2198="","",IF($X2198&gt;N($X2197),$X2198,""))</f>
        <v/>
      </c>
      <c r="X2198">
        <f>IF($T2198="",N($X2197),IF(MATCH($T2198,$T$6:$T$6005,0)=ROW()-5,N($X2197)+1,N($X2197)))</f>
        <v/>
      </c>
      <c r="Z2198">
        <f>IF($V2198="","",IF($AA2198&gt;N($AA2197),$AA2198,""))</f>
        <v/>
      </c>
      <c r="AA2198">
        <f>IF($V2198="",N($AA2197),IF(MATCH($V2198,$V$6:$V$6005,0)=ROW()-5,N($AA2197)+1,N($AA2197)))</f>
        <v/>
      </c>
    </row>
    <row r="2199" ht="21" customHeight="1" s="66">
      <c r="A2199" s="56" t="n"/>
      <c r="B2199" s="57" t="n"/>
      <c r="C2199" s="57" t="n"/>
      <c r="D2199" s="57" t="n"/>
      <c r="E2199" s="56" t="n"/>
      <c r="F2199" s="57" t="n"/>
      <c r="G2199" s="57" t="n"/>
      <c r="H2199" s="56" t="n"/>
      <c r="I2199" s="56" t="n"/>
      <c r="J2199" s="58" t="n"/>
      <c r="K2199" s="58" t="n"/>
      <c r="L2199" s="13">
        <f>IF(OR($A2199="",AND($J2199="",$K2199="")),"",ROUND(N($J2199)-N($K2199),2))</f>
        <v/>
      </c>
      <c r="M2199" s="13">
        <f>IF(OR($A2199="",AND($J2199="",$K2199="")),"",MIN($J2199,$K2199))</f>
        <v/>
      </c>
      <c r="Q2199">
        <f>IF($A2199="","",$D2199&amp;"("&amp;SUBSTITUTE($E2199," ","")&amp;")")</f>
        <v/>
      </c>
      <c r="R2199">
        <f>IF($A2199="","",$B2199&amp;" - "&amp;$C2199)</f>
        <v/>
      </c>
      <c r="S2199">
        <f>IF($A2199="","",$R2199&amp;"|"&amp;$Q2199)</f>
        <v/>
      </c>
      <c r="T2199">
        <f>IF($A2199="","",$S2199&amp;"|"&amp;$F2199)</f>
        <v/>
      </c>
      <c r="U2199">
        <f>IF($A2199="","",$R2199&amp;"("&amp;$E2199&amp;")")</f>
        <v/>
      </c>
      <c r="V2199">
        <f>IF($A2199="","",$F2199&amp;"|"&amp;$U2199&amp;"|"&amp;$D2199)</f>
        <v/>
      </c>
      <c r="W2199">
        <f>IF($T2199="","",IF($X2199&gt;N($X2198),$X2199,""))</f>
        <v/>
      </c>
      <c r="X2199">
        <f>IF($T2199="",N($X2198),IF(MATCH($T2199,$T$6:$T$6005,0)=ROW()-5,N($X2198)+1,N($X2198)))</f>
        <v/>
      </c>
      <c r="Z2199">
        <f>IF($V2199="","",IF($AA2199&gt;N($AA2198),$AA2199,""))</f>
        <v/>
      </c>
      <c r="AA2199">
        <f>IF($V2199="",N($AA2198),IF(MATCH($V2199,$V$6:$V$6005,0)=ROW()-5,N($AA2198)+1,N($AA2198)))</f>
        <v/>
      </c>
    </row>
    <row r="2200" ht="21" customHeight="1" s="66">
      <c r="A2200" s="56" t="n"/>
      <c r="B2200" s="57" t="n"/>
      <c r="C2200" s="57" t="n"/>
      <c r="D2200" s="57" t="n"/>
      <c r="E2200" s="56" t="n"/>
      <c r="F2200" s="57" t="n"/>
      <c r="G2200" s="57" t="n"/>
      <c r="H2200" s="56" t="n"/>
      <c r="I2200" s="56" t="n"/>
      <c r="J2200" s="58" t="n"/>
      <c r="K2200" s="58" t="n"/>
      <c r="L2200" s="13">
        <f>IF(OR($A2200="",AND($J2200="",$K2200="")),"",ROUND(N($J2200)-N($K2200),2))</f>
        <v/>
      </c>
      <c r="M2200" s="13">
        <f>IF(OR($A2200="",AND($J2200="",$K2200="")),"",MIN($J2200,$K2200))</f>
        <v/>
      </c>
      <c r="Q2200">
        <f>IF($A2200="","",$D2200&amp;"("&amp;SUBSTITUTE($E2200," ","")&amp;")")</f>
        <v/>
      </c>
      <c r="R2200">
        <f>IF($A2200="","",$B2200&amp;" - "&amp;$C2200)</f>
        <v/>
      </c>
      <c r="S2200">
        <f>IF($A2200="","",$R2200&amp;"|"&amp;$Q2200)</f>
        <v/>
      </c>
      <c r="T2200">
        <f>IF($A2200="","",$S2200&amp;"|"&amp;$F2200)</f>
        <v/>
      </c>
      <c r="U2200">
        <f>IF($A2200="","",$R2200&amp;"("&amp;$E2200&amp;")")</f>
        <v/>
      </c>
      <c r="V2200">
        <f>IF($A2200="","",$F2200&amp;"|"&amp;$U2200&amp;"|"&amp;$D2200)</f>
        <v/>
      </c>
      <c r="W2200">
        <f>IF($T2200="","",IF($X2200&gt;N($X2199),$X2200,""))</f>
        <v/>
      </c>
      <c r="X2200">
        <f>IF($T2200="",N($X2199),IF(MATCH($T2200,$T$6:$T$6005,0)=ROW()-5,N($X2199)+1,N($X2199)))</f>
        <v/>
      </c>
      <c r="Z2200">
        <f>IF($V2200="","",IF($AA2200&gt;N($AA2199),$AA2200,""))</f>
        <v/>
      </c>
      <c r="AA2200">
        <f>IF($V2200="",N($AA2199),IF(MATCH($V2200,$V$6:$V$6005,0)=ROW()-5,N($AA2199)+1,N($AA2199)))</f>
        <v/>
      </c>
    </row>
    <row r="2201" ht="21" customHeight="1" s="66">
      <c r="A2201" s="56" t="n"/>
      <c r="B2201" s="57" t="n"/>
      <c r="C2201" s="57" t="n"/>
      <c r="D2201" s="57" t="n"/>
      <c r="E2201" s="56" t="n"/>
      <c r="F2201" s="57" t="n"/>
      <c r="G2201" s="57" t="n"/>
      <c r="H2201" s="56" t="n"/>
      <c r="I2201" s="56" t="n"/>
      <c r="J2201" s="58" t="n"/>
      <c r="K2201" s="58" t="n"/>
      <c r="L2201" s="13">
        <f>IF(OR($A2201="",AND($J2201="",$K2201="")),"",ROUND(N($J2201)-N($K2201),2))</f>
        <v/>
      </c>
      <c r="M2201" s="13">
        <f>IF(OR($A2201="",AND($J2201="",$K2201="")),"",MIN($J2201,$K2201))</f>
        <v/>
      </c>
      <c r="Q2201">
        <f>IF($A2201="","",$D2201&amp;"("&amp;SUBSTITUTE($E2201," ","")&amp;")")</f>
        <v/>
      </c>
      <c r="R2201">
        <f>IF($A2201="","",$B2201&amp;" - "&amp;$C2201)</f>
        <v/>
      </c>
      <c r="S2201">
        <f>IF($A2201="","",$R2201&amp;"|"&amp;$Q2201)</f>
        <v/>
      </c>
      <c r="T2201">
        <f>IF($A2201="","",$S2201&amp;"|"&amp;$F2201)</f>
        <v/>
      </c>
      <c r="U2201">
        <f>IF($A2201="","",$R2201&amp;"("&amp;$E2201&amp;")")</f>
        <v/>
      </c>
      <c r="V2201">
        <f>IF($A2201="","",$F2201&amp;"|"&amp;$U2201&amp;"|"&amp;$D2201)</f>
        <v/>
      </c>
      <c r="W2201">
        <f>IF($T2201="","",IF($X2201&gt;N($X2200),$X2201,""))</f>
        <v/>
      </c>
      <c r="X2201">
        <f>IF($T2201="",N($X2200),IF(MATCH($T2201,$T$6:$T$6005,0)=ROW()-5,N($X2200)+1,N($X2200)))</f>
        <v/>
      </c>
      <c r="Z2201">
        <f>IF($V2201="","",IF($AA2201&gt;N($AA2200),$AA2201,""))</f>
        <v/>
      </c>
      <c r="AA2201">
        <f>IF($V2201="",N($AA2200),IF(MATCH($V2201,$V$6:$V$6005,0)=ROW()-5,N($AA2200)+1,N($AA2200)))</f>
        <v/>
      </c>
    </row>
    <row r="2202" ht="21" customHeight="1" s="66">
      <c r="A2202" s="56" t="n"/>
      <c r="B2202" s="57" t="n"/>
      <c r="C2202" s="57" t="n"/>
      <c r="D2202" s="57" t="n"/>
      <c r="E2202" s="56" t="n"/>
      <c r="F2202" s="57" t="n"/>
      <c r="G2202" s="57" t="n"/>
      <c r="H2202" s="56" t="n"/>
      <c r="I2202" s="56" t="n"/>
      <c r="J2202" s="58" t="n"/>
      <c r="K2202" s="58" t="n"/>
      <c r="L2202" s="13">
        <f>IF(OR($A2202="",AND($J2202="",$K2202="")),"",ROUND(N($J2202)-N($K2202),2))</f>
        <v/>
      </c>
      <c r="M2202" s="13">
        <f>IF(OR($A2202="",AND($J2202="",$K2202="")),"",MIN($J2202,$K2202))</f>
        <v/>
      </c>
      <c r="Q2202">
        <f>IF($A2202="","",$D2202&amp;"("&amp;SUBSTITUTE($E2202," ","")&amp;")")</f>
        <v/>
      </c>
      <c r="R2202">
        <f>IF($A2202="","",$B2202&amp;" - "&amp;$C2202)</f>
        <v/>
      </c>
      <c r="S2202">
        <f>IF($A2202="","",$R2202&amp;"|"&amp;$Q2202)</f>
        <v/>
      </c>
      <c r="T2202">
        <f>IF($A2202="","",$S2202&amp;"|"&amp;$F2202)</f>
        <v/>
      </c>
      <c r="U2202">
        <f>IF($A2202="","",$R2202&amp;"("&amp;$E2202&amp;")")</f>
        <v/>
      </c>
      <c r="V2202">
        <f>IF($A2202="","",$F2202&amp;"|"&amp;$U2202&amp;"|"&amp;$D2202)</f>
        <v/>
      </c>
      <c r="W2202">
        <f>IF($T2202="","",IF($X2202&gt;N($X2201),$X2202,""))</f>
        <v/>
      </c>
      <c r="X2202">
        <f>IF($T2202="",N($X2201),IF(MATCH($T2202,$T$6:$T$6005,0)=ROW()-5,N($X2201)+1,N($X2201)))</f>
        <v/>
      </c>
      <c r="Z2202">
        <f>IF($V2202="","",IF($AA2202&gt;N($AA2201),$AA2202,""))</f>
        <v/>
      </c>
      <c r="AA2202">
        <f>IF($V2202="",N($AA2201),IF(MATCH($V2202,$V$6:$V$6005,0)=ROW()-5,N($AA2201)+1,N($AA2201)))</f>
        <v/>
      </c>
    </row>
    <row r="2203" ht="21" customHeight="1" s="66">
      <c r="A2203" s="56" t="n"/>
      <c r="B2203" s="57" t="n"/>
      <c r="C2203" s="57" t="n"/>
      <c r="D2203" s="57" t="n"/>
      <c r="E2203" s="56" t="n"/>
      <c r="F2203" s="57" t="n"/>
      <c r="G2203" s="57" t="n"/>
      <c r="H2203" s="56" t="n"/>
      <c r="I2203" s="56" t="n"/>
      <c r="J2203" s="58" t="n"/>
      <c r="K2203" s="58" t="n"/>
      <c r="L2203" s="13">
        <f>IF(OR($A2203="",AND($J2203="",$K2203="")),"",ROUND(N($J2203)-N($K2203),2))</f>
        <v/>
      </c>
      <c r="M2203" s="13">
        <f>IF(OR($A2203="",AND($J2203="",$K2203="")),"",MIN($J2203,$K2203))</f>
        <v/>
      </c>
      <c r="Q2203">
        <f>IF($A2203="","",$D2203&amp;"("&amp;SUBSTITUTE($E2203," ","")&amp;")")</f>
        <v/>
      </c>
      <c r="R2203">
        <f>IF($A2203="","",$B2203&amp;" - "&amp;$C2203)</f>
        <v/>
      </c>
      <c r="S2203">
        <f>IF($A2203="","",$R2203&amp;"|"&amp;$Q2203)</f>
        <v/>
      </c>
      <c r="T2203">
        <f>IF($A2203="","",$S2203&amp;"|"&amp;$F2203)</f>
        <v/>
      </c>
      <c r="U2203">
        <f>IF($A2203="","",$R2203&amp;"("&amp;$E2203&amp;")")</f>
        <v/>
      </c>
      <c r="V2203">
        <f>IF($A2203="","",$F2203&amp;"|"&amp;$U2203&amp;"|"&amp;$D2203)</f>
        <v/>
      </c>
      <c r="W2203">
        <f>IF($T2203="","",IF($X2203&gt;N($X2202),$X2203,""))</f>
        <v/>
      </c>
      <c r="X2203">
        <f>IF($T2203="",N($X2202),IF(MATCH($T2203,$T$6:$T$6005,0)=ROW()-5,N($X2202)+1,N($X2202)))</f>
        <v/>
      </c>
      <c r="Z2203">
        <f>IF($V2203="","",IF($AA2203&gt;N($AA2202),$AA2203,""))</f>
        <v/>
      </c>
      <c r="AA2203">
        <f>IF($V2203="",N($AA2202),IF(MATCH($V2203,$V$6:$V$6005,0)=ROW()-5,N($AA2202)+1,N($AA2202)))</f>
        <v/>
      </c>
    </row>
    <row r="2204" ht="21" customHeight="1" s="66">
      <c r="A2204" s="56" t="n"/>
      <c r="B2204" s="57" t="n"/>
      <c r="C2204" s="57" t="n"/>
      <c r="D2204" s="57" t="n"/>
      <c r="E2204" s="56" t="n"/>
      <c r="F2204" s="57" t="n"/>
      <c r="G2204" s="57" t="n"/>
      <c r="H2204" s="56" t="n"/>
      <c r="I2204" s="56" t="n"/>
      <c r="J2204" s="58" t="n"/>
      <c r="K2204" s="58" t="n"/>
      <c r="L2204" s="13">
        <f>IF(OR($A2204="",AND($J2204="",$K2204="")),"",ROUND(N($J2204)-N($K2204),2))</f>
        <v/>
      </c>
      <c r="M2204" s="13">
        <f>IF(OR($A2204="",AND($J2204="",$K2204="")),"",MIN($J2204,$K2204))</f>
        <v/>
      </c>
      <c r="Q2204">
        <f>IF($A2204="","",$D2204&amp;"("&amp;SUBSTITUTE($E2204," ","")&amp;")")</f>
        <v/>
      </c>
      <c r="R2204">
        <f>IF($A2204="","",$B2204&amp;" - "&amp;$C2204)</f>
        <v/>
      </c>
      <c r="S2204">
        <f>IF($A2204="","",$R2204&amp;"|"&amp;$Q2204)</f>
        <v/>
      </c>
      <c r="T2204">
        <f>IF($A2204="","",$S2204&amp;"|"&amp;$F2204)</f>
        <v/>
      </c>
      <c r="U2204">
        <f>IF($A2204="","",$R2204&amp;"("&amp;$E2204&amp;")")</f>
        <v/>
      </c>
      <c r="V2204">
        <f>IF($A2204="","",$F2204&amp;"|"&amp;$U2204&amp;"|"&amp;$D2204)</f>
        <v/>
      </c>
      <c r="W2204">
        <f>IF($T2204="","",IF($X2204&gt;N($X2203),$X2204,""))</f>
        <v/>
      </c>
      <c r="X2204">
        <f>IF($T2204="",N($X2203),IF(MATCH($T2204,$T$6:$T$6005,0)=ROW()-5,N($X2203)+1,N($X2203)))</f>
        <v/>
      </c>
      <c r="Z2204">
        <f>IF($V2204="","",IF($AA2204&gt;N($AA2203),$AA2204,""))</f>
        <v/>
      </c>
      <c r="AA2204">
        <f>IF($V2204="",N($AA2203),IF(MATCH($V2204,$V$6:$V$6005,0)=ROW()-5,N($AA2203)+1,N($AA2203)))</f>
        <v/>
      </c>
    </row>
    <row r="2205" ht="21" customHeight="1" s="66">
      <c r="A2205" s="56" t="n"/>
      <c r="B2205" s="57" t="n"/>
      <c r="C2205" s="57" t="n"/>
      <c r="D2205" s="57" t="n"/>
      <c r="E2205" s="56" t="n"/>
      <c r="F2205" s="57" t="n"/>
      <c r="G2205" s="57" t="n"/>
      <c r="H2205" s="56" t="n"/>
      <c r="I2205" s="56" t="n"/>
      <c r="J2205" s="58" t="n"/>
      <c r="K2205" s="58" t="n"/>
      <c r="L2205" s="13">
        <f>IF(OR($A2205="",AND($J2205="",$K2205="")),"",ROUND(N($J2205)-N($K2205),2))</f>
        <v/>
      </c>
      <c r="M2205" s="13">
        <f>IF(OR($A2205="",AND($J2205="",$K2205="")),"",MIN($J2205,$K2205))</f>
        <v/>
      </c>
      <c r="Q2205">
        <f>IF($A2205="","",$D2205&amp;"("&amp;SUBSTITUTE($E2205," ","")&amp;")")</f>
        <v/>
      </c>
      <c r="R2205">
        <f>IF($A2205="","",$B2205&amp;" - "&amp;$C2205)</f>
        <v/>
      </c>
      <c r="S2205">
        <f>IF($A2205="","",$R2205&amp;"|"&amp;$Q2205)</f>
        <v/>
      </c>
      <c r="T2205">
        <f>IF($A2205="","",$S2205&amp;"|"&amp;$F2205)</f>
        <v/>
      </c>
      <c r="U2205">
        <f>IF($A2205="","",$R2205&amp;"("&amp;$E2205&amp;")")</f>
        <v/>
      </c>
      <c r="V2205">
        <f>IF($A2205="","",$F2205&amp;"|"&amp;$U2205&amp;"|"&amp;$D2205)</f>
        <v/>
      </c>
      <c r="W2205">
        <f>IF($T2205="","",IF($X2205&gt;N($X2204),$X2205,""))</f>
        <v/>
      </c>
      <c r="X2205">
        <f>IF($T2205="",N($X2204),IF(MATCH($T2205,$T$6:$T$6005,0)=ROW()-5,N($X2204)+1,N($X2204)))</f>
        <v/>
      </c>
      <c r="Z2205">
        <f>IF($V2205="","",IF($AA2205&gt;N($AA2204),$AA2205,""))</f>
        <v/>
      </c>
      <c r="AA2205">
        <f>IF($V2205="",N($AA2204),IF(MATCH($V2205,$V$6:$V$6005,0)=ROW()-5,N($AA2204)+1,N($AA2204)))</f>
        <v/>
      </c>
    </row>
    <row r="2206" ht="21" customHeight="1" s="66">
      <c r="A2206" s="56" t="n"/>
      <c r="B2206" s="57" t="n"/>
      <c r="C2206" s="57" t="n"/>
      <c r="D2206" s="57" t="n"/>
      <c r="E2206" s="56" t="n"/>
      <c r="F2206" s="57" t="n"/>
      <c r="G2206" s="57" t="n"/>
      <c r="H2206" s="56" t="n"/>
      <c r="I2206" s="56" t="n"/>
      <c r="J2206" s="58" t="n"/>
      <c r="K2206" s="58" t="n"/>
      <c r="L2206" s="13">
        <f>IF(OR($A2206="",AND($J2206="",$K2206="")),"",ROUND(N($J2206)-N($K2206),2))</f>
        <v/>
      </c>
      <c r="M2206" s="13">
        <f>IF(OR($A2206="",AND($J2206="",$K2206="")),"",MIN($J2206,$K2206))</f>
        <v/>
      </c>
      <c r="Q2206">
        <f>IF($A2206="","",$D2206&amp;"("&amp;SUBSTITUTE($E2206," ","")&amp;")")</f>
        <v/>
      </c>
      <c r="R2206">
        <f>IF($A2206="","",$B2206&amp;" - "&amp;$C2206)</f>
        <v/>
      </c>
      <c r="S2206">
        <f>IF($A2206="","",$R2206&amp;"|"&amp;$Q2206)</f>
        <v/>
      </c>
      <c r="T2206">
        <f>IF($A2206="","",$S2206&amp;"|"&amp;$F2206)</f>
        <v/>
      </c>
      <c r="U2206">
        <f>IF($A2206="","",$R2206&amp;"("&amp;$E2206&amp;")")</f>
        <v/>
      </c>
      <c r="V2206">
        <f>IF($A2206="","",$F2206&amp;"|"&amp;$U2206&amp;"|"&amp;$D2206)</f>
        <v/>
      </c>
      <c r="W2206">
        <f>IF($T2206="","",IF($X2206&gt;N($X2205),$X2206,""))</f>
        <v/>
      </c>
      <c r="X2206">
        <f>IF($T2206="",N($X2205),IF(MATCH($T2206,$T$6:$T$6005,0)=ROW()-5,N($X2205)+1,N($X2205)))</f>
        <v/>
      </c>
      <c r="Z2206">
        <f>IF($V2206="","",IF($AA2206&gt;N($AA2205),$AA2206,""))</f>
        <v/>
      </c>
      <c r="AA2206">
        <f>IF($V2206="",N($AA2205),IF(MATCH($V2206,$V$6:$V$6005,0)=ROW()-5,N($AA2205)+1,N($AA2205)))</f>
        <v/>
      </c>
    </row>
    <row r="2207" ht="21" customHeight="1" s="66">
      <c r="A2207" s="56" t="n"/>
      <c r="B2207" s="57" t="n"/>
      <c r="C2207" s="57" t="n"/>
      <c r="D2207" s="57" t="n"/>
      <c r="E2207" s="56" t="n"/>
      <c r="F2207" s="57" t="n"/>
      <c r="G2207" s="57" t="n"/>
      <c r="H2207" s="56" t="n"/>
      <c r="I2207" s="56" t="n"/>
      <c r="J2207" s="58" t="n"/>
      <c r="K2207" s="58" t="n"/>
      <c r="L2207" s="13">
        <f>IF(OR($A2207="",AND($J2207="",$K2207="")),"",ROUND(N($J2207)-N($K2207),2))</f>
        <v/>
      </c>
      <c r="M2207" s="13">
        <f>IF(OR($A2207="",AND($J2207="",$K2207="")),"",MIN($J2207,$K2207))</f>
        <v/>
      </c>
      <c r="Q2207">
        <f>IF($A2207="","",$D2207&amp;"("&amp;SUBSTITUTE($E2207," ","")&amp;")")</f>
        <v/>
      </c>
      <c r="R2207">
        <f>IF($A2207="","",$B2207&amp;" - "&amp;$C2207)</f>
        <v/>
      </c>
      <c r="S2207">
        <f>IF($A2207="","",$R2207&amp;"|"&amp;$Q2207)</f>
        <v/>
      </c>
      <c r="T2207">
        <f>IF($A2207="","",$S2207&amp;"|"&amp;$F2207)</f>
        <v/>
      </c>
      <c r="U2207">
        <f>IF($A2207="","",$R2207&amp;"("&amp;$E2207&amp;")")</f>
        <v/>
      </c>
      <c r="V2207">
        <f>IF($A2207="","",$F2207&amp;"|"&amp;$U2207&amp;"|"&amp;$D2207)</f>
        <v/>
      </c>
      <c r="W2207">
        <f>IF($T2207="","",IF($X2207&gt;N($X2206),$X2207,""))</f>
        <v/>
      </c>
      <c r="X2207">
        <f>IF($T2207="",N($X2206),IF(MATCH($T2207,$T$6:$T$6005,0)=ROW()-5,N($X2206)+1,N($X2206)))</f>
        <v/>
      </c>
      <c r="Z2207">
        <f>IF($V2207="","",IF($AA2207&gt;N($AA2206),$AA2207,""))</f>
        <v/>
      </c>
      <c r="AA2207">
        <f>IF($V2207="",N($AA2206),IF(MATCH($V2207,$V$6:$V$6005,0)=ROW()-5,N($AA2206)+1,N($AA2206)))</f>
        <v/>
      </c>
    </row>
    <row r="2208" ht="21" customHeight="1" s="66">
      <c r="A2208" s="56" t="n"/>
      <c r="B2208" s="57" t="n"/>
      <c r="C2208" s="57" t="n"/>
      <c r="D2208" s="57" t="n"/>
      <c r="E2208" s="56" t="n"/>
      <c r="F2208" s="57" t="n"/>
      <c r="G2208" s="57" t="n"/>
      <c r="H2208" s="56" t="n"/>
      <c r="I2208" s="56" t="n"/>
      <c r="J2208" s="58" t="n"/>
      <c r="K2208" s="58" t="n"/>
      <c r="L2208" s="13">
        <f>IF(OR($A2208="",AND($J2208="",$K2208="")),"",ROUND(N($J2208)-N($K2208),2))</f>
        <v/>
      </c>
      <c r="M2208" s="13">
        <f>IF(OR($A2208="",AND($J2208="",$K2208="")),"",MIN($J2208,$K2208))</f>
        <v/>
      </c>
      <c r="Q2208">
        <f>IF($A2208="","",$D2208&amp;"("&amp;SUBSTITUTE($E2208," ","")&amp;")")</f>
        <v/>
      </c>
      <c r="R2208">
        <f>IF($A2208="","",$B2208&amp;" - "&amp;$C2208)</f>
        <v/>
      </c>
      <c r="S2208">
        <f>IF($A2208="","",$R2208&amp;"|"&amp;$Q2208)</f>
        <v/>
      </c>
      <c r="T2208">
        <f>IF($A2208="","",$S2208&amp;"|"&amp;$F2208)</f>
        <v/>
      </c>
      <c r="U2208">
        <f>IF($A2208="","",$R2208&amp;"("&amp;$E2208&amp;")")</f>
        <v/>
      </c>
      <c r="V2208">
        <f>IF($A2208="","",$F2208&amp;"|"&amp;$U2208&amp;"|"&amp;$D2208)</f>
        <v/>
      </c>
      <c r="W2208">
        <f>IF($T2208="","",IF($X2208&gt;N($X2207),$X2208,""))</f>
        <v/>
      </c>
      <c r="X2208">
        <f>IF($T2208="",N($X2207),IF(MATCH($T2208,$T$6:$T$6005,0)=ROW()-5,N($X2207)+1,N($X2207)))</f>
        <v/>
      </c>
      <c r="Z2208">
        <f>IF($V2208="","",IF($AA2208&gt;N($AA2207),$AA2208,""))</f>
        <v/>
      </c>
      <c r="AA2208">
        <f>IF($V2208="",N($AA2207),IF(MATCH($V2208,$V$6:$V$6005,0)=ROW()-5,N($AA2207)+1,N($AA2207)))</f>
        <v/>
      </c>
    </row>
    <row r="2209" ht="21" customHeight="1" s="66">
      <c r="A2209" s="56" t="n"/>
      <c r="B2209" s="57" t="n"/>
      <c r="C2209" s="57" t="n"/>
      <c r="D2209" s="57" t="n"/>
      <c r="E2209" s="56" t="n"/>
      <c r="F2209" s="57" t="n"/>
      <c r="G2209" s="57" t="n"/>
      <c r="H2209" s="56" t="n"/>
      <c r="I2209" s="56" t="n"/>
      <c r="J2209" s="58" t="n"/>
      <c r="K2209" s="58" t="n"/>
      <c r="L2209" s="13">
        <f>IF(OR($A2209="",AND($J2209="",$K2209="")),"",ROUND(N($J2209)-N($K2209),2))</f>
        <v/>
      </c>
      <c r="M2209" s="13">
        <f>IF(OR($A2209="",AND($J2209="",$K2209="")),"",MIN($J2209,$K2209))</f>
        <v/>
      </c>
      <c r="Q2209">
        <f>IF($A2209="","",$D2209&amp;"("&amp;SUBSTITUTE($E2209," ","")&amp;")")</f>
        <v/>
      </c>
      <c r="R2209">
        <f>IF($A2209="","",$B2209&amp;" - "&amp;$C2209)</f>
        <v/>
      </c>
      <c r="S2209">
        <f>IF($A2209="","",$R2209&amp;"|"&amp;$Q2209)</f>
        <v/>
      </c>
      <c r="T2209">
        <f>IF($A2209="","",$S2209&amp;"|"&amp;$F2209)</f>
        <v/>
      </c>
      <c r="U2209">
        <f>IF($A2209="","",$R2209&amp;"("&amp;$E2209&amp;")")</f>
        <v/>
      </c>
      <c r="V2209">
        <f>IF($A2209="","",$F2209&amp;"|"&amp;$U2209&amp;"|"&amp;$D2209)</f>
        <v/>
      </c>
      <c r="W2209">
        <f>IF($T2209="","",IF($X2209&gt;N($X2208),$X2209,""))</f>
        <v/>
      </c>
      <c r="X2209">
        <f>IF($T2209="",N($X2208),IF(MATCH($T2209,$T$6:$T$6005,0)=ROW()-5,N($X2208)+1,N($X2208)))</f>
        <v/>
      </c>
      <c r="Z2209">
        <f>IF($V2209="","",IF($AA2209&gt;N($AA2208),$AA2209,""))</f>
        <v/>
      </c>
      <c r="AA2209">
        <f>IF($V2209="",N($AA2208),IF(MATCH($V2209,$V$6:$V$6005,0)=ROW()-5,N($AA2208)+1,N($AA2208)))</f>
        <v/>
      </c>
    </row>
    <row r="2210" ht="21" customHeight="1" s="66">
      <c r="A2210" s="56" t="n"/>
      <c r="B2210" s="57" t="n"/>
      <c r="C2210" s="57" t="n"/>
      <c r="D2210" s="57" t="n"/>
      <c r="E2210" s="56" t="n"/>
      <c r="F2210" s="57" t="n"/>
      <c r="G2210" s="57" t="n"/>
      <c r="H2210" s="56" t="n"/>
      <c r="I2210" s="56" t="n"/>
      <c r="J2210" s="58" t="n"/>
      <c r="K2210" s="58" t="n"/>
      <c r="L2210" s="13">
        <f>IF(OR($A2210="",AND($J2210="",$K2210="")),"",ROUND(N($J2210)-N($K2210),2))</f>
        <v/>
      </c>
      <c r="M2210" s="13">
        <f>IF(OR($A2210="",AND($J2210="",$K2210="")),"",MIN($J2210,$K2210))</f>
        <v/>
      </c>
      <c r="Q2210">
        <f>IF($A2210="","",$D2210&amp;"("&amp;SUBSTITUTE($E2210," ","")&amp;")")</f>
        <v/>
      </c>
      <c r="R2210">
        <f>IF($A2210="","",$B2210&amp;" - "&amp;$C2210)</f>
        <v/>
      </c>
      <c r="S2210">
        <f>IF($A2210="","",$R2210&amp;"|"&amp;$Q2210)</f>
        <v/>
      </c>
      <c r="T2210">
        <f>IF($A2210="","",$S2210&amp;"|"&amp;$F2210)</f>
        <v/>
      </c>
      <c r="U2210">
        <f>IF($A2210="","",$R2210&amp;"("&amp;$E2210&amp;")")</f>
        <v/>
      </c>
      <c r="V2210">
        <f>IF($A2210="","",$F2210&amp;"|"&amp;$U2210&amp;"|"&amp;$D2210)</f>
        <v/>
      </c>
      <c r="W2210">
        <f>IF($T2210="","",IF($X2210&gt;N($X2209),$X2210,""))</f>
        <v/>
      </c>
      <c r="X2210">
        <f>IF($T2210="",N($X2209),IF(MATCH($T2210,$T$6:$T$6005,0)=ROW()-5,N($X2209)+1,N($X2209)))</f>
        <v/>
      </c>
      <c r="Z2210">
        <f>IF($V2210="","",IF($AA2210&gt;N($AA2209),$AA2210,""))</f>
        <v/>
      </c>
      <c r="AA2210">
        <f>IF($V2210="",N($AA2209),IF(MATCH($V2210,$V$6:$V$6005,0)=ROW()-5,N($AA2209)+1,N($AA2209)))</f>
        <v/>
      </c>
    </row>
    <row r="2211" ht="21" customHeight="1" s="66">
      <c r="A2211" s="56" t="n"/>
      <c r="B2211" s="57" t="n"/>
      <c r="C2211" s="57" t="n"/>
      <c r="D2211" s="57" t="n"/>
      <c r="E2211" s="56" t="n"/>
      <c r="F2211" s="57" t="n"/>
      <c r="G2211" s="57" t="n"/>
      <c r="H2211" s="56" t="n"/>
      <c r="I2211" s="56" t="n"/>
      <c r="J2211" s="58" t="n"/>
      <c r="K2211" s="58" t="n"/>
      <c r="L2211" s="13">
        <f>IF(OR($A2211="",AND($J2211="",$K2211="")),"",ROUND(N($J2211)-N($K2211),2))</f>
        <v/>
      </c>
      <c r="M2211" s="13">
        <f>IF(OR($A2211="",AND($J2211="",$K2211="")),"",MIN($J2211,$K2211))</f>
        <v/>
      </c>
      <c r="Q2211">
        <f>IF($A2211="","",$D2211&amp;"("&amp;SUBSTITUTE($E2211," ","")&amp;")")</f>
        <v/>
      </c>
      <c r="R2211">
        <f>IF($A2211="","",$B2211&amp;" - "&amp;$C2211)</f>
        <v/>
      </c>
      <c r="S2211">
        <f>IF($A2211="","",$R2211&amp;"|"&amp;$Q2211)</f>
        <v/>
      </c>
      <c r="T2211">
        <f>IF($A2211="","",$S2211&amp;"|"&amp;$F2211)</f>
        <v/>
      </c>
      <c r="U2211">
        <f>IF($A2211="","",$R2211&amp;"("&amp;$E2211&amp;")")</f>
        <v/>
      </c>
      <c r="V2211">
        <f>IF($A2211="","",$F2211&amp;"|"&amp;$U2211&amp;"|"&amp;$D2211)</f>
        <v/>
      </c>
      <c r="W2211">
        <f>IF($T2211="","",IF($X2211&gt;N($X2210),$X2211,""))</f>
        <v/>
      </c>
      <c r="X2211">
        <f>IF($T2211="",N($X2210),IF(MATCH($T2211,$T$6:$T$6005,0)=ROW()-5,N($X2210)+1,N($X2210)))</f>
        <v/>
      </c>
      <c r="Z2211">
        <f>IF($V2211="","",IF($AA2211&gt;N($AA2210),$AA2211,""))</f>
        <v/>
      </c>
      <c r="AA2211">
        <f>IF($V2211="",N($AA2210),IF(MATCH($V2211,$V$6:$V$6005,0)=ROW()-5,N($AA2210)+1,N($AA2210)))</f>
        <v/>
      </c>
    </row>
    <row r="2212" ht="21" customHeight="1" s="66">
      <c r="A2212" s="56" t="n"/>
      <c r="B2212" s="57" t="n"/>
      <c r="C2212" s="57" t="n"/>
      <c r="D2212" s="57" t="n"/>
      <c r="E2212" s="56" t="n"/>
      <c r="F2212" s="57" t="n"/>
      <c r="G2212" s="57" t="n"/>
      <c r="H2212" s="56" t="n"/>
      <c r="I2212" s="56" t="n"/>
      <c r="J2212" s="58" t="n"/>
      <c r="K2212" s="58" t="n"/>
      <c r="L2212" s="13">
        <f>IF(OR($A2212="",AND($J2212="",$K2212="")),"",ROUND(N($J2212)-N($K2212),2))</f>
        <v/>
      </c>
      <c r="M2212" s="13">
        <f>IF(OR($A2212="",AND($J2212="",$K2212="")),"",MIN($J2212,$K2212))</f>
        <v/>
      </c>
      <c r="Q2212">
        <f>IF($A2212="","",$D2212&amp;"("&amp;SUBSTITUTE($E2212," ","")&amp;")")</f>
        <v/>
      </c>
      <c r="R2212">
        <f>IF($A2212="","",$B2212&amp;" - "&amp;$C2212)</f>
        <v/>
      </c>
      <c r="S2212">
        <f>IF($A2212="","",$R2212&amp;"|"&amp;$Q2212)</f>
        <v/>
      </c>
      <c r="T2212">
        <f>IF($A2212="","",$S2212&amp;"|"&amp;$F2212)</f>
        <v/>
      </c>
      <c r="U2212">
        <f>IF($A2212="","",$R2212&amp;"("&amp;$E2212&amp;")")</f>
        <v/>
      </c>
      <c r="V2212">
        <f>IF($A2212="","",$F2212&amp;"|"&amp;$U2212&amp;"|"&amp;$D2212)</f>
        <v/>
      </c>
      <c r="W2212">
        <f>IF($T2212="","",IF($X2212&gt;N($X2211),$X2212,""))</f>
        <v/>
      </c>
      <c r="X2212">
        <f>IF($T2212="",N($X2211),IF(MATCH($T2212,$T$6:$T$6005,0)=ROW()-5,N($X2211)+1,N($X2211)))</f>
        <v/>
      </c>
      <c r="Z2212">
        <f>IF($V2212="","",IF($AA2212&gt;N($AA2211),$AA2212,""))</f>
        <v/>
      </c>
      <c r="AA2212">
        <f>IF($V2212="",N($AA2211),IF(MATCH($V2212,$V$6:$V$6005,0)=ROW()-5,N($AA2211)+1,N($AA2211)))</f>
        <v/>
      </c>
    </row>
    <row r="2213" ht="21" customHeight="1" s="66">
      <c r="A2213" s="56" t="n"/>
      <c r="B2213" s="57" t="n"/>
      <c r="C2213" s="57" t="n"/>
      <c r="D2213" s="57" t="n"/>
      <c r="E2213" s="56" t="n"/>
      <c r="F2213" s="57" t="n"/>
      <c r="G2213" s="57" t="n"/>
      <c r="H2213" s="56" t="n"/>
      <c r="I2213" s="56" t="n"/>
      <c r="J2213" s="58" t="n"/>
      <c r="K2213" s="58" t="n"/>
      <c r="L2213" s="13">
        <f>IF(OR($A2213="",AND($J2213="",$K2213="")),"",ROUND(N($J2213)-N($K2213),2))</f>
        <v/>
      </c>
      <c r="M2213" s="13">
        <f>IF(OR($A2213="",AND($J2213="",$K2213="")),"",MIN($J2213,$K2213))</f>
        <v/>
      </c>
      <c r="Q2213">
        <f>IF($A2213="","",$D2213&amp;"("&amp;SUBSTITUTE($E2213," ","")&amp;")")</f>
        <v/>
      </c>
      <c r="R2213">
        <f>IF($A2213="","",$B2213&amp;" - "&amp;$C2213)</f>
        <v/>
      </c>
      <c r="S2213">
        <f>IF($A2213="","",$R2213&amp;"|"&amp;$Q2213)</f>
        <v/>
      </c>
      <c r="T2213">
        <f>IF($A2213="","",$S2213&amp;"|"&amp;$F2213)</f>
        <v/>
      </c>
      <c r="U2213">
        <f>IF($A2213="","",$R2213&amp;"("&amp;$E2213&amp;")")</f>
        <v/>
      </c>
      <c r="V2213">
        <f>IF($A2213="","",$F2213&amp;"|"&amp;$U2213&amp;"|"&amp;$D2213)</f>
        <v/>
      </c>
      <c r="W2213">
        <f>IF($T2213="","",IF($X2213&gt;N($X2212),$X2213,""))</f>
        <v/>
      </c>
      <c r="X2213">
        <f>IF($T2213="",N($X2212),IF(MATCH($T2213,$T$6:$T$6005,0)=ROW()-5,N($X2212)+1,N($X2212)))</f>
        <v/>
      </c>
      <c r="Z2213">
        <f>IF($V2213="","",IF($AA2213&gt;N($AA2212),$AA2213,""))</f>
        <v/>
      </c>
      <c r="AA2213">
        <f>IF($V2213="",N($AA2212),IF(MATCH($V2213,$V$6:$V$6005,0)=ROW()-5,N($AA2212)+1,N($AA2212)))</f>
        <v/>
      </c>
    </row>
    <row r="2214" ht="21" customHeight="1" s="66">
      <c r="A2214" s="56" t="n"/>
      <c r="B2214" s="57" t="n"/>
      <c r="C2214" s="57" t="n"/>
      <c r="D2214" s="57" t="n"/>
      <c r="E2214" s="56" t="n"/>
      <c r="F2214" s="57" t="n"/>
      <c r="G2214" s="57" t="n"/>
      <c r="H2214" s="56" t="n"/>
      <c r="I2214" s="56" t="n"/>
      <c r="J2214" s="58" t="n"/>
      <c r="K2214" s="58" t="n"/>
      <c r="L2214" s="13">
        <f>IF(OR($A2214="",AND($J2214="",$K2214="")),"",ROUND(N($J2214)-N($K2214),2))</f>
        <v/>
      </c>
      <c r="M2214" s="13">
        <f>IF(OR($A2214="",AND($J2214="",$K2214="")),"",MIN($J2214,$K2214))</f>
        <v/>
      </c>
      <c r="Q2214">
        <f>IF($A2214="","",$D2214&amp;"("&amp;SUBSTITUTE($E2214," ","")&amp;")")</f>
        <v/>
      </c>
      <c r="R2214">
        <f>IF($A2214="","",$B2214&amp;" - "&amp;$C2214)</f>
        <v/>
      </c>
      <c r="S2214">
        <f>IF($A2214="","",$R2214&amp;"|"&amp;$Q2214)</f>
        <v/>
      </c>
      <c r="T2214">
        <f>IF($A2214="","",$S2214&amp;"|"&amp;$F2214)</f>
        <v/>
      </c>
      <c r="U2214">
        <f>IF($A2214="","",$R2214&amp;"("&amp;$E2214&amp;")")</f>
        <v/>
      </c>
      <c r="V2214">
        <f>IF($A2214="","",$F2214&amp;"|"&amp;$U2214&amp;"|"&amp;$D2214)</f>
        <v/>
      </c>
      <c r="W2214">
        <f>IF($T2214="","",IF($X2214&gt;N($X2213),$X2214,""))</f>
        <v/>
      </c>
      <c r="X2214">
        <f>IF($T2214="",N($X2213),IF(MATCH($T2214,$T$6:$T$6005,0)=ROW()-5,N($X2213)+1,N($X2213)))</f>
        <v/>
      </c>
      <c r="Z2214">
        <f>IF($V2214="","",IF($AA2214&gt;N($AA2213),$AA2214,""))</f>
        <v/>
      </c>
      <c r="AA2214">
        <f>IF($V2214="",N($AA2213),IF(MATCH($V2214,$V$6:$V$6005,0)=ROW()-5,N($AA2213)+1,N($AA2213)))</f>
        <v/>
      </c>
    </row>
    <row r="2215" ht="21" customHeight="1" s="66">
      <c r="A2215" s="56" t="n"/>
      <c r="B2215" s="57" t="n"/>
      <c r="C2215" s="57" t="n"/>
      <c r="D2215" s="57" t="n"/>
      <c r="E2215" s="56" t="n"/>
      <c r="F2215" s="57" t="n"/>
      <c r="G2215" s="57" t="n"/>
      <c r="H2215" s="56" t="n"/>
      <c r="I2215" s="56" t="n"/>
      <c r="J2215" s="58" t="n"/>
      <c r="K2215" s="58" t="n"/>
      <c r="L2215" s="13">
        <f>IF(OR($A2215="",AND($J2215="",$K2215="")),"",ROUND(N($J2215)-N($K2215),2))</f>
        <v/>
      </c>
      <c r="M2215" s="13">
        <f>IF(OR($A2215="",AND($J2215="",$K2215="")),"",MIN($J2215,$K2215))</f>
        <v/>
      </c>
      <c r="Q2215">
        <f>IF($A2215="","",$D2215&amp;"("&amp;SUBSTITUTE($E2215," ","")&amp;")")</f>
        <v/>
      </c>
      <c r="R2215">
        <f>IF($A2215="","",$B2215&amp;" - "&amp;$C2215)</f>
        <v/>
      </c>
      <c r="S2215">
        <f>IF($A2215="","",$R2215&amp;"|"&amp;$Q2215)</f>
        <v/>
      </c>
      <c r="T2215">
        <f>IF($A2215="","",$S2215&amp;"|"&amp;$F2215)</f>
        <v/>
      </c>
      <c r="U2215">
        <f>IF($A2215="","",$R2215&amp;"("&amp;$E2215&amp;")")</f>
        <v/>
      </c>
      <c r="V2215">
        <f>IF($A2215="","",$F2215&amp;"|"&amp;$U2215&amp;"|"&amp;$D2215)</f>
        <v/>
      </c>
      <c r="W2215">
        <f>IF($T2215="","",IF($X2215&gt;N($X2214),$X2215,""))</f>
        <v/>
      </c>
      <c r="X2215">
        <f>IF($T2215="",N($X2214),IF(MATCH($T2215,$T$6:$T$6005,0)=ROW()-5,N($X2214)+1,N($X2214)))</f>
        <v/>
      </c>
      <c r="Z2215">
        <f>IF($V2215="","",IF($AA2215&gt;N($AA2214),$AA2215,""))</f>
        <v/>
      </c>
      <c r="AA2215">
        <f>IF($V2215="",N($AA2214),IF(MATCH($V2215,$V$6:$V$6005,0)=ROW()-5,N($AA2214)+1,N($AA2214)))</f>
        <v/>
      </c>
    </row>
    <row r="2216" ht="21" customHeight="1" s="66">
      <c r="A2216" s="56" t="n"/>
      <c r="B2216" s="57" t="n"/>
      <c r="C2216" s="57" t="n"/>
      <c r="D2216" s="57" t="n"/>
      <c r="E2216" s="56" t="n"/>
      <c r="F2216" s="57" t="n"/>
      <c r="G2216" s="57" t="n"/>
      <c r="H2216" s="56" t="n"/>
      <c r="I2216" s="56" t="n"/>
      <c r="J2216" s="58" t="n"/>
      <c r="K2216" s="58" t="n"/>
      <c r="L2216" s="13">
        <f>IF(OR($A2216="",AND($J2216="",$K2216="")),"",ROUND(N($J2216)-N($K2216),2))</f>
        <v/>
      </c>
      <c r="M2216" s="13">
        <f>IF(OR($A2216="",AND($J2216="",$K2216="")),"",MIN($J2216,$K2216))</f>
        <v/>
      </c>
      <c r="Q2216">
        <f>IF($A2216="","",$D2216&amp;"("&amp;SUBSTITUTE($E2216," ","")&amp;")")</f>
        <v/>
      </c>
      <c r="R2216">
        <f>IF($A2216="","",$B2216&amp;" - "&amp;$C2216)</f>
        <v/>
      </c>
      <c r="S2216">
        <f>IF($A2216="","",$R2216&amp;"|"&amp;$Q2216)</f>
        <v/>
      </c>
      <c r="T2216">
        <f>IF($A2216="","",$S2216&amp;"|"&amp;$F2216)</f>
        <v/>
      </c>
      <c r="U2216">
        <f>IF($A2216="","",$R2216&amp;"("&amp;$E2216&amp;")")</f>
        <v/>
      </c>
      <c r="V2216">
        <f>IF($A2216="","",$F2216&amp;"|"&amp;$U2216&amp;"|"&amp;$D2216)</f>
        <v/>
      </c>
      <c r="W2216">
        <f>IF($T2216="","",IF($X2216&gt;N($X2215),$X2216,""))</f>
        <v/>
      </c>
      <c r="X2216">
        <f>IF($T2216="",N($X2215),IF(MATCH($T2216,$T$6:$T$6005,0)=ROW()-5,N($X2215)+1,N($X2215)))</f>
        <v/>
      </c>
      <c r="Z2216">
        <f>IF($V2216="","",IF($AA2216&gt;N($AA2215),$AA2216,""))</f>
        <v/>
      </c>
      <c r="AA2216">
        <f>IF($V2216="",N($AA2215),IF(MATCH($V2216,$V$6:$V$6005,0)=ROW()-5,N($AA2215)+1,N($AA2215)))</f>
        <v/>
      </c>
    </row>
    <row r="2217" ht="21" customHeight="1" s="66">
      <c r="A2217" s="56" t="n"/>
      <c r="B2217" s="57" t="n"/>
      <c r="C2217" s="57" t="n"/>
      <c r="D2217" s="57" t="n"/>
      <c r="E2217" s="56" t="n"/>
      <c r="F2217" s="57" t="n"/>
      <c r="G2217" s="57" t="n"/>
      <c r="H2217" s="56" t="n"/>
      <c r="I2217" s="56" t="n"/>
      <c r="J2217" s="58" t="n"/>
      <c r="K2217" s="58" t="n"/>
      <c r="L2217" s="13">
        <f>IF(OR($A2217="",AND($J2217="",$K2217="")),"",ROUND(N($J2217)-N($K2217),2))</f>
        <v/>
      </c>
      <c r="M2217" s="13">
        <f>IF(OR($A2217="",AND($J2217="",$K2217="")),"",MIN($J2217,$K2217))</f>
        <v/>
      </c>
      <c r="Q2217">
        <f>IF($A2217="","",$D2217&amp;"("&amp;SUBSTITUTE($E2217," ","")&amp;")")</f>
        <v/>
      </c>
      <c r="R2217">
        <f>IF($A2217="","",$B2217&amp;" - "&amp;$C2217)</f>
        <v/>
      </c>
      <c r="S2217">
        <f>IF($A2217="","",$R2217&amp;"|"&amp;$Q2217)</f>
        <v/>
      </c>
      <c r="T2217">
        <f>IF($A2217="","",$S2217&amp;"|"&amp;$F2217)</f>
        <v/>
      </c>
      <c r="U2217">
        <f>IF($A2217="","",$R2217&amp;"("&amp;$E2217&amp;")")</f>
        <v/>
      </c>
      <c r="V2217">
        <f>IF($A2217="","",$F2217&amp;"|"&amp;$U2217&amp;"|"&amp;$D2217)</f>
        <v/>
      </c>
      <c r="W2217">
        <f>IF($T2217="","",IF($X2217&gt;N($X2216),$X2217,""))</f>
        <v/>
      </c>
      <c r="X2217">
        <f>IF($T2217="",N($X2216),IF(MATCH($T2217,$T$6:$T$6005,0)=ROW()-5,N($X2216)+1,N($X2216)))</f>
        <v/>
      </c>
      <c r="Z2217">
        <f>IF($V2217="","",IF($AA2217&gt;N($AA2216),$AA2217,""))</f>
        <v/>
      </c>
      <c r="AA2217">
        <f>IF($V2217="",N($AA2216),IF(MATCH($V2217,$V$6:$V$6005,0)=ROW()-5,N($AA2216)+1,N($AA2216)))</f>
        <v/>
      </c>
    </row>
    <row r="2218" ht="21" customHeight="1" s="66">
      <c r="A2218" s="56" t="n"/>
      <c r="B2218" s="57" t="n"/>
      <c r="C2218" s="57" t="n"/>
      <c r="D2218" s="57" t="n"/>
      <c r="E2218" s="56" t="n"/>
      <c r="F2218" s="57" t="n"/>
      <c r="G2218" s="57" t="n"/>
      <c r="H2218" s="56" t="n"/>
      <c r="I2218" s="56" t="n"/>
      <c r="J2218" s="58" t="n"/>
      <c r="K2218" s="58" t="n"/>
      <c r="L2218" s="13">
        <f>IF(OR($A2218="",AND($J2218="",$K2218="")),"",ROUND(N($J2218)-N($K2218),2))</f>
        <v/>
      </c>
      <c r="M2218" s="13">
        <f>IF(OR($A2218="",AND($J2218="",$K2218="")),"",MIN($J2218,$K2218))</f>
        <v/>
      </c>
      <c r="Q2218">
        <f>IF($A2218="","",$D2218&amp;"("&amp;SUBSTITUTE($E2218," ","")&amp;")")</f>
        <v/>
      </c>
      <c r="R2218">
        <f>IF($A2218="","",$B2218&amp;" - "&amp;$C2218)</f>
        <v/>
      </c>
      <c r="S2218">
        <f>IF($A2218="","",$R2218&amp;"|"&amp;$Q2218)</f>
        <v/>
      </c>
      <c r="T2218">
        <f>IF($A2218="","",$S2218&amp;"|"&amp;$F2218)</f>
        <v/>
      </c>
      <c r="U2218">
        <f>IF($A2218="","",$R2218&amp;"("&amp;$E2218&amp;")")</f>
        <v/>
      </c>
      <c r="V2218">
        <f>IF($A2218="","",$F2218&amp;"|"&amp;$U2218&amp;"|"&amp;$D2218)</f>
        <v/>
      </c>
      <c r="W2218">
        <f>IF($T2218="","",IF($X2218&gt;N($X2217),$X2218,""))</f>
        <v/>
      </c>
      <c r="X2218">
        <f>IF($T2218="",N($X2217),IF(MATCH($T2218,$T$6:$T$6005,0)=ROW()-5,N($X2217)+1,N($X2217)))</f>
        <v/>
      </c>
      <c r="Z2218">
        <f>IF($V2218="","",IF($AA2218&gt;N($AA2217),$AA2218,""))</f>
        <v/>
      </c>
      <c r="AA2218">
        <f>IF($V2218="",N($AA2217),IF(MATCH($V2218,$V$6:$V$6005,0)=ROW()-5,N($AA2217)+1,N($AA2217)))</f>
        <v/>
      </c>
    </row>
    <row r="2219" ht="21" customHeight="1" s="66">
      <c r="A2219" s="56" t="n"/>
      <c r="B2219" s="57" t="n"/>
      <c r="C2219" s="57" t="n"/>
      <c r="D2219" s="57" t="n"/>
      <c r="E2219" s="56" t="n"/>
      <c r="F2219" s="57" t="n"/>
      <c r="G2219" s="57" t="n"/>
      <c r="H2219" s="56" t="n"/>
      <c r="I2219" s="56" t="n"/>
      <c r="J2219" s="58" t="n"/>
      <c r="K2219" s="58" t="n"/>
      <c r="L2219" s="13">
        <f>IF(OR($A2219="",AND($J2219="",$K2219="")),"",ROUND(N($J2219)-N($K2219),2))</f>
        <v/>
      </c>
      <c r="M2219" s="13">
        <f>IF(OR($A2219="",AND($J2219="",$K2219="")),"",MIN($J2219,$K2219))</f>
        <v/>
      </c>
      <c r="Q2219">
        <f>IF($A2219="","",$D2219&amp;"("&amp;SUBSTITUTE($E2219," ","")&amp;")")</f>
        <v/>
      </c>
      <c r="R2219">
        <f>IF($A2219="","",$B2219&amp;" - "&amp;$C2219)</f>
        <v/>
      </c>
      <c r="S2219">
        <f>IF($A2219="","",$R2219&amp;"|"&amp;$Q2219)</f>
        <v/>
      </c>
      <c r="T2219">
        <f>IF($A2219="","",$S2219&amp;"|"&amp;$F2219)</f>
        <v/>
      </c>
      <c r="U2219">
        <f>IF($A2219="","",$R2219&amp;"("&amp;$E2219&amp;")")</f>
        <v/>
      </c>
      <c r="V2219">
        <f>IF($A2219="","",$F2219&amp;"|"&amp;$U2219&amp;"|"&amp;$D2219)</f>
        <v/>
      </c>
      <c r="W2219">
        <f>IF($T2219="","",IF($X2219&gt;N($X2218),$X2219,""))</f>
        <v/>
      </c>
      <c r="X2219">
        <f>IF($T2219="",N($X2218),IF(MATCH($T2219,$T$6:$T$6005,0)=ROW()-5,N($X2218)+1,N($X2218)))</f>
        <v/>
      </c>
      <c r="Z2219">
        <f>IF($V2219="","",IF($AA2219&gt;N($AA2218),$AA2219,""))</f>
        <v/>
      </c>
      <c r="AA2219">
        <f>IF($V2219="",N($AA2218),IF(MATCH($V2219,$V$6:$V$6005,0)=ROW()-5,N($AA2218)+1,N($AA2218)))</f>
        <v/>
      </c>
    </row>
    <row r="2220" ht="21" customHeight="1" s="66">
      <c r="A2220" s="56" t="n"/>
      <c r="B2220" s="57" t="n"/>
      <c r="C2220" s="57" t="n"/>
      <c r="D2220" s="57" t="n"/>
      <c r="E2220" s="56" t="n"/>
      <c r="F2220" s="57" t="n"/>
      <c r="G2220" s="57" t="n"/>
      <c r="H2220" s="56" t="n"/>
      <c r="I2220" s="56" t="n"/>
      <c r="J2220" s="58" t="n"/>
      <c r="K2220" s="58" t="n"/>
      <c r="L2220" s="13">
        <f>IF(OR($A2220="",AND($J2220="",$K2220="")),"",ROUND(N($J2220)-N($K2220),2))</f>
        <v/>
      </c>
      <c r="M2220" s="13">
        <f>IF(OR($A2220="",AND($J2220="",$K2220="")),"",MIN($J2220,$K2220))</f>
        <v/>
      </c>
      <c r="Q2220">
        <f>IF($A2220="","",$D2220&amp;"("&amp;SUBSTITUTE($E2220," ","")&amp;")")</f>
        <v/>
      </c>
      <c r="R2220">
        <f>IF($A2220="","",$B2220&amp;" - "&amp;$C2220)</f>
        <v/>
      </c>
      <c r="S2220">
        <f>IF($A2220="","",$R2220&amp;"|"&amp;$Q2220)</f>
        <v/>
      </c>
      <c r="T2220">
        <f>IF($A2220="","",$S2220&amp;"|"&amp;$F2220)</f>
        <v/>
      </c>
      <c r="U2220">
        <f>IF($A2220="","",$R2220&amp;"("&amp;$E2220&amp;")")</f>
        <v/>
      </c>
      <c r="V2220">
        <f>IF($A2220="","",$F2220&amp;"|"&amp;$U2220&amp;"|"&amp;$D2220)</f>
        <v/>
      </c>
      <c r="W2220">
        <f>IF($T2220="","",IF($X2220&gt;N($X2219),$X2220,""))</f>
        <v/>
      </c>
      <c r="X2220">
        <f>IF($T2220="",N($X2219),IF(MATCH($T2220,$T$6:$T$6005,0)=ROW()-5,N($X2219)+1,N($X2219)))</f>
        <v/>
      </c>
      <c r="Z2220">
        <f>IF($V2220="","",IF($AA2220&gt;N($AA2219),$AA2220,""))</f>
        <v/>
      </c>
      <c r="AA2220">
        <f>IF($V2220="",N($AA2219),IF(MATCH($V2220,$V$6:$V$6005,0)=ROW()-5,N($AA2219)+1,N($AA2219)))</f>
        <v/>
      </c>
    </row>
    <row r="2221" ht="21" customHeight="1" s="66">
      <c r="A2221" s="56" t="n"/>
      <c r="B2221" s="57" t="n"/>
      <c r="C2221" s="57" t="n"/>
      <c r="D2221" s="57" t="n"/>
      <c r="E2221" s="56" t="n"/>
      <c r="F2221" s="57" t="n"/>
      <c r="G2221" s="57" t="n"/>
      <c r="H2221" s="56" t="n"/>
      <c r="I2221" s="56" t="n"/>
      <c r="J2221" s="58" t="n"/>
      <c r="K2221" s="58" t="n"/>
      <c r="L2221" s="13">
        <f>IF(OR($A2221="",AND($J2221="",$K2221="")),"",ROUND(N($J2221)-N($K2221),2))</f>
        <v/>
      </c>
      <c r="M2221" s="13">
        <f>IF(OR($A2221="",AND($J2221="",$K2221="")),"",MIN($J2221,$K2221))</f>
        <v/>
      </c>
      <c r="Q2221">
        <f>IF($A2221="","",$D2221&amp;"("&amp;SUBSTITUTE($E2221," ","")&amp;")")</f>
        <v/>
      </c>
      <c r="R2221">
        <f>IF($A2221="","",$B2221&amp;" - "&amp;$C2221)</f>
        <v/>
      </c>
      <c r="S2221">
        <f>IF($A2221="","",$R2221&amp;"|"&amp;$Q2221)</f>
        <v/>
      </c>
      <c r="T2221">
        <f>IF($A2221="","",$S2221&amp;"|"&amp;$F2221)</f>
        <v/>
      </c>
      <c r="U2221">
        <f>IF($A2221="","",$R2221&amp;"("&amp;$E2221&amp;")")</f>
        <v/>
      </c>
      <c r="V2221">
        <f>IF($A2221="","",$F2221&amp;"|"&amp;$U2221&amp;"|"&amp;$D2221)</f>
        <v/>
      </c>
      <c r="W2221">
        <f>IF($T2221="","",IF($X2221&gt;N($X2220),$X2221,""))</f>
        <v/>
      </c>
      <c r="X2221">
        <f>IF($T2221="",N($X2220),IF(MATCH($T2221,$T$6:$T$6005,0)=ROW()-5,N($X2220)+1,N($X2220)))</f>
        <v/>
      </c>
      <c r="Z2221">
        <f>IF($V2221="","",IF($AA2221&gt;N($AA2220),$AA2221,""))</f>
        <v/>
      </c>
      <c r="AA2221">
        <f>IF($V2221="",N($AA2220),IF(MATCH($V2221,$V$6:$V$6005,0)=ROW()-5,N($AA2220)+1,N($AA2220)))</f>
        <v/>
      </c>
    </row>
    <row r="2222" ht="21" customHeight="1" s="66">
      <c r="A2222" s="56" t="n"/>
      <c r="B2222" s="57" t="n"/>
      <c r="C2222" s="57" t="n"/>
      <c r="D2222" s="57" t="n"/>
      <c r="E2222" s="56" t="n"/>
      <c r="F2222" s="57" t="n"/>
      <c r="G2222" s="57" t="n"/>
      <c r="H2222" s="56" t="n"/>
      <c r="I2222" s="56" t="n"/>
      <c r="J2222" s="58" t="n"/>
      <c r="K2222" s="58" t="n"/>
      <c r="L2222" s="13">
        <f>IF(OR($A2222="",AND($J2222="",$K2222="")),"",ROUND(N($J2222)-N($K2222),2))</f>
        <v/>
      </c>
      <c r="M2222" s="13">
        <f>IF(OR($A2222="",AND($J2222="",$K2222="")),"",MIN($J2222,$K2222))</f>
        <v/>
      </c>
      <c r="Q2222">
        <f>IF($A2222="","",$D2222&amp;"("&amp;SUBSTITUTE($E2222," ","")&amp;")")</f>
        <v/>
      </c>
      <c r="R2222">
        <f>IF($A2222="","",$B2222&amp;" - "&amp;$C2222)</f>
        <v/>
      </c>
      <c r="S2222">
        <f>IF($A2222="","",$R2222&amp;"|"&amp;$Q2222)</f>
        <v/>
      </c>
      <c r="T2222">
        <f>IF($A2222="","",$S2222&amp;"|"&amp;$F2222)</f>
        <v/>
      </c>
      <c r="U2222">
        <f>IF($A2222="","",$R2222&amp;"("&amp;$E2222&amp;")")</f>
        <v/>
      </c>
      <c r="V2222">
        <f>IF($A2222="","",$F2222&amp;"|"&amp;$U2222&amp;"|"&amp;$D2222)</f>
        <v/>
      </c>
      <c r="W2222">
        <f>IF($T2222="","",IF($X2222&gt;N($X2221),$X2222,""))</f>
        <v/>
      </c>
      <c r="X2222">
        <f>IF($T2222="",N($X2221),IF(MATCH($T2222,$T$6:$T$6005,0)=ROW()-5,N($X2221)+1,N($X2221)))</f>
        <v/>
      </c>
      <c r="Z2222">
        <f>IF($V2222="","",IF($AA2222&gt;N($AA2221),$AA2222,""))</f>
        <v/>
      </c>
      <c r="AA2222">
        <f>IF($V2222="",N($AA2221),IF(MATCH($V2222,$V$6:$V$6005,0)=ROW()-5,N($AA2221)+1,N($AA2221)))</f>
        <v/>
      </c>
    </row>
    <row r="2223" ht="21" customHeight="1" s="66">
      <c r="A2223" s="56" t="n"/>
      <c r="B2223" s="57" t="n"/>
      <c r="C2223" s="57" t="n"/>
      <c r="D2223" s="57" t="n"/>
      <c r="E2223" s="56" t="n"/>
      <c r="F2223" s="57" t="n"/>
      <c r="G2223" s="57" t="n"/>
      <c r="H2223" s="56" t="n"/>
      <c r="I2223" s="56" t="n"/>
      <c r="J2223" s="58" t="n"/>
      <c r="K2223" s="58" t="n"/>
      <c r="L2223" s="13">
        <f>IF(OR($A2223="",AND($J2223="",$K2223="")),"",ROUND(N($J2223)-N($K2223),2))</f>
        <v/>
      </c>
      <c r="M2223" s="13">
        <f>IF(OR($A2223="",AND($J2223="",$K2223="")),"",MIN($J2223,$K2223))</f>
        <v/>
      </c>
      <c r="Q2223">
        <f>IF($A2223="","",$D2223&amp;"("&amp;SUBSTITUTE($E2223," ","")&amp;")")</f>
        <v/>
      </c>
      <c r="R2223">
        <f>IF($A2223="","",$B2223&amp;" - "&amp;$C2223)</f>
        <v/>
      </c>
      <c r="S2223">
        <f>IF($A2223="","",$R2223&amp;"|"&amp;$Q2223)</f>
        <v/>
      </c>
      <c r="T2223">
        <f>IF($A2223="","",$S2223&amp;"|"&amp;$F2223)</f>
        <v/>
      </c>
      <c r="U2223">
        <f>IF($A2223="","",$R2223&amp;"("&amp;$E2223&amp;")")</f>
        <v/>
      </c>
      <c r="V2223">
        <f>IF($A2223="","",$F2223&amp;"|"&amp;$U2223&amp;"|"&amp;$D2223)</f>
        <v/>
      </c>
      <c r="W2223">
        <f>IF($T2223="","",IF($X2223&gt;N($X2222),$X2223,""))</f>
        <v/>
      </c>
      <c r="X2223">
        <f>IF($T2223="",N($X2222),IF(MATCH($T2223,$T$6:$T$6005,0)=ROW()-5,N($X2222)+1,N($X2222)))</f>
        <v/>
      </c>
      <c r="Z2223">
        <f>IF($V2223="","",IF($AA2223&gt;N($AA2222),$AA2223,""))</f>
        <v/>
      </c>
      <c r="AA2223">
        <f>IF($V2223="",N($AA2222),IF(MATCH($V2223,$V$6:$V$6005,0)=ROW()-5,N($AA2222)+1,N($AA2222)))</f>
        <v/>
      </c>
    </row>
    <row r="2224" ht="21" customHeight="1" s="66">
      <c r="A2224" s="56" t="n"/>
      <c r="B2224" s="57" t="n"/>
      <c r="C2224" s="57" t="n"/>
      <c r="D2224" s="57" t="n"/>
      <c r="E2224" s="56" t="n"/>
      <c r="F2224" s="57" t="n"/>
      <c r="G2224" s="57" t="n"/>
      <c r="H2224" s="56" t="n"/>
      <c r="I2224" s="56" t="n"/>
      <c r="J2224" s="58" t="n"/>
      <c r="K2224" s="58" t="n"/>
      <c r="L2224" s="13">
        <f>IF(OR($A2224="",AND($J2224="",$K2224="")),"",ROUND(N($J2224)-N($K2224),2))</f>
        <v/>
      </c>
      <c r="M2224" s="13">
        <f>IF(OR($A2224="",AND($J2224="",$K2224="")),"",MIN($J2224,$K2224))</f>
        <v/>
      </c>
      <c r="Q2224">
        <f>IF($A2224="","",$D2224&amp;"("&amp;SUBSTITUTE($E2224," ","")&amp;")")</f>
        <v/>
      </c>
      <c r="R2224">
        <f>IF($A2224="","",$B2224&amp;" - "&amp;$C2224)</f>
        <v/>
      </c>
      <c r="S2224">
        <f>IF($A2224="","",$R2224&amp;"|"&amp;$Q2224)</f>
        <v/>
      </c>
      <c r="T2224">
        <f>IF($A2224="","",$S2224&amp;"|"&amp;$F2224)</f>
        <v/>
      </c>
      <c r="U2224">
        <f>IF($A2224="","",$R2224&amp;"("&amp;$E2224&amp;")")</f>
        <v/>
      </c>
      <c r="V2224">
        <f>IF($A2224="","",$F2224&amp;"|"&amp;$U2224&amp;"|"&amp;$D2224)</f>
        <v/>
      </c>
      <c r="W2224">
        <f>IF($T2224="","",IF($X2224&gt;N($X2223),$X2224,""))</f>
        <v/>
      </c>
      <c r="X2224">
        <f>IF($T2224="",N($X2223),IF(MATCH($T2224,$T$6:$T$6005,0)=ROW()-5,N($X2223)+1,N($X2223)))</f>
        <v/>
      </c>
      <c r="Z2224">
        <f>IF($V2224="","",IF($AA2224&gt;N($AA2223),$AA2224,""))</f>
        <v/>
      </c>
      <c r="AA2224">
        <f>IF($V2224="",N($AA2223),IF(MATCH($V2224,$V$6:$V$6005,0)=ROW()-5,N($AA2223)+1,N($AA2223)))</f>
        <v/>
      </c>
    </row>
    <row r="2225" ht="21" customHeight="1" s="66">
      <c r="A2225" s="56" t="n"/>
      <c r="B2225" s="57" t="n"/>
      <c r="C2225" s="57" t="n"/>
      <c r="D2225" s="57" t="n"/>
      <c r="E2225" s="56" t="n"/>
      <c r="F2225" s="57" t="n"/>
      <c r="G2225" s="57" t="n"/>
      <c r="H2225" s="56" t="n"/>
      <c r="I2225" s="56" t="n"/>
      <c r="J2225" s="58" t="n"/>
      <c r="K2225" s="58" t="n"/>
      <c r="L2225" s="13">
        <f>IF(OR($A2225="",AND($J2225="",$K2225="")),"",ROUND(N($J2225)-N($K2225),2))</f>
        <v/>
      </c>
      <c r="M2225" s="13">
        <f>IF(OR($A2225="",AND($J2225="",$K2225="")),"",MIN($J2225,$K2225))</f>
        <v/>
      </c>
      <c r="Q2225">
        <f>IF($A2225="","",$D2225&amp;"("&amp;SUBSTITUTE($E2225," ","")&amp;")")</f>
        <v/>
      </c>
      <c r="R2225">
        <f>IF($A2225="","",$B2225&amp;" - "&amp;$C2225)</f>
        <v/>
      </c>
      <c r="S2225">
        <f>IF($A2225="","",$R2225&amp;"|"&amp;$Q2225)</f>
        <v/>
      </c>
      <c r="T2225">
        <f>IF($A2225="","",$S2225&amp;"|"&amp;$F2225)</f>
        <v/>
      </c>
      <c r="U2225">
        <f>IF($A2225="","",$R2225&amp;"("&amp;$E2225&amp;")")</f>
        <v/>
      </c>
      <c r="V2225">
        <f>IF($A2225="","",$F2225&amp;"|"&amp;$U2225&amp;"|"&amp;$D2225)</f>
        <v/>
      </c>
      <c r="W2225">
        <f>IF($T2225="","",IF($X2225&gt;N($X2224),$X2225,""))</f>
        <v/>
      </c>
      <c r="X2225">
        <f>IF($T2225="",N($X2224),IF(MATCH($T2225,$T$6:$T$6005,0)=ROW()-5,N($X2224)+1,N($X2224)))</f>
        <v/>
      </c>
      <c r="Z2225">
        <f>IF($V2225="","",IF($AA2225&gt;N($AA2224),$AA2225,""))</f>
        <v/>
      </c>
      <c r="AA2225">
        <f>IF($V2225="",N($AA2224),IF(MATCH($V2225,$V$6:$V$6005,0)=ROW()-5,N($AA2224)+1,N($AA2224)))</f>
        <v/>
      </c>
    </row>
    <row r="2226" ht="21" customHeight="1" s="66">
      <c r="A2226" s="56" t="n"/>
      <c r="B2226" s="57" t="n"/>
      <c r="C2226" s="57" t="n"/>
      <c r="D2226" s="57" t="n"/>
      <c r="E2226" s="56" t="n"/>
      <c r="F2226" s="57" t="n"/>
      <c r="G2226" s="57" t="n"/>
      <c r="H2226" s="56" t="n"/>
      <c r="I2226" s="56" t="n"/>
      <c r="J2226" s="58" t="n"/>
      <c r="K2226" s="58" t="n"/>
      <c r="L2226" s="13">
        <f>IF(OR($A2226="",AND($J2226="",$K2226="")),"",ROUND(N($J2226)-N($K2226),2))</f>
        <v/>
      </c>
      <c r="M2226" s="13">
        <f>IF(OR($A2226="",AND($J2226="",$K2226="")),"",MIN($J2226,$K2226))</f>
        <v/>
      </c>
      <c r="Q2226">
        <f>IF($A2226="","",$D2226&amp;"("&amp;SUBSTITUTE($E2226," ","")&amp;")")</f>
        <v/>
      </c>
      <c r="R2226">
        <f>IF($A2226="","",$B2226&amp;" - "&amp;$C2226)</f>
        <v/>
      </c>
      <c r="S2226">
        <f>IF($A2226="","",$R2226&amp;"|"&amp;$Q2226)</f>
        <v/>
      </c>
      <c r="T2226">
        <f>IF($A2226="","",$S2226&amp;"|"&amp;$F2226)</f>
        <v/>
      </c>
      <c r="U2226">
        <f>IF($A2226="","",$R2226&amp;"("&amp;$E2226&amp;")")</f>
        <v/>
      </c>
      <c r="V2226">
        <f>IF($A2226="","",$F2226&amp;"|"&amp;$U2226&amp;"|"&amp;$D2226)</f>
        <v/>
      </c>
      <c r="W2226">
        <f>IF($T2226="","",IF($X2226&gt;N($X2225),$X2226,""))</f>
        <v/>
      </c>
      <c r="X2226">
        <f>IF($T2226="",N($X2225),IF(MATCH($T2226,$T$6:$T$6005,0)=ROW()-5,N($X2225)+1,N($X2225)))</f>
        <v/>
      </c>
      <c r="Z2226">
        <f>IF($V2226="","",IF($AA2226&gt;N($AA2225),$AA2226,""))</f>
        <v/>
      </c>
      <c r="AA2226">
        <f>IF($V2226="",N($AA2225),IF(MATCH($V2226,$V$6:$V$6005,0)=ROW()-5,N($AA2225)+1,N($AA2225)))</f>
        <v/>
      </c>
    </row>
    <row r="2227" ht="21" customHeight="1" s="66">
      <c r="A2227" s="56" t="n"/>
      <c r="B2227" s="57" t="n"/>
      <c r="C2227" s="57" t="n"/>
      <c r="D2227" s="57" t="n"/>
      <c r="E2227" s="56" t="n"/>
      <c r="F2227" s="57" t="n"/>
      <c r="G2227" s="57" t="n"/>
      <c r="H2227" s="56" t="n"/>
      <c r="I2227" s="56" t="n"/>
      <c r="J2227" s="58" t="n"/>
      <c r="K2227" s="58" t="n"/>
      <c r="L2227" s="13">
        <f>IF(OR($A2227="",AND($J2227="",$K2227="")),"",ROUND(N($J2227)-N($K2227),2))</f>
        <v/>
      </c>
      <c r="M2227" s="13">
        <f>IF(OR($A2227="",AND($J2227="",$K2227="")),"",MIN($J2227,$K2227))</f>
        <v/>
      </c>
      <c r="Q2227">
        <f>IF($A2227="","",$D2227&amp;"("&amp;SUBSTITUTE($E2227," ","")&amp;")")</f>
        <v/>
      </c>
      <c r="R2227">
        <f>IF($A2227="","",$B2227&amp;" - "&amp;$C2227)</f>
        <v/>
      </c>
      <c r="S2227">
        <f>IF($A2227="","",$R2227&amp;"|"&amp;$Q2227)</f>
        <v/>
      </c>
      <c r="T2227">
        <f>IF($A2227="","",$S2227&amp;"|"&amp;$F2227)</f>
        <v/>
      </c>
      <c r="U2227">
        <f>IF($A2227="","",$R2227&amp;"("&amp;$E2227&amp;")")</f>
        <v/>
      </c>
      <c r="V2227">
        <f>IF($A2227="","",$F2227&amp;"|"&amp;$U2227&amp;"|"&amp;$D2227)</f>
        <v/>
      </c>
      <c r="W2227">
        <f>IF($T2227="","",IF($X2227&gt;N($X2226),$X2227,""))</f>
        <v/>
      </c>
      <c r="X2227">
        <f>IF($T2227="",N($X2226),IF(MATCH($T2227,$T$6:$T$6005,0)=ROW()-5,N($X2226)+1,N($X2226)))</f>
        <v/>
      </c>
      <c r="Z2227">
        <f>IF($V2227="","",IF($AA2227&gt;N($AA2226),$AA2227,""))</f>
        <v/>
      </c>
      <c r="AA2227">
        <f>IF($V2227="",N($AA2226),IF(MATCH($V2227,$V$6:$V$6005,0)=ROW()-5,N($AA2226)+1,N($AA2226)))</f>
        <v/>
      </c>
    </row>
    <row r="2228" ht="21" customHeight="1" s="66">
      <c r="A2228" s="56" t="n"/>
      <c r="B2228" s="57" t="n"/>
      <c r="C2228" s="57" t="n"/>
      <c r="D2228" s="57" t="n"/>
      <c r="E2228" s="56" t="n"/>
      <c r="F2228" s="57" t="n"/>
      <c r="G2228" s="57" t="n"/>
      <c r="H2228" s="56" t="n"/>
      <c r="I2228" s="56" t="n"/>
      <c r="J2228" s="58" t="n"/>
      <c r="K2228" s="58" t="n"/>
      <c r="L2228" s="13">
        <f>IF(OR($A2228="",AND($J2228="",$K2228="")),"",ROUND(N($J2228)-N($K2228),2))</f>
        <v/>
      </c>
      <c r="M2228" s="13">
        <f>IF(OR($A2228="",AND($J2228="",$K2228="")),"",MIN($J2228,$K2228))</f>
        <v/>
      </c>
      <c r="Q2228">
        <f>IF($A2228="","",$D2228&amp;"("&amp;SUBSTITUTE($E2228," ","")&amp;")")</f>
        <v/>
      </c>
      <c r="R2228">
        <f>IF($A2228="","",$B2228&amp;" - "&amp;$C2228)</f>
        <v/>
      </c>
      <c r="S2228">
        <f>IF($A2228="","",$R2228&amp;"|"&amp;$Q2228)</f>
        <v/>
      </c>
      <c r="T2228">
        <f>IF($A2228="","",$S2228&amp;"|"&amp;$F2228)</f>
        <v/>
      </c>
      <c r="U2228">
        <f>IF($A2228="","",$R2228&amp;"("&amp;$E2228&amp;")")</f>
        <v/>
      </c>
      <c r="V2228">
        <f>IF($A2228="","",$F2228&amp;"|"&amp;$U2228&amp;"|"&amp;$D2228)</f>
        <v/>
      </c>
      <c r="W2228">
        <f>IF($T2228="","",IF($X2228&gt;N($X2227),$X2228,""))</f>
        <v/>
      </c>
      <c r="X2228">
        <f>IF($T2228="",N($X2227),IF(MATCH($T2228,$T$6:$T$6005,0)=ROW()-5,N($X2227)+1,N($X2227)))</f>
        <v/>
      </c>
      <c r="Z2228">
        <f>IF($V2228="","",IF($AA2228&gt;N($AA2227),$AA2228,""))</f>
        <v/>
      </c>
      <c r="AA2228">
        <f>IF($V2228="",N($AA2227),IF(MATCH($V2228,$V$6:$V$6005,0)=ROW()-5,N($AA2227)+1,N($AA2227)))</f>
        <v/>
      </c>
    </row>
    <row r="2229" ht="21" customHeight="1" s="66">
      <c r="A2229" s="56" t="n"/>
      <c r="B2229" s="57" t="n"/>
      <c r="C2229" s="57" t="n"/>
      <c r="D2229" s="57" t="n"/>
      <c r="E2229" s="56" t="n"/>
      <c r="F2229" s="57" t="n"/>
      <c r="G2229" s="57" t="n"/>
      <c r="H2229" s="56" t="n"/>
      <c r="I2229" s="56" t="n"/>
      <c r="J2229" s="58" t="n"/>
      <c r="K2229" s="58" t="n"/>
      <c r="L2229" s="13">
        <f>IF(OR($A2229="",AND($J2229="",$K2229="")),"",ROUND(N($J2229)-N($K2229),2))</f>
        <v/>
      </c>
      <c r="M2229" s="13">
        <f>IF(OR($A2229="",AND($J2229="",$K2229="")),"",MIN($J2229,$K2229))</f>
        <v/>
      </c>
      <c r="Q2229">
        <f>IF($A2229="","",$D2229&amp;"("&amp;SUBSTITUTE($E2229," ","")&amp;")")</f>
        <v/>
      </c>
      <c r="R2229">
        <f>IF($A2229="","",$B2229&amp;" - "&amp;$C2229)</f>
        <v/>
      </c>
      <c r="S2229">
        <f>IF($A2229="","",$R2229&amp;"|"&amp;$Q2229)</f>
        <v/>
      </c>
      <c r="T2229">
        <f>IF($A2229="","",$S2229&amp;"|"&amp;$F2229)</f>
        <v/>
      </c>
      <c r="U2229">
        <f>IF($A2229="","",$R2229&amp;"("&amp;$E2229&amp;")")</f>
        <v/>
      </c>
      <c r="V2229">
        <f>IF($A2229="","",$F2229&amp;"|"&amp;$U2229&amp;"|"&amp;$D2229)</f>
        <v/>
      </c>
      <c r="W2229">
        <f>IF($T2229="","",IF($X2229&gt;N($X2228),$X2229,""))</f>
        <v/>
      </c>
      <c r="X2229">
        <f>IF($T2229="",N($X2228),IF(MATCH($T2229,$T$6:$T$6005,0)=ROW()-5,N($X2228)+1,N($X2228)))</f>
        <v/>
      </c>
      <c r="Z2229">
        <f>IF($V2229="","",IF($AA2229&gt;N($AA2228),$AA2229,""))</f>
        <v/>
      </c>
      <c r="AA2229">
        <f>IF($V2229="",N($AA2228),IF(MATCH($V2229,$V$6:$V$6005,0)=ROW()-5,N($AA2228)+1,N($AA2228)))</f>
        <v/>
      </c>
    </row>
    <row r="2230" ht="21" customHeight="1" s="66">
      <c r="A2230" s="56" t="n"/>
      <c r="B2230" s="57" t="n"/>
      <c r="C2230" s="57" t="n"/>
      <c r="D2230" s="57" t="n"/>
      <c r="E2230" s="56" t="n"/>
      <c r="F2230" s="57" t="n"/>
      <c r="G2230" s="57" t="n"/>
      <c r="H2230" s="56" t="n"/>
      <c r="I2230" s="56" t="n"/>
      <c r="J2230" s="58" t="n"/>
      <c r="K2230" s="58" t="n"/>
      <c r="L2230" s="13">
        <f>IF(OR($A2230="",AND($J2230="",$K2230="")),"",ROUND(N($J2230)-N($K2230),2))</f>
        <v/>
      </c>
      <c r="M2230" s="13">
        <f>IF(OR($A2230="",AND($J2230="",$K2230="")),"",MIN($J2230,$K2230))</f>
        <v/>
      </c>
      <c r="Q2230">
        <f>IF($A2230="","",$D2230&amp;"("&amp;SUBSTITUTE($E2230," ","")&amp;")")</f>
        <v/>
      </c>
      <c r="R2230">
        <f>IF($A2230="","",$B2230&amp;" - "&amp;$C2230)</f>
        <v/>
      </c>
      <c r="S2230">
        <f>IF($A2230="","",$R2230&amp;"|"&amp;$Q2230)</f>
        <v/>
      </c>
      <c r="T2230">
        <f>IF($A2230="","",$S2230&amp;"|"&amp;$F2230)</f>
        <v/>
      </c>
      <c r="U2230">
        <f>IF($A2230="","",$R2230&amp;"("&amp;$E2230&amp;")")</f>
        <v/>
      </c>
      <c r="V2230">
        <f>IF($A2230="","",$F2230&amp;"|"&amp;$U2230&amp;"|"&amp;$D2230)</f>
        <v/>
      </c>
      <c r="W2230">
        <f>IF($T2230="","",IF($X2230&gt;N($X2229),$X2230,""))</f>
        <v/>
      </c>
      <c r="X2230">
        <f>IF($T2230="",N($X2229),IF(MATCH($T2230,$T$6:$T$6005,0)=ROW()-5,N($X2229)+1,N($X2229)))</f>
        <v/>
      </c>
      <c r="Z2230">
        <f>IF($V2230="","",IF($AA2230&gt;N($AA2229),$AA2230,""))</f>
        <v/>
      </c>
      <c r="AA2230">
        <f>IF($V2230="",N($AA2229),IF(MATCH($V2230,$V$6:$V$6005,0)=ROW()-5,N($AA2229)+1,N($AA2229)))</f>
        <v/>
      </c>
    </row>
    <row r="2231" ht="21" customHeight="1" s="66">
      <c r="A2231" s="56" t="n"/>
      <c r="B2231" s="57" t="n"/>
      <c r="C2231" s="57" t="n"/>
      <c r="D2231" s="57" t="n"/>
      <c r="E2231" s="56" t="n"/>
      <c r="F2231" s="57" t="n"/>
      <c r="G2231" s="57" t="n"/>
      <c r="H2231" s="56" t="n"/>
      <c r="I2231" s="56" t="n"/>
      <c r="J2231" s="58" t="n"/>
      <c r="K2231" s="58" t="n"/>
      <c r="L2231" s="13">
        <f>IF(OR($A2231="",AND($J2231="",$K2231="")),"",ROUND(N($J2231)-N($K2231),2))</f>
        <v/>
      </c>
      <c r="M2231" s="13">
        <f>IF(OR($A2231="",AND($J2231="",$K2231="")),"",MIN($J2231,$K2231))</f>
        <v/>
      </c>
      <c r="Q2231">
        <f>IF($A2231="","",$D2231&amp;"("&amp;SUBSTITUTE($E2231," ","")&amp;")")</f>
        <v/>
      </c>
      <c r="R2231">
        <f>IF($A2231="","",$B2231&amp;" - "&amp;$C2231)</f>
        <v/>
      </c>
      <c r="S2231">
        <f>IF($A2231="","",$R2231&amp;"|"&amp;$Q2231)</f>
        <v/>
      </c>
      <c r="T2231">
        <f>IF($A2231="","",$S2231&amp;"|"&amp;$F2231)</f>
        <v/>
      </c>
      <c r="U2231">
        <f>IF($A2231="","",$R2231&amp;"("&amp;$E2231&amp;")")</f>
        <v/>
      </c>
      <c r="V2231">
        <f>IF($A2231="","",$F2231&amp;"|"&amp;$U2231&amp;"|"&amp;$D2231)</f>
        <v/>
      </c>
      <c r="W2231">
        <f>IF($T2231="","",IF($X2231&gt;N($X2230),$X2231,""))</f>
        <v/>
      </c>
      <c r="X2231">
        <f>IF($T2231="",N($X2230),IF(MATCH($T2231,$T$6:$T$6005,0)=ROW()-5,N($X2230)+1,N($X2230)))</f>
        <v/>
      </c>
      <c r="Z2231">
        <f>IF($V2231="","",IF($AA2231&gt;N($AA2230),$AA2231,""))</f>
        <v/>
      </c>
      <c r="AA2231">
        <f>IF($V2231="",N($AA2230),IF(MATCH($V2231,$V$6:$V$6005,0)=ROW()-5,N($AA2230)+1,N($AA2230)))</f>
        <v/>
      </c>
    </row>
    <row r="2232" ht="21" customHeight="1" s="66">
      <c r="A2232" s="56" t="n"/>
      <c r="B2232" s="57" t="n"/>
      <c r="C2232" s="57" t="n"/>
      <c r="D2232" s="57" t="n"/>
      <c r="E2232" s="56" t="n"/>
      <c r="F2232" s="57" t="n"/>
      <c r="G2232" s="57" t="n"/>
      <c r="H2232" s="56" t="n"/>
      <c r="I2232" s="56" t="n"/>
      <c r="J2232" s="58" t="n"/>
      <c r="K2232" s="58" t="n"/>
      <c r="L2232" s="13">
        <f>IF(OR($A2232="",AND($J2232="",$K2232="")),"",ROUND(N($J2232)-N($K2232),2))</f>
        <v/>
      </c>
      <c r="M2232" s="13">
        <f>IF(OR($A2232="",AND($J2232="",$K2232="")),"",MIN($J2232,$K2232))</f>
        <v/>
      </c>
      <c r="Q2232">
        <f>IF($A2232="","",$D2232&amp;"("&amp;SUBSTITUTE($E2232," ","")&amp;")")</f>
        <v/>
      </c>
      <c r="R2232">
        <f>IF($A2232="","",$B2232&amp;" - "&amp;$C2232)</f>
        <v/>
      </c>
      <c r="S2232">
        <f>IF($A2232="","",$R2232&amp;"|"&amp;$Q2232)</f>
        <v/>
      </c>
      <c r="T2232">
        <f>IF($A2232="","",$S2232&amp;"|"&amp;$F2232)</f>
        <v/>
      </c>
      <c r="U2232">
        <f>IF($A2232="","",$R2232&amp;"("&amp;$E2232&amp;")")</f>
        <v/>
      </c>
      <c r="V2232">
        <f>IF($A2232="","",$F2232&amp;"|"&amp;$U2232&amp;"|"&amp;$D2232)</f>
        <v/>
      </c>
      <c r="W2232">
        <f>IF($T2232="","",IF($X2232&gt;N($X2231),$X2232,""))</f>
        <v/>
      </c>
      <c r="X2232">
        <f>IF($T2232="",N($X2231),IF(MATCH($T2232,$T$6:$T$6005,0)=ROW()-5,N($X2231)+1,N($X2231)))</f>
        <v/>
      </c>
      <c r="Z2232">
        <f>IF($V2232="","",IF($AA2232&gt;N($AA2231),$AA2232,""))</f>
        <v/>
      </c>
      <c r="AA2232">
        <f>IF($V2232="",N($AA2231),IF(MATCH($V2232,$V$6:$V$6005,0)=ROW()-5,N($AA2231)+1,N($AA2231)))</f>
        <v/>
      </c>
    </row>
    <row r="2233" ht="21" customHeight="1" s="66">
      <c r="A2233" s="56" t="n"/>
      <c r="B2233" s="57" t="n"/>
      <c r="C2233" s="57" t="n"/>
      <c r="D2233" s="57" t="n"/>
      <c r="E2233" s="56" t="n"/>
      <c r="F2233" s="57" t="n"/>
      <c r="G2233" s="57" t="n"/>
      <c r="H2233" s="56" t="n"/>
      <c r="I2233" s="56" t="n"/>
      <c r="J2233" s="58" t="n"/>
      <c r="K2233" s="58" t="n"/>
      <c r="L2233" s="13">
        <f>IF(OR($A2233="",AND($J2233="",$K2233="")),"",ROUND(N($J2233)-N($K2233),2))</f>
        <v/>
      </c>
      <c r="M2233" s="13">
        <f>IF(OR($A2233="",AND($J2233="",$K2233="")),"",MIN($J2233,$K2233))</f>
        <v/>
      </c>
      <c r="Q2233">
        <f>IF($A2233="","",$D2233&amp;"("&amp;SUBSTITUTE($E2233," ","")&amp;")")</f>
        <v/>
      </c>
      <c r="R2233">
        <f>IF($A2233="","",$B2233&amp;" - "&amp;$C2233)</f>
        <v/>
      </c>
      <c r="S2233">
        <f>IF($A2233="","",$R2233&amp;"|"&amp;$Q2233)</f>
        <v/>
      </c>
      <c r="T2233">
        <f>IF($A2233="","",$S2233&amp;"|"&amp;$F2233)</f>
        <v/>
      </c>
      <c r="U2233">
        <f>IF($A2233="","",$R2233&amp;"("&amp;$E2233&amp;")")</f>
        <v/>
      </c>
      <c r="V2233">
        <f>IF($A2233="","",$F2233&amp;"|"&amp;$U2233&amp;"|"&amp;$D2233)</f>
        <v/>
      </c>
      <c r="W2233">
        <f>IF($T2233="","",IF($X2233&gt;N($X2232),$X2233,""))</f>
        <v/>
      </c>
      <c r="X2233">
        <f>IF($T2233="",N($X2232),IF(MATCH($T2233,$T$6:$T$6005,0)=ROW()-5,N($X2232)+1,N($X2232)))</f>
        <v/>
      </c>
      <c r="Z2233">
        <f>IF($V2233="","",IF($AA2233&gt;N($AA2232),$AA2233,""))</f>
        <v/>
      </c>
      <c r="AA2233">
        <f>IF($V2233="",N($AA2232),IF(MATCH($V2233,$V$6:$V$6005,0)=ROW()-5,N($AA2232)+1,N($AA2232)))</f>
        <v/>
      </c>
    </row>
    <row r="2234" ht="21" customHeight="1" s="66">
      <c r="A2234" s="56" t="n"/>
      <c r="B2234" s="57" t="n"/>
      <c r="C2234" s="57" t="n"/>
      <c r="D2234" s="57" t="n"/>
      <c r="E2234" s="56" t="n"/>
      <c r="F2234" s="57" t="n"/>
      <c r="G2234" s="57" t="n"/>
      <c r="H2234" s="56" t="n"/>
      <c r="I2234" s="56" t="n"/>
      <c r="J2234" s="58" t="n"/>
      <c r="K2234" s="58" t="n"/>
      <c r="L2234" s="13">
        <f>IF(OR($A2234="",AND($J2234="",$K2234="")),"",ROUND(N($J2234)-N($K2234),2))</f>
        <v/>
      </c>
      <c r="M2234" s="13">
        <f>IF(OR($A2234="",AND($J2234="",$K2234="")),"",MIN($J2234,$K2234))</f>
        <v/>
      </c>
      <c r="Q2234">
        <f>IF($A2234="","",$D2234&amp;"("&amp;SUBSTITUTE($E2234," ","")&amp;")")</f>
        <v/>
      </c>
      <c r="R2234">
        <f>IF($A2234="","",$B2234&amp;" - "&amp;$C2234)</f>
        <v/>
      </c>
      <c r="S2234">
        <f>IF($A2234="","",$R2234&amp;"|"&amp;$Q2234)</f>
        <v/>
      </c>
      <c r="T2234">
        <f>IF($A2234="","",$S2234&amp;"|"&amp;$F2234)</f>
        <v/>
      </c>
      <c r="U2234">
        <f>IF($A2234="","",$R2234&amp;"("&amp;$E2234&amp;")")</f>
        <v/>
      </c>
      <c r="V2234">
        <f>IF($A2234="","",$F2234&amp;"|"&amp;$U2234&amp;"|"&amp;$D2234)</f>
        <v/>
      </c>
      <c r="W2234">
        <f>IF($T2234="","",IF($X2234&gt;N($X2233),$X2234,""))</f>
        <v/>
      </c>
      <c r="X2234">
        <f>IF($T2234="",N($X2233),IF(MATCH($T2234,$T$6:$T$6005,0)=ROW()-5,N($X2233)+1,N($X2233)))</f>
        <v/>
      </c>
      <c r="Z2234">
        <f>IF($V2234="","",IF($AA2234&gt;N($AA2233),$AA2234,""))</f>
        <v/>
      </c>
      <c r="AA2234">
        <f>IF($V2234="",N($AA2233),IF(MATCH($V2234,$V$6:$V$6005,0)=ROW()-5,N($AA2233)+1,N($AA2233)))</f>
        <v/>
      </c>
    </row>
    <row r="2235" ht="21" customHeight="1" s="66">
      <c r="A2235" s="56" t="n"/>
      <c r="B2235" s="57" t="n"/>
      <c r="C2235" s="57" t="n"/>
      <c r="D2235" s="57" t="n"/>
      <c r="E2235" s="56" t="n"/>
      <c r="F2235" s="57" t="n"/>
      <c r="G2235" s="57" t="n"/>
      <c r="H2235" s="56" t="n"/>
      <c r="I2235" s="56" t="n"/>
      <c r="J2235" s="58" t="n"/>
      <c r="K2235" s="58" t="n"/>
      <c r="L2235" s="13">
        <f>IF(OR($A2235="",AND($J2235="",$K2235="")),"",ROUND(N($J2235)-N($K2235),2))</f>
        <v/>
      </c>
      <c r="M2235" s="13">
        <f>IF(OR($A2235="",AND($J2235="",$K2235="")),"",MIN($J2235,$K2235))</f>
        <v/>
      </c>
      <c r="Q2235">
        <f>IF($A2235="","",$D2235&amp;"("&amp;SUBSTITUTE($E2235," ","")&amp;")")</f>
        <v/>
      </c>
      <c r="R2235">
        <f>IF($A2235="","",$B2235&amp;" - "&amp;$C2235)</f>
        <v/>
      </c>
      <c r="S2235">
        <f>IF($A2235="","",$R2235&amp;"|"&amp;$Q2235)</f>
        <v/>
      </c>
      <c r="T2235">
        <f>IF($A2235="","",$S2235&amp;"|"&amp;$F2235)</f>
        <v/>
      </c>
      <c r="U2235">
        <f>IF($A2235="","",$R2235&amp;"("&amp;$E2235&amp;")")</f>
        <v/>
      </c>
      <c r="V2235">
        <f>IF($A2235="","",$F2235&amp;"|"&amp;$U2235&amp;"|"&amp;$D2235)</f>
        <v/>
      </c>
      <c r="W2235">
        <f>IF($T2235="","",IF($X2235&gt;N($X2234),$X2235,""))</f>
        <v/>
      </c>
      <c r="X2235">
        <f>IF($T2235="",N($X2234),IF(MATCH($T2235,$T$6:$T$6005,0)=ROW()-5,N($X2234)+1,N($X2234)))</f>
        <v/>
      </c>
      <c r="Z2235">
        <f>IF($V2235="","",IF($AA2235&gt;N($AA2234),$AA2235,""))</f>
        <v/>
      </c>
      <c r="AA2235">
        <f>IF($V2235="",N($AA2234),IF(MATCH($V2235,$V$6:$V$6005,0)=ROW()-5,N($AA2234)+1,N($AA2234)))</f>
        <v/>
      </c>
    </row>
    <row r="2236" ht="21" customHeight="1" s="66">
      <c r="A2236" s="56" t="n"/>
      <c r="B2236" s="57" t="n"/>
      <c r="C2236" s="57" t="n"/>
      <c r="D2236" s="57" t="n"/>
      <c r="E2236" s="56" t="n"/>
      <c r="F2236" s="57" t="n"/>
      <c r="G2236" s="57" t="n"/>
      <c r="H2236" s="56" t="n"/>
      <c r="I2236" s="56" t="n"/>
      <c r="J2236" s="58" t="n"/>
      <c r="K2236" s="58" t="n"/>
      <c r="L2236" s="13">
        <f>IF(OR($A2236="",AND($J2236="",$K2236="")),"",ROUND(N($J2236)-N($K2236),2))</f>
        <v/>
      </c>
      <c r="M2236" s="13">
        <f>IF(OR($A2236="",AND($J2236="",$K2236="")),"",MIN($J2236,$K2236))</f>
        <v/>
      </c>
      <c r="Q2236">
        <f>IF($A2236="","",$D2236&amp;"("&amp;SUBSTITUTE($E2236," ","")&amp;")")</f>
        <v/>
      </c>
      <c r="R2236">
        <f>IF($A2236="","",$B2236&amp;" - "&amp;$C2236)</f>
        <v/>
      </c>
      <c r="S2236">
        <f>IF($A2236="","",$R2236&amp;"|"&amp;$Q2236)</f>
        <v/>
      </c>
      <c r="T2236">
        <f>IF($A2236="","",$S2236&amp;"|"&amp;$F2236)</f>
        <v/>
      </c>
      <c r="U2236">
        <f>IF($A2236="","",$R2236&amp;"("&amp;$E2236&amp;")")</f>
        <v/>
      </c>
      <c r="V2236">
        <f>IF($A2236="","",$F2236&amp;"|"&amp;$U2236&amp;"|"&amp;$D2236)</f>
        <v/>
      </c>
      <c r="W2236">
        <f>IF($T2236="","",IF($X2236&gt;N($X2235),$X2236,""))</f>
        <v/>
      </c>
      <c r="X2236">
        <f>IF($T2236="",N($X2235),IF(MATCH($T2236,$T$6:$T$6005,0)=ROW()-5,N($X2235)+1,N($X2235)))</f>
        <v/>
      </c>
      <c r="Z2236">
        <f>IF($V2236="","",IF($AA2236&gt;N($AA2235),$AA2236,""))</f>
        <v/>
      </c>
      <c r="AA2236">
        <f>IF($V2236="",N($AA2235),IF(MATCH($V2236,$V$6:$V$6005,0)=ROW()-5,N($AA2235)+1,N($AA2235)))</f>
        <v/>
      </c>
    </row>
    <row r="2237" ht="21" customHeight="1" s="66">
      <c r="A2237" s="56" t="n"/>
      <c r="B2237" s="57" t="n"/>
      <c r="C2237" s="57" t="n"/>
      <c r="D2237" s="57" t="n"/>
      <c r="E2237" s="56" t="n"/>
      <c r="F2237" s="57" t="n"/>
      <c r="G2237" s="57" t="n"/>
      <c r="H2237" s="56" t="n"/>
      <c r="I2237" s="56" t="n"/>
      <c r="J2237" s="58" t="n"/>
      <c r="K2237" s="58" t="n"/>
      <c r="L2237" s="13">
        <f>IF(OR($A2237="",AND($J2237="",$K2237="")),"",ROUND(N($J2237)-N($K2237),2))</f>
        <v/>
      </c>
      <c r="M2237" s="13">
        <f>IF(OR($A2237="",AND($J2237="",$K2237="")),"",MIN($J2237,$K2237))</f>
        <v/>
      </c>
      <c r="Q2237">
        <f>IF($A2237="","",$D2237&amp;"("&amp;SUBSTITUTE($E2237," ","")&amp;")")</f>
        <v/>
      </c>
      <c r="R2237">
        <f>IF($A2237="","",$B2237&amp;" - "&amp;$C2237)</f>
        <v/>
      </c>
      <c r="S2237">
        <f>IF($A2237="","",$R2237&amp;"|"&amp;$Q2237)</f>
        <v/>
      </c>
      <c r="T2237">
        <f>IF($A2237="","",$S2237&amp;"|"&amp;$F2237)</f>
        <v/>
      </c>
      <c r="U2237">
        <f>IF($A2237="","",$R2237&amp;"("&amp;$E2237&amp;")")</f>
        <v/>
      </c>
      <c r="V2237">
        <f>IF($A2237="","",$F2237&amp;"|"&amp;$U2237&amp;"|"&amp;$D2237)</f>
        <v/>
      </c>
      <c r="W2237">
        <f>IF($T2237="","",IF($X2237&gt;N($X2236),$X2237,""))</f>
        <v/>
      </c>
      <c r="X2237">
        <f>IF($T2237="",N($X2236),IF(MATCH($T2237,$T$6:$T$6005,0)=ROW()-5,N($X2236)+1,N($X2236)))</f>
        <v/>
      </c>
      <c r="Z2237">
        <f>IF($V2237="","",IF($AA2237&gt;N($AA2236),$AA2237,""))</f>
        <v/>
      </c>
      <c r="AA2237">
        <f>IF($V2237="",N($AA2236),IF(MATCH($V2237,$V$6:$V$6005,0)=ROW()-5,N($AA2236)+1,N($AA2236)))</f>
        <v/>
      </c>
    </row>
    <row r="2238" ht="21" customHeight="1" s="66">
      <c r="A2238" s="56" t="n"/>
      <c r="B2238" s="57" t="n"/>
      <c r="C2238" s="57" t="n"/>
      <c r="D2238" s="57" t="n"/>
      <c r="E2238" s="56" t="n"/>
      <c r="F2238" s="57" t="n"/>
      <c r="G2238" s="57" t="n"/>
      <c r="H2238" s="56" t="n"/>
      <c r="I2238" s="56" t="n"/>
      <c r="J2238" s="58" t="n"/>
      <c r="K2238" s="58" t="n"/>
      <c r="L2238" s="13">
        <f>IF(OR($A2238="",AND($J2238="",$K2238="")),"",ROUND(N($J2238)-N($K2238),2))</f>
        <v/>
      </c>
      <c r="M2238" s="13">
        <f>IF(OR($A2238="",AND($J2238="",$K2238="")),"",MIN($J2238,$K2238))</f>
        <v/>
      </c>
      <c r="Q2238">
        <f>IF($A2238="","",$D2238&amp;"("&amp;SUBSTITUTE($E2238," ","")&amp;")")</f>
        <v/>
      </c>
      <c r="R2238">
        <f>IF($A2238="","",$B2238&amp;" - "&amp;$C2238)</f>
        <v/>
      </c>
      <c r="S2238">
        <f>IF($A2238="","",$R2238&amp;"|"&amp;$Q2238)</f>
        <v/>
      </c>
      <c r="T2238">
        <f>IF($A2238="","",$S2238&amp;"|"&amp;$F2238)</f>
        <v/>
      </c>
      <c r="U2238">
        <f>IF($A2238="","",$R2238&amp;"("&amp;$E2238&amp;")")</f>
        <v/>
      </c>
      <c r="V2238">
        <f>IF($A2238="","",$F2238&amp;"|"&amp;$U2238&amp;"|"&amp;$D2238)</f>
        <v/>
      </c>
      <c r="W2238">
        <f>IF($T2238="","",IF($X2238&gt;N($X2237),$X2238,""))</f>
        <v/>
      </c>
      <c r="X2238">
        <f>IF($T2238="",N($X2237),IF(MATCH($T2238,$T$6:$T$6005,0)=ROW()-5,N($X2237)+1,N($X2237)))</f>
        <v/>
      </c>
      <c r="Z2238">
        <f>IF($V2238="","",IF($AA2238&gt;N($AA2237),$AA2238,""))</f>
        <v/>
      </c>
      <c r="AA2238">
        <f>IF($V2238="",N($AA2237),IF(MATCH($V2238,$V$6:$V$6005,0)=ROW()-5,N($AA2237)+1,N($AA2237)))</f>
        <v/>
      </c>
    </row>
    <row r="2239" ht="21" customHeight="1" s="66">
      <c r="A2239" s="56" t="n"/>
      <c r="B2239" s="57" t="n"/>
      <c r="C2239" s="57" t="n"/>
      <c r="D2239" s="57" t="n"/>
      <c r="E2239" s="56" t="n"/>
      <c r="F2239" s="57" t="n"/>
      <c r="G2239" s="57" t="n"/>
      <c r="H2239" s="56" t="n"/>
      <c r="I2239" s="56" t="n"/>
      <c r="J2239" s="58" t="n"/>
      <c r="K2239" s="58" t="n"/>
      <c r="L2239" s="13">
        <f>IF(OR($A2239="",AND($J2239="",$K2239="")),"",ROUND(N($J2239)-N($K2239),2))</f>
        <v/>
      </c>
      <c r="M2239" s="13">
        <f>IF(OR($A2239="",AND($J2239="",$K2239="")),"",MIN($J2239,$K2239))</f>
        <v/>
      </c>
      <c r="Q2239">
        <f>IF($A2239="","",$D2239&amp;"("&amp;SUBSTITUTE($E2239," ","")&amp;")")</f>
        <v/>
      </c>
      <c r="R2239">
        <f>IF($A2239="","",$B2239&amp;" - "&amp;$C2239)</f>
        <v/>
      </c>
      <c r="S2239">
        <f>IF($A2239="","",$R2239&amp;"|"&amp;$Q2239)</f>
        <v/>
      </c>
      <c r="T2239">
        <f>IF($A2239="","",$S2239&amp;"|"&amp;$F2239)</f>
        <v/>
      </c>
      <c r="U2239">
        <f>IF($A2239="","",$R2239&amp;"("&amp;$E2239&amp;")")</f>
        <v/>
      </c>
      <c r="V2239">
        <f>IF($A2239="","",$F2239&amp;"|"&amp;$U2239&amp;"|"&amp;$D2239)</f>
        <v/>
      </c>
      <c r="W2239">
        <f>IF($T2239="","",IF($X2239&gt;N($X2238),$X2239,""))</f>
        <v/>
      </c>
      <c r="X2239">
        <f>IF($T2239="",N($X2238),IF(MATCH($T2239,$T$6:$T$6005,0)=ROW()-5,N($X2238)+1,N($X2238)))</f>
        <v/>
      </c>
      <c r="Z2239">
        <f>IF($V2239="","",IF($AA2239&gt;N($AA2238),$AA2239,""))</f>
        <v/>
      </c>
      <c r="AA2239">
        <f>IF($V2239="",N($AA2238),IF(MATCH($V2239,$V$6:$V$6005,0)=ROW()-5,N($AA2238)+1,N($AA2238)))</f>
        <v/>
      </c>
    </row>
    <row r="2240" ht="21" customHeight="1" s="66">
      <c r="A2240" s="56" t="n"/>
      <c r="B2240" s="57" t="n"/>
      <c r="C2240" s="57" t="n"/>
      <c r="D2240" s="57" t="n"/>
      <c r="E2240" s="56" t="n"/>
      <c r="F2240" s="57" t="n"/>
      <c r="G2240" s="57" t="n"/>
      <c r="H2240" s="56" t="n"/>
      <c r="I2240" s="56" t="n"/>
      <c r="J2240" s="58" t="n"/>
      <c r="K2240" s="58" t="n"/>
      <c r="L2240" s="13">
        <f>IF(OR($A2240="",AND($J2240="",$K2240="")),"",ROUND(N($J2240)-N($K2240),2))</f>
        <v/>
      </c>
      <c r="M2240" s="13">
        <f>IF(OR($A2240="",AND($J2240="",$K2240="")),"",MIN($J2240,$K2240))</f>
        <v/>
      </c>
      <c r="Q2240">
        <f>IF($A2240="","",$D2240&amp;"("&amp;SUBSTITUTE($E2240," ","")&amp;")")</f>
        <v/>
      </c>
      <c r="R2240">
        <f>IF($A2240="","",$B2240&amp;" - "&amp;$C2240)</f>
        <v/>
      </c>
      <c r="S2240">
        <f>IF($A2240="","",$R2240&amp;"|"&amp;$Q2240)</f>
        <v/>
      </c>
      <c r="T2240">
        <f>IF($A2240="","",$S2240&amp;"|"&amp;$F2240)</f>
        <v/>
      </c>
      <c r="U2240">
        <f>IF($A2240="","",$R2240&amp;"("&amp;$E2240&amp;")")</f>
        <v/>
      </c>
      <c r="V2240">
        <f>IF($A2240="","",$F2240&amp;"|"&amp;$U2240&amp;"|"&amp;$D2240)</f>
        <v/>
      </c>
      <c r="W2240">
        <f>IF($T2240="","",IF($X2240&gt;N($X2239),$X2240,""))</f>
        <v/>
      </c>
      <c r="X2240">
        <f>IF($T2240="",N($X2239),IF(MATCH($T2240,$T$6:$T$6005,0)=ROW()-5,N($X2239)+1,N($X2239)))</f>
        <v/>
      </c>
      <c r="Z2240">
        <f>IF($V2240="","",IF($AA2240&gt;N($AA2239),$AA2240,""))</f>
        <v/>
      </c>
      <c r="AA2240">
        <f>IF($V2240="",N($AA2239),IF(MATCH($V2240,$V$6:$V$6005,0)=ROW()-5,N($AA2239)+1,N($AA2239)))</f>
        <v/>
      </c>
    </row>
    <row r="2241" ht="21" customHeight="1" s="66">
      <c r="A2241" s="56" t="n"/>
      <c r="B2241" s="57" t="n"/>
      <c r="C2241" s="57" t="n"/>
      <c r="D2241" s="57" t="n"/>
      <c r="E2241" s="56" t="n"/>
      <c r="F2241" s="57" t="n"/>
      <c r="G2241" s="57" t="n"/>
      <c r="H2241" s="56" t="n"/>
      <c r="I2241" s="56" t="n"/>
      <c r="J2241" s="58" t="n"/>
      <c r="K2241" s="58" t="n"/>
      <c r="L2241" s="13">
        <f>IF(OR($A2241="",AND($J2241="",$K2241="")),"",ROUND(N($J2241)-N($K2241),2))</f>
        <v/>
      </c>
      <c r="M2241" s="13">
        <f>IF(OR($A2241="",AND($J2241="",$K2241="")),"",MIN($J2241,$K2241))</f>
        <v/>
      </c>
      <c r="Q2241">
        <f>IF($A2241="","",$D2241&amp;"("&amp;SUBSTITUTE($E2241," ","")&amp;")")</f>
        <v/>
      </c>
      <c r="R2241">
        <f>IF($A2241="","",$B2241&amp;" - "&amp;$C2241)</f>
        <v/>
      </c>
      <c r="S2241">
        <f>IF($A2241="","",$R2241&amp;"|"&amp;$Q2241)</f>
        <v/>
      </c>
      <c r="T2241">
        <f>IF($A2241="","",$S2241&amp;"|"&amp;$F2241)</f>
        <v/>
      </c>
      <c r="U2241">
        <f>IF($A2241="","",$R2241&amp;"("&amp;$E2241&amp;")")</f>
        <v/>
      </c>
      <c r="V2241">
        <f>IF($A2241="","",$F2241&amp;"|"&amp;$U2241&amp;"|"&amp;$D2241)</f>
        <v/>
      </c>
      <c r="W2241">
        <f>IF($T2241="","",IF($X2241&gt;N($X2240),$X2241,""))</f>
        <v/>
      </c>
      <c r="X2241">
        <f>IF($T2241="",N($X2240),IF(MATCH($T2241,$T$6:$T$6005,0)=ROW()-5,N($X2240)+1,N($X2240)))</f>
        <v/>
      </c>
      <c r="Z2241">
        <f>IF($V2241="","",IF($AA2241&gt;N($AA2240),$AA2241,""))</f>
        <v/>
      </c>
      <c r="AA2241">
        <f>IF($V2241="",N($AA2240),IF(MATCH($V2241,$V$6:$V$6005,0)=ROW()-5,N($AA2240)+1,N($AA2240)))</f>
        <v/>
      </c>
    </row>
    <row r="2242" ht="21" customHeight="1" s="66">
      <c r="A2242" s="56" t="n"/>
      <c r="B2242" s="57" t="n"/>
      <c r="C2242" s="57" t="n"/>
      <c r="D2242" s="57" t="n"/>
      <c r="E2242" s="56" t="n"/>
      <c r="F2242" s="57" t="n"/>
      <c r="G2242" s="57" t="n"/>
      <c r="H2242" s="56" t="n"/>
      <c r="I2242" s="56" t="n"/>
      <c r="J2242" s="58" t="n"/>
      <c r="K2242" s="58" t="n"/>
      <c r="L2242" s="13">
        <f>IF(OR($A2242="",AND($J2242="",$K2242="")),"",ROUND(N($J2242)-N($K2242),2))</f>
        <v/>
      </c>
      <c r="M2242" s="13">
        <f>IF(OR($A2242="",AND($J2242="",$K2242="")),"",MIN($J2242,$K2242))</f>
        <v/>
      </c>
      <c r="Q2242">
        <f>IF($A2242="","",$D2242&amp;"("&amp;SUBSTITUTE($E2242," ","")&amp;")")</f>
        <v/>
      </c>
      <c r="R2242">
        <f>IF($A2242="","",$B2242&amp;" - "&amp;$C2242)</f>
        <v/>
      </c>
      <c r="S2242">
        <f>IF($A2242="","",$R2242&amp;"|"&amp;$Q2242)</f>
        <v/>
      </c>
      <c r="T2242">
        <f>IF($A2242="","",$S2242&amp;"|"&amp;$F2242)</f>
        <v/>
      </c>
      <c r="U2242">
        <f>IF($A2242="","",$R2242&amp;"("&amp;$E2242&amp;")")</f>
        <v/>
      </c>
      <c r="V2242">
        <f>IF($A2242="","",$F2242&amp;"|"&amp;$U2242&amp;"|"&amp;$D2242)</f>
        <v/>
      </c>
      <c r="W2242">
        <f>IF($T2242="","",IF($X2242&gt;N($X2241),$X2242,""))</f>
        <v/>
      </c>
      <c r="X2242">
        <f>IF($T2242="",N($X2241),IF(MATCH($T2242,$T$6:$T$6005,0)=ROW()-5,N($X2241)+1,N($X2241)))</f>
        <v/>
      </c>
      <c r="Z2242">
        <f>IF($V2242="","",IF($AA2242&gt;N($AA2241),$AA2242,""))</f>
        <v/>
      </c>
      <c r="AA2242">
        <f>IF($V2242="",N($AA2241),IF(MATCH($V2242,$V$6:$V$6005,0)=ROW()-5,N($AA2241)+1,N($AA2241)))</f>
        <v/>
      </c>
    </row>
    <row r="2243" ht="21" customHeight="1" s="66">
      <c r="A2243" s="56" t="n"/>
      <c r="B2243" s="57" t="n"/>
      <c r="C2243" s="57" t="n"/>
      <c r="D2243" s="57" t="n"/>
      <c r="E2243" s="56" t="n"/>
      <c r="F2243" s="57" t="n"/>
      <c r="G2243" s="57" t="n"/>
      <c r="H2243" s="56" t="n"/>
      <c r="I2243" s="56" t="n"/>
      <c r="J2243" s="58" t="n"/>
      <c r="K2243" s="58" t="n"/>
      <c r="L2243" s="13">
        <f>IF(OR($A2243="",AND($J2243="",$K2243="")),"",ROUND(N($J2243)-N($K2243),2))</f>
        <v/>
      </c>
      <c r="M2243" s="13">
        <f>IF(OR($A2243="",AND($J2243="",$K2243="")),"",MIN($J2243,$K2243))</f>
        <v/>
      </c>
      <c r="Q2243">
        <f>IF($A2243="","",$D2243&amp;"("&amp;SUBSTITUTE($E2243," ","")&amp;")")</f>
        <v/>
      </c>
      <c r="R2243">
        <f>IF($A2243="","",$B2243&amp;" - "&amp;$C2243)</f>
        <v/>
      </c>
      <c r="S2243">
        <f>IF($A2243="","",$R2243&amp;"|"&amp;$Q2243)</f>
        <v/>
      </c>
      <c r="T2243">
        <f>IF($A2243="","",$S2243&amp;"|"&amp;$F2243)</f>
        <v/>
      </c>
      <c r="U2243">
        <f>IF($A2243="","",$R2243&amp;"("&amp;$E2243&amp;")")</f>
        <v/>
      </c>
      <c r="V2243">
        <f>IF($A2243="","",$F2243&amp;"|"&amp;$U2243&amp;"|"&amp;$D2243)</f>
        <v/>
      </c>
      <c r="W2243">
        <f>IF($T2243="","",IF($X2243&gt;N($X2242),$X2243,""))</f>
        <v/>
      </c>
      <c r="X2243">
        <f>IF($T2243="",N($X2242),IF(MATCH($T2243,$T$6:$T$6005,0)=ROW()-5,N($X2242)+1,N($X2242)))</f>
        <v/>
      </c>
      <c r="Z2243">
        <f>IF($V2243="","",IF($AA2243&gt;N($AA2242),$AA2243,""))</f>
        <v/>
      </c>
      <c r="AA2243">
        <f>IF($V2243="",N($AA2242),IF(MATCH($V2243,$V$6:$V$6005,0)=ROW()-5,N($AA2242)+1,N($AA2242)))</f>
        <v/>
      </c>
    </row>
    <row r="2244" ht="21" customHeight="1" s="66">
      <c r="A2244" s="56" t="n"/>
      <c r="B2244" s="57" t="n"/>
      <c r="C2244" s="57" t="n"/>
      <c r="D2244" s="57" t="n"/>
      <c r="E2244" s="56" t="n"/>
      <c r="F2244" s="57" t="n"/>
      <c r="G2244" s="57" t="n"/>
      <c r="H2244" s="56" t="n"/>
      <c r="I2244" s="56" t="n"/>
      <c r="J2244" s="58" t="n"/>
      <c r="K2244" s="58" t="n"/>
      <c r="L2244" s="13">
        <f>IF(OR($A2244="",AND($J2244="",$K2244="")),"",ROUND(N($J2244)-N($K2244),2))</f>
        <v/>
      </c>
      <c r="M2244" s="13">
        <f>IF(OR($A2244="",AND($J2244="",$K2244="")),"",MIN($J2244,$K2244))</f>
        <v/>
      </c>
      <c r="Q2244">
        <f>IF($A2244="","",$D2244&amp;"("&amp;SUBSTITUTE($E2244," ","")&amp;")")</f>
        <v/>
      </c>
      <c r="R2244">
        <f>IF($A2244="","",$B2244&amp;" - "&amp;$C2244)</f>
        <v/>
      </c>
      <c r="S2244">
        <f>IF($A2244="","",$R2244&amp;"|"&amp;$Q2244)</f>
        <v/>
      </c>
      <c r="T2244">
        <f>IF($A2244="","",$S2244&amp;"|"&amp;$F2244)</f>
        <v/>
      </c>
      <c r="U2244">
        <f>IF($A2244="","",$R2244&amp;"("&amp;$E2244&amp;")")</f>
        <v/>
      </c>
      <c r="V2244">
        <f>IF($A2244="","",$F2244&amp;"|"&amp;$U2244&amp;"|"&amp;$D2244)</f>
        <v/>
      </c>
      <c r="W2244">
        <f>IF($T2244="","",IF($X2244&gt;N($X2243),$X2244,""))</f>
        <v/>
      </c>
      <c r="X2244">
        <f>IF($T2244="",N($X2243),IF(MATCH($T2244,$T$6:$T$6005,0)=ROW()-5,N($X2243)+1,N($X2243)))</f>
        <v/>
      </c>
      <c r="Z2244">
        <f>IF($V2244="","",IF($AA2244&gt;N($AA2243),$AA2244,""))</f>
        <v/>
      </c>
      <c r="AA2244">
        <f>IF($V2244="",N($AA2243),IF(MATCH($V2244,$V$6:$V$6005,0)=ROW()-5,N($AA2243)+1,N($AA2243)))</f>
        <v/>
      </c>
    </row>
    <row r="2245" ht="21" customHeight="1" s="66">
      <c r="A2245" s="56" t="n"/>
      <c r="B2245" s="57" t="n"/>
      <c r="C2245" s="57" t="n"/>
      <c r="D2245" s="57" t="n"/>
      <c r="E2245" s="56" t="n"/>
      <c r="F2245" s="57" t="n"/>
      <c r="G2245" s="57" t="n"/>
      <c r="H2245" s="56" t="n"/>
      <c r="I2245" s="56" t="n"/>
      <c r="J2245" s="58" t="n"/>
      <c r="K2245" s="58" t="n"/>
      <c r="L2245" s="13">
        <f>IF(OR($A2245="",AND($J2245="",$K2245="")),"",ROUND(N($J2245)-N($K2245),2))</f>
        <v/>
      </c>
      <c r="M2245" s="13">
        <f>IF(OR($A2245="",AND($J2245="",$K2245="")),"",MIN($J2245,$K2245))</f>
        <v/>
      </c>
      <c r="Q2245">
        <f>IF($A2245="","",$D2245&amp;"("&amp;SUBSTITUTE($E2245," ","")&amp;")")</f>
        <v/>
      </c>
      <c r="R2245">
        <f>IF($A2245="","",$B2245&amp;" - "&amp;$C2245)</f>
        <v/>
      </c>
      <c r="S2245">
        <f>IF($A2245="","",$R2245&amp;"|"&amp;$Q2245)</f>
        <v/>
      </c>
      <c r="T2245">
        <f>IF($A2245="","",$S2245&amp;"|"&amp;$F2245)</f>
        <v/>
      </c>
      <c r="U2245">
        <f>IF($A2245="","",$R2245&amp;"("&amp;$E2245&amp;")")</f>
        <v/>
      </c>
      <c r="V2245">
        <f>IF($A2245="","",$F2245&amp;"|"&amp;$U2245&amp;"|"&amp;$D2245)</f>
        <v/>
      </c>
      <c r="W2245">
        <f>IF($T2245="","",IF($X2245&gt;N($X2244),$X2245,""))</f>
        <v/>
      </c>
      <c r="X2245">
        <f>IF($T2245="",N($X2244),IF(MATCH($T2245,$T$6:$T$6005,0)=ROW()-5,N($X2244)+1,N($X2244)))</f>
        <v/>
      </c>
      <c r="Z2245">
        <f>IF($V2245="","",IF($AA2245&gt;N($AA2244),$AA2245,""))</f>
        <v/>
      </c>
      <c r="AA2245">
        <f>IF($V2245="",N($AA2244),IF(MATCH($V2245,$V$6:$V$6005,0)=ROW()-5,N($AA2244)+1,N($AA2244)))</f>
        <v/>
      </c>
    </row>
    <row r="2246" ht="21" customHeight="1" s="66">
      <c r="A2246" s="56" t="n"/>
      <c r="B2246" s="57" t="n"/>
      <c r="C2246" s="57" t="n"/>
      <c r="D2246" s="57" t="n"/>
      <c r="E2246" s="56" t="n"/>
      <c r="F2246" s="57" t="n"/>
      <c r="G2246" s="57" t="n"/>
      <c r="H2246" s="56" t="n"/>
      <c r="I2246" s="56" t="n"/>
      <c r="J2246" s="58" t="n"/>
      <c r="K2246" s="58" t="n"/>
      <c r="L2246" s="13">
        <f>IF(OR($A2246="",AND($J2246="",$K2246="")),"",ROUND(N($J2246)-N($K2246),2))</f>
        <v/>
      </c>
      <c r="M2246" s="13">
        <f>IF(OR($A2246="",AND($J2246="",$K2246="")),"",MIN($J2246,$K2246))</f>
        <v/>
      </c>
      <c r="Q2246">
        <f>IF($A2246="","",$D2246&amp;"("&amp;SUBSTITUTE($E2246," ","")&amp;")")</f>
        <v/>
      </c>
      <c r="R2246">
        <f>IF($A2246="","",$B2246&amp;" - "&amp;$C2246)</f>
        <v/>
      </c>
      <c r="S2246">
        <f>IF($A2246="","",$R2246&amp;"|"&amp;$Q2246)</f>
        <v/>
      </c>
      <c r="T2246">
        <f>IF($A2246="","",$S2246&amp;"|"&amp;$F2246)</f>
        <v/>
      </c>
      <c r="U2246">
        <f>IF($A2246="","",$R2246&amp;"("&amp;$E2246&amp;")")</f>
        <v/>
      </c>
      <c r="V2246">
        <f>IF($A2246="","",$F2246&amp;"|"&amp;$U2246&amp;"|"&amp;$D2246)</f>
        <v/>
      </c>
      <c r="W2246">
        <f>IF($T2246="","",IF($X2246&gt;N($X2245),$X2246,""))</f>
        <v/>
      </c>
      <c r="X2246">
        <f>IF($T2246="",N($X2245),IF(MATCH($T2246,$T$6:$T$6005,0)=ROW()-5,N($X2245)+1,N($X2245)))</f>
        <v/>
      </c>
      <c r="Z2246">
        <f>IF($V2246="","",IF($AA2246&gt;N($AA2245),$AA2246,""))</f>
        <v/>
      </c>
      <c r="AA2246">
        <f>IF($V2246="",N($AA2245),IF(MATCH($V2246,$V$6:$V$6005,0)=ROW()-5,N($AA2245)+1,N($AA2245)))</f>
        <v/>
      </c>
    </row>
    <row r="2247" ht="21" customHeight="1" s="66">
      <c r="A2247" s="56" t="n"/>
      <c r="B2247" s="57" t="n"/>
      <c r="C2247" s="57" t="n"/>
      <c r="D2247" s="57" t="n"/>
      <c r="E2247" s="56" t="n"/>
      <c r="F2247" s="57" t="n"/>
      <c r="G2247" s="57" t="n"/>
      <c r="H2247" s="56" t="n"/>
      <c r="I2247" s="56" t="n"/>
      <c r="J2247" s="58" t="n"/>
      <c r="K2247" s="58" t="n"/>
      <c r="L2247" s="13">
        <f>IF(OR($A2247="",AND($J2247="",$K2247="")),"",ROUND(N($J2247)-N($K2247),2))</f>
        <v/>
      </c>
      <c r="M2247" s="13">
        <f>IF(OR($A2247="",AND($J2247="",$K2247="")),"",MIN($J2247,$K2247))</f>
        <v/>
      </c>
      <c r="Q2247">
        <f>IF($A2247="","",$D2247&amp;"("&amp;SUBSTITUTE($E2247," ","")&amp;")")</f>
        <v/>
      </c>
      <c r="R2247">
        <f>IF($A2247="","",$B2247&amp;" - "&amp;$C2247)</f>
        <v/>
      </c>
      <c r="S2247">
        <f>IF($A2247="","",$R2247&amp;"|"&amp;$Q2247)</f>
        <v/>
      </c>
      <c r="T2247">
        <f>IF($A2247="","",$S2247&amp;"|"&amp;$F2247)</f>
        <v/>
      </c>
      <c r="U2247">
        <f>IF($A2247="","",$R2247&amp;"("&amp;$E2247&amp;")")</f>
        <v/>
      </c>
      <c r="V2247">
        <f>IF($A2247="","",$F2247&amp;"|"&amp;$U2247&amp;"|"&amp;$D2247)</f>
        <v/>
      </c>
      <c r="W2247">
        <f>IF($T2247="","",IF($X2247&gt;N($X2246),$X2247,""))</f>
        <v/>
      </c>
      <c r="X2247">
        <f>IF($T2247="",N($X2246),IF(MATCH($T2247,$T$6:$T$6005,0)=ROW()-5,N($X2246)+1,N($X2246)))</f>
        <v/>
      </c>
      <c r="Z2247">
        <f>IF($V2247="","",IF($AA2247&gt;N($AA2246),$AA2247,""))</f>
        <v/>
      </c>
      <c r="AA2247">
        <f>IF($V2247="",N($AA2246),IF(MATCH($V2247,$V$6:$V$6005,0)=ROW()-5,N($AA2246)+1,N($AA2246)))</f>
        <v/>
      </c>
    </row>
    <row r="2248" ht="21" customHeight="1" s="66">
      <c r="A2248" s="56" t="n"/>
      <c r="B2248" s="57" t="n"/>
      <c r="C2248" s="57" t="n"/>
      <c r="D2248" s="57" t="n"/>
      <c r="E2248" s="56" t="n"/>
      <c r="F2248" s="57" t="n"/>
      <c r="G2248" s="57" t="n"/>
      <c r="H2248" s="56" t="n"/>
      <c r="I2248" s="56" t="n"/>
      <c r="J2248" s="58" t="n"/>
      <c r="K2248" s="58" t="n"/>
      <c r="L2248" s="13">
        <f>IF(OR($A2248="",AND($J2248="",$K2248="")),"",ROUND(N($J2248)-N($K2248),2))</f>
        <v/>
      </c>
      <c r="M2248" s="13">
        <f>IF(OR($A2248="",AND($J2248="",$K2248="")),"",MIN($J2248,$K2248))</f>
        <v/>
      </c>
      <c r="Q2248">
        <f>IF($A2248="","",$D2248&amp;"("&amp;SUBSTITUTE($E2248," ","")&amp;")")</f>
        <v/>
      </c>
      <c r="R2248">
        <f>IF($A2248="","",$B2248&amp;" - "&amp;$C2248)</f>
        <v/>
      </c>
      <c r="S2248">
        <f>IF($A2248="","",$R2248&amp;"|"&amp;$Q2248)</f>
        <v/>
      </c>
      <c r="T2248">
        <f>IF($A2248="","",$S2248&amp;"|"&amp;$F2248)</f>
        <v/>
      </c>
      <c r="U2248">
        <f>IF($A2248="","",$R2248&amp;"("&amp;$E2248&amp;")")</f>
        <v/>
      </c>
      <c r="V2248">
        <f>IF($A2248="","",$F2248&amp;"|"&amp;$U2248&amp;"|"&amp;$D2248)</f>
        <v/>
      </c>
      <c r="W2248">
        <f>IF($T2248="","",IF($X2248&gt;N($X2247),$X2248,""))</f>
        <v/>
      </c>
      <c r="X2248">
        <f>IF($T2248="",N($X2247),IF(MATCH($T2248,$T$6:$T$6005,0)=ROW()-5,N($X2247)+1,N($X2247)))</f>
        <v/>
      </c>
      <c r="Z2248">
        <f>IF($V2248="","",IF($AA2248&gt;N($AA2247),$AA2248,""))</f>
        <v/>
      </c>
      <c r="AA2248">
        <f>IF($V2248="",N($AA2247),IF(MATCH($V2248,$V$6:$V$6005,0)=ROW()-5,N($AA2247)+1,N($AA2247)))</f>
        <v/>
      </c>
    </row>
    <row r="2249" ht="21" customHeight="1" s="66">
      <c r="A2249" s="56" t="n"/>
      <c r="B2249" s="57" t="n"/>
      <c r="C2249" s="57" t="n"/>
      <c r="D2249" s="57" t="n"/>
      <c r="E2249" s="56" t="n"/>
      <c r="F2249" s="57" t="n"/>
      <c r="G2249" s="57" t="n"/>
      <c r="H2249" s="56" t="n"/>
      <c r="I2249" s="56" t="n"/>
      <c r="J2249" s="58" t="n"/>
      <c r="K2249" s="58" t="n"/>
      <c r="L2249" s="13">
        <f>IF(OR($A2249="",AND($J2249="",$K2249="")),"",ROUND(N($J2249)-N($K2249),2))</f>
        <v/>
      </c>
      <c r="M2249" s="13">
        <f>IF(OR($A2249="",AND($J2249="",$K2249="")),"",MIN($J2249,$K2249))</f>
        <v/>
      </c>
      <c r="Q2249">
        <f>IF($A2249="","",$D2249&amp;"("&amp;SUBSTITUTE($E2249," ","")&amp;")")</f>
        <v/>
      </c>
      <c r="R2249">
        <f>IF($A2249="","",$B2249&amp;" - "&amp;$C2249)</f>
        <v/>
      </c>
      <c r="S2249">
        <f>IF($A2249="","",$R2249&amp;"|"&amp;$Q2249)</f>
        <v/>
      </c>
      <c r="T2249">
        <f>IF($A2249="","",$S2249&amp;"|"&amp;$F2249)</f>
        <v/>
      </c>
      <c r="U2249">
        <f>IF($A2249="","",$R2249&amp;"("&amp;$E2249&amp;")")</f>
        <v/>
      </c>
      <c r="V2249">
        <f>IF($A2249="","",$F2249&amp;"|"&amp;$U2249&amp;"|"&amp;$D2249)</f>
        <v/>
      </c>
      <c r="W2249">
        <f>IF($T2249="","",IF($X2249&gt;N($X2248),$X2249,""))</f>
        <v/>
      </c>
      <c r="X2249">
        <f>IF($T2249="",N($X2248),IF(MATCH($T2249,$T$6:$T$6005,0)=ROW()-5,N($X2248)+1,N($X2248)))</f>
        <v/>
      </c>
      <c r="Z2249">
        <f>IF($V2249="","",IF($AA2249&gt;N($AA2248),$AA2249,""))</f>
        <v/>
      </c>
      <c r="AA2249">
        <f>IF($V2249="",N($AA2248),IF(MATCH($V2249,$V$6:$V$6005,0)=ROW()-5,N($AA2248)+1,N($AA2248)))</f>
        <v/>
      </c>
    </row>
    <row r="2250" ht="21" customHeight="1" s="66">
      <c r="A2250" s="56" t="n"/>
      <c r="B2250" s="57" t="n"/>
      <c r="C2250" s="57" t="n"/>
      <c r="D2250" s="57" t="n"/>
      <c r="E2250" s="56" t="n"/>
      <c r="F2250" s="57" t="n"/>
      <c r="G2250" s="57" t="n"/>
      <c r="H2250" s="56" t="n"/>
      <c r="I2250" s="56" t="n"/>
      <c r="J2250" s="58" t="n"/>
      <c r="K2250" s="58" t="n"/>
      <c r="L2250" s="13">
        <f>IF(OR($A2250="",AND($J2250="",$K2250="")),"",ROUND(N($J2250)-N($K2250),2))</f>
        <v/>
      </c>
      <c r="M2250" s="13">
        <f>IF(OR($A2250="",AND($J2250="",$K2250="")),"",MIN($J2250,$K2250))</f>
        <v/>
      </c>
      <c r="Q2250">
        <f>IF($A2250="","",$D2250&amp;"("&amp;SUBSTITUTE($E2250," ","")&amp;")")</f>
        <v/>
      </c>
      <c r="R2250">
        <f>IF($A2250="","",$B2250&amp;" - "&amp;$C2250)</f>
        <v/>
      </c>
      <c r="S2250">
        <f>IF($A2250="","",$R2250&amp;"|"&amp;$Q2250)</f>
        <v/>
      </c>
      <c r="T2250">
        <f>IF($A2250="","",$S2250&amp;"|"&amp;$F2250)</f>
        <v/>
      </c>
      <c r="U2250">
        <f>IF($A2250="","",$R2250&amp;"("&amp;$E2250&amp;")")</f>
        <v/>
      </c>
      <c r="V2250">
        <f>IF($A2250="","",$F2250&amp;"|"&amp;$U2250&amp;"|"&amp;$D2250)</f>
        <v/>
      </c>
      <c r="W2250">
        <f>IF($T2250="","",IF($X2250&gt;N($X2249),$X2250,""))</f>
        <v/>
      </c>
      <c r="X2250">
        <f>IF($T2250="",N($X2249),IF(MATCH($T2250,$T$6:$T$6005,0)=ROW()-5,N($X2249)+1,N($X2249)))</f>
        <v/>
      </c>
      <c r="Z2250">
        <f>IF($V2250="","",IF($AA2250&gt;N($AA2249),$AA2250,""))</f>
        <v/>
      </c>
      <c r="AA2250">
        <f>IF($V2250="",N($AA2249),IF(MATCH($V2250,$V$6:$V$6005,0)=ROW()-5,N($AA2249)+1,N($AA2249)))</f>
        <v/>
      </c>
    </row>
    <row r="2251" ht="21" customHeight="1" s="66">
      <c r="A2251" s="56" t="n"/>
      <c r="B2251" s="57" t="n"/>
      <c r="C2251" s="57" t="n"/>
      <c r="D2251" s="57" t="n"/>
      <c r="E2251" s="56" t="n"/>
      <c r="F2251" s="57" t="n"/>
      <c r="G2251" s="57" t="n"/>
      <c r="H2251" s="56" t="n"/>
      <c r="I2251" s="56" t="n"/>
      <c r="J2251" s="58" t="n"/>
      <c r="K2251" s="58" t="n"/>
      <c r="L2251" s="13">
        <f>IF(OR($A2251="",AND($J2251="",$K2251="")),"",ROUND(N($J2251)-N($K2251),2))</f>
        <v/>
      </c>
      <c r="M2251" s="13">
        <f>IF(OR($A2251="",AND($J2251="",$K2251="")),"",MIN($J2251,$K2251))</f>
        <v/>
      </c>
      <c r="Q2251">
        <f>IF($A2251="","",$D2251&amp;"("&amp;SUBSTITUTE($E2251," ","")&amp;")")</f>
        <v/>
      </c>
      <c r="R2251">
        <f>IF($A2251="","",$B2251&amp;" - "&amp;$C2251)</f>
        <v/>
      </c>
      <c r="S2251">
        <f>IF($A2251="","",$R2251&amp;"|"&amp;$Q2251)</f>
        <v/>
      </c>
      <c r="T2251">
        <f>IF($A2251="","",$S2251&amp;"|"&amp;$F2251)</f>
        <v/>
      </c>
      <c r="U2251">
        <f>IF($A2251="","",$R2251&amp;"("&amp;$E2251&amp;")")</f>
        <v/>
      </c>
      <c r="V2251">
        <f>IF($A2251="","",$F2251&amp;"|"&amp;$U2251&amp;"|"&amp;$D2251)</f>
        <v/>
      </c>
      <c r="W2251">
        <f>IF($T2251="","",IF($X2251&gt;N($X2250),$X2251,""))</f>
        <v/>
      </c>
      <c r="X2251">
        <f>IF($T2251="",N($X2250),IF(MATCH($T2251,$T$6:$T$6005,0)=ROW()-5,N($X2250)+1,N($X2250)))</f>
        <v/>
      </c>
      <c r="Z2251">
        <f>IF($V2251="","",IF($AA2251&gt;N($AA2250),$AA2251,""))</f>
        <v/>
      </c>
      <c r="AA2251">
        <f>IF($V2251="",N($AA2250),IF(MATCH($V2251,$V$6:$V$6005,0)=ROW()-5,N($AA2250)+1,N($AA2250)))</f>
        <v/>
      </c>
    </row>
    <row r="2252" ht="21" customHeight="1" s="66">
      <c r="A2252" s="56" t="n"/>
      <c r="B2252" s="57" t="n"/>
      <c r="C2252" s="57" t="n"/>
      <c r="D2252" s="57" t="n"/>
      <c r="E2252" s="56" t="n"/>
      <c r="F2252" s="57" t="n"/>
      <c r="G2252" s="57" t="n"/>
      <c r="H2252" s="56" t="n"/>
      <c r="I2252" s="56" t="n"/>
      <c r="J2252" s="58" t="n"/>
      <c r="K2252" s="58" t="n"/>
      <c r="L2252" s="13">
        <f>IF(OR($A2252="",AND($J2252="",$K2252="")),"",ROUND(N($J2252)-N($K2252),2))</f>
        <v/>
      </c>
      <c r="M2252" s="13">
        <f>IF(OR($A2252="",AND($J2252="",$K2252="")),"",MIN($J2252,$K2252))</f>
        <v/>
      </c>
      <c r="Q2252">
        <f>IF($A2252="","",$D2252&amp;"("&amp;SUBSTITUTE($E2252," ","")&amp;")")</f>
        <v/>
      </c>
      <c r="R2252">
        <f>IF($A2252="","",$B2252&amp;" - "&amp;$C2252)</f>
        <v/>
      </c>
      <c r="S2252">
        <f>IF($A2252="","",$R2252&amp;"|"&amp;$Q2252)</f>
        <v/>
      </c>
      <c r="T2252">
        <f>IF($A2252="","",$S2252&amp;"|"&amp;$F2252)</f>
        <v/>
      </c>
      <c r="U2252">
        <f>IF($A2252="","",$R2252&amp;"("&amp;$E2252&amp;")")</f>
        <v/>
      </c>
      <c r="V2252">
        <f>IF($A2252="","",$F2252&amp;"|"&amp;$U2252&amp;"|"&amp;$D2252)</f>
        <v/>
      </c>
      <c r="W2252">
        <f>IF($T2252="","",IF($X2252&gt;N($X2251),$X2252,""))</f>
        <v/>
      </c>
      <c r="X2252">
        <f>IF($T2252="",N($X2251),IF(MATCH($T2252,$T$6:$T$6005,0)=ROW()-5,N($X2251)+1,N($X2251)))</f>
        <v/>
      </c>
      <c r="Z2252">
        <f>IF($V2252="","",IF($AA2252&gt;N($AA2251),$AA2252,""))</f>
        <v/>
      </c>
      <c r="AA2252">
        <f>IF($V2252="",N($AA2251),IF(MATCH($V2252,$V$6:$V$6005,0)=ROW()-5,N($AA2251)+1,N($AA2251)))</f>
        <v/>
      </c>
    </row>
    <row r="2253" ht="21" customHeight="1" s="66">
      <c r="A2253" s="56" t="n"/>
      <c r="B2253" s="57" t="n"/>
      <c r="C2253" s="57" t="n"/>
      <c r="D2253" s="57" t="n"/>
      <c r="E2253" s="56" t="n"/>
      <c r="F2253" s="57" t="n"/>
      <c r="G2253" s="57" t="n"/>
      <c r="H2253" s="56" t="n"/>
      <c r="I2253" s="56" t="n"/>
      <c r="J2253" s="58" t="n"/>
      <c r="K2253" s="58" t="n"/>
      <c r="L2253" s="13">
        <f>IF(OR($A2253="",AND($J2253="",$K2253="")),"",ROUND(N($J2253)-N($K2253),2))</f>
        <v/>
      </c>
      <c r="M2253" s="13">
        <f>IF(OR($A2253="",AND($J2253="",$K2253="")),"",MIN($J2253,$K2253))</f>
        <v/>
      </c>
      <c r="Q2253">
        <f>IF($A2253="","",$D2253&amp;"("&amp;SUBSTITUTE($E2253," ","")&amp;")")</f>
        <v/>
      </c>
      <c r="R2253">
        <f>IF($A2253="","",$B2253&amp;" - "&amp;$C2253)</f>
        <v/>
      </c>
      <c r="S2253">
        <f>IF($A2253="","",$R2253&amp;"|"&amp;$Q2253)</f>
        <v/>
      </c>
      <c r="T2253">
        <f>IF($A2253="","",$S2253&amp;"|"&amp;$F2253)</f>
        <v/>
      </c>
      <c r="U2253">
        <f>IF($A2253="","",$R2253&amp;"("&amp;$E2253&amp;")")</f>
        <v/>
      </c>
      <c r="V2253">
        <f>IF($A2253="","",$F2253&amp;"|"&amp;$U2253&amp;"|"&amp;$D2253)</f>
        <v/>
      </c>
      <c r="W2253">
        <f>IF($T2253="","",IF($X2253&gt;N($X2252),$X2253,""))</f>
        <v/>
      </c>
      <c r="X2253">
        <f>IF($T2253="",N($X2252),IF(MATCH($T2253,$T$6:$T$6005,0)=ROW()-5,N($X2252)+1,N($X2252)))</f>
        <v/>
      </c>
      <c r="Z2253">
        <f>IF($V2253="","",IF($AA2253&gt;N($AA2252),$AA2253,""))</f>
        <v/>
      </c>
      <c r="AA2253">
        <f>IF($V2253="",N($AA2252),IF(MATCH($V2253,$V$6:$V$6005,0)=ROW()-5,N($AA2252)+1,N($AA2252)))</f>
        <v/>
      </c>
    </row>
    <row r="2254" ht="21" customHeight="1" s="66">
      <c r="A2254" s="56" t="n"/>
      <c r="B2254" s="57" t="n"/>
      <c r="C2254" s="57" t="n"/>
      <c r="D2254" s="57" t="n"/>
      <c r="E2254" s="56" t="n"/>
      <c r="F2254" s="57" t="n"/>
      <c r="G2254" s="57" t="n"/>
      <c r="H2254" s="56" t="n"/>
      <c r="I2254" s="56" t="n"/>
      <c r="J2254" s="58" t="n"/>
      <c r="K2254" s="58" t="n"/>
      <c r="L2254" s="13">
        <f>IF(OR($A2254="",AND($J2254="",$K2254="")),"",ROUND(N($J2254)-N($K2254),2))</f>
        <v/>
      </c>
      <c r="M2254" s="13">
        <f>IF(OR($A2254="",AND($J2254="",$K2254="")),"",MIN($J2254,$K2254))</f>
        <v/>
      </c>
      <c r="Q2254">
        <f>IF($A2254="","",$D2254&amp;"("&amp;SUBSTITUTE($E2254," ","")&amp;")")</f>
        <v/>
      </c>
      <c r="R2254">
        <f>IF($A2254="","",$B2254&amp;" - "&amp;$C2254)</f>
        <v/>
      </c>
      <c r="S2254">
        <f>IF($A2254="","",$R2254&amp;"|"&amp;$Q2254)</f>
        <v/>
      </c>
      <c r="T2254">
        <f>IF($A2254="","",$S2254&amp;"|"&amp;$F2254)</f>
        <v/>
      </c>
      <c r="U2254">
        <f>IF($A2254="","",$R2254&amp;"("&amp;$E2254&amp;")")</f>
        <v/>
      </c>
      <c r="V2254">
        <f>IF($A2254="","",$F2254&amp;"|"&amp;$U2254&amp;"|"&amp;$D2254)</f>
        <v/>
      </c>
      <c r="W2254">
        <f>IF($T2254="","",IF($X2254&gt;N($X2253),$X2254,""))</f>
        <v/>
      </c>
      <c r="X2254">
        <f>IF($T2254="",N($X2253),IF(MATCH($T2254,$T$6:$T$6005,0)=ROW()-5,N($X2253)+1,N($X2253)))</f>
        <v/>
      </c>
      <c r="Z2254">
        <f>IF($V2254="","",IF($AA2254&gt;N($AA2253),$AA2254,""))</f>
        <v/>
      </c>
      <c r="AA2254">
        <f>IF($V2254="",N($AA2253),IF(MATCH($V2254,$V$6:$V$6005,0)=ROW()-5,N($AA2253)+1,N($AA2253)))</f>
        <v/>
      </c>
    </row>
    <row r="2255" ht="21" customHeight="1" s="66">
      <c r="A2255" s="56" t="n"/>
      <c r="B2255" s="57" t="n"/>
      <c r="C2255" s="57" t="n"/>
      <c r="D2255" s="57" t="n"/>
      <c r="E2255" s="56" t="n"/>
      <c r="F2255" s="57" t="n"/>
      <c r="G2255" s="57" t="n"/>
      <c r="H2255" s="56" t="n"/>
      <c r="I2255" s="56" t="n"/>
      <c r="J2255" s="58" t="n"/>
      <c r="K2255" s="58" t="n"/>
      <c r="L2255" s="13">
        <f>IF(OR($A2255="",AND($J2255="",$K2255="")),"",ROUND(N($J2255)-N($K2255),2))</f>
        <v/>
      </c>
      <c r="M2255" s="13">
        <f>IF(OR($A2255="",AND($J2255="",$K2255="")),"",MIN($J2255,$K2255))</f>
        <v/>
      </c>
      <c r="Q2255">
        <f>IF($A2255="","",$D2255&amp;"("&amp;SUBSTITUTE($E2255," ","")&amp;")")</f>
        <v/>
      </c>
      <c r="R2255">
        <f>IF($A2255="","",$B2255&amp;" - "&amp;$C2255)</f>
        <v/>
      </c>
      <c r="S2255">
        <f>IF($A2255="","",$R2255&amp;"|"&amp;$Q2255)</f>
        <v/>
      </c>
      <c r="T2255">
        <f>IF($A2255="","",$S2255&amp;"|"&amp;$F2255)</f>
        <v/>
      </c>
      <c r="U2255">
        <f>IF($A2255="","",$R2255&amp;"("&amp;$E2255&amp;")")</f>
        <v/>
      </c>
      <c r="V2255">
        <f>IF($A2255="","",$F2255&amp;"|"&amp;$U2255&amp;"|"&amp;$D2255)</f>
        <v/>
      </c>
      <c r="W2255">
        <f>IF($T2255="","",IF($X2255&gt;N($X2254),$X2255,""))</f>
        <v/>
      </c>
      <c r="X2255">
        <f>IF($T2255="",N($X2254),IF(MATCH($T2255,$T$6:$T$6005,0)=ROW()-5,N($X2254)+1,N($X2254)))</f>
        <v/>
      </c>
      <c r="Z2255">
        <f>IF($V2255="","",IF($AA2255&gt;N($AA2254),$AA2255,""))</f>
        <v/>
      </c>
      <c r="AA2255">
        <f>IF($V2255="",N($AA2254),IF(MATCH($V2255,$V$6:$V$6005,0)=ROW()-5,N($AA2254)+1,N($AA2254)))</f>
        <v/>
      </c>
    </row>
    <row r="2256" ht="21" customHeight="1" s="66">
      <c r="A2256" s="56" t="n"/>
      <c r="B2256" s="57" t="n"/>
      <c r="C2256" s="57" t="n"/>
      <c r="D2256" s="57" t="n"/>
      <c r="E2256" s="56" t="n"/>
      <c r="F2256" s="57" t="n"/>
      <c r="G2256" s="57" t="n"/>
      <c r="H2256" s="56" t="n"/>
      <c r="I2256" s="56" t="n"/>
      <c r="J2256" s="58" t="n"/>
      <c r="K2256" s="58" t="n"/>
      <c r="L2256" s="13">
        <f>IF(OR($A2256="",AND($J2256="",$K2256="")),"",ROUND(N($J2256)-N($K2256),2))</f>
        <v/>
      </c>
      <c r="M2256" s="13">
        <f>IF(OR($A2256="",AND($J2256="",$K2256="")),"",MIN($J2256,$K2256))</f>
        <v/>
      </c>
      <c r="Q2256">
        <f>IF($A2256="","",$D2256&amp;"("&amp;SUBSTITUTE($E2256," ","")&amp;")")</f>
        <v/>
      </c>
      <c r="R2256">
        <f>IF($A2256="","",$B2256&amp;" - "&amp;$C2256)</f>
        <v/>
      </c>
      <c r="S2256">
        <f>IF($A2256="","",$R2256&amp;"|"&amp;$Q2256)</f>
        <v/>
      </c>
      <c r="T2256">
        <f>IF($A2256="","",$S2256&amp;"|"&amp;$F2256)</f>
        <v/>
      </c>
      <c r="U2256">
        <f>IF($A2256="","",$R2256&amp;"("&amp;$E2256&amp;")")</f>
        <v/>
      </c>
      <c r="V2256">
        <f>IF($A2256="","",$F2256&amp;"|"&amp;$U2256&amp;"|"&amp;$D2256)</f>
        <v/>
      </c>
      <c r="W2256">
        <f>IF($T2256="","",IF($X2256&gt;N($X2255),$X2256,""))</f>
        <v/>
      </c>
      <c r="X2256">
        <f>IF($T2256="",N($X2255),IF(MATCH($T2256,$T$6:$T$6005,0)=ROW()-5,N($X2255)+1,N($X2255)))</f>
        <v/>
      </c>
      <c r="Z2256">
        <f>IF($V2256="","",IF($AA2256&gt;N($AA2255),$AA2256,""))</f>
        <v/>
      </c>
      <c r="AA2256">
        <f>IF($V2256="",N($AA2255),IF(MATCH($V2256,$V$6:$V$6005,0)=ROW()-5,N($AA2255)+1,N($AA2255)))</f>
        <v/>
      </c>
    </row>
    <row r="2257" ht="21" customHeight="1" s="66">
      <c r="A2257" s="56" t="n"/>
      <c r="B2257" s="57" t="n"/>
      <c r="C2257" s="57" t="n"/>
      <c r="D2257" s="57" t="n"/>
      <c r="E2257" s="56" t="n"/>
      <c r="F2257" s="57" t="n"/>
      <c r="G2257" s="57" t="n"/>
      <c r="H2257" s="56" t="n"/>
      <c r="I2257" s="56" t="n"/>
      <c r="J2257" s="58" t="n"/>
      <c r="K2257" s="58" t="n"/>
      <c r="L2257" s="13">
        <f>IF(OR($A2257="",AND($J2257="",$K2257="")),"",ROUND(N($J2257)-N($K2257),2))</f>
        <v/>
      </c>
      <c r="M2257" s="13">
        <f>IF(OR($A2257="",AND($J2257="",$K2257="")),"",MIN($J2257,$K2257))</f>
        <v/>
      </c>
      <c r="Q2257">
        <f>IF($A2257="","",$D2257&amp;"("&amp;SUBSTITUTE($E2257," ","")&amp;")")</f>
        <v/>
      </c>
      <c r="R2257">
        <f>IF($A2257="","",$B2257&amp;" - "&amp;$C2257)</f>
        <v/>
      </c>
      <c r="S2257">
        <f>IF($A2257="","",$R2257&amp;"|"&amp;$Q2257)</f>
        <v/>
      </c>
      <c r="T2257">
        <f>IF($A2257="","",$S2257&amp;"|"&amp;$F2257)</f>
        <v/>
      </c>
      <c r="U2257">
        <f>IF($A2257="","",$R2257&amp;"("&amp;$E2257&amp;")")</f>
        <v/>
      </c>
      <c r="V2257">
        <f>IF($A2257="","",$F2257&amp;"|"&amp;$U2257&amp;"|"&amp;$D2257)</f>
        <v/>
      </c>
      <c r="W2257">
        <f>IF($T2257="","",IF($X2257&gt;N($X2256),$X2257,""))</f>
        <v/>
      </c>
      <c r="X2257">
        <f>IF($T2257="",N($X2256),IF(MATCH($T2257,$T$6:$T$6005,0)=ROW()-5,N($X2256)+1,N($X2256)))</f>
        <v/>
      </c>
      <c r="Z2257">
        <f>IF($V2257="","",IF($AA2257&gt;N($AA2256),$AA2257,""))</f>
        <v/>
      </c>
      <c r="AA2257">
        <f>IF($V2257="",N($AA2256),IF(MATCH($V2257,$V$6:$V$6005,0)=ROW()-5,N($AA2256)+1,N($AA2256)))</f>
        <v/>
      </c>
    </row>
    <row r="2258" ht="21" customHeight="1" s="66">
      <c r="A2258" s="56" t="n"/>
      <c r="B2258" s="57" t="n"/>
      <c r="C2258" s="57" t="n"/>
      <c r="D2258" s="57" t="n"/>
      <c r="E2258" s="56" t="n"/>
      <c r="F2258" s="57" t="n"/>
      <c r="G2258" s="57" t="n"/>
      <c r="H2258" s="56" t="n"/>
      <c r="I2258" s="56" t="n"/>
      <c r="J2258" s="58" t="n"/>
      <c r="K2258" s="58" t="n"/>
      <c r="L2258" s="13">
        <f>IF(OR($A2258="",AND($J2258="",$K2258="")),"",ROUND(N($J2258)-N($K2258),2))</f>
        <v/>
      </c>
      <c r="M2258" s="13">
        <f>IF(OR($A2258="",AND($J2258="",$K2258="")),"",MIN($J2258,$K2258))</f>
        <v/>
      </c>
      <c r="Q2258">
        <f>IF($A2258="","",$D2258&amp;"("&amp;SUBSTITUTE($E2258," ","")&amp;")")</f>
        <v/>
      </c>
      <c r="R2258">
        <f>IF($A2258="","",$B2258&amp;" - "&amp;$C2258)</f>
        <v/>
      </c>
      <c r="S2258">
        <f>IF($A2258="","",$R2258&amp;"|"&amp;$Q2258)</f>
        <v/>
      </c>
      <c r="T2258">
        <f>IF($A2258="","",$S2258&amp;"|"&amp;$F2258)</f>
        <v/>
      </c>
      <c r="U2258">
        <f>IF($A2258="","",$R2258&amp;"("&amp;$E2258&amp;")")</f>
        <v/>
      </c>
      <c r="V2258">
        <f>IF($A2258="","",$F2258&amp;"|"&amp;$U2258&amp;"|"&amp;$D2258)</f>
        <v/>
      </c>
      <c r="W2258">
        <f>IF($T2258="","",IF($X2258&gt;N($X2257),$X2258,""))</f>
        <v/>
      </c>
      <c r="X2258">
        <f>IF($T2258="",N($X2257),IF(MATCH($T2258,$T$6:$T$6005,0)=ROW()-5,N($X2257)+1,N($X2257)))</f>
        <v/>
      </c>
      <c r="Z2258">
        <f>IF($V2258="","",IF($AA2258&gt;N($AA2257),$AA2258,""))</f>
        <v/>
      </c>
      <c r="AA2258">
        <f>IF($V2258="",N($AA2257),IF(MATCH($V2258,$V$6:$V$6005,0)=ROW()-5,N($AA2257)+1,N($AA2257)))</f>
        <v/>
      </c>
    </row>
    <row r="2259" ht="21" customHeight="1" s="66">
      <c r="A2259" s="56" t="n"/>
      <c r="B2259" s="57" t="n"/>
      <c r="C2259" s="57" t="n"/>
      <c r="D2259" s="57" t="n"/>
      <c r="E2259" s="56" t="n"/>
      <c r="F2259" s="57" t="n"/>
      <c r="G2259" s="57" t="n"/>
      <c r="H2259" s="56" t="n"/>
      <c r="I2259" s="56" t="n"/>
      <c r="J2259" s="58" t="n"/>
      <c r="K2259" s="58" t="n"/>
      <c r="L2259" s="13">
        <f>IF(OR($A2259="",AND($J2259="",$K2259="")),"",ROUND(N($J2259)-N($K2259),2))</f>
        <v/>
      </c>
      <c r="M2259" s="13">
        <f>IF(OR($A2259="",AND($J2259="",$K2259="")),"",MIN($J2259,$K2259))</f>
        <v/>
      </c>
      <c r="Q2259">
        <f>IF($A2259="","",$D2259&amp;"("&amp;SUBSTITUTE($E2259," ","")&amp;")")</f>
        <v/>
      </c>
      <c r="R2259">
        <f>IF($A2259="","",$B2259&amp;" - "&amp;$C2259)</f>
        <v/>
      </c>
      <c r="S2259">
        <f>IF($A2259="","",$R2259&amp;"|"&amp;$Q2259)</f>
        <v/>
      </c>
      <c r="T2259">
        <f>IF($A2259="","",$S2259&amp;"|"&amp;$F2259)</f>
        <v/>
      </c>
      <c r="U2259">
        <f>IF($A2259="","",$R2259&amp;"("&amp;$E2259&amp;")")</f>
        <v/>
      </c>
      <c r="V2259">
        <f>IF($A2259="","",$F2259&amp;"|"&amp;$U2259&amp;"|"&amp;$D2259)</f>
        <v/>
      </c>
      <c r="W2259">
        <f>IF($T2259="","",IF($X2259&gt;N($X2258),$X2259,""))</f>
        <v/>
      </c>
      <c r="X2259">
        <f>IF($T2259="",N($X2258),IF(MATCH($T2259,$T$6:$T$6005,0)=ROW()-5,N($X2258)+1,N($X2258)))</f>
        <v/>
      </c>
      <c r="Z2259">
        <f>IF($V2259="","",IF($AA2259&gt;N($AA2258),$AA2259,""))</f>
        <v/>
      </c>
      <c r="AA2259">
        <f>IF($V2259="",N($AA2258),IF(MATCH($V2259,$V$6:$V$6005,0)=ROW()-5,N($AA2258)+1,N($AA2258)))</f>
        <v/>
      </c>
    </row>
    <row r="2260" ht="21" customHeight="1" s="66">
      <c r="A2260" s="56" t="n"/>
      <c r="B2260" s="57" t="n"/>
      <c r="C2260" s="57" t="n"/>
      <c r="D2260" s="57" t="n"/>
      <c r="E2260" s="56" t="n"/>
      <c r="F2260" s="57" t="n"/>
      <c r="G2260" s="57" t="n"/>
      <c r="H2260" s="56" t="n"/>
      <c r="I2260" s="56" t="n"/>
      <c r="J2260" s="58" t="n"/>
      <c r="K2260" s="58" t="n"/>
      <c r="L2260" s="13">
        <f>IF(OR($A2260="",AND($J2260="",$K2260="")),"",ROUND(N($J2260)-N($K2260),2))</f>
        <v/>
      </c>
      <c r="M2260" s="13">
        <f>IF(OR($A2260="",AND($J2260="",$K2260="")),"",MIN($J2260,$K2260))</f>
        <v/>
      </c>
      <c r="Q2260">
        <f>IF($A2260="","",$D2260&amp;"("&amp;SUBSTITUTE($E2260," ","")&amp;")")</f>
        <v/>
      </c>
      <c r="R2260">
        <f>IF($A2260="","",$B2260&amp;" - "&amp;$C2260)</f>
        <v/>
      </c>
      <c r="S2260">
        <f>IF($A2260="","",$R2260&amp;"|"&amp;$Q2260)</f>
        <v/>
      </c>
      <c r="T2260">
        <f>IF($A2260="","",$S2260&amp;"|"&amp;$F2260)</f>
        <v/>
      </c>
      <c r="U2260">
        <f>IF($A2260="","",$R2260&amp;"("&amp;$E2260&amp;")")</f>
        <v/>
      </c>
      <c r="V2260">
        <f>IF($A2260="","",$F2260&amp;"|"&amp;$U2260&amp;"|"&amp;$D2260)</f>
        <v/>
      </c>
      <c r="W2260">
        <f>IF($T2260="","",IF($X2260&gt;N($X2259),$X2260,""))</f>
        <v/>
      </c>
      <c r="X2260">
        <f>IF($T2260="",N($X2259),IF(MATCH($T2260,$T$6:$T$6005,0)=ROW()-5,N($X2259)+1,N($X2259)))</f>
        <v/>
      </c>
      <c r="Z2260">
        <f>IF($V2260="","",IF($AA2260&gt;N($AA2259),$AA2260,""))</f>
        <v/>
      </c>
      <c r="AA2260">
        <f>IF($V2260="",N($AA2259),IF(MATCH($V2260,$V$6:$V$6005,0)=ROW()-5,N($AA2259)+1,N($AA2259)))</f>
        <v/>
      </c>
    </row>
    <row r="2261" ht="21" customHeight="1" s="66">
      <c r="A2261" s="56" t="n"/>
      <c r="B2261" s="57" t="n"/>
      <c r="C2261" s="57" t="n"/>
      <c r="D2261" s="57" t="n"/>
      <c r="E2261" s="56" t="n"/>
      <c r="F2261" s="57" t="n"/>
      <c r="G2261" s="57" t="n"/>
      <c r="H2261" s="56" t="n"/>
      <c r="I2261" s="56" t="n"/>
      <c r="J2261" s="58" t="n"/>
      <c r="K2261" s="58" t="n"/>
      <c r="L2261" s="13">
        <f>IF(OR($A2261="",AND($J2261="",$K2261="")),"",ROUND(N($J2261)-N($K2261),2))</f>
        <v/>
      </c>
      <c r="M2261" s="13">
        <f>IF(OR($A2261="",AND($J2261="",$K2261="")),"",MIN($J2261,$K2261))</f>
        <v/>
      </c>
      <c r="Q2261">
        <f>IF($A2261="","",$D2261&amp;"("&amp;SUBSTITUTE($E2261," ","")&amp;")")</f>
        <v/>
      </c>
      <c r="R2261">
        <f>IF($A2261="","",$B2261&amp;" - "&amp;$C2261)</f>
        <v/>
      </c>
      <c r="S2261">
        <f>IF($A2261="","",$R2261&amp;"|"&amp;$Q2261)</f>
        <v/>
      </c>
      <c r="T2261">
        <f>IF($A2261="","",$S2261&amp;"|"&amp;$F2261)</f>
        <v/>
      </c>
      <c r="U2261">
        <f>IF($A2261="","",$R2261&amp;"("&amp;$E2261&amp;")")</f>
        <v/>
      </c>
      <c r="V2261">
        <f>IF($A2261="","",$F2261&amp;"|"&amp;$U2261&amp;"|"&amp;$D2261)</f>
        <v/>
      </c>
      <c r="W2261">
        <f>IF($T2261="","",IF($X2261&gt;N($X2260),$X2261,""))</f>
        <v/>
      </c>
      <c r="X2261">
        <f>IF($T2261="",N($X2260),IF(MATCH($T2261,$T$6:$T$6005,0)=ROW()-5,N($X2260)+1,N($X2260)))</f>
        <v/>
      </c>
      <c r="Z2261">
        <f>IF($V2261="","",IF($AA2261&gt;N($AA2260),$AA2261,""))</f>
        <v/>
      </c>
      <c r="AA2261">
        <f>IF($V2261="",N($AA2260),IF(MATCH($V2261,$V$6:$V$6005,0)=ROW()-5,N($AA2260)+1,N($AA2260)))</f>
        <v/>
      </c>
    </row>
    <row r="2262" ht="21" customHeight="1" s="66">
      <c r="A2262" s="56" t="n"/>
      <c r="B2262" s="57" t="n"/>
      <c r="C2262" s="57" t="n"/>
      <c r="D2262" s="57" t="n"/>
      <c r="E2262" s="56" t="n"/>
      <c r="F2262" s="57" t="n"/>
      <c r="G2262" s="57" t="n"/>
      <c r="H2262" s="56" t="n"/>
      <c r="I2262" s="56" t="n"/>
      <c r="J2262" s="58" t="n"/>
      <c r="K2262" s="58" t="n"/>
      <c r="L2262" s="13">
        <f>IF(OR($A2262="",AND($J2262="",$K2262="")),"",ROUND(N($J2262)-N($K2262),2))</f>
        <v/>
      </c>
      <c r="M2262" s="13">
        <f>IF(OR($A2262="",AND($J2262="",$K2262="")),"",MIN($J2262,$K2262))</f>
        <v/>
      </c>
      <c r="Q2262">
        <f>IF($A2262="","",$D2262&amp;"("&amp;SUBSTITUTE($E2262," ","")&amp;")")</f>
        <v/>
      </c>
      <c r="R2262">
        <f>IF($A2262="","",$B2262&amp;" - "&amp;$C2262)</f>
        <v/>
      </c>
      <c r="S2262">
        <f>IF($A2262="","",$R2262&amp;"|"&amp;$Q2262)</f>
        <v/>
      </c>
      <c r="T2262">
        <f>IF($A2262="","",$S2262&amp;"|"&amp;$F2262)</f>
        <v/>
      </c>
      <c r="U2262">
        <f>IF($A2262="","",$R2262&amp;"("&amp;$E2262&amp;")")</f>
        <v/>
      </c>
      <c r="V2262">
        <f>IF($A2262="","",$F2262&amp;"|"&amp;$U2262&amp;"|"&amp;$D2262)</f>
        <v/>
      </c>
      <c r="W2262">
        <f>IF($T2262="","",IF($X2262&gt;N($X2261),$X2262,""))</f>
        <v/>
      </c>
      <c r="X2262">
        <f>IF($T2262="",N($X2261),IF(MATCH($T2262,$T$6:$T$6005,0)=ROW()-5,N($X2261)+1,N($X2261)))</f>
        <v/>
      </c>
      <c r="Z2262">
        <f>IF($V2262="","",IF($AA2262&gt;N($AA2261),$AA2262,""))</f>
        <v/>
      </c>
      <c r="AA2262">
        <f>IF($V2262="",N($AA2261),IF(MATCH($V2262,$V$6:$V$6005,0)=ROW()-5,N($AA2261)+1,N($AA2261)))</f>
        <v/>
      </c>
    </row>
    <row r="2263" ht="21" customHeight="1" s="66">
      <c r="A2263" s="56" t="n"/>
      <c r="B2263" s="57" t="n"/>
      <c r="C2263" s="57" t="n"/>
      <c r="D2263" s="57" t="n"/>
      <c r="E2263" s="56" t="n"/>
      <c r="F2263" s="57" t="n"/>
      <c r="G2263" s="57" t="n"/>
      <c r="H2263" s="56" t="n"/>
      <c r="I2263" s="56" t="n"/>
      <c r="J2263" s="58" t="n"/>
      <c r="K2263" s="58" t="n"/>
      <c r="L2263" s="13">
        <f>IF(OR($A2263="",AND($J2263="",$K2263="")),"",ROUND(N($J2263)-N($K2263),2))</f>
        <v/>
      </c>
      <c r="M2263" s="13">
        <f>IF(OR($A2263="",AND($J2263="",$K2263="")),"",MIN($J2263,$K2263))</f>
        <v/>
      </c>
      <c r="Q2263">
        <f>IF($A2263="","",$D2263&amp;"("&amp;SUBSTITUTE($E2263," ","")&amp;")")</f>
        <v/>
      </c>
      <c r="R2263">
        <f>IF($A2263="","",$B2263&amp;" - "&amp;$C2263)</f>
        <v/>
      </c>
      <c r="S2263">
        <f>IF($A2263="","",$R2263&amp;"|"&amp;$Q2263)</f>
        <v/>
      </c>
      <c r="T2263">
        <f>IF($A2263="","",$S2263&amp;"|"&amp;$F2263)</f>
        <v/>
      </c>
      <c r="U2263">
        <f>IF($A2263="","",$R2263&amp;"("&amp;$E2263&amp;")")</f>
        <v/>
      </c>
      <c r="V2263">
        <f>IF($A2263="","",$F2263&amp;"|"&amp;$U2263&amp;"|"&amp;$D2263)</f>
        <v/>
      </c>
      <c r="W2263">
        <f>IF($T2263="","",IF($X2263&gt;N($X2262),$X2263,""))</f>
        <v/>
      </c>
      <c r="X2263">
        <f>IF($T2263="",N($X2262),IF(MATCH($T2263,$T$6:$T$6005,0)=ROW()-5,N($X2262)+1,N($X2262)))</f>
        <v/>
      </c>
      <c r="Z2263">
        <f>IF($V2263="","",IF($AA2263&gt;N($AA2262),$AA2263,""))</f>
        <v/>
      </c>
      <c r="AA2263">
        <f>IF($V2263="",N($AA2262),IF(MATCH($V2263,$V$6:$V$6005,0)=ROW()-5,N($AA2262)+1,N($AA2262)))</f>
        <v/>
      </c>
    </row>
    <row r="2264" ht="21" customHeight="1" s="66">
      <c r="A2264" s="56" t="n"/>
      <c r="B2264" s="57" t="n"/>
      <c r="C2264" s="57" t="n"/>
      <c r="D2264" s="57" t="n"/>
      <c r="E2264" s="56" t="n"/>
      <c r="F2264" s="57" t="n"/>
      <c r="G2264" s="57" t="n"/>
      <c r="H2264" s="56" t="n"/>
      <c r="I2264" s="56" t="n"/>
      <c r="J2264" s="58" t="n"/>
      <c r="K2264" s="58" t="n"/>
      <c r="L2264" s="13">
        <f>IF(OR($A2264="",AND($J2264="",$K2264="")),"",ROUND(N($J2264)-N($K2264),2))</f>
        <v/>
      </c>
      <c r="M2264" s="13">
        <f>IF(OR($A2264="",AND($J2264="",$K2264="")),"",MIN($J2264,$K2264))</f>
        <v/>
      </c>
      <c r="Q2264">
        <f>IF($A2264="","",$D2264&amp;"("&amp;SUBSTITUTE($E2264," ","")&amp;")")</f>
        <v/>
      </c>
      <c r="R2264">
        <f>IF($A2264="","",$B2264&amp;" - "&amp;$C2264)</f>
        <v/>
      </c>
      <c r="S2264">
        <f>IF($A2264="","",$R2264&amp;"|"&amp;$Q2264)</f>
        <v/>
      </c>
      <c r="T2264">
        <f>IF($A2264="","",$S2264&amp;"|"&amp;$F2264)</f>
        <v/>
      </c>
      <c r="U2264">
        <f>IF($A2264="","",$R2264&amp;"("&amp;$E2264&amp;")")</f>
        <v/>
      </c>
      <c r="V2264">
        <f>IF($A2264="","",$F2264&amp;"|"&amp;$U2264&amp;"|"&amp;$D2264)</f>
        <v/>
      </c>
      <c r="W2264">
        <f>IF($T2264="","",IF($X2264&gt;N($X2263),$X2264,""))</f>
        <v/>
      </c>
      <c r="X2264">
        <f>IF($T2264="",N($X2263),IF(MATCH($T2264,$T$6:$T$6005,0)=ROW()-5,N($X2263)+1,N($X2263)))</f>
        <v/>
      </c>
      <c r="Z2264">
        <f>IF($V2264="","",IF($AA2264&gt;N($AA2263),$AA2264,""))</f>
        <v/>
      </c>
      <c r="AA2264">
        <f>IF($V2264="",N($AA2263),IF(MATCH($V2264,$V$6:$V$6005,0)=ROW()-5,N($AA2263)+1,N($AA2263)))</f>
        <v/>
      </c>
    </row>
    <row r="2265" ht="21" customHeight="1" s="66">
      <c r="A2265" s="56" t="n"/>
      <c r="B2265" s="57" t="n"/>
      <c r="C2265" s="57" t="n"/>
      <c r="D2265" s="57" t="n"/>
      <c r="E2265" s="56" t="n"/>
      <c r="F2265" s="57" t="n"/>
      <c r="G2265" s="57" t="n"/>
      <c r="H2265" s="56" t="n"/>
      <c r="I2265" s="56" t="n"/>
      <c r="J2265" s="58" t="n"/>
      <c r="K2265" s="58" t="n"/>
      <c r="L2265" s="13">
        <f>IF(OR($A2265="",AND($J2265="",$K2265="")),"",ROUND(N($J2265)-N($K2265),2))</f>
        <v/>
      </c>
      <c r="M2265" s="13">
        <f>IF(OR($A2265="",AND($J2265="",$K2265="")),"",MIN($J2265,$K2265))</f>
        <v/>
      </c>
      <c r="Q2265">
        <f>IF($A2265="","",$D2265&amp;"("&amp;SUBSTITUTE($E2265," ","")&amp;")")</f>
        <v/>
      </c>
      <c r="R2265">
        <f>IF($A2265="","",$B2265&amp;" - "&amp;$C2265)</f>
        <v/>
      </c>
      <c r="S2265">
        <f>IF($A2265="","",$R2265&amp;"|"&amp;$Q2265)</f>
        <v/>
      </c>
      <c r="T2265">
        <f>IF($A2265="","",$S2265&amp;"|"&amp;$F2265)</f>
        <v/>
      </c>
      <c r="U2265">
        <f>IF($A2265="","",$R2265&amp;"("&amp;$E2265&amp;")")</f>
        <v/>
      </c>
      <c r="V2265">
        <f>IF($A2265="","",$F2265&amp;"|"&amp;$U2265&amp;"|"&amp;$D2265)</f>
        <v/>
      </c>
      <c r="W2265">
        <f>IF($T2265="","",IF($X2265&gt;N($X2264),$X2265,""))</f>
        <v/>
      </c>
      <c r="X2265">
        <f>IF($T2265="",N($X2264),IF(MATCH($T2265,$T$6:$T$6005,0)=ROW()-5,N($X2264)+1,N($X2264)))</f>
        <v/>
      </c>
      <c r="Z2265">
        <f>IF($V2265="","",IF($AA2265&gt;N($AA2264),$AA2265,""))</f>
        <v/>
      </c>
      <c r="AA2265">
        <f>IF($V2265="",N($AA2264),IF(MATCH($V2265,$V$6:$V$6005,0)=ROW()-5,N($AA2264)+1,N($AA2264)))</f>
        <v/>
      </c>
    </row>
    <row r="2266" ht="21" customHeight="1" s="66">
      <c r="A2266" s="56" t="n"/>
      <c r="B2266" s="57" t="n"/>
      <c r="C2266" s="57" t="n"/>
      <c r="D2266" s="57" t="n"/>
      <c r="E2266" s="56" t="n"/>
      <c r="F2266" s="57" t="n"/>
      <c r="G2266" s="57" t="n"/>
      <c r="H2266" s="56" t="n"/>
      <c r="I2266" s="56" t="n"/>
      <c r="J2266" s="58" t="n"/>
      <c r="K2266" s="58" t="n"/>
      <c r="L2266" s="13">
        <f>IF(OR($A2266="",AND($J2266="",$K2266="")),"",ROUND(N($J2266)-N($K2266),2))</f>
        <v/>
      </c>
      <c r="M2266" s="13">
        <f>IF(OR($A2266="",AND($J2266="",$K2266="")),"",MIN($J2266,$K2266))</f>
        <v/>
      </c>
      <c r="Q2266">
        <f>IF($A2266="","",$D2266&amp;"("&amp;SUBSTITUTE($E2266," ","")&amp;")")</f>
        <v/>
      </c>
      <c r="R2266">
        <f>IF($A2266="","",$B2266&amp;" - "&amp;$C2266)</f>
        <v/>
      </c>
      <c r="S2266">
        <f>IF($A2266="","",$R2266&amp;"|"&amp;$Q2266)</f>
        <v/>
      </c>
      <c r="T2266">
        <f>IF($A2266="","",$S2266&amp;"|"&amp;$F2266)</f>
        <v/>
      </c>
      <c r="U2266">
        <f>IF($A2266="","",$R2266&amp;"("&amp;$E2266&amp;")")</f>
        <v/>
      </c>
      <c r="V2266">
        <f>IF($A2266="","",$F2266&amp;"|"&amp;$U2266&amp;"|"&amp;$D2266)</f>
        <v/>
      </c>
      <c r="W2266">
        <f>IF($T2266="","",IF($X2266&gt;N($X2265),$X2266,""))</f>
        <v/>
      </c>
      <c r="X2266">
        <f>IF($T2266="",N($X2265),IF(MATCH($T2266,$T$6:$T$6005,0)=ROW()-5,N($X2265)+1,N($X2265)))</f>
        <v/>
      </c>
      <c r="Z2266">
        <f>IF($V2266="","",IF($AA2266&gt;N($AA2265),$AA2266,""))</f>
        <v/>
      </c>
      <c r="AA2266">
        <f>IF($V2266="",N($AA2265),IF(MATCH($V2266,$V$6:$V$6005,0)=ROW()-5,N($AA2265)+1,N($AA2265)))</f>
        <v/>
      </c>
    </row>
    <row r="2267" ht="21" customHeight="1" s="66">
      <c r="A2267" s="56" t="n"/>
      <c r="B2267" s="57" t="n"/>
      <c r="C2267" s="57" t="n"/>
      <c r="D2267" s="57" t="n"/>
      <c r="E2267" s="56" t="n"/>
      <c r="F2267" s="57" t="n"/>
      <c r="G2267" s="57" t="n"/>
      <c r="H2267" s="56" t="n"/>
      <c r="I2267" s="56" t="n"/>
      <c r="J2267" s="58" t="n"/>
      <c r="K2267" s="58" t="n"/>
      <c r="L2267" s="13">
        <f>IF(OR($A2267="",AND($J2267="",$K2267="")),"",ROUND(N($J2267)-N($K2267),2))</f>
        <v/>
      </c>
      <c r="M2267" s="13">
        <f>IF(OR($A2267="",AND($J2267="",$K2267="")),"",MIN($J2267,$K2267))</f>
        <v/>
      </c>
      <c r="Q2267">
        <f>IF($A2267="","",$D2267&amp;"("&amp;SUBSTITUTE($E2267," ","")&amp;")")</f>
        <v/>
      </c>
      <c r="R2267">
        <f>IF($A2267="","",$B2267&amp;" - "&amp;$C2267)</f>
        <v/>
      </c>
      <c r="S2267">
        <f>IF($A2267="","",$R2267&amp;"|"&amp;$Q2267)</f>
        <v/>
      </c>
      <c r="T2267">
        <f>IF($A2267="","",$S2267&amp;"|"&amp;$F2267)</f>
        <v/>
      </c>
      <c r="U2267">
        <f>IF($A2267="","",$R2267&amp;"("&amp;$E2267&amp;")")</f>
        <v/>
      </c>
      <c r="V2267">
        <f>IF($A2267="","",$F2267&amp;"|"&amp;$U2267&amp;"|"&amp;$D2267)</f>
        <v/>
      </c>
      <c r="W2267">
        <f>IF($T2267="","",IF($X2267&gt;N($X2266),$X2267,""))</f>
        <v/>
      </c>
      <c r="X2267">
        <f>IF($T2267="",N($X2266),IF(MATCH($T2267,$T$6:$T$6005,0)=ROW()-5,N($X2266)+1,N($X2266)))</f>
        <v/>
      </c>
      <c r="Z2267">
        <f>IF($V2267="","",IF($AA2267&gt;N($AA2266),$AA2267,""))</f>
        <v/>
      </c>
      <c r="AA2267">
        <f>IF($V2267="",N($AA2266),IF(MATCH($V2267,$V$6:$V$6005,0)=ROW()-5,N($AA2266)+1,N($AA2266)))</f>
        <v/>
      </c>
    </row>
    <row r="2268" ht="21" customHeight="1" s="66">
      <c r="A2268" s="56" t="n"/>
      <c r="B2268" s="57" t="n"/>
      <c r="C2268" s="57" t="n"/>
      <c r="D2268" s="57" t="n"/>
      <c r="E2268" s="56" t="n"/>
      <c r="F2268" s="57" t="n"/>
      <c r="G2268" s="57" t="n"/>
      <c r="H2268" s="56" t="n"/>
      <c r="I2268" s="56" t="n"/>
      <c r="J2268" s="58" t="n"/>
      <c r="K2268" s="58" t="n"/>
      <c r="L2268" s="13">
        <f>IF(OR($A2268="",AND($J2268="",$K2268="")),"",ROUND(N($J2268)-N($K2268),2))</f>
        <v/>
      </c>
      <c r="M2268" s="13">
        <f>IF(OR($A2268="",AND($J2268="",$K2268="")),"",MIN($J2268,$K2268))</f>
        <v/>
      </c>
      <c r="Q2268">
        <f>IF($A2268="","",$D2268&amp;"("&amp;SUBSTITUTE($E2268," ","")&amp;")")</f>
        <v/>
      </c>
      <c r="R2268">
        <f>IF($A2268="","",$B2268&amp;" - "&amp;$C2268)</f>
        <v/>
      </c>
      <c r="S2268">
        <f>IF($A2268="","",$R2268&amp;"|"&amp;$Q2268)</f>
        <v/>
      </c>
      <c r="T2268">
        <f>IF($A2268="","",$S2268&amp;"|"&amp;$F2268)</f>
        <v/>
      </c>
      <c r="U2268">
        <f>IF($A2268="","",$R2268&amp;"("&amp;$E2268&amp;")")</f>
        <v/>
      </c>
      <c r="V2268">
        <f>IF($A2268="","",$F2268&amp;"|"&amp;$U2268&amp;"|"&amp;$D2268)</f>
        <v/>
      </c>
      <c r="W2268">
        <f>IF($T2268="","",IF($X2268&gt;N($X2267),$X2268,""))</f>
        <v/>
      </c>
      <c r="X2268">
        <f>IF($T2268="",N($X2267),IF(MATCH($T2268,$T$6:$T$6005,0)=ROW()-5,N($X2267)+1,N($X2267)))</f>
        <v/>
      </c>
      <c r="Z2268">
        <f>IF($V2268="","",IF($AA2268&gt;N($AA2267),$AA2268,""))</f>
        <v/>
      </c>
      <c r="AA2268">
        <f>IF($V2268="",N($AA2267),IF(MATCH($V2268,$V$6:$V$6005,0)=ROW()-5,N($AA2267)+1,N($AA2267)))</f>
        <v/>
      </c>
    </row>
    <row r="2269" ht="21" customHeight="1" s="66">
      <c r="A2269" s="56" t="n"/>
      <c r="B2269" s="57" t="n"/>
      <c r="C2269" s="57" t="n"/>
      <c r="D2269" s="57" t="n"/>
      <c r="E2269" s="56" t="n"/>
      <c r="F2269" s="57" t="n"/>
      <c r="G2269" s="57" t="n"/>
      <c r="H2269" s="56" t="n"/>
      <c r="I2269" s="56" t="n"/>
      <c r="J2269" s="58" t="n"/>
      <c r="K2269" s="58" t="n"/>
      <c r="L2269" s="13">
        <f>IF(OR($A2269="",AND($J2269="",$K2269="")),"",ROUND(N($J2269)-N($K2269),2))</f>
        <v/>
      </c>
      <c r="M2269" s="13">
        <f>IF(OR($A2269="",AND($J2269="",$K2269="")),"",MIN($J2269,$K2269))</f>
        <v/>
      </c>
      <c r="Q2269">
        <f>IF($A2269="","",$D2269&amp;"("&amp;SUBSTITUTE($E2269," ","")&amp;")")</f>
        <v/>
      </c>
      <c r="R2269">
        <f>IF($A2269="","",$B2269&amp;" - "&amp;$C2269)</f>
        <v/>
      </c>
      <c r="S2269">
        <f>IF($A2269="","",$R2269&amp;"|"&amp;$Q2269)</f>
        <v/>
      </c>
      <c r="T2269">
        <f>IF($A2269="","",$S2269&amp;"|"&amp;$F2269)</f>
        <v/>
      </c>
      <c r="U2269">
        <f>IF($A2269="","",$R2269&amp;"("&amp;$E2269&amp;")")</f>
        <v/>
      </c>
      <c r="V2269">
        <f>IF($A2269="","",$F2269&amp;"|"&amp;$U2269&amp;"|"&amp;$D2269)</f>
        <v/>
      </c>
      <c r="W2269">
        <f>IF($T2269="","",IF($X2269&gt;N($X2268),$X2269,""))</f>
        <v/>
      </c>
      <c r="X2269">
        <f>IF($T2269="",N($X2268),IF(MATCH($T2269,$T$6:$T$6005,0)=ROW()-5,N($X2268)+1,N($X2268)))</f>
        <v/>
      </c>
      <c r="Z2269">
        <f>IF($V2269="","",IF($AA2269&gt;N($AA2268),$AA2269,""))</f>
        <v/>
      </c>
      <c r="AA2269">
        <f>IF($V2269="",N($AA2268),IF(MATCH($V2269,$V$6:$V$6005,0)=ROW()-5,N($AA2268)+1,N($AA2268)))</f>
        <v/>
      </c>
    </row>
    <row r="2270" ht="21" customHeight="1" s="66">
      <c r="A2270" s="56" t="n"/>
      <c r="B2270" s="57" t="n"/>
      <c r="C2270" s="57" t="n"/>
      <c r="D2270" s="57" t="n"/>
      <c r="E2270" s="56" t="n"/>
      <c r="F2270" s="57" t="n"/>
      <c r="G2270" s="57" t="n"/>
      <c r="H2270" s="56" t="n"/>
      <c r="I2270" s="56" t="n"/>
      <c r="J2270" s="58" t="n"/>
      <c r="K2270" s="58" t="n"/>
      <c r="L2270" s="13">
        <f>IF(OR($A2270="",AND($J2270="",$K2270="")),"",ROUND(N($J2270)-N($K2270),2))</f>
        <v/>
      </c>
      <c r="M2270" s="13">
        <f>IF(OR($A2270="",AND($J2270="",$K2270="")),"",MIN($J2270,$K2270))</f>
        <v/>
      </c>
      <c r="Q2270">
        <f>IF($A2270="","",$D2270&amp;"("&amp;SUBSTITUTE($E2270," ","")&amp;")")</f>
        <v/>
      </c>
      <c r="R2270">
        <f>IF($A2270="","",$B2270&amp;" - "&amp;$C2270)</f>
        <v/>
      </c>
      <c r="S2270">
        <f>IF($A2270="","",$R2270&amp;"|"&amp;$Q2270)</f>
        <v/>
      </c>
      <c r="T2270">
        <f>IF($A2270="","",$S2270&amp;"|"&amp;$F2270)</f>
        <v/>
      </c>
      <c r="U2270">
        <f>IF($A2270="","",$R2270&amp;"("&amp;$E2270&amp;")")</f>
        <v/>
      </c>
      <c r="V2270">
        <f>IF($A2270="","",$F2270&amp;"|"&amp;$U2270&amp;"|"&amp;$D2270)</f>
        <v/>
      </c>
      <c r="W2270">
        <f>IF($T2270="","",IF($X2270&gt;N($X2269),$X2270,""))</f>
        <v/>
      </c>
      <c r="X2270">
        <f>IF($T2270="",N($X2269),IF(MATCH($T2270,$T$6:$T$6005,0)=ROW()-5,N($X2269)+1,N($X2269)))</f>
        <v/>
      </c>
      <c r="Z2270">
        <f>IF($V2270="","",IF($AA2270&gt;N($AA2269),$AA2270,""))</f>
        <v/>
      </c>
      <c r="AA2270">
        <f>IF($V2270="",N($AA2269),IF(MATCH($V2270,$V$6:$V$6005,0)=ROW()-5,N($AA2269)+1,N($AA2269)))</f>
        <v/>
      </c>
    </row>
    <row r="2271" ht="21" customHeight="1" s="66">
      <c r="A2271" s="56" t="n"/>
      <c r="B2271" s="57" t="n"/>
      <c r="C2271" s="57" t="n"/>
      <c r="D2271" s="57" t="n"/>
      <c r="E2271" s="56" t="n"/>
      <c r="F2271" s="57" t="n"/>
      <c r="G2271" s="57" t="n"/>
      <c r="H2271" s="56" t="n"/>
      <c r="I2271" s="56" t="n"/>
      <c r="J2271" s="58" t="n"/>
      <c r="K2271" s="58" t="n"/>
      <c r="L2271" s="13">
        <f>IF(OR($A2271="",AND($J2271="",$K2271="")),"",ROUND(N($J2271)-N($K2271),2))</f>
        <v/>
      </c>
      <c r="M2271" s="13">
        <f>IF(OR($A2271="",AND($J2271="",$K2271="")),"",MIN($J2271,$K2271))</f>
        <v/>
      </c>
      <c r="Q2271">
        <f>IF($A2271="","",$D2271&amp;"("&amp;SUBSTITUTE($E2271," ","")&amp;")")</f>
        <v/>
      </c>
      <c r="R2271">
        <f>IF($A2271="","",$B2271&amp;" - "&amp;$C2271)</f>
        <v/>
      </c>
      <c r="S2271">
        <f>IF($A2271="","",$R2271&amp;"|"&amp;$Q2271)</f>
        <v/>
      </c>
      <c r="T2271">
        <f>IF($A2271="","",$S2271&amp;"|"&amp;$F2271)</f>
        <v/>
      </c>
      <c r="U2271">
        <f>IF($A2271="","",$R2271&amp;"("&amp;$E2271&amp;")")</f>
        <v/>
      </c>
      <c r="V2271">
        <f>IF($A2271="","",$F2271&amp;"|"&amp;$U2271&amp;"|"&amp;$D2271)</f>
        <v/>
      </c>
      <c r="W2271">
        <f>IF($T2271="","",IF($X2271&gt;N($X2270),$X2271,""))</f>
        <v/>
      </c>
      <c r="X2271">
        <f>IF($T2271="",N($X2270),IF(MATCH($T2271,$T$6:$T$6005,0)=ROW()-5,N($X2270)+1,N($X2270)))</f>
        <v/>
      </c>
      <c r="Z2271">
        <f>IF($V2271="","",IF($AA2271&gt;N($AA2270),$AA2271,""))</f>
        <v/>
      </c>
      <c r="AA2271">
        <f>IF($V2271="",N($AA2270),IF(MATCH($V2271,$V$6:$V$6005,0)=ROW()-5,N($AA2270)+1,N($AA2270)))</f>
        <v/>
      </c>
    </row>
    <row r="2272" ht="21" customHeight="1" s="66">
      <c r="A2272" s="56" t="n"/>
      <c r="B2272" s="57" t="n"/>
      <c r="C2272" s="57" t="n"/>
      <c r="D2272" s="57" t="n"/>
      <c r="E2272" s="56" t="n"/>
      <c r="F2272" s="57" t="n"/>
      <c r="G2272" s="57" t="n"/>
      <c r="H2272" s="56" t="n"/>
      <c r="I2272" s="56" t="n"/>
      <c r="J2272" s="58" t="n"/>
      <c r="K2272" s="58" t="n"/>
      <c r="L2272" s="13">
        <f>IF(OR($A2272="",AND($J2272="",$K2272="")),"",ROUND(N($J2272)-N($K2272),2))</f>
        <v/>
      </c>
      <c r="M2272" s="13">
        <f>IF(OR($A2272="",AND($J2272="",$K2272="")),"",MIN($J2272,$K2272))</f>
        <v/>
      </c>
      <c r="Q2272">
        <f>IF($A2272="","",$D2272&amp;"("&amp;SUBSTITUTE($E2272," ","")&amp;")")</f>
        <v/>
      </c>
      <c r="R2272">
        <f>IF($A2272="","",$B2272&amp;" - "&amp;$C2272)</f>
        <v/>
      </c>
      <c r="S2272">
        <f>IF($A2272="","",$R2272&amp;"|"&amp;$Q2272)</f>
        <v/>
      </c>
      <c r="T2272">
        <f>IF($A2272="","",$S2272&amp;"|"&amp;$F2272)</f>
        <v/>
      </c>
      <c r="U2272">
        <f>IF($A2272="","",$R2272&amp;"("&amp;$E2272&amp;")")</f>
        <v/>
      </c>
      <c r="V2272">
        <f>IF($A2272="","",$F2272&amp;"|"&amp;$U2272&amp;"|"&amp;$D2272)</f>
        <v/>
      </c>
      <c r="W2272">
        <f>IF($T2272="","",IF($X2272&gt;N($X2271),$X2272,""))</f>
        <v/>
      </c>
      <c r="X2272">
        <f>IF($T2272="",N($X2271),IF(MATCH($T2272,$T$6:$T$6005,0)=ROW()-5,N($X2271)+1,N($X2271)))</f>
        <v/>
      </c>
      <c r="Z2272">
        <f>IF($V2272="","",IF($AA2272&gt;N($AA2271),$AA2272,""))</f>
        <v/>
      </c>
      <c r="AA2272">
        <f>IF($V2272="",N($AA2271),IF(MATCH($V2272,$V$6:$V$6005,0)=ROW()-5,N($AA2271)+1,N($AA2271)))</f>
        <v/>
      </c>
    </row>
    <row r="2273" ht="21" customHeight="1" s="66">
      <c r="A2273" s="56" t="n"/>
      <c r="B2273" s="57" t="n"/>
      <c r="C2273" s="57" t="n"/>
      <c r="D2273" s="57" t="n"/>
      <c r="E2273" s="56" t="n"/>
      <c r="F2273" s="57" t="n"/>
      <c r="G2273" s="57" t="n"/>
      <c r="H2273" s="56" t="n"/>
      <c r="I2273" s="56" t="n"/>
      <c r="J2273" s="58" t="n"/>
      <c r="K2273" s="58" t="n"/>
      <c r="L2273" s="13">
        <f>IF(OR($A2273="",AND($J2273="",$K2273="")),"",ROUND(N($J2273)-N($K2273),2))</f>
        <v/>
      </c>
      <c r="M2273" s="13">
        <f>IF(OR($A2273="",AND($J2273="",$K2273="")),"",MIN($J2273,$K2273))</f>
        <v/>
      </c>
      <c r="Q2273">
        <f>IF($A2273="","",$D2273&amp;"("&amp;SUBSTITUTE($E2273," ","")&amp;")")</f>
        <v/>
      </c>
      <c r="R2273">
        <f>IF($A2273="","",$B2273&amp;" - "&amp;$C2273)</f>
        <v/>
      </c>
      <c r="S2273">
        <f>IF($A2273="","",$R2273&amp;"|"&amp;$Q2273)</f>
        <v/>
      </c>
      <c r="T2273">
        <f>IF($A2273="","",$S2273&amp;"|"&amp;$F2273)</f>
        <v/>
      </c>
      <c r="U2273">
        <f>IF($A2273="","",$R2273&amp;"("&amp;$E2273&amp;")")</f>
        <v/>
      </c>
      <c r="V2273">
        <f>IF($A2273="","",$F2273&amp;"|"&amp;$U2273&amp;"|"&amp;$D2273)</f>
        <v/>
      </c>
      <c r="W2273">
        <f>IF($T2273="","",IF($X2273&gt;N($X2272),$X2273,""))</f>
        <v/>
      </c>
      <c r="X2273">
        <f>IF($T2273="",N($X2272),IF(MATCH($T2273,$T$6:$T$6005,0)=ROW()-5,N($X2272)+1,N($X2272)))</f>
        <v/>
      </c>
      <c r="Z2273">
        <f>IF($V2273="","",IF($AA2273&gt;N($AA2272),$AA2273,""))</f>
        <v/>
      </c>
      <c r="AA2273">
        <f>IF($V2273="",N($AA2272),IF(MATCH($V2273,$V$6:$V$6005,0)=ROW()-5,N($AA2272)+1,N($AA2272)))</f>
        <v/>
      </c>
    </row>
    <row r="2274" ht="21" customHeight="1" s="66">
      <c r="A2274" s="56" t="n"/>
      <c r="B2274" s="57" t="n"/>
      <c r="C2274" s="57" t="n"/>
      <c r="D2274" s="57" t="n"/>
      <c r="E2274" s="56" t="n"/>
      <c r="F2274" s="57" t="n"/>
      <c r="G2274" s="57" t="n"/>
      <c r="H2274" s="56" t="n"/>
      <c r="I2274" s="56" t="n"/>
      <c r="J2274" s="58" t="n"/>
      <c r="K2274" s="58" t="n"/>
      <c r="L2274" s="13">
        <f>IF(OR($A2274="",AND($J2274="",$K2274="")),"",ROUND(N($J2274)-N($K2274),2))</f>
        <v/>
      </c>
      <c r="M2274" s="13">
        <f>IF(OR($A2274="",AND($J2274="",$K2274="")),"",MIN($J2274,$K2274))</f>
        <v/>
      </c>
      <c r="Q2274">
        <f>IF($A2274="","",$D2274&amp;"("&amp;SUBSTITUTE($E2274," ","")&amp;")")</f>
        <v/>
      </c>
      <c r="R2274">
        <f>IF($A2274="","",$B2274&amp;" - "&amp;$C2274)</f>
        <v/>
      </c>
      <c r="S2274">
        <f>IF($A2274="","",$R2274&amp;"|"&amp;$Q2274)</f>
        <v/>
      </c>
      <c r="T2274">
        <f>IF($A2274="","",$S2274&amp;"|"&amp;$F2274)</f>
        <v/>
      </c>
      <c r="U2274">
        <f>IF($A2274="","",$R2274&amp;"("&amp;$E2274&amp;")")</f>
        <v/>
      </c>
      <c r="V2274">
        <f>IF($A2274="","",$F2274&amp;"|"&amp;$U2274&amp;"|"&amp;$D2274)</f>
        <v/>
      </c>
      <c r="W2274">
        <f>IF($T2274="","",IF($X2274&gt;N($X2273),$X2274,""))</f>
        <v/>
      </c>
      <c r="X2274">
        <f>IF($T2274="",N($X2273),IF(MATCH($T2274,$T$6:$T$6005,0)=ROW()-5,N($X2273)+1,N($X2273)))</f>
        <v/>
      </c>
      <c r="Z2274">
        <f>IF($V2274="","",IF($AA2274&gt;N($AA2273),$AA2274,""))</f>
        <v/>
      </c>
      <c r="AA2274">
        <f>IF($V2274="",N($AA2273),IF(MATCH($V2274,$V$6:$V$6005,0)=ROW()-5,N($AA2273)+1,N($AA2273)))</f>
        <v/>
      </c>
    </row>
    <row r="2275" ht="21" customHeight="1" s="66">
      <c r="A2275" s="56" t="n"/>
      <c r="B2275" s="57" t="n"/>
      <c r="C2275" s="57" t="n"/>
      <c r="D2275" s="57" t="n"/>
      <c r="E2275" s="56" t="n"/>
      <c r="F2275" s="57" t="n"/>
      <c r="G2275" s="57" t="n"/>
      <c r="H2275" s="56" t="n"/>
      <c r="I2275" s="56" t="n"/>
      <c r="J2275" s="58" t="n"/>
      <c r="K2275" s="58" t="n"/>
      <c r="L2275" s="13">
        <f>IF(OR($A2275="",AND($J2275="",$K2275="")),"",ROUND(N($J2275)-N($K2275),2))</f>
        <v/>
      </c>
      <c r="M2275" s="13">
        <f>IF(OR($A2275="",AND($J2275="",$K2275="")),"",MIN($J2275,$K2275))</f>
        <v/>
      </c>
      <c r="Q2275">
        <f>IF($A2275="","",$D2275&amp;"("&amp;SUBSTITUTE($E2275," ","")&amp;")")</f>
        <v/>
      </c>
      <c r="R2275">
        <f>IF($A2275="","",$B2275&amp;" - "&amp;$C2275)</f>
        <v/>
      </c>
      <c r="S2275">
        <f>IF($A2275="","",$R2275&amp;"|"&amp;$Q2275)</f>
        <v/>
      </c>
      <c r="T2275">
        <f>IF($A2275="","",$S2275&amp;"|"&amp;$F2275)</f>
        <v/>
      </c>
      <c r="U2275">
        <f>IF($A2275="","",$R2275&amp;"("&amp;$E2275&amp;")")</f>
        <v/>
      </c>
      <c r="V2275">
        <f>IF($A2275="","",$F2275&amp;"|"&amp;$U2275&amp;"|"&amp;$D2275)</f>
        <v/>
      </c>
      <c r="W2275">
        <f>IF($T2275="","",IF($X2275&gt;N($X2274),$X2275,""))</f>
        <v/>
      </c>
      <c r="X2275">
        <f>IF($T2275="",N($X2274),IF(MATCH($T2275,$T$6:$T$6005,0)=ROW()-5,N($X2274)+1,N($X2274)))</f>
        <v/>
      </c>
      <c r="Z2275">
        <f>IF($V2275="","",IF($AA2275&gt;N($AA2274),$AA2275,""))</f>
        <v/>
      </c>
      <c r="AA2275">
        <f>IF($V2275="",N($AA2274),IF(MATCH($V2275,$V$6:$V$6005,0)=ROW()-5,N($AA2274)+1,N($AA2274)))</f>
        <v/>
      </c>
    </row>
    <row r="2276" ht="21" customHeight="1" s="66">
      <c r="A2276" s="56" t="n"/>
      <c r="B2276" s="57" t="n"/>
      <c r="C2276" s="57" t="n"/>
      <c r="D2276" s="57" t="n"/>
      <c r="E2276" s="56" t="n"/>
      <c r="F2276" s="57" t="n"/>
      <c r="G2276" s="57" t="n"/>
      <c r="H2276" s="56" t="n"/>
      <c r="I2276" s="56" t="n"/>
      <c r="J2276" s="58" t="n"/>
      <c r="K2276" s="58" t="n"/>
      <c r="L2276" s="13">
        <f>IF(OR($A2276="",AND($J2276="",$K2276="")),"",ROUND(N($J2276)-N($K2276),2))</f>
        <v/>
      </c>
      <c r="M2276" s="13">
        <f>IF(OR($A2276="",AND($J2276="",$K2276="")),"",MIN($J2276,$K2276))</f>
        <v/>
      </c>
      <c r="Q2276">
        <f>IF($A2276="","",$D2276&amp;"("&amp;SUBSTITUTE($E2276," ","")&amp;")")</f>
        <v/>
      </c>
      <c r="R2276">
        <f>IF($A2276="","",$B2276&amp;" - "&amp;$C2276)</f>
        <v/>
      </c>
      <c r="S2276">
        <f>IF($A2276="","",$R2276&amp;"|"&amp;$Q2276)</f>
        <v/>
      </c>
      <c r="T2276">
        <f>IF($A2276="","",$S2276&amp;"|"&amp;$F2276)</f>
        <v/>
      </c>
      <c r="U2276">
        <f>IF($A2276="","",$R2276&amp;"("&amp;$E2276&amp;")")</f>
        <v/>
      </c>
      <c r="V2276">
        <f>IF($A2276="","",$F2276&amp;"|"&amp;$U2276&amp;"|"&amp;$D2276)</f>
        <v/>
      </c>
      <c r="W2276">
        <f>IF($T2276="","",IF($X2276&gt;N($X2275),$X2276,""))</f>
        <v/>
      </c>
      <c r="X2276">
        <f>IF($T2276="",N($X2275),IF(MATCH($T2276,$T$6:$T$6005,0)=ROW()-5,N($X2275)+1,N($X2275)))</f>
        <v/>
      </c>
      <c r="Z2276">
        <f>IF($V2276="","",IF($AA2276&gt;N($AA2275),$AA2276,""))</f>
        <v/>
      </c>
      <c r="AA2276">
        <f>IF($V2276="",N($AA2275),IF(MATCH($V2276,$V$6:$V$6005,0)=ROW()-5,N($AA2275)+1,N($AA2275)))</f>
        <v/>
      </c>
    </row>
    <row r="2277" ht="21" customHeight="1" s="66">
      <c r="A2277" s="56" t="n"/>
      <c r="B2277" s="57" t="n"/>
      <c r="C2277" s="57" t="n"/>
      <c r="D2277" s="57" t="n"/>
      <c r="E2277" s="56" t="n"/>
      <c r="F2277" s="57" t="n"/>
      <c r="G2277" s="57" t="n"/>
      <c r="H2277" s="56" t="n"/>
      <c r="I2277" s="56" t="n"/>
      <c r="J2277" s="58" t="n"/>
      <c r="K2277" s="58" t="n"/>
      <c r="L2277" s="13">
        <f>IF(OR($A2277="",AND($J2277="",$K2277="")),"",ROUND(N($J2277)-N($K2277),2))</f>
        <v/>
      </c>
      <c r="M2277" s="13">
        <f>IF(OR($A2277="",AND($J2277="",$K2277="")),"",MIN($J2277,$K2277))</f>
        <v/>
      </c>
      <c r="Q2277">
        <f>IF($A2277="","",$D2277&amp;"("&amp;SUBSTITUTE($E2277," ","")&amp;")")</f>
        <v/>
      </c>
      <c r="R2277">
        <f>IF($A2277="","",$B2277&amp;" - "&amp;$C2277)</f>
        <v/>
      </c>
      <c r="S2277">
        <f>IF($A2277="","",$R2277&amp;"|"&amp;$Q2277)</f>
        <v/>
      </c>
      <c r="T2277">
        <f>IF($A2277="","",$S2277&amp;"|"&amp;$F2277)</f>
        <v/>
      </c>
      <c r="U2277">
        <f>IF($A2277="","",$R2277&amp;"("&amp;$E2277&amp;")")</f>
        <v/>
      </c>
      <c r="V2277">
        <f>IF($A2277="","",$F2277&amp;"|"&amp;$U2277&amp;"|"&amp;$D2277)</f>
        <v/>
      </c>
      <c r="W2277">
        <f>IF($T2277="","",IF($X2277&gt;N($X2276),$X2277,""))</f>
        <v/>
      </c>
      <c r="X2277">
        <f>IF($T2277="",N($X2276),IF(MATCH($T2277,$T$6:$T$6005,0)=ROW()-5,N($X2276)+1,N($X2276)))</f>
        <v/>
      </c>
      <c r="Z2277">
        <f>IF($V2277="","",IF($AA2277&gt;N($AA2276),$AA2277,""))</f>
        <v/>
      </c>
      <c r="AA2277">
        <f>IF($V2277="",N($AA2276),IF(MATCH($V2277,$V$6:$V$6005,0)=ROW()-5,N($AA2276)+1,N($AA2276)))</f>
        <v/>
      </c>
    </row>
    <row r="2278" ht="21" customHeight="1" s="66">
      <c r="A2278" s="56" t="n"/>
      <c r="B2278" s="57" t="n"/>
      <c r="C2278" s="57" t="n"/>
      <c r="D2278" s="57" t="n"/>
      <c r="E2278" s="56" t="n"/>
      <c r="F2278" s="57" t="n"/>
      <c r="G2278" s="57" t="n"/>
      <c r="H2278" s="56" t="n"/>
      <c r="I2278" s="56" t="n"/>
      <c r="J2278" s="58" t="n"/>
      <c r="K2278" s="58" t="n"/>
      <c r="L2278" s="13">
        <f>IF(OR($A2278="",AND($J2278="",$K2278="")),"",ROUND(N($J2278)-N($K2278),2))</f>
        <v/>
      </c>
      <c r="M2278" s="13">
        <f>IF(OR($A2278="",AND($J2278="",$K2278="")),"",MIN($J2278,$K2278))</f>
        <v/>
      </c>
      <c r="Q2278">
        <f>IF($A2278="","",$D2278&amp;"("&amp;SUBSTITUTE($E2278," ","")&amp;")")</f>
        <v/>
      </c>
      <c r="R2278">
        <f>IF($A2278="","",$B2278&amp;" - "&amp;$C2278)</f>
        <v/>
      </c>
      <c r="S2278">
        <f>IF($A2278="","",$R2278&amp;"|"&amp;$Q2278)</f>
        <v/>
      </c>
      <c r="T2278">
        <f>IF($A2278="","",$S2278&amp;"|"&amp;$F2278)</f>
        <v/>
      </c>
      <c r="U2278">
        <f>IF($A2278="","",$R2278&amp;"("&amp;$E2278&amp;")")</f>
        <v/>
      </c>
      <c r="V2278">
        <f>IF($A2278="","",$F2278&amp;"|"&amp;$U2278&amp;"|"&amp;$D2278)</f>
        <v/>
      </c>
      <c r="W2278">
        <f>IF($T2278="","",IF($X2278&gt;N($X2277),$X2278,""))</f>
        <v/>
      </c>
      <c r="X2278">
        <f>IF($T2278="",N($X2277),IF(MATCH($T2278,$T$6:$T$6005,0)=ROW()-5,N($X2277)+1,N($X2277)))</f>
        <v/>
      </c>
      <c r="Z2278">
        <f>IF($V2278="","",IF($AA2278&gt;N($AA2277),$AA2278,""))</f>
        <v/>
      </c>
      <c r="AA2278">
        <f>IF($V2278="",N($AA2277),IF(MATCH($V2278,$V$6:$V$6005,0)=ROW()-5,N($AA2277)+1,N($AA2277)))</f>
        <v/>
      </c>
    </row>
    <row r="2279" ht="21" customHeight="1" s="66">
      <c r="A2279" s="56" t="n"/>
      <c r="B2279" s="57" t="n"/>
      <c r="C2279" s="57" t="n"/>
      <c r="D2279" s="57" t="n"/>
      <c r="E2279" s="56" t="n"/>
      <c r="F2279" s="57" t="n"/>
      <c r="G2279" s="57" t="n"/>
      <c r="H2279" s="56" t="n"/>
      <c r="I2279" s="56" t="n"/>
      <c r="J2279" s="58" t="n"/>
      <c r="K2279" s="58" t="n"/>
      <c r="L2279" s="13">
        <f>IF(OR($A2279="",AND($J2279="",$K2279="")),"",ROUND(N($J2279)-N($K2279),2))</f>
        <v/>
      </c>
      <c r="M2279" s="13">
        <f>IF(OR($A2279="",AND($J2279="",$K2279="")),"",MIN($J2279,$K2279))</f>
        <v/>
      </c>
      <c r="Q2279">
        <f>IF($A2279="","",$D2279&amp;"("&amp;SUBSTITUTE($E2279," ","")&amp;")")</f>
        <v/>
      </c>
      <c r="R2279">
        <f>IF($A2279="","",$B2279&amp;" - "&amp;$C2279)</f>
        <v/>
      </c>
      <c r="S2279">
        <f>IF($A2279="","",$R2279&amp;"|"&amp;$Q2279)</f>
        <v/>
      </c>
      <c r="T2279">
        <f>IF($A2279="","",$S2279&amp;"|"&amp;$F2279)</f>
        <v/>
      </c>
      <c r="U2279">
        <f>IF($A2279="","",$R2279&amp;"("&amp;$E2279&amp;")")</f>
        <v/>
      </c>
      <c r="V2279">
        <f>IF($A2279="","",$F2279&amp;"|"&amp;$U2279&amp;"|"&amp;$D2279)</f>
        <v/>
      </c>
      <c r="W2279">
        <f>IF($T2279="","",IF($X2279&gt;N($X2278),$X2279,""))</f>
        <v/>
      </c>
      <c r="X2279">
        <f>IF($T2279="",N($X2278),IF(MATCH($T2279,$T$6:$T$6005,0)=ROW()-5,N($X2278)+1,N($X2278)))</f>
        <v/>
      </c>
      <c r="Z2279">
        <f>IF($V2279="","",IF($AA2279&gt;N($AA2278),$AA2279,""))</f>
        <v/>
      </c>
      <c r="AA2279">
        <f>IF($V2279="",N($AA2278),IF(MATCH($V2279,$V$6:$V$6005,0)=ROW()-5,N($AA2278)+1,N($AA2278)))</f>
        <v/>
      </c>
    </row>
    <row r="2280" ht="21" customHeight="1" s="66">
      <c r="A2280" s="56" t="n"/>
      <c r="B2280" s="57" t="n"/>
      <c r="C2280" s="57" t="n"/>
      <c r="D2280" s="57" t="n"/>
      <c r="E2280" s="56" t="n"/>
      <c r="F2280" s="57" t="n"/>
      <c r="G2280" s="57" t="n"/>
      <c r="H2280" s="56" t="n"/>
      <c r="I2280" s="56" t="n"/>
      <c r="J2280" s="58" t="n"/>
      <c r="K2280" s="58" t="n"/>
      <c r="L2280" s="13">
        <f>IF(OR($A2280="",AND($J2280="",$K2280="")),"",ROUND(N($J2280)-N($K2280),2))</f>
        <v/>
      </c>
      <c r="M2280" s="13">
        <f>IF(OR($A2280="",AND($J2280="",$K2280="")),"",MIN($J2280,$K2280))</f>
        <v/>
      </c>
      <c r="Q2280">
        <f>IF($A2280="","",$D2280&amp;"("&amp;SUBSTITUTE($E2280," ","")&amp;")")</f>
        <v/>
      </c>
      <c r="R2280">
        <f>IF($A2280="","",$B2280&amp;" - "&amp;$C2280)</f>
        <v/>
      </c>
      <c r="S2280">
        <f>IF($A2280="","",$R2280&amp;"|"&amp;$Q2280)</f>
        <v/>
      </c>
      <c r="T2280">
        <f>IF($A2280="","",$S2280&amp;"|"&amp;$F2280)</f>
        <v/>
      </c>
      <c r="U2280">
        <f>IF($A2280="","",$R2280&amp;"("&amp;$E2280&amp;")")</f>
        <v/>
      </c>
      <c r="V2280">
        <f>IF($A2280="","",$F2280&amp;"|"&amp;$U2280&amp;"|"&amp;$D2280)</f>
        <v/>
      </c>
      <c r="W2280">
        <f>IF($T2280="","",IF($X2280&gt;N($X2279),$X2280,""))</f>
        <v/>
      </c>
      <c r="X2280">
        <f>IF($T2280="",N($X2279),IF(MATCH($T2280,$T$6:$T$6005,0)=ROW()-5,N($X2279)+1,N($X2279)))</f>
        <v/>
      </c>
      <c r="Z2280">
        <f>IF($V2280="","",IF($AA2280&gt;N($AA2279),$AA2280,""))</f>
        <v/>
      </c>
      <c r="AA2280">
        <f>IF($V2280="",N($AA2279),IF(MATCH($V2280,$V$6:$V$6005,0)=ROW()-5,N($AA2279)+1,N($AA2279)))</f>
        <v/>
      </c>
    </row>
    <row r="2281" ht="21" customHeight="1" s="66">
      <c r="A2281" s="56" t="n"/>
      <c r="B2281" s="57" t="n"/>
      <c r="C2281" s="57" t="n"/>
      <c r="D2281" s="57" t="n"/>
      <c r="E2281" s="56" t="n"/>
      <c r="F2281" s="57" t="n"/>
      <c r="G2281" s="57" t="n"/>
      <c r="H2281" s="56" t="n"/>
      <c r="I2281" s="56" t="n"/>
      <c r="J2281" s="58" t="n"/>
      <c r="K2281" s="58" t="n"/>
      <c r="L2281" s="13">
        <f>IF(OR($A2281="",AND($J2281="",$K2281="")),"",ROUND(N($J2281)-N($K2281),2))</f>
        <v/>
      </c>
      <c r="M2281" s="13">
        <f>IF(OR($A2281="",AND($J2281="",$K2281="")),"",MIN($J2281,$K2281))</f>
        <v/>
      </c>
      <c r="Q2281">
        <f>IF($A2281="","",$D2281&amp;"("&amp;SUBSTITUTE($E2281," ","")&amp;")")</f>
        <v/>
      </c>
      <c r="R2281">
        <f>IF($A2281="","",$B2281&amp;" - "&amp;$C2281)</f>
        <v/>
      </c>
      <c r="S2281">
        <f>IF($A2281="","",$R2281&amp;"|"&amp;$Q2281)</f>
        <v/>
      </c>
      <c r="T2281">
        <f>IF($A2281="","",$S2281&amp;"|"&amp;$F2281)</f>
        <v/>
      </c>
      <c r="U2281">
        <f>IF($A2281="","",$R2281&amp;"("&amp;$E2281&amp;")")</f>
        <v/>
      </c>
      <c r="V2281">
        <f>IF($A2281="","",$F2281&amp;"|"&amp;$U2281&amp;"|"&amp;$D2281)</f>
        <v/>
      </c>
      <c r="W2281">
        <f>IF($T2281="","",IF($X2281&gt;N($X2280),$X2281,""))</f>
        <v/>
      </c>
      <c r="X2281">
        <f>IF($T2281="",N($X2280),IF(MATCH($T2281,$T$6:$T$6005,0)=ROW()-5,N($X2280)+1,N($X2280)))</f>
        <v/>
      </c>
      <c r="Z2281">
        <f>IF($V2281="","",IF($AA2281&gt;N($AA2280),$AA2281,""))</f>
        <v/>
      </c>
      <c r="AA2281">
        <f>IF($V2281="",N($AA2280),IF(MATCH($V2281,$V$6:$V$6005,0)=ROW()-5,N($AA2280)+1,N($AA2280)))</f>
        <v/>
      </c>
    </row>
    <row r="2282" ht="21" customHeight="1" s="66">
      <c r="A2282" s="56" t="n"/>
      <c r="B2282" s="57" t="n"/>
      <c r="C2282" s="57" t="n"/>
      <c r="D2282" s="57" t="n"/>
      <c r="E2282" s="56" t="n"/>
      <c r="F2282" s="57" t="n"/>
      <c r="G2282" s="57" t="n"/>
      <c r="H2282" s="56" t="n"/>
      <c r="I2282" s="56" t="n"/>
      <c r="J2282" s="58" t="n"/>
      <c r="K2282" s="58" t="n"/>
      <c r="L2282" s="13">
        <f>IF(OR($A2282="",AND($J2282="",$K2282="")),"",ROUND(N($J2282)-N($K2282),2))</f>
        <v/>
      </c>
      <c r="M2282" s="13">
        <f>IF(OR($A2282="",AND($J2282="",$K2282="")),"",MIN($J2282,$K2282))</f>
        <v/>
      </c>
      <c r="Q2282">
        <f>IF($A2282="","",$D2282&amp;"("&amp;SUBSTITUTE($E2282," ","")&amp;")")</f>
        <v/>
      </c>
      <c r="R2282">
        <f>IF($A2282="","",$B2282&amp;" - "&amp;$C2282)</f>
        <v/>
      </c>
      <c r="S2282">
        <f>IF($A2282="","",$R2282&amp;"|"&amp;$Q2282)</f>
        <v/>
      </c>
      <c r="T2282">
        <f>IF($A2282="","",$S2282&amp;"|"&amp;$F2282)</f>
        <v/>
      </c>
      <c r="U2282">
        <f>IF($A2282="","",$R2282&amp;"("&amp;$E2282&amp;")")</f>
        <v/>
      </c>
      <c r="V2282">
        <f>IF($A2282="","",$F2282&amp;"|"&amp;$U2282&amp;"|"&amp;$D2282)</f>
        <v/>
      </c>
      <c r="W2282">
        <f>IF($T2282="","",IF($X2282&gt;N($X2281),$X2282,""))</f>
        <v/>
      </c>
      <c r="X2282">
        <f>IF($T2282="",N($X2281),IF(MATCH($T2282,$T$6:$T$6005,0)=ROW()-5,N($X2281)+1,N($X2281)))</f>
        <v/>
      </c>
      <c r="Z2282">
        <f>IF($V2282="","",IF($AA2282&gt;N($AA2281),$AA2282,""))</f>
        <v/>
      </c>
      <c r="AA2282">
        <f>IF($V2282="",N($AA2281),IF(MATCH($V2282,$V$6:$V$6005,0)=ROW()-5,N($AA2281)+1,N($AA2281)))</f>
        <v/>
      </c>
    </row>
    <row r="2283" ht="21" customHeight="1" s="66">
      <c r="A2283" s="56" t="n"/>
      <c r="B2283" s="57" t="n"/>
      <c r="C2283" s="57" t="n"/>
      <c r="D2283" s="57" t="n"/>
      <c r="E2283" s="56" t="n"/>
      <c r="F2283" s="57" t="n"/>
      <c r="G2283" s="57" t="n"/>
      <c r="H2283" s="56" t="n"/>
      <c r="I2283" s="56" t="n"/>
      <c r="J2283" s="58" t="n"/>
      <c r="K2283" s="58" t="n"/>
      <c r="L2283" s="13">
        <f>IF(OR($A2283="",AND($J2283="",$K2283="")),"",ROUND(N($J2283)-N($K2283),2))</f>
        <v/>
      </c>
      <c r="M2283" s="13">
        <f>IF(OR($A2283="",AND($J2283="",$K2283="")),"",MIN($J2283,$K2283))</f>
        <v/>
      </c>
      <c r="Q2283">
        <f>IF($A2283="","",$D2283&amp;"("&amp;SUBSTITUTE($E2283," ","")&amp;")")</f>
        <v/>
      </c>
      <c r="R2283">
        <f>IF($A2283="","",$B2283&amp;" - "&amp;$C2283)</f>
        <v/>
      </c>
      <c r="S2283">
        <f>IF($A2283="","",$R2283&amp;"|"&amp;$Q2283)</f>
        <v/>
      </c>
      <c r="T2283">
        <f>IF($A2283="","",$S2283&amp;"|"&amp;$F2283)</f>
        <v/>
      </c>
      <c r="U2283">
        <f>IF($A2283="","",$R2283&amp;"("&amp;$E2283&amp;")")</f>
        <v/>
      </c>
      <c r="V2283">
        <f>IF($A2283="","",$F2283&amp;"|"&amp;$U2283&amp;"|"&amp;$D2283)</f>
        <v/>
      </c>
      <c r="W2283">
        <f>IF($T2283="","",IF($X2283&gt;N($X2282),$X2283,""))</f>
        <v/>
      </c>
      <c r="X2283">
        <f>IF($T2283="",N($X2282),IF(MATCH($T2283,$T$6:$T$6005,0)=ROW()-5,N($X2282)+1,N($X2282)))</f>
        <v/>
      </c>
      <c r="Z2283">
        <f>IF($V2283="","",IF($AA2283&gt;N($AA2282),$AA2283,""))</f>
        <v/>
      </c>
      <c r="AA2283">
        <f>IF($V2283="",N($AA2282),IF(MATCH($V2283,$V$6:$V$6005,0)=ROW()-5,N($AA2282)+1,N($AA2282)))</f>
        <v/>
      </c>
    </row>
    <row r="2284" ht="21" customHeight="1" s="66">
      <c r="A2284" s="56" t="n"/>
      <c r="B2284" s="57" t="n"/>
      <c r="C2284" s="57" t="n"/>
      <c r="D2284" s="57" t="n"/>
      <c r="E2284" s="56" t="n"/>
      <c r="F2284" s="57" t="n"/>
      <c r="G2284" s="57" t="n"/>
      <c r="H2284" s="56" t="n"/>
      <c r="I2284" s="56" t="n"/>
      <c r="J2284" s="58" t="n"/>
      <c r="K2284" s="58" t="n"/>
      <c r="L2284" s="13">
        <f>IF(OR($A2284="",AND($J2284="",$K2284="")),"",ROUND(N($J2284)-N($K2284),2))</f>
        <v/>
      </c>
      <c r="M2284" s="13">
        <f>IF(OR($A2284="",AND($J2284="",$K2284="")),"",MIN($J2284,$K2284))</f>
        <v/>
      </c>
      <c r="Q2284">
        <f>IF($A2284="","",$D2284&amp;"("&amp;SUBSTITUTE($E2284," ","")&amp;")")</f>
        <v/>
      </c>
      <c r="R2284">
        <f>IF($A2284="","",$B2284&amp;" - "&amp;$C2284)</f>
        <v/>
      </c>
      <c r="S2284">
        <f>IF($A2284="","",$R2284&amp;"|"&amp;$Q2284)</f>
        <v/>
      </c>
      <c r="T2284">
        <f>IF($A2284="","",$S2284&amp;"|"&amp;$F2284)</f>
        <v/>
      </c>
      <c r="U2284">
        <f>IF($A2284="","",$R2284&amp;"("&amp;$E2284&amp;")")</f>
        <v/>
      </c>
      <c r="V2284">
        <f>IF($A2284="","",$F2284&amp;"|"&amp;$U2284&amp;"|"&amp;$D2284)</f>
        <v/>
      </c>
      <c r="W2284">
        <f>IF($T2284="","",IF($X2284&gt;N($X2283),$X2284,""))</f>
        <v/>
      </c>
      <c r="X2284">
        <f>IF($T2284="",N($X2283),IF(MATCH($T2284,$T$6:$T$6005,0)=ROW()-5,N($X2283)+1,N($X2283)))</f>
        <v/>
      </c>
      <c r="Z2284">
        <f>IF($V2284="","",IF($AA2284&gt;N($AA2283),$AA2284,""))</f>
        <v/>
      </c>
      <c r="AA2284">
        <f>IF($V2284="",N($AA2283),IF(MATCH($V2284,$V$6:$V$6005,0)=ROW()-5,N($AA2283)+1,N($AA2283)))</f>
        <v/>
      </c>
    </row>
    <row r="2285" ht="21" customHeight="1" s="66">
      <c r="A2285" s="56" t="n"/>
      <c r="B2285" s="57" t="n"/>
      <c r="C2285" s="57" t="n"/>
      <c r="D2285" s="57" t="n"/>
      <c r="E2285" s="56" t="n"/>
      <c r="F2285" s="57" t="n"/>
      <c r="G2285" s="57" t="n"/>
      <c r="H2285" s="56" t="n"/>
      <c r="I2285" s="56" t="n"/>
      <c r="J2285" s="58" t="n"/>
      <c r="K2285" s="58" t="n"/>
      <c r="L2285" s="13">
        <f>IF(OR($A2285="",AND($J2285="",$K2285="")),"",ROUND(N($J2285)-N($K2285),2))</f>
        <v/>
      </c>
      <c r="M2285" s="13">
        <f>IF(OR($A2285="",AND($J2285="",$K2285="")),"",MIN($J2285,$K2285))</f>
        <v/>
      </c>
      <c r="Q2285">
        <f>IF($A2285="","",$D2285&amp;"("&amp;SUBSTITUTE($E2285," ","")&amp;")")</f>
        <v/>
      </c>
      <c r="R2285">
        <f>IF($A2285="","",$B2285&amp;" - "&amp;$C2285)</f>
        <v/>
      </c>
      <c r="S2285">
        <f>IF($A2285="","",$R2285&amp;"|"&amp;$Q2285)</f>
        <v/>
      </c>
      <c r="T2285">
        <f>IF($A2285="","",$S2285&amp;"|"&amp;$F2285)</f>
        <v/>
      </c>
      <c r="U2285">
        <f>IF($A2285="","",$R2285&amp;"("&amp;$E2285&amp;")")</f>
        <v/>
      </c>
      <c r="V2285">
        <f>IF($A2285="","",$F2285&amp;"|"&amp;$U2285&amp;"|"&amp;$D2285)</f>
        <v/>
      </c>
      <c r="W2285">
        <f>IF($T2285="","",IF($X2285&gt;N($X2284),$X2285,""))</f>
        <v/>
      </c>
      <c r="X2285">
        <f>IF($T2285="",N($X2284),IF(MATCH($T2285,$T$6:$T$6005,0)=ROW()-5,N($X2284)+1,N($X2284)))</f>
        <v/>
      </c>
      <c r="Z2285">
        <f>IF($V2285="","",IF($AA2285&gt;N($AA2284),$AA2285,""))</f>
        <v/>
      </c>
      <c r="AA2285">
        <f>IF($V2285="",N($AA2284),IF(MATCH($V2285,$V$6:$V$6005,0)=ROW()-5,N($AA2284)+1,N($AA2284)))</f>
        <v/>
      </c>
    </row>
    <row r="2286" ht="21" customHeight="1" s="66">
      <c r="A2286" s="56" t="n"/>
      <c r="B2286" s="57" t="n"/>
      <c r="C2286" s="57" t="n"/>
      <c r="D2286" s="57" t="n"/>
      <c r="E2286" s="56" t="n"/>
      <c r="F2286" s="57" t="n"/>
      <c r="G2286" s="57" t="n"/>
      <c r="H2286" s="56" t="n"/>
      <c r="I2286" s="56" t="n"/>
      <c r="J2286" s="58" t="n"/>
      <c r="K2286" s="58" t="n"/>
      <c r="L2286" s="13">
        <f>IF(OR($A2286="",AND($J2286="",$K2286="")),"",ROUND(N($J2286)-N($K2286),2))</f>
        <v/>
      </c>
      <c r="M2286" s="13">
        <f>IF(OR($A2286="",AND($J2286="",$K2286="")),"",MIN($J2286,$K2286))</f>
        <v/>
      </c>
      <c r="Q2286">
        <f>IF($A2286="","",$D2286&amp;"("&amp;SUBSTITUTE($E2286," ","")&amp;")")</f>
        <v/>
      </c>
      <c r="R2286">
        <f>IF($A2286="","",$B2286&amp;" - "&amp;$C2286)</f>
        <v/>
      </c>
      <c r="S2286">
        <f>IF($A2286="","",$R2286&amp;"|"&amp;$Q2286)</f>
        <v/>
      </c>
      <c r="T2286">
        <f>IF($A2286="","",$S2286&amp;"|"&amp;$F2286)</f>
        <v/>
      </c>
      <c r="U2286">
        <f>IF($A2286="","",$R2286&amp;"("&amp;$E2286&amp;")")</f>
        <v/>
      </c>
      <c r="V2286">
        <f>IF($A2286="","",$F2286&amp;"|"&amp;$U2286&amp;"|"&amp;$D2286)</f>
        <v/>
      </c>
      <c r="W2286">
        <f>IF($T2286="","",IF($X2286&gt;N($X2285),$X2286,""))</f>
        <v/>
      </c>
      <c r="X2286">
        <f>IF($T2286="",N($X2285),IF(MATCH($T2286,$T$6:$T$6005,0)=ROW()-5,N($X2285)+1,N($X2285)))</f>
        <v/>
      </c>
      <c r="Z2286">
        <f>IF($V2286="","",IF($AA2286&gt;N($AA2285),$AA2286,""))</f>
        <v/>
      </c>
      <c r="AA2286">
        <f>IF($V2286="",N($AA2285),IF(MATCH($V2286,$V$6:$V$6005,0)=ROW()-5,N($AA2285)+1,N($AA2285)))</f>
        <v/>
      </c>
    </row>
    <row r="2287" ht="21" customHeight="1" s="66">
      <c r="A2287" s="56" t="n"/>
      <c r="B2287" s="57" t="n"/>
      <c r="C2287" s="57" t="n"/>
      <c r="D2287" s="57" t="n"/>
      <c r="E2287" s="56" t="n"/>
      <c r="F2287" s="57" t="n"/>
      <c r="G2287" s="57" t="n"/>
      <c r="H2287" s="56" t="n"/>
      <c r="I2287" s="56" t="n"/>
      <c r="J2287" s="58" t="n"/>
      <c r="K2287" s="58" t="n"/>
      <c r="L2287" s="13">
        <f>IF(OR($A2287="",AND($J2287="",$K2287="")),"",ROUND(N($J2287)-N($K2287),2))</f>
        <v/>
      </c>
      <c r="M2287" s="13">
        <f>IF(OR($A2287="",AND($J2287="",$K2287="")),"",MIN($J2287,$K2287))</f>
        <v/>
      </c>
      <c r="Q2287">
        <f>IF($A2287="","",$D2287&amp;"("&amp;SUBSTITUTE($E2287," ","")&amp;")")</f>
        <v/>
      </c>
      <c r="R2287">
        <f>IF($A2287="","",$B2287&amp;" - "&amp;$C2287)</f>
        <v/>
      </c>
      <c r="S2287">
        <f>IF($A2287="","",$R2287&amp;"|"&amp;$Q2287)</f>
        <v/>
      </c>
      <c r="T2287">
        <f>IF($A2287="","",$S2287&amp;"|"&amp;$F2287)</f>
        <v/>
      </c>
      <c r="U2287">
        <f>IF($A2287="","",$R2287&amp;"("&amp;$E2287&amp;")")</f>
        <v/>
      </c>
      <c r="V2287">
        <f>IF($A2287="","",$F2287&amp;"|"&amp;$U2287&amp;"|"&amp;$D2287)</f>
        <v/>
      </c>
      <c r="W2287">
        <f>IF($T2287="","",IF($X2287&gt;N($X2286),$X2287,""))</f>
        <v/>
      </c>
      <c r="X2287">
        <f>IF($T2287="",N($X2286),IF(MATCH($T2287,$T$6:$T$6005,0)=ROW()-5,N($X2286)+1,N($X2286)))</f>
        <v/>
      </c>
      <c r="Z2287">
        <f>IF($V2287="","",IF($AA2287&gt;N($AA2286),$AA2287,""))</f>
        <v/>
      </c>
      <c r="AA2287">
        <f>IF($V2287="",N($AA2286),IF(MATCH($V2287,$V$6:$V$6005,0)=ROW()-5,N($AA2286)+1,N($AA2286)))</f>
        <v/>
      </c>
    </row>
    <row r="2288" ht="21" customHeight="1" s="66">
      <c r="A2288" s="56" t="n"/>
      <c r="B2288" s="57" t="n"/>
      <c r="C2288" s="57" t="n"/>
      <c r="D2288" s="57" t="n"/>
      <c r="E2288" s="56" t="n"/>
      <c r="F2288" s="57" t="n"/>
      <c r="G2288" s="57" t="n"/>
      <c r="H2288" s="56" t="n"/>
      <c r="I2288" s="56" t="n"/>
      <c r="J2288" s="58" t="n"/>
      <c r="K2288" s="58" t="n"/>
      <c r="L2288" s="13">
        <f>IF(OR($A2288="",AND($J2288="",$K2288="")),"",ROUND(N($J2288)-N($K2288),2))</f>
        <v/>
      </c>
      <c r="M2288" s="13">
        <f>IF(OR($A2288="",AND($J2288="",$K2288="")),"",MIN($J2288,$K2288))</f>
        <v/>
      </c>
      <c r="Q2288">
        <f>IF($A2288="","",$D2288&amp;"("&amp;SUBSTITUTE($E2288," ","")&amp;")")</f>
        <v/>
      </c>
      <c r="R2288">
        <f>IF($A2288="","",$B2288&amp;" - "&amp;$C2288)</f>
        <v/>
      </c>
      <c r="S2288">
        <f>IF($A2288="","",$R2288&amp;"|"&amp;$Q2288)</f>
        <v/>
      </c>
      <c r="T2288">
        <f>IF($A2288="","",$S2288&amp;"|"&amp;$F2288)</f>
        <v/>
      </c>
      <c r="U2288">
        <f>IF($A2288="","",$R2288&amp;"("&amp;$E2288&amp;")")</f>
        <v/>
      </c>
      <c r="V2288">
        <f>IF($A2288="","",$F2288&amp;"|"&amp;$U2288&amp;"|"&amp;$D2288)</f>
        <v/>
      </c>
      <c r="W2288">
        <f>IF($T2288="","",IF($X2288&gt;N($X2287),$X2288,""))</f>
        <v/>
      </c>
      <c r="X2288">
        <f>IF($T2288="",N($X2287),IF(MATCH($T2288,$T$6:$T$6005,0)=ROW()-5,N($X2287)+1,N($X2287)))</f>
        <v/>
      </c>
      <c r="Z2288">
        <f>IF($V2288="","",IF($AA2288&gt;N($AA2287),$AA2288,""))</f>
        <v/>
      </c>
      <c r="AA2288">
        <f>IF($V2288="",N($AA2287),IF(MATCH($V2288,$V$6:$V$6005,0)=ROW()-5,N($AA2287)+1,N($AA2287)))</f>
        <v/>
      </c>
    </row>
    <row r="2289" ht="21" customHeight="1" s="66">
      <c r="A2289" s="56" t="n"/>
      <c r="B2289" s="57" t="n"/>
      <c r="C2289" s="57" t="n"/>
      <c r="D2289" s="57" t="n"/>
      <c r="E2289" s="56" t="n"/>
      <c r="F2289" s="57" t="n"/>
      <c r="G2289" s="57" t="n"/>
      <c r="H2289" s="56" t="n"/>
      <c r="I2289" s="56" t="n"/>
      <c r="J2289" s="58" t="n"/>
      <c r="K2289" s="58" t="n"/>
      <c r="L2289" s="13">
        <f>IF(OR($A2289="",AND($J2289="",$K2289="")),"",ROUND(N($J2289)-N($K2289),2))</f>
        <v/>
      </c>
      <c r="M2289" s="13">
        <f>IF(OR($A2289="",AND($J2289="",$K2289="")),"",MIN($J2289,$K2289))</f>
        <v/>
      </c>
      <c r="Q2289">
        <f>IF($A2289="","",$D2289&amp;"("&amp;SUBSTITUTE($E2289," ","")&amp;")")</f>
        <v/>
      </c>
      <c r="R2289">
        <f>IF($A2289="","",$B2289&amp;" - "&amp;$C2289)</f>
        <v/>
      </c>
      <c r="S2289">
        <f>IF($A2289="","",$R2289&amp;"|"&amp;$Q2289)</f>
        <v/>
      </c>
      <c r="T2289">
        <f>IF($A2289="","",$S2289&amp;"|"&amp;$F2289)</f>
        <v/>
      </c>
      <c r="U2289">
        <f>IF($A2289="","",$R2289&amp;"("&amp;$E2289&amp;")")</f>
        <v/>
      </c>
      <c r="V2289">
        <f>IF($A2289="","",$F2289&amp;"|"&amp;$U2289&amp;"|"&amp;$D2289)</f>
        <v/>
      </c>
      <c r="W2289">
        <f>IF($T2289="","",IF($X2289&gt;N($X2288),$X2289,""))</f>
        <v/>
      </c>
      <c r="X2289">
        <f>IF($T2289="",N($X2288),IF(MATCH($T2289,$T$6:$T$6005,0)=ROW()-5,N($X2288)+1,N($X2288)))</f>
        <v/>
      </c>
      <c r="Z2289">
        <f>IF($V2289="","",IF($AA2289&gt;N($AA2288),$AA2289,""))</f>
        <v/>
      </c>
      <c r="AA2289">
        <f>IF($V2289="",N($AA2288),IF(MATCH($V2289,$V$6:$V$6005,0)=ROW()-5,N($AA2288)+1,N($AA2288)))</f>
        <v/>
      </c>
    </row>
    <row r="2290" ht="21" customHeight="1" s="66">
      <c r="A2290" s="56" t="n"/>
      <c r="B2290" s="57" t="n"/>
      <c r="C2290" s="57" t="n"/>
      <c r="D2290" s="57" t="n"/>
      <c r="E2290" s="56" t="n"/>
      <c r="F2290" s="57" t="n"/>
      <c r="G2290" s="57" t="n"/>
      <c r="H2290" s="56" t="n"/>
      <c r="I2290" s="56" t="n"/>
      <c r="J2290" s="58" t="n"/>
      <c r="K2290" s="58" t="n"/>
      <c r="L2290" s="13">
        <f>IF(OR($A2290="",AND($J2290="",$K2290="")),"",ROUND(N($J2290)-N($K2290),2))</f>
        <v/>
      </c>
      <c r="M2290" s="13">
        <f>IF(OR($A2290="",AND($J2290="",$K2290="")),"",MIN($J2290,$K2290))</f>
        <v/>
      </c>
      <c r="Q2290">
        <f>IF($A2290="","",$D2290&amp;"("&amp;SUBSTITUTE($E2290," ","")&amp;")")</f>
        <v/>
      </c>
      <c r="R2290">
        <f>IF($A2290="","",$B2290&amp;" - "&amp;$C2290)</f>
        <v/>
      </c>
      <c r="S2290">
        <f>IF($A2290="","",$R2290&amp;"|"&amp;$Q2290)</f>
        <v/>
      </c>
      <c r="T2290">
        <f>IF($A2290="","",$S2290&amp;"|"&amp;$F2290)</f>
        <v/>
      </c>
      <c r="U2290">
        <f>IF($A2290="","",$R2290&amp;"("&amp;$E2290&amp;")")</f>
        <v/>
      </c>
      <c r="V2290">
        <f>IF($A2290="","",$F2290&amp;"|"&amp;$U2290&amp;"|"&amp;$D2290)</f>
        <v/>
      </c>
      <c r="W2290">
        <f>IF($T2290="","",IF($X2290&gt;N($X2289),$X2290,""))</f>
        <v/>
      </c>
      <c r="X2290">
        <f>IF($T2290="",N($X2289),IF(MATCH($T2290,$T$6:$T$6005,0)=ROW()-5,N($X2289)+1,N($X2289)))</f>
        <v/>
      </c>
      <c r="Z2290">
        <f>IF($V2290="","",IF($AA2290&gt;N($AA2289),$AA2290,""))</f>
        <v/>
      </c>
      <c r="AA2290">
        <f>IF($V2290="",N($AA2289),IF(MATCH($V2290,$V$6:$V$6005,0)=ROW()-5,N($AA2289)+1,N($AA2289)))</f>
        <v/>
      </c>
    </row>
    <row r="2291" ht="21" customHeight="1" s="66">
      <c r="A2291" s="56" t="n"/>
      <c r="B2291" s="57" t="n"/>
      <c r="C2291" s="57" t="n"/>
      <c r="D2291" s="57" t="n"/>
      <c r="E2291" s="56" t="n"/>
      <c r="F2291" s="57" t="n"/>
      <c r="G2291" s="57" t="n"/>
      <c r="H2291" s="56" t="n"/>
      <c r="I2291" s="56" t="n"/>
      <c r="J2291" s="58" t="n"/>
      <c r="K2291" s="58" t="n"/>
      <c r="L2291" s="13">
        <f>IF(OR($A2291="",AND($J2291="",$K2291="")),"",ROUND(N($J2291)-N($K2291),2))</f>
        <v/>
      </c>
      <c r="M2291" s="13">
        <f>IF(OR($A2291="",AND($J2291="",$K2291="")),"",MIN($J2291,$K2291))</f>
        <v/>
      </c>
      <c r="Q2291">
        <f>IF($A2291="","",$D2291&amp;"("&amp;SUBSTITUTE($E2291," ","")&amp;")")</f>
        <v/>
      </c>
      <c r="R2291">
        <f>IF($A2291="","",$B2291&amp;" - "&amp;$C2291)</f>
        <v/>
      </c>
      <c r="S2291">
        <f>IF($A2291="","",$R2291&amp;"|"&amp;$Q2291)</f>
        <v/>
      </c>
      <c r="T2291">
        <f>IF($A2291="","",$S2291&amp;"|"&amp;$F2291)</f>
        <v/>
      </c>
      <c r="U2291">
        <f>IF($A2291="","",$R2291&amp;"("&amp;$E2291&amp;")")</f>
        <v/>
      </c>
      <c r="V2291">
        <f>IF($A2291="","",$F2291&amp;"|"&amp;$U2291&amp;"|"&amp;$D2291)</f>
        <v/>
      </c>
      <c r="W2291">
        <f>IF($T2291="","",IF($X2291&gt;N($X2290),$X2291,""))</f>
        <v/>
      </c>
      <c r="X2291">
        <f>IF($T2291="",N($X2290),IF(MATCH($T2291,$T$6:$T$6005,0)=ROW()-5,N($X2290)+1,N($X2290)))</f>
        <v/>
      </c>
      <c r="Z2291">
        <f>IF($V2291="","",IF($AA2291&gt;N($AA2290),$AA2291,""))</f>
        <v/>
      </c>
      <c r="AA2291">
        <f>IF($V2291="",N($AA2290),IF(MATCH($V2291,$V$6:$V$6005,0)=ROW()-5,N($AA2290)+1,N($AA2290)))</f>
        <v/>
      </c>
    </row>
    <row r="2292" ht="21" customHeight="1" s="66">
      <c r="A2292" s="56" t="n"/>
      <c r="B2292" s="57" t="n"/>
      <c r="C2292" s="57" t="n"/>
      <c r="D2292" s="57" t="n"/>
      <c r="E2292" s="56" t="n"/>
      <c r="F2292" s="57" t="n"/>
      <c r="G2292" s="57" t="n"/>
      <c r="H2292" s="56" t="n"/>
      <c r="I2292" s="56" t="n"/>
      <c r="J2292" s="58" t="n"/>
      <c r="K2292" s="58" t="n"/>
      <c r="L2292" s="13">
        <f>IF(OR($A2292="",AND($J2292="",$K2292="")),"",ROUND(N($J2292)-N($K2292),2))</f>
        <v/>
      </c>
      <c r="M2292" s="13">
        <f>IF(OR($A2292="",AND($J2292="",$K2292="")),"",MIN($J2292,$K2292))</f>
        <v/>
      </c>
      <c r="Q2292">
        <f>IF($A2292="","",$D2292&amp;"("&amp;SUBSTITUTE($E2292," ","")&amp;")")</f>
        <v/>
      </c>
      <c r="R2292">
        <f>IF($A2292="","",$B2292&amp;" - "&amp;$C2292)</f>
        <v/>
      </c>
      <c r="S2292">
        <f>IF($A2292="","",$R2292&amp;"|"&amp;$Q2292)</f>
        <v/>
      </c>
      <c r="T2292">
        <f>IF($A2292="","",$S2292&amp;"|"&amp;$F2292)</f>
        <v/>
      </c>
      <c r="U2292">
        <f>IF($A2292="","",$R2292&amp;"("&amp;$E2292&amp;")")</f>
        <v/>
      </c>
      <c r="V2292">
        <f>IF($A2292="","",$F2292&amp;"|"&amp;$U2292&amp;"|"&amp;$D2292)</f>
        <v/>
      </c>
      <c r="W2292">
        <f>IF($T2292="","",IF($X2292&gt;N($X2291),$X2292,""))</f>
        <v/>
      </c>
      <c r="X2292">
        <f>IF($T2292="",N($X2291),IF(MATCH($T2292,$T$6:$T$6005,0)=ROW()-5,N($X2291)+1,N($X2291)))</f>
        <v/>
      </c>
      <c r="Z2292">
        <f>IF($V2292="","",IF($AA2292&gt;N($AA2291),$AA2292,""))</f>
        <v/>
      </c>
      <c r="AA2292">
        <f>IF($V2292="",N($AA2291),IF(MATCH($V2292,$V$6:$V$6005,0)=ROW()-5,N($AA2291)+1,N($AA2291)))</f>
        <v/>
      </c>
    </row>
    <row r="2293" ht="21" customHeight="1" s="66">
      <c r="A2293" s="56" t="n"/>
      <c r="B2293" s="57" t="n"/>
      <c r="C2293" s="57" t="n"/>
      <c r="D2293" s="57" t="n"/>
      <c r="E2293" s="56" t="n"/>
      <c r="F2293" s="57" t="n"/>
      <c r="G2293" s="57" t="n"/>
      <c r="H2293" s="56" t="n"/>
      <c r="I2293" s="56" t="n"/>
      <c r="J2293" s="58" t="n"/>
      <c r="K2293" s="58" t="n"/>
      <c r="L2293" s="13">
        <f>IF(OR($A2293="",AND($J2293="",$K2293="")),"",ROUND(N($J2293)-N($K2293),2))</f>
        <v/>
      </c>
      <c r="M2293" s="13">
        <f>IF(OR($A2293="",AND($J2293="",$K2293="")),"",MIN($J2293,$K2293))</f>
        <v/>
      </c>
      <c r="Q2293">
        <f>IF($A2293="","",$D2293&amp;"("&amp;SUBSTITUTE($E2293," ","")&amp;")")</f>
        <v/>
      </c>
      <c r="R2293">
        <f>IF($A2293="","",$B2293&amp;" - "&amp;$C2293)</f>
        <v/>
      </c>
      <c r="S2293">
        <f>IF($A2293="","",$R2293&amp;"|"&amp;$Q2293)</f>
        <v/>
      </c>
      <c r="T2293">
        <f>IF($A2293="","",$S2293&amp;"|"&amp;$F2293)</f>
        <v/>
      </c>
      <c r="U2293">
        <f>IF($A2293="","",$R2293&amp;"("&amp;$E2293&amp;")")</f>
        <v/>
      </c>
      <c r="V2293">
        <f>IF($A2293="","",$F2293&amp;"|"&amp;$U2293&amp;"|"&amp;$D2293)</f>
        <v/>
      </c>
      <c r="W2293">
        <f>IF($T2293="","",IF($X2293&gt;N($X2292),$X2293,""))</f>
        <v/>
      </c>
      <c r="X2293">
        <f>IF($T2293="",N($X2292),IF(MATCH($T2293,$T$6:$T$6005,0)=ROW()-5,N($X2292)+1,N($X2292)))</f>
        <v/>
      </c>
      <c r="Z2293">
        <f>IF($V2293="","",IF($AA2293&gt;N($AA2292),$AA2293,""))</f>
        <v/>
      </c>
      <c r="AA2293">
        <f>IF($V2293="",N($AA2292),IF(MATCH($V2293,$V$6:$V$6005,0)=ROW()-5,N($AA2292)+1,N($AA2292)))</f>
        <v/>
      </c>
    </row>
    <row r="2294" ht="21" customHeight="1" s="66">
      <c r="A2294" s="56" t="n"/>
      <c r="B2294" s="57" t="n"/>
      <c r="C2294" s="57" t="n"/>
      <c r="D2294" s="57" t="n"/>
      <c r="E2294" s="56" t="n"/>
      <c r="F2294" s="57" t="n"/>
      <c r="G2294" s="57" t="n"/>
      <c r="H2294" s="56" t="n"/>
      <c r="I2294" s="56" t="n"/>
      <c r="J2294" s="58" t="n"/>
      <c r="K2294" s="58" t="n"/>
      <c r="L2294" s="13">
        <f>IF(OR($A2294="",AND($J2294="",$K2294="")),"",ROUND(N($J2294)-N($K2294),2))</f>
        <v/>
      </c>
      <c r="M2294" s="13">
        <f>IF(OR($A2294="",AND($J2294="",$K2294="")),"",MIN($J2294,$K2294))</f>
        <v/>
      </c>
      <c r="Q2294">
        <f>IF($A2294="","",$D2294&amp;"("&amp;SUBSTITUTE($E2294," ","")&amp;")")</f>
        <v/>
      </c>
      <c r="R2294">
        <f>IF($A2294="","",$B2294&amp;" - "&amp;$C2294)</f>
        <v/>
      </c>
      <c r="S2294">
        <f>IF($A2294="","",$R2294&amp;"|"&amp;$Q2294)</f>
        <v/>
      </c>
      <c r="T2294">
        <f>IF($A2294="","",$S2294&amp;"|"&amp;$F2294)</f>
        <v/>
      </c>
      <c r="U2294">
        <f>IF($A2294="","",$R2294&amp;"("&amp;$E2294&amp;")")</f>
        <v/>
      </c>
      <c r="V2294">
        <f>IF($A2294="","",$F2294&amp;"|"&amp;$U2294&amp;"|"&amp;$D2294)</f>
        <v/>
      </c>
      <c r="W2294">
        <f>IF($T2294="","",IF($X2294&gt;N($X2293),$X2294,""))</f>
        <v/>
      </c>
      <c r="X2294">
        <f>IF($T2294="",N($X2293),IF(MATCH($T2294,$T$6:$T$6005,0)=ROW()-5,N($X2293)+1,N($X2293)))</f>
        <v/>
      </c>
      <c r="Z2294">
        <f>IF($V2294="","",IF($AA2294&gt;N($AA2293),$AA2294,""))</f>
        <v/>
      </c>
      <c r="AA2294">
        <f>IF($V2294="",N($AA2293),IF(MATCH($V2294,$V$6:$V$6005,0)=ROW()-5,N($AA2293)+1,N($AA2293)))</f>
        <v/>
      </c>
    </row>
    <row r="2295" ht="21" customHeight="1" s="66">
      <c r="A2295" s="56" t="n"/>
      <c r="B2295" s="57" t="n"/>
      <c r="C2295" s="57" t="n"/>
      <c r="D2295" s="57" t="n"/>
      <c r="E2295" s="56" t="n"/>
      <c r="F2295" s="57" t="n"/>
      <c r="G2295" s="57" t="n"/>
      <c r="H2295" s="56" t="n"/>
      <c r="I2295" s="56" t="n"/>
      <c r="J2295" s="58" t="n"/>
      <c r="K2295" s="58" t="n"/>
      <c r="L2295" s="13">
        <f>IF(OR($A2295="",AND($J2295="",$K2295="")),"",ROUND(N($J2295)-N($K2295),2))</f>
        <v/>
      </c>
      <c r="M2295" s="13">
        <f>IF(OR($A2295="",AND($J2295="",$K2295="")),"",MIN($J2295,$K2295))</f>
        <v/>
      </c>
      <c r="Q2295">
        <f>IF($A2295="","",$D2295&amp;"("&amp;SUBSTITUTE($E2295," ","")&amp;")")</f>
        <v/>
      </c>
      <c r="R2295">
        <f>IF($A2295="","",$B2295&amp;" - "&amp;$C2295)</f>
        <v/>
      </c>
      <c r="S2295">
        <f>IF($A2295="","",$R2295&amp;"|"&amp;$Q2295)</f>
        <v/>
      </c>
      <c r="T2295">
        <f>IF($A2295="","",$S2295&amp;"|"&amp;$F2295)</f>
        <v/>
      </c>
      <c r="U2295">
        <f>IF($A2295="","",$R2295&amp;"("&amp;$E2295&amp;")")</f>
        <v/>
      </c>
      <c r="V2295">
        <f>IF($A2295="","",$F2295&amp;"|"&amp;$U2295&amp;"|"&amp;$D2295)</f>
        <v/>
      </c>
      <c r="W2295">
        <f>IF($T2295="","",IF($X2295&gt;N($X2294),$X2295,""))</f>
        <v/>
      </c>
      <c r="X2295">
        <f>IF($T2295="",N($X2294),IF(MATCH($T2295,$T$6:$T$6005,0)=ROW()-5,N($X2294)+1,N($X2294)))</f>
        <v/>
      </c>
      <c r="Z2295">
        <f>IF($V2295="","",IF($AA2295&gt;N($AA2294),$AA2295,""))</f>
        <v/>
      </c>
      <c r="AA2295">
        <f>IF($V2295="",N($AA2294),IF(MATCH($V2295,$V$6:$V$6005,0)=ROW()-5,N($AA2294)+1,N($AA2294)))</f>
        <v/>
      </c>
    </row>
    <row r="2296" ht="21" customHeight="1" s="66">
      <c r="A2296" s="56" t="n"/>
      <c r="B2296" s="57" t="n"/>
      <c r="C2296" s="57" t="n"/>
      <c r="D2296" s="57" t="n"/>
      <c r="E2296" s="56" t="n"/>
      <c r="F2296" s="57" t="n"/>
      <c r="G2296" s="57" t="n"/>
      <c r="H2296" s="56" t="n"/>
      <c r="I2296" s="56" t="n"/>
      <c r="J2296" s="58" t="n"/>
      <c r="K2296" s="58" t="n"/>
      <c r="L2296" s="13">
        <f>IF(OR($A2296="",AND($J2296="",$K2296="")),"",ROUND(N($J2296)-N($K2296),2))</f>
        <v/>
      </c>
      <c r="M2296" s="13">
        <f>IF(OR($A2296="",AND($J2296="",$K2296="")),"",MIN($J2296,$K2296))</f>
        <v/>
      </c>
      <c r="Q2296">
        <f>IF($A2296="","",$D2296&amp;"("&amp;SUBSTITUTE($E2296," ","")&amp;")")</f>
        <v/>
      </c>
      <c r="R2296">
        <f>IF($A2296="","",$B2296&amp;" - "&amp;$C2296)</f>
        <v/>
      </c>
      <c r="S2296">
        <f>IF($A2296="","",$R2296&amp;"|"&amp;$Q2296)</f>
        <v/>
      </c>
      <c r="T2296">
        <f>IF($A2296="","",$S2296&amp;"|"&amp;$F2296)</f>
        <v/>
      </c>
      <c r="U2296">
        <f>IF($A2296="","",$R2296&amp;"("&amp;$E2296&amp;")")</f>
        <v/>
      </c>
      <c r="V2296">
        <f>IF($A2296="","",$F2296&amp;"|"&amp;$U2296&amp;"|"&amp;$D2296)</f>
        <v/>
      </c>
      <c r="W2296">
        <f>IF($T2296="","",IF($X2296&gt;N($X2295),$X2296,""))</f>
        <v/>
      </c>
      <c r="X2296">
        <f>IF($T2296="",N($X2295),IF(MATCH($T2296,$T$6:$T$6005,0)=ROW()-5,N($X2295)+1,N($X2295)))</f>
        <v/>
      </c>
      <c r="Z2296">
        <f>IF($V2296="","",IF($AA2296&gt;N($AA2295),$AA2296,""))</f>
        <v/>
      </c>
      <c r="AA2296">
        <f>IF($V2296="",N($AA2295),IF(MATCH($V2296,$V$6:$V$6005,0)=ROW()-5,N($AA2295)+1,N($AA2295)))</f>
        <v/>
      </c>
    </row>
    <row r="2297" ht="21" customHeight="1" s="66">
      <c r="A2297" s="56" t="n"/>
      <c r="B2297" s="57" t="n"/>
      <c r="C2297" s="57" t="n"/>
      <c r="D2297" s="57" t="n"/>
      <c r="E2297" s="56" t="n"/>
      <c r="F2297" s="57" t="n"/>
      <c r="G2297" s="57" t="n"/>
      <c r="H2297" s="56" t="n"/>
      <c r="I2297" s="56" t="n"/>
      <c r="J2297" s="58" t="n"/>
      <c r="K2297" s="58" t="n"/>
      <c r="L2297" s="13">
        <f>IF(OR($A2297="",AND($J2297="",$K2297="")),"",ROUND(N($J2297)-N($K2297),2))</f>
        <v/>
      </c>
      <c r="M2297" s="13">
        <f>IF(OR($A2297="",AND($J2297="",$K2297="")),"",MIN($J2297,$K2297))</f>
        <v/>
      </c>
      <c r="Q2297">
        <f>IF($A2297="","",$D2297&amp;"("&amp;SUBSTITUTE($E2297," ","")&amp;")")</f>
        <v/>
      </c>
      <c r="R2297">
        <f>IF($A2297="","",$B2297&amp;" - "&amp;$C2297)</f>
        <v/>
      </c>
      <c r="S2297">
        <f>IF($A2297="","",$R2297&amp;"|"&amp;$Q2297)</f>
        <v/>
      </c>
      <c r="T2297">
        <f>IF($A2297="","",$S2297&amp;"|"&amp;$F2297)</f>
        <v/>
      </c>
      <c r="U2297">
        <f>IF($A2297="","",$R2297&amp;"("&amp;$E2297&amp;")")</f>
        <v/>
      </c>
      <c r="V2297">
        <f>IF($A2297="","",$F2297&amp;"|"&amp;$U2297&amp;"|"&amp;$D2297)</f>
        <v/>
      </c>
      <c r="W2297">
        <f>IF($T2297="","",IF($X2297&gt;N($X2296),$X2297,""))</f>
        <v/>
      </c>
      <c r="X2297">
        <f>IF($T2297="",N($X2296),IF(MATCH($T2297,$T$6:$T$6005,0)=ROW()-5,N($X2296)+1,N($X2296)))</f>
        <v/>
      </c>
      <c r="Z2297">
        <f>IF($V2297="","",IF($AA2297&gt;N($AA2296),$AA2297,""))</f>
        <v/>
      </c>
      <c r="AA2297">
        <f>IF($V2297="",N($AA2296),IF(MATCH($V2297,$V$6:$V$6005,0)=ROW()-5,N($AA2296)+1,N($AA2296)))</f>
        <v/>
      </c>
    </row>
    <row r="2298" ht="21" customHeight="1" s="66">
      <c r="A2298" s="56" t="n"/>
      <c r="B2298" s="57" t="n"/>
      <c r="C2298" s="57" t="n"/>
      <c r="D2298" s="57" t="n"/>
      <c r="E2298" s="56" t="n"/>
      <c r="F2298" s="57" t="n"/>
      <c r="G2298" s="57" t="n"/>
      <c r="H2298" s="56" t="n"/>
      <c r="I2298" s="56" t="n"/>
      <c r="J2298" s="58" t="n"/>
      <c r="K2298" s="58" t="n"/>
      <c r="L2298" s="13">
        <f>IF(OR($A2298="",AND($J2298="",$K2298="")),"",ROUND(N($J2298)-N($K2298),2))</f>
        <v/>
      </c>
      <c r="M2298" s="13">
        <f>IF(OR($A2298="",AND($J2298="",$K2298="")),"",MIN($J2298,$K2298))</f>
        <v/>
      </c>
      <c r="Q2298">
        <f>IF($A2298="","",$D2298&amp;"("&amp;SUBSTITUTE($E2298," ","")&amp;")")</f>
        <v/>
      </c>
      <c r="R2298">
        <f>IF($A2298="","",$B2298&amp;" - "&amp;$C2298)</f>
        <v/>
      </c>
      <c r="S2298">
        <f>IF($A2298="","",$R2298&amp;"|"&amp;$Q2298)</f>
        <v/>
      </c>
      <c r="T2298">
        <f>IF($A2298="","",$S2298&amp;"|"&amp;$F2298)</f>
        <v/>
      </c>
      <c r="U2298">
        <f>IF($A2298="","",$R2298&amp;"("&amp;$E2298&amp;")")</f>
        <v/>
      </c>
      <c r="V2298">
        <f>IF($A2298="","",$F2298&amp;"|"&amp;$U2298&amp;"|"&amp;$D2298)</f>
        <v/>
      </c>
      <c r="W2298">
        <f>IF($T2298="","",IF($X2298&gt;N($X2297),$X2298,""))</f>
        <v/>
      </c>
      <c r="X2298">
        <f>IF($T2298="",N($X2297),IF(MATCH($T2298,$T$6:$T$6005,0)=ROW()-5,N($X2297)+1,N($X2297)))</f>
        <v/>
      </c>
      <c r="Z2298">
        <f>IF($V2298="","",IF($AA2298&gt;N($AA2297),$AA2298,""))</f>
        <v/>
      </c>
      <c r="AA2298">
        <f>IF($V2298="",N($AA2297),IF(MATCH($V2298,$V$6:$V$6005,0)=ROW()-5,N($AA2297)+1,N($AA2297)))</f>
        <v/>
      </c>
    </row>
    <row r="2299" ht="21" customHeight="1" s="66">
      <c r="A2299" s="56" t="n"/>
      <c r="B2299" s="57" t="n"/>
      <c r="C2299" s="57" t="n"/>
      <c r="D2299" s="57" t="n"/>
      <c r="E2299" s="56" t="n"/>
      <c r="F2299" s="57" t="n"/>
      <c r="G2299" s="57" t="n"/>
      <c r="H2299" s="56" t="n"/>
      <c r="I2299" s="56" t="n"/>
      <c r="J2299" s="58" t="n"/>
      <c r="K2299" s="58" t="n"/>
      <c r="L2299" s="13">
        <f>IF(OR($A2299="",AND($J2299="",$K2299="")),"",ROUND(N($J2299)-N($K2299),2))</f>
        <v/>
      </c>
      <c r="M2299" s="13">
        <f>IF(OR($A2299="",AND($J2299="",$K2299="")),"",MIN($J2299,$K2299))</f>
        <v/>
      </c>
      <c r="Q2299">
        <f>IF($A2299="","",$D2299&amp;"("&amp;SUBSTITUTE($E2299," ","")&amp;")")</f>
        <v/>
      </c>
      <c r="R2299">
        <f>IF($A2299="","",$B2299&amp;" - "&amp;$C2299)</f>
        <v/>
      </c>
      <c r="S2299">
        <f>IF($A2299="","",$R2299&amp;"|"&amp;$Q2299)</f>
        <v/>
      </c>
      <c r="T2299">
        <f>IF($A2299="","",$S2299&amp;"|"&amp;$F2299)</f>
        <v/>
      </c>
      <c r="U2299">
        <f>IF($A2299="","",$R2299&amp;"("&amp;$E2299&amp;")")</f>
        <v/>
      </c>
      <c r="V2299">
        <f>IF($A2299="","",$F2299&amp;"|"&amp;$U2299&amp;"|"&amp;$D2299)</f>
        <v/>
      </c>
      <c r="W2299">
        <f>IF($T2299="","",IF($X2299&gt;N($X2298),$X2299,""))</f>
        <v/>
      </c>
      <c r="X2299">
        <f>IF($T2299="",N($X2298),IF(MATCH($T2299,$T$6:$T$6005,0)=ROW()-5,N($X2298)+1,N($X2298)))</f>
        <v/>
      </c>
      <c r="Z2299">
        <f>IF($V2299="","",IF($AA2299&gt;N($AA2298),$AA2299,""))</f>
        <v/>
      </c>
      <c r="AA2299">
        <f>IF($V2299="",N($AA2298),IF(MATCH($V2299,$V$6:$V$6005,0)=ROW()-5,N($AA2298)+1,N($AA2298)))</f>
        <v/>
      </c>
    </row>
    <row r="2300" ht="21" customHeight="1" s="66">
      <c r="A2300" s="56" t="n"/>
      <c r="B2300" s="57" t="n"/>
      <c r="C2300" s="57" t="n"/>
      <c r="D2300" s="57" t="n"/>
      <c r="E2300" s="56" t="n"/>
      <c r="F2300" s="57" t="n"/>
      <c r="G2300" s="57" t="n"/>
      <c r="H2300" s="56" t="n"/>
      <c r="I2300" s="56" t="n"/>
      <c r="J2300" s="58" t="n"/>
      <c r="K2300" s="58" t="n"/>
      <c r="L2300" s="13">
        <f>IF(OR($A2300="",AND($J2300="",$K2300="")),"",ROUND(N($J2300)-N($K2300),2))</f>
        <v/>
      </c>
      <c r="M2300" s="13">
        <f>IF(OR($A2300="",AND($J2300="",$K2300="")),"",MIN($J2300,$K2300))</f>
        <v/>
      </c>
      <c r="Q2300">
        <f>IF($A2300="","",$D2300&amp;"("&amp;SUBSTITUTE($E2300," ","")&amp;")")</f>
        <v/>
      </c>
      <c r="R2300">
        <f>IF($A2300="","",$B2300&amp;" - "&amp;$C2300)</f>
        <v/>
      </c>
      <c r="S2300">
        <f>IF($A2300="","",$R2300&amp;"|"&amp;$Q2300)</f>
        <v/>
      </c>
      <c r="T2300">
        <f>IF($A2300="","",$S2300&amp;"|"&amp;$F2300)</f>
        <v/>
      </c>
      <c r="U2300">
        <f>IF($A2300="","",$R2300&amp;"("&amp;$E2300&amp;")")</f>
        <v/>
      </c>
      <c r="V2300">
        <f>IF($A2300="","",$F2300&amp;"|"&amp;$U2300&amp;"|"&amp;$D2300)</f>
        <v/>
      </c>
      <c r="W2300">
        <f>IF($T2300="","",IF($X2300&gt;N($X2299),$X2300,""))</f>
        <v/>
      </c>
      <c r="X2300">
        <f>IF($T2300="",N($X2299),IF(MATCH($T2300,$T$6:$T$6005,0)=ROW()-5,N($X2299)+1,N($X2299)))</f>
        <v/>
      </c>
      <c r="Z2300">
        <f>IF($V2300="","",IF($AA2300&gt;N($AA2299),$AA2300,""))</f>
        <v/>
      </c>
      <c r="AA2300">
        <f>IF($V2300="",N($AA2299),IF(MATCH($V2300,$V$6:$V$6005,0)=ROW()-5,N($AA2299)+1,N($AA2299)))</f>
        <v/>
      </c>
    </row>
    <row r="2301" ht="21" customHeight="1" s="66">
      <c r="A2301" s="56" t="n"/>
      <c r="B2301" s="57" t="n"/>
      <c r="C2301" s="57" t="n"/>
      <c r="D2301" s="57" t="n"/>
      <c r="E2301" s="56" t="n"/>
      <c r="F2301" s="57" t="n"/>
      <c r="G2301" s="57" t="n"/>
      <c r="H2301" s="56" t="n"/>
      <c r="I2301" s="56" t="n"/>
      <c r="J2301" s="58" t="n"/>
      <c r="K2301" s="58" t="n"/>
      <c r="L2301" s="13">
        <f>IF(OR($A2301="",AND($J2301="",$K2301="")),"",ROUND(N($J2301)-N($K2301),2))</f>
        <v/>
      </c>
      <c r="M2301" s="13">
        <f>IF(OR($A2301="",AND($J2301="",$K2301="")),"",MIN($J2301,$K2301))</f>
        <v/>
      </c>
      <c r="Q2301">
        <f>IF($A2301="","",$D2301&amp;"("&amp;SUBSTITUTE($E2301," ","")&amp;")")</f>
        <v/>
      </c>
      <c r="R2301">
        <f>IF($A2301="","",$B2301&amp;" - "&amp;$C2301)</f>
        <v/>
      </c>
      <c r="S2301">
        <f>IF($A2301="","",$R2301&amp;"|"&amp;$Q2301)</f>
        <v/>
      </c>
      <c r="T2301">
        <f>IF($A2301="","",$S2301&amp;"|"&amp;$F2301)</f>
        <v/>
      </c>
      <c r="U2301">
        <f>IF($A2301="","",$R2301&amp;"("&amp;$E2301&amp;")")</f>
        <v/>
      </c>
      <c r="V2301">
        <f>IF($A2301="","",$F2301&amp;"|"&amp;$U2301&amp;"|"&amp;$D2301)</f>
        <v/>
      </c>
      <c r="W2301">
        <f>IF($T2301="","",IF($X2301&gt;N($X2300),$X2301,""))</f>
        <v/>
      </c>
      <c r="X2301">
        <f>IF($T2301="",N($X2300),IF(MATCH($T2301,$T$6:$T$6005,0)=ROW()-5,N($X2300)+1,N($X2300)))</f>
        <v/>
      </c>
      <c r="Z2301">
        <f>IF($V2301="","",IF($AA2301&gt;N($AA2300),$AA2301,""))</f>
        <v/>
      </c>
      <c r="AA2301">
        <f>IF($V2301="",N($AA2300),IF(MATCH($V2301,$V$6:$V$6005,0)=ROW()-5,N($AA2300)+1,N($AA2300)))</f>
        <v/>
      </c>
    </row>
    <row r="2302" ht="21" customHeight="1" s="66">
      <c r="A2302" s="56" t="n"/>
      <c r="B2302" s="57" t="n"/>
      <c r="C2302" s="57" t="n"/>
      <c r="D2302" s="57" t="n"/>
      <c r="E2302" s="56" t="n"/>
      <c r="F2302" s="57" t="n"/>
      <c r="G2302" s="57" t="n"/>
      <c r="H2302" s="56" t="n"/>
      <c r="I2302" s="56" t="n"/>
      <c r="J2302" s="58" t="n"/>
      <c r="K2302" s="58" t="n"/>
      <c r="L2302" s="13">
        <f>IF(OR($A2302="",AND($J2302="",$K2302="")),"",ROUND(N($J2302)-N($K2302),2))</f>
        <v/>
      </c>
      <c r="M2302" s="13">
        <f>IF(OR($A2302="",AND($J2302="",$K2302="")),"",MIN($J2302,$K2302))</f>
        <v/>
      </c>
      <c r="Q2302">
        <f>IF($A2302="","",$D2302&amp;"("&amp;SUBSTITUTE($E2302," ","")&amp;")")</f>
        <v/>
      </c>
      <c r="R2302">
        <f>IF($A2302="","",$B2302&amp;" - "&amp;$C2302)</f>
        <v/>
      </c>
      <c r="S2302">
        <f>IF($A2302="","",$R2302&amp;"|"&amp;$Q2302)</f>
        <v/>
      </c>
      <c r="T2302">
        <f>IF($A2302="","",$S2302&amp;"|"&amp;$F2302)</f>
        <v/>
      </c>
      <c r="U2302">
        <f>IF($A2302="","",$R2302&amp;"("&amp;$E2302&amp;")")</f>
        <v/>
      </c>
      <c r="V2302">
        <f>IF($A2302="","",$F2302&amp;"|"&amp;$U2302&amp;"|"&amp;$D2302)</f>
        <v/>
      </c>
      <c r="W2302">
        <f>IF($T2302="","",IF($X2302&gt;N($X2301),$X2302,""))</f>
        <v/>
      </c>
      <c r="X2302">
        <f>IF($T2302="",N($X2301),IF(MATCH($T2302,$T$6:$T$6005,0)=ROW()-5,N($X2301)+1,N($X2301)))</f>
        <v/>
      </c>
      <c r="Z2302">
        <f>IF($V2302="","",IF($AA2302&gt;N($AA2301),$AA2302,""))</f>
        <v/>
      </c>
      <c r="AA2302">
        <f>IF($V2302="",N($AA2301),IF(MATCH($V2302,$V$6:$V$6005,0)=ROW()-5,N($AA2301)+1,N($AA2301)))</f>
        <v/>
      </c>
    </row>
    <row r="2303" ht="21" customHeight="1" s="66">
      <c r="A2303" s="56" t="n"/>
      <c r="B2303" s="57" t="n"/>
      <c r="C2303" s="57" t="n"/>
      <c r="D2303" s="57" t="n"/>
      <c r="E2303" s="56" t="n"/>
      <c r="F2303" s="57" t="n"/>
      <c r="G2303" s="57" t="n"/>
      <c r="H2303" s="56" t="n"/>
      <c r="I2303" s="56" t="n"/>
      <c r="J2303" s="58" t="n"/>
      <c r="K2303" s="58" t="n"/>
      <c r="L2303" s="13">
        <f>IF(OR($A2303="",AND($J2303="",$K2303="")),"",ROUND(N($J2303)-N($K2303),2))</f>
        <v/>
      </c>
      <c r="M2303" s="13">
        <f>IF(OR($A2303="",AND($J2303="",$K2303="")),"",MIN($J2303,$K2303))</f>
        <v/>
      </c>
      <c r="Q2303">
        <f>IF($A2303="","",$D2303&amp;"("&amp;SUBSTITUTE($E2303," ","")&amp;")")</f>
        <v/>
      </c>
      <c r="R2303">
        <f>IF($A2303="","",$B2303&amp;" - "&amp;$C2303)</f>
        <v/>
      </c>
      <c r="S2303">
        <f>IF($A2303="","",$R2303&amp;"|"&amp;$Q2303)</f>
        <v/>
      </c>
      <c r="T2303">
        <f>IF($A2303="","",$S2303&amp;"|"&amp;$F2303)</f>
        <v/>
      </c>
      <c r="U2303">
        <f>IF($A2303="","",$R2303&amp;"("&amp;$E2303&amp;")")</f>
        <v/>
      </c>
      <c r="V2303">
        <f>IF($A2303="","",$F2303&amp;"|"&amp;$U2303&amp;"|"&amp;$D2303)</f>
        <v/>
      </c>
      <c r="W2303">
        <f>IF($T2303="","",IF($X2303&gt;N($X2302),$X2303,""))</f>
        <v/>
      </c>
      <c r="X2303">
        <f>IF($T2303="",N($X2302),IF(MATCH($T2303,$T$6:$T$6005,0)=ROW()-5,N($X2302)+1,N($X2302)))</f>
        <v/>
      </c>
      <c r="Z2303">
        <f>IF($V2303="","",IF($AA2303&gt;N($AA2302),$AA2303,""))</f>
        <v/>
      </c>
      <c r="AA2303">
        <f>IF($V2303="",N($AA2302),IF(MATCH($V2303,$V$6:$V$6005,0)=ROW()-5,N($AA2302)+1,N($AA2302)))</f>
        <v/>
      </c>
    </row>
    <row r="2304" ht="21" customHeight="1" s="66">
      <c r="A2304" s="56" t="n"/>
      <c r="B2304" s="57" t="n"/>
      <c r="C2304" s="57" t="n"/>
      <c r="D2304" s="57" t="n"/>
      <c r="E2304" s="56" t="n"/>
      <c r="F2304" s="57" t="n"/>
      <c r="G2304" s="57" t="n"/>
      <c r="H2304" s="56" t="n"/>
      <c r="I2304" s="56" t="n"/>
      <c r="J2304" s="58" t="n"/>
      <c r="K2304" s="58" t="n"/>
      <c r="L2304" s="13">
        <f>IF(OR($A2304="",AND($J2304="",$K2304="")),"",ROUND(N($J2304)-N($K2304),2))</f>
        <v/>
      </c>
      <c r="M2304" s="13">
        <f>IF(OR($A2304="",AND($J2304="",$K2304="")),"",MIN($J2304,$K2304))</f>
        <v/>
      </c>
      <c r="Q2304">
        <f>IF($A2304="","",$D2304&amp;"("&amp;SUBSTITUTE($E2304," ","")&amp;")")</f>
        <v/>
      </c>
      <c r="R2304">
        <f>IF($A2304="","",$B2304&amp;" - "&amp;$C2304)</f>
        <v/>
      </c>
      <c r="S2304">
        <f>IF($A2304="","",$R2304&amp;"|"&amp;$Q2304)</f>
        <v/>
      </c>
      <c r="T2304">
        <f>IF($A2304="","",$S2304&amp;"|"&amp;$F2304)</f>
        <v/>
      </c>
      <c r="U2304">
        <f>IF($A2304="","",$R2304&amp;"("&amp;$E2304&amp;")")</f>
        <v/>
      </c>
      <c r="V2304">
        <f>IF($A2304="","",$F2304&amp;"|"&amp;$U2304&amp;"|"&amp;$D2304)</f>
        <v/>
      </c>
      <c r="W2304">
        <f>IF($T2304="","",IF($X2304&gt;N($X2303),$X2304,""))</f>
        <v/>
      </c>
      <c r="X2304">
        <f>IF($T2304="",N($X2303),IF(MATCH($T2304,$T$6:$T$6005,0)=ROW()-5,N($X2303)+1,N($X2303)))</f>
        <v/>
      </c>
      <c r="Z2304">
        <f>IF($V2304="","",IF($AA2304&gt;N($AA2303),$AA2304,""))</f>
        <v/>
      </c>
      <c r="AA2304">
        <f>IF($V2304="",N($AA2303),IF(MATCH($V2304,$V$6:$V$6005,0)=ROW()-5,N($AA2303)+1,N($AA2303)))</f>
        <v/>
      </c>
    </row>
    <row r="2305" ht="21" customHeight="1" s="66">
      <c r="A2305" s="56" t="n"/>
      <c r="B2305" s="57" t="n"/>
      <c r="C2305" s="57" t="n"/>
      <c r="D2305" s="57" t="n"/>
      <c r="E2305" s="56" t="n"/>
      <c r="F2305" s="57" t="n"/>
      <c r="G2305" s="57" t="n"/>
      <c r="H2305" s="56" t="n"/>
      <c r="I2305" s="56" t="n"/>
      <c r="J2305" s="58" t="n"/>
      <c r="K2305" s="58" t="n"/>
      <c r="L2305" s="13">
        <f>IF(OR($A2305="",AND($J2305="",$K2305="")),"",ROUND(N($J2305)-N($K2305),2))</f>
        <v/>
      </c>
      <c r="M2305" s="13">
        <f>IF(OR($A2305="",AND($J2305="",$K2305="")),"",MIN($J2305,$K2305))</f>
        <v/>
      </c>
      <c r="Q2305">
        <f>IF($A2305="","",$D2305&amp;"("&amp;SUBSTITUTE($E2305," ","")&amp;")")</f>
        <v/>
      </c>
      <c r="R2305">
        <f>IF($A2305="","",$B2305&amp;" - "&amp;$C2305)</f>
        <v/>
      </c>
      <c r="S2305">
        <f>IF($A2305="","",$R2305&amp;"|"&amp;$Q2305)</f>
        <v/>
      </c>
      <c r="T2305">
        <f>IF($A2305="","",$S2305&amp;"|"&amp;$F2305)</f>
        <v/>
      </c>
      <c r="U2305">
        <f>IF($A2305="","",$R2305&amp;"("&amp;$E2305&amp;")")</f>
        <v/>
      </c>
      <c r="V2305">
        <f>IF($A2305="","",$F2305&amp;"|"&amp;$U2305&amp;"|"&amp;$D2305)</f>
        <v/>
      </c>
      <c r="W2305">
        <f>IF($T2305="","",IF($X2305&gt;N($X2304),$X2305,""))</f>
        <v/>
      </c>
      <c r="X2305">
        <f>IF($T2305="",N($X2304),IF(MATCH($T2305,$T$6:$T$6005,0)=ROW()-5,N($X2304)+1,N($X2304)))</f>
        <v/>
      </c>
      <c r="Z2305">
        <f>IF($V2305="","",IF($AA2305&gt;N($AA2304),$AA2305,""))</f>
        <v/>
      </c>
      <c r="AA2305">
        <f>IF($V2305="",N($AA2304),IF(MATCH($V2305,$V$6:$V$6005,0)=ROW()-5,N($AA2304)+1,N($AA2304)))</f>
        <v/>
      </c>
    </row>
    <row r="2306" ht="21" customHeight="1" s="66">
      <c r="A2306" s="56" t="n"/>
      <c r="B2306" s="57" t="n"/>
      <c r="C2306" s="57" t="n"/>
      <c r="D2306" s="57" t="n"/>
      <c r="E2306" s="56" t="n"/>
      <c r="F2306" s="57" t="n"/>
      <c r="G2306" s="57" t="n"/>
      <c r="H2306" s="56" t="n"/>
      <c r="I2306" s="56" t="n"/>
      <c r="J2306" s="58" t="n"/>
      <c r="K2306" s="58" t="n"/>
      <c r="L2306" s="13">
        <f>IF(OR($A2306="",AND($J2306="",$K2306="")),"",ROUND(N($J2306)-N($K2306),2))</f>
        <v/>
      </c>
      <c r="M2306" s="13">
        <f>IF(OR($A2306="",AND($J2306="",$K2306="")),"",MIN($J2306,$K2306))</f>
        <v/>
      </c>
      <c r="Q2306">
        <f>IF($A2306="","",$D2306&amp;"("&amp;SUBSTITUTE($E2306," ","")&amp;")")</f>
        <v/>
      </c>
      <c r="R2306">
        <f>IF($A2306="","",$B2306&amp;" - "&amp;$C2306)</f>
        <v/>
      </c>
      <c r="S2306">
        <f>IF($A2306="","",$R2306&amp;"|"&amp;$Q2306)</f>
        <v/>
      </c>
      <c r="T2306">
        <f>IF($A2306="","",$S2306&amp;"|"&amp;$F2306)</f>
        <v/>
      </c>
      <c r="U2306">
        <f>IF($A2306="","",$R2306&amp;"("&amp;$E2306&amp;")")</f>
        <v/>
      </c>
      <c r="V2306">
        <f>IF($A2306="","",$F2306&amp;"|"&amp;$U2306&amp;"|"&amp;$D2306)</f>
        <v/>
      </c>
      <c r="W2306">
        <f>IF($T2306="","",IF($X2306&gt;N($X2305),$X2306,""))</f>
        <v/>
      </c>
      <c r="X2306">
        <f>IF($T2306="",N($X2305),IF(MATCH($T2306,$T$6:$T$6005,0)=ROW()-5,N($X2305)+1,N($X2305)))</f>
        <v/>
      </c>
      <c r="Z2306">
        <f>IF($V2306="","",IF($AA2306&gt;N($AA2305),$AA2306,""))</f>
        <v/>
      </c>
      <c r="AA2306">
        <f>IF($V2306="",N($AA2305),IF(MATCH($V2306,$V$6:$V$6005,0)=ROW()-5,N($AA2305)+1,N($AA2305)))</f>
        <v/>
      </c>
    </row>
    <row r="2307" ht="21" customHeight="1" s="66">
      <c r="A2307" s="56" t="n"/>
      <c r="B2307" s="57" t="n"/>
      <c r="C2307" s="57" t="n"/>
      <c r="D2307" s="57" t="n"/>
      <c r="E2307" s="56" t="n"/>
      <c r="F2307" s="57" t="n"/>
      <c r="G2307" s="57" t="n"/>
      <c r="H2307" s="56" t="n"/>
      <c r="I2307" s="56" t="n"/>
      <c r="J2307" s="58" t="n"/>
      <c r="K2307" s="58" t="n"/>
      <c r="L2307" s="13">
        <f>IF(OR($A2307="",AND($J2307="",$K2307="")),"",ROUND(N($J2307)-N($K2307),2))</f>
        <v/>
      </c>
      <c r="M2307" s="13">
        <f>IF(OR($A2307="",AND($J2307="",$K2307="")),"",MIN($J2307,$K2307))</f>
        <v/>
      </c>
      <c r="Q2307">
        <f>IF($A2307="","",$D2307&amp;"("&amp;SUBSTITUTE($E2307," ","")&amp;")")</f>
        <v/>
      </c>
      <c r="R2307">
        <f>IF($A2307="","",$B2307&amp;" - "&amp;$C2307)</f>
        <v/>
      </c>
      <c r="S2307">
        <f>IF($A2307="","",$R2307&amp;"|"&amp;$Q2307)</f>
        <v/>
      </c>
      <c r="T2307">
        <f>IF($A2307="","",$S2307&amp;"|"&amp;$F2307)</f>
        <v/>
      </c>
      <c r="U2307">
        <f>IF($A2307="","",$R2307&amp;"("&amp;$E2307&amp;")")</f>
        <v/>
      </c>
      <c r="V2307">
        <f>IF($A2307="","",$F2307&amp;"|"&amp;$U2307&amp;"|"&amp;$D2307)</f>
        <v/>
      </c>
      <c r="W2307">
        <f>IF($T2307="","",IF($X2307&gt;N($X2306),$X2307,""))</f>
        <v/>
      </c>
      <c r="X2307">
        <f>IF($T2307="",N($X2306),IF(MATCH($T2307,$T$6:$T$6005,0)=ROW()-5,N($X2306)+1,N($X2306)))</f>
        <v/>
      </c>
      <c r="Z2307">
        <f>IF($V2307="","",IF($AA2307&gt;N($AA2306),$AA2307,""))</f>
        <v/>
      </c>
      <c r="AA2307">
        <f>IF($V2307="",N($AA2306),IF(MATCH($V2307,$V$6:$V$6005,0)=ROW()-5,N($AA2306)+1,N($AA2306)))</f>
        <v/>
      </c>
    </row>
    <row r="2308" ht="21" customHeight="1" s="66">
      <c r="A2308" s="56" t="n"/>
      <c r="B2308" s="57" t="n"/>
      <c r="C2308" s="57" t="n"/>
      <c r="D2308" s="57" t="n"/>
      <c r="E2308" s="56" t="n"/>
      <c r="F2308" s="57" t="n"/>
      <c r="G2308" s="57" t="n"/>
      <c r="H2308" s="56" t="n"/>
      <c r="I2308" s="56" t="n"/>
      <c r="J2308" s="58" t="n"/>
      <c r="K2308" s="58" t="n"/>
      <c r="L2308" s="13">
        <f>IF(OR($A2308="",AND($J2308="",$K2308="")),"",ROUND(N($J2308)-N($K2308),2))</f>
        <v/>
      </c>
      <c r="M2308" s="13">
        <f>IF(OR($A2308="",AND($J2308="",$K2308="")),"",MIN($J2308,$K2308))</f>
        <v/>
      </c>
      <c r="Q2308">
        <f>IF($A2308="","",$D2308&amp;"("&amp;SUBSTITUTE($E2308," ","")&amp;")")</f>
        <v/>
      </c>
      <c r="R2308">
        <f>IF($A2308="","",$B2308&amp;" - "&amp;$C2308)</f>
        <v/>
      </c>
      <c r="S2308">
        <f>IF($A2308="","",$R2308&amp;"|"&amp;$Q2308)</f>
        <v/>
      </c>
      <c r="T2308">
        <f>IF($A2308="","",$S2308&amp;"|"&amp;$F2308)</f>
        <v/>
      </c>
      <c r="U2308">
        <f>IF($A2308="","",$R2308&amp;"("&amp;$E2308&amp;")")</f>
        <v/>
      </c>
      <c r="V2308">
        <f>IF($A2308="","",$F2308&amp;"|"&amp;$U2308&amp;"|"&amp;$D2308)</f>
        <v/>
      </c>
      <c r="W2308">
        <f>IF($T2308="","",IF($X2308&gt;N($X2307),$X2308,""))</f>
        <v/>
      </c>
      <c r="X2308">
        <f>IF($T2308="",N($X2307),IF(MATCH($T2308,$T$6:$T$6005,0)=ROW()-5,N($X2307)+1,N($X2307)))</f>
        <v/>
      </c>
      <c r="Z2308">
        <f>IF($V2308="","",IF($AA2308&gt;N($AA2307),$AA2308,""))</f>
        <v/>
      </c>
      <c r="AA2308">
        <f>IF($V2308="",N($AA2307),IF(MATCH($V2308,$V$6:$V$6005,0)=ROW()-5,N($AA2307)+1,N($AA2307)))</f>
        <v/>
      </c>
    </row>
    <row r="2309" ht="21" customHeight="1" s="66">
      <c r="A2309" s="56" t="n"/>
      <c r="B2309" s="57" t="n"/>
      <c r="C2309" s="57" t="n"/>
      <c r="D2309" s="57" t="n"/>
      <c r="E2309" s="56" t="n"/>
      <c r="F2309" s="57" t="n"/>
      <c r="G2309" s="57" t="n"/>
      <c r="H2309" s="56" t="n"/>
      <c r="I2309" s="56" t="n"/>
      <c r="J2309" s="58" t="n"/>
      <c r="K2309" s="58" t="n"/>
      <c r="L2309" s="13">
        <f>IF(OR($A2309="",AND($J2309="",$K2309="")),"",ROUND(N($J2309)-N($K2309),2))</f>
        <v/>
      </c>
      <c r="M2309" s="13">
        <f>IF(OR($A2309="",AND($J2309="",$K2309="")),"",MIN($J2309,$K2309))</f>
        <v/>
      </c>
      <c r="Q2309">
        <f>IF($A2309="","",$D2309&amp;"("&amp;SUBSTITUTE($E2309," ","")&amp;")")</f>
        <v/>
      </c>
      <c r="R2309">
        <f>IF($A2309="","",$B2309&amp;" - "&amp;$C2309)</f>
        <v/>
      </c>
      <c r="S2309">
        <f>IF($A2309="","",$R2309&amp;"|"&amp;$Q2309)</f>
        <v/>
      </c>
      <c r="T2309">
        <f>IF($A2309="","",$S2309&amp;"|"&amp;$F2309)</f>
        <v/>
      </c>
      <c r="U2309">
        <f>IF($A2309="","",$R2309&amp;"("&amp;$E2309&amp;")")</f>
        <v/>
      </c>
      <c r="V2309">
        <f>IF($A2309="","",$F2309&amp;"|"&amp;$U2309&amp;"|"&amp;$D2309)</f>
        <v/>
      </c>
      <c r="W2309">
        <f>IF($T2309="","",IF($X2309&gt;N($X2308),$X2309,""))</f>
        <v/>
      </c>
      <c r="X2309">
        <f>IF($T2309="",N($X2308),IF(MATCH($T2309,$T$6:$T$6005,0)=ROW()-5,N($X2308)+1,N($X2308)))</f>
        <v/>
      </c>
      <c r="Z2309">
        <f>IF($V2309="","",IF($AA2309&gt;N($AA2308),$AA2309,""))</f>
        <v/>
      </c>
      <c r="AA2309">
        <f>IF($V2309="",N($AA2308),IF(MATCH($V2309,$V$6:$V$6005,0)=ROW()-5,N($AA2308)+1,N($AA2308)))</f>
        <v/>
      </c>
    </row>
    <row r="2310" ht="21" customHeight="1" s="66">
      <c r="A2310" s="56" t="n"/>
      <c r="B2310" s="57" t="n"/>
      <c r="C2310" s="57" t="n"/>
      <c r="D2310" s="57" t="n"/>
      <c r="E2310" s="56" t="n"/>
      <c r="F2310" s="57" t="n"/>
      <c r="G2310" s="57" t="n"/>
      <c r="H2310" s="56" t="n"/>
      <c r="I2310" s="56" t="n"/>
      <c r="J2310" s="58" t="n"/>
      <c r="K2310" s="58" t="n"/>
      <c r="L2310" s="13">
        <f>IF(OR($A2310="",AND($J2310="",$K2310="")),"",ROUND(N($J2310)-N($K2310),2))</f>
        <v/>
      </c>
      <c r="M2310" s="13">
        <f>IF(OR($A2310="",AND($J2310="",$K2310="")),"",MIN($J2310,$K2310))</f>
        <v/>
      </c>
      <c r="Q2310">
        <f>IF($A2310="","",$D2310&amp;"("&amp;SUBSTITUTE($E2310," ","")&amp;")")</f>
        <v/>
      </c>
      <c r="R2310">
        <f>IF($A2310="","",$B2310&amp;" - "&amp;$C2310)</f>
        <v/>
      </c>
      <c r="S2310">
        <f>IF($A2310="","",$R2310&amp;"|"&amp;$Q2310)</f>
        <v/>
      </c>
      <c r="T2310">
        <f>IF($A2310="","",$S2310&amp;"|"&amp;$F2310)</f>
        <v/>
      </c>
      <c r="U2310">
        <f>IF($A2310="","",$R2310&amp;"("&amp;$E2310&amp;")")</f>
        <v/>
      </c>
      <c r="V2310">
        <f>IF($A2310="","",$F2310&amp;"|"&amp;$U2310&amp;"|"&amp;$D2310)</f>
        <v/>
      </c>
      <c r="W2310">
        <f>IF($T2310="","",IF($X2310&gt;N($X2309),$X2310,""))</f>
        <v/>
      </c>
      <c r="X2310">
        <f>IF($T2310="",N($X2309),IF(MATCH($T2310,$T$6:$T$6005,0)=ROW()-5,N($X2309)+1,N($X2309)))</f>
        <v/>
      </c>
      <c r="Z2310">
        <f>IF($V2310="","",IF($AA2310&gt;N($AA2309),$AA2310,""))</f>
        <v/>
      </c>
      <c r="AA2310">
        <f>IF($V2310="",N($AA2309),IF(MATCH($V2310,$V$6:$V$6005,0)=ROW()-5,N($AA2309)+1,N($AA2309)))</f>
        <v/>
      </c>
    </row>
    <row r="2311" ht="21" customHeight="1" s="66">
      <c r="A2311" s="56" t="n"/>
      <c r="B2311" s="57" t="n"/>
      <c r="C2311" s="57" t="n"/>
      <c r="D2311" s="57" t="n"/>
      <c r="E2311" s="56" t="n"/>
      <c r="F2311" s="57" t="n"/>
      <c r="G2311" s="57" t="n"/>
      <c r="H2311" s="56" t="n"/>
      <c r="I2311" s="56" t="n"/>
      <c r="J2311" s="58" t="n"/>
      <c r="K2311" s="58" t="n"/>
      <c r="L2311" s="13">
        <f>IF(OR($A2311="",AND($J2311="",$K2311="")),"",ROUND(N($J2311)-N($K2311),2))</f>
        <v/>
      </c>
      <c r="M2311" s="13">
        <f>IF(OR($A2311="",AND($J2311="",$K2311="")),"",MIN($J2311,$K2311))</f>
        <v/>
      </c>
      <c r="Q2311">
        <f>IF($A2311="","",$D2311&amp;"("&amp;SUBSTITUTE($E2311," ","")&amp;")")</f>
        <v/>
      </c>
      <c r="R2311">
        <f>IF($A2311="","",$B2311&amp;" - "&amp;$C2311)</f>
        <v/>
      </c>
      <c r="S2311">
        <f>IF($A2311="","",$R2311&amp;"|"&amp;$Q2311)</f>
        <v/>
      </c>
      <c r="T2311">
        <f>IF($A2311="","",$S2311&amp;"|"&amp;$F2311)</f>
        <v/>
      </c>
      <c r="U2311">
        <f>IF($A2311="","",$R2311&amp;"("&amp;$E2311&amp;")")</f>
        <v/>
      </c>
      <c r="V2311">
        <f>IF($A2311="","",$F2311&amp;"|"&amp;$U2311&amp;"|"&amp;$D2311)</f>
        <v/>
      </c>
      <c r="W2311">
        <f>IF($T2311="","",IF($X2311&gt;N($X2310),$X2311,""))</f>
        <v/>
      </c>
      <c r="X2311">
        <f>IF($T2311="",N($X2310),IF(MATCH($T2311,$T$6:$T$6005,0)=ROW()-5,N($X2310)+1,N($X2310)))</f>
        <v/>
      </c>
      <c r="Z2311">
        <f>IF($V2311="","",IF($AA2311&gt;N($AA2310),$AA2311,""))</f>
        <v/>
      </c>
      <c r="AA2311">
        <f>IF($V2311="",N($AA2310),IF(MATCH($V2311,$V$6:$V$6005,0)=ROW()-5,N($AA2310)+1,N($AA2310)))</f>
        <v/>
      </c>
    </row>
    <row r="2312" ht="21" customHeight="1" s="66">
      <c r="A2312" s="56" t="n"/>
      <c r="B2312" s="57" t="n"/>
      <c r="C2312" s="57" t="n"/>
      <c r="D2312" s="57" t="n"/>
      <c r="E2312" s="56" t="n"/>
      <c r="F2312" s="57" t="n"/>
      <c r="G2312" s="57" t="n"/>
      <c r="H2312" s="56" t="n"/>
      <c r="I2312" s="56" t="n"/>
      <c r="J2312" s="58" t="n"/>
      <c r="K2312" s="58" t="n"/>
      <c r="L2312" s="13">
        <f>IF(OR($A2312="",AND($J2312="",$K2312="")),"",ROUND(N($J2312)-N($K2312),2))</f>
        <v/>
      </c>
      <c r="M2312" s="13">
        <f>IF(OR($A2312="",AND($J2312="",$K2312="")),"",MIN($J2312,$K2312))</f>
        <v/>
      </c>
      <c r="Q2312">
        <f>IF($A2312="","",$D2312&amp;"("&amp;SUBSTITUTE($E2312," ","")&amp;")")</f>
        <v/>
      </c>
      <c r="R2312">
        <f>IF($A2312="","",$B2312&amp;" - "&amp;$C2312)</f>
        <v/>
      </c>
      <c r="S2312">
        <f>IF($A2312="","",$R2312&amp;"|"&amp;$Q2312)</f>
        <v/>
      </c>
      <c r="T2312">
        <f>IF($A2312="","",$S2312&amp;"|"&amp;$F2312)</f>
        <v/>
      </c>
      <c r="U2312">
        <f>IF($A2312="","",$R2312&amp;"("&amp;$E2312&amp;")")</f>
        <v/>
      </c>
      <c r="V2312">
        <f>IF($A2312="","",$F2312&amp;"|"&amp;$U2312&amp;"|"&amp;$D2312)</f>
        <v/>
      </c>
      <c r="W2312">
        <f>IF($T2312="","",IF($X2312&gt;N($X2311),$X2312,""))</f>
        <v/>
      </c>
      <c r="X2312">
        <f>IF($T2312="",N($X2311),IF(MATCH($T2312,$T$6:$T$6005,0)=ROW()-5,N($X2311)+1,N($X2311)))</f>
        <v/>
      </c>
      <c r="Z2312">
        <f>IF($V2312="","",IF($AA2312&gt;N($AA2311),$AA2312,""))</f>
        <v/>
      </c>
      <c r="AA2312">
        <f>IF($V2312="",N($AA2311),IF(MATCH($V2312,$V$6:$V$6005,0)=ROW()-5,N($AA2311)+1,N($AA2311)))</f>
        <v/>
      </c>
    </row>
    <row r="2313" ht="21" customHeight="1" s="66">
      <c r="A2313" s="56" t="n"/>
      <c r="B2313" s="57" t="n"/>
      <c r="C2313" s="57" t="n"/>
      <c r="D2313" s="57" t="n"/>
      <c r="E2313" s="56" t="n"/>
      <c r="F2313" s="57" t="n"/>
      <c r="G2313" s="57" t="n"/>
      <c r="H2313" s="56" t="n"/>
      <c r="I2313" s="56" t="n"/>
      <c r="J2313" s="58" t="n"/>
      <c r="K2313" s="58" t="n"/>
      <c r="L2313" s="13">
        <f>IF(OR($A2313="",AND($J2313="",$K2313="")),"",ROUND(N($J2313)-N($K2313),2))</f>
        <v/>
      </c>
      <c r="M2313" s="13">
        <f>IF(OR($A2313="",AND($J2313="",$K2313="")),"",MIN($J2313,$K2313))</f>
        <v/>
      </c>
      <c r="Q2313">
        <f>IF($A2313="","",$D2313&amp;"("&amp;SUBSTITUTE($E2313," ","")&amp;")")</f>
        <v/>
      </c>
      <c r="R2313">
        <f>IF($A2313="","",$B2313&amp;" - "&amp;$C2313)</f>
        <v/>
      </c>
      <c r="S2313">
        <f>IF($A2313="","",$R2313&amp;"|"&amp;$Q2313)</f>
        <v/>
      </c>
      <c r="T2313">
        <f>IF($A2313="","",$S2313&amp;"|"&amp;$F2313)</f>
        <v/>
      </c>
      <c r="U2313">
        <f>IF($A2313="","",$R2313&amp;"("&amp;$E2313&amp;")")</f>
        <v/>
      </c>
      <c r="V2313">
        <f>IF($A2313="","",$F2313&amp;"|"&amp;$U2313&amp;"|"&amp;$D2313)</f>
        <v/>
      </c>
      <c r="W2313">
        <f>IF($T2313="","",IF($X2313&gt;N($X2312),$X2313,""))</f>
        <v/>
      </c>
      <c r="X2313">
        <f>IF($T2313="",N($X2312),IF(MATCH($T2313,$T$6:$T$6005,0)=ROW()-5,N($X2312)+1,N($X2312)))</f>
        <v/>
      </c>
      <c r="Z2313">
        <f>IF($V2313="","",IF($AA2313&gt;N($AA2312),$AA2313,""))</f>
        <v/>
      </c>
      <c r="AA2313">
        <f>IF($V2313="",N($AA2312),IF(MATCH($V2313,$V$6:$V$6005,0)=ROW()-5,N($AA2312)+1,N($AA2312)))</f>
        <v/>
      </c>
    </row>
    <row r="2314" ht="21" customHeight="1" s="66">
      <c r="A2314" s="56" t="n"/>
      <c r="B2314" s="57" t="n"/>
      <c r="C2314" s="57" t="n"/>
      <c r="D2314" s="57" t="n"/>
      <c r="E2314" s="56" t="n"/>
      <c r="F2314" s="57" t="n"/>
      <c r="G2314" s="57" t="n"/>
      <c r="H2314" s="56" t="n"/>
      <c r="I2314" s="56" t="n"/>
      <c r="J2314" s="58" t="n"/>
      <c r="K2314" s="58" t="n"/>
      <c r="L2314" s="13">
        <f>IF(OR($A2314="",AND($J2314="",$K2314="")),"",ROUND(N($J2314)-N($K2314),2))</f>
        <v/>
      </c>
      <c r="M2314" s="13">
        <f>IF(OR($A2314="",AND($J2314="",$K2314="")),"",MIN($J2314,$K2314))</f>
        <v/>
      </c>
      <c r="Q2314">
        <f>IF($A2314="","",$D2314&amp;"("&amp;SUBSTITUTE($E2314," ","")&amp;")")</f>
        <v/>
      </c>
      <c r="R2314">
        <f>IF($A2314="","",$B2314&amp;" - "&amp;$C2314)</f>
        <v/>
      </c>
      <c r="S2314">
        <f>IF($A2314="","",$R2314&amp;"|"&amp;$Q2314)</f>
        <v/>
      </c>
      <c r="T2314">
        <f>IF($A2314="","",$S2314&amp;"|"&amp;$F2314)</f>
        <v/>
      </c>
      <c r="U2314">
        <f>IF($A2314="","",$R2314&amp;"("&amp;$E2314&amp;")")</f>
        <v/>
      </c>
      <c r="V2314">
        <f>IF($A2314="","",$F2314&amp;"|"&amp;$U2314&amp;"|"&amp;$D2314)</f>
        <v/>
      </c>
      <c r="W2314">
        <f>IF($T2314="","",IF($X2314&gt;N($X2313),$X2314,""))</f>
        <v/>
      </c>
      <c r="X2314">
        <f>IF($T2314="",N($X2313),IF(MATCH($T2314,$T$6:$T$6005,0)=ROW()-5,N($X2313)+1,N($X2313)))</f>
        <v/>
      </c>
      <c r="Z2314">
        <f>IF($V2314="","",IF($AA2314&gt;N($AA2313),$AA2314,""))</f>
        <v/>
      </c>
      <c r="AA2314">
        <f>IF($V2314="",N($AA2313),IF(MATCH($V2314,$V$6:$V$6005,0)=ROW()-5,N($AA2313)+1,N($AA2313)))</f>
        <v/>
      </c>
    </row>
    <row r="2315" ht="21" customHeight="1" s="66">
      <c r="A2315" s="56" t="n"/>
      <c r="B2315" s="57" t="n"/>
      <c r="C2315" s="57" t="n"/>
      <c r="D2315" s="57" t="n"/>
      <c r="E2315" s="56" t="n"/>
      <c r="F2315" s="57" t="n"/>
      <c r="G2315" s="57" t="n"/>
      <c r="H2315" s="56" t="n"/>
      <c r="I2315" s="56" t="n"/>
      <c r="J2315" s="58" t="n"/>
      <c r="K2315" s="58" t="n"/>
      <c r="L2315" s="13">
        <f>IF(OR($A2315="",AND($J2315="",$K2315="")),"",ROUND(N($J2315)-N($K2315),2))</f>
        <v/>
      </c>
      <c r="M2315" s="13">
        <f>IF(OR($A2315="",AND($J2315="",$K2315="")),"",MIN($J2315,$K2315))</f>
        <v/>
      </c>
      <c r="Q2315">
        <f>IF($A2315="","",$D2315&amp;"("&amp;SUBSTITUTE($E2315," ","")&amp;")")</f>
        <v/>
      </c>
      <c r="R2315">
        <f>IF($A2315="","",$B2315&amp;" - "&amp;$C2315)</f>
        <v/>
      </c>
      <c r="S2315">
        <f>IF($A2315="","",$R2315&amp;"|"&amp;$Q2315)</f>
        <v/>
      </c>
      <c r="T2315">
        <f>IF($A2315="","",$S2315&amp;"|"&amp;$F2315)</f>
        <v/>
      </c>
      <c r="U2315">
        <f>IF($A2315="","",$R2315&amp;"("&amp;$E2315&amp;")")</f>
        <v/>
      </c>
      <c r="V2315">
        <f>IF($A2315="","",$F2315&amp;"|"&amp;$U2315&amp;"|"&amp;$D2315)</f>
        <v/>
      </c>
      <c r="W2315">
        <f>IF($T2315="","",IF($X2315&gt;N($X2314),$X2315,""))</f>
        <v/>
      </c>
      <c r="X2315">
        <f>IF($T2315="",N($X2314),IF(MATCH($T2315,$T$6:$T$6005,0)=ROW()-5,N($X2314)+1,N($X2314)))</f>
        <v/>
      </c>
      <c r="Z2315">
        <f>IF($V2315="","",IF($AA2315&gt;N($AA2314),$AA2315,""))</f>
        <v/>
      </c>
      <c r="AA2315">
        <f>IF($V2315="",N($AA2314),IF(MATCH($V2315,$V$6:$V$6005,0)=ROW()-5,N($AA2314)+1,N($AA2314)))</f>
        <v/>
      </c>
    </row>
    <row r="2316" ht="21" customHeight="1" s="66">
      <c r="A2316" s="56" t="n"/>
      <c r="B2316" s="57" t="n"/>
      <c r="C2316" s="57" t="n"/>
      <c r="D2316" s="57" t="n"/>
      <c r="E2316" s="56" t="n"/>
      <c r="F2316" s="57" t="n"/>
      <c r="G2316" s="57" t="n"/>
      <c r="H2316" s="56" t="n"/>
      <c r="I2316" s="56" t="n"/>
      <c r="J2316" s="58" t="n"/>
      <c r="K2316" s="58" t="n"/>
      <c r="L2316" s="13">
        <f>IF(OR($A2316="",AND($J2316="",$K2316="")),"",ROUND(N($J2316)-N($K2316),2))</f>
        <v/>
      </c>
      <c r="M2316" s="13">
        <f>IF(OR($A2316="",AND($J2316="",$K2316="")),"",MIN($J2316,$K2316))</f>
        <v/>
      </c>
      <c r="Q2316">
        <f>IF($A2316="","",$D2316&amp;"("&amp;SUBSTITUTE($E2316," ","")&amp;")")</f>
        <v/>
      </c>
      <c r="R2316">
        <f>IF($A2316="","",$B2316&amp;" - "&amp;$C2316)</f>
        <v/>
      </c>
      <c r="S2316">
        <f>IF($A2316="","",$R2316&amp;"|"&amp;$Q2316)</f>
        <v/>
      </c>
      <c r="T2316">
        <f>IF($A2316="","",$S2316&amp;"|"&amp;$F2316)</f>
        <v/>
      </c>
      <c r="U2316">
        <f>IF($A2316="","",$R2316&amp;"("&amp;$E2316&amp;")")</f>
        <v/>
      </c>
      <c r="V2316">
        <f>IF($A2316="","",$F2316&amp;"|"&amp;$U2316&amp;"|"&amp;$D2316)</f>
        <v/>
      </c>
      <c r="W2316">
        <f>IF($T2316="","",IF($X2316&gt;N($X2315),$X2316,""))</f>
        <v/>
      </c>
      <c r="X2316">
        <f>IF($T2316="",N($X2315),IF(MATCH($T2316,$T$6:$T$6005,0)=ROW()-5,N($X2315)+1,N($X2315)))</f>
        <v/>
      </c>
      <c r="Z2316">
        <f>IF($V2316="","",IF($AA2316&gt;N($AA2315),$AA2316,""))</f>
        <v/>
      </c>
      <c r="AA2316">
        <f>IF($V2316="",N($AA2315),IF(MATCH($V2316,$V$6:$V$6005,0)=ROW()-5,N($AA2315)+1,N($AA2315)))</f>
        <v/>
      </c>
    </row>
    <row r="2317" ht="21" customHeight="1" s="66">
      <c r="A2317" s="56" t="n"/>
      <c r="B2317" s="57" t="n"/>
      <c r="C2317" s="57" t="n"/>
      <c r="D2317" s="57" t="n"/>
      <c r="E2317" s="56" t="n"/>
      <c r="F2317" s="57" t="n"/>
      <c r="G2317" s="57" t="n"/>
      <c r="H2317" s="56" t="n"/>
      <c r="I2317" s="56" t="n"/>
      <c r="J2317" s="58" t="n"/>
      <c r="K2317" s="58" t="n"/>
      <c r="L2317" s="13">
        <f>IF(OR($A2317="",AND($J2317="",$K2317="")),"",ROUND(N($J2317)-N($K2317),2))</f>
        <v/>
      </c>
      <c r="M2317" s="13">
        <f>IF(OR($A2317="",AND($J2317="",$K2317="")),"",MIN($J2317,$K2317))</f>
        <v/>
      </c>
      <c r="Q2317">
        <f>IF($A2317="","",$D2317&amp;"("&amp;SUBSTITUTE($E2317," ","")&amp;")")</f>
        <v/>
      </c>
      <c r="R2317">
        <f>IF($A2317="","",$B2317&amp;" - "&amp;$C2317)</f>
        <v/>
      </c>
      <c r="S2317">
        <f>IF($A2317="","",$R2317&amp;"|"&amp;$Q2317)</f>
        <v/>
      </c>
      <c r="T2317">
        <f>IF($A2317="","",$S2317&amp;"|"&amp;$F2317)</f>
        <v/>
      </c>
      <c r="U2317">
        <f>IF($A2317="","",$R2317&amp;"("&amp;$E2317&amp;")")</f>
        <v/>
      </c>
      <c r="V2317">
        <f>IF($A2317="","",$F2317&amp;"|"&amp;$U2317&amp;"|"&amp;$D2317)</f>
        <v/>
      </c>
      <c r="W2317">
        <f>IF($T2317="","",IF($X2317&gt;N($X2316),$X2317,""))</f>
        <v/>
      </c>
      <c r="X2317">
        <f>IF($T2317="",N($X2316),IF(MATCH($T2317,$T$6:$T$6005,0)=ROW()-5,N($X2316)+1,N($X2316)))</f>
        <v/>
      </c>
      <c r="Z2317">
        <f>IF($V2317="","",IF($AA2317&gt;N($AA2316),$AA2317,""))</f>
        <v/>
      </c>
      <c r="AA2317">
        <f>IF($V2317="",N($AA2316),IF(MATCH($V2317,$V$6:$V$6005,0)=ROW()-5,N($AA2316)+1,N($AA2316)))</f>
        <v/>
      </c>
    </row>
    <row r="2318" ht="21" customHeight="1" s="66">
      <c r="A2318" s="56" t="n"/>
      <c r="B2318" s="57" t="n"/>
      <c r="C2318" s="57" t="n"/>
      <c r="D2318" s="57" t="n"/>
      <c r="E2318" s="56" t="n"/>
      <c r="F2318" s="57" t="n"/>
      <c r="G2318" s="57" t="n"/>
      <c r="H2318" s="56" t="n"/>
      <c r="I2318" s="56" t="n"/>
      <c r="J2318" s="58" t="n"/>
      <c r="K2318" s="58" t="n"/>
      <c r="L2318" s="13">
        <f>IF(OR($A2318="",AND($J2318="",$K2318="")),"",ROUND(N($J2318)-N($K2318),2))</f>
        <v/>
      </c>
      <c r="M2318" s="13">
        <f>IF(OR($A2318="",AND($J2318="",$K2318="")),"",MIN($J2318,$K2318))</f>
        <v/>
      </c>
      <c r="Q2318">
        <f>IF($A2318="","",$D2318&amp;"("&amp;SUBSTITUTE($E2318," ","")&amp;")")</f>
        <v/>
      </c>
      <c r="R2318">
        <f>IF($A2318="","",$B2318&amp;" - "&amp;$C2318)</f>
        <v/>
      </c>
      <c r="S2318">
        <f>IF($A2318="","",$R2318&amp;"|"&amp;$Q2318)</f>
        <v/>
      </c>
      <c r="T2318">
        <f>IF($A2318="","",$S2318&amp;"|"&amp;$F2318)</f>
        <v/>
      </c>
      <c r="U2318">
        <f>IF($A2318="","",$R2318&amp;"("&amp;$E2318&amp;")")</f>
        <v/>
      </c>
      <c r="V2318">
        <f>IF($A2318="","",$F2318&amp;"|"&amp;$U2318&amp;"|"&amp;$D2318)</f>
        <v/>
      </c>
      <c r="W2318">
        <f>IF($T2318="","",IF($X2318&gt;N($X2317),$X2318,""))</f>
        <v/>
      </c>
      <c r="X2318">
        <f>IF($T2318="",N($X2317),IF(MATCH($T2318,$T$6:$T$6005,0)=ROW()-5,N($X2317)+1,N($X2317)))</f>
        <v/>
      </c>
      <c r="Z2318">
        <f>IF($V2318="","",IF($AA2318&gt;N($AA2317),$AA2318,""))</f>
        <v/>
      </c>
      <c r="AA2318">
        <f>IF($V2318="",N($AA2317),IF(MATCH($V2318,$V$6:$V$6005,0)=ROW()-5,N($AA2317)+1,N($AA2317)))</f>
        <v/>
      </c>
    </row>
    <row r="2319" ht="21" customHeight="1" s="66">
      <c r="A2319" s="56" t="n"/>
      <c r="B2319" s="57" t="n"/>
      <c r="C2319" s="57" t="n"/>
      <c r="D2319" s="57" t="n"/>
      <c r="E2319" s="56" t="n"/>
      <c r="F2319" s="57" t="n"/>
      <c r="G2319" s="57" t="n"/>
      <c r="H2319" s="56" t="n"/>
      <c r="I2319" s="56" t="n"/>
      <c r="J2319" s="58" t="n"/>
      <c r="K2319" s="58" t="n"/>
      <c r="L2319" s="13">
        <f>IF(OR($A2319="",AND($J2319="",$K2319="")),"",ROUND(N($J2319)-N($K2319),2))</f>
        <v/>
      </c>
      <c r="M2319" s="13">
        <f>IF(OR($A2319="",AND($J2319="",$K2319="")),"",MIN($J2319,$K2319))</f>
        <v/>
      </c>
      <c r="Q2319">
        <f>IF($A2319="","",$D2319&amp;"("&amp;SUBSTITUTE($E2319," ","")&amp;")")</f>
        <v/>
      </c>
      <c r="R2319">
        <f>IF($A2319="","",$B2319&amp;" - "&amp;$C2319)</f>
        <v/>
      </c>
      <c r="S2319">
        <f>IF($A2319="","",$R2319&amp;"|"&amp;$Q2319)</f>
        <v/>
      </c>
      <c r="T2319">
        <f>IF($A2319="","",$S2319&amp;"|"&amp;$F2319)</f>
        <v/>
      </c>
      <c r="U2319">
        <f>IF($A2319="","",$R2319&amp;"("&amp;$E2319&amp;")")</f>
        <v/>
      </c>
      <c r="V2319">
        <f>IF($A2319="","",$F2319&amp;"|"&amp;$U2319&amp;"|"&amp;$D2319)</f>
        <v/>
      </c>
      <c r="W2319">
        <f>IF($T2319="","",IF($X2319&gt;N($X2318),$X2319,""))</f>
        <v/>
      </c>
      <c r="X2319">
        <f>IF($T2319="",N($X2318),IF(MATCH($T2319,$T$6:$T$6005,0)=ROW()-5,N($X2318)+1,N($X2318)))</f>
        <v/>
      </c>
      <c r="Z2319">
        <f>IF($V2319="","",IF($AA2319&gt;N($AA2318),$AA2319,""))</f>
        <v/>
      </c>
      <c r="AA2319">
        <f>IF($V2319="",N($AA2318),IF(MATCH($V2319,$V$6:$V$6005,0)=ROW()-5,N($AA2318)+1,N($AA2318)))</f>
        <v/>
      </c>
    </row>
    <row r="2320" ht="21" customHeight="1" s="66">
      <c r="A2320" s="56" t="n"/>
      <c r="B2320" s="57" t="n"/>
      <c r="C2320" s="57" t="n"/>
      <c r="D2320" s="57" t="n"/>
      <c r="E2320" s="56" t="n"/>
      <c r="F2320" s="57" t="n"/>
      <c r="G2320" s="57" t="n"/>
      <c r="H2320" s="56" t="n"/>
      <c r="I2320" s="56" t="n"/>
      <c r="J2320" s="58" t="n"/>
      <c r="K2320" s="58" t="n"/>
      <c r="L2320" s="13">
        <f>IF(OR($A2320="",AND($J2320="",$K2320="")),"",ROUND(N($J2320)-N($K2320),2))</f>
        <v/>
      </c>
      <c r="M2320" s="13">
        <f>IF(OR($A2320="",AND($J2320="",$K2320="")),"",MIN($J2320,$K2320))</f>
        <v/>
      </c>
      <c r="Q2320">
        <f>IF($A2320="","",$D2320&amp;"("&amp;SUBSTITUTE($E2320," ","")&amp;")")</f>
        <v/>
      </c>
      <c r="R2320">
        <f>IF($A2320="","",$B2320&amp;" - "&amp;$C2320)</f>
        <v/>
      </c>
      <c r="S2320">
        <f>IF($A2320="","",$R2320&amp;"|"&amp;$Q2320)</f>
        <v/>
      </c>
      <c r="T2320">
        <f>IF($A2320="","",$S2320&amp;"|"&amp;$F2320)</f>
        <v/>
      </c>
      <c r="U2320">
        <f>IF($A2320="","",$R2320&amp;"("&amp;$E2320&amp;")")</f>
        <v/>
      </c>
      <c r="V2320">
        <f>IF($A2320="","",$F2320&amp;"|"&amp;$U2320&amp;"|"&amp;$D2320)</f>
        <v/>
      </c>
      <c r="W2320">
        <f>IF($T2320="","",IF($X2320&gt;N($X2319),$X2320,""))</f>
        <v/>
      </c>
      <c r="X2320">
        <f>IF($T2320="",N($X2319),IF(MATCH($T2320,$T$6:$T$6005,0)=ROW()-5,N($X2319)+1,N($X2319)))</f>
        <v/>
      </c>
      <c r="Z2320">
        <f>IF($V2320="","",IF($AA2320&gt;N($AA2319),$AA2320,""))</f>
        <v/>
      </c>
      <c r="AA2320">
        <f>IF($V2320="",N($AA2319),IF(MATCH($V2320,$V$6:$V$6005,0)=ROW()-5,N($AA2319)+1,N($AA2319)))</f>
        <v/>
      </c>
    </row>
    <row r="2321" ht="21" customHeight="1" s="66">
      <c r="A2321" s="56" t="n"/>
      <c r="B2321" s="57" t="n"/>
      <c r="C2321" s="57" t="n"/>
      <c r="D2321" s="57" t="n"/>
      <c r="E2321" s="56" t="n"/>
      <c r="F2321" s="57" t="n"/>
      <c r="G2321" s="57" t="n"/>
      <c r="H2321" s="56" t="n"/>
      <c r="I2321" s="56" t="n"/>
      <c r="J2321" s="58" t="n"/>
      <c r="K2321" s="58" t="n"/>
      <c r="L2321" s="13">
        <f>IF(OR($A2321="",AND($J2321="",$K2321="")),"",ROUND(N($J2321)-N($K2321),2))</f>
        <v/>
      </c>
      <c r="M2321" s="13">
        <f>IF(OR($A2321="",AND($J2321="",$K2321="")),"",MIN($J2321,$K2321))</f>
        <v/>
      </c>
      <c r="Q2321">
        <f>IF($A2321="","",$D2321&amp;"("&amp;SUBSTITUTE($E2321," ","")&amp;")")</f>
        <v/>
      </c>
      <c r="R2321">
        <f>IF($A2321="","",$B2321&amp;" - "&amp;$C2321)</f>
        <v/>
      </c>
      <c r="S2321">
        <f>IF($A2321="","",$R2321&amp;"|"&amp;$Q2321)</f>
        <v/>
      </c>
      <c r="T2321">
        <f>IF($A2321="","",$S2321&amp;"|"&amp;$F2321)</f>
        <v/>
      </c>
      <c r="U2321">
        <f>IF($A2321="","",$R2321&amp;"("&amp;$E2321&amp;")")</f>
        <v/>
      </c>
      <c r="V2321">
        <f>IF($A2321="","",$F2321&amp;"|"&amp;$U2321&amp;"|"&amp;$D2321)</f>
        <v/>
      </c>
      <c r="W2321">
        <f>IF($T2321="","",IF($X2321&gt;N($X2320),$X2321,""))</f>
        <v/>
      </c>
      <c r="X2321">
        <f>IF($T2321="",N($X2320),IF(MATCH($T2321,$T$6:$T$6005,0)=ROW()-5,N($X2320)+1,N($X2320)))</f>
        <v/>
      </c>
      <c r="Z2321">
        <f>IF($V2321="","",IF($AA2321&gt;N($AA2320),$AA2321,""))</f>
        <v/>
      </c>
      <c r="AA2321">
        <f>IF($V2321="",N($AA2320),IF(MATCH($V2321,$V$6:$V$6005,0)=ROW()-5,N($AA2320)+1,N($AA2320)))</f>
        <v/>
      </c>
    </row>
    <row r="2322" ht="21" customHeight="1" s="66">
      <c r="A2322" s="56" t="n"/>
      <c r="B2322" s="57" t="n"/>
      <c r="C2322" s="57" t="n"/>
      <c r="D2322" s="57" t="n"/>
      <c r="E2322" s="56" t="n"/>
      <c r="F2322" s="57" t="n"/>
      <c r="G2322" s="57" t="n"/>
      <c r="H2322" s="56" t="n"/>
      <c r="I2322" s="56" t="n"/>
      <c r="J2322" s="58" t="n"/>
      <c r="K2322" s="58" t="n"/>
      <c r="L2322" s="13">
        <f>IF(OR($A2322="",AND($J2322="",$K2322="")),"",ROUND(N($J2322)-N($K2322),2))</f>
        <v/>
      </c>
      <c r="M2322" s="13">
        <f>IF(OR($A2322="",AND($J2322="",$K2322="")),"",MIN($J2322,$K2322))</f>
        <v/>
      </c>
      <c r="Q2322">
        <f>IF($A2322="","",$D2322&amp;"("&amp;SUBSTITUTE($E2322," ","")&amp;")")</f>
        <v/>
      </c>
      <c r="R2322">
        <f>IF($A2322="","",$B2322&amp;" - "&amp;$C2322)</f>
        <v/>
      </c>
      <c r="S2322">
        <f>IF($A2322="","",$R2322&amp;"|"&amp;$Q2322)</f>
        <v/>
      </c>
      <c r="T2322">
        <f>IF($A2322="","",$S2322&amp;"|"&amp;$F2322)</f>
        <v/>
      </c>
      <c r="U2322">
        <f>IF($A2322="","",$R2322&amp;"("&amp;$E2322&amp;")")</f>
        <v/>
      </c>
      <c r="V2322">
        <f>IF($A2322="","",$F2322&amp;"|"&amp;$U2322&amp;"|"&amp;$D2322)</f>
        <v/>
      </c>
      <c r="W2322">
        <f>IF($T2322="","",IF($X2322&gt;N($X2321),$X2322,""))</f>
        <v/>
      </c>
      <c r="X2322">
        <f>IF($T2322="",N($X2321),IF(MATCH($T2322,$T$6:$T$6005,0)=ROW()-5,N($X2321)+1,N($X2321)))</f>
        <v/>
      </c>
      <c r="Z2322">
        <f>IF($V2322="","",IF($AA2322&gt;N($AA2321),$AA2322,""))</f>
        <v/>
      </c>
      <c r="AA2322">
        <f>IF($V2322="",N($AA2321),IF(MATCH($V2322,$V$6:$V$6005,0)=ROW()-5,N($AA2321)+1,N($AA2321)))</f>
        <v/>
      </c>
    </row>
    <row r="2323" ht="21" customHeight="1" s="66">
      <c r="A2323" s="56" t="n"/>
      <c r="B2323" s="57" t="n"/>
      <c r="C2323" s="57" t="n"/>
      <c r="D2323" s="57" t="n"/>
      <c r="E2323" s="56" t="n"/>
      <c r="F2323" s="57" t="n"/>
      <c r="G2323" s="57" t="n"/>
      <c r="H2323" s="56" t="n"/>
      <c r="I2323" s="56" t="n"/>
      <c r="J2323" s="58" t="n"/>
      <c r="K2323" s="58" t="n"/>
      <c r="L2323" s="13">
        <f>IF(OR($A2323="",AND($J2323="",$K2323="")),"",ROUND(N($J2323)-N($K2323),2))</f>
        <v/>
      </c>
      <c r="M2323" s="13">
        <f>IF(OR($A2323="",AND($J2323="",$K2323="")),"",MIN($J2323,$K2323))</f>
        <v/>
      </c>
      <c r="Q2323">
        <f>IF($A2323="","",$D2323&amp;"("&amp;SUBSTITUTE($E2323," ","")&amp;")")</f>
        <v/>
      </c>
      <c r="R2323">
        <f>IF($A2323="","",$B2323&amp;" - "&amp;$C2323)</f>
        <v/>
      </c>
      <c r="S2323">
        <f>IF($A2323="","",$R2323&amp;"|"&amp;$Q2323)</f>
        <v/>
      </c>
      <c r="T2323">
        <f>IF($A2323="","",$S2323&amp;"|"&amp;$F2323)</f>
        <v/>
      </c>
      <c r="U2323">
        <f>IF($A2323="","",$R2323&amp;"("&amp;$E2323&amp;")")</f>
        <v/>
      </c>
      <c r="V2323">
        <f>IF($A2323="","",$F2323&amp;"|"&amp;$U2323&amp;"|"&amp;$D2323)</f>
        <v/>
      </c>
      <c r="W2323">
        <f>IF($T2323="","",IF($X2323&gt;N($X2322),$X2323,""))</f>
        <v/>
      </c>
      <c r="X2323">
        <f>IF($T2323="",N($X2322),IF(MATCH($T2323,$T$6:$T$6005,0)=ROW()-5,N($X2322)+1,N($X2322)))</f>
        <v/>
      </c>
      <c r="Z2323">
        <f>IF($V2323="","",IF($AA2323&gt;N($AA2322),$AA2323,""))</f>
        <v/>
      </c>
      <c r="AA2323">
        <f>IF($V2323="",N($AA2322),IF(MATCH($V2323,$V$6:$V$6005,0)=ROW()-5,N($AA2322)+1,N($AA2322)))</f>
        <v/>
      </c>
    </row>
    <row r="2324" ht="21" customHeight="1" s="66">
      <c r="A2324" s="56" t="n"/>
      <c r="B2324" s="57" t="n"/>
      <c r="C2324" s="57" t="n"/>
      <c r="D2324" s="57" t="n"/>
      <c r="E2324" s="56" t="n"/>
      <c r="F2324" s="57" t="n"/>
      <c r="G2324" s="57" t="n"/>
      <c r="H2324" s="56" t="n"/>
      <c r="I2324" s="56" t="n"/>
      <c r="J2324" s="58" t="n"/>
      <c r="K2324" s="58" t="n"/>
      <c r="L2324" s="13">
        <f>IF(OR($A2324="",AND($J2324="",$K2324="")),"",ROUND(N($J2324)-N($K2324),2))</f>
        <v/>
      </c>
      <c r="M2324" s="13">
        <f>IF(OR($A2324="",AND($J2324="",$K2324="")),"",MIN($J2324,$K2324))</f>
        <v/>
      </c>
      <c r="Q2324">
        <f>IF($A2324="","",$D2324&amp;"("&amp;SUBSTITUTE($E2324," ","")&amp;")")</f>
        <v/>
      </c>
      <c r="R2324">
        <f>IF($A2324="","",$B2324&amp;" - "&amp;$C2324)</f>
        <v/>
      </c>
      <c r="S2324">
        <f>IF($A2324="","",$R2324&amp;"|"&amp;$Q2324)</f>
        <v/>
      </c>
      <c r="T2324">
        <f>IF($A2324="","",$S2324&amp;"|"&amp;$F2324)</f>
        <v/>
      </c>
      <c r="U2324">
        <f>IF($A2324="","",$R2324&amp;"("&amp;$E2324&amp;")")</f>
        <v/>
      </c>
      <c r="V2324">
        <f>IF($A2324="","",$F2324&amp;"|"&amp;$U2324&amp;"|"&amp;$D2324)</f>
        <v/>
      </c>
      <c r="W2324">
        <f>IF($T2324="","",IF($X2324&gt;N($X2323),$X2324,""))</f>
        <v/>
      </c>
      <c r="X2324">
        <f>IF($T2324="",N($X2323),IF(MATCH($T2324,$T$6:$T$6005,0)=ROW()-5,N($X2323)+1,N($X2323)))</f>
        <v/>
      </c>
      <c r="Z2324">
        <f>IF($V2324="","",IF($AA2324&gt;N($AA2323),$AA2324,""))</f>
        <v/>
      </c>
      <c r="AA2324">
        <f>IF($V2324="",N($AA2323),IF(MATCH($V2324,$V$6:$V$6005,0)=ROW()-5,N($AA2323)+1,N($AA2323)))</f>
        <v/>
      </c>
    </row>
    <row r="2325" ht="21" customHeight="1" s="66">
      <c r="A2325" s="56" t="n"/>
      <c r="B2325" s="57" t="n"/>
      <c r="C2325" s="57" t="n"/>
      <c r="D2325" s="57" t="n"/>
      <c r="E2325" s="56" t="n"/>
      <c r="F2325" s="57" t="n"/>
      <c r="G2325" s="57" t="n"/>
      <c r="H2325" s="56" t="n"/>
      <c r="I2325" s="56" t="n"/>
      <c r="J2325" s="58" t="n"/>
      <c r="K2325" s="58" t="n"/>
      <c r="L2325" s="13">
        <f>IF(OR($A2325="",AND($J2325="",$K2325="")),"",ROUND(N($J2325)-N($K2325),2))</f>
        <v/>
      </c>
      <c r="M2325" s="13">
        <f>IF(OR($A2325="",AND($J2325="",$K2325="")),"",MIN($J2325,$K2325))</f>
        <v/>
      </c>
      <c r="Q2325">
        <f>IF($A2325="","",$D2325&amp;"("&amp;SUBSTITUTE($E2325," ","")&amp;")")</f>
        <v/>
      </c>
      <c r="R2325">
        <f>IF($A2325="","",$B2325&amp;" - "&amp;$C2325)</f>
        <v/>
      </c>
      <c r="S2325">
        <f>IF($A2325="","",$R2325&amp;"|"&amp;$Q2325)</f>
        <v/>
      </c>
      <c r="T2325">
        <f>IF($A2325="","",$S2325&amp;"|"&amp;$F2325)</f>
        <v/>
      </c>
      <c r="U2325">
        <f>IF($A2325="","",$R2325&amp;"("&amp;$E2325&amp;")")</f>
        <v/>
      </c>
      <c r="V2325">
        <f>IF($A2325="","",$F2325&amp;"|"&amp;$U2325&amp;"|"&amp;$D2325)</f>
        <v/>
      </c>
      <c r="W2325">
        <f>IF($T2325="","",IF($X2325&gt;N($X2324),$X2325,""))</f>
        <v/>
      </c>
      <c r="X2325">
        <f>IF($T2325="",N($X2324),IF(MATCH($T2325,$T$6:$T$6005,0)=ROW()-5,N($X2324)+1,N($X2324)))</f>
        <v/>
      </c>
      <c r="Z2325">
        <f>IF($V2325="","",IF($AA2325&gt;N($AA2324),$AA2325,""))</f>
        <v/>
      </c>
      <c r="AA2325">
        <f>IF($V2325="",N($AA2324),IF(MATCH($V2325,$V$6:$V$6005,0)=ROW()-5,N($AA2324)+1,N($AA2324)))</f>
        <v/>
      </c>
    </row>
    <row r="2326" ht="21" customHeight="1" s="66">
      <c r="A2326" s="56" t="n"/>
      <c r="B2326" s="57" t="n"/>
      <c r="C2326" s="57" t="n"/>
      <c r="D2326" s="57" t="n"/>
      <c r="E2326" s="56" t="n"/>
      <c r="F2326" s="57" t="n"/>
      <c r="G2326" s="57" t="n"/>
      <c r="H2326" s="56" t="n"/>
      <c r="I2326" s="56" t="n"/>
      <c r="J2326" s="58" t="n"/>
      <c r="K2326" s="58" t="n"/>
      <c r="L2326" s="13">
        <f>IF(OR($A2326="",AND($J2326="",$K2326="")),"",ROUND(N($J2326)-N($K2326),2))</f>
        <v/>
      </c>
      <c r="M2326" s="13">
        <f>IF(OR($A2326="",AND($J2326="",$K2326="")),"",MIN($J2326,$K2326))</f>
        <v/>
      </c>
      <c r="Q2326">
        <f>IF($A2326="","",$D2326&amp;"("&amp;SUBSTITUTE($E2326," ","")&amp;")")</f>
        <v/>
      </c>
      <c r="R2326">
        <f>IF($A2326="","",$B2326&amp;" - "&amp;$C2326)</f>
        <v/>
      </c>
      <c r="S2326">
        <f>IF($A2326="","",$R2326&amp;"|"&amp;$Q2326)</f>
        <v/>
      </c>
      <c r="T2326">
        <f>IF($A2326="","",$S2326&amp;"|"&amp;$F2326)</f>
        <v/>
      </c>
      <c r="U2326">
        <f>IF($A2326="","",$R2326&amp;"("&amp;$E2326&amp;")")</f>
        <v/>
      </c>
      <c r="V2326">
        <f>IF($A2326="","",$F2326&amp;"|"&amp;$U2326&amp;"|"&amp;$D2326)</f>
        <v/>
      </c>
      <c r="W2326">
        <f>IF($T2326="","",IF($X2326&gt;N($X2325),$X2326,""))</f>
        <v/>
      </c>
      <c r="X2326">
        <f>IF($T2326="",N($X2325),IF(MATCH($T2326,$T$6:$T$6005,0)=ROW()-5,N($X2325)+1,N($X2325)))</f>
        <v/>
      </c>
      <c r="Z2326">
        <f>IF($V2326="","",IF($AA2326&gt;N($AA2325),$AA2326,""))</f>
        <v/>
      </c>
      <c r="AA2326">
        <f>IF($V2326="",N($AA2325),IF(MATCH($V2326,$V$6:$V$6005,0)=ROW()-5,N($AA2325)+1,N($AA2325)))</f>
        <v/>
      </c>
    </row>
    <row r="2327" ht="21" customHeight="1" s="66">
      <c r="A2327" s="56" t="n"/>
      <c r="B2327" s="57" t="n"/>
      <c r="C2327" s="57" t="n"/>
      <c r="D2327" s="57" t="n"/>
      <c r="E2327" s="56" t="n"/>
      <c r="F2327" s="57" t="n"/>
      <c r="G2327" s="57" t="n"/>
      <c r="H2327" s="56" t="n"/>
      <c r="I2327" s="56" t="n"/>
      <c r="J2327" s="58" t="n"/>
      <c r="K2327" s="58" t="n"/>
      <c r="L2327" s="13">
        <f>IF(OR($A2327="",AND($J2327="",$K2327="")),"",ROUND(N($J2327)-N($K2327),2))</f>
        <v/>
      </c>
      <c r="M2327" s="13">
        <f>IF(OR($A2327="",AND($J2327="",$K2327="")),"",MIN($J2327,$K2327))</f>
        <v/>
      </c>
      <c r="Q2327">
        <f>IF($A2327="","",$D2327&amp;"("&amp;SUBSTITUTE($E2327," ","")&amp;")")</f>
        <v/>
      </c>
      <c r="R2327">
        <f>IF($A2327="","",$B2327&amp;" - "&amp;$C2327)</f>
        <v/>
      </c>
      <c r="S2327">
        <f>IF($A2327="","",$R2327&amp;"|"&amp;$Q2327)</f>
        <v/>
      </c>
      <c r="T2327">
        <f>IF($A2327="","",$S2327&amp;"|"&amp;$F2327)</f>
        <v/>
      </c>
      <c r="U2327">
        <f>IF($A2327="","",$R2327&amp;"("&amp;$E2327&amp;")")</f>
        <v/>
      </c>
      <c r="V2327">
        <f>IF($A2327="","",$F2327&amp;"|"&amp;$U2327&amp;"|"&amp;$D2327)</f>
        <v/>
      </c>
      <c r="W2327">
        <f>IF($T2327="","",IF($X2327&gt;N($X2326),$X2327,""))</f>
        <v/>
      </c>
      <c r="X2327">
        <f>IF($T2327="",N($X2326),IF(MATCH($T2327,$T$6:$T$6005,0)=ROW()-5,N($X2326)+1,N($X2326)))</f>
        <v/>
      </c>
      <c r="Z2327">
        <f>IF($V2327="","",IF($AA2327&gt;N($AA2326),$AA2327,""))</f>
        <v/>
      </c>
      <c r="AA2327">
        <f>IF($V2327="",N($AA2326),IF(MATCH($V2327,$V$6:$V$6005,0)=ROW()-5,N($AA2326)+1,N($AA2326)))</f>
        <v/>
      </c>
    </row>
    <row r="2328" ht="21" customHeight="1" s="66">
      <c r="A2328" s="56" t="n"/>
      <c r="B2328" s="57" t="n"/>
      <c r="C2328" s="57" t="n"/>
      <c r="D2328" s="57" t="n"/>
      <c r="E2328" s="56" t="n"/>
      <c r="F2328" s="57" t="n"/>
      <c r="G2328" s="57" t="n"/>
      <c r="H2328" s="56" t="n"/>
      <c r="I2328" s="56" t="n"/>
      <c r="J2328" s="58" t="n"/>
      <c r="K2328" s="58" t="n"/>
      <c r="L2328" s="13">
        <f>IF(OR($A2328="",AND($J2328="",$K2328="")),"",ROUND(N($J2328)-N($K2328),2))</f>
        <v/>
      </c>
      <c r="M2328" s="13">
        <f>IF(OR($A2328="",AND($J2328="",$K2328="")),"",MIN($J2328,$K2328))</f>
        <v/>
      </c>
      <c r="Q2328">
        <f>IF($A2328="","",$D2328&amp;"("&amp;SUBSTITUTE($E2328," ","")&amp;")")</f>
        <v/>
      </c>
      <c r="R2328">
        <f>IF($A2328="","",$B2328&amp;" - "&amp;$C2328)</f>
        <v/>
      </c>
      <c r="S2328">
        <f>IF($A2328="","",$R2328&amp;"|"&amp;$Q2328)</f>
        <v/>
      </c>
      <c r="T2328">
        <f>IF($A2328="","",$S2328&amp;"|"&amp;$F2328)</f>
        <v/>
      </c>
      <c r="U2328">
        <f>IF($A2328="","",$R2328&amp;"("&amp;$E2328&amp;")")</f>
        <v/>
      </c>
      <c r="V2328">
        <f>IF($A2328="","",$F2328&amp;"|"&amp;$U2328&amp;"|"&amp;$D2328)</f>
        <v/>
      </c>
      <c r="W2328">
        <f>IF($T2328="","",IF($X2328&gt;N($X2327),$X2328,""))</f>
        <v/>
      </c>
      <c r="X2328">
        <f>IF($T2328="",N($X2327),IF(MATCH($T2328,$T$6:$T$6005,0)=ROW()-5,N($X2327)+1,N($X2327)))</f>
        <v/>
      </c>
      <c r="Z2328">
        <f>IF($V2328="","",IF($AA2328&gt;N($AA2327),$AA2328,""))</f>
        <v/>
      </c>
      <c r="AA2328">
        <f>IF($V2328="",N($AA2327),IF(MATCH($V2328,$V$6:$V$6005,0)=ROW()-5,N($AA2327)+1,N($AA2327)))</f>
        <v/>
      </c>
    </row>
    <row r="2329" ht="21" customHeight="1" s="66">
      <c r="A2329" s="56" t="n"/>
      <c r="B2329" s="57" t="n"/>
      <c r="C2329" s="57" t="n"/>
      <c r="D2329" s="57" t="n"/>
      <c r="E2329" s="56" t="n"/>
      <c r="F2329" s="57" t="n"/>
      <c r="G2329" s="57" t="n"/>
      <c r="H2329" s="56" t="n"/>
      <c r="I2329" s="56" t="n"/>
      <c r="J2329" s="58" t="n"/>
      <c r="K2329" s="58" t="n"/>
      <c r="L2329" s="13">
        <f>IF(OR($A2329="",AND($J2329="",$K2329="")),"",ROUND(N($J2329)-N($K2329),2))</f>
        <v/>
      </c>
      <c r="M2329" s="13">
        <f>IF(OR($A2329="",AND($J2329="",$K2329="")),"",MIN($J2329,$K2329))</f>
        <v/>
      </c>
      <c r="Q2329">
        <f>IF($A2329="","",$D2329&amp;"("&amp;SUBSTITUTE($E2329," ","")&amp;")")</f>
        <v/>
      </c>
      <c r="R2329">
        <f>IF($A2329="","",$B2329&amp;" - "&amp;$C2329)</f>
        <v/>
      </c>
      <c r="S2329">
        <f>IF($A2329="","",$R2329&amp;"|"&amp;$Q2329)</f>
        <v/>
      </c>
      <c r="T2329">
        <f>IF($A2329="","",$S2329&amp;"|"&amp;$F2329)</f>
        <v/>
      </c>
      <c r="U2329">
        <f>IF($A2329="","",$R2329&amp;"("&amp;$E2329&amp;")")</f>
        <v/>
      </c>
      <c r="V2329">
        <f>IF($A2329="","",$F2329&amp;"|"&amp;$U2329&amp;"|"&amp;$D2329)</f>
        <v/>
      </c>
      <c r="W2329">
        <f>IF($T2329="","",IF($X2329&gt;N($X2328),$X2329,""))</f>
        <v/>
      </c>
      <c r="X2329">
        <f>IF($T2329="",N($X2328),IF(MATCH($T2329,$T$6:$T$6005,0)=ROW()-5,N($X2328)+1,N($X2328)))</f>
        <v/>
      </c>
      <c r="Z2329">
        <f>IF($V2329="","",IF($AA2329&gt;N($AA2328),$AA2329,""))</f>
        <v/>
      </c>
      <c r="AA2329">
        <f>IF($V2329="",N($AA2328),IF(MATCH($V2329,$V$6:$V$6005,0)=ROW()-5,N($AA2328)+1,N($AA2328)))</f>
        <v/>
      </c>
    </row>
    <row r="2330" ht="21" customHeight="1" s="66">
      <c r="A2330" s="56" t="n"/>
      <c r="B2330" s="57" t="n"/>
      <c r="C2330" s="57" t="n"/>
      <c r="D2330" s="57" t="n"/>
      <c r="E2330" s="56" t="n"/>
      <c r="F2330" s="57" t="n"/>
      <c r="G2330" s="57" t="n"/>
      <c r="H2330" s="56" t="n"/>
      <c r="I2330" s="56" t="n"/>
      <c r="J2330" s="58" t="n"/>
      <c r="K2330" s="58" t="n"/>
      <c r="L2330" s="13">
        <f>IF(OR($A2330="",AND($J2330="",$K2330="")),"",ROUND(N($J2330)-N($K2330),2))</f>
        <v/>
      </c>
      <c r="M2330" s="13">
        <f>IF(OR($A2330="",AND($J2330="",$K2330="")),"",MIN($J2330,$K2330))</f>
        <v/>
      </c>
      <c r="Q2330">
        <f>IF($A2330="","",$D2330&amp;"("&amp;SUBSTITUTE($E2330," ","")&amp;")")</f>
        <v/>
      </c>
      <c r="R2330">
        <f>IF($A2330="","",$B2330&amp;" - "&amp;$C2330)</f>
        <v/>
      </c>
      <c r="S2330">
        <f>IF($A2330="","",$R2330&amp;"|"&amp;$Q2330)</f>
        <v/>
      </c>
      <c r="T2330">
        <f>IF($A2330="","",$S2330&amp;"|"&amp;$F2330)</f>
        <v/>
      </c>
      <c r="U2330">
        <f>IF($A2330="","",$R2330&amp;"("&amp;$E2330&amp;")")</f>
        <v/>
      </c>
      <c r="V2330">
        <f>IF($A2330="","",$F2330&amp;"|"&amp;$U2330&amp;"|"&amp;$D2330)</f>
        <v/>
      </c>
      <c r="W2330">
        <f>IF($T2330="","",IF($X2330&gt;N($X2329),$X2330,""))</f>
        <v/>
      </c>
      <c r="X2330">
        <f>IF($T2330="",N($X2329),IF(MATCH($T2330,$T$6:$T$6005,0)=ROW()-5,N($X2329)+1,N($X2329)))</f>
        <v/>
      </c>
      <c r="Z2330">
        <f>IF($V2330="","",IF($AA2330&gt;N($AA2329),$AA2330,""))</f>
        <v/>
      </c>
      <c r="AA2330">
        <f>IF($V2330="",N($AA2329),IF(MATCH($V2330,$V$6:$V$6005,0)=ROW()-5,N($AA2329)+1,N($AA2329)))</f>
        <v/>
      </c>
    </row>
    <row r="2331" ht="21" customHeight="1" s="66">
      <c r="A2331" s="56" t="n"/>
      <c r="B2331" s="57" t="n"/>
      <c r="C2331" s="57" t="n"/>
      <c r="D2331" s="57" t="n"/>
      <c r="E2331" s="56" t="n"/>
      <c r="F2331" s="57" t="n"/>
      <c r="G2331" s="57" t="n"/>
      <c r="H2331" s="56" t="n"/>
      <c r="I2331" s="56" t="n"/>
      <c r="J2331" s="58" t="n"/>
      <c r="K2331" s="58" t="n"/>
      <c r="L2331" s="13">
        <f>IF(OR($A2331="",AND($J2331="",$K2331="")),"",ROUND(N($J2331)-N($K2331),2))</f>
        <v/>
      </c>
      <c r="M2331" s="13">
        <f>IF(OR($A2331="",AND($J2331="",$K2331="")),"",MIN($J2331,$K2331))</f>
        <v/>
      </c>
      <c r="Q2331">
        <f>IF($A2331="","",$D2331&amp;"("&amp;SUBSTITUTE($E2331," ","")&amp;")")</f>
        <v/>
      </c>
      <c r="R2331">
        <f>IF($A2331="","",$B2331&amp;" - "&amp;$C2331)</f>
        <v/>
      </c>
      <c r="S2331">
        <f>IF($A2331="","",$R2331&amp;"|"&amp;$Q2331)</f>
        <v/>
      </c>
      <c r="T2331">
        <f>IF($A2331="","",$S2331&amp;"|"&amp;$F2331)</f>
        <v/>
      </c>
      <c r="U2331">
        <f>IF($A2331="","",$R2331&amp;"("&amp;$E2331&amp;")")</f>
        <v/>
      </c>
      <c r="V2331">
        <f>IF($A2331="","",$F2331&amp;"|"&amp;$U2331&amp;"|"&amp;$D2331)</f>
        <v/>
      </c>
      <c r="W2331">
        <f>IF($T2331="","",IF($X2331&gt;N($X2330),$X2331,""))</f>
        <v/>
      </c>
      <c r="X2331">
        <f>IF($T2331="",N($X2330),IF(MATCH($T2331,$T$6:$T$6005,0)=ROW()-5,N($X2330)+1,N($X2330)))</f>
        <v/>
      </c>
      <c r="Z2331">
        <f>IF($V2331="","",IF($AA2331&gt;N($AA2330),$AA2331,""))</f>
        <v/>
      </c>
      <c r="AA2331">
        <f>IF($V2331="",N($AA2330),IF(MATCH($V2331,$V$6:$V$6005,0)=ROW()-5,N($AA2330)+1,N($AA2330)))</f>
        <v/>
      </c>
    </row>
    <row r="2332" ht="21" customHeight="1" s="66">
      <c r="A2332" s="56" t="n"/>
      <c r="B2332" s="57" t="n"/>
      <c r="C2332" s="57" t="n"/>
      <c r="D2332" s="57" t="n"/>
      <c r="E2332" s="56" t="n"/>
      <c r="F2332" s="57" t="n"/>
      <c r="G2332" s="57" t="n"/>
      <c r="H2332" s="56" t="n"/>
      <c r="I2332" s="56" t="n"/>
      <c r="J2332" s="58" t="n"/>
      <c r="K2332" s="58" t="n"/>
      <c r="L2332" s="13">
        <f>IF(OR($A2332="",AND($J2332="",$K2332="")),"",ROUND(N($J2332)-N($K2332),2))</f>
        <v/>
      </c>
      <c r="M2332" s="13">
        <f>IF(OR($A2332="",AND($J2332="",$K2332="")),"",MIN($J2332,$K2332))</f>
        <v/>
      </c>
      <c r="Q2332">
        <f>IF($A2332="","",$D2332&amp;"("&amp;SUBSTITUTE($E2332," ","")&amp;")")</f>
        <v/>
      </c>
      <c r="R2332">
        <f>IF($A2332="","",$B2332&amp;" - "&amp;$C2332)</f>
        <v/>
      </c>
      <c r="S2332">
        <f>IF($A2332="","",$R2332&amp;"|"&amp;$Q2332)</f>
        <v/>
      </c>
      <c r="T2332">
        <f>IF($A2332="","",$S2332&amp;"|"&amp;$F2332)</f>
        <v/>
      </c>
      <c r="U2332">
        <f>IF($A2332="","",$R2332&amp;"("&amp;$E2332&amp;")")</f>
        <v/>
      </c>
      <c r="V2332">
        <f>IF($A2332="","",$F2332&amp;"|"&amp;$U2332&amp;"|"&amp;$D2332)</f>
        <v/>
      </c>
      <c r="W2332">
        <f>IF($T2332="","",IF($X2332&gt;N($X2331),$X2332,""))</f>
        <v/>
      </c>
      <c r="X2332">
        <f>IF($T2332="",N($X2331),IF(MATCH($T2332,$T$6:$T$6005,0)=ROW()-5,N($X2331)+1,N($X2331)))</f>
        <v/>
      </c>
      <c r="Z2332">
        <f>IF($V2332="","",IF($AA2332&gt;N($AA2331),$AA2332,""))</f>
        <v/>
      </c>
      <c r="AA2332">
        <f>IF($V2332="",N($AA2331),IF(MATCH($V2332,$V$6:$V$6005,0)=ROW()-5,N($AA2331)+1,N($AA2331)))</f>
        <v/>
      </c>
    </row>
    <row r="2333" ht="21" customHeight="1" s="66">
      <c r="A2333" s="56" t="n"/>
      <c r="B2333" s="57" t="n"/>
      <c r="C2333" s="57" t="n"/>
      <c r="D2333" s="57" t="n"/>
      <c r="E2333" s="56" t="n"/>
      <c r="F2333" s="57" t="n"/>
      <c r="G2333" s="57" t="n"/>
      <c r="H2333" s="56" t="n"/>
      <c r="I2333" s="56" t="n"/>
      <c r="J2333" s="58" t="n"/>
      <c r="K2333" s="58" t="n"/>
      <c r="L2333" s="13">
        <f>IF(OR($A2333="",AND($J2333="",$K2333="")),"",ROUND(N($J2333)-N($K2333),2))</f>
        <v/>
      </c>
      <c r="M2333" s="13">
        <f>IF(OR($A2333="",AND($J2333="",$K2333="")),"",MIN($J2333,$K2333))</f>
        <v/>
      </c>
      <c r="Q2333">
        <f>IF($A2333="","",$D2333&amp;"("&amp;SUBSTITUTE($E2333," ","")&amp;")")</f>
        <v/>
      </c>
      <c r="R2333">
        <f>IF($A2333="","",$B2333&amp;" - "&amp;$C2333)</f>
        <v/>
      </c>
      <c r="S2333">
        <f>IF($A2333="","",$R2333&amp;"|"&amp;$Q2333)</f>
        <v/>
      </c>
      <c r="T2333">
        <f>IF($A2333="","",$S2333&amp;"|"&amp;$F2333)</f>
        <v/>
      </c>
      <c r="U2333">
        <f>IF($A2333="","",$R2333&amp;"("&amp;$E2333&amp;")")</f>
        <v/>
      </c>
      <c r="V2333">
        <f>IF($A2333="","",$F2333&amp;"|"&amp;$U2333&amp;"|"&amp;$D2333)</f>
        <v/>
      </c>
      <c r="W2333">
        <f>IF($T2333="","",IF($X2333&gt;N($X2332),$X2333,""))</f>
        <v/>
      </c>
      <c r="X2333">
        <f>IF($T2333="",N($X2332),IF(MATCH($T2333,$T$6:$T$6005,0)=ROW()-5,N($X2332)+1,N($X2332)))</f>
        <v/>
      </c>
      <c r="Z2333">
        <f>IF($V2333="","",IF($AA2333&gt;N($AA2332),$AA2333,""))</f>
        <v/>
      </c>
      <c r="AA2333">
        <f>IF($V2333="",N($AA2332),IF(MATCH($V2333,$V$6:$V$6005,0)=ROW()-5,N($AA2332)+1,N($AA2332)))</f>
        <v/>
      </c>
    </row>
    <row r="2334" ht="21" customHeight="1" s="66">
      <c r="A2334" s="56" t="n"/>
      <c r="B2334" s="57" t="n"/>
      <c r="C2334" s="57" t="n"/>
      <c r="D2334" s="57" t="n"/>
      <c r="E2334" s="56" t="n"/>
      <c r="F2334" s="57" t="n"/>
      <c r="G2334" s="57" t="n"/>
      <c r="H2334" s="56" t="n"/>
      <c r="I2334" s="56" t="n"/>
      <c r="J2334" s="58" t="n"/>
      <c r="K2334" s="58" t="n"/>
      <c r="L2334" s="13">
        <f>IF(OR($A2334="",AND($J2334="",$K2334="")),"",ROUND(N($J2334)-N($K2334),2))</f>
        <v/>
      </c>
      <c r="M2334" s="13">
        <f>IF(OR($A2334="",AND($J2334="",$K2334="")),"",MIN($J2334,$K2334))</f>
        <v/>
      </c>
      <c r="Q2334">
        <f>IF($A2334="","",$D2334&amp;"("&amp;SUBSTITUTE($E2334," ","")&amp;")")</f>
        <v/>
      </c>
      <c r="R2334">
        <f>IF($A2334="","",$B2334&amp;" - "&amp;$C2334)</f>
        <v/>
      </c>
      <c r="S2334">
        <f>IF($A2334="","",$R2334&amp;"|"&amp;$Q2334)</f>
        <v/>
      </c>
      <c r="T2334">
        <f>IF($A2334="","",$S2334&amp;"|"&amp;$F2334)</f>
        <v/>
      </c>
      <c r="U2334">
        <f>IF($A2334="","",$R2334&amp;"("&amp;$E2334&amp;")")</f>
        <v/>
      </c>
      <c r="V2334">
        <f>IF($A2334="","",$F2334&amp;"|"&amp;$U2334&amp;"|"&amp;$D2334)</f>
        <v/>
      </c>
      <c r="W2334">
        <f>IF($T2334="","",IF($X2334&gt;N($X2333),$X2334,""))</f>
        <v/>
      </c>
      <c r="X2334">
        <f>IF($T2334="",N($X2333),IF(MATCH($T2334,$T$6:$T$6005,0)=ROW()-5,N($X2333)+1,N($X2333)))</f>
        <v/>
      </c>
      <c r="Z2334">
        <f>IF($V2334="","",IF($AA2334&gt;N($AA2333),$AA2334,""))</f>
        <v/>
      </c>
      <c r="AA2334">
        <f>IF($V2334="",N($AA2333),IF(MATCH($V2334,$V$6:$V$6005,0)=ROW()-5,N($AA2333)+1,N($AA2333)))</f>
        <v/>
      </c>
    </row>
    <row r="2335" ht="21" customHeight="1" s="66">
      <c r="A2335" s="56" t="n"/>
      <c r="B2335" s="57" t="n"/>
      <c r="C2335" s="57" t="n"/>
      <c r="D2335" s="57" t="n"/>
      <c r="E2335" s="56" t="n"/>
      <c r="F2335" s="57" t="n"/>
      <c r="G2335" s="57" t="n"/>
      <c r="H2335" s="56" t="n"/>
      <c r="I2335" s="56" t="n"/>
      <c r="J2335" s="58" t="n"/>
      <c r="K2335" s="58" t="n"/>
      <c r="L2335" s="13">
        <f>IF(OR($A2335="",AND($J2335="",$K2335="")),"",ROUND(N($J2335)-N($K2335),2))</f>
        <v/>
      </c>
      <c r="M2335" s="13">
        <f>IF(OR($A2335="",AND($J2335="",$K2335="")),"",MIN($J2335,$K2335))</f>
        <v/>
      </c>
      <c r="Q2335">
        <f>IF($A2335="","",$D2335&amp;"("&amp;SUBSTITUTE($E2335," ","")&amp;")")</f>
        <v/>
      </c>
      <c r="R2335">
        <f>IF($A2335="","",$B2335&amp;" - "&amp;$C2335)</f>
        <v/>
      </c>
      <c r="S2335">
        <f>IF($A2335="","",$R2335&amp;"|"&amp;$Q2335)</f>
        <v/>
      </c>
      <c r="T2335">
        <f>IF($A2335="","",$S2335&amp;"|"&amp;$F2335)</f>
        <v/>
      </c>
      <c r="U2335">
        <f>IF($A2335="","",$R2335&amp;"("&amp;$E2335&amp;")")</f>
        <v/>
      </c>
      <c r="V2335">
        <f>IF($A2335="","",$F2335&amp;"|"&amp;$U2335&amp;"|"&amp;$D2335)</f>
        <v/>
      </c>
      <c r="W2335">
        <f>IF($T2335="","",IF($X2335&gt;N($X2334),$X2335,""))</f>
        <v/>
      </c>
      <c r="X2335">
        <f>IF($T2335="",N($X2334),IF(MATCH($T2335,$T$6:$T$6005,0)=ROW()-5,N($X2334)+1,N($X2334)))</f>
        <v/>
      </c>
      <c r="Z2335">
        <f>IF($V2335="","",IF($AA2335&gt;N($AA2334),$AA2335,""))</f>
        <v/>
      </c>
      <c r="AA2335">
        <f>IF($V2335="",N($AA2334),IF(MATCH($V2335,$V$6:$V$6005,0)=ROW()-5,N($AA2334)+1,N($AA2334)))</f>
        <v/>
      </c>
    </row>
    <row r="2336" ht="21" customHeight="1" s="66">
      <c r="A2336" s="56" t="n"/>
      <c r="B2336" s="57" t="n"/>
      <c r="C2336" s="57" t="n"/>
      <c r="D2336" s="57" t="n"/>
      <c r="E2336" s="56" t="n"/>
      <c r="F2336" s="57" t="n"/>
      <c r="G2336" s="57" t="n"/>
      <c r="H2336" s="56" t="n"/>
      <c r="I2336" s="56" t="n"/>
      <c r="J2336" s="58" t="n"/>
      <c r="K2336" s="58" t="n"/>
      <c r="L2336" s="13">
        <f>IF(OR($A2336="",AND($J2336="",$K2336="")),"",ROUND(N($J2336)-N($K2336),2))</f>
        <v/>
      </c>
      <c r="M2336" s="13">
        <f>IF(OR($A2336="",AND($J2336="",$K2336="")),"",MIN($J2336,$K2336))</f>
        <v/>
      </c>
      <c r="Q2336">
        <f>IF($A2336="","",$D2336&amp;"("&amp;SUBSTITUTE($E2336," ","")&amp;")")</f>
        <v/>
      </c>
      <c r="R2336">
        <f>IF($A2336="","",$B2336&amp;" - "&amp;$C2336)</f>
        <v/>
      </c>
      <c r="S2336">
        <f>IF($A2336="","",$R2336&amp;"|"&amp;$Q2336)</f>
        <v/>
      </c>
      <c r="T2336">
        <f>IF($A2336="","",$S2336&amp;"|"&amp;$F2336)</f>
        <v/>
      </c>
      <c r="U2336">
        <f>IF($A2336="","",$R2336&amp;"("&amp;$E2336&amp;")")</f>
        <v/>
      </c>
      <c r="V2336">
        <f>IF($A2336="","",$F2336&amp;"|"&amp;$U2336&amp;"|"&amp;$D2336)</f>
        <v/>
      </c>
      <c r="W2336">
        <f>IF($T2336="","",IF($X2336&gt;N($X2335),$X2336,""))</f>
        <v/>
      </c>
      <c r="X2336">
        <f>IF($T2336="",N($X2335),IF(MATCH($T2336,$T$6:$T$6005,0)=ROW()-5,N($X2335)+1,N($X2335)))</f>
        <v/>
      </c>
      <c r="Z2336">
        <f>IF($V2336="","",IF($AA2336&gt;N($AA2335),$AA2336,""))</f>
        <v/>
      </c>
      <c r="AA2336">
        <f>IF($V2336="",N($AA2335),IF(MATCH($V2336,$V$6:$V$6005,0)=ROW()-5,N($AA2335)+1,N($AA2335)))</f>
        <v/>
      </c>
    </row>
    <row r="2337" ht="21" customHeight="1" s="66">
      <c r="A2337" s="56" t="n"/>
      <c r="B2337" s="57" t="n"/>
      <c r="C2337" s="57" t="n"/>
      <c r="D2337" s="57" t="n"/>
      <c r="E2337" s="56" t="n"/>
      <c r="F2337" s="57" t="n"/>
      <c r="G2337" s="57" t="n"/>
      <c r="H2337" s="56" t="n"/>
      <c r="I2337" s="56" t="n"/>
      <c r="J2337" s="58" t="n"/>
      <c r="K2337" s="58" t="n"/>
      <c r="L2337" s="13">
        <f>IF(OR($A2337="",AND($J2337="",$K2337="")),"",ROUND(N($J2337)-N($K2337),2))</f>
        <v/>
      </c>
      <c r="M2337" s="13">
        <f>IF(OR($A2337="",AND($J2337="",$K2337="")),"",MIN($J2337,$K2337))</f>
        <v/>
      </c>
      <c r="Q2337">
        <f>IF($A2337="","",$D2337&amp;"("&amp;SUBSTITUTE($E2337," ","")&amp;")")</f>
        <v/>
      </c>
      <c r="R2337">
        <f>IF($A2337="","",$B2337&amp;" - "&amp;$C2337)</f>
        <v/>
      </c>
      <c r="S2337">
        <f>IF($A2337="","",$R2337&amp;"|"&amp;$Q2337)</f>
        <v/>
      </c>
      <c r="T2337">
        <f>IF($A2337="","",$S2337&amp;"|"&amp;$F2337)</f>
        <v/>
      </c>
      <c r="U2337">
        <f>IF($A2337="","",$R2337&amp;"("&amp;$E2337&amp;")")</f>
        <v/>
      </c>
      <c r="V2337">
        <f>IF($A2337="","",$F2337&amp;"|"&amp;$U2337&amp;"|"&amp;$D2337)</f>
        <v/>
      </c>
      <c r="W2337">
        <f>IF($T2337="","",IF($X2337&gt;N($X2336),$X2337,""))</f>
        <v/>
      </c>
      <c r="X2337">
        <f>IF($T2337="",N($X2336),IF(MATCH($T2337,$T$6:$T$6005,0)=ROW()-5,N($X2336)+1,N($X2336)))</f>
        <v/>
      </c>
      <c r="Z2337">
        <f>IF($V2337="","",IF($AA2337&gt;N($AA2336),$AA2337,""))</f>
        <v/>
      </c>
      <c r="AA2337">
        <f>IF($V2337="",N($AA2336),IF(MATCH($V2337,$V$6:$V$6005,0)=ROW()-5,N($AA2336)+1,N($AA2336)))</f>
        <v/>
      </c>
    </row>
    <row r="2338" ht="21" customHeight="1" s="66">
      <c r="A2338" s="56" t="n"/>
      <c r="B2338" s="57" t="n"/>
      <c r="C2338" s="57" t="n"/>
      <c r="D2338" s="57" t="n"/>
      <c r="E2338" s="56" t="n"/>
      <c r="F2338" s="57" t="n"/>
      <c r="G2338" s="57" t="n"/>
      <c r="H2338" s="56" t="n"/>
      <c r="I2338" s="56" t="n"/>
      <c r="J2338" s="58" t="n"/>
      <c r="K2338" s="58" t="n"/>
      <c r="L2338" s="13">
        <f>IF(OR($A2338="",AND($J2338="",$K2338="")),"",ROUND(N($J2338)-N($K2338),2))</f>
        <v/>
      </c>
      <c r="M2338" s="13">
        <f>IF(OR($A2338="",AND($J2338="",$K2338="")),"",MIN($J2338,$K2338))</f>
        <v/>
      </c>
      <c r="Q2338">
        <f>IF($A2338="","",$D2338&amp;"("&amp;SUBSTITUTE($E2338," ","")&amp;")")</f>
        <v/>
      </c>
      <c r="R2338">
        <f>IF($A2338="","",$B2338&amp;" - "&amp;$C2338)</f>
        <v/>
      </c>
      <c r="S2338">
        <f>IF($A2338="","",$R2338&amp;"|"&amp;$Q2338)</f>
        <v/>
      </c>
      <c r="T2338">
        <f>IF($A2338="","",$S2338&amp;"|"&amp;$F2338)</f>
        <v/>
      </c>
      <c r="U2338">
        <f>IF($A2338="","",$R2338&amp;"("&amp;$E2338&amp;")")</f>
        <v/>
      </c>
      <c r="V2338">
        <f>IF($A2338="","",$F2338&amp;"|"&amp;$U2338&amp;"|"&amp;$D2338)</f>
        <v/>
      </c>
      <c r="W2338">
        <f>IF($T2338="","",IF($X2338&gt;N($X2337),$X2338,""))</f>
        <v/>
      </c>
      <c r="X2338">
        <f>IF($T2338="",N($X2337),IF(MATCH($T2338,$T$6:$T$6005,0)=ROW()-5,N($X2337)+1,N($X2337)))</f>
        <v/>
      </c>
      <c r="Z2338">
        <f>IF($V2338="","",IF($AA2338&gt;N($AA2337),$AA2338,""))</f>
        <v/>
      </c>
      <c r="AA2338">
        <f>IF($V2338="",N($AA2337),IF(MATCH($V2338,$V$6:$V$6005,0)=ROW()-5,N($AA2337)+1,N($AA2337)))</f>
        <v/>
      </c>
    </row>
    <row r="2339" ht="21" customHeight="1" s="66">
      <c r="A2339" s="56" t="n"/>
      <c r="B2339" s="57" t="n"/>
      <c r="C2339" s="57" t="n"/>
      <c r="D2339" s="57" t="n"/>
      <c r="E2339" s="56" t="n"/>
      <c r="F2339" s="57" t="n"/>
      <c r="G2339" s="57" t="n"/>
      <c r="H2339" s="56" t="n"/>
      <c r="I2339" s="56" t="n"/>
      <c r="J2339" s="58" t="n"/>
      <c r="K2339" s="58" t="n"/>
      <c r="L2339" s="13">
        <f>IF(OR($A2339="",AND($J2339="",$K2339="")),"",ROUND(N($J2339)-N($K2339),2))</f>
        <v/>
      </c>
      <c r="M2339" s="13">
        <f>IF(OR($A2339="",AND($J2339="",$K2339="")),"",MIN($J2339,$K2339))</f>
        <v/>
      </c>
      <c r="Q2339">
        <f>IF($A2339="","",$D2339&amp;"("&amp;SUBSTITUTE($E2339," ","")&amp;")")</f>
        <v/>
      </c>
      <c r="R2339">
        <f>IF($A2339="","",$B2339&amp;" - "&amp;$C2339)</f>
        <v/>
      </c>
      <c r="S2339">
        <f>IF($A2339="","",$R2339&amp;"|"&amp;$Q2339)</f>
        <v/>
      </c>
      <c r="T2339">
        <f>IF($A2339="","",$S2339&amp;"|"&amp;$F2339)</f>
        <v/>
      </c>
      <c r="U2339">
        <f>IF($A2339="","",$R2339&amp;"("&amp;$E2339&amp;")")</f>
        <v/>
      </c>
      <c r="V2339">
        <f>IF($A2339="","",$F2339&amp;"|"&amp;$U2339&amp;"|"&amp;$D2339)</f>
        <v/>
      </c>
      <c r="W2339">
        <f>IF($T2339="","",IF($X2339&gt;N($X2338),$X2339,""))</f>
        <v/>
      </c>
      <c r="X2339">
        <f>IF($T2339="",N($X2338),IF(MATCH($T2339,$T$6:$T$6005,0)=ROW()-5,N($X2338)+1,N($X2338)))</f>
        <v/>
      </c>
      <c r="Z2339">
        <f>IF($V2339="","",IF($AA2339&gt;N($AA2338),$AA2339,""))</f>
        <v/>
      </c>
      <c r="AA2339">
        <f>IF($V2339="",N($AA2338),IF(MATCH($V2339,$V$6:$V$6005,0)=ROW()-5,N($AA2338)+1,N($AA2338)))</f>
        <v/>
      </c>
    </row>
    <row r="2340" ht="21" customHeight="1" s="66">
      <c r="A2340" s="56" t="n"/>
      <c r="B2340" s="57" t="n"/>
      <c r="C2340" s="57" t="n"/>
      <c r="D2340" s="57" t="n"/>
      <c r="E2340" s="56" t="n"/>
      <c r="F2340" s="57" t="n"/>
      <c r="G2340" s="57" t="n"/>
      <c r="H2340" s="56" t="n"/>
      <c r="I2340" s="56" t="n"/>
      <c r="J2340" s="58" t="n"/>
      <c r="K2340" s="58" t="n"/>
      <c r="L2340" s="13">
        <f>IF(OR($A2340="",AND($J2340="",$K2340="")),"",ROUND(N($J2340)-N($K2340),2))</f>
        <v/>
      </c>
      <c r="M2340" s="13">
        <f>IF(OR($A2340="",AND($J2340="",$K2340="")),"",MIN($J2340,$K2340))</f>
        <v/>
      </c>
      <c r="Q2340">
        <f>IF($A2340="","",$D2340&amp;"("&amp;SUBSTITUTE($E2340," ","")&amp;")")</f>
        <v/>
      </c>
      <c r="R2340">
        <f>IF($A2340="","",$B2340&amp;" - "&amp;$C2340)</f>
        <v/>
      </c>
      <c r="S2340">
        <f>IF($A2340="","",$R2340&amp;"|"&amp;$Q2340)</f>
        <v/>
      </c>
      <c r="T2340">
        <f>IF($A2340="","",$S2340&amp;"|"&amp;$F2340)</f>
        <v/>
      </c>
      <c r="U2340">
        <f>IF($A2340="","",$R2340&amp;"("&amp;$E2340&amp;")")</f>
        <v/>
      </c>
      <c r="V2340">
        <f>IF($A2340="","",$F2340&amp;"|"&amp;$U2340&amp;"|"&amp;$D2340)</f>
        <v/>
      </c>
      <c r="W2340">
        <f>IF($T2340="","",IF($X2340&gt;N($X2339),$X2340,""))</f>
        <v/>
      </c>
      <c r="X2340">
        <f>IF($T2340="",N($X2339),IF(MATCH($T2340,$T$6:$T$6005,0)=ROW()-5,N($X2339)+1,N($X2339)))</f>
        <v/>
      </c>
      <c r="Z2340">
        <f>IF($V2340="","",IF($AA2340&gt;N($AA2339),$AA2340,""))</f>
        <v/>
      </c>
      <c r="AA2340">
        <f>IF($V2340="",N($AA2339),IF(MATCH($V2340,$V$6:$V$6005,0)=ROW()-5,N($AA2339)+1,N($AA2339)))</f>
        <v/>
      </c>
    </row>
    <row r="2341" ht="21" customHeight="1" s="66">
      <c r="A2341" s="56" t="n"/>
      <c r="B2341" s="57" t="n"/>
      <c r="C2341" s="57" t="n"/>
      <c r="D2341" s="57" t="n"/>
      <c r="E2341" s="56" t="n"/>
      <c r="F2341" s="57" t="n"/>
      <c r="G2341" s="57" t="n"/>
      <c r="H2341" s="56" t="n"/>
      <c r="I2341" s="56" t="n"/>
      <c r="J2341" s="58" t="n"/>
      <c r="K2341" s="58" t="n"/>
      <c r="L2341" s="13">
        <f>IF(OR($A2341="",AND($J2341="",$K2341="")),"",ROUND(N($J2341)-N($K2341),2))</f>
        <v/>
      </c>
      <c r="M2341" s="13">
        <f>IF(OR($A2341="",AND($J2341="",$K2341="")),"",MIN($J2341,$K2341))</f>
        <v/>
      </c>
      <c r="Q2341">
        <f>IF($A2341="","",$D2341&amp;"("&amp;SUBSTITUTE($E2341," ","")&amp;")")</f>
        <v/>
      </c>
      <c r="R2341">
        <f>IF($A2341="","",$B2341&amp;" - "&amp;$C2341)</f>
        <v/>
      </c>
      <c r="S2341">
        <f>IF($A2341="","",$R2341&amp;"|"&amp;$Q2341)</f>
        <v/>
      </c>
      <c r="T2341">
        <f>IF($A2341="","",$S2341&amp;"|"&amp;$F2341)</f>
        <v/>
      </c>
      <c r="U2341">
        <f>IF($A2341="","",$R2341&amp;"("&amp;$E2341&amp;")")</f>
        <v/>
      </c>
      <c r="V2341">
        <f>IF($A2341="","",$F2341&amp;"|"&amp;$U2341&amp;"|"&amp;$D2341)</f>
        <v/>
      </c>
      <c r="W2341">
        <f>IF($T2341="","",IF($X2341&gt;N($X2340),$X2341,""))</f>
        <v/>
      </c>
      <c r="X2341">
        <f>IF($T2341="",N($X2340),IF(MATCH($T2341,$T$6:$T$6005,0)=ROW()-5,N($X2340)+1,N($X2340)))</f>
        <v/>
      </c>
      <c r="Z2341">
        <f>IF($V2341="","",IF($AA2341&gt;N($AA2340),$AA2341,""))</f>
        <v/>
      </c>
      <c r="AA2341">
        <f>IF($V2341="",N($AA2340),IF(MATCH($V2341,$V$6:$V$6005,0)=ROW()-5,N($AA2340)+1,N($AA2340)))</f>
        <v/>
      </c>
    </row>
    <row r="2342" ht="21" customHeight="1" s="66">
      <c r="A2342" s="56" t="n"/>
      <c r="B2342" s="57" t="n"/>
      <c r="C2342" s="57" t="n"/>
      <c r="D2342" s="57" t="n"/>
      <c r="E2342" s="56" t="n"/>
      <c r="F2342" s="57" t="n"/>
      <c r="G2342" s="57" t="n"/>
      <c r="H2342" s="56" t="n"/>
      <c r="I2342" s="56" t="n"/>
      <c r="J2342" s="58" t="n"/>
      <c r="K2342" s="58" t="n"/>
      <c r="L2342" s="13">
        <f>IF(OR($A2342="",AND($J2342="",$K2342="")),"",ROUND(N($J2342)-N($K2342),2))</f>
        <v/>
      </c>
      <c r="M2342" s="13">
        <f>IF(OR($A2342="",AND($J2342="",$K2342="")),"",MIN($J2342,$K2342))</f>
        <v/>
      </c>
      <c r="Q2342">
        <f>IF($A2342="","",$D2342&amp;"("&amp;SUBSTITUTE($E2342," ","")&amp;")")</f>
        <v/>
      </c>
      <c r="R2342">
        <f>IF($A2342="","",$B2342&amp;" - "&amp;$C2342)</f>
        <v/>
      </c>
      <c r="S2342">
        <f>IF($A2342="","",$R2342&amp;"|"&amp;$Q2342)</f>
        <v/>
      </c>
      <c r="T2342">
        <f>IF($A2342="","",$S2342&amp;"|"&amp;$F2342)</f>
        <v/>
      </c>
      <c r="U2342">
        <f>IF($A2342="","",$R2342&amp;"("&amp;$E2342&amp;")")</f>
        <v/>
      </c>
      <c r="V2342">
        <f>IF($A2342="","",$F2342&amp;"|"&amp;$U2342&amp;"|"&amp;$D2342)</f>
        <v/>
      </c>
      <c r="W2342">
        <f>IF($T2342="","",IF($X2342&gt;N($X2341),$X2342,""))</f>
        <v/>
      </c>
      <c r="X2342">
        <f>IF($T2342="",N($X2341),IF(MATCH($T2342,$T$6:$T$6005,0)=ROW()-5,N($X2341)+1,N($X2341)))</f>
        <v/>
      </c>
      <c r="Z2342">
        <f>IF($V2342="","",IF($AA2342&gt;N($AA2341),$AA2342,""))</f>
        <v/>
      </c>
      <c r="AA2342">
        <f>IF($V2342="",N($AA2341),IF(MATCH($V2342,$V$6:$V$6005,0)=ROW()-5,N($AA2341)+1,N($AA2341)))</f>
        <v/>
      </c>
    </row>
    <row r="2343" ht="21" customHeight="1" s="66">
      <c r="A2343" s="56" t="n"/>
      <c r="B2343" s="57" t="n"/>
      <c r="C2343" s="57" t="n"/>
      <c r="D2343" s="57" t="n"/>
      <c r="E2343" s="56" t="n"/>
      <c r="F2343" s="57" t="n"/>
      <c r="G2343" s="57" t="n"/>
      <c r="H2343" s="56" t="n"/>
      <c r="I2343" s="56" t="n"/>
      <c r="J2343" s="58" t="n"/>
      <c r="K2343" s="58" t="n"/>
      <c r="L2343" s="13">
        <f>IF(OR($A2343="",AND($J2343="",$K2343="")),"",ROUND(N($J2343)-N($K2343),2))</f>
        <v/>
      </c>
      <c r="M2343" s="13">
        <f>IF(OR($A2343="",AND($J2343="",$K2343="")),"",MIN($J2343,$K2343))</f>
        <v/>
      </c>
      <c r="Q2343">
        <f>IF($A2343="","",$D2343&amp;"("&amp;SUBSTITUTE($E2343," ","")&amp;")")</f>
        <v/>
      </c>
      <c r="R2343">
        <f>IF($A2343="","",$B2343&amp;" - "&amp;$C2343)</f>
        <v/>
      </c>
      <c r="S2343">
        <f>IF($A2343="","",$R2343&amp;"|"&amp;$Q2343)</f>
        <v/>
      </c>
      <c r="T2343">
        <f>IF($A2343="","",$S2343&amp;"|"&amp;$F2343)</f>
        <v/>
      </c>
      <c r="U2343">
        <f>IF($A2343="","",$R2343&amp;"("&amp;$E2343&amp;")")</f>
        <v/>
      </c>
      <c r="V2343">
        <f>IF($A2343="","",$F2343&amp;"|"&amp;$U2343&amp;"|"&amp;$D2343)</f>
        <v/>
      </c>
      <c r="W2343">
        <f>IF($T2343="","",IF($X2343&gt;N($X2342),$X2343,""))</f>
        <v/>
      </c>
      <c r="X2343">
        <f>IF($T2343="",N($X2342),IF(MATCH($T2343,$T$6:$T$6005,0)=ROW()-5,N($X2342)+1,N($X2342)))</f>
        <v/>
      </c>
      <c r="Z2343">
        <f>IF($V2343="","",IF($AA2343&gt;N($AA2342),$AA2343,""))</f>
        <v/>
      </c>
      <c r="AA2343">
        <f>IF($V2343="",N($AA2342),IF(MATCH($V2343,$V$6:$V$6005,0)=ROW()-5,N($AA2342)+1,N($AA2342)))</f>
        <v/>
      </c>
    </row>
    <row r="2344" ht="21" customHeight="1" s="66">
      <c r="A2344" s="56" t="n"/>
      <c r="B2344" s="57" t="n"/>
      <c r="C2344" s="57" t="n"/>
      <c r="D2344" s="57" t="n"/>
      <c r="E2344" s="56" t="n"/>
      <c r="F2344" s="57" t="n"/>
      <c r="G2344" s="57" t="n"/>
      <c r="H2344" s="56" t="n"/>
      <c r="I2344" s="56" t="n"/>
      <c r="J2344" s="58" t="n"/>
      <c r="K2344" s="58" t="n"/>
      <c r="L2344" s="13">
        <f>IF(OR($A2344="",AND($J2344="",$K2344="")),"",ROUND(N($J2344)-N($K2344),2))</f>
        <v/>
      </c>
      <c r="M2344" s="13">
        <f>IF(OR($A2344="",AND($J2344="",$K2344="")),"",MIN($J2344,$K2344))</f>
        <v/>
      </c>
      <c r="Q2344">
        <f>IF($A2344="","",$D2344&amp;"("&amp;SUBSTITUTE($E2344," ","")&amp;")")</f>
        <v/>
      </c>
      <c r="R2344">
        <f>IF($A2344="","",$B2344&amp;" - "&amp;$C2344)</f>
        <v/>
      </c>
      <c r="S2344">
        <f>IF($A2344="","",$R2344&amp;"|"&amp;$Q2344)</f>
        <v/>
      </c>
      <c r="T2344">
        <f>IF($A2344="","",$S2344&amp;"|"&amp;$F2344)</f>
        <v/>
      </c>
      <c r="U2344">
        <f>IF($A2344="","",$R2344&amp;"("&amp;$E2344&amp;")")</f>
        <v/>
      </c>
      <c r="V2344">
        <f>IF($A2344="","",$F2344&amp;"|"&amp;$U2344&amp;"|"&amp;$D2344)</f>
        <v/>
      </c>
      <c r="W2344">
        <f>IF($T2344="","",IF($X2344&gt;N($X2343),$X2344,""))</f>
        <v/>
      </c>
      <c r="X2344">
        <f>IF($T2344="",N($X2343),IF(MATCH($T2344,$T$6:$T$6005,0)=ROW()-5,N($X2343)+1,N($X2343)))</f>
        <v/>
      </c>
      <c r="Z2344">
        <f>IF($V2344="","",IF($AA2344&gt;N($AA2343),$AA2344,""))</f>
        <v/>
      </c>
      <c r="AA2344">
        <f>IF($V2344="",N($AA2343),IF(MATCH($V2344,$V$6:$V$6005,0)=ROW()-5,N($AA2343)+1,N($AA2343)))</f>
        <v/>
      </c>
    </row>
    <row r="2345" ht="21" customHeight="1" s="66">
      <c r="A2345" s="56" t="n"/>
      <c r="B2345" s="57" t="n"/>
      <c r="C2345" s="57" t="n"/>
      <c r="D2345" s="57" t="n"/>
      <c r="E2345" s="56" t="n"/>
      <c r="F2345" s="57" t="n"/>
      <c r="G2345" s="57" t="n"/>
      <c r="H2345" s="56" t="n"/>
      <c r="I2345" s="56" t="n"/>
      <c r="J2345" s="58" t="n"/>
      <c r="K2345" s="58" t="n"/>
      <c r="L2345" s="13">
        <f>IF(OR($A2345="",AND($J2345="",$K2345="")),"",ROUND(N($J2345)-N($K2345),2))</f>
        <v/>
      </c>
      <c r="M2345" s="13">
        <f>IF(OR($A2345="",AND($J2345="",$K2345="")),"",MIN($J2345,$K2345))</f>
        <v/>
      </c>
      <c r="Q2345">
        <f>IF($A2345="","",$D2345&amp;"("&amp;SUBSTITUTE($E2345," ","")&amp;")")</f>
        <v/>
      </c>
      <c r="R2345">
        <f>IF($A2345="","",$B2345&amp;" - "&amp;$C2345)</f>
        <v/>
      </c>
      <c r="S2345">
        <f>IF($A2345="","",$R2345&amp;"|"&amp;$Q2345)</f>
        <v/>
      </c>
      <c r="T2345">
        <f>IF($A2345="","",$S2345&amp;"|"&amp;$F2345)</f>
        <v/>
      </c>
      <c r="U2345">
        <f>IF($A2345="","",$R2345&amp;"("&amp;$E2345&amp;")")</f>
        <v/>
      </c>
      <c r="V2345">
        <f>IF($A2345="","",$F2345&amp;"|"&amp;$U2345&amp;"|"&amp;$D2345)</f>
        <v/>
      </c>
      <c r="W2345">
        <f>IF($T2345="","",IF($X2345&gt;N($X2344),$X2345,""))</f>
        <v/>
      </c>
      <c r="X2345">
        <f>IF($T2345="",N($X2344),IF(MATCH($T2345,$T$6:$T$6005,0)=ROW()-5,N($X2344)+1,N($X2344)))</f>
        <v/>
      </c>
      <c r="Z2345">
        <f>IF($V2345="","",IF($AA2345&gt;N($AA2344),$AA2345,""))</f>
        <v/>
      </c>
      <c r="AA2345">
        <f>IF($V2345="",N($AA2344),IF(MATCH($V2345,$V$6:$V$6005,0)=ROW()-5,N($AA2344)+1,N($AA2344)))</f>
        <v/>
      </c>
    </row>
    <row r="2346" ht="21" customHeight="1" s="66">
      <c r="A2346" s="56" t="n"/>
      <c r="B2346" s="57" t="n"/>
      <c r="C2346" s="57" t="n"/>
      <c r="D2346" s="57" t="n"/>
      <c r="E2346" s="56" t="n"/>
      <c r="F2346" s="57" t="n"/>
      <c r="G2346" s="57" t="n"/>
      <c r="H2346" s="56" t="n"/>
      <c r="I2346" s="56" t="n"/>
      <c r="J2346" s="58" t="n"/>
      <c r="K2346" s="58" t="n"/>
      <c r="L2346" s="13">
        <f>IF(OR($A2346="",AND($J2346="",$K2346="")),"",ROUND(N($J2346)-N($K2346),2))</f>
        <v/>
      </c>
      <c r="M2346" s="13">
        <f>IF(OR($A2346="",AND($J2346="",$K2346="")),"",MIN($J2346,$K2346))</f>
        <v/>
      </c>
      <c r="Q2346">
        <f>IF($A2346="","",$D2346&amp;"("&amp;SUBSTITUTE($E2346," ","")&amp;")")</f>
        <v/>
      </c>
      <c r="R2346">
        <f>IF($A2346="","",$B2346&amp;" - "&amp;$C2346)</f>
        <v/>
      </c>
      <c r="S2346">
        <f>IF($A2346="","",$R2346&amp;"|"&amp;$Q2346)</f>
        <v/>
      </c>
      <c r="T2346">
        <f>IF($A2346="","",$S2346&amp;"|"&amp;$F2346)</f>
        <v/>
      </c>
      <c r="U2346">
        <f>IF($A2346="","",$R2346&amp;"("&amp;$E2346&amp;")")</f>
        <v/>
      </c>
      <c r="V2346">
        <f>IF($A2346="","",$F2346&amp;"|"&amp;$U2346&amp;"|"&amp;$D2346)</f>
        <v/>
      </c>
      <c r="W2346">
        <f>IF($T2346="","",IF($X2346&gt;N($X2345),$X2346,""))</f>
        <v/>
      </c>
      <c r="X2346">
        <f>IF($T2346="",N($X2345),IF(MATCH($T2346,$T$6:$T$6005,0)=ROW()-5,N($X2345)+1,N($X2345)))</f>
        <v/>
      </c>
      <c r="Z2346">
        <f>IF($V2346="","",IF($AA2346&gt;N($AA2345),$AA2346,""))</f>
        <v/>
      </c>
      <c r="AA2346">
        <f>IF($V2346="",N($AA2345),IF(MATCH($V2346,$V$6:$V$6005,0)=ROW()-5,N($AA2345)+1,N($AA2345)))</f>
        <v/>
      </c>
    </row>
    <row r="2347" ht="21" customHeight="1" s="66">
      <c r="A2347" s="56" t="n"/>
      <c r="B2347" s="57" t="n"/>
      <c r="C2347" s="57" t="n"/>
      <c r="D2347" s="57" t="n"/>
      <c r="E2347" s="56" t="n"/>
      <c r="F2347" s="57" t="n"/>
      <c r="G2347" s="57" t="n"/>
      <c r="H2347" s="56" t="n"/>
      <c r="I2347" s="56" t="n"/>
      <c r="J2347" s="58" t="n"/>
      <c r="K2347" s="58" t="n"/>
      <c r="L2347" s="13">
        <f>IF(OR($A2347="",AND($J2347="",$K2347="")),"",ROUND(N($J2347)-N($K2347),2))</f>
        <v/>
      </c>
      <c r="M2347" s="13">
        <f>IF(OR($A2347="",AND($J2347="",$K2347="")),"",MIN($J2347,$K2347))</f>
        <v/>
      </c>
      <c r="Q2347">
        <f>IF($A2347="","",$D2347&amp;"("&amp;SUBSTITUTE($E2347," ","")&amp;")")</f>
        <v/>
      </c>
      <c r="R2347">
        <f>IF($A2347="","",$B2347&amp;" - "&amp;$C2347)</f>
        <v/>
      </c>
      <c r="S2347">
        <f>IF($A2347="","",$R2347&amp;"|"&amp;$Q2347)</f>
        <v/>
      </c>
      <c r="T2347">
        <f>IF($A2347="","",$S2347&amp;"|"&amp;$F2347)</f>
        <v/>
      </c>
      <c r="U2347">
        <f>IF($A2347="","",$R2347&amp;"("&amp;$E2347&amp;")")</f>
        <v/>
      </c>
      <c r="V2347">
        <f>IF($A2347="","",$F2347&amp;"|"&amp;$U2347&amp;"|"&amp;$D2347)</f>
        <v/>
      </c>
      <c r="W2347">
        <f>IF($T2347="","",IF($X2347&gt;N($X2346),$X2347,""))</f>
        <v/>
      </c>
      <c r="X2347">
        <f>IF($T2347="",N($X2346),IF(MATCH($T2347,$T$6:$T$6005,0)=ROW()-5,N($X2346)+1,N($X2346)))</f>
        <v/>
      </c>
      <c r="Z2347">
        <f>IF($V2347="","",IF($AA2347&gt;N($AA2346),$AA2347,""))</f>
        <v/>
      </c>
      <c r="AA2347">
        <f>IF($V2347="",N($AA2346),IF(MATCH($V2347,$V$6:$V$6005,0)=ROW()-5,N($AA2346)+1,N($AA2346)))</f>
        <v/>
      </c>
    </row>
    <row r="2348" ht="21" customHeight="1" s="66">
      <c r="A2348" s="56" t="n"/>
      <c r="B2348" s="57" t="n"/>
      <c r="C2348" s="57" t="n"/>
      <c r="D2348" s="57" t="n"/>
      <c r="E2348" s="56" t="n"/>
      <c r="F2348" s="57" t="n"/>
      <c r="G2348" s="57" t="n"/>
      <c r="H2348" s="56" t="n"/>
      <c r="I2348" s="56" t="n"/>
      <c r="J2348" s="58" t="n"/>
      <c r="K2348" s="58" t="n"/>
      <c r="L2348" s="13">
        <f>IF(OR($A2348="",AND($J2348="",$K2348="")),"",ROUND(N($J2348)-N($K2348),2))</f>
        <v/>
      </c>
      <c r="M2348" s="13">
        <f>IF(OR($A2348="",AND($J2348="",$K2348="")),"",MIN($J2348,$K2348))</f>
        <v/>
      </c>
      <c r="Q2348">
        <f>IF($A2348="","",$D2348&amp;"("&amp;SUBSTITUTE($E2348," ","")&amp;")")</f>
        <v/>
      </c>
      <c r="R2348">
        <f>IF($A2348="","",$B2348&amp;" - "&amp;$C2348)</f>
        <v/>
      </c>
      <c r="S2348">
        <f>IF($A2348="","",$R2348&amp;"|"&amp;$Q2348)</f>
        <v/>
      </c>
      <c r="T2348">
        <f>IF($A2348="","",$S2348&amp;"|"&amp;$F2348)</f>
        <v/>
      </c>
      <c r="U2348">
        <f>IF($A2348="","",$R2348&amp;"("&amp;$E2348&amp;")")</f>
        <v/>
      </c>
      <c r="V2348">
        <f>IF($A2348="","",$F2348&amp;"|"&amp;$U2348&amp;"|"&amp;$D2348)</f>
        <v/>
      </c>
      <c r="W2348">
        <f>IF($T2348="","",IF($X2348&gt;N($X2347),$X2348,""))</f>
        <v/>
      </c>
      <c r="X2348">
        <f>IF($T2348="",N($X2347),IF(MATCH($T2348,$T$6:$T$6005,0)=ROW()-5,N($X2347)+1,N($X2347)))</f>
        <v/>
      </c>
      <c r="Z2348">
        <f>IF($V2348="","",IF($AA2348&gt;N($AA2347),$AA2348,""))</f>
        <v/>
      </c>
      <c r="AA2348">
        <f>IF($V2348="",N($AA2347),IF(MATCH($V2348,$V$6:$V$6005,0)=ROW()-5,N($AA2347)+1,N($AA2347)))</f>
        <v/>
      </c>
    </row>
    <row r="2349" ht="21" customHeight="1" s="66">
      <c r="A2349" s="56" t="n"/>
      <c r="B2349" s="57" t="n"/>
      <c r="C2349" s="57" t="n"/>
      <c r="D2349" s="57" t="n"/>
      <c r="E2349" s="56" t="n"/>
      <c r="F2349" s="57" t="n"/>
      <c r="G2349" s="57" t="n"/>
      <c r="H2349" s="56" t="n"/>
      <c r="I2349" s="56" t="n"/>
      <c r="J2349" s="58" t="n"/>
      <c r="K2349" s="58" t="n"/>
      <c r="L2349" s="13">
        <f>IF(OR($A2349="",AND($J2349="",$K2349="")),"",ROUND(N($J2349)-N($K2349),2))</f>
        <v/>
      </c>
      <c r="M2349" s="13">
        <f>IF(OR($A2349="",AND($J2349="",$K2349="")),"",MIN($J2349,$K2349))</f>
        <v/>
      </c>
      <c r="Q2349">
        <f>IF($A2349="","",$D2349&amp;"("&amp;SUBSTITUTE($E2349," ","")&amp;")")</f>
        <v/>
      </c>
      <c r="R2349">
        <f>IF($A2349="","",$B2349&amp;" - "&amp;$C2349)</f>
        <v/>
      </c>
      <c r="S2349">
        <f>IF($A2349="","",$R2349&amp;"|"&amp;$Q2349)</f>
        <v/>
      </c>
      <c r="T2349">
        <f>IF($A2349="","",$S2349&amp;"|"&amp;$F2349)</f>
        <v/>
      </c>
      <c r="U2349">
        <f>IF($A2349="","",$R2349&amp;"("&amp;$E2349&amp;")")</f>
        <v/>
      </c>
      <c r="V2349">
        <f>IF($A2349="","",$F2349&amp;"|"&amp;$U2349&amp;"|"&amp;$D2349)</f>
        <v/>
      </c>
      <c r="W2349">
        <f>IF($T2349="","",IF($X2349&gt;N($X2348),$X2349,""))</f>
        <v/>
      </c>
      <c r="X2349">
        <f>IF($T2349="",N($X2348),IF(MATCH($T2349,$T$6:$T$6005,0)=ROW()-5,N($X2348)+1,N($X2348)))</f>
        <v/>
      </c>
      <c r="Z2349">
        <f>IF($V2349="","",IF($AA2349&gt;N($AA2348),$AA2349,""))</f>
        <v/>
      </c>
      <c r="AA2349">
        <f>IF($V2349="",N($AA2348),IF(MATCH($V2349,$V$6:$V$6005,0)=ROW()-5,N($AA2348)+1,N($AA2348)))</f>
        <v/>
      </c>
    </row>
    <row r="2350" ht="21" customHeight="1" s="66">
      <c r="A2350" s="56" t="n"/>
      <c r="B2350" s="57" t="n"/>
      <c r="C2350" s="57" t="n"/>
      <c r="D2350" s="57" t="n"/>
      <c r="E2350" s="56" t="n"/>
      <c r="F2350" s="57" t="n"/>
      <c r="G2350" s="57" t="n"/>
      <c r="H2350" s="56" t="n"/>
      <c r="I2350" s="56" t="n"/>
      <c r="J2350" s="58" t="n"/>
      <c r="K2350" s="58" t="n"/>
      <c r="L2350" s="13">
        <f>IF(OR($A2350="",AND($J2350="",$K2350="")),"",ROUND(N($J2350)-N($K2350),2))</f>
        <v/>
      </c>
      <c r="M2350" s="13">
        <f>IF(OR($A2350="",AND($J2350="",$K2350="")),"",MIN($J2350,$K2350))</f>
        <v/>
      </c>
      <c r="Q2350">
        <f>IF($A2350="","",$D2350&amp;"("&amp;SUBSTITUTE($E2350," ","")&amp;")")</f>
        <v/>
      </c>
      <c r="R2350">
        <f>IF($A2350="","",$B2350&amp;" - "&amp;$C2350)</f>
        <v/>
      </c>
      <c r="S2350">
        <f>IF($A2350="","",$R2350&amp;"|"&amp;$Q2350)</f>
        <v/>
      </c>
      <c r="T2350">
        <f>IF($A2350="","",$S2350&amp;"|"&amp;$F2350)</f>
        <v/>
      </c>
      <c r="U2350">
        <f>IF($A2350="","",$R2350&amp;"("&amp;$E2350&amp;")")</f>
        <v/>
      </c>
      <c r="V2350">
        <f>IF($A2350="","",$F2350&amp;"|"&amp;$U2350&amp;"|"&amp;$D2350)</f>
        <v/>
      </c>
      <c r="W2350">
        <f>IF($T2350="","",IF($X2350&gt;N($X2349),$X2350,""))</f>
        <v/>
      </c>
      <c r="X2350">
        <f>IF($T2350="",N($X2349),IF(MATCH($T2350,$T$6:$T$6005,0)=ROW()-5,N($X2349)+1,N($X2349)))</f>
        <v/>
      </c>
      <c r="Z2350">
        <f>IF($V2350="","",IF($AA2350&gt;N($AA2349),$AA2350,""))</f>
        <v/>
      </c>
      <c r="AA2350">
        <f>IF($V2350="",N($AA2349),IF(MATCH($V2350,$V$6:$V$6005,0)=ROW()-5,N($AA2349)+1,N($AA2349)))</f>
        <v/>
      </c>
    </row>
    <row r="2351" ht="21" customHeight="1" s="66">
      <c r="A2351" s="56" t="n"/>
      <c r="B2351" s="57" t="n"/>
      <c r="C2351" s="57" t="n"/>
      <c r="D2351" s="57" t="n"/>
      <c r="E2351" s="56" t="n"/>
      <c r="F2351" s="57" t="n"/>
      <c r="G2351" s="57" t="n"/>
      <c r="H2351" s="56" t="n"/>
      <c r="I2351" s="56" t="n"/>
      <c r="J2351" s="58" t="n"/>
      <c r="K2351" s="58" t="n"/>
      <c r="L2351" s="13">
        <f>IF(OR($A2351="",AND($J2351="",$K2351="")),"",ROUND(N($J2351)-N($K2351),2))</f>
        <v/>
      </c>
      <c r="M2351" s="13">
        <f>IF(OR($A2351="",AND($J2351="",$K2351="")),"",MIN($J2351,$K2351))</f>
        <v/>
      </c>
      <c r="Q2351">
        <f>IF($A2351="","",$D2351&amp;"("&amp;SUBSTITUTE($E2351," ","")&amp;")")</f>
        <v/>
      </c>
      <c r="R2351">
        <f>IF($A2351="","",$B2351&amp;" - "&amp;$C2351)</f>
        <v/>
      </c>
      <c r="S2351">
        <f>IF($A2351="","",$R2351&amp;"|"&amp;$Q2351)</f>
        <v/>
      </c>
      <c r="T2351">
        <f>IF($A2351="","",$S2351&amp;"|"&amp;$F2351)</f>
        <v/>
      </c>
      <c r="U2351">
        <f>IF($A2351="","",$R2351&amp;"("&amp;$E2351&amp;")")</f>
        <v/>
      </c>
      <c r="V2351">
        <f>IF($A2351="","",$F2351&amp;"|"&amp;$U2351&amp;"|"&amp;$D2351)</f>
        <v/>
      </c>
      <c r="W2351">
        <f>IF($T2351="","",IF($X2351&gt;N($X2350),$X2351,""))</f>
        <v/>
      </c>
      <c r="X2351">
        <f>IF($T2351="",N($X2350),IF(MATCH($T2351,$T$6:$T$6005,0)=ROW()-5,N($X2350)+1,N($X2350)))</f>
        <v/>
      </c>
      <c r="Z2351">
        <f>IF($V2351="","",IF($AA2351&gt;N($AA2350),$AA2351,""))</f>
        <v/>
      </c>
      <c r="AA2351">
        <f>IF($V2351="",N($AA2350),IF(MATCH($V2351,$V$6:$V$6005,0)=ROW()-5,N($AA2350)+1,N($AA2350)))</f>
        <v/>
      </c>
    </row>
    <row r="2352" ht="21" customHeight="1" s="66">
      <c r="A2352" s="56" t="n"/>
      <c r="B2352" s="57" t="n"/>
      <c r="C2352" s="57" t="n"/>
      <c r="D2352" s="57" t="n"/>
      <c r="E2352" s="56" t="n"/>
      <c r="F2352" s="57" t="n"/>
      <c r="G2352" s="57" t="n"/>
      <c r="H2352" s="56" t="n"/>
      <c r="I2352" s="56" t="n"/>
      <c r="J2352" s="58" t="n"/>
      <c r="K2352" s="58" t="n"/>
      <c r="L2352" s="13">
        <f>IF(OR($A2352="",AND($J2352="",$K2352="")),"",ROUND(N($J2352)-N($K2352),2))</f>
        <v/>
      </c>
      <c r="M2352" s="13">
        <f>IF(OR($A2352="",AND($J2352="",$K2352="")),"",MIN($J2352,$K2352))</f>
        <v/>
      </c>
      <c r="Q2352">
        <f>IF($A2352="","",$D2352&amp;"("&amp;SUBSTITUTE($E2352," ","")&amp;")")</f>
        <v/>
      </c>
      <c r="R2352">
        <f>IF($A2352="","",$B2352&amp;" - "&amp;$C2352)</f>
        <v/>
      </c>
      <c r="S2352">
        <f>IF($A2352="","",$R2352&amp;"|"&amp;$Q2352)</f>
        <v/>
      </c>
      <c r="T2352">
        <f>IF($A2352="","",$S2352&amp;"|"&amp;$F2352)</f>
        <v/>
      </c>
      <c r="U2352">
        <f>IF($A2352="","",$R2352&amp;"("&amp;$E2352&amp;")")</f>
        <v/>
      </c>
      <c r="V2352">
        <f>IF($A2352="","",$F2352&amp;"|"&amp;$U2352&amp;"|"&amp;$D2352)</f>
        <v/>
      </c>
      <c r="W2352">
        <f>IF($T2352="","",IF($X2352&gt;N($X2351),$X2352,""))</f>
        <v/>
      </c>
      <c r="X2352">
        <f>IF($T2352="",N($X2351),IF(MATCH($T2352,$T$6:$T$6005,0)=ROW()-5,N($X2351)+1,N($X2351)))</f>
        <v/>
      </c>
      <c r="Z2352">
        <f>IF($V2352="","",IF($AA2352&gt;N($AA2351),$AA2352,""))</f>
        <v/>
      </c>
      <c r="AA2352">
        <f>IF($V2352="",N($AA2351),IF(MATCH($V2352,$V$6:$V$6005,0)=ROW()-5,N($AA2351)+1,N($AA2351)))</f>
        <v/>
      </c>
    </row>
    <row r="2353" ht="21" customHeight="1" s="66">
      <c r="A2353" s="56" t="n"/>
      <c r="B2353" s="57" t="n"/>
      <c r="C2353" s="57" t="n"/>
      <c r="D2353" s="57" t="n"/>
      <c r="E2353" s="56" t="n"/>
      <c r="F2353" s="57" t="n"/>
      <c r="G2353" s="57" t="n"/>
      <c r="H2353" s="56" t="n"/>
      <c r="I2353" s="56" t="n"/>
      <c r="J2353" s="58" t="n"/>
      <c r="K2353" s="58" t="n"/>
      <c r="L2353" s="13">
        <f>IF(OR($A2353="",AND($J2353="",$K2353="")),"",ROUND(N($J2353)-N($K2353),2))</f>
        <v/>
      </c>
      <c r="M2353" s="13">
        <f>IF(OR($A2353="",AND($J2353="",$K2353="")),"",MIN($J2353,$K2353))</f>
        <v/>
      </c>
      <c r="Q2353">
        <f>IF($A2353="","",$D2353&amp;"("&amp;SUBSTITUTE($E2353," ","")&amp;")")</f>
        <v/>
      </c>
      <c r="R2353">
        <f>IF($A2353="","",$B2353&amp;" - "&amp;$C2353)</f>
        <v/>
      </c>
      <c r="S2353">
        <f>IF($A2353="","",$R2353&amp;"|"&amp;$Q2353)</f>
        <v/>
      </c>
      <c r="T2353">
        <f>IF($A2353="","",$S2353&amp;"|"&amp;$F2353)</f>
        <v/>
      </c>
      <c r="U2353">
        <f>IF($A2353="","",$R2353&amp;"("&amp;$E2353&amp;")")</f>
        <v/>
      </c>
      <c r="V2353">
        <f>IF($A2353="","",$F2353&amp;"|"&amp;$U2353&amp;"|"&amp;$D2353)</f>
        <v/>
      </c>
      <c r="W2353">
        <f>IF($T2353="","",IF($X2353&gt;N($X2352),$X2353,""))</f>
        <v/>
      </c>
      <c r="X2353">
        <f>IF($T2353="",N($X2352),IF(MATCH($T2353,$T$6:$T$6005,0)=ROW()-5,N($X2352)+1,N($X2352)))</f>
        <v/>
      </c>
      <c r="Z2353">
        <f>IF($V2353="","",IF($AA2353&gt;N($AA2352),$AA2353,""))</f>
        <v/>
      </c>
      <c r="AA2353">
        <f>IF($V2353="",N($AA2352),IF(MATCH($V2353,$V$6:$V$6005,0)=ROW()-5,N($AA2352)+1,N($AA2352)))</f>
        <v/>
      </c>
    </row>
    <row r="2354" ht="21" customHeight="1" s="66">
      <c r="A2354" s="56" t="n"/>
      <c r="B2354" s="57" t="n"/>
      <c r="C2354" s="57" t="n"/>
      <c r="D2354" s="57" t="n"/>
      <c r="E2354" s="56" t="n"/>
      <c r="F2354" s="57" t="n"/>
      <c r="G2354" s="57" t="n"/>
      <c r="H2354" s="56" t="n"/>
      <c r="I2354" s="56" t="n"/>
      <c r="J2354" s="58" t="n"/>
      <c r="K2354" s="58" t="n"/>
      <c r="L2354" s="13">
        <f>IF(OR($A2354="",AND($J2354="",$K2354="")),"",ROUND(N($J2354)-N($K2354),2))</f>
        <v/>
      </c>
      <c r="M2354" s="13">
        <f>IF(OR($A2354="",AND($J2354="",$K2354="")),"",MIN($J2354,$K2354))</f>
        <v/>
      </c>
      <c r="Q2354">
        <f>IF($A2354="","",$D2354&amp;"("&amp;SUBSTITUTE($E2354," ","")&amp;")")</f>
        <v/>
      </c>
      <c r="R2354">
        <f>IF($A2354="","",$B2354&amp;" - "&amp;$C2354)</f>
        <v/>
      </c>
      <c r="S2354">
        <f>IF($A2354="","",$R2354&amp;"|"&amp;$Q2354)</f>
        <v/>
      </c>
      <c r="T2354">
        <f>IF($A2354="","",$S2354&amp;"|"&amp;$F2354)</f>
        <v/>
      </c>
      <c r="U2354">
        <f>IF($A2354="","",$R2354&amp;"("&amp;$E2354&amp;")")</f>
        <v/>
      </c>
      <c r="V2354">
        <f>IF($A2354="","",$F2354&amp;"|"&amp;$U2354&amp;"|"&amp;$D2354)</f>
        <v/>
      </c>
      <c r="W2354">
        <f>IF($T2354="","",IF($X2354&gt;N($X2353),$X2354,""))</f>
        <v/>
      </c>
      <c r="X2354">
        <f>IF($T2354="",N($X2353),IF(MATCH($T2354,$T$6:$T$6005,0)=ROW()-5,N($X2353)+1,N($X2353)))</f>
        <v/>
      </c>
      <c r="Z2354">
        <f>IF($V2354="","",IF($AA2354&gt;N($AA2353),$AA2354,""))</f>
        <v/>
      </c>
      <c r="AA2354">
        <f>IF($V2354="",N($AA2353),IF(MATCH($V2354,$V$6:$V$6005,0)=ROW()-5,N($AA2353)+1,N($AA2353)))</f>
        <v/>
      </c>
    </row>
    <row r="2355" ht="21" customHeight="1" s="66">
      <c r="A2355" s="56" t="n"/>
      <c r="B2355" s="57" t="n"/>
      <c r="C2355" s="57" t="n"/>
      <c r="D2355" s="57" t="n"/>
      <c r="E2355" s="56" t="n"/>
      <c r="F2355" s="57" t="n"/>
      <c r="G2355" s="57" t="n"/>
      <c r="H2355" s="56" t="n"/>
      <c r="I2355" s="56" t="n"/>
      <c r="J2355" s="58" t="n"/>
      <c r="K2355" s="58" t="n"/>
      <c r="L2355" s="13">
        <f>IF(OR($A2355="",AND($J2355="",$K2355="")),"",ROUND(N($J2355)-N($K2355),2))</f>
        <v/>
      </c>
      <c r="M2355" s="13">
        <f>IF(OR($A2355="",AND($J2355="",$K2355="")),"",MIN($J2355,$K2355))</f>
        <v/>
      </c>
      <c r="Q2355">
        <f>IF($A2355="","",$D2355&amp;"("&amp;SUBSTITUTE($E2355," ","")&amp;")")</f>
        <v/>
      </c>
      <c r="R2355">
        <f>IF($A2355="","",$B2355&amp;" - "&amp;$C2355)</f>
        <v/>
      </c>
      <c r="S2355">
        <f>IF($A2355="","",$R2355&amp;"|"&amp;$Q2355)</f>
        <v/>
      </c>
      <c r="T2355">
        <f>IF($A2355="","",$S2355&amp;"|"&amp;$F2355)</f>
        <v/>
      </c>
      <c r="U2355">
        <f>IF($A2355="","",$R2355&amp;"("&amp;$E2355&amp;")")</f>
        <v/>
      </c>
      <c r="V2355">
        <f>IF($A2355="","",$F2355&amp;"|"&amp;$U2355&amp;"|"&amp;$D2355)</f>
        <v/>
      </c>
      <c r="W2355">
        <f>IF($T2355="","",IF($X2355&gt;N($X2354),$X2355,""))</f>
        <v/>
      </c>
      <c r="X2355">
        <f>IF($T2355="",N($X2354),IF(MATCH($T2355,$T$6:$T$6005,0)=ROW()-5,N($X2354)+1,N($X2354)))</f>
        <v/>
      </c>
      <c r="Z2355">
        <f>IF($V2355="","",IF($AA2355&gt;N($AA2354),$AA2355,""))</f>
        <v/>
      </c>
      <c r="AA2355">
        <f>IF($V2355="",N($AA2354),IF(MATCH($V2355,$V$6:$V$6005,0)=ROW()-5,N($AA2354)+1,N($AA2354)))</f>
        <v/>
      </c>
    </row>
    <row r="2356" ht="21" customHeight="1" s="66">
      <c r="A2356" s="56" t="n"/>
      <c r="B2356" s="57" t="n"/>
      <c r="C2356" s="57" t="n"/>
      <c r="D2356" s="57" t="n"/>
      <c r="E2356" s="56" t="n"/>
      <c r="F2356" s="57" t="n"/>
      <c r="G2356" s="57" t="n"/>
      <c r="H2356" s="56" t="n"/>
      <c r="I2356" s="56" t="n"/>
      <c r="J2356" s="58" t="n"/>
      <c r="K2356" s="58" t="n"/>
      <c r="L2356" s="13">
        <f>IF(OR($A2356="",AND($J2356="",$K2356="")),"",ROUND(N($J2356)-N($K2356),2))</f>
        <v/>
      </c>
      <c r="M2356" s="13">
        <f>IF(OR($A2356="",AND($J2356="",$K2356="")),"",MIN($J2356,$K2356))</f>
        <v/>
      </c>
      <c r="Q2356">
        <f>IF($A2356="","",$D2356&amp;"("&amp;SUBSTITUTE($E2356," ","")&amp;")")</f>
        <v/>
      </c>
      <c r="R2356">
        <f>IF($A2356="","",$B2356&amp;" - "&amp;$C2356)</f>
        <v/>
      </c>
      <c r="S2356">
        <f>IF($A2356="","",$R2356&amp;"|"&amp;$Q2356)</f>
        <v/>
      </c>
      <c r="T2356">
        <f>IF($A2356="","",$S2356&amp;"|"&amp;$F2356)</f>
        <v/>
      </c>
      <c r="U2356">
        <f>IF($A2356="","",$R2356&amp;"("&amp;$E2356&amp;")")</f>
        <v/>
      </c>
      <c r="V2356">
        <f>IF($A2356="","",$F2356&amp;"|"&amp;$U2356&amp;"|"&amp;$D2356)</f>
        <v/>
      </c>
      <c r="W2356">
        <f>IF($T2356="","",IF($X2356&gt;N($X2355),$X2356,""))</f>
        <v/>
      </c>
      <c r="X2356">
        <f>IF($T2356="",N($X2355),IF(MATCH($T2356,$T$6:$T$6005,0)=ROW()-5,N($X2355)+1,N($X2355)))</f>
        <v/>
      </c>
      <c r="Z2356">
        <f>IF($V2356="","",IF($AA2356&gt;N($AA2355),$AA2356,""))</f>
        <v/>
      </c>
      <c r="AA2356">
        <f>IF($V2356="",N($AA2355),IF(MATCH($V2356,$V$6:$V$6005,0)=ROW()-5,N($AA2355)+1,N($AA2355)))</f>
        <v/>
      </c>
    </row>
    <row r="2357" ht="21" customHeight="1" s="66">
      <c r="A2357" s="56" t="n"/>
      <c r="B2357" s="57" t="n"/>
      <c r="C2357" s="57" t="n"/>
      <c r="D2357" s="57" t="n"/>
      <c r="E2357" s="56" t="n"/>
      <c r="F2357" s="57" t="n"/>
      <c r="G2357" s="57" t="n"/>
      <c r="H2357" s="56" t="n"/>
      <c r="I2357" s="56" t="n"/>
      <c r="J2357" s="58" t="n"/>
      <c r="K2357" s="58" t="n"/>
      <c r="L2357" s="13">
        <f>IF(OR($A2357="",AND($J2357="",$K2357="")),"",ROUND(N($J2357)-N($K2357),2))</f>
        <v/>
      </c>
      <c r="M2357" s="13">
        <f>IF(OR($A2357="",AND($J2357="",$K2357="")),"",MIN($J2357,$K2357))</f>
        <v/>
      </c>
      <c r="Q2357">
        <f>IF($A2357="","",$D2357&amp;"("&amp;SUBSTITUTE($E2357," ","")&amp;")")</f>
        <v/>
      </c>
      <c r="R2357">
        <f>IF($A2357="","",$B2357&amp;" - "&amp;$C2357)</f>
        <v/>
      </c>
      <c r="S2357">
        <f>IF($A2357="","",$R2357&amp;"|"&amp;$Q2357)</f>
        <v/>
      </c>
      <c r="T2357">
        <f>IF($A2357="","",$S2357&amp;"|"&amp;$F2357)</f>
        <v/>
      </c>
      <c r="U2357">
        <f>IF($A2357="","",$R2357&amp;"("&amp;$E2357&amp;")")</f>
        <v/>
      </c>
      <c r="V2357">
        <f>IF($A2357="","",$F2357&amp;"|"&amp;$U2357&amp;"|"&amp;$D2357)</f>
        <v/>
      </c>
      <c r="W2357">
        <f>IF($T2357="","",IF($X2357&gt;N($X2356),$X2357,""))</f>
        <v/>
      </c>
      <c r="X2357">
        <f>IF($T2357="",N($X2356),IF(MATCH($T2357,$T$6:$T$6005,0)=ROW()-5,N($X2356)+1,N($X2356)))</f>
        <v/>
      </c>
      <c r="Z2357">
        <f>IF($V2357="","",IF($AA2357&gt;N($AA2356),$AA2357,""))</f>
        <v/>
      </c>
      <c r="AA2357">
        <f>IF($V2357="",N($AA2356),IF(MATCH($V2357,$V$6:$V$6005,0)=ROW()-5,N($AA2356)+1,N($AA2356)))</f>
        <v/>
      </c>
    </row>
    <row r="2358" ht="21" customHeight="1" s="66">
      <c r="A2358" s="56" t="n"/>
      <c r="B2358" s="57" t="n"/>
      <c r="C2358" s="57" t="n"/>
      <c r="D2358" s="57" t="n"/>
      <c r="E2358" s="56" t="n"/>
      <c r="F2358" s="57" t="n"/>
      <c r="G2358" s="57" t="n"/>
      <c r="H2358" s="56" t="n"/>
      <c r="I2358" s="56" t="n"/>
      <c r="J2358" s="58" t="n"/>
      <c r="K2358" s="58" t="n"/>
      <c r="L2358" s="13">
        <f>IF(OR($A2358="",AND($J2358="",$K2358="")),"",ROUND(N($J2358)-N($K2358),2))</f>
        <v/>
      </c>
      <c r="M2358" s="13">
        <f>IF(OR($A2358="",AND($J2358="",$K2358="")),"",MIN($J2358,$K2358))</f>
        <v/>
      </c>
      <c r="Q2358">
        <f>IF($A2358="","",$D2358&amp;"("&amp;SUBSTITUTE($E2358," ","")&amp;")")</f>
        <v/>
      </c>
      <c r="R2358">
        <f>IF($A2358="","",$B2358&amp;" - "&amp;$C2358)</f>
        <v/>
      </c>
      <c r="S2358">
        <f>IF($A2358="","",$R2358&amp;"|"&amp;$Q2358)</f>
        <v/>
      </c>
      <c r="T2358">
        <f>IF($A2358="","",$S2358&amp;"|"&amp;$F2358)</f>
        <v/>
      </c>
      <c r="U2358">
        <f>IF($A2358="","",$R2358&amp;"("&amp;$E2358&amp;")")</f>
        <v/>
      </c>
      <c r="V2358">
        <f>IF($A2358="","",$F2358&amp;"|"&amp;$U2358&amp;"|"&amp;$D2358)</f>
        <v/>
      </c>
      <c r="W2358">
        <f>IF($T2358="","",IF($X2358&gt;N($X2357),$X2358,""))</f>
        <v/>
      </c>
      <c r="X2358">
        <f>IF($T2358="",N($X2357),IF(MATCH($T2358,$T$6:$T$6005,0)=ROW()-5,N($X2357)+1,N($X2357)))</f>
        <v/>
      </c>
      <c r="Z2358">
        <f>IF($V2358="","",IF($AA2358&gt;N($AA2357),$AA2358,""))</f>
        <v/>
      </c>
      <c r="AA2358">
        <f>IF($V2358="",N($AA2357),IF(MATCH($V2358,$V$6:$V$6005,0)=ROW()-5,N($AA2357)+1,N($AA2357)))</f>
        <v/>
      </c>
    </row>
    <row r="2359" ht="21" customHeight="1" s="66">
      <c r="A2359" s="56" t="n"/>
      <c r="B2359" s="57" t="n"/>
      <c r="C2359" s="57" t="n"/>
      <c r="D2359" s="57" t="n"/>
      <c r="E2359" s="56" t="n"/>
      <c r="F2359" s="57" t="n"/>
      <c r="G2359" s="57" t="n"/>
      <c r="H2359" s="56" t="n"/>
      <c r="I2359" s="56" t="n"/>
      <c r="J2359" s="58" t="n"/>
      <c r="K2359" s="58" t="n"/>
      <c r="L2359" s="13">
        <f>IF(OR($A2359="",AND($J2359="",$K2359="")),"",ROUND(N($J2359)-N($K2359),2))</f>
        <v/>
      </c>
      <c r="M2359" s="13">
        <f>IF(OR($A2359="",AND($J2359="",$K2359="")),"",MIN($J2359,$K2359))</f>
        <v/>
      </c>
      <c r="Q2359">
        <f>IF($A2359="","",$D2359&amp;"("&amp;SUBSTITUTE($E2359," ","")&amp;")")</f>
        <v/>
      </c>
      <c r="R2359">
        <f>IF($A2359="","",$B2359&amp;" - "&amp;$C2359)</f>
        <v/>
      </c>
      <c r="S2359">
        <f>IF($A2359="","",$R2359&amp;"|"&amp;$Q2359)</f>
        <v/>
      </c>
      <c r="T2359">
        <f>IF($A2359="","",$S2359&amp;"|"&amp;$F2359)</f>
        <v/>
      </c>
      <c r="U2359">
        <f>IF($A2359="","",$R2359&amp;"("&amp;$E2359&amp;")")</f>
        <v/>
      </c>
      <c r="V2359">
        <f>IF($A2359="","",$F2359&amp;"|"&amp;$U2359&amp;"|"&amp;$D2359)</f>
        <v/>
      </c>
      <c r="W2359">
        <f>IF($T2359="","",IF($X2359&gt;N($X2358),$X2359,""))</f>
        <v/>
      </c>
      <c r="X2359">
        <f>IF($T2359="",N($X2358),IF(MATCH($T2359,$T$6:$T$6005,0)=ROW()-5,N($X2358)+1,N($X2358)))</f>
        <v/>
      </c>
      <c r="Z2359">
        <f>IF($V2359="","",IF($AA2359&gt;N($AA2358),$AA2359,""))</f>
        <v/>
      </c>
      <c r="AA2359">
        <f>IF($V2359="",N($AA2358),IF(MATCH($V2359,$V$6:$V$6005,0)=ROW()-5,N($AA2358)+1,N($AA2358)))</f>
        <v/>
      </c>
    </row>
    <row r="2360" ht="21" customHeight="1" s="66">
      <c r="A2360" s="56" t="n"/>
      <c r="B2360" s="57" t="n"/>
      <c r="C2360" s="57" t="n"/>
      <c r="D2360" s="57" t="n"/>
      <c r="E2360" s="56" t="n"/>
      <c r="F2360" s="57" t="n"/>
      <c r="G2360" s="57" t="n"/>
      <c r="H2360" s="56" t="n"/>
      <c r="I2360" s="56" t="n"/>
      <c r="J2360" s="58" t="n"/>
      <c r="K2360" s="58" t="n"/>
      <c r="L2360" s="13">
        <f>IF(OR($A2360="",AND($J2360="",$K2360="")),"",ROUND(N($J2360)-N($K2360),2))</f>
        <v/>
      </c>
      <c r="M2360" s="13">
        <f>IF(OR($A2360="",AND($J2360="",$K2360="")),"",MIN($J2360,$K2360))</f>
        <v/>
      </c>
      <c r="Q2360">
        <f>IF($A2360="","",$D2360&amp;"("&amp;SUBSTITUTE($E2360," ","")&amp;")")</f>
        <v/>
      </c>
      <c r="R2360">
        <f>IF($A2360="","",$B2360&amp;" - "&amp;$C2360)</f>
        <v/>
      </c>
      <c r="S2360">
        <f>IF($A2360="","",$R2360&amp;"|"&amp;$Q2360)</f>
        <v/>
      </c>
      <c r="T2360">
        <f>IF($A2360="","",$S2360&amp;"|"&amp;$F2360)</f>
        <v/>
      </c>
      <c r="U2360">
        <f>IF($A2360="","",$R2360&amp;"("&amp;$E2360&amp;")")</f>
        <v/>
      </c>
      <c r="V2360">
        <f>IF($A2360="","",$F2360&amp;"|"&amp;$U2360&amp;"|"&amp;$D2360)</f>
        <v/>
      </c>
      <c r="W2360">
        <f>IF($T2360="","",IF($X2360&gt;N($X2359),$X2360,""))</f>
        <v/>
      </c>
      <c r="X2360">
        <f>IF($T2360="",N($X2359),IF(MATCH($T2360,$T$6:$T$6005,0)=ROW()-5,N($X2359)+1,N($X2359)))</f>
        <v/>
      </c>
      <c r="Z2360">
        <f>IF($V2360="","",IF($AA2360&gt;N($AA2359),$AA2360,""))</f>
        <v/>
      </c>
      <c r="AA2360">
        <f>IF($V2360="",N($AA2359),IF(MATCH($V2360,$V$6:$V$6005,0)=ROW()-5,N($AA2359)+1,N($AA2359)))</f>
        <v/>
      </c>
    </row>
    <row r="2361" ht="21" customHeight="1" s="66">
      <c r="A2361" s="56" t="n"/>
      <c r="B2361" s="57" t="n"/>
      <c r="C2361" s="57" t="n"/>
      <c r="D2361" s="57" t="n"/>
      <c r="E2361" s="56" t="n"/>
      <c r="F2361" s="57" t="n"/>
      <c r="G2361" s="57" t="n"/>
      <c r="H2361" s="56" t="n"/>
      <c r="I2361" s="56" t="n"/>
      <c r="J2361" s="58" t="n"/>
      <c r="K2361" s="58" t="n"/>
      <c r="L2361" s="13">
        <f>IF(OR($A2361="",AND($J2361="",$K2361="")),"",ROUND(N($J2361)-N($K2361),2))</f>
        <v/>
      </c>
      <c r="M2361" s="13">
        <f>IF(OR($A2361="",AND($J2361="",$K2361="")),"",MIN($J2361,$K2361))</f>
        <v/>
      </c>
      <c r="Q2361">
        <f>IF($A2361="","",$D2361&amp;"("&amp;SUBSTITUTE($E2361," ","")&amp;")")</f>
        <v/>
      </c>
      <c r="R2361">
        <f>IF($A2361="","",$B2361&amp;" - "&amp;$C2361)</f>
        <v/>
      </c>
      <c r="S2361">
        <f>IF($A2361="","",$R2361&amp;"|"&amp;$Q2361)</f>
        <v/>
      </c>
      <c r="T2361">
        <f>IF($A2361="","",$S2361&amp;"|"&amp;$F2361)</f>
        <v/>
      </c>
      <c r="U2361">
        <f>IF($A2361="","",$R2361&amp;"("&amp;$E2361&amp;")")</f>
        <v/>
      </c>
      <c r="V2361">
        <f>IF($A2361="","",$F2361&amp;"|"&amp;$U2361&amp;"|"&amp;$D2361)</f>
        <v/>
      </c>
      <c r="W2361">
        <f>IF($T2361="","",IF($X2361&gt;N($X2360),$X2361,""))</f>
        <v/>
      </c>
      <c r="X2361">
        <f>IF($T2361="",N($X2360),IF(MATCH($T2361,$T$6:$T$6005,0)=ROW()-5,N($X2360)+1,N($X2360)))</f>
        <v/>
      </c>
      <c r="Z2361">
        <f>IF($V2361="","",IF($AA2361&gt;N($AA2360),$AA2361,""))</f>
        <v/>
      </c>
      <c r="AA2361">
        <f>IF($V2361="",N($AA2360),IF(MATCH($V2361,$V$6:$V$6005,0)=ROW()-5,N($AA2360)+1,N($AA2360)))</f>
        <v/>
      </c>
    </row>
    <row r="2362" ht="21" customHeight="1" s="66">
      <c r="A2362" s="56" t="n"/>
      <c r="B2362" s="57" t="n"/>
      <c r="C2362" s="57" t="n"/>
      <c r="D2362" s="57" t="n"/>
      <c r="E2362" s="56" t="n"/>
      <c r="F2362" s="57" t="n"/>
      <c r="G2362" s="57" t="n"/>
      <c r="H2362" s="56" t="n"/>
      <c r="I2362" s="56" t="n"/>
      <c r="J2362" s="58" t="n"/>
      <c r="K2362" s="58" t="n"/>
      <c r="L2362" s="13">
        <f>IF(OR($A2362="",AND($J2362="",$K2362="")),"",ROUND(N($J2362)-N($K2362),2))</f>
        <v/>
      </c>
      <c r="M2362" s="13">
        <f>IF(OR($A2362="",AND($J2362="",$K2362="")),"",MIN($J2362,$K2362))</f>
        <v/>
      </c>
      <c r="Q2362">
        <f>IF($A2362="","",$D2362&amp;"("&amp;SUBSTITUTE($E2362," ","")&amp;")")</f>
        <v/>
      </c>
      <c r="R2362">
        <f>IF($A2362="","",$B2362&amp;" - "&amp;$C2362)</f>
        <v/>
      </c>
      <c r="S2362">
        <f>IF($A2362="","",$R2362&amp;"|"&amp;$Q2362)</f>
        <v/>
      </c>
      <c r="T2362">
        <f>IF($A2362="","",$S2362&amp;"|"&amp;$F2362)</f>
        <v/>
      </c>
      <c r="U2362">
        <f>IF($A2362="","",$R2362&amp;"("&amp;$E2362&amp;")")</f>
        <v/>
      </c>
      <c r="V2362">
        <f>IF($A2362="","",$F2362&amp;"|"&amp;$U2362&amp;"|"&amp;$D2362)</f>
        <v/>
      </c>
      <c r="W2362">
        <f>IF($T2362="","",IF($X2362&gt;N($X2361),$X2362,""))</f>
        <v/>
      </c>
      <c r="X2362">
        <f>IF($T2362="",N($X2361),IF(MATCH($T2362,$T$6:$T$6005,0)=ROW()-5,N($X2361)+1,N($X2361)))</f>
        <v/>
      </c>
      <c r="Z2362">
        <f>IF($V2362="","",IF($AA2362&gt;N($AA2361),$AA2362,""))</f>
        <v/>
      </c>
      <c r="AA2362">
        <f>IF($V2362="",N($AA2361),IF(MATCH($V2362,$V$6:$V$6005,0)=ROW()-5,N($AA2361)+1,N($AA2361)))</f>
        <v/>
      </c>
    </row>
    <row r="2363" ht="21" customHeight="1" s="66">
      <c r="A2363" s="56" t="n"/>
      <c r="B2363" s="57" t="n"/>
      <c r="C2363" s="57" t="n"/>
      <c r="D2363" s="57" t="n"/>
      <c r="E2363" s="56" t="n"/>
      <c r="F2363" s="57" t="n"/>
      <c r="G2363" s="57" t="n"/>
      <c r="H2363" s="56" t="n"/>
      <c r="I2363" s="56" t="n"/>
      <c r="J2363" s="58" t="n"/>
      <c r="K2363" s="58" t="n"/>
      <c r="L2363" s="13">
        <f>IF(OR($A2363="",AND($J2363="",$K2363="")),"",ROUND(N($J2363)-N($K2363),2))</f>
        <v/>
      </c>
      <c r="M2363" s="13">
        <f>IF(OR($A2363="",AND($J2363="",$K2363="")),"",MIN($J2363,$K2363))</f>
        <v/>
      </c>
      <c r="Q2363">
        <f>IF($A2363="","",$D2363&amp;"("&amp;SUBSTITUTE($E2363," ","")&amp;")")</f>
        <v/>
      </c>
      <c r="R2363">
        <f>IF($A2363="","",$B2363&amp;" - "&amp;$C2363)</f>
        <v/>
      </c>
      <c r="S2363">
        <f>IF($A2363="","",$R2363&amp;"|"&amp;$Q2363)</f>
        <v/>
      </c>
      <c r="T2363">
        <f>IF($A2363="","",$S2363&amp;"|"&amp;$F2363)</f>
        <v/>
      </c>
      <c r="U2363">
        <f>IF($A2363="","",$R2363&amp;"("&amp;$E2363&amp;")")</f>
        <v/>
      </c>
      <c r="V2363">
        <f>IF($A2363="","",$F2363&amp;"|"&amp;$U2363&amp;"|"&amp;$D2363)</f>
        <v/>
      </c>
      <c r="W2363">
        <f>IF($T2363="","",IF($X2363&gt;N($X2362),$X2363,""))</f>
        <v/>
      </c>
      <c r="X2363">
        <f>IF($T2363="",N($X2362),IF(MATCH($T2363,$T$6:$T$6005,0)=ROW()-5,N($X2362)+1,N($X2362)))</f>
        <v/>
      </c>
      <c r="Z2363">
        <f>IF($V2363="","",IF($AA2363&gt;N($AA2362),$AA2363,""))</f>
        <v/>
      </c>
      <c r="AA2363">
        <f>IF($V2363="",N($AA2362),IF(MATCH($V2363,$V$6:$V$6005,0)=ROW()-5,N($AA2362)+1,N($AA2362)))</f>
        <v/>
      </c>
    </row>
    <row r="2364" ht="21" customHeight="1" s="66">
      <c r="A2364" s="56" t="n"/>
      <c r="B2364" s="57" t="n"/>
      <c r="C2364" s="57" t="n"/>
      <c r="D2364" s="57" t="n"/>
      <c r="E2364" s="56" t="n"/>
      <c r="F2364" s="57" t="n"/>
      <c r="G2364" s="57" t="n"/>
      <c r="H2364" s="56" t="n"/>
      <c r="I2364" s="56" t="n"/>
      <c r="J2364" s="58" t="n"/>
      <c r="K2364" s="58" t="n"/>
      <c r="L2364" s="13">
        <f>IF(OR($A2364="",AND($J2364="",$K2364="")),"",ROUND(N($J2364)-N($K2364),2))</f>
        <v/>
      </c>
      <c r="M2364" s="13">
        <f>IF(OR($A2364="",AND($J2364="",$K2364="")),"",MIN($J2364,$K2364))</f>
        <v/>
      </c>
      <c r="Q2364">
        <f>IF($A2364="","",$D2364&amp;"("&amp;SUBSTITUTE($E2364," ","")&amp;")")</f>
        <v/>
      </c>
      <c r="R2364">
        <f>IF($A2364="","",$B2364&amp;" - "&amp;$C2364)</f>
        <v/>
      </c>
      <c r="S2364">
        <f>IF($A2364="","",$R2364&amp;"|"&amp;$Q2364)</f>
        <v/>
      </c>
      <c r="T2364">
        <f>IF($A2364="","",$S2364&amp;"|"&amp;$F2364)</f>
        <v/>
      </c>
      <c r="U2364">
        <f>IF($A2364="","",$R2364&amp;"("&amp;$E2364&amp;")")</f>
        <v/>
      </c>
      <c r="V2364">
        <f>IF($A2364="","",$F2364&amp;"|"&amp;$U2364&amp;"|"&amp;$D2364)</f>
        <v/>
      </c>
      <c r="W2364">
        <f>IF($T2364="","",IF($X2364&gt;N($X2363),$X2364,""))</f>
        <v/>
      </c>
      <c r="X2364">
        <f>IF($T2364="",N($X2363),IF(MATCH($T2364,$T$6:$T$6005,0)=ROW()-5,N($X2363)+1,N($X2363)))</f>
        <v/>
      </c>
      <c r="Z2364">
        <f>IF($V2364="","",IF($AA2364&gt;N($AA2363),$AA2364,""))</f>
        <v/>
      </c>
      <c r="AA2364">
        <f>IF($V2364="",N($AA2363),IF(MATCH($V2364,$V$6:$V$6005,0)=ROW()-5,N($AA2363)+1,N($AA2363)))</f>
        <v/>
      </c>
    </row>
    <row r="2365" ht="21" customHeight="1" s="66">
      <c r="A2365" s="56" t="n"/>
      <c r="B2365" s="57" t="n"/>
      <c r="C2365" s="57" t="n"/>
      <c r="D2365" s="57" t="n"/>
      <c r="E2365" s="56" t="n"/>
      <c r="F2365" s="57" t="n"/>
      <c r="G2365" s="57" t="n"/>
      <c r="H2365" s="56" t="n"/>
      <c r="I2365" s="56" t="n"/>
      <c r="J2365" s="58" t="n"/>
      <c r="K2365" s="58" t="n"/>
      <c r="L2365" s="13">
        <f>IF(OR($A2365="",AND($J2365="",$K2365="")),"",ROUND(N($J2365)-N($K2365),2))</f>
        <v/>
      </c>
      <c r="M2365" s="13">
        <f>IF(OR($A2365="",AND($J2365="",$K2365="")),"",MIN($J2365,$K2365))</f>
        <v/>
      </c>
      <c r="Q2365">
        <f>IF($A2365="","",$D2365&amp;"("&amp;SUBSTITUTE($E2365," ","")&amp;")")</f>
        <v/>
      </c>
      <c r="R2365">
        <f>IF($A2365="","",$B2365&amp;" - "&amp;$C2365)</f>
        <v/>
      </c>
      <c r="S2365">
        <f>IF($A2365="","",$R2365&amp;"|"&amp;$Q2365)</f>
        <v/>
      </c>
      <c r="T2365">
        <f>IF($A2365="","",$S2365&amp;"|"&amp;$F2365)</f>
        <v/>
      </c>
      <c r="U2365">
        <f>IF($A2365="","",$R2365&amp;"("&amp;$E2365&amp;")")</f>
        <v/>
      </c>
      <c r="V2365">
        <f>IF($A2365="","",$F2365&amp;"|"&amp;$U2365&amp;"|"&amp;$D2365)</f>
        <v/>
      </c>
      <c r="W2365">
        <f>IF($T2365="","",IF($X2365&gt;N($X2364),$X2365,""))</f>
        <v/>
      </c>
      <c r="X2365">
        <f>IF($T2365="",N($X2364),IF(MATCH($T2365,$T$6:$T$6005,0)=ROW()-5,N($X2364)+1,N($X2364)))</f>
        <v/>
      </c>
      <c r="Z2365">
        <f>IF($V2365="","",IF($AA2365&gt;N($AA2364),$AA2365,""))</f>
        <v/>
      </c>
      <c r="AA2365">
        <f>IF($V2365="",N($AA2364),IF(MATCH($V2365,$V$6:$V$6005,0)=ROW()-5,N($AA2364)+1,N($AA2364)))</f>
        <v/>
      </c>
    </row>
    <row r="2366" ht="21" customHeight="1" s="66">
      <c r="A2366" s="56" t="n"/>
      <c r="B2366" s="57" t="n"/>
      <c r="C2366" s="57" t="n"/>
      <c r="D2366" s="57" t="n"/>
      <c r="E2366" s="56" t="n"/>
      <c r="F2366" s="57" t="n"/>
      <c r="G2366" s="57" t="n"/>
      <c r="H2366" s="56" t="n"/>
      <c r="I2366" s="56" t="n"/>
      <c r="J2366" s="58" t="n"/>
      <c r="K2366" s="58" t="n"/>
      <c r="L2366" s="13">
        <f>IF(OR($A2366="",AND($J2366="",$K2366="")),"",ROUND(N($J2366)-N($K2366),2))</f>
        <v/>
      </c>
      <c r="M2366" s="13">
        <f>IF(OR($A2366="",AND($J2366="",$K2366="")),"",MIN($J2366,$K2366))</f>
        <v/>
      </c>
      <c r="Q2366">
        <f>IF($A2366="","",$D2366&amp;"("&amp;SUBSTITUTE($E2366," ","")&amp;")")</f>
        <v/>
      </c>
      <c r="R2366">
        <f>IF($A2366="","",$B2366&amp;" - "&amp;$C2366)</f>
        <v/>
      </c>
      <c r="S2366">
        <f>IF($A2366="","",$R2366&amp;"|"&amp;$Q2366)</f>
        <v/>
      </c>
      <c r="T2366">
        <f>IF($A2366="","",$S2366&amp;"|"&amp;$F2366)</f>
        <v/>
      </c>
      <c r="U2366">
        <f>IF($A2366="","",$R2366&amp;"("&amp;$E2366&amp;")")</f>
        <v/>
      </c>
      <c r="V2366">
        <f>IF($A2366="","",$F2366&amp;"|"&amp;$U2366&amp;"|"&amp;$D2366)</f>
        <v/>
      </c>
      <c r="W2366">
        <f>IF($T2366="","",IF($X2366&gt;N($X2365),$X2366,""))</f>
        <v/>
      </c>
      <c r="X2366">
        <f>IF($T2366="",N($X2365),IF(MATCH($T2366,$T$6:$T$6005,0)=ROW()-5,N($X2365)+1,N($X2365)))</f>
        <v/>
      </c>
      <c r="Z2366">
        <f>IF($V2366="","",IF($AA2366&gt;N($AA2365),$AA2366,""))</f>
        <v/>
      </c>
      <c r="AA2366">
        <f>IF($V2366="",N($AA2365),IF(MATCH($V2366,$V$6:$V$6005,0)=ROW()-5,N($AA2365)+1,N($AA2365)))</f>
        <v/>
      </c>
    </row>
    <row r="2367" ht="21" customHeight="1" s="66">
      <c r="A2367" s="56" t="n"/>
      <c r="B2367" s="57" t="n"/>
      <c r="C2367" s="57" t="n"/>
      <c r="D2367" s="57" t="n"/>
      <c r="E2367" s="56" t="n"/>
      <c r="F2367" s="57" t="n"/>
      <c r="G2367" s="57" t="n"/>
      <c r="H2367" s="56" t="n"/>
      <c r="I2367" s="56" t="n"/>
      <c r="J2367" s="58" t="n"/>
      <c r="K2367" s="58" t="n"/>
      <c r="L2367" s="13">
        <f>IF(OR($A2367="",AND($J2367="",$K2367="")),"",ROUND(N($J2367)-N($K2367),2))</f>
        <v/>
      </c>
      <c r="M2367" s="13">
        <f>IF(OR($A2367="",AND($J2367="",$K2367="")),"",MIN($J2367,$K2367))</f>
        <v/>
      </c>
      <c r="Q2367">
        <f>IF($A2367="","",$D2367&amp;"("&amp;SUBSTITUTE($E2367," ","")&amp;")")</f>
        <v/>
      </c>
      <c r="R2367">
        <f>IF($A2367="","",$B2367&amp;" - "&amp;$C2367)</f>
        <v/>
      </c>
      <c r="S2367">
        <f>IF($A2367="","",$R2367&amp;"|"&amp;$Q2367)</f>
        <v/>
      </c>
      <c r="T2367">
        <f>IF($A2367="","",$S2367&amp;"|"&amp;$F2367)</f>
        <v/>
      </c>
      <c r="U2367">
        <f>IF($A2367="","",$R2367&amp;"("&amp;$E2367&amp;")")</f>
        <v/>
      </c>
      <c r="V2367">
        <f>IF($A2367="","",$F2367&amp;"|"&amp;$U2367&amp;"|"&amp;$D2367)</f>
        <v/>
      </c>
      <c r="W2367">
        <f>IF($T2367="","",IF($X2367&gt;N($X2366),$X2367,""))</f>
        <v/>
      </c>
      <c r="X2367">
        <f>IF($T2367="",N($X2366),IF(MATCH($T2367,$T$6:$T$6005,0)=ROW()-5,N($X2366)+1,N($X2366)))</f>
        <v/>
      </c>
      <c r="Z2367">
        <f>IF($V2367="","",IF($AA2367&gt;N($AA2366),$AA2367,""))</f>
        <v/>
      </c>
      <c r="AA2367">
        <f>IF($V2367="",N($AA2366),IF(MATCH($V2367,$V$6:$V$6005,0)=ROW()-5,N($AA2366)+1,N($AA2366)))</f>
        <v/>
      </c>
    </row>
    <row r="2368" ht="21" customHeight="1" s="66">
      <c r="A2368" s="56" t="n"/>
      <c r="B2368" s="57" t="n"/>
      <c r="C2368" s="57" t="n"/>
      <c r="D2368" s="57" t="n"/>
      <c r="E2368" s="56" t="n"/>
      <c r="F2368" s="57" t="n"/>
      <c r="G2368" s="57" t="n"/>
      <c r="H2368" s="56" t="n"/>
      <c r="I2368" s="56" t="n"/>
      <c r="J2368" s="58" t="n"/>
      <c r="K2368" s="58" t="n"/>
      <c r="L2368" s="13">
        <f>IF(OR($A2368="",AND($J2368="",$K2368="")),"",ROUND(N($J2368)-N($K2368),2))</f>
        <v/>
      </c>
      <c r="M2368" s="13">
        <f>IF(OR($A2368="",AND($J2368="",$K2368="")),"",MIN($J2368,$K2368))</f>
        <v/>
      </c>
      <c r="Q2368">
        <f>IF($A2368="","",$D2368&amp;"("&amp;SUBSTITUTE($E2368," ","")&amp;")")</f>
        <v/>
      </c>
      <c r="R2368">
        <f>IF($A2368="","",$B2368&amp;" - "&amp;$C2368)</f>
        <v/>
      </c>
      <c r="S2368">
        <f>IF($A2368="","",$R2368&amp;"|"&amp;$Q2368)</f>
        <v/>
      </c>
      <c r="T2368">
        <f>IF($A2368="","",$S2368&amp;"|"&amp;$F2368)</f>
        <v/>
      </c>
      <c r="U2368">
        <f>IF($A2368="","",$R2368&amp;"("&amp;$E2368&amp;")")</f>
        <v/>
      </c>
      <c r="V2368">
        <f>IF($A2368="","",$F2368&amp;"|"&amp;$U2368&amp;"|"&amp;$D2368)</f>
        <v/>
      </c>
      <c r="W2368">
        <f>IF($T2368="","",IF($X2368&gt;N($X2367),$X2368,""))</f>
        <v/>
      </c>
      <c r="X2368">
        <f>IF($T2368="",N($X2367),IF(MATCH($T2368,$T$6:$T$6005,0)=ROW()-5,N($X2367)+1,N($X2367)))</f>
        <v/>
      </c>
      <c r="Z2368">
        <f>IF($V2368="","",IF($AA2368&gt;N($AA2367),$AA2368,""))</f>
        <v/>
      </c>
      <c r="AA2368">
        <f>IF($V2368="",N($AA2367),IF(MATCH($V2368,$V$6:$V$6005,0)=ROW()-5,N($AA2367)+1,N($AA2367)))</f>
        <v/>
      </c>
    </row>
    <row r="2369" ht="21" customHeight="1" s="66">
      <c r="A2369" s="56" t="n"/>
      <c r="B2369" s="57" t="n"/>
      <c r="C2369" s="57" t="n"/>
      <c r="D2369" s="57" t="n"/>
      <c r="E2369" s="56" t="n"/>
      <c r="F2369" s="57" t="n"/>
      <c r="G2369" s="57" t="n"/>
      <c r="H2369" s="56" t="n"/>
      <c r="I2369" s="56" t="n"/>
      <c r="J2369" s="58" t="n"/>
      <c r="K2369" s="58" t="n"/>
      <c r="L2369" s="13">
        <f>IF(OR($A2369="",AND($J2369="",$K2369="")),"",ROUND(N($J2369)-N($K2369),2))</f>
        <v/>
      </c>
      <c r="M2369" s="13">
        <f>IF(OR($A2369="",AND($J2369="",$K2369="")),"",MIN($J2369,$K2369))</f>
        <v/>
      </c>
      <c r="Q2369">
        <f>IF($A2369="","",$D2369&amp;"("&amp;SUBSTITUTE($E2369," ","")&amp;")")</f>
        <v/>
      </c>
      <c r="R2369">
        <f>IF($A2369="","",$B2369&amp;" - "&amp;$C2369)</f>
        <v/>
      </c>
      <c r="S2369">
        <f>IF($A2369="","",$R2369&amp;"|"&amp;$Q2369)</f>
        <v/>
      </c>
      <c r="T2369">
        <f>IF($A2369="","",$S2369&amp;"|"&amp;$F2369)</f>
        <v/>
      </c>
      <c r="U2369">
        <f>IF($A2369="","",$R2369&amp;"("&amp;$E2369&amp;")")</f>
        <v/>
      </c>
      <c r="V2369">
        <f>IF($A2369="","",$F2369&amp;"|"&amp;$U2369&amp;"|"&amp;$D2369)</f>
        <v/>
      </c>
      <c r="W2369">
        <f>IF($T2369="","",IF($X2369&gt;N($X2368),$X2369,""))</f>
        <v/>
      </c>
      <c r="X2369">
        <f>IF($T2369="",N($X2368),IF(MATCH($T2369,$T$6:$T$6005,0)=ROW()-5,N($X2368)+1,N($X2368)))</f>
        <v/>
      </c>
      <c r="Z2369">
        <f>IF($V2369="","",IF($AA2369&gt;N($AA2368),$AA2369,""))</f>
        <v/>
      </c>
      <c r="AA2369">
        <f>IF($V2369="",N($AA2368),IF(MATCH($V2369,$V$6:$V$6005,0)=ROW()-5,N($AA2368)+1,N($AA2368)))</f>
        <v/>
      </c>
    </row>
    <row r="2370" ht="21" customHeight="1" s="66">
      <c r="A2370" s="56" t="n"/>
      <c r="B2370" s="57" t="n"/>
      <c r="C2370" s="57" t="n"/>
      <c r="D2370" s="57" t="n"/>
      <c r="E2370" s="56" t="n"/>
      <c r="F2370" s="57" t="n"/>
      <c r="G2370" s="57" t="n"/>
      <c r="H2370" s="56" t="n"/>
      <c r="I2370" s="56" t="n"/>
      <c r="J2370" s="58" t="n"/>
      <c r="K2370" s="58" t="n"/>
      <c r="L2370" s="13">
        <f>IF(OR($A2370="",AND($J2370="",$K2370="")),"",ROUND(N($J2370)-N($K2370),2))</f>
        <v/>
      </c>
      <c r="M2370" s="13">
        <f>IF(OR($A2370="",AND($J2370="",$K2370="")),"",MIN($J2370,$K2370))</f>
        <v/>
      </c>
      <c r="Q2370">
        <f>IF($A2370="","",$D2370&amp;"("&amp;SUBSTITUTE($E2370," ","")&amp;")")</f>
        <v/>
      </c>
      <c r="R2370">
        <f>IF($A2370="","",$B2370&amp;" - "&amp;$C2370)</f>
        <v/>
      </c>
      <c r="S2370">
        <f>IF($A2370="","",$R2370&amp;"|"&amp;$Q2370)</f>
        <v/>
      </c>
      <c r="T2370">
        <f>IF($A2370="","",$S2370&amp;"|"&amp;$F2370)</f>
        <v/>
      </c>
      <c r="U2370">
        <f>IF($A2370="","",$R2370&amp;"("&amp;$E2370&amp;")")</f>
        <v/>
      </c>
      <c r="V2370">
        <f>IF($A2370="","",$F2370&amp;"|"&amp;$U2370&amp;"|"&amp;$D2370)</f>
        <v/>
      </c>
      <c r="W2370">
        <f>IF($T2370="","",IF($X2370&gt;N($X2369),$X2370,""))</f>
        <v/>
      </c>
      <c r="X2370">
        <f>IF($T2370="",N($X2369),IF(MATCH($T2370,$T$6:$T$6005,0)=ROW()-5,N($X2369)+1,N($X2369)))</f>
        <v/>
      </c>
      <c r="Z2370">
        <f>IF($V2370="","",IF($AA2370&gt;N($AA2369),$AA2370,""))</f>
        <v/>
      </c>
      <c r="AA2370">
        <f>IF($V2370="",N($AA2369),IF(MATCH($V2370,$V$6:$V$6005,0)=ROW()-5,N($AA2369)+1,N($AA2369)))</f>
        <v/>
      </c>
    </row>
    <row r="2371" ht="21" customHeight="1" s="66">
      <c r="A2371" s="56" t="n"/>
      <c r="B2371" s="57" t="n"/>
      <c r="C2371" s="57" t="n"/>
      <c r="D2371" s="57" t="n"/>
      <c r="E2371" s="56" t="n"/>
      <c r="F2371" s="57" t="n"/>
      <c r="G2371" s="57" t="n"/>
      <c r="H2371" s="56" t="n"/>
      <c r="I2371" s="56" t="n"/>
      <c r="J2371" s="58" t="n"/>
      <c r="K2371" s="58" t="n"/>
      <c r="L2371" s="13">
        <f>IF(OR($A2371="",AND($J2371="",$K2371="")),"",ROUND(N($J2371)-N($K2371),2))</f>
        <v/>
      </c>
      <c r="M2371" s="13">
        <f>IF(OR($A2371="",AND($J2371="",$K2371="")),"",MIN($J2371,$K2371))</f>
        <v/>
      </c>
      <c r="Q2371">
        <f>IF($A2371="","",$D2371&amp;"("&amp;SUBSTITUTE($E2371," ","")&amp;")")</f>
        <v/>
      </c>
      <c r="R2371">
        <f>IF($A2371="","",$B2371&amp;" - "&amp;$C2371)</f>
        <v/>
      </c>
      <c r="S2371">
        <f>IF($A2371="","",$R2371&amp;"|"&amp;$Q2371)</f>
        <v/>
      </c>
      <c r="T2371">
        <f>IF($A2371="","",$S2371&amp;"|"&amp;$F2371)</f>
        <v/>
      </c>
      <c r="U2371">
        <f>IF($A2371="","",$R2371&amp;"("&amp;$E2371&amp;")")</f>
        <v/>
      </c>
      <c r="V2371">
        <f>IF($A2371="","",$F2371&amp;"|"&amp;$U2371&amp;"|"&amp;$D2371)</f>
        <v/>
      </c>
      <c r="W2371">
        <f>IF($T2371="","",IF($X2371&gt;N($X2370),$X2371,""))</f>
        <v/>
      </c>
      <c r="X2371">
        <f>IF($T2371="",N($X2370),IF(MATCH($T2371,$T$6:$T$6005,0)=ROW()-5,N($X2370)+1,N($X2370)))</f>
        <v/>
      </c>
      <c r="Z2371">
        <f>IF($V2371="","",IF($AA2371&gt;N($AA2370),$AA2371,""))</f>
        <v/>
      </c>
      <c r="AA2371">
        <f>IF($V2371="",N($AA2370),IF(MATCH($V2371,$V$6:$V$6005,0)=ROW()-5,N($AA2370)+1,N($AA2370)))</f>
        <v/>
      </c>
    </row>
    <row r="2372" ht="21" customHeight="1" s="66">
      <c r="A2372" s="56" t="n"/>
      <c r="B2372" s="57" t="n"/>
      <c r="C2372" s="57" t="n"/>
      <c r="D2372" s="57" t="n"/>
      <c r="E2372" s="56" t="n"/>
      <c r="F2372" s="57" t="n"/>
      <c r="G2372" s="57" t="n"/>
      <c r="H2372" s="56" t="n"/>
      <c r="I2372" s="56" t="n"/>
      <c r="J2372" s="58" t="n"/>
      <c r="K2372" s="58" t="n"/>
      <c r="L2372" s="13">
        <f>IF(OR($A2372="",AND($J2372="",$K2372="")),"",ROUND(N($J2372)-N($K2372),2))</f>
        <v/>
      </c>
      <c r="M2372" s="13">
        <f>IF(OR($A2372="",AND($J2372="",$K2372="")),"",MIN($J2372,$K2372))</f>
        <v/>
      </c>
      <c r="Q2372">
        <f>IF($A2372="","",$D2372&amp;"("&amp;SUBSTITUTE($E2372," ","")&amp;")")</f>
        <v/>
      </c>
      <c r="R2372">
        <f>IF($A2372="","",$B2372&amp;" - "&amp;$C2372)</f>
        <v/>
      </c>
      <c r="S2372">
        <f>IF($A2372="","",$R2372&amp;"|"&amp;$Q2372)</f>
        <v/>
      </c>
      <c r="T2372">
        <f>IF($A2372="","",$S2372&amp;"|"&amp;$F2372)</f>
        <v/>
      </c>
      <c r="U2372">
        <f>IF($A2372="","",$R2372&amp;"("&amp;$E2372&amp;")")</f>
        <v/>
      </c>
      <c r="V2372">
        <f>IF($A2372="","",$F2372&amp;"|"&amp;$U2372&amp;"|"&amp;$D2372)</f>
        <v/>
      </c>
      <c r="W2372">
        <f>IF($T2372="","",IF($X2372&gt;N($X2371),$X2372,""))</f>
        <v/>
      </c>
      <c r="X2372">
        <f>IF($T2372="",N($X2371),IF(MATCH($T2372,$T$6:$T$6005,0)=ROW()-5,N($X2371)+1,N($X2371)))</f>
        <v/>
      </c>
      <c r="Z2372">
        <f>IF($V2372="","",IF($AA2372&gt;N($AA2371),$AA2372,""))</f>
        <v/>
      </c>
      <c r="AA2372">
        <f>IF($V2372="",N($AA2371),IF(MATCH($V2372,$V$6:$V$6005,0)=ROW()-5,N($AA2371)+1,N($AA2371)))</f>
        <v/>
      </c>
    </row>
    <row r="2373" ht="21" customHeight="1" s="66">
      <c r="A2373" s="56" t="n"/>
      <c r="B2373" s="57" t="n"/>
      <c r="C2373" s="57" t="n"/>
      <c r="D2373" s="57" t="n"/>
      <c r="E2373" s="56" t="n"/>
      <c r="F2373" s="57" t="n"/>
      <c r="G2373" s="57" t="n"/>
      <c r="H2373" s="56" t="n"/>
      <c r="I2373" s="56" t="n"/>
      <c r="J2373" s="58" t="n"/>
      <c r="K2373" s="58" t="n"/>
      <c r="L2373" s="13">
        <f>IF(OR($A2373="",AND($J2373="",$K2373="")),"",ROUND(N($J2373)-N($K2373),2))</f>
        <v/>
      </c>
      <c r="M2373" s="13">
        <f>IF(OR($A2373="",AND($J2373="",$K2373="")),"",MIN($J2373,$K2373))</f>
        <v/>
      </c>
      <c r="Q2373">
        <f>IF($A2373="","",$D2373&amp;"("&amp;SUBSTITUTE($E2373," ","")&amp;")")</f>
        <v/>
      </c>
      <c r="R2373">
        <f>IF($A2373="","",$B2373&amp;" - "&amp;$C2373)</f>
        <v/>
      </c>
      <c r="S2373">
        <f>IF($A2373="","",$R2373&amp;"|"&amp;$Q2373)</f>
        <v/>
      </c>
      <c r="T2373">
        <f>IF($A2373="","",$S2373&amp;"|"&amp;$F2373)</f>
        <v/>
      </c>
      <c r="U2373">
        <f>IF($A2373="","",$R2373&amp;"("&amp;$E2373&amp;")")</f>
        <v/>
      </c>
      <c r="V2373">
        <f>IF($A2373="","",$F2373&amp;"|"&amp;$U2373&amp;"|"&amp;$D2373)</f>
        <v/>
      </c>
      <c r="W2373">
        <f>IF($T2373="","",IF($X2373&gt;N($X2372),$X2373,""))</f>
        <v/>
      </c>
      <c r="X2373">
        <f>IF($T2373="",N($X2372),IF(MATCH($T2373,$T$6:$T$6005,0)=ROW()-5,N($X2372)+1,N($X2372)))</f>
        <v/>
      </c>
      <c r="Z2373">
        <f>IF($V2373="","",IF($AA2373&gt;N($AA2372),$AA2373,""))</f>
        <v/>
      </c>
      <c r="AA2373">
        <f>IF($V2373="",N($AA2372),IF(MATCH($V2373,$V$6:$V$6005,0)=ROW()-5,N($AA2372)+1,N($AA2372)))</f>
        <v/>
      </c>
    </row>
    <row r="2374" ht="21" customHeight="1" s="66">
      <c r="A2374" s="56" t="n"/>
      <c r="B2374" s="57" t="n"/>
      <c r="C2374" s="57" t="n"/>
      <c r="D2374" s="57" t="n"/>
      <c r="E2374" s="56" t="n"/>
      <c r="F2374" s="57" t="n"/>
      <c r="G2374" s="57" t="n"/>
      <c r="H2374" s="56" t="n"/>
      <c r="I2374" s="56" t="n"/>
      <c r="J2374" s="58" t="n"/>
      <c r="K2374" s="58" t="n"/>
      <c r="L2374" s="13">
        <f>IF(OR($A2374="",AND($J2374="",$K2374="")),"",ROUND(N($J2374)-N($K2374),2))</f>
        <v/>
      </c>
      <c r="M2374" s="13">
        <f>IF(OR($A2374="",AND($J2374="",$K2374="")),"",MIN($J2374,$K2374))</f>
        <v/>
      </c>
      <c r="Q2374">
        <f>IF($A2374="","",$D2374&amp;"("&amp;SUBSTITUTE($E2374," ","")&amp;")")</f>
        <v/>
      </c>
      <c r="R2374">
        <f>IF($A2374="","",$B2374&amp;" - "&amp;$C2374)</f>
        <v/>
      </c>
      <c r="S2374">
        <f>IF($A2374="","",$R2374&amp;"|"&amp;$Q2374)</f>
        <v/>
      </c>
      <c r="T2374">
        <f>IF($A2374="","",$S2374&amp;"|"&amp;$F2374)</f>
        <v/>
      </c>
      <c r="U2374">
        <f>IF($A2374="","",$R2374&amp;"("&amp;$E2374&amp;")")</f>
        <v/>
      </c>
      <c r="V2374">
        <f>IF($A2374="","",$F2374&amp;"|"&amp;$U2374&amp;"|"&amp;$D2374)</f>
        <v/>
      </c>
      <c r="W2374">
        <f>IF($T2374="","",IF($X2374&gt;N($X2373),$X2374,""))</f>
        <v/>
      </c>
      <c r="X2374">
        <f>IF($T2374="",N($X2373),IF(MATCH($T2374,$T$6:$T$6005,0)=ROW()-5,N($X2373)+1,N($X2373)))</f>
        <v/>
      </c>
      <c r="Z2374">
        <f>IF($V2374="","",IF($AA2374&gt;N($AA2373),$AA2374,""))</f>
        <v/>
      </c>
      <c r="AA2374">
        <f>IF($V2374="",N($AA2373),IF(MATCH($V2374,$V$6:$V$6005,0)=ROW()-5,N($AA2373)+1,N($AA2373)))</f>
        <v/>
      </c>
    </row>
    <row r="2375" ht="21" customHeight="1" s="66">
      <c r="A2375" s="56" t="n"/>
      <c r="B2375" s="57" t="n"/>
      <c r="C2375" s="57" t="n"/>
      <c r="D2375" s="57" t="n"/>
      <c r="E2375" s="56" t="n"/>
      <c r="F2375" s="57" t="n"/>
      <c r="G2375" s="57" t="n"/>
      <c r="H2375" s="56" t="n"/>
      <c r="I2375" s="56" t="n"/>
      <c r="J2375" s="58" t="n"/>
      <c r="K2375" s="58" t="n"/>
      <c r="L2375" s="13">
        <f>IF(OR($A2375="",AND($J2375="",$K2375="")),"",ROUND(N($J2375)-N($K2375),2))</f>
        <v/>
      </c>
      <c r="M2375" s="13">
        <f>IF(OR($A2375="",AND($J2375="",$K2375="")),"",MIN($J2375,$K2375))</f>
        <v/>
      </c>
      <c r="Q2375">
        <f>IF($A2375="","",$D2375&amp;"("&amp;SUBSTITUTE($E2375," ","")&amp;")")</f>
        <v/>
      </c>
      <c r="R2375">
        <f>IF($A2375="","",$B2375&amp;" - "&amp;$C2375)</f>
        <v/>
      </c>
      <c r="S2375">
        <f>IF($A2375="","",$R2375&amp;"|"&amp;$Q2375)</f>
        <v/>
      </c>
      <c r="T2375">
        <f>IF($A2375="","",$S2375&amp;"|"&amp;$F2375)</f>
        <v/>
      </c>
      <c r="U2375">
        <f>IF($A2375="","",$R2375&amp;"("&amp;$E2375&amp;")")</f>
        <v/>
      </c>
      <c r="V2375">
        <f>IF($A2375="","",$F2375&amp;"|"&amp;$U2375&amp;"|"&amp;$D2375)</f>
        <v/>
      </c>
      <c r="W2375">
        <f>IF($T2375="","",IF($X2375&gt;N($X2374),$X2375,""))</f>
        <v/>
      </c>
      <c r="X2375">
        <f>IF($T2375="",N($X2374),IF(MATCH($T2375,$T$6:$T$6005,0)=ROW()-5,N($X2374)+1,N($X2374)))</f>
        <v/>
      </c>
      <c r="Z2375">
        <f>IF($V2375="","",IF($AA2375&gt;N($AA2374),$AA2375,""))</f>
        <v/>
      </c>
      <c r="AA2375">
        <f>IF($V2375="",N($AA2374),IF(MATCH($V2375,$V$6:$V$6005,0)=ROW()-5,N($AA2374)+1,N($AA2374)))</f>
        <v/>
      </c>
    </row>
    <row r="2376" ht="21" customHeight="1" s="66">
      <c r="A2376" s="56" t="n"/>
      <c r="B2376" s="57" t="n"/>
      <c r="C2376" s="57" t="n"/>
      <c r="D2376" s="57" t="n"/>
      <c r="E2376" s="56" t="n"/>
      <c r="F2376" s="57" t="n"/>
      <c r="G2376" s="57" t="n"/>
      <c r="H2376" s="56" t="n"/>
      <c r="I2376" s="56" t="n"/>
      <c r="J2376" s="58" t="n"/>
      <c r="K2376" s="58" t="n"/>
      <c r="L2376" s="13">
        <f>IF(OR($A2376="",AND($J2376="",$K2376="")),"",ROUND(N($J2376)-N($K2376),2))</f>
        <v/>
      </c>
      <c r="M2376" s="13">
        <f>IF(OR($A2376="",AND($J2376="",$K2376="")),"",MIN($J2376,$K2376))</f>
        <v/>
      </c>
      <c r="Q2376">
        <f>IF($A2376="","",$D2376&amp;"("&amp;SUBSTITUTE($E2376," ","")&amp;")")</f>
        <v/>
      </c>
      <c r="R2376">
        <f>IF($A2376="","",$B2376&amp;" - "&amp;$C2376)</f>
        <v/>
      </c>
      <c r="S2376">
        <f>IF($A2376="","",$R2376&amp;"|"&amp;$Q2376)</f>
        <v/>
      </c>
      <c r="T2376">
        <f>IF($A2376="","",$S2376&amp;"|"&amp;$F2376)</f>
        <v/>
      </c>
      <c r="U2376">
        <f>IF($A2376="","",$R2376&amp;"("&amp;$E2376&amp;")")</f>
        <v/>
      </c>
      <c r="V2376">
        <f>IF($A2376="","",$F2376&amp;"|"&amp;$U2376&amp;"|"&amp;$D2376)</f>
        <v/>
      </c>
      <c r="W2376">
        <f>IF($T2376="","",IF($X2376&gt;N($X2375),$X2376,""))</f>
        <v/>
      </c>
      <c r="X2376">
        <f>IF($T2376="",N($X2375),IF(MATCH($T2376,$T$6:$T$6005,0)=ROW()-5,N($X2375)+1,N($X2375)))</f>
        <v/>
      </c>
      <c r="Z2376">
        <f>IF($V2376="","",IF($AA2376&gt;N($AA2375),$AA2376,""))</f>
        <v/>
      </c>
      <c r="AA2376">
        <f>IF($V2376="",N($AA2375),IF(MATCH($V2376,$V$6:$V$6005,0)=ROW()-5,N($AA2375)+1,N($AA2375)))</f>
        <v/>
      </c>
    </row>
    <row r="2377" ht="21" customHeight="1" s="66">
      <c r="A2377" s="56" t="n"/>
      <c r="B2377" s="57" t="n"/>
      <c r="C2377" s="57" t="n"/>
      <c r="D2377" s="57" t="n"/>
      <c r="E2377" s="56" t="n"/>
      <c r="F2377" s="57" t="n"/>
      <c r="G2377" s="57" t="n"/>
      <c r="H2377" s="56" t="n"/>
      <c r="I2377" s="56" t="n"/>
      <c r="J2377" s="58" t="n"/>
      <c r="K2377" s="58" t="n"/>
      <c r="L2377" s="13">
        <f>IF(OR($A2377="",AND($J2377="",$K2377="")),"",ROUND(N($J2377)-N($K2377),2))</f>
        <v/>
      </c>
      <c r="M2377" s="13">
        <f>IF(OR($A2377="",AND($J2377="",$K2377="")),"",MIN($J2377,$K2377))</f>
        <v/>
      </c>
      <c r="Q2377">
        <f>IF($A2377="","",$D2377&amp;"("&amp;SUBSTITUTE($E2377," ","")&amp;")")</f>
        <v/>
      </c>
      <c r="R2377">
        <f>IF($A2377="","",$B2377&amp;" - "&amp;$C2377)</f>
        <v/>
      </c>
      <c r="S2377">
        <f>IF($A2377="","",$R2377&amp;"|"&amp;$Q2377)</f>
        <v/>
      </c>
      <c r="T2377">
        <f>IF($A2377="","",$S2377&amp;"|"&amp;$F2377)</f>
        <v/>
      </c>
      <c r="U2377">
        <f>IF($A2377="","",$R2377&amp;"("&amp;$E2377&amp;")")</f>
        <v/>
      </c>
      <c r="V2377">
        <f>IF($A2377="","",$F2377&amp;"|"&amp;$U2377&amp;"|"&amp;$D2377)</f>
        <v/>
      </c>
      <c r="W2377">
        <f>IF($T2377="","",IF($X2377&gt;N($X2376),$X2377,""))</f>
        <v/>
      </c>
      <c r="X2377">
        <f>IF($T2377="",N($X2376),IF(MATCH($T2377,$T$6:$T$6005,0)=ROW()-5,N($X2376)+1,N($X2376)))</f>
        <v/>
      </c>
      <c r="Z2377">
        <f>IF($V2377="","",IF($AA2377&gt;N($AA2376),$AA2377,""))</f>
        <v/>
      </c>
      <c r="AA2377">
        <f>IF($V2377="",N($AA2376),IF(MATCH($V2377,$V$6:$V$6005,0)=ROW()-5,N($AA2376)+1,N($AA2376)))</f>
        <v/>
      </c>
    </row>
    <row r="2378" ht="21" customHeight="1" s="66">
      <c r="A2378" s="56" t="n"/>
      <c r="B2378" s="57" t="n"/>
      <c r="C2378" s="57" t="n"/>
      <c r="D2378" s="57" t="n"/>
      <c r="E2378" s="56" t="n"/>
      <c r="F2378" s="57" t="n"/>
      <c r="G2378" s="57" t="n"/>
      <c r="H2378" s="56" t="n"/>
      <c r="I2378" s="56" t="n"/>
      <c r="J2378" s="58" t="n"/>
      <c r="K2378" s="58" t="n"/>
      <c r="L2378" s="13">
        <f>IF(OR($A2378="",AND($J2378="",$K2378="")),"",ROUND(N($J2378)-N($K2378),2))</f>
        <v/>
      </c>
      <c r="M2378" s="13">
        <f>IF(OR($A2378="",AND($J2378="",$K2378="")),"",MIN($J2378,$K2378))</f>
        <v/>
      </c>
      <c r="Q2378">
        <f>IF($A2378="","",$D2378&amp;"("&amp;SUBSTITUTE($E2378," ","")&amp;")")</f>
        <v/>
      </c>
      <c r="R2378">
        <f>IF($A2378="","",$B2378&amp;" - "&amp;$C2378)</f>
        <v/>
      </c>
      <c r="S2378">
        <f>IF($A2378="","",$R2378&amp;"|"&amp;$Q2378)</f>
        <v/>
      </c>
      <c r="T2378">
        <f>IF($A2378="","",$S2378&amp;"|"&amp;$F2378)</f>
        <v/>
      </c>
      <c r="U2378">
        <f>IF($A2378="","",$R2378&amp;"("&amp;$E2378&amp;")")</f>
        <v/>
      </c>
      <c r="V2378">
        <f>IF($A2378="","",$F2378&amp;"|"&amp;$U2378&amp;"|"&amp;$D2378)</f>
        <v/>
      </c>
      <c r="W2378">
        <f>IF($T2378="","",IF($X2378&gt;N($X2377),$X2378,""))</f>
        <v/>
      </c>
      <c r="X2378">
        <f>IF($T2378="",N($X2377),IF(MATCH($T2378,$T$6:$T$6005,0)=ROW()-5,N($X2377)+1,N($X2377)))</f>
        <v/>
      </c>
      <c r="Z2378">
        <f>IF($V2378="","",IF($AA2378&gt;N($AA2377),$AA2378,""))</f>
        <v/>
      </c>
      <c r="AA2378">
        <f>IF($V2378="",N($AA2377),IF(MATCH($V2378,$V$6:$V$6005,0)=ROW()-5,N($AA2377)+1,N($AA2377)))</f>
        <v/>
      </c>
    </row>
    <row r="2379" ht="21" customHeight="1" s="66">
      <c r="A2379" s="56" t="n"/>
      <c r="B2379" s="57" t="n"/>
      <c r="C2379" s="57" t="n"/>
      <c r="D2379" s="57" t="n"/>
      <c r="E2379" s="56" t="n"/>
      <c r="F2379" s="57" t="n"/>
      <c r="G2379" s="57" t="n"/>
      <c r="H2379" s="56" t="n"/>
      <c r="I2379" s="56" t="n"/>
      <c r="J2379" s="58" t="n"/>
      <c r="K2379" s="58" t="n"/>
      <c r="L2379" s="13">
        <f>IF(OR($A2379="",AND($J2379="",$K2379="")),"",ROUND(N($J2379)-N($K2379),2))</f>
        <v/>
      </c>
      <c r="M2379" s="13">
        <f>IF(OR($A2379="",AND($J2379="",$K2379="")),"",MIN($J2379,$K2379))</f>
        <v/>
      </c>
      <c r="Q2379">
        <f>IF($A2379="","",$D2379&amp;"("&amp;SUBSTITUTE($E2379," ","")&amp;")")</f>
        <v/>
      </c>
      <c r="R2379">
        <f>IF($A2379="","",$B2379&amp;" - "&amp;$C2379)</f>
        <v/>
      </c>
      <c r="S2379">
        <f>IF($A2379="","",$R2379&amp;"|"&amp;$Q2379)</f>
        <v/>
      </c>
      <c r="T2379">
        <f>IF($A2379="","",$S2379&amp;"|"&amp;$F2379)</f>
        <v/>
      </c>
      <c r="U2379">
        <f>IF($A2379="","",$R2379&amp;"("&amp;$E2379&amp;")")</f>
        <v/>
      </c>
      <c r="V2379">
        <f>IF($A2379="","",$F2379&amp;"|"&amp;$U2379&amp;"|"&amp;$D2379)</f>
        <v/>
      </c>
      <c r="W2379">
        <f>IF($T2379="","",IF($X2379&gt;N($X2378),$X2379,""))</f>
        <v/>
      </c>
      <c r="X2379">
        <f>IF($T2379="",N($X2378),IF(MATCH($T2379,$T$6:$T$6005,0)=ROW()-5,N($X2378)+1,N($X2378)))</f>
        <v/>
      </c>
      <c r="Z2379">
        <f>IF($V2379="","",IF($AA2379&gt;N($AA2378),$AA2379,""))</f>
        <v/>
      </c>
      <c r="AA2379">
        <f>IF($V2379="",N($AA2378),IF(MATCH($V2379,$V$6:$V$6005,0)=ROW()-5,N($AA2378)+1,N($AA2378)))</f>
        <v/>
      </c>
    </row>
    <row r="2380" ht="21" customHeight="1" s="66">
      <c r="A2380" s="56" t="n"/>
      <c r="B2380" s="57" t="n"/>
      <c r="C2380" s="57" t="n"/>
      <c r="D2380" s="57" t="n"/>
      <c r="E2380" s="56" t="n"/>
      <c r="F2380" s="57" t="n"/>
      <c r="G2380" s="57" t="n"/>
      <c r="H2380" s="56" t="n"/>
      <c r="I2380" s="56" t="n"/>
      <c r="J2380" s="58" t="n"/>
      <c r="K2380" s="58" t="n"/>
      <c r="L2380" s="13">
        <f>IF(OR($A2380="",AND($J2380="",$K2380="")),"",ROUND(N($J2380)-N($K2380),2))</f>
        <v/>
      </c>
      <c r="M2380" s="13">
        <f>IF(OR($A2380="",AND($J2380="",$K2380="")),"",MIN($J2380,$K2380))</f>
        <v/>
      </c>
      <c r="Q2380">
        <f>IF($A2380="","",$D2380&amp;"("&amp;SUBSTITUTE($E2380," ","")&amp;")")</f>
        <v/>
      </c>
      <c r="R2380">
        <f>IF($A2380="","",$B2380&amp;" - "&amp;$C2380)</f>
        <v/>
      </c>
      <c r="S2380">
        <f>IF($A2380="","",$R2380&amp;"|"&amp;$Q2380)</f>
        <v/>
      </c>
      <c r="T2380">
        <f>IF($A2380="","",$S2380&amp;"|"&amp;$F2380)</f>
        <v/>
      </c>
      <c r="U2380">
        <f>IF($A2380="","",$R2380&amp;"("&amp;$E2380&amp;")")</f>
        <v/>
      </c>
      <c r="V2380">
        <f>IF($A2380="","",$F2380&amp;"|"&amp;$U2380&amp;"|"&amp;$D2380)</f>
        <v/>
      </c>
      <c r="W2380">
        <f>IF($T2380="","",IF($X2380&gt;N($X2379),$X2380,""))</f>
        <v/>
      </c>
      <c r="X2380">
        <f>IF($T2380="",N($X2379),IF(MATCH($T2380,$T$6:$T$6005,0)=ROW()-5,N($X2379)+1,N($X2379)))</f>
        <v/>
      </c>
      <c r="Z2380">
        <f>IF($V2380="","",IF($AA2380&gt;N($AA2379),$AA2380,""))</f>
        <v/>
      </c>
      <c r="AA2380">
        <f>IF($V2380="",N($AA2379),IF(MATCH($V2380,$V$6:$V$6005,0)=ROW()-5,N($AA2379)+1,N($AA2379)))</f>
        <v/>
      </c>
    </row>
    <row r="2381" ht="21" customHeight="1" s="66">
      <c r="A2381" s="56" t="n"/>
      <c r="B2381" s="57" t="n"/>
      <c r="C2381" s="57" t="n"/>
      <c r="D2381" s="57" t="n"/>
      <c r="E2381" s="56" t="n"/>
      <c r="F2381" s="57" t="n"/>
      <c r="G2381" s="57" t="n"/>
      <c r="H2381" s="56" t="n"/>
      <c r="I2381" s="56" t="n"/>
      <c r="J2381" s="58" t="n"/>
      <c r="K2381" s="58" t="n"/>
      <c r="L2381" s="13">
        <f>IF(OR($A2381="",AND($J2381="",$K2381="")),"",ROUND(N($J2381)-N($K2381),2))</f>
        <v/>
      </c>
      <c r="M2381" s="13">
        <f>IF(OR($A2381="",AND($J2381="",$K2381="")),"",MIN($J2381,$K2381))</f>
        <v/>
      </c>
      <c r="Q2381">
        <f>IF($A2381="","",$D2381&amp;"("&amp;SUBSTITUTE($E2381," ","")&amp;")")</f>
        <v/>
      </c>
      <c r="R2381">
        <f>IF($A2381="","",$B2381&amp;" - "&amp;$C2381)</f>
        <v/>
      </c>
      <c r="S2381">
        <f>IF($A2381="","",$R2381&amp;"|"&amp;$Q2381)</f>
        <v/>
      </c>
      <c r="T2381">
        <f>IF($A2381="","",$S2381&amp;"|"&amp;$F2381)</f>
        <v/>
      </c>
      <c r="U2381">
        <f>IF($A2381="","",$R2381&amp;"("&amp;$E2381&amp;")")</f>
        <v/>
      </c>
      <c r="V2381">
        <f>IF($A2381="","",$F2381&amp;"|"&amp;$U2381&amp;"|"&amp;$D2381)</f>
        <v/>
      </c>
      <c r="W2381">
        <f>IF($T2381="","",IF($X2381&gt;N($X2380),$X2381,""))</f>
        <v/>
      </c>
      <c r="X2381">
        <f>IF($T2381="",N($X2380),IF(MATCH($T2381,$T$6:$T$6005,0)=ROW()-5,N($X2380)+1,N($X2380)))</f>
        <v/>
      </c>
      <c r="Z2381">
        <f>IF($V2381="","",IF($AA2381&gt;N($AA2380),$AA2381,""))</f>
        <v/>
      </c>
      <c r="AA2381">
        <f>IF($V2381="",N($AA2380),IF(MATCH($V2381,$V$6:$V$6005,0)=ROW()-5,N($AA2380)+1,N($AA2380)))</f>
        <v/>
      </c>
    </row>
    <row r="2382" ht="21" customHeight="1" s="66">
      <c r="A2382" s="56" t="n"/>
      <c r="B2382" s="57" t="n"/>
      <c r="C2382" s="57" t="n"/>
      <c r="D2382" s="57" t="n"/>
      <c r="E2382" s="56" t="n"/>
      <c r="F2382" s="57" t="n"/>
      <c r="G2382" s="57" t="n"/>
      <c r="H2382" s="56" t="n"/>
      <c r="I2382" s="56" t="n"/>
      <c r="J2382" s="58" t="n"/>
      <c r="K2382" s="58" t="n"/>
      <c r="L2382" s="13">
        <f>IF(OR($A2382="",AND($J2382="",$K2382="")),"",ROUND(N($J2382)-N($K2382),2))</f>
        <v/>
      </c>
      <c r="M2382" s="13">
        <f>IF(OR($A2382="",AND($J2382="",$K2382="")),"",MIN($J2382,$K2382))</f>
        <v/>
      </c>
      <c r="Q2382">
        <f>IF($A2382="","",$D2382&amp;"("&amp;SUBSTITUTE($E2382," ","")&amp;")")</f>
        <v/>
      </c>
      <c r="R2382">
        <f>IF($A2382="","",$B2382&amp;" - "&amp;$C2382)</f>
        <v/>
      </c>
      <c r="S2382">
        <f>IF($A2382="","",$R2382&amp;"|"&amp;$Q2382)</f>
        <v/>
      </c>
      <c r="T2382">
        <f>IF($A2382="","",$S2382&amp;"|"&amp;$F2382)</f>
        <v/>
      </c>
      <c r="U2382">
        <f>IF($A2382="","",$R2382&amp;"("&amp;$E2382&amp;")")</f>
        <v/>
      </c>
      <c r="V2382">
        <f>IF($A2382="","",$F2382&amp;"|"&amp;$U2382&amp;"|"&amp;$D2382)</f>
        <v/>
      </c>
      <c r="W2382">
        <f>IF($T2382="","",IF($X2382&gt;N($X2381),$X2382,""))</f>
        <v/>
      </c>
      <c r="X2382">
        <f>IF($T2382="",N($X2381),IF(MATCH($T2382,$T$6:$T$6005,0)=ROW()-5,N($X2381)+1,N($X2381)))</f>
        <v/>
      </c>
      <c r="Z2382">
        <f>IF($V2382="","",IF($AA2382&gt;N($AA2381),$AA2382,""))</f>
        <v/>
      </c>
      <c r="AA2382">
        <f>IF($V2382="",N($AA2381),IF(MATCH($V2382,$V$6:$V$6005,0)=ROW()-5,N($AA2381)+1,N($AA2381)))</f>
        <v/>
      </c>
    </row>
    <row r="2383" ht="21" customHeight="1" s="66">
      <c r="A2383" s="56" t="n"/>
      <c r="B2383" s="57" t="n"/>
      <c r="C2383" s="57" t="n"/>
      <c r="D2383" s="57" t="n"/>
      <c r="E2383" s="56" t="n"/>
      <c r="F2383" s="57" t="n"/>
      <c r="G2383" s="57" t="n"/>
      <c r="H2383" s="56" t="n"/>
      <c r="I2383" s="56" t="n"/>
      <c r="J2383" s="58" t="n"/>
      <c r="K2383" s="58" t="n"/>
      <c r="L2383" s="13">
        <f>IF(OR($A2383="",AND($J2383="",$K2383="")),"",ROUND(N($J2383)-N($K2383),2))</f>
        <v/>
      </c>
      <c r="M2383" s="13">
        <f>IF(OR($A2383="",AND($J2383="",$K2383="")),"",MIN($J2383,$K2383))</f>
        <v/>
      </c>
      <c r="Q2383">
        <f>IF($A2383="","",$D2383&amp;"("&amp;SUBSTITUTE($E2383," ","")&amp;")")</f>
        <v/>
      </c>
      <c r="R2383">
        <f>IF($A2383="","",$B2383&amp;" - "&amp;$C2383)</f>
        <v/>
      </c>
      <c r="S2383">
        <f>IF($A2383="","",$R2383&amp;"|"&amp;$Q2383)</f>
        <v/>
      </c>
      <c r="T2383">
        <f>IF($A2383="","",$S2383&amp;"|"&amp;$F2383)</f>
        <v/>
      </c>
      <c r="U2383">
        <f>IF($A2383="","",$R2383&amp;"("&amp;$E2383&amp;")")</f>
        <v/>
      </c>
      <c r="V2383">
        <f>IF($A2383="","",$F2383&amp;"|"&amp;$U2383&amp;"|"&amp;$D2383)</f>
        <v/>
      </c>
      <c r="W2383">
        <f>IF($T2383="","",IF($X2383&gt;N($X2382),$X2383,""))</f>
        <v/>
      </c>
      <c r="X2383">
        <f>IF($T2383="",N($X2382),IF(MATCH($T2383,$T$6:$T$6005,0)=ROW()-5,N($X2382)+1,N($X2382)))</f>
        <v/>
      </c>
      <c r="Z2383">
        <f>IF($V2383="","",IF($AA2383&gt;N($AA2382),$AA2383,""))</f>
        <v/>
      </c>
      <c r="AA2383">
        <f>IF($V2383="",N($AA2382),IF(MATCH($V2383,$V$6:$V$6005,0)=ROW()-5,N($AA2382)+1,N($AA2382)))</f>
        <v/>
      </c>
    </row>
    <row r="2384" ht="21" customHeight="1" s="66">
      <c r="A2384" s="56" t="n"/>
      <c r="B2384" s="57" t="n"/>
      <c r="C2384" s="57" t="n"/>
      <c r="D2384" s="57" t="n"/>
      <c r="E2384" s="56" t="n"/>
      <c r="F2384" s="57" t="n"/>
      <c r="G2384" s="57" t="n"/>
      <c r="H2384" s="56" t="n"/>
      <c r="I2384" s="56" t="n"/>
      <c r="J2384" s="58" t="n"/>
      <c r="K2384" s="58" t="n"/>
      <c r="L2384" s="13">
        <f>IF(OR($A2384="",AND($J2384="",$K2384="")),"",ROUND(N($J2384)-N($K2384),2))</f>
        <v/>
      </c>
      <c r="M2384" s="13">
        <f>IF(OR($A2384="",AND($J2384="",$K2384="")),"",MIN($J2384,$K2384))</f>
        <v/>
      </c>
      <c r="Q2384">
        <f>IF($A2384="","",$D2384&amp;"("&amp;SUBSTITUTE($E2384," ","")&amp;")")</f>
        <v/>
      </c>
      <c r="R2384">
        <f>IF($A2384="","",$B2384&amp;" - "&amp;$C2384)</f>
        <v/>
      </c>
      <c r="S2384">
        <f>IF($A2384="","",$R2384&amp;"|"&amp;$Q2384)</f>
        <v/>
      </c>
      <c r="T2384">
        <f>IF($A2384="","",$S2384&amp;"|"&amp;$F2384)</f>
        <v/>
      </c>
      <c r="U2384">
        <f>IF($A2384="","",$R2384&amp;"("&amp;$E2384&amp;")")</f>
        <v/>
      </c>
      <c r="V2384">
        <f>IF($A2384="","",$F2384&amp;"|"&amp;$U2384&amp;"|"&amp;$D2384)</f>
        <v/>
      </c>
      <c r="W2384">
        <f>IF($T2384="","",IF($X2384&gt;N($X2383),$X2384,""))</f>
        <v/>
      </c>
      <c r="X2384">
        <f>IF($T2384="",N($X2383),IF(MATCH($T2384,$T$6:$T$6005,0)=ROW()-5,N($X2383)+1,N($X2383)))</f>
        <v/>
      </c>
      <c r="Z2384">
        <f>IF($V2384="","",IF($AA2384&gt;N($AA2383),$AA2384,""))</f>
        <v/>
      </c>
      <c r="AA2384">
        <f>IF($V2384="",N($AA2383),IF(MATCH($V2384,$V$6:$V$6005,0)=ROW()-5,N($AA2383)+1,N($AA2383)))</f>
        <v/>
      </c>
    </row>
    <row r="2385" ht="21" customHeight="1" s="66">
      <c r="A2385" s="56" t="n"/>
      <c r="B2385" s="57" t="n"/>
      <c r="C2385" s="57" t="n"/>
      <c r="D2385" s="57" t="n"/>
      <c r="E2385" s="56" t="n"/>
      <c r="F2385" s="57" t="n"/>
      <c r="G2385" s="57" t="n"/>
      <c r="H2385" s="56" t="n"/>
      <c r="I2385" s="56" t="n"/>
      <c r="J2385" s="58" t="n"/>
      <c r="K2385" s="58" t="n"/>
      <c r="L2385" s="13">
        <f>IF(OR($A2385="",AND($J2385="",$K2385="")),"",ROUND(N($J2385)-N($K2385),2))</f>
        <v/>
      </c>
      <c r="M2385" s="13">
        <f>IF(OR($A2385="",AND($J2385="",$K2385="")),"",MIN($J2385,$K2385))</f>
        <v/>
      </c>
      <c r="Q2385">
        <f>IF($A2385="","",$D2385&amp;"("&amp;SUBSTITUTE($E2385," ","")&amp;")")</f>
        <v/>
      </c>
      <c r="R2385">
        <f>IF($A2385="","",$B2385&amp;" - "&amp;$C2385)</f>
        <v/>
      </c>
      <c r="S2385">
        <f>IF($A2385="","",$R2385&amp;"|"&amp;$Q2385)</f>
        <v/>
      </c>
      <c r="T2385">
        <f>IF($A2385="","",$S2385&amp;"|"&amp;$F2385)</f>
        <v/>
      </c>
      <c r="U2385">
        <f>IF($A2385="","",$R2385&amp;"("&amp;$E2385&amp;")")</f>
        <v/>
      </c>
      <c r="V2385">
        <f>IF($A2385="","",$F2385&amp;"|"&amp;$U2385&amp;"|"&amp;$D2385)</f>
        <v/>
      </c>
      <c r="W2385">
        <f>IF($T2385="","",IF($X2385&gt;N($X2384),$X2385,""))</f>
        <v/>
      </c>
      <c r="X2385">
        <f>IF($T2385="",N($X2384),IF(MATCH($T2385,$T$6:$T$6005,0)=ROW()-5,N($X2384)+1,N($X2384)))</f>
        <v/>
      </c>
      <c r="Z2385">
        <f>IF($V2385="","",IF($AA2385&gt;N($AA2384),$AA2385,""))</f>
        <v/>
      </c>
      <c r="AA2385">
        <f>IF($V2385="",N($AA2384),IF(MATCH($V2385,$V$6:$V$6005,0)=ROW()-5,N($AA2384)+1,N($AA2384)))</f>
        <v/>
      </c>
    </row>
    <row r="2386" ht="21" customHeight="1" s="66">
      <c r="A2386" s="56" t="n"/>
      <c r="B2386" s="57" t="n"/>
      <c r="C2386" s="57" t="n"/>
      <c r="D2386" s="57" t="n"/>
      <c r="E2386" s="56" t="n"/>
      <c r="F2386" s="57" t="n"/>
      <c r="G2386" s="57" t="n"/>
      <c r="H2386" s="56" t="n"/>
      <c r="I2386" s="56" t="n"/>
      <c r="J2386" s="58" t="n"/>
      <c r="K2386" s="58" t="n"/>
      <c r="L2386" s="13">
        <f>IF(OR($A2386="",AND($J2386="",$K2386="")),"",ROUND(N($J2386)-N($K2386),2))</f>
        <v/>
      </c>
      <c r="M2386" s="13">
        <f>IF(OR($A2386="",AND($J2386="",$K2386="")),"",MIN($J2386,$K2386))</f>
        <v/>
      </c>
      <c r="Q2386">
        <f>IF($A2386="","",$D2386&amp;"("&amp;SUBSTITUTE($E2386," ","")&amp;")")</f>
        <v/>
      </c>
      <c r="R2386">
        <f>IF($A2386="","",$B2386&amp;" - "&amp;$C2386)</f>
        <v/>
      </c>
      <c r="S2386">
        <f>IF($A2386="","",$R2386&amp;"|"&amp;$Q2386)</f>
        <v/>
      </c>
      <c r="T2386">
        <f>IF($A2386="","",$S2386&amp;"|"&amp;$F2386)</f>
        <v/>
      </c>
      <c r="U2386">
        <f>IF($A2386="","",$R2386&amp;"("&amp;$E2386&amp;")")</f>
        <v/>
      </c>
      <c r="V2386">
        <f>IF($A2386="","",$F2386&amp;"|"&amp;$U2386&amp;"|"&amp;$D2386)</f>
        <v/>
      </c>
      <c r="W2386">
        <f>IF($T2386="","",IF($X2386&gt;N($X2385),$X2386,""))</f>
        <v/>
      </c>
      <c r="X2386">
        <f>IF($T2386="",N($X2385),IF(MATCH($T2386,$T$6:$T$6005,0)=ROW()-5,N($X2385)+1,N($X2385)))</f>
        <v/>
      </c>
      <c r="Z2386">
        <f>IF($V2386="","",IF($AA2386&gt;N($AA2385),$AA2386,""))</f>
        <v/>
      </c>
      <c r="AA2386">
        <f>IF($V2386="",N($AA2385),IF(MATCH($V2386,$V$6:$V$6005,0)=ROW()-5,N($AA2385)+1,N($AA2385)))</f>
        <v/>
      </c>
    </row>
    <row r="2387" ht="21" customHeight="1" s="66">
      <c r="A2387" s="56" t="n"/>
      <c r="B2387" s="57" t="n"/>
      <c r="C2387" s="57" t="n"/>
      <c r="D2387" s="57" t="n"/>
      <c r="E2387" s="56" t="n"/>
      <c r="F2387" s="57" t="n"/>
      <c r="G2387" s="57" t="n"/>
      <c r="H2387" s="56" t="n"/>
      <c r="I2387" s="56" t="n"/>
      <c r="J2387" s="58" t="n"/>
      <c r="K2387" s="58" t="n"/>
      <c r="L2387" s="13">
        <f>IF(OR($A2387="",AND($J2387="",$K2387="")),"",ROUND(N($J2387)-N($K2387),2))</f>
        <v/>
      </c>
      <c r="M2387" s="13">
        <f>IF(OR($A2387="",AND($J2387="",$K2387="")),"",MIN($J2387,$K2387))</f>
        <v/>
      </c>
      <c r="Q2387">
        <f>IF($A2387="","",$D2387&amp;"("&amp;SUBSTITUTE($E2387," ","")&amp;")")</f>
        <v/>
      </c>
      <c r="R2387">
        <f>IF($A2387="","",$B2387&amp;" - "&amp;$C2387)</f>
        <v/>
      </c>
      <c r="S2387">
        <f>IF($A2387="","",$R2387&amp;"|"&amp;$Q2387)</f>
        <v/>
      </c>
      <c r="T2387">
        <f>IF($A2387="","",$S2387&amp;"|"&amp;$F2387)</f>
        <v/>
      </c>
      <c r="U2387">
        <f>IF($A2387="","",$R2387&amp;"("&amp;$E2387&amp;")")</f>
        <v/>
      </c>
      <c r="V2387">
        <f>IF($A2387="","",$F2387&amp;"|"&amp;$U2387&amp;"|"&amp;$D2387)</f>
        <v/>
      </c>
      <c r="W2387">
        <f>IF($T2387="","",IF($X2387&gt;N($X2386),$X2387,""))</f>
        <v/>
      </c>
      <c r="X2387">
        <f>IF($T2387="",N($X2386),IF(MATCH($T2387,$T$6:$T$6005,0)=ROW()-5,N($X2386)+1,N($X2386)))</f>
        <v/>
      </c>
      <c r="Z2387">
        <f>IF($V2387="","",IF($AA2387&gt;N($AA2386),$AA2387,""))</f>
        <v/>
      </c>
      <c r="AA2387">
        <f>IF($V2387="",N($AA2386),IF(MATCH($V2387,$V$6:$V$6005,0)=ROW()-5,N($AA2386)+1,N($AA2386)))</f>
        <v/>
      </c>
    </row>
    <row r="2388" ht="21" customHeight="1" s="66">
      <c r="A2388" s="56" t="n"/>
      <c r="B2388" s="57" t="n"/>
      <c r="C2388" s="57" t="n"/>
      <c r="D2388" s="57" t="n"/>
      <c r="E2388" s="56" t="n"/>
      <c r="F2388" s="57" t="n"/>
      <c r="G2388" s="57" t="n"/>
      <c r="H2388" s="56" t="n"/>
      <c r="I2388" s="56" t="n"/>
      <c r="J2388" s="58" t="n"/>
      <c r="K2388" s="58" t="n"/>
      <c r="L2388" s="13">
        <f>IF(OR($A2388="",AND($J2388="",$K2388="")),"",ROUND(N($J2388)-N($K2388),2))</f>
        <v/>
      </c>
      <c r="M2388" s="13">
        <f>IF(OR($A2388="",AND($J2388="",$K2388="")),"",MIN($J2388,$K2388))</f>
        <v/>
      </c>
      <c r="Q2388">
        <f>IF($A2388="","",$D2388&amp;"("&amp;SUBSTITUTE($E2388," ","")&amp;")")</f>
        <v/>
      </c>
      <c r="R2388">
        <f>IF($A2388="","",$B2388&amp;" - "&amp;$C2388)</f>
        <v/>
      </c>
      <c r="S2388">
        <f>IF($A2388="","",$R2388&amp;"|"&amp;$Q2388)</f>
        <v/>
      </c>
      <c r="T2388">
        <f>IF($A2388="","",$S2388&amp;"|"&amp;$F2388)</f>
        <v/>
      </c>
      <c r="U2388">
        <f>IF($A2388="","",$R2388&amp;"("&amp;$E2388&amp;")")</f>
        <v/>
      </c>
      <c r="V2388">
        <f>IF($A2388="","",$F2388&amp;"|"&amp;$U2388&amp;"|"&amp;$D2388)</f>
        <v/>
      </c>
      <c r="W2388">
        <f>IF($T2388="","",IF($X2388&gt;N($X2387),$X2388,""))</f>
        <v/>
      </c>
      <c r="X2388">
        <f>IF($T2388="",N($X2387),IF(MATCH($T2388,$T$6:$T$6005,0)=ROW()-5,N($X2387)+1,N($X2387)))</f>
        <v/>
      </c>
      <c r="Z2388">
        <f>IF($V2388="","",IF($AA2388&gt;N($AA2387),$AA2388,""))</f>
        <v/>
      </c>
      <c r="AA2388">
        <f>IF($V2388="",N($AA2387),IF(MATCH($V2388,$V$6:$V$6005,0)=ROW()-5,N($AA2387)+1,N($AA2387)))</f>
        <v/>
      </c>
    </row>
    <row r="2389" ht="21" customHeight="1" s="66">
      <c r="A2389" s="56" t="n"/>
      <c r="B2389" s="57" t="n"/>
      <c r="C2389" s="57" t="n"/>
      <c r="D2389" s="57" t="n"/>
      <c r="E2389" s="56" t="n"/>
      <c r="F2389" s="57" t="n"/>
      <c r="G2389" s="57" t="n"/>
      <c r="H2389" s="56" t="n"/>
      <c r="I2389" s="56" t="n"/>
      <c r="J2389" s="58" t="n"/>
      <c r="K2389" s="58" t="n"/>
      <c r="L2389" s="13">
        <f>IF(OR($A2389="",AND($J2389="",$K2389="")),"",ROUND(N($J2389)-N($K2389),2))</f>
        <v/>
      </c>
      <c r="M2389" s="13">
        <f>IF(OR($A2389="",AND($J2389="",$K2389="")),"",MIN($J2389,$K2389))</f>
        <v/>
      </c>
      <c r="Q2389">
        <f>IF($A2389="","",$D2389&amp;"("&amp;SUBSTITUTE($E2389," ","")&amp;")")</f>
        <v/>
      </c>
      <c r="R2389">
        <f>IF($A2389="","",$B2389&amp;" - "&amp;$C2389)</f>
        <v/>
      </c>
      <c r="S2389">
        <f>IF($A2389="","",$R2389&amp;"|"&amp;$Q2389)</f>
        <v/>
      </c>
      <c r="T2389">
        <f>IF($A2389="","",$S2389&amp;"|"&amp;$F2389)</f>
        <v/>
      </c>
      <c r="U2389">
        <f>IF($A2389="","",$R2389&amp;"("&amp;$E2389&amp;")")</f>
        <v/>
      </c>
      <c r="V2389">
        <f>IF($A2389="","",$F2389&amp;"|"&amp;$U2389&amp;"|"&amp;$D2389)</f>
        <v/>
      </c>
      <c r="W2389">
        <f>IF($T2389="","",IF($X2389&gt;N($X2388),$X2389,""))</f>
        <v/>
      </c>
      <c r="X2389">
        <f>IF($T2389="",N($X2388),IF(MATCH($T2389,$T$6:$T$6005,0)=ROW()-5,N($X2388)+1,N($X2388)))</f>
        <v/>
      </c>
      <c r="Z2389">
        <f>IF($V2389="","",IF($AA2389&gt;N($AA2388),$AA2389,""))</f>
        <v/>
      </c>
      <c r="AA2389">
        <f>IF($V2389="",N($AA2388),IF(MATCH($V2389,$V$6:$V$6005,0)=ROW()-5,N($AA2388)+1,N($AA2388)))</f>
        <v/>
      </c>
    </row>
    <row r="2390" ht="21" customHeight="1" s="66">
      <c r="A2390" s="56" t="n"/>
      <c r="B2390" s="57" t="n"/>
      <c r="C2390" s="57" t="n"/>
      <c r="D2390" s="57" t="n"/>
      <c r="E2390" s="56" t="n"/>
      <c r="F2390" s="57" t="n"/>
      <c r="G2390" s="57" t="n"/>
      <c r="H2390" s="56" t="n"/>
      <c r="I2390" s="56" t="n"/>
      <c r="J2390" s="58" t="n"/>
      <c r="K2390" s="58" t="n"/>
      <c r="L2390" s="13">
        <f>IF(OR($A2390="",AND($J2390="",$K2390="")),"",ROUND(N($J2390)-N($K2390),2))</f>
        <v/>
      </c>
      <c r="M2390" s="13">
        <f>IF(OR($A2390="",AND($J2390="",$K2390="")),"",MIN($J2390,$K2390))</f>
        <v/>
      </c>
      <c r="Q2390">
        <f>IF($A2390="","",$D2390&amp;"("&amp;SUBSTITUTE($E2390," ","")&amp;")")</f>
        <v/>
      </c>
      <c r="R2390">
        <f>IF($A2390="","",$B2390&amp;" - "&amp;$C2390)</f>
        <v/>
      </c>
      <c r="S2390">
        <f>IF($A2390="","",$R2390&amp;"|"&amp;$Q2390)</f>
        <v/>
      </c>
      <c r="T2390">
        <f>IF($A2390="","",$S2390&amp;"|"&amp;$F2390)</f>
        <v/>
      </c>
      <c r="U2390">
        <f>IF($A2390="","",$R2390&amp;"("&amp;$E2390&amp;")")</f>
        <v/>
      </c>
      <c r="V2390">
        <f>IF($A2390="","",$F2390&amp;"|"&amp;$U2390&amp;"|"&amp;$D2390)</f>
        <v/>
      </c>
      <c r="W2390">
        <f>IF($T2390="","",IF($X2390&gt;N($X2389),$X2390,""))</f>
        <v/>
      </c>
      <c r="X2390">
        <f>IF($T2390="",N($X2389),IF(MATCH($T2390,$T$6:$T$6005,0)=ROW()-5,N($X2389)+1,N($X2389)))</f>
        <v/>
      </c>
      <c r="Z2390">
        <f>IF($V2390="","",IF($AA2390&gt;N($AA2389),$AA2390,""))</f>
        <v/>
      </c>
      <c r="AA2390">
        <f>IF($V2390="",N($AA2389),IF(MATCH($V2390,$V$6:$V$6005,0)=ROW()-5,N($AA2389)+1,N($AA2389)))</f>
        <v/>
      </c>
    </row>
    <row r="2391" ht="21" customHeight="1" s="66">
      <c r="A2391" s="56" t="n"/>
      <c r="B2391" s="57" t="n"/>
      <c r="C2391" s="57" t="n"/>
      <c r="D2391" s="57" t="n"/>
      <c r="E2391" s="56" t="n"/>
      <c r="F2391" s="57" t="n"/>
      <c r="G2391" s="57" t="n"/>
      <c r="H2391" s="56" t="n"/>
      <c r="I2391" s="56" t="n"/>
      <c r="J2391" s="58" t="n"/>
      <c r="K2391" s="58" t="n"/>
      <c r="L2391" s="13">
        <f>IF(OR($A2391="",AND($J2391="",$K2391="")),"",ROUND(N($J2391)-N($K2391),2))</f>
        <v/>
      </c>
      <c r="M2391" s="13">
        <f>IF(OR($A2391="",AND($J2391="",$K2391="")),"",MIN($J2391,$K2391))</f>
        <v/>
      </c>
      <c r="Q2391">
        <f>IF($A2391="","",$D2391&amp;"("&amp;SUBSTITUTE($E2391," ","")&amp;")")</f>
        <v/>
      </c>
      <c r="R2391">
        <f>IF($A2391="","",$B2391&amp;" - "&amp;$C2391)</f>
        <v/>
      </c>
      <c r="S2391">
        <f>IF($A2391="","",$R2391&amp;"|"&amp;$Q2391)</f>
        <v/>
      </c>
      <c r="T2391">
        <f>IF($A2391="","",$S2391&amp;"|"&amp;$F2391)</f>
        <v/>
      </c>
      <c r="U2391">
        <f>IF($A2391="","",$R2391&amp;"("&amp;$E2391&amp;")")</f>
        <v/>
      </c>
      <c r="V2391">
        <f>IF($A2391="","",$F2391&amp;"|"&amp;$U2391&amp;"|"&amp;$D2391)</f>
        <v/>
      </c>
      <c r="W2391">
        <f>IF($T2391="","",IF($X2391&gt;N($X2390),$X2391,""))</f>
        <v/>
      </c>
      <c r="X2391">
        <f>IF($T2391="",N($X2390),IF(MATCH($T2391,$T$6:$T$6005,0)=ROW()-5,N($X2390)+1,N($X2390)))</f>
        <v/>
      </c>
      <c r="Z2391">
        <f>IF($V2391="","",IF($AA2391&gt;N($AA2390),$AA2391,""))</f>
        <v/>
      </c>
      <c r="AA2391">
        <f>IF($V2391="",N($AA2390),IF(MATCH($V2391,$V$6:$V$6005,0)=ROW()-5,N($AA2390)+1,N($AA2390)))</f>
        <v/>
      </c>
    </row>
    <row r="2392" ht="21" customHeight="1" s="66">
      <c r="A2392" s="56" t="n"/>
      <c r="B2392" s="57" t="n"/>
      <c r="C2392" s="57" t="n"/>
      <c r="D2392" s="57" t="n"/>
      <c r="E2392" s="56" t="n"/>
      <c r="F2392" s="57" t="n"/>
      <c r="G2392" s="57" t="n"/>
      <c r="H2392" s="56" t="n"/>
      <c r="I2392" s="56" t="n"/>
      <c r="J2392" s="58" t="n"/>
      <c r="K2392" s="58" t="n"/>
      <c r="L2392" s="13">
        <f>IF(OR($A2392="",AND($J2392="",$K2392="")),"",ROUND(N($J2392)-N($K2392),2))</f>
        <v/>
      </c>
      <c r="M2392" s="13">
        <f>IF(OR($A2392="",AND($J2392="",$K2392="")),"",MIN($J2392,$K2392))</f>
        <v/>
      </c>
      <c r="Q2392">
        <f>IF($A2392="","",$D2392&amp;"("&amp;SUBSTITUTE($E2392," ","")&amp;")")</f>
        <v/>
      </c>
      <c r="R2392">
        <f>IF($A2392="","",$B2392&amp;" - "&amp;$C2392)</f>
        <v/>
      </c>
      <c r="S2392">
        <f>IF($A2392="","",$R2392&amp;"|"&amp;$Q2392)</f>
        <v/>
      </c>
      <c r="T2392">
        <f>IF($A2392="","",$S2392&amp;"|"&amp;$F2392)</f>
        <v/>
      </c>
      <c r="U2392">
        <f>IF($A2392="","",$R2392&amp;"("&amp;$E2392&amp;")")</f>
        <v/>
      </c>
      <c r="V2392">
        <f>IF($A2392="","",$F2392&amp;"|"&amp;$U2392&amp;"|"&amp;$D2392)</f>
        <v/>
      </c>
      <c r="W2392">
        <f>IF($T2392="","",IF($X2392&gt;N($X2391),$X2392,""))</f>
        <v/>
      </c>
      <c r="X2392">
        <f>IF($T2392="",N($X2391),IF(MATCH($T2392,$T$6:$T$6005,0)=ROW()-5,N($X2391)+1,N($X2391)))</f>
        <v/>
      </c>
      <c r="Z2392">
        <f>IF($V2392="","",IF($AA2392&gt;N($AA2391),$AA2392,""))</f>
        <v/>
      </c>
      <c r="AA2392">
        <f>IF($V2392="",N($AA2391),IF(MATCH($V2392,$V$6:$V$6005,0)=ROW()-5,N($AA2391)+1,N($AA2391)))</f>
        <v/>
      </c>
    </row>
    <row r="2393" ht="21" customHeight="1" s="66">
      <c r="A2393" s="56" t="n"/>
      <c r="B2393" s="57" t="n"/>
      <c r="C2393" s="57" t="n"/>
      <c r="D2393" s="57" t="n"/>
      <c r="E2393" s="56" t="n"/>
      <c r="F2393" s="57" t="n"/>
      <c r="G2393" s="57" t="n"/>
      <c r="H2393" s="56" t="n"/>
      <c r="I2393" s="56" t="n"/>
      <c r="J2393" s="58" t="n"/>
      <c r="K2393" s="58" t="n"/>
      <c r="L2393" s="13">
        <f>IF(OR($A2393="",AND($J2393="",$K2393="")),"",ROUND(N($J2393)-N($K2393),2))</f>
        <v/>
      </c>
      <c r="M2393" s="13">
        <f>IF(OR($A2393="",AND($J2393="",$K2393="")),"",MIN($J2393,$K2393))</f>
        <v/>
      </c>
      <c r="Q2393">
        <f>IF($A2393="","",$D2393&amp;"("&amp;SUBSTITUTE($E2393," ","")&amp;")")</f>
        <v/>
      </c>
      <c r="R2393">
        <f>IF($A2393="","",$B2393&amp;" - "&amp;$C2393)</f>
        <v/>
      </c>
      <c r="S2393">
        <f>IF($A2393="","",$R2393&amp;"|"&amp;$Q2393)</f>
        <v/>
      </c>
      <c r="T2393">
        <f>IF($A2393="","",$S2393&amp;"|"&amp;$F2393)</f>
        <v/>
      </c>
      <c r="U2393">
        <f>IF($A2393="","",$R2393&amp;"("&amp;$E2393&amp;")")</f>
        <v/>
      </c>
      <c r="V2393">
        <f>IF($A2393="","",$F2393&amp;"|"&amp;$U2393&amp;"|"&amp;$D2393)</f>
        <v/>
      </c>
      <c r="W2393">
        <f>IF($T2393="","",IF($X2393&gt;N($X2392),$X2393,""))</f>
        <v/>
      </c>
      <c r="X2393">
        <f>IF($T2393="",N($X2392),IF(MATCH($T2393,$T$6:$T$6005,0)=ROW()-5,N($X2392)+1,N($X2392)))</f>
        <v/>
      </c>
      <c r="Z2393">
        <f>IF($V2393="","",IF($AA2393&gt;N($AA2392),$AA2393,""))</f>
        <v/>
      </c>
      <c r="AA2393">
        <f>IF($V2393="",N($AA2392),IF(MATCH($V2393,$V$6:$V$6005,0)=ROW()-5,N($AA2392)+1,N($AA2392)))</f>
        <v/>
      </c>
    </row>
    <row r="2394" ht="21" customHeight="1" s="66">
      <c r="A2394" s="56" t="n"/>
      <c r="B2394" s="57" t="n"/>
      <c r="C2394" s="57" t="n"/>
      <c r="D2394" s="57" t="n"/>
      <c r="E2394" s="56" t="n"/>
      <c r="F2394" s="57" t="n"/>
      <c r="G2394" s="57" t="n"/>
      <c r="H2394" s="56" t="n"/>
      <c r="I2394" s="56" t="n"/>
      <c r="J2394" s="58" t="n"/>
      <c r="K2394" s="58" t="n"/>
      <c r="L2394" s="13">
        <f>IF(OR($A2394="",AND($J2394="",$K2394="")),"",ROUND(N($J2394)-N($K2394),2))</f>
        <v/>
      </c>
      <c r="M2394" s="13">
        <f>IF(OR($A2394="",AND($J2394="",$K2394="")),"",MIN($J2394,$K2394))</f>
        <v/>
      </c>
      <c r="Q2394">
        <f>IF($A2394="","",$D2394&amp;"("&amp;SUBSTITUTE($E2394," ","")&amp;")")</f>
        <v/>
      </c>
      <c r="R2394">
        <f>IF($A2394="","",$B2394&amp;" - "&amp;$C2394)</f>
        <v/>
      </c>
      <c r="S2394">
        <f>IF($A2394="","",$R2394&amp;"|"&amp;$Q2394)</f>
        <v/>
      </c>
      <c r="T2394">
        <f>IF($A2394="","",$S2394&amp;"|"&amp;$F2394)</f>
        <v/>
      </c>
      <c r="U2394">
        <f>IF($A2394="","",$R2394&amp;"("&amp;$E2394&amp;")")</f>
        <v/>
      </c>
      <c r="V2394">
        <f>IF($A2394="","",$F2394&amp;"|"&amp;$U2394&amp;"|"&amp;$D2394)</f>
        <v/>
      </c>
      <c r="W2394">
        <f>IF($T2394="","",IF($X2394&gt;N($X2393),$X2394,""))</f>
        <v/>
      </c>
      <c r="X2394">
        <f>IF($T2394="",N($X2393),IF(MATCH($T2394,$T$6:$T$6005,0)=ROW()-5,N($X2393)+1,N($X2393)))</f>
        <v/>
      </c>
      <c r="Z2394">
        <f>IF($V2394="","",IF($AA2394&gt;N($AA2393),$AA2394,""))</f>
        <v/>
      </c>
      <c r="AA2394">
        <f>IF($V2394="",N($AA2393),IF(MATCH($V2394,$V$6:$V$6005,0)=ROW()-5,N($AA2393)+1,N($AA2393)))</f>
        <v/>
      </c>
    </row>
    <row r="2395" ht="21" customHeight="1" s="66">
      <c r="A2395" s="56" t="n"/>
      <c r="B2395" s="57" t="n"/>
      <c r="C2395" s="57" t="n"/>
      <c r="D2395" s="57" t="n"/>
      <c r="E2395" s="56" t="n"/>
      <c r="F2395" s="57" t="n"/>
      <c r="G2395" s="57" t="n"/>
      <c r="H2395" s="56" t="n"/>
      <c r="I2395" s="56" t="n"/>
      <c r="J2395" s="58" t="n"/>
      <c r="K2395" s="58" t="n"/>
      <c r="L2395" s="13">
        <f>IF(OR($A2395="",AND($J2395="",$K2395="")),"",ROUND(N($J2395)-N($K2395),2))</f>
        <v/>
      </c>
      <c r="M2395" s="13">
        <f>IF(OR($A2395="",AND($J2395="",$K2395="")),"",MIN($J2395,$K2395))</f>
        <v/>
      </c>
      <c r="Q2395">
        <f>IF($A2395="","",$D2395&amp;"("&amp;SUBSTITUTE($E2395," ","")&amp;")")</f>
        <v/>
      </c>
      <c r="R2395">
        <f>IF($A2395="","",$B2395&amp;" - "&amp;$C2395)</f>
        <v/>
      </c>
      <c r="S2395">
        <f>IF($A2395="","",$R2395&amp;"|"&amp;$Q2395)</f>
        <v/>
      </c>
      <c r="T2395">
        <f>IF($A2395="","",$S2395&amp;"|"&amp;$F2395)</f>
        <v/>
      </c>
      <c r="U2395">
        <f>IF($A2395="","",$R2395&amp;"("&amp;$E2395&amp;")")</f>
        <v/>
      </c>
      <c r="V2395">
        <f>IF($A2395="","",$F2395&amp;"|"&amp;$U2395&amp;"|"&amp;$D2395)</f>
        <v/>
      </c>
      <c r="W2395">
        <f>IF($T2395="","",IF($X2395&gt;N($X2394),$X2395,""))</f>
        <v/>
      </c>
      <c r="X2395">
        <f>IF($T2395="",N($X2394),IF(MATCH($T2395,$T$6:$T$6005,0)=ROW()-5,N($X2394)+1,N($X2394)))</f>
        <v/>
      </c>
      <c r="Z2395">
        <f>IF($V2395="","",IF($AA2395&gt;N($AA2394),$AA2395,""))</f>
        <v/>
      </c>
      <c r="AA2395">
        <f>IF($V2395="",N($AA2394),IF(MATCH($V2395,$V$6:$V$6005,0)=ROW()-5,N($AA2394)+1,N($AA2394)))</f>
        <v/>
      </c>
    </row>
    <row r="2396" ht="21" customHeight="1" s="66">
      <c r="A2396" s="56" t="n"/>
      <c r="B2396" s="57" t="n"/>
      <c r="C2396" s="57" t="n"/>
      <c r="D2396" s="57" t="n"/>
      <c r="E2396" s="56" t="n"/>
      <c r="F2396" s="57" t="n"/>
      <c r="G2396" s="57" t="n"/>
      <c r="H2396" s="56" t="n"/>
      <c r="I2396" s="56" t="n"/>
      <c r="J2396" s="58" t="n"/>
      <c r="K2396" s="58" t="n"/>
      <c r="L2396" s="13">
        <f>IF(OR($A2396="",AND($J2396="",$K2396="")),"",ROUND(N($J2396)-N($K2396),2))</f>
        <v/>
      </c>
      <c r="M2396" s="13">
        <f>IF(OR($A2396="",AND($J2396="",$K2396="")),"",MIN($J2396,$K2396))</f>
        <v/>
      </c>
      <c r="Q2396">
        <f>IF($A2396="","",$D2396&amp;"("&amp;SUBSTITUTE($E2396," ","")&amp;")")</f>
        <v/>
      </c>
      <c r="R2396">
        <f>IF($A2396="","",$B2396&amp;" - "&amp;$C2396)</f>
        <v/>
      </c>
      <c r="S2396">
        <f>IF($A2396="","",$R2396&amp;"|"&amp;$Q2396)</f>
        <v/>
      </c>
      <c r="T2396">
        <f>IF($A2396="","",$S2396&amp;"|"&amp;$F2396)</f>
        <v/>
      </c>
      <c r="U2396">
        <f>IF($A2396="","",$R2396&amp;"("&amp;$E2396&amp;")")</f>
        <v/>
      </c>
      <c r="V2396">
        <f>IF($A2396="","",$F2396&amp;"|"&amp;$U2396&amp;"|"&amp;$D2396)</f>
        <v/>
      </c>
      <c r="W2396">
        <f>IF($T2396="","",IF($X2396&gt;N($X2395),$X2396,""))</f>
        <v/>
      </c>
      <c r="X2396">
        <f>IF($T2396="",N($X2395),IF(MATCH($T2396,$T$6:$T$6005,0)=ROW()-5,N($X2395)+1,N($X2395)))</f>
        <v/>
      </c>
      <c r="Z2396">
        <f>IF($V2396="","",IF($AA2396&gt;N($AA2395),$AA2396,""))</f>
        <v/>
      </c>
      <c r="AA2396">
        <f>IF($V2396="",N($AA2395),IF(MATCH($V2396,$V$6:$V$6005,0)=ROW()-5,N($AA2395)+1,N($AA2395)))</f>
        <v/>
      </c>
    </row>
    <row r="2397" ht="21" customHeight="1" s="66">
      <c r="A2397" s="56" t="n"/>
      <c r="B2397" s="57" t="n"/>
      <c r="C2397" s="57" t="n"/>
      <c r="D2397" s="57" t="n"/>
      <c r="E2397" s="56" t="n"/>
      <c r="F2397" s="57" t="n"/>
      <c r="G2397" s="57" t="n"/>
      <c r="H2397" s="56" t="n"/>
      <c r="I2397" s="56" t="n"/>
      <c r="J2397" s="58" t="n"/>
      <c r="K2397" s="58" t="n"/>
      <c r="L2397" s="13">
        <f>IF(OR($A2397="",AND($J2397="",$K2397="")),"",ROUND(N($J2397)-N($K2397),2))</f>
        <v/>
      </c>
      <c r="M2397" s="13">
        <f>IF(OR($A2397="",AND($J2397="",$K2397="")),"",MIN($J2397,$K2397))</f>
        <v/>
      </c>
      <c r="Q2397">
        <f>IF($A2397="","",$D2397&amp;"("&amp;SUBSTITUTE($E2397," ","")&amp;")")</f>
        <v/>
      </c>
      <c r="R2397">
        <f>IF($A2397="","",$B2397&amp;" - "&amp;$C2397)</f>
        <v/>
      </c>
      <c r="S2397">
        <f>IF($A2397="","",$R2397&amp;"|"&amp;$Q2397)</f>
        <v/>
      </c>
      <c r="T2397">
        <f>IF($A2397="","",$S2397&amp;"|"&amp;$F2397)</f>
        <v/>
      </c>
      <c r="U2397">
        <f>IF($A2397="","",$R2397&amp;"("&amp;$E2397&amp;")")</f>
        <v/>
      </c>
      <c r="V2397">
        <f>IF($A2397="","",$F2397&amp;"|"&amp;$U2397&amp;"|"&amp;$D2397)</f>
        <v/>
      </c>
      <c r="W2397">
        <f>IF($T2397="","",IF($X2397&gt;N($X2396),$X2397,""))</f>
        <v/>
      </c>
      <c r="X2397">
        <f>IF($T2397="",N($X2396),IF(MATCH($T2397,$T$6:$T$6005,0)=ROW()-5,N($X2396)+1,N($X2396)))</f>
        <v/>
      </c>
      <c r="Z2397">
        <f>IF($V2397="","",IF($AA2397&gt;N($AA2396),$AA2397,""))</f>
        <v/>
      </c>
      <c r="AA2397">
        <f>IF($V2397="",N($AA2396),IF(MATCH($V2397,$V$6:$V$6005,0)=ROW()-5,N($AA2396)+1,N($AA2396)))</f>
        <v/>
      </c>
    </row>
    <row r="2398" ht="21" customHeight="1" s="66">
      <c r="A2398" s="56" t="n"/>
      <c r="B2398" s="57" t="n"/>
      <c r="C2398" s="57" t="n"/>
      <c r="D2398" s="57" t="n"/>
      <c r="E2398" s="56" t="n"/>
      <c r="F2398" s="57" t="n"/>
      <c r="G2398" s="57" t="n"/>
      <c r="H2398" s="56" t="n"/>
      <c r="I2398" s="56" t="n"/>
      <c r="J2398" s="58" t="n"/>
      <c r="K2398" s="58" t="n"/>
      <c r="L2398" s="13">
        <f>IF(OR($A2398="",AND($J2398="",$K2398="")),"",ROUND(N($J2398)-N($K2398),2))</f>
        <v/>
      </c>
      <c r="M2398" s="13">
        <f>IF(OR($A2398="",AND($J2398="",$K2398="")),"",MIN($J2398,$K2398))</f>
        <v/>
      </c>
      <c r="Q2398">
        <f>IF($A2398="","",$D2398&amp;"("&amp;SUBSTITUTE($E2398," ","")&amp;")")</f>
        <v/>
      </c>
      <c r="R2398">
        <f>IF($A2398="","",$B2398&amp;" - "&amp;$C2398)</f>
        <v/>
      </c>
      <c r="S2398">
        <f>IF($A2398="","",$R2398&amp;"|"&amp;$Q2398)</f>
        <v/>
      </c>
      <c r="T2398">
        <f>IF($A2398="","",$S2398&amp;"|"&amp;$F2398)</f>
        <v/>
      </c>
      <c r="U2398">
        <f>IF($A2398="","",$R2398&amp;"("&amp;$E2398&amp;")")</f>
        <v/>
      </c>
      <c r="V2398">
        <f>IF($A2398="","",$F2398&amp;"|"&amp;$U2398&amp;"|"&amp;$D2398)</f>
        <v/>
      </c>
      <c r="W2398">
        <f>IF($T2398="","",IF($X2398&gt;N($X2397),$X2398,""))</f>
        <v/>
      </c>
      <c r="X2398">
        <f>IF($T2398="",N($X2397),IF(MATCH($T2398,$T$6:$T$6005,0)=ROW()-5,N($X2397)+1,N($X2397)))</f>
        <v/>
      </c>
      <c r="Z2398">
        <f>IF($V2398="","",IF($AA2398&gt;N($AA2397),$AA2398,""))</f>
        <v/>
      </c>
      <c r="AA2398">
        <f>IF($V2398="",N($AA2397),IF(MATCH($V2398,$V$6:$V$6005,0)=ROW()-5,N($AA2397)+1,N($AA2397)))</f>
        <v/>
      </c>
    </row>
    <row r="2399" ht="21" customHeight="1" s="66">
      <c r="A2399" s="56" t="n"/>
      <c r="B2399" s="57" t="n"/>
      <c r="C2399" s="57" t="n"/>
      <c r="D2399" s="57" t="n"/>
      <c r="E2399" s="56" t="n"/>
      <c r="F2399" s="57" t="n"/>
      <c r="G2399" s="57" t="n"/>
      <c r="H2399" s="56" t="n"/>
      <c r="I2399" s="56" t="n"/>
      <c r="J2399" s="58" t="n"/>
      <c r="K2399" s="58" t="n"/>
      <c r="L2399" s="13">
        <f>IF(OR($A2399="",AND($J2399="",$K2399="")),"",ROUND(N($J2399)-N($K2399),2))</f>
        <v/>
      </c>
      <c r="M2399" s="13">
        <f>IF(OR($A2399="",AND($J2399="",$K2399="")),"",MIN($J2399,$K2399))</f>
        <v/>
      </c>
      <c r="Q2399">
        <f>IF($A2399="","",$D2399&amp;"("&amp;SUBSTITUTE($E2399," ","")&amp;")")</f>
        <v/>
      </c>
      <c r="R2399">
        <f>IF($A2399="","",$B2399&amp;" - "&amp;$C2399)</f>
        <v/>
      </c>
      <c r="S2399">
        <f>IF($A2399="","",$R2399&amp;"|"&amp;$Q2399)</f>
        <v/>
      </c>
      <c r="T2399">
        <f>IF($A2399="","",$S2399&amp;"|"&amp;$F2399)</f>
        <v/>
      </c>
      <c r="U2399">
        <f>IF($A2399="","",$R2399&amp;"("&amp;$E2399&amp;")")</f>
        <v/>
      </c>
      <c r="V2399">
        <f>IF($A2399="","",$F2399&amp;"|"&amp;$U2399&amp;"|"&amp;$D2399)</f>
        <v/>
      </c>
      <c r="W2399">
        <f>IF($T2399="","",IF($X2399&gt;N($X2398),$X2399,""))</f>
        <v/>
      </c>
      <c r="X2399">
        <f>IF($T2399="",N($X2398),IF(MATCH($T2399,$T$6:$T$6005,0)=ROW()-5,N($X2398)+1,N($X2398)))</f>
        <v/>
      </c>
      <c r="Z2399">
        <f>IF($V2399="","",IF($AA2399&gt;N($AA2398),$AA2399,""))</f>
        <v/>
      </c>
      <c r="AA2399">
        <f>IF($V2399="",N($AA2398),IF(MATCH($V2399,$V$6:$V$6005,0)=ROW()-5,N($AA2398)+1,N($AA2398)))</f>
        <v/>
      </c>
    </row>
    <row r="2400" ht="21" customHeight="1" s="66">
      <c r="A2400" s="56" t="n"/>
      <c r="B2400" s="57" t="n"/>
      <c r="C2400" s="57" t="n"/>
      <c r="D2400" s="57" t="n"/>
      <c r="E2400" s="56" t="n"/>
      <c r="F2400" s="57" t="n"/>
      <c r="G2400" s="57" t="n"/>
      <c r="H2400" s="56" t="n"/>
      <c r="I2400" s="56" t="n"/>
      <c r="J2400" s="58" t="n"/>
      <c r="K2400" s="58" t="n"/>
      <c r="L2400" s="13">
        <f>IF(OR($A2400="",AND($J2400="",$K2400="")),"",ROUND(N($J2400)-N($K2400),2))</f>
        <v/>
      </c>
      <c r="M2400" s="13">
        <f>IF(OR($A2400="",AND($J2400="",$K2400="")),"",MIN($J2400,$K2400))</f>
        <v/>
      </c>
      <c r="Q2400">
        <f>IF($A2400="","",$D2400&amp;"("&amp;SUBSTITUTE($E2400," ","")&amp;")")</f>
        <v/>
      </c>
      <c r="R2400">
        <f>IF($A2400="","",$B2400&amp;" - "&amp;$C2400)</f>
        <v/>
      </c>
      <c r="S2400">
        <f>IF($A2400="","",$R2400&amp;"|"&amp;$Q2400)</f>
        <v/>
      </c>
      <c r="T2400">
        <f>IF($A2400="","",$S2400&amp;"|"&amp;$F2400)</f>
        <v/>
      </c>
      <c r="U2400">
        <f>IF($A2400="","",$R2400&amp;"("&amp;$E2400&amp;")")</f>
        <v/>
      </c>
      <c r="V2400">
        <f>IF($A2400="","",$F2400&amp;"|"&amp;$U2400&amp;"|"&amp;$D2400)</f>
        <v/>
      </c>
      <c r="W2400">
        <f>IF($T2400="","",IF($X2400&gt;N($X2399),$X2400,""))</f>
        <v/>
      </c>
      <c r="X2400">
        <f>IF($T2400="",N($X2399),IF(MATCH($T2400,$T$6:$T$6005,0)=ROW()-5,N($X2399)+1,N($X2399)))</f>
        <v/>
      </c>
      <c r="Z2400">
        <f>IF($V2400="","",IF($AA2400&gt;N($AA2399),$AA2400,""))</f>
        <v/>
      </c>
      <c r="AA2400">
        <f>IF($V2400="",N($AA2399),IF(MATCH($V2400,$V$6:$V$6005,0)=ROW()-5,N($AA2399)+1,N($AA2399)))</f>
        <v/>
      </c>
    </row>
    <row r="2401" ht="21" customHeight="1" s="66">
      <c r="A2401" s="56" t="n"/>
      <c r="B2401" s="57" t="n"/>
      <c r="C2401" s="57" t="n"/>
      <c r="D2401" s="57" t="n"/>
      <c r="E2401" s="56" t="n"/>
      <c r="F2401" s="57" t="n"/>
      <c r="G2401" s="57" t="n"/>
      <c r="H2401" s="56" t="n"/>
      <c r="I2401" s="56" t="n"/>
      <c r="J2401" s="58" t="n"/>
      <c r="K2401" s="58" t="n"/>
      <c r="L2401" s="13">
        <f>IF(OR($A2401="",AND($J2401="",$K2401="")),"",ROUND(N($J2401)-N($K2401),2))</f>
        <v/>
      </c>
      <c r="M2401" s="13">
        <f>IF(OR($A2401="",AND($J2401="",$K2401="")),"",MIN($J2401,$K2401))</f>
        <v/>
      </c>
      <c r="Q2401">
        <f>IF($A2401="","",$D2401&amp;"("&amp;SUBSTITUTE($E2401," ","")&amp;")")</f>
        <v/>
      </c>
      <c r="R2401">
        <f>IF($A2401="","",$B2401&amp;" - "&amp;$C2401)</f>
        <v/>
      </c>
      <c r="S2401">
        <f>IF($A2401="","",$R2401&amp;"|"&amp;$Q2401)</f>
        <v/>
      </c>
      <c r="T2401">
        <f>IF($A2401="","",$S2401&amp;"|"&amp;$F2401)</f>
        <v/>
      </c>
      <c r="U2401">
        <f>IF($A2401="","",$R2401&amp;"("&amp;$E2401&amp;")")</f>
        <v/>
      </c>
      <c r="V2401">
        <f>IF($A2401="","",$F2401&amp;"|"&amp;$U2401&amp;"|"&amp;$D2401)</f>
        <v/>
      </c>
      <c r="W2401">
        <f>IF($T2401="","",IF($X2401&gt;N($X2400),$X2401,""))</f>
        <v/>
      </c>
      <c r="X2401">
        <f>IF($T2401="",N($X2400),IF(MATCH($T2401,$T$6:$T$6005,0)=ROW()-5,N($X2400)+1,N($X2400)))</f>
        <v/>
      </c>
      <c r="Z2401">
        <f>IF($V2401="","",IF($AA2401&gt;N($AA2400),$AA2401,""))</f>
        <v/>
      </c>
      <c r="AA2401">
        <f>IF($V2401="",N($AA2400),IF(MATCH($V2401,$V$6:$V$6005,0)=ROW()-5,N($AA2400)+1,N($AA2400)))</f>
        <v/>
      </c>
    </row>
    <row r="2402" ht="21" customHeight="1" s="66">
      <c r="A2402" s="56" t="n"/>
      <c r="B2402" s="57" t="n"/>
      <c r="C2402" s="57" t="n"/>
      <c r="D2402" s="57" t="n"/>
      <c r="E2402" s="56" t="n"/>
      <c r="F2402" s="57" t="n"/>
      <c r="G2402" s="57" t="n"/>
      <c r="H2402" s="56" t="n"/>
      <c r="I2402" s="56" t="n"/>
      <c r="J2402" s="58" t="n"/>
      <c r="K2402" s="58" t="n"/>
      <c r="L2402" s="13">
        <f>IF(OR($A2402="",AND($J2402="",$K2402="")),"",ROUND(N($J2402)-N($K2402),2))</f>
        <v/>
      </c>
      <c r="M2402" s="13">
        <f>IF(OR($A2402="",AND($J2402="",$K2402="")),"",MIN($J2402,$K2402))</f>
        <v/>
      </c>
      <c r="Q2402">
        <f>IF($A2402="","",$D2402&amp;"("&amp;SUBSTITUTE($E2402," ","")&amp;")")</f>
        <v/>
      </c>
      <c r="R2402">
        <f>IF($A2402="","",$B2402&amp;" - "&amp;$C2402)</f>
        <v/>
      </c>
      <c r="S2402">
        <f>IF($A2402="","",$R2402&amp;"|"&amp;$Q2402)</f>
        <v/>
      </c>
      <c r="T2402">
        <f>IF($A2402="","",$S2402&amp;"|"&amp;$F2402)</f>
        <v/>
      </c>
      <c r="U2402">
        <f>IF($A2402="","",$R2402&amp;"("&amp;$E2402&amp;")")</f>
        <v/>
      </c>
      <c r="V2402">
        <f>IF($A2402="","",$F2402&amp;"|"&amp;$U2402&amp;"|"&amp;$D2402)</f>
        <v/>
      </c>
      <c r="W2402">
        <f>IF($T2402="","",IF($X2402&gt;N($X2401),$X2402,""))</f>
        <v/>
      </c>
      <c r="X2402">
        <f>IF($T2402="",N($X2401),IF(MATCH($T2402,$T$6:$T$6005,0)=ROW()-5,N($X2401)+1,N($X2401)))</f>
        <v/>
      </c>
      <c r="Z2402">
        <f>IF($V2402="","",IF($AA2402&gt;N($AA2401),$AA2402,""))</f>
        <v/>
      </c>
      <c r="AA2402">
        <f>IF($V2402="",N($AA2401),IF(MATCH($V2402,$V$6:$V$6005,0)=ROW()-5,N($AA2401)+1,N($AA2401)))</f>
        <v/>
      </c>
    </row>
    <row r="2403" ht="21" customHeight="1" s="66">
      <c r="A2403" s="56" t="n"/>
      <c r="B2403" s="57" t="n"/>
      <c r="C2403" s="57" t="n"/>
      <c r="D2403" s="57" t="n"/>
      <c r="E2403" s="56" t="n"/>
      <c r="F2403" s="57" t="n"/>
      <c r="G2403" s="57" t="n"/>
      <c r="H2403" s="56" t="n"/>
      <c r="I2403" s="56" t="n"/>
      <c r="J2403" s="58" t="n"/>
      <c r="K2403" s="58" t="n"/>
      <c r="L2403" s="13">
        <f>IF(OR($A2403="",AND($J2403="",$K2403="")),"",ROUND(N($J2403)-N($K2403),2))</f>
        <v/>
      </c>
      <c r="M2403" s="13">
        <f>IF(OR($A2403="",AND($J2403="",$K2403="")),"",MIN($J2403,$K2403))</f>
        <v/>
      </c>
      <c r="Q2403">
        <f>IF($A2403="","",$D2403&amp;"("&amp;SUBSTITUTE($E2403," ","")&amp;")")</f>
        <v/>
      </c>
      <c r="R2403">
        <f>IF($A2403="","",$B2403&amp;" - "&amp;$C2403)</f>
        <v/>
      </c>
      <c r="S2403">
        <f>IF($A2403="","",$R2403&amp;"|"&amp;$Q2403)</f>
        <v/>
      </c>
      <c r="T2403">
        <f>IF($A2403="","",$S2403&amp;"|"&amp;$F2403)</f>
        <v/>
      </c>
      <c r="U2403">
        <f>IF($A2403="","",$R2403&amp;"("&amp;$E2403&amp;")")</f>
        <v/>
      </c>
      <c r="V2403">
        <f>IF($A2403="","",$F2403&amp;"|"&amp;$U2403&amp;"|"&amp;$D2403)</f>
        <v/>
      </c>
      <c r="W2403">
        <f>IF($T2403="","",IF($X2403&gt;N($X2402),$X2403,""))</f>
        <v/>
      </c>
      <c r="X2403">
        <f>IF($T2403="",N($X2402),IF(MATCH($T2403,$T$6:$T$6005,0)=ROW()-5,N($X2402)+1,N($X2402)))</f>
        <v/>
      </c>
      <c r="Z2403">
        <f>IF($V2403="","",IF($AA2403&gt;N($AA2402),$AA2403,""))</f>
        <v/>
      </c>
      <c r="AA2403">
        <f>IF($V2403="",N($AA2402),IF(MATCH($V2403,$V$6:$V$6005,0)=ROW()-5,N($AA2402)+1,N($AA2402)))</f>
        <v/>
      </c>
    </row>
    <row r="2404" ht="21" customHeight="1" s="66">
      <c r="A2404" s="56" t="n"/>
      <c r="B2404" s="57" t="n"/>
      <c r="C2404" s="57" t="n"/>
      <c r="D2404" s="57" t="n"/>
      <c r="E2404" s="56" t="n"/>
      <c r="F2404" s="57" t="n"/>
      <c r="G2404" s="57" t="n"/>
      <c r="H2404" s="56" t="n"/>
      <c r="I2404" s="56" t="n"/>
      <c r="J2404" s="58" t="n"/>
      <c r="K2404" s="58" t="n"/>
      <c r="L2404" s="13">
        <f>IF(OR($A2404="",AND($J2404="",$K2404="")),"",ROUND(N($J2404)-N($K2404),2))</f>
        <v/>
      </c>
      <c r="M2404" s="13">
        <f>IF(OR($A2404="",AND($J2404="",$K2404="")),"",MIN($J2404,$K2404))</f>
        <v/>
      </c>
      <c r="Q2404">
        <f>IF($A2404="","",$D2404&amp;"("&amp;SUBSTITUTE($E2404," ","")&amp;")")</f>
        <v/>
      </c>
      <c r="R2404">
        <f>IF($A2404="","",$B2404&amp;" - "&amp;$C2404)</f>
        <v/>
      </c>
      <c r="S2404">
        <f>IF($A2404="","",$R2404&amp;"|"&amp;$Q2404)</f>
        <v/>
      </c>
      <c r="T2404">
        <f>IF($A2404="","",$S2404&amp;"|"&amp;$F2404)</f>
        <v/>
      </c>
      <c r="U2404">
        <f>IF($A2404="","",$R2404&amp;"("&amp;$E2404&amp;")")</f>
        <v/>
      </c>
      <c r="V2404">
        <f>IF($A2404="","",$F2404&amp;"|"&amp;$U2404&amp;"|"&amp;$D2404)</f>
        <v/>
      </c>
      <c r="W2404">
        <f>IF($T2404="","",IF($X2404&gt;N($X2403),$X2404,""))</f>
        <v/>
      </c>
      <c r="X2404">
        <f>IF($T2404="",N($X2403),IF(MATCH($T2404,$T$6:$T$6005,0)=ROW()-5,N($X2403)+1,N($X2403)))</f>
        <v/>
      </c>
      <c r="Z2404">
        <f>IF($V2404="","",IF($AA2404&gt;N($AA2403),$AA2404,""))</f>
        <v/>
      </c>
      <c r="AA2404">
        <f>IF($V2404="",N($AA2403),IF(MATCH($V2404,$V$6:$V$6005,0)=ROW()-5,N($AA2403)+1,N($AA2403)))</f>
        <v/>
      </c>
    </row>
    <row r="2405" ht="21" customHeight="1" s="66">
      <c r="A2405" s="56" t="n"/>
      <c r="B2405" s="57" t="n"/>
      <c r="C2405" s="57" t="n"/>
      <c r="D2405" s="57" t="n"/>
      <c r="E2405" s="56" t="n"/>
      <c r="F2405" s="57" t="n"/>
      <c r="G2405" s="57" t="n"/>
      <c r="H2405" s="56" t="n"/>
      <c r="I2405" s="56" t="n"/>
      <c r="J2405" s="58" t="n"/>
      <c r="K2405" s="58" t="n"/>
      <c r="L2405" s="13">
        <f>IF(OR($A2405="",AND($J2405="",$K2405="")),"",ROUND(N($J2405)-N($K2405),2))</f>
        <v/>
      </c>
      <c r="M2405" s="13">
        <f>IF(OR($A2405="",AND($J2405="",$K2405="")),"",MIN($J2405,$K2405))</f>
        <v/>
      </c>
      <c r="Q2405">
        <f>IF($A2405="","",$D2405&amp;"("&amp;SUBSTITUTE($E2405," ","")&amp;")")</f>
        <v/>
      </c>
      <c r="R2405">
        <f>IF($A2405="","",$B2405&amp;" - "&amp;$C2405)</f>
        <v/>
      </c>
      <c r="S2405">
        <f>IF($A2405="","",$R2405&amp;"|"&amp;$Q2405)</f>
        <v/>
      </c>
      <c r="T2405">
        <f>IF($A2405="","",$S2405&amp;"|"&amp;$F2405)</f>
        <v/>
      </c>
      <c r="U2405">
        <f>IF($A2405="","",$R2405&amp;"("&amp;$E2405&amp;")")</f>
        <v/>
      </c>
      <c r="V2405">
        <f>IF($A2405="","",$F2405&amp;"|"&amp;$U2405&amp;"|"&amp;$D2405)</f>
        <v/>
      </c>
      <c r="W2405">
        <f>IF($T2405="","",IF($X2405&gt;N($X2404),$X2405,""))</f>
        <v/>
      </c>
      <c r="X2405">
        <f>IF($T2405="",N($X2404),IF(MATCH($T2405,$T$6:$T$6005,0)=ROW()-5,N($X2404)+1,N($X2404)))</f>
        <v/>
      </c>
      <c r="Z2405">
        <f>IF($V2405="","",IF($AA2405&gt;N($AA2404),$AA2405,""))</f>
        <v/>
      </c>
      <c r="AA2405">
        <f>IF($V2405="",N($AA2404),IF(MATCH($V2405,$V$6:$V$6005,0)=ROW()-5,N($AA2404)+1,N($AA2404)))</f>
        <v/>
      </c>
    </row>
    <row r="2406" ht="21" customHeight="1" s="66">
      <c r="A2406" s="56" t="n"/>
      <c r="B2406" s="57" t="n"/>
      <c r="C2406" s="57" t="n"/>
      <c r="D2406" s="57" t="n"/>
      <c r="E2406" s="56" t="n"/>
      <c r="F2406" s="57" t="n"/>
      <c r="G2406" s="57" t="n"/>
      <c r="H2406" s="56" t="n"/>
      <c r="I2406" s="56" t="n"/>
      <c r="J2406" s="58" t="n"/>
      <c r="K2406" s="58" t="n"/>
      <c r="L2406" s="13">
        <f>IF(OR($A2406="",AND($J2406="",$K2406="")),"",ROUND(N($J2406)-N($K2406),2))</f>
        <v/>
      </c>
      <c r="M2406" s="13">
        <f>IF(OR($A2406="",AND($J2406="",$K2406="")),"",MIN($J2406,$K2406))</f>
        <v/>
      </c>
      <c r="Q2406">
        <f>IF($A2406="","",$D2406&amp;"("&amp;SUBSTITUTE($E2406," ","")&amp;")")</f>
        <v/>
      </c>
      <c r="R2406">
        <f>IF($A2406="","",$B2406&amp;" - "&amp;$C2406)</f>
        <v/>
      </c>
      <c r="S2406">
        <f>IF($A2406="","",$R2406&amp;"|"&amp;$Q2406)</f>
        <v/>
      </c>
      <c r="T2406">
        <f>IF($A2406="","",$S2406&amp;"|"&amp;$F2406)</f>
        <v/>
      </c>
      <c r="U2406">
        <f>IF($A2406="","",$R2406&amp;"("&amp;$E2406&amp;")")</f>
        <v/>
      </c>
      <c r="V2406">
        <f>IF($A2406="","",$F2406&amp;"|"&amp;$U2406&amp;"|"&amp;$D2406)</f>
        <v/>
      </c>
      <c r="W2406">
        <f>IF($T2406="","",IF($X2406&gt;N($X2405),$X2406,""))</f>
        <v/>
      </c>
      <c r="X2406">
        <f>IF($T2406="",N($X2405),IF(MATCH($T2406,$T$6:$T$6005,0)=ROW()-5,N($X2405)+1,N($X2405)))</f>
        <v/>
      </c>
      <c r="Z2406">
        <f>IF($V2406="","",IF($AA2406&gt;N($AA2405),$AA2406,""))</f>
        <v/>
      </c>
      <c r="AA2406">
        <f>IF($V2406="",N($AA2405),IF(MATCH($V2406,$V$6:$V$6005,0)=ROW()-5,N($AA2405)+1,N($AA2405)))</f>
        <v/>
      </c>
    </row>
    <row r="2407" ht="21" customHeight="1" s="66">
      <c r="A2407" s="56" t="n"/>
      <c r="B2407" s="57" t="n"/>
      <c r="C2407" s="57" t="n"/>
      <c r="D2407" s="57" t="n"/>
      <c r="E2407" s="56" t="n"/>
      <c r="F2407" s="57" t="n"/>
      <c r="G2407" s="57" t="n"/>
      <c r="H2407" s="56" t="n"/>
      <c r="I2407" s="56" t="n"/>
      <c r="J2407" s="58" t="n"/>
      <c r="K2407" s="58" t="n"/>
      <c r="L2407" s="13">
        <f>IF(OR($A2407="",AND($J2407="",$K2407="")),"",ROUND(N($J2407)-N($K2407),2))</f>
        <v/>
      </c>
      <c r="M2407" s="13">
        <f>IF(OR($A2407="",AND($J2407="",$K2407="")),"",MIN($J2407,$K2407))</f>
        <v/>
      </c>
      <c r="Q2407">
        <f>IF($A2407="","",$D2407&amp;"("&amp;SUBSTITUTE($E2407," ","")&amp;")")</f>
        <v/>
      </c>
      <c r="R2407">
        <f>IF($A2407="","",$B2407&amp;" - "&amp;$C2407)</f>
        <v/>
      </c>
      <c r="S2407">
        <f>IF($A2407="","",$R2407&amp;"|"&amp;$Q2407)</f>
        <v/>
      </c>
      <c r="T2407">
        <f>IF($A2407="","",$S2407&amp;"|"&amp;$F2407)</f>
        <v/>
      </c>
      <c r="U2407">
        <f>IF($A2407="","",$R2407&amp;"("&amp;$E2407&amp;")")</f>
        <v/>
      </c>
      <c r="V2407">
        <f>IF($A2407="","",$F2407&amp;"|"&amp;$U2407&amp;"|"&amp;$D2407)</f>
        <v/>
      </c>
      <c r="W2407">
        <f>IF($T2407="","",IF($X2407&gt;N($X2406),$X2407,""))</f>
        <v/>
      </c>
      <c r="X2407">
        <f>IF($T2407="",N($X2406),IF(MATCH($T2407,$T$6:$T$6005,0)=ROW()-5,N($X2406)+1,N($X2406)))</f>
        <v/>
      </c>
      <c r="Z2407">
        <f>IF($V2407="","",IF($AA2407&gt;N($AA2406),$AA2407,""))</f>
        <v/>
      </c>
      <c r="AA2407">
        <f>IF($V2407="",N($AA2406),IF(MATCH($V2407,$V$6:$V$6005,0)=ROW()-5,N($AA2406)+1,N($AA2406)))</f>
        <v/>
      </c>
    </row>
    <row r="2408" ht="21" customHeight="1" s="66">
      <c r="A2408" s="56" t="n"/>
      <c r="B2408" s="57" t="n"/>
      <c r="C2408" s="57" t="n"/>
      <c r="D2408" s="57" t="n"/>
      <c r="E2408" s="56" t="n"/>
      <c r="F2408" s="57" t="n"/>
      <c r="G2408" s="57" t="n"/>
      <c r="H2408" s="56" t="n"/>
      <c r="I2408" s="56" t="n"/>
      <c r="J2408" s="58" t="n"/>
      <c r="K2408" s="58" t="n"/>
      <c r="L2408" s="13">
        <f>IF(OR($A2408="",AND($J2408="",$K2408="")),"",ROUND(N($J2408)-N($K2408),2))</f>
        <v/>
      </c>
      <c r="M2408" s="13">
        <f>IF(OR($A2408="",AND($J2408="",$K2408="")),"",MIN($J2408,$K2408))</f>
        <v/>
      </c>
      <c r="Q2408">
        <f>IF($A2408="","",$D2408&amp;"("&amp;SUBSTITUTE($E2408," ","")&amp;")")</f>
        <v/>
      </c>
      <c r="R2408">
        <f>IF($A2408="","",$B2408&amp;" - "&amp;$C2408)</f>
        <v/>
      </c>
      <c r="S2408">
        <f>IF($A2408="","",$R2408&amp;"|"&amp;$Q2408)</f>
        <v/>
      </c>
      <c r="T2408">
        <f>IF($A2408="","",$S2408&amp;"|"&amp;$F2408)</f>
        <v/>
      </c>
      <c r="U2408">
        <f>IF($A2408="","",$R2408&amp;"("&amp;$E2408&amp;")")</f>
        <v/>
      </c>
      <c r="V2408">
        <f>IF($A2408="","",$F2408&amp;"|"&amp;$U2408&amp;"|"&amp;$D2408)</f>
        <v/>
      </c>
      <c r="W2408">
        <f>IF($T2408="","",IF($X2408&gt;N($X2407),$X2408,""))</f>
        <v/>
      </c>
      <c r="X2408">
        <f>IF($T2408="",N($X2407),IF(MATCH($T2408,$T$6:$T$6005,0)=ROW()-5,N($X2407)+1,N($X2407)))</f>
        <v/>
      </c>
      <c r="Z2408">
        <f>IF($V2408="","",IF($AA2408&gt;N($AA2407),$AA2408,""))</f>
        <v/>
      </c>
      <c r="AA2408">
        <f>IF($V2408="",N($AA2407),IF(MATCH($V2408,$V$6:$V$6005,0)=ROW()-5,N($AA2407)+1,N($AA2407)))</f>
        <v/>
      </c>
    </row>
    <row r="2409" ht="21" customHeight="1" s="66">
      <c r="A2409" s="56" t="n"/>
      <c r="B2409" s="57" t="n"/>
      <c r="C2409" s="57" t="n"/>
      <c r="D2409" s="57" t="n"/>
      <c r="E2409" s="56" t="n"/>
      <c r="F2409" s="57" t="n"/>
      <c r="G2409" s="57" t="n"/>
      <c r="H2409" s="56" t="n"/>
      <c r="I2409" s="56" t="n"/>
      <c r="J2409" s="58" t="n"/>
      <c r="K2409" s="58" t="n"/>
      <c r="L2409" s="13">
        <f>IF(OR($A2409="",AND($J2409="",$K2409="")),"",ROUND(N($J2409)-N($K2409),2))</f>
        <v/>
      </c>
      <c r="M2409" s="13">
        <f>IF(OR($A2409="",AND($J2409="",$K2409="")),"",MIN($J2409,$K2409))</f>
        <v/>
      </c>
      <c r="Q2409">
        <f>IF($A2409="","",$D2409&amp;"("&amp;SUBSTITUTE($E2409," ","")&amp;")")</f>
        <v/>
      </c>
      <c r="R2409">
        <f>IF($A2409="","",$B2409&amp;" - "&amp;$C2409)</f>
        <v/>
      </c>
      <c r="S2409">
        <f>IF($A2409="","",$R2409&amp;"|"&amp;$Q2409)</f>
        <v/>
      </c>
      <c r="T2409">
        <f>IF($A2409="","",$S2409&amp;"|"&amp;$F2409)</f>
        <v/>
      </c>
      <c r="U2409">
        <f>IF($A2409="","",$R2409&amp;"("&amp;$E2409&amp;")")</f>
        <v/>
      </c>
      <c r="V2409">
        <f>IF($A2409="","",$F2409&amp;"|"&amp;$U2409&amp;"|"&amp;$D2409)</f>
        <v/>
      </c>
      <c r="W2409">
        <f>IF($T2409="","",IF($X2409&gt;N($X2408),$X2409,""))</f>
        <v/>
      </c>
      <c r="X2409">
        <f>IF($T2409="",N($X2408),IF(MATCH($T2409,$T$6:$T$6005,0)=ROW()-5,N($X2408)+1,N($X2408)))</f>
        <v/>
      </c>
      <c r="Z2409">
        <f>IF($V2409="","",IF($AA2409&gt;N($AA2408),$AA2409,""))</f>
        <v/>
      </c>
      <c r="AA2409">
        <f>IF($V2409="",N($AA2408),IF(MATCH($V2409,$V$6:$V$6005,0)=ROW()-5,N($AA2408)+1,N($AA2408)))</f>
        <v/>
      </c>
    </row>
    <row r="2410" ht="21" customHeight="1" s="66">
      <c r="A2410" s="56" t="n"/>
      <c r="B2410" s="57" t="n"/>
      <c r="C2410" s="57" t="n"/>
      <c r="D2410" s="57" t="n"/>
      <c r="E2410" s="56" t="n"/>
      <c r="F2410" s="57" t="n"/>
      <c r="G2410" s="57" t="n"/>
      <c r="H2410" s="56" t="n"/>
      <c r="I2410" s="56" t="n"/>
      <c r="J2410" s="58" t="n"/>
      <c r="K2410" s="58" t="n"/>
      <c r="L2410" s="13">
        <f>IF(OR($A2410="",AND($J2410="",$K2410="")),"",ROUND(N($J2410)-N($K2410),2))</f>
        <v/>
      </c>
      <c r="M2410" s="13">
        <f>IF(OR($A2410="",AND($J2410="",$K2410="")),"",MIN($J2410,$K2410))</f>
        <v/>
      </c>
      <c r="Q2410">
        <f>IF($A2410="","",$D2410&amp;"("&amp;SUBSTITUTE($E2410," ","")&amp;")")</f>
        <v/>
      </c>
      <c r="R2410">
        <f>IF($A2410="","",$B2410&amp;" - "&amp;$C2410)</f>
        <v/>
      </c>
      <c r="S2410">
        <f>IF($A2410="","",$R2410&amp;"|"&amp;$Q2410)</f>
        <v/>
      </c>
      <c r="T2410">
        <f>IF($A2410="","",$S2410&amp;"|"&amp;$F2410)</f>
        <v/>
      </c>
      <c r="U2410">
        <f>IF($A2410="","",$R2410&amp;"("&amp;$E2410&amp;")")</f>
        <v/>
      </c>
      <c r="V2410">
        <f>IF($A2410="","",$F2410&amp;"|"&amp;$U2410&amp;"|"&amp;$D2410)</f>
        <v/>
      </c>
      <c r="W2410">
        <f>IF($T2410="","",IF($X2410&gt;N($X2409),$X2410,""))</f>
        <v/>
      </c>
      <c r="X2410">
        <f>IF($T2410="",N($X2409),IF(MATCH($T2410,$T$6:$T$6005,0)=ROW()-5,N($X2409)+1,N($X2409)))</f>
        <v/>
      </c>
      <c r="Z2410">
        <f>IF($V2410="","",IF($AA2410&gt;N($AA2409),$AA2410,""))</f>
        <v/>
      </c>
      <c r="AA2410">
        <f>IF($V2410="",N($AA2409),IF(MATCH($V2410,$V$6:$V$6005,0)=ROW()-5,N($AA2409)+1,N($AA2409)))</f>
        <v/>
      </c>
    </row>
    <row r="2411" ht="21" customHeight="1" s="66">
      <c r="A2411" s="56" t="n"/>
      <c r="B2411" s="57" t="n"/>
      <c r="C2411" s="57" t="n"/>
      <c r="D2411" s="57" t="n"/>
      <c r="E2411" s="56" t="n"/>
      <c r="F2411" s="57" t="n"/>
      <c r="G2411" s="57" t="n"/>
      <c r="H2411" s="56" t="n"/>
      <c r="I2411" s="56" t="n"/>
      <c r="J2411" s="58" t="n"/>
      <c r="K2411" s="58" t="n"/>
      <c r="L2411" s="13">
        <f>IF(OR($A2411="",AND($J2411="",$K2411="")),"",ROUND(N($J2411)-N($K2411),2))</f>
        <v/>
      </c>
      <c r="M2411" s="13">
        <f>IF(OR($A2411="",AND($J2411="",$K2411="")),"",MIN($J2411,$K2411))</f>
        <v/>
      </c>
      <c r="Q2411">
        <f>IF($A2411="","",$D2411&amp;"("&amp;SUBSTITUTE($E2411," ","")&amp;")")</f>
        <v/>
      </c>
      <c r="R2411">
        <f>IF($A2411="","",$B2411&amp;" - "&amp;$C2411)</f>
        <v/>
      </c>
      <c r="S2411">
        <f>IF($A2411="","",$R2411&amp;"|"&amp;$Q2411)</f>
        <v/>
      </c>
      <c r="T2411">
        <f>IF($A2411="","",$S2411&amp;"|"&amp;$F2411)</f>
        <v/>
      </c>
      <c r="U2411">
        <f>IF($A2411="","",$R2411&amp;"("&amp;$E2411&amp;")")</f>
        <v/>
      </c>
      <c r="V2411">
        <f>IF($A2411="","",$F2411&amp;"|"&amp;$U2411&amp;"|"&amp;$D2411)</f>
        <v/>
      </c>
      <c r="W2411">
        <f>IF($T2411="","",IF($X2411&gt;N($X2410),$X2411,""))</f>
        <v/>
      </c>
      <c r="X2411">
        <f>IF($T2411="",N($X2410),IF(MATCH($T2411,$T$6:$T$6005,0)=ROW()-5,N($X2410)+1,N($X2410)))</f>
        <v/>
      </c>
      <c r="Z2411">
        <f>IF($V2411="","",IF($AA2411&gt;N($AA2410),$AA2411,""))</f>
        <v/>
      </c>
      <c r="AA2411">
        <f>IF($V2411="",N($AA2410),IF(MATCH($V2411,$V$6:$V$6005,0)=ROW()-5,N($AA2410)+1,N($AA2410)))</f>
        <v/>
      </c>
    </row>
    <row r="2412" ht="21" customHeight="1" s="66">
      <c r="A2412" s="56" t="n"/>
      <c r="B2412" s="57" t="n"/>
      <c r="C2412" s="57" t="n"/>
      <c r="D2412" s="57" t="n"/>
      <c r="E2412" s="56" t="n"/>
      <c r="F2412" s="57" t="n"/>
      <c r="G2412" s="57" t="n"/>
      <c r="H2412" s="56" t="n"/>
      <c r="I2412" s="56" t="n"/>
      <c r="J2412" s="58" t="n"/>
      <c r="K2412" s="58" t="n"/>
      <c r="L2412" s="13">
        <f>IF(OR($A2412="",AND($J2412="",$K2412="")),"",ROUND(N($J2412)-N($K2412),2))</f>
        <v/>
      </c>
      <c r="M2412" s="13">
        <f>IF(OR($A2412="",AND($J2412="",$K2412="")),"",MIN($J2412,$K2412))</f>
        <v/>
      </c>
      <c r="Q2412">
        <f>IF($A2412="","",$D2412&amp;"("&amp;SUBSTITUTE($E2412," ","")&amp;")")</f>
        <v/>
      </c>
      <c r="R2412">
        <f>IF($A2412="","",$B2412&amp;" - "&amp;$C2412)</f>
        <v/>
      </c>
      <c r="S2412">
        <f>IF($A2412="","",$R2412&amp;"|"&amp;$Q2412)</f>
        <v/>
      </c>
      <c r="T2412">
        <f>IF($A2412="","",$S2412&amp;"|"&amp;$F2412)</f>
        <v/>
      </c>
      <c r="U2412">
        <f>IF($A2412="","",$R2412&amp;"("&amp;$E2412&amp;")")</f>
        <v/>
      </c>
      <c r="V2412">
        <f>IF($A2412="","",$F2412&amp;"|"&amp;$U2412&amp;"|"&amp;$D2412)</f>
        <v/>
      </c>
      <c r="W2412">
        <f>IF($T2412="","",IF($X2412&gt;N($X2411),$X2412,""))</f>
        <v/>
      </c>
      <c r="X2412">
        <f>IF($T2412="",N($X2411),IF(MATCH($T2412,$T$6:$T$6005,0)=ROW()-5,N($X2411)+1,N($X2411)))</f>
        <v/>
      </c>
      <c r="Z2412">
        <f>IF($V2412="","",IF($AA2412&gt;N($AA2411),$AA2412,""))</f>
        <v/>
      </c>
      <c r="AA2412">
        <f>IF($V2412="",N($AA2411),IF(MATCH($V2412,$V$6:$V$6005,0)=ROW()-5,N($AA2411)+1,N($AA2411)))</f>
        <v/>
      </c>
    </row>
    <row r="2413" ht="21" customHeight="1" s="66">
      <c r="A2413" s="56" t="n"/>
      <c r="B2413" s="57" t="n"/>
      <c r="C2413" s="57" t="n"/>
      <c r="D2413" s="57" t="n"/>
      <c r="E2413" s="56" t="n"/>
      <c r="F2413" s="57" t="n"/>
      <c r="G2413" s="57" t="n"/>
      <c r="H2413" s="56" t="n"/>
      <c r="I2413" s="56" t="n"/>
      <c r="J2413" s="58" t="n"/>
      <c r="K2413" s="58" t="n"/>
      <c r="L2413" s="13">
        <f>IF(OR($A2413="",AND($J2413="",$K2413="")),"",ROUND(N($J2413)-N($K2413),2))</f>
        <v/>
      </c>
      <c r="M2413" s="13">
        <f>IF(OR($A2413="",AND($J2413="",$K2413="")),"",MIN($J2413,$K2413))</f>
        <v/>
      </c>
      <c r="Q2413">
        <f>IF($A2413="","",$D2413&amp;"("&amp;SUBSTITUTE($E2413," ","")&amp;")")</f>
        <v/>
      </c>
      <c r="R2413">
        <f>IF($A2413="","",$B2413&amp;" - "&amp;$C2413)</f>
        <v/>
      </c>
      <c r="S2413">
        <f>IF($A2413="","",$R2413&amp;"|"&amp;$Q2413)</f>
        <v/>
      </c>
      <c r="T2413">
        <f>IF($A2413="","",$S2413&amp;"|"&amp;$F2413)</f>
        <v/>
      </c>
      <c r="U2413">
        <f>IF($A2413="","",$R2413&amp;"("&amp;$E2413&amp;")")</f>
        <v/>
      </c>
      <c r="V2413">
        <f>IF($A2413="","",$F2413&amp;"|"&amp;$U2413&amp;"|"&amp;$D2413)</f>
        <v/>
      </c>
      <c r="W2413">
        <f>IF($T2413="","",IF($X2413&gt;N($X2412),$X2413,""))</f>
        <v/>
      </c>
      <c r="X2413">
        <f>IF($T2413="",N($X2412),IF(MATCH($T2413,$T$6:$T$6005,0)=ROW()-5,N($X2412)+1,N($X2412)))</f>
        <v/>
      </c>
      <c r="Z2413">
        <f>IF($V2413="","",IF($AA2413&gt;N($AA2412),$AA2413,""))</f>
        <v/>
      </c>
      <c r="AA2413">
        <f>IF($V2413="",N($AA2412),IF(MATCH($V2413,$V$6:$V$6005,0)=ROW()-5,N($AA2412)+1,N($AA2412)))</f>
        <v/>
      </c>
    </row>
    <row r="2414" ht="21" customHeight="1" s="66">
      <c r="A2414" s="56" t="n"/>
      <c r="B2414" s="57" t="n"/>
      <c r="C2414" s="57" t="n"/>
      <c r="D2414" s="57" t="n"/>
      <c r="E2414" s="56" t="n"/>
      <c r="F2414" s="57" t="n"/>
      <c r="G2414" s="57" t="n"/>
      <c r="H2414" s="56" t="n"/>
      <c r="I2414" s="56" t="n"/>
      <c r="J2414" s="58" t="n"/>
      <c r="K2414" s="58" t="n"/>
      <c r="L2414" s="13">
        <f>IF(OR($A2414="",AND($J2414="",$K2414="")),"",ROUND(N($J2414)-N($K2414),2))</f>
        <v/>
      </c>
      <c r="M2414" s="13">
        <f>IF(OR($A2414="",AND($J2414="",$K2414="")),"",MIN($J2414,$K2414))</f>
        <v/>
      </c>
      <c r="Q2414">
        <f>IF($A2414="","",$D2414&amp;"("&amp;SUBSTITUTE($E2414," ","")&amp;")")</f>
        <v/>
      </c>
      <c r="R2414">
        <f>IF($A2414="","",$B2414&amp;" - "&amp;$C2414)</f>
        <v/>
      </c>
      <c r="S2414">
        <f>IF($A2414="","",$R2414&amp;"|"&amp;$Q2414)</f>
        <v/>
      </c>
      <c r="T2414">
        <f>IF($A2414="","",$S2414&amp;"|"&amp;$F2414)</f>
        <v/>
      </c>
      <c r="U2414">
        <f>IF($A2414="","",$R2414&amp;"("&amp;$E2414&amp;")")</f>
        <v/>
      </c>
      <c r="V2414">
        <f>IF($A2414="","",$F2414&amp;"|"&amp;$U2414&amp;"|"&amp;$D2414)</f>
        <v/>
      </c>
      <c r="W2414">
        <f>IF($T2414="","",IF($X2414&gt;N($X2413),$X2414,""))</f>
        <v/>
      </c>
      <c r="X2414">
        <f>IF($T2414="",N($X2413),IF(MATCH($T2414,$T$6:$T$6005,0)=ROW()-5,N($X2413)+1,N($X2413)))</f>
        <v/>
      </c>
      <c r="Z2414">
        <f>IF($V2414="","",IF($AA2414&gt;N($AA2413),$AA2414,""))</f>
        <v/>
      </c>
      <c r="AA2414">
        <f>IF($V2414="",N($AA2413),IF(MATCH($V2414,$V$6:$V$6005,0)=ROW()-5,N($AA2413)+1,N($AA2413)))</f>
        <v/>
      </c>
    </row>
    <row r="2415" ht="21" customHeight="1" s="66">
      <c r="A2415" s="56" t="n"/>
      <c r="B2415" s="57" t="n"/>
      <c r="C2415" s="57" t="n"/>
      <c r="D2415" s="57" t="n"/>
      <c r="E2415" s="56" t="n"/>
      <c r="F2415" s="57" t="n"/>
      <c r="G2415" s="57" t="n"/>
      <c r="H2415" s="56" t="n"/>
      <c r="I2415" s="56" t="n"/>
      <c r="J2415" s="58" t="n"/>
      <c r="K2415" s="58" t="n"/>
      <c r="L2415" s="13">
        <f>IF(OR($A2415="",AND($J2415="",$K2415="")),"",ROUND(N($J2415)-N($K2415),2))</f>
        <v/>
      </c>
      <c r="M2415" s="13">
        <f>IF(OR($A2415="",AND($J2415="",$K2415="")),"",MIN($J2415,$K2415))</f>
        <v/>
      </c>
      <c r="Q2415">
        <f>IF($A2415="","",$D2415&amp;"("&amp;SUBSTITUTE($E2415," ","")&amp;")")</f>
        <v/>
      </c>
      <c r="R2415">
        <f>IF($A2415="","",$B2415&amp;" - "&amp;$C2415)</f>
        <v/>
      </c>
      <c r="S2415">
        <f>IF($A2415="","",$R2415&amp;"|"&amp;$Q2415)</f>
        <v/>
      </c>
      <c r="T2415">
        <f>IF($A2415="","",$S2415&amp;"|"&amp;$F2415)</f>
        <v/>
      </c>
      <c r="U2415">
        <f>IF($A2415="","",$R2415&amp;"("&amp;$E2415&amp;")")</f>
        <v/>
      </c>
      <c r="V2415">
        <f>IF($A2415="","",$F2415&amp;"|"&amp;$U2415&amp;"|"&amp;$D2415)</f>
        <v/>
      </c>
      <c r="W2415">
        <f>IF($T2415="","",IF($X2415&gt;N($X2414),$X2415,""))</f>
        <v/>
      </c>
      <c r="X2415">
        <f>IF($T2415="",N($X2414),IF(MATCH($T2415,$T$6:$T$6005,0)=ROW()-5,N($X2414)+1,N($X2414)))</f>
        <v/>
      </c>
      <c r="Z2415">
        <f>IF($V2415="","",IF($AA2415&gt;N($AA2414),$AA2415,""))</f>
        <v/>
      </c>
      <c r="AA2415">
        <f>IF($V2415="",N($AA2414),IF(MATCH($V2415,$V$6:$V$6005,0)=ROW()-5,N($AA2414)+1,N($AA2414)))</f>
        <v/>
      </c>
    </row>
    <row r="2416" ht="21" customHeight="1" s="66">
      <c r="A2416" s="56" t="n"/>
      <c r="B2416" s="57" t="n"/>
      <c r="C2416" s="57" t="n"/>
      <c r="D2416" s="57" t="n"/>
      <c r="E2416" s="56" t="n"/>
      <c r="F2416" s="57" t="n"/>
      <c r="G2416" s="57" t="n"/>
      <c r="H2416" s="56" t="n"/>
      <c r="I2416" s="56" t="n"/>
      <c r="J2416" s="58" t="n"/>
      <c r="K2416" s="58" t="n"/>
      <c r="L2416" s="13">
        <f>IF(OR($A2416="",AND($J2416="",$K2416="")),"",ROUND(N($J2416)-N($K2416),2))</f>
        <v/>
      </c>
      <c r="M2416" s="13">
        <f>IF(OR($A2416="",AND($J2416="",$K2416="")),"",MIN($J2416,$K2416))</f>
        <v/>
      </c>
      <c r="Q2416">
        <f>IF($A2416="","",$D2416&amp;"("&amp;SUBSTITUTE($E2416," ","")&amp;")")</f>
        <v/>
      </c>
      <c r="R2416">
        <f>IF($A2416="","",$B2416&amp;" - "&amp;$C2416)</f>
        <v/>
      </c>
      <c r="S2416">
        <f>IF($A2416="","",$R2416&amp;"|"&amp;$Q2416)</f>
        <v/>
      </c>
      <c r="T2416">
        <f>IF($A2416="","",$S2416&amp;"|"&amp;$F2416)</f>
        <v/>
      </c>
      <c r="U2416">
        <f>IF($A2416="","",$R2416&amp;"("&amp;$E2416&amp;")")</f>
        <v/>
      </c>
      <c r="V2416">
        <f>IF($A2416="","",$F2416&amp;"|"&amp;$U2416&amp;"|"&amp;$D2416)</f>
        <v/>
      </c>
      <c r="W2416">
        <f>IF($T2416="","",IF($X2416&gt;N($X2415),$X2416,""))</f>
        <v/>
      </c>
      <c r="X2416">
        <f>IF($T2416="",N($X2415),IF(MATCH($T2416,$T$6:$T$6005,0)=ROW()-5,N($X2415)+1,N($X2415)))</f>
        <v/>
      </c>
      <c r="Z2416">
        <f>IF($V2416="","",IF($AA2416&gt;N($AA2415),$AA2416,""))</f>
        <v/>
      </c>
      <c r="AA2416">
        <f>IF($V2416="",N($AA2415),IF(MATCH($V2416,$V$6:$V$6005,0)=ROW()-5,N($AA2415)+1,N($AA2415)))</f>
        <v/>
      </c>
    </row>
    <row r="2417" ht="21" customHeight="1" s="66">
      <c r="A2417" s="56" t="n"/>
      <c r="B2417" s="57" t="n"/>
      <c r="C2417" s="57" t="n"/>
      <c r="D2417" s="57" t="n"/>
      <c r="E2417" s="56" t="n"/>
      <c r="F2417" s="57" t="n"/>
      <c r="G2417" s="57" t="n"/>
      <c r="H2417" s="56" t="n"/>
      <c r="I2417" s="56" t="n"/>
      <c r="J2417" s="58" t="n"/>
      <c r="K2417" s="58" t="n"/>
      <c r="L2417" s="13">
        <f>IF(OR($A2417="",AND($J2417="",$K2417="")),"",ROUND(N($J2417)-N($K2417),2))</f>
        <v/>
      </c>
      <c r="M2417" s="13">
        <f>IF(OR($A2417="",AND($J2417="",$K2417="")),"",MIN($J2417,$K2417))</f>
        <v/>
      </c>
      <c r="Q2417">
        <f>IF($A2417="","",$D2417&amp;"("&amp;SUBSTITUTE($E2417," ","")&amp;")")</f>
        <v/>
      </c>
      <c r="R2417">
        <f>IF($A2417="","",$B2417&amp;" - "&amp;$C2417)</f>
        <v/>
      </c>
      <c r="S2417">
        <f>IF($A2417="","",$R2417&amp;"|"&amp;$Q2417)</f>
        <v/>
      </c>
      <c r="T2417">
        <f>IF($A2417="","",$S2417&amp;"|"&amp;$F2417)</f>
        <v/>
      </c>
      <c r="U2417">
        <f>IF($A2417="","",$R2417&amp;"("&amp;$E2417&amp;")")</f>
        <v/>
      </c>
      <c r="V2417">
        <f>IF($A2417="","",$F2417&amp;"|"&amp;$U2417&amp;"|"&amp;$D2417)</f>
        <v/>
      </c>
      <c r="W2417">
        <f>IF($T2417="","",IF($X2417&gt;N($X2416),$X2417,""))</f>
        <v/>
      </c>
      <c r="X2417">
        <f>IF($T2417="",N($X2416),IF(MATCH($T2417,$T$6:$T$6005,0)=ROW()-5,N($X2416)+1,N($X2416)))</f>
        <v/>
      </c>
      <c r="Z2417">
        <f>IF($V2417="","",IF($AA2417&gt;N($AA2416),$AA2417,""))</f>
        <v/>
      </c>
      <c r="AA2417">
        <f>IF($V2417="",N($AA2416),IF(MATCH($V2417,$V$6:$V$6005,0)=ROW()-5,N($AA2416)+1,N($AA2416)))</f>
        <v/>
      </c>
    </row>
    <row r="2418" ht="21" customHeight="1" s="66">
      <c r="A2418" s="56" t="n"/>
      <c r="B2418" s="57" t="n"/>
      <c r="C2418" s="57" t="n"/>
      <c r="D2418" s="57" t="n"/>
      <c r="E2418" s="56" t="n"/>
      <c r="F2418" s="57" t="n"/>
      <c r="G2418" s="57" t="n"/>
      <c r="H2418" s="56" t="n"/>
      <c r="I2418" s="56" t="n"/>
      <c r="J2418" s="58" t="n"/>
      <c r="K2418" s="58" t="n"/>
      <c r="L2418" s="13">
        <f>IF(OR($A2418="",AND($J2418="",$K2418="")),"",ROUND(N($J2418)-N($K2418),2))</f>
        <v/>
      </c>
      <c r="M2418" s="13">
        <f>IF(OR($A2418="",AND($J2418="",$K2418="")),"",MIN($J2418,$K2418))</f>
        <v/>
      </c>
      <c r="Q2418">
        <f>IF($A2418="","",$D2418&amp;"("&amp;SUBSTITUTE($E2418," ","")&amp;")")</f>
        <v/>
      </c>
      <c r="R2418">
        <f>IF($A2418="","",$B2418&amp;" - "&amp;$C2418)</f>
        <v/>
      </c>
      <c r="S2418">
        <f>IF($A2418="","",$R2418&amp;"|"&amp;$Q2418)</f>
        <v/>
      </c>
      <c r="T2418">
        <f>IF($A2418="","",$S2418&amp;"|"&amp;$F2418)</f>
        <v/>
      </c>
      <c r="U2418">
        <f>IF($A2418="","",$R2418&amp;"("&amp;$E2418&amp;")")</f>
        <v/>
      </c>
      <c r="V2418">
        <f>IF($A2418="","",$F2418&amp;"|"&amp;$U2418&amp;"|"&amp;$D2418)</f>
        <v/>
      </c>
      <c r="W2418">
        <f>IF($T2418="","",IF($X2418&gt;N($X2417),$X2418,""))</f>
        <v/>
      </c>
      <c r="X2418">
        <f>IF($T2418="",N($X2417),IF(MATCH($T2418,$T$6:$T$6005,0)=ROW()-5,N($X2417)+1,N($X2417)))</f>
        <v/>
      </c>
      <c r="Z2418">
        <f>IF($V2418="","",IF($AA2418&gt;N($AA2417),$AA2418,""))</f>
        <v/>
      </c>
      <c r="AA2418">
        <f>IF($V2418="",N($AA2417),IF(MATCH($V2418,$V$6:$V$6005,0)=ROW()-5,N($AA2417)+1,N($AA2417)))</f>
        <v/>
      </c>
    </row>
    <row r="2419" ht="21" customHeight="1" s="66">
      <c r="A2419" s="56" t="n"/>
      <c r="B2419" s="57" t="n"/>
      <c r="C2419" s="57" t="n"/>
      <c r="D2419" s="57" t="n"/>
      <c r="E2419" s="56" t="n"/>
      <c r="F2419" s="57" t="n"/>
      <c r="G2419" s="57" t="n"/>
      <c r="H2419" s="56" t="n"/>
      <c r="I2419" s="56" t="n"/>
      <c r="J2419" s="58" t="n"/>
      <c r="K2419" s="58" t="n"/>
      <c r="L2419" s="13">
        <f>IF(OR($A2419="",AND($J2419="",$K2419="")),"",ROUND(N($J2419)-N($K2419),2))</f>
        <v/>
      </c>
      <c r="M2419" s="13">
        <f>IF(OR($A2419="",AND($J2419="",$K2419="")),"",MIN($J2419,$K2419))</f>
        <v/>
      </c>
      <c r="Q2419">
        <f>IF($A2419="","",$D2419&amp;"("&amp;SUBSTITUTE($E2419," ","")&amp;")")</f>
        <v/>
      </c>
      <c r="R2419">
        <f>IF($A2419="","",$B2419&amp;" - "&amp;$C2419)</f>
        <v/>
      </c>
      <c r="S2419">
        <f>IF($A2419="","",$R2419&amp;"|"&amp;$Q2419)</f>
        <v/>
      </c>
      <c r="T2419">
        <f>IF($A2419="","",$S2419&amp;"|"&amp;$F2419)</f>
        <v/>
      </c>
      <c r="U2419">
        <f>IF($A2419="","",$R2419&amp;"("&amp;$E2419&amp;")")</f>
        <v/>
      </c>
      <c r="V2419">
        <f>IF($A2419="","",$F2419&amp;"|"&amp;$U2419&amp;"|"&amp;$D2419)</f>
        <v/>
      </c>
      <c r="W2419">
        <f>IF($T2419="","",IF($X2419&gt;N($X2418),$X2419,""))</f>
        <v/>
      </c>
      <c r="X2419">
        <f>IF($T2419="",N($X2418),IF(MATCH($T2419,$T$6:$T$6005,0)=ROW()-5,N($X2418)+1,N($X2418)))</f>
        <v/>
      </c>
      <c r="Z2419">
        <f>IF($V2419="","",IF($AA2419&gt;N($AA2418),$AA2419,""))</f>
        <v/>
      </c>
      <c r="AA2419">
        <f>IF($V2419="",N($AA2418),IF(MATCH($V2419,$V$6:$V$6005,0)=ROW()-5,N($AA2418)+1,N($AA2418)))</f>
        <v/>
      </c>
    </row>
    <row r="2420" ht="21" customHeight="1" s="66">
      <c r="A2420" s="56" t="n"/>
      <c r="B2420" s="57" t="n"/>
      <c r="C2420" s="57" t="n"/>
      <c r="D2420" s="57" t="n"/>
      <c r="E2420" s="56" t="n"/>
      <c r="F2420" s="57" t="n"/>
      <c r="G2420" s="57" t="n"/>
      <c r="H2420" s="56" t="n"/>
      <c r="I2420" s="56" t="n"/>
      <c r="J2420" s="58" t="n"/>
      <c r="K2420" s="58" t="n"/>
      <c r="L2420" s="13">
        <f>IF(OR($A2420="",AND($J2420="",$K2420="")),"",ROUND(N($J2420)-N($K2420),2))</f>
        <v/>
      </c>
      <c r="M2420" s="13">
        <f>IF(OR($A2420="",AND($J2420="",$K2420="")),"",MIN($J2420,$K2420))</f>
        <v/>
      </c>
      <c r="Q2420">
        <f>IF($A2420="","",$D2420&amp;"("&amp;SUBSTITUTE($E2420," ","")&amp;")")</f>
        <v/>
      </c>
      <c r="R2420">
        <f>IF($A2420="","",$B2420&amp;" - "&amp;$C2420)</f>
        <v/>
      </c>
      <c r="S2420">
        <f>IF($A2420="","",$R2420&amp;"|"&amp;$Q2420)</f>
        <v/>
      </c>
      <c r="T2420">
        <f>IF($A2420="","",$S2420&amp;"|"&amp;$F2420)</f>
        <v/>
      </c>
      <c r="U2420">
        <f>IF($A2420="","",$R2420&amp;"("&amp;$E2420&amp;")")</f>
        <v/>
      </c>
      <c r="V2420">
        <f>IF($A2420="","",$F2420&amp;"|"&amp;$U2420&amp;"|"&amp;$D2420)</f>
        <v/>
      </c>
      <c r="W2420">
        <f>IF($T2420="","",IF($X2420&gt;N($X2419),$X2420,""))</f>
        <v/>
      </c>
      <c r="X2420">
        <f>IF($T2420="",N($X2419),IF(MATCH($T2420,$T$6:$T$6005,0)=ROW()-5,N($X2419)+1,N($X2419)))</f>
        <v/>
      </c>
      <c r="Z2420">
        <f>IF($V2420="","",IF($AA2420&gt;N($AA2419),$AA2420,""))</f>
        <v/>
      </c>
      <c r="AA2420">
        <f>IF($V2420="",N($AA2419),IF(MATCH($V2420,$V$6:$V$6005,0)=ROW()-5,N($AA2419)+1,N($AA2419)))</f>
        <v/>
      </c>
    </row>
    <row r="2421" ht="21" customHeight="1" s="66">
      <c r="A2421" s="56" t="n"/>
      <c r="B2421" s="57" t="n"/>
      <c r="C2421" s="57" t="n"/>
      <c r="D2421" s="57" t="n"/>
      <c r="E2421" s="56" t="n"/>
      <c r="F2421" s="57" t="n"/>
      <c r="G2421" s="57" t="n"/>
      <c r="H2421" s="56" t="n"/>
      <c r="I2421" s="56" t="n"/>
      <c r="J2421" s="58" t="n"/>
      <c r="K2421" s="58" t="n"/>
      <c r="L2421" s="13">
        <f>IF(OR($A2421="",AND($J2421="",$K2421="")),"",ROUND(N($J2421)-N($K2421),2))</f>
        <v/>
      </c>
      <c r="M2421" s="13">
        <f>IF(OR($A2421="",AND($J2421="",$K2421="")),"",MIN($J2421,$K2421))</f>
        <v/>
      </c>
      <c r="Q2421">
        <f>IF($A2421="","",$D2421&amp;"("&amp;SUBSTITUTE($E2421," ","")&amp;")")</f>
        <v/>
      </c>
      <c r="R2421">
        <f>IF($A2421="","",$B2421&amp;" - "&amp;$C2421)</f>
        <v/>
      </c>
      <c r="S2421">
        <f>IF($A2421="","",$R2421&amp;"|"&amp;$Q2421)</f>
        <v/>
      </c>
      <c r="T2421">
        <f>IF($A2421="","",$S2421&amp;"|"&amp;$F2421)</f>
        <v/>
      </c>
      <c r="U2421">
        <f>IF($A2421="","",$R2421&amp;"("&amp;$E2421&amp;")")</f>
        <v/>
      </c>
      <c r="V2421">
        <f>IF($A2421="","",$F2421&amp;"|"&amp;$U2421&amp;"|"&amp;$D2421)</f>
        <v/>
      </c>
      <c r="W2421">
        <f>IF($T2421="","",IF($X2421&gt;N($X2420),$X2421,""))</f>
        <v/>
      </c>
      <c r="X2421">
        <f>IF($T2421="",N($X2420),IF(MATCH($T2421,$T$6:$T$6005,0)=ROW()-5,N($X2420)+1,N($X2420)))</f>
        <v/>
      </c>
      <c r="Z2421">
        <f>IF($V2421="","",IF($AA2421&gt;N($AA2420),$AA2421,""))</f>
        <v/>
      </c>
      <c r="AA2421">
        <f>IF($V2421="",N($AA2420),IF(MATCH($V2421,$V$6:$V$6005,0)=ROW()-5,N($AA2420)+1,N($AA2420)))</f>
        <v/>
      </c>
    </row>
    <row r="2422" ht="21" customHeight="1" s="66">
      <c r="A2422" s="56" t="n"/>
      <c r="B2422" s="57" t="n"/>
      <c r="C2422" s="57" t="n"/>
      <c r="D2422" s="57" t="n"/>
      <c r="E2422" s="56" t="n"/>
      <c r="F2422" s="57" t="n"/>
      <c r="G2422" s="57" t="n"/>
      <c r="H2422" s="56" t="n"/>
      <c r="I2422" s="56" t="n"/>
      <c r="J2422" s="58" t="n"/>
      <c r="K2422" s="58" t="n"/>
      <c r="L2422" s="13">
        <f>IF(OR($A2422="",AND($J2422="",$K2422="")),"",ROUND(N($J2422)-N($K2422),2))</f>
        <v/>
      </c>
      <c r="M2422" s="13">
        <f>IF(OR($A2422="",AND($J2422="",$K2422="")),"",MIN($J2422,$K2422))</f>
        <v/>
      </c>
      <c r="Q2422">
        <f>IF($A2422="","",$D2422&amp;"("&amp;SUBSTITUTE($E2422," ","")&amp;")")</f>
        <v/>
      </c>
      <c r="R2422">
        <f>IF($A2422="","",$B2422&amp;" - "&amp;$C2422)</f>
        <v/>
      </c>
      <c r="S2422">
        <f>IF($A2422="","",$R2422&amp;"|"&amp;$Q2422)</f>
        <v/>
      </c>
      <c r="T2422">
        <f>IF($A2422="","",$S2422&amp;"|"&amp;$F2422)</f>
        <v/>
      </c>
      <c r="U2422">
        <f>IF($A2422="","",$R2422&amp;"("&amp;$E2422&amp;")")</f>
        <v/>
      </c>
      <c r="V2422">
        <f>IF($A2422="","",$F2422&amp;"|"&amp;$U2422&amp;"|"&amp;$D2422)</f>
        <v/>
      </c>
      <c r="W2422">
        <f>IF($T2422="","",IF($X2422&gt;N($X2421),$X2422,""))</f>
        <v/>
      </c>
      <c r="X2422">
        <f>IF($T2422="",N($X2421),IF(MATCH($T2422,$T$6:$T$6005,0)=ROW()-5,N($X2421)+1,N($X2421)))</f>
        <v/>
      </c>
      <c r="Z2422">
        <f>IF($V2422="","",IF($AA2422&gt;N($AA2421),$AA2422,""))</f>
        <v/>
      </c>
      <c r="AA2422">
        <f>IF($V2422="",N($AA2421),IF(MATCH($V2422,$V$6:$V$6005,0)=ROW()-5,N($AA2421)+1,N($AA2421)))</f>
        <v/>
      </c>
    </row>
    <row r="2423" ht="21" customHeight="1" s="66">
      <c r="A2423" s="56" t="n"/>
      <c r="B2423" s="57" t="n"/>
      <c r="C2423" s="57" t="n"/>
      <c r="D2423" s="57" t="n"/>
      <c r="E2423" s="56" t="n"/>
      <c r="F2423" s="57" t="n"/>
      <c r="G2423" s="57" t="n"/>
      <c r="H2423" s="56" t="n"/>
      <c r="I2423" s="56" t="n"/>
      <c r="J2423" s="58" t="n"/>
      <c r="K2423" s="58" t="n"/>
      <c r="L2423" s="13">
        <f>IF(OR($A2423="",AND($J2423="",$K2423="")),"",ROUND(N($J2423)-N($K2423),2))</f>
        <v/>
      </c>
      <c r="M2423" s="13">
        <f>IF(OR($A2423="",AND($J2423="",$K2423="")),"",MIN($J2423,$K2423))</f>
        <v/>
      </c>
      <c r="Q2423">
        <f>IF($A2423="","",$D2423&amp;"("&amp;SUBSTITUTE($E2423," ","")&amp;")")</f>
        <v/>
      </c>
      <c r="R2423">
        <f>IF($A2423="","",$B2423&amp;" - "&amp;$C2423)</f>
        <v/>
      </c>
      <c r="S2423">
        <f>IF($A2423="","",$R2423&amp;"|"&amp;$Q2423)</f>
        <v/>
      </c>
      <c r="T2423">
        <f>IF($A2423="","",$S2423&amp;"|"&amp;$F2423)</f>
        <v/>
      </c>
      <c r="U2423">
        <f>IF($A2423="","",$R2423&amp;"("&amp;$E2423&amp;")")</f>
        <v/>
      </c>
      <c r="V2423">
        <f>IF($A2423="","",$F2423&amp;"|"&amp;$U2423&amp;"|"&amp;$D2423)</f>
        <v/>
      </c>
      <c r="W2423">
        <f>IF($T2423="","",IF($X2423&gt;N($X2422),$X2423,""))</f>
        <v/>
      </c>
      <c r="X2423">
        <f>IF($T2423="",N($X2422),IF(MATCH($T2423,$T$6:$T$6005,0)=ROW()-5,N($X2422)+1,N($X2422)))</f>
        <v/>
      </c>
      <c r="Z2423">
        <f>IF($V2423="","",IF($AA2423&gt;N($AA2422),$AA2423,""))</f>
        <v/>
      </c>
      <c r="AA2423">
        <f>IF($V2423="",N($AA2422),IF(MATCH($V2423,$V$6:$V$6005,0)=ROW()-5,N($AA2422)+1,N($AA2422)))</f>
        <v/>
      </c>
    </row>
    <row r="2424" ht="21" customHeight="1" s="66">
      <c r="A2424" s="56" t="n"/>
      <c r="B2424" s="57" t="n"/>
      <c r="C2424" s="57" t="n"/>
      <c r="D2424" s="57" t="n"/>
      <c r="E2424" s="56" t="n"/>
      <c r="F2424" s="57" t="n"/>
      <c r="G2424" s="57" t="n"/>
      <c r="H2424" s="56" t="n"/>
      <c r="I2424" s="56" t="n"/>
      <c r="J2424" s="58" t="n"/>
      <c r="K2424" s="58" t="n"/>
      <c r="L2424" s="13">
        <f>IF(OR($A2424="",AND($J2424="",$K2424="")),"",ROUND(N($J2424)-N($K2424),2))</f>
        <v/>
      </c>
      <c r="M2424" s="13">
        <f>IF(OR($A2424="",AND($J2424="",$K2424="")),"",MIN($J2424,$K2424))</f>
        <v/>
      </c>
      <c r="Q2424">
        <f>IF($A2424="","",$D2424&amp;"("&amp;SUBSTITUTE($E2424," ","")&amp;")")</f>
        <v/>
      </c>
      <c r="R2424">
        <f>IF($A2424="","",$B2424&amp;" - "&amp;$C2424)</f>
        <v/>
      </c>
      <c r="S2424">
        <f>IF($A2424="","",$R2424&amp;"|"&amp;$Q2424)</f>
        <v/>
      </c>
      <c r="T2424">
        <f>IF($A2424="","",$S2424&amp;"|"&amp;$F2424)</f>
        <v/>
      </c>
      <c r="U2424">
        <f>IF($A2424="","",$R2424&amp;"("&amp;$E2424&amp;")")</f>
        <v/>
      </c>
      <c r="V2424">
        <f>IF($A2424="","",$F2424&amp;"|"&amp;$U2424&amp;"|"&amp;$D2424)</f>
        <v/>
      </c>
      <c r="W2424">
        <f>IF($T2424="","",IF($X2424&gt;N($X2423),$X2424,""))</f>
        <v/>
      </c>
      <c r="X2424">
        <f>IF($T2424="",N($X2423),IF(MATCH($T2424,$T$6:$T$6005,0)=ROW()-5,N($X2423)+1,N($X2423)))</f>
        <v/>
      </c>
      <c r="Z2424">
        <f>IF($V2424="","",IF($AA2424&gt;N($AA2423),$AA2424,""))</f>
        <v/>
      </c>
      <c r="AA2424">
        <f>IF($V2424="",N($AA2423),IF(MATCH($V2424,$V$6:$V$6005,0)=ROW()-5,N($AA2423)+1,N($AA2423)))</f>
        <v/>
      </c>
    </row>
    <row r="2425" ht="21" customHeight="1" s="66">
      <c r="A2425" s="56" t="n"/>
      <c r="B2425" s="57" t="n"/>
      <c r="C2425" s="57" t="n"/>
      <c r="D2425" s="57" t="n"/>
      <c r="E2425" s="56" t="n"/>
      <c r="F2425" s="57" t="n"/>
      <c r="G2425" s="57" t="n"/>
      <c r="H2425" s="56" t="n"/>
      <c r="I2425" s="56" t="n"/>
      <c r="J2425" s="58" t="n"/>
      <c r="K2425" s="58" t="n"/>
      <c r="L2425" s="13">
        <f>IF(OR($A2425="",AND($J2425="",$K2425="")),"",ROUND(N($J2425)-N($K2425),2))</f>
        <v/>
      </c>
      <c r="M2425" s="13">
        <f>IF(OR($A2425="",AND($J2425="",$K2425="")),"",MIN($J2425,$K2425))</f>
        <v/>
      </c>
      <c r="Q2425">
        <f>IF($A2425="","",$D2425&amp;"("&amp;SUBSTITUTE($E2425," ","")&amp;")")</f>
        <v/>
      </c>
      <c r="R2425">
        <f>IF($A2425="","",$B2425&amp;" - "&amp;$C2425)</f>
        <v/>
      </c>
      <c r="S2425">
        <f>IF($A2425="","",$R2425&amp;"|"&amp;$Q2425)</f>
        <v/>
      </c>
      <c r="T2425">
        <f>IF($A2425="","",$S2425&amp;"|"&amp;$F2425)</f>
        <v/>
      </c>
      <c r="U2425">
        <f>IF($A2425="","",$R2425&amp;"("&amp;$E2425&amp;")")</f>
        <v/>
      </c>
      <c r="V2425">
        <f>IF($A2425="","",$F2425&amp;"|"&amp;$U2425&amp;"|"&amp;$D2425)</f>
        <v/>
      </c>
      <c r="W2425">
        <f>IF($T2425="","",IF($X2425&gt;N($X2424),$X2425,""))</f>
        <v/>
      </c>
      <c r="X2425">
        <f>IF($T2425="",N($X2424),IF(MATCH($T2425,$T$6:$T$6005,0)=ROW()-5,N($X2424)+1,N($X2424)))</f>
        <v/>
      </c>
      <c r="Z2425">
        <f>IF($V2425="","",IF($AA2425&gt;N($AA2424),$AA2425,""))</f>
        <v/>
      </c>
      <c r="AA2425">
        <f>IF($V2425="",N($AA2424),IF(MATCH($V2425,$V$6:$V$6005,0)=ROW()-5,N($AA2424)+1,N($AA2424)))</f>
        <v/>
      </c>
    </row>
    <row r="2426" ht="21" customHeight="1" s="66">
      <c r="A2426" s="56" t="n"/>
      <c r="B2426" s="57" t="n"/>
      <c r="C2426" s="57" t="n"/>
      <c r="D2426" s="57" t="n"/>
      <c r="E2426" s="56" t="n"/>
      <c r="F2426" s="57" t="n"/>
      <c r="G2426" s="57" t="n"/>
      <c r="H2426" s="56" t="n"/>
      <c r="I2426" s="56" t="n"/>
      <c r="J2426" s="58" t="n"/>
      <c r="K2426" s="58" t="n"/>
      <c r="L2426" s="13">
        <f>IF(OR($A2426="",AND($J2426="",$K2426="")),"",ROUND(N($J2426)-N($K2426),2))</f>
        <v/>
      </c>
      <c r="M2426" s="13">
        <f>IF(OR($A2426="",AND($J2426="",$K2426="")),"",MIN($J2426,$K2426))</f>
        <v/>
      </c>
      <c r="Q2426">
        <f>IF($A2426="","",$D2426&amp;"("&amp;SUBSTITUTE($E2426," ","")&amp;")")</f>
        <v/>
      </c>
      <c r="R2426">
        <f>IF($A2426="","",$B2426&amp;" - "&amp;$C2426)</f>
        <v/>
      </c>
      <c r="S2426">
        <f>IF($A2426="","",$R2426&amp;"|"&amp;$Q2426)</f>
        <v/>
      </c>
      <c r="T2426">
        <f>IF($A2426="","",$S2426&amp;"|"&amp;$F2426)</f>
        <v/>
      </c>
      <c r="U2426">
        <f>IF($A2426="","",$R2426&amp;"("&amp;$E2426&amp;")")</f>
        <v/>
      </c>
      <c r="V2426">
        <f>IF($A2426="","",$F2426&amp;"|"&amp;$U2426&amp;"|"&amp;$D2426)</f>
        <v/>
      </c>
      <c r="W2426">
        <f>IF($T2426="","",IF($X2426&gt;N($X2425),$X2426,""))</f>
        <v/>
      </c>
      <c r="X2426">
        <f>IF($T2426="",N($X2425),IF(MATCH($T2426,$T$6:$T$6005,0)=ROW()-5,N($X2425)+1,N($X2425)))</f>
        <v/>
      </c>
      <c r="Z2426">
        <f>IF($V2426="","",IF($AA2426&gt;N($AA2425),$AA2426,""))</f>
        <v/>
      </c>
      <c r="AA2426">
        <f>IF($V2426="",N($AA2425),IF(MATCH($V2426,$V$6:$V$6005,0)=ROW()-5,N($AA2425)+1,N($AA2425)))</f>
        <v/>
      </c>
    </row>
    <row r="2427" ht="21" customHeight="1" s="66">
      <c r="A2427" s="56" t="n"/>
      <c r="B2427" s="57" t="n"/>
      <c r="C2427" s="57" t="n"/>
      <c r="D2427" s="57" t="n"/>
      <c r="E2427" s="56" t="n"/>
      <c r="F2427" s="57" t="n"/>
      <c r="G2427" s="57" t="n"/>
      <c r="H2427" s="56" t="n"/>
      <c r="I2427" s="56" t="n"/>
      <c r="J2427" s="58" t="n"/>
      <c r="K2427" s="58" t="n"/>
      <c r="L2427" s="13">
        <f>IF(OR($A2427="",AND($J2427="",$K2427="")),"",ROUND(N($J2427)-N($K2427),2))</f>
        <v/>
      </c>
      <c r="M2427" s="13">
        <f>IF(OR($A2427="",AND($J2427="",$K2427="")),"",MIN($J2427,$K2427))</f>
        <v/>
      </c>
      <c r="Q2427">
        <f>IF($A2427="","",$D2427&amp;"("&amp;SUBSTITUTE($E2427," ","")&amp;")")</f>
        <v/>
      </c>
      <c r="R2427">
        <f>IF($A2427="","",$B2427&amp;" - "&amp;$C2427)</f>
        <v/>
      </c>
      <c r="S2427">
        <f>IF($A2427="","",$R2427&amp;"|"&amp;$Q2427)</f>
        <v/>
      </c>
      <c r="T2427">
        <f>IF($A2427="","",$S2427&amp;"|"&amp;$F2427)</f>
        <v/>
      </c>
      <c r="U2427">
        <f>IF($A2427="","",$R2427&amp;"("&amp;$E2427&amp;")")</f>
        <v/>
      </c>
      <c r="V2427">
        <f>IF($A2427="","",$F2427&amp;"|"&amp;$U2427&amp;"|"&amp;$D2427)</f>
        <v/>
      </c>
      <c r="W2427">
        <f>IF($T2427="","",IF($X2427&gt;N($X2426),$X2427,""))</f>
        <v/>
      </c>
      <c r="X2427">
        <f>IF($T2427="",N($X2426),IF(MATCH($T2427,$T$6:$T$6005,0)=ROW()-5,N($X2426)+1,N($X2426)))</f>
        <v/>
      </c>
      <c r="Z2427">
        <f>IF($V2427="","",IF($AA2427&gt;N($AA2426),$AA2427,""))</f>
        <v/>
      </c>
      <c r="AA2427">
        <f>IF($V2427="",N($AA2426),IF(MATCH($V2427,$V$6:$V$6005,0)=ROW()-5,N($AA2426)+1,N($AA2426)))</f>
        <v/>
      </c>
    </row>
    <row r="2428" ht="21" customHeight="1" s="66">
      <c r="A2428" s="56" t="n"/>
      <c r="B2428" s="57" t="n"/>
      <c r="C2428" s="57" t="n"/>
      <c r="D2428" s="57" t="n"/>
      <c r="E2428" s="56" t="n"/>
      <c r="F2428" s="57" t="n"/>
      <c r="G2428" s="57" t="n"/>
      <c r="H2428" s="56" t="n"/>
      <c r="I2428" s="56" t="n"/>
      <c r="J2428" s="58" t="n"/>
      <c r="K2428" s="58" t="n"/>
      <c r="L2428" s="13">
        <f>IF(OR($A2428="",AND($J2428="",$K2428="")),"",ROUND(N($J2428)-N($K2428),2))</f>
        <v/>
      </c>
      <c r="M2428" s="13">
        <f>IF(OR($A2428="",AND($J2428="",$K2428="")),"",MIN($J2428,$K2428))</f>
        <v/>
      </c>
      <c r="Q2428">
        <f>IF($A2428="","",$D2428&amp;"("&amp;SUBSTITUTE($E2428," ","")&amp;")")</f>
        <v/>
      </c>
      <c r="R2428">
        <f>IF($A2428="","",$B2428&amp;" - "&amp;$C2428)</f>
        <v/>
      </c>
      <c r="S2428">
        <f>IF($A2428="","",$R2428&amp;"|"&amp;$Q2428)</f>
        <v/>
      </c>
      <c r="T2428">
        <f>IF($A2428="","",$S2428&amp;"|"&amp;$F2428)</f>
        <v/>
      </c>
      <c r="U2428">
        <f>IF($A2428="","",$R2428&amp;"("&amp;$E2428&amp;")")</f>
        <v/>
      </c>
      <c r="V2428">
        <f>IF($A2428="","",$F2428&amp;"|"&amp;$U2428&amp;"|"&amp;$D2428)</f>
        <v/>
      </c>
      <c r="W2428">
        <f>IF($T2428="","",IF($X2428&gt;N($X2427),$X2428,""))</f>
        <v/>
      </c>
      <c r="X2428">
        <f>IF($T2428="",N($X2427),IF(MATCH($T2428,$T$6:$T$6005,0)=ROW()-5,N($X2427)+1,N($X2427)))</f>
        <v/>
      </c>
      <c r="Z2428">
        <f>IF($V2428="","",IF($AA2428&gt;N($AA2427),$AA2428,""))</f>
        <v/>
      </c>
      <c r="AA2428">
        <f>IF($V2428="",N($AA2427),IF(MATCH($V2428,$V$6:$V$6005,0)=ROW()-5,N($AA2427)+1,N($AA2427)))</f>
        <v/>
      </c>
    </row>
    <row r="2429" ht="21" customHeight="1" s="66">
      <c r="A2429" s="56" t="n"/>
      <c r="B2429" s="57" t="n"/>
      <c r="C2429" s="57" t="n"/>
      <c r="D2429" s="57" t="n"/>
      <c r="E2429" s="56" t="n"/>
      <c r="F2429" s="57" t="n"/>
      <c r="G2429" s="57" t="n"/>
      <c r="H2429" s="56" t="n"/>
      <c r="I2429" s="56" t="n"/>
      <c r="J2429" s="58" t="n"/>
      <c r="K2429" s="58" t="n"/>
      <c r="L2429" s="13">
        <f>IF(OR($A2429="",AND($J2429="",$K2429="")),"",ROUND(N($J2429)-N($K2429),2))</f>
        <v/>
      </c>
      <c r="M2429" s="13">
        <f>IF(OR($A2429="",AND($J2429="",$K2429="")),"",MIN($J2429,$K2429))</f>
        <v/>
      </c>
      <c r="Q2429">
        <f>IF($A2429="","",$D2429&amp;"("&amp;SUBSTITUTE($E2429," ","")&amp;")")</f>
        <v/>
      </c>
      <c r="R2429">
        <f>IF($A2429="","",$B2429&amp;" - "&amp;$C2429)</f>
        <v/>
      </c>
      <c r="S2429">
        <f>IF($A2429="","",$R2429&amp;"|"&amp;$Q2429)</f>
        <v/>
      </c>
      <c r="T2429">
        <f>IF($A2429="","",$S2429&amp;"|"&amp;$F2429)</f>
        <v/>
      </c>
      <c r="U2429">
        <f>IF($A2429="","",$R2429&amp;"("&amp;$E2429&amp;")")</f>
        <v/>
      </c>
      <c r="V2429">
        <f>IF($A2429="","",$F2429&amp;"|"&amp;$U2429&amp;"|"&amp;$D2429)</f>
        <v/>
      </c>
      <c r="W2429">
        <f>IF($T2429="","",IF($X2429&gt;N($X2428),$X2429,""))</f>
        <v/>
      </c>
      <c r="X2429">
        <f>IF($T2429="",N($X2428),IF(MATCH($T2429,$T$6:$T$6005,0)=ROW()-5,N($X2428)+1,N($X2428)))</f>
        <v/>
      </c>
      <c r="Z2429">
        <f>IF($V2429="","",IF($AA2429&gt;N($AA2428),$AA2429,""))</f>
        <v/>
      </c>
      <c r="AA2429">
        <f>IF($V2429="",N($AA2428),IF(MATCH($V2429,$V$6:$V$6005,0)=ROW()-5,N($AA2428)+1,N($AA2428)))</f>
        <v/>
      </c>
    </row>
    <row r="2430" ht="21" customHeight="1" s="66">
      <c r="A2430" s="56" t="n"/>
      <c r="B2430" s="57" t="n"/>
      <c r="C2430" s="57" t="n"/>
      <c r="D2430" s="57" t="n"/>
      <c r="E2430" s="56" t="n"/>
      <c r="F2430" s="57" t="n"/>
      <c r="G2430" s="57" t="n"/>
      <c r="H2430" s="56" t="n"/>
      <c r="I2430" s="56" t="n"/>
      <c r="J2430" s="58" t="n"/>
      <c r="K2430" s="58" t="n"/>
      <c r="L2430" s="13">
        <f>IF(OR($A2430="",AND($J2430="",$K2430="")),"",ROUND(N($J2430)-N($K2430),2))</f>
        <v/>
      </c>
      <c r="M2430" s="13">
        <f>IF(OR($A2430="",AND($J2430="",$K2430="")),"",MIN($J2430,$K2430))</f>
        <v/>
      </c>
      <c r="Q2430">
        <f>IF($A2430="","",$D2430&amp;"("&amp;SUBSTITUTE($E2430," ","")&amp;")")</f>
        <v/>
      </c>
      <c r="R2430">
        <f>IF($A2430="","",$B2430&amp;" - "&amp;$C2430)</f>
        <v/>
      </c>
      <c r="S2430">
        <f>IF($A2430="","",$R2430&amp;"|"&amp;$Q2430)</f>
        <v/>
      </c>
      <c r="T2430">
        <f>IF($A2430="","",$S2430&amp;"|"&amp;$F2430)</f>
        <v/>
      </c>
      <c r="U2430">
        <f>IF($A2430="","",$R2430&amp;"("&amp;$E2430&amp;")")</f>
        <v/>
      </c>
      <c r="V2430">
        <f>IF($A2430="","",$F2430&amp;"|"&amp;$U2430&amp;"|"&amp;$D2430)</f>
        <v/>
      </c>
      <c r="W2430">
        <f>IF($T2430="","",IF($X2430&gt;N($X2429),$X2430,""))</f>
        <v/>
      </c>
      <c r="X2430">
        <f>IF($T2430="",N($X2429),IF(MATCH($T2430,$T$6:$T$6005,0)=ROW()-5,N($X2429)+1,N($X2429)))</f>
        <v/>
      </c>
      <c r="Z2430">
        <f>IF($V2430="","",IF($AA2430&gt;N($AA2429),$AA2430,""))</f>
        <v/>
      </c>
      <c r="AA2430">
        <f>IF($V2430="",N($AA2429),IF(MATCH($V2430,$V$6:$V$6005,0)=ROW()-5,N($AA2429)+1,N($AA2429)))</f>
        <v/>
      </c>
    </row>
    <row r="2431" ht="21" customHeight="1" s="66">
      <c r="A2431" s="56" t="n"/>
      <c r="B2431" s="57" t="n"/>
      <c r="C2431" s="57" t="n"/>
      <c r="D2431" s="57" t="n"/>
      <c r="E2431" s="56" t="n"/>
      <c r="F2431" s="57" t="n"/>
      <c r="G2431" s="57" t="n"/>
      <c r="H2431" s="56" t="n"/>
      <c r="I2431" s="56" t="n"/>
      <c r="J2431" s="58" t="n"/>
      <c r="K2431" s="58" t="n"/>
      <c r="L2431" s="13">
        <f>IF(OR($A2431="",AND($J2431="",$K2431="")),"",ROUND(N($J2431)-N($K2431),2))</f>
        <v/>
      </c>
      <c r="M2431" s="13">
        <f>IF(OR($A2431="",AND($J2431="",$K2431="")),"",MIN($J2431,$K2431))</f>
        <v/>
      </c>
      <c r="Q2431">
        <f>IF($A2431="","",$D2431&amp;"("&amp;SUBSTITUTE($E2431," ","")&amp;")")</f>
        <v/>
      </c>
      <c r="R2431">
        <f>IF($A2431="","",$B2431&amp;" - "&amp;$C2431)</f>
        <v/>
      </c>
      <c r="S2431">
        <f>IF($A2431="","",$R2431&amp;"|"&amp;$Q2431)</f>
        <v/>
      </c>
      <c r="T2431">
        <f>IF($A2431="","",$S2431&amp;"|"&amp;$F2431)</f>
        <v/>
      </c>
      <c r="U2431">
        <f>IF($A2431="","",$R2431&amp;"("&amp;$E2431&amp;")")</f>
        <v/>
      </c>
      <c r="V2431">
        <f>IF($A2431="","",$F2431&amp;"|"&amp;$U2431&amp;"|"&amp;$D2431)</f>
        <v/>
      </c>
      <c r="W2431">
        <f>IF($T2431="","",IF($X2431&gt;N($X2430),$X2431,""))</f>
        <v/>
      </c>
      <c r="X2431">
        <f>IF($T2431="",N($X2430),IF(MATCH($T2431,$T$6:$T$6005,0)=ROW()-5,N($X2430)+1,N($X2430)))</f>
        <v/>
      </c>
      <c r="Z2431">
        <f>IF($V2431="","",IF($AA2431&gt;N($AA2430),$AA2431,""))</f>
        <v/>
      </c>
      <c r="AA2431">
        <f>IF($V2431="",N($AA2430),IF(MATCH($V2431,$V$6:$V$6005,0)=ROW()-5,N($AA2430)+1,N($AA2430)))</f>
        <v/>
      </c>
    </row>
    <row r="2432" ht="21" customHeight="1" s="66">
      <c r="A2432" s="56" t="n"/>
      <c r="B2432" s="57" t="n"/>
      <c r="C2432" s="57" t="n"/>
      <c r="D2432" s="57" t="n"/>
      <c r="E2432" s="56" t="n"/>
      <c r="F2432" s="57" t="n"/>
      <c r="G2432" s="57" t="n"/>
      <c r="H2432" s="56" t="n"/>
      <c r="I2432" s="56" t="n"/>
      <c r="J2432" s="58" t="n"/>
      <c r="K2432" s="58" t="n"/>
      <c r="L2432" s="13">
        <f>IF(OR($A2432="",AND($J2432="",$K2432="")),"",ROUND(N($J2432)-N($K2432),2))</f>
        <v/>
      </c>
      <c r="M2432" s="13">
        <f>IF(OR($A2432="",AND($J2432="",$K2432="")),"",MIN($J2432,$K2432))</f>
        <v/>
      </c>
      <c r="Q2432">
        <f>IF($A2432="","",$D2432&amp;"("&amp;SUBSTITUTE($E2432," ","")&amp;")")</f>
        <v/>
      </c>
      <c r="R2432">
        <f>IF($A2432="","",$B2432&amp;" - "&amp;$C2432)</f>
        <v/>
      </c>
      <c r="S2432">
        <f>IF($A2432="","",$R2432&amp;"|"&amp;$Q2432)</f>
        <v/>
      </c>
      <c r="T2432">
        <f>IF($A2432="","",$S2432&amp;"|"&amp;$F2432)</f>
        <v/>
      </c>
      <c r="U2432">
        <f>IF($A2432="","",$R2432&amp;"("&amp;$E2432&amp;")")</f>
        <v/>
      </c>
      <c r="V2432">
        <f>IF($A2432="","",$F2432&amp;"|"&amp;$U2432&amp;"|"&amp;$D2432)</f>
        <v/>
      </c>
      <c r="W2432">
        <f>IF($T2432="","",IF($X2432&gt;N($X2431),$X2432,""))</f>
        <v/>
      </c>
      <c r="X2432">
        <f>IF($T2432="",N($X2431),IF(MATCH($T2432,$T$6:$T$6005,0)=ROW()-5,N($X2431)+1,N($X2431)))</f>
        <v/>
      </c>
      <c r="Z2432">
        <f>IF($V2432="","",IF($AA2432&gt;N($AA2431),$AA2432,""))</f>
        <v/>
      </c>
      <c r="AA2432">
        <f>IF($V2432="",N($AA2431),IF(MATCH($V2432,$V$6:$V$6005,0)=ROW()-5,N($AA2431)+1,N($AA2431)))</f>
        <v/>
      </c>
    </row>
    <row r="2433" ht="21" customHeight="1" s="66">
      <c r="A2433" s="56" t="n"/>
      <c r="B2433" s="57" t="n"/>
      <c r="C2433" s="57" t="n"/>
      <c r="D2433" s="57" t="n"/>
      <c r="E2433" s="56" t="n"/>
      <c r="F2433" s="57" t="n"/>
      <c r="G2433" s="57" t="n"/>
      <c r="H2433" s="56" t="n"/>
      <c r="I2433" s="56" t="n"/>
      <c r="J2433" s="58" t="n"/>
      <c r="K2433" s="58" t="n"/>
      <c r="L2433" s="13">
        <f>IF(OR($A2433="",AND($J2433="",$K2433="")),"",ROUND(N($J2433)-N($K2433),2))</f>
        <v/>
      </c>
      <c r="M2433" s="13">
        <f>IF(OR($A2433="",AND($J2433="",$K2433="")),"",MIN($J2433,$K2433))</f>
        <v/>
      </c>
      <c r="Q2433">
        <f>IF($A2433="","",$D2433&amp;"("&amp;SUBSTITUTE($E2433," ","")&amp;")")</f>
        <v/>
      </c>
      <c r="R2433">
        <f>IF($A2433="","",$B2433&amp;" - "&amp;$C2433)</f>
        <v/>
      </c>
      <c r="S2433">
        <f>IF($A2433="","",$R2433&amp;"|"&amp;$Q2433)</f>
        <v/>
      </c>
      <c r="T2433">
        <f>IF($A2433="","",$S2433&amp;"|"&amp;$F2433)</f>
        <v/>
      </c>
      <c r="U2433">
        <f>IF($A2433="","",$R2433&amp;"("&amp;$E2433&amp;")")</f>
        <v/>
      </c>
      <c r="V2433">
        <f>IF($A2433="","",$F2433&amp;"|"&amp;$U2433&amp;"|"&amp;$D2433)</f>
        <v/>
      </c>
      <c r="W2433">
        <f>IF($T2433="","",IF($X2433&gt;N($X2432),$X2433,""))</f>
        <v/>
      </c>
      <c r="X2433">
        <f>IF($T2433="",N($X2432),IF(MATCH($T2433,$T$6:$T$6005,0)=ROW()-5,N($X2432)+1,N($X2432)))</f>
        <v/>
      </c>
      <c r="Z2433">
        <f>IF($V2433="","",IF($AA2433&gt;N($AA2432),$AA2433,""))</f>
        <v/>
      </c>
      <c r="AA2433">
        <f>IF($V2433="",N($AA2432),IF(MATCH($V2433,$V$6:$V$6005,0)=ROW()-5,N($AA2432)+1,N($AA2432)))</f>
        <v/>
      </c>
    </row>
    <row r="2434" ht="21" customHeight="1" s="66">
      <c r="A2434" s="56" t="n"/>
      <c r="B2434" s="57" t="n"/>
      <c r="C2434" s="57" t="n"/>
      <c r="D2434" s="57" t="n"/>
      <c r="E2434" s="56" t="n"/>
      <c r="F2434" s="57" t="n"/>
      <c r="G2434" s="57" t="n"/>
      <c r="H2434" s="56" t="n"/>
      <c r="I2434" s="56" t="n"/>
      <c r="J2434" s="58" t="n"/>
      <c r="K2434" s="58" t="n"/>
      <c r="L2434" s="13">
        <f>IF(OR($A2434="",AND($J2434="",$K2434="")),"",ROUND(N($J2434)-N($K2434),2))</f>
        <v/>
      </c>
      <c r="M2434" s="13">
        <f>IF(OR($A2434="",AND($J2434="",$K2434="")),"",MIN($J2434,$K2434))</f>
        <v/>
      </c>
      <c r="Q2434">
        <f>IF($A2434="","",$D2434&amp;"("&amp;SUBSTITUTE($E2434," ","")&amp;")")</f>
        <v/>
      </c>
      <c r="R2434">
        <f>IF($A2434="","",$B2434&amp;" - "&amp;$C2434)</f>
        <v/>
      </c>
      <c r="S2434">
        <f>IF($A2434="","",$R2434&amp;"|"&amp;$Q2434)</f>
        <v/>
      </c>
      <c r="T2434">
        <f>IF($A2434="","",$S2434&amp;"|"&amp;$F2434)</f>
        <v/>
      </c>
      <c r="U2434">
        <f>IF($A2434="","",$R2434&amp;"("&amp;$E2434&amp;")")</f>
        <v/>
      </c>
      <c r="V2434">
        <f>IF($A2434="","",$F2434&amp;"|"&amp;$U2434&amp;"|"&amp;$D2434)</f>
        <v/>
      </c>
      <c r="W2434">
        <f>IF($T2434="","",IF($X2434&gt;N($X2433),$X2434,""))</f>
        <v/>
      </c>
      <c r="X2434">
        <f>IF($T2434="",N($X2433),IF(MATCH($T2434,$T$6:$T$6005,0)=ROW()-5,N($X2433)+1,N($X2433)))</f>
        <v/>
      </c>
      <c r="Z2434">
        <f>IF($V2434="","",IF($AA2434&gt;N($AA2433),$AA2434,""))</f>
        <v/>
      </c>
      <c r="AA2434">
        <f>IF($V2434="",N($AA2433),IF(MATCH($V2434,$V$6:$V$6005,0)=ROW()-5,N($AA2433)+1,N($AA2433)))</f>
        <v/>
      </c>
    </row>
    <row r="2435" ht="21" customHeight="1" s="66">
      <c r="A2435" s="56" t="n"/>
      <c r="B2435" s="57" t="n"/>
      <c r="C2435" s="57" t="n"/>
      <c r="D2435" s="57" t="n"/>
      <c r="E2435" s="56" t="n"/>
      <c r="F2435" s="57" t="n"/>
      <c r="G2435" s="57" t="n"/>
      <c r="H2435" s="56" t="n"/>
      <c r="I2435" s="56" t="n"/>
      <c r="J2435" s="58" t="n"/>
      <c r="K2435" s="58" t="n"/>
      <c r="L2435" s="13">
        <f>IF(OR($A2435="",AND($J2435="",$K2435="")),"",ROUND(N($J2435)-N($K2435),2))</f>
        <v/>
      </c>
      <c r="M2435" s="13">
        <f>IF(OR($A2435="",AND($J2435="",$K2435="")),"",MIN($J2435,$K2435))</f>
        <v/>
      </c>
      <c r="Q2435">
        <f>IF($A2435="","",$D2435&amp;"("&amp;SUBSTITUTE($E2435," ","")&amp;")")</f>
        <v/>
      </c>
      <c r="R2435">
        <f>IF($A2435="","",$B2435&amp;" - "&amp;$C2435)</f>
        <v/>
      </c>
      <c r="S2435">
        <f>IF($A2435="","",$R2435&amp;"|"&amp;$Q2435)</f>
        <v/>
      </c>
      <c r="T2435">
        <f>IF($A2435="","",$S2435&amp;"|"&amp;$F2435)</f>
        <v/>
      </c>
      <c r="U2435">
        <f>IF($A2435="","",$R2435&amp;"("&amp;$E2435&amp;")")</f>
        <v/>
      </c>
      <c r="V2435">
        <f>IF($A2435="","",$F2435&amp;"|"&amp;$U2435&amp;"|"&amp;$D2435)</f>
        <v/>
      </c>
      <c r="W2435">
        <f>IF($T2435="","",IF($X2435&gt;N($X2434),$X2435,""))</f>
        <v/>
      </c>
      <c r="X2435">
        <f>IF($T2435="",N($X2434),IF(MATCH($T2435,$T$6:$T$6005,0)=ROW()-5,N($X2434)+1,N($X2434)))</f>
        <v/>
      </c>
      <c r="Z2435">
        <f>IF($V2435="","",IF($AA2435&gt;N($AA2434),$AA2435,""))</f>
        <v/>
      </c>
      <c r="AA2435">
        <f>IF($V2435="",N($AA2434),IF(MATCH($V2435,$V$6:$V$6005,0)=ROW()-5,N($AA2434)+1,N($AA2434)))</f>
        <v/>
      </c>
    </row>
    <row r="2436" ht="21" customHeight="1" s="66">
      <c r="A2436" s="56" t="n"/>
      <c r="B2436" s="57" t="n"/>
      <c r="C2436" s="57" t="n"/>
      <c r="D2436" s="57" t="n"/>
      <c r="E2436" s="56" t="n"/>
      <c r="F2436" s="57" t="n"/>
      <c r="G2436" s="57" t="n"/>
      <c r="H2436" s="56" t="n"/>
      <c r="I2436" s="56" t="n"/>
      <c r="J2436" s="58" t="n"/>
      <c r="K2436" s="58" t="n"/>
      <c r="L2436" s="13">
        <f>IF(OR($A2436="",AND($J2436="",$K2436="")),"",ROUND(N($J2436)-N($K2436),2))</f>
        <v/>
      </c>
      <c r="M2436" s="13">
        <f>IF(OR($A2436="",AND($J2436="",$K2436="")),"",MIN($J2436,$K2436))</f>
        <v/>
      </c>
      <c r="Q2436">
        <f>IF($A2436="","",$D2436&amp;"("&amp;SUBSTITUTE($E2436," ","")&amp;")")</f>
        <v/>
      </c>
      <c r="R2436">
        <f>IF($A2436="","",$B2436&amp;" - "&amp;$C2436)</f>
        <v/>
      </c>
      <c r="S2436">
        <f>IF($A2436="","",$R2436&amp;"|"&amp;$Q2436)</f>
        <v/>
      </c>
      <c r="T2436">
        <f>IF($A2436="","",$S2436&amp;"|"&amp;$F2436)</f>
        <v/>
      </c>
      <c r="U2436">
        <f>IF($A2436="","",$R2436&amp;"("&amp;$E2436&amp;")")</f>
        <v/>
      </c>
      <c r="V2436">
        <f>IF($A2436="","",$F2436&amp;"|"&amp;$U2436&amp;"|"&amp;$D2436)</f>
        <v/>
      </c>
      <c r="W2436">
        <f>IF($T2436="","",IF($X2436&gt;N($X2435),$X2436,""))</f>
        <v/>
      </c>
      <c r="X2436">
        <f>IF($T2436="",N($X2435),IF(MATCH($T2436,$T$6:$T$6005,0)=ROW()-5,N($X2435)+1,N($X2435)))</f>
        <v/>
      </c>
      <c r="Z2436">
        <f>IF($V2436="","",IF($AA2436&gt;N($AA2435),$AA2436,""))</f>
        <v/>
      </c>
      <c r="AA2436">
        <f>IF($V2436="",N($AA2435),IF(MATCH($V2436,$V$6:$V$6005,0)=ROW()-5,N($AA2435)+1,N($AA2435)))</f>
        <v/>
      </c>
    </row>
    <row r="2437" ht="21" customHeight="1" s="66">
      <c r="A2437" s="56" t="n"/>
      <c r="B2437" s="57" t="n"/>
      <c r="C2437" s="57" t="n"/>
      <c r="D2437" s="57" t="n"/>
      <c r="E2437" s="56" t="n"/>
      <c r="F2437" s="57" t="n"/>
      <c r="G2437" s="57" t="n"/>
      <c r="H2437" s="56" t="n"/>
      <c r="I2437" s="56" t="n"/>
      <c r="J2437" s="58" t="n"/>
      <c r="K2437" s="58" t="n"/>
      <c r="L2437" s="13">
        <f>IF(OR($A2437="",AND($J2437="",$K2437="")),"",ROUND(N($J2437)-N($K2437),2))</f>
        <v/>
      </c>
      <c r="M2437" s="13">
        <f>IF(OR($A2437="",AND($J2437="",$K2437="")),"",MIN($J2437,$K2437))</f>
        <v/>
      </c>
      <c r="Q2437">
        <f>IF($A2437="","",$D2437&amp;"("&amp;SUBSTITUTE($E2437," ","")&amp;")")</f>
        <v/>
      </c>
      <c r="R2437">
        <f>IF($A2437="","",$B2437&amp;" - "&amp;$C2437)</f>
        <v/>
      </c>
      <c r="S2437">
        <f>IF($A2437="","",$R2437&amp;"|"&amp;$Q2437)</f>
        <v/>
      </c>
      <c r="T2437">
        <f>IF($A2437="","",$S2437&amp;"|"&amp;$F2437)</f>
        <v/>
      </c>
      <c r="U2437">
        <f>IF($A2437="","",$R2437&amp;"("&amp;$E2437&amp;")")</f>
        <v/>
      </c>
      <c r="V2437">
        <f>IF($A2437="","",$F2437&amp;"|"&amp;$U2437&amp;"|"&amp;$D2437)</f>
        <v/>
      </c>
      <c r="W2437">
        <f>IF($T2437="","",IF($X2437&gt;N($X2436),$X2437,""))</f>
        <v/>
      </c>
      <c r="X2437">
        <f>IF($T2437="",N($X2436),IF(MATCH($T2437,$T$6:$T$6005,0)=ROW()-5,N($X2436)+1,N($X2436)))</f>
        <v/>
      </c>
      <c r="Z2437">
        <f>IF($V2437="","",IF($AA2437&gt;N($AA2436),$AA2437,""))</f>
        <v/>
      </c>
      <c r="AA2437">
        <f>IF($V2437="",N($AA2436),IF(MATCH($V2437,$V$6:$V$6005,0)=ROW()-5,N($AA2436)+1,N($AA2436)))</f>
        <v/>
      </c>
    </row>
    <row r="2438" ht="21" customHeight="1" s="66">
      <c r="A2438" s="56" t="n"/>
      <c r="B2438" s="57" t="n"/>
      <c r="C2438" s="57" t="n"/>
      <c r="D2438" s="57" t="n"/>
      <c r="E2438" s="56" t="n"/>
      <c r="F2438" s="57" t="n"/>
      <c r="G2438" s="57" t="n"/>
      <c r="H2438" s="56" t="n"/>
      <c r="I2438" s="56" t="n"/>
      <c r="J2438" s="58" t="n"/>
      <c r="K2438" s="58" t="n"/>
      <c r="L2438" s="13">
        <f>IF(OR($A2438="",AND($J2438="",$K2438="")),"",ROUND(N($J2438)-N($K2438),2))</f>
        <v/>
      </c>
      <c r="M2438" s="13">
        <f>IF(OR($A2438="",AND($J2438="",$K2438="")),"",MIN($J2438,$K2438))</f>
        <v/>
      </c>
      <c r="Q2438">
        <f>IF($A2438="","",$D2438&amp;"("&amp;SUBSTITUTE($E2438," ","")&amp;")")</f>
        <v/>
      </c>
      <c r="R2438">
        <f>IF($A2438="","",$B2438&amp;" - "&amp;$C2438)</f>
        <v/>
      </c>
      <c r="S2438">
        <f>IF($A2438="","",$R2438&amp;"|"&amp;$Q2438)</f>
        <v/>
      </c>
      <c r="T2438">
        <f>IF($A2438="","",$S2438&amp;"|"&amp;$F2438)</f>
        <v/>
      </c>
      <c r="U2438">
        <f>IF($A2438="","",$R2438&amp;"("&amp;$E2438&amp;")")</f>
        <v/>
      </c>
      <c r="V2438">
        <f>IF($A2438="","",$F2438&amp;"|"&amp;$U2438&amp;"|"&amp;$D2438)</f>
        <v/>
      </c>
      <c r="W2438">
        <f>IF($T2438="","",IF($X2438&gt;N($X2437),$X2438,""))</f>
        <v/>
      </c>
      <c r="X2438">
        <f>IF($T2438="",N($X2437),IF(MATCH($T2438,$T$6:$T$6005,0)=ROW()-5,N($X2437)+1,N($X2437)))</f>
        <v/>
      </c>
      <c r="Z2438">
        <f>IF($V2438="","",IF($AA2438&gt;N($AA2437),$AA2438,""))</f>
        <v/>
      </c>
      <c r="AA2438">
        <f>IF($V2438="",N($AA2437),IF(MATCH($V2438,$V$6:$V$6005,0)=ROW()-5,N($AA2437)+1,N($AA2437)))</f>
        <v/>
      </c>
    </row>
    <row r="2439" ht="21" customHeight="1" s="66">
      <c r="A2439" s="56" t="n"/>
      <c r="B2439" s="57" t="n"/>
      <c r="C2439" s="57" t="n"/>
      <c r="D2439" s="57" t="n"/>
      <c r="E2439" s="56" t="n"/>
      <c r="F2439" s="57" t="n"/>
      <c r="G2439" s="57" t="n"/>
      <c r="H2439" s="56" t="n"/>
      <c r="I2439" s="56" t="n"/>
      <c r="J2439" s="58" t="n"/>
      <c r="K2439" s="58" t="n"/>
      <c r="L2439" s="13">
        <f>IF(OR($A2439="",AND($J2439="",$K2439="")),"",ROUND(N($J2439)-N($K2439),2))</f>
        <v/>
      </c>
      <c r="M2439" s="13">
        <f>IF(OR($A2439="",AND($J2439="",$K2439="")),"",MIN($J2439,$K2439))</f>
        <v/>
      </c>
      <c r="Q2439">
        <f>IF($A2439="","",$D2439&amp;"("&amp;SUBSTITUTE($E2439," ","")&amp;")")</f>
        <v/>
      </c>
      <c r="R2439">
        <f>IF($A2439="","",$B2439&amp;" - "&amp;$C2439)</f>
        <v/>
      </c>
      <c r="S2439">
        <f>IF($A2439="","",$R2439&amp;"|"&amp;$Q2439)</f>
        <v/>
      </c>
      <c r="T2439">
        <f>IF($A2439="","",$S2439&amp;"|"&amp;$F2439)</f>
        <v/>
      </c>
      <c r="U2439">
        <f>IF($A2439="","",$R2439&amp;"("&amp;$E2439&amp;")")</f>
        <v/>
      </c>
      <c r="V2439">
        <f>IF($A2439="","",$F2439&amp;"|"&amp;$U2439&amp;"|"&amp;$D2439)</f>
        <v/>
      </c>
      <c r="W2439">
        <f>IF($T2439="","",IF($X2439&gt;N($X2438),$X2439,""))</f>
        <v/>
      </c>
      <c r="X2439">
        <f>IF($T2439="",N($X2438),IF(MATCH($T2439,$T$6:$T$6005,0)=ROW()-5,N($X2438)+1,N($X2438)))</f>
        <v/>
      </c>
      <c r="Z2439">
        <f>IF($V2439="","",IF($AA2439&gt;N($AA2438),$AA2439,""))</f>
        <v/>
      </c>
      <c r="AA2439">
        <f>IF($V2439="",N($AA2438),IF(MATCH($V2439,$V$6:$V$6005,0)=ROW()-5,N($AA2438)+1,N($AA2438)))</f>
        <v/>
      </c>
    </row>
    <row r="2440" ht="21" customHeight="1" s="66">
      <c r="A2440" s="56" t="n"/>
      <c r="B2440" s="57" t="n"/>
      <c r="C2440" s="57" t="n"/>
      <c r="D2440" s="57" t="n"/>
      <c r="E2440" s="56" t="n"/>
      <c r="F2440" s="57" t="n"/>
      <c r="G2440" s="57" t="n"/>
      <c r="H2440" s="56" t="n"/>
      <c r="I2440" s="56" t="n"/>
      <c r="J2440" s="58" t="n"/>
      <c r="K2440" s="58" t="n"/>
      <c r="L2440" s="13">
        <f>IF(OR($A2440="",AND($J2440="",$K2440="")),"",ROUND(N($J2440)-N($K2440),2))</f>
        <v/>
      </c>
      <c r="M2440" s="13">
        <f>IF(OR($A2440="",AND($J2440="",$K2440="")),"",MIN($J2440,$K2440))</f>
        <v/>
      </c>
      <c r="Q2440">
        <f>IF($A2440="","",$D2440&amp;"("&amp;SUBSTITUTE($E2440," ","")&amp;")")</f>
        <v/>
      </c>
      <c r="R2440">
        <f>IF($A2440="","",$B2440&amp;" - "&amp;$C2440)</f>
        <v/>
      </c>
      <c r="S2440">
        <f>IF($A2440="","",$R2440&amp;"|"&amp;$Q2440)</f>
        <v/>
      </c>
      <c r="T2440">
        <f>IF($A2440="","",$S2440&amp;"|"&amp;$F2440)</f>
        <v/>
      </c>
      <c r="U2440">
        <f>IF($A2440="","",$R2440&amp;"("&amp;$E2440&amp;")")</f>
        <v/>
      </c>
      <c r="V2440">
        <f>IF($A2440="","",$F2440&amp;"|"&amp;$U2440&amp;"|"&amp;$D2440)</f>
        <v/>
      </c>
      <c r="W2440">
        <f>IF($T2440="","",IF($X2440&gt;N($X2439),$X2440,""))</f>
        <v/>
      </c>
      <c r="X2440">
        <f>IF($T2440="",N($X2439),IF(MATCH($T2440,$T$6:$T$6005,0)=ROW()-5,N($X2439)+1,N($X2439)))</f>
        <v/>
      </c>
      <c r="Z2440">
        <f>IF($V2440="","",IF($AA2440&gt;N($AA2439),$AA2440,""))</f>
        <v/>
      </c>
      <c r="AA2440">
        <f>IF($V2440="",N($AA2439),IF(MATCH($V2440,$V$6:$V$6005,0)=ROW()-5,N($AA2439)+1,N($AA2439)))</f>
        <v/>
      </c>
    </row>
    <row r="2441" ht="21" customHeight="1" s="66">
      <c r="A2441" s="56" t="n"/>
      <c r="B2441" s="57" t="n"/>
      <c r="C2441" s="57" t="n"/>
      <c r="D2441" s="57" t="n"/>
      <c r="E2441" s="56" t="n"/>
      <c r="F2441" s="57" t="n"/>
      <c r="G2441" s="57" t="n"/>
      <c r="H2441" s="56" t="n"/>
      <c r="I2441" s="56" t="n"/>
      <c r="J2441" s="58" t="n"/>
      <c r="K2441" s="58" t="n"/>
      <c r="L2441" s="13">
        <f>IF(OR($A2441="",AND($J2441="",$K2441="")),"",ROUND(N($J2441)-N($K2441),2))</f>
        <v/>
      </c>
      <c r="M2441" s="13">
        <f>IF(OR($A2441="",AND($J2441="",$K2441="")),"",MIN($J2441,$K2441))</f>
        <v/>
      </c>
      <c r="Q2441">
        <f>IF($A2441="","",$D2441&amp;"("&amp;SUBSTITUTE($E2441," ","")&amp;")")</f>
        <v/>
      </c>
      <c r="R2441">
        <f>IF($A2441="","",$B2441&amp;" - "&amp;$C2441)</f>
        <v/>
      </c>
      <c r="S2441">
        <f>IF($A2441="","",$R2441&amp;"|"&amp;$Q2441)</f>
        <v/>
      </c>
      <c r="T2441">
        <f>IF($A2441="","",$S2441&amp;"|"&amp;$F2441)</f>
        <v/>
      </c>
      <c r="U2441">
        <f>IF($A2441="","",$R2441&amp;"("&amp;$E2441&amp;")")</f>
        <v/>
      </c>
      <c r="V2441">
        <f>IF($A2441="","",$F2441&amp;"|"&amp;$U2441&amp;"|"&amp;$D2441)</f>
        <v/>
      </c>
      <c r="W2441">
        <f>IF($T2441="","",IF($X2441&gt;N($X2440),$X2441,""))</f>
        <v/>
      </c>
      <c r="X2441">
        <f>IF($T2441="",N($X2440),IF(MATCH($T2441,$T$6:$T$6005,0)=ROW()-5,N($X2440)+1,N($X2440)))</f>
        <v/>
      </c>
      <c r="Z2441">
        <f>IF($V2441="","",IF($AA2441&gt;N($AA2440),$AA2441,""))</f>
        <v/>
      </c>
      <c r="AA2441">
        <f>IF($V2441="",N($AA2440),IF(MATCH($V2441,$V$6:$V$6005,0)=ROW()-5,N($AA2440)+1,N($AA2440)))</f>
        <v/>
      </c>
    </row>
    <row r="2442" ht="21" customHeight="1" s="66">
      <c r="A2442" s="56" t="n"/>
      <c r="B2442" s="57" t="n"/>
      <c r="C2442" s="57" t="n"/>
      <c r="D2442" s="57" t="n"/>
      <c r="E2442" s="56" t="n"/>
      <c r="F2442" s="57" t="n"/>
      <c r="G2442" s="57" t="n"/>
      <c r="H2442" s="56" t="n"/>
      <c r="I2442" s="56" t="n"/>
      <c r="J2442" s="58" t="n"/>
      <c r="K2442" s="58" t="n"/>
      <c r="L2442" s="13">
        <f>IF(OR($A2442="",AND($J2442="",$K2442="")),"",ROUND(N($J2442)-N($K2442),2))</f>
        <v/>
      </c>
      <c r="M2442" s="13">
        <f>IF(OR($A2442="",AND($J2442="",$K2442="")),"",MIN($J2442,$K2442))</f>
        <v/>
      </c>
      <c r="Q2442">
        <f>IF($A2442="","",$D2442&amp;"("&amp;SUBSTITUTE($E2442," ","")&amp;")")</f>
        <v/>
      </c>
      <c r="R2442">
        <f>IF($A2442="","",$B2442&amp;" - "&amp;$C2442)</f>
        <v/>
      </c>
      <c r="S2442">
        <f>IF($A2442="","",$R2442&amp;"|"&amp;$Q2442)</f>
        <v/>
      </c>
      <c r="T2442">
        <f>IF($A2442="","",$S2442&amp;"|"&amp;$F2442)</f>
        <v/>
      </c>
      <c r="U2442">
        <f>IF($A2442="","",$R2442&amp;"("&amp;$E2442&amp;")")</f>
        <v/>
      </c>
      <c r="V2442">
        <f>IF($A2442="","",$F2442&amp;"|"&amp;$U2442&amp;"|"&amp;$D2442)</f>
        <v/>
      </c>
      <c r="W2442">
        <f>IF($T2442="","",IF($X2442&gt;N($X2441),$X2442,""))</f>
        <v/>
      </c>
      <c r="X2442">
        <f>IF($T2442="",N($X2441),IF(MATCH($T2442,$T$6:$T$6005,0)=ROW()-5,N($X2441)+1,N($X2441)))</f>
        <v/>
      </c>
      <c r="Z2442">
        <f>IF($V2442="","",IF($AA2442&gt;N($AA2441),$AA2442,""))</f>
        <v/>
      </c>
      <c r="AA2442">
        <f>IF($V2442="",N($AA2441),IF(MATCH($V2442,$V$6:$V$6005,0)=ROW()-5,N($AA2441)+1,N($AA2441)))</f>
        <v/>
      </c>
    </row>
    <row r="2443" ht="21" customHeight="1" s="66">
      <c r="A2443" s="56" t="n"/>
      <c r="B2443" s="57" t="n"/>
      <c r="C2443" s="57" t="n"/>
      <c r="D2443" s="57" t="n"/>
      <c r="E2443" s="56" t="n"/>
      <c r="F2443" s="57" t="n"/>
      <c r="G2443" s="57" t="n"/>
      <c r="H2443" s="56" t="n"/>
      <c r="I2443" s="56" t="n"/>
      <c r="J2443" s="58" t="n"/>
      <c r="K2443" s="58" t="n"/>
      <c r="L2443" s="13">
        <f>IF(OR($A2443="",AND($J2443="",$K2443="")),"",ROUND(N($J2443)-N($K2443),2))</f>
        <v/>
      </c>
      <c r="M2443" s="13">
        <f>IF(OR($A2443="",AND($J2443="",$K2443="")),"",MIN($J2443,$K2443))</f>
        <v/>
      </c>
      <c r="Q2443">
        <f>IF($A2443="","",$D2443&amp;"("&amp;SUBSTITUTE($E2443," ","")&amp;")")</f>
        <v/>
      </c>
      <c r="R2443">
        <f>IF($A2443="","",$B2443&amp;" - "&amp;$C2443)</f>
        <v/>
      </c>
      <c r="S2443">
        <f>IF($A2443="","",$R2443&amp;"|"&amp;$Q2443)</f>
        <v/>
      </c>
      <c r="T2443">
        <f>IF($A2443="","",$S2443&amp;"|"&amp;$F2443)</f>
        <v/>
      </c>
      <c r="U2443">
        <f>IF($A2443="","",$R2443&amp;"("&amp;$E2443&amp;")")</f>
        <v/>
      </c>
      <c r="V2443">
        <f>IF($A2443="","",$F2443&amp;"|"&amp;$U2443&amp;"|"&amp;$D2443)</f>
        <v/>
      </c>
      <c r="W2443">
        <f>IF($T2443="","",IF($X2443&gt;N($X2442),$X2443,""))</f>
        <v/>
      </c>
      <c r="X2443">
        <f>IF($T2443="",N($X2442),IF(MATCH($T2443,$T$6:$T$6005,0)=ROW()-5,N($X2442)+1,N($X2442)))</f>
        <v/>
      </c>
      <c r="Z2443">
        <f>IF($V2443="","",IF($AA2443&gt;N($AA2442),$AA2443,""))</f>
        <v/>
      </c>
      <c r="AA2443">
        <f>IF($V2443="",N($AA2442),IF(MATCH($V2443,$V$6:$V$6005,0)=ROW()-5,N($AA2442)+1,N($AA2442)))</f>
        <v/>
      </c>
    </row>
    <row r="2444" ht="21" customHeight="1" s="66">
      <c r="A2444" s="56" t="n"/>
      <c r="B2444" s="57" t="n"/>
      <c r="C2444" s="57" t="n"/>
      <c r="D2444" s="57" t="n"/>
      <c r="E2444" s="56" t="n"/>
      <c r="F2444" s="57" t="n"/>
      <c r="G2444" s="57" t="n"/>
      <c r="H2444" s="56" t="n"/>
      <c r="I2444" s="56" t="n"/>
      <c r="J2444" s="58" t="n"/>
      <c r="K2444" s="58" t="n"/>
      <c r="L2444" s="13">
        <f>IF(OR($A2444="",AND($J2444="",$K2444="")),"",ROUND(N($J2444)-N($K2444),2))</f>
        <v/>
      </c>
      <c r="M2444" s="13">
        <f>IF(OR($A2444="",AND($J2444="",$K2444="")),"",MIN($J2444,$K2444))</f>
        <v/>
      </c>
      <c r="Q2444">
        <f>IF($A2444="","",$D2444&amp;"("&amp;SUBSTITUTE($E2444," ","")&amp;")")</f>
        <v/>
      </c>
      <c r="R2444">
        <f>IF($A2444="","",$B2444&amp;" - "&amp;$C2444)</f>
        <v/>
      </c>
      <c r="S2444">
        <f>IF($A2444="","",$R2444&amp;"|"&amp;$Q2444)</f>
        <v/>
      </c>
      <c r="T2444">
        <f>IF($A2444="","",$S2444&amp;"|"&amp;$F2444)</f>
        <v/>
      </c>
      <c r="U2444">
        <f>IF($A2444="","",$R2444&amp;"("&amp;$E2444&amp;")")</f>
        <v/>
      </c>
      <c r="V2444">
        <f>IF($A2444="","",$F2444&amp;"|"&amp;$U2444&amp;"|"&amp;$D2444)</f>
        <v/>
      </c>
      <c r="W2444">
        <f>IF($T2444="","",IF($X2444&gt;N($X2443),$X2444,""))</f>
        <v/>
      </c>
      <c r="X2444">
        <f>IF($T2444="",N($X2443),IF(MATCH($T2444,$T$6:$T$6005,0)=ROW()-5,N($X2443)+1,N($X2443)))</f>
        <v/>
      </c>
      <c r="Z2444">
        <f>IF($V2444="","",IF($AA2444&gt;N($AA2443),$AA2444,""))</f>
        <v/>
      </c>
      <c r="AA2444">
        <f>IF($V2444="",N($AA2443),IF(MATCH($V2444,$V$6:$V$6005,0)=ROW()-5,N($AA2443)+1,N($AA2443)))</f>
        <v/>
      </c>
    </row>
    <row r="2445" ht="21" customHeight="1" s="66">
      <c r="A2445" s="56" t="n"/>
      <c r="B2445" s="57" t="n"/>
      <c r="C2445" s="57" t="n"/>
      <c r="D2445" s="57" t="n"/>
      <c r="E2445" s="56" t="n"/>
      <c r="F2445" s="57" t="n"/>
      <c r="G2445" s="57" t="n"/>
      <c r="H2445" s="56" t="n"/>
      <c r="I2445" s="56" t="n"/>
      <c r="J2445" s="58" t="n"/>
      <c r="K2445" s="58" t="n"/>
      <c r="L2445" s="13">
        <f>IF(OR($A2445="",AND($J2445="",$K2445="")),"",ROUND(N($J2445)-N($K2445),2))</f>
        <v/>
      </c>
      <c r="M2445" s="13">
        <f>IF(OR($A2445="",AND($J2445="",$K2445="")),"",MIN($J2445,$K2445))</f>
        <v/>
      </c>
      <c r="Q2445">
        <f>IF($A2445="","",$D2445&amp;"("&amp;SUBSTITUTE($E2445," ","")&amp;")")</f>
        <v/>
      </c>
      <c r="R2445">
        <f>IF($A2445="","",$B2445&amp;" - "&amp;$C2445)</f>
        <v/>
      </c>
      <c r="S2445">
        <f>IF($A2445="","",$R2445&amp;"|"&amp;$Q2445)</f>
        <v/>
      </c>
      <c r="T2445">
        <f>IF($A2445="","",$S2445&amp;"|"&amp;$F2445)</f>
        <v/>
      </c>
      <c r="U2445">
        <f>IF($A2445="","",$R2445&amp;"("&amp;$E2445&amp;")")</f>
        <v/>
      </c>
      <c r="V2445">
        <f>IF($A2445="","",$F2445&amp;"|"&amp;$U2445&amp;"|"&amp;$D2445)</f>
        <v/>
      </c>
      <c r="W2445">
        <f>IF($T2445="","",IF($X2445&gt;N($X2444),$X2445,""))</f>
        <v/>
      </c>
      <c r="X2445">
        <f>IF($T2445="",N($X2444),IF(MATCH($T2445,$T$6:$T$6005,0)=ROW()-5,N($X2444)+1,N($X2444)))</f>
        <v/>
      </c>
      <c r="Z2445">
        <f>IF($V2445="","",IF($AA2445&gt;N($AA2444),$AA2445,""))</f>
        <v/>
      </c>
      <c r="AA2445">
        <f>IF($V2445="",N($AA2444),IF(MATCH($V2445,$V$6:$V$6005,0)=ROW()-5,N($AA2444)+1,N($AA2444)))</f>
        <v/>
      </c>
    </row>
    <row r="2446" ht="21" customHeight="1" s="66">
      <c r="A2446" s="56" t="n"/>
      <c r="B2446" s="57" t="n"/>
      <c r="C2446" s="57" t="n"/>
      <c r="D2446" s="57" t="n"/>
      <c r="E2446" s="56" t="n"/>
      <c r="F2446" s="57" t="n"/>
      <c r="G2446" s="57" t="n"/>
      <c r="H2446" s="56" t="n"/>
      <c r="I2446" s="56" t="n"/>
      <c r="J2446" s="58" t="n"/>
      <c r="K2446" s="58" t="n"/>
      <c r="L2446" s="13">
        <f>IF(OR($A2446="",AND($J2446="",$K2446="")),"",ROUND(N($J2446)-N($K2446),2))</f>
        <v/>
      </c>
      <c r="M2446" s="13">
        <f>IF(OR($A2446="",AND($J2446="",$K2446="")),"",MIN($J2446,$K2446))</f>
        <v/>
      </c>
      <c r="Q2446">
        <f>IF($A2446="","",$D2446&amp;"("&amp;SUBSTITUTE($E2446," ","")&amp;")")</f>
        <v/>
      </c>
      <c r="R2446">
        <f>IF($A2446="","",$B2446&amp;" - "&amp;$C2446)</f>
        <v/>
      </c>
      <c r="S2446">
        <f>IF($A2446="","",$R2446&amp;"|"&amp;$Q2446)</f>
        <v/>
      </c>
      <c r="T2446">
        <f>IF($A2446="","",$S2446&amp;"|"&amp;$F2446)</f>
        <v/>
      </c>
      <c r="U2446">
        <f>IF($A2446="","",$R2446&amp;"("&amp;$E2446&amp;")")</f>
        <v/>
      </c>
      <c r="V2446">
        <f>IF($A2446="","",$F2446&amp;"|"&amp;$U2446&amp;"|"&amp;$D2446)</f>
        <v/>
      </c>
      <c r="W2446">
        <f>IF($T2446="","",IF($X2446&gt;N($X2445),$X2446,""))</f>
        <v/>
      </c>
      <c r="X2446">
        <f>IF($T2446="",N($X2445),IF(MATCH($T2446,$T$6:$T$6005,0)=ROW()-5,N($X2445)+1,N($X2445)))</f>
        <v/>
      </c>
      <c r="Z2446">
        <f>IF($V2446="","",IF($AA2446&gt;N($AA2445),$AA2446,""))</f>
        <v/>
      </c>
      <c r="AA2446">
        <f>IF($V2446="",N($AA2445),IF(MATCH($V2446,$V$6:$V$6005,0)=ROW()-5,N($AA2445)+1,N($AA2445)))</f>
        <v/>
      </c>
    </row>
    <row r="2447" ht="21" customHeight="1" s="66">
      <c r="A2447" s="56" t="n"/>
      <c r="B2447" s="57" t="n"/>
      <c r="C2447" s="57" t="n"/>
      <c r="D2447" s="57" t="n"/>
      <c r="E2447" s="56" t="n"/>
      <c r="F2447" s="57" t="n"/>
      <c r="G2447" s="57" t="n"/>
      <c r="H2447" s="56" t="n"/>
      <c r="I2447" s="56" t="n"/>
      <c r="J2447" s="58" t="n"/>
      <c r="K2447" s="58" t="n"/>
      <c r="L2447" s="13">
        <f>IF(OR($A2447="",AND($J2447="",$K2447="")),"",ROUND(N($J2447)-N($K2447),2))</f>
        <v/>
      </c>
      <c r="M2447" s="13">
        <f>IF(OR($A2447="",AND($J2447="",$K2447="")),"",MIN($J2447,$K2447))</f>
        <v/>
      </c>
      <c r="Q2447">
        <f>IF($A2447="","",$D2447&amp;"("&amp;SUBSTITUTE($E2447," ","")&amp;")")</f>
        <v/>
      </c>
      <c r="R2447">
        <f>IF($A2447="","",$B2447&amp;" - "&amp;$C2447)</f>
        <v/>
      </c>
      <c r="S2447">
        <f>IF($A2447="","",$R2447&amp;"|"&amp;$Q2447)</f>
        <v/>
      </c>
      <c r="T2447">
        <f>IF($A2447="","",$S2447&amp;"|"&amp;$F2447)</f>
        <v/>
      </c>
      <c r="U2447">
        <f>IF($A2447="","",$R2447&amp;"("&amp;$E2447&amp;")")</f>
        <v/>
      </c>
      <c r="V2447">
        <f>IF($A2447="","",$F2447&amp;"|"&amp;$U2447&amp;"|"&amp;$D2447)</f>
        <v/>
      </c>
      <c r="W2447">
        <f>IF($T2447="","",IF($X2447&gt;N($X2446),$X2447,""))</f>
        <v/>
      </c>
      <c r="X2447">
        <f>IF($T2447="",N($X2446),IF(MATCH($T2447,$T$6:$T$6005,0)=ROW()-5,N($X2446)+1,N($X2446)))</f>
        <v/>
      </c>
      <c r="Z2447">
        <f>IF($V2447="","",IF($AA2447&gt;N($AA2446),$AA2447,""))</f>
        <v/>
      </c>
      <c r="AA2447">
        <f>IF($V2447="",N($AA2446),IF(MATCH($V2447,$V$6:$V$6005,0)=ROW()-5,N($AA2446)+1,N($AA2446)))</f>
        <v/>
      </c>
    </row>
    <row r="2448" ht="21" customHeight="1" s="66">
      <c r="A2448" s="56" t="n"/>
      <c r="B2448" s="57" t="n"/>
      <c r="C2448" s="57" t="n"/>
      <c r="D2448" s="57" t="n"/>
      <c r="E2448" s="56" t="n"/>
      <c r="F2448" s="57" t="n"/>
      <c r="G2448" s="57" t="n"/>
      <c r="H2448" s="56" t="n"/>
      <c r="I2448" s="56" t="n"/>
      <c r="J2448" s="58" t="n"/>
      <c r="K2448" s="58" t="n"/>
      <c r="L2448" s="13">
        <f>IF(OR($A2448="",AND($J2448="",$K2448="")),"",ROUND(N($J2448)-N($K2448),2))</f>
        <v/>
      </c>
      <c r="M2448" s="13">
        <f>IF(OR($A2448="",AND($J2448="",$K2448="")),"",MIN($J2448,$K2448))</f>
        <v/>
      </c>
      <c r="Q2448">
        <f>IF($A2448="","",$D2448&amp;"("&amp;SUBSTITUTE($E2448," ","")&amp;")")</f>
        <v/>
      </c>
      <c r="R2448">
        <f>IF($A2448="","",$B2448&amp;" - "&amp;$C2448)</f>
        <v/>
      </c>
      <c r="S2448">
        <f>IF($A2448="","",$R2448&amp;"|"&amp;$Q2448)</f>
        <v/>
      </c>
      <c r="T2448">
        <f>IF($A2448="","",$S2448&amp;"|"&amp;$F2448)</f>
        <v/>
      </c>
      <c r="U2448">
        <f>IF($A2448="","",$R2448&amp;"("&amp;$E2448&amp;")")</f>
        <v/>
      </c>
      <c r="V2448">
        <f>IF($A2448="","",$F2448&amp;"|"&amp;$U2448&amp;"|"&amp;$D2448)</f>
        <v/>
      </c>
      <c r="W2448">
        <f>IF($T2448="","",IF($X2448&gt;N($X2447),$X2448,""))</f>
        <v/>
      </c>
      <c r="X2448">
        <f>IF($T2448="",N($X2447),IF(MATCH($T2448,$T$6:$T$6005,0)=ROW()-5,N($X2447)+1,N($X2447)))</f>
        <v/>
      </c>
      <c r="Z2448">
        <f>IF($V2448="","",IF($AA2448&gt;N($AA2447),$AA2448,""))</f>
        <v/>
      </c>
      <c r="AA2448">
        <f>IF($V2448="",N($AA2447),IF(MATCH($V2448,$V$6:$V$6005,0)=ROW()-5,N($AA2447)+1,N($AA2447)))</f>
        <v/>
      </c>
    </row>
    <row r="2449" ht="21" customHeight="1" s="66">
      <c r="A2449" s="56" t="n"/>
      <c r="B2449" s="57" t="n"/>
      <c r="C2449" s="57" t="n"/>
      <c r="D2449" s="57" t="n"/>
      <c r="E2449" s="56" t="n"/>
      <c r="F2449" s="57" t="n"/>
      <c r="G2449" s="57" t="n"/>
      <c r="H2449" s="56" t="n"/>
      <c r="I2449" s="56" t="n"/>
      <c r="J2449" s="58" t="n"/>
      <c r="K2449" s="58" t="n"/>
      <c r="L2449" s="13">
        <f>IF(OR($A2449="",AND($J2449="",$K2449="")),"",ROUND(N($J2449)-N($K2449),2))</f>
        <v/>
      </c>
      <c r="M2449" s="13">
        <f>IF(OR($A2449="",AND($J2449="",$K2449="")),"",MIN($J2449,$K2449))</f>
        <v/>
      </c>
      <c r="Q2449">
        <f>IF($A2449="","",$D2449&amp;"("&amp;SUBSTITUTE($E2449," ","")&amp;")")</f>
        <v/>
      </c>
      <c r="R2449">
        <f>IF($A2449="","",$B2449&amp;" - "&amp;$C2449)</f>
        <v/>
      </c>
      <c r="S2449">
        <f>IF($A2449="","",$R2449&amp;"|"&amp;$Q2449)</f>
        <v/>
      </c>
      <c r="T2449">
        <f>IF($A2449="","",$S2449&amp;"|"&amp;$F2449)</f>
        <v/>
      </c>
      <c r="U2449">
        <f>IF($A2449="","",$R2449&amp;"("&amp;$E2449&amp;")")</f>
        <v/>
      </c>
      <c r="V2449">
        <f>IF($A2449="","",$F2449&amp;"|"&amp;$U2449&amp;"|"&amp;$D2449)</f>
        <v/>
      </c>
      <c r="W2449">
        <f>IF($T2449="","",IF($X2449&gt;N($X2448),$X2449,""))</f>
        <v/>
      </c>
      <c r="X2449">
        <f>IF($T2449="",N($X2448),IF(MATCH($T2449,$T$6:$T$6005,0)=ROW()-5,N($X2448)+1,N($X2448)))</f>
        <v/>
      </c>
      <c r="Z2449">
        <f>IF($V2449="","",IF($AA2449&gt;N($AA2448),$AA2449,""))</f>
        <v/>
      </c>
      <c r="AA2449">
        <f>IF($V2449="",N($AA2448),IF(MATCH($V2449,$V$6:$V$6005,0)=ROW()-5,N($AA2448)+1,N($AA2448)))</f>
        <v/>
      </c>
    </row>
    <row r="2450" ht="21" customHeight="1" s="66">
      <c r="A2450" s="56" t="n"/>
      <c r="B2450" s="57" t="n"/>
      <c r="C2450" s="57" t="n"/>
      <c r="D2450" s="57" t="n"/>
      <c r="E2450" s="56" t="n"/>
      <c r="F2450" s="57" t="n"/>
      <c r="G2450" s="57" t="n"/>
      <c r="H2450" s="56" t="n"/>
      <c r="I2450" s="56" t="n"/>
      <c r="J2450" s="58" t="n"/>
      <c r="K2450" s="58" t="n"/>
      <c r="L2450" s="13">
        <f>IF(OR($A2450="",AND($J2450="",$K2450="")),"",ROUND(N($J2450)-N($K2450),2))</f>
        <v/>
      </c>
      <c r="M2450" s="13">
        <f>IF(OR($A2450="",AND($J2450="",$K2450="")),"",MIN($J2450,$K2450))</f>
        <v/>
      </c>
      <c r="Q2450">
        <f>IF($A2450="","",$D2450&amp;"("&amp;SUBSTITUTE($E2450," ","")&amp;")")</f>
        <v/>
      </c>
      <c r="R2450">
        <f>IF($A2450="","",$B2450&amp;" - "&amp;$C2450)</f>
        <v/>
      </c>
      <c r="S2450">
        <f>IF($A2450="","",$R2450&amp;"|"&amp;$Q2450)</f>
        <v/>
      </c>
      <c r="T2450">
        <f>IF($A2450="","",$S2450&amp;"|"&amp;$F2450)</f>
        <v/>
      </c>
      <c r="U2450">
        <f>IF($A2450="","",$R2450&amp;"("&amp;$E2450&amp;")")</f>
        <v/>
      </c>
      <c r="V2450">
        <f>IF($A2450="","",$F2450&amp;"|"&amp;$U2450&amp;"|"&amp;$D2450)</f>
        <v/>
      </c>
      <c r="W2450">
        <f>IF($T2450="","",IF($X2450&gt;N($X2449),$X2450,""))</f>
        <v/>
      </c>
      <c r="X2450">
        <f>IF($T2450="",N($X2449),IF(MATCH($T2450,$T$6:$T$6005,0)=ROW()-5,N($X2449)+1,N($X2449)))</f>
        <v/>
      </c>
      <c r="Z2450">
        <f>IF($V2450="","",IF($AA2450&gt;N($AA2449),$AA2450,""))</f>
        <v/>
      </c>
      <c r="AA2450">
        <f>IF($V2450="",N($AA2449),IF(MATCH($V2450,$V$6:$V$6005,0)=ROW()-5,N($AA2449)+1,N($AA2449)))</f>
        <v/>
      </c>
    </row>
    <row r="2451" ht="21" customHeight="1" s="66">
      <c r="A2451" s="56" t="n"/>
      <c r="B2451" s="57" t="n"/>
      <c r="C2451" s="57" t="n"/>
      <c r="D2451" s="57" t="n"/>
      <c r="E2451" s="56" t="n"/>
      <c r="F2451" s="57" t="n"/>
      <c r="G2451" s="57" t="n"/>
      <c r="H2451" s="56" t="n"/>
      <c r="I2451" s="56" t="n"/>
      <c r="J2451" s="58" t="n"/>
      <c r="K2451" s="58" t="n"/>
      <c r="L2451" s="13">
        <f>IF(OR($A2451="",AND($J2451="",$K2451="")),"",ROUND(N($J2451)-N($K2451),2))</f>
        <v/>
      </c>
      <c r="M2451" s="13">
        <f>IF(OR($A2451="",AND($J2451="",$K2451="")),"",MIN($J2451,$K2451))</f>
        <v/>
      </c>
      <c r="Q2451">
        <f>IF($A2451="","",$D2451&amp;"("&amp;SUBSTITUTE($E2451," ","")&amp;")")</f>
        <v/>
      </c>
      <c r="R2451">
        <f>IF($A2451="","",$B2451&amp;" - "&amp;$C2451)</f>
        <v/>
      </c>
      <c r="S2451">
        <f>IF($A2451="","",$R2451&amp;"|"&amp;$Q2451)</f>
        <v/>
      </c>
      <c r="T2451">
        <f>IF($A2451="","",$S2451&amp;"|"&amp;$F2451)</f>
        <v/>
      </c>
      <c r="U2451">
        <f>IF($A2451="","",$R2451&amp;"("&amp;$E2451&amp;")")</f>
        <v/>
      </c>
      <c r="V2451">
        <f>IF($A2451="","",$F2451&amp;"|"&amp;$U2451&amp;"|"&amp;$D2451)</f>
        <v/>
      </c>
      <c r="W2451">
        <f>IF($T2451="","",IF($X2451&gt;N($X2450),$X2451,""))</f>
        <v/>
      </c>
      <c r="X2451">
        <f>IF($T2451="",N($X2450),IF(MATCH($T2451,$T$6:$T$6005,0)=ROW()-5,N($X2450)+1,N($X2450)))</f>
        <v/>
      </c>
      <c r="Z2451">
        <f>IF($V2451="","",IF($AA2451&gt;N($AA2450),$AA2451,""))</f>
        <v/>
      </c>
      <c r="AA2451">
        <f>IF($V2451="",N($AA2450),IF(MATCH($V2451,$V$6:$V$6005,0)=ROW()-5,N($AA2450)+1,N($AA2450)))</f>
        <v/>
      </c>
    </row>
    <row r="2452" ht="21" customHeight="1" s="66">
      <c r="A2452" s="56" t="n"/>
      <c r="B2452" s="57" t="n"/>
      <c r="C2452" s="57" t="n"/>
      <c r="D2452" s="57" t="n"/>
      <c r="E2452" s="56" t="n"/>
      <c r="F2452" s="57" t="n"/>
      <c r="G2452" s="57" t="n"/>
      <c r="H2452" s="56" t="n"/>
      <c r="I2452" s="56" t="n"/>
      <c r="J2452" s="58" t="n"/>
      <c r="K2452" s="58" t="n"/>
      <c r="L2452" s="13">
        <f>IF(OR($A2452="",AND($J2452="",$K2452="")),"",ROUND(N($J2452)-N($K2452),2))</f>
        <v/>
      </c>
      <c r="M2452" s="13">
        <f>IF(OR($A2452="",AND($J2452="",$K2452="")),"",MIN($J2452,$K2452))</f>
        <v/>
      </c>
      <c r="Q2452">
        <f>IF($A2452="","",$D2452&amp;"("&amp;SUBSTITUTE($E2452," ","")&amp;")")</f>
        <v/>
      </c>
      <c r="R2452">
        <f>IF($A2452="","",$B2452&amp;" - "&amp;$C2452)</f>
        <v/>
      </c>
      <c r="S2452">
        <f>IF($A2452="","",$R2452&amp;"|"&amp;$Q2452)</f>
        <v/>
      </c>
      <c r="T2452">
        <f>IF($A2452="","",$S2452&amp;"|"&amp;$F2452)</f>
        <v/>
      </c>
      <c r="U2452">
        <f>IF($A2452="","",$R2452&amp;"("&amp;$E2452&amp;")")</f>
        <v/>
      </c>
      <c r="V2452">
        <f>IF($A2452="","",$F2452&amp;"|"&amp;$U2452&amp;"|"&amp;$D2452)</f>
        <v/>
      </c>
      <c r="W2452">
        <f>IF($T2452="","",IF($X2452&gt;N($X2451),$X2452,""))</f>
        <v/>
      </c>
      <c r="X2452">
        <f>IF($T2452="",N($X2451),IF(MATCH($T2452,$T$6:$T$6005,0)=ROW()-5,N($X2451)+1,N($X2451)))</f>
        <v/>
      </c>
      <c r="Z2452">
        <f>IF($V2452="","",IF($AA2452&gt;N($AA2451),$AA2452,""))</f>
        <v/>
      </c>
      <c r="AA2452">
        <f>IF($V2452="",N($AA2451),IF(MATCH($V2452,$V$6:$V$6005,0)=ROW()-5,N($AA2451)+1,N($AA2451)))</f>
        <v/>
      </c>
    </row>
    <row r="2453" ht="21" customHeight="1" s="66">
      <c r="A2453" s="56" t="n"/>
      <c r="B2453" s="57" t="n"/>
      <c r="C2453" s="57" t="n"/>
      <c r="D2453" s="57" t="n"/>
      <c r="E2453" s="56" t="n"/>
      <c r="F2453" s="57" t="n"/>
      <c r="G2453" s="57" t="n"/>
      <c r="H2453" s="56" t="n"/>
      <c r="I2453" s="56" t="n"/>
      <c r="J2453" s="58" t="n"/>
      <c r="K2453" s="58" t="n"/>
      <c r="L2453" s="13">
        <f>IF(OR($A2453="",AND($J2453="",$K2453="")),"",ROUND(N($J2453)-N($K2453),2))</f>
        <v/>
      </c>
      <c r="M2453" s="13">
        <f>IF(OR($A2453="",AND($J2453="",$K2453="")),"",MIN($J2453,$K2453))</f>
        <v/>
      </c>
      <c r="Q2453">
        <f>IF($A2453="","",$D2453&amp;"("&amp;SUBSTITUTE($E2453," ","")&amp;")")</f>
        <v/>
      </c>
      <c r="R2453">
        <f>IF($A2453="","",$B2453&amp;" - "&amp;$C2453)</f>
        <v/>
      </c>
      <c r="S2453">
        <f>IF($A2453="","",$R2453&amp;"|"&amp;$Q2453)</f>
        <v/>
      </c>
      <c r="T2453">
        <f>IF($A2453="","",$S2453&amp;"|"&amp;$F2453)</f>
        <v/>
      </c>
      <c r="U2453">
        <f>IF($A2453="","",$R2453&amp;"("&amp;$E2453&amp;")")</f>
        <v/>
      </c>
      <c r="V2453">
        <f>IF($A2453="","",$F2453&amp;"|"&amp;$U2453&amp;"|"&amp;$D2453)</f>
        <v/>
      </c>
      <c r="W2453">
        <f>IF($T2453="","",IF($X2453&gt;N($X2452),$X2453,""))</f>
        <v/>
      </c>
      <c r="X2453">
        <f>IF($T2453="",N($X2452),IF(MATCH($T2453,$T$6:$T$6005,0)=ROW()-5,N($X2452)+1,N($X2452)))</f>
        <v/>
      </c>
      <c r="Z2453">
        <f>IF($V2453="","",IF($AA2453&gt;N($AA2452),$AA2453,""))</f>
        <v/>
      </c>
      <c r="AA2453">
        <f>IF($V2453="",N($AA2452),IF(MATCH($V2453,$V$6:$V$6005,0)=ROW()-5,N($AA2452)+1,N($AA2452)))</f>
        <v/>
      </c>
    </row>
    <row r="2454" ht="21" customHeight="1" s="66">
      <c r="A2454" s="56" t="n"/>
      <c r="B2454" s="57" t="n"/>
      <c r="C2454" s="57" t="n"/>
      <c r="D2454" s="57" t="n"/>
      <c r="E2454" s="56" t="n"/>
      <c r="F2454" s="57" t="n"/>
      <c r="G2454" s="57" t="n"/>
      <c r="H2454" s="56" t="n"/>
      <c r="I2454" s="56" t="n"/>
      <c r="J2454" s="58" t="n"/>
      <c r="K2454" s="58" t="n"/>
      <c r="L2454" s="13">
        <f>IF(OR($A2454="",AND($J2454="",$K2454="")),"",ROUND(N($J2454)-N($K2454),2))</f>
        <v/>
      </c>
      <c r="M2454" s="13">
        <f>IF(OR($A2454="",AND($J2454="",$K2454="")),"",MIN($J2454,$K2454))</f>
        <v/>
      </c>
      <c r="Q2454">
        <f>IF($A2454="","",$D2454&amp;"("&amp;SUBSTITUTE($E2454," ","")&amp;")")</f>
        <v/>
      </c>
      <c r="R2454">
        <f>IF($A2454="","",$B2454&amp;" - "&amp;$C2454)</f>
        <v/>
      </c>
      <c r="S2454">
        <f>IF($A2454="","",$R2454&amp;"|"&amp;$Q2454)</f>
        <v/>
      </c>
      <c r="T2454">
        <f>IF($A2454="","",$S2454&amp;"|"&amp;$F2454)</f>
        <v/>
      </c>
      <c r="U2454">
        <f>IF($A2454="","",$R2454&amp;"("&amp;$E2454&amp;")")</f>
        <v/>
      </c>
      <c r="V2454">
        <f>IF($A2454="","",$F2454&amp;"|"&amp;$U2454&amp;"|"&amp;$D2454)</f>
        <v/>
      </c>
      <c r="W2454">
        <f>IF($T2454="","",IF($X2454&gt;N($X2453),$X2454,""))</f>
        <v/>
      </c>
      <c r="X2454">
        <f>IF($T2454="",N($X2453),IF(MATCH($T2454,$T$6:$T$6005,0)=ROW()-5,N($X2453)+1,N($X2453)))</f>
        <v/>
      </c>
      <c r="Z2454">
        <f>IF($V2454="","",IF($AA2454&gt;N($AA2453),$AA2454,""))</f>
        <v/>
      </c>
      <c r="AA2454">
        <f>IF($V2454="",N($AA2453),IF(MATCH($V2454,$V$6:$V$6005,0)=ROW()-5,N($AA2453)+1,N($AA2453)))</f>
        <v/>
      </c>
    </row>
    <row r="2455" ht="21" customHeight="1" s="66">
      <c r="A2455" s="56" t="n"/>
      <c r="B2455" s="57" t="n"/>
      <c r="C2455" s="57" t="n"/>
      <c r="D2455" s="57" t="n"/>
      <c r="E2455" s="56" t="n"/>
      <c r="F2455" s="57" t="n"/>
      <c r="G2455" s="57" t="n"/>
      <c r="H2455" s="56" t="n"/>
      <c r="I2455" s="56" t="n"/>
      <c r="J2455" s="58" t="n"/>
      <c r="K2455" s="58" t="n"/>
      <c r="L2455" s="13">
        <f>IF(OR($A2455="",AND($J2455="",$K2455="")),"",ROUND(N($J2455)-N($K2455),2))</f>
        <v/>
      </c>
      <c r="M2455" s="13">
        <f>IF(OR($A2455="",AND($J2455="",$K2455="")),"",MIN($J2455,$K2455))</f>
        <v/>
      </c>
      <c r="Q2455">
        <f>IF($A2455="","",$D2455&amp;"("&amp;SUBSTITUTE($E2455," ","")&amp;")")</f>
        <v/>
      </c>
      <c r="R2455">
        <f>IF($A2455="","",$B2455&amp;" - "&amp;$C2455)</f>
        <v/>
      </c>
      <c r="S2455">
        <f>IF($A2455="","",$R2455&amp;"|"&amp;$Q2455)</f>
        <v/>
      </c>
      <c r="T2455">
        <f>IF($A2455="","",$S2455&amp;"|"&amp;$F2455)</f>
        <v/>
      </c>
      <c r="U2455">
        <f>IF($A2455="","",$R2455&amp;"("&amp;$E2455&amp;")")</f>
        <v/>
      </c>
      <c r="V2455">
        <f>IF($A2455="","",$F2455&amp;"|"&amp;$U2455&amp;"|"&amp;$D2455)</f>
        <v/>
      </c>
      <c r="W2455">
        <f>IF($T2455="","",IF($X2455&gt;N($X2454),$X2455,""))</f>
        <v/>
      </c>
      <c r="X2455">
        <f>IF($T2455="",N($X2454),IF(MATCH($T2455,$T$6:$T$6005,0)=ROW()-5,N($X2454)+1,N($X2454)))</f>
        <v/>
      </c>
      <c r="Z2455">
        <f>IF($V2455="","",IF($AA2455&gt;N($AA2454),$AA2455,""))</f>
        <v/>
      </c>
      <c r="AA2455">
        <f>IF($V2455="",N($AA2454),IF(MATCH($V2455,$V$6:$V$6005,0)=ROW()-5,N($AA2454)+1,N($AA2454)))</f>
        <v/>
      </c>
    </row>
    <row r="2456" ht="21" customHeight="1" s="66">
      <c r="A2456" s="56" t="n"/>
      <c r="B2456" s="57" t="n"/>
      <c r="C2456" s="57" t="n"/>
      <c r="D2456" s="57" t="n"/>
      <c r="E2456" s="56" t="n"/>
      <c r="F2456" s="57" t="n"/>
      <c r="G2456" s="57" t="n"/>
      <c r="H2456" s="56" t="n"/>
      <c r="I2456" s="56" t="n"/>
      <c r="J2456" s="58" t="n"/>
      <c r="K2456" s="58" t="n"/>
      <c r="L2456" s="13">
        <f>IF(OR($A2456="",AND($J2456="",$K2456="")),"",ROUND(N($J2456)-N($K2456),2))</f>
        <v/>
      </c>
      <c r="M2456" s="13">
        <f>IF(OR($A2456="",AND($J2456="",$K2456="")),"",MIN($J2456,$K2456))</f>
        <v/>
      </c>
      <c r="Q2456">
        <f>IF($A2456="","",$D2456&amp;"("&amp;SUBSTITUTE($E2456," ","")&amp;")")</f>
        <v/>
      </c>
      <c r="R2456">
        <f>IF($A2456="","",$B2456&amp;" - "&amp;$C2456)</f>
        <v/>
      </c>
      <c r="S2456">
        <f>IF($A2456="","",$R2456&amp;"|"&amp;$Q2456)</f>
        <v/>
      </c>
      <c r="T2456">
        <f>IF($A2456="","",$S2456&amp;"|"&amp;$F2456)</f>
        <v/>
      </c>
      <c r="U2456">
        <f>IF($A2456="","",$R2456&amp;"("&amp;$E2456&amp;")")</f>
        <v/>
      </c>
      <c r="V2456">
        <f>IF($A2456="","",$F2456&amp;"|"&amp;$U2456&amp;"|"&amp;$D2456)</f>
        <v/>
      </c>
      <c r="W2456">
        <f>IF($T2456="","",IF($X2456&gt;N($X2455),$X2456,""))</f>
        <v/>
      </c>
      <c r="X2456">
        <f>IF($T2456="",N($X2455),IF(MATCH($T2456,$T$6:$T$6005,0)=ROW()-5,N($X2455)+1,N($X2455)))</f>
        <v/>
      </c>
      <c r="Z2456">
        <f>IF($V2456="","",IF($AA2456&gt;N($AA2455),$AA2456,""))</f>
        <v/>
      </c>
      <c r="AA2456">
        <f>IF($V2456="",N($AA2455),IF(MATCH($V2456,$V$6:$V$6005,0)=ROW()-5,N($AA2455)+1,N($AA2455)))</f>
        <v/>
      </c>
    </row>
    <row r="2457" ht="21" customHeight="1" s="66">
      <c r="A2457" s="56" t="n"/>
      <c r="B2457" s="57" t="n"/>
      <c r="C2457" s="57" t="n"/>
      <c r="D2457" s="57" t="n"/>
      <c r="E2457" s="56" t="n"/>
      <c r="F2457" s="57" t="n"/>
      <c r="G2457" s="57" t="n"/>
      <c r="H2457" s="56" t="n"/>
      <c r="I2457" s="56" t="n"/>
      <c r="J2457" s="58" t="n"/>
      <c r="K2457" s="58" t="n"/>
      <c r="L2457" s="13">
        <f>IF(OR($A2457="",AND($J2457="",$K2457="")),"",ROUND(N($J2457)-N($K2457),2))</f>
        <v/>
      </c>
      <c r="M2457" s="13">
        <f>IF(OR($A2457="",AND($J2457="",$K2457="")),"",MIN($J2457,$K2457))</f>
        <v/>
      </c>
      <c r="Q2457">
        <f>IF($A2457="","",$D2457&amp;"("&amp;SUBSTITUTE($E2457," ","")&amp;")")</f>
        <v/>
      </c>
      <c r="R2457">
        <f>IF($A2457="","",$B2457&amp;" - "&amp;$C2457)</f>
        <v/>
      </c>
      <c r="S2457">
        <f>IF($A2457="","",$R2457&amp;"|"&amp;$Q2457)</f>
        <v/>
      </c>
      <c r="T2457">
        <f>IF($A2457="","",$S2457&amp;"|"&amp;$F2457)</f>
        <v/>
      </c>
      <c r="U2457">
        <f>IF($A2457="","",$R2457&amp;"("&amp;$E2457&amp;")")</f>
        <v/>
      </c>
      <c r="V2457">
        <f>IF($A2457="","",$F2457&amp;"|"&amp;$U2457&amp;"|"&amp;$D2457)</f>
        <v/>
      </c>
      <c r="W2457">
        <f>IF($T2457="","",IF($X2457&gt;N($X2456),$X2457,""))</f>
        <v/>
      </c>
      <c r="X2457">
        <f>IF($T2457="",N($X2456),IF(MATCH($T2457,$T$6:$T$6005,0)=ROW()-5,N($X2456)+1,N($X2456)))</f>
        <v/>
      </c>
      <c r="Z2457">
        <f>IF($V2457="","",IF($AA2457&gt;N($AA2456),$AA2457,""))</f>
        <v/>
      </c>
      <c r="AA2457">
        <f>IF($V2457="",N($AA2456),IF(MATCH($V2457,$V$6:$V$6005,0)=ROW()-5,N($AA2456)+1,N($AA2456)))</f>
        <v/>
      </c>
    </row>
    <row r="2458" ht="21" customHeight="1" s="66">
      <c r="A2458" s="56" t="n"/>
      <c r="B2458" s="57" t="n"/>
      <c r="C2458" s="57" t="n"/>
      <c r="D2458" s="57" t="n"/>
      <c r="E2458" s="56" t="n"/>
      <c r="F2458" s="57" t="n"/>
      <c r="G2458" s="57" t="n"/>
      <c r="H2458" s="56" t="n"/>
      <c r="I2458" s="56" t="n"/>
      <c r="J2458" s="58" t="n"/>
      <c r="K2458" s="58" t="n"/>
      <c r="L2458" s="13">
        <f>IF(OR($A2458="",AND($J2458="",$K2458="")),"",ROUND(N($J2458)-N($K2458),2))</f>
        <v/>
      </c>
      <c r="M2458" s="13">
        <f>IF(OR($A2458="",AND($J2458="",$K2458="")),"",MIN($J2458,$K2458))</f>
        <v/>
      </c>
      <c r="Q2458">
        <f>IF($A2458="","",$D2458&amp;"("&amp;SUBSTITUTE($E2458," ","")&amp;")")</f>
        <v/>
      </c>
      <c r="R2458">
        <f>IF($A2458="","",$B2458&amp;" - "&amp;$C2458)</f>
        <v/>
      </c>
      <c r="S2458">
        <f>IF($A2458="","",$R2458&amp;"|"&amp;$Q2458)</f>
        <v/>
      </c>
      <c r="T2458">
        <f>IF($A2458="","",$S2458&amp;"|"&amp;$F2458)</f>
        <v/>
      </c>
      <c r="U2458">
        <f>IF($A2458="","",$R2458&amp;"("&amp;$E2458&amp;")")</f>
        <v/>
      </c>
      <c r="V2458">
        <f>IF($A2458="","",$F2458&amp;"|"&amp;$U2458&amp;"|"&amp;$D2458)</f>
        <v/>
      </c>
      <c r="W2458">
        <f>IF($T2458="","",IF($X2458&gt;N($X2457),$X2458,""))</f>
        <v/>
      </c>
      <c r="X2458">
        <f>IF($T2458="",N($X2457),IF(MATCH($T2458,$T$6:$T$6005,0)=ROW()-5,N($X2457)+1,N($X2457)))</f>
        <v/>
      </c>
      <c r="Z2458">
        <f>IF($V2458="","",IF($AA2458&gt;N($AA2457),$AA2458,""))</f>
        <v/>
      </c>
      <c r="AA2458">
        <f>IF($V2458="",N($AA2457),IF(MATCH($V2458,$V$6:$V$6005,0)=ROW()-5,N($AA2457)+1,N($AA2457)))</f>
        <v/>
      </c>
    </row>
    <row r="2459" ht="21" customHeight="1" s="66">
      <c r="A2459" s="56" t="n"/>
      <c r="B2459" s="57" t="n"/>
      <c r="C2459" s="57" t="n"/>
      <c r="D2459" s="57" t="n"/>
      <c r="E2459" s="56" t="n"/>
      <c r="F2459" s="57" t="n"/>
      <c r="G2459" s="57" t="n"/>
      <c r="H2459" s="56" t="n"/>
      <c r="I2459" s="56" t="n"/>
      <c r="J2459" s="58" t="n"/>
      <c r="K2459" s="58" t="n"/>
      <c r="L2459" s="13">
        <f>IF(OR($A2459="",AND($J2459="",$K2459="")),"",ROUND(N($J2459)-N($K2459),2))</f>
        <v/>
      </c>
      <c r="M2459" s="13">
        <f>IF(OR($A2459="",AND($J2459="",$K2459="")),"",MIN($J2459,$K2459))</f>
        <v/>
      </c>
      <c r="Q2459">
        <f>IF($A2459="","",$D2459&amp;"("&amp;SUBSTITUTE($E2459," ","")&amp;")")</f>
        <v/>
      </c>
      <c r="R2459">
        <f>IF($A2459="","",$B2459&amp;" - "&amp;$C2459)</f>
        <v/>
      </c>
      <c r="S2459">
        <f>IF($A2459="","",$R2459&amp;"|"&amp;$Q2459)</f>
        <v/>
      </c>
      <c r="T2459">
        <f>IF($A2459="","",$S2459&amp;"|"&amp;$F2459)</f>
        <v/>
      </c>
      <c r="U2459">
        <f>IF($A2459="","",$R2459&amp;"("&amp;$E2459&amp;")")</f>
        <v/>
      </c>
      <c r="V2459">
        <f>IF($A2459="","",$F2459&amp;"|"&amp;$U2459&amp;"|"&amp;$D2459)</f>
        <v/>
      </c>
      <c r="W2459">
        <f>IF($T2459="","",IF($X2459&gt;N($X2458),$X2459,""))</f>
        <v/>
      </c>
      <c r="X2459">
        <f>IF($T2459="",N($X2458),IF(MATCH($T2459,$T$6:$T$6005,0)=ROW()-5,N($X2458)+1,N($X2458)))</f>
        <v/>
      </c>
      <c r="Z2459">
        <f>IF($V2459="","",IF($AA2459&gt;N($AA2458),$AA2459,""))</f>
        <v/>
      </c>
      <c r="AA2459">
        <f>IF($V2459="",N($AA2458),IF(MATCH($V2459,$V$6:$V$6005,0)=ROW()-5,N($AA2458)+1,N($AA2458)))</f>
        <v/>
      </c>
    </row>
    <row r="2460" ht="21" customHeight="1" s="66">
      <c r="A2460" s="56" t="n"/>
      <c r="B2460" s="57" t="n"/>
      <c r="C2460" s="57" t="n"/>
      <c r="D2460" s="57" t="n"/>
      <c r="E2460" s="56" t="n"/>
      <c r="F2460" s="57" t="n"/>
      <c r="G2460" s="57" t="n"/>
      <c r="H2460" s="56" t="n"/>
      <c r="I2460" s="56" t="n"/>
      <c r="J2460" s="58" t="n"/>
      <c r="K2460" s="58" t="n"/>
      <c r="L2460" s="13">
        <f>IF(OR($A2460="",AND($J2460="",$K2460="")),"",ROUND(N($J2460)-N($K2460),2))</f>
        <v/>
      </c>
      <c r="M2460" s="13">
        <f>IF(OR($A2460="",AND($J2460="",$K2460="")),"",MIN($J2460,$K2460))</f>
        <v/>
      </c>
      <c r="Q2460">
        <f>IF($A2460="","",$D2460&amp;"("&amp;SUBSTITUTE($E2460," ","")&amp;")")</f>
        <v/>
      </c>
      <c r="R2460">
        <f>IF($A2460="","",$B2460&amp;" - "&amp;$C2460)</f>
        <v/>
      </c>
      <c r="S2460">
        <f>IF($A2460="","",$R2460&amp;"|"&amp;$Q2460)</f>
        <v/>
      </c>
      <c r="T2460">
        <f>IF($A2460="","",$S2460&amp;"|"&amp;$F2460)</f>
        <v/>
      </c>
      <c r="U2460">
        <f>IF($A2460="","",$R2460&amp;"("&amp;$E2460&amp;")")</f>
        <v/>
      </c>
      <c r="V2460">
        <f>IF($A2460="","",$F2460&amp;"|"&amp;$U2460&amp;"|"&amp;$D2460)</f>
        <v/>
      </c>
      <c r="W2460">
        <f>IF($T2460="","",IF($X2460&gt;N($X2459),$X2460,""))</f>
        <v/>
      </c>
      <c r="X2460">
        <f>IF($T2460="",N($X2459),IF(MATCH($T2460,$T$6:$T$6005,0)=ROW()-5,N($X2459)+1,N($X2459)))</f>
        <v/>
      </c>
      <c r="Z2460">
        <f>IF($V2460="","",IF($AA2460&gt;N($AA2459),$AA2460,""))</f>
        <v/>
      </c>
      <c r="AA2460">
        <f>IF($V2460="",N($AA2459),IF(MATCH($V2460,$V$6:$V$6005,0)=ROW()-5,N($AA2459)+1,N($AA2459)))</f>
        <v/>
      </c>
    </row>
    <row r="2461" ht="21" customHeight="1" s="66">
      <c r="A2461" s="56" t="n"/>
      <c r="B2461" s="57" t="n"/>
      <c r="C2461" s="57" t="n"/>
      <c r="D2461" s="57" t="n"/>
      <c r="E2461" s="56" t="n"/>
      <c r="F2461" s="57" t="n"/>
      <c r="G2461" s="57" t="n"/>
      <c r="H2461" s="56" t="n"/>
      <c r="I2461" s="56" t="n"/>
      <c r="J2461" s="58" t="n"/>
      <c r="K2461" s="58" t="n"/>
      <c r="L2461" s="13">
        <f>IF(OR($A2461="",AND($J2461="",$K2461="")),"",ROUND(N($J2461)-N($K2461),2))</f>
        <v/>
      </c>
      <c r="M2461" s="13">
        <f>IF(OR($A2461="",AND($J2461="",$K2461="")),"",MIN($J2461,$K2461))</f>
        <v/>
      </c>
      <c r="Q2461">
        <f>IF($A2461="","",$D2461&amp;"("&amp;SUBSTITUTE($E2461," ","")&amp;")")</f>
        <v/>
      </c>
      <c r="R2461">
        <f>IF($A2461="","",$B2461&amp;" - "&amp;$C2461)</f>
        <v/>
      </c>
      <c r="S2461">
        <f>IF($A2461="","",$R2461&amp;"|"&amp;$Q2461)</f>
        <v/>
      </c>
      <c r="T2461">
        <f>IF($A2461="","",$S2461&amp;"|"&amp;$F2461)</f>
        <v/>
      </c>
      <c r="U2461">
        <f>IF($A2461="","",$R2461&amp;"("&amp;$E2461&amp;")")</f>
        <v/>
      </c>
      <c r="V2461">
        <f>IF($A2461="","",$F2461&amp;"|"&amp;$U2461&amp;"|"&amp;$D2461)</f>
        <v/>
      </c>
      <c r="W2461">
        <f>IF($T2461="","",IF($X2461&gt;N($X2460),$X2461,""))</f>
        <v/>
      </c>
      <c r="X2461">
        <f>IF($T2461="",N($X2460),IF(MATCH($T2461,$T$6:$T$6005,0)=ROW()-5,N($X2460)+1,N($X2460)))</f>
        <v/>
      </c>
      <c r="Z2461">
        <f>IF($V2461="","",IF($AA2461&gt;N($AA2460),$AA2461,""))</f>
        <v/>
      </c>
      <c r="AA2461">
        <f>IF($V2461="",N($AA2460),IF(MATCH($V2461,$V$6:$V$6005,0)=ROW()-5,N($AA2460)+1,N($AA2460)))</f>
        <v/>
      </c>
    </row>
    <row r="2462" ht="21" customHeight="1" s="66">
      <c r="A2462" s="56" t="n"/>
      <c r="B2462" s="57" t="n"/>
      <c r="C2462" s="57" t="n"/>
      <c r="D2462" s="57" t="n"/>
      <c r="E2462" s="56" t="n"/>
      <c r="F2462" s="57" t="n"/>
      <c r="G2462" s="57" t="n"/>
      <c r="H2462" s="56" t="n"/>
      <c r="I2462" s="56" t="n"/>
      <c r="J2462" s="58" t="n"/>
      <c r="K2462" s="58" t="n"/>
      <c r="L2462" s="13">
        <f>IF(OR($A2462="",AND($J2462="",$K2462="")),"",ROUND(N($J2462)-N($K2462),2))</f>
        <v/>
      </c>
      <c r="M2462" s="13">
        <f>IF(OR($A2462="",AND($J2462="",$K2462="")),"",MIN($J2462,$K2462))</f>
        <v/>
      </c>
      <c r="Q2462">
        <f>IF($A2462="","",$D2462&amp;"("&amp;SUBSTITUTE($E2462," ","")&amp;")")</f>
        <v/>
      </c>
      <c r="R2462">
        <f>IF($A2462="","",$B2462&amp;" - "&amp;$C2462)</f>
        <v/>
      </c>
      <c r="S2462">
        <f>IF($A2462="","",$R2462&amp;"|"&amp;$Q2462)</f>
        <v/>
      </c>
      <c r="T2462">
        <f>IF($A2462="","",$S2462&amp;"|"&amp;$F2462)</f>
        <v/>
      </c>
      <c r="U2462">
        <f>IF($A2462="","",$R2462&amp;"("&amp;$E2462&amp;")")</f>
        <v/>
      </c>
      <c r="V2462">
        <f>IF($A2462="","",$F2462&amp;"|"&amp;$U2462&amp;"|"&amp;$D2462)</f>
        <v/>
      </c>
      <c r="W2462">
        <f>IF($T2462="","",IF($X2462&gt;N($X2461),$X2462,""))</f>
        <v/>
      </c>
      <c r="X2462">
        <f>IF($T2462="",N($X2461),IF(MATCH($T2462,$T$6:$T$6005,0)=ROW()-5,N($X2461)+1,N($X2461)))</f>
        <v/>
      </c>
      <c r="Z2462">
        <f>IF($V2462="","",IF($AA2462&gt;N($AA2461),$AA2462,""))</f>
        <v/>
      </c>
      <c r="AA2462">
        <f>IF($V2462="",N($AA2461),IF(MATCH($V2462,$V$6:$V$6005,0)=ROW()-5,N($AA2461)+1,N($AA2461)))</f>
        <v/>
      </c>
    </row>
    <row r="2463" ht="21" customHeight="1" s="66">
      <c r="A2463" s="56" t="n"/>
      <c r="B2463" s="57" t="n"/>
      <c r="C2463" s="57" t="n"/>
      <c r="D2463" s="57" t="n"/>
      <c r="E2463" s="56" t="n"/>
      <c r="F2463" s="57" t="n"/>
      <c r="G2463" s="57" t="n"/>
      <c r="H2463" s="56" t="n"/>
      <c r="I2463" s="56" t="n"/>
      <c r="J2463" s="58" t="n"/>
      <c r="K2463" s="58" t="n"/>
      <c r="L2463" s="13">
        <f>IF(OR($A2463="",AND($J2463="",$K2463="")),"",ROUND(N($J2463)-N($K2463),2))</f>
        <v/>
      </c>
      <c r="M2463" s="13">
        <f>IF(OR($A2463="",AND($J2463="",$K2463="")),"",MIN($J2463,$K2463))</f>
        <v/>
      </c>
      <c r="Q2463">
        <f>IF($A2463="","",$D2463&amp;"("&amp;SUBSTITUTE($E2463," ","")&amp;")")</f>
        <v/>
      </c>
      <c r="R2463">
        <f>IF($A2463="","",$B2463&amp;" - "&amp;$C2463)</f>
        <v/>
      </c>
      <c r="S2463">
        <f>IF($A2463="","",$R2463&amp;"|"&amp;$Q2463)</f>
        <v/>
      </c>
      <c r="T2463">
        <f>IF($A2463="","",$S2463&amp;"|"&amp;$F2463)</f>
        <v/>
      </c>
      <c r="U2463">
        <f>IF($A2463="","",$R2463&amp;"("&amp;$E2463&amp;")")</f>
        <v/>
      </c>
      <c r="V2463">
        <f>IF($A2463="","",$F2463&amp;"|"&amp;$U2463&amp;"|"&amp;$D2463)</f>
        <v/>
      </c>
      <c r="W2463">
        <f>IF($T2463="","",IF($X2463&gt;N($X2462),$X2463,""))</f>
        <v/>
      </c>
      <c r="X2463">
        <f>IF($T2463="",N($X2462),IF(MATCH($T2463,$T$6:$T$6005,0)=ROW()-5,N($X2462)+1,N($X2462)))</f>
        <v/>
      </c>
      <c r="Z2463">
        <f>IF($V2463="","",IF($AA2463&gt;N($AA2462),$AA2463,""))</f>
        <v/>
      </c>
      <c r="AA2463">
        <f>IF($V2463="",N($AA2462),IF(MATCH($V2463,$V$6:$V$6005,0)=ROW()-5,N($AA2462)+1,N($AA2462)))</f>
        <v/>
      </c>
    </row>
    <row r="2464" ht="21" customHeight="1" s="66">
      <c r="A2464" s="56" t="n"/>
      <c r="B2464" s="57" t="n"/>
      <c r="C2464" s="57" t="n"/>
      <c r="D2464" s="57" t="n"/>
      <c r="E2464" s="56" t="n"/>
      <c r="F2464" s="57" t="n"/>
      <c r="G2464" s="57" t="n"/>
      <c r="H2464" s="56" t="n"/>
      <c r="I2464" s="56" t="n"/>
      <c r="J2464" s="58" t="n"/>
      <c r="K2464" s="58" t="n"/>
      <c r="L2464" s="13">
        <f>IF(OR($A2464="",AND($J2464="",$K2464="")),"",ROUND(N($J2464)-N($K2464),2))</f>
        <v/>
      </c>
      <c r="M2464" s="13">
        <f>IF(OR($A2464="",AND($J2464="",$K2464="")),"",MIN($J2464,$K2464))</f>
        <v/>
      </c>
      <c r="Q2464">
        <f>IF($A2464="","",$D2464&amp;"("&amp;SUBSTITUTE($E2464," ","")&amp;")")</f>
        <v/>
      </c>
      <c r="R2464">
        <f>IF($A2464="","",$B2464&amp;" - "&amp;$C2464)</f>
        <v/>
      </c>
      <c r="S2464">
        <f>IF($A2464="","",$R2464&amp;"|"&amp;$Q2464)</f>
        <v/>
      </c>
      <c r="T2464">
        <f>IF($A2464="","",$S2464&amp;"|"&amp;$F2464)</f>
        <v/>
      </c>
      <c r="U2464">
        <f>IF($A2464="","",$R2464&amp;"("&amp;$E2464&amp;")")</f>
        <v/>
      </c>
      <c r="V2464">
        <f>IF($A2464="","",$F2464&amp;"|"&amp;$U2464&amp;"|"&amp;$D2464)</f>
        <v/>
      </c>
      <c r="W2464">
        <f>IF($T2464="","",IF($X2464&gt;N($X2463),$X2464,""))</f>
        <v/>
      </c>
      <c r="X2464">
        <f>IF($T2464="",N($X2463),IF(MATCH($T2464,$T$6:$T$6005,0)=ROW()-5,N($X2463)+1,N($X2463)))</f>
        <v/>
      </c>
      <c r="Z2464">
        <f>IF($V2464="","",IF($AA2464&gt;N($AA2463),$AA2464,""))</f>
        <v/>
      </c>
      <c r="AA2464">
        <f>IF($V2464="",N($AA2463),IF(MATCH($V2464,$V$6:$V$6005,0)=ROW()-5,N($AA2463)+1,N($AA2463)))</f>
        <v/>
      </c>
    </row>
    <row r="2465" ht="21" customHeight="1" s="66">
      <c r="A2465" s="56" t="n"/>
      <c r="B2465" s="57" t="n"/>
      <c r="C2465" s="57" t="n"/>
      <c r="D2465" s="57" t="n"/>
      <c r="E2465" s="56" t="n"/>
      <c r="F2465" s="57" t="n"/>
      <c r="G2465" s="57" t="n"/>
      <c r="H2465" s="56" t="n"/>
      <c r="I2465" s="56" t="n"/>
      <c r="J2465" s="58" t="n"/>
      <c r="K2465" s="58" t="n"/>
      <c r="L2465" s="13">
        <f>IF(OR($A2465="",AND($J2465="",$K2465="")),"",ROUND(N($J2465)-N($K2465),2))</f>
        <v/>
      </c>
      <c r="M2465" s="13">
        <f>IF(OR($A2465="",AND($J2465="",$K2465="")),"",MIN($J2465,$K2465))</f>
        <v/>
      </c>
      <c r="Q2465">
        <f>IF($A2465="","",$D2465&amp;"("&amp;SUBSTITUTE($E2465," ","")&amp;")")</f>
        <v/>
      </c>
      <c r="R2465">
        <f>IF($A2465="","",$B2465&amp;" - "&amp;$C2465)</f>
        <v/>
      </c>
      <c r="S2465">
        <f>IF($A2465="","",$R2465&amp;"|"&amp;$Q2465)</f>
        <v/>
      </c>
      <c r="T2465">
        <f>IF($A2465="","",$S2465&amp;"|"&amp;$F2465)</f>
        <v/>
      </c>
      <c r="U2465">
        <f>IF($A2465="","",$R2465&amp;"("&amp;$E2465&amp;")")</f>
        <v/>
      </c>
      <c r="V2465">
        <f>IF($A2465="","",$F2465&amp;"|"&amp;$U2465&amp;"|"&amp;$D2465)</f>
        <v/>
      </c>
      <c r="W2465">
        <f>IF($T2465="","",IF($X2465&gt;N($X2464),$X2465,""))</f>
        <v/>
      </c>
      <c r="X2465">
        <f>IF($T2465="",N($X2464),IF(MATCH($T2465,$T$6:$T$6005,0)=ROW()-5,N($X2464)+1,N($X2464)))</f>
        <v/>
      </c>
      <c r="Z2465">
        <f>IF($V2465="","",IF($AA2465&gt;N($AA2464),$AA2465,""))</f>
        <v/>
      </c>
      <c r="AA2465">
        <f>IF($V2465="",N($AA2464),IF(MATCH($V2465,$V$6:$V$6005,0)=ROW()-5,N($AA2464)+1,N($AA2464)))</f>
        <v/>
      </c>
    </row>
    <row r="2466" ht="21" customHeight="1" s="66">
      <c r="A2466" s="56" t="n"/>
      <c r="B2466" s="57" t="n"/>
      <c r="C2466" s="57" t="n"/>
      <c r="D2466" s="57" t="n"/>
      <c r="E2466" s="56" t="n"/>
      <c r="F2466" s="57" t="n"/>
      <c r="G2466" s="57" t="n"/>
      <c r="H2466" s="56" t="n"/>
      <c r="I2466" s="56" t="n"/>
      <c r="J2466" s="58" t="n"/>
      <c r="K2466" s="58" t="n"/>
      <c r="L2466" s="13">
        <f>IF(OR($A2466="",AND($J2466="",$K2466="")),"",ROUND(N($J2466)-N($K2466),2))</f>
        <v/>
      </c>
      <c r="M2466" s="13">
        <f>IF(OR($A2466="",AND($J2466="",$K2466="")),"",MIN($J2466,$K2466))</f>
        <v/>
      </c>
      <c r="Q2466">
        <f>IF($A2466="","",$D2466&amp;"("&amp;SUBSTITUTE($E2466," ","")&amp;")")</f>
        <v/>
      </c>
      <c r="R2466">
        <f>IF($A2466="","",$B2466&amp;" - "&amp;$C2466)</f>
        <v/>
      </c>
      <c r="S2466">
        <f>IF($A2466="","",$R2466&amp;"|"&amp;$Q2466)</f>
        <v/>
      </c>
      <c r="T2466">
        <f>IF($A2466="","",$S2466&amp;"|"&amp;$F2466)</f>
        <v/>
      </c>
      <c r="U2466">
        <f>IF($A2466="","",$R2466&amp;"("&amp;$E2466&amp;")")</f>
        <v/>
      </c>
      <c r="V2466">
        <f>IF($A2466="","",$F2466&amp;"|"&amp;$U2466&amp;"|"&amp;$D2466)</f>
        <v/>
      </c>
      <c r="W2466">
        <f>IF($T2466="","",IF($X2466&gt;N($X2465),$X2466,""))</f>
        <v/>
      </c>
      <c r="X2466">
        <f>IF($T2466="",N($X2465),IF(MATCH($T2466,$T$6:$T$6005,0)=ROW()-5,N($X2465)+1,N($X2465)))</f>
        <v/>
      </c>
      <c r="Z2466">
        <f>IF($V2466="","",IF($AA2466&gt;N($AA2465),$AA2466,""))</f>
        <v/>
      </c>
      <c r="AA2466">
        <f>IF($V2466="",N($AA2465),IF(MATCH($V2466,$V$6:$V$6005,0)=ROW()-5,N($AA2465)+1,N($AA2465)))</f>
        <v/>
      </c>
    </row>
    <row r="2467" ht="21" customHeight="1" s="66">
      <c r="A2467" s="56" t="n"/>
      <c r="B2467" s="57" t="n"/>
      <c r="C2467" s="57" t="n"/>
      <c r="D2467" s="57" t="n"/>
      <c r="E2467" s="56" t="n"/>
      <c r="F2467" s="57" t="n"/>
      <c r="G2467" s="57" t="n"/>
      <c r="H2467" s="56" t="n"/>
      <c r="I2467" s="56" t="n"/>
      <c r="J2467" s="58" t="n"/>
      <c r="K2467" s="58" t="n"/>
      <c r="L2467" s="13">
        <f>IF(OR($A2467="",AND($J2467="",$K2467="")),"",ROUND(N($J2467)-N($K2467),2))</f>
        <v/>
      </c>
      <c r="M2467" s="13">
        <f>IF(OR($A2467="",AND($J2467="",$K2467="")),"",MIN($J2467,$K2467))</f>
        <v/>
      </c>
      <c r="Q2467">
        <f>IF($A2467="","",$D2467&amp;"("&amp;SUBSTITUTE($E2467," ","")&amp;")")</f>
        <v/>
      </c>
      <c r="R2467">
        <f>IF($A2467="","",$B2467&amp;" - "&amp;$C2467)</f>
        <v/>
      </c>
      <c r="S2467">
        <f>IF($A2467="","",$R2467&amp;"|"&amp;$Q2467)</f>
        <v/>
      </c>
      <c r="T2467">
        <f>IF($A2467="","",$S2467&amp;"|"&amp;$F2467)</f>
        <v/>
      </c>
      <c r="U2467">
        <f>IF($A2467="","",$R2467&amp;"("&amp;$E2467&amp;")")</f>
        <v/>
      </c>
      <c r="V2467">
        <f>IF($A2467="","",$F2467&amp;"|"&amp;$U2467&amp;"|"&amp;$D2467)</f>
        <v/>
      </c>
      <c r="W2467">
        <f>IF($T2467="","",IF($X2467&gt;N($X2466),$X2467,""))</f>
        <v/>
      </c>
      <c r="X2467">
        <f>IF($T2467="",N($X2466),IF(MATCH($T2467,$T$6:$T$6005,0)=ROW()-5,N($X2466)+1,N($X2466)))</f>
        <v/>
      </c>
      <c r="Z2467">
        <f>IF($V2467="","",IF($AA2467&gt;N($AA2466),$AA2467,""))</f>
        <v/>
      </c>
      <c r="AA2467">
        <f>IF($V2467="",N($AA2466),IF(MATCH($V2467,$V$6:$V$6005,0)=ROW()-5,N($AA2466)+1,N($AA2466)))</f>
        <v/>
      </c>
    </row>
    <row r="2468" ht="21" customHeight="1" s="66">
      <c r="A2468" s="56" t="n"/>
      <c r="B2468" s="57" t="n"/>
      <c r="C2468" s="57" t="n"/>
      <c r="D2468" s="57" t="n"/>
      <c r="E2468" s="56" t="n"/>
      <c r="F2468" s="57" t="n"/>
      <c r="G2468" s="57" t="n"/>
      <c r="H2468" s="56" t="n"/>
      <c r="I2468" s="56" t="n"/>
      <c r="J2468" s="58" t="n"/>
      <c r="K2468" s="58" t="n"/>
      <c r="L2468" s="13">
        <f>IF(OR($A2468="",AND($J2468="",$K2468="")),"",ROUND(N($J2468)-N($K2468),2))</f>
        <v/>
      </c>
      <c r="M2468" s="13">
        <f>IF(OR($A2468="",AND($J2468="",$K2468="")),"",MIN($J2468,$K2468))</f>
        <v/>
      </c>
      <c r="Q2468">
        <f>IF($A2468="","",$D2468&amp;"("&amp;SUBSTITUTE($E2468," ","")&amp;")")</f>
        <v/>
      </c>
      <c r="R2468">
        <f>IF($A2468="","",$B2468&amp;" - "&amp;$C2468)</f>
        <v/>
      </c>
      <c r="S2468">
        <f>IF($A2468="","",$R2468&amp;"|"&amp;$Q2468)</f>
        <v/>
      </c>
      <c r="T2468">
        <f>IF($A2468="","",$S2468&amp;"|"&amp;$F2468)</f>
        <v/>
      </c>
      <c r="U2468">
        <f>IF($A2468="","",$R2468&amp;"("&amp;$E2468&amp;")")</f>
        <v/>
      </c>
      <c r="V2468">
        <f>IF($A2468="","",$F2468&amp;"|"&amp;$U2468&amp;"|"&amp;$D2468)</f>
        <v/>
      </c>
      <c r="W2468">
        <f>IF($T2468="","",IF($X2468&gt;N($X2467),$X2468,""))</f>
        <v/>
      </c>
      <c r="X2468">
        <f>IF($T2468="",N($X2467),IF(MATCH($T2468,$T$6:$T$6005,0)=ROW()-5,N($X2467)+1,N($X2467)))</f>
        <v/>
      </c>
      <c r="Z2468">
        <f>IF($V2468="","",IF($AA2468&gt;N($AA2467),$AA2468,""))</f>
        <v/>
      </c>
      <c r="AA2468">
        <f>IF($V2468="",N($AA2467),IF(MATCH($V2468,$V$6:$V$6005,0)=ROW()-5,N($AA2467)+1,N($AA2467)))</f>
        <v/>
      </c>
    </row>
    <row r="2469" ht="21" customHeight="1" s="66">
      <c r="A2469" s="56" t="n"/>
      <c r="B2469" s="57" t="n"/>
      <c r="C2469" s="57" t="n"/>
      <c r="D2469" s="57" t="n"/>
      <c r="E2469" s="56" t="n"/>
      <c r="F2469" s="57" t="n"/>
      <c r="G2469" s="57" t="n"/>
      <c r="H2469" s="56" t="n"/>
      <c r="I2469" s="56" t="n"/>
      <c r="J2469" s="58" t="n"/>
      <c r="K2469" s="58" t="n"/>
      <c r="L2469" s="13">
        <f>IF(OR($A2469="",AND($J2469="",$K2469="")),"",ROUND(N($J2469)-N($K2469),2))</f>
        <v/>
      </c>
      <c r="M2469" s="13">
        <f>IF(OR($A2469="",AND($J2469="",$K2469="")),"",MIN($J2469,$K2469))</f>
        <v/>
      </c>
      <c r="Q2469">
        <f>IF($A2469="","",$D2469&amp;"("&amp;SUBSTITUTE($E2469," ","")&amp;")")</f>
        <v/>
      </c>
      <c r="R2469">
        <f>IF($A2469="","",$B2469&amp;" - "&amp;$C2469)</f>
        <v/>
      </c>
      <c r="S2469">
        <f>IF($A2469="","",$R2469&amp;"|"&amp;$Q2469)</f>
        <v/>
      </c>
      <c r="T2469">
        <f>IF($A2469="","",$S2469&amp;"|"&amp;$F2469)</f>
        <v/>
      </c>
      <c r="U2469">
        <f>IF($A2469="","",$R2469&amp;"("&amp;$E2469&amp;")")</f>
        <v/>
      </c>
      <c r="V2469">
        <f>IF($A2469="","",$F2469&amp;"|"&amp;$U2469&amp;"|"&amp;$D2469)</f>
        <v/>
      </c>
      <c r="W2469">
        <f>IF($T2469="","",IF($X2469&gt;N($X2468),$X2469,""))</f>
        <v/>
      </c>
      <c r="X2469">
        <f>IF($T2469="",N($X2468),IF(MATCH($T2469,$T$6:$T$6005,0)=ROW()-5,N($X2468)+1,N($X2468)))</f>
        <v/>
      </c>
      <c r="Z2469">
        <f>IF($V2469="","",IF($AA2469&gt;N($AA2468),$AA2469,""))</f>
        <v/>
      </c>
      <c r="AA2469">
        <f>IF($V2469="",N($AA2468),IF(MATCH($V2469,$V$6:$V$6005,0)=ROW()-5,N($AA2468)+1,N($AA2468)))</f>
        <v/>
      </c>
    </row>
    <row r="2470" ht="21" customHeight="1" s="66">
      <c r="A2470" s="56" t="n"/>
      <c r="B2470" s="57" t="n"/>
      <c r="C2470" s="57" t="n"/>
      <c r="D2470" s="57" t="n"/>
      <c r="E2470" s="56" t="n"/>
      <c r="F2470" s="57" t="n"/>
      <c r="G2470" s="57" t="n"/>
      <c r="H2470" s="56" t="n"/>
      <c r="I2470" s="56" t="n"/>
      <c r="J2470" s="58" t="n"/>
      <c r="K2470" s="58" t="n"/>
      <c r="L2470" s="13">
        <f>IF(OR($A2470="",AND($J2470="",$K2470="")),"",ROUND(N($J2470)-N($K2470),2))</f>
        <v/>
      </c>
      <c r="M2470" s="13">
        <f>IF(OR($A2470="",AND($J2470="",$K2470="")),"",MIN($J2470,$K2470))</f>
        <v/>
      </c>
      <c r="Q2470">
        <f>IF($A2470="","",$D2470&amp;"("&amp;SUBSTITUTE($E2470," ","")&amp;")")</f>
        <v/>
      </c>
      <c r="R2470">
        <f>IF($A2470="","",$B2470&amp;" - "&amp;$C2470)</f>
        <v/>
      </c>
      <c r="S2470">
        <f>IF($A2470="","",$R2470&amp;"|"&amp;$Q2470)</f>
        <v/>
      </c>
      <c r="T2470">
        <f>IF($A2470="","",$S2470&amp;"|"&amp;$F2470)</f>
        <v/>
      </c>
      <c r="U2470">
        <f>IF($A2470="","",$R2470&amp;"("&amp;$E2470&amp;")")</f>
        <v/>
      </c>
      <c r="V2470">
        <f>IF($A2470="","",$F2470&amp;"|"&amp;$U2470&amp;"|"&amp;$D2470)</f>
        <v/>
      </c>
      <c r="W2470">
        <f>IF($T2470="","",IF($X2470&gt;N($X2469),$X2470,""))</f>
        <v/>
      </c>
      <c r="X2470">
        <f>IF($T2470="",N($X2469),IF(MATCH($T2470,$T$6:$T$6005,0)=ROW()-5,N($X2469)+1,N($X2469)))</f>
        <v/>
      </c>
      <c r="Z2470">
        <f>IF($V2470="","",IF($AA2470&gt;N($AA2469),$AA2470,""))</f>
        <v/>
      </c>
      <c r="AA2470">
        <f>IF($V2470="",N($AA2469),IF(MATCH($V2470,$V$6:$V$6005,0)=ROW()-5,N($AA2469)+1,N($AA2469)))</f>
        <v/>
      </c>
    </row>
    <row r="2471" ht="21" customHeight="1" s="66">
      <c r="A2471" s="56" t="n"/>
      <c r="B2471" s="57" t="n"/>
      <c r="C2471" s="57" t="n"/>
      <c r="D2471" s="57" t="n"/>
      <c r="E2471" s="56" t="n"/>
      <c r="F2471" s="57" t="n"/>
      <c r="G2471" s="57" t="n"/>
      <c r="H2471" s="56" t="n"/>
      <c r="I2471" s="56" t="n"/>
      <c r="J2471" s="58" t="n"/>
      <c r="K2471" s="58" t="n"/>
      <c r="L2471" s="13">
        <f>IF(OR($A2471="",AND($J2471="",$K2471="")),"",ROUND(N($J2471)-N($K2471),2))</f>
        <v/>
      </c>
      <c r="M2471" s="13">
        <f>IF(OR($A2471="",AND($J2471="",$K2471="")),"",MIN($J2471,$K2471))</f>
        <v/>
      </c>
      <c r="Q2471">
        <f>IF($A2471="","",$D2471&amp;"("&amp;SUBSTITUTE($E2471," ","")&amp;")")</f>
        <v/>
      </c>
      <c r="R2471">
        <f>IF($A2471="","",$B2471&amp;" - "&amp;$C2471)</f>
        <v/>
      </c>
      <c r="S2471">
        <f>IF($A2471="","",$R2471&amp;"|"&amp;$Q2471)</f>
        <v/>
      </c>
      <c r="T2471">
        <f>IF($A2471="","",$S2471&amp;"|"&amp;$F2471)</f>
        <v/>
      </c>
      <c r="U2471">
        <f>IF($A2471="","",$R2471&amp;"("&amp;$E2471&amp;")")</f>
        <v/>
      </c>
      <c r="V2471">
        <f>IF($A2471="","",$F2471&amp;"|"&amp;$U2471&amp;"|"&amp;$D2471)</f>
        <v/>
      </c>
      <c r="W2471">
        <f>IF($T2471="","",IF($X2471&gt;N($X2470),$X2471,""))</f>
        <v/>
      </c>
      <c r="X2471">
        <f>IF($T2471="",N($X2470),IF(MATCH($T2471,$T$6:$T$6005,0)=ROW()-5,N($X2470)+1,N($X2470)))</f>
        <v/>
      </c>
      <c r="Z2471">
        <f>IF($V2471="","",IF($AA2471&gt;N($AA2470),$AA2471,""))</f>
        <v/>
      </c>
      <c r="AA2471">
        <f>IF($V2471="",N($AA2470),IF(MATCH($V2471,$V$6:$V$6005,0)=ROW()-5,N($AA2470)+1,N($AA2470)))</f>
        <v/>
      </c>
    </row>
    <row r="2472" ht="21" customHeight="1" s="66">
      <c r="A2472" s="56" t="n"/>
      <c r="B2472" s="57" t="n"/>
      <c r="C2472" s="57" t="n"/>
      <c r="D2472" s="57" t="n"/>
      <c r="E2472" s="56" t="n"/>
      <c r="F2472" s="57" t="n"/>
      <c r="G2472" s="57" t="n"/>
      <c r="H2472" s="56" t="n"/>
      <c r="I2472" s="56" t="n"/>
      <c r="J2472" s="58" t="n"/>
      <c r="K2472" s="58" t="n"/>
      <c r="L2472" s="13">
        <f>IF(OR($A2472="",AND($J2472="",$K2472="")),"",ROUND(N($J2472)-N($K2472),2))</f>
        <v/>
      </c>
      <c r="M2472" s="13">
        <f>IF(OR($A2472="",AND($J2472="",$K2472="")),"",MIN($J2472,$K2472))</f>
        <v/>
      </c>
      <c r="Q2472">
        <f>IF($A2472="","",$D2472&amp;"("&amp;SUBSTITUTE($E2472," ","")&amp;")")</f>
        <v/>
      </c>
      <c r="R2472">
        <f>IF($A2472="","",$B2472&amp;" - "&amp;$C2472)</f>
        <v/>
      </c>
      <c r="S2472">
        <f>IF($A2472="","",$R2472&amp;"|"&amp;$Q2472)</f>
        <v/>
      </c>
      <c r="T2472">
        <f>IF($A2472="","",$S2472&amp;"|"&amp;$F2472)</f>
        <v/>
      </c>
      <c r="U2472">
        <f>IF($A2472="","",$R2472&amp;"("&amp;$E2472&amp;")")</f>
        <v/>
      </c>
      <c r="V2472">
        <f>IF($A2472="","",$F2472&amp;"|"&amp;$U2472&amp;"|"&amp;$D2472)</f>
        <v/>
      </c>
      <c r="W2472">
        <f>IF($T2472="","",IF($X2472&gt;N($X2471),$X2472,""))</f>
        <v/>
      </c>
      <c r="X2472">
        <f>IF($T2472="",N($X2471),IF(MATCH($T2472,$T$6:$T$6005,0)=ROW()-5,N($X2471)+1,N($X2471)))</f>
        <v/>
      </c>
      <c r="Z2472">
        <f>IF($V2472="","",IF($AA2472&gt;N($AA2471),$AA2472,""))</f>
        <v/>
      </c>
      <c r="AA2472">
        <f>IF($V2472="",N($AA2471),IF(MATCH($V2472,$V$6:$V$6005,0)=ROW()-5,N($AA2471)+1,N($AA2471)))</f>
        <v/>
      </c>
    </row>
    <row r="2473" ht="21" customHeight="1" s="66">
      <c r="A2473" s="56" t="n"/>
      <c r="B2473" s="57" t="n"/>
      <c r="C2473" s="57" t="n"/>
      <c r="D2473" s="57" t="n"/>
      <c r="E2473" s="56" t="n"/>
      <c r="F2473" s="57" t="n"/>
      <c r="G2473" s="57" t="n"/>
      <c r="H2473" s="56" t="n"/>
      <c r="I2473" s="56" t="n"/>
      <c r="J2473" s="58" t="n"/>
      <c r="K2473" s="58" t="n"/>
      <c r="L2473" s="13">
        <f>IF(OR($A2473="",AND($J2473="",$K2473="")),"",ROUND(N($J2473)-N($K2473),2))</f>
        <v/>
      </c>
      <c r="M2473" s="13">
        <f>IF(OR($A2473="",AND($J2473="",$K2473="")),"",MIN($J2473,$K2473))</f>
        <v/>
      </c>
      <c r="Q2473">
        <f>IF($A2473="","",$D2473&amp;"("&amp;SUBSTITUTE($E2473," ","")&amp;")")</f>
        <v/>
      </c>
      <c r="R2473">
        <f>IF($A2473="","",$B2473&amp;" - "&amp;$C2473)</f>
        <v/>
      </c>
      <c r="S2473">
        <f>IF($A2473="","",$R2473&amp;"|"&amp;$Q2473)</f>
        <v/>
      </c>
      <c r="T2473">
        <f>IF($A2473="","",$S2473&amp;"|"&amp;$F2473)</f>
        <v/>
      </c>
      <c r="U2473">
        <f>IF($A2473="","",$R2473&amp;"("&amp;$E2473&amp;")")</f>
        <v/>
      </c>
      <c r="V2473">
        <f>IF($A2473="","",$F2473&amp;"|"&amp;$U2473&amp;"|"&amp;$D2473)</f>
        <v/>
      </c>
      <c r="W2473">
        <f>IF($T2473="","",IF($X2473&gt;N($X2472),$X2473,""))</f>
        <v/>
      </c>
      <c r="X2473">
        <f>IF($T2473="",N($X2472),IF(MATCH($T2473,$T$6:$T$6005,0)=ROW()-5,N($X2472)+1,N($X2472)))</f>
        <v/>
      </c>
      <c r="Z2473">
        <f>IF($V2473="","",IF($AA2473&gt;N($AA2472),$AA2473,""))</f>
        <v/>
      </c>
      <c r="AA2473">
        <f>IF($V2473="",N($AA2472),IF(MATCH($V2473,$V$6:$V$6005,0)=ROW()-5,N($AA2472)+1,N($AA2472)))</f>
        <v/>
      </c>
    </row>
    <row r="2474" ht="21" customHeight="1" s="66">
      <c r="A2474" s="56" t="n"/>
      <c r="B2474" s="57" t="n"/>
      <c r="C2474" s="57" t="n"/>
      <c r="D2474" s="57" t="n"/>
      <c r="E2474" s="56" t="n"/>
      <c r="F2474" s="57" t="n"/>
      <c r="G2474" s="57" t="n"/>
      <c r="H2474" s="56" t="n"/>
      <c r="I2474" s="56" t="n"/>
      <c r="J2474" s="58" t="n"/>
      <c r="K2474" s="58" t="n"/>
      <c r="L2474" s="13">
        <f>IF(OR($A2474="",AND($J2474="",$K2474="")),"",ROUND(N($J2474)-N($K2474),2))</f>
        <v/>
      </c>
      <c r="M2474" s="13">
        <f>IF(OR($A2474="",AND($J2474="",$K2474="")),"",MIN($J2474,$K2474))</f>
        <v/>
      </c>
      <c r="Q2474">
        <f>IF($A2474="","",$D2474&amp;"("&amp;SUBSTITUTE($E2474," ","")&amp;")")</f>
        <v/>
      </c>
      <c r="R2474">
        <f>IF($A2474="","",$B2474&amp;" - "&amp;$C2474)</f>
        <v/>
      </c>
      <c r="S2474">
        <f>IF($A2474="","",$R2474&amp;"|"&amp;$Q2474)</f>
        <v/>
      </c>
      <c r="T2474">
        <f>IF($A2474="","",$S2474&amp;"|"&amp;$F2474)</f>
        <v/>
      </c>
      <c r="U2474">
        <f>IF($A2474="","",$R2474&amp;"("&amp;$E2474&amp;")")</f>
        <v/>
      </c>
      <c r="V2474">
        <f>IF($A2474="","",$F2474&amp;"|"&amp;$U2474&amp;"|"&amp;$D2474)</f>
        <v/>
      </c>
      <c r="W2474">
        <f>IF($T2474="","",IF($X2474&gt;N($X2473),$X2474,""))</f>
        <v/>
      </c>
      <c r="X2474">
        <f>IF($T2474="",N($X2473),IF(MATCH($T2474,$T$6:$T$6005,0)=ROW()-5,N($X2473)+1,N($X2473)))</f>
        <v/>
      </c>
      <c r="Z2474">
        <f>IF($V2474="","",IF($AA2474&gt;N($AA2473),$AA2474,""))</f>
        <v/>
      </c>
      <c r="AA2474">
        <f>IF($V2474="",N($AA2473),IF(MATCH($V2474,$V$6:$V$6005,0)=ROW()-5,N($AA2473)+1,N($AA2473)))</f>
        <v/>
      </c>
    </row>
    <row r="2475" ht="21" customHeight="1" s="66">
      <c r="A2475" s="56" t="n"/>
      <c r="B2475" s="57" t="n"/>
      <c r="C2475" s="57" t="n"/>
      <c r="D2475" s="57" t="n"/>
      <c r="E2475" s="56" t="n"/>
      <c r="F2475" s="57" t="n"/>
      <c r="G2475" s="57" t="n"/>
      <c r="H2475" s="56" t="n"/>
      <c r="I2475" s="56" t="n"/>
      <c r="J2475" s="58" t="n"/>
      <c r="K2475" s="58" t="n"/>
      <c r="L2475" s="13">
        <f>IF(OR($A2475="",AND($J2475="",$K2475="")),"",ROUND(N($J2475)-N($K2475),2))</f>
        <v/>
      </c>
      <c r="M2475" s="13">
        <f>IF(OR($A2475="",AND($J2475="",$K2475="")),"",MIN($J2475,$K2475))</f>
        <v/>
      </c>
      <c r="Q2475">
        <f>IF($A2475="","",$D2475&amp;"("&amp;SUBSTITUTE($E2475," ","")&amp;")")</f>
        <v/>
      </c>
      <c r="R2475">
        <f>IF($A2475="","",$B2475&amp;" - "&amp;$C2475)</f>
        <v/>
      </c>
      <c r="S2475">
        <f>IF($A2475="","",$R2475&amp;"|"&amp;$Q2475)</f>
        <v/>
      </c>
      <c r="T2475">
        <f>IF($A2475="","",$S2475&amp;"|"&amp;$F2475)</f>
        <v/>
      </c>
      <c r="U2475">
        <f>IF($A2475="","",$R2475&amp;"("&amp;$E2475&amp;")")</f>
        <v/>
      </c>
      <c r="V2475">
        <f>IF($A2475="","",$F2475&amp;"|"&amp;$U2475&amp;"|"&amp;$D2475)</f>
        <v/>
      </c>
      <c r="W2475">
        <f>IF($T2475="","",IF($X2475&gt;N($X2474),$X2475,""))</f>
        <v/>
      </c>
      <c r="X2475">
        <f>IF($T2475="",N($X2474),IF(MATCH($T2475,$T$6:$T$6005,0)=ROW()-5,N($X2474)+1,N($X2474)))</f>
        <v/>
      </c>
      <c r="Z2475">
        <f>IF($V2475="","",IF($AA2475&gt;N($AA2474),$AA2475,""))</f>
        <v/>
      </c>
      <c r="AA2475">
        <f>IF($V2475="",N($AA2474),IF(MATCH($V2475,$V$6:$V$6005,0)=ROW()-5,N($AA2474)+1,N($AA2474)))</f>
        <v/>
      </c>
    </row>
    <row r="2476" ht="21" customHeight="1" s="66">
      <c r="A2476" s="56" t="n"/>
      <c r="B2476" s="57" t="n"/>
      <c r="C2476" s="57" t="n"/>
      <c r="D2476" s="57" t="n"/>
      <c r="E2476" s="56" t="n"/>
      <c r="F2476" s="57" t="n"/>
      <c r="G2476" s="57" t="n"/>
      <c r="H2476" s="56" t="n"/>
      <c r="I2476" s="56" t="n"/>
      <c r="J2476" s="58" t="n"/>
      <c r="K2476" s="58" t="n"/>
      <c r="L2476" s="13">
        <f>IF(OR($A2476="",AND($J2476="",$K2476="")),"",ROUND(N($J2476)-N($K2476),2))</f>
        <v/>
      </c>
      <c r="M2476" s="13">
        <f>IF(OR($A2476="",AND($J2476="",$K2476="")),"",MIN($J2476,$K2476))</f>
        <v/>
      </c>
      <c r="Q2476">
        <f>IF($A2476="","",$D2476&amp;"("&amp;SUBSTITUTE($E2476," ","")&amp;")")</f>
        <v/>
      </c>
      <c r="R2476">
        <f>IF($A2476="","",$B2476&amp;" - "&amp;$C2476)</f>
        <v/>
      </c>
      <c r="S2476">
        <f>IF($A2476="","",$R2476&amp;"|"&amp;$Q2476)</f>
        <v/>
      </c>
      <c r="T2476">
        <f>IF($A2476="","",$S2476&amp;"|"&amp;$F2476)</f>
        <v/>
      </c>
      <c r="U2476">
        <f>IF($A2476="","",$R2476&amp;"("&amp;$E2476&amp;")")</f>
        <v/>
      </c>
      <c r="V2476">
        <f>IF($A2476="","",$F2476&amp;"|"&amp;$U2476&amp;"|"&amp;$D2476)</f>
        <v/>
      </c>
      <c r="W2476">
        <f>IF($T2476="","",IF($X2476&gt;N($X2475),$X2476,""))</f>
        <v/>
      </c>
      <c r="X2476">
        <f>IF($T2476="",N($X2475),IF(MATCH($T2476,$T$6:$T$6005,0)=ROW()-5,N($X2475)+1,N($X2475)))</f>
        <v/>
      </c>
      <c r="Z2476">
        <f>IF($V2476="","",IF($AA2476&gt;N($AA2475),$AA2476,""))</f>
        <v/>
      </c>
      <c r="AA2476">
        <f>IF($V2476="",N($AA2475),IF(MATCH($V2476,$V$6:$V$6005,0)=ROW()-5,N($AA2475)+1,N($AA2475)))</f>
        <v/>
      </c>
    </row>
    <row r="2477" ht="21" customHeight="1" s="66">
      <c r="A2477" s="56" t="n"/>
      <c r="B2477" s="57" t="n"/>
      <c r="C2477" s="57" t="n"/>
      <c r="D2477" s="57" t="n"/>
      <c r="E2477" s="56" t="n"/>
      <c r="F2477" s="57" t="n"/>
      <c r="G2477" s="57" t="n"/>
      <c r="H2477" s="56" t="n"/>
      <c r="I2477" s="56" t="n"/>
      <c r="J2477" s="58" t="n"/>
      <c r="K2477" s="58" t="n"/>
      <c r="L2477" s="13">
        <f>IF(OR($A2477="",AND($J2477="",$K2477="")),"",ROUND(N($J2477)-N($K2477),2))</f>
        <v/>
      </c>
      <c r="M2477" s="13">
        <f>IF(OR($A2477="",AND($J2477="",$K2477="")),"",MIN($J2477,$K2477))</f>
        <v/>
      </c>
      <c r="Q2477">
        <f>IF($A2477="","",$D2477&amp;"("&amp;SUBSTITUTE($E2477," ","")&amp;")")</f>
        <v/>
      </c>
      <c r="R2477">
        <f>IF($A2477="","",$B2477&amp;" - "&amp;$C2477)</f>
        <v/>
      </c>
      <c r="S2477">
        <f>IF($A2477="","",$R2477&amp;"|"&amp;$Q2477)</f>
        <v/>
      </c>
      <c r="T2477">
        <f>IF($A2477="","",$S2477&amp;"|"&amp;$F2477)</f>
        <v/>
      </c>
      <c r="U2477">
        <f>IF($A2477="","",$R2477&amp;"("&amp;$E2477&amp;")")</f>
        <v/>
      </c>
      <c r="V2477">
        <f>IF($A2477="","",$F2477&amp;"|"&amp;$U2477&amp;"|"&amp;$D2477)</f>
        <v/>
      </c>
      <c r="W2477">
        <f>IF($T2477="","",IF($X2477&gt;N($X2476),$X2477,""))</f>
        <v/>
      </c>
      <c r="X2477">
        <f>IF($T2477="",N($X2476),IF(MATCH($T2477,$T$6:$T$6005,0)=ROW()-5,N($X2476)+1,N($X2476)))</f>
        <v/>
      </c>
      <c r="Z2477">
        <f>IF($V2477="","",IF($AA2477&gt;N($AA2476),$AA2477,""))</f>
        <v/>
      </c>
      <c r="AA2477">
        <f>IF($V2477="",N($AA2476),IF(MATCH($V2477,$V$6:$V$6005,0)=ROW()-5,N($AA2476)+1,N($AA2476)))</f>
        <v/>
      </c>
    </row>
    <row r="2478" ht="21" customHeight="1" s="66">
      <c r="A2478" s="56" t="n"/>
      <c r="B2478" s="57" t="n"/>
      <c r="C2478" s="57" t="n"/>
      <c r="D2478" s="57" t="n"/>
      <c r="E2478" s="56" t="n"/>
      <c r="F2478" s="57" t="n"/>
      <c r="G2478" s="57" t="n"/>
      <c r="H2478" s="56" t="n"/>
      <c r="I2478" s="56" t="n"/>
      <c r="J2478" s="58" t="n"/>
      <c r="K2478" s="58" t="n"/>
      <c r="L2478" s="13">
        <f>IF(OR($A2478="",AND($J2478="",$K2478="")),"",ROUND(N($J2478)-N($K2478),2))</f>
        <v/>
      </c>
      <c r="M2478" s="13">
        <f>IF(OR($A2478="",AND($J2478="",$K2478="")),"",MIN($J2478,$K2478))</f>
        <v/>
      </c>
      <c r="Q2478">
        <f>IF($A2478="","",$D2478&amp;"("&amp;SUBSTITUTE($E2478," ","")&amp;")")</f>
        <v/>
      </c>
      <c r="R2478">
        <f>IF($A2478="","",$B2478&amp;" - "&amp;$C2478)</f>
        <v/>
      </c>
      <c r="S2478">
        <f>IF($A2478="","",$R2478&amp;"|"&amp;$Q2478)</f>
        <v/>
      </c>
      <c r="T2478">
        <f>IF($A2478="","",$S2478&amp;"|"&amp;$F2478)</f>
        <v/>
      </c>
      <c r="U2478">
        <f>IF($A2478="","",$R2478&amp;"("&amp;$E2478&amp;")")</f>
        <v/>
      </c>
      <c r="V2478">
        <f>IF($A2478="","",$F2478&amp;"|"&amp;$U2478&amp;"|"&amp;$D2478)</f>
        <v/>
      </c>
      <c r="W2478">
        <f>IF($T2478="","",IF($X2478&gt;N($X2477),$X2478,""))</f>
        <v/>
      </c>
      <c r="X2478">
        <f>IF($T2478="",N($X2477),IF(MATCH($T2478,$T$6:$T$6005,0)=ROW()-5,N($X2477)+1,N($X2477)))</f>
        <v/>
      </c>
      <c r="Z2478">
        <f>IF($V2478="","",IF($AA2478&gt;N($AA2477),$AA2478,""))</f>
        <v/>
      </c>
      <c r="AA2478">
        <f>IF($V2478="",N($AA2477),IF(MATCH($V2478,$V$6:$V$6005,0)=ROW()-5,N($AA2477)+1,N($AA2477)))</f>
        <v/>
      </c>
    </row>
    <row r="2479" ht="21" customHeight="1" s="66">
      <c r="A2479" s="56" t="n"/>
      <c r="B2479" s="57" t="n"/>
      <c r="C2479" s="57" t="n"/>
      <c r="D2479" s="57" t="n"/>
      <c r="E2479" s="56" t="n"/>
      <c r="F2479" s="57" t="n"/>
      <c r="G2479" s="57" t="n"/>
      <c r="H2479" s="56" t="n"/>
      <c r="I2479" s="56" t="n"/>
      <c r="J2479" s="58" t="n"/>
      <c r="K2479" s="58" t="n"/>
      <c r="L2479" s="13">
        <f>IF(OR($A2479="",AND($J2479="",$K2479="")),"",ROUND(N($J2479)-N($K2479),2))</f>
        <v/>
      </c>
      <c r="M2479" s="13">
        <f>IF(OR($A2479="",AND($J2479="",$K2479="")),"",MIN($J2479,$K2479))</f>
        <v/>
      </c>
      <c r="Q2479">
        <f>IF($A2479="","",$D2479&amp;"("&amp;SUBSTITUTE($E2479," ","")&amp;")")</f>
        <v/>
      </c>
      <c r="R2479">
        <f>IF($A2479="","",$B2479&amp;" - "&amp;$C2479)</f>
        <v/>
      </c>
      <c r="S2479">
        <f>IF($A2479="","",$R2479&amp;"|"&amp;$Q2479)</f>
        <v/>
      </c>
      <c r="T2479">
        <f>IF($A2479="","",$S2479&amp;"|"&amp;$F2479)</f>
        <v/>
      </c>
      <c r="U2479">
        <f>IF($A2479="","",$R2479&amp;"("&amp;$E2479&amp;")")</f>
        <v/>
      </c>
      <c r="V2479">
        <f>IF($A2479="","",$F2479&amp;"|"&amp;$U2479&amp;"|"&amp;$D2479)</f>
        <v/>
      </c>
      <c r="W2479">
        <f>IF($T2479="","",IF($X2479&gt;N($X2478),$X2479,""))</f>
        <v/>
      </c>
      <c r="X2479">
        <f>IF($T2479="",N($X2478),IF(MATCH($T2479,$T$6:$T$6005,0)=ROW()-5,N($X2478)+1,N($X2478)))</f>
        <v/>
      </c>
      <c r="Z2479">
        <f>IF($V2479="","",IF($AA2479&gt;N($AA2478),$AA2479,""))</f>
        <v/>
      </c>
      <c r="AA2479">
        <f>IF($V2479="",N($AA2478),IF(MATCH($V2479,$V$6:$V$6005,0)=ROW()-5,N($AA2478)+1,N($AA2478)))</f>
        <v/>
      </c>
    </row>
    <row r="2480" ht="21" customHeight="1" s="66">
      <c r="A2480" s="56" t="n"/>
      <c r="B2480" s="57" t="n"/>
      <c r="C2480" s="57" t="n"/>
      <c r="D2480" s="57" t="n"/>
      <c r="E2480" s="56" t="n"/>
      <c r="F2480" s="57" t="n"/>
      <c r="G2480" s="57" t="n"/>
      <c r="H2480" s="56" t="n"/>
      <c r="I2480" s="56" t="n"/>
      <c r="J2480" s="58" t="n"/>
      <c r="K2480" s="58" t="n"/>
      <c r="L2480" s="13">
        <f>IF(OR($A2480="",AND($J2480="",$K2480="")),"",ROUND(N($J2480)-N($K2480),2))</f>
        <v/>
      </c>
      <c r="M2480" s="13">
        <f>IF(OR($A2480="",AND($J2480="",$K2480="")),"",MIN($J2480,$K2480))</f>
        <v/>
      </c>
      <c r="Q2480">
        <f>IF($A2480="","",$D2480&amp;"("&amp;SUBSTITUTE($E2480," ","")&amp;")")</f>
        <v/>
      </c>
      <c r="R2480">
        <f>IF($A2480="","",$B2480&amp;" - "&amp;$C2480)</f>
        <v/>
      </c>
      <c r="S2480">
        <f>IF($A2480="","",$R2480&amp;"|"&amp;$Q2480)</f>
        <v/>
      </c>
      <c r="T2480">
        <f>IF($A2480="","",$S2480&amp;"|"&amp;$F2480)</f>
        <v/>
      </c>
      <c r="U2480">
        <f>IF($A2480="","",$R2480&amp;"("&amp;$E2480&amp;")")</f>
        <v/>
      </c>
      <c r="V2480">
        <f>IF($A2480="","",$F2480&amp;"|"&amp;$U2480&amp;"|"&amp;$D2480)</f>
        <v/>
      </c>
      <c r="W2480">
        <f>IF($T2480="","",IF($X2480&gt;N($X2479),$X2480,""))</f>
        <v/>
      </c>
      <c r="X2480">
        <f>IF($T2480="",N($X2479),IF(MATCH($T2480,$T$6:$T$6005,0)=ROW()-5,N($X2479)+1,N($X2479)))</f>
        <v/>
      </c>
      <c r="Z2480">
        <f>IF($V2480="","",IF($AA2480&gt;N($AA2479),$AA2480,""))</f>
        <v/>
      </c>
      <c r="AA2480">
        <f>IF($V2480="",N($AA2479),IF(MATCH($V2480,$V$6:$V$6005,0)=ROW()-5,N($AA2479)+1,N($AA2479)))</f>
        <v/>
      </c>
    </row>
    <row r="2481" ht="21" customHeight="1" s="66">
      <c r="A2481" s="56" t="n"/>
      <c r="B2481" s="57" t="n"/>
      <c r="C2481" s="57" t="n"/>
      <c r="D2481" s="57" t="n"/>
      <c r="E2481" s="56" t="n"/>
      <c r="F2481" s="57" t="n"/>
      <c r="G2481" s="57" t="n"/>
      <c r="H2481" s="56" t="n"/>
      <c r="I2481" s="56" t="n"/>
      <c r="J2481" s="58" t="n"/>
      <c r="K2481" s="58" t="n"/>
      <c r="L2481" s="13">
        <f>IF(OR($A2481="",AND($J2481="",$K2481="")),"",ROUND(N($J2481)-N($K2481),2))</f>
        <v/>
      </c>
      <c r="M2481" s="13">
        <f>IF(OR($A2481="",AND($J2481="",$K2481="")),"",MIN($J2481,$K2481))</f>
        <v/>
      </c>
      <c r="Q2481">
        <f>IF($A2481="","",$D2481&amp;"("&amp;SUBSTITUTE($E2481," ","")&amp;")")</f>
        <v/>
      </c>
      <c r="R2481">
        <f>IF($A2481="","",$B2481&amp;" - "&amp;$C2481)</f>
        <v/>
      </c>
      <c r="S2481">
        <f>IF($A2481="","",$R2481&amp;"|"&amp;$Q2481)</f>
        <v/>
      </c>
      <c r="T2481">
        <f>IF($A2481="","",$S2481&amp;"|"&amp;$F2481)</f>
        <v/>
      </c>
      <c r="U2481">
        <f>IF($A2481="","",$R2481&amp;"("&amp;$E2481&amp;")")</f>
        <v/>
      </c>
      <c r="V2481">
        <f>IF($A2481="","",$F2481&amp;"|"&amp;$U2481&amp;"|"&amp;$D2481)</f>
        <v/>
      </c>
      <c r="W2481">
        <f>IF($T2481="","",IF($X2481&gt;N($X2480),$X2481,""))</f>
        <v/>
      </c>
      <c r="X2481">
        <f>IF($T2481="",N($X2480),IF(MATCH($T2481,$T$6:$T$6005,0)=ROW()-5,N($X2480)+1,N($X2480)))</f>
        <v/>
      </c>
      <c r="Z2481">
        <f>IF($V2481="","",IF($AA2481&gt;N($AA2480),$AA2481,""))</f>
        <v/>
      </c>
      <c r="AA2481">
        <f>IF($V2481="",N($AA2480),IF(MATCH($V2481,$V$6:$V$6005,0)=ROW()-5,N($AA2480)+1,N($AA2480)))</f>
        <v/>
      </c>
    </row>
    <row r="2482" ht="21" customHeight="1" s="66">
      <c r="A2482" s="56" t="n"/>
      <c r="B2482" s="57" t="n"/>
      <c r="C2482" s="57" t="n"/>
      <c r="D2482" s="57" t="n"/>
      <c r="E2482" s="56" t="n"/>
      <c r="F2482" s="57" t="n"/>
      <c r="G2482" s="57" t="n"/>
      <c r="H2482" s="56" t="n"/>
      <c r="I2482" s="56" t="n"/>
      <c r="J2482" s="58" t="n"/>
      <c r="K2482" s="58" t="n"/>
      <c r="L2482" s="13">
        <f>IF(OR($A2482="",AND($J2482="",$K2482="")),"",ROUND(N($J2482)-N($K2482),2))</f>
        <v/>
      </c>
      <c r="M2482" s="13">
        <f>IF(OR($A2482="",AND($J2482="",$K2482="")),"",MIN($J2482,$K2482))</f>
        <v/>
      </c>
      <c r="Q2482">
        <f>IF($A2482="","",$D2482&amp;"("&amp;SUBSTITUTE($E2482," ","")&amp;")")</f>
        <v/>
      </c>
      <c r="R2482">
        <f>IF($A2482="","",$B2482&amp;" - "&amp;$C2482)</f>
        <v/>
      </c>
      <c r="S2482">
        <f>IF($A2482="","",$R2482&amp;"|"&amp;$Q2482)</f>
        <v/>
      </c>
      <c r="T2482">
        <f>IF($A2482="","",$S2482&amp;"|"&amp;$F2482)</f>
        <v/>
      </c>
      <c r="U2482">
        <f>IF($A2482="","",$R2482&amp;"("&amp;$E2482&amp;")")</f>
        <v/>
      </c>
      <c r="V2482">
        <f>IF($A2482="","",$F2482&amp;"|"&amp;$U2482&amp;"|"&amp;$D2482)</f>
        <v/>
      </c>
      <c r="W2482">
        <f>IF($T2482="","",IF($X2482&gt;N($X2481),$X2482,""))</f>
        <v/>
      </c>
      <c r="X2482">
        <f>IF($T2482="",N($X2481),IF(MATCH($T2482,$T$6:$T$6005,0)=ROW()-5,N($X2481)+1,N($X2481)))</f>
        <v/>
      </c>
      <c r="Z2482">
        <f>IF($V2482="","",IF($AA2482&gt;N($AA2481),$AA2482,""))</f>
        <v/>
      </c>
      <c r="AA2482">
        <f>IF($V2482="",N($AA2481),IF(MATCH($V2482,$V$6:$V$6005,0)=ROW()-5,N($AA2481)+1,N($AA2481)))</f>
        <v/>
      </c>
    </row>
    <row r="2483" ht="21" customHeight="1" s="66">
      <c r="A2483" s="56" t="n"/>
      <c r="B2483" s="57" t="n"/>
      <c r="C2483" s="57" t="n"/>
      <c r="D2483" s="57" t="n"/>
      <c r="E2483" s="56" t="n"/>
      <c r="F2483" s="57" t="n"/>
      <c r="G2483" s="57" t="n"/>
      <c r="H2483" s="56" t="n"/>
      <c r="I2483" s="56" t="n"/>
      <c r="J2483" s="58" t="n"/>
      <c r="K2483" s="58" t="n"/>
      <c r="L2483" s="13">
        <f>IF(OR($A2483="",AND($J2483="",$K2483="")),"",ROUND(N($J2483)-N($K2483),2))</f>
        <v/>
      </c>
      <c r="M2483" s="13">
        <f>IF(OR($A2483="",AND($J2483="",$K2483="")),"",MIN($J2483,$K2483))</f>
        <v/>
      </c>
      <c r="Q2483">
        <f>IF($A2483="","",$D2483&amp;"("&amp;SUBSTITUTE($E2483," ","")&amp;")")</f>
        <v/>
      </c>
      <c r="R2483">
        <f>IF($A2483="","",$B2483&amp;" - "&amp;$C2483)</f>
        <v/>
      </c>
      <c r="S2483">
        <f>IF($A2483="","",$R2483&amp;"|"&amp;$Q2483)</f>
        <v/>
      </c>
      <c r="T2483">
        <f>IF($A2483="","",$S2483&amp;"|"&amp;$F2483)</f>
        <v/>
      </c>
      <c r="U2483">
        <f>IF($A2483="","",$R2483&amp;"("&amp;$E2483&amp;")")</f>
        <v/>
      </c>
      <c r="V2483">
        <f>IF($A2483="","",$F2483&amp;"|"&amp;$U2483&amp;"|"&amp;$D2483)</f>
        <v/>
      </c>
      <c r="W2483">
        <f>IF($T2483="","",IF($X2483&gt;N($X2482),$X2483,""))</f>
        <v/>
      </c>
      <c r="X2483">
        <f>IF($T2483="",N($X2482),IF(MATCH($T2483,$T$6:$T$6005,0)=ROW()-5,N($X2482)+1,N($X2482)))</f>
        <v/>
      </c>
      <c r="Z2483">
        <f>IF($V2483="","",IF($AA2483&gt;N($AA2482),$AA2483,""))</f>
        <v/>
      </c>
      <c r="AA2483">
        <f>IF($V2483="",N($AA2482),IF(MATCH($V2483,$V$6:$V$6005,0)=ROW()-5,N($AA2482)+1,N($AA2482)))</f>
        <v/>
      </c>
    </row>
    <row r="2484" ht="21" customHeight="1" s="66">
      <c r="A2484" s="56" t="n"/>
      <c r="B2484" s="57" t="n"/>
      <c r="C2484" s="57" t="n"/>
      <c r="D2484" s="57" t="n"/>
      <c r="E2484" s="56" t="n"/>
      <c r="F2484" s="57" t="n"/>
      <c r="G2484" s="57" t="n"/>
      <c r="H2484" s="56" t="n"/>
      <c r="I2484" s="56" t="n"/>
      <c r="J2484" s="58" t="n"/>
      <c r="K2484" s="58" t="n"/>
      <c r="L2484" s="13">
        <f>IF(OR($A2484="",AND($J2484="",$K2484="")),"",ROUND(N($J2484)-N($K2484),2))</f>
        <v/>
      </c>
      <c r="M2484" s="13">
        <f>IF(OR($A2484="",AND($J2484="",$K2484="")),"",MIN($J2484,$K2484))</f>
        <v/>
      </c>
      <c r="Q2484">
        <f>IF($A2484="","",$D2484&amp;"("&amp;SUBSTITUTE($E2484," ","")&amp;")")</f>
        <v/>
      </c>
      <c r="R2484">
        <f>IF($A2484="","",$B2484&amp;" - "&amp;$C2484)</f>
        <v/>
      </c>
      <c r="S2484">
        <f>IF($A2484="","",$R2484&amp;"|"&amp;$Q2484)</f>
        <v/>
      </c>
      <c r="T2484">
        <f>IF($A2484="","",$S2484&amp;"|"&amp;$F2484)</f>
        <v/>
      </c>
      <c r="U2484">
        <f>IF($A2484="","",$R2484&amp;"("&amp;$E2484&amp;")")</f>
        <v/>
      </c>
      <c r="V2484">
        <f>IF($A2484="","",$F2484&amp;"|"&amp;$U2484&amp;"|"&amp;$D2484)</f>
        <v/>
      </c>
      <c r="W2484">
        <f>IF($T2484="","",IF($X2484&gt;N($X2483),$X2484,""))</f>
        <v/>
      </c>
      <c r="X2484">
        <f>IF($T2484="",N($X2483),IF(MATCH($T2484,$T$6:$T$6005,0)=ROW()-5,N($X2483)+1,N($X2483)))</f>
        <v/>
      </c>
      <c r="Z2484">
        <f>IF($V2484="","",IF($AA2484&gt;N($AA2483),$AA2484,""))</f>
        <v/>
      </c>
      <c r="AA2484">
        <f>IF($V2484="",N($AA2483),IF(MATCH($V2484,$V$6:$V$6005,0)=ROW()-5,N($AA2483)+1,N($AA2483)))</f>
        <v/>
      </c>
    </row>
    <row r="2485" ht="21" customHeight="1" s="66">
      <c r="A2485" s="56" t="n"/>
      <c r="B2485" s="57" t="n"/>
      <c r="C2485" s="57" t="n"/>
      <c r="D2485" s="57" t="n"/>
      <c r="E2485" s="56" t="n"/>
      <c r="F2485" s="57" t="n"/>
      <c r="G2485" s="57" t="n"/>
      <c r="H2485" s="56" t="n"/>
      <c r="I2485" s="56" t="n"/>
      <c r="J2485" s="58" t="n"/>
      <c r="K2485" s="58" t="n"/>
      <c r="L2485" s="13">
        <f>IF(OR($A2485="",AND($J2485="",$K2485="")),"",ROUND(N($J2485)-N($K2485),2))</f>
        <v/>
      </c>
      <c r="M2485" s="13">
        <f>IF(OR($A2485="",AND($J2485="",$K2485="")),"",MIN($J2485,$K2485))</f>
        <v/>
      </c>
      <c r="Q2485">
        <f>IF($A2485="","",$D2485&amp;"("&amp;SUBSTITUTE($E2485," ","")&amp;")")</f>
        <v/>
      </c>
      <c r="R2485">
        <f>IF($A2485="","",$B2485&amp;" - "&amp;$C2485)</f>
        <v/>
      </c>
      <c r="S2485">
        <f>IF($A2485="","",$R2485&amp;"|"&amp;$Q2485)</f>
        <v/>
      </c>
      <c r="T2485">
        <f>IF($A2485="","",$S2485&amp;"|"&amp;$F2485)</f>
        <v/>
      </c>
      <c r="U2485">
        <f>IF($A2485="","",$R2485&amp;"("&amp;$E2485&amp;")")</f>
        <v/>
      </c>
      <c r="V2485">
        <f>IF($A2485="","",$F2485&amp;"|"&amp;$U2485&amp;"|"&amp;$D2485)</f>
        <v/>
      </c>
      <c r="W2485">
        <f>IF($T2485="","",IF($X2485&gt;N($X2484),$X2485,""))</f>
        <v/>
      </c>
      <c r="X2485">
        <f>IF($T2485="",N($X2484),IF(MATCH($T2485,$T$6:$T$6005,0)=ROW()-5,N($X2484)+1,N($X2484)))</f>
        <v/>
      </c>
      <c r="Z2485">
        <f>IF($V2485="","",IF($AA2485&gt;N($AA2484),$AA2485,""))</f>
        <v/>
      </c>
      <c r="AA2485">
        <f>IF($V2485="",N($AA2484),IF(MATCH($V2485,$V$6:$V$6005,0)=ROW()-5,N($AA2484)+1,N($AA2484)))</f>
        <v/>
      </c>
    </row>
    <row r="2486" ht="21" customHeight="1" s="66">
      <c r="A2486" s="56" t="n"/>
      <c r="B2486" s="57" t="n"/>
      <c r="C2486" s="57" t="n"/>
      <c r="D2486" s="57" t="n"/>
      <c r="E2486" s="56" t="n"/>
      <c r="F2486" s="57" t="n"/>
      <c r="G2486" s="57" t="n"/>
      <c r="H2486" s="56" t="n"/>
      <c r="I2486" s="56" t="n"/>
      <c r="J2486" s="58" t="n"/>
      <c r="K2486" s="58" t="n"/>
      <c r="L2486" s="13">
        <f>IF(OR($A2486="",AND($J2486="",$K2486="")),"",ROUND(N($J2486)-N($K2486),2))</f>
        <v/>
      </c>
      <c r="M2486" s="13">
        <f>IF(OR($A2486="",AND($J2486="",$K2486="")),"",MIN($J2486,$K2486))</f>
        <v/>
      </c>
      <c r="Q2486">
        <f>IF($A2486="","",$D2486&amp;"("&amp;SUBSTITUTE($E2486," ","")&amp;")")</f>
        <v/>
      </c>
      <c r="R2486">
        <f>IF($A2486="","",$B2486&amp;" - "&amp;$C2486)</f>
        <v/>
      </c>
      <c r="S2486">
        <f>IF($A2486="","",$R2486&amp;"|"&amp;$Q2486)</f>
        <v/>
      </c>
      <c r="T2486">
        <f>IF($A2486="","",$S2486&amp;"|"&amp;$F2486)</f>
        <v/>
      </c>
      <c r="U2486">
        <f>IF($A2486="","",$R2486&amp;"("&amp;$E2486&amp;")")</f>
        <v/>
      </c>
      <c r="V2486">
        <f>IF($A2486="","",$F2486&amp;"|"&amp;$U2486&amp;"|"&amp;$D2486)</f>
        <v/>
      </c>
      <c r="W2486">
        <f>IF($T2486="","",IF($X2486&gt;N($X2485),$X2486,""))</f>
        <v/>
      </c>
      <c r="X2486">
        <f>IF($T2486="",N($X2485),IF(MATCH($T2486,$T$6:$T$6005,0)=ROW()-5,N($X2485)+1,N($X2485)))</f>
        <v/>
      </c>
      <c r="Z2486">
        <f>IF($V2486="","",IF($AA2486&gt;N($AA2485),$AA2486,""))</f>
        <v/>
      </c>
      <c r="AA2486">
        <f>IF($V2486="",N($AA2485),IF(MATCH($V2486,$V$6:$V$6005,0)=ROW()-5,N($AA2485)+1,N($AA2485)))</f>
        <v/>
      </c>
    </row>
    <row r="2487" ht="21" customHeight="1" s="66">
      <c r="A2487" s="56" t="n"/>
      <c r="B2487" s="57" t="n"/>
      <c r="C2487" s="57" t="n"/>
      <c r="D2487" s="57" t="n"/>
      <c r="E2487" s="56" t="n"/>
      <c r="F2487" s="57" t="n"/>
      <c r="G2487" s="57" t="n"/>
      <c r="H2487" s="56" t="n"/>
      <c r="I2487" s="56" t="n"/>
      <c r="J2487" s="58" t="n"/>
      <c r="K2487" s="58" t="n"/>
      <c r="L2487" s="13">
        <f>IF(OR($A2487="",AND($J2487="",$K2487="")),"",ROUND(N($J2487)-N($K2487),2))</f>
        <v/>
      </c>
      <c r="M2487" s="13">
        <f>IF(OR($A2487="",AND($J2487="",$K2487="")),"",MIN($J2487,$K2487))</f>
        <v/>
      </c>
      <c r="Q2487">
        <f>IF($A2487="","",$D2487&amp;"("&amp;SUBSTITUTE($E2487," ","")&amp;")")</f>
        <v/>
      </c>
      <c r="R2487">
        <f>IF($A2487="","",$B2487&amp;" - "&amp;$C2487)</f>
        <v/>
      </c>
      <c r="S2487">
        <f>IF($A2487="","",$R2487&amp;"|"&amp;$Q2487)</f>
        <v/>
      </c>
      <c r="T2487">
        <f>IF($A2487="","",$S2487&amp;"|"&amp;$F2487)</f>
        <v/>
      </c>
      <c r="U2487">
        <f>IF($A2487="","",$R2487&amp;"("&amp;$E2487&amp;")")</f>
        <v/>
      </c>
      <c r="V2487">
        <f>IF($A2487="","",$F2487&amp;"|"&amp;$U2487&amp;"|"&amp;$D2487)</f>
        <v/>
      </c>
      <c r="W2487">
        <f>IF($T2487="","",IF($X2487&gt;N($X2486),$X2487,""))</f>
        <v/>
      </c>
      <c r="X2487">
        <f>IF($T2487="",N($X2486),IF(MATCH($T2487,$T$6:$T$6005,0)=ROW()-5,N($X2486)+1,N($X2486)))</f>
        <v/>
      </c>
      <c r="Z2487">
        <f>IF($V2487="","",IF($AA2487&gt;N($AA2486),$AA2487,""))</f>
        <v/>
      </c>
      <c r="AA2487">
        <f>IF($V2487="",N($AA2486),IF(MATCH($V2487,$V$6:$V$6005,0)=ROW()-5,N($AA2486)+1,N($AA2486)))</f>
        <v/>
      </c>
    </row>
    <row r="2488" ht="21" customHeight="1" s="66">
      <c r="A2488" s="56" t="n"/>
      <c r="B2488" s="57" t="n"/>
      <c r="C2488" s="57" t="n"/>
      <c r="D2488" s="57" t="n"/>
      <c r="E2488" s="56" t="n"/>
      <c r="F2488" s="57" t="n"/>
      <c r="G2488" s="57" t="n"/>
      <c r="H2488" s="56" t="n"/>
      <c r="I2488" s="56" t="n"/>
      <c r="J2488" s="58" t="n"/>
      <c r="K2488" s="58" t="n"/>
      <c r="L2488" s="13">
        <f>IF(OR($A2488="",AND($J2488="",$K2488="")),"",ROUND(N($J2488)-N($K2488),2))</f>
        <v/>
      </c>
      <c r="M2488" s="13">
        <f>IF(OR($A2488="",AND($J2488="",$K2488="")),"",MIN($J2488,$K2488))</f>
        <v/>
      </c>
      <c r="Q2488">
        <f>IF($A2488="","",$D2488&amp;"("&amp;SUBSTITUTE($E2488," ","")&amp;")")</f>
        <v/>
      </c>
      <c r="R2488">
        <f>IF($A2488="","",$B2488&amp;" - "&amp;$C2488)</f>
        <v/>
      </c>
      <c r="S2488">
        <f>IF($A2488="","",$R2488&amp;"|"&amp;$Q2488)</f>
        <v/>
      </c>
      <c r="T2488">
        <f>IF($A2488="","",$S2488&amp;"|"&amp;$F2488)</f>
        <v/>
      </c>
      <c r="U2488">
        <f>IF($A2488="","",$R2488&amp;"("&amp;$E2488&amp;")")</f>
        <v/>
      </c>
      <c r="V2488">
        <f>IF($A2488="","",$F2488&amp;"|"&amp;$U2488&amp;"|"&amp;$D2488)</f>
        <v/>
      </c>
      <c r="W2488">
        <f>IF($T2488="","",IF($X2488&gt;N($X2487),$X2488,""))</f>
        <v/>
      </c>
      <c r="X2488">
        <f>IF($T2488="",N($X2487),IF(MATCH($T2488,$T$6:$T$6005,0)=ROW()-5,N($X2487)+1,N($X2487)))</f>
        <v/>
      </c>
      <c r="Z2488">
        <f>IF($V2488="","",IF($AA2488&gt;N($AA2487),$AA2488,""))</f>
        <v/>
      </c>
      <c r="AA2488">
        <f>IF($V2488="",N($AA2487),IF(MATCH($V2488,$V$6:$V$6005,0)=ROW()-5,N($AA2487)+1,N($AA2487)))</f>
        <v/>
      </c>
    </row>
    <row r="2489" ht="21" customHeight="1" s="66">
      <c r="A2489" s="56" t="n"/>
      <c r="B2489" s="57" t="n"/>
      <c r="C2489" s="57" t="n"/>
      <c r="D2489" s="57" t="n"/>
      <c r="E2489" s="56" t="n"/>
      <c r="F2489" s="57" t="n"/>
      <c r="G2489" s="57" t="n"/>
      <c r="H2489" s="56" t="n"/>
      <c r="I2489" s="56" t="n"/>
      <c r="J2489" s="58" t="n"/>
      <c r="K2489" s="58" t="n"/>
      <c r="L2489" s="13">
        <f>IF(OR($A2489="",AND($J2489="",$K2489="")),"",ROUND(N($J2489)-N($K2489),2))</f>
        <v/>
      </c>
      <c r="M2489" s="13">
        <f>IF(OR($A2489="",AND($J2489="",$K2489="")),"",MIN($J2489,$K2489))</f>
        <v/>
      </c>
      <c r="Q2489">
        <f>IF($A2489="","",$D2489&amp;"("&amp;SUBSTITUTE($E2489," ","")&amp;")")</f>
        <v/>
      </c>
      <c r="R2489">
        <f>IF($A2489="","",$B2489&amp;" - "&amp;$C2489)</f>
        <v/>
      </c>
      <c r="S2489">
        <f>IF($A2489="","",$R2489&amp;"|"&amp;$Q2489)</f>
        <v/>
      </c>
      <c r="T2489">
        <f>IF($A2489="","",$S2489&amp;"|"&amp;$F2489)</f>
        <v/>
      </c>
      <c r="U2489">
        <f>IF($A2489="","",$R2489&amp;"("&amp;$E2489&amp;")")</f>
        <v/>
      </c>
      <c r="V2489">
        <f>IF($A2489="","",$F2489&amp;"|"&amp;$U2489&amp;"|"&amp;$D2489)</f>
        <v/>
      </c>
      <c r="W2489">
        <f>IF($T2489="","",IF($X2489&gt;N($X2488),$X2489,""))</f>
        <v/>
      </c>
      <c r="X2489">
        <f>IF($T2489="",N($X2488),IF(MATCH($T2489,$T$6:$T$6005,0)=ROW()-5,N($X2488)+1,N($X2488)))</f>
        <v/>
      </c>
      <c r="Z2489">
        <f>IF($V2489="","",IF($AA2489&gt;N($AA2488),$AA2489,""))</f>
        <v/>
      </c>
      <c r="AA2489">
        <f>IF($V2489="",N($AA2488),IF(MATCH($V2489,$V$6:$V$6005,0)=ROW()-5,N($AA2488)+1,N($AA2488)))</f>
        <v/>
      </c>
    </row>
    <row r="2490" ht="21" customHeight="1" s="66">
      <c r="A2490" s="56" t="n"/>
      <c r="B2490" s="57" t="n"/>
      <c r="C2490" s="57" t="n"/>
      <c r="D2490" s="57" t="n"/>
      <c r="E2490" s="56" t="n"/>
      <c r="F2490" s="57" t="n"/>
      <c r="G2490" s="57" t="n"/>
      <c r="H2490" s="56" t="n"/>
      <c r="I2490" s="56" t="n"/>
      <c r="J2490" s="58" t="n"/>
      <c r="K2490" s="58" t="n"/>
      <c r="L2490" s="13">
        <f>IF(OR($A2490="",AND($J2490="",$K2490="")),"",ROUND(N($J2490)-N($K2490),2))</f>
        <v/>
      </c>
      <c r="M2490" s="13">
        <f>IF(OR($A2490="",AND($J2490="",$K2490="")),"",MIN($J2490,$K2490))</f>
        <v/>
      </c>
      <c r="Q2490">
        <f>IF($A2490="","",$D2490&amp;"("&amp;SUBSTITUTE($E2490," ","")&amp;")")</f>
        <v/>
      </c>
      <c r="R2490">
        <f>IF($A2490="","",$B2490&amp;" - "&amp;$C2490)</f>
        <v/>
      </c>
      <c r="S2490">
        <f>IF($A2490="","",$R2490&amp;"|"&amp;$Q2490)</f>
        <v/>
      </c>
      <c r="T2490">
        <f>IF($A2490="","",$S2490&amp;"|"&amp;$F2490)</f>
        <v/>
      </c>
      <c r="U2490">
        <f>IF($A2490="","",$R2490&amp;"("&amp;$E2490&amp;")")</f>
        <v/>
      </c>
      <c r="V2490">
        <f>IF($A2490="","",$F2490&amp;"|"&amp;$U2490&amp;"|"&amp;$D2490)</f>
        <v/>
      </c>
      <c r="W2490">
        <f>IF($T2490="","",IF($X2490&gt;N($X2489),$X2490,""))</f>
        <v/>
      </c>
      <c r="X2490">
        <f>IF($T2490="",N($X2489),IF(MATCH($T2490,$T$6:$T$6005,0)=ROW()-5,N($X2489)+1,N($X2489)))</f>
        <v/>
      </c>
      <c r="Z2490">
        <f>IF($V2490="","",IF($AA2490&gt;N($AA2489),$AA2490,""))</f>
        <v/>
      </c>
      <c r="AA2490">
        <f>IF($V2490="",N($AA2489),IF(MATCH($V2490,$V$6:$V$6005,0)=ROW()-5,N($AA2489)+1,N($AA2489)))</f>
        <v/>
      </c>
    </row>
    <row r="2491" ht="21" customHeight="1" s="66">
      <c r="A2491" s="56" t="n"/>
      <c r="B2491" s="57" t="n"/>
      <c r="C2491" s="57" t="n"/>
      <c r="D2491" s="57" t="n"/>
      <c r="E2491" s="56" t="n"/>
      <c r="F2491" s="57" t="n"/>
      <c r="G2491" s="57" t="n"/>
      <c r="H2491" s="56" t="n"/>
      <c r="I2491" s="56" t="n"/>
      <c r="J2491" s="58" t="n"/>
      <c r="K2491" s="58" t="n"/>
      <c r="L2491" s="13">
        <f>IF(OR($A2491="",AND($J2491="",$K2491="")),"",ROUND(N($J2491)-N($K2491),2))</f>
        <v/>
      </c>
      <c r="M2491" s="13">
        <f>IF(OR($A2491="",AND($J2491="",$K2491="")),"",MIN($J2491,$K2491))</f>
        <v/>
      </c>
      <c r="Q2491">
        <f>IF($A2491="","",$D2491&amp;"("&amp;SUBSTITUTE($E2491," ","")&amp;")")</f>
        <v/>
      </c>
      <c r="R2491">
        <f>IF($A2491="","",$B2491&amp;" - "&amp;$C2491)</f>
        <v/>
      </c>
      <c r="S2491">
        <f>IF($A2491="","",$R2491&amp;"|"&amp;$Q2491)</f>
        <v/>
      </c>
      <c r="T2491">
        <f>IF($A2491="","",$S2491&amp;"|"&amp;$F2491)</f>
        <v/>
      </c>
      <c r="U2491">
        <f>IF($A2491="","",$R2491&amp;"("&amp;$E2491&amp;")")</f>
        <v/>
      </c>
      <c r="V2491">
        <f>IF($A2491="","",$F2491&amp;"|"&amp;$U2491&amp;"|"&amp;$D2491)</f>
        <v/>
      </c>
      <c r="W2491">
        <f>IF($T2491="","",IF($X2491&gt;N($X2490),$X2491,""))</f>
        <v/>
      </c>
      <c r="X2491">
        <f>IF($T2491="",N($X2490),IF(MATCH($T2491,$T$6:$T$6005,0)=ROW()-5,N($X2490)+1,N($X2490)))</f>
        <v/>
      </c>
      <c r="Z2491">
        <f>IF($V2491="","",IF($AA2491&gt;N($AA2490),$AA2491,""))</f>
        <v/>
      </c>
      <c r="AA2491">
        <f>IF($V2491="",N($AA2490),IF(MATCH($V2491,$V$6:$V$6005,0)=ROW()-5,N($AA2490)+1,N($AA2490)))</f>
        <v/>
      </c>
    </row>
    <row r="2492" ht="21" customHeight="1" s="66">
      <c r="A2492" s="56" t="n"/>
      <c r="B2492" s="57" t="n"/>
      <c r="C2492" s="57" t="n"/>
      <c r="D2492" s="57" t="n"/>
      <c r="E2492" s="56" t="n"/>
      <c r="F2492" s="57" t="n"/>
      <c r="G2492" s="57" t="n"/>
      <c r="H2492" s="56" t="n"/>
      <c r="I2492" s="56" t="n"/>
      <c r="J2492" s="58" t="n"/>
      <c r="K2492" s="58" t="n"/>
      <c r="L2492" s="13">
        <f>IF(OR($A2492="",AND($J2492="",$K2492="")),"",ROUND(N($J2492)-N($K2492),2))</f>
        <v/>
      </c>
      <c r="M2492" s="13">
        <f>IF(OR($A2492="",AND($J2492="",$K2492="")),"",MIN($J2492,$K2492))</f>
        <v/>
      </c>
      <c r="Q2492">
        <f>IF($A2492="","",$D2492&amp;"("&amp;SUBSTITUTE($E2492," ","")&amp;")")</f>
        <v/>
      </c>
      <c r="R2492">
        <f>IF($A2492="","",$B2492&amp;" - "&amp;$C2492)</f>
        <v/>
      </c>
      <c r="S2492">
        <f>IF($A2492="","",$R2492&amp;"|"&amp;$Q2492)</f>
        <v/>
      </c>
      <c r="T2492">
        <f>IF($A2492="","",$S2492&amp;"|"&amp;$F2492)</f>
        <v/>
      </c>
      <c r="U2492">
        <f>IF($A2492="","",$R2492&amp;"("&amp;$E2492&amp;")")</f>
        <v/>
      </c>
      <c r="V2492">
        <f>IF($A2492="","",$F2492&amp;"|"&amp;$U2492&amp;"|"&amp;$D2492)</f>
        <v/>
      </c>
      <c r="W2492">
        <f>IF($T2492="","",IF($X2492&gt;N($X2491),$X2492,""))</f>
        <v/>
      </c>
      <c r="X2492">
        <f>IF($T2492="",N($X2491),IF(MATCH($T2492,$T$6:$T$6005,0)=ROW()-5,N($X2491)+1,N($X2491)))</f>
        <v/>
      </c>
      <c r="Z2492">
        <f>IF($V2492="","",IF($AA2492&gt;N($AA2491),$AA2492,""))</f>
        <v/>
      </c>
      <c r="AA2492">
        <f>IF($V2492="",N($AA2491),IF(MATCH($V2492,$V$6:$V$6005,0)=ROW()-5,N($AA2491)+1,N($AA2491)))</f>
        <v/>
      </c>
    </row>
    <row r="2493" ht="21" customHeight="1" s="66">
      <c r="A2493" s="56" t="n"/>
      <c r="B2493" s="57" t="n"/>
      <c r="C2493" s="57" t="n"/>
      <c r="D2493" s="57" t="n"/>
      <c r="E2493" s="56" t="n"/>
      <c r="F2493" s="57" t="n"/>
      <c r="G2493" s="57" t="n"/>
      <c r="H2493" s="56" t="n"/>
      <c r="I2493" s="56" t="n"/>
      <c r="J2493" s="58" t="n"/>
      <c r="K2493" s="58" t="n"/>
      <c r="L2493" s="13">
        <f>IF(OR($A2493="",AND($J2493="",$K2493="")),"",ROUND(N($J2493)-N($K2493),2))</f>
        <v/>
      </c>
      <c r="M2493" s="13">
        <f>IF(OR($A2493="",AND($J2493="",$K2493="")),"",MIN($J2493,$K2493))</f>
        <v/>
      </c>
      <c r="Q2493">
        <f>IF($A2493="","",$D2493&amp;"("&amp;SUBSTITUTE($E2493," ","")&amp;")")</f>
        <v/>
      </c>
      <c r="R2493">
        <f>IF($A2493="","",$B2493&amp;" - "&amp;$C2493)</f>
        <v/>
      </c>
      <c r="S2493">
        <f>IF($A2493="","",$R2493&amp;"|"&amp;$Q2493)</f>
        <v/>
      </c>
      <c r="T2493">
        <f>IF($A2493="","",$S2493&amp;"|"&amp;$F2493)</f>
        <v/>
      </c>
      <c r="U2493">
        <f>IF($A2493="","",$R2493&amp;"("&amp;$E2493&amp;")")</f>
        <v/>
      </c>
      <c r="V2493">
        <f>IF($A2493="","",$F2493&amp;"|"&amp;$U2493&amp;"|"&amp;$D2493)</f>
        <v/>
      </c>
      <c r="W2493">
        <f>IF($T2493="","",IF($X2493&gt;N($X2492),$X2493,""))</f>
        <v/>
      </c>
      <c r="X2493">
        <f>IF($T2493="",N($X2492),IF(MATCH($T2493,$T$6:$T$6005,0)=ROW()-5,N($X2492)+1,N($X2492)))</f>
        <v/>
      </c>
      <c r="Z2493">
        <f>IF($V2493="","",IF($AA2493&gt;N($AA2492),$AA2493,""))</f>
        <v/>
      </c>
      <c r="AA2493">
        <f>IF($V2493="",N($AA2492),IF(MATCH($V2493,$V$6:$V$6005,0)=ROW()-5,N($AA2492)+1,N($AA2492)))</f>
        <v/>
      </c>
    </row>
    <row r="2494" ht="21" customHeight="1" s="66">
      <c r="A2494" s="56" t="n"/>
      <c r="B2494" s="57" t="n"/>
      <c r="C2494" s="57" t="n"/>
      <c r="D2494" s="57" t="n"/>
      <c r="E2494" s="56" t="n"/>
      <c r="F2494" s="57" t="n"/>
      <c r="G2494" s="57" t="n"/>
      <c r="H2494" s="56" t="n"/>
      <c r="I2494" s="56" t="n"/>
      <c r="J2494" s="58" t="n"/>
      <c r="K2494" s="58" t="n"/>
      <c r="L2494" s="13">
        <f>IF(OR($A2494="",AND($J2494="",$K2494="")),"",ROUND(N($J2494)-N($K2494),2))</f>
        <v/>
      </c>
      <c r="M2494" s="13">
        <f>IF(OR($A2494="",AND($J2494="",$K2494="")),"",MIN($J2494,$K2494))</f>
        <v/>
      </c>
      <c r="Q2494">
        <f>IF($A2494="","",$D2494&amp;"("&amp;SUBSTITUTE($E2494," ","")&amp;")")</f>
        <v/>
      </c>
      <c r="R2494">
        <f>IF($A2494="","",$B2494&amp;" - "&amp;$C2494)</f>
        <v/>
      </c>
      <c r="S2494">
        <f>IF($A2494="","",$R2494&amp;"|"&amp;$Q2494)</f>
        <v/>
      </c>
      <c r="T2494">
        <f>IF($A2494="","",$S2494&amp;"|"&amp;$F2494)</f>
        <v/>
      </c>
      <c r="U2494">
        <f>IF($A2494="","",$R2494&amp;"("&amp;$E2494&amp;")")</f>
        <v/>
      </c>
      <c r="V2494">
        <f>IF($A2494="","",$F2494&amp;"|"&amp;$U2494&amp;"|"&amp;$D2494)</f>
        <v/>
      </c>
      <c r="W2494">
        <f>IF($T2494="","",IF($X2494&gt;N($X2493),$X2494,""))</f>
        <v/>
      </c>
      <c r="X2494">
        <f>IF($T2494="",N($X2493),IF(MATCH($T2494,$T$6:$T$6005,0)=ROW()-5,N($X2493)+1,N($X2493)))</f>
        <v/>
      </c>
      <c r="Z2494">
        <f>IF($V2494="","",IF($AA2494&gt;N($AA2493),$AA2494,""))</f>
        <v/>
      </c>
      <c r="AA2494">
        <f>IF($V2494="",N($AA2493),IF(MATCH($V2494,$V$6:$V$6005,0)=ROW()-5,N($AA2493)+1,N($AA2493)))</f>
        <v/>
      </c>
    </row>
    <row r="2495" ht="21" customHeight="1" s="66">
      <c r="A2495" s="56" t="n"/>
      <c r="B2495" s="57" t="n"/>
      <c r="C2495" s="57" t="n"/>
      <c r="D2495" s="57" t="n"/>
      <c r="E2495" s="56" t="n"/>
      <c r="F2495" s="57" t="n"/>
      <c r="G2495" s="57" t="n"/>
      <c r="H2495" s="56" t="n"/>
      <c r="I2495" s="56" t="n"/>
      <c r="J2495" s="58" t="n"/>
      <c r="K2495" s="58" t="n"/>
      <c r="L2495" s="13">
        <f>IF(OR($A2495="",AND($J2495="",$K2495="")),"",ROUND(N($J2495)-N($K2495),2))</f>
        <v/>
      </c>
      <c r="M2495" s="13">
        <f>IF(OR($A2495="",AND($J2495="",$K2495="")),"",MIN($J2495,$K2495))</f>
        <v/>
      </c>
      <c r="Q2495">
        <f>IF($A2495="","",$D2495&amp;"("&amp;SUBSTITUTE($E2495," ","")&amp;")")</f>
        <v/>
      </c>
      <c r="R2495">
        <f>IF($A2495="","",$B2495&amp;" - "&amp;$C2495)</f>
        <v/>
      </c>
      <c r="S2495">
        <f>IF($A2495="","",$R2495&amp;"|"&amp;$Q2495)</f>
        <v/>
      </c>
      <c r="T2495">
        <f>IF($A2495="","",$S2495&amp;"|"&amp;$F2495)</f>
        <v/>
      </c>
      <c r="U2495">
        <f>IF($A2495="","",$R2495&amp;"("&amp;$E2495&amp;")")</f>
        <v/>
      </c>
      <c r="V2495">
        <f>IF($A2495="","",$F2495&amp;"|"&amp;$U2495&amp;"|"&amp;$D2495)</f>
        <v/>
      </c>
      <c r="W2495">
        <f>IF($T2495="","",IF($X2495&gt;N($X2494),$X2495,""))</f>
        <v/>
      </c>
      <c r="X2495">
        <f>IF($T2495="",N($X2494),IF(MATCH($T2495,$T$6:$T$6005,0)=ROW()-5,N($X2494)+1,N($X2494)))</f>
        <v/>
      </c>
      <c r="Z2495">
        <f>IF($V2495="","",IF($AA2495&gt;N($AA2494),$AA2495,""))</f>
        <v/>
      </c>
      <c r="AA2495">
        <f>IF($V2495="",N($AA2494),IF(MATCH($V2495,$V$6:$V$6005,0)=ROW()-5,N($AA2494)+1,N($AA2494)))</f>
        <v/>
      </c>
    </row>
    <row r="2496" ht="21" customHeight="1" s="66">
      <c r="A2496" s="56" t="n"/>
      <c r="B2496" s="57" t="n"/>
      <c r="C2496" s="57" t="n"/>
      <c r="D2496" s="57" t="n"/>
      <c r="E2496" s="56" t="n"/>
      <c r="F2496" s="57" t="n"/>
      <c r="G2496" s="57" t="n"/>
      <c r="H2496" s="56" t="n"/>
      <c r="I2496" s="56" t="n"/>
      <c r="J2496" s="58" t="n"/>
      <c r="K2496" s="58" t="n"/>
      <c r="L2496" s="13">
        <f>IF(OR($A2496="",AND($J2496="",$K2496="")),"",ROUND(N($J2496)-N($K2496),2))</f>
        <v/>
      </c>
      <c r="M2496" s="13">
        <f>IF(OR($A2496="",AND($J2496="",$K2496="")),"",MIN($J2496,$K2496))</f>
        <v/>
      </c>
      <c r="Q2496">
        <f>IF($A2496="","",$D2496&amp;"("&amp;SUBSTITUTE($E2496," ","")&amp;")")</f>
        <v/>
      </c>
      <c r="R2496">
        <f>IF($A2496="","",$B2496&amp;" - "&amp;$C2496)</f>
        <v/>
      </c>
      <c r="S2496">
        <f>IF($A2496="","",$R2496&amp;"|"&amp;$Q2496)</f>
        <v/>
      </c>
      <c r="T2496">
        <f>IF($A2496="","",$S2496&amp;"|"&amp;$F2496)</f>
        <v/>
      </c>
      <c r="U2496">
        <f>IF($A2496="","",$R2496&amp;"("&amp;$E2496&amp;")")</f>
        <v/>
      </c>
      <c r="V2496">
        <f>IF($A2496="","",$F2496&amp;"|"&amp;$U2496&amp;"|"&amp;$D2496)</f>
        <v/>
      </c>
      <c r="W2496">
        <f>IF($T2496="","",IF($X2496&gt;N($X2495),$X2496,""))</f>
        <v/>
      </c>
      <c r="X2496">
        <f>IF($T2496="",N($X2495),IF(MATCH($T2496,$T$6:$T$6005,0)=ROW()-5,N($X2495)+1,N($X2495)))</f>
        <v/>
      </c>
      <c r="Z2496">
        <f>IF($V2496="","",IF($AA2496&gt;N($AA2495),$AA2496,""))</f>
        <v/>
      </c>
      <c r="AA2496">
        <f>IF($V2496="",N($AA2495),IF(MATCH($V2496,$V$6:$V$6005,0)=ROW()-5,N($AA2495)+1,N($AA2495)))</f>
        <v/>
      </c>
    </row>
    <row r="2497" ht="21" customHeight="1" s="66">
      <c r="A2497" s="56" t="n"/>
      <c r="B2497" s="57" t="n"/>
      <c r="C2497" s="57" t="n"/>
      <c r="D2497" s="57" t="n"/>
      <c r="E2497" s="56" t="n"/>
      <c r="F2497" s="57" t="n"/>
      <c r="G2497" s="57" t="n"/>
      <c r="H2497" s="56" t="n"/>
      <c r="I2497" s="56" t="n"/>
      <c r="J2497" s="58" t="n"/>
      <c r="K2497" s="58" t="n"/>
      <c r="L2497" s="13">
        <f>IF(OR($A2497="",AND($J2497="",$K2497="")),"",ROUND(N($J2497)-N($K2497),2))</f>
        <v/>
      </c>
      <c r="M2497" s="13">
        <f>IF(OR($A2497="",AND($J2497="",$K2497="")),"",MIN($J2497,$K2497))</f>
        <v/>
      </c>
      <c r="Q2497">
        <f>IF($A2497="","",$D2497&amp;"("&amp;SUBSTITUTE($E2497," ","")&amp;")")</f>
        <v/>
      </c>
      <c r="R2497">
        <f>IF($A2497="","",$B2497&amp;" - "&amp;$C2497)</f>
        <v/>
      </c>
      <c r="S2497">
        <f>IF($A2497="","",$R2497&amp;"|"&amp;$Q2497)</f>
        <v/>
      </c>
      <c r="T2497">
        <f>IF($A2497="","",$S2497&amp;"|"&amp;$F2497)</f>
        <v/>
      </c>
      <c r="U2497">
        <f>IF($A2497="","",$R2497&amp;"("&amp;$E2497&amp;")")</f>
        <v/>
      </c>
      <c r="V2497">
        <f>IF($A2497="","",$F2497&amp;"|"&amp;$U2497&amp;"|"&amp;$D2497)</f>
        <v/>
      </c>
      <c r="W2497">
        <f>IF($T2497="","",IF($X2497&gt;N($X2496),$X2497,""))</f>
        <v/>
      </c>
      <c r="X2497">
        <f>IF($T2497="",N($X2496),IF(MATCH($T2497,$T$6:$T$6005,0)=ROW()-5,N($X2496)+1,N($X2496)))</f>
        <v/>
      </c>
      <c r="Z2497">
        <f>IF($V2497="","",IF($AA2497&gt;N($AA2496),$AA2497,""))</f>
        <v/>
      </c>
      <c r="AA2497">
        <f>IF($V2497="",N($AA2496),IF(MATCH($V2497,$V$6:$V$6005,0)=ROW()-5,N($AA2496)+1,N($AA2496)))</f>
        <v/>
      </c>
    </row>
    <row r="2498" ht="21" customHeight="1" s="66">
      <c r="A2498" s="56" t="n"/>
      <c r="B2498" s="57" t="n"/>
      <c r="C2498" s="57" t="n"/>
      <c r="D2498" s="57" t="n"/>
      <c r="E2498" s="56" t="n"/>
      <c r="F2498" s="57" t="n"/>
      <c r="G2498" s="57" t="n"/>
      <c r="H2498" s="56" t="n"/>
      <c r="I2498" s="56" t="n"/>
      <c r="J2498" s="58" t="n"/>
      <c r="K2498" s="58" t="n"/>
      <c r="L2498" s="13">
        <f>IF(OR($A2498="",AND($J2498="",$K2498="")),"",ROUND(N($J2498)-N($K2498),2))</f>
        <v/>
      </c>
      <c r="M2498" s="13">
        <f>IF(OR($A2498="",AND($J2498="",$K2498="")),"",MIN($J2498,$K2498))</f>
        <v/>
      </c>
      <c r="Q2498">
        <f>IF($A2498="","",$D2498&amp;"("&amp;SUBSTITUTE($E2498," ","")&amp;")")</f>
        <v/>
      </c>
      <c r="R2498">
        <f>IF($A2498="","",$B2498&amp;" - "&amp;$C2498)</f>
        <v/>
      </c>
      <c r="S2498">
        <f>IF($A2498="","",$R2498&amp;"|"&amp;$Q2498)</f>
        <v/>
      </c>
      <c r="T2498">
        <f>IF($A2498="","",$S2498&amp;"|"&amp;$F2498)</f>
        <v/>
      </c>
      <c r="U2498">
        <f>IF($A2498="","",$R2498&amp;"("&amp;$E2498&amp;")")</f>
        <v/>
      </c>
      <c r="V2498">
        <f>IF($A2498="","",$F2498&amp;"|"&amp;$U2498&amp;"|"&amp;$D2498)</f>
        <v/>
      </c>
      <c r="W2498">
        <f>IF($T2498="","",IF($X2498&gt;N($X2497),$X2498,""))</f>
        <v/>
      </c>
      <c r="X2498">
        <f>IF($T2498="",N($X2497),IF(MATCH($T2498,$T$6:$T$6005,0)=ROW()-5,N($X2497)+1,N($X2497)))</f>
        <v/>
      </c>
      <c r="Z2498">
        <f>IF($V2498="","",IF($AA2498&gt;N($AA2497),$AA2498,""))</f>
        <v/>
      </c>
      <c r="AA2498">
        <f>IF($V2498="",N($AA2497),IF(MATCH($V2498,$V$6:$V$6005,0)=ROW()-5,N($AA2497)+1,N($AA2497)))</f>
        <v/>
      </c>
    </row>
    <row r="2499" ht="21" customHeight="1" s="66">
      <c r="A2499" s="56" t="n"/>
      <c r="B2499" s="57" t="n"/>
      <c r="C2499" s="57" t="n"/>
      <c r="D2499" s="57" t="n"/>
      <c r="E2499" s="56" t="n"/>
      <c r="F2499" s="57" t="n"/>
      <c r="G2499" s="57" t="n"/>
      <c r="H2499" s="56" t="n"/>
      <c r="I2499" s="56" t="n"/>
      <c r="J2499" s="58" t="n"/>
      <c r="K2499" s="58" t="n"/>
      <c r="L2499" s="13">
        <f>IF(OR($A2499="",AND($J2499="",$K2499="")),"",ROUND(N($J2499)-N($K2499),2))</f>
        <v/>
      </c>
      <c r="M2499" s="13">
        <f>IF(OR($A2499="",AND($J2499="",$K2499="")),"",MIN($J2499,$K2499))</f>
        <v/>
      </c>
      <c r="Q2499">
        <f>IF($A2499="","",$D2499&amp;"("&amp;SUBSTITUTE($E2499," ","")&amp;")")</f>
        <v/>
      </c>
      <c r="R2499">
        <f>IF($A2499="","",$B2499&amp;" - "&amp;$C2499)</f>
        <v/>
      </c>
      <c r="S2499">
        <f>IF($A2499="","",$R2499&amp;"|"&amp;$Q2499)</f>
        <v/>
      </c>
      <c r="T2499">
        <f>IF($A2499="","",$S2499&amp;"|"&amp;$F2499)</f>
        <v/>
      </c>
      <c r="U2499">
        <f>IF($A2499="","",$R2499&amp;"("&amp;$E2499&amp;")")</f>
        <v/>
      </c>
      <c r="V2499">
        <f>IF($A2499="","",$F2499&amp;"|"&amp;$U2499&amp;"|"&amp;$D2499)</f>
        <v/>
      </c>
      <c r="W2499">
        <f>IF($T2499="","",IF($X2499&gt;N($X2498),$X2499,""))</f>
        <v/>
      </c>
      <c r="X2499">
        <f>IF($T2499="",N($X2498),IF(MATCH($T2499,$T$6:$T$6005,0)=ROW()-5,N($X2498)+1,N($X2498)))</f>
        <v/>
      </c>
      <c r="Z2499">
        <f>IF($V2499="","",IF($AA2499&gt;N($AA2498),$AA2499,""))</f>
        <v/>
      </c>
      <c r="AA2499">
        <f>IF($V2499="",N($AA2498),IF(MATCH($V2499,$V$6:$V$6005,0)=ROW()-5,N($AA2498)+1,N($AA2498)))</f>
        <v/>
      </c>
    </row>
    <row r="2500" ht="21" customHeight="1" s="66">
      <c r="A2500" s="56" t="n"/>
      <c r="B2500" s="57" t="n"/>
      <c r="C2500" s="57" t="n"/>
      <c r="D2500" s="57" t="n"/>
      <c r="E2500" s="56" t="n"/>
      <c r="F2500" s="57" t="n"/>
      <c r="G2500" s="57" t="n"/>
      <c r="H2500" s="56" t="n"/>
      <c r="I2500" s="56" t="n"/>
      <c r="J2500" s="58" t="n"/>
      <c r="K2500" s="58" t="n"/>
      <c r="L2500" s="13">
        <f>IF(OR($A2500="",AND($J2500="",$K2500="")),"",ROUND(N($J2500)-N($K2500),2))</f>
        <v/>
      </c>
      <c r="M2500" s="13">
        <f>IF(OR($A2500="",AND($J2500="",$K2500="")),"",MIN($J2500,$K2500))</f>
        <v/>
      </c>
      <c r="Q2500">
        <f>IF($A2500="","",$D2500&amp;"("&amp;SUBSTITUTE($E2500," ","")&amp;")")</f>
        <v/>
      </c>
      <c r="R2500">
        <f>IF($A2500="","",$B2500&amp;" - "&amp;$C2500)</f>
        <v/>
      </c>
      <c r="S2500">
        <f>IF($A2500="","",$R2500&amp;"|"&amp;$Q2500)</f>
        <v/>
      </c>
      <c r="T2500">
        <f>IF($A2500="","",$S2500&amp;"|"&amp;$F2500)</f>
        <v/>
      </c>
      <c r="U2500">
        <f>IF($A2500="","",$R2500&amp;"("&amp;$E2500&amp;")")</f>
        <v/>
      </c>
      <c r="V2500">
        <f>IF($A2500="","",$F2500&amp;"|"&amp;$U2500&amp;"|"&amp;$D2500)</f>
        <v/>
      </c>
      <c r="W2500">
        <f>IF($T2500="","",IF($X2500&gt;N($X2499),$X2500,""))</f>
        <v/>
      </c>
      <c r="X2500">
        <f>IF($T2500="",N($X2499),IF(MATCH($T2500,$T$6:$T$6005,0)=ROW()-5,N($X2499)+1,N($X2499)))</f>
        <v/>
      </c>
      <c r="Z2500">
        <f>IF($V2500="","",IF($AA2500&gt;N($AA2499),$AA2500,""))</f>
        <v/>
      </c>
      <c r="AA2500">
        <f>IF($V2500="",N($AA2499),IF(MATCH($V2500,$V$6:$V$6005,0)=ROW()-5,N($AA2499)+1,N($AA2499)))</f>
        <v/>
      </c>
    </row>
    <row r="2501" ht="21" customHeight="1" s="66">
      <c r="A2501" s="56" t="n"/>
      <c r="B2501" s="57" t="n"/>
      <c r="C2501" s="57" t="n"/>
      <c r="D2501" s="57" t="n"/>
      <c r="E2501" s="56" t="n"/>
      <c r="F2501" s="57" t="n"/>
      <c r="G2501" s="57" t="n"/>
      <c r="H2501" s="56" t="n"/>
      <c r="I2501" s="56" t="n"/>
      <c r="J2501" s="58" t="n"/>
      <c r="K2501" s="58" t="n"/>
      <c r="L2501" s="13">
        <f>IF(OR($A2501="",AND($J2501="",$K2501="")),"",ROUND(N($J2501)-N($K2501),2))</f>
        <v/>
      </c>
      <c r="M2501" s="13">
        <f>IF(OR($A2501="",AND($J2501="",$K2501="")),"",MIN($J2501,$K2501))</f>
        <v/>
      </c>
      <c r="Q2501">
        <f>IF($A2501="","",$D2501&amp;"("&amp;SUBSTITUTE($E2501," ","")&amp;")")</f>
        <v/>
      </c>
      <c r="R2501">
        <f>IF($A2501="","",$B2501&amp;" - "&amp;$C2501)</f>
        <v/>
      </c>
      <c r="S2501">
        <f>IF($A2501="","",$R2501&amp;"|"&amp;$Q2501)</f>
        <v/>
      </c>
      <c r="T2501">
        <f>IF($A2501="","",$S2501&amp;"|"&amp;$F2501)</f>
        <v/>
      </c>
      <c r="U2501">
        <f>IF($A2501="","",$R2501&amp;"("&amp;$E2501&amp;")")</f>
        <v/>
      </c>
      <c r="V2501">
        <f>IF($A2501="","",$F2501&amp;"|"&amp;$U2501&amp;"|"&amp;$D2501)</f>
        <v/>
      </c>
      <c r="W2501">
        <f>IF($T2501="","",IF($X2501&gt;N($X2500),$X2501,""))</f>
        <v/>
      </c>
      <c r="X2501">
        <f>IF($T2501="",N($X2500),IF(MATCH($T2501,$T$6:$T$6005,0)=ROW()-5,N($X2500)+1,N($X2500)))</f>
        <v/>
      </c>
      <c r="Z2501">
        <f>IF($V2501="","",IF($AA2501&gt;N($AA2500),$AA2501,""))</f>
        <v/>
      </c>
      <c r="AA2501">
        <f>IF($V2501="",N($AA2500),IF(MATCH($V2501,$V$6:$V$6005,0)=ROW()-5,N($AA2500)+1,N($AA2500)))</f>
        <v/>
      </c>
    </row>
    <row r="2502" ht="21" customHeight="1" s="66">
      <c r="A2502" s="56" t="n"/>
      <c r="B2502" s="57" t="n"/>
      <c r="C2502" s="57" t="n"/>
      <c r="D2502" s="57" t="n"/>
      <c r="E2502" s="56" t="n"/>
      <c r="F2502" s="57" t="n"/>
      <c r="G2502" s="57" t="n"/>
      <c r="H2502" s="56" t="n"/>
      <c r="I2502" s="56" t="n"/>
      <c r="J2502" s="58" t="n"/>
      <c r="K2502" s="58" t="n"/>
      <c r="L2502" s="13">
        <f>IF(OR($A2502="",AND($J2502="",$K2502="")),"",ROUND(N($J2502)-N($K2502),2))</f>
        <v/>
      </c>
      <c r="M2502" s="13">
        <f>IF(OR($A2502="",AND($J2502="",$K2502="")),"",MIN($J2502,$K2502))</f>
        <v/>
      </c>
      <c r="Q2502">
        <f>IF($A2502="","",$D2502&amp;"("&amp;SUBSTITUTE($E2502," ","")&amp;")")</f>
        <v/>
      </c>
      <c r="R2502">
        <f>IF($A2502="","",$B2502&amp;" - "&amp;$C2502)</f>
        <v/>
      </c>
      <c r="S2502">
        <f>IF($A2502="","",$R2502&amp;"|"&amp;$Q2502)</f>
        <v/>
      </c>
      <c r="T2502">
        <f>IF($A2502="","",$S2502&amp;"|"&amp;$F2502)</f>
        <v/>
      </c>
      <c r="U2502">
        <f>IF($A2502="","",$R2502&amp;"("&amp;$E2502&amp;")")</f>
        <v/>
      </c>
      <c r="V2502">
        <f>IF($A2502="","",$F2502&amp;"|"&amp;$U2502&amp;"|"&amp;$D2502)</f>
        <v/>
      </c>
      <c r="W2502">
        <f>IF($T2502="","",IF($X2502&gt;N($X2501),$X2502,""))</f>
        <v/>
      </c>
      <c r="X2502">
        <f>IF($T2502="",N($X2501),IF(MATCH($T2502,$T$6:$T$6005,0)=ROW()-5,N($X2501)+1,N($X2501)))</f>
        <v/>
      </c>
      <c r="Z2502">
        <f>IF($V2502="","",IF($AA2502&gt;N($AA2501),$AA2502,""))</f>
        <v/>
      </c>
      <c r="AA2502">
        <f>IF($V2502="",N($AA2501),IF(MATCH($V2502,$V$6:$V$6005,0)=ROW()-5,N($AA2501)+1,N($AA2501)))</f>
        <v/>
      </c>
    </row>
    <row r="2503" ht="21" customHeight="1" s="66">
      <c r="A2503" s="56" t="n"/>
      <c r="B2503" s="57" t="n"/>
      <c r="C2503" s="57" t="n"/>
      <c r="D2503" s="57" t="n"/>
      <c r="E2503" s="56" t="n"/>
      <c r="F2503" s="57" t="n"/>
      <c r="G2503" s="57" t="n"/>
      <c r="H2503" s="56" t="n"/>
      <c r="I2503" s="56" t="n"/>
      <c r="J2503" s="58" t="n"/>
      <c r="K2503" s="58" t="n"/>
      <c r="L2503" s="13">
        <f>IF(OR($A2503="",AND($J2503="",$K2503="")),"",ROUND(N($J2503)-N($K2503),2))</f>
        <v/>
      </c>
      <c r="M2503" s="13">
        <f>IF(OR($A2503="",AND($J2503="",$K2503="")),"",MIN($J2503,$K2503))</f>
        <v/>
      </c>
      <c r="Q2503">
        <f>IF($A2503="","",$D2503&amp;"("&amp;SUBSTITUTE($E2503," ","")&amp;")")</f>
        <v/>
      </c>
      <c r="R2503">
        <f>IF($A2503="","",$B2503&amp;" - "&amp;$C2503)</f>
        <v/>
      </c>
      <c r="S2503">
        <f>IF($A2503="","",$R2503&amp;"|"&amp;$Q2503)</f>
        <v/>
      </c>
      <c r="T2503">
        <f>IF($A2503="","",$S2503&amp;"|"&amp;$F2503)</f>
        <v/>
      </c>
      <c r="U2503">
        <f>IF($A2503="","",$R2503&amp;"("&amp;$E2503&amp;")")</f>
        <v/>
      </c>
      <c r="V2503">
        <f>IF($A2503="","",$F2503&amp;"|"&amp;$U2503&amp;"|"&amp;$D2503)</f>
        <v/>
      </c>
      <c r="W2503">
        <f>IF($T2503="","",IF($X2503&gt;N($X2502),$X2503,""))</f>
        <v/>
      </c>
      <c r="X2503">
        <f>IF($T2503="",N($X2502),IF(MATCH($T2503,$T$6:$T$6005,0)=ROW()-5,N($X2502)+1,N($X2502)))</f>
        <v/>
      </c>
      <c r="Z2503">
        <f>IF($V2503="","",IF($AA2503&gt;N($AA2502),$AA2503,""))</f>
        <v/>
      </c>
      <c r="AA2503">
        <f>IF($V2503="",N($AA2502),IF(MATCH($V2503,$V$6:$V$6005,0)=ROW()-5,N($AA2502)+1,N($AA2502)))</f>
        <v/>
      </c>
    </row>
    <row r="2504" ht="21" customHeight="1" s="66">
      <c r="A2504" s="56" t="n"/>
      <c r="B2504" s="57" t="n"/>
      <c r="C2504" s="57" t="n"/>
      <c r="D2504" s="57" t="n"/>
      <c r="E2504" s="56" t="n"/>
      <c r="F2504" s="57" t="n"/>
      <c r="G2504" s="57" t="n"/>
      <c r="H2504" s="56" t="n"/>
      <c r="I2504" s="56" t="n"/>
      <c r="J2504" s="58" t="n"/>
      <c r="K2504" s="58" t="n"/>
      <c r="L2504" s="13">
        <f>IF(OR($A2504="",AND($J2504="",$K2504="")),"",ROUND(N($J2504)-N($K2504),2))</f>
        <v/>
      </c>
      <c r="M2504" s="13">
        <f>IF(OR($A2504="",AND($J2504="",$K2504="")),"",MIN($J2504,$K2504))</f>
        <v/>
      </c>
      <c r="Q2504">
        <f>IF($A2504="","",$D2504&amp;"("&amp;SUBSTITUTE($E2504," ","")&amp;")")</f>
        <v/>
      </c>
      <c r="R2504">
        <f>IF($A2504="","",$B2504&amp;" - "&amp;$C2504)</f>
        <v/>
      </c>
      <c r="S2504">
        <f>IF($A2504="","",$R2504&amp;"|"&amp;$Q2504)</f>
        <v/>
      </c>
      <c r="T2504">
        <f>IF($A2504="","",$S2504&amp;"|"&amp;$F2504)</f>
        <v/>
      </c>
      <c r="U2504">
        <f>IF($A2504="","",$R2504&amp;"("&amp;$E2504&amp;")")</f>
        <v/>
      </c>
      <c r="V2504">
        <f>IF($A2504="","",$F2504&amp;"|"&amp;$U2504&amp;"|"&amp;$D2504)</f>
        <v/>
      </c>
      <c r="W2504">
        <f>IF($T2504="","",IF($X2504&gt;N($X2503),$X2504,""))</f>
        <v/>
      </c>
      <c r="X2504">
        <f>IF($T2504="",N($X2503),IF(MATCH($T2504,$T$6:$T$6005,0)=ROW()-5,N($X2503)+1,N($X2503)))</f>
        <v/>
      </c>
      <c r="Z2504">
        <f>IF($V2504="","",IF($AA2504&gt;N($AA2503),$AA2504,""))</f>
        <v/>
      </c>
      <c r="AA2504">
        <f>IF($V2504="",N($AA2503),IF(MATCH($V2504,$V$6:$V$6005,0)=ROW()-5,N($AA2503)+1,N($AA2503)))</f>
        <v/>
      </c>
    </row>
    <row r="2505" ht="21" customHeight="1" s="66">
      <c r="A2505" s="56" t="n"/>
      <c r="B2505" s="57" t="n"/>
      <c r="C2505" s="57" t="n"/>
      <c r="D2505" s="57" t="n"/>
      <c r="E2505" s="56" t="n"/>
      <c r="F2505" s="57" t="n"/>
      <c r="G2505" s="57" t="n"/>
      <c r="H2505" s="56" t="n"/>
      <c r="I2505" s="56" t="n"/>
      <c r="J2505" s="58" t="n"/>
      <c r="K2505" s="58" t="n"/>
      <c r="L2505" s="13">
        <f>IF(OR($A2505="",AND($J2505="",$K2505="")),"",ROUND(N($J2505)-N($K2505),2))</f>
        <v/>
      </c>
      <c r="M2505" s="13">
        <f>IF(OR($A2505="",AND($J2505="",$K2505="")),"",MIN($J2505,$K2505))</f>
        <v/>
      </c>
      <c r="Q2505">
        <f>IF($A2505="","",$D2505&amp;"("&amp;SUBSTITUTE($E2505," ","")&amp;")")</f>
        <v/>
      </c>
      <c r="R2505">
        <f>IF($A2505="","",$B2505&amp;" - "&amp;$C2505)</f>
        <v/>
      </c>
      <c r="S2505">
        <f>IF($A2505="","",$R2505&amp;"|"&amp;$Q2505)</f>
        <v/>
      </c>
      <c r="T2505">
        <f>IF($A2505="","",$S2505&amp;"|"&amp;$F2505)</f>
        <v/>
      </c>
      <c r="U2505">
        <f>IF($A2505="","",$R2505&amp;"("&amp;$E2505&amp;")")</f>
        <v/>
      </c>
      <c r="V2505">
        <f>IF($A2505="","",$F2505&amp;"|"&amp;$U2505&amp;"|"&amp;$D2505)</f>
        <v/>
      </c>
      <c r="W2505">
        <f>IF($T2505="","",IF($X2505&gt;N($X2504),$X2505,""))</f>
        <v/>
      </c>
      <c r="X2505">
        <f>IF($T2505="",N($X2504),IF(MATCH($T2505,$T$6:$T$6005,0)=ROW()-5,N($X2504)+1,N($X2504)))</f>
        <v/>
      </c>
      <c r="Z2505">
        <f>IF($V2505="","",IF($AA2505&gt;N($AA2504),$AA2505,""))</f>
        <v/>
      </c>
      <c r="AA2505">
        <f>IF($V2505="",N($AA2504),IF(MATCH($V2505,$V$6:$V$6005,0)=ROW()-5,N($AA2504)+1,N($AA2504)))</f>
        <v/>
      </c>
    </row>
    <row r="2506" ht="21" customHeight="1" s="66">
      <c r="A2506" s="56" t="n"/>
      <c r="B2506" s="57" t="n"/>
      <c r="C2506" s="57" t="n"/>
      <c r="D2506" s="57" t="n"/>
      <c r="E2506" s="56" t="n"/>
      <c r="F2506" s="57" t="n"/>
      <c r="G2506" s="57" t="n"/>
      <c r="H2506" s="56" t="n"/>
      <c r="I2506" s="56" t="n"/>
      <c r="J2506" s="58" t="n"/>
      <c r="K2506" s="58" t="n"/>
      <c r="L2506" s="13">
        <f>IF(OR($A2506="",AND($J2506="",$K2506="")),"",ROUND(N($J2506)-N($K2506),2))</f>
        <v/>
      </c>
      <c r="M2506" s="13">
        <f>IF(OR($A2506="",AND($J2506="",$K2506="")),"",MIN($J2506,$K2506))</f>
        <v/>
      </c>
      <c r="Q2506">
        <f>IF($A2506="","",$D2506&amp;"("&amp;SUBSTITUTE($E2506," ","")&amp;")")</f>
        <v/>
      </c>
      <c r="R2506">
        <f>IF($A2506="","",$B2506&amp;" - "&amp;$C2506)</f>
        <v/>
      </c>
      <c r="S2506">
        <f>IF($A2506="","",$R2506&amp;"|"&amp;$Q2506)</f>
        <v/>
      </c>
      <c r="T2506">
        <f>IF($A2506="","",$S2506&amp;"|"&amp;$F2506)</f>
        <v/>
      </c>
      <c r="U2506">
        <f>IF($A2506="","",$R2506&amp;"("&amp;$E2506&amp;")")</f>
        <v/>
      </c>
      <c r="V2506">
        <f>IF($A2506="","",$F2506&amp;"|"&amp;$U2506&amp;"|"&amp;$D2506)</f>
        <v/>
      </c>
      <c r="W2506">
        <f>IF($T2506="","",IF($X2506&gt;N($X2505),$X2506,""))</f>
        <v/>
      </c>
      <c r="X2506">
        <f>IF($T2506="",N($X2505),IF(MATCH($T2506,$T$6:$T$6005,0)=ROW()-5,N($X2505)+1,N($X2505)))</f>
        <v/>
      </c>
      <c r="Z2506">
        <f>IF($V2506="","",IF($AA2506&gt;N($AA2505),$AA2506,""))</f>
        <v/>
      </c>
      <c r="AA2506">
        <f>IF($V2506="",N($AA2505),IF(MATCH($V2506,$V$6:$V$6005,0)=ROW()-5,N($AA2505)+1,N($AA2505)))</f>
        <v/>
      </c>
    </row>
    <row r="2507" ht="21" customHeight="1" s="66">
      <c r="A2507" s="56" t="n"/>
      <c r="B2507" s="57" t="n"/>
      <c r="C2507" s="57" t="n"/>
      <c r="D2507" s="57" t="n"/>
      <c r="E2507" s="56" t="n"/>
      <c r="F2507" s="57" t="n"/>
      <c r="G2507" s="57" t="n"/>
      <c r="H2507" s="56" t="n"/>
      <c r="I2507" s="56" t="n"/>
      <c r="J2507" s="58" t="n"/>
      <c r="K2507" s="58" t="n"/>
      <c r="L2507" s="13">
        <f>IF(OR($A2507="",AND($J2507="",$K2507="")),"",ROUND(N($J2507)-N($K2507),2))</f>
        <v/>
      </c>
      <c r="M2507" s="13">
        <f>IF(OR($A2507="",AND($J2507="",$K2507="")),"",MIN($J2507,$K2507))</f>
        <v/>
      </c>
      <c r="Q2507">
        <f>IF($A2507="","",$D2507&amp;"("&amp;SUBSTITUTE($E2507," ","")&amp;")")</f>
        <v/>
      </c>
      <c r="R2507">
        <f>IF($A2507="","",$B2507&amp;" - "&amp;$C2507)</f>
        <v/>
      </c>
      <c r="S2507">
        <f>IF($A2507="","",$R2507&amp;"|"&amp;$Q2507)</f>
        <v/>
      </c>
      <c r="T2507">
        <f>IF($A2507="","",$S2507&amp;"|"&amp;$F2507)</f>
        <v/>
      </c>
      <c r="U2507">
        <f>IF($A2507="","",$R2507&amp;"("&amp;$E2507&amp;")")</f>
        <v/>
      </c>
      <c r="V2507">
        <f>IF($A2507="","",$F2507&amp;"|"&amp;$U2507&amp;"|"&amp;$D2507)</f>
        <v/>
      </c>
      <c r="W2507">
        <f>IF($T2507="","",IF($X2507&gt;N($X2506),$X2507,""))</f>
        <v/>
      </c>
      <c r="X2507">
        <f>IF($T2507="",N($X2506),IF(MATCH($T2507,$T$6:$T$6005,0)=ROW()-5,N($X2506)+1,N($X2506)))</f>
        <v/>
      </c>
      <c r="Z2507">
        <f>IF($V2507="","",IF($AA2507&gt;N($AA2506),$AA2507,""))</f>
        <v/>
      </c>
      <c r="AA2507">
        <f>IF($V2507="",N($AA2506),IF(MATCH($V2507,$V$6:$V$6005,0)=ROW()-5,N($AA2506)+1,N($AA2506)))</f>
        <v/>
      </c>
    </row>
    <row r="2508" ht="21" customHeight="1" s="66">
      <c r="A2508" s="56" t="n"/>
      <c r="B2508" s="57" t="n"/>
      <c r="C2508" s="57" t="n"/>
      <c r="D2508" s="57" t="n"/>
      <c r="E2508" s="56" t="n"/>
      <c r="F2508" s="57" t="n"/>
      <c r="G2508" s="57" t="n"/>
      <c r="H2508" s="56" t="n"/>
      <c r="I2508" s="56" t="n"/>
      <c r="J2508" s="58" t="n"/>
      <c r="K2508" s="58" t="n"/>
      <c r="L2508" s="13">
        <f>IF(OR($A2508="",AND($J2508="",$K2508="")),"",ROUND(N($J2508)-N($K2508),2))</f>
        <v/>
      </c>
      <c r="M2508" s="13">
        <f>IF(OR($A2508="",AND($J2508="",$K2508="")),"",MIN($J2508,$K2508))</f>
        <v/>
      </c>
      <c r="Q2508">
        <f>IF($A2508="","",$D2508&amp;"("&amp;SUBSTITUTE($E2508," ","")&amp;")")</f>
        <v/>
      </c>
      <c r="R2508">
        <f>IF($A2508="","",$B2508&amp;" - "&amp;$C2508)</f>
        <v/>
      </c>
      <c r="S2508">
        <f>IF($A2508="","",$R2508&amp;"|"&amp;$Q2508)</f>
        <v/>
      </c>
      <c r="T2508">
        <f>IF($A2508="","",$S2508&amp;"|"&amp;$F2508)</f>
        <v/>
      </c>
      <c r="U2508">
        <f>IF($A2508="","",$R2508&amp;"("&amp;$E2508&amp;")")</f>
        <v/>
      </c>
      <c r="V2508">
        <f>IF($A2508="","",$F2508&amp;"|"&amp;$U2508&amp;"|"&amp;$D2508)</f>
        <v/>
      </c>
      <c r="W2508">
        <f>IF($T2508="","",IF($X2508&gt;N($X2507),$X2508,""))</f>
        <v/>
      </c>
      <c r="X2508">
        <f>IF($T2508="",N($X2507),IF(MATCH($T2508,$T$6:$T$6005,0)=ROW()-5,N($X2507)+1,N($X2507)))</f>
        <v/>
      </c>
      <c r="Z2508">
        <f>IF($V2508="","",IF($AA2508&gt;N($AA2507),$AA2508,""))</f>
        <v/>
      </c>
      <c r="AA2508">
        <f>IF($V2508="",N($AA2507),IF(MATCH($V2508,$V$6:$V$6005,0)=ROW()-5,N($AA2507)+1,N($AA2507)))</f>
        <v/>
      </c>
    </row>
    <row r="2509" ht="21" customHeight="1" s="66">
      <c r="A2509" s="56" t="n"/>
      <c r="B2509" s="57" t="n"/>
      <c r="C2509" s="57" t="n"/>
      <c r="D2509" s="57" t="n"/>
      <c r="E2509" s="56" t="n"/>
      <c r="F2509" s="57" t="n"/>
      <c r="G2509" s="57" t="n"/>
      <c r="H2509" s="56" t="n"/>
      <c r="I2509" s="56" t="n"/>
      <c r="J2509" s="58" t="n"/>
      <c r="K2509" s="58" t="n"/>
      <c r="L2509" s="13">
        <f>IF(OR($A2509="",AND($J2509="",$K2509="")),"",ROUND(N($J2509)-N($K2509),2))</f>
        <v/>
      </c>
      <c r="M2509" s="13">
        <f>IF(OR($A2509="",AND($J2509="",$K2509="")),"",MIN($J2509,$K2509))</f>
        <v/>
      </c>
      <c r="Q2509">
        <f>IF($A2509="","",$D2509&amp;"("&amp;SUBSTITUTE($E2509," ","")&amp;")")</f>
        <v/>
      </c>
      <c r="R2509">
        <f>IF($A2509="","",$B2509&amp;" - "&amp;$C2509)</f>
        <v/>
      </c>
      <c r="S2509">
        <f>IF($A2509="","",$R2509&amp;"|"&amp;$Q2509)</f>
        <v/>
      </c>
      <c r="T2509">
        <f>IF($A2509="","",$S2509&amp;"|"&amp;$F2509)</f>
        <v/>
      </c>
      <c r="U2509">
        <f>IF($A2509="","",$R2509&amp;"("&amp;$E2509&amp;")")</f>
        <v/>
      </c>
      <c r="V2509">
        <f>IF($A2509="","",$F2509&amp;"|"&amp;$U2509&amp;"|"&amp;$D2509)</f>
        <v/>
      </c>
      <c r="W2509">
        <f>IF($T2509="","",IF($X2509&gt;N($X2508),$X2509,""))</f>
        <v/>
      </c>
      <c r="X2509">
        <f>IF($T2509="",N($X2508),IF(MATCH($T2509,$T$6:$T$6005,0)=ROW()-5,N($X2508)+1,N($X2508)))</f>
        <v/>
      </c>
      <c r="Z2509">
        <f>IF($V2509="","",IF($AA2509&gt;N($AA2508),$AA2509,""))</f>
        <v/>
      </c>
      <c r="AA2509">
        <f>IF($V2509="",N($AA2508),IF(MATCH($V2509,$V$6:$V$6005,0)=ROW()-5,N($AA2508)+1,N($AA2508)))</f>
        <v/>
      </c>
    </row>
    <row r="2510" ht="21" customHeight="1" s="66">
      <c r="A2510" s="56" t="n"/>
      <c r="B2510" s="57" t="n"/>
      <c r="C2510" s="57" t="n"/>
      <c r="D2510" s="57" t="n"/>
      <c r="E2510" s="56" t="n"/>
      <c r="F2510" s="57" t="n"/>
      <c r="G2510" s="57" t="n"/>
      <c r="H2510" s="56" t="n"/>
      <c r="I2510" s="56" t="n"/>
      <c r="J2510" s="58" t="n"/>
      <c r="K2510" s="58" t="n"/>
      <c r="L2510" s="13">
        <f>IF(OR($A2510="",AND($J2510="",$K2510="")),"",ROUND(N($J2510)-N($K2510),2))</f>
        <v/>
      </c>
      <c r="M2510" s="13">
        <f>IF(OR($A2510="",AND($J2510="",$K2510="")),"",MIN($J2510,$K2510))</f>
        <v/>
      </c>
      <c r="Q2510">
        <f>IF($A2510="","",$D2510&amp;"("&amp;SUBSTITUTE($E2510," ","")&amp;")")</f>
        <v/>
      </c>
      <c r="R2510">
        <f>IF($A2510="","",$B2510&amp;" - "&amp;$C2510)</f>
        <v/>
      </c>
      <c r="S2510">
        <f>IF($A2510="","",$R2510&amp;"|"&amp;$Q2510)</f>
        <v/>
      </c>
      <c r="T2510">
        <f>IF($A2510="","",$S2510&amp;"|"&amp;$F2510)</f>
        <v/>
      </c>
      <c r="U2510">
        <f>IF($A2510="","",$R2510&amp;"("&amp;$E2510&amp;")")</f>
        <v/>
      </c>
      <c r="V2510">
        <f>IF($A2510="","",$F2510&amp;"|"&amp;$U2510&amp;"|"&amp;$D2510)</f>
        <v/>
      </c>
      <c r="W2510">
        <f>IF($T2510="","",IF($X2510&gt;N($X2509),$X2510,""))</f>
        <v/>
      </c>
      <c r="X2510">
        <f>IF($T2510="",N($X2509),IF(MATCH($T2510,$T$6:$T$6005,0)=ROW()-5,N($X2509)+1,N($X2509)))</f>
        <v/>
      </c>
      <c r="Z2510">
        <f>IF($V2510="","",IF($AA2510&gt;N($AA2509),$AA2510,""))</f>
        <v/>
      </c>
      <c r="AA2510">
        <f>IF($V2510="",N($AA2509),IF(MATCH($V2510,$V$6:$V$6005,0)=ROW()-5,N($AA2509)+1,N($AA2509)))</f>
        <v/>
      </c>
    </row>
    <row r="2511" ht="21" customHeight="1" s="66">
      <c r="A2511" s="56" t="n"/>
      <c r="B2511" s="57" t="n"/>
      <c r="C2511" s="57" t="n"/>
      <c r="D2511" s="57" t="n"/>
      <c r="E2511" s="56" t="n"/>
      <c r="F2511" s="57" t="n"/>
      <c r="G2511" s="57" t="n"/>
      <c r="H2511" s="56" t="n"/>
      <c r="I2511" s="56" t="n"/>
      <c r="J2511" s="58" t="n"/>
      <c r="K2511" s="58" t="n"/>
      <c r="L2511" s="13">
        <f>IF(OR($A2511="",AND($J2511="",$K2511="")),"",ROUND(N($J2511)-N($K2511),2))</f>
        <v/>
      </c>
      <c r="M2511" s="13">
        <f>IF(OR($A2511="",AND($J2511="",$K2511="")),"",MIN($J2511,$K2511))</f>
        <v/>
      </c>
      <c r="Q2511">
        <f>IF($A2511="","",$D2511&amp;"("&amp;SUBSTITUTE($E2511," ","")&amp;")")</f>
        <v/>
      </c>
      <c r="R2511">
        <f>IF($A2511="","",$B2511&amp;" - "&amp;$C2511)</f>
        <v/>
      </c>
      <c r="S2511">
        <f>IF($A2511="","",$R2511&amp;"|"&amp;$Q2511)</f>
        <v/>
      </c>
      <c r="T2511">
        <f>IF($A2511="","",$S2511&amp;"|"&amp;$F2511)</f>
        <v/>
      </c>
      <c r="U2511">
        <f>IF($A2511="","",$R2511&amp;"("&amp;$E2511&amp;")")</f>
        <v/>
      </c>
      <c r="V2511">
        <f>IF($A2511="","",$F2511&amp;"|"&amp;$U2511&amp;"|"&amp;$D2511)</f>
        <v/>
      </c>
      <c r="W2511">
        <f>IF($T2511="","",IF($X2511&gt;N($X2510),$X2511,""))</f>
        <v/>
      </c>
      <c r="X2511">
        <f>IF($T2511="",N($X2510),IF(MATCH($T2511,$T$6:$T$6005,0)=ROW()-5,N($X2510)+1,N($X2510)))</f>
        <v/>
      </c>
      <c r="Z2511">
        <f>IF($V2511="","",IF($AA2511&gt;N($AA2510),$AA2511,""))</f>
        <v/>
      </c>
      <c r="AA2511">
        <f>IF($V2511="",N($AA2510),IF(MATCH($V2511,$V$6:$V$6005,0)=ROW()-5,N($AA2510)+1,N($AA2510)))</f>
        <v/>
      </c>
    </row>
    <row r="2512" ht="21" customHeight="1" s="66">
      <c r="A2512" s="56" t="n"/>
      <c r="B2512" s="57" t="n"/>
      <c r="C2512" s="57" t="n"/>
      <c r="D2512" s="57" t="n"/>
      <c r="E2512" s="56" t="n"/>
      <c r="F2512" s="57" t="n"/>
      <c r="G2512" s="57" t="n"/>
      <c r="H2512" s="56" t="n"/>
      <c r="I2512" s="56" t="n"/>
      <c r="J2512" s="58" t="n"/>
      <c r="K2512" s="58" t="n"/>
      <c r="L2512" s="13">
        <f>IF(OR($A2512="",AND($J2512="",$K2512="")),"",ROUND(N($J2512)-N($K2512),2))</f>
        <v/>
      </c>
      <c r="M2512" s="13">
        <f>IF(OR($A2512="",AND($J2512="",$K2512="")),"",MIN($J2512,$K2512))</f>
        <v/>
      </c>
      <c r="Q2512">
        <f>IF($A2512="","",$D2512&amp;"("&amp;SUBSTITUTE($E2512," ","")&amp;")")</f>
        <v/>
      </c>
      <c r="R2512">
        <f>IF($A2512="","",$B2512&amp;" - "&amp;$C2512)</f>
        <v/>
      </c>
      <c r="S2512">
        <f>IF($A2512="","",$R2512&amp;"|"&amp;$Q2512)</f>
        <v/>
      </c>
      <c r="T2512">
        <f>IF($A2512="","",$S2512&amp;"|"&amp;$F2512)</f>
        <v/>
      </c>
      <c r="U2512">
        <f>IF($A2512="","",$R2512&amp;"("&amp;$E2512&amp;")")</f>
        <v/>
      </c>
      <c r="V2512">
        <f>IF($A2512="","",$F2512&amp;"|"&amp;$U2512&amp;"|"&amp;$D2512)</f>
        <v/>
      </c>
      <c r="W2512">
        <f>IF($T2512="","",IF($X2512&gt;N($X2511),$X2512,""))</f>
        <v/>
      </c>
      <c r="X2512">
        <f>IF($T2512="",N($X2511),IF(MATCH($T2512,$T$6:$T$6005,0)=ROW()-5,N($X2511)+1,N($X2511)))</f>
        <v/>
      </c>
      <c r="Z2512">
        <f>IF($V2512="","",IF($AA2512&gt;N($AA2511),$AA2512,""))</f>
        <v/>
      </c>
      <c r="AA2512">
        <f>IF($V2512="",N($AA2511),IF(MATCH($V2512,$V$6:$V$6005,0)=ROW()-5,N($AA2511)+1,N($AA2511)))</f>
        <v/>
      </c>
    </row>
    <row r="2513" ht="21" customHeight="1" s="66">
      <c r="A2513" s="56" t="n"/>
      <c r="B2513" s="57" t="n"/>
      <c r="C2513" s="57" t="n"/>
      <c r="D2513" s="57" t="n"/>
      <c r="E2513" s="56" t="n"/>
      <c r="F2513" s="57" t="n"/>
      <c r="G2513" s="57" t="n"/>
      <c r="H2513" s="56" t="n"/>
      <c r="I2513" s="56" t="n"/>
      <c r="J2513" s="58" t="n"/>
      <c r="K2513" s="58" t="n"/>
      <c r="L2513" s="13">
        <f>IF(OR($A2513="",AND($J2513="",$K2513="")),"",ROUND(N($J2513)-N($K2513),2))</f>
        <v/>
      </c>
      <c r="M2513" s="13">
        <f>IF(OR($A2513="",AND($J2513="",$K2513="")),"",MIN($J2513,$K2513))</f>
        <v/>
      </c>
      <c r="Q2513">
        <f>IF($A2513="","",$D2513&amp;"("&amp;SUBSTITUTE($E2513," ","")&amp;")")</f>
        <v/>
      </c>
      <c r="R2513">
        <f>IF($A2513="","",$B2513&amp;" - "&amp;$C2513)</f>
        <v/>
      </c>
      <c r="S2513">
        <f>IF($A2513="","",$R2513&amp;"|"&amp;$Q2513)</f>
        <v/>
      </c>
      <c r="T2513">
        <f>IF($A2513="","",$S2513&amp;"|"&amp;$F2513)</f>
        <v/>
      </c>
      <c r="U2513">
        <f>IF($A2513="","",$R2513&amp;"("&amp;$E2513&amp;")")</f>
        <v/>
      </c>
      <c r="V2513">
        <f>IF($A2513="","",$F2513&amp;"|"&amp;$U2513&amp;"|"&amp;$D2513)</f>
        <v/>
      </c>
      <c r="W2513">
        <f>IF($T2513="","",IF($X2513&gt;N($X2512),$X2513,""))</f>
        <v/>
      </c>
      <c r="X2513">
        <f>IF($T2513="",N($X2512),IF(MATCH($T2513,$T$6:$T$6005,0)=ROW()-5,N($X2512)+1,N($X2512)))</f>
        <v/>
      </c>
      <c r="Z2513">
        <f>IF($V2513="","",IF($AA2513&gt;N($AA2512),$AA2513,""))</f>
        <v/>
      </c>
      <c r="AA2513">
        <f>IF($V2513="",N($AA2512),IF(MATCH($V2513,$V$6:$V$6005,0)=ROW()-5,N($AA2512)+1,N($AA2512)))</f>
        <v/>
      </c>
    </row>
    <row r="2514" ht="21" customHeight="1" s="66">
      <c r="A2514" s="56" t="n"/>
      <c r="B2514" s="57" t="n"/>
      <c r="C2514" s="57" t="n"/>
      <c r="D2514" s="57" t="n"/>
      <c r="E2514" s="56" t="n"/>
      <c r="F2514" s="57" t="n"/>
      <c r="G2514" s="57" t="n"/>
      <c r="H2514" s="56" t="n"/>
      <c r="I2514" s="56" t="n"/>
      <c r="J2514" s="58" t="n"/>
      <c r="K2514" s="58" t="n"/>
      <c r="L2514" s="13">
        <f>IF(OR($A2514="",AND($J2514="",$K2514="")),"",ROUND(N($J2514)-N($K2514),2))</f>
        <v/>
      </c>
      <c r="M2514" s="13">
        <f>IF(OR($A2514="",AND($J2514="",$K2514="")),"",MIN($J2514,$K2514))</f>
        <v/>
      </c>
      <c r="Q2514">
        <f>IF($A2514="","",$D2514&amp;"("&amp;SUBSTITUTE($E2514," ","")&amp;")")</f>
        <v/>
      </c>
      <c r="R2514">
        <f>IF($A2514="","",$B2514&amp;" - "&amp;$C2514)</f>
        <v/>
      </c>
      <c r="S2514">
        <f>IF($A2514="","",$R2514&amp;"|"&amp;$Q2514)</f>
        <v/>
      </c>
      <c r="T2514">
        <f>IF($A2514="","",$S2514&amp;"|"&amp;$F2514)</f>
        <v/>
      </c>
      <c r="U2514">
        <f>IF($A2514="","",$R2514&amp;"("&amp;$E2514&amp;")")</f>
        <v/>
      </c>
      <c r="V2514">
        <f>IF($A2514="","",$F2514&amp;"|"&amp;$U2514&amp;"|"&amp;$D2514)</f>
        <v/>
      </c>
      <c r="W2514">
        <f>IF($T2514="","",IF($X2514&gt;N($X2513),$X2514,""))</f>
        <v/>
      </c>
      <c r="X2514">
        <f>IF($T2514="",N($X2513),IF(MATCH($T2514,$T$6:$T$6005,0)=ROW()-5,N($X2513)+1,N($X2513)))</f>
        <v/>
      </c>
      <c r="Z2514">
        <f>IF($V2514="","",IF($AA2514&gt;N($AA2513),$AA2514,""))</f>
        <v/>
      </c>
      <c r="AA2514">
        <f>IF($V2514="",N($AA2513),IF(MATCH($V2514,$V$6:$V$6005,0)=ROW()-5,N($AA2513)+1,N($AA2513)))</f>
        <v/>
      </c>
    </row>
    <row r="2515" ht="21" customHeight="1" s="66">
      <c r="A2515" s="56" t="n"/>
      <c r="B2515" s="57" t="n"/>
      <c r="C2515" s="57" t="n"/>
      <c r="D2515" s="57" t="n"/>
      <c r="E2515" s="56" t="n"/>
      <c r="F2515" s="57" t="n"/>
      <c r="G2515" s="57" t="n"/>
      <c r="H2515" s="56" t="n"/>
      <c r="I2515" s="56" t="n"/>
      <c r="J2515" s="58" t="n"/>
      <c r="K2515" s="58" t="n"/>
      <c r="L2515" s="13">
        <f>IF(OR($A2515="",AND($J2515="",$K2515="")),"",ROUND(N($J2515)-N($K2515),2))</f>
        <v/>
      </c>
      <c r="M2515" s="13">
        <f>IF(OR($A2515="",AND($J2515="",$K2515="")),"",MIN($J2515,$K2515))</f>
        <v/>
      </c>
      <c r="Q2515">
        <f>IF($A2515="","",$D2515&amp;"("&amp;SUBSTITUTE($E2515," ","")&amp;")")</f>
        <v/>
      </c>
      <c r="R2515">
        <f>IF($A2515="","",$B2515&amp;" - "&amp;$C2515)</f>
        <v/>
      </c>
      <c r="S2515">
        <f>IF($A2515="","",$R2515&amp;"|"&amp;$Q2515)</f>
        <v/>
      </c>
      <c r="T2515">
        <f>IF($A2515="","",$S2515&amp;"|"&amp;$F2515)</f>
        <v/>
      </c>
      <c r="U2515">
        <f>IF($A2515="","",$R2515&amp;"("&amp;$E2515&amp;")")</f>
        <v/>
      </c>
      <c r="V2515">
        <f>IF($A2515="","",$F2515&amp;"|"&amp;$U2515&amp;"|"&amp;$D2515)</f>
        <v/>
      </c>
      <c r="W2515">
        <f>IF($T2515="","",IF($X2515&gt;N($X2514),$X2515,""))</f>
        <v/>
      </c>
      <c r="X2515">
        <f>IF($T2515="",N($X2514),IF(MATCH($T2515,$T$6:$T$6005,0)=ROW()-5,N($X2514)+1,N($X2514)))</f>
        <v/>
      </c>
      <c r="Z2515">
        <f>IF($V2515="","",IF($AA2515&gt;N($AA2514),$AA2515,""))</f>
        <v/>
      </c>
      <c r="AA2515">
        <f>IF($V2515="",N($AA2514),IF(MATCH($V2515,$V$6:$V$6005,0)=ROW()-5,N($AA2514)+1,N($AA2514)))</f>
        <v/>
      </c>
    </row>
    <row r="2516" ht="21" customHeight="1" s="66">
      <c r="A2516" s="56" t="n"/>
      <c r="B2516" s="57" t="n"/>
      <c r="C2516" s="57" t="n"/>
      <c r="D2516" s="57" t="n"/>
      <c r="E2516" s="56" t="n"/>
      <c r="F2516" s="57" t="n"/>
      <c r="G2516" s="57" t="n"/>
      <c r="H2516" s="56" t="n"/>
      <c r="I2516" s="56" t="n"/>
      <c r="J2516" s="58" t="n"/>
      <c r="K2516" s="58" t="n"/>
      <c r="L2516" s="13">
        <f>IF(OR($A2516="",AND($J2516="",$K2516="")),"",ROUND(N($J2516)-N($K2516),2))</f>
        <v/>
      </c>
      <c r="M2516" s="13">
        <f>IF(OR($A2516="",AND($J2516="",$K2516="")),"",MIN($J2516,$K2516))</f>
        <v/>
      </c>
      <c r="Q2516">
        <f>IF($A2516="","",$D2516&amp;"("&amp;SUBSTITUTE($E2516," ","")&amp;")")</f>
        <v/>
      </c>
      <c r="R2516">
        <f>IF($A2516="","",$B2516&amp;" - "&amp;$C2516)</f>
        <v/>
      </c>
      <c r="S2516">
        <f>IF($A2516="","",$R2516&amp;"|"&amp;$Q2516)</f>
        <v/>
      </c>
      <c r="T2516">
        <f>IF($A2516="","",$S2516&amp;"|"&amp;$F2516)</f>
        <v/>
      </c>
      <c r="U2516">
        <f>IF($A2516="","",$R2516&amp;"("&amp;$E2516&amp;")")</f>
        <v/>
      </c>
      <c r="V2516">
        <f>IF($A2516="","",$F2516&amp;"|"&amp;$U2516&amp;"|"&amp;$D2516)</f>
        <v/>
      </c>
      <c r="W2516">
        <f>IF($T2516="","",IF($X2516&gt;N($X2515),$X2516,""))</f>
        <v/>
      </c>
      <c r="X2516">
        <f>IF($T2516="",N($X2515),IF(MATCH($T2516,$T$6:$T$6005,0)=ROW()-5,N($X2515)+1,N($X2515)))</f>
        <v/>
      </c>
      <c r="Z2516">
        <f>IF($V2516="","",IF($AA2516&gt;N($AA2515),$AA2516,""))</f>
        <v/>
      </c>
      <c r="AA2516">
        <f>IF($V2516="",N($AA2515),IF(MATCH($V2516,$V$6:$V$6005,0)=ROW()-5,N($AA2515)+1,N($AA2515)))</f>
        <v/>
      </c>
    </row>
    <row r="2517" ht="21" customHeight="1" s="66">
      <c r="A2517" s="56" t="n"/>
      <c r="B2517" s="57" t="n"/>
      <c r="C2517" s="57" t="n"/>
      <c r="D2517" s="57" t="n"/>
      <c r="E2517" s="56" t="n"/>
      <c r="F2517" s="57" t="n"/>
      <c r="G2517" s="57" t="n"/>
      <c r="H2517" s="56" t="n"/>
      <c r="I2517" s="56" t="n"/>
      <c r="J2517" s="58" t="n"/>
      <c r="K2517" s="58" t="n"/>
      <c r="L2517" s="13">
        <f>IF(OR($A2517="",AND($J2517="",$K2517="")),"",ROUND(N($J2517)-N($K2517),2))</f>
        <v/>
      </c>
      <c r="M2517" s="13">
        <f>IF(OR($A2517="",AND($J2517="",$K2517="")),"",MIN($J2517,$K2517))</f>
        <v/>
      </c>
      <c r="Q2517">
        <f>IF($A2517="","",$D2517&amp;"("&amp;SUBSTITUTE($E2517," ","")&amp;")")</f>
        <v/>
      </c>
      <c r="R2517">
        <f>IF($A2517="","",$B2517&amp;" - "&amp;$C2517)</f>
        <v/>
      </c>
      <c r="S2517">
        <f>IF($A2517="","",$R2517&amp;"|"&amp;$Q2517)</f>
        <v/>
      </c>
      <c r="T2517">
        <f>IF($A2517="","",$S2517&amp;"|"&amp;$F2517)</f>
        <v/>
      </c>
      <c r="U2517">
        <f>IF($A2517="","",$R2517&amp;"("&amp;$E2517&amp;")")</f>
        <v/>
      </c>
      <c r="V2517">
        <f>IF($A2517="","",$F2517&amp;"|"&amp;$U2517&amp;"|"&amp;$D2517)</f>
        <v/>
      </c>
      <c r="W2517">
        <f>IF($T2517="","",IF($X2517&gt;N($X2516),$X2517,""))</f>
        <v/>
      </c>
      <c r="X2517">
        <f>IF($T2517="",N($X2516),IF(MATCH($T2517,$T$6:$T$6005,0)=ROW()-5,N($X2516)+1,N($X2516)))</f>
        <v/>
      </c>
      <c r="Z2517">
        <f>IF($V2517="","",IF($AA2517&gt;N($AA2516),$AA2517,""))</f>
        <v/>
      </c>
      <c r="AA2517">
        <f>IF($V2517="",N($AA2516),IF(MATCH($V2517,$V$6:$V$6005,0)=ROW()-5,N($AA2516)+1,N($AA2516)))</f>
        <v/>
      </c>
    </row>
    <row r="2518" ht="21" customHeight="1" s="66">
      <c r="A2518" s="56" t="n"/>
      <c r="B2518" s="57" t="n"/>
      <c r="C2518" s="57" t="n"/>
      <c r="D2518" s="57" t="n"/>
      <c r="E2518" s="56" t="n"/>
      <c r="F2518" s="57" t="n"/>
      <c r="G2518" s="57" t="n"/>
      <c r="H2518" s="56" t="n"/>
      <c r="I2518" s="56" t="n"/>
      <c r="J2518" s="58" t="n"/>
      <c r="K2518" s="58" t="n"/>
      <c r="L2518" s="13">
        <f>IF(OR($A2518="",AND($J2518="",$K2518="")),"",ROUND(N($J2518)-N($K2518),2))</f>
        <v/>
      </c>
      <c r="M2518" s="13">
        <f>IF(OR($A2518="",AND($J2518="",$K2518="")),"",MIN($J2518,$K2518))</f>
        <v/>
      </c>
      <c r="Q2518">
        <f>IF($A2518="","",$D2518&amp;"("&amp;SUBSTITUTE($E2518," ","")&amp;")")</f>
        <v/>
      </c>
      <c r="R2518">
        <f>IF($A2518="","",$B2518&amp;" - "&amp;$C2518)</f>
        <v/>
      </c>
      <c r="S2518">
        <f>IF($A2518="","",$R2518&amp;"|"&amp;$Q2518)</f>
        <v/>
      </c>
      <c r="T2518">
        <f>IF($A2518="","",$S2518&amp;"|"&amp;$F2518)</f>
        <v/>
      </c>
      <c r="U2518">
        <f>IF($A2518="","",$R2518&amp;"("&amp;$E2518&amp;")")</f>
        <v/>
      </c>
      <c r="V2518">
        <f>IF($A2518="","",$F2518&amp;"|"&amp;$U2518&amp;"|"&amp;$D2518)</f>
        <v/>
      </c>
      <c r="W2518">
        <f>IF($T2518="","",IF($X2518&gt;N($X2517),$X2518,""))</f>
        <v/>
      </c>
      <c r="X2518">
        <f>IF($T2518="",N($X2517),IF(MATCH($T2518,$T$6:$T$6005,0)=ROW()-5,N($X2517)+1,N($X2517)))</f>
        <v/>
      </c>
      <c r="Z2518">
        <f>IF($V2518="","",IF($AA2518&gt;N($AA2517),$AA2518,""))</f>
        <v/>
      </c>
      <c r="AA2518">
        <f>IF($V2518="",N($AA2517),IF(MATCH($V2518,$V$6:$V$6005,0)=ROW()-5,N($AA2517)+1,N($AA2517)))</f>
        <v/>
      </c>
    </row>
    <row r="2519" ht="21" customHeight="1" s="66">
      <c r="A2519" s="56" t="n"/>
      <c r="B2519" s="57" t="n"/>
      <c r="C2519" s="57" t="n"/>
      <c r="D2519" s="57" t="n"/>
      <c r="E2519" s="56" t="n"/>
      <c r="F2519" s="57" t="n"/>
      <c r="G2519" s="57" t="n"/>
      <c r="H2519" s="56" t="n"/>
      <c r="I2519" s="56" t="n"/>
      <c r="J2519" s="58" t="n"/>
      <c r="K2519" s="58" t="n"/>
      <c r="L2519" s="13">
        <f>IF(OR($A2519="",AND($J2519="",$K2519="")),"",ROUND(N($J2519)-N($K2519),2))</f>
        <v/>
      </c>
      <c r="M2519" s="13">
        <f>IF(OR($A2519="",AND($J2519="",$K2519="")),"",MIN($J2519,$K2519))</f>
        <v/>
      </c>
      <c r="Q2519">
        <f>IF($A2519="","",$D2519&amp;"("&amp;SUBSTITUTE($E2519," ","")&amp;")")</f>
        <v/>
      </c>
      <c r="R2519">
        <f>IF($A2519="","",$B2519&amp;" - "&amp;$C2519)</f>
        <v/>
      </c>
      <c r="S2519">
        <f>IF($A2519="","",$R2519&amp;"|"&amp;$Q2519)</f>
        <v/>
      </c>
      <c r="T2519">
        <f>IF($A2519="","",$S2519&amp;"|"&amp;$F2519)</f>
        <v/>
      </c>
      <c r="U2519">
        <f>IF($A2519="","",$R2519&amp;"("&amp;$E2519&amp;")")</f>
        <v/>
      </c>
      <c r="V2519">
        <f>IF($A2519="","",$F2519&amp;"|"&amp;$U2519&amp;"|"&amp;$D2519)</f>
        <v/>
      </c>
      <c r="W2519">
        <f>IF($T2519="","",IF($X2519&gt;N($X2518),$X2519,""))</f>
        <v/>
      </c>
      <c r="X2519">
        <f>IF($T2519="",N($X2518),IF(MATCH($T2519,$T$6:$T$6005,0)=ROW()-5,N($X2518)+1,N($X2518)))</f>
        <v/>
      </c>
      <c r="Z2519">
        <f>IF($V2519="","",IF($AA2519&gt;N($AA2518),$AA2519,""))</f>
        <v/>
      </c>
      <c r="AA2519">
        <f>IF($V2519="",N($AA2518),IF(MATCH($V2519,$V$6:$V$6005,0)=ROW()-5,N($AA2518)+1,N($AA2518)))</f>
        <v/>
      </c>
    </row>
    <row r="2520" ht="21" customHeight="1" s="66">
      <c r="A2520" s="56" t="n"/>
      <c r="B2520" s="57" t="n"/>
      <c r="C2520" s="57" t="n"/>
      <c r="D2520" s="57" t="n"/>
      <c r="E2520" s="56" t="n"/>
      <c r="F2520" s="57" t="n"/>
      <c r="G2520" s="57" t="n"/>
      <c r="H2520" s="56" t="n"/>
      <c r="I2520" s="56" t="n"/>
      <c r="J2520" s="58" t="n"/>
      <c r="K2520" s="58" t="n"/>
      <c r="L2520" s="13">
        <f>IF(OR($A2520="",AND($J2520="",$K2520="")),"",ROUND(N($J2520)-N($K2520),2))</f>
        <v/>
      </c>
      <c r="M2520" s="13">
        <f>IF(OR($A2520="",AND($J2520="",$K2520="")),"",MIN($J2520,$K2520))</f>
        <v/>
      </c>
      <c r="Q2520">
        <f>IF($A2520="","",$D2520&amp;"("&amp;SUBSTITUTE($E2520," ","")&amp;")")</f>
        <v/>
      </c>
      <c r="R2520">
        <f>IF($A2520="","",$B2520&amp;" - "&amp;$C2520)</f>
        <v/>
      </c>
      <c r="S2520">
        <f>IF($A2520="","",$R2520&amp;"|"&amp;$Q2520)</f>
        <v/>
      </c>
      <c r="T2520">
        <f>IF($A2520="","",$S2520&amp;"|"&amp;$F2520)</f>
        <v/>
      </c>
      <c r="U2520">
        <f>IF($A2520="","",$R2520&amp;"("&amp;$E2520&amp;")")</f>
        <v/>
      </c>
      <c r="V2520">
        <f>IF($A2520="","",$F2520&amp;"|"&amp;$U2520&amp;"|"&amp;$D2520)</f>
        <v/>
      </c>
      <c r="W2520">
        <f>IF($T2520="","",IF($X2520&gt;N($X2519),$X2520,""))</f>
        <v/>
      </c>
      <c r="X2520">
        <f>IF($T2520="",N($X2519),IF(MATCH($T2520,$T$6:$T$6005,0)=ROW()-5,N($X2519)+1,N($X2519)))</f>
        <v/>
      </c>
      <c r="Z2520">
        <f>IF($V2520="","",IF($AA2520&gt;N($AA2519),$AA2520,""))</f>
        <v/>
      </c>
      <c r="AA2520">
        <f>IF($V2520="",N($AA2519),IF(MATCH($V2520,$V$6:$V$6005,0)=ROW()-5,N($AA2519)+1,N($AA2519)))</f>
        <v/>
      </c>
    </row>
    <row r="2521" ht="21" customHeight="1" s="66">
      <c r="A2521" s="56" t="n"/>
      <c r="B2521" s="57" t="n"/>
      <c r="C2521" s="57" t="n"/>
      <c r="D2521" s="57" t="n"/>
      <c r="E2521" s="56" t="n"/>
      <c r="F2521" s="57" t="n"/>
      <c r="G2521" s="57" t="n"/>
      <c r="H2521" s="56" t="n"/>
      <c r="I2521" s="56" t="n"/>
      <c r="J2521" s="58" t="n"/>
      <c r="K2521" s="58" t="n"/>
      <c r="L2521" s="13">
        <f>IF(OR($A2521="",AND($J2521="",$K2521="")),"",ROUND(N($J2521)-N($K2521),2))</f>
        <v/>
      </c>
      <c r="M2521" s="13">
        <f>IF(OR($A2521="",AND($J2521="",$K2521="")),"",MIN($J2521,$K2521))</f>
        <v/>
      </c>
      <c r="Q2521">
        <f>IF($A2521="","",$D2521&amp;"("&amp;SUBSTITUTE($E2521," ","")&amp;")")</f>
        <v/>
      </c>
      <c r="R2521">
        <f>IF($A2521="","",$B2521&amp;" - "&amp;$C2521)</f>
        <v/>
      </c>
      <c r="S2521">
        <f>IF($A2521="","",$R2521&amp;"|"&amp;$Q2521)</f>
        <v/>
      </c>
      <c r="T2521">
        <f>IF($A2521="","",$S2521&amp;"|"&amp;$F2521)</f>
        <v/>
      </c>
      <c r="U2521">
        <f>IF($A2521="","",$R2521&amp;"("&amp;$E2521&amp;")")</f>
        <v/>
      </c>
      <c r="V2521">
        <f>IF($A2521="","",$F2521&amp;"|"&amp;$U2521&amp;"|"&amp;$D2521)</f>
        <v/>
      </c>
      <c r="W2521">
        <f>IF($T2521="","",IF($X2521&gt;N($X2520),$X2521,""))</f>
        <v/>
      </c>
      <c r="X2521">
        <f>IF($T2521="",N($X2520),IF(MATCH($T2521,$T$6:$T$6005,0)=ROW()-5,N($X2520)+1,N($X2520)))</f>
        <v/>
      </c>
      <c r="Z2521">
        <f>IF($V2521="","",IF($AA2521&gt;N($AA2520),$AA2521,""))</f>
        <v/>
      </c>
      <c r="AA2521">
        <f>IF($V2521="",N($AA2520),IF(MATCH($V2521,$V$6:$V$6005,0)=ROW()-5,N($AA2520)+1,N($AA2520)))</f>
        <v/>
      </c>
    </row>
    <row r="2522" ht="21" customHeight="1" s="66">
      <c r="A2522" s="56" t="n"/>
      <c r="B2522" s="57" t="n"/>
      <c r="C2522" s="57" t="n"/>
      <c r="D2522" s="57" t="n"/>
      <c r="E2522" s="56" t="n"/>
      <c r="F2522" s="57" t="n"/>
      <c r="G2522" s="57" t="n"/>
      <c r="H2522" s="56" t="n"/>
      <c r="I2522" s="56" t="n"/>
      <c r="J2522" s="58" t="n"/>
      <c r="K2522" s="58" t="n"/>
      <c r="L2522" s="13">
        <f>IF(OR($A2522="",AND($J2522="",$K2522="")),"",ROUND(N($J2522)-N($K2522),2))</f>
        <v/>
      </c>
      <c r="M2522" s="13">
        <f>IF(OR($A2522="",AND($J2522="",$K2522="")),"",MIN($J2522,$K2522))</f>
        <v/>
      </c>
      <c r="Q2522">
        <f>IF($A2522="","",$D2522&amp;"("&amp;SUBSTITUTE($E2522," ","")&amp;")")</f>
        <v/>
      </c>
      <c r="R2522">
        <f>IF($A2522="","",$B2522&amp;" - "&amp;$C2522)</f>
        <v/>
      </c>
      <c r="S2522">
        <f>IF($A2522="","",$R2522&amp;"|"&amp;$Q2522)</f>
        <v/>
      </c>
      <c r="T2522">
        <f>IF($A2522="","",$S2522&amp;"|"&amp;$F2522)</f>
        <v/>
      </c>
      <c r="U2522">
        <f>IF($A2522="","",$R2522&amp;"("&amp;$E2522&amp;")")</f>
        <v/>
      </c>
      <c r="V2522">
        <f>IF($A2522="","",$F2522&amp;"|"&amp;$U2522&amp;"|"&amp;$D2522)</f>
        <v/>
      </c>
      <c r="W2522">
        <f>IF($T2522="","",IF($X2522&gt;N($X2521),$X2522,""))</f>
        <v/>
      </c>
      <c r="X2522">
        <f>IF($T2522="",N($X2521),IF(MATCH($T2522,$T$6:$T$6005,0)=ROW()-5,N($X2521)+1,N($X2521)))</f>
        <v/>
      </c>
      <c r="Z2522">
        <f>IF($V2522="","",IF($AA2522&gt;N($AA2521),$AA2522,""))</f>
        <v/>
      </c>
      <c r="AA2522">
        <f>IF($V2522="",N($AA2521),IF(MATCH($V2522,$V$6:$V$6005,0)=ROW()-5,N($AA2521)+1,N($AA2521)))</f>
        <v/>
      </c>
    </row>
    <row r="2523" ht="21" customHeight="1" s="66">
      <c r="A2523" s="56" t="n"/>
      <c r="B2523" s="57" t="n"/>
      <c r="C2523" s="57" t="n"/>
      <c r="D2523" s="57" t="n"/>
      <c r="E2523" s="56" t="n"/>
      <c r="F2523" s="57" t="n"/>
      <c r="G2523" s="57" t="n"/>
      <c r="H2523" s="56" t="n"/>
      <c r="I2523" s="56" t="n"/>
      <c r="J2523" s="58" t="n"/>
      <c r="K2523" s="58" t="n"/>
      <c r="L2523" s="13">
        <f>IF(OR($A2523="",AND($J2523="",$K2523="")),"",ROUND(N($J2523)-N($K2523),2))</f>
        <v/>
      </c>
      <c r="M2523" s="13">
        <f>IF(OR($A2523="",AND($J2523="",$K2523="")),"",MIN($J2523,$K2523))</f>
        <v/>
      </c>
      <c r="Q2523">
        <f>IF($A2523="","",$D2523&amp;"("&amp;SUBSTITUTE($E2523," ","")&amp;")")</f>
        <v/>
      </c>
      <c r="R2523">
        <f>IF($A2523="","",$B2523&amp;" - "&amp;$C2523)</f>
        <v/>
      </c>
      <c r="S2523">
        <f>IF($A2523="","",$R2523&amp;"|"&amp;$Q2523)</f>
        <v/>
      </c>
      <c r="T2523">
        <f>IF($A2523="","",$S2523&amp;"|"&amp;$F2523)</f>
        <v/>
      </c>
      <c r="U2523">
        <f>IF($A2523="","",$R2523&amp;"("&amp;$E2523&amp;")")</f>
        <v/>
      </c>
      <c r="V2523">
        <f>IF($A2523="","",$F2523&amp;"|"&amp;$U2523&amp;"|"&amp;$D2523)</f>
        <v/>
      </c>
      <c r="W2523">
        <f>IF($T2523="","",IF($X2523&gt;N($X2522),$X2523,""))</f>
        <v/>
      </c>
      <c r="X2523">
        <f>IF($T2523="",N($X2522),IF(MATCH($T2523,$T$6:$T$6005,0)=ROW()-5,N($X2522)+1,N($X2522)))</f>
        <v/>
      </c>
      <c r="Z2523">
        <f>IF($V2523="","",IF($AA2523&gt;N($AA2522),$AA2523,""))</f>
        <v/>
      </c>
      <c r="AA2523">
        <f>IF($V2523="",N($AA2522),IF(MATCH($V2523,$V$6:$V$6005,0)=ROW()-5,N($AA2522)+1,N($AA2522)))</f>
        <v/>
      </c>
    </row>
    <row r="2524" ht="21" customHeight="1" s="66">
      <c r="A2524" s="56" t="n"/>
      <c r="B2524" s="57" t="n"/>
      <c r="C2524" s="57" t="n"/>
      <c r="D2524" s="57" t="n"/>
      <c r="E2524" s="56" t="n"/>
      <c r="F2524" s="57" t="n"/>
      <c r="G2524" s="57" t="n"/>
      <c r="H2524" s="56" t="n"/>
      <c r="I2524" s="56" t="n"/>
      <c r="J2524" s="58" t="n"/>
      <c r="K2524" s="58" t="n"/>
      <c r="L2524" s="13">
        <f>IF(OR($A2524="",AND($J2524="",$K2524="")),"",ROUND(N($J2524)-N($K2524),2))</f>
        <v/>
      </c>
      <c r="M2524" s="13">
        <f>IF(OR($A2524="",AND($J2524="",$K2524="")),"",MIN($J2524,$K2524))</f>
        <v/>
      </c>
      <c r="Q2524">
        <f>IF($A2524="","",$D2524&amp;"("&amp;SUBSTITUTE($E2524," ","")&amp;")")</f>
        <v/>
      </c>
      <c r="R2524">
        <f>IF($A2524="","",$B2524&amp;" - "&amp;$C2524)</f>
        <v/>
      </c>
      <c r="S2524">
        <f>IF($A2524="","",$R2524&amp;"|"&amp;$Q2524)</f>
        <v/>
      </c>
      <c r="T2524">
        <f>IF($A2524="","",$S2524&amp;"|"&amp;$F2524)</f>
        <v/>
      </c>
      <c r="U2524">
        <f>IF($A2524="","",$R2524&amp;"("&amp;$E2524&amp;")")</f>
        <v/>
      </c>
      <c r="V2524">
        <f>IF($A2524="","",$F2524&amp;"|"&amp;$U2524&amp;"|"&amp;$D2524)</f>
        <v/>
      </c>
      <c r="W2524">
        <f>IF($T2524="","",IF($X2524&gt;N($X2523),$X2524,""))</f>
        <v/>
      </c>
      <c r="X2524">
        <f>IF($T2524="",N($X2523),IF(MATCH($T2524,$T$6:$T$6005,0)=ROW()-5,N($X2523)+1,N($X2523)))</f>
        <v/>
      </c>
      <c r="Z2524">
        <f>IF($V2524="","",IF($AA2524&gt;N($AA2523),$AA2524,""))</f>
        <v/>
      </c>
      <c r="AA2524">
        <f>IF($V2524="",N($AA2523),IF(MATCH($V2524,$V$6:$V$6005,0)=ROW()-5,N($AA2523)+1,N($AA2523)))</f>
        <v/>
      </c>
    </row>
    <row r="2525" ht="21" customHeight="1" s="66">
      <c r="A2525" s="56" t="n"/>
      <c r="B2525" s="57" t="n"/>
      <c r="C2525" s="57" t="n"/>
      <c r="D2525" s="57" t="n"/>
      <c r="E2525" s="56" t="n"/>
      <c r="F2525" s="57" t="n"/>
      <c r="G2525" s="57" t="n"/>
      <c r="H2525" s="56" t="n"/>
      <c r="I2525" s="56" t="n"/>
      <c r="J2525" s="58" t="n"/>
      <c r="K2525" s="58" t="n"/>
      <c r="L2525" s="13">
        <f>IF(OR($A2525="",AND($J2525="",$K2525="")),"",ROUND(N($J2525)-N($K2525),2))</f>
        <v/>
      </c>
      <c r="M2525" s="13">
        <f>IF(OR($A2525="",AND($J2525="",$K2525="")),"",MIN($J2525,$K2525))</f>
        <v/>
      </c>
      <c r="Q2525">
        <f>IF($A2525="","",$D2525&amp;"("&amp;SUBSTITUTE($E2525," ","")&amp;")")</f>
        <v/>
      </c>
      <c r="R2525">
        <f>IF($A2525="","",$B2525&amp;" - "&amp;$C2525)</f>
        <v/>
      </c>
      <c r="S2525">
        <f>IF($A2525="","",$R2525&amp;"|"&amp;$Q2525)</f>
        <v/>
      </c>
      <c r="T2525">
        <f>IF($A2525="","",$S2525&amp;"|"&amp;$F2525)</f>
        <v/>
      </c>
      <c r="U2525">
        <f>IF($A2525="","",$R2525&amp;"("&amp;$E2525&amp;")")</f>
        <v/>
      </c>
      <c r="V2525">
        <f>IF($A2525="","",$F2525&amp;"|"&amp;$U2525&amp;"|"&amp;$D2525)</f>
        <v/>
      </c>
      <c r="W2525">
        <f>IF($T2525="","",IF($X2525&gt;N($X2524),$X2525,""))</f>
        <v/>
      </c>
      <c r="X2525">
        <f>IF($T2525="",N($X2524),IF(MATCH($T2525,$T$6:$T$6005,0)=ROW()-5,N($X2524)+1,N($X2524)))</f>
        <v/>
      </c>
      <c r="Z2525">
        <f>IF($V2525="","",IF($AA2525&gt;N($AA2524),$AA2525,""))</f>
        <v/>
      </c>
      <c r="AA2525">
        <f>IF($V2525="",N($AA2524),IF(MATCH($V2525,$V$6:$V$6005,0)=ROW()-5,N($AA2524)+1,N($AA2524)))</f>
        <v/>
      </c>
    </row>
    <row r="2526" ht="21" customHeight="1" s="66">
      <c r="A2526" s="56" t="n"/>
      <c r="B2526" s="57" t="n"/>
      <c r="C2526" s="57" t="n"/>
      <c r="D2526" s="57" t="n"/>
      <c r="E2526" s="56" t="n"/>
      <c r="F2526" s="57" t="n"/>
      <c r="G2526" s="57" t="n"/>
      <c r="H2526" s="56" t="n"/>
      <c r="I2526" s="56" t="n"/>
      <c r="J2526" s="58" t="n"/>
      <c r="K2526" s="58" t="n"/>
      <c r="L2526" s="13">
        <f>IF(OR($A2526="",AND($J2526="",$K2526="")),"",ROUND(N($J2526)-N($K2526),2))</f>
        <v/>
      </c>
      <c r="M2526" s="13">
        <f>IF(OR($A2526="",AND($J2526="",$K2526="")),"",MIN($J2526,$K2526))</f>
        <v/>
      </c>
      <c r="Q2526">
        <f>IF($A2526="","",$D2526&amp;"("&amp;SUBSTITUTE($E2526," ","")&amp;")")</f>
        <v/>
      </c>
      <c r="R2526">
        <f>IF($A2526="","",$B2526&amp;" - "&amp;$C2526)</f>
        <v/>
      </c>
      <c r="S2526">
        <f>IF($A2526="","",$R2526&amp;"|"&amp;$Q2526)</f>
        <v/>
      </c>
      <c r="T2526">
        <f>IF($A2526="","",$S2526&amp;"|"&amp;$F2526)</f>
        <v/>
      </c>
      <c r="U2526">
        <f>IF($A2526="","",$R2526&amp;"("&amp;$E2526&amp;")")</f>
        <v/>
      </c>
      <c r="V2526">
        <f>IF($A2526="","",$F2526&amp;"|"&amp;$U2526&amp;"|"&amp;$D2526)</f>
        <v/>
      </c>
      <c r="W2526">
        <f>IF($T2526="","",IF($X2526&gt;N($X2525),$X2526,""))</f>
        <v/>
      </c>
      <c r="X2526">
        <f>IF($T2526="",N($X2525),IF(MATCH($T2526,$T$6:$T$6005,0)=ROW()-5,N($X2525)+1,N($X2525)))</f>
        <v/>
      </c>
      <c r="Z2526">
        <f>IF($V2526="","",IF($AA2526&gt;N($AA2525),$AA2526,""))</f>
        <v/>
      </c>
      <c r="AA2526">
        <f>IF($V2526="",N($AA2525),IF(MATCH($V2526,$V$6:$V$6005,0)=ROW()-5,N($AA2525)+1,N($AA2525)))</f>
        <v/>
      </c>
    </row>
    <row r="2527" ht="21" customHeight="1" s="66">
      <c r="A2527" s="56" t="n"/>
      <c r="B2527" s="57" t="n"/>
      <c r="C2527" s="57" t="n"/>
      <c r="D2527" s="57" t="n"/>
      <c r="E2527" s="56" t="n"/>
      <c r="F2527" s="57" t="n"/>
      <c r="G2527" s="57" t="n"/>
      <c r="H2527" s="56" t="n"/>
      <c r="I2527" s="56" t="n"/>
      <c r="J2527" s="58" t="n"/>
      <c r="K2527" s="58" t="n"/>
      <c r="L2527" s="13">
        <f>IF(OR($A2527="",AND($J2527="",$K2527="")),"",ROUND(N($J2527)-N($K2527),2))</f>
        <v/>
      </c>
      <c r="M2527" s="13">
        <f>IF(OR($A2527="",AND($J2527="",$K2527="")),"",MIN($J2527,$K2527))</f>
        <v/>
      </c>
      <c r="Q2527">
        <f>IF($A2527="","",$D2527&amp;"("&amp;SUBSTITUTE($E2527," ","")&amp;")")</f>
        <v/>
      </c>
      <c r="R2527">
        <f>IF($A2527="","",$B2527&amp;" - "&amp;$C2527)</f>
        <v/>
      </c>
      <c r="S2527">
        <f>IF($A2527="","",$R2527&amp;"|"&amp;$Q2527)</f>
        <v/>
      </c>
      <c r="T2527">
        <f>IF($A2527="","",$S2527&amp;"|"&amp;$F2527)</f>
        <v/>
      </c>
      <c r="U2527">
        <f>IF($A2527="","",$R2527&amp;"("&amp;$E2527&amp;")")</f>
        <v/>
      </c>
      <c r="V2527">
        <f>IF($A2527="","",$F2527&amp;"|"&amp;$U2527&amp;"|"&amp;$D2527)</f>
        <v/>
      </c>
      <c r="W2527">
        <f>IF($T2527="","",IF($X2527&gt;N($X2526),$X2527,""))</f>
        <v/>
      </c>
      <c r="X2527">
        <f>IF($T2527="",N($X2526),IF(MATCH($T2527,$T$6:$T$6005,0)=ROW()-5,N($X2526)+1,N($X2526)))</f>
        <v/>
      </c>
      <c r="Z2527">
        <f>IF($V2527="","",IF($AA2527&gt;N($AA2526),$AA2527,""))</f>
        <v/>
      </c>
      <c r="AA2527">
        <f>IF($V2527="",N($AA2526),IF(MATCH($V2527,$V$6:$V$6005,0)=ROW()-5,N($AA2526)+1,N($AA2526)))</f>
        <v/>
      </c>
    </row>
    <row r="2528" ht="21" customHeight="1" s="66">
      <c r="A2528" s="56" t="n"/>
      <c r="B2528" s="57" t="n"/>
      <c r="C2528" s="57" t="n"/>
      <c r="D2528" s="57" t="n"/>
      <c r="E2528" s="56" t="n"/>
      <c r="F2528" s="57" t="n"/>
      <c r="G2528" s="57" t="n"/>
      <c r="H2528" s="56" t="n"/>
      <c r="I2528" s="56" t="n"/>
      <c r="J2528" s="58" t="n"/>
      <c r="K2528" s="58" t="n"/>
      <c r="L2528" s="13">
        <f>IF(OR($A2528="",AND($J2528="",$K2528="")),"",ROUND(N($J2528)-N($K2528),2))</f>
        <v/>
      </c>
      <c r="M2528" s="13">
        <f>IF(OR($A2528="",AND($J2528="",$K2528="")),"",MIN($J2528,$K2528))</f>
        <v/>
      </c>
      <c r="Q2528">
        <f>IF($A2528="","",$D2528&amp;"("&amp;SUBSTITUTE($E2528," ","")&amp;")")</f>
        <v/>
      </c>
      <c r="R2528">
        <f>IF($A2528="","",$B2528&amp;" - "&amp;$C2528)</f>
        <v/>
      </c>
      <c r="S2528">
        <f>IF($A2528="","",$R2528&amp;"|"&amp;$Q2528)</f>
        <v/>
      </c>
      <c r="T2528">
        <f>IF($A2528="","",$S2528&amp;"|"&amp;$F2528)</f>
        <v/>
      </c>
      <c r="U2528">
        <f>IF($A2528="","",$R2528&amp;"("&amp;$E2528&amp;")")</f>
        <v/>
      </c>
      <c r="V2528">
        <f>IF($A2528="","",$F2528&amp;"|"&amp;$U2528&amp;"|"&amp;$D2528)</f>
        <v/>
      </c>
      <c r="W2528">
        <f>IF($T2528="","",IF($X2528&gt;N($X2527),$X2528,""))</f>
        <v/>
      </c>
      <c r="X2528">
        <f>IF($T2528="",N($X2527),IF(MATCH($T2528,$T$6:$T$6005,0)=ROW()-5,N($X2527)+1,N($X2527)))</f>
        <v/>
      </c>
      <c r="Z2528">
        <f>IF($V2528="","",IF($AA2528&gt;N($AA2527),$AA2528,""))</f>
        <v/>
      </c>
      <c r="AA2528">
        <f>IF($V2528="",N($AA2527),IF(MATCH($V2528,$V$6:$V$6005,0)=ROW()-5,N($AA2527)+1,N($AA2527)))</f>
        <v/>
      </c>
    </row>
    <row r="2529" ht="21" customHeight="1" s="66">
      <c r="A2529" s="56" t="n"/>
      <c r="B2529" s="57" t="n"/>
      <c r="C2529" s="57" t="n"/>
      <c r="D2529" s="57" t="n"/>
      <c r="E2529" s="56" t="n"/>
      <c r="F2529" s="57" t="n"/>
      <c r="G2529" s="57" t="n"/>
      <c r="H2529" s="56" t="n"/>
      <c r="I2529" s="56" t="n"/>
      <c r="J2529" s="58" t="n"/>
      <c r="K2529" s="58" t="n"/>
      <c r="L2529" s="13">
        <f>IF(OR($A2529="",AND($J2529="",$K2529="")),"",ROUND(N($J2529)-N($K2529),2))</f>
        <v/>
      </c>
      <c r="M2529" s="13">
        <f>IF(OR($A2529="",AND($J2529="",$K2529="")),"",MIN($J2529,$K2529))</f>
        <v/>
      </c>
      <c r="Q2529">
        <f>IF($A2529="","",$D2529&amp;"("&amp;SUBSTITUTE($E2529," ","")&amp;")")</f>
        <v/>
      </c>
      <c r="R2529">
        <f>IF($A2529="","",$B2529&amp;" - "&amp;$C2529)</f>
        <v/>
      </c>
      <c r="S2529">
        <f>IF($A2529="","",$R2529&amp;"|"&amp;$Q2529)</f>
        <v/>
      </c>
      <c r="T2529">
        <f>IF($A2529="","",$S2529&amp;"|"&amp;$F2529)</f>
        <v/>
      </c>
      <c r="U2529">
        <f>IF($A2529="","",$R2529&amp;"("&amp;$E2529&amp;")")</f>
        <v/>
      </c>
      <c r="V2529">
        <f>IF($A2529="","",$F2529&amp;"|"&amp;$U2529&amp;"|"&amp;$D2529)</f>
        <v/>
      </c>
      <c r="W2529">
        <f>IF($T2529="","",IF($X2529&gt;N($X2528),$X2529,""))</f>
        <v/>
      </c>
      <c r="X2529">
        <f>IF($T2529="",N($X2528),IF(MATCH($T2529,$T$6:$T$6005,0)=ROW()-5,N($X2528)+1,N($X2528)))</f>
        <v/>
      </c>
      <c r="Z2529">
        <f>IF($V2529="","",IF($AA2529&gt;N($AA2528),$AA2529,""))</f>
        <v/>
      </c>
      <c r="AA2529">
        <f>IF($V2529="",N($AA2528),IF(MATCH($V2529,$V$6:$V$6005,0)=ROW()-5,N($AA2528)+1,N($AA2528)))</f>
        <v/>
      </c>
    </row>
    <row r="2530" ht="21" customHeight="1" s="66">
      <c r="A2530" s="56" t="n"/>
      <c r="B2530" s="57" t="n"/>
      <c r="C2530" s="57" t="n"/>
      <c r="D2530" s="57" t="n"/>
      <c r="E2530" s="56" t="n"/>
      <c r="F2530" s="57" t="n"/>
      <c r="G2530" s="57" t="n"/>
      <c r="H2530" s="56" t="n"/>
      <c r="I2530" s="56" t="n"/>
      <c r="J2530" s="58" t="n"/>
      <c r="K2530" s="58" t="n"/>
      <c r="L2530" s="13">
        <f>IF(OR($A2530="",AND($J2530="",$K2530="")),"",ROUND(N($J2530)-N($K2530),2))</f>
        <v/>
      </c>
      <c r="M2530" s="13">
        <f>IF(OR($A2530="",AND($J2530="",$K2530="")),"",MIN($J2530,$K2530))</f>
        <v/>
      </c>
      <c r="Q2530">
        <f>IF($A2530="","",$D2530&amp;"("&amp;SUBSTITUTE($E2530," ","")&amp;")")</f>
        <v/>
      </c>
      <c r="R2530">
        <f>IF($A2530="","",$B2530&amp;" - "&amp;$C2530)</f>
        <v/>
      </c>
      <c r="S2530">
        <f>IF($A2530="","",$R2530&amp;"|"&amp;$Q2530)</f>
        <v/>
      </c>
      <c r="T2530">
        <f>IF($A2530="","",$S2530&amp;"|"&amp;$F2530)</f>
        <v/>
      </c>
      <c r="U2530">
        <f>IF($A2530="","",$R2530&amp;"("&amp;$E2530&amp;")")</f>
        <v/>
      </c>
      <c r="V2530">
        <f>IF($A2530="","",$F2530&amp;"|"&amp;$U2530&amp;"|"&amp;$D2530)</f>
        <v/>
      </c>
      <c r="W2530">
        <f>IF($T2530="","",IF($X2530&gt;N($X2529),$X2530,""))</f>
        <v/>
      </c>
      <c r="X2530">
        <f>IF($T2530="",N($X2529),IF(MATCH($T2530,$T$6:$T$6005,0)=ROW()-5,N($X2529)+1,N($X2529)))</f>
        <v/>
      </c>
      <c r="Z2530">
        <f>IF($V2530="","",IF($AA2530&gt;N($AA2529),$AA2530,""))</f>
        <v/>
      </c>
      <c r="AA2530">
        <f>IF($V2530="",N($AA2529),IF(MATCH($V2530,$V$6:$V$6005,0)=ROW()-5,N($AA2529)+1,N($AA2529)))</f>
        <v/>
      </c>
    </row>
    <row r="2531" ht="21" customHeight="1" s="66">
      <c r="A2531" s="56" t="n"/>
      <c r="B2531" s="57" t="n"/>
      <c r="C2531" s="57" t="n"/>
      <c r="D2531" s="57" t="n"/>
      <c r="E2531" s="56" t="n"/>
      <c r="F2531" s="57" t="n"/>
      <c r="G2531" s="57" t="n"/>
      <c r="H2531" s="56" t="n"/>
      <c r="I2531" s="56" t="n"/>
      <c r="J2531" s="58" t="n"/>
      <c r="K2531" s="58" t="n"/>
      <c r="L2531" s="13">
        <f>IF(OR($A2531="",AND($J2531="",$K2531="")),"",ROUND(N($J2531)-N($K2531),2))</f>
        <v/>
      </c>
      <c r="M2531" s="13">
        <f>IF(OR($A2531="",AND($J2531="",$K2531="")),"",MIN($J2531,$K2531))</f>
        <v/>
      </c>
      <c r="Q2531">
        <f>IF($A2531="","",$D2531&amp;"("&amp;SUBSTITUTE($E2531," ","")&amp;")")</f>
        <v/>
      </c>
      <c r="R2531">
        <f>IF($A2531="","",$B2531&amp;" - "&amp;$C2531)</f>
        <v/>
      </c>
      <c r="S2531">
        <f>IF($A2531="","",$R2531&amp;"|"&amp;$Q2531)</f>
        <v/>
      </c>
      <c r="T2531">
        <f>IF($A2531="","",$S2531&amp;"|"&amp;$F2531)</f>
        <v/>
      </c>
      <c r="U2531">
        <f>IF($A2531="","",$R2531&amp;"("&amp;$E2531&amp;")")</f>
        <v/>
      </c>
      <c r="V2531">
        <f>IF($A2531="","",$F2531&amp;"|"&amp;$U2531&amp;"|"&amp;$D2531)</f>
        <v/>
      </c>
      <c r="W2531">
        <f>IF($T2531="","",IF($X2531&gt;N($X2530),$X2531,""))</f>
        <v/>
      </c>
      <c r="X2531">
        <f>IF($T2531="",N($X2530),IF(MATCH($T2531,$T$6:$T$6005,0)=ROW()-5,N($X2530)+1,N($X2530)))</f>
        <v/>
      </c>
      <c r="Z2531">
        <f>IF($V2531="","",IF($AA2531&gt;N($AA2530),$AA2531,""))</f>
        <v/>
      </c>
      <c r="AA2531">
        <f>IF($V2531="",N($AA2530),IF(MATCH($V2531,$V$6:$V$6005,0)=ROW()-5,N($AA2530)+1,N($AA2530)))</f>
        <v/>
      </c>
    </row>
    <row r="2532" ht="21" customHeight="1" s="66">
      <c r="A2532" s="56" t="n"/>
      <c r="B2532" s="57" t="n"/>
      <c r="C2532" s="57" t="n"/>
      <c r="D2532" s="57" t="n"/>
      <c r="E2532" s="56" t="n"/>
      <c r="F2532" s="57" t="n"/>
      <c r="G2532" s="57" t="n"/>
      <c r="H2532" s="56" t="n"/>
      <c r="I2532" s="56" t="n"/>
      <c r="J2532" s="58" t="n"/>
      <c r="K2532" s="58" t="n"/>
      <c r="L2532" s="13">
        <f>IF(OR($A2532="",AND($J2532="",$K2532="")),"",ROUND(N($J2532)-N($K2532),2))</f>
        <v/>
      </c>
      <c r="M2532" s="13">
        <f>IF(OR($A2532="",AND($J2532="",$K2532="")),"",MIN($J2532,$K2532))</f>
        <v/>
      </c>
      <c r="Q2532">
        <f>IF($A2532="","",$D2532&amp;"("&amp;SUBSTITUTE($E2532," ","")&amp;")")</f>
        <v/>
      </c>
      <c r="R2532">
        <f>IF($A2532="","",$B2532&amp;" - "&amp;$C2532)</f>
        <v/>
      </c>
      <c r="S2532">
        <f>IF($A2532="","",$R2532&amp;"|"&amp;$Q2532)</f>
        <v/>
      </c>
      <c r="T2532">
        <f>IF($A2532="","",$S2532&amp;"|"&amp;$F2532)</f>
        <v/>
      </c>
      <c r="U2532">
        <f>IF($A2532="","",$R2532&amp;"("&amp;$E2532&amp;")")</f>
        <v/>
      </c>
      <c r="V2532">
        <f>IF($A2532="","",$F2532&amp;"|"&amp;$U2532&amp;"|"&amp;$D2532)</f>
        <v/>
      </c>
      <c r="W2532">
        <f>IF($T2532="","",IF($X2532&gt;N($X2531),$X2532,""))</f>
        <v/>
      </c>
      <c r="X2532">
        <f>IF($T2532="",N($X2531),IF(MATCH($T2532,$T$6:$T$6005,0)=ROW()-5,N($X2531)+1,N($X2531)))</f>
        <v/>
      </c>
      <c r="Z2532">
        <f>IF($V2532="","",IF($AA2532&gt;N($AA2531),$AA2532,""))</f>
        <v/>
      </c>
      <c r="AA2532">
        <f>IF($V2532="",N($AA2531),IF(MATCH($V2532,$V$6:$V$6005,0)=ROW()-5,N($AA2531)+1,N($AA2531)))</f>
        <v/>
      </c>
    </row>
    <row r="2533" ht="21" customHeight="1" s="66">
      <c r="A2533" s="56" t="n"/>
      <c r="B2533" s="57" t="n"/>
      <c r="C2533" s="57" t="n"/>
      <c r="D2533" s="57" t="n"/>
      <c r="E2533" s="56" t="n"/>
      <c r="F2533" s="57" t="n"/>
      <c r="G2533" s="57" t="n"/>
      <c r="H2533" s="56" t="n"/>
      <c r="I2533" s="56" t="n"/>
      <c r="J2533" s="58" t="n"/>
      <c r="K2533" s="58" t="n"/>
      <c r="L2533" s="13">
        <f>IF(OR($A2533="",AND($J2533="",$K2533="")),"",ROUND(N($J2533)-N($K2533),2))</f>
        <v/>
      </c>
      <c r="M2533" s="13">
        <f>IF(OR($A2533="",AND($J2533="",$K2533="")),"",MIN($J2533,$K2533))</f>
        <v/>
      </c>
      <c r="Q2533">
        <f>IF($A2533="","",$D2533&amp;"("&amp;SUBSTITUTE($E2533," ","")&amp;")")</f>
        <v/>
      </c>
      <c r="R2533">
        <f>IF($A2533="","",$B2533&amp;" - "&amp;$C2533)</f>
        <v/>
      </c>
      <c r="S2533">
        <f>IF($A2533="","",$R2533&amp;"|"&amp;$Q2533)</f>
        <v/>
      </c>
      <c r="T2533">
        <f>IF($A2533="","",$S2533&amp;"|"&amp;$F2533)</f>
        <v/>
      </c>
      <c r="U2533">
        <f>IF($A2533="","",$R2533&amp;"("&amp;$E2533&amp;")")</f>
        <v/>
      </c>
      <c r="V2533">
        <f>IF($A2533="","",$F2533&amp;"|"&amp;$U2533&amp;"|"&amp;$D2533)</f>
        <v/>
      </c>
      <c r="W2533">
        <f>IF($T2533="","",IF($X2533&gt;N($X2532),$X2533,""))</f>
        <v/>
      </c>
      <c r="X2533">
        <f>IF($T2533="",N($X2532),IF(MATCH($T2533,$T$6:$T$6005,0)=ROW()-5,N($X2532)+1,N($X2532)))</f>
        <v/>
      </c>
      <c r="Z2533">
        <f>IF($V2533="","",IF($AA2533&gt;N($AA2532),$AA2533,""))</f>
        <v/>
      </c>
      <c r="AA2533">
        <f>IF($V2533="",N($AA2532),IF(MATCH($V2533,$V$6:$V$6005,0)=ROW()-5,N($AA2532)+1,N($AA2532)))</f>
        <v/>
      </c>
    </row>
    <row r="2534" ht="21" customHeight="1" s="66">
      <c r="A2534" s="56" t="n"/>
      <c r="B2534" s="57" t="n"/>
      <c r="C2534" s="57" t="n"/>
      <c r="D2534" s="57" t="n"/>
      <c r="E2534" s="56" t="n"/>
      <c r="F2534" s="57" t="n"/>
      <c r="G2534" s="57" t="n"/>
      <c r="H2534" s="56" t="n"/>
      <c r="I2534" s="56" t="n"/>
      <c r="J2534" s="58" t="n"/>
      <c r="K2534" s="58" t="n"/>
      <c r="L2534" s="13">
        <f>IF(OR($A2534="",AND($J2534="",$K2534="")),"",ROUND(N($J2534)-N($K2534),2))</f>
        <v/>
      </c>
      <c r="M2534" s="13">
        <f>IF(OR($A2534="",AND($J2534="",$K2534="")),"",MIN($J2534,$K2534))</f>
        <v/>
      </c>
      <c r="Q2534">
        <f>IF($A2534="","",$D2534&amp;"("&amp;SUBSTITUTE($E2534," ","")&amp;")")</f>
        <v/>
      </c>
      <c r="R2534">
        <f>IF($A2534="","",$B2534&amp;" - "&amp;$C2534)</f>
        <v/>
      </c>
      <c r="S2534">
        <f>IF($A2534="","",$R2534&amp;"|"&amp;$Q2534)</f>
        <v/>
      </c>
      <c r="T2534">
        <f>IF($A2534="","",$S2534&amp;"|"&amp;$F2534)</f>
        <v/>
      </c>
      <c r="U2534">
        <f>IF($A2534="","",$R2534&amp;"("&amp;$E2534&amp;")")</f>
        <v/>
      </c>
      <c r="V2534">
        <f>IF($A2534="","",$F2534&amp;"|"&amp;$U2534&amp;"|"&amp;$D2534)</f>
        <v/>
      </c>
      <c r="W2534">
        <f>IF($T2534="","",IF($X2534&gt;N($X2533),$X2534,""))</f>
        <v/>
      </c>
      <c r="X2534">
        <f>IF($T2534="",N($X2533),IF(MATCH($T2534,$T$6:$T$6005,0)=ROW()-5,N($X2533)+1,N($X2533)))</f>
        <v/>
      </c>
      <c r="Z2534">
        <f>IF($V2534="","",IF($AA2534&gt;N($AA2533),$AA2534,""))</f>
        <v/>
      </c>
      <c r="AA2534">
        <f>IF($V2534="",N($AA2533),IF(MATCH($V2534,$V$6:$V$6005,0)=ROW()-5,N($AA2533)+1,N($AA2533)))</f>
        <v/>
      </c>
    </row>
    <row r="2535" ht="21" customHeight="1" s="66">
      <c r="A2535" s="56" t="n"/>
      <c r="B2535" s="57" t="n"/>
      <c r="C2535" s="57" t="n"/>
      <c r="D2535" s="57" t="n"/>
      <c r="E2535" s="56" t="n"/>
      <c r="F2535" s="57" t="n"/>
      <c r="G2535" s="57" t="n"/>
      <c r="H2535" s="56" t="n"/>
      <c r="I2535" s="56" t="n"/>
      <c r="J2535" s="58" t="n"/>
      <c r="K2535" s="58" t="n"/>
      <c r="L2535" s="13">
        <f>IF(OR($A2535="",AND($J2535="",$K2535="")),"",ROUND(N($J2535)-N($K2535),2))</f>
        <v/>
      </c>
      <c r="M2535" s="13">
        <f>IF(OR($A2535="",AND($J2535="",$K2535="")),"",MIN($J2535,$K2535))</f>
        <v/>
      </c>
      <c r="Q2535">
        <f>IF($A2535="","",$D2535&amp;"("&amp;SUBSTITUTE($E2535," ","")&amp;")")</f>
        <v/>
      </c>
      <c r="R2535">
        <f>IF($A2535="","",$B2535&amp;" - "&amp;$C2535)</f>
        <v/>
      </c>
      <c r="S2535">
        <f>IF($A2535="","",$R2535&amp;"|"&amp;$Q2535)</f>
        <v/>
      </c>
      <c r="T2535">
        <f>IF($A2535="","",$S2535&amp;"|"&amp;$F2535)</f>
        <v/>
      </c>
      <c r="U2535">
        <f>IF($A2535="","",$R2535&amp;"("&amp;$E2535&amp;")")</f>
        <v/>
      </c>
      <c r="V2535">
        <f>IF($A2535="","",$F2535&amp;"|"&amp;$U2535&amp;"|"&amp;$D2535)</f>
        <v/>
      </c>
      <c r="W2535">
        <f>IF($T2535="","",IF($X2535&gt;N($X2534),$X2535,""))</f>
        <v/>
      </c>
      <c r="X2535">
        <f>IF($T2535="",N($X2534),IF(MATCH($T2535,$T$6:$T$6005,0)=ROW()-5,N($X2534)+1,N($X2534)))</f>
        <v/>
      </c>
      <c r="Z2535">
        <f>IF($V2535="","",IF($AA2535&gt;N($AA2534),$AA2535,""))</f>
        <v/>
      </c>
      <c r="AA2535">
        <f>IF($V2535="",N($AA2534),IF(MATCH($V2535,$V$6:$V$6005,0)=ROW()-5,N($AA2534)+1,N($AA2534)))</f>
        <v/>
      </c>
    </row>
    <row r="2536" ht="21" customHeight="1" s="66">
      <c r="A2536" s="56" t="n"/>
      <c r="B2536" s="57" t="n"/>
      <c r="C2536" s="57" t="n"/>
      <c r="D2536" s="57" t="n"/>
      <c r="E2536" s="56" t="n"/>
      <c r="F2536" s="57" t="n"/>
      <c r="G2536" s="57" t="n"/>
      <c r="H2536" s="56" t="n"/>
      <c r="I2536" s="56" t="n"/>
      <c r="J2536" s="58" t="n"/>
      <c r="K2536" s="58" t="n"/>
      <c r="L2536" s="13">
        <f>IF(OR($A2536="",AND($J2536="",$K2536="")),"",ROUND(N($J2536)-N($K2536),2))</f>
        <v/>
      </c>
      <c r="M2536" s="13">
        <f>IF(OR($A2536="",AND($J2536="",$K2536="")),"",MIN($J2536,$K2536))</f>
        <v/>
      </c>
      <c r="Q2536">
        <f>IF($A2536="","",$D2536&amp;"("&amp;SUBSTITUTE($E2536," ","")&amp;")")</f>
        <v/>
      </c>
      <c r="R2536">
        <f>IF($A2536="","",$B2536&amp;" - "&amp;$C2536)</f>
        <v/>
      </c>
      <c r="S2536">
        <f>IF($A2536="","",$R2536&amp;"|"&amp;$Q2536)</f>
        <v/>
      </c>
      <c r="T2536">
        <f>IF($A2536="","",$S2536&amp;"|"&amp;$F2536)</f>
        <v/>
      </c>
      <c r="U2536">
        <f>IF($A2536="","",$R2536&amp;"("&amp;$E2536&amp;")")</f>
        <v/>
      </c>
      <c r="V2536">
        <f>IF($A2536="","",$F2536&amp;"|"&amp;$U2536&amp;"|"&amp;$D2536)</f>
        <v/>
      </c>
      <c r="W2536">
        <f>IF($T2536="","",IF($X2536&gt;N($X2535),$X2536,""))</f>
        <v/>
      </c>
      <c r="X2536">
        <f>IF($T2536="",N($X2535),IF(MATCH($T2536,$T$6:$T$6005,0)=ROW()-5,N($X2535)+1,N($X2535)))</f>
        <v/>
      </c>
      <c r="Z2536">
        <f>IF($V2536="","",IF($AA2536&gt;N($AA2535),$AA2536,""))</f>
        <v/>
      </c>
      <c r="AA2536">
        <f>IF($V2536="",N($AA2535),IF(MATCH($V2536,$V$6:$V$6005,0)=ROW()-5,N($AA2535)+1,N($AA2535)))</f>
        <v/>
      </c>
    </row>
    <row r="2537" ht="21" customHeight="1" s="66">
      <c r="A2537" s="56" t="n"/>
      <c r="B2537" s="57" t="n"/>
      <c r="C2537" s="57" t="n"/>
      <c r="D2537" s="57" t="n"/>
      <c r="E2537" s="56" t="n"/>
      <c r="F2537" s="57" t="n"/>
      <c r="G2537" s="57" t="n"/>
      <c r="H2537" s="56" t="n"/>
      <c r="I2537" s="56" t="n"/>
      <c r="J2537" s="58" t="n"/>
      <c r="K2537" s="58" t="n"/>
      <c r="L2537" s="13">
        <f>IF(OR($A2537="",AND($J2537="",$K2537="")),"",ROUND(N($J2537)-N($K2537),2))</f>
        <v/>
      </c>
      <c r="M2537" s="13">
        <f>IF(OR($A2537="",AND($J2537="",$K2537="")),"",MIN($J2537,$K2537))</f>
        <v/>
      </c>
      <c r="Q2537">
        <f>IF($A2537="","",$D2537&amp;"("&amp;SUBSTITUTE($E2537," ","")&amp;")")</f>
        <v/>
      </c>
      <c r="R2537">
        <f>IF($A2537="","",$B2537&amp;" - "&amp;$C2537)</f>
        <v/>
      </c>
      <c r="S2537">
        <f>IF($A2537="","",$R2537&amp;"|"&amp;$Q2537)</f>
        <v/>
      </c>
      <c r="T2537">
        <f>IF($A2537="","",$S2537&amp;"|"&amp;$F2537)</f>
        <v/>
      </c>
      <c r="U2537">
        <f>IF($A2537="","",$R2537&amp;"("&amp;$E2537&amp;")")</f>
        <v/>
      </c>
      <c r="V2537">
        <f>IF($A2537="","",$F2537&amp;"|"&amp;$U2537&amp;"|"&amp;$D2537)</f>
        <v/>
      </c>
      <c r="W2537">
        <f>IF($T2537="","",IF($X2537&gt;N($X2536),$X2537,""))</f>
        <v/>
      </c>
      <c r="X2537">
        <f>IF($T2537="",N($X2536),IF(MATCH($T2537,$T$6:$T$6005,0)=ROW()-5,N($X2536)+1,N($X2536)))</f>
        <v/>
      </c>
      <c r="Z2537">
        <f>IF($V2537="","",IF($AA2537&gt;N($AA2536),$AA2537,""))</f>
        <v/>
      </c>
      <c r="AA2537">
        <f>IF($V2537="",N($AA2536),IF(MATCH($V2537,$V$6:$V$6005,0)=ROW()-5,N($AA2536)+1,N($AA2536)))</f>
        <v/>
      </c>
    </row>
    <row r="2538" ht="21" customHeight="1" s="66">
      <c r="A2538" s="56" t="n"/>
      <c r="B2538" s="57" t="n"/>
      <c r="C2538" s="57" t="n"/>
      <c r="D2538" s="57" t="n"/>
      <c r="E2538" s="56" t="n"/>
      <c r="F2538" s="57" t="n"/>
      <c r="G2538" s="57" t="n"/>
      <c r="H2538" s="56" t="n"/>
      <c r="I2538" s="56" t="n"/>
      <c r="J2538" s="58" t="n"/>
      <c r="K2538" s="58" t="n"/>
      <c r="L2538" s="13">
        <f>IF(OR($A2538="",AND($J2538="",$K2538="")),"",ROUND(N($J2538)-N($K2538),2))</f>
        <v/>
      </c>
      <c r="M2538" s="13">
        <f>IF(OR($A2538="",AND($J2538="",$K2538="")),"",MIN($J2538,$K2538))</f>
        <v/>
      </c>
      <c r="Q2538">
        <f>IF($A2538="","",$D2538&amp;"("&amp;SUBSTITUTE($E2538," ","")&amp;")")</f>
        <v/>
      </c>
      <c r="R2538">
        <f>IF($A2538="","",$B2538&amp;" - "&amp;$C2538)</f>
        <v/>
      </c>
      <c r="S2538">
        <f>IF($A2538="","",$R2538&amp;"|"&amp;$Q2538)</f>
        <v/>
      </c>
      <c r="T2538">
        <f>IF($A2538="","",$S2538&amp;"|"&amp;$F2538)</f>
        <v/>
      </c>
      <c r="U2538">
        <f>IF($A2538="","",$R2538&amp;"("&amp;$E2538&amp;")")</f>
        <v/>
      </c>
      <c r="V2538">
        <f>IF($A2538="","",$F2538&amp;"|"&amp;$U2538&amp;"|"&amp;$D2538)</f>
        <v/>
      </c>
      <c r="W2538">
        <f>IF($T2538="","",IF($X2538&gt;N($X2537),$X2538,""))</f>
        <v/>
      </c>
      <c r="X2538">
        <f>IF($T2538="",N($X2537),IF(MATCH($T2538,$T$6:$T$6005,0)=ROW()-5,N($X2537)+1,N($X2537)))</f>
        <v/>
      </c>
      <c r="Z2538">
        <f>IF($V2538="","",IF($AA2538&gt;N($AA2537),$AA2538,""))</f>
        <v/>
      </c>
      <c r="AA2538">
        <f>IF($V2538="",N($AA2537),IF(MATCH($V2538,$V$6:$V$6005,0)=ROW()-5,N($AA2537)+1,N($AA2537)))</f>
        <v/>
      </c>
    </row>
    <row r="2539" ht="21" customHeight="1" s="66">
      <c r="A2539" s="56" t="n"/>
      <c r="B2539" s="57" t="n"/>
      <c r="C2539" s="57" t="n"/>
      <c r="D2539" s="57" t="n"/>
      <c r="E2539" s="56" t="n"/>
      <c r="F2539" s="57" t="n"/>
      <c r="G2539" s="57" t="n"/>
      <c r="H2539" s="56" t="n"/>
      <c r="I2539" s="56" t="n"/>
      <c r="J2539" s="58" t="n"/>
      <c r="K2539" s="58" t="n"/>
      <c r="L2539" s="13">
        <f>IF(OR($A2539="",AND($J2539="",$K2539="")),"",ROUND(N($J2539)-N($K2539),2))</f>
        <v/>
      </c>
      <c r="M2539" s="13">
        <f>IF(OR($A2539="",AND($J2539="",$K2539="")),"",MIN($J2539,$K2539))</f>
        <v/>
      </c>
      <c r="Q2539">
        <f>IF($A2539="","",$D2539&amp;"("&amp;SUBSTITUTE($E2539," ","")&amp;")")</f>
        <v/>
      </c>
      <c r="R2539">
        <f>IF($A2539="","",$B2539&amp;" - "&amp;$C2539)</f>
        <v/>
      </c>
      <c r="S2539">
        <f>IF($A2539="","",$R2539&amp;"|"&amp;$Q2539)</f>
        <v/>
      </c>
      <c r="T2539">
        <f>IF($A2539="","",$S2539&amp;"|"&amp;$F2539)</f>
        <v/>
      </c>
      <c r="U2539">
        <f>IF($A2539="","",$R2539&amp;"("&amp;$E2539&amp;")")</f>
        <v/>
      </c>
      <c r="V2539">
        <f>IF($A2539="","",$F2539&amp;"|"&amp;$U2539&amp;"|"&amp;$D2539)</f>
        <v/>
      </c>
      <c r="W2539">
        <f>IF($T2539="","",IF($X2539&gt;N($X2538),$X2539,""))</f>
        <v/>
      </c>
      <c r="X2539">
        <f>IF($T2539="",N($X2538),IF(MATCH($T2539,$T$6:$T$6005,0)=ROW()-5,N($X2538)+1,N($X2538)))</f>
        <v/>
      </c>
      <c r="Z2539">
        <f>IF($V2539="","",IF($AA2539&gt;N($AA2538),$AA2539,""))</f>
        <v/>
      </c>
      <c r="AA2539">
        <f>IF($V2539="",N($AA2538),IF(MATCH($V2539,$V$6:$V$6005,0)=ROW()-5,N($AA2538)+1,N($AA2538)))</f>
        <v/>
      </c>
    </row>
    <row r="2540" ht="21" customHeight="1" s="66">
      <c r="A2540" s="56" t="n"/>
      <c r="B2540" s="57" t="n"/>
      <c r="C2540" s="57" t="n"/>
      <c r="D2540" s="57" t="n"/>
      <c r="E2540" s="56" t="n"/>
      <c r="F2540" s="57" t="n"/>
      <c r="G2540" s="57" t="n"/>
      <c r="H2540" s="56" t="n"/>
      <c r="I2540" s="56" t="n"/>
      <c r="J2540" s="58" t="n"/>
      <c r="K2540" s="58" t="n"/>
      <c r="L2540" s="13">
        <f>IF(OR($A2540="",AND($J2540="",$K2540="")),"",ROUND(N($J2540)-N($K2540),2))</f>
        <v/>
      </c>
      <c r="M2540" s="13">
        <f>IF(OR($A2540="",AND($J2540="",$K2540="")),"",MIN($J2540,$K2540))</f>
        <v/>
      </c>
      <c r="Q2540">
        <f>IF($A2540="","",$D2540&amp;"("&amp;SUBSTITUTE($E2540," ","")&amp;")")</f>
        <v/>
      </c>
      <c r="R2540">
        <f>IF($A2540="","",$B2540&amp;" - "&amp;$C2540)</f>
        <v/>
      </c>
      <c r="S2540">
        <f>IF($A2540="","",$R2540&amp;"|"&amp;$Q2540)</f>
        <v/>
      </c>
      <c r="T2540">
        <f>IF($A2540="","",$S2540&amp;"|"&amp;$F2540)</f>
        <v/>
      </c>
      <c r="U2540">
        <f>IF($A2540="","",$R2540&amp;"("&amp;$E2540&amp;")")</f>
        <v/>
      </c>
      <c r="V2540">
        <f>IF($A2540="","",$F2540&amp;"|"&amp;$U2540&amp;"|"&amp;$D2540)</f>
        <v/>
      </c>
      <c r="W2540">
        <f>IF($T2540="","",IF($X2540&gt;N($X2539),$X2540,""))</f>
        <v/>
      </c>
      <c r="X2540">
        <f>IF($T2540="",N($X2539),IF(MATCH($T2540,$T$6:$T$6005,0)=ROW()-5,N($X2539)+1,N($X2539)))</f>
        <v/>
      </c>
      <c r="Z2540">
        <f>IF($V2540="","",IF($AA2540&gt;N($AA2539),$AA2540,""))</f>
        <v/>
      </c>
      <c r="AA2540">
        <f>IF($V2540="",N($AA2539),IF(MATCH($V2540,$V$6:$V$6005,0)=ROW()-5,N($AA2539)+1,N($AA2539)))</f>
        <v/>
      </c>
    </row>
    <row r="2541" ht="21" customHeight="1" s="66">
      <c r="A2541" s="56" t="n"/>
      <c r="B2541" s="57" t="n"/>
      <c r="C2541" s="57" t="n"/>
      <c r="D2541" s="57" t="n"/>
      <c r="E2541" s="56" t="n"/>
      <c r="F2541" s="57" t="n"/>
      <c r="G2541" s="57" t="n"/>
      <c r="H2541" s="56" t="n"/>
      <c r="I2541" s="56" t="n"/>
      <c r="J2541" s="58" t="n"/>
      <c r="K2541" s="58" t="n"/>
      <c r="L2541" s="13">
        <f>IF(OR($A2541="",AND($J2541="",$K2541="")),"",ROUND(N($J2541)-N($K2541),2))</f>
        <v/>
      </c>
      <c r="M2541" s="13">
        <f>IF(OR($A2541="",AND($J2541="",$K2541="")),"",MIN($J2541,$K2541))</f>
        <v/>
      </c>
      <c r="Q2541">
        <f>IF($A2541="","",$D2541&amp;"("&amp;SUBSTITUTE($E2541," ","")&amp;")")</f>
        <v/>
      </c>
      <c r="R2541">
        <f>IF($A2541="","",$B2541&amp;" - "&amp;$C2541)</f>
        <v/>
      </c>
      <c r="S2541">
        <f>IF($A2541="","",$R2541&amp;"|"&amp;$Q2541)</f>
        <v/>
      </c>
      <c r="T2541">
        <f>IF($A2541="","",$S2541&amp;"|"&amp;$F2541)</f>
        <v/>
      </c>
      <c r="U2541">
        <f>IF($A2541="","",$R2541&amp;"("&amp;$E2541&amp;")")</f>
        <v/>
      </c>
      <c r="V2541">
        <f>IF($A2541="","",$F2541&amp;"|"&amp;$U2541&amp;"|"&amp;$D2541)</f>
        <v/>
      </c>
      <c r="W2541">
        <f>IF($T2541="","",IF($X2541&gt;N($X2540),$X2541,""))</f>
        <v/>
      </c>
      <c r="X2541">
        <f>IF($T2541="",N($X2540),IF(MATCH($T2541,$T$6:$T$6005,0)=ROW()-5,N($X2540)+1,N($X2540)))</f>
        <v/>
      </c>
      <c r="Z2541">
        <f>IF($V2541="","",IF($AA2541&gt;N($AA2540),$AA2541,""))</f>
        <v/>
      </c>
      <c r="AA2541">
        <f>IF($V2541="",N($AA2540),IF(MATCH($V2541,$V$6:$V$6005,0)=ROW()-5,N($AA2540)+1,N($AA2540)))</f>
        <v/>
      </c>
    </row>
    <row r="2542" ht="21" customHeight="1" s="66">
      <c r="A2542" s="56" t="n"/>
      <c r="B2542" s="57" t="n"/>
      <c r="C2542" s="57" t="n"/>
      <c r="D2542" s="57" t="n"/>
      <c r="E2542" s="56" t="n"/>
      <c r="F2542" s="57" t="n"/>
      <c r="G2542" s="57" t="n"/>
      <c r="H2542" s="56" t="n"/>
      <c r="I2542" s="56" t="n"/>
      <c r="J2542" s="58" t="n"/>
      <c r="K2542" s="58" t="n"/>
      <c r="L2542" s="13">
        <f>IF(OR($A2542="",AND($J2542="",$K2542="")),"",ROUND(N($J2542)-N($K2542),2))</f>
        <v/>
      </c>
      <c r="M2542" s="13">
        <f>IF(OR($A2542="",AND($J2542="",$K2542="")),"",MIN($J2542,$K2542))</f>
        <v/>
      </c>
      <c r="Q2542">
        <f>IF($A2542="","",$D2542&amp;"("&amp;SUBSTITUTE($E2542," ","")&amp;")")</f>
        <v/>
      </c>
      <c r="R2542">
        <f>IF($A2542="","",$B2542&amp;" - "&amp;$C2542)</f>
        <v/>
      </c>
      <c r="S2542">
        <f>IF($A2542="","",$R2542&amp;"|"&amp;$Q2542)</f>
        <v/>
      </c>
      <c r="T2542">
        <f>IF($A2542="","",$S2542&amp;"|"&amp;$F2542)</f>
        <v/>
      </c>
      <c r="U2542">
        <f>IF($A2542="","",$R2542&amp;"("&amp;$E2542&amp;")")</f>
        <v/>
      </c>
      <c r="V2542">
        <f>IF($A2542="","",$F2542&amp;"|"&amp;$U2542&amp;"|"&amp;$D2542)</f>
        <v/>
      </c>
      <c r="W2542">
        <f>IF($T2542="","",IF($X2542&gt;N($X2541),$X2542,""))</f>
        <v/>
      </c>
      <c r="X2542">
        <f>IF($T2542="",N($X2541),IF(MATCH($T2542,$T$6:$T$6005,0)=ROW()-5,N($X2541)+1,N($X2541)))</f>
        <v/>
      </c>
      <c r="Z2542">
        <f>IF($V2542="","",IF($AA2542&gt;N($AA2541),$AA2542,""))</f>
        <v/>
      </c>
      <c r="AA2542">
        <f>IF($V2542="",N($AA2541),IF(MATCH($V2542,$V$6:$V$6005,0)=ROW()-5,N($AA2541)+1,N($AA2541)))</f>
        <v/>
      </c>
    </row>
    <row r="2543" ht="21" customHeight="1" s="66">
      <c r="A2543" s="56" t="n"/>
      <c r="B2543" s="57" t="n"/>
      <c r="C2543" s="57" t="n"/>
      <c r="D2543" s="57" t="n"/>
      <c r="E2543" s="56" t="n"/>
      <c r="F2543" s="57" t="n"/>
      <c r="G2543" s="57" t="n"/>
      <c r="H2543" s="56" t="n"/>
      <c r="I2543" s="56" t="n"/>
      <c r="J2543" s="58" t="n"/>
      <c r="K2543" s="58" t="n"/>
      <c r="L2543" s="13">
        <f>IF(OR($A2543="",AND($J2543="",$K2543="")),"",ROUND(N($J2543)-N($K2543),2))</f>
        <v/>
      </c>
      <c r="M2543" s="13">
        <f>IF(OR($A2543="",AND($J2543="",$K2543="")),"",MIN($J2543,$K2543))</f>
        <v/>
      </c>
      <c r="Q2543">
        <f>IF($A2543="","",$D2543&amp;"("&amp;SUBSTITUTE($E2543," ","")&amp;")")</f>
        <v/>
      </c>
      <c r="R2543">
        <f>IF($A2543="","",$B2543&amp;" - "&amp;$C2543)</f>
        <v/>
      </c>
      <c r="S2543">
        <f>IF($A2543="","",$R2543&amp;"|"&amp;$Q2543)</f>
        <v/>
      </c>
      <c r="T2543">
        <f>IF($A2543="","",$S2543&amp;"|"&amp;$F2543)</f>
        <v/>
      </c>
      <c r="U2543">
        <f>IF($A2543="","",$R2543&amp;"("&amp;$E2543&amp;")")</f>
        <v/>
      </c>
      <c r="V2543">
        <f>IF($A2543="","",$F2543&amp;"|"&amp;$U2543&amp;"|"&amp;$D2543)</f>
        <v/>
      </c>
      <c r="W2543">
        <f>IF($T2543="","",IF($X2543&gt;N($X2542),$X2543,""))</f>
        <v/>
      </c>
      <c r="X2543">
        <f>IF($T2543="",N($X2542),IF(MATCH($T2543,$T$6:$T$6005,0)=ROW()-5,N($X2542)+1,N($X2542)))</f>
        <v/>
      </c>
      <c r="Z2543">
        <f>IF($V2543="","",IF($AA2543&gt;N($AA2542),$AA2543,""))</f>
        <v/>
      </c>
      <c r="AA2543">
        <f>IF($V2543="",N($AA2542),IF(MATCH($V2543,$V$6:$V$6005,0)=ROW()-5,N($AA2542)+1,N($AA2542)))</f>
        <v/>
      </c>
    </row>
    <row r="2544" ht="21" customHeight="1" s="66">
      <c r="A2544" s="56" t="n"/>
      <c r="B2544" s="57" t="n"/>
      <c r="C2544" s="57" t="n"/>
      <c r="D2544" s="57" t="n"/>
      <c r="E2544" s="56" t="n"/>
      <c r="F2544" s="57" t="n"/>
      <c r="G2544" s="57" t="n"/>
      <c r="H2544" s="56" t="n"/>
      <c r="I2544" s="56" t="n"/>
      <c r="J2544" s="58" t="n"/>
      <c r="K2544" s="58" t="n"/>
      <c r="L2544" s="13">
        <f>IF(OR($A2544="",AND($J2544="",$K2544="")),"",ROUND(N($J2544)-N($K2544),2))</f>
        <v/>
      </c>
      <c r="M2544" s="13">
        <f>IF(OR($A2544="",AND($J2544="",$K2544="")),"",MIN($J2544,$K2544))</f>
        <v/>
      </c>
      <c r="Q2544">
        <f>IF($A2544="","",$D2544&amp;"("&amp;SUBSTITUTE($E2544," ","")&amp;")")</f>
        <v/>
      </c>
      <c r="R2544">
        <f>IF($A2544="","",$B2544&amp;" - "&amp;$C2544)</f>
        <v/>
      </c>
      <c r="S2544">
        <f>IF($A2544="","",$R2544&amp;"|"&amp;$Q2544)</f>
        <v/>
      </c>
      <c r="T2544">
        <f>IF($A2544="","",$S2544&amp;"|"&amp;$F2544)</f>
        <v/>
      </c>
      <c r="U2544">
        <f>IF($A2544="","",$R2544&amp;"("&amp;$E2544&amp;")")</f>
        <v/>
      </c>
      <c r="V2544">
        <f>IF($A2544="","",$F2544&amp;"|"&amp;$U2544&amp;"|"&amp;$D2544)</f>
        <v/>
      </c>
      <c r="W2544">
        <f>IF($T2544="","",IF($X2544&gt;N($X2543),$X2544,""))</f>
        <v/>
      </c>
      <c r="X2544">
        <f>IF($T2544="",N($X2543),IF(MATCH($T2544,$T$6:$T$6005,0)=ROW()-5,N($X2543)+1,N($X2543)))</f>
        <v/>
      </c>
      <c r="Z2544">
        <f>IF($V2544="","",IF($AA2544&gt;N($AA2543),$AA2544,""))</f>
        <v/>
      </c>
      <c r="AA2544">
        <f>IF($V2544="",N($AA2543),IF(MATCH($V2544,$V$6:$V$6005,0)=ROW()-5,N($AA2543)+1,N($AA2543)))</f>
        <v/>
      </c>
    </row>
    <row r="2545" ht="21" customHeight="1" s="66">
      <c r="A2545" s="56" t="n"/>
      <c r="B2545" s="57" t="n"/>
      <c r="C2545" s="57" t="n"/>
      <c r="D2545" s="57" t="n"/>
      <c r="E2545" s="56" t="n"/>
      <c r="F2545" s="57" t="n"/>
      <c r="G2545" s="57" t="n"/>
      <c r="H2545" s="56" t="n"/>
      <c r="I2545" s="56" t="n"/>
      <c r="J2545" s="58" t="n"/>
      <c r="K2545" s="58" t="n"/>
      <c r="L2545" s="13">
        <f>IF(OR($A2545="",AND($J2545="",$K2545="")),"",ROUND(N($J2545)-N($K2545),2))</f>
        <v/>
      </c>
      <c r="M2545" s="13">
        <f>IF(OR($A2545="",AND($J2545="",$K2545="")),"",MIN($J2545,$K2545))</f>
        <v/>
      </c>
      <c r="Q2545">
        <f>IF($A2545="","",$D2545&amp;"("&amp;SUBSTITUTE($E2545," ","")&amp;")")</f>
        <v/>
      </c>
      <c r="R2545">
        <f>IF($A2545="","",$B2545&amp;" - "&amp;$C2545)</f>
        <v/>
      </c>
      <c r="S2545">
        <f>IF($A2545="","",$R2545&amp;"|"&amp;$Q2545)</f>
        <v/>
      </c>
      <c r="T2545">
        <f>IF($A2545="","",$S2545&amp;"|"&amp;$F2545)</f>
        <v/>
      </c>
      <c r="U2545">
        <f>IF($A2545="","",$R2545&amp;"("&amp;$E2545&amp;")")</f>
        <v/>
      </c>
      <c r="V2545">
        <f>IF($A2545="","",$F2545&amp;"|"&amp;$U2545&amp;"|"&amp;$D2545)</f>
        <v/>
      </c>
      <c r="W2545">
        <f>IF($T2545="","",IF($X2545&gt;N($X2544),$X2545,""))</f>
        <v/>
      </c>
      <c r="X2545">
        <f>IF($T2545="",N($X2544),IF(MATCH($T2545,$T$6:$T$6005,0)=ROW()-5,N($X2544)+1,N($X2544)))</f>
        <v/>
      </c>
      <c r="Z2545">
        <f>IF($V2545="","",IF($AA2545&gt;N($AA2544),$AA2545,""))</f>
        <v/>
      </c>
      <c r="AA2545">
        <f>IF($V2545="",N($AA2544),IF(MATCH($V2545,$V$6:$V$6005,0)=ROW()-5,N($AA2544)+1,N($AA2544)))</f>
        <v/>
      </c>
    </row>
    <row r="2546" ht="21" customHeight="1" s="66">
      <c r="A2546" s="56" t="n"/>
      <c r="B2546" s="57" t="n"/>
      <c r="C2546" s="57" t="n"/>
      <c r="D2546" s="57" t="n"/>
      <c r="E2546" s="56" t="n"/>
      <c r="F2546" s="57" t="n"/>
      <c r="G2546" s="57" t="n"/>
      <c r="H2546" s="56" t="n"/>
      <c r="I2546" s="56" t="n"/>
      <c r="J2546" s="58" t="n"/>
      <c r="K2546" s="58" t="n"/>
      <c r="L2546" s="13">
        <f>IF(OR($A2546="",AND($J2546="",$K2546="")),"",ROUND(N($J2546)-N($K2546),2))</f>
        <v/>
      </c>
      <c r="M2546" s="13">
        <f>IF(OR($A2546="",AND($J2546="",$K2546="")),"",MIN($J2546,$K2546))</f>
        <v/>
      </c>
      <c r="Q2546">
        <f>IF($A2546="","",$D2546&amp;"("&amp;SUBSTITUTE($E2546," ","")&amp;")")</f>
        <v/>
      </c>
      <c r="R2546">
        <f>IF($A2546="","",$B2546&amp;" - "&amp;$C2546)</f>
        <v/>
      </c>
      <c r="S2546">
        <f>IF($A2546="","",$R2546&amp;"|"&amp;$Q2546)</f>
        <v/>
      </c>
      <c r="T2546">
        <f>IF($A2546="","",$S2546&amp;"|"&amp;$F2546)</f>
        <v/>
      </c>
      <c r="U2546">
        <f>IF($A2546="","",$R2546&amp;"("&amp;$E2546&amp;")")</f>
        <v/>
      </c>
      <c r="V2546">
        <f>IF($A2546="","",$F2546&amp;"|"&amp;$U2546&amp;"|"&amp;$D2546)</f>
        <v/>
      </c>
      <c r="W2546">
        <f>IF($T2546="","",IF($X2546&gt;N($X2545),$X2546,""))</f>
        <v/>
      </c>
      <c r="X2546">
        <f>IF($T2546="",N($X2545),IF(MATCH($T2546,$T$6:$T$6005,0)=ROW()-5,N($X2545)+1,N($X2545)))</f>
        <v/>
      </c>
      <c r="Z2546">
        <f>IF($V2546="","",IF($AA2546&gt;N($AA2545),$AA2546,""))</f>
        <v/>
      </c>
      <c r="AA2546">
        <f>IF($V2546="",N($AA2545),IF(MATCH($V2546,$V$6:$V$6005,0)=ROW()-5,N($AA2545)+1,N($AA2545)))</f>
        <v/>
      </c>
    </row>
    <row r="2547" ht="21" customHeight="1" s="66">
      <c r="A2547" s="56" t="n"/>
      <c r="B2547" s="57" t="n"/>
      <c r="C2547" s="57" t="n"/>
      <c r="D2547" s="57" t="n"/>
      <c r="E2547" s="56" t="n"/>
      <c r="F2547" s="57" t="n"/>
      <c r="G2547" s="57" t="n"/>
      <c r="H2547" s="56" t="n"/>
      <c r="I2547" s="56" t="n"/>
      <c r="J2547" s="58" t="n"/>
      <c r="K2547" s="58" t="n"/>
      <c r="L2547" s="13">
        <f>IF(OR($A2547="",AND($J2547="",$K2547="")),"",ROUND(N($J2547)-N($K2547),2))</f>
        <v/>
      </c>
      <c r="M2547" s="13">
        <f>IF(OR($A2547="",AND($J2547="",$K2547="")),"",MIN($J2547,$K2547))</f>
        <v/>
      </c>
      <c r="Q2547">
        <f>IF($A2547="","",$D2547&amp;"("&amp;SUBSTITUTE($E2547," ","")&amp;")")</f>
        <v/>
      </c>
      <c r="R2547">
        <f>IF($A2547="","",$B2547&amp;" - "&amp;$C2547)</f>
        <v/>
      </c>
      <c r="S2547">
        <f>IF($A2547="","",$R2547&amp;"|"&amp;$Q2547)</f>
        <v/>
      </c>
      <c r="T2547">
        <f>IF($A2547="","",$S2547&amp;"|"&amp;$F2547)</f>
        <v/>
      </c>
      <c r="U2547">
        <f>IF($A2547="","",$R2547&amp;"("&amp;$E2547&amp;")")</f>
        <v/>
      </c>
      <c r="V2547">
        <f>IF($A2547="","",$F2547&amp;"|"&amp;$U2547&amp;"|"&amp;$D2547)</f>
        <v/>
      </c>
      <c r="W2547">
        <f>IF($T2547="","",IF($X2547&gt;N($X2546),$X2547,""))</f>
        <v/>
      </c>
      <c r="X2547">
        <f>IF($T2547="",N($X2546),IF(MATCH($T2547,$T$6:$T$6005,0)=ROW()-5,N($X2546)+1,N($X2546)))</f>
        <v/>
      </c>
      <c r="Z2547">
        <f>IF($V2547="","",IF($AA2547&gt;N($AA2546),$AA2547,""))</f>
        <v/>
      </c>
      <c r="AA2547">
        <f>IF($V2547="",N($AA2546),IF(MATCH($V2547,$V$6:$V$6005,0)=ROW()-5,N($AA2546)+1,N($AA2546)))</f>
        <v/>
      </c>
    </row>
    <row r="2548" ht="21" customHeight="1" s="66">
      <c r="A2548" s="56" t="n"/>
      <c r="B2548" s="57" t="n"/>
      <c r="C2548" s="57" t="n"/>
      <c r="D2548" s="57" t="n"/>
      <c r="E2548" s="56" t="n"/>
      <c r="F2548" s="57" t="n"/>
      <c r="G2548" s="57" t="n"/>
      <c r="H2548" s="56" t="n"/>
      <c r="I2548" s="56" t="n"/>
      <c r="J2548" s="58" t="n"/>
      <c r="K2548" s="58" t="n"/>
      <c r="L2548" s="13">
        <f>IF(OR($A2548="",AND($J2548="",$K2548="")),"",ROUND(N($J2548)-N($K2548),2))</f>
        <v/>
      </c>
      <c r="M2548" s="13">
        <f>IF(OR($A2548="",AND($J2548="",$K2548="")),"",MIN($J2548,$K2548))</f>
        <v/>
      </c>
      <c r="Q2548">
        <f>IF($A2548="","",$D2548&amp;"("&amp;SUBSTITUTE($E2548," ","")&amp;")")</f>
        <v/>
      </c>
      <c r="R2548">
        <f>IF($A2548="","",$B2548&amp;" - "&amp;$C2548)</f>
        <v/>
      </c>
      <c r="S2548">
        <f>IF($A2548="","",$R2548&amp;"|"&amp;$Q2548)</f>
        <v/>
      </c>
      <c r="T2548">
        <f>IF($A2548="","",$S2548&amp;"|"&amp;$F2548)</f>
        <v/>
      </c>
      <c r="U2548">
        <f>IF($A2548="","",$R2548&amp;"("&amp;$E2548&amp;")")</f>
        <v/>
      </c>
      <c r="V2548">
        <f>IF($A2548="","",$F2548&amp;"|"&amp;$U2548&amp;"|"&amp;$D2548)</f>
        <v/>
      </c>
      <c r="W2548">
        <f>IF($T2548="","",IF($X2548&gt;N($X2547),$X2548,""))</f>
        <v/>
      </c>
      <c r="X2548">
        <f>IF($T2548="",N($X2547),IF(MATCH($T2548,$T$6:$T$6005,0)=ROW()-5,N($X2547)+1,N($X2547)))</f>
        <v/>
      </c>
      <c r="Z2548">
        <f>IF($V2548="","",IF($AA2548&gt;N($AA2547),$AA2548,""))</f>
        <v/>
      </c>
      <c r="AA2548">
        <f>IF($V2548="",N($AA2547),IF(MATCH($V2548,$V$6:$V$6005,0)=ROW()-5,N($AA2547)+1,N($AA2547)))</f>
        <v/>
      </c>
    </row>
    <row r="2549" ht="21" customHeight="1" s="66">
      <c r="A2549" s="56" t="n"/>
      <c r="B2549" s="57" t="n"/>
      <c r="C2549" s="57" t="n"/>
      <c r="D2549" s="57" t="n"/>
      <c r="E2549" s="56" t="n"/>
      <c r="F2549" s="57" t="n"/>
      <c r="G2549" s="57" t="n"/>
      <c r="H2549" s="56" t="n"/>
      <c r="I2549" s="56" t="n"/>
      <c r="J2549" s="58" t="n"/>
      <c r="K2549" s="58" t="n"/>
      <c r="L2549" s="13">
        <f>IF(OR($A2549="",AND($J2549="",$K2549="")),"",ROUND(N($J2549)-N($K2549),2))</f>
        <v/>
      </c>
      <c r="M2549" s="13">
        <f>IF(OR($A2549="",AND($J2549="",$K2549="")),"",MIN($J2549,$K2549))</f>
        <v/>
      </c>
      <c r="Q2549">
        <f>IF($A2549="","",$D2549&amp;"("&amp;SUBSTITUTE($E2549," ","")&amp;")")</f>
        <v/>
      </c>
      <c r="R2549">
        <f>IF($A2549="","",$B2549&amp;" - "&amp;$C2549)</f>
        <v/>
      </c>
      <c r="S2549">
        <f>IF($A2549="","",$R2549&amp;"|"&amp;$Q2549)</f>
        <v/>
      </c>
      <c r="T2549">
        <f>IF($A2549="","",$S2549&amp;"|"&amp;$F2549)</f>
        <v/>
      </c>
      <c r="U2549">
        <f>IF($A2549="","",$R2549&amp;"("&amp;$E2549&amp;")")</f>
        <v/>
      </c>
      <c r="V2549">
        <f>IF($A2549="","",$F2549&amp;"|"&amp;$U2549&amp;"|"&amp;$D2549)</f>
        <v/>
      </c>
      <c r="W2549">
        <f>IF($T2549="","",IF($X2549&gt;N($X2548),$X2549,""))</f>
        <v/>
      </c>
      <c r="X2549">
        <f>IF($T2549="",N($X2548),IF(MATCH($T2549,$T$6:$T$6005,0)=ROW()-5,N($X2548)+1,N($X2548)))</f>
        <v/>
      </c>
      <c r="Z2549">
        <f>IF($V2549="","",IF($AA2549&gt;N($AA2548),$AA2549,""))</f>
        <v/>
      </c>
      <c r="AA2549">
        <f>IF($V2549="",N($AA2548),IF(MATCH($V2549,$V$6:$V$6005,0)=ROW()-5,N($AA2548)+1,N($AA2548)))</f>
        <v/>
      </c>
    </row>
    <row r="2550" ht="21" customHeight="1" s="66">
      <c r="A2550" s="56" t="n"/>
      <c r="B2550" s="57" t="n"/>
      <c r="C2550" s="57" t="n"/>
      <c r="D2550" s="57" t="n"/>
      <c r="E2550" s="56" t="n"/>
      <c r="F2550" s="57" t="n"/>
      <c r="G2550" s="57" t="n"/>
      <c r="H2550" s="56" t="n"/>
      <c r="I2550" s="56" t="n"/>
      <c r="J2550" s="58" t="n"/>
      <c r="K2550" s="58" t="n"/>
      <c r="L2550" s="13">
        <f>IF(OR($A2550="",AND($J2550="",$K2550="")),"",ROUND(N($J2550)-N($K2550),2))</f>
        <v/>
      </c>
      <c r="M2550" s="13">
        <f>IF(OR($A2550="",AND($J2550="",$K2550="")),"",MIN($J2550,$K2550))</f>
        <v/>
      </c>
      <c r="Q2550">
        <f>IF($A2550="","",$D2550&amp;"("&amp;SUBSTITUTE($E2550," ","")&amp;")")</f>
        <v/>
      </c>
      <c r="R2550">
        <f>IF($A2550="","",$B2550&amp;" - "&amp;$C2550)</f>
        <v/>
      </c>
      <c r="S2550">
        <f>IF($A2550="","",$R2550&amp;"|"&amp;$Q2550)</f>
        <v/>
      </c>
      <c r="T2550">
        <f>IF($A2550="","",$S2550&amp;"|"&amp;$F2550)</f>
        <v/>
      </c>
      <c r="U2550">
        <f>IF($A2550="","",$R2550&amp;"("&amp;$E2550&amp;")")</f>
        <v/>
      </c>
      <c r="V2550">
        <f>IF($A2550="","",$F2550&amp;"|"&amp;$U2550&amp;"|"&amp;$D2550)</f>
        <v/>
      </c>
      <c r="W2550">
        <f>IF($T2550="","",IF($X2550&gt;N($X2549),$X2550,""))</f>
        <v/>
      </c>
      <c r="X2550">
        <f>IF($T2550="",N($X2549),IF(MATCH($T2550,$T$6:$T$6005,0)=ROW()-5,N($X2549)+1,N($X2549)))</f>
        <v/>
      </c>
      <c r="Z2550">
        <f>IF($V2550="","",IF($AA2550&gt;N($AA2549),$AA2550,""))</f>
        <v/>
      </c>
      <c r="AA2550">
        <f>IF($V2550="",N($AA2549),IF(MATCH($V2550,$V$6:$V$6005,0)=ROW()-5,N($AA2549)+1,N($AA2549)))</f>
        <v/>
      </c>
    </row>
    <row r="2551" ht="21" customHeight="1" s="66">
      <c r="A2551" s="56" t="n"/>
      <c r="B2551" s="57" t="n"/>
      <c r="C2551" s="57" t="n"/>
      <c r="D2551" s="57" t="n"/>
      <c r="E2551" s="56" t="n"/>
      <c r="F2551" s="57" t="n"/>
      <c r="G2551" s="57" t="n"/>
      <c r="H2551" s="56" t="n"/>
      <c r="I2551" s="56" t="n"/>
      <c r="J2551" s="58" t="n"/>
      <c r="K2551" s="58" t="n"/>
      <c r="L2551" s="13">
        <f>IF(OR($A2551="",AND($J2551="",$K2551="")),"",ROUND(N($J2551)-N($K2551),2))</f>
        <v/>
      </c>
      <c r="M2551" s="13">
        <f>IF(OR($A2551="",AND($J2551="",$K2551="")),"",MIN($J2551,$K2551))</f>
        <v/>
      </c>
      <c r="Q2551">
        <f>IF($A2551="","",$D2551&amp;"("&amp;SUBSTITUTE($E2551," ","")&amp;")")</f>
        <v/>
      </c>
      <c r="R2551">
        <f>IF($A2551="","",$B2551&amp;" - "&amp;$C2551)</f>
        <v/>
      </c>
      <c r="S2551">
        <f>IF($A2551="","",$R2551&amp;"|"&amp;$Q2551)</f>
        <v/>
      </c>
      <c r="T2551">
        <f>IF($A2551="","",$S2551&amp;"|"&amp;$F2551)</f>
        <v/>
      </c>
      <c r="U2551">
        <f>IF($A2551="","",$R2551&amp;"("&amp;$E2551&amp;")")</f>
        <v/>
      </c>
      <c r="V2551">
        <f>IF($A2551="","",$F2551&amp;"|"&amp;$U2551&amp;"|"&amp;$D2551)</f>
        <v/>
      </c>
      <c r="W2551">
        <f>IF($T2551="","",IF($X2551&gt;N($X2550),$X2551,""))</f>
        <v/>
      </c>
      <c r="X2551">
        <f>IF($T2551="",N($X2550),IF(MATCH($T2551,$T$6:$T$6005,0)=ROW()-5,N($X2550)+1,N($X2550)))</f>
        <v/>
      </c>
      <c r="Z2551">
        <f>IF($V2551="","",IF($AA2551&gt;N($AA2550),$AA2551,""))</f>
        <v/>
      </c>
      <c r="AA2551">
        <f>IF($V2551="",N($AA2550),IF(MATCH($V2551,$V$6:$V$6005,0)=ROW()-5,N($AA2550)+1,N($AA2550)))</f>
        <v/>
      </c>
    </row>
    <row r="2552" ht="21" customHeight="1" s="66">
      <c r="A2552" s="56" t="n"/>
      <c r="B2552" s="57" t="n"/>
      <c r="C2552" s="57" t="n"/>
      <c r="D2552" s="57" t="n"/>
      <c r="E2552" s="56" t="n"/>
      <c r="F2552" s="57" t="n"/>
      <c r="G2552" s="57" t="n"/>
      <c r="H2552" s="56" t="n"/>
      <c r="I2552" s="56" t="n"/>
      <c r="J2552" s="58" t="n"/>
      <c r="K2552" s="58" t="n"/>
      <c r="L2552" s="13">
        <f>IF(OR($A2552="",AND($J2552="",$K2552="")),"",ROUND(N($J2552)-N($K2552),2))</f>
        <v/>
      </c>
      <c r="M2552" s="13">
        <f>IF(OR($A2552="",AND($J2552="",$K2552="")),"",MIN($J2552,$K2552))</f>
        <v/>
      </c>
      <c r="Q2552">
        <f>IF($A2552="","",$D2552&amp;"("&amp;SUBSTITUTE($E2552," ","")&amp;")")</f>
        <v/>
      </c>
      <c r="R2552">
        <f>IF($A2552="","",$B2552&amp;" - "&amp;$C2552)</f>
        <v/>
      </c>
      <c r="S2552">
        <f>IF($A2552="","",$R2552&amp;"|"&amp;$Q2552)</f>
        <v/>
      </c>
      <c r="T2552">
        <f>IF($A2552="","",$S2552&amp;"|"&amp;$F2552)</f>
        <v/>
      </c>
      <c r="U2552">
        <f>IF($A2552="","",$R2552&amp;"("&amp;$E2552&amp;")")</f>
        <v/>
      </c>
      <c r="V2552">
        <f>IF($A2552="","",$F2552&amp;"|"&amp;$U2552&amp;"|"&amp;$D2552)</f>
        <v/>
      </c>
      <c r="W2552">
        <f>IF($T2552="","",IF($X2552&gt;N($X2551),$X2552,""))</f>
        <v/>
      </c>
      <c r="X2552">
        <f>IF($T2552="",N($X2551),IF(MATCH($T2552,$T$6:$T$6005,0)=ROW()-5,N($X2551)+1,N($X2551)))</f>
        <v/>
      </c>
      <c r="Z2552">
        <f>IF($V2552="","",IF($AA2552&gt;N($AA2551),$AA2552,""))</f>
        <v/>
      </c>
      <c r="AA2552">
        <f>IF($V2552="",N($AA2551),IF(MATCH($V2552,$V$6:$V$6005,0)=ROW()-5,N($AA2551)+1,N($AA2551)))</f>
        <v/>
      </c>
    </row>
    <row r="2553" ht="21" customHeight="1" s="66">
      <c r="A2553" s="56" t="n"/>
      <c r="B2553" s="57" t="n"/>
      <c r="C2553" s="57" t="n"/>
      <c r="D2553" s="57" t="n"/>
      <c r="E2553" s="56" t="n"/>
      <c r="F2553" s="57" t="n"/>
      <c r="G2553" s="57" t="n"/>
      <c r="H2553" s="56" t="n"/>
      <c r="I2553" s="56" t="n"/>
      <c r="J2553" s="58" t="n"/>
      <c r="K2553" s="58" t="n"/>
      <c r="L2553" s="13">
        <f>IF(OR($A2553="",AND($J2553="",$K2553="")),"",ROUND(N($J2553)-N($K2553),2))</f>
        <v/>
      </c>
      <c r="M2553" s="13">
        <f>IF(OR($A2553="",AND($J2553="",$K2553="")),"",MIN($J2553,$K2553))</f>
        <v/>
      </c>
      <c r="Q2553">
        <f>IF($A2553="","",$D2553&amp;"("&amp;SUBSTITUTE($E2553," ","")&amp;")")</f>
        <v/>
      </c>
      <c r="R2553">
        <f>IF($A2553="","",$B2553&amp;" - "&amp;$C2553)</f>
        <v/>
      </c>
      <c r="S2553">
        <f>IF($A2553="","",$R2553&amp;"|"&amp;$Q2553)</f>
        <v/>
      </c>
      <c r="T2553">
        <f>IF($A2553="","",$S2553&amp;"|"&amp;$F2553)</f>
        <v/>
      </c>
      <c r="U2553">
        <f>IF($A2553="","",$R2553&amp;"("&amp;$E2553&amp;")")</f>
        <v/>
      </c>
      <c r="V2553">
        <f>IF($A2553="","",$F2553&amp;"|"&amp;$U2553&amp;"|"&amp;$D2553)</f>
        <v/>
      </c>
      <c r="W2553">
        <f>IF($T2553="","",IF($X2553&gt;N($X2552),$X2553,""))</f>
        <v/>
      </c>
      <c r="X2553">
        <f>IF($T2553="",N($X2552),IF(MATCH($T2553,$T$6:$T$6005,0)=ROW()-5,N($X2552)+1,N($X2552)))</f>
        <v/>
      </c>
      <c r="Z2553">
        <f>IF($V2553="","",IF($AA2553&gt;N($AA2552),$AA2553,""))</f>
        <v/>
      </c>
      <c r="AA2553">
        <f>IF($V2553="",N($AA2552),IF(MATCH($V2553,$V$6:$V$6005,0)=ROW()-5,N($AA2552)+1,N($AA2552)))</f>
        <v/>
      </c>
    </row>
    <row r="2554" ht="21" customHeight="1" s="66">
      <c r="A2554" s="56" t="n"/>
      <c r="B2554" s="57" t="n"/>
      <c r="C2554" s="57" t="n"/>
      <c r="D2554" s="57" t="n"/>
      <c r="E2554" s="56" t="n"/>
      <c r="F2554" s="57" t="n"/>
      <c r="G2554" s="57" t="n"/>
      <c r="H2554" s="56" t="n"/>
      <c r="I2554" s="56" t="n"/>
      <c r="J2554" s="58" t="n"/>
      <c r="K2554" s="58" t="n"/>
      <c r="L2554" s="13">
        <f>IF(OR($A2554="",AND($J2554="",$K2554="")),"",ROUND(N($J2554)-N($K2554),2))</f>
        <v/>
      </c>
      <c r="M2554" s="13">
        <f>IF(OR($A2554="",AND($J2554="",$K2554="")),"",MIN($J2554,$K2554))</f>
        <v/>
      </c>
      <c r="Q2554">
        <f>IF($A2554="","",$D2554&amp;"("&amp;SUBSTITUTE($E2554," ","")&amp;")")</f>
        <v/>
      </c>
      <c r="R2554">
        <f>IF($A2554="","",$B2554&amp;" - "&amp;$C2554)</f>
        <v/>
      </c>
      <c r="S2554">
        <f>IF($A2554="","",$R2554&amp;"|"&amp;$Q2554)</f>
        <v/>
      </c>
      <c r="T2554">
        <f>IF($A2554="","",$S2554&amp;"|"&amp;$F2554)</f>
        <v/>
      </c>
      <c r="U2554">
        <f>IF($A2554="","",$R2554&amp;"("&amp;$E2554&amp;")")</f>
        <v/>
      </c>
      <c r="V2554">
        <f>IF($A2554="","",$F2554&amp;"|"&amp;$U2554&amp;"|"&amp;$D2554)</f>
        <v/>
      </c>
      <c r="W2554">
        <f>IF($T2554="","",IF($X2554&gt;N($X2553),$X2554,""))</f>
        <v/>
      </c>
      <c r="X2554">
        <f>IF($T2554="",N($X2553),IF(MATCH($T2554,$T$6:$T$6005,0)=ROW()-5,N($X2553)+1,N($X2553)))</f>
        <v/>
      </c>
      <c r="Z2554">
        <f>IF($V2554="","",IF($AA2554&gt;N($AA2553),$AA2554,""))</f>
        <v/>
      </c>
      <c r="AA2554">
        <f>IF($V2554="",N($AA2553),IF(MATCH($V2554,$V$6:$V$6005,0)=ROW()-5,N($AA2553)+1,N($AA2553)))</f>
        <v/>
      </c>
    </row>
    <row r="2555" ht="21" customHeight="1" s="66">
      <c r="A2555" s="56" t="n"/>
      <c r="B2555" s="57" t="n"/>
      <c r="C2555" s="57" t="n"/>
      <c r="D2555" s="57" t="n"/>
      <c r="E2555" s="56" t="n"/>
      <c r="F2555" s="57" t="n"/>
      <c r="G2555" s="57" t="n"/>
      <c r="H2555" s="56" t="n"/>
      <c r="I2555" s="56" t="n"/>
      <c r="J2555" s="58" t="n"/>
      <c r="K2555" s="58" t="n"/>
      <c r="L2555" s="13">
        <f>IF(OR($A2555="",AND($J2555="",$K2555="")),"",ROUND(N($J2555)-N($K2555),2))</f>
        <v/>
      </c>
      <c r="M2555" s="13">
        <f>IF(OR($A2555="",AND($J2555="",$K2555="")),"",MIN($J2555,$K2555))</f>
        <v/>
      </c>
      <c r="Q2555">
        <f>IF($A2555="","",$D2555&amp;"("&amp;SUBSTITUTE($E2555," ","")&amp;")")</f>
        <v/>
      </c>
      <c r="R2555">
        <f>IF($A2555="","",$B2555&amp;" - "&amp;$C2555)</f>
        <v/>
      </c>
      <c r="S2555">
        <f>IF($A2555="","",$R2555&amp;"|"&amp;$Q2555)</f>
        <v/>
      </c>
      <c r="T2555">
        <f>IF($A2555="","",$S2555&amp;"|"&amp;$F2555)</f>
        <v/>
      </c>
      <c r="U2555">
        <f>IF($A2555="","",$R2555&amp;"("&amp;$E2555&amp;")")</f>
        <v/>
      </c>
      <c r="V2555">
        <f>IF($A2555="","",$F2555&amp;"|"&amp;$U2555&amp;"|"&amp;$D2555)</f>
        <v/>
      </c>
      <c r="W2555">
        <f>IF($T2555="","",IF($X2555&gt;N($X2554),$X2555,""))</f>
        <v/>
      </c>
      <c r="X2555">
        <f>IF($T2555="",N($X2554),IF(MATCH($T2555,$T$6:$T$6005,0)=ROW()-5,N($X2554)+1,N($X2554)))</f>
        <v/>
      </c>
      <c r="Z2555">
        <f>IF($V2555="","",IF($AA2555&gt;N($AA2554),$AA2555,""))</f>
        <v/>
      </c>
      <c r="AA2555">
        <f>IF($V2555="",N($AA2554),IF(MATCH($V2555,$V$6:$V$6005,0)=ROW()-5,N($AA2554)+1,N($AA2554)))</f>
        <v/>
      </c>
    </row>
    <row r="2556" ht="21" customHeight="1" s="66">
      <c r="A2556" s="56" t="n"/>
      <c r="B2556" s="57" t="n"/>
      <c r="C2556" s="57" t="n"/>
      <c r="D2556" s="57" t="n"/>
      <c r="E2556" s="56" t="n"/>
      <c r="F2556" s="57" t="n"/>
      <c r="G2556" s="57" t="n"/>
      <c r="H2556" s="56" t="n"/>
      <c r="I2556" s="56" t="n"/>
      <c r="J2556" s="58" t="n"/>
      <c r="K2556" s="58" t="n"/>
      <c r="L2556" s="13">
        <f>IF(OR($A2556="",AND($J2556="",$K2556="")),"",ROUND(N($J2556)-N($K2556),2))</f>
        <v/>
      </c>
      <c r="M2556" s="13">
        <f>IF(OR($A2556="",AND($J2556="",$K2556="")),"",MIN($J2556,$K2556))</f>
        <v/>
      </c>
      <c r="Q2556">
        <f>IF($A2556="","",$D2556&amp;"("&amp;SUBSTITUTE($E2556," ","")&amp;")")</f>
        <v/>
      </c>
      <c r="R2556">
        <f>IF($A2556="","",$B2556&amp;" - "&amp;$C2556)</f>
        <v/>
      </c>
      <c r="S2556">
        <f>IF($A2556="","",$R2556&amp;"|"&amp;$Q2556)</f>
        <v/>
      </c>
      <c r="T2556">
        <f>IF($A2556="","",$S2556&amp;"|"&amp;$F2556)</f>
        <v/>
      </c>
      <c r="U2556">
        <f>IF($A2556="","",$R2556&amp;"("&amp;$E2556&amp;")")</f>
        <v/>
      </c>
      <c r="V2556">
        <f>IF($A2556="","",$F2556&amp;"|"&amp;$U2556&amp;"|"&amp;$D2556)</f>
        <v/>
      </c>
      <c r="W2556">
        <f>IF($T2556="","",IF($X2556&gt;N($X2555),$X2556,""))</f>
        <v/>
      </c>
      <c r="X2556">
        <f>IF($T2556="",N($X2555),IF(MATCH($T2556,$T$6:$T$6005,0)=ROW()-5,N($X2555)+1,N($X2555)))</f>
        <v/>
      </c>
      <c r="Z2556">
        <f>IF($V2556="","",IF($AA2556&gt;N($AA2555),$AA2556,""))</f>
        <v/>
      </c>
      <c r="AA2556">
        <f>IF($V2556="",N($AA2555),IF(MATCH($V2556,$V$6:$V$6005,0)=ROW()-5,N($AA2555)+1,N($AA2555)))</f>
        <v/>
      </c>
    </row>
    <row r="2557" ht="21" customHeight="1" s="66">
      <c r="A2557" s="56" t="n"/>
      <c r="B2557" s="57" t="n"/>
      <c r="C2557" s="57" t="n"/>
      <c r="D2557" s="57" t="n"/>
      <c r="E2557" s="56" t="n"/>
      <c r="F2557" s="57" t="n"/>
      <c r="G2557" s="57" t="n"/>
      <c r="H2557" s="56" t="n"/>
      <c r="I2557" s="56" t="n"/>
      <c r="J2557" s="58" t="n"/>
      <c r="K2557" s="58" t="n"/>
      <c r="L2557" s="13">
        <f>IF(OR($A2557="",AND($J2557="",$K2557="")),"",ROUND(N($J2557)-N($K2557),2))</f>
        <v/>
      </c>
      <c r="M2557" s="13">
        <f>IF(OR($A2557="",AND($J2557="",$K2557="")),"",MIN($J2557,$K2557))</f>
        <v/>
      </c>
      <c r="Q2557">
        <f>IF($A2557="","",$D2557&amp;"("&amp;SUBSTITUTE($E2557," ","")&amp;")")</f>
        <v/>
      </c>
      <c r="R2557">
        <f>IF($A2557="","",$B2557&amp;" - "&amp;$C2557)</f>
        <v/>
      </c>
      <c r="S2557">
        <f>IF($A2557="","",$R2557&amp;"|"&amp;$Q2557)</f>
        <v/>
      </c>
      <c r="T2557">
        <f>IF($A2557="","",$S2557&amp;"|"&amp;$F2557)</f>
        <v/>
      </c>
      <c r="U2557">
        <f>IF($A2557="","",$R2557&amp;"("&amp;$E2557&amp;")")</f>
        <v/>
      </c>
      <c r="V2557">
        <f>IF($A2557="","",$F2557&amp;"|"&amp;$U2557&amp;"|"&amp;$D2557)</f>
        <v/>
      </c>
      <c r="W2557">
        <f>IF($T2557="","",IF($X2557&gt;N($X2556),$X2557,""))</f>
        <v/>
      </c>
      <c r="X2557">
        <f>IF($T2557="",N($X2556),IF(MATCH($T2557,$T$6:$T$6005,0)=ROW()-5,N($X2556)+1,N($X2556)))</f>
        <v/>
      </c>
      <c r="Z2557">
        <f>IF($V2557="","",IF($AA2557&gt;N($AA2556),$AA2557,""))</f>
        <v/>
      </c>
      <c r="AA2557">
        <f>IF($V2557="",N($AA2556),IF(MATCH($V2557,$V$6:$V$6005,0)=ROW()-5,N($AA2556)+1,N($AA2556)))</f>
        <v/>
      </c>
    </row>
    <row r="2558" ht="21" customHeight="1" s="66">
      <c r="A2558" s="56" t="n"/>
      <c r="B2558" s="57" t="n"/>
      <c r="C2558" s="57" t="n"/>
      <c r="D2558" s="57" t="n"/>
      <c r="E2558" s="56" t="n"/>
      <c r="F2558" s="57" t="n"/>
      <c r="G2558" s="57" t="n"/>
      <c r="H2558" s="56" t="n"/>
      <c r="I2558" s="56" t="n"/>
      <c r="J2558" s="58" t="n"/>
      <c r="K2558" s="58" t="n"/>
      <c r="L2558" s="13">
        <f>IF(OR($A2558="",AND($J2558="",$K2558="")),"",ROUND(N($J2558)-N($K2558),2))</f>
        <v/>
      </c>
      <c r="M2558" s="13">
        <f>IF(OR($A2558="",AND($J2558="",$K2558="")),"",MIN($J2558,$K2558))</f>
        <v/>
      </c>
      <c r="Q2558">
        <f>IF($A2558="","",$D2558&amp;"("&amp;SUBSTITUTE($E2558," ","")&amp;")")</f>
        <v/>
      </c>
      <c r="R2558">
        <f>IF($A2558="","",$B2558&amp;" - "&amp;$C2558)</f>
        <v/>
      </c>
      <c r="S2558">
        <f>IF($A2558="","",$R2558&amp;"|"&amp;$Q2558)</f>
        <v/>
      </c>
      <c r="T2558">
        <f>IF($A2558="","",$S2558&amp;"|"&amp;$F2558)</f>
        <v/>
      </c>
      <c r="U2558">
        <f>IF($A2558="","",$R2558&amp;"("&amp;$E2558&amp;")")</f>
        <v/>
      </c>
      <c r="V2558">
        <f>IF($A2558="","",$F2558&amp;"|"&amp;$U2558&amp;"|"&amp;$D2558)</f>
        <v/>
      </c>
      <c r="W2558">
        <f>IF($T2558="","",IF($X2558&gt;N($X2557),$X2558,""))</f>
        <v/>
      </c>
      <c r="X2558">
        <f>IF($T2558="",N($X2557),IF(MATCH($T2558,$T$6:$T$6005,0)=ROW()-5,N($X2557)+1,N($X2557)))</f>
        <v/>
      </c>
      <c r="Z2558">
        <f>IF($V2558="","",IF($AA2558&gt;N($AA2557),$AA2558,""))</f>
        <v/>
      </c>
      <c r="AA2558">
        <f>IF($V2558="",N($AA2557),IF(MATCH($V2558,$V$6:$V$6005,0)=ROW()-5,N($AA2557)+1,N($AA2557)))</f>
        <v/>
      </c>
    </row>
    <row r="2559" ht="21" customHeight="1" s="66">
      <c r="A2559" s="56" t="n"/>
      <c r="B2559" s="57" t="n"/>
      <c r="C2559" s="57" t="n"/>
      <c r="D2559" s="57" t="n"/>
      <c r="E2559" s="56" t="n"/>
      <c r="F2559" s="57" t="n"/>
      <c r="G2559" s="57" t="n"/>
      <c r="H2559" s="56" t="n"/>
      <c r="I2559" s="56" t="n"/>
      <c r="J2559" s="58" t="n"/>
      <c r="K2559" s="58" t="n"/>
      <c r="L2559" s="13">
        <f>IF(OR($A2559="",AND($J2559="",$K2559="")),"",ROUND(N($J2559)-N($K2559),2))</f>
        <v/>
      </c>
      <c r="M2559" s="13">
        <f>IF(OR($A2559="",AND($J2559="",$K2559="")),"",MIN($J2559,$K2559))</f>
        <v/>
      </c>
      <c r="Q2559">
        <f>IF($A2559="","",$D2559&amp;"("&amp;SUBSTITUTE($E2559," ","")&amp;")")</f>
        <v/>
      </c>
      <c r="R2559">
        <f>IF($A2559="","",$B2559&amp;" - "&amp;$C2559)</f>
        <v/>
      </c>
      <c r="S2559">
        <f>IF($A2559="","",$R2559&amp;"|"&amp;$Q2559)</f>
        <v/>
      </c>
      <c r="T2559">
        <f>IF($A2559="","",$S2559&amp;"|"&amp;$F2559)</f>
        <v/>
      </c>
      <c r="U2559">
        <f>IF($A2559="","",$R2559&amp;"("&amp;$E2559&amp;")")</f>
        <v/>
      </c>
      <c r="V2559">
        <f>IF($A2559="","",$F2559&amp;"|"&amp;$U2559&amp;"|"&amp;$D2559)</f>
        <v/>
      </c>
      <c r="W2559">
        <f>IF($T2559="","",IF($X2559&gt;N($X2558),$X2559,""))</f>
        <v/>
      </c>
      <c r="X2559">
        <f>IF($T2559="",N($X2558),IF(MATCH($T2559,$T$6:$T$6005,0)=ROW()-5,N($X2558)+1,N($X2558)))</f>
        <v/>
      </c>
      <c r="Z2559">
        <f>IF($V2559="","",IF($AA2559&gt;N($AA2558),$AA2559,""))</f>
        <v/>
      </c>
      <c r="AA2559">
        <f>IF($V2559="",N($AA2558),IF(MATCH($V2559,$V$6:$V$6005,0)=ROW()-5,N($AA2558)+1,N($AA2558)))</f>
        <v/>
      </c>
    </row>
    <row r="2560" ht="21" customHeight="1" s="66">
      <c r="A2560" s="56" t="n"/>
      <c r="B2560" s="57" t="n"/>
      <c r="C2560" s="57" t="n"/>
      <c r="D2560" s="57" t="n"/>
      <c r="E2560" s="56" t="n"/>
      <c r="F2560" s="57" t="n"/>
      <c r="G2560" s="57" t="n"/>
      <c r="H2560" s="56" t="n"/>
      <c r="I2560" s="56" t="n"/>
      <c r="J2560" s="58" t="n"/>
      <c r="K2560" s="58" t="n"/>
      <c r="L2560" s="13">
        <f>IF(OR($A2560="",AND($J2560="",$K2560="")),"",ROUND(N($J2560)-N($K2560),2))</f>
        <v/>
      </c>
      <c r="M2560" s="13">
        <f>IF(OR($A2560="",AND($J2560="",$K2560="")),"",MIN($J2560,$K2560))</f>
        <v/>
      </c>
      <c r="Q2560">
        <f>IF($A2560="","",$D2560&amp;"("&amp;SUBSTITUTE($E2560," ","")&amp;")")</f>
        <v/>
      </c>
      <c r="R2560">
        <f>IF($A2560="","",$B2560&amp;" - "&amp;$C2560)</f>
        <v/>
      </c>
      <c r="S2560">
        <f>IF($A2560="","",$R2560&amp;"|"&amp;$Q2560)</f>
        <v/>
      </c>
      <c r="T2560">
        <f>IF($A2560="","",$S2560&amp;"|"&amp;$F2560)</f>
        <v/>
      </c>
      <c r="U2560">
        <f>IF($A2560="","",$R2560&amp;"("&amp;$E2560&amp;")")</f>
        <v/>
      </c>
      <c r="V2560">
        <f>IF($A2560="","",$F2560&amp;"|"&amp;$U2560&amp;"|"&amp;$D2560)</f>
        <v/>
      </c>
      <c r="W2560">
        <f>IF($T2560="","",IF($X2560&gt;N($X2559),$X2560,""))</f>
        <v/>
      </c>
      <c r="X2560">
        <f>IF($T2560="",N($X2559),IF(MATCH($T2560,$T$6:$T$6005,0)=ROW()-5,N($X2559)+1,N($X2559)))</f>
        <v/>
      </c>
      <c r="Z2560">
        <f>IF($V2560="","",IF($AA2560&gt;N($AA2559),$AA2560,""))</f>
        <v/>
      </c>
      <c r="AA2560">
        <f>IF($V2560="",N($AA2559),IF(MATCH($V2560,$V$6:$V$6005,0)=ROW()-5,N($AA2559)+1,N($AA2559)))</f>
        <v/>
      </c>
    </row>
    <row r="2561" ht="21" customHeight="1" s="66">
      <c r="A2561" s="56" t="n"/>
      <c r="B2561" s="57" t="n"/>
      <c r="C2561" s="57" t="n"/>
      <c r="D2561" s="57" t="n"/>
      <c r="E2561" s="56" t="n"/>
      <c r="F2561" s="57" t="n"/>
      <c r="G2561" s="57" t="n"/>
      <c r="H2561" s="56" t="n"/>
      <c r="I2561" s="56" t="n"/>
      <c r="J2561" s="58" t="n"/>
      <c r="K2561" s="58" t="n"/>
      <c r="L2561" s="13">
        <f>IF(OR($A2561="",AND($J2561="",$K2561="")),"",ROUND(N($J2561)-N($K2561),2))</f>
        <v/>
      </c>
      <c r="M2561" s="13">
        <f>IF(OR($A2561="",AND($J2561="",$K2561="")),"",MIN($J2561,$K2561))</f>
        <v/>
      </c>
      <c r="Q2561">
        <f>IF($A2561="","",$D2561&amp;"("&amp;SUBSTITUTE($E2561," ","")&amp;")")</f>
        <v/>
      </c>
      <c r="R2561">
        <f>IF($A2561="","",$B2561&amp;" - "&amp;$C2561)</f>
        <v/>
      </c>
      <c r="S2561">
        <f>IF($A2561="","",$R2561&amp;"|"&amp;$Q2561)</f>
        <v/>
      </c>
      <c r="T2561">
        <f>IF($A2561="","",$S2561&amp;"|"&amp;$F2561)</f>
        <v/>
      </c>
      <c r="U2561">
        <f>IF($A2561="","",$R2561&amp;"("&amp;$E2561&amp;")")</f>
        <v/>
      </c>
      <c r="V2561">
        <f>IF($A2561="","",$F2561&amp;"|"&amp;$U2561&amp;"|"&amp;$D2561)</f>
        <v/>
      </c>
      <c r="W2561">
        <f>IF($T2561="","",IF($X2561&gt;N($X2560),$X2561,""))</f>
        <v/>
      </c>
      <c r="X2561">
        <f>IF($T2561="",N($X2560),IF(MATCH($T2561,$T$6:$T$6005,0)=ROW()-5,N($X2560)+1,N($X2560)))</f>
        <v/>
      </c>
      <c r="Z2561">
        <f>IF($V2561="","",IF($AA2561&gt;N($AA2560),$AA2561,""))</f>
        <v/>
      </c>
      <c r="AA2561">
        <f>IF($V2561="",N($AA2560),IF(MATCH($V2561,$V$6:$V$6005,0)=ROW()-5,N($AA2560)+1,N($AA2560)))</f>
        <v/>
      </c>
    </row>
    <row r="2562" ht="21" customHeight="1" s="66">
      <c r="A2562" s="56" t="n"/>
      <c r="B2562" s="57" t="n"/>
      <c r="C2562" s="57" t="n"/>
      <c r="D2562" s="57" t="n"/>
      <c r="E2562" s="56" t="n"/>
      <c r="F2562" s="57" t="n"/>
      <c r="G2562" s="57" t="n"/>
      <c r="H2562" s="56" t="n"/>
      <c r="I2562" s="56" t="n"/>
      <c r="J2562" s="58" t="n"/>
      <c r="K2562" s="58" t="n"/>
      <c r="L2562" s="13">
        <f>IF(OR($A2562="",AND($J2562="",$K2562="")),"",ROUND(N($J2562)-N($K2562),2))</f>
        <v/>
      </c>
      <c r="M2562" s="13">
        <f>IF(OR($A2562="",AND($J2562="",$K2562="")),"",MIN($J2562,$K2562))</f>
        <v/>
      </c>
      <c r="Q2562">
        <f>IF($A2562="","",$D2562&amp;"("&amp;SUBSTITUTE($E2562," ","")&amp;")")</f>
        <v/>
      </c>
      <c r="R2562">
        <f>IF($A2562="","",$B2562&amp;" - "&amp;$C2562)</f>
        <v/>
      </c>
      <c r="S2562">
        <f>IF($A2562="","",$R2562&amp;"|"&amp;$Q2562)</f>
        <v/>
      </c>
      <c r="T2562">
        <f>IF($A2562="","",$S2562&amp;"|"&amp;$F2562)</f>
        <v/>
      </c>
      <c r="U2562">
        <f>IF($A2562="","",$R2562&amp;"("&amp;$E2562&amp;")")</f>
        <v/>
      </c>
      <c r="V2562">
        <f>IF($A2562="","",$F2562&amp;"|"&amp;$U2562&amp;"|"&amp;$D2562)</f>
        <v/>
      </c>
      <c r="W2562">
        <f>IF($T2562="","",IF($X2562&gt;N($X2561),$X2562,""))</f>
        <v/>
      </c>
      <c r="X2562">
        <f>IF($T2562="",N($X2561),IF(MATCH($T2562,$T$6:$T$6005,0)=ROW()-5,N($X2561)+1,N($X2561)))</f>
        <v/>
      </c>
      <c r="Z2562">
        <f>IF($V2562="","",IF($AA2562&gt;N($AA2561),$AA2562,""))</f>
        <v/>
      </c>
      <c r="AA2562">
        <f>IF($V2562="",N($AA2561),IF(MATCH($V2562,$V$6:$V$6005,0)=ROW()-5,N($AA2561)+1,N($AA2561)))</f>
        <v/>
      </c>
    </row>
    <row r="2563" ht="21" customHeight="1" s="66">
      <c r="A2563" s="56" t="n"/>
      <c r="B2563" s="57" t="n"/>
      <c r="C2563" s="57" t="n"/>
      <c r="D2563" s="57" t="n"/>
      <c r="E2563" s="56" t="n"/>
      <c r="F2563" s="57" t="n"/>
      <c r="G2563" s="57" t="n"/>
      <c r="H2563" s="56" t="n"/>
      <c r="I2563" s="56" t="n"/>
      <c r="J2563" s="58" t="n"/>
      <c r="K2563" s="58" t="n"/>
      <c r="L2563" s="13">
        <f>IF(OR($A2563="",AND($J2563="",$K2563="")),"",ROUND(N($J2563)-N($K2563),2))</f>
        <v/>
      </c>
      <c r="M2563" s="13">
        <f>IF(OR($A2563="",AND($J2563="",$K2563="")),"",MIN($J2563,$K2563))</f>
        <v/>
      </c>
      <c r="Q2563">
        <f>IF($A2563="","",$D2563&amp;"("&amp;SUBSTITUTE($E2563," ","")&amp;")")</f>
        <v/>
      </c>
      <c r="R2563">
        <f>IF($A2563="","",$B2563&amp;" - "&amp;$C2563)</f>
        <v/>
      </c>
      <c r="S2563">
        <f>IF($A2563="","",$R2563&amp;"|"&amp;$Q2563)</f>
        <v/>
      </c>
      <c r="T2563">
        <f>IF($A2563="","",$S2563&amp;"|"&amp;$F2563)</f>
        <v/>
      </c>
      <c r="U2563">
        <f>IF($A2563="","",$R2563&amp;"("&amp;$E2563&amp;")")</f>
        <v/>
      </c>
      <c r="V2563">
        <f>IF($A2563="","",$F2563&amp;"|"&amp;$U2563&amp;"|"&amp;$D2563)</f>
        <v/>
      </c>
      <c r="W2563">
        <f>IF($T2563="","",IF($X2563&gt;N($X2562),$X2563,""))</f>
        <v/>
      </c>
      <c r="X2563">
        <f>IF($T2563="",N($X2562),IF(MATCH($T2563,$T$6:$T$6005,0)=ROW()-5,N($X2562)+1,N($X2562)))</f>
        <v/>
      </c>
      <c r="Z2563">
        <f>IF($V2563="","",IF($AA2563&gt;N($AA2562),$AA2563,""))</f>
        <v/>
      </c>
      <c r="AA2563">
        <f>IF($V2563="",N($AA2562),IF(MATCH($V2563,$V$6:$V$6005,0)=ROW()-5,N($AA2562)+1,N($AA2562)))</f>
        <v/>
      </c>
    </row>
    <row r="2564" ht="21" customHeight="1" s="66">
      <c r="A2564" s="56" t="n"/>
      <c r="B2564" s="57" t="n"/>
      <c r="C2564" s="57" t="n"/>
      <c r="D2564" s="57" t="n"/>
      <c r="E2564" s="56" t="n"/>
      <c r="F2564" s="57" t="n"/>
      <c r="G2564" s="57" t="n"/>
      <c r="H2564" s="56" t="n"/>
      <c r="I2564" s="56" t="n"/>
      <c r="J2564" s="58" t="n"/>
      <c r="K2564" s="58" t="n"/>
      <c r="L2564" s="13">
        <f>IF(OR($A2564="",AND($J2564="",$K2564="")),"",ROUND(N($J2564)-N($K2564),2))</f>
        <v/>
      </c>
      <c r="M2564" s="13">
        <f>IF(OR($A2564="",AND($J2564="",$K2564="")),"",MIN($J2564,$K2564))</f>
        <v/>
      </c>
      <c r="Q2564">
        <f>IF($A2564="","",$D2564&amp;"("&amp;SUBSTITUTE($E2564," ","")&amp;")")</f>
        <v/>
      </c>
      <c r="R2564">
        <f>IF($A2564="","",$B2564&amp;" - "&amp;$C2564)</f>
        <v/>
      </c>
      <c r="S2564">
        <f>IF($A2564="","",$R2564&amp;"|"&amp;$Q2564)</f>
        <v/>
      </c>
      <c r="T2564">
        <f>IF($A2564="","",$S2564&amp;"|"&amp;$F2564)</f>
        <v/>
      </c>
      <c r="U2564">
        <f>IF($A2564="","",$R2564&amp;"("&amp;$E2564&amp;")")</f>
        <v/>
      </c>
      <c r="V2564">
        <f>IF($A2564="","",$F2564&amp;"|"&amp;$U2564&amp;"|"&amp;$D2564)</f>
        <v/>
      </c>
      <c r="W2564">
        <f>IF($T2564="","",IF($X2564&gt;N($X2563),$X2564,""))</f>
        <v/>
      </c>
      <c r="X2564">
        <f>IF($T2564="",N($X2563),IF(MATCH($T2564,$T$6:$T$6005,0)=ROW()-5,N($X2563)+1,N($X2563)))</f>
        <v/>
      </c>
      <c r="Z2564">
        <f>IF($V2564="","",IF($AA2564&gt;N($AA2563),$AA2564,""))</f>
        <v/>
      </c>
      <c r="AA2564">
        <f>IF($V2564="",N($AA2563),IF(MATCH($V2564,$V$6:$V$6005,0)=ROW()-5,N($AA2563)+1,N($AA2563)))</f>
        <v/>
      </c>
    </row>
    <row r="2565" ht="21" customHeight="1" s="66">
      <c r="A2565" s="56" t="n"/>
      <c r="B2565" s="57" t="n"/>
      <c r="C2565" s="57" t="n"/>
      <c r="D2565" s="57" t="n"/>
      <c r="E2565" s="56" t="n"/>
      <c r="F2565" s="57" t="n"/>
      <c r="G2565" s="57" t="n"/>
      <c r="H2565" s="56" t="n"/>
      <c r="I2565" s="56" t="n"/>
      <c r="J2565" s="58" t="n"/>
      <c r="K2565" s="58" t="n"/>
      <c r="L2565" s="13">
        <f>IF(OR($A2565="",AND($J2565="",$K2565="")),"",ROUND(N($J2565)-N($K2565),2))</f>
        <v/>
      </c>
      <c r="M2565" s="13">
        <f>IF(OR($A2565="",AND($J2565="",$K2565="")),"",MIN($J2565,$K2565))</f>
        <v/>
      </c>
      <c r="Q2565">
        <f>IF($A2565="","",$D2565&amp;"("&amp;SUBSTITUTE($E2565," ","")&amp;")")</f>
        <v/>
      </c>
      <c r="R2565">
        <f>IF($A2565="","",$B2565&amp;" - "&amp;$C2565)</f>
        <v/>
      </c>
      <c r="S2565">
        <f>IF($A2565="","",$R2565&amp;"|"&amp;$Q2565)</f>
        <v/>
      </c>
      <c r="T2565">
        <f>IF($A2565="","",$S2565&amp;"|"&amp;$F2565)</f>
        <v/>
      </c>
      <c r="U2565">
        <f>IF($A2565="","",$R2565&amp;"("&amp;$E2565&amp;")")</f>
        <v/>
      </c>
      <c r="V2565">
        <f>IF($A2565="","",$F2565&amp;"|"&amp;$U2565&amp;"|"&amp;$D2565)</f>
        <v/>
      </c>
      <c r="W2565">
        <f>IF($T2565="","",IF($X2565&gt;N($X2564),$X2565,""))</f>
        <v/>
      </c>
      <c r="X2565">
        <f>IF($T2565="",N($X2564),IF(MATCH($T2565,$T$6:$T$6005,0)=ROW()-5,N($X2564)+1,N($X2564)))</f>
        <v/>
      </c>
      <c r="Z2565">
        <f>IF($V2565="","",IF($AA2565&gt;N($AA2564),$AA2565,""))</f>
        <v/>
      </c>
      <c r="AA2565">
        <f>IF($V2565="",N($AA2564),IF(MATCH($V2565,$V$6:$V$6005,0)=ROW()-5,N($AA2564)+1,N($AA2564)))</f>
        <v/>
      </c>
    </row>
    <row r="2566" ht="21" customHeight="1" s="66">
      <c r="A2566" s="56" t="n"/>
      <c r="B2566" s="57" t="n"/>
      <c r="C2566" s="57" t="n"/>
      <c r="D2566" s="57" t="n"/>
      <c r="E2566" s="56" t="n"/>
      <c r="F2566" s="57" t="n"/>
      <c r="G2566" s="57" t="n"/>
      <c r="H2566" s="56" t="n"/>
      <c r="I2566" s="56" t="n"/>
      <c r="J2566" s="58" t="n"/>
      <c r="K2566" s="58" t="n"/>
      <c r="L2566" s="13">
        <f>IF(OR($A2566="",AND($J2566="",$K2566="")),"",ROUND(N($J2566)-N($K2566),2))</f>
        <v/>
      </c>
      <c r="M2566" s="13">
        <f>IF(OR($A2566="",AND($J2566="",$K2566="")),"",MIN($J2566,$K2566))</f>
        <v/>
      </c>
      <c r="Q2566">
        <f>IF($A2566="","",$D2566&amp;"("&amp;SUBSTITUTE($E2566," ","")&amp;")")</f>
        <v/>
      </c>
      <c r="R2566">
        <f>IF($A2566="","",$B2566&amp;" - "&amp;$C2566)</f>
        <v/>
      </c>
      <c r="S2566">
        <f>IF($A2566="","",$R2566&amp;"|"&amp;$Q2566)</f>
        <v/>
      </c>
      <c r="T2566">
        <f>IF($A2566="","",$S2566&amp;"|"&amp;$F2566)</f>
        <v/>
      </c>
      <c r="U2566">
        <f>IF($A2566="","",$R2566&amp;"("&amp;$E2566&amp;")")</f>
        <v/>
      </c>
      <c r="V2566">
        <f>IF($A2566="","",$F2566&amp;"|"&amp;$U2566&amp;"|"&amp;$D2566)</f>
        <v/>
      </c>
      <c r="W2566">
        <f>IF($T2566="","",IF($X2566&gt;N($X2565),$X2566,""))</f>
        <v/>
      </c>
      <c r="X2566">
        <f>IF($T2566="",N($X2565),IF(MATCH($T2566,$T$6:$T$6005,0)=ROW()-5,N($X2565)+1,N($X2565)))</f>
        <v/>
      </c>
      <c r="Z2566">
        <f>IF($V2566="","",IF($AA2566&gt;N($AA2565),$AA2566,""))</f>
        <v/>
      </c>
      <c r="AA2566">
        <f>IF($V2566="",N($AA2565),IF(MATCH($V2566,$V$6:$V$6005,0)=ROW()-5,N($AA2565)+1,N($AA2565)))</f>
        <v/>
      </c>
    </row>
    <row r="2567" ht="21" customHeight="1" s="66">
      <c r="A2567" s="56" t="n"/>
      <c r="B2567" s="57" t="n"/>
      <c r="C2567" s="57" t="n"/>
      <c r="D2567" s="57" t="n"/>
      <c r="E2567" s="56" t="n"/>
      <c r="F2567" s="57" t="n"/>
      <c r="G2567" s="57" t="n"/>
      <c r="H2567" s="56" t="n"/>
      <c r="I2567" s="56" t="n"/>
      <c r="J2567" s="58" t="n"/>
      <c r="K2567" s="58" t="n"/>
      <c r="L2567" s="13">
        <f>IF(OR($A2567="",AND($J2567="",$K2567="")),"",ROUND(N($J2567)-N($K2567),2))</f>
        <v/>
      </c>
      <c r="M2567" s="13">
        <f>IF(OR($A2567="",AND($J2567="",$K2567="")),"",MIN($J2567,$K2567))</f>
        <v/>
      </c>
      <c r="Q2567">
        <f>IF($A2567="","",$D2567&amp;"("&amp;SUBSTITUTE($E2567," ","")&amp;")")</f>
        <v/>
      </c>
      <c r="R2567">
        <f>IF($A2567="","",$B2567&amp;" - "&amp;$C2567)</f>
        <v/>
      </c>
      <c r="S2567">
        <f>IF($A2567="","",$R2567&amp;"|"&amp;$Q2567)</f>
        <v/>
      </c>
      <c r="T2567">
        <f>IF($A2567="","",$S2567&amp;"|"&amp;$F2567)</f>
        <v/>
      </c>
      <c r="U2567">
        <f>IF($A2567="","",$R2567&amp;"("&amp;$E2567&amp;")")</f>
        <v/>
      </c>
      <c r="V2567">
        <f>IF($A2567="","",$F2567&amp;"|"&amp;$U2567&amp;"|"&amp;$D2567)</f>
        <v/>
      </c>
      <c r="W2567">
        <f>IF($T2567="","",IF($X2567&gt;N($X2566),$X2567,""))</f>
        <v/>
      </c>
      <c r="X2567">
        <f>IF($T2567="",N($X2566),IF(MATCH($T2567,$T$6:$T$6005,0)=ROW()-5,N($X2566)+1,N($X2566)))</f>
        <v/>
      </c>
      <c r="Z2567">
        <f>IF($V2567="","",IF($AA2567&gt;N($AA2566),$AA2567,""))</f>
        <v/>
      </c>
      <c r="AA2567">
        <f>IF($V2567="",N($AA2566),IF(MATCH($V2567,$V$6:$V$6005,0)=ROW()-5,N($AA2566)+1,N($AA2566)))</f>
        <v/>
      </c>
    </row>
    <row r="2568" ht="21" customHeight="1" s="66">
      <c r="A2568" s="56" t="n"/>
      <c r="B2568" s="57" t="n"/>
      <c r="C2568" s="57" t="n"/>
      <c r="D2568" s="57" t="n"/>
      <c r="E2568" s="56" t="n"/>
      <c r="F2568" s="57" t="n"/>
      <c r="G2568" s="57" t="n"/>
      <c r="H2568" s="56" t="n"/>
      <c r="I2568" s="56" t="n"/>
      <c r="J2568" s="58" t="n"/>
      <c r="K2568" s="58" t="n"/>
      <c r="L2568" s="13">
        <f>IF(OR($A2568="",AND($J2568="",$K2568="")),"",ROUND(N($J2568)-N($K2568),2))</f>
        <v/>
      </c>
      <c r="M2568" s="13">
        <f>IF(OR($A2568="",AND($J2568="",$K2568="")),"",MIN($J2568,$K2568))</f>
        <v/>
      </c>
      <c r="Q2568">
        <f>IF($A2568="","",$D2568&amp;"("&amp;SUBSTITUTE($E2568," ","")&amp;")")</f>
        <v/>
      </c>
      <c r="R2568">
        <f>IF($A2568="","",$B2568&amp;" - "&amp;$C2568)</f>
        <v/>
      </c>
      <c r="S2568">
        <f>IF($A2568="","",$R2568&amp;"|"&amp;$Q2568)</f>
        <v/>
      </c>
      <c r="T2568">
        <f>IF($A2568="","",$S2568&amp;"|"&amp;$F2568)</f>
        <v/>
      </c>
      <c r="U2568">
        <f>IF($A2568="","",$R2568&amp;"("&amp;$E2568&amp;")")</f>
        <v/>
      </c>
      <c r="V2568">
        <f>IF($A2568="","",$F2568&amp;"|"&amp;$U2568&amp;"|"&amp;$D2568)</f>
        <v/>
      </c>
      <c r="W2568">
        <f>IF($T2568="","",IF($X2568&gt;N($X2567),$X2568,""))</f>
        <v/>
      </c>
      <c r="X2568">
        <f>IF($T2568="",N($X2567),IF(MATCH($T2568,$T$6:$T$6005,0)=ROW()-5,N($X2567)+1,N($X2567)))</f>
        <v/>
      </c>
      <c r="Z2568">
        <f>IF($V2568="","",IF($AA2568&gt;N($AA2567),$AA2568,""))</f>
        <v/>
      </c>
      <c r="AA2568">
        <f>IF($V2568="",N($AA2567),IF(MATCH($V2568,$V$6:$V$6005,0)=ROW()-5,N($AA2567)+1,N($AA2567)))</f>
        <v/>
      </c>
    </row>
    <row r="2569" ht="21" customHeight="1" s="66">
      <c r="A2569" s="56" t="n"/>
      <c r="B2569" s="57" t="n"/>
      <c r="C2569" s="57" t="n"/>
      <c r="D2569" s="57" t="n"/>
      <c r="E2569" s="56" t="n"/>
      <c r="F2569" s="57" t="n"/>
      <c r="G2569" s="57" t="n"/>
      <c r="H2569" s="56" t="n"/>
      <c r="I2569" s="56" t="n"/>
      <c r="J2569" s="58" t="n"/>
      <c r="K2569" s="58" t="n"/>
      <c r="L2569" s="13">
        <f>IF(OR($A2569="",AND($J2569="",$K2569="")),"",ROUND(N($J2569)-N($K2569),2))</f>
        <v/>
      </c>
      <c r="M2569" s="13">
        <f>IF(OR($A2569="",AND($J2569="",$K2569="")),"",MIN($J2569,$K2569))</f>
        <v/>
      </c>
      <c r="Q2569">
        <f>IF($A2569="","",$D2569&amp;"("&amp;SUBSTITUTE($E2569," ","")&amp;")")</f>
        <v/>
      </c>
      <c r="R2569">
        <f>IF($A2569="","",$B2569&amp;" - "&amp;$C2569)</f>
        <v/>
      </c>
      <c r="S2569">
        <f>IF($A2569="","",$R2569&amp;"|"&amp;$Q2569)</f>
        <v/>
      </c>
      <c r="T2569">
        <f>IF($A2569="","",$S2569&amp;"|"&amp;$F2569)</f>
        <v/>
      </c>
      <c r="U2569">
        <f>IF($A2569="","",$R2569&amp;"("&amp;$E2569&amp;")")</f>
        <v/>
      </c>
      <c r="V2569">
        <f>IF($A2569="","",$F2569&amp;"|"&amp;$U2569&amp;"|"&amp;$D2569)</f>
        <v/>
      </c>
      <c r="W2569">
        <f>IF($T2569="","",IF($X2569&gt;N($X2568),$X2569,""))</f>
        <v/>
      </c>
      <c r="X2569">
        <f>IF($T2569="",N($X2568),IF(MATCH($T2569,$T$6:$T$6005,0)=ROW()-5,N($X2568)+1,N($X2568)))</f>
        <v/>
      </c>
      <c r="Z2569">
        <f>IF($V2569="","",IF($AA2569&gt;N($AA2568),$AA2569,""))</f>
        <v/>
      </c>
      <c r="AA2569">
        <f>IF($V2569="",N($AA2568),IF(MATCH($V2569,$V$6:$V$6005,0)=ROW()-5,N($AA2568)+1,N($AA2568)))</f>
        <v/>
      </c>
    </row>
    <row r="2570" ht="21" customHeight="1" s="66">
      <c r="A2570" s="56" t="n"/>
      <c r="B2570" s="57" t="n"/>
      <c r="C2570" s="57" t="n"/>
      <c r="D2570" s="57" t="n"/>
      <c r="E2570" s="56" t="n"/>
      <c r="F2570" s="57" t="n"/>
      <c r="G2570" s="57" t="n"/>
      <c r="H2570" s="56" t="n"/>
      <c r="I2570" s="56" t="n"/>
      <c r="J2570" s="58" t="n"/>
      <c r="K2570" s="58" t="n"/>
      <c r="L2570" s="13">
        <f>IF(OR($A2570="",AND($J2570="",$K2570="")),"",ROUND(N($J2570)-N($K2570),2))</f>
        <v/>
      </c>
      <c r="M2570" s="13">
        <f>IF(OR($A2570="",AND($J2570="",$K2570="")),"",MIN($J2570,$K2570))</f>
        <v/>
      </c>
      <c r="Q2570">
        <f>IF($A2570="","",$D2570&amp;"("&amp;SUBSTITUTE($E2570," ","")&amp;")")</f>
        <v/>
      </c>
      <c r="R2570">
        <f>IF($A2570="","",$B2570&amp;" - "&amp;$C2570)</f>
        <v/>
      </c>
      <c r="S2570">
        <f>IF($A2570="","",$R2570&amp;"|"&amp;$Q2570)</f>
        <v/>
      </c>
      <c r="T2570">
        <f>IF($A2570="","",$S2570&amp;"|"&amp;$F2570)</f>
        <v/>
      </c>
      <c r="U2570">
        <f>IF($A2570="","",$R2570&amp;"("&amp;$E2570&amp;")")</f>
        <v/>
      </c>
      <c r="V2570">
        <f>IF($A2570="","",$F2570&amp;"|"&amp;$U2570&amp;"|"&amp;$D2570)</f>
        <v/>
      </c>
      <c r="W2570">
        <f>IF($T2570="","",IF($X2570&gt;N($X2569),$X2570,""))</f>
        <v/>
      </c>
      <c r="X2570">
        <f>IF($T2570="",N($X2569),IF(MATCH($T2570,$T$6:$T$6005,0)=ROW()-5,N($X2569)+1,N($X2569)))</f>
        <v/>
      </c>
      <c r="Z2570">
        <f>IF($V2570="","",IF($AA2570&gt;N($AA2569),$AA2570,""))</f>
        <v/>
      </c>
      <c r="AA2570">
        <f>IF($V2570="",N($AA2569),IF(MATCH($V2570,$V$6:$V$6005,0)=ROW()-5,N($AA2569)+1,N($AA2569)))</f>
        <v/>
      </c>
    </row>
    <row r="2571" ht="21" customHeight="1" s="66">
      <c r="A2571" s="56" t="n"/>
      <c r="B2571" s="57" t="n"/>
      <c r="C2571" s="57" t="n"/>
      <c r="D2571" s="57" t="n"/>
      <c r="E2571" s="56" t="n"/>
      <c r="F2571" s="57" t="n"/>
      <c r="G2571" s="57" t="n"/>
      <c r="H2571" s="56" t="n"/>
      <c r="I2571" s="56" t="n"/>
      <c r="J2571" s="58" t="n"/>
      <c r="K2571" s="58" t="n"/>
      <c r="L2571" s="13">
        <f>IF(OR($A2571="",AND($J2571="",$K2571="")),"",ROUND(N($J2571)-N($K2571),2))</f>
        <v/>
      </c>
      <c r="M2571" s="13">
        <f>IF(OR($A2571="",AND($J2571="",$K2571="")),"",MIN($J2571,$K2571))</f>
        <v/>
      </c>
      <c r="Q2571">
        <f>IF($A2571="","",$D2571&amp;"("&amp;SUBSTITUTE($E2571," ","")&amp;")")</f>
        <v/>
      </c>
      <c r="R2571">
        <f>IF($A2571="","",$B2571&amp;" - "&amp;$C2571)</f>
        <v/>
      </c>
      <c r="S2571">
        <f>IF($A2571="","",$R2571&amp;"|"&amp;$Q2571)</f>
        <v/>
      </c>
      <c r="T2571">
        <f>IF($A2571="","",$S2571&amp;"|"&amp;$F2571)</f>
        <v/>
      </c>
      <c r="U2571">
        <f>IF($A2571="","",$R2571&amp;"("&amp;$E2571&amp;")")</f>
        <v/>
      </c>
      <c r="V2571">
        <f>IF($A2571="","",$F2571&amp;"|"&amp;$U2571&amp;"|"&amp;$D2571)</f>
        <v/>
      </c>
      <c r="W2571">
        <f>IF($T2571="","",IF($X2571&gt;N($X2570),$X2571,""))</f>
        <v/>
      </c>
      <c r="X2571">
        <f>IF($T2571="",N($X2570),IF(MATCH($T2571,$T$6:$T$6005,0)=ROW()-5,N($X2570)+1,N($X2570)))</f>
        <v/>
      </c>
      <c r="Z2571">
        <f>IF($V2571="","",IF($AA2571&gt;N($AA2570),$AA2571,""))</f>
        <v/>
      </c>
      <c r="AA2571">
        <f>IF($V2571="",N($AA2570),IF(MATCH($V2571,$V$6:$V$6005,0)=ROW()-5,N($AA2570)+1,N($AA2570)))</f>
        <v/>
      </c>
    </row>
    <row r="2572" ht="21" customHeight="1" s="66">
      <c r="A2572" s="56" t="n"/>
      <c r="B2572" s="57" t="n"/>
      <c r="C2572" s="57" t="n"/>
      <c r="D2572" s="57" t="n"/>
      <c r="E2572" s="56" t="n"/>
      <c r="F2572" s="57" t="n"/>
      <c r="G2572" s="57" t="n"/>
      <c r="H2572" s="56" t="n"/>
      <c r="I2572" s="56" t="n"/>
      <c r="J2572" s="58" t="n"/>
      <c r="K2572" s="58" t="n"/>
      <c r="L2572" s="13">
        <f>IF(OR($A2572="",AND($J2572="",$K2572="")),"",ROUND(N($J2572)-N($K2572),2))</f>
        <v/>
      </c>
      <c r="M2572" s="13">
        <f>IF(OR($A2572="",AND($J2572="",$K2572="")),"",MIN($J2572,$K2572))</f>
        <v/>
      </c>
      <c r="Q2572">
        <f>IF($A2572="","",$D2572&amp;"("&amp;SUBSTITUTE($E2572," ","")&amp;")")</f>
        <v/>
      </c>
      <c r="R2572">
        <f>IF($A2572="","",$B2572&amp;" - "&amp;$C2572)</f>
        <v/>
      </c>
      <c r="S2572">
        <f>IF($A2572="","",$R2572&amp;"|"&amp;$Q2572)</f>
        <v/>
      </c>
      <c r="T2572">
        <f>IF($A2572="","",$S2572&amp;"|"&amp;$F2572)</f>
        <v/>
      </c>
      <c r="U2572">
        <f>IF($A2572="","",$R2572&amp;"("&amp;$E2572&amp;")")</f>
        <v/>
      </c>
      <c r="V2572">
        <f>IF($A2572="","",$F2572&amp;"|"&amp;$U2572&amp;"|"&amp;$D2572)</f>
        <v/>
      </c>
      <c r="W2572">
        <f>IF($T2572="","",IF($X2572&gt;N($X2571),$X2572,""))</f>
        <v/>
      </c>
      <c r="X2572">
        <f>IF($T2572="",N($X2571),IF(MATCH($T2572,$T$6:$T$6005,0)=ROW()-5,N($X2571)+1,N($X2571)))</f>
        <v/>
      </c>
      <c r="Z2572">
        <f>IF($V2572="","",IF($AA2572&gt;N($AA2571),$AA2572,""))</f>
        <v/>
      </c>
      <c r="AA2572">
        <f>IF($V2572="",N($AA2571),IF(MATCH($V2572,$V$6:$V$6005,0)=ROW()-5,N($AA2571)+1,N($AA2571)))</f>
        <v/>
      </c>
    </row>
    <row r="2573" ht="21" customHeight="1" s="66">
      <c r="A2573" s="56" t="n"/>
      <c r="B2573" s="57" t="n"/>
      <c r="C2573" s="57" t="n"/>
      <c r="D2573" s="57" t="n"/>
      <c r="E2573" s="56" t="n"/>
      <c r="F2573" s="57" t="n"/>
      <c r="G2573" s="57" t="n"/>
      <c r="H2573" s="56" t="n"/>
      <c r="I2573" s="56" t="n"/>
      <c r="J2573" s="58" t="n"/>
      <c r="K2573" s="58" t="n"/>
      <c r="L2573" s="13">
        <f>IF(OR($A2573="",AND($J2573="",$K2573="")),"",ROUND(N($J2573)-N($K2573),2))</f>
        <v/>
      </c>
      <c r="M2573" s="13">
        <f>IF(OR($A2573="",AND($J2573="",$K2573="")),"",MIN($J2573,$K2573))</f>
        <v/>
      </c>
      <c r="Q2573">
        <f>IF($A2573="","",$D2573&amp;"("&amp;SUBSTITUTE($E2573," ","")&amp;")")</f>
        <v/>
      </c>
      <c r="R2573">
        <f>IF($A2573="","",$B2573&amp;" - "&amp;$C2573)</f>
        <v/>
      </c>
      <c r="S2573">
        <f>IF($A2573="","",$R2573&amp;"|"&amp;$Q2573)</f>
        <v/>
      </c>
      <c r="T2573">
        <f>IF($A2573="","",$S2573&amp;"|"&amp;$F2573)</f>
        <v/>
      </c>
      <c r="U2573">
        <f>IF($A2573="","",$R2573&amp;"("&amp;$E2573&amp;")")</f>
        <v/>
      </c>
      <c r="V2573">
        <f>IF($A2573="","",$F2573&amp;"|"&amp;$U2573&amp;"|"&amp;$D2573)</f>
        <v/>
      </c>
      <c r="W2573">
        <f>IF($T2573="","",IF($X2573&gt;N($X2572),$X2573,""))</f>
        <v/>
      </c>
      <c r="X2573">
        <f>IF($T2573="",N($X2572),IF(MATCH($T2573,$T$6:$T$6005,0)=ROW()-5,N($X2572)+1,N($X2572)))</f>
        <v/>
      </c>
      <c r="Z2573">
        <f>IF($V2573="","",IF($AA2573&gt;N($AA2572),$AA2573,""))</f>
        <v/>
      </c>
      <c r="AA2573">
        <f>IF($V2573="",N($AA2572),IF(MATCH($V2573,$V$6:$V$6005,0)=ROW()-5,N($AA2572)+1,N($AA2572)))</f>
        <v/>
      </c>
    </row>
    <row r="2574" ht="21" customHeight="1" s="66">
      <c r="A2574" s="56" t="n"/>
      <c r="B2574" s="57" t="n"/>
      <c r="C2574" s="57" t="n"/>
      <c r="D2574" s="57" t="n"/>
      <c r="E2574" s="56" t="n"/>
      <c r="F2574" s="57" t="n"/>
      <c r="G2574" s="57" t="n"/>
      <c r="H2574" s="56" t="n"/>
      <c r="I2574" s="56" t="n"/>
      <c r="J2574" s="58" t="n"/>
      <c r="K2574" s="58" t="n"/>
      <c r="L2574" s="13">
        <f>IF(OR($A2574="",AND($J2574="",$K2574="")),"",ROUND(N($J2574)-N($K2574),2))</f>
        <v/>
      </c>
      <c r="M2574" s="13">
        <f>IF(OR($A2574="",AND($J2574="",$K2574="")),"",MIN($J2574,$K2574))</f>
        <v/>
      </c>
      <c r="Q2574">
        <f>IF($A2574="","",$D2574&amp;"("&amp;SUBSTITUTE($E2574," ","")&amp;")")</f>
        <v/>
      </c>
      <c r="R2574">
        <f>IF($A2574="","",$B2574&amp;" - "&amp;$C2574)</f>
        <v/>
      </c>
      <c r="S2574">
        <f>IF($A2574="","",$R2574&amp;"|"&amp;$Q2574)</f>
        <v/>
      </c>
      <c r="T2574">
        <f>IF($A2574="","",$S2574&amp;"|"&amp;$F2574)</f>
        <v/>
      </c>
      <c r="U2574">
        <f>IF($A2574="","",$R2574&amp;"("&amp;$E2574&amp;")")</f>
        <v/>
      </c>
      <c r="V2574">
        <f>IF($A2574="","",$F2574&amp;"|"&amp;$U2574&amp;"|"&amp;$D2574)</f>
        <v/>
      </c>
      <c r="W2574">
        <f>IF($T2574="","",IF($X2574&gt;N($X2573),$X2574,""))</f>
        <v/>
      </c>
      <c r="X2574">
        <f>IF($T2574="",N($X2573),IF(MATCH($T2574,$T$6:$T$6005,0)=ROW()-5,N($X2573)+1,N($X2573)))</f>
        <v/>
      </c>
      <c r="Z2574">
        <f>IF($V2574="","",IF($AA2574&gt;N($AA2573),$AA2574,""))</f>
        <v/>
      </c>
      <c r="AA2574">
        <f>IF($V2574="",N($AA2573),IF(MATCH($V2574,$V$6:$V$6005,0)=ROW()-5,N($AA2573)+1,N($AA2573)))</f>
        <v/>
      </c>
    </row>
    <row r="2575" ht="21" customHeight="1" s="66">
      <c r="A2575" s="56" t="n"/>
      <c r="B2575" s="57" t="n"/>
      <c r="C2575" s="57" t="n"/>
      <c r="D2575" s="57" t="n"/>
      <c r="E2575" s="56" t="n"/>
      <c r="F2575" s="57" t="n"/>
      <c r="G2575" s="57" t="n"/>
      <c r="H2575" s="56" t="n"/>
      <c r="I2575" s="56" t="n"/>
      <c r="J2575" s="58" t="n"/>
      <c r="K2575" s="58" t="n"/>
      <c r="L2575" s="13">
        <f>IF(OR($A2575="",AND($J2575="",$K2575="")),"",ROUND(N($J2575)-N($K2575),2))</f>
        <v/>
      </c>
      <c r="M2575" s="13">
        <f>IF(OR($A2575="",AND($J2575="",$K2575="")),"",MIN($J2575,$K2575))</f>
        <v/>
      </c>
      <c r="Q2575">
        <f>IF($A2575="","",$D2575&amp;"("&amp;SUBSTITUTE($E2575," ","")&amp;")")</f>
        <v/>
      </c>
      <c r="R2575">
        <f>IF($A2575="","",$B2575&amp;" - "&amp;$C2575)</f>
        <v/>
      </c>
      <c r="S2575">
        <f>IF($A2575="","",$R2575&amp;"|"&amp;$Q2575)</f>
        <v/>
      </c>
      <c r="T2575">
        <f>IF($A2575="","",$S2575&amp;"|"&amp;$F2575)</f>
        <v/>
      </c>
      <c r="U2575">
        <f>IF($A2575="","",$R2575&amp;"("&amp;$E2575&amp;")")</f>
        <v/>
      </c>
      <c r="V2575">
        <f>IF($A2575="","",$F2575&amp;"|"&amp;$U2575&amp;"|"&amp;$D2575)</f>
        <v/>
      </c>
      <c r="W2575">
        <f>IF($T2575="","",IF($X2575&gt;N($X2574),$X2575,""))</f>
        <v/>
      </c>
      <c r="X2575">
        <f>IF($T2575="",N($X2574),IF(MATCH($T2575,$T$6:$T$6005,0)=ROW()-5,N($X2574)+1,N($X2574)))</f>
        <v/>
      </c>
      <c r="Z2575">
        <f>IF($V2575="","",IF($AA2575&gt;N($AA2574),$AA2575,""))</f>
        <v/>
      </c>
      <c r="AA2575">
        <f>IF($V2575="",N($AA2574),IF(MATCH($V2575,$V$6:$V$6005,0)=ROW()-5,N($AA2574)+1,N($AA2574)))</f>
        <v/>
      </c>
    </row>
    <row r="2576" ht="21" customHeight="1" s="66">
      <c r="A2576" s="56" t="n"/>
      <c r="B2576" s="57" t="n"/>
      <c r="C2576" s="57" t="n"/>
      <c r="D2576" s="57" t="n"/>
      <c r="E2576" s="56" t="n"/>
      <c r="F2576" s="57" t="n"/>
      <c r="G2576" s="57" t="n"/>
      <c r="H2576" s="56" t="n"/>
      <c r="I2576" s="56" t="n"/>
      <c r="J2576" s="58" t="n"/>
      <c r="K2576" s="58" t="n"/>
      <c r="L2576" s="13">
        <f>IF(OR($A2576="",AND($J2576="",$K2576="")),"",ROUND(N($J2576)-N($K2576),2))</f>
        <v/>
      </c>
      <c r="M2576" s="13">
        <f>IF(OR($A2576="",AND($J2576="",$K2576="")),"",MIN($J2576,$K2576))</f>
        <v/>
      </c>
      <c r="Q2576">
        <f>IF($A2576="","",$D2576&amp;"("&amp;SUBSTITUTE($E2576," ","")&amp;")")</f>
        <v/>
      </c>
      <c r="R2576">
        <f>IF($A2576="","",$B2576&amp;" - "&amp;$C2576)</f>
        <v/>
      </c>
      <c r="S2576">
        <f>IF($A2576="","",$R2576&amp;"|"&amp;$Q2576)</f>
        <v/>
      </c>
      <c r="T2576">
        <f>IF($A2576="","",$S2576&amp;"|"&amp;$F2576)</f>
        <v/>
      </c>
      <c r="U2576">
        <f>IF($A2576="","",$R2576&amp;"("&amp;$E2576&amp;")")</f>
        <v/>
      </c>
      <c r="V2576">
        <f>IF($A2576="","",$F2576&amp;"|"&amp;$U2576&amp;"|"&amp;$D2576)</f>
        <v/>
      </c>
      <c r="W2576">
        <f>IF($T2576="","",IF($X2576&gt;N($X2575),$X2576,""))</f>
        <v/>
      </c>
      <c r="X2576">
        <f>IF($T2576="",N($X2575),IF(MATCH($T2576,$T$6:$T$6005,0)=ROW()-5,N($X2575)+1,N($X2575)))</f>
        <v/>
      </c>
      <c r="Z2576">
        <f>IF($V2576="","",IF($AA2576&gt;N($AA2575),$AA2576,""))</f>
        <v/>
      </c>
      <c r="AA2576">
        <f>IF($V2576="",N($AA2575),IF(MATCH($V2576,$V$6:$V$6005,0)=ROW()-5,N($AA2575)+1,N($AA2575)))</f>
        <v/>
      </c>
    </row>
    <row r="2577" ht="21" customHeight="1" s="66">
      <c r="A2577" s="56" t="n"/>
      <c r="B2577" s="57" t="n"/>
      <c r="C2577" s="57" t="n"/>
      <c r="D2577" s="57" t="n"/>
      <c r="E2577" s="56" t="n"/>
      <c r="F2577" s="57" t="n"/>
      <c r="G2577" s="57" t="n"/>
      <c r="H2577" s="56" t="n"/>
      <c r="I2577" s="56" t="n"/>
      <c r="J2577" s="58" t="n"/>
      <c r="K2577" s="58" t="n"/>
      <c r="L2577" s="13">
        <f>IF(OR($A2577="",AND($J2577="",$K2577="")),"",ROUND(N($J2577)-N($K2577),2))</f>
        <v/>
      </c>
      <c r="M2577" s="13">
        <f>IF(OR($A2577="",AND($J2577="",$K2577="")),"",MIN($J2577,$K2577))</f>
        <v/>
      </c>
      <c r="Q2577">
        <f>IF($A2577="","",$D2577&amp;"("&amp;SUBSTITUTE($E2577," ","")&amp;")")</f>
        <v/>
      </c>
      <c r="R2577">
        <f>IF($A2577="","",$B2577&amp;" - "&amp;$C2577)</f>
        <v/>
      </c>
      <c r="S2577">
        <f>IF($A2577="","",$R2577&amp;"|"&amp;$Q2577)</f>
        <v/>
      </c>
      <c r="T2577">
        <f>IF($A2577="","",$S2577&amp;"|"&amp;$F2577)</f>
        <v/>
      </c>
      <c r="U2577">
        <f>IF($A2577="","",$R2577&amp;"("&amp;$E2577&amp;")")</f>
        <v/>
      </c>
      <c r="V2577">
        <f>IF($A2577="","",$F2577&amp;"|"&amp;$U2577&amp;"|"&amp;$D2577)</f>
        <v/>
      </c>
      <c r="W2577">
        <f>IF($T2577="","",IF($X2577&gt;N($X2576),$X2577,""))</f>
        <v/>
      </c>
      <c r="X2577">
        <f>IF($T2577="",N($X2576),IF(MATCH($T2577,$T$6:$T$6005,0)=ROW()-5,N($X2576)+1,N($X2576)))</f>
        <v/>
      </c>
      <c r="Z2577">
        <f>IF($V2577="","",IF($AA2577&gt;N($AA2576),$AA2577,""))</f>
        <v/>
      </c>
      <c r="AA2577">
        <f>IF($V2577="",N($AA2576),IF(MATCH($V2577,$V$6:$V$6005,0)=ROW()-5,N($AA2576)+1,N($AA2576)))</f>
        <v/>
      </c>
    </row>
    <row r="2578" ht="21" customHeight="1" s="66">
      <c r="A2578" s="56" t="n"/>
      <c r="B2578" s="57" t="n"/>
      <c r="C2578" s="57" t="n"/>
      <c r="D2578" s="57" t="n"/>
      <c r="E2578" s="56" t="n"/>
      <c r="F2578" s="57" t="n"/>
      <c r="G2578" s="57" t="n"/>
      <c r="H2578" s="56" t="n"/>
      <c r="I2578" s="56" t="n"/>
      <c r="J2578" s="58" t="n"/>
      <c r="K2578" s="58" t="n"/>
      <c r="L2578" s="13">
        <f>IF(OR($A2578="",AND($J2578="",$K2578="")),"",ROUND(N($J2578)-N($K2578),2))</f>
        <v/>
      </c>
      <c r="M2578" s="13">
        <f>IF(OR($A2578="",AND($J2578="",$K2578="")),"",MIN($J2578,$K2578))</f>
        <v/>
      </c>
      <c r="Q2578">
        <f>IF($A2578="","",$D2578&amp;"("&amp;SUBSTITUTE($E2578," ","")&amp;")")</f>
        <v/>
      </c>
      <c r="R2578">
        <f>IF($A2578="","",$B2578&amp;" - "&amp;$C2578)</f>
        <v/>
      </c>
      <c r="S2578">
        <f>IF($A2578="","",$R2578&amp;"|"&amp;$Q2578)</f>
        <v/>
      </c>
      <c r="T2578">
        <f>IF($A2578="","",$S2578&amp;"|"&amp;$F2578)</f>
        <v/>
      </c>
      <c r="U2578">
        <f>IF($A2578="","",$R2578&amp;"("&amp;$E2578&amp;")")</f>
        <v/>
      </c>
      <c r="V2578">
        <f>IF($A2578="","",$F2578&amp;"|"&amp;$U2578&amp;"|"&amp;$D2578)</f>
        <v/>
      </c>
      <c r="W2578">
        <f>IF($T2578="","",IF($X2578&gt;N($X2577),$X2578,""))</f>
        <v/>
      </c>
      <c r="X2578">
        <f>IF($T2578="",N($X2577),IF(MATCH($T2578,$T$6:$T$6005,0)=ROW()-5,N($X2577)+1,N($X2577)))</f>
        <v/>
      </c>
      <c r="Z2578">
        <f>IF($V2578="","",IF($AA2578&gt;N($AA2577),$AA2578,""))</f>
        <v/>
      </c>
      <c r="AA2578">
        <f>IF($V2578="",N($AA2577),IF(MATCH($V2578,$V$6:$V$6005,0)=ROW()-5,N($AA2577)+1,N($AA2577)))</f>
        <v/>
      </c>
    </row>
    <row r="2579" ht="21" customHeight="1" s="66">
      <c r="A2579" s="56" t="n"/>
      <c r="B2579" s="57" t="n"/>
      <c r="C2579" s="57" t="n"/>
      <c r="D2579" s="57" t="n"/>
      <c r="E2579" s="56" t="n"/>
      <c r="F2579" s="57" t="n"/>
      <c r="G2579" s="57" t="n"/>
      <c r="H2579" s="56" t="n"/>
      <c r="I2579" s="56" t="n"/>
      <c r="J2579" s="58" t="n"/>
      <c r="K2579" s="58" t="n"/>
      <c r="L2579" s="13">
        <f>IF(OR($A2579="",AND($J2579="",$K2579="")),"",ROUND(N($J2579)-N($K2579),2))</f>
        <v/>
      </c>
      <c r="M2579" s="13">
        <f>IF(OR($A2579="",AND($J2579="",$K2579="")),"",MIN($J2579,$K2579))</f>
        <v/>
      </c>
      <c r="Q2579">
        <f>IF($A2579="","",$D2579&amp;"("&amp;SUBSTITUTE($E2579," ","")&amp;")")</f>
        <v/>
      </c>
      <c r="R2579">
        <f>IF($A2579="","",$B2579&amp;" - "&amp;$C2579)</f>
        <v/>
      </c>
      <c r="S2579">
        <f>IF($A2579="","",$R2579&amp;"|"&amp;$Q2579)</f>
        <v/>
      </c>
      <c r="T2579">
        <f>IF($A2579="","",$S2579&amp;"|"&amp;$F2579)</f>
        <v/>
      </c>
      <c r="U2579">
        <f>IF($A2579="","",$R2579&amp;"("&amp;$E2579&amp;")")</f>
        <v/>
      </c>
      <c r="V2579">
        <f>IF($A2579="","",$F2579&amp;"|"&amp;$U2579&amp;"|"&amp;$D2579)</f>
        <v/>
      </c>
      <c r="W2579">
        <f>IF($T2579="","",IF($X2579&gt;N($X2578),$X2579,""))</f>
        <v/>
      </c>
      <c r="X2579">
        <f>IF($T2579="",N($X2578),IF(MATCH($T2579,$T$6:$T$6005,0)=ROW()-5,N($X2578)+1,N($X2578)))</f>
        <v/>
      </c>
      <c r="Z2579">
        <f>IF($V2579="","",IF($AA2579&gt;N($AA2578),$AA2579,""))</f>
        <v/>
      </c>
      <c r="AA2579">
        <f>IF($V2579="",N($AA2578),IF(MATCH($V2579,$V$6:$V$6005,0)=ROW()-5,N($AA2578)+1,N($AA2578)))</f>
        <v/>
      </c>
    </row>
    <row r="2580" ht="21" customHeight="1" s="66">
      <c r="A2580" s="56" t="n"/>
      <c r="B2580" s="57" t="n"/>
      <c r="C2580" s="57" t="n"/>
      <c r="D2580" s="57" t="n"/>
      <c r="E2580" s="56" t="n"/>
      <c r="F2580" s="57" t="n"/>
      <c r="G2580" s="57" t="n"/>
      <c r="H2580" s="56" t="n"/>
      <c r="I2580" s="56" t="n"/>
      <c r="J2580" s="58" t="n"/>
      <c r="K2580" s="58" t="n"/>
      <c r="L2580" s="13">
        <f>IF(OR($A2580="",AND($J2580="",$K2580="")),"",ROUND(N($J2580)-N($K2580),2))</f>
        <v/>
      </c>
      <c r="M2580" s="13">
        <f>IF(OR($A2580="",AND($J2580="",$K2580="")),"",MIN($J2580,$K2580))</f>
        <v/>
      </c>
      <c r="Q2580">
        <f>IF($A2580="","",$D2580&amp;"("&amp;SUBSTITUTE($E2580," ","")&amp;")")</f>
        <v/>
      </c>
      <c r="R2580">
        <f>IF($A2580="","",$B2580&amp;" - "&amp;$C2580)</f>
        <v/>
      </c>
      <c r="S2580">
        <f>IF($A2580="","",$R2580&amp;"|"&amp;$Q2580)</f>
        <v/>
      </c>
      <c r="T2580">
        <f>IF($A2580="","",$S2580&amp;"|"&amp;$F2580)</f>
        <v/>
      </c>
      <c r="U2580">
        <f>IF($A2580="","",$R2580&amp;"("&amp;$E2580&amp;")")</f>
        <v/>
      </c>
      <c r="V2580">
        <f>IF($A2580="","",$F2580&amp;"|"&amp;$U2580&amp;"|"&amp;$D2580)</f>
        <v/>
      </c>
      <c r="W2580">
        <f>IF($T2580="","",IF($X2580&gt;N($X2579),$X2580,""))</f>
        <v/>
      </c>
      <c r="X2580">
        <f>IF($T2580="",N($X2579),IF(MATCH($T2580,$T$6:$T$6005,0)=ROW()-5,N($X2579)+1,N($X2579)))</f>
        <v/>
      </c>
      <c r="Z2580">
        <f>IF($V2580="","",IF($AA2580&gt;N($AA2579),$AA2580,""))</f>
        <v/>
      </c>
      <c r="AA2580">
        <f>IF($V2580="",N($AA2579),IF(MATCH($V2580,$V$6:$V$6005,0)=ROW()-5,N($AA2579)+1,N($AA2579)))</f>
        <v/>
      </c>
    </row>
    <row r="2581" ht="21" customHeight="1" s="66">
      <c r="A2581" s="56" t="n"/>
      <c r="B2581" s="57" t="n"/>
      <c r="C2581" s="57" t="n"/>
      <c r="D2581" s="57" t="n"/>
      <c r="E2581" s="56" t="n"/>
      <c r="F2581" s="57" t="n"/>
      <c r="G2581" s="57" t="n"/>
      <c r="H2581" s="56" t="n"/>
      <c r="I2581" s="56" t="n"/>
      <c r="J2581" s="58" t="n"/>
      <c r="K2581" s="58" t="n"/>
      <c r="L2581" s="13">
        <f>IF(OR($A2581="",AND($J2581="",$K2581="")),"",ROUND(N($J2581)-N($K2581),2))</f>
        <v/>
      </c>
      <c r="M2581" s="13">
        <f>IF(OR($A2581="",AND($J2581="",$K2581="")),"",MIN($J2581,$K2581))</f>
        <v/>
      </c>
      <c r="Q2581">
        <f>IF($A2581="","",$D2581&amp;"("&amp;SUBSTITUTE($E2581," ","")&amp;")")</f>
        <v/>
      </c>
      <c r="R2581">
        <f>IF($A2581="","",$B2581&amp;" - "&amp;$C2581)</f>
        <v/>
      </c>
      <c r="S2581">
        <f>IF($A2581="","",$R2581&amp;"|"&amp;$Q2581)</f>
        <v/>
      </c>
      <c r="T2581">
        <f>IF($A2581="","",$S2581&amp;"|"&amp;$F2581)</f>
        <v/>
      </c>
      <c r="U2581">
        <f>IF($A2581="","",$R2581&amp;"("&amp;$E2581&amp;")")</f>
        <v/>
      </c>
      <c r="V2581">
        <f>IF($A2581="","",$F2581&amp;"|"&amp;$U2581&amp;"|"&amp;$D2581)</f>
        <v/>
      </c>
      <c r="W2581">
        <f>IF($T2581="","",IF($X2581&gt;N($X2580),$X2581,""))</f>
        <v/>
      </c>
      <c r="X2581">
        <f>IF($T2581="",N($X2580),IF(MATCH($T2581,$T$6:$T$6005,0)=ROW()-5,N($X2580)+1,N($X2580)))</f>
        <v/>
      </c>
      <c r="Z2581">
        <f>IF($V2581="","",IF($AA2581&gt;N($AA2580),$AA2581,""))</f>
        <v/>
      </c>
      <c r="AA2581">
        <f>IF($V2581="",N($AA2580),IF(MATCH($V2581,$V$6:$V$6005,0)=ROW()-5,N($AA2580)+1,N($AA2580)))</f>
        <v/>
      </c>
    </row>
    <row r="2582" ht="21" customHeight="1" s="66">
      <c r="A2582" s="56" t="n"/>
      <c r="B2582" s="57" t="n"/>
      <c r="C2582" s="57" t="n"/>
      <c r="D2582" s="57" t="n"/>
      <c r="E2582" s="56" t="n"/>
      <c r="F2582" s="57" t="n"/>
      <c r="G2582" s="57" t="n"/>
      <c r="H2582" s="56" t="n"/>
      <c r="I2582" s="56" t="n"/>
      <c r="J2582" s="58" t="n"/>
      <c r="K2582" s="58" t="n"/>
      <c r="L2582" s="13">
        <f>IF(OR($A2582="",AND($J2582="",$K2582="")),"",ROUND(N($J2582)-N($K2582),2))</f>
        <v/>
      </c>
      <c r="M2582" s="13">
        <f>IF(OR($A2582="",AND($J2582="",$K2582="")),"",MIN($J2582,$K2582))</f>
        <v/>
      </c>
      <c r="Q2582">
        <f>IF($A2582="","",$D2582&amp;"("&amp;SUBSTITUTE($E2582," ","")&amp;")")</f>
        <v/>
      </c>
      <c r="R2582">
        <f>IF($A2582="","",$B2582&amp;" - "&amp;$C2582)</f>
        <v/>
      </c>
      <c r="S2582">
        <f>IF($A2582="","",$R2582&amp;"|"&amp;$Q2582)</f>
        <v/>
      </c>
      <c r="T2582">
        <f>IF($A2582="","",$S2582&amp;"|"&amp;$F2582)</f>
        <v/>
      </c>
      <c r="U2582">
        <f>IF($A2582="","",$R2582&amp;"("&amp;$E2582&amp;")")</f>
        <v/>
      </c>
      <c r="V2582">
        <f>IF($A2582="","",$F2582&amp;"|"&amp;$U2582&amp;"|"&amp;$D2582)</f>
        <v/>
      </c>
      <c r="W2582">
        <f>IF($T2582="","",IF($X2582&gt;N($X2581),$X2582,""))</f>
        <v/>
      </c>
      <c r="X2582">
        <f>IF($T2582="",N($X2581),IF(MATCH($T2582,$T$6:$T$6005,0)=ROW()-5,N($X2581)+1,N($X2581)))</f>
        <v/>
      </c>
      <c r="Z2582">
        <f>IF($V2582="","",IF($AA2582&gt;N($AA2581),$AA2582,""))</f>
        <v/>
      </c>
      <c r="AA2582">
        <f>IF($V2582="",N($AA2581),IF(MATCH($V2582,$V$6:$V$6005,0)=ROW()-5,N($AA2581)+1,N($AA2581)))</f>
        <v/>
      </c>
    </row>
    <row r="2583" ht="21" customHeight="1" s="66">
      <c r="A2583" s="56" t="n"/>
      <c r="B2583" s="57" t="n"/>
      <c r="C2583" s="57" t="n"/>
      <c r="D2583" s="57" t="n"/>
      <c r="E2583" s="56" t="n"/>
      <c r="F2583" s="57" t="n"/>
      <c r="G2583" s="57" t="n"/>
      <c r="H2583" s="56" t="n"/>
      <c r="I2583" s="56" t="n"/>
      <c r="J2583" s="58" t="n"/>
      <c r="K2583" s="58" t="n"/>
      <c r="L2583" s="13">
        <f>IF(OR($A2583="",AND($J2583="",$K2583="")),"",ROUND(N($J2583)-N($K2583),2))</f>
        <v/>
      </c>
      <c r="M2583" s="13">
        <f>IF(OR($A2583="",AND($J2583="",$K2583="")),"",MIN($J2583,$K2583))</f>
        <v/>
      </c>
      <c r="Q2583">
        <f>IF($A2583="","",$D2583&amp;"("&amp;SUBSTITUTE($E2583," ","")&amp;")")</f>
        <v/>
      </c>
      <c r="R2583">
        <f>IF($A2583="","",$B2583&amp;" - "&amp;$C2583)</f>
        <v/>
      </c>
      <c r="S2583">
        <f>IF($A2583="","",$R2583&amp;"|"&amp;$Q2583)</f>
        <v/>
      </c>
      <c r="T2583">
        <f>IF($A2583="","",$S2583&amp;"|"&amp;$F2583)</f>
        <v/>
      </c>
      <c r="U2583">
        <f>IF($A2583="","",$R2583&amp;"("&amp;$E2583&amp;")")</f>
        <v/>
      </c>
      <c r="V2583">
        <f>IF($A2583="","",$F2583&amp;"|"&amp;$U2583&amp;"|"&amp;$D2583)</f>
        <v/>
      </c>
      <c r="W2583">
        <f>IF($T2583="","",IF($X2583&gt;N($X2582),$X2583,""))</f>
        <v/>
      </c>
      <c r="X2583">
        <f>IF($T2583="",N($X2582),IF(MATCH($T2583,$T$6:$T$6005,0)=ROW()-5,N($X2582)+1,N($X2582)))</f>
        <v/>
      </c>
      <c r="Z2583">
        <f>IF($V2583="","",IF($AA2583&gt;N($AA2582),$AA2583,""))</f>
        <v/>
      </c>
      <c r="AA2583">
        <f>IF($V2583="",N($AA2582),IF(MATCH($V2583,$V$6:$V$6005,0)=ROW()-5,N($AA2582)+1,N($AA2582)))</f>
        <v/>
      </c>
    </row>
    <row r="2584" ht="21" customHeight="1" s="66">
      <c r="A2584" s="56" t="n"/>
      <c r="B2584" s="57" t="n"/>
      <c r="C2584" s="57" t="n"/>
      <c r="D2584" s="57" t="n"/>
      <c r="E2584" s="56" t="n"/>
      <c r="F2584" s="57" t="n"/>
      <c r="G2584" s="57" t="n"/>
      <c r="H2584" s="56" t="n"/>
      <c r="I2584" s="56" t="n"/>
      <c r="J2584" s="58" t="n"/>
      <c r="K2584" s="58" t="n"/>
      <c r="L2584" s="13">
        <f>IF(OR($A2584="",AND($J2584="",$K2584="")),"",ROUND(N($J2584)-N($K2584),2))</f>
        <v/>
      </c>
      <c r="M2584" s="13">
        <f>IF(OR($A2584="",AND($J2584="",$K2584="")),"",MIN($J2584,$K2584))</f>
        <v/>
      </c>
      <c r="Q2584">
        <f>IF($A2584="","",$D2584&amp;"("&amp;SUBSTITUTE($E2584," ","")&amp;")")</f>
        <v/>
      </c>
      <c r="R2584">
        <f>IF($A2584="","",$B2584&amp;" - "&amp;$C2584)</f>
        <v/>
      </c>
      <c r="S2584">
        <f>IF($A2584="","",$R2584&amp;"|"&amp;$Q2584)</f>
        <v/>
      </c>
      <c r="T2584">
        <f>IF($A2584="","",$S2584&amp;"|"&amp;$F2584)</f>
        <v/>
      </c>
      <c r="U2584">
        <f>IF($A2584="","",$R2584&amp;"("&amp;$E2584&amp;")")</f>
        <v/>
      </c>
      <c r="V2584">
        <f>IF($A2584="","",$F2584&amp;"|"&amp;$U2584&amp;"|"&amp;$D2584)</f>
        <v/>
      </c>
      <c r="W2584">
        <f>IF($T2584="","",IF($X2584&gt;N($X2583),$X2584,""))</f>
        <v/>
      </c>
      <c r="X2584">
        <f>IF($T2584="",N($X2583),IF(MATCH($T2584,$T$6:$T$6005,0)=ROW()-5,N($X2583)+1,N($X2583)))</f>
        <v/>
      </c>
      <c r="Z2584">
        <f>IF($V2584="","",IF($AA2584&gt;N($AA2583),$AA2584,""))</f>
        <v/>
      </c>
      <c r="AA2584">
        <f>IF($V2584="",N($AA2583),IF(MATCH($V2584,$V$6:$V$6005,0)=ROW()-5,N($AA2583)+1,N($AA2583)))</f>
        <v/>
      </c>
    </row>
    <row r="2585" ht="21" customHeight="1" s="66">
      <c r="A2585" s="56" t="n"/>
      <c r="B2585" s="57" t="n"/>
      <c r="C2585" s="57" t="n"/>
      <c r="D2585" s="57" t="n"/>
      <c r="E2585" s="56" t="n"/>
      <c r="F2585" s="57" t="n"/>
      <c r="G2585" s="57" t="n"/>
      <c r="H2585" s="56" t="n"/>
      <c r="I2585" s="56" t="n"/>
      <c r="J2585" s="58" t="n"/>
      <c r="K2585" s="58" t="n"/>
      <c r="L2585" s="13">
        <f>IF(OR($A2585="",AND($J2585="",$K2585="")),"",ROUND(N($J2585)-N($K2585),2))</f>
        <v/>
      </c>
      <c r="M2585" s="13">
        <f>IF(OR($A2585="",AND($J2585="",$K2585="")),"",MIN($J2585,$K2585))</f>
        <v/>
      </c>
      <c r="Q2585">
        <f>IF($A2585="","",$D2585&amp;"("&amp;SUBSTITUTE($E2585," ","")&amp;")")</f>
        <v/>
      </c>
      <c r="R2585">
        <f>IF($A2585="","",$B2585&amp;" - "&amp;$C2585)</f>
        <v/>
      </c>
      <c r="S2585">
        <f>IF($A2585="","",$R2585&amp;"|"&amp;$Q2585)</f>
        <v/>
      </c>
      <c r="T2585">
        <f>IF($A2585="","",$S2585&amp;"|"&amp;$F2585)</f>
        <v/>
      </c>
      <c r="U2585">
        <f>IF($A2585="","",$R2585&amp;"("&amp;$E2585&amp;")")</f>
        <v/>
      </c>
      <c r="V2585">
        <f>IF($A2585="","",$F2585&amp;"|"&amp;$U2585&amp;"|"&amp;$D2585)</f>
        <v/>
      </c>
      <c r="W2585">
        <f>IF($T2585="","",IF($X2585&gt;N($X2584),$X2585,""))</f>
        <v/>
      </c>
      <c r="X2585">
        <f>IF($T2585="",N($X2584),IF(MATCH($T2585,$T$6:$T$6005,0)=ROW()-5,N($X2584)+1,N($X2584)))</f>
        <v/>
      </c>
      <c r="Z2585">
        <f>IF($V2585="","",IF($AA2585&gt;N($AA2584),$AA2585,""))</f>
        <v/>
      </c>
      <c r="AA2585">
        <f>IF($V2585="",N($AA2584),IF(MATCH($V2585,$V$6:$V$6005,0)=ROW()-5,N($AA2584)+1,N($AA2584)))</f>
        <v/>
      </c>
    </row>
    <row r="2586" ht="21" customHeight="1" s="66">
      <c r="A2586" s="56" t="n"/>
      <c r="B2586" s="57" t="n"/>
      <c r="C2586" s="57" t="n"/>
      <c r="D2586" s="57" t="n"/>
      <c r="E2586" s="56" t="n"/>
      <c r="F2586" s="57" t="n"/>
      <c r="G2586" s="57" t="n"/>
      <c r="H2586" s="56" t="n"/>
      <c r="I2586" s="56" t="n"/>
      <c r="J2586" s="58" t="n"/>
      <c r="K2586" s="58" t="n"/>
      <c r="L2586" s="13">
        <f>IF(OR($A2586="",AND($J2586="",$K2586="")),"",ROUND(N($J2586)-N($K2586),2))</f>
        <v/>
      </c>
      <c r="M2586" s="13">
        <f>IF(OR($A2586="",AND($J2586="",$K2586="")),"",MIN($J2586,$K2586))</f>
        <v/>
      </c>
      <c r="Q2586">
        <f>IF($A2586="","",$D2586&amp;"("&amp;SUBSTITUTE($E2586," ","")&amp;")")</f>
        <v/>
      </c>
      <c r="R2586">
        <f>IF($A2586="","",$B2586&amp;" - "&amp;$C2586)</f>
        <v/>
      </c>
      <c r="S2586">
        <f>IF($A2586="","",$R2586&amp;"|"&amp;$Q2586)</f>
        <v/>
      </c>
      <c r="T2586">
        <f>IF($A2586="","",$S2586&amp;"|"&amp;$F2586)</f>
        <v/>
      </c>
      <c r="U2586">
        <f>IF($A2586="","",$R2586&amp;"("&amp;$E2586&amp;")")</f>
        <v/>
      </c>
      <c r="V2586">
        <f>IF($A2586="","",$F2586&amp;"|"&amp;$U2586&amp;"|"&amp;$D2586)</f>
        <v/>
      </c>
      <c r="W2586">
        <f>IF($T2586="","",IF($X2586&gt;N($X2585),$X2586,""))</f>
        <v/>
      </c>
      <c r="X2586">
        <f>IF($T2586="",N($X2585),IF(MATCH($T2586,$T$6:$T$6005,0)=ROW()-5,N($X2585)+1,N($X2585)))</f>
        <v/>
      </c>
      <c r="Z2586">
        <f>IF($V2586="","",IF($AA2586&gt;N($AA2585),$AA2586,""))</f>
        <v/>
      </c>
      <c r="AA2586">
        <f>IF($V2586="",N($AA2585),IF(MATCH($V2586,$V$6:$V$6005,0)=ROW()-5,N($AA2585)+1,N($AA2585)))</f>
        <v/>
      </c>
    </row>
    <row r="2587" ht="21" customHeight="1" s="66">
      <c r="A2587" s="56" t="n"/>
      <c r="B2587" s="57" t="n"/>
      <c r="C2587" s="57" t="n"/>
      <c r="D2587" s="57" t="n"/>
      <c r="E2587" s="56" t="n"/>
      <c r="F2587" s="57" t="n"/>
      <c r="G2587" s="57" t="n"/>
      <c r="H2587" s="56" t="n"/>
      <c r="I2587" s="56" t="n"/>
      <c r="J2587" s="58" t="n"/>
      <c r="K2587" s="58" t="n"/>
      <c r="L2587" s="13">
        <f>IF(OR($A2587="",AND($J2587="",$K2587="")),"",ROUND(N($J2587)-N($K2587),2))</f>
        <v/>
      </c>
      <c r="M2587" s="13">
        <f>IF(OR($A2587="",AND($J2587="",$K2587="")),"",MIN($J2587,$K2587))</f>
        <v/>
      </c>
      <c r="Q2587">
        <f>IF($A2587="","",$D2587&amp;"("&amp;SUBSTITUTE($E2587," ","")&amp;")")</f>
        <v/>
      </c>
      <c r="R2587">
        <f>IF($A2587="","",$B2587&amp;" - "&amp;$C2587)</f>
        <v/>
      </c>
      <c r="S2587">
        <f>IF($A2587="","",$R2587&amp;"|"&amp;$Q2587)</f>
        <v/>
      </c>
      <c r="T2587">
        <f>IF($A2587="","",$S2587&amp;"|"&amp;$F2587)</f>
        <v/>
      </c>
      <c r="U2587">
        <f>IF($A2587="","",$R2587&amp;"("&amp;$E2587&amp;")")</f>
        <v/>
      </c>
      <c r="V2587">
        <f>IF($A2587="","",$F2587&amp;"|"&amp;$U2587&amp;"|"&amp;$D2587)</f>
        <v/>
      </c>
      <c r="W2587">
        <f>IF($T2587="","",IF($X2587&gt;N($X2586),$X2587,""))</f>
        <v/>
      </c>
      <c r="X2587">
        <f>IF($T2587="",N($X2586),IF(MATCH($T2587,$T$6:$T$6005,0)=ROW()-5,N($X2586)+1,N($X2586)))</f>
        <v/>
      </c>
      <c r="Z2587">
        <f>IF($V2587="","",IF($AA2587&gt;N($AA2586),$AA2587,""))</f>
        <v/>
      </c>
      <c r="AA2587">
        <f>IF($V2587="",N($AA2586),IF(MATCH($V2587,$V$6:$V$6005,0)=ROW()-5,N($AA2586)+1,N($AA2586)))</f>
        <v/>
      </c>
    </row>
    <row r="2588" ht="21" customHeight="1" s="66">
      <c r="A2588" s="56" t="n"/>
      <c r="B2588" s="57" t="n"/>
      <c r="C2588" s="57" t="n"/>
      <c r="D2588" s="57" t="n"/>
      <c r="E2588" s="56" t="n"/>
      <c r="F2588" s="57" t="n"/>
      <c r="G2588" s="57" t="n"/>
      <c r="H2588" s="56" t="n"/>
      <c r="I2588" s="56" t="n"/>
      <c r="J2588" s="58" t="n"/>
      <c r="K2588" s="58" t="n"/>
      <c r="L2588" s="13">
        <f>IF(OR($A2588="",AND($J2588="",$K2588="")),"",ROUND(N($J2588)-N($K2588),2))</f>
        <v/>
      </c>
      <c r="M2588" s="13">
        <f>IF(OR($A2588="",AND($J2588="",$K2588="")),"",MIN($J2588,$K2588))</f>
        <v/>
      </c>
      <c r="Q2588">
        <f>IF($A2588="","",$D2588&amp;"("&amp;SUBSTITUTE($E2588," ","")&amp;")")</f>
        <v/>
      </c>
      <c r="R2588">
        <f>IF($A2588="","",$B2588&amp;" - "&amp;$C2588)</f>
        <v/>
      </c>
      <c r="S2588">
        <f>IF($A2588="","",$R2588&amp;"|"&amp;$Q2588)</f>
        <v/>
      </c>
      <c r="T2588">
        <f>IF($A2588="","",$S2588&amp;"|"&amp;$F2588)</f>
        <v/>
      </c>
      <c r="U2588">
        <f>IF($A2588="","",$R2588&amp;"("&amp;$E2588&amp;")")</f>
        <v/>
      </c>
      <c r="V2588">
        <f>IF($A2588="","",$F2588&amp;"|"&amp;$U2588&amp;"|"&amp;$D2588)</f>
        <v/>
      </c>
      <c r="W2588">
        <f>IF($T2588="","",IF($X2588&gt;N($X2587),$X2588,""))</f>
        <v/>
      </c>
      <c r="X2588">
        <f>IF($T2588="",N($X2587),IF(MATCH($T2588,$T$6:$T$6005,0)=ROW()-5,N($X2587)+1,N($X2587)))</f>
        <v/>
      </c>
      <c r="Z2588">
        <f>IF($V2588="","",IF($AA2588&gt;N($AA2587),$AA2588,""))</f>
        <v/>
      </c>
      <c r="AA2588">
        <f>IF($V2588="",N($AA2587),IF(MATCH($V2588,$V$6:$V$6005,0)=ROW()-5,N($AA2587)+1,N($AA2587)))</f>
        <v/>
      </c>
    </row>
    <row r="2589" ht="21" customHeight="1" s="66">
      <c r="A2589" s="56" t="n"/>
      <c r="B2589" s="57" t="n"/>
      <c r="C2589" s="57" t="n"/>
      <c r="D2589" s="57" t="n"/>
      <c r="E2589" s="56" t="n"/>
      <c r="F2589" s="57" t="n"/>
      <c r="G2589" s="57" t="n"/>
      <c r="H2589" s="56" t="n"/>
      <c r="I2589" s="56" t="n"/>
      <c r="J2589" s="58" t="n"/>
      <c r="K2589" s="58" t="n"/>
      <c r="L2589" s="13">
        <f>IF(OR($A2589="",AND($J2589="",$K2589="")),"",ROUND(N($J2589)-N($K2589),2))</f>
        <v/>
      </c>
      <c r="M2589" s="13">
        <f>IF(OR($A2589="",AND($J2589="",$K2589="")),"",MIN($J2589,$K2589))</f>
        <v/>
      </c>
      <c r="Q2589">
        <f>IF($A2589="","",$D2589&amp;"("&amp;SUBSTITUTE($E2589," ","")&amp;")")</f>
        <v/>
      </c>
      <c r="R2589">
        <f>IF($A2589="","",$B2589&amp;" - "&amp;$C2589)</f>
        <v/>
      </c>
      <c r="S2589">
        <f>IF($A2589="","",$R2589&amp;"|"&amp;$Q2589)</f>
        <v/>
      </c>
      <c r="T2589">
        <f>IF($A2589="","",$S2589&amp;"|"&amp;$F2589)</f>
        <v/>
      </c>
      <c r="U2589">
        <f>IF($A2589="","",$R2589&amp;"("&amp;$E2589&amp;")")</f>
        <v/>
      </c>
      <c r="V2589">
        <f>IF($A2589="","",$F2589&amp;"|"&amp;$U2589&amp;"|"&amp;$D2589)</f>
        <v/>
      </c>
      <c r="W2589">
        <f>IF($T2589="","",IF($X2589&gt;N($X2588),$X2589,""))</f>
        <v/>
      </c>
      <c r="X2589">
        <f>IF($T2589="",N($X2588),IF(MATCH($T2589,$T$6:$T$6005,0)=ROW()-5,N($X2588)+1,N($X2588)))</f>
        <v/>
      </c>
      <c r="Z2589">
        <f>IF($V2589="","",IF($AA2589&gt;N($AA2588),$AA2589,""))</f>
        <v/>
      </c>
      <c r="AA2589">
        <f>IF($V2589="",N($AA2588),IF(MATCH($V2589,$V$6:$V$6005,0)=ROW()-5,N($AA2588)+1,N($AA2588)))</f>
        <v/>
      </c>
    </row>
    <row r="2590" ht="21" customHeight="1" s="66">
      <c r="A2590" s="56" t="n"/>
      <c r="B2590" s="57" t="n"/>
      <c r="C2590" s="57" t="n"/>
      <c r="D2590" s="57" t="n"/>
      <c r="E2590" s="56" t="n"/>
      <c r="F2590" s="57" t="n"/>
      <c r="G2590" s="57" t="n"/>
      <c r="H2590" s="56" t="n"/>
      <c r="I2590" s="56" t="n"/>
      <c r="J2590" s="58" t="n"/>
      <c r="K2590" s="58" t="n"/>
      <c r="L2590" s="13">
        <f>IF(OR($A2590="",AND($J2590="",$K2590="")),"",ROUND(N($J2590)-N($K2590),2))</f>
        <v/>
      </c>
      <c r="M2590" s="13">
        <f>IF(OR($A2590="",AND($J2590="",$K2590="")),"",MIN($J2590,$K2590))</f>
        <v/>
      </c>
      <c r="Q2590">
        <f>IF($A2590="","",$D2590&amp;"("&amp;SUBSTITUTE($E2590," ","")&amp;")")</f>
        <v/>
      </c>
      <c r="R2590">
        <f>IF($A2590="","",$B2590&amp;" - "&amp;$C2590)</f>
        <v/>
      </c>
      <c r="S2590">
        <f>IF($A2590="","",$R2590&amp;"|"&amp;$Q2590)</f>
        <v/>
      </c>
      <c r="T2590">
        <f>IF($A2590="","",$S2590&amp;"|"&amp;$F2590)</f>
        <v/>
      </c>
      <c r="U2590">
        <f>IF($A2590="","",$R2590&amp;"("&amp;$E2590&amp;")")</f>
        <v/>
      </c>
      <c r="V2590">
        <f>IF($A2590="","",$F2590&amp;"|"&amp;$U2590&amp;"|"&amp;$D2590)</f>
        <v/>
      </c>
      <c r="W2590">
        <f>IF($T2590="","",IF($X2590&gt;N($X2589),$X2590,""))</f>
        <v/>
      </c>
      <c r="X2590">
        <f>IF($T2590="",N($X2589),IF(MATCH($T2590,$T$6:$T$6005,0)=ROW()-5,N($X2589)+1,N($X2589)))</f>
        <v/>
      </c>
      <c r="Z2590">
        <f>IF($V2590="","",IF($AA2590&gt;N($AA2589),$AA2590,""))</f>
        <v/>
      </c>
      <c r="AA2590">
        <f>IF($V2590="",N($AA2589),IF(MATCH($V2590,$V$6:$V$6005,0)=ROW()-5,N($AA2589)+1,N($AA2589)))</f>
        <v/>
      </c>
    </row>
    <row r="2591" ht="21" customHeight="1" s="66">
      <c r="A2591" s="56" t="n"/>
      <c r="B2591" s="57" t="n"/>
      <c r="C2591" s="57" t="n"/>
      <c r="D2591" s="57" t="n"/>
      <c r="E2591" s="56" t="n"/>
      <c r="F2591" s="57" t="n"/>
      <c r="G2591" s="57" t="n"/>
      <c r="H2591" s="56" t="n"/>
      <c r="I2591" s="56" t="n"/>
      <c r="J2591" s="58" t="n"/>
      <c r="K2591" s="58" t="n"/>
      <c r="L2591" s="13">
        <f>IF(OR($A2591="",AND($J2591="",$K2591="")),"",ROUND(N($J2591)-N($K2591),2))</f>
        <v/>
      </c>
      <c r="M2591" s="13">
        <f>IF(OR($A2591="",AND($J2591="",$K2591="")),"",MIN($J2591,$K2591))</f>
        <v/>
      </c>
      <c r="Q2591">
        <f>IF($A2591="","",$D2591&amp;"("&amp;SUBSTITUTE($E2591," ","")&amp;")")</f>
        <v/>
      </c>
      <c r="R2591">
        <f>IF($A2591="","",$B2591&amp;" - "&amp;$C2591)</f>
        <v/>
      </c>
      <c r="S2591">
        <f>IF($A2591="","",$R2591&amp;"|"&amp;$Q2591)</f>
        <v/>
      </c>
      <c r="T2591">
        <f>IF($A2591="","",$S2591&amp;"|"&amp;$F2591)</f>
        <v/>
      </c>
      <c r="U2591">
        <f>IF($A2591="","",$R2591&amp;"("&amp;$E2591&amp;")")</f>
        <v/>
      </c>
      <c r="V2591">
        <f>IF($A2591="","",$F2591&amp;"|"&amp;$U2591&amp;"|"&amp;$D2591)</f>
        <v/>
      </c>
      <c r="W2591">
        <f>IF($T2591="","",IF($X2591&gt;N($X2590),$X2591,""))</f>
        <v/>
      </c>
      <c r="X2591">
        <f>IF($T2591="",N($X2590),IF(MATCH($T2591,$T$6:$T$6005,0)=ROW()-5,N($X2590)+1,N($X2590)))</f>
        <v/>
      </c>
      <c r="Z2591">
        <f>IF($V2591="","",IF($AA2591&gt;N($AA2590),$AA2591,""))</f>
        <v/>
      </c>
      <c r="AA2591">
        <f>IF($V2591="",N($AA2590),IF(MATCH($V2591,$V$6:$V$6005,0)=ROW()-5,N($AA2590)+1,N($AA2590)))</f>
        <v/>
      </c>
    </row>
    <row r="2592" ht="21" customHeight="1" s="66">
      <c r="A2592" s="56" t="n"/>
      <c r="B2592" s="57" t="n"/>
      <c r="C2592" s="57" t="n"/>
      <c r="D2592" s="57" t="n"/>
      <c r="E2592" s="56" t="n"/>
      <c r="F2592" s="57" t="n"/>
      <c r="G2592" s="57" t="n"/>
      <c r="H2592" s="56" t="n"/>
      <c r="I2592" s="56" t="n"/>
      <c r="J2592" s="58" t="n"/>
      <c r="K2592" s="58" t="n"/>
      <c r="L2592" s="13">
        <f>IF(OR($A2592="",AND($J2592="",$K2592="")),"",ROUND(N($J2592)-N($K2592),2))</f>
        <v/>
      </c>
      <c r="M2592" s="13">
        <f>IF(OR($A2592="",AND($J2592="",$K2592="")),"",MIN($J2592,$K2592))</f>
        <v/>
      </c>
      <c r="Q2592">
        <f>IF($A2592="","",$D2592&amp;"("&amp;SUBSTITUTE($E2592," ","")&amp;")")</f>
        <v/>
      </c>
      <c r="R2592">
        <f>IF($A2592="","",$B2592&amp;" - "&amp;$C2592)</f>
        <v/>
      </c>
      <c r="S2592">
        <f>IF($A2592="","",$R2592&amp;"|"&amp;$Q2592)</f>
        <v/>
      </c>
      <c r="T2592">
        <f>IF($A2592="","",$S2592&amp;"|"&amp;$F2592)</f>
        <v/>
      </c>
      <c r="U2592">
        <f>IF($A2592="","",$R2592&amp;"("&amp;$E2592&amp;")")</f>
        <v/>
      </c>
      <c r="V2592">
        <f>IF($A2592="","",$F2592&amp;"|"&amp;$U2592&amp;"|"&amp;$D2592)</f>
        <v/>
      </c>
      <c r="W2592">
        <f>IF($T2592="","",IF($X2592&gt;N($X2591),$X2592,""))</f>
        <v/>
      </c>
      <c r="X2592">
        <f>IF($T2592="",N($X2591),IF(MATCH($T2592,$T$6:$T$6005,0)=ROW()-5,N($X2591)+1,N($X2591)))</f>
        <v/>
      </c>
      <c r="Z2592">
        <f>IF($V2592="","",IF($AA2592&gt;N($AA2591),$AA2592,""))</f>
        <v/>
      </c>
      <c r="AA2592">
        <f>IF($V2592="",N($AA2591),IF(MATCH($V2592,$V$6:$V$6005,0)=ROW()-5,N($AA2591)+1,N($AA2591)))</f>
        <v/>
      </c>
    </row>
    <row r="2593" ht="21" customHeight="1" s="66">
      <c r="A2593" s="56" t="n"/>
      <c r="B2593" s="57" t="n"/>
      <c r="C2593" s="57" t="n"/>
      <c r="D2593" s="57" t="n"/>
      <c r="E2593" s="56" t="n"/>
      <c r="F2593" s="57" t="n"/>
      <c r="G2593" s="57" t="n"/>
      <c r="H2593" s="56" t="n"/>
      <c r="I2593" s="56" t="n"/>
      <c r="J2593" s="58" t="n"/>
      <c r="K2593" s="58" t="n"/>
      <c r="L2593" s="13">
        <f>IF(OR($A2593="",AND($J2593="",$K2593="")),"",ROUND(N($J2593)-N($K2593),2))</f>
        <v/>
      </c>
      <c r="M2593" s="13">
        <f>IF(OR($A2593="",AND($J2593="",$K2593="")),"",MIN($J2593,$K2593))</f>
        <v/>
      </c>
      <c r="Q2593">
        <f>IF($A2593="","",$D2593&amp;"("&amp;SUBSTITUTE($E2593," ","")&amp;")")</f>
        <v/>
      </c>
      <c r="R2593">
        <f>IF($A2593="","",$B2593&amp;" - "&amp;$C2593)</f>
        <v/>
      </c>
      <c r="S2593">
        <f>IF($A2593="","",$R2593&amp;"|"&amp;$Q2593)</f>
        <v/>
      </c>
      <c r="T2593">
        <f>IF($A2593="","",$S2593&amp;"|"&amp;$F2593)</f>
        <v/>
      </c>
      <c r="U2593">
        <f>IF($A2593="","",$R2593&amp;"("&amp;$E2593&amp;")")</f>
        <v/>
      </c>
      <c r="V2593">
        <f>IF($A2593="","",$F2593&amp;"|"&amp;$U2593&amp;"|"&amp;$D2593)</f>
        <v/>
      </c>
      <c r="W2593">
        <f>IF($T2593="","",IF($X2593&gt;N($X2592),$X2593,""))</f>
        <v/>
      </c>
      <c r="X2593">
        <f>IF($T2593="",N($X2592),IF(MATCH($T2593,$T$6:$T$6005,0)=ROW()-5,N($X2592)+1,N($X2592)))</f>
        <v/>
      </c>
      <c r="Z2593">
        <f>IF($V2593="","",IF($AA2593&gt;N($AA2592),$AA2593,""))</f>
        <v/>
      </c>
      <c r="AA2593">
        <f>IF($V2593="",N($AA2592),IF(MATCH($V2593,$V$6:$V$6005,0)=ROW()-5,N($AA2592)+1,N($AA2592)))</f>
        <v/>
      </c>
    </row>
    <row r="2594" ht="21" customHeight="1" s="66">
      <c r="A2594" s="56" t="n"/>
      <c r="B2594" s="57" t="n"/>
      <c r="C2594" s="57" t="n"/>
      <c r="D2594" s="57" t="n"/>
      <c r="E2594" s="56" t="n"/>
      <c r="F2594" s="57" t="n"/>
      <c r="G2594" s="57" t="n"/>
      <c r="H2594" s="56" t="n"/>
      <c r="I2594" s="56" t="n"/>
      <c r="J2594" s="58" t="n"/>
      <c r="K2594" s="58" t="n"/>
      <c r="L2594" s="13">
        <f>IF(OR($A2594="",AND($J2594="",$K2594="")),"",ROUND(N($J2594)-N($K2594),2))</f>
        <v/>
      </c>
      <c r="M2594" s="13">
        <f>IF(OR($A2594="",AND($J2594="",$K2594="")),"",MIN($J2594,$K2594))</f>
        <v/>
      </c>
      <c r="Q2594">
        <f>IF($A2594="","",$D2594&amp;"("&amp;SUBSTITUTE($E2594," ","")&amp;")")</f>
        <v/>
      </c>
      <c r="R2594">
        <f>IF($A2594="","",$B2594&amp;" - "&amp;$C2594)</f>
        <v/>
      </c>
      <c r="S2594">
        <f>IF($A2594="","",$R2594&amp;"|"&amp;$Q2594)</f>
        <v/>
      </c>
      <c r="T2594">
        <f>IF($A2594="","",$S2594&amp;"|"&amp;$F2594)</f>
        <v/>
      </c>
      <c r="U2594">
        <f>IF($A2594="","",$R2594&amp;"("&amp;$E2594&amp;")")</f>
        <v/>
      </c>
      <c r="V2594">
        <f>IF($A2594="","",$F2594&amp;"|"&amp;$U2594&amp;"|"&amp;$D2594)</f>
        <v/>
      </c>
      <c r="W2594">
        <f>IF($T2594="","",IF($X2594&gt;N($X2593),$X2594,""))</f>
        <v/>
      </c>
      <c r="X2594">
        <f>IF($T2594="",N($X2593),IF(MATCH($T2594,$T$6:$T$6005,0)=ROW()-5,N($X2593)+1,N($X2593)))</f>
        <v/>
      </c>
      <c r="Z2594">
        <f>IF($V2594="","",IF($AA2594&gt;N($AA2593),$AA2594,""))</f>
        <v/>
      </c>
      <c r="AA2594">
        <f>IF($V2594="",N($AA2593),IF(MATCH($V2594,$V$6:$V$6005,0)=ROW()-5,N($AA2593)+1,N($AA2593)))</f>
        <v/>
      </c>
    </row>
    <row r="2595" ht="21" customHeight="1" s="66">
      <c r="A2595" s="56" t="n"/>
      <c r="B2595" s="57" t="n"/>
      <c r="C2595" s="57" t="n"/>
      <c r="D2595" s="57" t="n"/>
      <c r="E2595" s="56" t="n"/>
      <c r="F2595" s="57" t="n"/>
      <c r="G2595" s="57" t="n"/>
      <c r="H2595" s="56" t="n"/>
      <c r="I2595" s="56" t="n"/>
      <c r="J2595" s="58" t="n"/>
      <c r="K2595" s="58" t="n"/>
      <c r="L2595" s="13">
        <f>IF(OR($A2595="",AND($J2595="",$K2595="")),"",ROUND(N($J2595)-N($K2595),2))</f>
        <v/>
      </c>
      <c r="M2595" s="13">
        <f>IF(OR($A2595="",AND($J2595="",$K2595="")),"",MIN($J2595,$K2595))</f>
        <v/>
      </c>
      <c r="Q2595">
        <f>IF($A2595="","",$D2595&amp;"("&amp;SUBSTITUTE($E2595," ","")&amp;")")</f>
        <v/>
      </c>
      <c r="R2595">
        <f>IF($A2595="","",$B2595&amp;" - "&amp;$C2595)</f>
        <v/>
      </c>
      <c r="S2595">
        <f>IF($A2595="","",$R2595&amp;"|"&amp;$Q2595)</f>
        <v/>
      </c>
      <c r="T2595">
        <f>IF($A2595="","",$S2595&amp;"|"&amp;$F2595)</f>
        <v/>
      </c>
      <c r="U2595">
        <f>IF($A2595="","",$R2595&amp;"("&amp;$E2595&amp;")")</f>
        <v/>
      </c>
      <c r="V2595">
        <f>IF($A2595="","",$F2595&amp;"|"&amp;$U2595&amp;"|"&amp;$D2595)</f>
        <v/>
      </c>
      <c r="W2595">
        <f>IF($T2595="","",IF($X2595&gt;N($X2594),$X2595,""))</f>
        <v/>
      </c>
      <c r="X2595">
        <f>IF($T2595="",N($X2594),IF(MATCH($T2595,$T$6:$T$6005,0)=ROW()-5,N($X2594)+1,N($X2594)))</f>
        <v/>
      </c>
      <c r="Z2595">
        <f>IF($V2595="","",IF($AA2595&gt;N($AA2594),$AA2595,""))</f>
        <v/>
      </c>
      <c r="AA2595">
        <f>IF($V2595="",N($AA2594),IF(MATCH($V2595,$V$6:$V$6005,0)=ROW()-5,N($AA2594)+1,N($AA2594)))</f>
        <v/>
      </c>
    </row>
    <row r="2596" ht="21" customHeight="1" s="66">
      <c r="A2596" s="56" t="n"/>
      <c r="B2596" s="57" t="n"/>
      <c r="C2596" s="57" t="n"/>
      <c r="D2596" s="57" t="n"/>
      <c r="E2596" s="56" t="n"/>
      <c r="F2596" s="57" t="n"/>
      <c r="G2596" s="57" t="n"/>
      <c r="H2596" s="56" t="n"/>
      <c r="I2596" s="56" t="n"/>
      <c r="J2596" s="58" t="n"/>
      <c r="K2596" s="58" t="n"/>
      <c r="L2596" s="13">
        <f>IF(OR($A2596="",AND($J2596="",$K2596="")),"",ROUND(N($J2596)-N($K2596),2))</f>
        <v/>
      </c>
      <c r="M2596" s="13">
        <f>IF(OR($A2596="",AND($J2596="",$K2596="")),"",MIN($J2596,$K2596))</f>
        <v/>
      </c>
      <c r="Q2596">
        <f>IF($A2596="","",$D2596&amp;"("&amp;SUBSTITUTE($E2596," ","")&amp;")")</f>
        <v/>
      </c>
      <c r="R2596">
        <f>IF($A2596="","",$B2596&amp;" - "&amp;$C2596)</f>
        <v/>
      </c>
      <c r="S2596">
        <f>IF($A2596="","",$R2596&amp;"|"&amp;$Q2596)</f>
        <v/>
      </c>
      <c r="T2596">
        <f>IF($A2596="","",$S2596&amp;"|"&amp;$F2596)</f>
        <v/>
      </c>
      <c r="U2596">
        <f>IF($A2596="","",$R2596&amp;"("&amp;$E2596&amp;")")</f>
        <v/>
      </c>
      <c r="V2596">
        <f>IF($A2596="","",$F2596&amp;"|"&amp;$U2596&amp;"|"&amp;$D2596)</f>
        <v/>
      </c>
      <c r="W2596">
        <f>IF($T2596="","",IF($X2596&gt;N($X2595),$X2596,""))</f>
        <v/>
      </c>
      <c r="X2596">
        <f>IF($T2596="",N($X2595),IF(MATCH($T2596,$T$6:$T$6005,0)=ROW()-5,N($X2595)+1,N($X2595)))</f>
        <v/>
      </c>
      <c r="Z2596">
        <f>IF($V2596="","",IF($AA2596&gt;N($AA2595),$AA2596,""))</f>
        <v/>
      </c>
      <c r="AA2596">
        <f>IF($V2596="",N($AA2595),IF(MATCH($V2596,$V$6:$V$6005,0)=ROW()-5,N($AA2595)+1,N($AA2595)))</f>
        <v/>
      </c>
    </row>
    <row r="2597" ht="21" customHeight="1" s="66">
      <c r="A2597" s="56" t="n"/>
      <c r="B2597" s="57" t="n"/>
      <c r="C2597" s="57" t="n"/>
      <c r="D2597" s="57" t="n"/>
      <c r="E2597" s="56" t="n"/>
      <c r="F2597" s="57" t="n"/>
      <c r="G2597" s="57" t="n"/>
      <c r="H2597" s="56" t="n"/>
      <c r="I2597" s="56" t="n"/>
      <c r="J2597" s="58" t="n"/>
      <c r="K2597" s="58" t="n"/>
      <c r="L2597" s="13">
        <f>IF(OR($A2597="",AND($J2597="",$K2597="")),"",ROUND(N($J2597)-N($K2597),2))</f>
        <v/>
      </c>
      <c r="M2597" s="13">
        <f>IF(OR($A2597="",AND($J2597="",$K2597="")),"",MIN($J2597,$K2597))</f>
        <v/>
      </c>
      <c r="Q2597">
        <f>IF($A2597="","",$D2597&amp;"("&amp;SUBSTITUTE($E2597," ","")&amp;")")</f>
        <v/>
      </c>
      <c r="R2597">
        <f>IF($A2597="","",$B2597&amp;" - "&amp;$C2597)</f>
        <v/>
      </c>
      <c r="S2597">
        <f>IF($A2597="","",$R2597&amp;"|"&amp;$Q2597)</f>
        <v/>
      </c>
      <c r="T2597">
        <f>IF($A2597="","",$S2597&amp;"|"&amp;$F2597)</f>
        <v/>
      </c>
      <c r="U2597">
        <f>IF($A2597="","",$R2597&amp;"("&amp;$E2597&amp;")")</f>
        <v/>
      </c>
      <c r="V2597">
        <f>IF($A2597="","",$F2597&amp;"|"&amp;$U2597&amp;"|"&amp;$D2597)</f>
        <v/>
      </c>
      <c r="W2597">
        <f>IF($T2597="","",IF($X2597&gt;N($X2596),$X2597,""))</f>
        <v/>
      </c>
      <c r="X2597">
        <f>IF($T2597="",N($X2596),IF(MATCH($T2597,$T$6:$T$6005,0)=ROW()-5,N($X2596)+1,N($X2596)))</f>
        <v/>
      </c>
      <c r="Z2597">
        <f>IF($V2597="","",IF($AA2597&gt;N($AA2596),$AA2597,""))</f>
        <v/>
      </c>
      <c r="AA2597">
        <f>IF($V2597="",N($AA2596),IF(MATCH($V2597,$V$6:$V$6005,0)=ROW()-5,N($AA2596)+1,N($AA2596)))</f>
        <v/>
      </c>
    </row>
    <row r="2598" ht="21" customHeight="1" s="66">
      <c r="A2598" s="56" t="n"/>
      <c r="B2598" s="57" t="n"/>
      <c r="C2598" s="57" t="n"/>
      <c r="D2598" s="57" t="n"/>
      <c r="E2598" s="56" t="n"/>
      <c r="F2598" s="57" t="n"/>
      <c r="G2598" s="57" t="n"/>
      <c r="H2598" s="56" t="n"/>
      <c r="I2598" s="56" t="n"/>
      <c r="J2598" s="58" t="n"/>
      <c r="K2598" s="58" t="n"/>
      <c r="L2598" s="13">
        <f>IF(OR($A2598="",AND($J2598="",$K2598="")),"",ROUND(N($J2598)-N($K2598),2))</f>
        <v/>
      </c>
      <c r="M2598" s="13">
        <f>IF(OR($A2598="",AND($J2598="",$K2598="")),"",MIN($J2598,$K2598))</f>
        <v/>
      </c>
      <c r="Q2598">
        <f>IF($A2598="","",$D2598&amp;"("&amp;SUBSTITUTE($E2598," ","")&amp;")")</f>
        <v/>
      </c>
      <c r="R2598">
        <f>IF($A2598="","",$B2598&amp;" - "&amp;$C2598)</f>
        <v/>
      </c>
      <c r="S2598">
        <f>IF($A2598="","",$R2598&amp;"|"&amp;$Q2598)</f>
        <v/>
      </c>
      <c r="T2598">
        <f>IF($A2598="","",$S2598&amp;"|"&amp;$F2598)</f>
        <v/>
      </c>
      <c r="U2598">
        <f>IF($A2598="","",$R2598&amp;"("&amp;$E2598&amp;")")</f>
        <v/>
      </c>
      <c r="V2598">
        <f>IF($A2598="","",$F2598&amp;"|"&amp;$U2598&amp;"|"&amp;$D2598)</f>
        <v/>
      </c>
      <c r="W2598">
        <f>IF($T2598="","",IF($X2598&gt;N($X2597),$X2598,""))</f>
        <v/>
      </c>
      <c r="X2598">
        <f>IF($T2598="",N($X2597),IF(MATCH($T2598,$T$6:$T$6005,0)=ROW()-5,N($X2597)+1,N($X2597)))</f>
        <v/>
      </c>
      <c r="Z2598">
        <f>IF($V2598="","",IF($AA2598&gt;N($AA2597),$AA2598,""))</f>
        <v/>
      </c>
      <c r="AA2598">
        <f>IF($V2598="",N($AA2597),IF(MATCH($V2598,$V$6:$V$6005,0)=ROW()-5,N($AA2597)+1,N($AA2597)))</f>
        <v/>
      </c>
    </row>
    <row r="2599" ht="21" customHeight="1" s="66">
      <c r="A2599" s="56" t="n"/>
      <c r="B2599" s="57" t="n"/>
      <c r="C2599" s="57" t="n"/>
      <c r="D2599" s="57" t="n"/>
      <c r="E2599" s="56" t="n"/>
      <c r="F2599" s="57" t="n"/>
      <c r="G2599" s="57" t="n"/>
      <c r="H2599" s="56" t="n"/>
      <c r="I2599" s="56" t="n"/>
      <c r="J2599" s="58" t="n"/>
      <c r="K2599" s="58" t="n"/>
      <c r="L2599" s="13">
        <f>IF(OR($A2599="",AND($J2599="",$K2599="")),"",ROUND(N($J2599)-N($K2599),2))</f>
        <v/>
      </c>
      <c r="M2599" s="13">
        <f>IF(OR($A2599="",AND($J2599="",$K2599="")),"",MIN($J2599,$K2599))</f>
        <v/>
      </c>
      <c r="Q2599">
        <f>IF($A2599="","",$D2599&amp;"("&amp;SUBSTITUTE($E2599," ","")&amp;")")</f>
        <v/>
      </c>
      <c r="R2599">
        <f>IF($A2599="","",$B2599&amp;" - "&amp;$C2599)</f>
        <v/>
      </c>
      <c r="S2599">
        <f>IF($A2599="","",$R2599&amp;"|"&amp;$Q2599)</f>
        <v/>
      </c>
      <c r="T2599">
        <f>IF($A2599="","",$S2599&amp;"|"&amp;$F2599)</f>
        <v/>
      </c>
      <c r="U2599">
        <f>IF($A2599="","",$R2599&amp;"("&amp;$E2599&amp;")")</f>
        <v/>
      </c>
      <c r="V2599">
        <f>IF($A2599="","",$F2599&amp;"|"&amp;$U2599&amp;"|"&amp;$D2599)</f>
        <v/>
      </c>
      <c r="W2599">
        <f>IF($T2599="","",IF($X2599&gt;N($X2598),$X2599,""))</f>
        <v/>
      </c>
      <c r="X2599">
        <f>IF($T2599="",N($X2598),IF(MATCH($T2599,$T$6:$T$6005,0)=ROW()-5,N($X2598)+1,N($X2598)))</f>
        <v/>
      </c>
      <c r="Z2599">
        <f>IF($V2599="","",IF($AA2599&gt;N($AA2598),$AA2599,""))</f>
        <v/>
      </c>
      <c r="AA2599">
        <f>IF($V2599="",N($AA2598),IF(MATCH($V2599,$V$6:$V$6005,0)=ROW()-5,N($AA2598)+1,N($AA2598)))</f>
        <v/>
      </c>
    </row>
    <row r="2600" ht="21" customHeight="1" s="66">
      <c r="A2600" s="56" t="n"/>
      <c r="B2600" s="57" t="n"/>
      <c r="C2600" s="57" t="n"/>
      <c r="D2600" s="57" t="n"/>
      <c r="E2600" s="56" t="n"/>
      <c r="F2600" s="57" t="n"/>
      <c r="G2600" s="57" t="n"/>
      <c r="H2600" s="56" t="n"/>
      <c r="I2600" s="56" t="n"/>
      <c r="J2600" s="58" t="n"/>
      <c r="K2600" s="58" t="n"/>
      <c r="L2600" s="13">
        <f>IF(OR($A2600="",AND($J2600="",$K2600="")),"",ROUND(N($J2600)-N($K2600),2))</f>
        <v/>
      </c>
      <c r="M2600" s="13">
        <f>IF(OR($A2600="",AND($J2600="",$K2600="")),"",MIN($J2600,$K2600))</f>
        <v/>
      </c>
      <c r="Q2600">
        <f>IF($A2600="","",$D2600&amp;"("&amp;SUBSTITUTE($E2600," ","")&amp;")")</f>
        <v/>
      </c>
      <c r="R2600">
        <f>IF($A2600="","",$B2600&amp;" - "&amp;$C2600)</f>
        <v/>
      </c>
      <c r="S2600">
        <f>IF($A2600="","",$R2600&amp;"|"&amp;$Q2600)</f>
        <v/>
      </c>
      <c r="T2600">
        <f>IF($A2600="","",$S2600&amp;"|"&amp;$F2600)</f>
        <v/>
      </c>
      <c r="U2600">
        <f>IF($A2600="","",$R2600&amp;"("&amp;$E2600&amp;")")</f>
        <v/>
      </c>
      <c r="V2600">
        <f>IF($A2600="","",$F2600&amp;"|"&amp;$U2600&amp;"|"&amp;$D2600)</f>
        <v/>
      </c>
      <c r="W2600">
        <f>IF($T2600="","",IF($X2600&gt;N($X2599),$X2600,""))</f>
        <v/>
      </c>
      <c r="X2600">
        <f>IF($T2600="",N($X2599),IF(MATCH($T2600,$T$6:$T$6005,0)=ROW()-5,N($X2599)+1,N($X2599)))</f>
        <v/>
      </c>
      <c r="Z2600">
        <f>IF($V2600="","",IF($AA2600&gt;N($AA2599),$AA2600,""))</f>
        <v/>
      </c>
      <c r="AA2600">
        <f>IF($V2600="",N($AA2599),IF(MATCH($V2600,$V$6:$V$6005,0)=ROW()-5,N($AA2599)+1,N($AA2599)))</f>
        <v/>
      </c>
    </row>
    <row r="2601" ht="21" customHeight="1" s="66">
      <c r="A2601" s="56" t="n"/>
      <c r="B2601" s="57" t="n"/>
      <c r="C2601" s="57" t="n"/>
      <c r="D2601" s="57" t="n"/>
      <c r="E2601" s="56" t="n"/>
      <c r="F2601" s="57" t="n"/>
      <c r="G2601" s="57" t="n"/>
      <c r="H2601" s="56" t="n"/>
      <c r="I2601" s="56" t="n"/>
      <c r="J2601" s="58" t="n"/>
      <c r="K2601" s="58" t="n"/>
      <c r="L2601" s="13">
        <f>IF(OR($A2601="",AND($J2601="",$K2601="")),"",ROUND(N($J2601)-N($K2601),2))</f>
        <v/>
      </c>
      <c r="M2601" s="13">
        <f>IF(OR($A2601="",AND($J2601="",$K2601="")),"",MIN($J2601,$K2601))</f>
        <v/>
      </c>
      <c r="Q2601">
        <f>IF($A2601="","",$D2601&amp;"("&amp;SUBSTITUTE($E2601," ","")&amp;")")</f>
        <v/>
      </c>
      <c r="R2601">
        <f>IF($A2601="","",$B2601&amp;" - "&amp;$C2601)</f>
        <v/>
      </c>
      <c r="S2601">
        <f>IF($A2601="","",$R2601&amp;"|"&amp;$Q2601)</f>
        <v/>
      </c>
      <c r="T2601">
        <f>IF($A2601="","",$S2601&amp;"|"&amp;$F2601)</f>
        <v/>
      </c>
      <c r="U2601">
        <f>IF($A2601="","",$R2601&amp;"("&amp;$E2601&amp;")")</f>
        <v/>
      </c>
      <c r="V2601">
        <f>IF($A2601="","",$F2601&amp;"|"&amp;$U2601&amp;"|"&amp;$D2601)</f>
        <v/>
      </c>
      <c r="W2601">
        <f>IF($T2601="","",IF($X2601&gt;N($X2600),$X2601,""))</f>
        <v/>
      </c>
      <c r="X2601">
        <f>IF($T2601="",N($X2600),IF(MATCH($T2601,$T$6:$T$6005,0)=ROW()-5,N($X2600)+1,N($X2600)))</f>
        <v/>
      </c>
      <c r="Z2601">
        <f>IF($V2601="","",IF($AA2601&gt;N($AA2600),$AA2601,""))</f>
        <v/>
      </c>
      <c r="AA2601">
        <f>IF($V2601="",N($AA2600),IF(MATCH($V2601,$V$6:$V$6005,0)=ROW()-5,N($AA2600)+1,N($AA2600)))</f>
        <v/>
      </c>
    </row>
    <row r="2602" ht="21" customHeight="1" s="66">
      <c r="A2602" s="56" t="n"/>
      <c r="B2602" s="57" t="n"/>
      <c r="C2602" s="57" t="n"/>
      <c r="D2602" s="57" t="n"/>
      <c r="E2602" s="56" t="n"/>
      <c r="F2602" s="57" t="n"/>
      <c r="G2602" s="57" t="n"/>
      <c r="H2602" s="56" t="n"/>
      <c r="I2602" s="56" t="n"/>
      <c r="J2602" s="58" t="n"/>
      <c r="K2602" s="58" t="n"/>
      <c r="L2602" s="13">
        <f>IF(OR($A2602="",AND($J2602="",$K2602="")),"",ROUND(N($J2602)-N($K2602),2))</f>
        <v/>
      </c>
      <c r="M2602" s="13">
        <f>IF(OR($A2602="",AND($J2602="",$K2602="")),"",MIN($J2602,$K2602))</f>
        <v/>
      </c>
      <c r="Q2602">
        <f>IF($A2602="","",$D2602&amp;"("&amp;SUBSTITUTE($E2602," ","")&amp;")")</f>
        <v/>
      </c>
      <c r="R2602">
        <f>IF($A2602="","",$B2602&amp;" - "&amp;$C2602)</f>
        <v/>
      </c>
      <c r="S2602">
        <f>IF($A2602="","",$R2602&amp;"|"&amp;$Q2602)</f>
        <v/>
      </c>
      <c r="T2602">
        <f>IF($A2602="","",$S2602&amp;"|"&amp;$F2602)</f>
        <v/>
      </c>
      <c r="U2602">
        <f>IF($A2602="","",$R2602&amp;"("&amp;$E2602&amp;")")</f>
        <v/>
      </c>
      <c r="V2602">
        <f>IF($A2602="","",$F2602&amp;"|"&amp;$U2602&amp;"|"&amp;$D2602)</f>
        <v/>
      </c>
      <c r="W2602">
        <f>IF($T2602="","",IF($X2602&gt;N($X2601),$X2602,""))</f>
        <v/>
      </c>
      <c r="X2602">
        <f>IF($T2602="",N($X2601),IF(MATCH($T2602,$T$6:$T$6005,0)=ROW()-5,N($X2601)+1,N($X2601)))</f>
        <v/>
      </c>
      <c r="Z2602">
        <f>IF($V2602="","",IF($AA2602&gt;N($AA2601),$AA2602,""))</f>
        <v/>
      </c>
      <c r="AA2602">
        <f>IF($V2602="",N($AA2601),IF(MATCH($V2602,$V$6:$V$6005,0)=ROW()-5,N($AA2601)+1,N($AA2601)))</f>
        <v/>
      </c>
    </row>
    <row r="2603" ht="21" customHeight="1" s="66">
      <c r="A2603" s="56" t="n"/>
      <c r="B2603" s="57" t="n"/>
      <c r="C2603" s="57" t="n"/>
      <c r="D2603" s="57" t="n"/>
      <c r="E2603" s="56" t="n"/>
      <c r="F2603" s="57" t="n"/>
      <c r="G2603" s="57" t="n"/>
      <c r="H2603" s="56" t="n"/>
      <c r="I2603" s="56" t="n"/>
      <c r="J2603" s="58" t="n"/>
      <c r="K2603" s="58" t="n"/>
      <c r="L2603" s="13">
        <f>IF(OR($A2603="",AND($J2603="",$K2603="")),"",ROUND(N($J2603)-N($K2603),2))</f>
        <v/>
      </c>
      <c r="M2603" s="13">
        <f>IF(OR($A2603="",AND($J2603="",$K2603="")),"",MIN($J2603,$K2603))</f>
        <v/>
      </c>
      <c r="Q2603">
        <f>IF($A2603="","",$D2603&amp;"("&amp;SUBSTITUTE($E2603," ","")&amp;")")</f>
        <v/>
      </c>
      <c r="R2603">
        <f>IF($A2603="","",$B2603&amp;" - "&amp;$C2603)</f>
        <v/>
      </c>
      <c r="S2603">
        <f>IF($A2603="","",$R2603&amp;"|"&amp;$Q2603)</f>
        <v/>
      </c>
      <c r="T2603">
        <f>IF($A2603="","",$S2603&amp;"|"&amp;$F2603)</f>
        <v/>
      </c>
      <c r="U2603">
        <f>IF($A2603="","",$R2603&amp;"("&amp;$E2603&amp;")")</f>
        <v/>
      </c>
      <c r="V2603">
        <f>IF($A2603="","",$F2603&amp;"|"&amp;$U2603&amp;"|"&amp;$D2603)</f>
        <v/>
      </c>
      <c r="W2603">
        <f>IF($T2603="","",IF($X2603&gt;N($X2602),$X2603,""))</f>
        <v/>
      </c>
      <c r="X2603">
        <f>IF($T2603="",N($X2602),IF(MATCH($T2603,$T$6:$T$6005,0)=ROW()-5,N($X2602)+1,N($X2602)))</f>
        <v/>
      </c>
      <c r="Z2603">
        <f>IF($V2603="","",IF($AA2603&gt;N($AA2602),$AA2603,""))</f>
        <v/>
      </c>
      <c r="AA2603">
        <f>IF($V2603="",N($AA2602),IF(MATCH($V2603,$V$6:$V$6005,0)=ROW()-5,N($AA2602)+1,N($AA2602)))</f>
        <v/>
      </c>
    </row>
    <row r="2604" ht="21" customHeight="1" s="66">
      <c r="A2604" s="56" t="n"/>
      <c r="B2604" s="57" t="n"/>
      <c r="C2604" s="57" t="n"/>
      <c r="D2604" s="57" t="n"/>
      <c r="E2604" s="56" t="n"/>
      <c r="F2604" s="57" t="n"/>
      <c r="G2604" s="57" t="n"/>
      <c r="H2604" s="56" t="n"/>
      <c r="I2604" s="56" t="n"/>
      <c r="J2604" s="58" t="n"/>
      <c r="K2604" s="58" t="n"/>
      <c r="L2604" s="13">
        <f>IF(OR($A2604="",AND($J2604="",$K2604="")),"",ROUND(N($J2604)-N($K2604),2))</f>
        <v/>
      </c>
      <c r="M2604" s="13">
        <f>IF(OR($A2604="",AND($J2604="",$K2604="")),"",MIN($J2604,$K2604))</f>
        <v/>
      </c>
      <c r="Q2604">
        <f>IF($A2604="","",$D2604&amp;"("&amp;SUBSTITUTE($E2604," ","")&amp;")")</f>
        <v/>
      </c>
      <c r="R2604">
        <f>IF($A2604="","",$B2604&amp;" - "&amp;$C2604)</f>
        <v/>
      </c>
      <c r="S2604">
        <f>IF($A2604="","",$R2604&amp;"|"&amp;$Q2604)</f>
        <v/>
      </c>
      <c r="T2604">
        <f>IF($A2604="","",$S2604&amp;"|"&amp;$F2604)</f>
        <v/>
      </c>
      <c r="U2604">
        <f>IF($A2604="","",$R2604&amp;"("&amp;$E2604&amp;")")</f>
        <v/>
      </c>
      <c r="V2604">
        <f>IF($A2604="","",$F2604&amp;"|"&amp;$U2604&amp;"|"&amp;$D2604)</f>
        <v/>
      </c>
      <c r="W2604">
        <f>IF($T2604="","",IF($X2604&gt;N($X2603),$X2604,""))</f>
        <v/>
      </c>
      <c r="X2604">
        <f>IF($T2604="",N($X2603),IF(MATCH($T2604,$T$6:$T$6005,0)=ROW()-5,N($X2603)+1,N($X2603)))</f>
        <v/>
      </c>
      <c r="Z2604">
        <f>IF($V2604="","",IF($AA2604&gt;N($AA2603),$AA2604,""))</f>
        <v/>
      </c>
      <c r="AA2604">
        <f>IF($V2604="",N($AA2603),IF(MATCH($V2604,$V$6:$V$6005,0)=ROW()-5,N($AA2603)+1,N($AA2603)))</f>
        <v/>
      </c>
    </row>
    <row r="2605" ht="21" customHeight="1" s="66">
      <c r="A2605" s="56" t="n"/>
      <c r="B2605" s="57" t="n"/>
      <c r="C2605" s="57" t="n"/>
      <c r="D2605" s="57" t="n"/>
      <c r="E2605" s="56" t="n"/>
      <c r="F2605" s="57" t="n"/>
      <c r="G2605" s="57" t="n"/>
      <c r="H2605" s="56" t="n"/>
      <c r="I2605" s="56" t="n"/>
      <c r="J2605" s="58" t="n"/>
      <c r="K2605" s="58" t="n"/>
      <c r="L2605" s="13">
        <f>IF(OR($A2605="",AND($J2605="",$K2605="")),"",ROUND(N($J2605)-N($K2605),2))</f>
        <v/>
      </c>
      <c r="M2605" s="13">
        <f>IF(OR($A2605="",AND($J2605="",$K2605="")),"",MIN($J2605,$K2605))</f>
        <v/>
      </c>
      <c r="Q2605">
        <f>IF($A2605="","",$D2605&amp;"("&amp;SUBSTITUTE($E2605," ","")&amp;")")</f>
        <v/>
      </c>
      <c r="R2605">
        <f>IF($A2605="","",$B2605&amp;" - "&amp;$C2605)</f>
        <v/>
      </c>
      <c r="S2605">
        <f>IF($A2605="","",$R2605&amp;"|"&amp;$Q2605)</f>
        <v/>
      </c>
      <c r="T2605">
        <f>IF($A2605="","",$S2605&amp;"|"&amp;$F2605)</f>
        <v/>
      </c>
      <c r="U2605">
        <f>IF($A2605="","",$R2605&amp;"("&amp;$E2605&amp;")")</f>
        <v/>
      </c>
      <c r="V2605">
        <f>IF($A2605="","",$F2605&amp;"|"&amp;$U2605&amp;"|"&amp;$D2605)</f>
        <v/>
      </c>
      <c r="W2605">
        <f>IF($T2605="","",IF($X2605&gt;N($X2604),$X2605,""))</f>
        <v/>
      </c>
      <c r="X2605">
        <f>IF($T2605="",N($X2604),IF(MATCH($T2605,$T$6:$T$6005,0)=ROW()-5,N($X2604)+1,N($X2604)))</f>
        <v/>
      </c>
      <c r="Z2605">
        <f>IF($V2605="","",IF($AA2605&gt;N($AA2604),$AA2605,""))</f>
        <v/>
      </c>
      <c r="AA2605">
        <f>IF($V2605="",N($AA2604),IF(MATCH($V2605,$V$6:$V$6005,0)=ROW()-5,N($AA2604)+1,N($AA2604)))</f>
        <v/>
      </c>
    </row>
    <row r="2606" ht="21" customHeight="1" s="66">
      <c r="A2606" s="56" t="n"/>
      <c r="B2606" s="57" t="n"/>
      <c r="C2606" s="57" t="n"/>
      <c r="D2606" s="57" t="n"/>
      <c r="E2606" s="56" t="n"/>
      <c r="F2606" s="57" t="n"/>
      <c r="G2606" s="57" t="n"/>
      <c r="H2606" s="56" t="n"/>
      <c r="I2606" s="56" t="n"/>
      <c r="J2606" s="58" t="n"/>
      <c r="K2606" s="58" t="n"/>
      <c r="L2606" s="13">
        <f>IF(OR($A2606="",AND($J2606="",$K2606="")),"",ROUND(N($J2606)-N($K2606),2))</f>
        <v/>
      </c>
      <c r="M2606" s="13">
        <f>IF(OR($A2606="",AND($J2606="",$K2606="")),"",MIN($J2606,$K2606))</f>
        <v/>
      </c>
      <c r="Q2606">
        <f>IF($A2606="","",$D2606&amp;"("&amp;SUBSTITUTE($E2606," ","")&amp;")")</f>
        <v/>
      </c>
      <c r="R2606">
        <f>IF($A2606="","",$B2606&amp;" - "&amp;$C2606)</f>
        <v/>
      </c>
      <c r="S2606">
        <f>IF($A2606="","",$R2606&amp;"|"&amp;$Q2606)</f>
        <v/>
      </c>
      <c r="T2606">
        <f>IF($A2606="","",$S2606&amp;"|"&amp;$F2606)</f>
        <v/>
      </c>
      <c r="U2606">
        <f>IF($A2606="","",$R2606&amp;"("&amp;$E2606&amp;")")</f>
        <v/>
      </c>
      <c r="V2606">
        <f>IF($A2606="","",$F2606&amp;"|"&amp;$U2606&amp;"|"&amp;$D2606)</f>
        <v/>
      </c>
      <c r="W2606">
        <f>IF($T2606="","",IF($X2606&gt;N($X2605),$X2606,""))</f>
        <v/>
      </c>
      <c r="X2606">
        <f>IF($T2606="",N($X2605),IF(MATCH($T2606,$T$6:$T$6005,0)=ROW()-5,N($X2605)+1,N($X2605)))</f>
        <v/>
      </c>
      <c r="Z2606">
        <f>IF($V2606="","",IF($AA2606&gt;N($AA2605),$AA2606,""))</f>
        <v/>
      </c>
      <c r="AA2606">
        <f>IF($V2606="",N($AA2605),IF(MATCH($V2606,$V$6:$V$6005,0)=ROW()-5,N($AA2605)+1,N($AA2605)))</f>
        <v/>
      </c>
    </row>
    <row r="2607" ht="21" customHeight="1" s="66">
      <c r="A2607" s="56" t="n"/>
      <c r="B2607" s="57" t="n"/>
      <c r="C2607" s="57" t="n"/>
      <c r="D2607" s="57" t="n"/>
      <c r="E2607" s="56" t="n"/>
      <c r="F2607" s="57" t="n"/>
      <c r="G2607" s="57" t="n"/>
      <c r="H2607" s="56" t="n"/>
      <c r="I2607" s="56" t="n"/>
      <c r="J2607" s="58" t="n"/>
      <c r="K2607" s="58" t="n"/>
      <c r="L2607" s="13">
        <f>IF(OR($A2607="",AND($J2607="",$K2607="")),"",ROUND(N($J2607)-N($K2607),2))</f>
        <v/>
      </c>
      <c r="M2607" s="13">
        <f>IF(OR($A2607="",AND($J2607="",$K2607="")),"",MIN($J2607,$K2607))</f>
        <v/>
      </c>
      <c r="Q2607">
        <f>IF($A2607="","",$D2607&amp;"("&amp;SUBSTITUTE($E2607," ","")&amp;")")</f>
        <v/>
      </c>
      <c r="R2607">
        <f>IF($A2607="","",$B2607&amp;" - "&amp;$C2607)</f>
        <v/>
      </c>
      <c r="S2607">
        <f>IF($A2607="","",$R2607&amp;"|"&amp;$Q2607)</f>
        <v/>
      </c>
      <c r="T2607">
        <f>IF($A2607="","",$S2607&amp;"|"&amp;$F2607)</f>
        <v/>
      </c>
      <c r="U2607">
        <f>IF($A2607="","",$R2607&amp;"("&amp;$E2607&amp;")")</f>
        <v/>
      </c>
      <c r="V2607">
        <f>IF($A2607="","",$F2607&amp;"|"&amp;$U2607&amp;"|"&amp;$D2607)</f>
        <v/>
      </c>
      <c r="W2607">
        <f>IF($T2607="","",IF($X2607&gt;N($X2606),$X2607,""))</f>
        <v/>
      </c>
      <c r="X2607">
        <f>IF($T2607="",N($X2606),IF(MATCH($T2607,$T$6:$T$6005,0)=ROW()-5,N($X2606)+1,N($X2606)))</f>
        <v/>
      </c>
      <c r="Z2607">
        <f>IF($V2607="","",IF($AA2607&gt;N($AA2606),$AA2607,""))</f>
        <v/>
      </c>
      <c r="AA2607">
        <f>IF($V2607="",N($AA2606),IF(MATCH($V2607,$V$6:$V$6005,0)=ROW()-5,N($AA2606)+1,N($AA2606)))</f>
        <v/>
      </c>
    </row>
    <row r="2608" ht="21" customHeight="1" s="66">
      <c r="A2608" s="56" t="n"/>
      <c r="B2608" s="57" t="n"/>
      <c r="C2608" s="57" t="n"/>
      <c r="D2608" s="57" t="n"/>
      <c r="E2608" s="56" t="n"/>
      <c r="F2608" s="57" t="n"/>
      <c r="G2608" s="57" t="n"/>
      <c r="H2608" s="56" t="n"/>
      <c r="I2608" s="56" t="n"/>
      <c r="J2608" s="58" t="n"/>
      <c r="K2608" s="58" t="n"/>
      <c r="L2608" s="13">
        <f>IF(OR($A2608="",AND($J2608="",$K2608="")),"",ROUND(N($J2608)-N($K2608),2))</f>
        <v/>
      </c>
      <c r="M2608" s="13">
        <f>IF(OR($A2608="",AND($J2608="",$K2608="")),"",MIN($J2608,$K2608))</f>
        <v/>
      </c>
      <c r="Q2608">
        <f>IF($A2608="","",$D2608&amp;"("&amp;SUBSTITUTE($E2608," ","")&amp;")")</f>
        <v/>
      </c>
      <c r="R2608">
        <f>IF($A2608="","",$B2608&amp;" - "&amp;$C2608)</f>
        <v/>
      </c>
      <c r="S2608">
        <f>IF($A2608="","",$R2608&amp;"|"&amp;$Q2608)</f>
        <v/>
      </c>
      <c r="T2608">
        <f>IF($A2608="","",$S2608&amp;"|"&amp;$F2608)</f>
        <v/>
      </c>
      <c r="U2608">
        <f>IF($A2608="","",$R2608&amp;"("&amp;$E2608&amp;")")</f>
        <v/>
      </c>
      <c r="V2608">
        <f>IF($A2608="","",$F2608&amp;"|"&amp;$U2608&amp;"|"&amp;$D2608)</f>
        <v/>
      </c>
      <c r="W2608">
        <f>IF($T2608="","",IF($X2608&gt;N($X2607),$X2608,""))</f>
        <v/>
      </c>
      <c r="X2608">
        <f>IF($T2608="",N($X2607),IF(MATCH($T2608,$T$6:$T$6005,0)=ROW()-5,N($X2607)+1,N($X2607)))</f>
        <v/>
      </c>
      <c r="Z2608">
        <f>IF($V2608="","",IF($AA2608&gt;N($AA2607),$AA2608,""))</f>
        <v/>
      </c>
      <c r="AA2608">
        <f>IF($V2608="",N($AA2607),IF(MATCH($V2608,$V$6:$V$6005,0)=ROW()-5,N($AA2607)+1,N($AA2607)))</f>
        <v/>
      </c>
    </row>
    <row r="2609" ht="21" customHeight="1" s="66">
      <c r="A2609" s="56" t="n"/>
      <c r="B2609" s="57" t="n"/>
      <c r="C2609" s="57" t="n"/>
      <c r="D2609" s="57" t="n"/>
      <c r="E2609" s="56" t="n"/>
      <c r="F2609" s="57" t="n"/>
      <c r="G2609" s="57" t="n"/>
      <c r="H2609" s="56" t="n"/>
      <c r="I2609" s="56" t="n"/>
      <c r="J2609" s="58" t="n"/>
      <c r="K2609" s="58" t="n"/>
      <c r="L2609" s="13">
        <f>IF(OR($A2609="",AND($J2609="",$K2609="")),"",ROUND(N($J2609)-N($K2609),2))</f>
        <v/>
      </c>
      <c r="M2609" s="13">
        <f>IF(OR($A2609="",AND($J2609="",$K2609="")),"",MIN($J2609,$K2609))</f>
        <v/>
      </c>
      <c r="Q2609">
        <f>IF($A2609="","",$D2609&amp;"("&amp;SUBSTITUTE($E2609," ","")&amp;")")</f>
        <v/>
      </c>
      <c r="R2609">
        <f>IF($A2609="","",$B2609&amp;" - "&amp;$C2609)</f>
        <v/>
      </c>
      <c r="S2609">
        <f>IF($A2609="","",$R2609&amp;"|"&amp;$Q2609)</f>
        <v/>
      </c>
      <c r="T2609">
        <f>IF($A2609="","",$S2609&amp;"|"&amp;$F2609)</f>
        <v/>
      </c>
      <c r="U2609">
        <f>IF($A2609="","",$R2609&amp;"("&amp;$E2609&amp;")")</f>
        <v/>
      </c>
      <c r="V2609">
        <f>IF($A2609="","",$F2609&amp;"|"&amp;$U2609&amp;"|"&amp;$D2609)</f>
        <v/>
      </c>
      <c r="W2609">
        <f>IF($T2609="","",IF($X2609&gt;N($X2608),$X2609,""))</f>
        <v/>
      </c>
      <c r="X2609">
        <f>IF($T2609="",N($X2608),IF(MATCH($T2609,$T$6:$T$6005,0)=ROW()-5,N($X2608)+1,N($X2608)))</f>
        <v/>
      </c>
      <c r="Z2609">
        <f>IF($V2609="","",IF($AA2609&gt;N($AA2608),$AA2609,""))</f>
        <v/>
      </c>
      <c r="AA2609">
        <f>IF($V2609="",N($AA2608),IF(MATCH($V2609,$V$6:$V$6005,0)=ROW()-5,N($AA2608)+1,N($AA2608)))</f>
        <v/>
      </c>
    </row>
    <row r="2610" ht="21" customHeight="1" s="66">
      <c r="A2610" s="56" t="n"/>
      <c r="B2610" s="57" t="n"/>
      <c r="C2610" s="57" t="n"/>
      <c r="D2610" s="57" t="n"/>
      <c r="E2610" s="56" t="n"/>
      <c r="F2610" s="57" t="n"/>
      <c r="G2610" s="57" t="n"/>
      <c r="H2610" s="56" t="n"/>
      <c r="I2610" s="56" t="n"/>
      <c r="J2610" s="58" t="n"/>
      <c r="K2610" s="58" t="n"/>
      <c r="L2610" s="13">
        <f>IF(OR($A2610="",AND($J2610="",$K2610="")),"",ROUND(N($J2610)-N($K2610),2))</f>
        <v/>
      </c>
      <c r="M2610" s="13">
        <f>IF(OR($A2610="",AND($J2610="",$K2610="")),"",MIN($J2610,$K2610))</f>
        <v/>
      </c>
      <c r="Q2610">
        <f>IF($A2610="","",$D2610&amp;"("&amp;SUBSTITUTE($E2610," ","")&amp;")")</f>
        <v/>
      </c>
      <c r="R2610">
        <f>IF($A2610="","",$B2610&amp;" - "&amp;$C2610)</f>
        <v/>
      </c>
      <c r="S2610">
        <f>IF($A2610="","",$R2610&amp;"|"&amp;$Q2610)</f>
        <v/>
      </c>
      <c r="T2610">
        <f>IF($A2610="","",$S2610&amp;"|"&amp;$F2610)</f>
        <v/>
      </c>
      <c r="U2610">
        <f>IF($A2610="","",$R2610&amp;"("&amp;$E2610&amp;")")</f>
        <v/>
      </c>
      <c r="V2610">
        <f>IF($A2610="","",$F2610&amp;"|"&amp;$U2610&amp;"|"&amp;$D2610)</f>
        <v/>
      </c>
      <c r="W2610">
        <f>IF($T2610="","",IF($X2610&gt;N($X2609),$X2610,""))</f>
        <v/>
      </c>
      <c r="X2610">
        <f>IF($T2610="",N($X2609),IF(MATCH($T2610,$T$6:$T$6005,0)=ROW()-5,N($X2609)+1,N($X2609)))</f>
        <v/>
      </c>
      <c r="Z2610">
        <f>IF($V2610="","",IF($AA2610&gt;N($AA2609),$AA2610,""))</f>
        <v/>
      </c>
      <c r="AA2610">
        <f>IF($V2610="",N($AA2609),IF(MATCH($V2610,$V$6:$V$6005,0)=ROW()-5,N($AA2609)+1,N($AA2609)))</f>
        <v/>
      </c>
    </row>
    <row r="2611" ht="21" customHeight="1" s="66">
      <c r="A2611" s="56" t="n"/>
      <c r="B2611" s="57" t="n"/>
      <c r="C2611" s="57" t="n"/>
      <c r="D2611" s="57" t="n"/>
      <c r="E2611" s="56" t="n"/>
      <c r="F2611" s="57" t="n"/>
      <c r="G2611" s="57" t="n"/>
      <c r="H2611" s="56" t="n"/>
      <c r="I2611" s="56" t="n"/>
      <c r="J2611" s="58" t="n"/>
      <c r="K2611" s="58" t="n"/>
      <c r="L2611" s="13">
        <f>IF(OR($A2611="",AND($J2611="",$K2611="")),"",ROUND(N($J2611)-N($K2611),2))</f>
        <v/>
      </c>
      <c r="M2611" s="13">
        <f>IF(OR($A2611="",AND($J2611="",$K2611="")),"",MIN($J2611,$K2611))</f>
        <v/>
      </c>
      <c r="Q2611">
        <f>IF($A2611="","",$D2611&amp;"("&amp;SUBSTITUTE($E2611," ","")&amp;")")</f>
        <v/>
      </c>
      <c r="R2611">
        <f>IF($A2611="","",$B2611&amp;" - "&amp;$C2611)</f>
        <v/>
      </c>
      <c r="S2611">
        <f>IF($A2611="","",$R2611&amp;"|"&amp;$Q2611)</f>
        <v/>
      </c>
      <c r="T2611">
        <f>IF($A2611="","",$S2611&amp;"|"&amp;$F2611)</f>
        <v/>
      </c>
      <c r="U2611">
        <f>IF($A2611="","",$R2611&amp;"("&amp;$E2611&amp;")")</f>
        <v/>
      </c>
      <c r="V2611">
        <f>IF($A2611="","",$F2611&amp;"|"&amp;$U2611&amp;"|"&amp;$D2611)</f>
        <v/>
      </c>
      <c r="W2611">
        <f>IF($T2611="","",IF($X2611&gt;N($X2610),$X2611,""))</f>
        <v/>
      </c>
      <c r="X2611">
        <f>IF($T2611="",N($X2610),IF(MATCH($T2611,$T$6:$T$6005,0)=ROW()-5,N($X2610)+1,N($X2610)))</f>
        <v/>
      </c>
      <c r="Z2611">
        <f>IF($V2611="","",IF($AA2611&gt;N($AA2610),$AA2611,""))</f>
        <v/>
      </c>
      <c r="AA2611">
        <f>IF($V2611="",N($AA2610),IF(MATCH($V2611,$V$6:$V$6005,0)=ROW()-5,N($AA2610)+1,N($AA2610)))</f>
        <v/>
      </c>
    </row>
    <row r="2612" ht="21" customHeight="1" s="66">
      <c r="A2612" s="56" t="n"/>
      <c r="B2612" s="57" t="n"/>
      <c r="C2612" s="57" t="n"/>
      <c r="D2612" s="57" t="n"/>
      <c r="E2612" s="56" t="n"/>
      <c r="F2612" s="57" t="n"/>
      <c r="G2612" s="57" t="n"/>
      <c r="H2612" s="56" t="n"/>
      <c r="I2612" s="56" t="n"/>
      <c r="J2612" s="58" t="n"/>
      <c r="K2612" s="58" t="n"/>
      <c r="L2612" s="13">
        <f>IF(OR($A2612="",AND($J2612="",$K2612="")),"",ROUND(N($J2612)-N($K2612),2))</f>
        <v/>
      </c>
      <c r="M2612" s="13">
        <f>IF(OR($A2612="",AND($J2612="",$K2612="")),"",MIN($J2612,$K2612))</f>
        <v/>
      </c>
      <c r="Q2612">
        <f>IF($A2612="","",$D2612&amp;"("&amp;SUBSTITUTE($E2612," ","")&amp;")")</f>
        <v/>
      </c>
      <c r="R2612">
        <f>IF($A2612="","",$B2612&amp;" - "&amp;$C2612)</f>
        <v/>
      </c>
      <c r="S2612">
        <f>IF($A2612="","",$R2612&amp;"|"&amp;$Q2612)</f>
        <v/>
      </c>
      <c r="T2612">
        <f>IF($A2612="","",$S2612&amp;"|"&amp;$F2612)</f>
        <v/>
      </c>
      <c r="U2612">
        <f>IF($A2612="","",$R2612&amp;"("&amp;$E2612&amp;")")</f>
        <v/>
      </c>
      <c r="V2612">
        <f>IF($A2612="","",$F2612&amp;"|"&amp;$U2612&amp;"|"&amp;$D2612)</f>
        <v/>
      </c>
      <c r="W2612">
        <f>IF($T2612="","",IF($X2612&gt;N($X2611),$X2612,""))</f>
        <v/>
      </c>
      <c r="X2612">
        <f>IF($T2612="",N($X2611),IF(MATCH($T2612,$T$6:$T$6005,0)=ROW()-5,N($X2611)+1,N($X2611)))</f>
        <v/>
      </c>
      <c r="Z2612">
        <f>IF($V2612="","",IF($AA2612&gt;N($AA2611),$AA2612,""))</f>
        <v/>
      </c>
      <c r="AA2612">
        <f>IF($V2612="",N($AA2611),IF(MATCH($V2612,$V$6:$V$6005,0)=ROW()-5,N($AA2611)+1,N($AA2611)))</f>
        <v/>
      </c>
    </row>
    <row r="2613" ht="21" customHeight="1" s="66">
      <c r="A2613" s="56" t="n"/>
      <c r="B2613" s="57" t="n"/>
      <c r="C2613" s="57" t="n"/>
      <c r="D2613" s="57" t="n"/>
      <c r="E2613" s="56" t="n"/>
      <c r="F2613" s="57" t="n"/>
      <c r="G2613" s="57" t="n"/>
      <c r="H2613" s="56" t="n"/>
      <c r="I2613" s="56" t="n"/>
      <c r="J2613" s="58" t="n"/>
      <c r="K2613" s="58" t="n"/>
      <c r="L2613" s="13">
        <f>IF(OR($A2613="",AND($J2613="",$K2613="")),"",ROUND(N($J2613)-N($K2613),2))</f>
        <v/>
      </c>
      <c r="M2613" s="13">
        <f>IF(OR($A2613="",AND($J2613="",$K2613="")),"",MIN($J2613,$K2613))</f>
        <v/>
      </c>
      <c r="Q2613">
        <f>IF($A2613="","",$D2613&amp;"("&amp;SUBSTITUTE($E2613," ","")&amp;")")</f>
        <v/>
      </c>
      <c r="R2613">
        <f>IF($A2613="","",$B2613&amp;" - "&amp;$C2613)</f>
        <v/>
      </c>
      <c r="S2613">
        <f>IF($A2613="","",$R2613&amp;"|"&amp;$Q2613)</f>
        <v/>
      </c>
      <c r="T2613">
        <f>IF($A2613="","",$S2613&amp;"|"&amp;$F2613)</f>
        <v/>
      </c>
      <c r="U2613">
        <f>IF($A2613="","",$R2613&amp;"("&amp;$E2613&amp;")")</f>
        <v/>
      </c>
      <c r="V2613">
        <f>IF($A2613="","",$F2613&amp;"|"&amp;$U2613&amp;"|"&amp;$D2613)</f>
        <v/>
      </c>
      <c r="W2613">
        <f>IF($T2613="","",IF($X2613&gt;N($X2612),$X2613,""))</f>
        <v/>
      </c>
      <c r="X2613">
        <f>IF($T2613="",N($X2612),IF(MATCH($T2613,$T$6:$T$6005,0)=ROW()-5,N($X2612)+1,N($X2612)))</f>
        <v/>
      </c>
      <c r="Z2613">
        <f>IF($V2613="","",IF($AA2613&gt;N($AA2612),$AA2613,""))</f>
        <v/>
      </c>
      <c r="AA2613">
        <f>IF($V2613="",N($AA2612),IF(MATCH($V2613,$V$6:$V$6005,0)=ROW()-5,N($AA2612)+1,N($AA2612)))</f>
        <v/>
      </c>
    </row>
    <row r="2614" ht="21" customHeight="1" s="66">
      <c r="A2614" s="56" t="n"/>
      <c r="B2614" s="57" t="n"/>
      <c r="C2614" s="57" t="n"/>
      <c r="D2614" s="57" t="n"/>
      <c r="E2614" s="56" t="n"/>
      <c r="F2614" s="57" t="n"/>
      <c r="G2614" s="57" t="n"/>
      <c r="H2614" s="56" t="n"/>
      <c r="I2614" s="56" t="n"/>
      <c r="J2614" s="58" t="n"/>
      <c r="K2614" s="58" t="n"/>
      <c r="L2614" s="13">
        <f>IF(OR($A2614="",AND($J2614="",$K2614="")),"",ROUND(N($J2614)-N($K2614),2))</f>
        <v/>
      </c>
      <c r="M2614" s="13">
        <f>IF(OR($A2614="",AND($J2614="",$K2614="")),"",MIN($J2614,$K2614))</f>
        <v/>
      </c>
      <c r="Q2614">
        <f>IF($A2614="","",$D2614&amp;"("&amp;SUBSTITUTE($E2614," ","")&amp;")")</f>
        <v/>
      </c>
      <c r="R2614">
        <f>IF($A2614="","",$B2614&amp;" - "&amp;$C2614)</f>
        <v/>
      </c>
      <c r="S2614">
        <f>IF($A2614="","",$R2614&amp;"|"&amp;$Q2614)</f>
        <v/>
      </c>
      <c r="T2614">
        <f>IF($A2614="","",$S2614&amp;"|"&amp;$F2614)</f>
        <v/>
      </c>
      <c r="U2614">
        <f>IF($A2614="","",$R2614&amp;"("&amp;$E2614&amp;")")</f>
        <v/>
      </c>
      <c r="V2614">
        <f>IF($A2614="","",$F2614&amp;"|"&amp;$U2614&amp;"|"&amp;$D2614)</f>
        <v/>
      </c>
      <c r="W2614">
        <f>IF($T2614="","",IF($X2614&gt;N($X2613),$X2614,""))</f>
        <v/>
      </c>
      <c r="X2614">
        <f>IF($T2614="",N($X2613),IF(MATCH($T2614,$T$6:$T$6005,0)=ROW()-5,N($X2613)+1,N($X2613)))</f>
        <v/>
      </c>
      <c r="Z2614">
        <f>IF($V2614="","",IF($AA2614&gt;N($AA2613),$AA2614,""))</f>
        <v/>
      </c>
      <c r="AA2614">
        <f>IF($V2614="",N($AA2613),IF(MATCH($V2614,$V$6:$V$6005,0)=ROW()-5,N($AA2613)+1,N($AA2613)))</f>
        <v/>
      </c>
    </row>
    <row r="2615" ht="21" customHeight="1" s="66">
      <c r="A2615" s="56" t="n"/>
      <c r="B2615" s="57" t="n"/>
      <c r="C2615" s="57" t="n"/>
      <c r="D2615" s="57" t="n"/>
      <c r="E2615" s="56" t="n"/>
      <c r="F2615" s="57" t="n"/>
      <c r="G2615" s="57" t="n"/>
      <c r="H2615" s="56" t="n"/>
      <c r="I2615" s="56" t="n"/>
      <c r="J2615" s="58" t="n"/>
      <c r="K2615" s="58" t="n"/>
      <c r="L2615" s="13">
        <f>IF(OR($A2615="",AND($J2615="",$K2615="")),"",ROUND(N($J2615)-N($K2615),2))</f>
        <v/>
      </c>
      <c r="M2615" s="13">
        <f>IF(OR($A2615="",AND($J2615="",$K2615="")),"",MIN($J2615,$K2615))</f>
        <v/>
      </c>
      <c r="Q2615">
        <f>IF($A2615="","",$D2615&amp;"("&amp;SUBSTITUTE($E2615," ","")&amp;")")</f>
        <v/>
      </c>
      <c r="R2615">
        <f>IF($A2615="","",$B2615&amp;" - "&amp;$C2615)</f>
        <v/>
      </c>
      <c r="S2615">
        <f>IF($A2615="","",$R2615&amp;"|"&amp;$Q2615)</f>
        <v/>
      </c>
      <c r="T2615">
        <f>IF($A2615="","",$S2615&amp;"|"&amp;$F2615)</f>
        <v/>
      </c>
      <c r="U2615">
        <f>IF($A2615="","",$R2615&amp;"("&amp;$E2615&amp;")")</f>
        <v/>
      </c>
      <c r="V2615">
        <f>IF($A2615="","",$F2615&amp;"|"&amp;$U2615&amp;"|"&amp;$D2615)</f>
        <v/>
      </c>
      <c r="W2615">
        <f>IF($T2615="","",IF($X2615&gt;N($X2614),$X2615,""))</f>
        <v/>
      </c>
      <c r="X2615">
        <f>IF($T2615="",N($X2614),IF(MATCH($T2615,$T$6:$T$6005,0)=ROW()-5,N($X2614)+1,N($X2614)))</f>
        <v/>
      </c>
      <c r="Z2615">
        <f>IF($V2615="","",IF($AA2615&gt;N($AA2614),$AA2615,""))</f>
        <v/>
      </c>
      <c r="AA2615">
        <f>IF($V2615="",N($AA2614),IF(MATCH($V2615,$V$6:$V$6005,0)=ROW()-5,N($AA2614)+1,N($AA2614)))</f>
        <v/>
      </c>
    </row>
    <row r="2616" ht="21" customHeight="1" s="66">
      <c r="A2616" s="56" t="n"/>
      <c r="B2616" s="57" t="n"/>
      <c r="C2616" s="57" t="n"/>
      <c r="D2616" s="57" t="n"/>
      <c r="E2616" s="56" t="n"/>
      <c r="F2616" s="57" t="n"/>
      <c r="G2616" s="57" t="n"/>
      <c r="H2616" s="56" t="n"/>
      <c r="I2616" s="56" t="n"/>
      <c r="J2616" s="58" t="n"/>
      <c r="K2616" s="58" t="n"/>
      <c r="L2616" s="13">
        <f>IF(OR($A2616="",AND($J2616="",$K2616="")),"",ROUND(N($J2616)-N($K2616),2))</f>
        <v/>
      </c>
      <c r="M2616" s="13">
        <f>IF(OR($A2616="",AND($J2616="",$K2616="")),"",MIN($J2616,$K2616))</f>
        <v/>
      </c>
      <c r="Q2616">
        <f>IF($A2616="","",$D2616&amp;"("&amp;SUBSTITUTE($E2616," ","")&amp;")")</f>
        <v/>
      </c>
      <c r="R2616">
        <f>IF($A2616="","",$B2616&amp;" - "&amp;$C2616)</f>
        <v/>
      </c>
      <c r="S2616">
        <f>IF($A2616="","",$R2616&amp;"|"&amp;$Q2616)</f>
        <v/>
      </c>
      <c r="T2616">
        <f>IF($A2616="","",$S2616&amp;"|"&amp;$F2616)</f>
        <v/>
      </c>
      <c r="U2616">
        <f>IF($A2616="","",$R2616&amp;"("&amp;$E2616&amp;")")</f>
        <v/>
      </c>
      <c r="V2616">
        <f>IF($A2616="","",$F2616&amp;"|"&amp;$U2616&amp;"|"&amp;$D2616)</f>
        <v/>
      </c>
      <c r="W2616">
        <f>IF($T2616="","",IF($X2616&gt;N($X2615),$X2616,""))</f>
        <v/>
      </c>
      <c r="X2616">
        <f>IF($T2616="",N($X2615),IF(MATCH($T2616,$T$6:$T$6005,0)=ROW()-5,N($X2615)+1,N($X2615)))</f>
        <v/>
      </c>
      <c r="Z2616">
        <f>IF($V2616="","",IF($AA2616&gt;N($AA2615),$AA2616,""))</f>
        <v/>
      </c>
      <c r="AA2616">
        <f>IF($V2616="",N($AA2615),IF(MATCH($V2616,$V$6:$V$6005,0)=ROW()-5,N($AA2615)+1,N($AA2615)))</f>
        <v/>
      </c>
    </row>
    <row r="2617" ht="21" customHeight="1" s="66">
      <c r="A2617" s="56" t="n"/>
      <c r="B2617" s="57" t="n"/>
      <c r="C2617" s="57" t="n"/>
      <c r="D2617" s="57" t="n"/>
      <c r="E2617" s="56" t="n"/>
      <c r="F2617" s="57" t="n"/>
      <c r="G2617" s="57" t="n"/>
      <c r="H2617" s="56" t="n"/>
      <c r="I2617" s="56" t="n"/>
      <c r="J2617" s="58" t="n"/>
      <c r="K2617" s="58" t="n"/>
      <c r="L2617" s="13">
        <f>IF(OR($A2617="",AND($J2617="",$K2617="")),"",ROUND(N($J2617)-N($K2617),2))</f>
        <v/>
      </c>
      <c r="M2617" s="13">
        <f>IF(OR($A2617="",AND($J2617="",$K2617="")),"",MIN($J2617,$K2617))</f>
        <v/>
      </c>
      <c r="Q2617">
        <f>IF($A2617="","",$D2617&amp;"("&amp;SUBSTITUTE($E2617," ","")&amp;")")</f>
        <v/>
      </c>
      <c r="R2617">
        <f>IF($A2617="","",$B2617&amp;" - "&amp;$C2617)</f>
        <v/>
      </c>
      <c r="S2617">
        <f>IF($A2617="","",$R2617&amp;"|"&amp;$Q2617)</f>
        <v/>
      </c>
      <c r="T2617">
        <f>IF($A2617="","",$S2617&amp;"|"&amp;$F2617)</f>
        <v/>
      </c>
      <c r="U2617">
        <f>IF($A2617="","",$R2617&amp;"("&amp;$E2617&amp;")")</f>
        <v/>
      </c>
      <c r="V2617">
        <f>IF($A2617="","",$F2617&amp;"|"&amp;$U2617&amp;"|"&amp;$D2617)</f>
        <v/>
      </c>
      <c r="W2617">
        <f>IF($T2617="","",IF($X2617&gt;N($X2616),$X2617,""))</f>
        <v/>
      </c>
      <c r="X2617">
        <f>IF($T2617="",N($X2616),IF(MATCH($T2617,$T$6:$T$6005,0)=ROW()-5,N($X2616)+1,N($X2616)))</f>
        <v/>
      </c>
      <c r="Z2617">
        <f>IF($V2617="","",IF($AA2617&gt;N($AA2616),$AA2617,""))</f>
        <v/>
      </c>
      <c r="AA2617">
        <f>IF($V2617="",N($AA2616),IF(MATCH($V2617,$V$6:$V$6005,0)=ROW()-5,N($AA2616)+1,N($AA2616)))</f>
        <v/>
      </c>
    </row>
    <row r="2618" ht="21" customHeight="1" s="66">
      <c r="A2618" s="56" t="n"/>
      <c r="B2618" s="57" t="n"/>
      <c r="C2618" s="57" t="n"/>
      <c r="D2618" s="57" t="n"/>
      <c r="E2618" s="56" t="n"/>
      <c r="F2618" s="57" t="n"/>
      <c r="G2618" s="57" t="n"/>
      <c r="H2618" s="56" t="n"/>
      <c r="I2618" s="56" t="n"/>
      <c r="J2618" s="58" t="n"/>
      <c r="K2618" s="58" t="n"/>
      <c r="L2618" s="13">
        <f>IF(OR($A2618="",AND($J2618="",$K2618="")),"",ROUND(N($J2618)-N($K2618),2))</f>
        <v/>
      </c>
      <c r="M2618" s="13">
        <f>IF(OR($A2618="",AND($J2618="",$K2618="")),"",MIN($J2618,$K2618))</f>
        <v/>
      </c>
      <c r="Q2618">
        <f>IF($A2618="","",$D2618&amp;"("&amp;SUBSTITUTE($E2618," ","")&amp;")")</f>
        <v/>
      </c>
      <c r="R2618">
        <f>IF($A2618="","",$B2618&amp;" - "&amp;$C2618)</f>
        <v/>
      </c>
      <c r="S2618">
        <f>IF($A2618="","",$R2618&amp;"|"&amp;$Q2618)</f>
        <v/>
      </c>
      <c r="T2618">
        <f>IF($A2618="","",$S2618&amp;"|"&amp;$F2618)</f>
        <v/>
      </c>
      <c r="U2618">
        <f>IF($A2618="","",$R2618&amp;"("&amp;$E2618&amp;")")</f>
        <v/>
      </c>
      <c r="V2618">
        <f>IF($A2618="","",$F2618&amp;"|"&amp;$U2618&amp;"|"&amp;$D2618)</f>
        <v/>
      </c>
      <c r="W2618">
        <f>IF($T2618="","",IF($X2618&gt;N($X2617),$X2618,""))</f>
        <v/>
      </c>
      <c r="X2618">
        <f>IF($T2618="",N($X2617),IF(MATCH($T2618,$T$6:$T$6005,0)=ROW()-5,N($X2617)+1,N($X2617)))</f>
        <v/>
      </c>
      <c r="Z2618">
        <f>IF($V2618="","",IF($AA2618&gt;N($AA2617),$AA2618,""))</f>
        <v/>
      </c>
      <c r="AA2618">
        <f>IF($V2618="",N($AA2617),IF(MATCH($V2618,$V$6:$V$6005,0)=ROW()-5,N($AA2617)+1,N($AA2617)))</f>
        <v/>
      </c>
    </row>
    <row r="2619" ht="21" customHeight="1" s="66">
      <c r="A2619" s="56" t="n"/>
      <c r="B2619" s="57" t="n"/>
      <c r="C2619" s="57" t="n"/>
      <c r="D2619" s="57" t="n"/>
      <c r="E2619" s="56" t="n"/>
      <c r="F2619" s="57" t="n"/>
      <c r="G2619" s="57" t="n"/>
      <c r="H2619" s="56" t="n"/>
      <c r="I2619" s="56" t="n"/>
      <c r="J2619" s="58" t="n"/>
      <c r="K2619" s="58" t="n"/>
      <c r="L2619" s="13">
        <f>IF(OR($A2619="",AND($J2619="",$K2619="")),"",ROUND(N($J2619)-N($K2619),2))</f>
        <v/>
      </c>
      <c r="M2619" s="13">
        <f>IF(OR($A2619="",AND($J2619="",$K2619="")),"",MIN($J2619,$K2619))</f>
        <v/>
      </c>
      <c r="Q2619">
        <f>IF($A2619="","",$D2619&amp;"("&amp;SUBSTITUTE($E2619," ","")&amp;")")</f>
        <v/>
      </c>
      <c r="R2619">
        <f>IF($A2619="","",$B2619&amp;" - "&amp;$C2619)</f>
        <v/>
      </c>
      <c r="S2619">
        <f>IF($A2619="","",$R2619&amp;"|"&amp;$Q2619)</f>
        <v/>
      </c>
      <c r="T2619">
        <f>IF($A2619="","",$S2619&amp;"|"&amp;$F2619)</f>
        <v/>
      </c>
      <c r="U2619">
        <f>IF($A2619="","",$R2619&amp;"("&amp;$E2619&amp;")")</f>
        <v/>
      </c>
      <c r="V2619">
        <f>IF($A2619="","",$F2619&amp;"|"&amp;$U2619&amp;"|"&amp;$D2619)</f>
        <v/>
      </c>
      <c r="W2619">
        <f>IF($T2619="","",IF($X2619&gt;N($X2618),$X2619,""))</f>
        <v/>
      </c>
      <c r="X2619">
        <f>IF($T2619="",N($X2618),IF(MATCH($T2619,$T$6:$T$6005,0)=ROW()-5,N($X2618)+1,N($X2618)))</f>
        <v/>
      </c>
      <c r="Z2619">
        <f>IF($V2619="","",IF($AA2619&gt;N($AA2618),$AA2619,""))</f>
        <v/>
      </c>
      <c r="AA2619">
        <f>IF($V2619="",N($AA2618),IF(MATCH($V2619,$V$6:$V$6005,0)=ROW()-5,N($AA2618)+1,N($AA2618)))</f>
        <v/>
      </c>
    </row>
    <row r="2620" ht="21" customHeight="1" s="66">
      <c r="A2620" s="56" t="n"/>
      <c r="B2620" s="57" t="n"/>
      <c r="C2620" s="57" t="n"/>
      <c r="D2620" s="57" t="n"/>
      <c r="E2620" s="56" t="n"/>
      <c r="F2620" s="57" t="n"/>
      <c r="G2620" s="57" t="n"/>
      <c r="H2620" s="56" t="n"/>
      <c r="I2620" s="56" t="n"/>
      <c r="J2620" s="58" t="n"/>
      <c r="K2620" s="58" t="n"/>
      <c r="L2620" s="13">
        <f>IF(OR($A2620="",AND($J2620="",$K2620="")),"",ROUND(N($J2620)-N($K2620),2))</f>
        <v/>
      </c>
      <c r="M2620" s="13">
        <f>IF(OR($A2620="",AND($J2620="",$K2620="")),"",MIN($J2620,$K2620))</f>
        <v/>
      </c>
      <c r="Q2620">
        <f>IF($A2620="","",$D2620&amp;"("&amp;SUBSTITUTE($E2620," ","")&amp;")")</f>
        <v/>
      </c>
      <c r="R2620">
        <f>IF($A2620="","",$B2620&amp;" - "&amp;$C2620)</f>
        <v/>
      </c>
      <c r="S2620">
        <f>IF($A2620="","",$R2620&amp;"|"&amp;$Q2620)</f>
        <v/>
      </c>
      <c r="T2620">
        <f>IF($A2620="","",$S2620&amp;"|"&amp;$F2620)</f>
        <v/>
      </c>
      <c r="U2620">
        <f>IF($A2620="","",$R2620&amp;"("&amp;$E2620&amp;")")</f>
        <v/>
      </c>
      <c r="V2620">
        <f>IF($A2620="","",$F2620&amp;"|"&amp;$U2620&amp;"|"&amp;$D2620)</f>
        <v/>
      </c>
      <c r="W2620">
        <f>IF($T2620="","",IF($X2620&gt;N($X2619),$X2620,""))</f>
        <v/>
      </c>
      <c r="X2620">
        <f>IF($T2620="",N($X2619),IF(MATCH($T2620,$T$6:$T$6005,0)=ROW()-5,N($X2619)+1,N($X2619)))</f>
        <v/>
      </c>
      <c r="Z2620">
        <f>IF($V2620="","",IF($AA2620&gt;N($AA2619),$AA2620,""))</f>
        <v/>
      </c>
      <c r="AA2620">
        <f>IF($V2620="",N($AA2619),IF(MATCH($V2620,$V$6:$V$6005,0)=ROW()-5,N($AA2619)+1,N($AA2619)))</f>
        <v/>
      </c>
    </row>
    <row r="2621" ht="21" customHeight="1" s="66">
      <c r="A2621" s="56" t="n"/>
      <c r="B2621" s="57" t="n"/>
      <c r="C2621" s="57" t="n"/>
      <c r="D2621" s="57" t="n"/>
      <c r="E2621" s="56" t="n"/>
      <c r="F2621" s="57" t="n"/>
      <c r="G2621" s="57" t="n"/>
      <c r="H2621" s="56" t="n"/>
      <c r="I2621" s="56" t="n"/>
      <c r="J2621" s="58" t="n"/>
      <c r="K2621" s="58" t="n"/>
      <c r="L2621" s="13">
        <f>IF(OR($A2621="",AND($J2621="",$K2621="")),"",ROUND(N($J2621)-N($K2621),2))</f>
        <v/>
      </c>
      <c r="M2621" s="13">
        <f>IF(OR($A2621="",AND($J2621="",$K2621="")),"",MIN($J2621,$K2621))</f>
        <v/>
      </c>
      <c r="Q2621">
        <f>IF($A2621="","",$D2621&amp;"("&amp;SUBSTITUTE($E2621," ","")&amp;")")</f>
        <v/>
      </c>
      <c r="R2621">
        <f>IF($A2621="","",$B2621&amp;" - "&amp;$C2621)</f>
        <v/>
      </c>
      <c r="S2621">
        <f>IF($A2621="","",$R2621&amp;"|"&amp;$Q2621)</f>
        <v/>
      </c>
      <c r="T2621">
        <f>IF($A2621="","",$S2621&amp;"|"&amp;$F2621)</f>
        <v/>
      </c>
      <c r="U2621">
        <f>IF($A2621="","",$R2621&amp;"("&amp;$E2621&amp;")")</f>
        <v/>
      </c>
      <c r="V2621">
        <f>IF($A2621="","",$F2621&amp;"|"&amp;$U2621&amp;"|"&amp;$D2621)</f>
        <v/>
      </c>
      <c r="W2621">
        <f>IF($T2621="","",IF($X2621&gt;N($X2620),$X2621,""))</f>
        <v/>
      </c>
      <c r="X2621">
        <f>IF($T2621="",N($X2620),IF(MATCH($T2621,$T$6:$T$6005,0)=ROW()-5,N($X2620)+1,N($X2620)))</f>
        <v/>
      </c>
      <c r="Z2621">
        <f>IF($V2621="","",IF($AA2621&gt;N($AA2620),$AA2621,""))</f>
        <v/>
      </c>
      <c r="AA2621">
        <f>IF($V2621="",N($AA2620),IF(MATCH($V2621,$V$6:$V$6005,0)=ROW()-5,N($AA2620)+1,N($AA2620)))</f>
        <v/>
      </c>
    </row>
    <row r="2622" ht="21" customHeight="1" s="66">
      <c r="A2622" s="56" t="n"/>
      <c r="B2622" s="57" t="n"/>
      <c r="C2622" s="57" t="n"/>
      <c r="D2622" s="57" t="n"/>
      <c r="E2622" s="56" t="n"/>
      <c r="F2622" s="57" t="n"/>
      <c r="G2622" s="57" t="n"/>
      <c r="H2622" s="56" t="n"/>
      <c r="I2622" s="56" t="n"/>
      <c r="J2622" s="58" t="n"/>
      <c r="K2622" s="58" t="n"/>
      <c r="L2622" s="13">
        <f>IF(OR($A2622="",AND($J2622="",$K2622="")),"",ROUND(N($J2622)-N($K2622),2))</f>
        <v/>
      </c>
      <c r="M2622" s="13">
        <f>IF(OR($A2622="",AND($J2622="",$K2622="")),"",MIN($J2622,$K2622))</f>
        <v/>
      </c>
      <c r="Q2622">
        <f>IF($A2622="","",$D2622&amp;"("&amp;SUBSTITUTE($E2622," ","")&amp;")")</f>
        <v/>
      </c>
      <c r="R2622">
        <f>IF($A2622="","",$B2622&amp;" - "&amp;$C2622)</f>
        <v/>
      </c>
      <c r="S2622">
        <f>IF($A2622="","",$R2622&amp;"|"&amp;$Q2622)</f>
        <v/>
      </c>
      <c r="T2622">
        <f>IF($A2622="","",$S2622&amp;"|"&amp;$F2622)</f>
        <v/>
      </c>
      <c r="U2622">
        <f>IF($A2622="","",$R2622&amp;"("&amp;$E2622&amp;")")</f>
        <v/>
      </c>
      <c r="V2622">
        <f>IF($A2622="","",$F2622&amp;"|"&amp;$U2622&amp;"|"&amp;$D2622)</f>
        <v/>
      </c>
      <c r="W2622">
        <f>IF($T2622="","",IF($X2622&gt;N($X2621),$X2622,""))</f>
        <v/>
      </c>
      <c r="X2622">
        <f>IF($T2622="",N($X2621),IF(MATCH($T2622,$T$6:$T$6005,0)=ROW()-5,N($X2621)+1,N($X2621)))</f>
        <v/>
      </c>
      <c r="Z2622">
        <f>IF($V2622="","",IF($AA2622&gt;N($AA2621),$AA2622,""))</f>
        <v/>
      </c>
      <c r="AA2622">
        <f>IF($V2622="",N($AA2621),IF(MATCH($V2622,$V$6:$V$6005,0)=ROW()-5,N($AA2621)+1,N($AA2621)))</f>
        <v/>
      </c>
    </row>
    <row r="2623" ht="21" customHeight="1" s="66">
      <c r="A2623" s="56" t="n"/>
      <c r="B2623" s="57" t="n"/>
      <c r="C2623" s="57" t="n"/>
      <c r="D2623" s="57" t="n"/>
      <c r="E2623" s="56" t="n"/>
      <c r="F2623" s="57" t="n"/>
      <c r="G2623" s="57" t="n"/>
      <c r="H2623" s="56" t="n"/>
      <c r="I2623" s="56" t="n"/>
      <c r="J2623" s="58" t="n"/>
      <c r="K2623" s="58" t="n"/>
      <c r="L2623" s="13">
        <f>IF(OR($A2623="",AND($J2623="",$K2623="")),"",ROUND(N($J2623)-N($K2623),2))</f>
        <v/>
      </c>
      <c r="M2623" s="13">
        <f>IF(OR($A2623="",AND($J2623="",$K2623="")),"",MIN($J2623,$K2623))</f>
        <v/>
      </c>
      <c r="Q2623">
        <f>IF($A2623="","",$D2623&amp;"("&amp;SUBSTITUTE($E2623," ","")&amp;")")</f>
        <v/>
      </c>
      <c r="R2623">
        <f>IF($A2623="","",$B2623&amp;" - "&amp;$C2623)</f>
        <v/>
      </c>
      <c r="S2623">
        <f>IF($A2623="","",$R2623&amp;"|"&amp;$Q2623)</f>
        <v/>
      </c>
      <c r="T2623">
        <f>IF($A2623="","",$S2623&amp;"|"&amp;$F2623)</f>
        <v/>
      </c>
      <c r="U2623">
        <f>IF($A2623="","",$R2623&amp;"("&amp;$E2623&amp;")")</f>
        <v/>
      </c>
      <c r="V2623">
        <f>IF($A2623="","",$F2623&amp;"|"&amp;$U2623&amp;"|"&amp;$D2623)</f>
        <v/>
      </c>
      <c r="W2623">
        <f>IF($T2623="","",IF($X2623&gt;N($X2622),$X2623,""))</f>
        <v/>
      </c>
      <c r="X2623">
        <f>IF($T2623="",N($X2622),IF(MATCH($T2623,$T$6:$T$6005,0)=ROW()-5,N($X2622)+1,N($X2622)))</f>
        <v/>
      </c>
      <c r="Z2623">
        <f>IF($V2623="","",IF($AA2623&gt;N($AA2622),$AA2623,""))</f>
        <v/>
      </c>
      <c r="AA2623">
        <f>IF($V2623="",N($AA2622),IF(MATCH($V2623,$V$6:$V$6005,0)=ROW()-5,N($AA2622)+1,N($AA2622)))</f>
        <v/>
      </c>
    </row>
    <row r="2624" ht="21" customHeight="1" s="66">
      <c r="A2624" s="56" t="n"/>
      <c r="B2624" s="57" t="n"/>
      <c r="C2624" s="57" t="n"/>
      <c r="D2624" s="57" t="n"/>
      <c r="E2624" s="56" t="n"/>
      <c r="F2624" s="57" t="n"/>
      <c r="G2624" s="57" t="n"/>
      <c r="H2624" s="56" t="n"/>
      <c r="I2624" s="56" t="n"/>
      <c r="J2624" s="58" t="n"/>
      <c r="K2624" s="58" t="n"/>
      <c r="L2624" s="13">
        <f>IF(OR($A2624="",AND($J2624="",$K2624="")),"",ROUND(N($J2624)-N($K2624),2))</f>
        <v/>
      </c>
      <c r="M2624" s="13">
        <f>IF(OR($A2624="",AND($J2624="",$K2624="")),"",MIN($J2624,$K2624))</f>
        <v/>
      </c>
      <c r="Q2624">
        <f>IF($A2624="","",$D2624&amp;"("&amp;SUBSTITUTE($E2624," ","")&amp;")")</f>
        <v/>
      </c>
      <c r="R2624">
        <f>IF($A2624="","",$B2624&amp;" - "&amp;$C2624)</f>
        <v/>
      </c>
      <c r="S2624">
        <f>IF($A2624="","",$R2624&amp;"|"&amp;$Q2624)</f>
        <v/>
      </c>
      <c r="T2624">
        <f>IF($A2624="","",$S2624&amp;"|"&amp;$F2624)</f>
        <v/>
      </c>
      <c r="U2624">
        <f>IF($A2624="","",$R2624&amp;"("&amp;$E2624&amp;")")</f>
        <v/>
      </c>
      <c r="V2624">
        <f>IF($A2624="","",$F2624&amp;"|"&amp;$U2624&amp;"|"&amp;$D2624)</f>
        <v/>
      </c>
      <c r="W2624">
        <f>IF($T2624="","",IF($X2624&gt;N($X2623),$X2624,""))</f>
        <v/>
      </c>
      <c r="X2624">
        <f>IF($T2624="",N($X2623),IF(MATCH($T2624,$T$6:$T$6005,0)=ROW()-5,N($X2623)+1,N($X2623)))</f>
        <v/>
      </c>
      <c r="Z2624">
        <f>IF($V2624="","",IF($AA2624&gt;N($AA2623),$AA2624,""))</f>
        <v/>
      </c>
      <c r="AA2624">
        <f>IF($V2624="",N($AA2623),IF(MATCH($V2624,$V$6:$V$6005,0)=ROW()-5,N($AA2623)+1,N($AA2623)))</f>
        <v/>
      </c>
    </row>
    <row r="2625" ht="21" customHeight="1" s="66">
      <c r="A2625" s="56" t="n"/>
      <c r="B2625" s="57" t="n"/>
      <c r="C2625" s="57" t="n"/>
      <c r="D2625" s="57" t="n"/>
      <c r="E2625" s="56" t="n"/>
      <c r="F2625" s="57" t="n"/>
      <c r="G2625" s="57" t="n"/>
      <c r="H2625" s="56" t="n"/>
      <c r="I2625" s="56" t="n"/>
      <c r="J2625" s="58" t="n"/>
      <c r="K2625" s="58" t="n"/>
      <c r="L2625" s="13">
        <f>IF(OR($A2625="",AND($J2625="",$K2625="")),"",ROUND(N($J2625)-N($K2625),2))</f>
        <v/>
      </c>
      <c r="M2625" s="13">
        <f>IF(OR($A2625="",AND($J2625="",$K2625="")),"",MIN($J2625,$K2625))</f>
        <v/>
      </c>
      <c r="Q2625">
        <f>IF($A2625="","",$D2625&amp;"("&amp;SUBSTITUTE($E2625," ","")&amp;")")</f>
        <v/>
      </c>
      <c r="R2625">
        <f>IF($A2625="","",$B2625&amp;" - "&amp;$C2625)</f>
        <v/>
      </c>
      <c r="S2625">
        <f>IF($A2625="","",$R2625&amp;"|"&amp;$Q2625)</f>
        <v/>
      </c>
      <c r="T2625">
        <f>IF($A2625="","",$S2625&amp;"|"&amp;$F2625)</f>
        <v/>
      </c>
      <c r="U2625">
        <f>IF($A2625="","",$R2625&amp;"("&amp;$E2625&amp;")")</f>
        <v/>
      </c>
      <c r="V2625">
        <f>IF($A2625="","",$F2625&amp;"|"&amp;$U2625&amp;"|"&amp;$D2625)</f>
        <v/>
      </c>
      <c r="W2625">
        <f>IF($T2625="","",IF($X2625&gt;N($X2624),$X2625,""))</f>
        <v/>
      </c>
      <c r="X2625">
        <f>IF($T2625="",N($X2624),IF(MATCH($T2625,$T$6:$T$6005,0)=ROW()-5,N($X2624)+1,N($X2624)))</f>
        <v/>
      </c>
      <c r="Z2625">
        <f>IF($V2625="","",IF($AA2625&gt;N($AA2624),$AA2625,""))</f>
        <v/>
      </c>
      <c r="AA2625">
        <f>IF($V2625="",N($AA2624),IF(MATCH($V2625,$V$6:$V$6005,0)=ROW()-5,N($AA2624)+1,N($AA2624)))</f>
        <v/>
      </c>
    </row>
    <row r="2626" ht="21" customHeight="1" s="66">
      <c r="A2626" s="56" t="n"/>
      <c r="B2626" s="57" t="n"/>
      <c r="C2626" s="57" t="n"/>
      <c r="D2626" s="57" t="n"/>
      <c r="E2626" s="56" t="n"/>
      <c r="F2626" s="57" t="n"/>
      <c r="G2626" s="57" t="n"/>
      <c r="H2626" s="56" t="n"/>
      <c r="I2626" s="56" t="n"/>
      <c r="J2626" s="58" t="n"/>
      <c r="K2626" s="58" t="n"/>
      <c r="L2626" s="13">
        <f>IF(OR($A2626="",AND($J2626="",$K2626="")),"",ROUND(N($J2626)-N($K2626),2))</f>
        <v/>
      </c>
      <c r="M2626" s="13">
        <f>IF(OR($A2626="",AND($J2626="",$K2626="")),"",MIN($J2626,$K2626))</f>
        <v/>
      </c>
      <c r="Q2626">
        <f>IF($A2626="","",$D2626&amp;"("&amp;SUBSTITUTE($E2626," ","")&amp;")")</f>
        <v/>
      </c>
      <c r="R2626">
        <f>IF($A2626="","",$B2626&amp;" - "&amp;$C2626)</f>
        <v/>
      </c>
      <c r="S2626">
        <f>IF($A2626="","",$R2626&amp;"|"&amp;$Q2626)</f>
        <v/>
      </c>
      <c r="T2626">
        <f>IF($A2626="","",$S2626&amp;"|"&amp;$F2626)</f>
        <v/>
      </c>
      <c r="U2626">
        <f>IF($A2626="","",$R2626&amp;"("&amp;$E2626&amp;")")</f>
        <v/>
      </c>
      <c r="V2626">
        <f>IF($A2626="","",$F2626&amp;"|"&amp;$U2626&amp;"|"&amp;$D2626)</f>
        <v/>
      </c>
      <c r="W2626">
        <f>IF($T2626="","",IF($X2626&gt;N($X2625),$X2626,""))</f>
        <v/>
      </c>
      <c r="X2626">
        <f>IF($T2626="",N($X2625),IF(MATCH($T2626,$T$6:$T$6005,0)=ROW()-5,N($X2625)+1,N($X2625)))</f>
        <v/>
      </c>
      <c r="Z2626">
        <f>IF($V2626="","",IF($AA2626&gt;N($AA2625),$AA2626,""))</f>
        <v/>
      </c>
      <c r="AA2626">
        <f>IF($V2626="",N($AA2625),IF(MATCH($V2626,$V$6:$V$6005,0)=ROW()-5,N($AA2625)+1,N($AA2625)))</f>
        <v/>
      </c>
    </row>
    <row r="2627" ht="21" customHeight="1" s="66">
      <c r="A2627" s="56" t="n"/>
      <c r="B2627" s="57" t="n"/>
      <c r="C2627" s="57" t="n"/>
      <c r="D2627" s="57" t="n"/>
      <c r="E2627" s="56" t="n"/>
      <c r="F2627" s="57" t="n"/>
      <c r="G2627" s="57" t="n"/>
      <c r="H2627" s="56" t="n"/>
      <c r="I2627" s="56" t="n"/>
      <c r="J2627" s="58" t="n"/>
      <c r="K2627" s="58" t="n"/>
      <c r="L2627" s="13">
        <f>IF(OR($A2627="",AND($J2627="",$K2627="")),"",ROUND(N($J2627)-N($K2627),2))</f>
        <v/>
      </c>
      <c r="M2627" s="13">
        <f>IF(OR($A2627="",AND($J2627="",$K2627="")),"",MIN($J2627,$K2627))</f>
        <v/>
      </c>
      <c r="Q2627">
        <f>IF($A2627="","",$D2627&amp;"("&amp;SUBSTITUTE($E2627," ","")&amp;")")</f>
        <v/>
      </c>
      <c r="R2627">
        <f>IF($A2627="","",$B2627&amp;" - "&amp;$C2627)</f>
        <v/>
      </c>
      <c r="S2627">
        <f>IF($A2627="","",$R2627&amp;"|"&amp;$Q2627)</f>
        <v/>
      </c>
      <c r="T2627">
        <f>IF($A2627="","",$S2627&amp;"|"&amp;$F2627)</f>
        <v/>
      </c>
      <c r="U2627">
        <f>IF($A2627="","",$R2627&amp;"("&amp;$E2627&amp;")")</f>
        <v/>
      </c>
      <c r="V2627">
        <f>IF($A2627="","",$F2627&amp;"|"&amp;$U2627&amp;"|"&amp;$D2627)</f>
        <v/>
      </c>
      <c r="W2627">
        <f>IF($T2627="","",IF($X2627&gt;N($X2626),$X2627,""))</f>
        <v/>
      </c>
      <c r="X2627">
        <f>IF($T2627="",N($X2626),IF(MATCH($T2627,$T$6:$T$6005,0)=ROW()-5,N($X2626)+1,N($X2626)))</f>
        <v/>
      </c>
      <c r="Z2627">
        <f>IF($V2627="","",IF($AA2627&gt;N($AA2626),$AA2627,""))</f>
        <v/>
      </c>
      <c r="AA2627">
        <f>IF($V2627="",N($AA2626),IF(MATCH($V2627,$V$6:$V$6005,0)=ROW()-5,N($AA2626)+1,N($AA2626)))</f>
        <v/>
      </c>
    </row>
    <row r="2628" ht="21" customHeight="1" s="66">
      <c r="A2628" s="56" t="n"/>
      <c r="B2628" s="57" t="n"/>
      <c r="C2628" s="57" t="n"/>
      <c r="D2628" s="57" t="n"/>
      <c r="E2628" s="56" t="n"/>
      <c r="F2628" s="57" t="n"/>
      <c r="G2628" s="57" t="n"/>
      <c r="H2628" s="56" t="n"/>
      <c r="I2628" s="56" t="n"/>
      <c r="J2628" s="58" t="n"/>
      <c r="K2628" s="58" t="n"/>
      <c r="L2628" s="13">
        <f>IF(OR($A2628="",AND($J2628="",$K2628="")),"",ROUND(N($J2628)-N($K2628),2))</f>
        <v/>
      </c>
      <c r="M2628" s="13">
        <f>IF(OR($A2628="",AND($J2628="",$K2628="")),"",MIN($J2628,$K2628))</f>
        <v/>
      </c>
      <c r="Q2628">
        <f>IF($A2628="","",$D2628&amp;"("&amp;SUBSTITUTE($E2628," ","")&amp;")")</f>
        <v/>
      </c>
      <c r="R2628">
        <f>IF($A2628="","",$B2628&amp;" - "&amp;$C2628)</f>
        <v/>
      </c>
      <c r="S2628">
        <f>IF($A2628="","",$R2628&amp;"|"&amp;$Q2628)</f>
        <v/>
      </c>
      <c r="T2628">
        <f>IF($A2628="","",$S2628&amp;"|"&amp;$F2628)</f>
        <v/>
      </c>
      <c r="U2628">
        <f>IF($A2628="","",$R2628&amp;"("&amp;$E2628&amp;")")</f>
        <v/>
      </c>
      <c r="V2628">
        <f>IF($A2628="","",$F2628&amp;"|"&amp;$U2628&amp;"|"&amp;$D2628)</f>
        <v/>
      </c>
      <c r="W2628">
        <f>IF($T2628="","",IF($X2628&gt;N($X2627),$X2628,""))</f>
        <v/>
      </c>
      <c r="X2628">
        <f>IF($T2628="",N($X2627),IF(MATCH($T2628,$T$6:$T$6005,0)=ROW()-5,N($X2627)+1,N($X2627)))</f>
        <v/>
      </c>
      <c r="Z2628">
        <f>IF($V2628="","",IF($AA2628&gt;N($AA2627),$AA2628,""))</f>
        <v/>
      </c>
      <c r="AA2628">
        <f>IF($V2628="",N($AA2627),IF(MATCH($V2628,$V$6:$V$6005,0)=ROW()-5,N($AA2627)+1,N($AA2627)))</f>
        <v/>
      </c>
    </row>
    <row r="2629" ht="21" customHeight="1" s="66">
      <c r="A2629" s="56" t="n"/>
      <c r="B2629" s="57" t="n"/>
      <c r="C2629" s="57" t="n"/>
      <c r="D2629" s="57" t="n"/>
      <c r="E2629" s="56" t="n"/>
      <c r="F2629" s="57" t="n"/>
      <c r="G2629" s="57" t="n"/>
      <c r="H2629" s="56" t="n"/>
      <c r="I2629" s="56" t="n"/>
      <c r="J2629" s="58" t="n"/>
      <c r="K2629" s="58" t="n"/>
      <c r="L2629" s="13">
        <f>IF(OR($A2629="",AND($J2629="",$K2629="")),"",ROUND(N($J2629)-N($K2629),2))</f>
        <v/>
      </c>
      <c r="M2629" s="13">
        <f>IF(OR($A2629="",AND($J2629="",$K2629="")),"",MIN($J2629,$K2629))</f>
        <v/>
      </c>
      <c r="Q2629">
        <f>IF($A2629="","",$D2629&amp;"("&amp;SUBSTITUTE($E2629," ","")&amp;")")</f>
        <v/>
      </c>
      <c r="R2629">
        <f>IF($A2629="","",$B2629&amp;" - "&amp;$C2629)</f>
        <v/>
      </c>
      <c r="S2629">
        <f>IF($A2629="","",$R2629&amp;"|"&amp;$Q2629)</f>
        <v/>
      </c>
      <c r="T2629">
        <f>IF($A2629="","",$S2629&amp;"|"&amp;$F2629)</f>
        <v/>
      </c>
      <c r="U2629">
        <f>IF($A2629="","",$R2629&amp;"("&amp;$E2629&amp;")")</f>
        <v/>
      </c>
      <c r="V2629">
        <f>IF($A2629="","",$F2629&amp;"|"&amp;$U2629&amp;"|"&amp;$D2629)</f>
        <v/>
      </c>
      <c r="W2629">
        <f>IF($T2629="","",IF($X2629&gt;N($X2628),$X2629,""))</f>
        <v/>
      </c>
      <c r="X2629">
        <f>IF($T2629="",N($X2628),IF(MATCH($T2629,$T$6:$T$6005,0)=ROW()-5,N($X2628)+1,N($X2628)))</f>
        <v/>
      </c>
      <c r="Z2629">
        <f>IF($V2629="","",IF($AA2629&gt;N($AA2628),$AA2629,""))</f>
        <v/>
      </c>
      <c r="AA2629">
        <f>IF($V2629="",N($AA2628),IF(MATCH($V2629,$V$6:$V$6005,0)=ROW()-5,N($AA2628)+1,N($AA2628)))</f>
        <v/>
      </c>
    </row>
    <row r="2630" ht="21" customHeight="1" s="66">
      <c r="A2630" s="56" t="n"/>
      <c r="B2630" s="57" t="n"/>
      <c r="C2630" s="57" t="n"/>
      <c r="D2630" s="57" t="n"/>
      <c r="E2630" s="56" t="n"/>
      <c r="F2630" s="57" t="n"/>
      <c r="G2630" s="57" t="n"/>
      <c r="H2630" s="56" t="n"/>
      <c r="I2630" s="56" t="n"/>
      <c r="J2630" s="58" t="n"/>
      <c r="K2630" s="58" t="n"/>
      <c r="L2630" s="13">
        <f>IF(OR($A2630="",AND($J2630="",$K2630="")),"",ROUND(N($J2630)-N($K2630),2))</f>
        <v/>
      </c>
      <c r="M2630" s="13">
        <f>IF(OR($A2630="",AND($J2630="",$K2630="")),"",MIN($J2630,$K2630))</f>
        <v/>
      </c>
      <c r="Q2630">
        <f>IF($A2630="","",$D2630&amp;"("&amp;SUBSTITUTE($E2630," ","")&amp;")")</f>
        <v/>
      </c>
      <c r="R2630">
        <f>IF($A2630="","",$B2630&amp;" - "&amp;$C2630)</f>
        <v/>
      </c>
      <c r="S2630">
        <f>IF($A2630="","",$R2630&amp;"|"&amp;$Q2630)</f>
        <v/>
      </c>
      <c r="T2630">
        <f>IF($A2630="","",$S2630&amp;"|"&amp;$F2630)</f>
        <v/>
      </c>
      <c r="U2630">
        <f>IF($A2630="","",$R2630&amp;"("&amp;$E2630&amp;")")</f>
        <v/>
      </c>
      <c r="V2630">
        <f>IF($A2630="","",$F2630&amp;"|"&amp;$U2630&amp;"|"&amp;$D2630)</f>
        <v/>
      </c>
      <c r="W2630">
        <f>IF($T2630="","",IF($X2630&gt;N($X2629),$X2630,""))</f>
        <v/>
      </c>
      <c r="X2630">
        <f>IF($T2630="",N($X2629),IF(MATCH($T2630,$T$6:$T$6005,0)=ROW()-5,N($X2629)+1,N($X2629)))</f>
        <v/>
      </c>
      <c r="Z2630">
        <f>IF($V2630="","",IF($AA2630&gt;N($AA2629),$AA2630,""))</f>
        <v/>
      </c>
      <c r="AA2630">
        <f>IF($V2630="",N($AA2629),IF(MATCH($V2630,$V$6:$V$6005,0)=ROW()-5,N($AA2629)+1,N($AA2629)))</f>
        <v/>
      </c>
    </row>
    <row r="2631" ht="21" customHeight="1" s="66">
      <c r="A2631" s="56" t="n"/>
      <c r="B2631" s="57" t="n"/>
      <c r="C2631" s="57" t="n"/>
      <c r="D2631" s="57" t="n"/>
      <c r="E2631" s="56" t="n"/>
      <c r="F2631" s="57" t="n"/>
      <c r="G2631" s="57" t="n"/>
      <c r="H2631" s="56" t="n"/>
      <c r="I2631" s="56" t="n"/>
      <c r="J2631" s="58" t="n"/>
      <c r="K2631" s="58" t="n"/>
      <c r="L2631" s="13">
        <f>IF(OR($A2631="",AND($J2631="",$K2631="")),"",ROUND(N($J2631)-N($K2631),2))</f>
        <v/>
      </c>
      <c r="M2631" s="13">
        <f>IF(OR($A2631="",AND($J2631="",$K2631="")),"",MIN($J2631,$K2631))</f>
        <v/>
      </c>
      <c r="Q2631">
        <f>IF($A2631="","",$D2631&amp;"("&amp;SUBSTITUTE($E2631," ","")&amp;")")</f>
        <v/>
      </c>
      <c r="R2631">
        <f>IF($A2631="","",$B2631&amp;" - "&amp;$C2631)</f>
        <v/>
      </c>
      <c r="S2631">
        <f>IF($A2631="","",$R2631&amp;"|"&amp;$Q2631)</f>
        <v/>
      </c>
      <c r="T2631">
        <f>IF($A2631="","",$S2631&amp;"|"&amp;$F2631)</f>
        <v/>
      </c>
      <c r="U2631">
        <f>IF($A2631="","",$R2631&amp;"("&amp;$E2631&amp;")")</f>
        <v/>
      </c>
      <c r="V2631">
        <f>IF($A2631="","",$F2631&amp;"|"&amp;$U2631&amp;"|"&amp;$D2631)</f>
        <v/>
      </c>
      <c r="W2631">
        <f>IF($T2631="","",IF($X2631&gt;N($X2630),$X2631,""))</f>
        <v/>
      </c>
      <c r="X2631">
        <f>IF($T2631="",N($X2630),IF(MATCH($T2631,$T$6:$T$6005,0)=ROW()-5,N($X2630)+1,N($X2630)))</f>
        <v/>
      </c>
      <c r="Z2631">
        <f>IF($V2631="","",IF($AA2631&gt;N($AA2630),$AA2631,""))</f>
        <v/>
      </c>
      <c r="AA2631">
        <f>IF($V2631="",N($AA2630),IF(MATCH($V2631,$V$6:$V$6005,0)=ROW()-5,N($AA2630)+1,N($AA2630)))</f>
        <v/>
      </c>
    </row>
    <row r="2632" ht="21" customHeight="1" s="66">
      <c r="A2632" s="56" t="n"/>
      <c r="B2632" s="57" t="n"/>
      <c r="C2632" s="57" t="n"/>
      <c r="D2632" s="57" t="n"/>
      <c r="E2632" s="56" t="n"/>
      <c r="F2632" s="57" t="n"/>
      <c r="G2632" s="57" t="n"/>
      <c r="H2632" s="56" t="n"/>
      <c r="I2632" s="56" t="n"/>
      <c r="J2632" s="58" t="n"/>
      <c r="K2632" s="58" t="n"/>
      <c r="L2632" s="13">
        <f>IF(OR($A2632="",AND($J2632="",$K2632="")),"",ROUND(N($J2632)-N($K2632),2))</f>
        <v/>
      </c>
      <c r="M2632" s="13">
        <f>IF(OR($A2632="",AND($J2632="",$K2632="")),"",MIN($J2632,$K2632))</f>
        <v/>
      </c>
      <c r="Q2632">
        <f>IF($A2632="","",$D2632&amp;"("&amp;SUBSTITUTE($E2632," ","")&amp;")")</f>
        <v/>
      </c>
      <c r="R2632">
        <f>IF($A2632="","",$B2632&amp;" - "&amp;$C2632)</f>
        <v/>
      </c>
      <c r="S2632">
        <f>IF($A2632="","",$R2632&amp;"|"&amp;$Q2632)</f>
        <v/>
      </c>
      <c r="T2632">
        <f>IF($A2632="","",$S2632&amp;"|"&amp;$F2632)</f>
        <v/>
      </c>
      <c r="U2632">
        <f>IF($A2632="","",$R2632&amp;"("&amp;$E2632&amp;")")</f>
        <v/>
      </c>
      <c r="V2632">
        <f>IF($A2632="","",$F2632&amp;"|"&amp;$U2632&amp;"|"&amp;$D2632)</f>
        <v/>
      </c>
      <c r="W2632">
        <f>IF($T2632="","",IF($X2632&gt;N($X2631),$X2632,""))</f>
        <v/>
      </c>
      <c r="X2632">
        <f>IF($T2632="",N($X2631),IF(MATCH($T2632,$T$6:$T$6005,0)=ROW()-5,N($X2631)+1,N($X2631)))</f>
        <v/>
      </c>
      <c r="Z2632">
        <f>IF($V2632="","",IF($AA2632&gt;N($AA2631),$AA2632,""))</f>
        <v/>
      </c>
      <c r="AA2632">
        <f>IF($V2632="",N($AA2631),IF(MATCH($V2632,$V$6:$V$6005,0)=ROW()-5,N($AA2631)+1,N($AA2631)))</f>
        <v/>
      </c>
    </row>
    <row r="2633" ht="21" customHeight="1" s="66">
      <c r="A2633" s="56" t="n"/>
      <c r="B2633" s="57" t="n"/>
      <c r="C2633" s="57" t="n"/>
      <c r="D2633" s="57" t="n"/>
      <c r="E2633" s="56" t="n"/>
      <c r="F2633" s="57" t="n"/>
      <c r="G2633" s="57" t="n"/>
      <c r="H2633" s="56" t="n"/>
      <c r="I2633" s="56" t="n"/>
      <c r="J2633" s="58" t="n"/>
      <c r="K2633" s="58" t="n"/>
      <c r="L2633" s="13">
        <f>IF(OR($A2633="",AND($J2633="",$K2633="")),"",ROUND(N($J2633)-N($K2633),2))</f>
        <v/>
      </c>
      <c r="M2633" s="13">
        <f>IF(OR($A2633="",AND($J2633="",$K2633="")),"",MIN($J2633,$K2633))</f>
        <v/>
      </c>
      <c r="Q2633">
        <f>IF($A2633="","",$D2633&amp;"("&amp;SUBSTITUTE($E2633," ","")&amp;")")</f>
        <v/>
      </c>
      <c r="R2633">
        <f>IF($A2633="","",$B2633&amp;" - "&amp;$C2633)</f>
        <v/>
      </c>
      <c r="S2633">
        <f>IF($A2633="","",$R2633&amp;"|"&amp;$Q2633)</f>
        <v/>
      </c>
      <c r="T2633">
        <f>IF($A2633="","",$S2633&amp;"|"&amp;$F2633)</f>
        <v/>
      </c>
      <c r="U2633">
        <f>IF($A2633="","",$R2633&amp;"("&amp;$E2633&amp;")")</f>
        <v/>
      </c>
      <c r="V2633">
        <f>IF($A2633="","",$F2633&amp;"|"&amp;$U2633&amp;"|"&amp;$D2633)</f>
        <v/>
      </c>
      <c r="W2633">
        <f>IF($T2633="","",IF($X2633&gt;N($X2632),$X2633,""))</f>
        <v/>
      </c>
      <c r="X2633">
        <f>IF($T2633="",N($X2632),IF(MATCH($T2633,$T$6:$T$6005,0)=ROW()-5,N($X2632)+1,N($X2632)))</f>
        <v/>
      </c>
      <c r="Z2633">
        <f>IF($V2633="","",IF($AA2633&gt;N($AA2632),$AA2633,""))</f>
        <v/>
      </c>
      <c r="AA2633">
        <f>IF($V2633="",N($AA2632),IF(MATCH($V2633,$V$6:$V$6005,0)=ROW()-5,N($AA2632)+1,N($AA2632)))</f>
        <v/>
      </c>
    </row>
    <row r="2634" ht="21" customHeight="1" s="66">
      <c r="A2634" s="56" t="n"/>
      <c r="B2634" s="57" t="n"/>
      <c r="C2634" s="57" t="n"/>
      <c r="D2634" s="57" t="n"/>
      <c r="E2634" s="56" t="n"/>
      <c r="F2634" s="57" t="n"/>
      <c r="G2634" s="57" t="n"/>
      <c r="H2634" s="56" t="n"/>
      <c r="I2634" s="56" t="n"/>
      <c r="J2634" s="58" t="n"/>
      <c r="K2634" s="58" t="n"/>
      <c r="L2634" s="13">
        <f>IF(OR($A2634="",AND($J2634="",$K2634="")),"",ROUND(N($J2634)-N($K2634),2))</f>
        <v/>
      </c>
      <c r="M2634" s="13">
        <f>IF(OR($A2634="",AND($J2634="",$K2634="")),"",MIN($J2634,$K2634))</f>
        <v/>
      </c>
      <c r="Q2634">
        <f>IF($A2634="","",$D2634&amp;"("&amp;SUBSTITUTE($E2634," ","")&amp;")")</f>
        <v/>
      </c>
      <c r="R2634">
        <f>IF($A2634="","",$B2634&amp;" - "&amp;$C2634)</f>
        <v/>
      </c>
      <c r="S2634">
        <f>IF($A2634="","",$R2634&amp;"|"&amp;$Q2634)</f>
        <v/>
      </c>
      <c r="T2634">
        <f>IF($A2634="","",$S2634&amp;"|"&amp;$F2634)</f>
        <v/>
      </c>
      <c r="U2634">
        <f>IF($A2634="","",$R2634&amp;"("&amp;$E2634&amp;")")</f>
        <v/>
      </c>
      <c r="V2634">
        <f>IF($A2634="","",$F2634&amp;"|"&amp;$U2634&amp;"|"&amp;$D2634)</f>
        <v/>
      </c>
      <c r="W2634">
        <f>IF($T2634="","",IF($X2634&gt;N($X2633),$X2634,""))</f>
        <v/>
      </c>
      <c r="X2634">
        <f>IF($T2634="",N($X2633),IF(MATCH($T2634,$T$6:$T$6005,0)=ROW()-5,N($X2633)+1,N($X2633)))</f>
        <v/>
      </c>
      <c r="Z2634">
        <f>IF($V2634="","",IF($AA2634&gt;N($AA2633),$AA2634,""))</f>
        <v/>
      </c>
      <c r="AA2634">
        <f>IF($V2634="",N($AA2633),IF(MATCH($V2634,$V$6:$V$6005,0)=ROW()-5,N($AA2633)+1,N($AA2633)))</f>
        <v/>
      </c>
    </row>
    <row r="2635" ht="21" customHeight="1" s="66">
      <c r="A2635" s="56" t="n"/>
      <c r="B2635" s="57" t="n"/>
      <c r="C2635" s="57" t="n"/>
      <c r="D2635" s="57" t="n"/>
      <c r="E2635" s="56" t="n"/>
      <c r="F2635" s="57" t="n"/>
      <c r="G2635" s="57" t="n"/>
      <c r="H2635" s="56" t="n"/>
      <c r="I2635" s="56" t="n"/>
      <c r="J2635" s="58" t="n"/>
      <c r="K2635" s="58" t="n"/>
      <c r="L2635" s="13">
        <f>IF(OR($A2635="",AND($J2635="",$K2635="")),"",ROUND(N($J2635)-N($K2635),2))</f>
        <v/>
      </c>
      <c r="M2635" s="13">
        <f>IF(OR($A2635="",AND($J2635="",$K2635="")),"",MIN($J2635,$K2635))</f>
        <v/>
      </c>
      <c r="Q2635">
        <f>IF($A2635="","",$D2635&amp;"("&amp;SUBSTITUTE($E2635," ","")&amp;")")</f>
        <v/>
      </c>
      <c r="R2635">
        <f>IF($A2635="","",$B2635&amp;" - "&amp;$C2635)</f>
        <v/>
      </c>
      <c r="S2635">
        <f>IF($A2635="","",$R2635&amp;"|"&amp;$Q2635)</f>
        <v/>
      </c>
      <c r="T2635">
        <f>IF($A2635="","",$S2635&amp;"|"&amp;$F2635)</f>
        <v/>
      </c>
      <c r="U2635">
        <f>IF($A2635="","",$R2635&amp;"("&amp;$E2635&amp;")")</f>
        <v/>
      </c>
      <c r="V2635">
        <f>IF($A2635="","",$F2635&amp;"|"&amp;$U2635&amp;"|"&amp;$D2635)</f>
        <v/>
      </c>
      <c r="W2635">
        <f>IF($T2635="","",IF($X2635&gt;N($X2634),$X2635,""))</f>
        <v/>
      </c>
      <c r="X2635">
        <f>IF($T2635="",N($X2634),IF(MATCH($T2635,$T$6:$T$6005,0)=ROW()-5,N($X2634)+1,N($X2634)))</f>
        <v/>
      </c>
      <c r="Z2635">
        <f>IF($V2635="","",IF($AA2635&gt;N($AA2634),$AA2635,""))</f>
        <v/>
      </c>
      <c r="AA2635">
        <f>IF($V2635="",N($AA2634),IF(MATCH($V2635,$V$6:$V$6005,0)=ROW()-5,N($AA2634)+1,N($AA2634)))</f>
        <v/>
      </c>
    </row>
    <row r="2636" ht="21" customHeight="1" s="66">
      <c r="A2636" s="56" t="n"/>
      <c r="B2636" s="57" t="n"/>
      <c r="C2636" s="57" t="n"/>
      <c r="D2636" s="57" t="n"/>
      <c r="E2636" s="56" t="n"/>
      <c r="F2636" s="57" t="n"/>
      <c r="G2636" s="57" t="n"/>
      <c r="H2636" s="56" t="n"/>
      <c r="I2636" s="56" t="n"/>
      <c r="J2636" s="58" t="n"/>
      <c r="K2636" s="58" t="n"/>
      <c r="L2636" s="13">
        <f>IF(OR($A2636="",AND($J2636="",$K2636="")),"",ROUND(N($J2636)-N($K2636),2))</f>
        <v/>
      </c>
      <c r="M2636" s="13">
        <f>IF(OR($A2636="",AND($J2636="",$K2636="")),"",MIN($J2636,$K2636))</f>
        <v/>
      </c>
      <c r="Q2636">
        <f>IF($A2636="","",$D2636&amp;"("&amp;SUBSTITUTE($E2636," ","")&amp;")")</f>
        <v/>
      </c>
      <c r="R2636">
        <f>IF($A2636="","",$B2636&amp;" - "&amp;$C2636)</f>
        <v/>
      </c>
      <c r="S2636">
        <f>IF($A2636="","",$R2636&amp;"|"&amp;$Q2636)</f>
        <v/>
      </c>
      <c r="T2636">
        <f>IF($A2636="","",$S2636&amp;"|"&amp;$F2636)</f>
        <v/>
      </c>
      <c r="U2636">
        <f>IF($A2636="","",$R2636&amp;"("&amp;$E2636&amp;")")</f>
        <v/>
      </c>
      <c r="V2636">
        <f>IF($A2636="","",$F2636&amp;"|"&amp;$U2636&amp;"|"&amp;$D2636)</f>
        <v/>
      </c>
      <c r="W2636">
        <f>IF($T2636="","",IF($X2636&gt;N($X2635),$X2636,""))</f>
        <v/>
      </c>
      <c r="X2636">
        <f>IF($T2636="",N($X2635),IF(MATCH($T2636,$T$6:$T$6005,0)=ROW()-5,N($X2635)+1,N($X2635)))</f>
        <v/>
      </c>
      <c r="Z2636">
        <f>IF($V2636="","",IF($AA2636&gt;N($AA2635),$AA2636,""))</f>
        <v/>
      </c>
      <c r="AA2636">
        <f>IF($V2636="",N($AA2635),IF(MATCH($V2636,$V$6:$V$6005,0)=ROW()-5,N($AA2635)+1,N($AA2635)))</f>
        <v/>
      </c>
    </row>
    <row r="2637" ht="21" customHeight="1" s="66">
      <c r="A2637" s="56" t="n"/>
      <c r="B2637" s="57" t="n"/>
      <c r="C2637" s="57" t="n"/>
      <c r="D2637" s="57" t="n"/>
      <c r="E2637" s="56" t="n"/>
      <c r="F2637" s="57" t="n"/>
      <c r="G2637" s="57" t="n"/>
      <c r="H2637" s="56" t="n"/>
      <c r="I2637" s="56" t="n"/>
      <c r="J2637" s="58" t="n"/>
      <c r="K2637" s="58" t="n"/>
      <c r="L2637" s="13">
        <f>IF(OR($A2637="",AND($J2637="",$K2637="")),"",ROUND(N($J2637)-N($K2637),2))</f>
        <v/>
      </c>
      <c r="M2637" s="13">
        <f>IF(OR($A2637="",AND($J2637="",$K2637="")),"",MIN($J2637,$K2637))</f>
        <v/>
      </c>
      <c r="Q2637">
        <f>IF($A2637="","",$D2637&amp;"("&amp;SUBSTITUTE($E2637," ","")&amp;")")</f>
        <v/>
      </c>
      <c r="R2637">
        <f>IF($A2637="","",$B2637&amp;" - "&amp;$C2637)</f>
        <v/>
      </c>
      <c r="S2637">
        <f>IF($A2637="","",$R2637&amp;"|"&amp;$Q2637)</f>
        <v/>
      </c>
      <c r="T2637">
        <f>IF($A2637="","",$S2637&amp;"|"&amp;$F2637)</f>
        <v/>
      </c>
      <c r="U2637">
        <f>IF($A2637="","",$R2637&amp;"("&amp;$E2637&amp;")")</f>
        <v/>
      </c>
      <c r="V2637">
        <f>IF($A2637="","",$F2637&amp;"|"&amp;$U2637&amp;"|"&amp;$D2637)</f>
        <v/>
      </c>
      <c r="W2637">
        <f>IF($T2637="","",IF($X2637&gt;N($X2636),$X2637,""))</f>
        <v/>
      </c>
      <c r="X2637">
        <f>IF($T2637="",N($X2636),IF(MATCH($T2637,$T$6:$T$6005,0)=ROW()-5,N($X2636)+1,N($X2636)))</f>
        <v/>
      </c>
      <c r="Z2637">
        <f>IF($V2637="","",IF($AA2637&gt;N($AA2636),$AA2637,""))</f>
        <v/>
      </c>
      <c r="AA2637">
        <f>IF($V2637="",N($AA2636),IF(MATCH($V2637,$V$6:$V$6005,0)=ROW()-5,N($AA2636)+1,N($AA2636)))</f>
        <v/>
      </c>
    </row>
    <row r="2638" ht="21" customHeight="1" s="66">
      <c r="A2638" s="56" t="n"/>
      <c r="B2638" s="57" t="n"/>
      <c r="C2638" s="57" t="n"/>
      <c r="D2638" s="57" t="n"/>
      <c r="E2638" s="56" t="n"/>
      <c r="F2638" s="57" t="n"/>
      <c r="G2638" s="57" t="n"/>
      <c r="H2638" s="56" t="n"/>
      <c r="I2638" s="56" t="n"/>
      <c r="J2638" s="58" t="n"/>
      <c r="K2638" s="58" t="n"/>
      <c r="L2638" s="13">
        <f>IF(OR($A2638="",AND($J2638="",$K2638="")),"",ROUND(N($J2638)-N($K2638),2))</f>
        <v/>
      </c>
      <c r="M2638" s="13">
        <f>IF(OR($A2638="",AND($J2638="",$K2638="")),"",MIN($J2638,$K2638))</f>
        <v/>
      </c>
      <c r="Q2638">
        <f>IF($A2638="","",$D2638&amp;"("&amp;SUBSTITUTE($E2638," ","")&amp;")")</f>
        <v/>
      </c>
      <c r="R2638">
        <f>IF($A2638="","",$B2638&amp;" - "&amp;$C2638)</f>
        <v/>
      </c>
      <c r="S2638">
        <f>IF($A2638="","",$R2638&amp;"|"&amp;$Q2638)</f>
        <v/>
      </c>
      <c r="T2638">
        <f>IF($A2638="","",$S2638&amp;"|"&amp;$F2638)</f>
        <v/>
      </c>
      <c r="U2638">
        <f>IF($A2638="","",$R2638&amp;"("&amp;$E2638&amp;")")</f>
        <v/>
      </c>
      <c r="V2638">
        <f>IF($A2638="","",$F2638&amp;"|"&amp;$U2638&amp;"|"&amp;$D2638)</f>
        <v/>
      </c>
      <c r="W2638">
        <f>IF($T2638="","",IF($X2638&gt;N($X2637),$X2638,""))</f>
        <v/>
      </c>
      <c r="X2638">
        <f>IF($T2638="",N($X2637),IF(MATCH($T2638,$T$6:$T$6005,0)=ROW()-5,N($X2637)+1,N($X2637)))</f>
        <v/>
      </c>
      <c r="Z2638">
        <f>IF($V2638="","",IF($AA2638&gt;N($AA2637),$AA2638,""))</f>
        <v/>
      </c>
      <c r="AA2638">
        <f>IF($V2638="",N($AA2637),IF(MATCH($V2638,$V$6:$V$6005,0)=ROW()-5,N($AA2637)+1,N($AA2637)))</f>
        <v/>
      </c>
    </row>
    <row r="2639" ht="21" customHeight="1" s="66">
      <c r="A2639" s="56" t="n"/>
      <c r="B2639" s="57" t="n"/>
      <c r="C2639" s="57" t="n"/>
      <c r="D2639" s="57" t="n"/>
      <c r="E2639" s="56" t="n"/>
      <c r="F2639" s="57" t="n"/>
      <c r="G2639" s="57" t="n"/>
      <c r="H2639" s="56" t="n"/>
      <c r="I2639" s="56" t="n"/>
      <c r="J2639" s="58" t="n"/>
      <c r="K2639" s="58" t="n"/>
      <c r="L2639" s="13">
        <f>IF(OR($A2639="",AND($J2639="",$K2639="")),"",ROUND(N($J2639)-N($K2639),2))</f>
        <v/>
      </c>
      <c r="M2639" s="13">
        <f>IF(OR($A2639="",AND($J2639="",$K2639="")),"",MIN($J2639,$K2639))</f>
        <v/>
      </c>
      <c r="Q2639">
        <f>IF($A2639="","",$D2639&amp;"("&amp;SUBSTITUTE($E2639," ","")&amp;")")</f>
        <v/>
      </c>
      <c r="R2639">
        <f>IF($A2639="","",$B2639&amp;" - "&amp;$C2639)</f>
        <v/>
      </c>
      <c r="S2639">
        <f>IF($A2639="","",$R2639&amp;"|"&amp;$Q2639)</f>
        <v/>
      </c>
      <c r="T2639">
        <f>IF($A2639="","",$S2639&amp;"|"&amp;$F2639)</f>
        <v/>
      </c>
      <c r="U2639">
        <f>IF($A2639="","",$R2639&amp;"("&amp;$E2639&amp;")")</f>
        <v/>
      </c>
      <c r="V2639">
        <f>IF($A2639="","",$F2639&amp;"|"&amp;$U2639&amp;"|"&amp;$D2639)</f>
        <v/>
      </c>
      <c r="W2639">
        <f>IF($T2639="","",IF($X2639&gt;N($X2638),$X2639,""))</f>
        <v/>
      </c>
      <c r="X2639">
        <f>IF($T2639="",N($X2638),IF(MATCH($T2639,$T$6:$T$6005,0)=ROW()-5,N($X2638)+1,N($X2638)))</f>
        <v/>
      </c>
      <c r="Z2639">
        <f>IF($V2639="","",IF($AA2639&gt;N($AA2638),$AA2639,""))</f>
        <v/>
      </c>
      <c r="AA2639">
        <f>IF($V2639="",N($AA2638),IF(MATCH($V2639,$V$6:$V$6005,0)=ROW()-5,N($AA2638)+1,N($AA2638)))</f>
        <v/>
      </c>
    </row>
    <row r="2640" ht="21" customHeight="1" s="66">
      <c r="A2640" s="56" t="n"/>
      <c r="B2640" s="57" t="n"/>
      <c r="C2640" s="57" t="n"/>
      <c r="D2640" s="57" t="n"/>
      <c r="E2640" s="56" t="n"/>
      <c r="F2640" s="57" t="n"/>
      <c r="G2640" s="57" t="n"/>
      <c r="H2640" s="56" t="n"/>
      <c r="I2640" s="56" t="n"/>
      <c r="J2640" s="58" t="n"/>
      <c r="K2640" s="58" t="n"/>
      <c r="L2640" s="13">
        <f>IF(OR($A2640="",AND($J2640="",$K2640="")),"",ROUND(N($J2640)-N($K2640),2))</f>
        <v/>
      </c>
      <c r="M2640" s="13">
        <f>IF(OR($A2640="",AND($J2640="",$K2640="")),"",MIN($J2640,$K2640))</f>
        <v/>
      </c>
      <c r="Q2640">
        <f>IF($A2640="","",$D2640&amp;"("&amp;SUBSTITUTE($E2640," ","")&amp;")")</f>
        <v/>
      </c>
      <c r="R2640">
        <f>IF($A2640="","",$B2640&amp;" - "&amp;$C2640)</f>
        <v/>
      </c>
      <c r="S2640">
        <f>IF($A2640="","",$R2640&amp;"|"&amp;$Q2640)</f>
        <v/>
      </c>
      <c r="T2640">
        <f>IF($A2640="","",$S2640&amp;"|"&amp;$F2640)</f>
        <v/>
      </c>
      <c r="U2640">
        <f>IF($A2640="","",$R2640&amp;"("&amp;$E2640&amp;")")</f>
        <v/>
      </c>
      <c r="V2640">
        <f>IF($A2640="","",$F2640&amp;"|"&amp;$U2640&amp;"|"&amp;$D2640)</f>
        <v/>
      </c>
      <c r="W2640">
        <f>IF($T2640="","",IF($X2640&gt;N($X2639),$X2640,""))</f>
        <v/>
      </c>
      <c r="X2640">
        <f>IF($T2640="",N($X2639),IF(MATCH($T2640,$T$6:$T$6005,0)=ROW()-5,N($X2639)+1,N($X2639)))</f>
        <v/>
      </c>
      <c r="Z2640">
        <f>IF($V2640="","",IF($AA2640&gt;N($AA2639),$AA2640,""))</f>
        <v/>
      </c>
      <c r="AA2640">
        <f>IF($V2640="",N($AA2639),IF(MATCH($V2640,$V$6:$V$6005,0)=ROW()-5,N($AA2639)+1,N($AA2639)))</f>
        <v/>
      </c>
    </row>
    <row r="2641" ht="21" customHeight="1" s="66">
      <c r="A2641" s="56" t="n"/>
      <c r="B2641" s="57" t="n"/>
      <c r="C2641" s="57" t="n"/>
      <c r="D2641" s="57" t="n"/>
      <c r="E2641" s="56" t="n"/>
      <c r="F2641" s="57" t="n"/>
      <c r="G2641" s="57" t="n"/>
      <c r="H2641" s="56" t="n"/>
      <c r="I2641" s="56" t="n"/>
      <c r="J2641" s="58" t="n"/>
      <c r="K2641" s="58" t="n"/>
      <c r="L2641" s="13">
        <f>IF(OR($A2641="",AND($J2641="",$K2641="")),"",ROUND(N($J2641)-N($K2641),2))</f>
        <v/>
      </c>
      <c r="M2641" s="13">
        <f>IF(OR($A2641="",AND($J2641="",$K2641="")),"",MIN($J2641,$K2641))</f>
        <v/>
      </c>
      <c r="Q2641">
        <f>IF($A2641="","",$D2641&amp;"("&amp;SUBSTITUTE($E2641," ","")&amp;")")</f>
        <v/>
      </c>
      <c r="R2641">
        <f>IF($A2641="","",$B2641&amp;" - "&amp;$C2641)</f>
        <v/>
      </c>
      <c r="S2641">
        <f>IF($A2641="","",$R2641&amp;"|"&amp;$Q2641)</f>
        <v/>
      </c>
      <c r="T2641">
        <f>IF($A2641="","",$S2641&amp;"|"&amp;$F2641)</f>
        <v/>
      </c>
      <c r="U2641">
        <f>IF($A2641="","",$R2641&amp;"("&amp;$E2641&amp;")")</f>
        <v/>
      </c>
      <c r="V2641">
        <f>IF($A2641="","",$F2641&amp;"|"&amp;$U2641&amp;"|"&amp;$D2641)</f>
        <v/>
      </c>
      <c r="W2641">
        <f>IF($T2641="","",IF($X2641&gt;N($X2640),$X2641,""))</f>
        <v/>
      </c>
      <c r="X2641">
        <f>IF($T2641="",N($X2640),IF(MATCH($T2641,$T$6:$T$6005,0)=ROW()-5,N($X2640)+1,N($X2640)))</f>
        <v/>
      </c>
      <c r="Z2641">
        <f>IF($V2641="","",IF($AA2641&gt;N($AA2640),$AA2641,""))</f>
        <v/>
      </c>
      <c r="AA2641">
        <f>IF($V2641="",N($AA2640),IF(MATCH($V2641,$V$6:$V$6005,0)=ROW()-5,N($AA2640)+1,N($AA2640)))</f>
        <v/>
      </c>
    </row>
    <row r="2642" ht="21" customHeight="1" s="66">
      <c r="A2642" s="56" t="n"/>
      <c r="B2642" s="57" t="n"/>
      <c r="C2642" s="57" t="n"/>
      <c r="D2642" s="57" t="n"/>
      <c r="E2642" s="56" t="n"/>
      <c r="F2642" s="57" t="n"/>
      <c r="G2642" s="57" t="n"/>
      <c r="H2642" s="56" t="n"/>
      <c r="I2642" s="56" t="n"/>
      <c r="J2642" s="58" t="n"/>
      <c r="K2642" s="58" t="n"/>
      <c r="L2642" s="13">
        <f>IF(OR($A2642="",AND($J2642="",$K2642="")),"",ROUND(N($J2642)-N($K2642),2))</f>
        <v/>
      </c>
      <c r="M2642" s="13">
        <f>IF(OR($A2642="",AND($J2642="",$K2642="")),"",MIN($J2642,$K2642))</f>
        <v/>
      </c>
      <c r="Q2642">
        <f>IF($A2642="","",$D2642&amp;"("&amp;SUBSTITUTE($E2642," ","")&amp;")")</f>
        <v/>
      </c>
      <c r="R2642">
        <f>IF($A2642="","",$B2642&amp;" - "&amp;$C2642)</f>
        <v/>
      </c>
      <c r="S2642">
        <f>IF($A2642="","",$R2642&amp;"|"&amp;$Q2642)</f>
        <v/>
      </c>
      <c r="T2642">
        <f>IF($A2642="","",$S2642&amp;"|"&amp;$F2642)</f>
        <v/>
      </c>
      <c r="U2642">
        <f>IF($A2642="","",$R2642&amp;"("&amp;$E2642&amp;")")</f>
        <v/>
      </c>
      <c r="V2642">
        <f>IF($A2642="","",$F2642&amp;"|"&amp;$U2642&amp;"|"&amp;$D2642)</f>
        <v/>
      </c>
      <c r="W2642">
        <f>IF($T2642="","",IF($X2642&gt;N($X2641),$X2642,""))</f>
        <v/>
      </c>
      <c r="X2642">
        <f>IF($T2642="",N($X2641),IF(MATCH($T2642,$T$6:$T$6005,0)=ROW()-5,N($X2641)+1,N($X2641)))</f>
        <v/>
      </c>
      <c r="Z2642">
        <f>IF($V2642="","",IF($AA2642&gt;N($AA2641),$AA2642,""))</f>
        <v/>
      </c>
      <c r="AA2642">
        <f>IF($V2642="",N($AA2641),IF(MATCH($V2642,$V$6:$V$6005,0)=ROW()-5,N($AA2641)+1,N($AA2641)))</f>
        <v/>
      </c>
    </row>
    <row r="2643" ht="21" customHeight="1" s="66">
      <c r="A2643" s="56" t="n"/>
      <c r="B2643" s="57" t="n"/>
      <c r="C2643" s="57" t="n"/>
      <c r="D2643" s="57" t="n"/>
      <c r="E2643" s="56" t="n"/>
      <c r="F2643" s="57" t="n"/>
      <c r="G2643" s="57" t="n"/>
      <c r="H2643" s="56" t="n"/>
      <c r="I2643" s="56" t="n"/>
      <c r="J2643" s="58" t="n"/>
      <c r="K2643" s="58" t="n"/>
      <c r="L2643" s="13">
        <f>IF(OR($A2643="",AND($J2643="",$K2643="")),"",ROUND(N($J2643)-N($K2643),2))</f>
        <v/>
      </c>
      <c r="M2643" s="13">
        <f>IF(OR($A2643="",AND($J2643="",$K2643="")),"",MIN($J2643,$K2643))</f>
        <v/>
      </c>
      <c r="Q2643">
        <f>IF($A2643="","",$D2643&amp;"("&amp;SUBSTITUTE($E2643," ","")&amp;")")</f>
        <v/>
      </c>
      <c r="R2643">
        <f>IF($A2643="","",$B2643&amp;" - "&amp;$C2643)</f>
        <v/>
      </c>
      <c r="S2643">
        <f>IF($A2643="","",$R2643&amp;"|"&amp;$Q2643)</f>
        <v/>
      </c>
      <c r="T2643">
        <f>IF($A2643="","",$S2643&amp;"|"&amp;$F2643)</f>
        <v/>
      </c>
      <c r="U2643">
        <f>IF($A2643="","",$R2643&amp;"("&amp;$E2643&amp;")")</f>
        <v/>
      </c>
      <c r="V2643">
        <f>IF($A2643="","",$F2643&amp;"|"&amp;$U2643&amp;"|"&amp;$D2643)</f>
        <v/>
      </c>
      <c r="W2643">
        <f>IF($T2643="","",IF($X2643&gt;N($X2642),$X2643,""))</f>
        <v/>
      </c>
      <c r="X2643">
        <f>IF($T2643="",N($X2642),IF(MATCH($T2643,$T$6:$T$6005,0)=ROW()-5,N($X2642)+1,N($X2642)))</f>
        <v/>
      </c>
      <c r="Z2643">
        <f>IF($V2643="","",IF($AA2643&gt;N($AA2642),$AA2643,""))</f>
        <v/>
      </c>
      <c r="AA2643">
        <f>IF($V2643="",N($AA2642),IF(MATCH($V2643,$V$6:$V$6005,0)=ROW()-5,N($AA2642)+1,N($AA2642)))</f>
        <v/>
      </c>
    </row>
    <row r="2644" ht="21" customHeight="1" s="66">
      <c r="A2644" s="56" t="n"/>
      <c r="B2644" s="57" t="n"/>
      <c r="C2644" s="57" t="n"/>
      <c r="D2644" s="57" t="n"/>
      <c r="E2644" s="56" t="n"/>
      <c r="F2644" s="57" t="n"/>
      <c r="G2644" s="57" t="n"/>
      <c r="H2644" s="56" t="n"/>
      <c r="I2644" s="56" t="n"/>
      <c r="J2644" s="58" t="n"/>
      <c r="K2644" s="58" t="n"/>
      <c r="L2644" s="13">
        <f>IF(OR($A2644="",AND($J2644="",$K2644="")),"",ROUND(N($J2644)-N($K2644),2))</f>
        <v/>
      </c>
      <c r="M2644" s="13">
        <f>IF(OR($A2644="",AND($J2644="",$K2644="")),"",MIN($J2644,$K2644))</f>
        <v/>
      </c>
      <c r="Q2644">
        <f>IF($A2644="","",$D2644&amp;"("&amp;SUBSTITUTE($E2644," ","")&amp;")")</f>
        <v/>
      </c>
      <c r="R2644">
        <f>IF($A2644="","",$B2644&amp;" - "&amp;$C2644)</f>
        <v/>
      </c>
      <c r="S2644">
        <f>IF($A2644="","",$R2644&amp;"|"&amp;$Q2644)</f>
        <v/>
      </c>
      <c r="T2644">
        <f>IF($A2644="","",$S2644&amp;"|"&amp;$F2644)</f>
        <v/>
      </c>
      <c r="U2644">
        <f>IF($A2644="","",$R2644&amp;"("&amp;$E2644&amp;")")</f>
        <v/>
      </c>
      <c r="V2644">
        <f>IF($A2644="","",$F2644&amp;"|"&amp;$U2644&amp;"|"&amp;$D2644)</f>
        <v/>
      </c>
      <c r="W2644">
        <f>IF($T2644="","",IF($X2644&gt;N($X2643),$X2644,""))</f>
        <v/>
      </c>
      <c r="X2644">
        <f>IF($T2644="",N($X2643),IF(MATCH($T2644,$T$6:$T$6005,0)=ROW()-5,N($X2643)+1,N($X2643)))</f>
        <v/>
      </c>
      <c r="Z2644">
        <f>IF($V2644="","",IF($AA2644&gt;N($AA2643),$AA2644,""))</f>
        <v/>
      </c>
      <c r="AA2644">
        <f>IF($V2644="",N($AA2643),IF(MATCH($V2644,$V$6:$V$6005,0)=ROW()-5,N($AA2643)+1,N($AA2643)))</f>
        <v/>
      </c>
    </row>
    <row r="2645" ht="21" customHeight="1" s="66">
      <c r="A2645" s="56" t="n"/>
      <c r="B2645" s="57" t="n"/>
      <c r="C2645" s="57" t="n"/>
      <c r="D2645" s="57" t="n"/>
      <c r="E2645" s="56" t="n"/>
      <c r="F2645" s="57" t="n"/>
      <c r="G2645" s="57" t="n"/>
      <c r="H2645" s="56" t="n"/>
      <c r="I2645" s="56" t="n"/>
      <c r="J2645" s="58" t="n"/>
      <c r="K2645" s="58" t="n"/>
      <c r="L2645" s="13">
        <f>IF(OR($A2645="",AND($J2645="",$K2645="")),"",ROUND(N($J2645)-N($K2645),2))</f>
        <v/>
      </c>
      <c r="M2645" s="13">
        <f>IF(OR($A2645="",AND($J2645="",$K2645="")),"",MIN($J2645,$K2645))</f>
        <v/>
      </c>
      <c r="Q2645">
        <f>IF($A2645="","",$D2645&amp;"("&amp;SUBSTITUTE($E2645," ","")&amp;")")</f>
        <v/>
      </c>
      <c r="R2645">
        <f>IF($A2645="","",$B2645&amp;" - "&amp;$C2645)</f>
        <v/>
      </c>
      <c r="S2645">
        <f>IF($A2645="","",$R2645&amp;"|"&amp;$Q2645)</f>
        <v/>
      </c>
      <c r="T2645">
        <f>IF($A2645="","",$S2645&amp;"|"&amp;$F2645)</f>
        <v/>
      </c>
      <c r="U2645">
        <f>IF($A2645="","",$R2645&amp;"("&amp;$E2645&amp;")")</f>
        <v/>
      </c>
      <c r="V2645">
        <f>IF($A2645="","",$F2645&amp;"|"&amp;$U2645&amp;"|"&amp;$D2645)</f>
        <v/>
      </c>
      <c r="W2645">
        <f>IF($T2645="","",IF($X2645&gt;N($X2644),$X2645,""))</f>
        <v/>
      </c>
      <c r="X2645">
        <f>IF($T2645="",N($X2644),IF(MATCH($T2645,$T$6:$T$6005,0)=ROW()-5,N($X2644)+1,N($X2644)))</f>
        <v/>
      </c>
      <c r="Z2645">
        <f>IF($V2645="","",IF($AA2645&gt;N($AA2644),$AA2645,""))</f>
        <v/>
      </c>
      <c r="AA2645">
        <f>IF($V2645="",N($AA2644),IF(MATCH($V2645,$V$6:$V$6005,0)=ROW()-5,N($AA2644)+1,N($AA2644)))</f>
        <v/>
      </c>
    </row>
    <row r="2646" ht="21" customHeight="1" s="66">
      <c r="A2646" s="56" t="n"/>
      <c r="B2646" s="57" t="n"/>
      <c r="C2646" s="57" t="n"/>
      <c r="D2646" s="57" t="n"/>
      <c r="E2646" s="56" t="n"/>
      <c r="F2646" s="57" t="n"/>
      <c r="G2646" s="57" t="n"/>
      <c r="H2646" s="56" t="n"/>
      <c r="I2646" s="56" t="n"/>
      <c r="J2646" s="58" t="n"/>
      <c r="K2646" s="58" t="n"/>
      <c r="L2646" s="13">
        <f>IF(OR($A2646="",AND($J2646="",$K2646="")),"",ROUND(N($J2646)-N($K2646),2))</f>
        <v/>
      </c>
      <c r="M2646" s="13">
        <f>IF(OR($A2646="",AND($J2646="",$K2646="")),"",MIN($J2646,$K2646))</f>
        <v/>
      </c>
      <c r="Q2646">
        <f>IF($A2646="","",$D2646&amp;"("&amp;SUBSTITUTE($E2646," ","")&amp;")")</f>
        <v/>
      </c>
      <c r="R2646">
        <f>IF($A2646="","",$B2646&amp;" - "&amp;$C2646)</f>
        <v/>
      </c>
      <c r="S2646">
        <f>IF($A2646="","",$R2646&amp;"|"&amp;$Q2646)</f>
        <v/>
      </c>
      <c r="T2646">
        <f>IF($A2646="","",$S2646&amp;"|"&amp;$F2646)</f>
        <v/>
      </c>
      <c r="U2646">
        <f>IF($A2646="","",$R2646&amp;"("&amp;$E2646&amp;")")</f>
        <v/>
      </c>
      <c r="V2646">
        <f>IF($A2646="","",$F2646&amp;"|"&amp;$U2646&amp;"|"&amp;$D2646)</f>
        <v/>
      </c>
      <c r="W2646">
        <f>IF($T2646="","",IF($X2646&gt;N($X2645),$X2646,""))</f>
        <v/>
      </c>
      <c r="X2646">
        <f>IF($T2646="",N($X2645),IF(MATCH($T2646,$T$6:$T$6005,0)=ROW()-5,N($X2645)+1,N($X2645)))</f>
        <v/>
      </c>
      <c r="Z2646">
        <f>IF($V2646="","",IF($AA2646&gt;N($AA2645),$AA2646,""))</f>
        <v/>
      </c>
      <c r="AA2646">
        <f>IF($V2646="",N($AA2645),IF(MATCH($V2646,$V$6:$V$6005,0)=ROW()-5,N($AA2645)+1,N($AA2645)))</f>
        <v/>
      </c>
    </row>
    <row r="2647" ht="21" customHeight="1" s="66">
      <c r="A2647" s="56" t="n"/>
      <c r="B2647" s="57" t="n"/>
      <c r="C2647" s="57" t="n"/>
      <c r="D2647" s="57" t="n"/>
      <c r="E2647" s="56" t="n"/>
      <c r="F2647" s="57" t="n"/>
      <c r="G2647" s="57" t="n"/>
      <c r="H2647" s="56" t="n"/>
      <c r="I2647" s="56" t="n"/>
      <c r="J2647" s="58" t="n"/>
      <c r="K2647" s="58" t="n"/>
      <c r="L2647" s="13">
        <f>IF(OR($A2647="",AND($J2647="",$K2647="")),"",ROUND(N($J2647)-N($K2647),2))</f>
        <v/>
      </c>
      <c r="M2647" s="13">
        <f>IF(OR($A2647="",AND($J2647="",$K2647="")),"",MIN($J2647,$K2647))</f>
        <v/>
      </c>
      <c r="Q2647">
        <f>IF($A2647="","",$D2647&amp;"("&amp;SUBSTITUTE($E2647," ","")&amp;")")</f>
        <v/>
      </c>
      <c r="R2647">
        <f>IF($A2647="","",$B2647&amp;" - "&amp;$C2647)</f>
        <v/>
      </c>
      <c r="S2647">
        <f>IF($A2647="","",$R2647&amp;"|"&amp;$Q2647)</f>
        <v/>
      </c>
      <c r="T2647">
        <f>IF($A2647="","",$S2647&amp;"|"&amp;$F2647)</f>
        <v/>
      </c>
      <c r="U2647">
        <f>IF($A2647="","",$R2647&amp;"("&amp;$E2647&amp;")")</f>
        <v/>
      </c>
      <c r="V2647">
        <f>IF($A2647="","",$F2647&amp;"|"&amp;$U2647&amp;"|"&amp;$D2647)</f>
        <v/>
      </c>
      <c r="W2647">
        <f>IF($T2647="","",IF($X2647&gt;N($X2646),$X2647,""))</f>
        <v/>
      </c>
      <c r="X2647">
        <f>IF($T2647="",N($X2646),IF(MATCH($T2647,$T$6:$T$6005,0)=ROW()-5,N($X2646)+1,N($X2646)))</f>
        <v/>
      </c>
      <c r="Z2647">
        <f>IF($V2647="","",IF($AA2647&gt;N($AA2646),$AA2647,""))</f>
        <v/>
      </c>
      <c r="AA2647">
        <f>IF($V2647="",N($AA2646),IF(MATCH($V2647,$V$6:$V$6005,0)=ROW()-5,N($AA2646)+1,N($AA2646)))</f>
        <v/>
      </c>
    </row>
    <row r="2648" ht="21" customHeight="1" s="66">
      <c r="A2648" s="56" t="n"/>
      <c r="B2648" s="57" t="n"/>
      <c r="C2648" s="57" t="n"/>
      <c r="D2648" s="57" t="n"/>
      <c r="E2648" s="56" t="n"/>
      <c r="F2648" s="57" t="n"/>
      <c r="G2648" s="57" t="n"/>
      <c r="H2648" s="56" t="n"/>
      <c r="I2648" s="56" t="n"/>
      <c r="J2648" s="58" t="n"/>
      <c r="K2648" s="58" t="n"/>
      <c r="L2648" s="13">
        <f>IF(OR($A2648="",AND($J2648="",$K2648="")),"",ROUND(N($J2648)-N($K2648),2))</f>
        <v/>
      </c>
      <c r="M2648" s="13">
        <f>IF(OR($A2648="",AND($J2648="",$K2648="")),"",MIN($J2648,$K2648))</f>
        <v/>
      </c>
      <c r="Q2648">
        <f>IF($A2648="","",$D2648&amp;"("&amp;SUBSTITUTE($E2648," ","")&amp;")")</f>
        <v/>
      </c>
      <c r="R2648">
        <f>IF($A2648="","",$B2648&amp;" - "&amp;$C2648)</f>
        <v/>
      </c>
      <c r="S2648">
        <f>IF($A2648="","",$R2648&amp;"|"&amp;$Q2648)</f>
        <v/>
      </c>
      <c r="T2648">
        <f>IF($A2648="","",$S2648&amp;"|"&amp;$F2648)</f>
        <v/>
      </c>
      <c r="U2648">
        <f>IF($A2648="","",$R2648&amp;"("&amp;$E2648&amp;")")</f>
        <v/>
      </c>
      <c r="V2648">
        <f>IF($A2648="","",$F2648&amp;"|"&amp;$U2648&amp;"|"&amp;$D2648)</f>
        <v/>
      </c>
      <c r="W2648">
        <f>IF($T2648="","",IF($X2648&gt;N($X2647),$X2648,""))</f>
        <v/>
      </c>
      <c r="X2648">
        <f>IF($T2648="",N($X2647),IF(MATCH($T2648,$T$6:$T$6005,0)=ROW()-5,N($X2647)+1,N($X2647)))</f>
        <v/>
      </c>
      <c r="Z2648">
        <f>IF($V2648="","",IF($AA2648&gt;N($AA2647),$AA2648,""))</f>
        <v/>
      </c>
      <c r="AA2648">
        <f>IF($V2648="",N($AA2647),IF(MATCH($V2648,$V$6:$V$6005,0)=ROW()-5,N($AA2647)+1,N($AA2647)))</f>
        <v/>
      </c>
    </row>
    <row r="2649" ht="21" customHeight="1" s="66">
      <c r="A2649" s="56" t="n"/>
      <c r="B2649" s="57" t="n"/>
      <c r="C2649" s="57" t="n"/>
      <c r="D2649" s="57" t="n"/>
      <c r="E2649" s="56" t="n"/>
      <c r="F2649" s="57" t="n"/>
      <c r="G2649" s="57" t="n"/>
      <c r="H2649" s="56" t="n"/>
      <c r="I2649" s="56" t="n"/>
      <c r="J2649" s="58" t="n"/>
      <c r="K2649" s="58" t="n"/>
      <c r="L2649" s="13">
        <f>IF(OR($A2649="",AND($J2649="",$K2649="")),"",ROUND(N($J2649)-N($K2649),2))</f>
        <v/>
      </c>
      <c r="M2649" s="13">
        <f>IF(OR($A2649="",AND($J2649="",$K2649="")),"",MIN($J2649,$K2649))</f>
        <v/>
      </c>
      <c r="Q2649">
        <f>IF($A2649="","",$D2649&amp;"("&amp;SUBSTITUTE($E2649," ","")&amp;")")</f>
        <v/>
      </c>
      <c r="R2649">
        <f>IF($A2649="","",$B2649&amp;" - "&amp;$C2649)</f>
        <v/>
      </c>
      <c r="S2649">
        <f>IF($A2649="","",$R2649&amp;"|"&amp;$Q2649)</f>
        <v/>
      </c>
      <c r="T2649">
        <f>IF($A2649="","",$S2649&amp;"|"&amp;$F2649)</f>
        <v/>
      </c>
      <c r="U2649">
        <f>IF($A2649="","",$R2649&amp;"("&amp;$E2649&amp;")")</f>
        <v/>
      </c>
      <c r="V2649">
        <f>IF($A2649="","",$F2649&amp;"|"&amp;$U2649&amp;"|"&amp;$D2649)</f>
        <v/>
      </c>
      <c r="W2649">
        <f>IF($T2649="","",IF($X2649&gt;N($X2648),$X2649,""))</f>
        <v/>
      </c>
      <c r="X2649">
        <f>IF($T2649="",N($X2648),IF(MATCH($T2649,$T$6:$T$6005,0)=ROW()-5,N($X2648)+1,N($X2648)))</f>
        <v/>
      </c>
      <c r="Z2649">
        <f>IF($V2649="","",IF($AA2649&gt;N($AA2648),$AA2649,""))</f>
        <v/>
      </c>
      <c r="AA2649">
        <f>IF($V2649="",N($AA2648),IF(MATCH($V2649,$V$6:$V$6005,0)=ROW()-5,N($AA2648)+1,N($AA2648)))</f>
        <v/>
      </c>
    </row>
    <row r="2650" ht="21" customHeight="1" s="66">
      <c r="A2650" s="56" t="n"/>
      <c r="B2650" s="57" t="n"/>
      <c r="C2650" s="57" t="n"/>
      <c r="D2650" s="57" t="n"/>
      <c r="E2650" s="56" t="n"/>
      <c r="F2650" s="57" t="n"/>
      <c r="G2650" s="57" t="n"/>
      <c r="H2650" s="56" t="n"/>
      <c r="I2650" s="56" t="n"/>
      <c r="J2650" s="58" t="n"/>
      <c r="K2650" s="58" t="n"/>
      <c r="L2650" s="13">
        <f>IF(OR($A2650="",AND($J2650="",$K2650="")),"",ROUND(N($J2650)-N($K2650),2))</f>
        <v/>
      </c>
      <c r="M2650" s="13">
        <f>IF(OR($A2650="",AND($J2650="",$K2650="")),"",MIN($J2650,$K2650))</f>
        <v/>
      </c>
      <c r="Q2650">
        <f>IF($A2650="","",$D2650&amp;"("&amp;SUBSTITUTE($E2650," ","")&amp;")")</f>
        <v/>
      </c>
      <c r="R2650">
        <f>IF($A2650="","",$B2650&amp;" - "&amp;$C2650)</f>
        <v/>
      </c>
      <c r="S2650">
        <f>IF($A2650="","",$R2650&amp;"|"&amp;$Q2650)</f>
        <v/>
      </c>
      <c r="T2650">
        <f>IF($A2650="","",$S2650&amp;"|"&amp;$F2650)</f>
        <v/>
      </c>
      <c r="U2650">
        <f>IF($A2650="","",$R2650&amp;"("&amp;$E2650&amp;")")</f>
        <v/>
      </c>
      <c r="V2650">
        <f>IF($A2650="","",$F2650&amp;"|"&amp;$U2650&amp;"|"&amp;$D2650)</f>
        <v/>
      </c>
      <c r="W2650">
        <f>IF($T2650="","",IF($X2650&gt;N($X2649),$X2650,""))</f>
        <v/>
      </c>
      <c r="X2650">
        <f>IF($T2650="",N($X2649),IF(MATCH($T2650,$T$6:$T$6005,0)=ROW()-5,N($X2649)+1,N($X2649)))</f>
        <v/>
      </c>
      <c r="Z2650">
        <f>IF($V2650="","",IF($AA2650&gt;N($AA2649),$AA2650,""))</f>
        <v/>
      </c>
      <c r="AA2650">
        <f>IF($V2650="",N($AA2649),IF(MATCH($V2650,$V$6:$V$6005,0)=ROW()-5,N($AA2649)+1,N($AA2649)))</f>
        <v/>
      </c>
    </row>
    <row r="2651" ht="21" customHeight="1" s="66">
      <c r="A2651" s="56" t="n"/>
      <c r="B2651" s="57" t="n"/>
      <c r="C2651" s="57" t="n"/>
      <c r="D2651" s="57" t="n"/>
      <c r="E2651" s="56" t="n"/>
      <c r="F2651" s="57" t="n"/>
      <c r="G2651" s="57" t="n"/>
      <c r="H2651" s="56" t="n"/>
      <c r="I2651" s="56" t="n"/>
      <c r="J2651" s="58" t="n"/>
      <c r="K2651" s="58" t="n"/>
      <c r="L2651" s="13">
        <f>IF(OR($A2651="",AND($J2651="",$K2651="")),"",ROUND(N($J2651)-N($K2651),2))</f>
        <v/>
      </c>
      <c r="M2651" s="13">
        <f>IF(OR($A2651="",AND($J2651="",$K2651="")),"",MIN($J2651,$K2651))</f>
        <v/>
      </c>
      <c r="Q2651">
        <f>IF($A2651="","",$D2651&amp;"("&amp;SUBSTITUTE($E2651," ","")&amp;")")</f>
        <v/>
      </c>
      <c r="R2651">
        <f>IF($A2651="","",$B2651&amp;" - "&amp;$C2651)</f>
        <v/>
      </c>
      <c r="S2651">
        <f>IF($A2651="","",$R2651&amp;"|"&amp;$Q2651)</f>
        <v/>
      </c>
      <c r="T2651">
        <f>IF($A2651="","",$S2651&amp;"|"&amp;$F2651)</f>
        <v/>
      </c>
      <c r="U2651">
        <f>IF($A2651="","",$R2651&amp;"("&amp;$E2651&amp;")")</f>
        <v/>
      </c>
      <c r="V2651">
        <f>IF($A2651="","",$F2651&amp;"|"&amp;$U2651&amp;"|"&amp;$D2651)</f>
        <v/>
      </c>
      <c r="W2651">
        <f>IF($T2651="","",IF($X2651&gt;N($X2650),$X2651,""))</f>
        <v/>
      </c>
      <c r="X2651">
        <f>IF($T2651="",N($X2650),IF(MATCH($T2651,$T$6:$T$6005,0)=ROW()-5,N($X2650)+1,N($X2650)))</f>
        <v/>
      </c>
      <c r="Z2651">
        <f>IF($V2651="","",IF($AA2651&gt;N($AA2650),$AA2651,""))</f>
        <v/>
      </c>
      <c r="AA2651">
        <f>IF($V2651="",N($AA2650),IF(MATCH($V2651,$V$6:$V$6005,0)=ROW()-5,N($AA2650)+1,N($AA2650)))</f>
        <v/>
      </c>
    </row>
    <row r="2652" ht="21" customHeight="1" s="66">
      <c r="A2652" s="56" t="n"/>
      <c r="B2652" s="57" t="n"/>
      <c r="C2652" s="57" t="n"/>
      <c r="D2652" s="57" t="n"/>
      <c r="E2652" s="56" t="n"/>
      <c r="F2652" s="57" t="n"/>
      <c r="G2652" s="57" t="n"/>
      <c r="H2652" s="56" t="n"/>
      <c r="I2652" s="56" t="n"/>
      <c r="J2652" s="58" t="n"/>
      <c r="K2652" s="58" t="n"/>
      <c r="L2652" s="13">
        <f>IF(OR($A2652="",AND($J2652="",$K2652="")),"",ROUND(N($J2652)-N($K2652),2))</f>
        <v/>
      </c>
      <c r="M2652" s="13">
        <f>IF(OR($A2652="",AND($J2652="",$K2652="")),"",MIN($J2652,$K2652))</f>
        <v/>
      </c>
      <c r="Q2652">
        <f>IF($A2652="","",$D2652&amp;"("&amp;SUBSTITUTE($E2652," ","")&amp;")")</f>
        <v/>
      </c>
      <c r="R2652">
        <f>IF($A2652="","",$B2652&amp;" - "&amp;$C2652)</f>
        <v/>
      </c>
      <c r="S2652">
        <f>IF($A2652="","",$R2652&amp;"|"&amp;$Q2652)</f>
        <v/>
      </c>
      <c r="T2652">
        <f>IF($A2652="","",$S2652&amp;"|"&amp;$F2652)</f>
        <v/>
      </c>
      <c r="U2652">
        <f>IF($A2652="","",$R2652&amp;"("&amp;$E2652&amp;")")</f>
        <v/>
      </c>
      <c r="V2652">
        <f>IF($A2652="","",$F2652&amp;"|"&amp;$U2652&amp;"|"&amp;$D2652)</f>
        <v/>
      </c>
      <c r="W2652">
        <f>IF($T2652="","",IF($X2652&gt;N($X2651),$X2652,""))</f>
        <v/>
      </c>
      <c r="X2652">
        <f>IF($T2652="",N($X2651),IF(MATCH($T2652,$T$6:$T$6005,0)=ROW()-5,N($X2651)+1,N($X2651)))</f>
        <v/>
      </c>
      <c r="Z2652">
        <f>IF($V2652="","",IF($AA2652&gt;N($AA2651),$AA2652,""))</f>
        <v/>
      </c>
      <c r="AA2652">
        <f>IF($V2652="",N($AA2651),IF(MATCH($V2652,$V$6:$V$6005,0)=ROW()-5,N($AA2651)+1,N($AA2651)))</f>
        <v/>
      </c>
    </row>
    <row r="2653" ht="21" customHeight="1" s="66">
      <c r="A2653" s="56" t="n"/>
      <c r="B2653" s="57" t="n"/>
      <c r="C2653" s="57" t="n"/>
      <c r="D2653" s="57" t="n"/>
      <c r="E2653" s="56" t="n"/>
      <c r="F2653" s="57" t="n"/>
      <c r="G2653" s="57" t="n"/>
      <c r="H2653" s="56" t="n"/>
      <c r="I2653" s="56" t="n"/>
      <c r="J2653" s="58" t="n"/>
      <c r="K2653" s="58" t="n"/>
      <c r="L2653" s="13">
        <f>IF(OR($A2653="",AND($J2653="",$K2653="")),"",ROUND(N($J2653)-N($K2653),2))</f>
        <v/>
      </c>
      <c r="M2653" s="13">
        <f>IF(OR($A2653="",AND($J2653="",$K2653="")),"",MIN($J2653,$K2653))</f>
        <v/>
      </c>
      <c r="Q2653">
        <f>IF($A2653="","",$D2653&amp;"("&amp;SUBSTITUTE($E2653," ","")&amp;")")</f>
        <v/>
      </c>
      <c r="R2653">
        <f>IF($A2653="","",$B2653&amp;" - "&amp;$C2653)</f>
        <v/>
      </c>
      <c r="S2653">
        <f>IF($A2653="","",$R2653&amp;"|"&amp;$Q2653)</f>
        <v/>
      </c>
      <c r="T2653">
        <f>IF($A2653="","",$S2653&amp;"|"&amp;$F2653)</f>
        <v/>
      </c>
      <c r="U2653">
        <f>IF($A2653="","",$R2653&amp;"("&amp;$E2653&amp;")")</f>
        <v/>
      </c>
      <c r="V2653">
        <f>IF($A2653="","",$F2653&amp;"|"&amp;$U2653&amp;"|"&amp;$D2653)</f>
        <v/>
      </c>
      <c r="W2653">
        <f>IF($T2653="","",IF($X2653&gt;N($X2652),$X2653,""))</f>
        <v/>
      </c>
      <c r="X2653">
        <f>IF($T2653="",N($X2652),IF(MATCH($T2653,$T$6:$T$6005,0)=ROW()-5,N($X2652)+1,N($X2652)))</f>
        <v/>
      </c>
      <c r="Z2653">
        <f>IF($V2653="","",IF($AA2653&gt;N($AA2652),$AA2653,""))</f>
        <v/>
      </c>
      <c r="AA2653">
        <f>IF($V2653="",N($AA2652),IF(MATCH($V2653,$V$6:$V$6005,0)=ROW()-5,N($AA2652)+1,N($AA2652)))</f>
        <v/>
      </c>
    </row>
    <row r="2654" ht="21" customHeight="1" s="66">
      <c r="A2654" s="56" t="n"/>
      <c r="B2654" s="57" t="n"/>
      <c r="C2654" s="57" t="n"/>
      <c r="D2654" s="57" t="n"/>
      <c r="E2654" s="56" t="n"/>
      <c r="F2654" s="57" t="n"/>
      <c r="G2654" s="57" t="n"/>
      <c r="H2654" s="56" t="n"/>
      <c r="I2654" s="56" t="n"/>
      <c r="J2654" s="58" t="n"/>
      <c r="K2654" s="58" t="n"/>
      <c r="L2654" s="13">
        <f>IF(OR($A2654="",AND($J2654="",$K2654="")),"",ROUND(N($J2654)-N($K2654),2))</f>
        <v/>
      </c>
      <c r="M2654" s="13">
        <f>IF(OR($A2654="",AND($J2654="",$K2654="")),"",MIN($J2654,$K2654))</f>
        <v/>
      </c>
      <c r="Q2654">
        <f>IF($A2654="","",$D2654&amp;"("&amp;SUBSTITUTE($E2654," ","")&amp;")")</f>
        <v/>
      </c>
      <c r="R2654">
        <f>IF($A2654="","",$B2654&amp;" - "&amp;$C2654)</f>
        <v/>
      </c>
      <c r="S2654">
        <f>IF($A2654="","",$R2654&amp;"|"&amp;$Q2654)</f>
        <v/>
      </c>
      <c r="T2654">
        <f>IF($A2654="","",$S2654&amp;"|"&amp;$F2654)</f>
        <v/>
      </c>
      <c r="U2654">
        <f>IF($A2654="","",$R2654&amp;"("&amp;$E2654&amp;")")</f>
        <v/>
      </c>
      <c r="V2654">
        <f>IF($A2654="","",$F2654&amp;"|"&amp;$U2654&amp;"|"&amp;$D2654)</f>
        <v/>
      </c>
      <c r="W2654">
        <f>IF($T2654="","",IF($X2654&gt;N($X2653),$X2654,""))</f>
        <v/>
      </c>
      <c r="X2654">
        <f>IF($T2654="",N($X2653),IF(MATCH($T2654,$T$6:$T$6005,0)=ROW()-5,N($X2653)+1,N($X2653)))</f>
        <v/>
      </c>
      <c r="Z2654">
        <f>IF($V2654="","",IF($AA2654&gt;N($AA2653),$AA2654,""))</f>
        <v/>
      </c>
      <c r="AA2654">
        <f>IF($V2654="",N($AA2653),IF(MATCH($V2654,$V$6:$V$6005,0)=ROW()-5,N($AA2653)+1,N($AA2653)))</f>
        <v/>
      </c>
    </row>
    <row r="2655" ht="21" customHeight="1" s="66">
      <c r="A2655" s="56" t="n"/>
      <c r="B2655" s="57" t="n"/>
      <c r="C2655" s="57" t="n"/>
      <c r="D2655" s="57" t="n"/>
      <c r="E2655" s="56" t="n"/>
      <c r="F2655" s="57" t="n"/>
      <c r="G2655" s="57" t="n"/>
      <c r="H2655" s="56" t="n"/>
      <c r="I2655" s="56" t="n"/>
      <c r="J2655" s="58" t="n"/>
      <c r="K2655" s="58" t="n"/>
      <c r="L2655" s="13">
        <f>IF(OR($A2655="",AND($J2655="",$K2655="")),"",ROUND(N($J2655)-N($K2655),2))</f>
        <v/>
      </c>
      <c r="M2655" s="13">
        <f>IF(OR($A2655="",AND($J2655="",$K2655="")),"",MIN($J2655,$K2655))</f>
        <v/>
      </c>
      <c r="Q2655">
        <f>IF($A2655="","",$D2655&amp;"("&amp;SUBSTITUTE($E2655," ","")&amp;")")</f>
        <v/>
      </c>
      <c r="R2655">
        <f>IF($A2655="","",$B2655&amp;" - "&amp;$C2655)</f>
        <v/>
      </c>
      <c r="S2655">
        <f>IF($A2655="","",$R2655&amp;"|"&amp;$Q2655)</f>
        <v/>
      </c>
      <c r="T2655">
        <f>IF($A2655="","",$S2655&amp;"|"&amp;$F2655)</f>
        <v/>
      </c>
      <c r="U2655">
        <f>IF($A2655="","",$R2655&amp;"("&amp;$E2655&amp;")")</f>
        <v/>
      </c>
      <c r="V2655">
        <f>IF($A2655="","",$F2655&amp;"|"&amp;$U2655&amp;"|"&amp;$D2655)</f>
        <v/>
      </c>
      <c r="W2655">
        <f>IF($T2655="","",IF($X2655&gt;N($X2654),$X2655,""))</f>
        <v/>
      </c>
      <c r="X2655">
        <f>IF($T2655="",N($X2654),IF(MATCH($T2655,$T$6:$T$6005,0)=ROW()-5,N($X2654)+1,N($X2654)))</f>
        <v/>
      </c>
      <c r="Z2655">
        <f>IF($V2655="","",IF($AA2655&gt;N($AA2654),$AA2655,""))</f>
        <v/>
      </c>
      <c r="AA2655">
        <f>IF($V2655="",N($AA2654),IF(MATCH($V2655,$V$6:$V$6005,0)=ROW()-5,N($AA2654)+1,N($AA2654)))</f>
        <v/>
      </c>
    </row>
    <row r="2656" ht="21" customHeight="1" s="66">
      <c r="A2656" s="56" t="n"/>
      <c r="B2656" s="57" t="n"/>
      <c r="C2656" s="57" t="n"/>
      <c r="D2656" s="57" t="n"/>
      <c r="E2656" s="56" t="n"/>
      <c r="F2656" s="57" t="n"/>
      <c r="G2656" s="57" t="n"/>
      <c r="H2656" s="56" t="n"/>
      <c r="I2656" s="56" t="n"/>
      <c r="J2656" s="58" t="n"/>
      <c r="K2656" s="58" t="n"/>
      <c r="L2656" s="13">
        <f>IF(OR($A2656="",AND($J2656="",$K2656="")),"",ROUND(N($J2656)-N($K2656),2))</f>
        <v/>
      </c>
      <c r="M2656" s="13">
        <f>IF(OR($A2656="",AND($J2656="",$K2656="")),"",MIN($J2656,$K2656))</f>
        <v/>
      </c>
      <c r="Q2656">
        <f>IF($A2656="","",$D2656&amp;"("&amp;SUBSTITUTE($E2656," ","")&amp;")")</f>
        <v/>
      </c>
      <c r="R2656">
        <f>IF($A2656="","",$B2656&amp;" - "&amp;$C2656)</f>
        <v/>
      </c>
      <c r="S2656">
        <f>IF($A2656="","",$R2656&amp;"|"&amp;$Q2656)</f>
        <v/>
      </c>
      <c r="T2656">
        <f>IF($A2656="","",$S2656&amp;"|"&amp;$F2656)</f>
        <v/>
      </c>
      <c r="U2656">
        <f>IF($A2656="","",$R2656&amp;"("&amp;$E2656&amp;")")</f>
        <v/>
      </c>
      <c r="V2656">
        <f>IF($A2656="","",$F2656&amp;"|"&amp;$U2656&amp;"|"&amp;$D2656)</f>
        <v/>
      </c>
      <c r="W2656">
        <f>IF($T2656="","",IF($X2656&gt;N($X2655),$X2656,""))</f>
        <v/>
      </c>
      <c r="X2656">
        <f>IF($T2656="",N($X2655),IF(MATCH($T2656,$T$6:$T$6005,0)=ROW()-5,N($X2655)+1,N($X2655)))</f>
        <v/>
      </c>
      <c r="Z2656">
        <f>IF($V2656="","",IF($AA2656&gt;N($AA2655),$AA2656,""))</f>
        <v/>
      </c>
      <c r="AA2656">
        <f>IF($V2656="",N($AA2655),IF(MATCH($V2656,$V$6:$V$6005,0)=ROW()-5,N($AA2655)+1,N($AA2655)))</f>
        <v/>
      </c>
    </row>
    <row r="2657" ht="21" customHeight="1" s="66">
      <c r="A2657" s="56" t="n"/>
      <c r="B2657" s="57" t="n"/>
      <c r="C2657" s="57" t="n"/>
      <c r="D2657" s="57" t="n"/>
      <c r="E2657" s="56" t="n"/>
      <c r="F2657" s="57" t="n"/>
      <c r="G2657" s="57" t="n"/>
      <c r="H2657" s="56" t="n"/>
      <c r="I2657" s="56" t="n"/>
      <c r="J2657" s="58" t="n"/>
      <c r="K2657" s="58" t="n"/>
      <c r="L2657" s="13">
        <f>IF(OR($A2657="",AND($J2657="",$K2657="")),"",ROUND(N($J2657)-N($K2657),2))</f>
        <v/>
      </c>
      <c r="M2657" s="13">
        <f>IF(OR($A2657="",AND($J2657="",$K2657="")),"",MIN($J2657,$K2657))</f>
        <v/>
      </c>
      <c r="Q2657">
        <f>IF($A2657="","",$D2657&amp;"("&amp;SUBSTITUTE($E2657," ","")&amp;")")</f>
        <v/>
      </c>
      <c r="R2657">
        <f>IF($A2657="","",$B2657&amp;" - "&amp;$C2657)</f>
        <v/>
      </c>
      <c r="S2657">
        <f>IF($A2657="","",$R2657&amp;"|"&amp;$Q2657)</f>
        <v/>
      </c>
      <c r="T2657">
        <f>IF($A2657="","",$S2657&amp;"|"&amp;$F2657)</f>
        <v/>
      </c>
      <c r="U2657">
        <f>IF($A2657="","",$R2657&amp;"("&amp;$E2657&amp;")")</f>
        <v/>
      </c>
      <c r="V2657">
        <f>IF($A2657="","",$F2657&amp;"|"&amp;$U2657&amp;"|"&amp;$D2657)</f>
        <v/>
      </c>
      <c r="W2657">
        <f>IF($T2657="","",IF($X2657&gt;N($X2656),$X2657,""))</f>
        <v/>
      </c>
      <c r="X2657">
        <f>IF($T2657="",N($X2656),IF(MATCH($T2657,$T$6:$T$6005,0)=ROW()-5,N($X2656)+1,N($X2656)))</f>
        <v/>
      </c>
      <c r="Z2657">
        <f>IF($V2657="","",IF($AA2657&gt;N($AA2656),$AA2657,""))</f>
        <v/>
      </c>
      <c r="AA2657">
        <f>IF($V2657="",N($AA2656),IF(MATCH($V2657,$V$6:$V$6005,0)=ROW()-5,N($AA2656)+1,N($AA2656)))</f>
        <v/>
      </c>
    </row>
    <row r="2658" ht="21" customHeight="1" s="66">
      <c r="A2658" s="56" t="n"/>
      <c r="B2658" s="57" t="n"/>
      <c r="C2658" s="57" t="n"/>
      <c r="D2658" s="57" t="n"/>
      <c r="E2658" s="56" t="n"/>
      <c r="F2658" s="57" t="n"/>
      <c r="G2658" s="57" t="n"/>
      <c r="H2658" s="56" t="n"/>
      <c r="I2658" s="56" t="n"/>
      <c r="J2658" s="58" t="n"/>
      <c r="K2658" s="58" t="n"/>
      <c r="L2658" s="13">
        <f>IF(OR($A2658="",AND($J2658="",$K2658="")),"",ROUND(N($J2658)-N($K2658),2))</f>
        <v/>
      </c>
      <c r="M2658" s="13">
        <f>IF(OR($A2658="",AND($J2658="",$K2658="")),"",MIN($J2658,$K2658))</f>
        <v/>
      </c>
      <c r="Q2658">
        <f>IF($A2658="","",$D2658&amp;"("&amp;SUBSTITUTE($E2658," ","")&amp;")")</f>
        <v/>
      </c>
      <c r="R2658">
        <f>IF($A2658="","",$B2658&amp;" - "&amp;$C2658)</f>
        <v/>
      </c>
      <c r="S2658">
        <f>IF($A2658="","",$R2658&amp;"|"&amp;$Q2658)</f>
        <v/>
      </c>
      <c r="T2658">
        <f>IF($A2658="","",$S2658&amp;"|"&amp;$F2658)</f>
        <v/>
      </c>
      <c r="U2658">
        <f>IF($A2658="","",$R2658&amp;"("&amp;$E2658&amp;")")</f>
        <v/>
      </c>
      <c r="V2658">
        <f>IF($A2658="","",$F2658&amp;"|"&amp;$U2658&amp;"|"&amp;$D2658)</f>
        <v/>
      </c>
      <c r="W2658">
        <f>IF($T2658="","",IF($X2658&gt;N($X2657),$X2658,""))</f>
        <v/>
      </c>
      <c r="X2658">
        <f>IF($T2658="",N($X2657),IF(MATCH($T2658,$T$6:$T$6005,0)=ROW()-5,N($X2657)+1,N($X2657)))</f>
        <v/>
      </c>
      <c r="Z2658">
        <f>IF($V2658="","",IF($AA2658&gt;N($AA2657),$AA2658,""))</f>
        <v/>
      </c>
      <c r="AA2658">
        <f>IF($V2658="",N($AA2657),IF(MATCH($V2658,$V$6:$V$6005,0)=ROW()-5,N($AA2657)+1,N($AA2657)))</f>
        <v/>
      </c>
    </row>
    <row r="2659" ht="21" customHeight="1" s="66">
      <c r="A2659" s="56" t="n"/>
      <c r="B2659" s="57" t="n"/>
      <c r="C2659" s="57" t="n"/>
      <c r="D2659" s="57" t="n"/>
      <c r="E2659" s="56" t="n"/>
      <c r="F2659" s="57" t="n"/>
      <c r="G2659" s="57" t="n"/>
      <c r="H2659" s="56" t="n"/>
      <c r="I2659" s="56" t="n"/>
      <c r="J2659" s="58" t="n"/>
      <c r="K2659" s="58" t="n"/>
      <c r="L2659" s="13">
        <f>IF(OR($A2659="",AND($J2659="",$K2659="")),"",ROUND(N($J2659)-N($K2659),2))</f>
        <v/>
      </c>
      <c r="M2659" s="13">
        <f>IF(OR($A2659="",AND($J2659="",$K2659="")),"",MIN($J2659,$K2659))</f>
        <v/>
      </c>
      <c r="Q2659">
        <f>IF($A2659="","",$D2659&amp;"("&amp;SUBSTITUTE($E2659," ","")&amp;")")</f>
        <v/>
      </c>
      <c r="R2659">
        <f>IF($A2659="","",$B2659&amp;" - "&amp;$C2659)</f>
        <v/>
      </c>
      <c r="S2659">
        <f>IF($A2659="","",$R2659&amp;"|"&amp;$Q2659)</f>
        <v/>
      </c>
      <c r="T2659">
        <f>IF($A2659="","",$S2659&amp;"|"&amp;$F2659)</f>
        <v/>
      </c>
      <c r="U2659">
        <f>IF($A2659="","",$R2659&amp;"("&amp;$E2659&amp;")")</f>
        <v/>
      </c>
      <c r="V2659">
        <f>IF($A2659="","",$F2659&amp;"|"&amp;$U2659&amp;"|"&amp;$D2659)</f>
        <v/>
      </c>
      <c r="W2659">
        <f>IF($T2659="","",IF($X2659&gt;N($X2658),$X2659,""))</f>
        <v/>
      </c>
      <c r="X2659">
        <f>IF($T2659="",N($X2658),IF(MATCH($T2659,$T$6:$T$6005,0)=ROW()-5,N($X2658)+1,N($X2658)))</f>
        <v/>
      </c>
      <c r="Z2659">
        <f>IF($V2659="","",IF($AA2659&gt;N($AA2658),$AA2659,""))</f>
        <v/>
      </c>
      <c r="AA2659">
        <f>IF($V2659="",N($AA2658),IF(MATCH($V2659,$V$6:$V$6005,0)=ROW()-5,N($AA2658)+1,N($AA2658)))</f>
        <v/>
      </c>
    </row>
    <row r="2660" ht="21" customHeight="1" s="66">
      <c r="A2660" s="56" t="n"/>
      <c r="B2660" s="57" t="n"/>
      <c r="C2660" s="57" t="n"/>
      <c r="D2660" s="57" t="n"/>
      <c r="E2660" s="56" t="n"/>
      <c r="F2660" s="57" t="n"/>
      <c r="G2660" s="57" t="n"/>
      <c r="H2660" s="56" t="n"/>
      <c r="I2660" s="56" t="n"/>
      <c r="J2660" s="58" t="n"/>
      <c r="K2660" s="58" t="n"/>
      <c r="L2660" s="13">
        <f>IF(OR($A2660="",AND($J2660="",$K2660="")),"",ROUND(N($J2660)-N($K2660),2))</f>
        <v/>
      </c>
      <c r="M2660" s="13">
        <f>IF(OR($A2660="",AND($J2660="",$K2660="")),"",MIN($J2660,$K2660))</f>
        <v/>
      </c>
      <c r="Q2660">
        <f>IF($A2660="","",$D2660&amp;"("&amp;SUBSTITUTE($E2660," ","")&amp;")")</f>
        <v/>
      </c>
      <c r="R2660">
        <f>IF($A2660="","",$B2660&amp;" - "&amp;$C2660)</f>
        <v/>
      </c>
      <c r="S2660">
        <f>IF($A2660="","",$R2660&amp;"|"&amp;$Q2660)</f>
        <v/>
      </c>
      <c r="T2660">
        <f>IF($A2660="","",$S2660&amp;"|"&amp;$F2660)</f>
        <v/>
      </c>
      <c r="U2660">
        <f>IF($A2660="","",$R2660&amp;"("&amp;$E2660&amp;")")</f>
        <v/>
      </c>
      <c r="V2660">
        <f>IF($A2660="","",$F2660&amp;"|"&amp;$U2660&amp;"|"&amp;$D2660)</f>
        <v/>
      </c>
      <c r="W2660">
        <f>IF($T2660="","",IF($X2660&gt;N($X2659),$X2660,""))</f>
        <v/>
      </c>
      <c r="X2660">
        <f>IF($T2660="",N($X2659),IF(MATCH($T2660,$T$6:$T$6005,0)=ROW()-5,N($X2659)+1,N($X2659)))</f>
        <v/>
      </c>
      <c r="Z2660">
        <f>IF($V2660="","",IF($AA2660&gt;N($AA2659),$AA2660,""))</f>
        <v/>
      </c>
      <c r="AA2660">
        <f>IF($V2660="",N($AA2659),IF(MATCH($V2660,$V$6:$V$6005,0)=ROW()-5,N($AA2659)+1,N($AA2659)))</f>
        <v/>
      </c>
    </row>
    <row r="2661" ht="21" customHeight="1" s="66">
      <c r="A2661" s="56" t="n"/>
      <c r="B2661" s="57" t="n"/>
      <c r="C2661" s="57" t="n"/>
      <c r="D2661" s="57" t="n"/>
      <c r="E2661" s="56" t="n"/>
      <c r="F2661" s="57" t="n"/>
      <c r="G2661" s="57" t="n"/>
      <c r="H2661" s="56" t="n"/>
      <c r="I2661" s="56" t="n"/>
      <c r="J2661" s="58" t="n"/>
      <c r="K2661" s="58" t="n"/>
      <c r="L2661" s="13">
        <f>IF(OR($A2661="",AND($J2661="",$K2661="")),"",ROUND(N($J2661)-N($K2661),2))</f>
        <v/>
      </c>
      <c r="M2661" s="13">
        <f>IF(OR($A2661="",AND($J2661="",$K2661="")),"",MIN($J2661,$K2661))</f>
        <v/>
      </c>
      <c r="Q2661">
        <f>IF($A2661="","",$D2661&amp;"("&amp;SUBSTITUTE($E2661," ","")&amp;")")</f>
        <v/>
      </c>
      <c r="R2661">
        <f>IF($A2661="","",$B2661&amp;" - "&amp;$C2661)</f>
        <v/>
      </c>
      <c r="S2661">
        <f>IF($A2661="","",$R2661&amp;"|"&amp;$Q2661)</f>
        <v/>
      </c>
      <c r="T2661">
        <f>IF($A2661="","",$S2661&amp;"|"&amp;$F2661)</f>
        <v/>
      </c>
      <c r="U2661">
        <f>IF($A2661="","",$R2661&amp;"("&amp;$E2661&amp;")")</f>
        <v/>
      </c>
      <c r="V2661">
        <f>IF($A2661="","",$F2661&amp;"|"&amp;$U2661&amp;"|"&amp;$D2661)</f>
        <v/>
      </c>
      <c r="W2661">
        <f>IF($T2661="","",IF($X2661&gt;N($X2660),$X2661,""))</f>
        <v/>
      </c>
      <c r="X2661">
        <f>IF($T2661="",N($X2660),IF(MATCH($T2661,$T$6:$T$6005,0)=ROW()-5,N($X2660)+1,N($X2660)))</f>
        <v/>
      </c>
      <c r="Z2661">
        <f>IF($V2661="","",IF($AA2661&gt;N($AA2660),$AA2661,""))</f>
        <v/>
      </c>
      <c r="AA2661">
        <f>IF($V2661="",N($AA2660),IF(MATCH($V2661,$V$6:$V$6005,0)=ROW()-5,N($AA2660)+1,N($AA2660)))</f>
        <v/>
      </c>
    </row>
    <row r="2662" ht="21" customHeight="1" s="66">
      <c r="A2662" s="56" t="n"/>
      <c r="B2662" s="57" t="n"/>
      <c r="C2662" s="57" t="n"/>
      <c r="D2662" s="57" t="n"/>
      <c r="E2662" s="56" t="n"/>
      <c r="F2662" s="57" t="n"/>
      <c r="G2662" s="57" t="n"/>
      <c r="H2662" s="56" t="n"/>
      <c r="I2662" s="56" t="n"/>
      <c r="J2662" s="58" t="n"/>
      <c r="K2662" s="58" t="n"/>
      <c r="L2662" s="13">
        <f>IF(OR($A2662="",AND($J2662="",$K2662="")),"",ROUND(N($J2662)-N($K2662),2))</f>
        <v/>
      </c>
      <c r="M2662" s="13">
        <f>IF(OR($A2662="",AND($J2662="",$K2662="")),"",MIN($J2662,$K2662))</f>
        <v/>
      </c>
      <c r="Q2662">
        <f>IF($A2662="","",$D2662&amp;"("&amp;SUBSTITUTE($E2662," ","")&amp;")")</f>
        <v/>
      </c>
      <c r="R2662">
        <f>IF($A2662="","",$B2662&amp;" - "&amp;$C2662)</f>
        <v/>
      </c>
      <c r="S2662">
        <f>IF($A2662="","",$R2662&amp;"|"&amp;$Q2662)</f>
        <v/>
      </c>
      <c r="T2662">
        <f>IF($A2662="","",$S2662&amp;"|"&amp;$F2662)</f>
        <v/>
      </c>
      <c r="U2662">
        <f>IF($A2662="","",$R2662&amp;"("&amp;$E2662&amp;")")</f>
        <v/>
      </c>
      <c r="V2662">
        <f>IF($A2662="","",$F2662&amp;"|"&amp;$U2662&amp;"|"&amp;$D2662)</f>
        <v/>
      </c>
      <c r="W2662">
        <f>IF($T2662="","",IF($X2662&gt;N($X2661),$X2662,""))</f>
        <v/>
      </c>
      <c r="X2662">
        <f>IF($T2662="",N($X2661),IF(MATCH($T2662,$T$6:$T$6005,0)=ROW()-5,N($X2661)+1,N($X2661)))</f>
        <v/>
      </c>
      <c r="Z2662">
        <f>IF($V2662="","",IF($AA2662&gt;N($AA2661),$AA2662,""))</f>
        <v/>
      </c>
      <c r="AA2662">
        <f>IF($V2662="",N($AA2661),IF(MATCH($V2662,$V$6:$V$6005,0)=ROW()-5,N($AA2661)+1,N($AA2661)))</f>
        <v/>
      </c>
    </row>
    <row r="2663" ht="21" customHeight="1" s="66">
      <c r="A2663" s="56" t="n"/>
      <c r="B2663" s="57" t="n"/>
      <c r="C2663" s="57" t="n"/>
      <c r="D2663" s="57" t="n"/>
      <c r="E2663" s="56" t="n"/>
      <c r="F2663" s="57" t="n"/>
      <c r="G2663" s="57" t="n"/>
      <c r="H2663" s="56" t="n"/>
      <c r="I2663" s="56" t="n"/>
      <c r="J2663" s="58" t="n"/>
      <c r="K2663" s="58" t="n"/>
      <c r="L2663" s="13">
        <f>IF(OR($A2663="",AND($J2663="",$K2663="")),"",ROUND(N($J2663)-N($K2663),2))</f>
        <v/>
      </c>
      <c r="M2663" s="13">
        <f>IF(OR($A2663="",AND($J2663="",$K2663="")),"",MIN($J2663,$K2663))</f>
        <v/>
      </c>
      <c r="Q2663">
        <f>IF($A2663="","",$D2663&amp;"("&amp;SUBSTITUTE($E2663," ","")&amp;")")</f>
        <v/>
      </c>
      <c r="R2663">
        <f>IF($A2663="","",$B2663&amp;" - "&amp;$C2663)</f>
        <v/>
      </c>
      <c r="S2663">
        <f>IF($A2663="","",$R2663&amp;"|"&amp;$Q2663)</f>
        <v/>
      </c>
      <c r="T2663">
        <f>IF($A2663="","",$S2663&amp;"|"&amp;$F2663)</f>
        <v/>
      </c>
      <c r="U2663">
        <f>IF($A2663="","",$R2663&amp;"("&amp;$E2663&amp;")")</f>
        <v/>
      </c>
      <c r="V2663">
        <f>IF($A2663="","",$F2663&amp;"|"&amp;$U2663&amp;"|"&amp;$D2663)</f>
        <v/>
      </c>
      <c r="W2663">
        <f>IF($T2663="","",IF($X2663&gt;N($X2662),$X2663,""))</f>
        <v/>
      </c>
      <c r="X2663">
        <f>IF($T2663="",N($X2662),IF(MATCH($T2663,$T$6:$T$6005,0)=ROW()-5,N($X2662)+1,N($X2662)))</f>
        <v/>
      </c>
      <c r="Z2663">
        <f>IF($V2663="","",IF($AA2663&gt;N($AA2662),$AA2663,""))</f>
        <v/>
      </c>
      <c r="AA2663">
        <f>IF($V2663="",N($AA2662),IF(MATCH($V2663,$V$6:$V$6005,0)=ROW()-5,N($AA2662)+1,N($AA2662)))</f>
        <v/>
      </c>
    </row>
    <row r="2664" ht="21" customHeight="1" s="66">
      <c r="A2664" s="56" t="n"/>
      <c r="B2664" s="57" t="n"/>
      <c r="C2664" s="57" t="n"/>
      <c r="D2664" s="57" t="n"/>
      <c r="E2664" s="56" t="n"/>
      <c r="F2664" s="57" t="n"/>
      <c r="G2664" s="57" t="n"/>
      <c r="H2664" s="56" t="n"/>
      <c r="I2664" s="56" t="n"/>
      <c r="J2664" s="58" t="n"/>
      <c r="K2664" s="58" t="n"/>
      <c r="L2664" s="13">
        <f>IF(OR($A2664="",AND($J2664="",$K2664="")),"",ROUND(N($J2664)-N($K2664),2))</f>
        <v/>
      </c>
      <c r="M2664" s="13">
        <f>IF(OR($A2664="",AND($J2664="",$K2664="")),"",MIN($J2664,$K2664))</f>
        <v/>
      </c>
      <c r="Q2664">
        <f>IF($A2664="","",$D2664&amp;"("&amp;SUBSTITUTE($E2664," ","")&amp;")")</f>
        <v/>
      </c>
      <c r="R2664">
        <f>IF($A2664="","",$B2664&amp;" - "&amp;$C2664)</f>
        <v/>
      </c>
      <c r="S2664">
        <f>IF($A2664="","",$R2664&amp;"|"&amp;$Q2664)</f>
        <v/>
      </c>
      <c r="T2664">
        <f>IF($A2664="","",$S2664&amp;"|"&amp;$F2664)</f>
        <v/>
      </c>
      <c r="U2664">
        <f>IF($A2664="","",$R2664&amp;"("&amp;$E2664&amp;")")</f>
        <v/>
      </c>
      <c r="V2664">
        <f>IF($A2664="","",$F2664&amp;"|"&amp;$U2664&amp;"|"&amp;$D2664)</f>
        <v/>
      </c>
      <c r="W2664">
        <f>IF($T2664="","",IF($X2664&gt;N($X2663),$X2664,""))</f>
        <v/>
      </c>
      <c r="X2664">
        <f>IF($T2664="",N($X2663),IF(MATCH($T2664,$T$6:$T$6005,0)=ROW()-5,N($X2663)+1,N($X2663)))</f>
        <v/>
      </c>
      <c r="Z2664">
        <f>IF($V2664="","",IF($AA2664&gt;N($AA2663),$AA2664,""))</f>
        <v/>
      </c>
      <c r="AA2664">
        <f>IF($V2664="",N($AA2663),IF(MATCH($V2664,$V$6:$V$6005,0)=ROW()-5,N($AA2663)+1,N($AA2663)))</f>
        <v/>
      </c>
    </row>
    <row r="2665" ht="21" customHeight="1" s="66">
      <c r="A2665" s="56" t="n"/>
      <c r="B2665" s="57" t="n"/>
      <c r="C2665" s="57" t="n"/>
      <c r="D2665" s="57" t="n"/>
      <c r="E2665" s="56" t="n"/>
      <c r="F2665" s="57" t="n"/>
      <c r="G2665" s="57" t="n"/>
      <c r="H2665" s="56" t="n"/>
      <c r="I2665" s="56" t="n"/>
      <c r="J2665" s="58" t="n"/>
      <c r="K2665" s="58" t="n"/>
      <c r="L2665" s="13">
        <f>IF(OR($A2665="",AND($J2665="",$K2665="")),"",ROUND(N($J2665)-N($K2665),2))</f>
        <v/>
      </c>
      <c r="M2665" s="13">
        <f>IF(OR($A2665="",AND($J2665="",$K2665="")),"",MIN($J2665,$K2665))</f>
        <v/>
      </c>
      <c r="Q2665">
        <f>IF($A2665="","",$D2665&amp;"("&amp;SUBSTITUTE($E2665," ","")&amp;")")</f>
        <v/>
      </c>
      <c r="R2665">
        <f>IF($A2665="","",$B2665&amp;" - "&amp;$C2665)</f>
        <v/>
      </c>
      <c r="S2665">
        <f>IF($A2665="","",$R2665&amp;"|"&amp;$Q2665)</f>
        <v/>
      </c>
      <c r="T2665">
        <f>IF($A2665="","",$S2665&amp;"|"&amp;$F2665)</f>
        <v/>
      </c>
      <c r="U2665">
        <f>IF($A2665="","",$R2665&amp;"("&amp;$E2665&amp;")")</f>
        <v/>
      </c>
      <c r="V2665">
        <f>IF($A2665="","",$F2665&amp;"|"&amp;$U2665&amp;"|"&amp;$D2665)</f>
        <v/>
      </c>
      <c r="W2665">
        <f>IF($T2665="","",IF($X2665&gt;N($X2664),$X2665,""))</f>
        <v/>
      </c>
      <c r="X2665">
        <f>IF($T2665="",N($X2664),IF(MATCH($T2665,$T$6:$T$6005,0)=ROW()-5,N($X2664)+1,N($X2664)))</f>
        <v/>
      </c>
      <c r="Z2665">
        <f>IF($V2665="","",IF($AA2665&gt;N($AA2664),$AA2665,""))</f>
        <v/>
      </c>
      <c r="AA2665">
        <f>IF($V2665="",N($AA2664),IF(MATCH($V2665,$V$6:$V$6005,0)=ROW()-5,N($AA2664)+1,N($AA2664)))</f>
        <v/>
      </c>
    </row>
    <row r="2666" ht="21" customHeight="1" s="66">
      <c r="A2666" s="56" t="n"/>
      <c r="B2666" s="57" t="n"/>
      <c r="C2666" s="57" t="n"/>
      <c r="D2666" s="57" t="n"/>
      <c r="E2666" s="56" t="n"/>
      <c r="F2666" s="57" t="n"/>
      <c r="G2666" s="57" t="n"/>
      <c r="H2666" s="56" t="n"/>
      <c r="I2666" s="56" t="n"/>
      <c r="J2666" s="58" t="n"/>
      <c r="K2666" s="58" t="n"/>
      <c r="L2666" s="13">
        <f>IF(OR($A2666="",AND($J2666="",$K2666="")),"",ROUND(N($J2666)-N($K2666),2))</f>
        <v/>
      </c>
      <c r="M2666" s="13">
        <f>IF(OR($A2666="",AND($J2666="",$K2666="")),"",MIN($J2666,$K2666))</f>
        <v/>
      </c>
      <c r="Q2666">
        <f>IF($A2666="","",$D2666&amp;"("&amp;SUBSTITUTE($E2666," ","")&amp;")")</f>
        <v/>
      </c>
      <c r="R2666">
        <f>IF($A2666="","",$B2666&amp;" - "&amp;$C2666)</f>
        <v/>
      </c>
      <c r="S2666">
        <f>IF($A2666="","",$R2666&amp;"|"&amp;$Q2666)</f>
        <v/>
      </c>
      <c r="T2666">
        <f>IF($A2666="","",$S2666&amp;"|"&amp;$F2666)</f>
        <v/>
      </c>
      <c r="U2666">
        <f>IF($A2666="","",$R2666&amp;"("&amp;$E2666&amp;")")</f>
        <v/>
      </c>
      <c r="V2666">
        <f>IF($A2666="","",$F2666&amp;"|"&amp;$U2666&amp;"|"&amp;$D2666)</f>
        <v/>
      </c>
      <c r="W2666">
        <f>IF($T2666="","",IF($X2666&gt;N($X2665),$X2666,""))</f>
        <v/>
      </c>
      <c r="X2666">
        <f>IF($T2666="",N($X2665),IF(MATCH($T2666,$T$6:$T$6005,0)=ROW()-5,N($X2665)+1,N($X2665)))</f>
        <v/>
      </c>
      <c r="Z2666">
        <f>IF($V2666="","",IF($AA2666&gt;N($AA2665),$AA2666,""))</f>
        <v/>
      </c>
      <c r="AA2666">
        <f>IF($V2666="",N($AA2665),IF(MATCH($V2666,$V$6:$V$6005,0)=ROW()-5,N($AA2665)+1,N($AA2665)))</f>
        <v/>
      </c>
    </row>
    <row r="2667" ht="21" customHeight="1" s="66">
      <c r="A2667" s="56" t="n"/>
      <c r="B2667" s="57" t="n"/>
      <c r="C2667" s="57" t="n"/>
      <c r="D2667" s="57" t="n"/>
      <c r="E2667" s="56" t="n"/>
      <c r="F2667" s="57" t="n"/>
      <c r="G2667" s="57" t="n"/>
      <c r="H2667" s="56" t="n"/>
      <c r="I2667" s="56" t="n"/>
      <c r="J2667" s="58" t="n"/>
      <c r="K2667" s="58" t="n"/>
      <c r="L2667" s="13">
        <f>IF(OR($A2667="",AND($J2667="",$K2667="")),"",ROUND(N($J2667)-N($K2667),2))</f>
        <v/>
      </c>
      <c r="M2667" s="13">
        <f>IF(OR($A2667="",AND($J2667="",$K2667="")),"",MIN($J2667,$K2667))</f>
        <v/>
      </c>
      <c r="Q2667">
        <f>IF($A2667="","",$D2667&amp;"("&amp;SUBSTITUTE($E2667," ","")&amp;")")</f>
        <v/>
      </c>
      <c r="R2667">
        <f>IF($A2667="","",$B2667&amp;" - "&amp;$C2667)</f>
        <v/>
      </c>
      <c r="S2667">
        <f>IF($A2667="","",$R2667&amp;"|"&amp;$Q2667)</f>
        <v/>
      </c>
      <c r="T2667">
        <f>IF($A2667="","",$S2667&amp;"|"&amp;$F2667)</f>
        <v/>
      </c>
      <c r="U2667">
        <f>IF($A2667="","",$R2667&amp;"("&amp;$E2667&amp;")")</f>
        <v/>
      </c>
      <c r="V2667">
        <f>IF($A2667="","",$F2667&amp;"|"&amp;$U2667&amp;"|"&amp;$D2667)</f>
        <v/>
      </c>
      <c r="W2667">
        <f>IF($T2667="","",IF($X2667&gt;N($X2666),$X2667,""))</f>
        <v/>
      </c>
      <c r="X2667">
        <f>IF($T2667="",N($X2666),IF(MATCH($T2667,$T$6:$T$6005,0)=ROW()-5,N($X2666)+1,N($X2666)))</f>
        <v/>
      </c>
      <c r="Z2667">
        <f>IF($V2667="","",IF($AA2667&gt;N($AA2666),$AA2667,""))</f>
        <v/>
      </c>
      <c r="AA2667">
        <f>IF($V2667="",N($AA2666),IF(MATCH($V2667,$V$6:$V$6005,0)=ROW()-5,N($AA2666)+1,N($AA2666)))</f>
        <v/>
      </c>
    </row>
    <row r="2668" ht="21" customHeight="1" s="66">
      <c r="A2668" s="56" t="n"/>
      <c r="B2668" s="57" t="n"/>
      <c r="C2668" s="57" t="n"/>
      <c r="D2668" s="57" t="n"/>
      <c r="E2668" s="56" t="n"/>
      <c r="F2668" s="57" t="n"/>
      <c r="G2668" s="57" t="n"/>
      <c r="H2668" s="56" t="n"/>
      <c r="I2668" s="56" t="n"/>
      <c r="J2668" s="58" t="n"/>
      <c r="K2668" s="58" t="n"/>
      <c r="L2668" s="13">
        <f>IF(OR($A2668="",AND($J2668="",$K2668="")),"",ROUND(N($J2668)-N($K2668),2))</f>
        <v/>
      </c>
      <c r="M2668" s="13">
        <f>IF(OR($A2668="",AND($J2668="",$K2668="")),"",MIN($J2668,$K2668))</f>
        <v/>
      </c>
      <c r="Q2668">
        <f>IF($A2668="","",$D2668&amp;"("&amp;SUBSTITUTE($E2668," ","")&amp;")")</f>
        <v/>
      </c>
      <c r="R2668">
        <f>IF($A2668="","",$B2668&amp;" - "&amp;$C2668)</f>
        <v/>
      </c>
      <c r="S2668">
        <f>IF($A2668="","",$R2668&amp;"|"&amp;$Q2668)</f>
        <v/>
      </c>
      <c r="T2668">
        <f>IF($A2668="","",$S2668&amp;"|"&amp;$F2668)</f>
        <v/>
      </c>
      <c r="U2668">
        <f>IF($A2668="","",$R2668&amp;"("&amp;$E2668&amp;")")</f>
        <v/>
      </c>
      <c r="V2668">
        <f>IF($A2668="","",$F2668&amp;"|"&amp;$U2668&amp;"|"&amp;$D2668)</f>
        <v/>
      </c>
      <c r="W2668">
        <f>IF($T2668="","",IF($X2668&gt;N($X2667),$X2668,""))</f>
        <v/>
      </c>
      <c r="X2668">
        <f>IF($T2668="",N($X2667),IF(MATCH($T2668,$T$6:$T$6005,0)=ROW()-5,N($X2667)+1,N($X2667)))</f>
        <v/>
      </c>
      <c r="Z2668">
        <f>IF($V2668="","",IF($AA2668&gt;N($AA2667),$AA2668,""))</f>
        <v/>
      </c>
      <c r="AA2668">
        <f>IF($V2668="",N($AA2667),IF(MATCH($V2668,$V$6:$V$6005,0)=ROW()-5,N($AA2667)+1,N($AA2667)))</f>
        <v/>
      </c>
    </row>
    <row r="2669" ht="21" customHeight="1" s="66">
      <c r="A2669" s="56" t="n"/>
      <c r="B2669" s="57" t="n"/>
      <c r="C2669" s="57" t="n"/>
      <c r="D2669" s="57" t="n"/>
      <c r="E2669" s="56" t="n"/>
      <c r="F2669" s="57" t="n"/>
      <c r="G2669" s="57" t="n"/>
      <c r="H2669" s="56" t="n"/>
      <c r="I2669" s="56" t="n"/>
      <c r="J2669" s="58" t="n"/>
      <c r="K2669" s="58" t="n"/>
      <c r="L2669" s="13">
        <f>IF(OR($A2669="",AND($J2669="",$K2669="")),"",ROUND(N($J2669)-N($K2669),2))</f>
        <v/>
      </c>
      <c r="M2669" s="13">
        <f>IF(OR($A2669="",AND($J2669="",$K2669="")),"",MIN($J2669,$K2669))</f>
        <v/>
      </c>
      <c r="Q2669">
        <f>IF($A2669="","",$D2669&amp;"("&amp;SUBSTITUTE($E2669," ","")&amp;")")</f>
        <v/>
      </c>
      <c r="R2669">
        <f>IF($A2669="","",$B2669&amp;" - "&amp;$C2669)</f>
        <v/>
      </c>
      <c r="S2669">
        <f>IF($A2669="","",$R2669&amp;"|"&amp;$Q2669)</f>
        <v/>
      </c>
      <c r="T2669">
        <f>IF($A2669="","",$S2669&amp;"|"&amp;$F2669)</f>
        <v/>
      </c>
      <c r="U2669">
        <f>IF($A2669="","",$R2669&amp;"("&amp;$E2669&amp;")")</f>
        <v/>
      </c>
      <c r="V2669">
        <f>IF($A2669="","",$F2669&amp;"|"&amp;$U2669&amp;"|"&amp;$D2669)</f>
        <v/>
      </c>
      <c r="W2669">
        <f>IF($T2669="","",IF($X2669&gt;N($X2668),$X2669,""))</f>
        <v/>
      </c>
      <c r="X2669">
        <f>IF($T2669="",N($X2668),IF(MATCH($T2669,$T$6:$T$6005,0)=ROW()-5,N($X2668)+1,N($X2668)))</f>
        <v/>
      </c>
      <c r="Z2669">
        <f>IF($V2669="","",IF($AA2669&gt;N($AA2668),$AA2669,""))</f>
        <v/>
      </c>
      <c r="AA2669">
        <f>IF($V2669="",N($AA2668),IF(MATCH($V2669,$V$6:$V$6005,0)=ROW()-5,N($AA2668)+1,N($AA2668)))</f>
        <v/>
      </c>
    </row>
    <row r="2670" ht="21" customHeight="1" s="66">
      <c r="A2670" s="56" t="n"/>
      <c r="B2670" s="57" t="n"/>
      <c r="C2670" s="57" t="n"/>
      <c r="D2670" s="57" t="n"/>
      <c r="E2670" s="56" t="n"/>
      <c r="F2670" s="57" t="n"/>
      <c r="G2670" s="57" t="n"/>
      <c r="H2670" s="56" t="n"/>
      <c r="I2670" s="56" t="n"/>
      <c r="J2670" s="58" t="n"/>
      <c r="K2670" s="58" t="n"/>
      <c r="L2670" s="13">
        <f>IF(OR($A2670="",AND($J2670="",$K2670="")),"",ROUND(N($J2670)-N($K2670),2))</f>
        <v/>
      </c>
      <c r="M2670" s="13">
        <f>IF(OR($A2670="",AND($J2670="",$K2670="")),"",MIN($J2670,$K2670))</f>
        <v/>
      </c>
      <c r="Q2670">
        <f>IF($A2670="","",$D2670&amp;"("&amp;SUBSTITUTE($E2670," ","")&amp;")")</f>
        <v/>
      </c>
      <c r="R2670">
        <f>IF($A2670="","",$B2670&amp;" - "&amp;$C2670)</f>
        <v/>
      </c>
      <c r="S2670">
        <f>IF($A2670="","",$R2670&amp;"|"&amp;$Q2670)</f>
        <v/>
      </c>
      <c r="T2670">
        <f>IF($A2670="","",$S2670&amp;"|"&amp;$F2670)</f>
        <v/>
      </c>
      <c r="U2670">
        <f>IF($A2670="","",$R2670&amp;"("&amp;$E2670&amp;")")</f>
        <v/>
      </c>
      <c r="V2670">
        <f>IF($A2670="","",$F2670&amp;"|"&amp;$U2670&amp;"|"&amp;$D2670)</f>
        <v/>
      </c>
      <c r="W2670">
        <f>IF($T2670="","",IF($X2670&gt;N($X2669),$X2670,""))</f>
        <v/>
      </c>
      <c r="X2670">
        <f>IF($T2670="",N($X2669),IF(MATCH($T2670,$T$6:$T$6005,0)=ROW()-5,N($X2669)+1,N($X2669)))</f>
        <v/>
      </c>
      <c r="Z2670">
        <f>IF($V2670="","",IF($AA2670&gt;N($AA2669),$AA2670,""))</f>
        <v/>
      </c>
      <c r="AA2670">
        <f>IF($V2670="",N($AA2669),IF(MATCH($V2670,$V$6:$V$6005,0)=ROW()-5,N($AA2669)+1,N($AA2669)))</f>
        <v/>
      </c>
    </row>
    <row r="2671" ht="21" customHeight="1" s="66">
      <c r="A2671" s="56" t="n"/>
      <c r="B2671" s="57" t="n"/>
      <c r="C2671" s="57" t="n"/>
      <c r="D2671" s="57" t="n"/>
      <c r="E2671" s="56" t="n"/>
      <c r="F2671" s="57" t="n"/>
      <c r="G2671" s="57" t="n"/>
      <c r="H2671" s="56" t="n"/>
      <c r="I2671" s="56" t="n"/>
      <c r="J2671" s="58" t="n"/>
      <c r="K2671" s="58" t="n"/>
      <c r="L2671" s="13">
        <f>IF(OR($A2671="",AND($J2671="",$K2671="")),"",ROUND(N($J2671)-N($K2671),2))</f>
        <v/>
      </c>
      <c r="M2671" s="13">
        <f>IF(OR($A2671="",AND($J2671="",$K2671="")),"",MIN($J2671,$K2671))</f>
        <v/>
      </c>
      <c r="Q2671">
        <f>IF($A2671="","",$D2671&amp;"("&amp;SUBSTITUTE($E2671," ","")&amp;")")</f>
        <v/>
      </c>
      <c r="R2671">
        <f>IF($A2671="","",$B2671&amp;" - "&amp;$C2671)</f>
        <v/>
      </c>
      <c r="S2671">
        <f>IF($A2671="","",$R2671&amp;"|"&amp;$Q2671)</f>
        <v/>
      </c>
      <c r="T2671">
        <f>IF($A2671="","",$S2671&amp;"|"&amp;$F2671)</f>
        <v/>
      </c>
      <c r="U2671">
        <f>IF($A2671="","",$R2671&amp;"("&amp;$E2671&amp;")")</f>
        <v/>
      </c>
      <c r="V2671">
        <f>IF($A2671="","",$F2671&amp;"|"&amp;$U2671&amp;"|"&amp;$D2671)</f>
        <v/>
      </c>
      <c r="W2671">
        <f>IF($T2671="","",IF($X2671&gt;N($X2670),$X2671,""))</f>
        <v/>
      </c>
      <c r="X2671">
        <f>IF($T2671="",N($X2670),IF(MATCH($T2671,$T$6:$T$6005,0)=ROW()-5,N($X2670)+1,N($X2670)))</f>
        <v/>
      </c>
      <c r="Z2671">
        <f>IF($V2671="","",IF($AA2671&gt;N($AA2670),$AA2671,""))</f>
        <v/>
      </c>
      <c r="AA2671">
        <f>IF($V2671="",N($AA2670),IF(MATCH($V2671,$V$6:$V$6005,0)=ROW()-5,N($AA2670)+1,N($AA2670)))</f>
        <v/>
      </c>
    </row>
    <row r="2672" ht="21" customHeight="1" s="66">
      <c r="A2672" s="56" t="n"/>
      <c r="B2672" s="57" t="n"/>
      <c r="C2672" s="57" t="n"/>
      <c r="D2672" s="57" t="n"/>
      <c r="E2672" s="56" t="n"/>
      <c r="F2672" s="57" t="n"/>
      <c r="G2672" s="57" t="n"/>
      <c r="H2672" s="56" t="n"/>
      <c r="I2672" s="56" t="n"/>
      <c r="J2672" s="58" t="n"/>
      <c r="K2672" s="58" t="n"/>
      <c r="L2672" s="13">
        <f>IF(OR($A2672="",AND($J2672="",$K2672="")),"",ROUND(N($J2672)-N($K2672),2))</f>
        <v/>
      </c>
      <c r="M2672" s="13">
        <f>IF(OR($A2672="",AND($J2672="",$K2672="")),"",MIN($J2672,$K2672))</f>
        <v/>
      </c>
      <c r="Q2672">
        <f>IF($A2672="","",$D2672&amp;"("&amp;SUBSTITUTE($E2672," ","")&amp;")")</f>
        <v/>
      </c>
      <c r="R2672">
        <f>IF($A2672="","",$B2672&amp;" - "&amp;$C2672)</f>
        <v/>
      </c>
      <c r="S2672">
        <f>IF($A2672="","",$R2672&amp;"|"&amp;$Q2672)</f>
        <v/>
      </c>
      <c r="T2672">
        <f>IF($A2672="","",$S2672&amp;"|"&amp;$F2672)</f>
        <v/>
      </c>
      <c r="U2672">
        <f>IF($A2672="","",$R2672&amp;"("&amp;$E2672&amp;")")</f>
        <v/>
      </c>
      <c r="V2672">
        <f>IF($A2672="","",$F2672&amp;"|"&amp;$U2672&amp;"|"&amp;$D2672)</f>
        <v/>
      </c>
      <c r="W2672">
        <f>IF($T2672="","",IF($X2672&gt;N($X2671),$X2672,""))</f>
        <v/>
      </c>
      <c r="X2672">
        <f>IF($T2672="",N($X2671),IF(MATCH($T2672,$T$6:$T$6005,0)=ROW()-5,N($X2671)+1,N($X2671)))</f>
        <v/>
      </c>
      <c r="Z2672">
        <f>IF($V2672="","",IF($AA2672&gt;N($AA2671),$AA2672,""))</f>
        <v/>
      </c>
      <c r="AA2672">
        <f>IF($V2672="",N($AA2671),IF(MATCH($V2672,$V$6:$V$6005,0)=ROW()-5,N($AA2671)+1,N($AA2671)))</f>
        <v/>
      </c>
    </row>
    <row r="2673" ht="21" customHeight="1" s="66">
      <c r="A2673" s="56" t="n"/>
      <c r="B2673" s="57" t="n"/>
      <c r="C2673" s="57" t="n"/>
      <c r="D2673" s="57" t="n"/>
      <c r="E2673" s="56" t="n"/>
      <c r="F2673" s="57" t="n"/>
      <c r="G2673" s="57" t="n"/>
      <c r="H2673" s="56" t="n"/>
      <c r="I2673" s="56" t="n"/>
      <c r="J2673" s="58" t="n"/>
      <c r="K2673" s="58" t="n"/>
      <c r="L2673" s="13">
        <f>IF(OR($A2673="",AND($J2673="",$K2673="")),"",ROUND(N($J2673)-N($K2673),2))</f>
        <v/>
      </c>
      <c r="M2673" s="13">
        <f>IF(OR($A2673="",AND($J2673="",$K2673="")),"",MIN($J2673,$K2673))</f>
        <v/>
      </c>
      <c r="Q2673">
        <f>IF($A2673="","",$D2673&amp;"("&amp;SUBSTITUTE($E2673," ","")&amp;")")</f>
        <v/>
      </c>
      <c r="R2673">
        <f>IF($A2673="","",$B2673&amp;" - "&amp;$C2673)</f>
        <v/>
      </c>
      <c r="S2673">
        <f>IF($A2673="","",$R2673&amp;"|"&amp;$Q2673)</f>
        <v/>
      </c>
      <c r="T2673">
        <f>IF($A2673="","",$S2673&amp;"|"&amp;$F2673)</f>
        <v/>
      </c>
      <c r="U2673">
        <f>IF($A2673="","",$R2673&amp;"("&amp;$E2673&amp;")")</f>
        <v/>
      </c>
      <c r="V2673">
        <f>IF($A2673="","",$F2673&amp;"|"&amp;$U2673&amp;"|"&amp;$D2673)</f>
        <v/>
      </c>
      <c r="W2673">
        <f>IF($T2673="","",IF($X2673&gt;N($X2672),$X2673,""))</f>
        <v/>
      </c>
      <c r="X2673">
        <f>IF($T2673="",N($X2672),IF(MATCH($T2673,$T$6:$T$6005,0)=ROW()-5,N($X2672)+1,N($X2672)))</f>
        <v/>
      </c>
      <c r="Z2673">
        <f>IF($V2673="","",IF($AA2673&gt;N($AA2672),$AA2673,""))</f>
        <v/>
      </c>
      <c r="AA2673">
        <f>IF($V2673="",N($AA2672),IF(MATCH($V2673,$V$6:$V$6005,0)=ROW()-5,N($AA2672)+1,N($AA2672)))</f>
        <v/>
      </c>
    </row>
    <row r="2674" ht="21" customHeight="1" s="66">
      <c r="A2674" s="56" t="n"/>
      <c r="B2674" s="57" t="n"/>
      <c r="C2674" s="57" t="n"/>
      <c r="D2674" s="57" t="n"/>
      <c r="E2674" s="56" t="n"/>
      <c r="F2674" s="57" t="n"/>
      <c r="G2674" s="57" t="n"/>
      <c r="H2674" s="56" t="n"/>
      <c r="I2674" s="56" t="n"/>
      <c r="J2674" s="58" t="n"/>
      <c r="K2674" s="58" t="n"/>
      <c r="L2674" s="13">
        <f>IF(OR($A2674="",AND($J2674="",$K2674="")),"",ROUND(N($J2674)-N($K2674),2))</f>
        <v/>
      </c>
      <c r="M2674" s="13">
        <f>IF(OR($A2674="",AND($J2674="",$K2674="")),"",MIN($J2674,$K2674))</f>
        <v/>
      </c>
      <c r="Q2674">
        <f>IF($A2674="","",$D2674&amp;"("&amp;SUBSTITUTE($E2674," ","")&amp;")")</f>
        <v/>
      </c>
      <c r="R2674">
        <f>IF($A2674="","",$B2674&amp;" - "&amp;$C2674)</f>
        <v/>
      </c>
      <c r="S2674">
        <f>IF($A2674="","",$R2674&amp;"|"&amp;$Q2674)</f>
        <v/>
      </c>
      <c r="T2674">
        <f>IF($A2674="","",$S2674&amp;"|"&amp;$F2674)</f>
        <v/>
      </c>
      <c r="U2674">
        <f>IF($A2674="","",$R2674&amp;"("&amp;$E2674&amp;")")</f>
        <v/>
      </c>
      <c r="V2674">
        <f>IF($A2674="","",$F2674&amp;"|"&amp;$U2674&amp;"|"&amp;$D2674)</f>
        <v/>
      </c>
      <c r="W2674">
        <f>IF($T2674="","",IF($X2674&gt;N($X2673),$X2674,""))</f>
        <v/>
      </c>
      <c r="X2674">
        <f>IF($T2674="",N($X2673),IF(MATCH($T2674,$T$6:$T$6005,0)=ROW()-5,N($X2673)+1,N($X2673)))</f>
        <v/>
      </c>
      <c r="Z2674">
        <f>IF($V2674="","",IF($AA2674&gt;N($AA2673),$AA2674,""))</f>
        <v/>
      </c>
      <c r="AA2674">
        <f>IF($V2674="",N($AA2673),IF(MATCH($V2674,$V$6:$V$6005,0)=ROW()-5,N($AA2673)+1,N($AA2673)))</f>
        <v/>
      </c>
    </row>
    <row r="2675" ht="21" customHeight="1" s="66">
      <c r="A2675" s="56" t="n"/>
      <c r="B2675" s="57" t="n"/>
      <c r="C2675" s="57" t="n"/>
      <c r="D2675" s="57" t="n"/>
      <c r="E2675" s="56" t="n"/>
      <c r="F2675" s="57" t="n"/>
      <c r="G2675" s="57" t="n"/>
      <c r="H2675" s="56" t="n"/>
      <c r="I2675" s="56" t="n"/>
      <c r="J2675" s="58" t="n"/>
      <c r="K2675" s="58" t="n"/>
      <c r="L2675" s="13">
        <f>IF(OR($A2675="",AND($J2675="",$K2675="")),"",ROUND(N($J2675)-N($K2675),2))</f>
        <v/>
      </c>
      <c r="M2675" s="13">
        <f>IF(OR($A2675="",AND($J2675="",$K2675="")),"",MIN($J2675,$K2675))</f>
        <v/>
      </c>
      <c r="Q2675">
        <f>IF($A2675="","",$D2675&amp;"("&amp;SUBSTITUTE($E2675," ","")&amp;")")</f>
        <v/>
      </c>
      <c r="R2675">
        <f>IF($A2675="","",$B2675&amp;" - "&amp;$C2675)</f>
        <v/>
      </c>
      <c r="S2675">
        <f>IF($A2675="","",$R2675&amp;"|"&amp;$Q2675)</f>
        <v/>
      </c>
      <c r="T2675">
        <f>IF($A2675="","",$S2675&amp;"|"&amp;$F2675)</f>
        <v/>
      </c>
      <c r="U2675">
        <f>IF($A2675="","",$R2675&amp;"("&amp;$E2675&amp;")")</f>
        <v/>
      </c>
      <c r="V2675">
        <f>IF($A2675="","",$F2675&amp;"|"&amp;$U2675&amp;"|"&amp;$D2675)</f>
        <v/>
      </c>
      <c r="W2675">
        <f>IF($T2675="","",IF($X2675&gt;N($X2674),$X2675,""))</f>
        <v/>
      </c>
      <c r="X2675">
        <f>IF($T2675="",N($X2674),IF(MATCH($T2675,$T$6:$T$6005,0)=ROW()-5,N($X2674)+1,N($X2674)))</f>
        <v/>
      </c>
      <c r="Z2675">
        <f>IF($V2675="","",IF($AA2675&gt;N($AA2674),$AA2675,""))</f>
        <v/>
      </c>
      <c r="AA2675">
        <f>IF($V2675="",N($AA2674),IF(MATCH($V2675,$V$6:$V$6005,0)=ROW()-5,N($AA2674)+1,N($AA2674)))</f>
        <v/>
      </c>
    </row>
    <row r="2676" ht="21" customHeight="1" s="66">
      <c r="A2676" s="56" t="n"/>
      <c r="B2676" s="57" t="n"/>
      <c r="C2676" s="57" t="n"/>
      <c r="D2676" s="57" t="n"/>
      <c r="E2676" s="56" t="n"/>
      <c r="F2676" s="57" t="n"/>
      <c r="G2676" s="57" t="n"/>
      <c r="H2676" s="56" t="n"/>
      <c r="I2676" s="56" t="n"/>
      <c r="J2676" s="58" t="n"/>
      <c r="K2676" s="58" t="n"/>
      <c r="L2676" s="13">
        <f>IF(OR($A2676="",AND($J2676="",$K2676="")),"",ROUND(N($J2676)-N($K2676),2))</f>
        <v/>
      </c>
      <c r="M2676" s="13">
        <f>IF(OR($A2676="",AND($J2676="",$K2676="")),"",MIN($J2676,$K2676))</f>
        <v/>
      </c>
      <c r="Q2676">
        <f>IF($A2676="","",$D2676&amp;"("&amp;SUBSTITUTE($E2676," ","")&amp;")")</f>
        <v/>
      </c>
      <c r="R2676">
        <f>IF($A2676="","",$B2676&amp;" - "&amp;$C2676)</f>
        <v/>
      </c>
      <c r="S2676">
        <f>IF($A2676="","",$R2676&amp;"|"&amp;$Q2676)</f>
        <v/>
      </c>
      <c r="T2676">
        <f>IF($A2676="","",$S2676&amp;"|"&amp;$F2676)</f>
        <v/>
      </c>
      <c r="U2676">
        <f>IF($A2676="","",$R2676&amp;"("&amp;$E2676&amp;")")</f>
        <v/>
      </c>
      <c r="V2676">
        <f>IF($A2676="","",$F2676&amp;"|"&amp;$U2676&amp;"|"&amp;$D2676)</f>
        <v/>
      </c>
      <c r="W2676">
        <f>IF($T2676="","",IF($X2676&gt;N($X2675),$X2676,""))</f>
        <v/>
      </c>
      <c r="X2676">
        <f>IF($T2676="",N($X2675),IF(MATCH($T2676,$T$6:$T$6005,0)=ROW()-5,N($X2675)+1,N($X2675)))</f>
        <v/>
      </c>
      <c r="Z2676">
        <f>IF($V2676="","",IF($AA2676&gt;N($AA2675),$AA2676,""))</f>
        <v/>
      </c>
      <c r="AA2676">
        <f>IF($V2676="",N($AA2675),IF(MATCH($V2676,$V$6:$V$6005,0)=ROW()-5,N($AA2675)+1,N($AA2675)))</f>
        <v/>
      </c>
    </row>
    <row r="2677" ht="21" customHeight="1" s="66">
      <c r="A2677" s="56" t="n"/>
      <c r="B2677" s="57" t="n"/>
      <c r="C2677" s="57" t="n"/>
      <c r="D2677" s="57" t="n"/>
      <c r="E2677" s="56" t="n"/>
      <c r="F2677" s="57" t="n"/>
      <c r="G2677" s="57" t="n"/>
      <c r="H2677" s="56" t="n"/>
      <c r="I2677" s="56" t="n"/>
      <c r="J2677" s="58" t="n"/>
      <c r="K2677" s="58" t="n"/>
      <c r="L2677" s="13">
        <f>IF(OR($A2677="",AND($J2677="",$K2677="")),"",ROUND(N($J2677)-N($K2677),2))</f>
        <v/>
      </c>
      <c r="M2677" s="13">
        <f>IF(OR($A2677="",AND($J2677="",$K2677="")),"",MIN($J2677,$K2677))</f>
        <v/>
      </c>
      <c r="Q2677">
        <f>IF($A2677="","",$D2677&amp;"("&amp;SUBSTITUTE($E2677," ","")&amp;")")</f>
        <v/>
      </c>
      <c r="R2677">
        <f>IF($A2677="","",$B2677&amp;" - "&amp;$C2677)</f>
        <v/>
      </c>
      <c r="S2677">
        <f>IF($A2677="","",$R2677&amp;"|"&amp;$Q2677)</f>
        <v/>
      </c>
      <c r="T2677">
        <f>IF($A2677="","",$S2677&amp;"|"&amp;$F2677)</f>
        <v/>
      </c>
      <c r="U2677">
        <f>IF($A2677="","",$R2677&amp;"("&amp;$E2677&amp;")")</f>
        <v/>
      </c>
      <c r="V2677">
        <f>IF($A2677="","",$F2677&amp;"|"&amp;$U2677&amp;"|"&amp;$D2677)</f>
        <v/>
      </c>
      <c r="W2677">
        <f>IF($T2677="","",IF($X2677&gt;N($X2676),$X2677,""))</f>
        <v/>
      </c>
      <c r="X2677">
        <f>IF($T2677="",N($X2676),IF(MATCH($T2677,$T$6:$T$6005,0)=ROW()-5,N($X2676)+1,N($X2676)))</f>
        <v/>
      </c>
      <c r="Z2677">
        <f>IF($V2677="","",IF($AA2677&gt;N($AA2676),$AA2677,""))</f>
        <v/>
      </c>
      <c r="AA2677">
        <f>IF($V2677="",N($AA2676),IF(MATCH($V2677,$V$6:$V$6005,0)=ROW()-5,N($AA2676)+1,N($AA2676)))</f>
        <v/>
      </c>
    </row>
    <row r="2678" ht="21" customHeight="1" s="66">
      <c r="A2678" s="56" t="n"/>
      <c r="B2678" s="57" t="n"/>
      <c r="C2678" s="57" t="n"/>
      <c r="D2678" s="57" t="n"/>
      <c r="E2678" s="56" t="n"/>
      <c r="F2678" s="57" t="n"/>
      <c r="G2678" s="57" t="n"/>
      <c r="H2678" s="56" t="n"/>
      <c r="I2678" s="56" t="n"/>
      <c r="J2678" s="58" t="n"/>
      <c r="K2678" s="58" t="n"/>
      <c r="L2678" s="13">
        <f>IF(OR($A2678="",AND($J2678="",$K2678="")),"",ROUND(N($J2678)-N($K2678),2))</f>
        <v/>
      </c>
      <c r="M2678" s="13">
        <f>IF(OR($A2678="",AND($J2678="",$K2678="")),"",MIN($J2678,$K2678))</f>
        <v/>
      </c>
      <c r="Q2678">
        <f>IF($A2678="","",$D2678&amp;"("&amp;SUBSTITUTE($E2678," ","")&amp;")")</f>
        <v/>
      </c>
      <c r="R2678">
        <f>IF($A2678="","",$B2678&amp;" - "&amp;$C2678)</f>
        <v/>
      </c>
      <c r="S2678">
        <f>IF($A2678="","",$R2678&amp;"|"&amp;$Q2678)</f>
        <v/>
      </c>
      <c r="T2678">
        <f>IF($A2678="","",$S2678&amp;"|"&amp;$F2678)</f>
        <v/>
      </c>
      <c r="U2678">
        <f>IF($A2678="","",$R2678&amp;"("&amp;$E2678&amp;")")</f>
        <v/>
      </c>
      <c r="V2678">
        <f>IF($A2678="","",$F2678&amp;"|"&amp;$U2678&amp;"|"&amp;$D2678)</f>
        <v/>
      </c>
      <c r="W2678">
        <f>IF($T2678="","",IF($X2678&gt;N($X2677),$X2678,""))</f>
        <v/>
      </c>
      <c r="X2678">
        <f>IF($T2678="",N($X2677),IF(MATCH($T2678,$T$6:$T$6005,0)=ROW()-5,N($X2677)+1,N($X2677)))</f>
        <v/>
      </c>
      <c r="Z2678">
        <f>IF($V2678="","",IF($AA2678&gt;N($AA2677),$AA2678,""))</f>
        <v/>
      </c>
      <c r="AA2678">
        <f>IF($V2678="",N($AA2677),IF(MATCH($V2678,$V$6:$V$6005,0)=ROW()-5,N($AA2677)+1,N($AA2677)))</f>
        <v/>
      </c>
    </row>
    <row r="2679" ht="21" customHeight="1" s="66">
      <c r="A2679" s="56" t="n"/>
      <c r="B2679" s="57" t="n"/>
      <c r="C2679" s="57" t="n"/>
      <c r="D2679" s="57" t="n"/>
      <c r="E2679" s="56" t="n"/>
      <c r="F2679" s="57" t="n"/>
      <c r="G2679" s="57" t="n"/>
      <c r="H2679" s="56" t="n"/>
      <c r="I2679" s="56" t="n"/>
      <c r="J2679" s="58" t="n"/>
      <c r="K2679" s="58" t="n"/>
      <c r="L2679" s="13">
        <f>IF(OR($A2679="",AND($J2679="",$K2679="")),"",ROUND(N($J2679)-N($K2679),2))</f>
        <v/>
      </c>
      <c r="M2679" s="13">
        <f>IF(OR($A2679="",AND($J2679="",$K2679="")),"",MIN($J2679,$K2679))</f>
        <v/>
      </c>
      <c r="Q2679">
        <f>IF($A2679="","",$D2679&amp;"("&amp;SUBSTITUTE($E2679," ","")&amp;")")</f>
        <v/>
      </c>
      <c r="R2679">
        <f>IF($A2679="","",$B2679&amp;" - "&amp;$C2679)</f>
        <v/>
      </c>
      <c r="S2679">
        <f>IF($A2679="","",$R2679&amp;"|"&amp;$Q2679)</f>
        <v/>
      </c>
      <c r="T2679">
        <f>IF($A2679="","",$S2679&amp;"|"&amp;$F2679)</f>
        <v/>
      </c>
      <c r="U2679">
        <f>IF($A2679="","",$R2679&amp;"("&amp;$E2679&amp;")")</f>
        <v/>
      </c>
      <c r="V2679">
        <f>IF($A2679="","",$F2679&amp;"|"&amp;$U2679&amp;"|"&amp;$D2679)</f>
        <v/>
      </c>
      <c r="W2679">
        <f>IF($T2679="","",IF($X2679&gt;N($X2678),$X2679,""))</f>
        <v/>
      </c>
      <c r="X2679">
        <f>IF($T2679="",N($X2678),IF(MATCH($T2679,$T$6:$T$6005,0)=ROW()-5,N($X2678)+1,N($X2678)))</f>
        <v/>
      </c>
      <c r="Z2679">
        <f>IF($V2679="","",IF($AA2679&gt;N($AA2678),$AA2679,""))</f>
        <v/>
      </c>
      <c r="AA2679">
        <f>IF($V2679="",N($AA2678),IF(MATCH($V2679,$V$6:$V$6005,0)=ROW()-5,N($AA2678)+1,N($AA2678)))</f>
        <v/>
      </c>
    </row>
    <row r="2680" ht="21" customHeight="1" s="66">
      <c r="A2680" s="56" t="n"/>
      <c r="B2680" s="57" t="n"/>
      <c r="C2680" s="57" t="n"/>
      <c r="D2680" s="57" t="n"/>
      <c r="E2680" s="56" t="n"/>
      <c r="F2680" s="57" t="n"/>
      <c r="G2680" s="57" t="n"/>
      <c r="H2680" s="56" t="n"/>
      <c r="I2680" s="56" t="n"/>
      <c r="J2680" s="58" t="n"/>
      <c r="K2680" s="58" t="n"/>
      <c r="L2680" s="13">
        <f>IF(OR($A2680="",AND($J2680="",$K2680="")),"",ROUND(N($J2680)-N($K2680),2))</f>
        <v/>
      </c>
      <c r="M2680" s="13">
        <f>IF(OR($A2680="",AND($J2680="",$K2680="")),"",MIN($J2680,$K2680))</f>
        <v/>
      </c>
      <c r="Q2680">
        <f>IF($A2680="","",$D2680&amp;"("&amp;SUBSTITUTE($E2680," ","")&amp;")")</f>
        <v/>
      </c>
      <c r="R2680">
        <f>IF($A2680="","",$B2680&amp;" - "&amp;$C2680)</f>
        <v/>
      </c>
      <c r="S2680">
        <f>IF($A2680="","",$R2680&amp;"|"&amp;$Q2680)</f>
        <v/>
      </c>
      <c r="T2680">
        <f>IF($A2680="","",$S2680&amp;"|"&amp;$F2680)</f>
        <v/>
      </c>
      <c r="U2680">
        <f>IF($A2680="","",$R2680&amp;"("&amp;$E2680&amp;")")</f>
        <v/>
      </c>
      <c r="V2680">
        <f>IF($A2680="","",$F2680&amp;"|"&amp;$U2680&amp;"|"&amp;$D2680)</f>
        <v/>
      </c>
      <c r="W2680">
        <f>IF($T2680="","",IF($X2680&gt;N($X2679),$X2680,""))</f>
        <v/>
      </c>
      <c r="X2680">
        <f>IF($T2680="",N($X2679),IF(MATCH($T2680,$T$6:$T$6005,0)=ROW()-5,N($X2679)+1,N($X2679)))</f>
        <v/>
      </c>
      <c r="Z2680">
        <f>IF($V2680="","",IF($AA2680&gt;N($AA2679),$AA2680,""))</f>
        <v/>
      </c>
      <c r="AA2680">
        <f>IF($V2680="",N($AA2679),IF(MATCH($V2680,$V$6:$V$6005,0)=ROW()-5,N($AA2679)+1,N($AA2679)))</f>
        <v/>
      </c>
    </row>
    <row r="2681" ht="21" customHeight="1" s="66">
      <c r="A2681" s="56" t="n"/>
      <c r="B2681" s="57" t="n"/>
      <c r="C2681" s="57" t="n"/>
      <c r="D2681" s="57" t="n"/>
      <c r="E2681" s="56" t="n"/>
      <c r="F2681" s="57" t="n"/>
      <c r="G2681" s="57" t="n"/>
      <c r="H2681" s="56" t="n"/>
      <c r="I2681" s="56" t="n"/>
      <c r="J2681" s="58" t="n"/>
      <c r="K2681" s="58" t="n"/>
      <c r="L2681" s="13">
        <f>IF(OR($A2681="",AND($J2681="",$K2681="")),"",ROUND(N($J2681)-N($K2681),2))</f>
        <v/>
      </c>
      <c r="M2681" s="13">
        <f>IF(OR($A2681="",AND($J2681="",$K2681="")),"",MIN($J2681,$K2681))</f>
        <v/>
      </c>
      <c r="Q2681">
        <f>IF($A2681="","",$D2681&amp;"("&amp;SUBSTITUTE($E2681," ","")&amp;")")</f>
        <v/>
      </c>
      <c r="R2681">
        <f>IF($A2681="","",$B2681&amp;" - "&amp;$C2681)</f>
        <v/>
      </c>
      <c r="S2681">
        <f>IF($A2681="","",$R2681&amp;"|"&amp;$Q2681)</f>
        <v/>
      </c>
      <c r="T2681">
        <f>IF($A2681="","",$S2681&amp;"|"&amp;$F2681)</f>
        <v/>
      </c>
      <c r="U2681">
        <f>IF($A2681="","",$R2681&amp;"("&amp;$E2681&amp;")")</f>
        <v/>
      </c>
      <c r="V2681">
        <f>IF($A2681="","",$F2681&amp;"|"&amp;$U2681&amp;"|"&amp;$D2681)</f>
        <v/>
      </c>
      <c r="W2681">
        <f>IF($T2681="","",IF($X2681&gt;N($X2680),$X2681,""))</f>
        <v/>
      </c>
      <c r="X2681">
        <f>IF($T2681="",N($X2680),IF(MATCH($T2681,$T$6:$T$6005,0)=ROW()-5,N($X2680)+1,N($X2680)))</f>
        <v/>
      </c>
      <c r="Z2681">
        <f>IF($V2681="","",IF($AA2681&gt;N($AA2680),$AA2681,""))</f>
        <v/>
      </c>
      <c r="AA2681">
        <f>IF($V2681="",N($AA2680),IF(MATCH($V2681,$V$6:$V$6005,0)=ROW()-5,N($AA2680)+1,N($AA2680)))</f>
        <v/>
      </c>
    </row>
    <row r="2682" ht="21" customHeight="1" s="66">
      <c r="A2682" s="56" t="n"/>
      <c r="B2682" s="57" t="n"/>
      <c r="C2682" s="57" t="n"/>
      <c r="D2682" s="57" t="n"/>
      <c r="E2682" s="56" t="n"/>
      <c r="F2682" s="57" t="n"/>
      <c r="G2682" s="57" t="n"/>
      <c r="H2682" s="56" t="n"/>
      <c r="I2682" s="56" t="n"/>
      <c r="J2682" s="58" t="n"/>
      <c r="K2682" s="58" t="n"/>
      <c r="L2682" s="13">
        <f>IF(OR($A2682="",AND($J2682="",$K2682="")),"",ROUND(N($J2682)-N($K2682),2))</f>
        <v/>
      </c>
      <c r="M2682" s="13">
        <f>IF(OR($A2682="",AND($J2682="",$K2682="")),"",MIN($J2682,$K2682))</f>
        <v/>
      </c>
      <c r="Q2682">
        <f>IF($A2682="","",$D2682&amp;"("&amp;SUBSTITUTE($E2682," ","")&amp;")")</f>
        <v/>
      </c>
      <c r="R2682">
        <f>IF($A2682="","",$B2682&amp;" - "&amp;$C2682)</f>
        <v/>
      </c>
      <c r="S2682">
        <f>IF($A2682="","",$R2682&amp;"|"&amp;$Q2682)</f>
        <v/>
      </c>
      <c r="T2682">
        <f>IF($A2682="","",$S2682&amp;"|"&amp;$F2682)</f>
        <v/>
      </c>
      <c r="U2682">
        <f>IF($A2682="","",$R2682&amp;"("&amp;$E2682&amp;")")</f>
        <v/>
      </c>
      <c r="V2682">
        <f>IF($A2682="","",$F2682&amp;"|"&amp;$U2682&amp;"|"&amp;$D2682)</f>
        <v/>
      </c>
      <c r="W2682">
        <f>IF($T2682="","",IF($X2682&gt;N($X2681),$X2682,""))</f>
        <v/>
      </c>
      <c r="X2682">
        <f>IF($T2682="",N($X2681),IF(MATCH($T2682,$T$6:$T$6005,0)=ROW()-5,N($X2681)+1,N($X2681)))</f>
        <v/>
      </c>
      <c r="Z2682">
        <f>IF($V2682="","",IF($AA2682&gt;N($AA2681),$AA2682,""))</f>
        <v/>
      </c>
      <c r="AA2682">
        <f>IF($V2682="",N($AA2681),IF(MATCH($V2682,$V$6:$V$6005,0)=ROW()-5,N($AA2681)+1,N($AA2681)))</f>
        <v/>
      </c>
    </row>
    <row r="2683" ht="21" customHeight="1" s="66">
      <c r="A2683" s="56" t="n"/>
      <c r="B2683" s="57" t="n"/>
      <c r="C2683" s="57" t="n"/>
      <c r="D2683" s="57" t="n"/>
      <c r="E2683" s="56" t="n"/>
      <c r="F2683" s="57" t="n"/>
      <c r="G2683" s="57" t="n"/>
      <c r="H2683" s="56" t="n"/>
      <c r="I2683" s="56" t="n"/>
      <c r="J2683" s="58" t="n"/>
      <c r="K2683" s="58" t="n"/>
      <c r="L2683" s="13">
        <f>IF(OR($A2683="",AND($J2683="",$K2683="")),"",ROUND(N($J2683)-N($K2683),2))</f>
        <v/>
      </c>
      <c r="M2683" s="13">
        <f>IF(OR($A2683="",AND($J2683="",$K2683="")),"",MIN($J2683,$K2683))</f>
        <v/>
      </c>
      <c r="Q2683">
        <f>IF($A2683="","",$D2683&amp;"("&amp;SUBSTITUTE($E2683," ","")&amp;")")</f>
        <v/>
      </c>
      <c r="R2683">
        <f>IF($A2683="","",$B2683&amp;" - "&amp;$C2683)</f>
        <v/>
      </c>
      <c r="S2683">
        <f>IF($A2683="","",$R2683&amp;"|"&amp;$Q2683)</f>
        <v/>
      </c>
      <c r="T2683">
        <f>IF($A2683="","",$S2683&amp;"|"&amp;$F2683)</f>
        <v/>
      </c>
      <c r="U2683">
        <f>IF($A2683="","",$R2683&amp;"("&amp;$E2683&amp;")")</f>
        <v/>
      </c>
      <c r="V2683">
        <f>IF($A2683="","",$F2683&amp;"|"&amp;$U2683&amp;"|"&amp;$D2683)</f>
        <v/>
      </c>
      <c r="W2683">
        <f>IF($T2683="","",IF($X2683&gt;N($X2682),$X2683,""))</f>
        <v/>
      </c>
      <c r="X2683">
        <f>IF($T2683="",N($X2682),IF(MATCH($T2683,$T$6:$T$6005,0)=ROW()-5,N($X2682)+1,N($X2682)))</f>
        <v/>
      </c>
      <c r="Z2683">
        <f>IF($V2683="","",IF($AA2683&gt;N($AA2682),$AA2683,""))</f>
        <v/>
      </c>
      <c r="AA2683">
        <f>IF($V2683="",N($AA2682),IF(MATCH($V2683,$V$6:$V$6005,0)=ROW()-5,N($AA2682)+1,N($AA2682)))</f>
        <v/>
      </c>
    </row>
    <row r="2684" ht="21" customHeight="1" s="66">
      <c r="A2684" s="56" t="n"/>
      <c r="B2684" s="57" t="n"/>
      <c r="C2684" s="57" t="n"/>
      <c r="D2684" s="57" t="n"/>
      <c r="E2684" s="56" t="n"/>
      <c r="F2684" s="57" t="n"/>
      <c r="G2684" s="57" t="n"/>
      <c r="H2684" s="56" t="n"/>
      <c r="I2684" s="56" t="n"/>
      <c r="J2684" s="58" t="n"/>
      <c r="K2684" s="58" t="n"/>
      <c r="L2684" s="13">
        <f>IF(OR($A2684="",AND($J2684="",$K2684="")),"",ROUND(N($J2684)-N($K2684),2))</f>
        <v/>
      </c>
      <c r="M2684" s="13">
        <f>IF(OR($A2684="",AND($J2684="",$K2684="")),"",MIN($J2684,$K2684))</f>
        <v/>
      </c>
      <c r="Q2684">
        <f>IF($A2684="","",$D2684&amp;"("&amp;SUBSTITUTE($E2684," ","")&amp;")")</f>
        <v/>
      </c>
      <c r="R2684">
        <f>IF($A2684="","",$B2684&amp;" - "&amp;$C2684)</f>
        <v/>
      </c>
      <c r="S2684">
        <f>IF($A2684="","",$R2684&amp;"|"&amp;$Q2684)</f>
        <v/>
      </c>
      <c r="T2684">
        <f>IF($A2684="","",$S2684&amp;"|"&amp;$F2684)</f>
        <v/>
      </c>
      <c r="U2684">
        <f>IF($A2684="","",$R2684&amp;"("&amp;$E2684&amp;")")</f>
        <v/>
      </c>
      <c r="V2684">
        <f>IF($A2684="","",$F2684&amp;"|"&amp;$U2684&amp;"|"&amp;$D2684)</f>
        <v/>
      </c>
      <c r="W2684">
        <f>IF($T2684="","",IF($X2684&gt;N($X2683),$X2684,""))</f>
        <v/>
      </c>
      <c r="X2684">
        <f>IF($T2684="",N($X2683),IF(MATCH($T2684,$T$6:$T$6005,0)=ROW()-5,N($X2683)+1,N($X2683)))</f>
        <v/>
      </c>
      <c r="Z2684">
        <f>IF($V2684="","",IF($AA2684&gt;N($AA2683),$AA2684,""))</f>
        <v/>
      </c>
      <c r="AA2684">
        <f>IF($V2684="",N($AA2683),IF(MATCH($V2684,$V$6:$V$6005,0)=ROW()-5,N($AA2683)+1,N($AA2683)))</f>
        <v/>
      </c>
    </row>
    <row r="2685" ht="21" customHeight="1" s="66">
      <c r="A2685" s="56" t="n"/>
      <c r="B2685" s="57" t="n"/>
      <c r="C2685" s="57" t="n"/>
      <c r="D2685" s="57" t="n"/>
      <c r="E2685" s="56" t="n"/>
      <c r="F2685" s="57" t="n"/>
      <c r="G2685" s="57" t="n"/>
      <c r="H2685" s="56" t="n"/>
      <c r="I2685" s="56" t="n"/>
      <c r="J2685" s="58" t="n"/>
      <c r="K2685" s="58" t="n"/>
      <c r="L2685" s="13">
        <f>IF(OR($A2685="",AND($J2685="",$K2685="")),"",ROUND(N($J2685)-N($K2685),2))</f>
        <v/>
      </c>
      <c r="M2685" s="13">
        <f>IF(OR($A2685="",AND($J2685="",$K2685="")),"",MIN($J2685,$K2685))</f>
        <v/>
      </c>
      <c r="Q2685">
        <f>IF($A2685="","",$D2685&amp;"("&amp;SUBSTITUTE($E2685," ","")&amp;")")</f>
        <v/>
      </c>
      <c r="R2685">
        <f>IF($A2685="","",$B2685&amp;" - "&amp;$C2685)</f>
        <v/>
      </c>
      <c r="S2685">
        <f>IF($A2685="","",$R2685&amp;"|"&amp;$Q2685)</f>
        <v/>
      </c>
      <c r="T2685">
        <f>IF($A2685="","",$S2685&amp;"|"&amp;$F2685)</f>
        <v/>
      </c>
      <c r="U2685">
        <f>IF($A2685="","",$R2685&amp;"("&amp;$E2685&amp;")")</f>
        <v/>
      </c>
      <c r="V2685">
        <f>IF($A2685="","",$F2685&amp;"|"&amp;$U2685&amp;"|"&amp;$D2685)</f>
        <v/>
      </c>
      <c r="W2685">
        <f>IF($T2685="","",IF($X2685&gt;N($X2684),$X2685,""))</f>
        <v/>
      </c>
      <c r="X2685">
        <f>IF($T2685="",N($X2684),IF(MATCH($T2685,$T$6:$T$6005,0)=ROW()-5,N($X2684)+1,N($X2684)))</f>
        <v/>
      </c>
      <c r="Z2685">
        <f>IF($V2685="","",IF($AA2685&gt;N($AA2684),$AA2685,""))</f>
        <v/>
      </c>
      <c r="AA2685">
        <f>IF($V2685="",N($AA2684),IF(MATCH($V2685,$V$6:$V$6005,0)=ROW()-5,N($AA2684)+1,N($AA2684)))</f>
        <v/>
      </c>
    </row>
    <row r="2686" ht="21" customHeight="1" s="66">
      <c r="A2686" s="56" t="n"/>
      <c r="B2686" s="57" t="n"/>
      <c r="C2686" s="57" t="n"/>
      <c r="D2686" s="57" t="n"/>
      <c r="E2686" s="56" t="n"/>
      <c r="F2686" s="57" t="n"/>
      <c r="G2686" s="57" t="n"/>
      <c r="H2686" s="56" t="n"/>
      <c r="I2686" s="56" t="n"/>
      <c r="J2686" s="58" t="n"/>
      <c r="K2686" s="58" t="n"/>
      <c r="L2686" s="13">
        <f>IF(OR($A2686="",AND($J2686="",$K2686="")),"",ROUND(N($J2686)-N($K2686),2))</f>
        <v/>
      </c>
      <c r="M2686" s="13">
        <f>IF(OR($A2686="",AND($J2686="",$K2686="")),"",MIN($J2686,$K2686))</f>
        <v/>
      </c>
      <c r="Q2686">
        <f>IF($A2686="","",$D2686&amp;"("&amp;SUBSTITUTE($E2686," ","")&amp;")")</f>
        <v/>
      </c>
      <c r="R2686">
        <f>IF($A2686="","",$B2686&amp;" - "&amp;$C2686)</f>
        <v/>
      </c>
      <c r="S2686">
        <f>IF($A2686="","",$R2686&amp;"|"&amp;$Q2686)</f>
        <v/>
      </c>
      <c r="T2686">
        <f>IF($A2686="","",$S2686&amp;"|"&amp;$F2686)</f>
        <v/>
      </c>
      <c r="U2686">
        <f>IF($A2686="","",$R2686&amp;"("&amp;$E2686&amp;")")</f>
        <v/>
      </c>
      <c r="V2686">
        <f>IF($A2686="","",$F2686&amp;"|"&amp;$U2686&amp;"|"&amp;$D2686)</f>
        <v/>
      </c>
      <c r="W2686">
        <f>IF($T2686="","",IF($X2686&gt;N($X2685),$X2686,""))</f>
        <v/>
      </c>
      <c r="X2686">
        <f>IF($T2686="",N($X2685),IF(MATCH($T2686,$T$6:$T$6005,0)=ROW()-5,N($X2685)+1,N($X2685)))</f>
        <v/>
      </c>
      <c r="Z2686">
        <f>IF($V2686="","",IF($AA2686&gt;N($AA2685),$AA2686,""))</f>
        <v/>
      </c>
      <c r="AA2686">
        <f>IF($V2686="",N($AA2685),IF(MATCH($V2686,$V$6:$V$6005,0)=ROW()-5,N($AA2685)+1,N($AA2685)))</f>
        <v/>
      </c>
    </row>
    <row r="2687" ht="21" customHeight="1" s="66">
      <c r="A2687" s="56" t="n"/>
      <c r="B2687" s="57" t="n"/>
      <c r="C2687" s="57" t="n"/>
      <c r="D2687" s="57" t="n"/>
      <c r="E2687" s="56" t="n"/>
      <c r="F2687" s="57" t="n"/>
      <c r="G2687" s="57" t="n"/>
      <c r="H2687" s="56" t="n"/>
      <c r="I2687" s="56" t="n"/>
      <c r="J2687" s="58" t="n"/>
      <c r="K2687" s="58" t="n"/>
      <c r="L2687" s="13">
        <f>IF(OR($A2687="",AND($J2687="",$K2687="")),"",ROUND(N($J2687)-N($K2687),2))</f>
        <v/>
      </c>
      <c r="M2687" s="13">
        <f>IF(OR($A2687="",AND($J2687="",$K2687="")),"",MIN($J2687,$K2687))</f>
        <v/>
      </c>
      <c r="Q2687">
        <f>IF($A2687="","",$D2687&amp;"("&amp;SUBSTITUTE($E2687," ","")&amp;")")</f>
        <v/>
      </c>
      <c r="R2687">
        <f>IF($A2687="","",$B2687&amp;" - "&amp;$C2687)</f>
        <v/>
      </c>
      <c r="S2687">
        <f>IF($A2687="","",$R2687&amp;"|"&amp;$Q2687)</f>
        <v/>
      </c>
      <c r="T2687">
        <f>IF($A2687="","",$S2687&amp;"|"&amp;$F2687)</f>
        <v/>
      </c>
      <c r="U2687">
        <f>IF($A2687="","",$R2687&amp;"("&amp;$E2687&amp;")")</f>
        <v/>
      </c>
      <c r="V2687">
        <f>IF($A2687="","",$F2687&amp;"|"&amp;$U2687&amp;"|"&amp;$D2687)</f>
        <v/>
      </c>
      <c r="W2687">
        <f>IF($T2687="","",IF($X2687&gt;N($X2686),$X2687,""))</f>
        <v/>
      </c>
      <c r="X2687">
        <f>IF($T2687="",N($X2686),IF(MATCH($T2687,$T$6:$T$6005,0)=ROW()-5,N($X2686)+1,N($X2686)))</f>
        <v/>
      </c>
      <c r="Z2687">
        <f>IF($V2687="","",IF($AA2687&gt;N($AA2686),$AA2687,""))</f>
        <v/>
      </c>
      <c r="AA2687">
        <f>IF($V2687="",N($AA2686),IF(MATCH($V2687,$V$6:$V$6005,0)=ROW()-5,N($AA2686)+1,N($AA2686)))</f>
        <v/>
      </c>
    </row>
    <row r="2688" ht="21" customHeight="1" s="66">
      <c r="A2688" s="56" t="n"/>
      <c r="B2688" s="57" t="n"/>
      <c r="C2688" s="57" t="n"/>
      <c r="D2688" s="57" t="n"/>
      <c r="E2688" s="56" t="n"/>
      <c r="F2688" s="57" t="n"/>
      <c r="G2688" s="57" t="n"/>
      <c r="H2688" s="56" t="n"/>
      <c r="I2688" s="56" t="n"/>
      <c r="J2688" s="58" t="n"/>
      <c r="K2688" s="58" t="n"/>
      <c r="L2688" s="13">
        <f>IF(OR($A2688="",AND($J2688="",$K2688="")),"",ROUND(N($J2688)-N($K2688),2))</f>
        <v/>
      </c>
      <c r="M2688" s="13">
        <f>IF(OR($A2688="",AND($J2688="",$K2688="")),"",MIN($J2688,$K2688))</f>
        <v/>
      </c>
      <c r="Q2688">
        <f>IF($A2688="","",$D2688&amp;"("&amp;SUBSTITUTE($E2688," ","")&amp;")")</f>
        <v/>
      </c>
      <c r="R2688">
        <f>IF($A2688="","",$B2688&amp;" - "&amp;$C2688)</f>
        <v/>
      </c>
      <c r="S2688">
        <f>IF($A2688="","",$R2688&amp;"|"&amp;$Q2688)</f>
        <v/>
      </c>
      <c r="T2688">
        <f>IF($A2688="","",$S2688&amp;"|"&amp;$F2688)</f>
        <v/>
      </c>
      <c r="U2688">
        <f>IF($A2688="","",$R2688&amp;"("&amp;$E2688&amp;")")</f>
        <v/>
      </c>
      <c r="V2688">
        <f>IF($A2688="","",$F2688&amp;"|"&amp;$U2688&amp;"|"&amp;$D2688)</f>
        <v/>
      </c>
      <c r="W2688">
        <f>IF($T2688="","",IF($X2688&gt;N($X2687),$X2688,""))</f>
        <v/>
      </c>
      <c r="X2688">
        <f>IF($T2688="",N($X2687),IF(MATCH($T2688,$T$6:$T$6005,0)=ROW()-5,N($X2687)+1,N($X2687)))</f>
        <v/>
      </c>
      <c r="Z2688">
        <f>IF($V2688="","",IF($AA2688&gt;N($AA2687),$AA2688,""))</f>
        <v/>
      </c>
      <c r="AA2688">
        <f>IF($V2688="",N($AA2687),IF(MATCH($V2688,$V$6:$V$6005,0)=ROW()-5,N($AA2687)+1,N($AA2687)))</f>
        <v/>
      </c>
    </row>
    <row r="2689" ht="21" customHeight="1" s="66">
      <c r="A2689" s="56" t="n"/>
      <c r="B2689" s="57" t="n"/>
      <c r="C2689" s="57" t="n"/>
      <c r="D2689" s="57" t="n"/>
      <c r="E2689" s="56" t="n"/>
      <c r="F2689" s="57" t="n"/>
      <c r="G2689" s="57" t="n"/>
      <c r="H2689" s="56" t="n"/>
      <c r="I2689" s="56" t="n"/>
      <c r="J2689" s="58" t="n"/>
      <c r="K2689" s="58" t="n"/>
      <c r="L2689" s="13">
        <f>IF(OR($A2689="",AND($J2689="",$K2689="")),"",ROUND(N($J2689)-N($K2689),2))</f>
        <v/>
      </c>
      <c r="M2689" s="13">
        <f>IF(OR($A2689="",AND($J2689="",$K2689="")),"",MIN($J2689,$K2689))</f>
        <v/>
      </c>
      <c r="Q2689">
        <f>IF($A2689="","",$D2689&amp;"("&amp;SUBSTITUTE($E2689," ","")&amp;")")</f>
        <v/>
      </c>
      <c r="R2689">
        <f>IF($A2689="","",$B2689&amp;" - "&amp;$C2689)</f>
        <v/>
      </c>
      <c r="S2689">
        <f>IF($A2689="","",$R2689&amp;"|"&amp;$Q2689)</f>
        <v/>
      </c>
      <c r="T2689">
        <f>IF($A2689="","",$S2689&amp;"|"&amp;$F2689)</f>
        <v/>
      </c>
      <c r="U2689">
        <f>IF($A2689="","",$R2689&amp;"("&amp;$E2689&amp;")")</f>
        <v/>
      </c>
      <c r="V2689">
        <f>IF($A2689="","",$F2689&amp;"|"&amp;$U2689&amp;"|"&amp;$D2689)</f>
        <v/>
      </c>
      <c r="W2689">
        <f>IF($T2689="","",IF($X2689&gt;N($X2688),$X2689,""))</f>
        <v/>
      </c>
      <c r="X2689">
        <f>IF($T2689="",N($X2688),IF(MATCH($T2689,$T$6:$T$6005,0)=ROW()-5,N($X2688)+1,N($X2688)))</f>
        <v/>
      </c>
      <c r="Z2689">
        <f>IF($V2689="","",IF($AA2689&gt;N($AA2688),$AA2689,""))</f>
        <v/>
      </c>
      <c r="AA2689">
        <f>IF($V2689="",N($AA2688),IF(MATCH($V2689,$V$6:$V$6005,0)=ROW()-5,N($AA2688)+1,N($AA2688)))</f>
        <v/>
      </c>
    </row>
    <row r="2690" ht="21" customHeight="1" s="66">
      <c r="A2690" s="56" t="n"/>
      <c r="B2690" s="57" t="n"/>
      <c r="C2690" s="57" t="n"/>
      <c r="D2690" s="57" t="n"/>
      <c r="E2690" s="56" t="n"/>
      <c r="F2690" s="57" t="n"/>
      <c r="G2690" s="57" t="n"/>
      <c r="H2690" s="56" t="n"/>
      <c r="I2690" s="56" t="n"/>
      <c r="J2690" s="58" t="n"/>
      <c r="K2690" s="58" t="n"/>
      <c r="L2690" s="13">
        <f>IF(OR($A2690="",AND($J2690="",$K2690="")),"",ROUND(N($J2690)-N($K2690),2))</f>
        <v/>
      </c>
      <c r="M2690" s="13">
        <f>IF(OR($A2690="",AND($J2690="",$K2690="")),"",MIN($J2690,$K2690))</f>
        <v/>
      </c>
      <c r="Q2690">
        <f>IF($A2690="","",$D2690&amp;"("&amp;SUBSTITUTE($E2690," ","")&amp;")")</f>
        <v/>
      </c>
      <c r="R2690">
        <f>IF($A2690="","",$B2690&amp;" - "&amp;$C2690)</f>
        <v/>
      </c>
      <c r="S2690">
        <f>IF($A2690="","",$R2690&amp;"|"&amp;$Q2690)</f>
        <v/>
      </c>
      <c r="T2690">
        <f>IF($A2690="","",$S2690&amp;"|"&amp;$F2690)</f>
        <v/>
      </c>
      <c r="U2690">
        <f>IF($A2690="","",$R2690&amp;"("&amp;$E2690&amp;")")</f>
        <v/>
      </c>
      <c r="V2690">
        <f>IF($A2690="","",$F2690&amp;"|"&amp;$U2690&amp;"|"&amp;$D2690)</f>
        <v/>
      </c>
      <c r="W2690">
        <f>IF($T2690="","",IF($X2690&gt;N($X2689),$X2690,""))</f>
        <v/>
      </c>
      <c r="X2690">
        <f>IF($T2690="",N($X2689),IF(MATCH($T2690,$T$6:$T$6005,0)=ROW()-5,N($X2689)+1,N($X2689)))</f>
        <v/>
      </c>
      <c r="Z2690">
        <f>IF($V2690="","",IF($AA2690&gt;N($AA2689),$AA2690,""))</f>
        <v/>
      </c>
      <c r="AA2690">
        <f>IF($V2690="",N($AA2689),IF(MATCH($V2690,$V$6:$V$6005,0)=ROW()-5,N($AA2689)+1,N($AA2689)))</f>
        <v/>
      </c>
    </row>
    <row r="2691" ht="21" customHeight="1" s="66">
      <c r="A2691" s="56" t="n"/>
      <c r="B2691" s="57" t="n"/>
      <c r="C2691" s="57" t="n"/>
      <c r="D2691" s="57" t="n"/>
      <c r="E2691" s="56" t="n"/>
      <c r="F2691" s="57" t="n"/>
      <c r="G2691" s="57" t="n"/>
      <c r="H2691" s="56" t="n"/>
      <c r="I2691" s="56" t="n"/>
      <c r="J2691" s="58" t="n"/>
      <c r="K2691" s="58" t="n"/>
      <c r="L2691" s="13">
        <f>IF(OR($A2691="",AND($J2691="",$K2691="")),"",ROUND(N($J2691)-N($K2691),2))</f>
        <v/>
      </c>
      <c r="M2691" s="13">
        <f>IF(OR($A2691="",AND($J2691="",$K2691="")),"",MIN($J2691,$K2691))</f>
        <v/>
      </c>
      <c r="Q2691">
        <f>IF($A2691="","",$D2691&amp;"("&amp;SUBSTITUTE($E2691," ","")&amp;")")</f>
        <v/>
      </c>
      <c r="R2691">
        <f>IF($A2691="","",$B2691&amp;" - "&amp;$C2691)</f>
        <v/>
      </c>
      <c r="S2691">
        <f>IF($A2691="","",$R2691&amp;"|"&amp;$Q2691)</f>
        <v/>
      </c>
      <c r="T2691">
        <f>IF($A2691="","",$S2691&amp;"|"&amp;$F2691)</f>
        <v/>
      </c>
      <c r="U2691">
        <f>IF($A2691="","",$R2691&amp;"("&amp;$E2691&amp;")")</f>
        <v/>
      </c>
      <c r="V2691">
        <f>IF($A2691="","",$F2691&amp;"|"&amp;$U2691&amp;"|"&amp;$D2691)</f>
        <v/>
      </c>
      <c r="W2691">
        <f>IF($T2691="","",IF($X2691&gt;N($X2690),$X2691,""))</f>
        <v/>
      </c>
      <c r="X2691">
        <f>IF($T2691="",N($X2690),IF(MATCH($T2691,$T$6:$T$6005,0)=ROW()-5,N($X2690)+1,N($X2690)))</f>
        <v/>
      </c>
      <c r="Z2691">
        <f>IF($V2691="","",IF($AA2691&gt;N($AA2690),$AA2691,""))</f>
        <v/>
      </c>
      <c r="AA2691">
        <f>IF($V2691="",N($AA2690),IF(MATCH($V2691,$V$6:$V$6005,0)=ROW()-5,N($AA2690)+1,N($AA2690)))</f>
        <v/>
      </c>
    </row>
    <row r="2692" ht="21" customHeight="1" s="66">
      <c r="A2692" s="56" t="n"/>
      <c r="B2692" s="57" t="n"/>
      <c r="C2692" s="57" t="n"/>
      <c r="D2692" s="57" t="n"/>
      <c r="E2692" s="56" t="n"/>
      <c r="F2692" s="57" t="n"/>
      <c r="G2692" s="57" t="n"/>
      <c r="H2692" s="56" t="n"/>
      <c r="I2692" s="56" t="n"/>
      <c r="J2692" s="58" t="n"/>
      <c r="K2692" s="58" t="n"/>
      <c r="L2692" s="13">
        <f>IF(OR($A2692="",AND($J2692="",$K2692="")),"",ROUND(N($J2692)-N($K2692),2))</f>
        <v/>
      </c>
      <c r="M2692" s="13">
        <f>IF(OR($A2692="",AND($J2692="",$K2692="")),"",MIN($J2692,$K2692))</f>
        <v/>
      </c>
      <c r="Q2692">
        <f>IF($A2692="","",$D2692&amp;"("&amp;SUBSTITUTE($E2692," ","")&amp;")")</f>
        <v/>
      </c>
      <c r="R2692">
        <f>IF($A2692="","",$B2692&amp;" - "&amp;$C2692)</f>
        <v/>
      </c>
      <c r="S2692">
        <f>IF($A2692="","",$R2692&amp;"|"&amp;$Q2692)</f>
        <v/>
      </c>
      <c r="T2692">
        <f>IF($A2692="","",$S2692&amp;"|"&amp;$F2692)</f>
        <v/>
      </c>
      <c r="U2692">
        <f>IF($A2692="","",$R2692&amp;"("&amp;$E2692&amp;")")</f>
        <v/>
      </c>
      <c r="V2692">
        <f>IF($A2692="","",$F2692&amp;"|"&amp;$U2692&amp;"|"&amp;$D2692)</f>
        <v/>
      </c>
      <c r="W2692">
        <f>IF($T2692="","",IF($X2692&gt;N($X2691),$X2692,""))</f>
        <v/>
      </c>
      <c r="X2692">
        <f>IF($T2692="",N($X2691),IF(MATCH($T2692,$T$6:$T$6005,0)=ROW()-5,N($X2691)+1,N($X2691)))</f>
        <v/>
      </c>
      <c r="Z2692">
        <f>IF($V2692="","",IF($AA2692&gt;N($AA2691),$AA2692,""))</f>
        <v/>
      </c>
      <c r="AA2692">
        <f>IF($V2692="",N($AA2691),IF(MATCH($V2692,$V$6:$V$6005,0)=ROW()-5,N($AA2691)+1,N($AA2691)))</f>
        <v/>
      </c>
    </row>
    <row r="2693" ht="21" customHeight="1" s="66">
      <c r="A2693" s="56" t="n"/>
      <c r="B2693" s="57" t="n"/>
      <c r="C2693" s="57" t="n"/>
      <c r="D2693" s="57" t="n"/>
      <c r="E2693" s="56" t="n"/>
      <c r="F2693" s="57" t="n"/>
      <c r="G2693" s="57" t="n"/>
      <c r="H2693" s="56" t="n"/>
      <c r="I2693" s="56" t="n"/>
      <c r="J2693" s="58" t="n"/>
      <c r="K2693" s="58" t="n"/>
      <c r="L2693" s="13">
        <f>IF(OR($A2693="",AND($J2693="",$K2693="")),"",ROUND(N($J2693)-N($K2693),2))</f>
        <v/>
      </c>
      <c r="M2693" s="13">
        <f>IF(OR($A2693="",AND($J2693="",$K2693="")),"",MIN($J2693,$K2693))</f>
        <v/>
      </c>
      <c r="Q2693">
        <f>IF($A2693="","",$D2693&amp;"("&amp;SUBSTITUTE($E2693," ","")&amp;")")</f>
        <v/>
      </c>
      <c r="R2693">
        <f>IF($A2693="","",$B2693&amp;" - "&amp;$C2693)</f>
        <v/>
      </c>
      <c r="S2693">
        <f>IF($A2693="","",$R2693&amp;"|"&amp;$Q2693)</f>
        <v/>
      </c>
      <c r="T2693">
        <f>IF($A2693="","",$S2693&amp;"|"&amp;$F2693)</f>
        <v/>
      </c>
      <c r="U2693">
        <f>IF($A2693="","",$R2693&amp;"("&amp;$E2693&amp;")")</f>
        <v/>
      </c>
      <c r="V2693">
        <f>IF($A2693="","",$F2693&amp;"|"&amp;$U2693&amp;"|"&amp;$D2693)</f>
        <v/>
      </c>
      <c r="W2693">
        <f>IF($T2693="","",IF($X2693&gt;N($X2692),$X2693,""))</f>
        <v/>
      </c>
      <c r="X2693">
        <f>IF($T2693="",N($X2692),IF(MATCH($T2693,$T$6:$T$6005,0)=ROW()-5,N($X2692)+1,N($X2692)))</f>
        <v/>
      </c>
      <c r="Z2693">
        <f>IF($V2693="","",IF($AA2693&gt;N($AA2692),$AA2693,""))</f>
        <v/>
      </c>
      <c r="AA2693">
        <f>IF($V2693="",N($AA2692),IF(MATCH($V2693,$V$6:$V$6005,0)=ROW()-5,N($AA2692)+1,N($AA2692)))</f>
        <v/>
      </c>
    </row>
    <row r="2694" ht="21" customHeight="1" s="66">
      <c r="A2694" s="56" t="n"/>
      <c r="B2694" s="57" t="n"/>
      <c r="C2694" s="57" t="n"/>
      <c r="D2694" s="57" t="n"/>
      <c r="E2694" s="56" t="n"/>
      <c r="F2694" s="57" t="n"/>
      <c r="G2694" s="57" t="n"/>
      <c r="H2694" s="56" t="n"/>
      <c r="I2694" s="56" t="n"/>
      <c r="J2694" s="58" t="n"/>
      <c r="K2694" s="58" t="n"/>
      <c r="L2694" s="13">
        <f>IF(OR($A2694="",AND($J2694="",$K2694="")),"",ROUND(N($J2694)-N($K2694),2))</f>
        <v/>
      </c>
      <c r="M2694" s="13">
        <f>IF(OR($A2694="",AND($J2694="",$K2694="")),"",MIN($J2694,$K2694))</f>
        <v/>
      </c>
      <c r="Q2694">
        <f>IF($A2694="","",$D2694&amp;"("&amp;SUBSTITUTE($E2694," ","")&amp;")")</f>
        <v/>
      </c>
      <c r="R2694">
        <f>IF($A2694="","",$B2694&amp;" - "&amp;$C2694)</f>
        <v/>
      </c>
      <c r="S2694">
        <f>IF($A2694="","",$R2694&amp;"|"&amp;$Q2694)</f>
        <v/>
      </c>
      <c r="T2694">
        <f>IF($A2694="","",$S2694&amp;"|"&amp;$F2694)</f>
        <v/>
      </c>
      <c r="U2694">
        <f>IF($A2694="","",$R2694&amp;"("&amp;$E2694&amp;")")</f>
        <v/>
      </c>
      <c r="V2694">
        <f>IF($A2694="","",$F2694&amp;"|"&amp;$U2694&amp;"|"&amp;$D2694)</f>
        <v/>
      </c>
      <c r="W2694">
        <f>IF($T2694="","",IF($X2694&gt;N($X2693),$X2694,""))</f>
        <v/>
      </c>
      <c r="X2694">
        <f>IF($T2694="",N($X2693),IF(MATCH($T2694,$T$6:$T$6005,0)=ROW()-5,N($X2693)+1,N($X2693)))</f>
        <v/>
      </c>
      <c r="Z2694">
        <f>IF($V2694="","",IF($AA2694&gt;N($AA2693),$AA2694,""))</f>
        <v/>
      </c>
      <c r="AA2694">
        <f>IF($V2694="",N($AA2693),IF(MATCH($V2694,$V$6:$V$6005,0)=ROW()-5,N($AA2693)+1,N($AA2693)))</f>
        <v/>
      </c>
    </row>
    <row r="2695" ht="21" customHeight="1" s="66">
      <c r="A2695" s="56" t="n"/>
      <c r="B2695" s="57" t="n"/>
      <c r="C2695" s="57" t="n"/>
      <c r="D2695" s="57" t="n"/>
      <c r="E2695" s="56" t="n"/>
      <c r="F2695" s="57" t="n"/>
      <c r="G2695" s="57" t="n"/>
      <c r="H2695" s="56" t="n"/>
      <c r="I2695" s="56" t="n"/>
      <c r="J2695" s="58" t="n"/>
      <c r="K2695" s="58" t="n"/>
      <c r="L2695" s="13">
        <f>IF(OR($A2695="",AND($J2695="",$K2695="")),"",ROUND(N($J2695)-N($K2695),2))</f>
        <v/>
      </c>
      <c r="M2695" s="13">
        <f>IF(OR($A2695="",AND($J2695="",$K2695="")),"",MIN($J2695,$K2695))</f>
        <v/>
      </c>
      <c r="Q2695">
        <f>IF($A2695="","",$D2695&amp;"("&amp;SUBSTITUTE($E2695," ","")&amp;")")</f>
        <v/>
      </c>
      <c r="R2695">
        <f>IF($A2695="","",$B2695&amp;" - "&amp;$C2695)</f>
        <v/>
      </c>
      <c r="S2695">
        <f>IF($A2695="","",$R2695&amp;"|"&amp;$Q2695)</f>
        <v/>
      </c>
      <c r="T2695">
        <f>IF($A2695="","",$S2695&amp;"|"&amp;$F2695)</f>
        <v/>
      </c>
      <c r="U2695">
        <f>IF($A2695="","",$R2695&amp;"("&amp;$E2695&amp;")")</f>
        <v/>
      </c>
      <c r="V2695">
        <f>IF($A2695="","",$F2695&amp;"|"&amp;$U2695&amp;"|"&amp;$D2695)</f>
        <v/>
      </c>
      <c r="W2695">
        <f>IF($T2695="","",IF($X2695&gt;N($X2694),$X2695,""))</f>
        <v/>
      </c>
      <c r="X2695">
        <f>IF($T2695="",N($X2694),IF(MATCH($T2695,$T$6:$T$6005,0)=ROW()-5,N($X2694)+1,N($X2694)))</f>
        <v/>
      </c>
      <c r="Z2695">
        <f>IF($V2695="","",IF($AA2695&gt;N($AA2694),$AA2695,""))</f>
        <v/>
      </c>
      <c r="AA2695">
        <f>IF($V2695="",N($AA2694),IF(MATCH($V2695,$V$6:$V$6005,0)=ROW()-5,N($AA2694)+1,N($AA2694)))</f>
        <v/>
      </c>
    </row>
    <row r="2696" ht="21" customHeight="1" s="66">
      <c r="A2696" s="56" t="n"/>
      <c r="B2696" s="57" t="n"/>
      <c r="C2696" s="57" t="n"/>
      <c r="D2696" s="57" t="n"/>
      <c r="E2696" s="56" t="n"/>
      <c r="F2696" s="57" t="n"/>
      <c r="G2696" s="57" t="n"/>
      <c r="H2696" s="56" t="n"/>
      <c r="I2696" s="56" t="n"/>
      <c r="J2696" s="58" t="n"/>
      <c r="K2696" s="58" t="n"/>
      <c r="L2696" s="13">
        <f>IF(OR($A2696="",AND($J2696="",$K2696="")),"",ROUND(N($J2696)-N($K2696),2))</f>
        <v/>
      </c>
      <c r="M2696" s="13">
        <f>IF(OR($A2696="",AND($J2696="",$K2696="")),"",MIN($J2696,$K2696))</f>
        <v/>
      </c>
      <c r="Q2696">
        <f>IF($A2696="","",$D2696&amp;"("&amp;SUBSTITUTE($E2696," ","")&amp;")")</f>
        <v/>
      </c>
      <c r="R2696">
        <f>IF($A2696="","",$B2696&amp;" - "&amp;$C2696)</f>
        <v/>
      </c>
      <c r="S2696">
        <f>IF($A2696="","",$R2696&amp;"|"&amp;$Q2696)</f>
        <v/>
      </c>
      <c r="T2696">
        <f>IF($A2696="","",$S2696&amp;"|"&amp;$F2696)</f>
        <v/>
      </c>
      <c r="U2696">
        <f>IF($A2696="","",$R2696&amp;"("&amp;$E2696&amp;")")</f>
        <v/>
      </c>
      <c r="V2696">
        <f>IF($A2696="","",$F2696&amp;"|"&amp;$U2696&amp;"|"&amp;$D2696)</f>
        <v/>
      </c>
      <c r="W2696">
        <f>IF($T2696="","",IF($X2696&gt;N($X2695),$X2696,""))</f>
        <v/>
      </c>
      <c r="X2696">
        <f>IF($T2696="",N($X2695),IF(MATCH($T2696,$T$6:$T$6005,0)=ROW()-5,N($X2695)+1,N($X2695)))</f>
        <v/>
      </c>
      <c r="Z2696">
        <f>IF($V2696="","",IF($AA2696&gt;N($AA2695),$AA2696,""))</f>
        <v/>
      </c>
      <c r="AA2696">
        <f>IF($V2696="",N($AA2695),IF(MATCH($V2696,$V$6:$V$6005,0)=ROW()-5,N($AA2695)+1,N($AA2695)))</f>
        <v/>
      </c>
    </row>
    <row r="2697" ht="21" customHeight="1" s="66">
      <c r="A2697" s="56" t="n"/>
      <c r="B2697" s="57" t="n"/>
      <c r="C2697" s="57" t="n"/>
      <c r="D2697" s="57" t="n"/>
      <c r="E2697" s="56" t="n"/>
      <c r="F2697" s="57" t="n"/>
      <c r="G2697" s="57" t="n"/>
      <c r="H2697" s="56" t="n"/>
      <c r="I2697" s="56" t="n"/>
      <c r="J2697" s="58" t="n"/>
      <c r="K2697" s="58" t="n"/>
      <c r="L2697" s="13">
        <f>IF(OR($A2697="",AND($J2697="",$K2697="")),"",ROUND(N($J2697)-N($K2697),2))</f>
        <v/>
      </c>
      <c r="M2697" s="13">
        <f>IF(OR($A2697="",AND($J2697="",$K2697="")),"",MIN($J2697,$K2697))</f>
        <v/>
      </c>
      <c r="Q2697">
        <f>IF($A2697="","",$D2697&amp;"("&amp;SUBSTITUTE($E2697," ","")&amp;")")</f>
        <v/>
      </c>
      <c r="R2697">
        <f>IF($A2697="","",$B2697&amp;" - "&amp;$C2697)</f>
        <v/>
      </c>
      <c r="S2697">
        <f>IF($A2697="","",$R2697&amp;"|"&amp;$Q2697)</f>
        <v/>
      </c>
      <c r="T2697">
        <f>IF($A2697="","",$S2697&amp;"|"&amp;$F2697)</f>
        <v/>
      </c>
      <c r="U2697">
        <f>IF($A2697="","",$R2697&amp;"("&amp;$E2697&amp;")")</f>
        <v/>
      </c>
      <c r="V2697">
        <f>IF($A2697="","",$F2697&amp;"|"&amp;$U2697&amp;"|"&amp;$D2697)</f>
        <v/>
      </c>
      <c r="W2697">
        <f>IF($T2697="","",IF($X2697&gt;N($X2696),$X2697,""))</f>
        <v/>
      </c>
      <c r="X2697">
        <f>IF($T2697="",N($X2696),IF(MATCH($T2697,$T$6:$T$6005,0)=ROW()-5,N($X2696)+1,N($X2696)))</f>
        <v/>
      </c>
      <c r="Z2697">
        <f>IF($V2697="","",IF($AA2697&gt;N($AA2696),$AA2697,""))</f>
        <v/>
      </c>
      <c r="AA2697">
        <f>IF($V2697="",N($AA2696),IF(MATCH($V2697,$V$6:$V$6005,0)=ROW()-5,N($AA2696)+1,N($AA2696)))</f>
        <v/>
      </c>
    </row>
    <row r="2698" ht="21" customHeight="1" s="66">
      <c r="A2698" s="56" t="n"/>
      <c r="B2698" s="57" t="n"/>
      <c r="C2698" s="57" t="n"/>
      <c r="D2698" s="57" t="n"/>
      <c r="E2698" s="56" t="n"/>
      <c r="F2698" s="57" t="n"/>
      <c r="G2698" s="57" t="n"/>
      <c r="H2698" s="56" t="n"/>
      <c r="I2698" s="56" t="n"/>
      <c r="J2698" s="58" t="n"/>
      <c r="K2698" s="58" t="n"/>
      <c r="L2698" s="13">
        <f>IF(OR($A2698="",AND($J2698="",$K2698="")),"",ROUND(N($J2698)-N($K2698),2))</f>
        <v/>
      </c>
      <c r="M2698" s="13">
        <f>IF(OR($A2698="",AND($J2698="",$K2698="")),"",MIN($J2698,$K2698))</f>
        <v/>
      </c>
      <c r="Q2698">
        <f>IF($A2698="","",$D2698&amp;"("&amp;SUBSTITUTE($E2698," ","")&amp;")")</f>
        <v/>
      </c>
      <c r="R2698">
        <f>IF($A2698="","",$B2698&amp;" - "&amp;$C2698)</f>
        <v/>
      </c>
      <c r="S2698">
        <f>IF($A2698="","",$R2698&amp;"|"&amp;$Q2698)</f>
        <v/>
      </c>
      <c r="T2698">
        <f>IF($A2698="","",$S2698&amp;"|"&amp;$F2698)</f>
        <v/>
      </c>
      <c r="U2698">
        <f>IF($A2698="","",$R2698&amp;"("&amp;$E2698&amp;")")</f>
        <v/>
      </c>
      <c r="V2698">
        <f>IF($A2698="","",$F2698&amp;"|"&amp;$U2698&amp;"|"&amp;$D2698)</f>
        <v/>
      </c>
      <c r="W2698">
        <f>IF($T2698="","",IF($X2698&gt;N($X2697),$X2698,""))</f>
        <v/>
      </c>
      <c r="X2698">
        <f>IF($T2698="",N($X2697),IF(MATCH($T2698,$T$6:$T$6005,0)=ROW()-5,N($X2697)+1,N($X2697)))</f>
        <v/>
      </c>
      <c r="Z2698">
        <f>IF($V2698="","",IF($AA2698&gt;N($AA2697),$AA2698,""))</f>
        <v/>
      </c>
      <c r="AA2698">
        <f>IF($V2698="",N($AA2697),IF(MATCH($V2698,$V$6:$V$6005,0)=ROW()-5,N($AA2697)+1,N($AA2697)))</f>
        <v/>
      </c>
    </row>
    <row r="2699" ht="21" customHeight="1" s="66">
      <c r="A2699" s="56" t="n"/>
      <c r="B2699" s="57" t="n"/>
      <c r="C2699" s="57" t="n"/>
      <c r="D2699" s="57" t="n"/>
      <c r="E2699" s="56" t="n"/>
      <c r="F2699" s="57" t="n"/>
      <c r="G2699" s="57" t="n"/>
      <c r="H2699" s="56" t="n"/>
      <c r="I2699" s="56" t="n"/>
      <c r="J2699" s="58" t="n"/>
      <c r="K2699" s="58" t="n"/>
      <c r="L2699" s="13">
        <f>IF(OR($A2699="",AND($J2699="",$K2699="")),"",ROUND(N($J2699)-N($K2699),2))</f>
        <v/>
      </c>
      <c r="M2699" s="13">
        <f>IF(OR($A2699="",AND($J2699="",$K2699="")),"",MIN($J2699,$K2699))</f>
        <v/>
      </c>
      <c r="Q2699">
        <f>IF($A2699="","",$D2699&amp;"("&amp;SUBSTITUTE($E2699," ","")&amp;")")</f>
        <v/>
      </c>
      <c r="R2699">
        <f>IF($A2699="","",$B2699&amp;" - "&amp;$C2699)</f>
        <v/>
      </c>
      <c r="S2699">
        <f>IF($A2699="","",$R2699&amp;"|"&amp;$Q2699)</f>
        <v/>
      </c>
      <c r="T2699">
        <f>IF($A2699="","",$S2699&amp;"|"&amp;$F2699)</f>
        <v/>
      </c>
      <c r="U2699">
        <f>IF($A2699="","",$R2699&amp;"("&amp;$E2699&amp;")")</f>
        <v/>
      </c>
      <c r="V2699">
        <f>IF($A2699="","",$F2699&amp;"|"&amp;$U2699&amp;"|"&amp;$D2699)</f>
        <v/>
      </c>
      <c r="W2699">
        <f>IF($T2699="","",IF($X2699&gt;N($X2698),$X2699,""))</f>
        <v/>
      </c>
      <c r="X2699">
        <f>IF($T2699="",N($X2698),IF(MATCH($T2699,$T$6:$T$6005,0)=ROW()-5,N($X2698)+1,N($X2698)))</f>
        <v/>
      </c>
      <c r="Z2699">
        <f>IF($V2699="","",IF($AA2699&gt;N($AA2698),$AA2699,""))</f>
        <v/>
      </c>
      <c r="AA2699">
        <f>IF($V2699="",N($AA2698),IF(MATCH($V2699,$V$6:$V$6005,0)=ROW()-5,N($AA2698)+1,N($AA2698)))</f>
        <v/>
      </c>
    </row>
    <row r="2700" ht="21" customHeight="1" s="66">
      <c r="A2700" s="56" t="n"/>
      <c r="B2700" s="57" t="n"/>
      <c r="C2700" s="57" t="n"/>
      <c r="D2700" s="57" t="n"/>
      <c r="E2700" s="56" t="n"/>
      <c r="F2700" s="57" t="n"/>
      <c r="G2700" s="57" t="n"/>
      <c r="H2700" s="56" t="n"/>
      <c r="I2700" s="56" t="n"/>
      <c r="J2700" s="58" t="n"/>
      <c r="K2700" s="58" t="n"/>
      <c r="L2700" s="13">
        <f>IF(OR($A2700="",AND($J2700="",$K2700="")),"",ROUND(N($J2700)-N($K2700),2))</f>
        <v/>
      </c>
      <c r="M2700" s="13">
        <f>IF(OR($A2700="",AND($J2700="",$K2700="")),"",MIN($J2700,$K2700))</f>
        <v/>
      </c>
      <c r="Q2700">
        <f>IF($A2700="","",$D2700&amp;"("&amp;SUBSTITUTE($E2700," ","")&amp;")")</f>
        <v/>
      </c>
      <c r="R2700">
        <f>IF($A2700="","",$B2700&amp;" - "&amp;$C2700)</f>
        <v/>
      </c>
      <c r="S2700">
        <f>IF($A2700="","",$R2700&amp;"|"&amp;$Q2700)</f>
        <v/>
      </c>
      <c r="T2700">
        <f>IF($A2700="","",$S2700&amp;"|"&amp;$F2700)</f>
        <v/>
      </c>
      <c r="U2700">
        <f>IF($A2700="","",$R2700&amp;"("&amp;$E2700&amp;")")</f>
        <v/>
      </c>
      <c r="V2700">
        <f>IF($A2700="","",$F2700&amp;"|"&amp;$U2700&amp;"|"&amp;$D2700)</f>
        <v/>
      </c>
      <c r="W2700">
        <f>IF($T2700="","",IF($X2700&gt;N($X2699),$X2700,""))</f>
        <v/>
      </c>
      <c r="X2700">
        <f>IF($T2700="",N($X2699),IF(MATCH($T2700,$T$6:$T$6005,0)=ROW()-5,N($X2699)+1,N($X2699)))</f>
        <v/>
      </c>
      <c r="Z2700">
        <f>IF($V2700="","",IF($AA2700&gt;N($AA2699),$AA2700,""))</f>
        <v/>
      </c>
      <c r="AA2700">
        <f>IF($V2700="",N($AA2699),IF(MATCH($V2700,$V$6:$V$6005,0)=ROW()-5,N($AA2699)+1,N($AA2699)))</f>
        <v/>
      </c>
    </row>
    <row r="2701" ht="21" customHeight="1" s="66">
      <c r="A2701" s="56" t="n"/>
      <c r="B2701" s="57" t="n"/>
      <c r="C2701" s="57" t="n"/>
      <c r="D2701" s="57" t="n"/>
      <c r="E2701" s="56" t="n"/>
      <c r="F2701" s="57" t="n"/>
      <c r="G2701" s="57" t="n"/>
      <c r="H2701" s="56" t="n"/>
      <c r="I2701" s="56" t="n"/>
      <c r="J2701" s="58" t="n"/>
      <c r="K2701" s="58" t="n"/>
      <c r="L2701" s="13">
        <f>IF(OR($A2701="",AND($J2701="",$K2701="")),"",ROUND(N($J2701)-N($K2701),2))</f>
        <v/>
      </c>
      <c r="M2701" s="13">
        <f>IF(OR($A2701="",AND($J2701="",$K2701="")),"",MIN($J2701,$K2701))</f>
        <v/>
      </c>
      <c r="Q2701">
        <f>IF($A2701="","",$D2701&amp;"("&amp;SUBSTITUTE($E2701," ","")&amp;")")</f>
        <v/>
      </c>
      <c r="R2701">
        <f>IF($A2701="","",$B2701&amp;" - "&amp;$C2701)</f>
        <v/>
      </c>
      <c r="S2701">
        <f>IF($A2701="","",$R2701&amp;"|"&amp;$Q2701)</f>
        <v/>
      </c>
      <c r="T2701">
        <f>IF($A2701="","",$S2701&amp;"|"&amp;$F2701)</f>
        <v/>
      </c>
      <c r="U2701">
        <f>IF($A2701="","",$R2701&amp;"("&amp;$E2701&amp;")")</f>
        <v/>
      </c>
      <c r="V2701">
        <f>IF($A2701="","",$F2701&amp;"|"&amp;$U2701&amp;"|"&amp;$D2701)</f>
        <v/>
      </c>
      <c r="W2701">
        <f>IF($T2701="","",IF($X2701&gt;N($X2700),$X2701,""))</f>
        <v/>
      </c>
      <c r="X2701">
        <f>IF($T2701="",N($X2700),IF(MATCH($T2701,$T$6:$T$6005,0)=ROW()-5,N($X2700)+1,N($X2700)))</f>
        <v/>
      </c>
      <c r="Z2701">
        <f>IF($V2701="","",IF($AA2701&gt;N($AA2700),$AA2701,""))</f>
        <v/>
      </c>
      <c r="AA2701">
        <f>IF($V2701="",N($AA2700),IF(MATCH($V2701,$V$6:$V$6005,0)=ROW()-5,N($AA2700)+1,N($AA2700)))</f>
        <v/>
      </c>
    </row>
    <row r="2702" ht="21" customHeight="1" s="66">
      <c r="A2702" s="56" t="n"/>
      <c r="B2702" s="57" t="n"/>
      <c r="C2702" s="57" t="n"/>
      <c r="D2702" s="57" t="n"/>
      <c r="E2702" s="56" t="n"/>
      <c r="F2702" s="57" t="n"/>
      <c r="G2702" s="57" t="n"/>
      <c r="H2702" s="56" t="n"/>
      <c r="I2702" s="56" t="n"/>
      <c r="J2702" s="58" t="n"/>
      <c r="K2702" s="58" t="n"/>
      <c r="L2702" s="13">
        <f>IF(OR($A2702="",AND($J2702="",$K2702="")),"",ROUND(N($J2702)-N($K2702),2))</f>
        <v/>
      </c>
      <c r="M2702" s="13">
        <f>IF(OR($A2702="",AND($J2702="",$K2702="")),"",MIN($J2702,$K2702))</f>
        <v/>
      </c>
      <c r="Q2702">
        <f>IF($A2702="","",$D2702&amp;"("&amp;SUBSTITUTE($E2702," ","")&amp;")")</f>
        <v/>
      </c>
      <c r="R2702">
        <f>IF($A2702="","",$B2702&amp;" - "&amp;$C2702)</f>
        <v/>
      </c>
      <c r="S2702">
        <f>IF($A2702="","",$R2702&amp;"|"&amp;$Q2702)</f>
        <v/>
      </c>
      <c r="T2702">
        <f>IF($A2702="","",$S2702&amp;"|"&amp;$F2702)</f>
        <v/>
      </c>
      <c r="U2702">
        <f>IF($A2702="","",$R2702&amp;"("&amp;$E2702&amp;")")</f>
        <v/>
      </c>
      <c r="V2702">
        <f>IF($A2702="","",$F2702&amp;"|"&amp;$U2702&amp;"|"&amp;$D2702)</f>
        <v/>
      </c>
      <c r="W2702">
        <f>IF($T2702="","",IF($X2702&gt;N($X2701),$X2702,""))</f>
        <v/>
      </c>
      <c r="X2702">
        <f>IF($T2702="",N($X2701),IF(MATCH($T2702,$T$6:$T$6005,0)=ROW()-5,N($X2701)+1,N($X2701)))</f>
        <v/>
      </c>
      <c r="Z2702">
        <f>IF($V2702="","",IF($AA2702&gt;N($AA2701),$AA2702,""))</f>
        <v/>
      </c>
      <c r="AA2702">
        <f>IF($V2702="",N($AA2701),IF(MATCH($V2702,$V$6:$V$6005,0)=ROW()-5,N($AA2701)+1,N($AA2701)))</f>
        <v/>
      </c>
    </row>
    <row r="2703" ht="21" customHeight="1" s="66">
      <c r="A2703" s="56" t="n"/>
      <c r="B2703" s="57" t="n"/>
      <c r="C2703" s="57" t="n"/>
      <c r="D2703" s="57" t="n"/>
      <c r="E2703" s="56" t="n"/>
      <c r="F2703" s="57" t="n"/>
      <c r="G2703" s="57" t="n"/>
      <c r="H2703" s="56" t="n"/>
      <c r="I2703" s="56" t="n"/>
      <c r="J2703" s="58" t="n"/>
      <c r="K2703" s="58" t="n"/>
      <c r="L2703" s="13">
        <f>IF(OR($A2703="",AND($J2703="",$K2703="")),"",ROUND(N($J2703)-N($K2703),2))</f>
        <v/>
      </c>
      <c r="M2703" s="13">
        <f>IF(OR($A2703="",AND($J2703="",$K2703="")),"",MIN($J2703,$K2703))</f>
        <v/>
      </c>
      <c r="Q2703">
        <f>IF($A2703="","",$D2703&amp;"("&amp;SUBSTITUTE($E2703," ","")&amp;")")</f>
        <v/>
      </c>
      <c r="R2703">
        <f>IF($A2703="","",$B2703&amp;" - "&amp;$C2703)</f>
        <v/>
      </c>
      <c r="S2703">
        <f>IF($A2703="","",$R2703&amp;"|"&amp;$Q2703)</f>
        <v/>
      </c>
      <c r="T2703">
        <f>IF($A2703="","",$S2703&amp;"|"&amp;$F2703)</f>
        <v/>
      </c>
      <c r="U2703">
        <f>IF($A2703="","",$R2703&amp;"("&amp;$E2703&amp;")")</f>
        <v/>
      </c>
      <c r="V2703">
        <f>IF($A2703="","",$F2703&amp;"|"&amp;$U2703&amp;"|"&amp;$D2703)</f>
        <v/>
      </c>
      <c r="W2703">
        <f>IF($T2703="","",IF($X2703&gt;N($X2702),$X2703,""))</f>
        <v/>
      </c>
      <c r="X2703">
        <f>IF($T2703="",N($X2702),IF(MATCH($T2703,$T$6:$T$6005,0)=ROW()-5,N($X2702)+1,N($X2702)))</f>
        <v/>
      </c>
      <c r="Z2703">
        <f>IF($V2703="","",IF($AA2703&gt;N($AA2702),$AA2703,""))</f>
        <v/>
      </c>
      <c r="AA2703">
        <f>IF($V2703="",N($AA2702),IF(MATCH($V2703,$V$6:$V$6005,0)=ROW()-5,N($AA2702)+1,N($AA2702)))</f>
        <v/>
      </c>
    </row>
    <row r="2704" ht="21" customHeight="1" s="66">
      <c r="A2704" s="56" t="n"/>
      <c r="B2704" s="57" t="n"/>
      <c r="C2704" s="57" t="n"/>
      <c r="D2704" s="57" t="n"/>
      <c r="E2704" s="56" t="n"/>
      <c r="F2704" s="57" t="n"/>
      <c r="G2704" s="57" t="n"/>
      <c r="H2704" s="56" t="n"/>
      <c r="I2704" s="56" t="n"/>
      <c r="J2704" s="58" t="n"/>
      <c r="K2704" s="58" t="n"/>
      <c r="L2704" s="13">
        <f>IF(OR($A2704="",AND($J2704="",$K2704="")),"",ROUND(N($J2704)-N($K2704),2))</f>
        <v/>
      </c>
      <c r="M2704" s="13">
        <f>IF(OR($A2704="",AND($J2704="",$K2704="")),"",MIN($J2704,$K2704))</f>
        <v/>
      </c>
      <c r="Q2704">
        <f>IF($A2704="","",$D2704&amp;"("&amp;SUBSTITUTE($E2704," ","")&amp;")")</f>
        <v/>
      </c>
      <c r="R2704">
        <f>IF($A2704="","",$B2704&amp;" - "&amp;$C2704)</f>
        <v/>
      </c>
      <c r="S2704">
        <f>IF($A2704="","",$R2704&amp;"|"&amp;$Q2704)</f>
        <v/>
      </c>
      <c r="T2704">
        <f>IF($A2704="","",$S2704&amp;"|"&amp;$F2704)</f>
        <v/>
      </c>
      <c r="U2704">
        <f>IF($A2704="","",$R2704&amp;"("&amp;$E2704&amp;")")</f>
        <v/>
      </c>
      <c r="V2704">
        <f>IF($A2704="","",$F2704&amp;"|"&amp;$U2704&amp;"|"&amp;$D2704)</f>
        <v/>
      </c>
      <c r="W2704">
        <f>IF($T2704="","",IF($X2704&gt;N($X2703),$X2704,""))</f>
        <v/>
      </c>
      <c r="X2704">
        <f>IF($T2704="",N($X2703),IF(MATCH($T2704,$T$6:$T$6005,0)=ROW()-5,N($X2703)+1,N($X2703)))</f>
        <v/>
      </c>
      <c r="Z2704">
        <f>IF($V2704="","",IF($AA2704&gt;N($AA2703),$AA2704,""))</f>
        <v/>
      </c>
      <c r="AA2704">
        <f>IF($V2704="",N($AA2703),IF(MATCH($V2704,$V$6:$V$6005,0)=ROW()-5,N($AA2703)+1,N($AA2703)))</f>
        <v/>
      </c>
    </row>
    <row r="2705" ht="21" customHeight="1" s="66">
      <c r="A2705" s="56" t="n"/>
      <c r="B2705" s="57" t="n"/>
      <c r="C2705" s="57" t="n"/>
      <c r="D2705" s="57" t="n"/>
      <c r="E2705" s="56" t="n"/>
      <c r="F2705" s="57" t="n"/>
      <c r="G2705" s="57" t="n"/>
      <c r="H2705" s="56" t="n"/>
      <c r="I2705" s="56" t="n"/>
      <c r="J2705" s="58" t="n"/>
      <c r="K2705" s="58" t="n"/>
      <c r="L2705" s="13">
        <f>IF(OR($A2705="",AND($J2705="",$K2705="")),"",ROUND(N($J2705)-N($K2705),2))</f>
        <v/>
      </c>
      <c r="M2705" s="13">
        <f>IF(OR($A2705="",AND($J2705="",$K2705="")),"",MIN($J2705,$K2705))</f>
        <v/>
      </c>
      <c r="Q2705">
        <f>IF($A2705="","",$D2705&amp;"("&amp;SUBSTITUTE($E2705," ","")&amp;")")</f>
        <v/>
      </c>
      <c r="R2705">
        <f>IF($A2705="","",$B2705&amp;" - "&amp;$C2705)</f>
        <v/>
      </c>
      <c r="S2705">
        <f>IF($A2705="","",$R2705&amp;"|"&amp;$Q2705)</f>
        <v/>
      </c>
      <c r="T2705">
        <f>IF($A2705="","",$S2705&amp;"|"&amp;$F2705)</f>
        <v/>
      </c>
      <c r="U2705">
        <f>IF($A2705="","",$R2705&amp;"("&amp;$E2705&amp;")")</f>
        <v/>
      </c>
      <c r="V2705">
        <f>IF($A2705="","",$F2705&amp;"|"&amp;$U2705&amp;"|"&amp;$D2705)</f>
        <v/>
      </c>
      <c r="W2705">
        <f>IF($T2705="","",IF($X2705&gt;N($X2704),$X2705,""))</f>
        <v/>
      </c>
      <c r="X2705">
        <f>IF($T2705="",N($X2704),IF(MATCH($T2705,$T$6:$T$6005,0)=ROW()-5,N($X2704)+1,N($X2704)))</f>
        <v/>
      </c>
      <c r="Z2705">
        <f>IF($V2705="","",IF($AA2705&gt;N($AA2704),$AA2705,""))</f>
        <v/>
      </c>
      <c r="AA2705">
        <f>IF($V2705="",N($AA2704),IF(MATCH($V2705,$V$6:$V$6005,0)=ROW()-5,N($AA2704)+1,N($AA2704)))</f>
        <v/>
      </c>
    </row>
    <row r="2706" ht="21" customHeight="1" s="66">
      <c r="A2706" s="56" t="n"/>
      <c r="B2706" s="57" t="n"/>
      <c r="C2706" s="57" t="n"/>
      <c r="D2706" s="57" t="n"/>
      <c r="E2706" s="56" t="n"/>
      <c r="F2706" s="57" t="n"/>
      <c r="G2706" s="57" t="n"/>
      <c r="H2706" s="56" t="n"/>
      <c r="I2706" s="56" t="n"/>
      <c r="J2706" s="58" t="n"/>
      <c r="K2706" s="58" t="n"/>
      <c r="L2706" s="13">
        <f>IF(OR($A2706="",AND($J2706="",$K2706="")),"",ROUND(N($J2706)-N($K2706),2))</f>
        <v/>
      </c>
      <c r="M2706" s="13">
        <f>IF(OR($A2706="",AND($J2706="",$K2706="")),"",MIN($J2706,$K2706))</f>
        <v/>
      </c>
      <c r="Q2706">
        <f>IF($A2706="","",$D2706&amp;"("&amp;SUBSTITUTE($E2706," ","")&amp;")")</f>
        <v/>
      </c>
      <c r="R2706">
        <f>IF($A2706="","",$B2706&amp;" - "&amp;$C2706)</f>
        <v/>
      </c>
      <c r="S2706">
        <f>IF($A2706="","",$R2706&amp;"|"&amp;$Q2706)</f>
        <v/>
      </c>
      <c r="T2706">
        <f>IF($A2706="","",$S2706&amp;"|"&amp;$F2706)</f>
        <v/>
      </c>
      <c r="U2706">
        <f>IF($A2706="","",$R2706&amp;"("&amp;$E2706&amp;")")</f>
        <v/>
      </c>
      <c r="V2706">
        <f>IF($A2706="","",$F2706&amp;"|"&amp;$U2706&amp;"|"&amp;$D2706)</f>
        <v/>
      </c>
      <c r="W2706">
        <f>IF($T2706="","",IF($X2706&gt;N($X2705),$X2706,""))</f>
        <v/>
      </c>
      <c r="X2706">
        <f>IF($T2706="",N($X2705),IF(MATCH($T2706,$T$6:$T$6005,0)=ROW()-5,N($X2705)+1,N($X2705)))</f>
        <v/>
      </c>
      <c r="Z2706">
        <f>IF($V2706="","",IF($AA2706&gt;N($AA2705),$AA2706,""))</f>
        <v/>
      </c>
      <c r="AA2706">
        <f>IF($V2706="",N($AA2705),IF(MATCH($V2706,$V$6:$V$6005,0)=ROW()-5,N($AA2705)+1,N($AA2705)))</f>
        <v/>
      </c>
    </row>
    <row r="2707" ht="21" customHeight="1" s="66">
      <c r="A2707" s="56" t="n"/>
      <c r="B2707" s="57" t="n"/>
      <c r="C2707" s="57" t="n"/>
      <c r="D2707" s="57" t="n"/>
      <c r="E2707" s="56" t="n"/>
      <c r="F2707" s="57" t="n"/>
      <c r="G2707" s="57" t="n"/>
      <c r="H2707" s="56" t="n"/>
      <c r="I2707" s="56" t="n"/>
      <c r="J2707" s="58" t="n"/>
      <c r="K2707" s="58" t="n"/>
      <c r="L2707" s="13">
        <f>IF(OR($A2707="",AND($J2707="",$K2707="")),"",ROUND(N($J2707)-N($K2707),2))</f>
        <v/>
      </c>
      <c r="M2707" s="13">
        <f>IF(OR($A2707="",AND($J2707="",$K2707="")),"",MIN($J2707,$K2707))</f>
        <v/>
      </c>
      <c r="Q2707">
        <f>IF($A2707="","",$D2707&amp;"("&amp;SUBSTITUTE($E2707," ","")&amp;")")</f>
        <v/>
      </c>
      <c r="R2707">
        <f>IF($A2707="","",$B2707&amp;" - "&amp;$C2707)</f>
        <v/>
      </c>
      <c r="S2707">
        <f>IF($A2707="","",$R2707&amp;"|"&amp;$Q2707)</f>
        <v/>
      </c>
      <c r="T2707">
        <f>IF($A2707="","",$S2707&amp;"|"&amp;$F2707)</f>
        <v/>
      </c>
      <c r="U2707">
        <f>IF($A2707="","",$R2707&amp;"("&amp;$E2707&amp;")")</f>
        <v/>
      </c>
      <c r="V2707">
        <f>IF($A2707="","",$F2707&amp;"|"&amp;$U2707&amp;"|"&amp;$D2707)</f>
        <v/>
      </c>
      <c r="W2707">
        <f>IF($T2707="","",IF($X2707&gt;N($X2706),$X2707,""))</f>
        <v/>
      </c>
      <c r="X2707">
        <f>IF($T2707="",N($X2706),IF(MATCH($T2707,$T$6:$T$6005,0)=ROW()-5,N($X2706)+1,N($X2706)))</f>
        <v/>
      </c>
      <c r="Z2707">
        <f>IF($V2707="","",IF($AA2707&gt;N($AA2706),$AA2707,""))</f>
        <v/>
      </c>
      <c r="AA2707">
        <f>IF($V2707="",N($AA2706),IF(MATCH($V2707,$V$6:$V$6005,0)=ROW()-5,N($AA2706)+1,N($AA2706)))</f>
        <v/>
      </c>
    </row>
    <row r="2708" ht="21" customHeight="1" s="66">
      <c r="A2708" s="56" t="n"/>
      <c r="B2708" s="57" t="n"/>
      <c r="C2708" s="57" t="n"/>
      <c r="D2708" s="57" t="n"/>
      <c r="E2708" s="56" t="n"/>
      <c r="F2708" s="57" t="n"/>
      <c r="G2708" s="57" t="n"/>
      <c r="H2708" s="56" t="n"/>
      <c r="I2708" s="56" t="n"/>
      <c r="J2708" s="58" t="n"/>
      <c r="K2708" s="58" t="n"/>
      <c r="L2708" s="13">
        <f>IF(OR($A2708="",AND($J2708="",$K2708="")),"",ROUND(N($J2708)-N($K2708),2))</f>
        <v/>
      </c>
      <c r="M2708" s="13">
        <f>IF(OR($A2708="",AND($J2708="",$K2708="")),"",MIN($J2708,$K2708))</f>
        <v/>
      </c>
      <c r="Q2708">
        <f>IF($A2708="","",$D2708&amp;"("&amp;SUBSTITUTE($E2708," ","")&amp;")")</f>
        <v/>
      </c>
      <c r="R2708">
        <f>IF($A2708="","",$B2708&amp;" - "&amp;$C2708)</f>
        <v/>
      </c>
      <c r="S2708">
        <f>IF($A2708="","",$R2708&amp;"|"&amp;$Q2708)</f>
        <v/>
      </c>
      <c r="T2708">
        <f>IF($A2708="","",$S2708&amp;"|"&amp;$F2708)</f>
        <v/>
      </c>
      <c r="U2708">
        <f>IF($A2708="","",$R2708&amp;"("&amp;$E2708&amp;")")</f>
        <v/>
      </c>
      <c r="V2708">
        <f>IF($A2708="","",$F2708&amp;"|"&amp;$U2708&amp;"|"&amp;$D2708)</f>
        <v/>
      </c>
      <c r="W2708">
        <f>IF($T2708="","",IF($X2708&gt;N($X2707),$X2708,""))</f>
        <v/>
      </c>
      <c r="X2708">
        <f>IF($T2708="",N($X2707),IF(MATCH($T2708,$T$6:$T$6005,0)=ROW()-5,N($X2707)+1,N($X2707)))</f>
        <v/>
      </c>
      <c r="Z2708">
        <f>IF($V2708="","",IF($AA2708&gt;N($AA2707),$AA2708,""))</f>
        <v/>
      </c>
      <c r="AA2708">
        <f>IF($V2708="",N($AA2707),IF(MATCH($V2708,$V$6:$V$6005,0)=ROW()-5,N($AA2707)+1,N($AA2707)))</f>
        <v/>
      </c>
    </row>
    <row r="2709" ht="21" customHeight="1" s="66">
      <c r="A2709" s="56" t="n"/>
      <c r="B2709" s="57" t="n"/>
      <c r="C2709" s="57" t="n"/>
      <c r="D2709" s="57" t="n"/>
      <c r="E2709" s="56" t="n"/>
      <c r="F2709" s="57" t="n"/>
      <c r="G2709" s="57" t="n"/>
      <c r="H2709" s="56" t="n"/>
      <c r="I2709" s="56" t="n"/>
      <c r="J2709" s="58" t="n"/>
      <c r="K2709" s="58" t="n"/>
      <c r="L2709" s="13">
        <f>IF(OR($A2709="",AND($J2709="",$K2709="")),"",ROUND(N($J2709)-N($K2709),2))</f>
        <v/>
      </c>
      <c r="M2709" s="13">
        <f>IF(OR($A2709="",AND($J2709="",$K2709="")),"",MIN($J2709,$K2709))</f>
        <v/>
      </c>
      <c r="Q2709">
        <f>IF($A2709="","",$D2709&amp;"("&amp;SUBSTITUTE($E2709," ","")&amp;")")</f>
        <v/>
      </c>
      <c r="R2709">
        <f>IF($A2709="","",$B2709&amp;" - "&amp;$C2709)</f>
        <v/>
      </c>
      <c r="S2709">
        <f>IF($A2709="","",$R2709&amp;"|"&amp;$Q2709)</f>
        <v/>
      </c>
      <c r="T2709">
        <f>IF($A2709="","",$S2709&amp;"|"&amp;$F2709)</f>
        <v/>
      </c>
      <c r="U2709">
        <f>IF($A2709="","",$R2709&amp;"("&amp;$E2709&amp;")")</f>
        <v/>
      </c>
      <c r="V2709">
        <f>IF($A2709="","",$F2709&amp;"|"&amp;$U2709&amp;"|"&amp;$D2709)</f>
        <v/>
      </c>
      <c r="W2709">
        <f>IF($T2709="","",IF($X2709&gt;N($X2708),$X2709,""))</f>
        <v/>
      </c>
      <c r="X2709">
        <f>IF($T2709="",N($X2708),IF(MATCH($T2709,$T$6:$T$6005,0)=ROW()-5,N($X2708)+1,N($X2708)))</f>
        <v/>
      </c>
      <c r="Z2709">
        <f>IF($V2709="","",IF($AA2709&gt;N($AA2708),$AA2709,""))</f>
        <v/>
      </c>
      <c r="AA2709">
        <f>IF($V2709="",N($AA2708),IF(MATCH($V2709,$V$6:$V$6005,0)=ROW()-5,N($AA2708)+1,N($AA2708)))</f>
        <v/>
      </c>
    </row>
    <row r="2710" ht="21" customHeight="1" s="66">
      <c r="A2710" s="56" t="n"/>
      <c r="B2710" s="57" t="n"/>
      <c r="C2710" s="57" t="n"/>
      <c r="D2710" s="57" t="n"/>
      <c r="E2710" s="56" t="n"/>
      <c r="F2710" s="57" t="n"/>
      <c r="G2710" s="57" t="n"/>
      <c r="H2710" s="56" t="n"/>
      <c r="I2710" s="56" t="n"/>
      <c r="J2710" s="58" t="n"/>
      <c r="K2710" s="58" t="n"/>
      <c r="L2710" s="13">
        <f>IF(OR($A2710="",AND($J2710="",$K2710="")),"",ROUND(N($J2710)-N($K2710),2))</f>
        <v/>
      </c>
      <c r="M2710" s="13">
        <f>IF(OR($A2710="",AND($J2710="",$K2710="")),"",MIN($J2710,$K2710))</f>
        <v/>
      </c>
      <c r="Q2710">
        <f>IF($A2710="","",$D2710&amp;"("&amp;SUBSTITUTE($E2710," ","")&amp;")")</f>
        <v/>
      </c>
      <c r="R2710">
        <f>IF($A2710="","",$B2710&amp;" - "&amp;$C2710)</f>
        <v/>
      </c>
      <c r="S2710">
        <f>IF($A2710="","",$R2710&amp;"|"&amp;$Q2710)</f>
        <v/>
      </c>
      <c r="T2710">
        <f>IF($A2710="","",$S2710&amp;"|"&amp;$F2710)</f>
        <v/>
      </c>
      <c r="U2710">
        <f>IF($A2710="","",$R2710&amp;"("&amp;$E2710&amp;")")</f>
        <v/>
      </c>
      <c r="V2710">
        <f>IF($A2710="","",$F2710&amp;"|"&amp;$U2710&amp;"|"&amp;$D2710)</f>
        <v/>
      </c>
      <c r="W2710">
        <f>IF($T2710="","",IF($X2710&gt;N($X2709),$X2710,""))</f>
        <v/>
      </c>
      <c r="X2710">
        <f>IF($T2710="",N($X2709),IF(MATCH($T2710,$T$6:$T$6005,0)=ROW()-5,N($X2709)+1,N($X2709)))</f>
        <v/>
      </c>
      <c r="Z2710">
        <f>IF($V2710="","",IF($AA2710&gt;N($AA2709),$AA2710,""))</f>
        <v/>
      </c>
      <c r="AA2710">
        <f>IF($V2710="",N($AA2709),IF(MATCH($V2710,$V$6:$V$6005,0)=ROW()-5,N($AA2709)+1,N($AA2709)))</f>
        <v/>
      </c>
    </row>
    <row r="2711" ht="21" customHeight="1" s="66">
      <c r="A2711" s="56" t="n"/>
      <c r="B2711" s="57" t="n"/>
      <c r="C2711" s="57" t="n"/>
      <c r="D2711" s="57" t="n"/>
      <c r="E2711" s="56" t="n"/>
      <c r="F2711" s="57" t="n"/>
      <c r="G2711" s="57" t="n"/>
      <c r="H2711" s="56" t="n"/>
      <c r="I2711" s="56" t="n"/>
      <c r="J2711" s="58" t="n"/>
      <c r="K2711" s="58" t="n"/>
      <c r="L2711" s="13">
        <f>IF(OR($A2711="",AND($J2711="",$K2711="")),"",ROUND(N($J2711)-N($K2711),2))</f>
        <v/>
      </c>
      <c r="M2711" s="13">
        <f>IF(OR($A2711="",AND($J2711="",$K2711="")),"",MIN($J2711,$K2711))</f>
        <v/>
      </c>
      <c r="Q2711">
        <f>IF($A2711="","",$D2711&amp;"("&amp;SUBSTITUTE($E2711," ","")&amp;")")</f>
        <v/>
      </c>
      <c r="R2711">
        <f>IF($A2711="","",$B2711&amp;" - "&amp;$C2711)</f>
        <v/>
      </c>
      <c r="S2711">
        <f>IF($A2711="","",$R2711&amp;"|"&amp;$Q2711)</f>
        <v/>
      </c>
      <c r="T2711">
        <f>IF($A2711="","",$S2711&amp;"|"&amp;$F2711)</f>
        <v/>
      </c>
      <c r="U2711">
        <f>IF($A2711="","",$R2711&amp;"("&amp;$E2711&amp;")")</f>
        <v/>
      </c>
      <c r="V2711">
        <f>IF($A2711="","",$F2711&amp;"|"&amp;$U2711&amp;"|"&amp;$D2711)</f>
        <v/>
      </c>
      <c r="W2711">
        <f>IF($T2711="","",IF($X2711&gt;N($X2710),$X2711,""))</f>
        <v/>
      </c>
      <c r="X2711">
        <f>IF($T2711="",N($X2710),IF(MATCH($T2711,$T$6:$T$6005,0)=ROW()-5,N($X2710)+1,N($X2710)))</f>
        <v/>
      </c>
      <c r="Z2711">
        <f>IF($V2711="","",IF($AA2711&gt;N($AA2710),$AA2711,""))</f>
        <v/>
      </c>
      <c r="AA2711">
        <f>IF($V2711="",N($AA2710),IF(MATCH($V2711,$V$6:$V$6005,0)=ROW()-5,N($AA2710)+1,N($AA2710)))</f>
        <v/>
      </c>
    </row>
    <row r="2712" ht="21" customHeight="1" s="66">
      <c r="A2712" s="56" t="n"/>
      <c r="B2712" s="57" t="n"/>
      <c r="C2712" s="57" t="n"/>
      <c r="D2712" s="57" t="n"/>
      <c r="E2712" s="56" t="n"/>
      <c r="F2712" s="57" t="n"/>
      <c r="G2712" s="57" t="n"/>
      <c r="H2712" s="56" t="n"/>
      <c r="I2712" s="56" t="n"/>
      <c r="J2712" s="58" t="n"/>
      <c r="K2712" s="58" t="n"/>
      <c r="L2712" s="13">
        <f>IF(OR($A2712="",AND($J2712="",$K2712="")),"",ROUND(N($J2712)-N($K2712),2))</f>
        <v/>
      </c>
      <c r="M2712" s="13">
        <f>IF(OR($A2712="",AND($J2712="",$K2712="")),"",MIN($J2712,$K2712))</f>
        <v/>
      </c>
      <c r="Q2712">
        <f>IF($A2712="","",$D2712&amp;"("&amp;SUBSTITUTE($E2712," ","")&amp;")")</f>
        <v/>
      </c>
      <c r="R2712">
        <f>IF($A2712="","",$B2712&amp;" - "&amp;$C2712)</f>
        <v/>
      </c>
      <c r="S2712">
        <f>IF($A2712="","",$R2712&amp;"|"&amp;$Q2712)</f>
        <v/>
      </c>
      <c r="T2712">
        <f>IF($A2712="","",$S2712&amp;"|"&amp;$F2712)</f>
        <v/>
      </c>
      <c r="U2712">
        <f>IF($A2712="","",$R2712&amp;"("&amp;$E2712&amp;")")</f>
        <v/>
      </c>
      <c r="V2712">
        <f>IF($A2712="","",$F2712&amp;"|"&amp;$U2712&amp;"|"&amp;$D2712)</f>
        <v/>
      </c>
      <c r="W2712">
        <f>IF($T2712="","",IF($X2712&gt;N($X2711),$X2712,""))</f>
        <v/>
      </c>
      <c r="X2712">
        <f>IF($T2712="",N($X2711),IF(MATCH($T2712,$T$6:$T$6005,0)=ROW()-5,N($X2711)+1,N($X2711)))</f>
        <v/>
      </c>
      <c r="Z2712">
        <f>IF($V2712="","",IF($AA2712&gt;N($AA2711),$AA2712,""))</f>
        <v/>
      </c>
      <c r="AA2712">
        <f>IF($V2712="",N($AA2711),IF(MATCH($V2712,$V$6:$V$6005,0)=ROW()-5,N($AA2711)+1,N($AA2711)))</f>
        <v/>
      </c>
    </row>
    <row r="2713" ht="21" customHeight="1" s="66">
      <c r="A2713" s="56" t="n"/>
      <c r="B2713" s="57" t="n"/>
      <c r="C2713" s="57" t="n"/>
      <c r="D2713" s="57" t="n"/>
      <c r="E2713" s="56" t="n"/>
      <c r="F2713" s="57" t="n"/>
      <c r="G2713" s="57" t="n"/>
      <c r="H2713" s="56" t="n"/>
      <c r="I2713" s="56" t="n"/>
      <c r="J2713" s="58" t="n"/>
      <c r="K2713" s="58" t="n"/>
      <c r="L2713" s="13">
        <f>IF(OR($A2713="",AND($J2713="",$K2713="")),"",ROUND(N($J2713)-N($K2713),2))</f>
        <v/>
      </c>
      <c r="M2713" s="13">
        <f>IF(OR($A2713="",AND($J2713="",$K2713="")),"",MIN($J2713,$K2713))</f>
        <v/>
      </c>
      <c r="Q2713">
        <f>IF($A2713="","",$D2713&amp;"("&amp;SUBSTITUTE($E2713," ","")&amp;")")</f>
        <v/>
      </c>
      <c r="R2713">
        <f>IF($A2713="","",$B2713&amp;" - "&amp;$C2713)</f>
        <v/>
      </c>
      <c r="S2713">
        <f>IF($A2713="","",$R2713&amp;"|"&amp;$Q2713)</f>
        <v/>
      </c>
      <c r="T2713">
        <f>IF($A2713="","",$S2713&amp;"|"&amp;$F2713)</f>
        <v/>
      </c>
      <c r="U2713">
        <f>IF($A2713="","",$R2713&amp;"("&amp;$E2713&amp;")")</f>
        <v/>
      </c>
      <c r="V2713">
        <f>IF($A2713="","",$F2713&amp;"|"&amp;$U2713&amp;"|"&amp;$D2713)</f>
        <v/>
      </c>
      <c r="W2713">
        <f>IF($T2713="","",IF($X2713&gt;N($X2712),$X2713,""))</f>
        <v/>
      </c>
      <c r="X2713">
        <f>IF($T2713="",N($X2712),IF(MATCH($T2713,$T$6:$T$6005,0)=ROW()-5,N($X2712)+1,N($X2712)))</f>
        <v/>
      </c>
      <c r="Z2713">
        <f>IF($V2713="","",IF($AA2713&gt;N($AA2712),$AA2713,""))</f>
        <v/>
      </c>
      <c r="AA2713">
        <f>IF($V2713="",N($AA2712),IF(MATCH($V2713,$V$6:$V$6005,0)=ROW()-5,N($AA2712)+1,N($AA2712)))</f>
        <v/>
      </c>
    </row>
    <row r="2714" ht="21" customHeight="1" s="66">
      <c r="A2714" s="56" t="n"/>
      <c r="B2714" s="57" t="n"/>
      <c r="C2714" s="57" t="n"/>
      <c r="D2714" s="57" t="n"/>
      <c r="E2714" s="56" t="n"/>
      <c r="F2714" s="57" t="n"/>
      <c r="G2714" s="57" t="n"/>
      <c r="H2714" s="56" t="n"/>
      <c r="I2714" s="56" t="n"/>
      <c r="J2714" s="58" t="n"/>
      <c r="K2714" s="58" t="n"/>
      <c r="L2714" s="13">
        <f>IF(OR($A2714="",AND($J2714="",$K2714="")),"",ROUND(N($J2714)-N($K2714),2))</f>
        <v/>
      </c>
      <c r="M2714" s="13">
        <f>IF(OR($A2714="",AND($J2714="",$K2714="")),"",MIN($J2714,$K2714))</f>
        <v/>
      </c>
      <c r="Q2714">
        <f>IF($A2714="","",$D2714&amp;"("&amp;SUBSTITUTE($E2714," ","")&amp;")")</f>
        <v/>
      </c>
      <c r="R2714">
        <f>IF($A2714="","",$B2714&amp;" - "&amp;$C2714)</f>
        <v/>
      </c>
      <c r="S2714">
        <f>IF($A2714="","",$R2714&amp;"|"&amp;$Q2714)</f>
        <v/>
      </c>
      <c r="T2714">
        <f>IF($A2714="","",$S2714&amp;"|"&amp;$F2714)</f>
        <v/>
      </c>
      <c r="U2714">
        <f>IF($A2714="","",$R2714&amp;"("&amp;$E2714&amp;")")</f>
        <v/>
      </c>
      <c r="V2714">
        <f>IF($A2714="","",$F2714&amp;"|"&amp;$U2714&amp;"|"&amp;$D2714)</f>
        <v/>
      </c>
      <c r="W2714">
        <f>IF($T2714="","",IF($X2714&gt;N($X2713),$X2714,""))</f>
        <v/>
      </c>
      <c r="X2714">
        <f>IF($T2714="",N($X2713),IF(MATCH($T2714,$T$6:$T$6005,0)=ROW()-5,N($X2713)+1,N($X2713)))</f>
        <v/>
      </c>
      <c r="Z2714">
        <f>IF($V2714="","",IF($AA2714&gt;N($AA2713),$AA2714,""))</f>
        <v/>
      </c>
      <c r="AA2714">
        <f>IF($V2714="",N($AA2713),IF(MATCH($V2714,$V$6:$V$6005,0)=ROW()-5,N($AA2713)+1,N($AA2713)))</f>
        <v/>
      </c>
    </row>
    <row r="2715" ht="21" customHeight="1" s="66">
      <c r="A2715" s="56" t="n"/>
      <c r="B2715" s="57" t="n"/>
      <c r="C2715" s="57" t="n"/>
      <c r="D2715" s="57" t="n"/>
      <c r="E2715" s="56" t="n"/>
      <c r="F2715" s="57" t="n"/>
      <c r="G2715" s="57" t="n"/>
      <c r="H2715" s="56" t="n"/>
      <c r="I2715" s="56" t="n"/>
      <c r="J2715" s="58" t="n"/>
      <c r="K2715" s="58" t="n"/>
      <c r="L2715" s="13">
        <f>IF(OR($A2715="",AND($J2715="",$K2715="")),"",ROUND(N($J2715)-N($K2715),2))</f>
        <v/>
      </c>
      <c r="M2715" s="13">
        <f>IF(OR($A2715="",AND($J2715="",$K2715="")),"",MIN($J2715,$K2715))</f>
        <v/>
      </c>
      <c r="Q2715">
        <f>IF($A2715="","",$D2715&amp;"("&amp;SUBSTITUTE($E2715," ","")&amp;")")</f>
        <v/>
      </c>
      <c r="R2715">
        <f>IF($A2715="","",$B2715&amp;" - "&amp;$C2715)</f>
        <v/>
      </c>
      <c r="S2715">
        <f>IF($A2715="","",$R2715&amp;"|"&amp;$Q2715)</f>
        <v/>
      </c>
      <c r="T2715">
        <f>IF($A2715="","",$S2715&amp;"|"&amp;$F2715)</f>
        <v/>
      </c>
      <c r="U2715">
        <f>IF($A2715="","",$R2715&amp;"("&amp;$E2715&amp;")")</f>
        <v/>
      </c>
      <c r="V2715">
        <f>IF($A2715="","",$F2715&amp;"|"&amp;$U2715&amp;"|"&amp;$D2715)</f>
        <v/>
      </c>
      <c r="W2715">
        <f>IF($T2715="","",IF($X2715&gt;N($X2714),$X2715,""))</f>
        <v/>
      </c>
      <c r="X2715">
        <f>IF($T2715="",N($X2714),IF(MATCH($T2715,$T$6:$T$6005,0)=ROW()-5,N($X2714)+1,N($X2714)))</f>
        <v/>
      </c>
      <c r="Z2715">
        <f>IF($V2715="","",IF($AA2715&gt;N($AA2714),$AA2715,""))</f>
        <v/>
      </c>
      <c r="AA2715">
        <f>IF($V2715="",N($AA2714),IF(MATCH($V2715,$V$6:$V$6005,0)=ROW()-5,N($AA2714)+1,N($AA2714)))</f>
        <v/>
      </c>
    </row>
    <row r="2716" ht="21" customHeight="1" s="66">
      <c r="A2716" s="56" t="n"/>
      <c r="B2716" s="57" t="n"/>
      <c r="C2716" s="57" t="n"/>
      <c r="D2716" s="57" t="n"/>
      <c r="E2716" s="56" t="n"/>
      <c r="F2716" s="57" t="n"/>
      <c r="G2716" s="57" t="n"/>
      <c r="H2716" s="56" t="n"/>
      <c r="I2716" s="56" t="n"/>
      <c r="J2716" s="58" t="n"/>
      <c r="K2716" s="58" t="n"/>
      <c r="L2716" s="13">
        <f>IF(OR($A2716="",AND($J2716="",$K2716="")),"",ROUND(N($J2716)-N($K2716),2))</f>
        <v/>
      </c>
      <c r="M2716" s="13">
        <f>IF(OR($A2716="",AND($J2716="",$K2716="")),"",MIN($J2716,$K2716))</f>
        <v/>
      </c>
      <c r="Q2716">
        <f>IF($A2716="","",$D2716&amp;"("&amp;SUBSTITUTE($E2716," ","")&amp;")")</f>
        <v/>
      </c>
      <c r="R2716">
        <f>IF($A2716="","",$B2716&amp;" - "&amp;$C2716)</f>
        <v/>
      </c>
      <c r="S2716">
        <f>IF($A2716="","",$R2716&amp;"|"&amp;$Q2716)</f>
        <v/>
      </c>
      <c r="T2716">
        <f>IF($A2716="","",$S2716&amp;"|"&amp;$F2716)</f>
        <v/>
      </c>
      <c r="U2716">
        <f>IF($A2716="","",$R2716&amp;"("&amp;$E2716&amp;")")</f>
        <v/>
      </c>
      <c r="V2716">
        <f>IF($A2716="","",$F2716&amp;"|"&amp;$U2716&amp;"|"&amp;$D2716)</f>
        <v/>
      </c>
      <c r="W2716">
        <f>IF($T2716="","",IF($X2716&gt;N($X2715),$X2716,""))</f>
        <v/>
      </c>
      <c r="X2716">
        <f>IF($T2716="",N($X2715),IF(MATCH($T2716,$T$6:$T$6005,0)=ROW()-5,N($X2715)+1,N($X2715)))</f>
        <v/>
      </c>
      <c r="Z2716">
        <f>IF($V2716="","",IF($AA2716&gt;N($AA2715),$AA2716,""))</f>
        <v/>
      </c>
      <c r="AA2716">
        <f>IF($V2716="",N($AA2715),IF(MATCH($V2716,$V$6:$V$6005,0)=ROW()-5,N($AA2715)+1,N($AA2715)))</f>
        <v/>
      </c>
    </row>
    <row r="2717" ht="21" customHeight="1" s="66">
      <c r="A2717" s="56" t="n"/>
      <c r="B2717" s="57" t="n"/>
      <c r="C2717" s="57" t="n"/>
      <c r="D2717" s="57" t="n"/>
      <c r="E2717" s="56" t="n"/>
      <c r="F2717" s="57" t="n"/>
      <c r="G2717" s="57" t="n"/>
      <c r="H2717" s="56" t="n"/>
      <c r="I2717" s="56" t="n"/>
      <c r="J2717" s="58" t="n"/>
      <c r="K2717" s="58" t="n"/>
      <c r="L2717" s="13">
        <f>IF(OR($A2717="",AND($J2717="",$K2717="")),"",ROUND(N($J2717)-N($K2717),2))</f>
        <v/>
      </c>
      <c r="M2717" s="13">
        <f>IF(OR($A2717="",AND($J2717="",$K2717="")),"",MIN($J2717,$K2717))</f>
        <v/>
      </c>
      <c r="Q2717">
        <f>IF($A2717="","",$D2717&amp;"("&amp;SUBSTITUTE($E2717," ","")&amp;")")</f>
        <v/>
      </c>
      <c r="R2717">
        <f>IF($A2717="","",$B2717&amp;" - "&amp;$C2717)</f>
        <v/>
      </c>
      <c r="S2717">
        <f>IF($A2717="","",$R2717&amp;"|"&amp;$Q2717)</f>
        <v/>
      </c>
      <c r="T2717">
        <f>IF($A2717="","",$S2717&amp;"|"&amp;$F2717)</f>
        <v/>
      </c>
      <c r="U2717">
        <f>IF($A2717="","",$R2717&amp;"("&amp;$E2717&amp;")")</f>
        <v/>
      </c>
      <c r="V2717">
        <f>IF($A2717="","",$F2717&amp;"|"&amp;$U2717&amp;"|"&amp;$D2717)</f>
        <v/>
      </c>
      <c r="W2717">
        <f>IF($T2717="","",IF($X2717&gt;N($X2716),$X2717,""))</f>
        <v/>
      </c>
      <c r="X2717">
        <f>IF($T2717="",N($X2716),IF(MATCH($T2717,$T$6:$T$6005,0)=ROW()-5,N($X2716)+1,N($X2716)))</f>
        <v/>
      </c>
      <c r="Z2717">
        <f>IF($V2717="","",IF($AA2717&gt;N($AA2716),$AA2717,""))</f>
        <v/>
      </c>
      <c r="AA2717">
        <f>IF($V2717="",N($AA2716),IF(MATCH($V2717,$V$6:$V$6005,0)=ROW()-5,N($AA2716)+1,N($AA2716)))</f>
        <v/>
      </c>
    </row>
    <row r="2718" ht="21" customHeight="1" s="66">
      <c r="A2718" s="56" t="n"/>
      <c r="B2718" s="57" t="n"/>
      <c r="C2718" s="57" t="n"/>
      <c r="D2718" s="57" t="n"/>
      <c r="E2718" s="56" t="n"/>
      <c r="F2718" s="57" t="n"/>
      <c r="G2718" s="57" t="n"/>
      <c r="H2718" s="56" t="n"/>
      <c r="I2718" s="56" t="n"/>
      <c r="J2718" s="58" t="n"/>
      <c r="K2718" s="58" t="n"/>
      <c r="L2718" s="13">
        <f>IF(OR($A2718="",AND($J2718="",$K2718="")),"",ROUND(N($J2718)-N($K2718),2))</f>
        <v/>
      </c>
      <c r="M2718" s="13">
        <f>IF(OR($A2718="",AND($J2718="",$K2718="")),"",MIN($J2718,$K2718))</f>
        <v/>
      </c>
      <c r="Q2718">
        <f>IF($A2718="","",$D2718&amp;"("&amp;SUBSTITUTE($E2718," ","")&amp;")")</f>
        <v/>
      </c>
      <c r="R2718">
        <f>IF($A2718="","",$B2718&amp;" - "&amp;$C2718)</f>
        <v/>
      </c>
      <c r="S2718">
        <f>IF($A2718="","",$R2718&amp;"|"&amp;$Q2718)</f>
        <v/>
      </c>
      <c r="T2718">
        <f>IF($A2718="","",$S2718&amp;"|"&amp;$F2718)</f>
        <v/>
      </c>
      <c r="U2718">
        <f>IF($A2718="","",$R2718&amp;"("&amp;$E2718&amp;")")</f>
        <v/>
      </c>
      <c r="V2718">
        <f>IF($A2718="","",$F2718&amp;"|"&amp;$U2718&amp;"|"&amp;$D2718)</f>
        <v/>
      </c>
      <c r="W2718">
        <f>IF($T2718="","",IF($X2718&gt;N($X2717),$X2718,""))</f>
        <v/>
      </c>
      <c r="X2718">
        <f>IF($T2718="",N($X2717),IF(MATCH($T2718,$T$6:$T$6005,0)=ROW()-5,N($X2717)+1,N($X2717)))</f>
        <v/>
      </c>
      <c r="Z2718">
        <f>IF($V2718="","",IF($AA2718&gt;N($AA2717),$AA2718,""))</f>
        <v/>
      </c>
      <c r="AA2718">
        <f>IF($V2718="",N($AA2717),IF(MATCH($V2718,$V$6:$V$6005,0)=ROW()-5,N($AA2717)+1,N($AA2717)))</f>
        <v/>
      </c>
    </row>
    <row r="2719" ht="21" customHeight="1" s="66">
      <c r="A2719" s="56" t="n"/>
      <c r="B2719" s="57" t="n"/>
      <c r="C2719" s="57" t="n"/>
      <c r="D2719" s="57" t="n"/>
      <c r="E2719" s="56" t="n"/>
      <c r="F2719" s="57" t="n"/>
      <c r="G2719" s="57" t="n"/>
      <c r="H2719" s="56" t="n"/>
      <c r="I2719" s="56" t="n"/>
      <c r="J2719" s="58" t="n"/>
      <c r="K2719" s="58" t="n"/>
      <c r="L2719" s="13">
        <f>IF(OR($A2719="",AND($J2719="",$K2719="")),"",ROUND(N($J2719)-N($K2719),2))</f>
        <v/>
      </c>
      <c r="M2719" s="13">
        <f>IF(OR($A2719="",AND($J2719="",$K2719="")),"",MIN($J2719,$K2719))</f>
        <v/>
      </c>
      <c r="Q2719">
        <f>IF($A2719="","",$D2719&amp;"("&amp;SUBSTITUTE($E2719," ","")&amp;")")</f>
        <v/>
      </c>
      <c r="R2719">
        <f>IF($A2719="","",$B2719&amp;" - "&amp;$C2719)</f>
        <v/>
      </c>
      <c r="S2719">
        <f>IF($A2719="","",$R2719&amp;"|"&amp;$Q2719)</f>
        <v/>
      </c>
      <c r="T2719">
        <f>IF($A2719="","",$S2719&amp;"|"&amp;$F2719)</f>
        <v/>
      </c>
      <c r="U2719">
        <f>IF($A2719="","",$R2719&amp;"("&amp;$E2719&amp;")")</f>
        <v/>
      </c>
      <c r="V2719">
        <f>IF($A2719="","",$F2719&amp;"|"&amp;$U2719&amp;"|"&amp;$D2719)</f>
        <v/>
      </c>
      <c r="W2719">
        <f>IF($T2719="","",IF($X2719&gt;N($X2718),$X2719,""))</f>
        <v/>
      </c>
      <c r="X2719">
        <f>IF($T2719="",N($X2718),IF(MATCH($T2719,$T$6:$T$6005,0)=ROW()-5,N($X2718)+1,N($X2718)))</f>
        <v/>
      </c>
      <c r="Z2719">
        <f>IF($V2719="","",IF($AA2719&gt;N($AA2718),$AA2719,""))</f>
        <v/>
      </c>
      <c r="AA2719">
        <f>IF($V2719="",N($AA2718),IF(MATCH($V2719,$V$6:$V$6005,0)=ROW()-5,N($AA2718)+1,N($AA2718)))</f>
        <v/>
      </c>
    </row>
    <row r="2720" ht="21" customHeight="1" s="66">
      <c r="A2720" s="56" t="n"/>
      <c r="B2720" s="57" t="n"/>
      <c r="C2720" s="57" t="n"/>
      <c r="D2720" s="57" t="n"/>
      <c r="E2720" s="56" t="n"/>
      <c r="F2720" s="57" t="n"/>
      <c r="G2720" s="57" t="n"/>
      <c r="H2720" s="56" t="n"/>
      <c r="I2720" s="56" t="n"/>
      <c r="J2720" s="58" t="n"/>
      <c r="K2720" s="58" t="n"/>
      <c r="L2720" s="13">
        <f>IF(OR($A2720="",AND($J2720="",$K2720="")),"",ROUND(N($J2720)-N($K2720),2))</f>
        <v/>
      </c>
      <c r="M2720" s="13">
        <f>IF(OR($A2720="",AND($J2720="",$K2720="")),"",MIN($J2720,$K2720))</f>
        <v/>
      </c>
      <c r="Q2720">
        <f>IF($A2720="","",$D2720&amp;"("&amp;SUBSTITUTE($E2720," ","")&amp;")")</f>
        <v/>
      </c>
      <c r="R2720">
        <f>IF($A2720="","",$B2720&amp;" - "&amp;$C2720)</f>
        <v/>
      </c>
      <c r="S2720">
        <f>IF($A2720="","",$R2720&amp;"|"&amp;$Q2720)</f>
        <v/>
      </c>
      <c r="T2720">
        <f>IF($A2720="","",$S2720&amp;"|"&amp;$F2720)</f>
        <v/>
      </c>
      <c r="U2720">
        <f>IF($A2720="","",$R2720&amp;"("&amp;$E2720&amp;")")</f>
        <v/>
      </c>
      <c r="V2720">
        <f>IF($A2720="","",$F2720&amp;"|"&amp;$U2720&amp;"|"&amp;$D2720)</f>
        <v/>
      </c>
      <c r="W2720">
        <f>IF($T2720="","",IF($X2720&gt;N($X2719),$X2720,""))</f>
        <v/>
      </c>
      <c r="X2720">
        <f>IF($T2720="",N($X2719),IF(MATCH($T2720,$T$6:$T$6005,0)=ROW()-5,N($X2719)+1,N($X2719)))</f>
        <v/>
      </c>
      <c r="Z2720">
        <f>IF($V2720="","",IF($AA2720&gt;N($AA2719),$AA2720,""))</f>
        <v/>
      </c>
      <c r="AA2720">
        <f>IF($V2720="",N($AA2719),IF(MATCH($V2720,$V$6:$V$6005,0)=ROW()-5,N($AA2719)+1,N($AA2719)))</f>
        <v/>
      </c>
    </row>
    <row r="2721" ht="21" customHeight="1" s="66">
      <c r="A2721" s="56" t="n"/>
      <c r="B2721" s="57" t="n"/>
      <c r="C2721" s="57" t="n"/>
      <c r="D2721" s="57" t="n"/>
      <c r="E2721" s="56" t="n"/>
      <c r="F2721" s="57" t="n"/>
      <c r="G2721" s="57" t="n"/>
      <c r="H2721" s="56" t="n"/>
      <c r="I2721" s="56" t="n"/>
      <c r="J2721" s="58" t="n"/>
      <c r="K2721" s="58" t="n"/>
      <c r="L2721" s="13">
        <f>IF(OR($A2721="",AND($J2721="",$K2721="")),"",ROUND(N($J2721)-N($K2721),2))</f>
        <v/>
      </c>
      <c r="M2721" s="13">
        <f>IF(OR($A2721="",AND($J2721="",$K2721="")),"",MIN($J2721,$K2721))</f>
        <v/>
      </c>
      <c r="Q2721">
        <f>IF($A2721="","",$D2721&amp;"("&amp;SUBSTITUTE($E2721," ","")&amp;")")</f>
        <v/>
      </c>
      <c r="R2721">
        <f>IF($A2721="","",$B2721&amp;" - "&amp;$C2721)</f>
        <v/>
      </c>
      <c r="S2721">
        <f>IF($A2721="","",$R2721&amp;"|"&amp;$Q2721)</f>
        <v/>
      </c>
      <c r="T2721">
        <f>IF($A2721="","",$S2721&amp;"|"&amp;$F2721)</f>
        <v/>
      </c>
      <c r="U2721">
        <f>IF($A2721="","",$R2721&amp;"("&amp;$E2721&amp;")")</f>
        <v/>
      </c>
      <c r="V2721">
        <f>IF($A2721="","",$F2721&amp;"|"&amp;$U2721&amp;"|"&amp;$D2721)</f>
        <v/>
      </c>
      <c r="W2721">
        <f>IF($T2721="","",IF($X2721&gt;N($X2720),$X2721,""))</f>
        <v/>
      </c>
      <c r="X2721">
        <f>IF($T2721="",N($X2720),IF(MATCH($T2721,$T$6:$T$6005,0)=ROW()-5,N($X2720)+1,N($X2720)))</f>
        <v/>
      </c>
      <c r="Z2721">
        <f>IF($V2721="","",IF($AA2721&gt;N($AA2720),$AA2721,""))</f>
        <v/>
      </c>
      <c r="AA2721">
        <f>IF($V2721="",N($AA2720),IF(MATCH($V2721,$V$6:$V$6005,0)=ROW()-5,N($AA2720)+1,N($AA2720)))</f>
        <v/>
      </c>
    </row>
    <row r="2722" ht="21" customHeight="1" s="66">
      <c r="A2722" s="56" t="n"/>
      <c r="B2722" s="57" t="n"/>
      <c r="C2722" s="57" t="n"/>
      <c r="D2722" s="57" t="n"/>
      <c r="E2722" s="56" t="n"/>
      <c r="F2722" s="57" t="n"/>
      <c r="G2722" s="57" t="n"/>
      <c r="H2722" s="56" t="n"/>
      <c r="I2722" s="56" t="n"/>
      <c r="J2722" s="58" t="n"/>
      <c r="K2722" s="58" t="n"/>
      <c r="L2722" s="13">
        <f>IF(OR($A2722="",AND($J2722="",$K2722="")),"",ROUND(N($J2722)-N($K2722),2))</f>
        <v/>
      </c>
      <c r="M2722" s="13">
        <f>IF(OR($A2722="",AND($J2722="",$K2722="")),"",MIN($J2722,$K2722))</f>
        <v/>
      </c>
      <c r="Q2722">
        <f>IF($A2722="","",$D2722&amp;"("&amp;SUBSTITUTE($E2722," ","")&amp;")")</f>
        <v/>
      </c>
      <c r="R2722">
        <f>IF($A2722="","",$B2722&amp;" - "&amp;$C2722)</f>
        <v/>
      </c>
      <c r="S2722">
        <f>IF($A2722="","",$R2722&amp;"|"&amp;$Q2722)</f>
        <v/>
      </c>
      <c r="T2722">
        <f>IF($A2722="","",$S2722&amp;"|"&amp;$F2722)</f>
        <v/>
      </c>
      <c r="U2722">
        <f>IF($A2722="","",$R2722&amp;"("&amp;$E2722&amp;")")</f>
        <v/>
      </c>
      <c r="V2722">
        <f>IF($A2722="","",$F2722&amp;"|"&amp;$U2722&amp;"|"&amp;$D2722)</f>
        <v/>
      </c>
      <c r="W2722">
        <f>IF($T2722="","",IF($X2722&gt;N($X2721),$X2722,""))</f>
        <v/>
      </c>
      <c r="X2722">
        <f>IF($T2722="",N($X2721),IF(MATCH($T2722,$T$6:$T$6005,0)=ROW()-5,N($X2721)+1,N($X2721)))</f>
        <v/>
      </c>
      <c r="Z2722">
        <f>IF($V2722="","",IF($AA2722&gt;N($AA2721),$AA2722,""))</f>
        <v/>
      </c>
      <c r="AA2722">
        <f>IF($V2722="",N($AA2721),IF(MATCH($V2722,$V$6:$V$6005,0)=ROW()-5,N($AA2721)+1,N($AA2721)))</f>
        <v/>
      </c>
    </row>
    <row r="2723" ht="21" customHeight="1" s="66">
      <c r="A2723" s="56" t="n"/>
      <c r="B2723" s="57" t="n"/>
      <c r="C2723" s="57" t="n"/>
      <c r="D2723" s="57" t="n"/>
      <c r="E2723" s="56" t="n"/>
      <c r="F2723" s="57" t="n"/>
      <c r="G2723" s="57" t="n"/>
      <c r="H2723" s="56" t="n"/>
      <c r="I2723" s="56" t="n"/>
      <c r="J2723" s="58" t="n"/>
      <c r="K2723" s="58" t="n"/>
      <c r="L2723" s="13">
        <f>IF(OR($A2723="",AND($J2723="",$K2723="")),"",ROUND(N($J2723)-N($K2723),2))</f>
        <v/>
      </c>
      <c r="M2723" s="13">
        <f>IF(OR($A2723="",AND($J2723="",$K2723="")),"",MIN($J2723,$K2723))</f>
        <v/>
      </c>
      <c r="Q2723">
        <f>IF($A2723="","",$D2723&amp;"("&amp;SUBSTITUTE($E2723," ","")&amp;")")</f>
        <v/>
      </c>
      <c r="R2723">
        <f>IF($A2723="","",$B2723&amp;" - "&amp;$C2723)</f>
        <v/>
      </c>
      <c r="S2723">
        <f>IF($A2723="","",$R2723&amp;"|"&amp;$Q2723)</f>
        <v/>
      </c>
      <c r="T2723">
        <f>IF($A2723="","",$S2723&amp;"|"&amp;$F2723)</f>
        <v/>
      </c>
      <c r="U2723">
        <f>IF($A2723="","",$R2723&amp;"("&amp;$E2723&amp;")")</f>
        <v/>
      </c>
      <c r="V2723">
        <f>IF($A2723="","",$F2723&amp;"|"&amp;$U2723&amp;"|"&amp;$D2723)</f>
        <v/>
      </c>
      <c r="W2723">
        <f>IF($T2723="","",IF($X2723&gt;N($X2722),$X2723,""))</f>
        <v/>
      </c>
      <c r="X2723">
        <f>IF($T2723="",N($X2722),IF(MATCH($T2723,$T$6:$T$6005,0)=ROW()-5,N($X2722)+1,N($X2722)))</f>
        <v/>
      </c>
      <c r="Z2723">
        <f>IF($V2723="","",IF($AA2723&gt;N($AA2722),$AA2723,""))</f>
        <v/>
      </c>
      <c r="AA2723">
        <f>IF($V2723="",N($AA2722),IF(MATCH($V2723,$V$6:$V$6005,0)=ROW()-5,N($AA2722)+1,N($AA2722)))</f>
        <v/>
      </c>
    </row>
    <row r="2724" ht="21" customHeight="1" s="66">
      <c r="A2724" s="56" t="n"/>
      <c r="B2724" s="57" t="n"/>
      <c r="C2724" s="57" t="n"/>
      <c r="D2724" s="57" t="n"/>
      <c r="E2724" s="56" t="n"/>
      <c r="F2724" s="57" t="n"/>
      <c r="G2724" s="57" t="n"/>
      <c r="H2724" s="56" t="n"/>
      <c r="I2724" s="56" t="n"/>
      <c r="J2724" s="58" t="n"/>
      <c r="K2724" s="58" t="n"/>
      <c r="L2724" s="13">
        <f>IF(OR($A2724="",AND($J2724="",$K2724="")),"",ROUND(N($J2724)-N($K2724),2))</f>
        <v/>
      </c>
      <c r="M2724" s="13">
        <f>IF(OR($A2724="",AND($J2724="",$K2724="")),"",MIN($J2724,$K2724))</f>
        <v/>
      </c>
      <c r="Q2724">
        <f>IF($A2724="","",$D2724&amp;"("&amp;SUBSTITUTE($E2724," ","")&amp;")")</f>
        <v/>
      </c>
      <c r="R2724">
        <f>IF($A2724="","",$B2724&amp;" - "&amp;$C2724)</f>
        <v/>
      </c>
      <c r="S2724">
        <f>IF($A2724="","",$R2724&amp;"|"&amp;$Q2724)</f>
        <v/>
      </c>
      <c r="T2724">
        <f>IF($A2724="","",$S2724&amp;"|"&amp;$F2724)</f>
        <v/>
      </c>
      <c r="U2724">
        <f>IF($A2724="","",$R2724&amp;"("&amp;$E2724&amp;")")</f>
        <v/>
      </c>
      <c r="V2724">
        <f>IF($A2724="","",$F2724&amp;"|"&amp;$U2724&amp;"|"&amp;$D2724)</f>
        <v/>
      </c>
      <c r="W2724">
        <f>IF($T2724="","",IF($X2724&gt;N($X2723),$X2724,""))</f>
        <v/>
      </c>
      <c r="X2724">
        <f>IF($T2724="",N($X2723),IF(MATCH($T2724,$T$6:$T$6005,0)=ROW()-5,N($X2723)+1,N($X2723)))</f>
        <v/>
      </c>
      <c r="Z2724">
        <f>IF($V2724="","",IF($AA2724&gt;N($AA2723),$AA2724,""))</f>
        <v/>
      </c>
      <c r="AA2724">
        <f>IF($V2724="",N($AA2723),IF(MATCH($V2724,$V$6:$V$6005,0)=ROW()-5,N($AA2723)+1,N($AA2723)))</f>
        <v/>
      </c>
    </row>
    <row r="2725" ht="21" customHeight="1" s="66">
      <c r="A2725" s="56" t="n"/>
      <c r="B2725" s="57" t="n"/>
      <c r="C2725" s="57" t="n"/>
      <c r="D2725" s="57" t="n"/>
      <c r="E2725" s="56" t="n"/>
      <c r="F2725" s="57" t="n"/>
      <c r="G2725" s="57" t="n"/>
      <c r="H2725" s="56" t="n"/>
      <c r="I2725" s="56" t="n"/>
      <c r="J2725" s="58" t="n"/>
      <c r="K2725" s="58" t="n"/>
      <c r="L2725" s="13">
        <f>IF(OR($A2725="",AND($J2725="",$K2725="")),"",ROUND(N($J2725)-N($K2725),2))</f>
        <v/>
      </c>
      <c r="M2725" s="13">
        <f>IF(OR($A2725="",AND($J2725="",$K2725="")),"",MIN($J2725,$K2725))</f>
        <v/>
      </c>
      <c r="Q2725">
        <f>IF($A2725="","",$D2725&amp;"("&amp;SUBSTITUTE($E2725," ","")&amp;")")</f>
        <v/>
      </c>
      <c r="R2725">
        <f>IF($A2725="","",$B2725&amp;" - "&amp;$C2725)</f>
        <v/>
      </c>
      <c r="S2725">
        <f>IF($A2725="","",$R2725&amp;"|"&amp;$Q2725)</f>
        <v/>
      </c>
      <c r="T2725">
        <f>IF($A2725="","",$S2725&amp;"|"&amp;$F2725)</f>
        <v/>
      </c>
      <c r="U2725">
        <f>IF($A2725="","",$R2725&amp;"("&amp;$E2725&amp;")")</f>
        <v/>
      </c>
      <c r="V2725">
        <f>IF($A2725="","",$F2725&amp;"|"&amp;$U2725&amp;"|"&amp;$D2725)</f>
        <v/>
      </c>
      <c r="W2725">
        <f>IF($T2725="","",IF($X2725&gt;N($X2724),$X2725,""))</f>
        <v/>
      </c>
      <c r="X2725">
        <f>IF($T2725="",N($X2724),IF(MATCH($T2725,$T$6:$T$6005,0)=ROW()-5,N($X2724)+1,N($X2724)))</f>
        <v/>
      </c>
      <c r="Z2725">
        <f>IF($V2725="","",IF($AA2725&gt;N($AA2724),$AA2725,""))</f>
        <v/>
      </c>
      <c r="AA2725">
        <f>IF($V2725="",N($AA2724),IF(MATCH($V2725,$V$6:$V$6005,0)=ROW()-5,N($AA2724)+1,N($AA2724)))</f>
        <v/>
      </c>
    </row>
    <row r="2726" ht="21" customHeight="1" s="66">
      <c r="A2726" s="56" t="n"/>
      <c r="B2726" s="57" t="n"/>
      <c r="C2726" s="57" t="n"/>
      <c r="D2726" s="57" t="n"/>
      <c r="E2726" s="56" t="n"/>
      <c r="F2726" s="57" t="n"/>
      <c r="G2726" s="57" t="n"/>
      <c r="H2726" s="56" t="n"/>
      <c r="I2726" s="56" t="n"/>
      <c r="J2726" s="58" t="n"/>
      <c r="K2726" s="58" t="n"/>
      <c r="L2726" s="13">
        <f>IF(OR($A2726="",AND($J2726="",$K2726="")),"",ROUND(N($J2726)-N($K2726),2))</f>
        <v/>
      </c>
      <c r="M2726" s="13">
        <f>IF(OR($A2726="",AND($J2726="",$K2726="")),"",MIN($J2726,$K2726))</f>
        <v/>
      </c>
      <c r="Q2726">
        <f>IF($A2726="","",$D2726&amp;"("&amp;SUBSTITUTE($E2726," ","")&amp;")")</f>
        <v/>
      </c>
      <c r="R2726">
        <f>IF($A2726="","",$B2726&amp;" - "&amp;$C2726)</f>
        <v/>
      </c>
      <c r="S2726">
        <f>IF($A2726="","",$R2726&amp;"|"&amp;$Q2726)</f>
        <v/>
      </c>
      <c r="T2726">
        <f>IF($A2726="","",$S2726&amp;"|"&amp;$F2726)</f>
        <v/>
      </c>
      <c r="U2726">
        <f>IF($A2726="","",$R2726&amp;"("&amp;$E2726&amp;")")</f>
        <v/>
      </c>
      <c r="V2726">
        <f>IF($A2726="","",$F2726&amp;"|"&amp;$U2726&amp;"|"&amp;$D2726)</f>
        <v/>
      </c>
      <c r="W2726">
        <f>IF($T2726="","",IF($X2726&gt;N($X2725),$X2726,""))</f>
        <v/>
      </c>
      <c r="X2726">
        <f>IF($T2726="",N($X2725),IF(MATCH($T2726,$T$6:$T$6005,0)=ROW()-5,N($X2725)+1,N($X2725)))</f>
        <v/>
      </c>
      <c r="Z2726">
        <f>IF($V2726="","",IF($AA2726&gt;N($AA2725),$AA2726,""))</f>
        <v/>
      </c>
      <c r="AA2726">
        <f>IF($V2726="",N($AA2725),IF(MATCH($V2726,$V$6:$V$6005,0)=ROW()-5,N($AA2725)+1,N($AA2725)))</f>
        <v/>
      </c>
    </row>
    <row r="2727" ht="21" customHeight="1" s="66">
      <c r="A2727" s="56" t="n"/>
      <c r="B2727" s="57" t="n"/>
      <c r="C2727" s="57" t="n"/>
      <c r="D2727" s="57" t="n"/>
      <c r="E2727" s="56" t="n"/>
      <c r="F2727" s="57" t="n"/>
      <c r="G2727" s="57" t="n"/>
      <c r="H2727" s="56" t="n"/>
      <c r="I2727" s="56" t="n"/>
      <c r="J2727" s="58" t="n"/>
      <c r="K2727" s="58" t="n"/>
      <c r="L2727" s="13">
        <f>IF(OR($A2727="",AND($J2727="",$K2727="")),"",ROUND(N($J2727)-N($K2727),2))</f>
        <v/>
      </c>
      <c r="M2727" s="13">
        <f>IF(OR($A2727="",AND($J2727="",$K2727="")),"",MIN($J2727,$K2727))</f>
        <v/>
      </c>
      <c r="Q2727">
        <f>IF($A2727="","",$D2727&amp;"("&amp;SUBSTITUTE($E2727," ","")&amp;")")</f>
        <v/>
      </c>
      <c r="R2727">
        <f>IF($A2727="","",$B2727&amp;" - "&amp;$C2727)</f>
        <v/>
      </c>
      <c r="S2727">
        <f>IF($A2727="","",$R2727&amp;"|"&amp;$Q2727)</f>
        <v/>
      </c>
      <c r="T2727">
        <f>IF($A2727="","",$S2727&amp;"|"&amp;$F2727)</f>
        <v/>
      </c>
      <c r="U2727">
        <f>IF($A2727="","",$R2727&amp;"("&amp;$E2727&amp;")")</f>
        <v/>
      </c>
      <c r="V2727">
        <f>IF($A2727="","",$F2727&amp;"|"&amp;$U2727&amp;"|"&amp;$D2727)</f>
        <v/>
      </c>
      <c r="W2727">
        <f>IF($T2727="","",IF($X2727&gt;N($X2726),$X2727,""))</f>
        <v/>
      </c>
      <c r="X2727">
        <f>IF($T2727="",N($X2726),IF(MATCH($T2727,$T$6:$T$6005,0)=ROW()-5,N($X2726)+1,N($X2726)))</f>
        <v/>
      </c>
      <c r="Z2727">
        <f>IF($V2727="","",IF($AA2727&gt;N($AA2726),$AA2727,""))</f>
        <v/>
      </c>
      <c r="AA2727">
        <f>IF($V2727="",N($AA2726),IF(MATCH($V2727,$V$6:$V$6005,0)=ROW()-5,N($AA2726)+1,N($AA2726)))</f>
        <v/>
      </c>
    </row>
    <row r="2728" ht="21" customHeight="1" s="66">
      <c r="A2728" s="56" t="n"/>
      <c r="B2728" s="57" t="n"/>
      <c r="C2728" s="57" t="n"/>
      <c r="D2728" s="57" t="n"/>
      <c r="E2728" s="56" t="n"/>
      <c r="F2728" s="57" t="n"/>
      <c r="G2728" s="57" t="n"/>
      <c r="H2728" s="56" t="n"/>
      <c r="I2728" s="56" t="n"/>
      <c r="J2728" s="58" t="n"/>
      <c r="K2728" s="58" t="n"/>
      <c r="L2728" s="13">
        <f>IF(OR($A2728="",AND($J2728="",$K2728="")),"",ROUND(N($J2728)-N($K2728),2))</f>
        <v/>
      </c>
      <c r="M2728" s="13">
        <f>IF(OR($A2728="",AND($J2728="",$K2728="")),"",MIN($J2728,$K2728))</f>
        <v/>
      </c>
      <c r="Q2728">
        <f>IF($A2728="","",$D2728&amp;"("&amp;SUBSTITUTE($E2728," ","")&amp;")")</f>
        <v/>
      </c>
      <c r="R2728">
        <f>IF($A2728="","",$B2728&amp;" - "&amp;$C2728)</f>
        <v/>
      </c>
      <c r="S2728">
        <f>IF($A2728="","",$R2728&amp;"|"&amp;$Q2728)</f>
        <v/>
      </c>
      <c r="T2728">
        <f>IF($A2728="","",$S2728&amp;"|"&amp;$F2728)</f>
        <v/>
      </c>
      <c r="U2728">
        <f>IF($A2728="","",$R2728&amp;"("&amp;$E2728&amp;")")</f>
        <v/>
      </c>
      <c r="V2728">
        <f>IF($A2728="","",$F2728&amp;"|"&amp;$U2728&amp;"|"&amp;$D2728)</f>
        <v/>
      </c>
      <c r="W2728">
        <f>IF($T2728="","",IF($X2728&gt;N($X2727),$X2728,""))</f>
        <v/>
      </c>
      <c r="X2728">
        <f>IF($T2728="",N($X2727),IF(MATCH($T2728,$T$6:$T$6005,0)=ROW()-5,N($X2727)+1,N($X2727)))</f>
        <v/>
      </c>
      <c r="Z2728">
        <f>IF($V2728="","",IF($AA2728&gt;N($AA2727),$AA2728,""))</f>
        <v/>
      </c>
      <c r="AA2728">
        <f>IF($V2728="",N($AA2727),IF(MATCH($V2728,$V$6:$V$6005,0)=ROW()-5,N($AA2727)+1,N($AA2727)))</f>
        <v/>
      </c>
    </row>
    <row r="2729" ht="21" customHeight="1" s="66">
      <c r="A2729" s="56" t="n"/>
      <c r="B2729" s="57" t="n"/>
      <c r="C2729" s="57" t="n"/>
      <c r="D2729" s="57" t="n"/>
      <c r="E2729" s="56" t="n"/>
      <c r="F2729" s="57" t="n"/>
      <c r="G2729" s="57" t="n"/>
      <c r="H2729" s="56" t="n"/>
      <c r="I2729" s="56" t="n"/>
      <c r="J2729" s="58" t="n"/>
      <c r="K2729" s="58" t="n"/>
      <c r="L2729" s="13">
        <f>IF(OR($A2729="",AND($J2729="",$K2729="")),"",ROUND(N($J2729)-N($K2729),2))</f>
        <v/>
      </c>
      <c r="M2729" s="13">
        <f>IF(OR($A2729="",AND($J2729="",$K2729="")),"",MIN($J2729,$K2729))</f>
        <v/>
      </c>
      <c r="Q2729">
        <f>IF($A2729="","",$D2729&amp;"("&amp;SUBSTITUTE($E2729," ","")&amp;")")</f>
        <v/>
      </c>
      <c r="R2729">
        <f>IF($A2729="","",$B2729&amp;" - "&amp;$C2729)</f>
        <v/>
      </c>
      <c r="S2729">
        <f>IF($A2729="","",$R2729&amp;"|"&amp;$Q2729)</f>
        <v/>
      </c>
      <c r="T2729">
        <f>IF($A2729="","",$S2729&amp;"|"&amp;$F2729)</f>
        <v/>
      </c>
      <c r="U2729">
        <f>IF($A2729="","",$R2729&amp;"("&amp;$E2729&amp;")")</f>
        <v/>
      </c>
      <c r="V2729">
        <f>IF($A2729="","",$F2729&amp;"|"&amp;$U2729&amp;"|"&amp;$D2729)</f>
        <v/>
      </c>
      <c r="W2729">
        <f>IF($T2729="","",IF($X2729&gt;N($X2728),$X2729,""))</f>
        <v/>
      </c>
      <c r="X2729">
        <f>IF($T2729="",N($X2728),IF(MATCH($T2729,$T$6:$T$6005,0)=ROW()-5,N($X2728)+1,N($X2728)))</f>
        <v/>
      </c>
      <c r="Z2729">
        <f>IF($V2729="","",IF($AA2729&gt;N($AA2728),$AA2729,""))</f>
        <v/>
      </c>
      <c r="AA2729">
        <f>IF($V2729="",N($AA2728),IF(MATCH($V2729,$V$6:$V$6005,0)=ROW()-5,N($AA2728)+1,N($AA2728)))</f>
        <v/>
      </c>
    </row>
    <row r="2730" ht="21" customHeight="1" s="66">
      <c r="A2730" s="56" t="n"/>
      <c r="B2730" s="57" t="n"/>
      <c r="C2730" s="57" t="n"/>
      <c r="D2730" s="57" t="n"/>
      <c r="E2730" s="56" t="n"/>
      <c r="F2730" s="57" t="n"/>
      <c r="G2730" s="57" t="n"/>
      <c r="H2730" s="56" t="n"/>
      <c r="I2730" s="56" t="n"/>
      <c r="J2730" s="58" t="n"/>
      <c r="K2730" s="58" t="n"/>
      <c r="L2730" s="13">
        <f>IF(OR($A2730="",AND($J2730="",$K2730="")),"",ROUND(N($J2730)-N($K2730),2))</f>
        <v/>
      </c>
      <c r="M2730" s="13">
        <f>IF(OR($A2730="",AND($J2730="",$K2730="")),"",MIN($J2730,$K2730))</f>
        <v/>
      </c>
      <c r="Q2730">
        <f>IF($A2730="","",$D2730&amp;"("&amp;SUBSTITUTE($E2730," ","")&amp;")")</f>
        <v/>
      </c>
      <c r="R2730">
        <f>IF($A2730="","",$B2730&amp;" - "&amp;$C2730)</f>
        <v/>
      </c>
      <c r="S2730">
        <f>IF($A2730="","",$R2730&amp;"|"&amp;$Q2730)</f>
        <v/>
      </c>
      <c r="T2730">
        <f>IF($A2730="","",$S2730&amp;"|"&amp;$F2730)</f>
        <v/>
      </c>
      <c r="U2730">
        <f>IF($A2730="","",$R2730&amp;"("&amp;$E2730&amp;")")</f>
        <v/>
      </c>
      <c r="V2730">
        <f>IF($A2730="","",$F2730&amp;"|"&amp;$U2730&amp;"|"&amp;$D2730)</f>
        <v/>
      </c>
      <c r="W2730">
        <f>IF($T2730="","",IF($X2730&gt;N($X2729),$X2730,""))</f>
        <v/>
      </c>
      <c r="X2730">
        <f>IF($T2730="",N($X2729),IF(MATCH($T2730,$T$6:$T$6005,0)=ROW()-5,N($X2729)+1,N($X2729)))</f>
        <v/>
      </c>
      <c r="Z2730">
        <f>IF($V2730="","",IF($AA2730&gt;N($AA2729),$AA2730,""))</f>
        <v/>
      </c>
      <c r="AA2730">
        <f>IF($V2730="",N($AA2729),IF(MATCH($V2730,$V$6:$V$6005,0)=ROW()-5,N($AA2729)+1,N($AA2729)))</f>
        <v/>
      </c>
    </row>
    <row r="2731" ht="21" customHeight="1" s="66">
      <c r="A2731" s="56" t="n"/>
      <c r="B2731" s="57" t="n"/>
      <c r="C2731" s="57" t="n"/>
      <c r="D2731" s="57" t="n"/>
      <c r="E2731" s="56" t="n"/>
      <c r="F2731" s="57" t="n"/>
      <c r="G2731" s="57" t="n"/>
      <c r="H2731" s="56" t="n"/>
      <c r="I2731" s="56" t="n"/>
      <c r="J2731" s="58" t="n"/>
      <c r="K2731" s="58" t="n"/>
      <c r="L2731" s="13">
        <f>IF(OR($A2731="",AND($J2731="",$K2731="")),"",ROUND(N($J2731)-N($K2731),2))</f>
        <v/>
      </c>
      <c r="M2731" s="13">
        <f>IF(OR($A2731="",AND($J2731="",$K2731="")),"",MIN($J2731,$K2731))</f>
        <v/>
      </c>
      <c r="Q2731">
        <f>IF($A2731="","",$D2731&amp;"("&amp;SUBSTITUTE($E2731," ","")&amp;")")</f>
        <v/>
      </c>
      <c r="R2731">
        <f>IF($A2731="","",$B2731&amp;" - "&amp;$C2731)</f>
        <v/>
      </c>
      <c r="S2731">
        <f>IF($A2731="","",$R2731&amp;"|"&amp;$Q2731)</f>
        <v/>
      </c>
      <c r="T2731">
        <f>IF($A2731="","",$S2731&amp;"|"&amp;$F2731)</f>
        <v/>
      </c>
      <c r="U2731">
        <f>IF($A2731="","",$R2731&amp;"("&amp;$E2731&amp;")")</f>
        <v/>
      </c>
      <c r="V2731">
        <f>IF($A2731="","",$F2731&amp;"|"&amp;$U2731&amp;"|"&amp;$D2731)</f>
        <v/>
      </c>
      <c r="W2731">
        <f>IF($T2731="","",IF($X2731&gt;N($X2730),$X2731,""))</f>
        <v/>
      </c>
      <c r="X2731">
        <f>IF($T2731="",N($X2730),IF(MATCH($T2731,$T$6:$T$6005,0)=ROW()-5,N($X2730)+1,N($X2730)))</f>
        <v/>
      </c>
      <c r="Z2731">
        <f>IF($V2731="","",IF($AA2731&gt;N($AA2730),$AA2731,""))</f>
        <v/>
      </c>
      <c r="AA2731">
        <f>IF($V2731="",N($AA2730),IF(MATCH($V2731,$V$6:$V$6005,0)=ROW()-5,N($AA2730)+1,N($AA2730)))</f>
        <v/>
      </c>
    </row>
    <row r="2732" ht="21" customHeight="1" s="66">
      <c r="A2732" s="56" t="n"/>
      <c r="B2732" s="57" t="n"/>
      <c r="C2732" s="57" t="n"/>
      <c r="D2732" s="57" t="n"/>
      <c r="E2732" s="56" t="n"/>
      <c r="F2732" s="57" t="n"/>
      <c r="G2732" s="57" t="n"/>
      <c r="H2732" s="56" t="n"/>
      <c r="I2732" s="56" t="n"/>
      <c r="J2732" s="58" t="n"/>
      <c r="K2732" s="58" t="n"/>
      <c r="L2732" s="13">
        <f>IF(OR($A2732="",AND($J2732="",$K2732="")),"",ROUND(N($J2732)-N($K2732),2))</f>
        <v/>
      </c>
      <c r="M2732" s="13">
        <f>IF(OR($A2732="",AND($J2732="",$K2732="")),"",MIN($J2732,$K2732))</f>
        <v/>
      </c>
      <c r="Q2732">
        <f>IF($A2732="","",$D2732&amp;"("&amp;SUBSTITUTE($E2732," ","")&amp;")")</f>
        <v/>
      </c>
      <c r="R2732">
        <f>IF($A2732="","",$B2732&amp;" - "&amp;$C2732)</f>
        <v/>
      </c>
      <c r="S2732">
        <f>IF($A2732="","",$R2732&amp;"|"&amp;$Q2732)</f>
        <v/>
      </c>
      <c r="T2732">
        <f>IF($A2732="","",$S2732&amp;"|"&amp;$F2732)</f>
        <v/>
      </c>
      <c r="U2732">
        <f>IF($A2732="","",$R2732&amp;"("&amp;$E2732&amp;")")</f>
        <v/>
      </c>
      <c r="V2732">
        <f>IF($A2732="","",$F2732&amp;"|"&amp;$U2732&amp;"|"&amp;$D2732)</f>
        <v/>
      </c>
      <c r="W2732">
        <f>IF($T2732="","",IF($X2732&gt;N($X2731),$X2732,""))</f>
        <v/>
      </c>
      <c r="X2732">
        <f>IF($T2732="",N($X2731),IF(MATCH($T2732,$T$6:$T$6005,0)=ROW()-5,N($X2731)+1,N($X2731)))</f>
        <v/>
      </c>
      <c r="Z2732">
        <f>IF($V2732="","",IF($AA2732&gt;N($AA2731),$AA2732,""))</f>
        <v/>
      </c>
      <c r="AA2732">
        <f>IF($V2732="",N($AA2731),IF(MATCH($V2732,$V$6:$V$6005,0)=ROW()-5,N($AA2731)+1,N($AA2731)))</f>
        <v/>
      </c>
    </row>
    <row r="2733" ht="21" customHeight="1" s="66">
      <c r="A2733" s="56" t="n"/>
      <c r="B2733" s="57" t="n"/>
      <c r="C2733" s="57" t="n"/>
      <c r="D2733" s="57" t="n"/>
      <c r="E2733" s="56" t="n"/>
      <c r="F2733" s="57" t="n"/>
      <c r="G2733" s="57" t="n"/>
      <c r="H2733" s="56" t="n"/>
      <c r="I2733" s="56" t="n"/>
      <c r="J2733" s="58" t="n"/>
      <c r="K2733" s="58" t="n"/>
      <c r="L2733" s="13">
        <f>IF(OR($A2733="",AND($J2733="",$K2733="")),"",ROUND(N($J2733)-N($K2733),2))</f>
        <v/>
      </c>
      <c r="M2733" s="13">
        <f>IF(OR($A2733="",AND($J2733="",$K2733="")),"",MIN($J2733,$K2733))</f>
        <v/>
      </c>
      <c r="Q2733">
        <f>IF($A2733="","",$D2733&amp;"("&amp;SUBSTITUTE($E2733," ","")&amp;")")</f>
        <v/>
      </c>
      <c r="R2733">
        <f>IF($A2733="","",$B2733&amp;" - "&amp;$C2733)</f>
        <v/>
      </c>
      <c r="S2733">
        <f>IF($A2733="","",$R2733&amp;"|"&amp;$Q2733)</f>
        <v/>
      </c>
      <c r="T2733">
        <f>IF($A2733="","",$S2733&amp;"|"&amp;$F2733)</f>
        <v/>
      </c>
      <c r="U2733">
        <f>IF($A2733="","",$R2733&amp;"("&amp;$E2733&amp;")")</f>
        <v/>
      </c>
      <c r="V2733">
        <f>IF($A2733="","",$F2733&amp;"|"&amp;$U2733&amp;"|"&amp;$D2733)</f>
        <v/>
      </c>
      <c r="W2733">
        <f>IF($T2733="","",IF($X2733&gt;N($X2732),$X2733,""))</f>
        <v/>
      </c>
      <c r="X2733">
        <f>IF($T2733="",N($X2732),IF(MATCH($T2733,$T$6:$T$6005,0)=ROW()-5,N($X2732)+1,N($X2732)))</f>
        <v/>
      </c>
      <c r="Z2733">
        <f>IF($V2733="","",IF($AA2733&gt;N($AA2732),$AA2733,""))</f>
        <v/>
      </c>
      <c r="AA2733">
        <f>IF($V2733="",N($AA2732),IF(MATCH($V2733,$V$6:$V$6005,0)=ROW()-5,N($AA2732)+1,N($AA2732)))</f>
        <v/>
      </c>
    </row>
    <row r="2734" ht="21" customHeight="1" s="66">
      <c r="A2734" s="56" t="n"/>
      <c r="B2734" s="57" t="n"/>
      <c r="C2734" s="57" t="n"/>
      <c r="D2734" s="57" t="n"/>
      <c r="E2734" s="56" t="n"/>
      <c r="F2734" s="57" t="n"/>
      <c r="G2734" s="57" t="n"/>
      <c r="H2734" s="56" t="n"/>
      <c r="I2734" s="56" t="n"/>
      <c r="J2734" s="58" t="n"/>
      <c r="K2734" s="58" t="n"/>
      <c r="L2734" s="13">
        <f>IF(OR($A2734="",AND($J2734="",$K2734="")),"",ROUND(N($J2734)-N($K2734),2))</f>
        <v/>
      </c>
      <c r="M2734" s="13">
        <f>IF(OR($A2734="",AND($J2734="",$K2734="")),"",MIN($J2734,$K2734))</f>
        <v/>
      </c>
      <c r="Q2734">
        <f>IF($A2734="","",$D2734&amp;"("&amp;SUBSTITUTE($E2734," ","")&amp;")")</f>
        <v/>
      </c>
      <c r="R2734">
        <f>IF($A2734="","",$B2734&amp;" - "&amp;$C2734)</f>
        <v/>
      </c>
      <c r="S2734">
        <f>IF($A2734="","",$R2734&amp;"|"&amp;$Q2734)</f>
        <v/>
      </c>
      <c r="T2734">
        <f>IF($A2734="","",$S2734&amp;"|"&amp;$F2734)</f>
        <v/>
      </c>
      <c r="U2734">
        <f>IF($A2734="","",$R2734&amp;"("&amp;$E2734&amp;")")</f>
        <v/>
      </c>
      <c r="V2734">
        <f>IF($A2734="","",$F2734&amp;"|"&amp;$U2734&amp;"|"&amp;$D2734)</f>
        <v/>
      </c>
      <c r="W2734">
        <f>IF($T2734="","",IF($X2734&gt;N($X2733),$X2734,""))</f>
        <v/>
      </c>
      <c r="X2734">
        <f>IF($T2734="",N($X2733),IF(MATCH($T2734,$T$6:$T$6005,0)=ROW()-5,N($X2733)+1,N($X2733)))</f>
        <v/>
      </c>
      <c r="Z2734">
        <f>IF($V2734="","",IF($AA2734&gt;N($AA2733),$AA2734,""))</f>
        <v/>
      </c>
      <c r="AA2734">
        <f>IF($V2734="",N($AA2733),IF(MATCH($V2734,$V$6:$V$6005,0)=ROW()-5,N($AA2733)+1,N($AA2733)))</f>
        <v/>
      </c>
    </row>
    <row r="2735" ht="21" customHeight="1" s="66">
      <c r="A2735" s="56" t="n"/>
      <c r="B2735" s="57" t="n"/>
      <c r="C2735" s="57" t="n"/>
      <c r="D2735" s="57" t="n"/>
      <c r="E2735" s="56" t="n"/>
      <c r="F2735" s="57" t="n"/>
      <c r="G2735" s="57" t="n"/>
      <c r="H2735" s="56" t="n"/>
      <c r="I2735" s="56" t="n"/>
      <c r="J2735" s="58" t="n"/>
      <c r="K2735" s="58" t="n"/>
      <c r="L2735" s="13">
        <f>IF(OR($A2735="",AND($J2735="",$K2735="")),"",ROUND(N($J2735)-N($K2735),2))</f>
        <v/>
      </c>
      <c r="M2735" s="13">
        <f>IF(OR($A2735="",AND($J2735="",$K2735="")),"",MIN($J2735,$K2735))</f>
        <v/>
      </c>
      <c r="Q2735">
        <f>IF($A2735="","",$D2735&amp;"("&amp;SUBSTITUTE($E2735," ","")&amp;")")</f>
        <v/>
      </c>
      <c r="R2735">
        <f>IF($A2735="","",$B2735&amp;" - "&amp;$C2735)</f>
        <v/>
      </c>
      <c r="S2735">
        <f>IF($A2735="","",$R2735&amp;"|"&amp;$Q2735)</f>
        <v/>
      </c>
      <c r="T2735">
        <f>IF($A2735="","",$S2735&amp;"|"&amp;$F2735)</f>
        <v/>
      </c>
      <c r="U2735">
        <f>IF($A2735="","",$R2735&amp;"("&amp;$E2735&amp;")")</f>
        <v/>
      </c>
      <c r="V2735">
        <f>IF($A2735="","",$F2735&amp;"|"&amp;$U2735&amp;"|"&amp;$D2735)</f>
        <v/>
      </c>
      <c r="W2735">
        <f>IF($T2735="","",IF($X2735&gt;N($X2734),$X2735,""))</f>
        <v/>
      </c>
      <c r="X2735">
        <f>IF($T2735="",N($X2734),IF(MATCH($T2735,$T$6:$T$6005,0)=ROW()-5,N($X2734)+1,N($X2734)))</f>
        <v/>
      </c>
      <c r="Z2735">
        <f>IF($V2735="","",IF($AA2735&gt;N($AA2734),$AA2735,""))</f>
        <v/>
      </c>
      <c r="AA2735">
        <f>IF($V2735="",N($AA2734),IF(MATCH($V2735,$V$6:$V$6005,0)=ROW()-5,N($AA2734)+1,N($AA2734)))</f>
        <v/>
      </c>
    </row>
    <row r="2736" ht="21" customHeight="1" s="66">
      <c r="A2736" s="56" t="n"/>
      <c r="B2736" s="57" t="n"/>
      <c r="C2736" s="57" t="n"/>
      <c r="D2736" s="57" t="n"/>
      <c r="E2736" s="56" t="n"/>
      <c r="F2736" s="57" t="n"/>
      <c r="G2736" s="57" t="n"/>
      <c r="H2736" s="56" t="n"/>
      <c r="I2736" s="56" t="n"/>
      <c r="J2736" s="58" t="n"/>
      <c r="K2736" s="58" t="n"/>
      <c r="L2736" s="13">
        <f>IF(OR($A2736="",AND($J2736="",$K2736="")),"",ROUND(N($J2736)-N($K2736),2))</f>
        <v/>
      </c>
      <c r="M2736" s="13">
        <f>IF(OR($A2736="",AND($J2736="",$K2736="")),"",MIN($J2736,$K2736))</f>
        <v/>
      </c>
      <c r="Q2736">
        <f>IF($A2736="","",$D2736&amp;"("&amp;SUBSTITUTE($E2736," ","")&amp;")")</f>
        <v/>
      </c>
      <c r="R2736">
        <f>IF($A2736="","",$B2736&amp;" - "&amp;$C2736)</f>
        <v/>
      </c>
      <c r="S2736">
        <f>IF($A2736="","",$R2736&amp;"|"&amp;$Q2736)</f>
        <v/>
      </c>
      <c r="T2736">
        <f>IF($A2736="","",$S2736&amp;"|"&amp;$F2736)</f>
        <v/>
      </c>
      <c r="U2736">
        <f>IF($A2736="","",$R2736&amp;"("&amp;$E2736&amp;")")</f>
        <v/>
      </c>
      <c r="V2736">
        <f>IF($A2736="","",$F2736&amp;"|"&amp;$U2736&amp;"|"&amp;$D2736)</f>
        <v/>
      </c>
      <c r="W2736">
        <f>IF($T2736="","",IF($X2736&gt;N($X2735),$X2736,""))</f>
        <v/>
      </c>
      <c r="X2736">
        <f>IF($T2736="",N($X2735),IF(MATCH($T2736,$T$6:$T$6005,0)=ROW()-5,N($X2735)+1,N($X2735)))</f>
        <v/>
      </c>
      <c r="Z2736">
        <f>IF($V2736="","",IF($AA2736&gt;N($AA2735),$AA2736,""))</f>
        <v/>
      </c>
      <c r="AA2736">
        <f>IF($V2736="",N($AA2735),IF(MATCH($V2736,$V$6:$V$6005,0)=ROW()-5,N($AA2735)+1,N($AA2735)))</f>
        <v/>
      </c>
    </row>
    <row r="2737" ht="21" customHeight="1" s="66">
      <c r="A2737" s="56" t="n"/>
      <c r="B2737" s="57" t="n"/>
      <c r="C2737" s="57" t="n"/>
      <c r="D2737" s="57" t="n"/>
      <c r="E2737" s="56" t="n"/>
      <c r="F2737" s="57" t="n"/>
      <c r="G2737" s="57" t="n"/>
      <c r="H2737" s="56" t="n"/>
      <c r="I2737" s="56" t="n"/>
      <c r="J2737" s="58" t="n"/>
      <c r="K2737" s="58" t="n"/>
      <c r="L2737" s="13">
        <f>IF(OR($A2737="",AND($J2737="",$K2737="")),"",ROUND(N($J2737)-N($K2737),2))</f>
        <v/>
      </c>
      <c r="M2737" s="13">
        <f>IF(OR($A2737="",AND($J2737="",$K2737="")),"",MIN($J2737,$K2737))</f>
        <v/>
      </c>
      <c r="Q2737">
        <f>IF($A2737="","",$D2737&amp;"("&amp;SUBSTITUTE($E2737," ","")&amp;")")</f>
        <v/>
      </c>
      <c r="R2737">
        <f>IF($A2737="","",$B2737&amp;" - "&amp;$C2737)</f>
        <v/>
      </c>
      <c r="S2737">
        <f>IF($A2737="","",$R2737&amp;"|"&amp;$Q2737)</f>
        <v/>
      </c>
      <c r="T2737">
        <f>IF($A2737="","",$S2737&amp;"|"&amp;$F2737)</f>
        <v/>
      </c>
      <c r="U2737">
        <f>IF($A2737="","",$R2737&amp;"("&amp;$E2737&amp;")")</f>
        <v/>
      </c>
      <c r="V2737">
        <f>IF($A2737="","",$F2737&amp;"|"&amp;$U2737&amp;"|"&amp;$D2737)</f>
        <v/>
      </c>
      <c r="W2737">
        <f>IF($T2737="","",IF($X2737&gt;N($X2736),$X2737,""))</f>
        <v/>
      </c>
      <c r="X2737">
        <f>IF($T2737="",N($X2736),IF(MATCH($T2737,$T$6:$T$6005,0)=ROW()-5,N($X2736)+1,N($X2736)))</f>
        <v/>
      </c>
      <c r="Z2737">
        <f>IF($V2737="","",IF($AA2737&gt;N($AA2736),$AA2737,""))</f>
        <v/>
      </c>
      <c r="AA2737">
        <f>IF($V2737="",N($AA2736),IF(MATCH($V2737,$V$6:$V$6005,0)=ROW()-5,N($AA2736)+1,N($AA2736)))</f>
        <v/>
      </c>
    </row>
    <row r="2738" ht="21" customHeight="1" s="66">
      <c r="A2738" s="56" t="n"/>
      <c r="B2738" s="57" t="n"/>
      <c r="C2738" s="57" t="n"/>
      <c r="D2738" s="57" t="n"/>
      <c r="E2738" s="56" t="n"/>
      <c r="F2738" s="57" t="n"/>
      <c r="G2738" s="57" t="n"/>
      <c r="H2738" s="56" t="n"/>
      <c r="I2738" s="56" t="n"/>
      <c r="J2738" s="58" t="n"/>
      <c r="K2738" s="58" t="n"/>
      <c r="L2738" s="13">
        <f>IF(OR($A2738="",AND($J2738="",$K2738="")),"",ROUND(N($J2738)-N($K2738),2))</f>
        <v/>
      </c>
      <c r="M2738" s="13">
        <f>IF(OR($A2738="",AND($J2738="",$K2738="")),"",MIN($J2738,$K2738))</f>
        <v/>
      </c>
      <c r="Q2738">
        <f>IF($A2738="","",$D2738&amp;"("&amp;SUBSTITUTE($E2738," ","")&amp;")")</f>
        <v/>
      </c>
      <c r="R2738">
        <f>IF($A2738="","",$B2738&amp;" - "&amp;$C2738)</f>
        <v/>
      </c>
      <c r="S2738">
        <f>IF($A2738="","",$R2738&amp;"|"&amp;$Q2738)</f>
        <v/>
      </c>
      <c r="T2738">
        <f>IF($A2738="","",$S2738&amp;"|"&amp;$F2738)</f>
        <v/>
      </c>
      <c r="U2738">
        <f>IF($A2738="","",$R2738&amp;"("&amp;$E2738&amp;")")</f>
        <v/>
      </c>
      <c r="V2738">
        <f>IF($A2738="","",$F2738&amp;"|"&amp;$U2738&amp;"|"&amp;$D2738)</f>
        <v/>
      </c>
      <c r="W2738">
        <f>IF($T2738="","",IF($X2738&gt;N($X2737),$X2738,""))</f>
        <v/>
      </c>
      <c r="X2738">
        <f>IF($T2738="",N($X2737),IF(MATCH($T2738,$T$6:$T$6005,0)=ROW()-5,N($X2737)+1,N($X2737)))</f>
        <v/>
      </c>
      <c r="Z2738">
        <f>IF($V2738="","",IF($AA2738&gt;N($AA2737),$AA2738,""))</f>
        <v/>
      </c>
      <c r="AA2738">
        <f>IF($V2738="",N($AA2737),IF(MATCH($V2738,$V$6:$V$6005,0)=ROW()-5,N($AA2737)+1,N($AA2737)))</f>
        <v/>
      </c>
    </row>
    <row r="2739" ht="21" customHeight="1" s="66">
      <c r="A2739" s="56" t="n"/>
      <c r="B2739" s="57" t="n"/>
      <c r="C2739" s="57" t="n"/>
      <c r="D2739" s="57" t="n"/>
      <c r="E2739" s="56" t="n"/>
      <c r="F2739" s="57" t="n"/>
      <c r="G2739" s="57" t="n"/>
      <c r="H2739" s="56" t="n"/>
      <c r="I2739" s="56" t="n"/>
      <c r="J2739" s="58" t="n"/>
      <c r="K2739" s="58" t="n"/>
      <c r="L2739" s="13">
        <f>IF(OR($A2739="",AND($J2739="",$K2739="")),"",ROUND(N($J2739)-N($K2739),2))</f>
        <v/>
      </c>
      <c r="M2739" s="13">
        <f>IF(OR($A2739="",AND($J2739="",$K2739="")),"",MIN($J2739,$K2739))</f>
        <v/>
      </c>
      <c r="Q2739">
        <f>IF($A2739="","",$D2739&amp;"("&amp;SUBSTITUTE($E2739," ","")&amp;")")</f>
        <v/>
      </c>
      <c r="R2739">
        <f>IF($A2739="","",$B2739&amp;" - "&amp;$C2739)</f>
        <v/>
      </c>
      <c r="S2739">
        <f>IF($A2739="","",$R2739&amp;"|"&amp;$Q2739)</f>
        <v/>
      </c>
      <c r="T2739">
        <f>IF($A2739="","",$S2739&amp;"|"&amp;$F2739)</f>
        <v/>
      </c>
      <c r="U2739">
        <f>IF($A2739="","",$R2739&amp;"("&amp;$E2739&amp;")")</f>
        <v/>
      </c>
      <c r="V2739">
        <f>IF($A2739="","",$F2739&amp;"|"&amp;$U2739&amp;"|"&amp;$D2739)</f>
        <v/>
      </c>
      <c r="W2739">
        <f>IF($T2739="","",IF($X2739&gt;N($X2738),$X2739,""))</f>
        <v/>
      </c>
      <c r="X2739">
        <f>IF($T2739="",N($X2738),IF(MATCH($T2739,$T$6:$T$6005,0)=ROW()-5,N($X2738)+1,N($X2738)))</f>
        <v/>
      </c>
      <c r="Z2739">
        <f>IF($V2739="","",IF($AA2739&gt;N($AA2738),$AA2739,""))</f>
        <v/>
      </c>
      <c r="AA2739">
        <f>IF($V2739="",N($AA2738),IF(MATCH($V2739,$V$6:$V$6005,0)=ROW()-5,N($AA2738)+1,N($AA2738)))</f>
        <v/>
      </c>
    </row>
    <row r="2740" ht="21" customHeight="1" s="66">
      <c r="A2740" s="56" t="n"/>
      <c r="B2740" s="57" t="n"/>
      <c r="C2740" s="57" t="n"/>
      <c r="D2740" s="57" t="n"/>
      <c r="E2740" s="56" t="n"/>
      <c r="F2740" s="57" t="n"/>
      <c r="G2740" s="57" t="n"/>
      <c r="H2740" s="56" t="n"/>
      <c r="I2740" s="56" t="n"/>
      <c r="J2740" s="58" t="n"/>
      <c r="K2740" s="58" t="n"/>
      <c r="L2740" s="13">
        <f>IF(OR($A2740="",AND($J2740="",$K2740="")),"",ROUND(N($J2740)-N($K2740),2))</f>
        <v/>
      </c>
      <c r="M2740" s="13">
        <f>IF(OR($A2740="",AND($J2740="",$K2740="")),"",MIN($J2740,$K2740))</f>
        <v/>
      </c>
      <c r="Q2740">
        <f>IF($A2740="","",$D2740&amp;"("&amp;SUBSTITUTE($E2740," ","")&amp;")")</f>
        <v/>
      </c>
      <c r="R2740">
        <f>IF($A2740="","",$B2740&amp;" - "&amp;$C2740)</f>
        <v/>
      </c>
      <c r="S2740">
        <f>IF($A2740="","",$R2740&amp;"|"&amp;$Q2740)</f>
        <v/>
      </c>
      <c r="T2740">
        <f>IF($A2740="","",$S2740&amp;"|"&amp;$F2740)</f>
        <v/>
      </c>
      <c r="U2740">
        <f>IF($A2740="","",$R2740&amp;"("&amp;$E2740&amp;")")</f>
        <v/>
      </c>
      <c r="V2740">
        <f>IF($A2740="","",$F2740&amp;"|"&amp;$U2740&amp;"|"&amp;$D2740)</f>
        <v/>
      </c>
      <c r="W2740">
        <f>IF($T2740="","",IF($X2740&gt;N($X2739),$X2740,""))</f>
        <v/>
      </c>
      <c r="X2740">
        <f>IF($T2740="",N($X2739),IF(MATCH($T2740,$T$6:$T$6005,0)=ROW()-5,N($X2739)+1,N($X2739)))</f>
        <v/>
      </c>
      <c r="Z2740">
        <f>IF($V2740="","",IF($AA2740&gt;N($AA2739),$AA2740,""))</f>
        <v/>
      </c>
      <c r="AA2740">
        <f>IF($V2740="",N($AA2739),IF(MATCH($V2740,$V$6:$V$6005,0)=ROW()-5,N($AA2739)+1,N($AA2739)))</f>
        <v/>
      </c>
    </row>
    <row r="2741" ht="21" customHeight="1" s="66">
      <c r="A2741" s="56" t="n"/>
      <c r="B2741" s="57" t="n"/>
      <c r="C2741" s="57" t="n"/>
      <c r="D2741" s="57" t="n"/>
      <c r="E2741" s="56" t="n"/>
      <c r="F2741" s="57" t="n"/>
      <c r="G2741" s="57" t="n"/>
      <c r="H2741" s="56" t="n"/>
      <c r="I2741" s="56" t="n"/>
      <c r="J2741" s="58" t="n"/>
      <c r="K2741" s="58" t="n"/>
      <c r="L2741" s="13">
        <f>IF(OR($A2741="",AND($J2741="",$K2741="")),"",ROUND(N($J2741)-N($K2741),2))</f>
        <v/>
      </c>
      <c r="M2741" s="13">
        <f>IF(OR($A2741="",AND($J2741="",$K2741="")),"",MIN($J2741,$K2741))</f>
        <v/>
      </c>
      <c r="Q2741">
        <f>IF($A2741="","",$D2741&amp;"("&amp;SUBSTITUTE($E2741," ","")&amp;")")</f>
        <v/>
      </c>
      <c r="R2741">
        <f>IF($A2741="","",$B2741&amp;" - "&amp;$C2741)</f>
        <v/>
      </c>
      <c r="S2741">
        <f>IF($A2741="","",$R2741&amp;"|"&amp;$Q2741)</f>
        <v/>
      </c>
      <c r="T2741">
        <f>IF($A2741="","",$S2741&amp;"|"&amp;$F2741)</f>
        <v/>
      </c>
      <c r="U2741">
        <f>IF($A2741="","",$R2741&amp;"("&amp;$E2741&amp;")")</f>
        <v/>
      </c>
      <c r="V2741">
        <f>IF($A2741="","",$F2741&amp;"|"&amp;$U2741&amp;"|"&amp;$D2741)</f>
        <v/>
      </c>
      <c r="W2741">
        <f>IF($T2741="","",IF($X2741&gt;N($X2740),$X2741,""))</f>
        <v/>
      </c>
      <c r="X2741">
        <f>IF($T2741="",N($X2740),IF(MATCH($T2741,$T$6:$T$6005,0)=ROW()-5,N($X2740)+1,N($X2740)))</f>
        <v/>
      </c>
      <c r="Z2741">
        <f>IF($V2741="","",IF($AA2741&gt;N($AA2740),$AA2741,""))</f>
        <v/>
      </c>
      <c r="AA2741">
        <f>IF($V2741="",N($AA2740),IF(MATCH($V2741,$V$6:$V$6005,0)=ROW()-5,N($AA2740)+1,N($AA2740)))</f>
        <v/>
      </c>
    </row>
    <row r="2742" ht="21" customHeight="1" s="66">
      <c r="A2742" s="56" t="n"/>
      <c r="B2742" s="57" t="n"/>
      <c r="C2742" s="57" t="n"/>
      <c r="D2742" s="57" t="n"/>
      <c r="E2742" s="56" t="n"/>
      <c r="F2742" s="57" t="n"/>
      <c r="G2742" s="57" t="n"/>
      <c r="H2742" s="56" t="n"/>
      <c r="I2742" s="56" t="n"/>
      <c r="J2742" s="58" t="n"/>
      <c r="K2742" s="58" t="n"/>
      <c r="L2742" s="13">
        <f>IF(OR($A2742="",AND($J2742="",$K2742="")),"",ROUND(N($J2742)-N($K2742),2))</f>
        <v/>
      </c>
      <c r="M2742" s="13">
        <f>IF(OR($A2742="",AND($J2742="",$K2742="")),"",MIN($J2742,$K2742))</f>
        <v/>
      </c>
      <c r="Q2742">
        <f>IF($A2742="","",$D2742&amp;"("&amp;SUBSTITUTE($E2742," ","")&amp;")")</f>
        <v/>
      </c>
      <c r="R2742">
        <f>IF($A2742="","",$B2742&amp;" - "&amp;$C2742)</f>
        <v/>
      </c>
      <c r="S2742">
        <f>IF($A2742="","",$R2742&amp;"|"&amp;$Q2742)</f>
        <v/>
      </c>
      <c r="T2742">
        <f>IF($A2742="","",$S2742&amp;"|"&amp;$F2742)</f>
        <v/>
      </c>
      <c r="U2742">
        <f>IF($A2742="","",$R2742&amp;"("&amp;$E2742&amp;")")</f>
        <v/>
      </c>
      <c r="V2742">
        <f>IF($A2742="","",$F2742&amp;"|"&amp;$U2742&amp;"|"&amp;$D2742)</f>
        <v/>
      </c>
      <c r="W2742">
        <f>IF($T2742="","",IF($X2742&gt;N($X2741),$X2742,""))</f>
        <v/>
      </c>
      <c r="X2742">
        <f>IF($T2742="",N($X2741),IF(MATCH($T2742,$T$6:$T$6005,0)=ROW()-5,N($X2741)+1,N($X2741)))</f>
        <v/>
      </c>
      <c r="Z2742">
        <f>IF($V2742="","",IF($AA2742&gt;N($AA2741),$AA2742,""))</f>
        <v/>
      </c>
      <c r="AA2742">
        <f>IF($V2742="",N($AA2741),IF(MATCH($V2742,$V$6:$V$6005,0)=ROW()-5,N($AA2741)+1,N($AA2741)))</f>
        <v/>
      </c>
    </row>
    <row r="2743" ht="21" customHeight="1" s="66">
      <c r="A2743" s="56" t="n"/>
      <c r="B2743" s="57" t="n"/>
      <c r="C2743" s="57" t="n"/>
      <c r="D2743" s="57" t="n"/>
      <c r="E2743" s="56" t="n"/>
      <c r="F2743" s="57" t="n"/>
      <c r="G2743" s="57" t="n"/>
      <c r="H2743" s="56" t="n"/>
      <c r="I2743" s="56" t="n"/>
      <c r="J2743" s="58" t="n"/>
      <c r="K2743" s="58" t="n"/>
      <c r="L2743" s="13">
        <f>IF(OR($A2743="",AND($J2743="",$K2743="")),"",ROUND(N($J2743)-N($K2743),2))</f>
        <v/>
      </c>
      <c r="M2743" s="13">
        <f>IF(OR($A2743="",AND($J2743="",$K2743="")),"",MIN($J2743,$K2743))</f>
        <v/>
      </c>
      <c r="Q2743">
        <f>IF($A2743="","",$D2743&amp;"("&amp;SUBSTITUTE($E2743," ","")&amp;")")</f>
        <v/>
      </c>
      <c r="R2743">
        <f>IF($A2743="","",$B2743&amp;" - "&amp;$C2743)</f>
        <v/>
      </c>
      <c r="S2743">
        <f>IF($A2743="","",$R2743&amp;"|"&amp;$Q2743)</f>
        <v/>
      </c>
      <c r="T2743">
        <f>IF($A2743="","",$S2743&amp;"|"&amp;$F2743)</f>
        <v/>
      </c>
      <c r="U2743">
        <f>IF($A2743="","",$R2743&amp;"("&amp;$E2743&amp;")")</f>
        <v/>
      </c>
      <c r="V2743">
        <f>IF($A2743="","",$F2743&amp;"|"&amp;$U2743&amp;"|"&amp;$D2743)</f>
        <v/>
      </c>
      <c r="W2743">
        <f>IF($T2743="","",IF($X2743&gt;N($X2742),$X2743,""))</f>
        <v/>
      </c>
      <c r="X2743">
        <f>IF($T2743="",N($X2742),IF(MATCH($T2743,$T$6:$T$6005,0)=ROW()-5,N($X2742)+1,N($X2742)))</f>
        <v/>
      </c>
      <c r="Z2743">
        <f>IF($V2743="","",IF($AA2743&gt;N($AA2742),$AA2743,""))</f>
        <v/>
      </c>
      <c r="AA2743">
        <f>IF($V2743="",N($AA2742),IF(MATCH($V2743,$V$6:$V$6005,0)=ROW()-5,N($AA2742)+1,N($AA2742)))</f>
        <v/>
      </c>
    </row>
    <row r="2744" ht="21" customHeight="1" s="66">
      <c r="A2744" s="56" t="n"/>
      <c r="B2744" s="57" t="n"/>
      <c r="C2744" s="57" t="n"/>
      <c r="D2744" s="57" t="n"/>
      <c r="E2744" s="56" t="n"/>
      <c r="F2744" s="57" t="n"/>
      <c r="G2744" s="57" t="n"/>
      <c r="H2744" s="56" t="n"/>
      <c r="I2744" s="56" t="n"/>
      <c r="J2744" s="58" t="n"/>
      <c r="K2744" s="58" t="n"/>
      <c r="L2744" s="13">
        <f>IF(OR($A2744="",AND($J2744="",$K2744="")),"",ROUND(N($J2744)-N($K2744),2))</f>
        <v/>
      </c>
      <c r="M2744" s="13">
        <f>IF(OR($A2744="",AND($J2744="",$K2744="")),"",MIN($J2744,$K2744))</f>
        <v/>
      </c>
      <c r="Q2744">
        <f>IF($A2744="","",$D2744&amp;"("&amp;SUBSTITUTE($E2744," ","")&amp;")")</f>
        <v/>
      </c>
      <c r="R2744">
        <f>IF($A2744="","",$B2744&amp;" - "&amp;$C2744)</f>
        <v/>
      </c>
      <c r="S2744">
        <f>IF($A2744="","",$R2744&amp;"|"&amp;$Q2744)</f>
        <v/>
      </c>
      <c r="T2744">
        <f>IF($A2744="","",$S2744&amp;"|"&amp;$F2744)</f>
        <v/>
      </c>
      <c r="U2744">
        <f>IF($A2744="","",$R2744&amp;"("&amp;$E2744&amp;")")</f>
        <v/>
      </c>
      <c r="V2744">
        <f>IF($A2744="","",$F2744&amp;"|"&amp;$U2744&amp;"|"&amp;$D2744)</f>
        <v/>
      </c>
      <c r="W2744">
        <f>IF($T2744="","",IF($X2744&gt;N($X2743),$X2744,""))</f>
        <v/>
      </c>
      <c r="X2744">
        <f>IF($T2744="",N($X2743),IF(MATCH($T2744,$T$6:$T$6005,0)=ROW()-5,N($X2743)+1,N($X2743)))</f>
        <v/>
      </c>
      <c r="Z2744">
        <f>IF($V2744="","",IF($AA2744&gt;N($AA2743),$AA2744,""))</f>
        <v/>
      </c>
      <c r="AA2744">
        <f>IF($V2744="",N($AA2743),IF(MATCH($V2744,$V$6:$V$6005,0)=ROW()-5,N($AA2743)+1,N($AA2743)))</f>
        <v/>
      </c>
    </row>
    <row r="2745" ht="21" customHeight="1" s="66">
      <c r="A2745" s="56" t="n"/>
      <c r="B2745" s="57" t="n"/>
      <c r="C2745" s="57" t="n"/>
      <c r="D2745" s="57" t="n"/>
      <c r="E2745" s="56" t="n"/>
      <c r="F2745" s="57" t="n"/>
      <c r="G2745" s="57" t="n"/>
      <c r="H2745" s="56" t="n"/>
      <c r="I2745" s="56" t="n"/>
      <c r="J2745" s="58" t="n"/>
      <c r="K2745" s="58" t="n"/>
      <c r="L2745" s="13">
        <f>IF(OR($A2745="",AND($J2745="",$K2745="")),"",ROUND(N($J2745)-N($K2745),2))</f>
        <v/>
      </c>
      <c r="M2745" s="13">
        <f>IF(OR($A2745="",AND($J2745="",$K2745="")),"",MIN($J2745,$K2745))</f>
        <v/>
      </c>
      <c r="Q2745">
        <f>IF($A2745="","",$D2745&amp;"("&amp;SUBSTITUTE($E2745," ","")&amp;")")</f>
        <v/>
      </c>
      <c r="R2745">
        <f>IF($A2745="","",$B2745&amp;" - "&amp;$C2745)</f>
        <v/>
      </c>
      <c r="S2745">
        <f>IF($A2745="","",$R2745&amp;"|"&amp;$Q2745)</f>
        <v/>
      </c>
      <c r="T2745">
        <f>IF($A2745="","",$S2745&amp;"|"&amp;$F2745)</f>
        <v/>
      </c>
      <c r="U2745">
        <f>IF($A2745="","",$R2745&amp;"("&amp;$E2745&amp;")")</f>
        <v/>
      </c>
      <c r="V2745">
        <f>IF($A2745="","",$F2745&amp;"|"&amp;$U2745&amp;"|"&amp;$D2745)</f>
        <v/>
      </c>
      <c r="W2745">
        <f>IF($T2745="","",IF($X2745&gt;N($X2744),$X2745,""))</f>
        <v/>
      </c>
      <c r="X2745">
        <f>IF($T2745="",N($X2744),IF(MATCH($T2745,$T$6:$T$6005,0)=ROW()-5,N($X2744)+1,N($X2744)))</f>
        <v/>
      </c>
      <c r="Z2745">
        <f>IF($V2745="","",IF($AA2745&gt;N($AA2744),$AA2745,""))</f>
        <v/>
      </c>
      <c r="AA2745">
        <f>IF($V2745="",N($AA2744),IF(MATCH($V2745,$V$6:$V$6005,0)=ROW()-5,N($AA2744)+1,N($AA2744)))</f>
        <v/>
      </c>
    </row>
    <row r="2746" ht="21" customHeight="1" s="66">
      <c r="A2746" s="56" t="n"/>
      <c r="B2746" s="57" t="n"/>
      <c r="C2746" s="57" t="n"/>
      <c r="D2746" s="57" t="n"/>
      <c r="E2746" s="56" t="n"/>
      <c r="F2746" s="57" t="n"/>
      <c r="G2746" s="57" t="n"/>
      <c r="H2746" s="56" t="n"/>
      <c r="I2746" s="56" t="n"/>
      <c r="J2746" s="58" t="n"/>
      <c r="K2746" s="58" t="n"/>
      <c r="L2746" s="13">
        <f>IF(OR($A2746="",AND($J2746="",$K2746="")),"",ROUND(N($J2746)-N($K2746),2))</f>
        <v/>
      </c>
      <c r="M2746" s="13">
        <f>IF(OR($A2746="",AND($J2746="",$K2746="")),"",MIN($J2746,$K2746))</f>
        <v/>
      </c>
      <c r="Q2746">
        <f>IF($A2746="","",$D2746&amp;"("&amp;SUBSTITUTE($E2746," ","")&amp;")")</f>
        <v/>
      </c>
      <c r="R2746">
        <f>IF($A2746="","",$B2746&amp;" - "&amp;$C2746)</f>
        <v/>
      </c>
      <c r="S2746">
        <f>IF($A2746="","",$R2746&amp;"|"&amp;$Q2746)</f>
        <v/>
      </c>
      <c r="T2746">
        <f>IF($A2746="","",$S2746&amp;"|"&amp;$F2746)</f>
        <v/>
      </c>
      <c r="U2746">
        <f>IF($A2746="","",$R2746&amp;"("&amp;$E2746&amp;")")</f>
        <v/>
      </c>
      <c r="V2746">
        <f>IF($A2746="","",$F2746&amp;"|"&amp;$U2746&amp;"|"&amp;$D2746)</f>
        <v/>
      </c>
      <c r="W2746">
        <f>IF($T2746="","",IF($X2746&gt;N($X2745),$X2746,""))</f>
        <v/>
      </c>
      <c r="X2746">
        <f>IF($T2746="",N($X2745),IF(MATCH($T2746,$T$6:$T$6005,0)=ROW()-5,N($X2745)+1,N($X2745)))</f>
        <v/>
      </c>
      <c r="Z2746">
        <f>IF($V2746="","",IF($AA2746&gt;N($AA2745),$AA2746,""))</f>
        <v/>
      </c>
      <c r="AA2746">
        <f>IF($V2746="",N($AA2745),IF(MATCH($V2746,$V$6:$V$6005,0)=ROW()-5,N($AA2745)+1,N($AA2745)))</f>
        <v/>
      </c>
    </row>
    <row r="2747" ht="21" customHeight="1" s="66">
      <c r="A2747" s="56" t="n"/>
      <c r="B2747" s="57" t="n"/>
      <c r="C2747" s="57" t="n"/>
      <c r="D2747" s="57" t="n"/>
      <c r="E2747" s="56" t="n"/>
      <c r="F2747" s="57" t="n"/>
      <c r="G2747" s="57" t="n"/>
      <c r="H2747" s="56" t="n"/>
      <c r="I2747" s="56" t="n"/>
      <c r="J2747" s="58" t="n"/>
      <c r="K2747" s="58" t="n"/>
      <c r="L2747" s="13">
        <f>IF(OR($A2747="",AND($J2747="",$K2747="")),"",ROUND(N($J2747)-N($K2747),2))</f>
        <v/>
      </c>
      <c r="M2747" s="13">
        <f>IF(OR($A2747="",AND($J2747="",$K2747="")),"",MIN($J2747,$K2747))</f>
        <v/>
      </c>
      <c r="Q2747">
        <f>IF($A2747="","",$D2747&amp;"("&amp;SUBSTITUTE($E2747," ","")&amp;")")</f>
        <v/>
      </c>
      <c r="R2747">
        <f>IF($A2747="","",$B2747&amp;" - "&amp;$C2747)</f>
        <v/>
      </c>
      <c r="S2747">
        <f>IF($A2747="","",$R2747&amp;"|"&amp;$Q2747)</f>
        <v/>
      </c>
      <c r="T2747">
        <f>IF($A2747="","",$S2747&amp;"|"&amp;$F2747)</f>
        <v/>
      </c>
      <c r="U2747">
        <f>IF($A2747="","",$R2747&amp;"("&amp;$E2747&amp;")")</f>
        <v/>
      </c>
      <c r="V2747">
        <f>IF($A2747="","",$F2747&amp;"|"&amp;$U2747&amp;"|"&amp;$D2747)</f>
        <v/>
      </c>
      <c r="W2747">
        <f>IF($T2747="","",IF($X2747&gt;N($X2746),$X2747,""))</f>
        <v/>
      </c>
      <c r="X2747">
        <f>IF($T2747="",N($X2746),IF(MATCH($T2747,$T$6:$T$6005,0)=ROW()-5,N($X2746)+1,N($X2746)))</f>
        <v/>
      </c>
      <c r="Z2747">
        <f>IF($V2747="","",IF($AA2747&gt;N($AA2746),$AA2747,""))</f>
        <v/>
      </c>
      <c r="AA2747">
        <f>IF($V2747="",N($AA2746),IF(MATCH($V2747,$V$6:$V$6005,0)=ROW()-5,N($AA2746)+1,N($AA2746)))</f>
        <v/>
      </c>
    </row>
    <row r="2748" ht="21" customHeight="1" s="66">
      <c r="A2748" s="56" t="n"/>
      <c r="B2748" s="57" t="n"/>
      <c r="C2748" s="57" t="n"/>
      <c r="D2748" s="57" t="n"/>
      <c r="E2748" s="56" t="n"/>
      <c r="F2748" s="57" t="n"/>
      <c r="G2748" s="57" t="n"/>
      <c r="H2748" s="56" t="n"/>
      <c r="I2748" s="56" t="n"/>
      <c r="J2748" s="58" t="n"/>
      <c r="K2748" s="58" t="n"/>
      <c r="L2748" s="13">
        <f>IF(OR($A2748="",AND($J2748="",$K2748="")),"",ROUND(N($J2748)-N($K2748),2))</f>
        <v/>
      </c>
      <c r="M2748" s="13">
        <f>IF(OR($A2748="",AND($J2748="",$K2748="")),"",MIN($J2748,$K2748))</f>
        <v/>
      </c>
      <c r="Q2748">
        <f>IF($A2748="","",$D2748&amp;"("&amp;SUBSTITUTE($E2748," ","")&amp;")")</f>
        <v/>
      </c>
      <c r="R2748">
        <f>IF($A2748="","",$B2748&amp;" - "&amp;$C2748)</f>
        <v/>
      </c>
      <c r="S2748">
        <f>IF($A2748="","",$R2748&amp;"|"&amp;$Q2748)</f>
        <v/>
      </c>
      <c r="T2748">
        <f>IF($A2748="","",$S2748&amp;"|"&amp;$F2748)</f>
        <v/>
      </c>
      <c r="U2748">
        <f>IF($A2748="","",$R2748&amp;"("&amp;$E2748&amp;")")</f>
        <v/>
      </c>
      <c r="V2748">
        <f>IF($A2748="","",$F2748&amp;"|"&amp;$U2748&amp;"|"&amp;$D2748)</f>
        <v/>
      </c>
      <c r="W2748">
        <f>IF($T2748="","",IF($X2748&gt;N($X2747),$X2748,""))</f>
        <v/>
      </c>
      <c r="X2748">
        <f>IF($T2748="",N($X2747),IF(MATCH($T2748,$T$6:$T$6005,0)=ROW()-5,N($X2747)+1,N($X2747)))</f>
        <v/>
      </c>
      <c r="Z2748">
        <f>IF($V2748="","",IF($AA2748&gt;N($AA2747),$AA2748,""))</f>
        <v/>
      </c>
      <c r="AA2748">
        <f>IF($V2748="",N($AA2747),IF(MATCH($V2748,$V$6:$V$6005,0)=ROW()-5,N($AA2747)+1,N($AA2747)))</f>
        <v/>
      </c>
    </row>
    <row r="2749" ht="21" customHeight="1" s="66">
      <c r="A2749" s="56" t="n"/>
      <c r="B2749" s="57" t="n"/>
      <c r="C2749" s="57" t="n"/>
      <c r="D2749" s="57" t="n"/>
      <c r="E2749" s="56" t="n"/>
      <c r="F2749" s="57" t="n"/>
      <c r="G2749" s="57" t="n"/>
      <c r="H2749" s="56" t="n"/>
      <c r="I2749" s="56" t="n"/>
      <c r="J2749" s="58" t="n"/>
      <c r="K2749" s="58" t="n"/>
      <c r="L2749" s="13">
        <f>IF(OR($A2749="",AND($J2749="",$K2749="")),"",ROUND(N($J2749)-N($K2749),2))</f>
        <v/>
      </c>
      <c r="M2749" s="13">
        <f>IF(OR($A2749="",AND($J2749="",$K2749="")),"",MIN($J2749,$K2749))</f>
        <v/>
      </c>
      <c r="Q2749">
        <f>IF($A2749="","",$D2749&amp;"("&amp;SUBSTITUTE($E2749," ","")&amp;")")</f>
        <v/>
      </c>
      <c r="R2749">
        <f>IF($A2749="","",$B2749&amp;" - "&amp;$C2749)</f>
        <v/>
      </c>
      <c r="S2749">
        <f>IF($A2749="","",$R2749&amp;"|"&amp;$Q2749)</f>
        <v/>
      </c>
      <c r="T2749">
        <f>IF($A2749="","",$S2749&amp;"|"&amp;$F2749)</f>
        <v/>
      </c>
      <c r="U2749">
        <f>IF($A2749="","",$R2749&amp;"("&amp;$E2749&amp;")")</f>
        <v/>
      </c>
      <c r="V2749">
        <f>IF($A2749="","",$F2749&amp;"|"&amp;$U2749&amp;"|"&amp;$D2749)</f>
        <v/>
      </c>
      <c r="W2749">
        <f>IF($T2749="","",IF($X2749&gt;N($X2748),$X2749,""))</f>
        <v/>
      </c>
      <c r="X2749">
        <f>IF($T2749="",N($X2748),IF(MATCH($T2749,$T$6:$T$6005,0)=ROW()-5,N($X2748)+1,N($X2748)))</f>
        <v/>
      </c>
      <c r="Z2749">
        <f>IF($V2749="","",IF($AA2749&gt;N($AA2748),$AA2749,""))</f>
        <v/>
      </c>
      <c r="AA2749">
        <f>IF($V2749="",N($AA2748),IF(MATCH($V2749,$V$6:$V$6005,0)=ROW()-5,N($AA2748)+1,N($AA2748)))</f>
        <v/>
      </c>
    </row>
    <row r="2750" ht="21" customHeight="1" s="66">
      <c r="A2750" s="56" t="n"/>
      <c r="B2750" s="57" t="n"/>
      <c r="C2750" s="57" t="n"/>
      <c r="D2750" s="57" t="n"/>
      <c r="E2750" s="56" t="n"/>
      <c r="F2750" s="57" t="n"/>
      <c r="G2750" s="57" t="n"/>
      <c r="H2750" s="56" t="n"/>
      <c r="I2750" s="56" t="n"/>
      <c r="J2750" s="58" t="n"/>
      <c r="K2750" s="58" t="n"/>
      <c r="L2750" s="13">
        <f>IF(OR($A2750="",AND($J2750="",$K2750="")),"",ROUND(N($J2750)-N($K2750),2))</f>
        <v/>
      </c>
      <c r="M2750" s="13">
        <f>IF(OR($A2750="",AND($J2750="",$K2750="")),"",MIN($J2750,$K2750))</f>
        <v/>
      </c>
      <c r="Q2750">
        <f>IF($A2750="","",$D2750&amp;"("&amp;SUBSTITUTE($E2750," ","")&amp;")")</f>
        <v/>
      </c>
      <c r="R2750">
        <f>IF($A2750="","",$B2750&amp;" - "&amp;$C2750)</f>
        <v/>
      </c>
      <c r="S2750">
        <f>IF($A2750="","",$R2750&amp;"|"&amp;$Q2750)</f>
        <v/>
      </c>
      <c r="T2750">
        <f>IF($A2750="","",$S2750&amp;"|"&amp;$F2750)</f>
        <v/>
      </c>
      <c r="U2750">
        <f>IF($A2750="","",$R2750&amp;"("&amp;$E2750&amp;")")</f>
        <v/>
      </c>
      <c r="V2750">
        <f>IF($A2750="","",$F2750&amp;"|"&amp;$U2750&amp;"|"&amp;$D2750)</f>
        <v/>
      </c>
      <c r="W2750">
        <f>IF($T2750="","",IF($X2750&gt;N($X2749),$X2750,""))</f>
        <v/>
      </c>
      <c r="X2750">
        <f>IF($T2750="",N($X2749),IF(MATCH($T2750,$T$6:$T$6005,0)=ROW()-5,N($X2749)+1,N($X2749)))</f>
        <v/>
      </c>
      <c r="Z2750">
        <f>IF($V2750="","",IF($AA2750&gt;N($AA2749),$AA2750,""))</f>
        <v/>
      </c>
      <c r="AA2750">
        <f>IF($V2750="",N($AA2749),IF(MATCH($V2750,$V$6:$V$6005,0)=ROW()-5,N($AA2749)+1,N($AA2749)))</f>
        <v/>
      </c>
    </row>
    <row r="2751" ht="21" customHeight="1" s="66">
      <c r="A2751" s="56" t="n"/>
      <c r="B2751" s="57" t="n"/>
      <c r="C2751" s="57" t="n"/>
      <c r="D2751" s="57" t="n"/>
      <c r="E2751" s="56" t="n"/>
      <c r="F2751" s="57" t="n"/>
      <c r="G2751" s="57" t="n"/>
      <c r="H2751" s="56" t="n"/>
      <c r="I2751" s="56" t="n"/>
      <c r="J2751" s="58" t="n"/>
      <c r="K2751" s="58" t="n"/>
      <c r="L2751" s="13">
        <f>IF(OR($A2751="",AND($J2751="",$K2751="")),"",ROUND(N($J2751)-N($K2751),2))</f>
        <v/>
      </c>
      <c r="M2751" s="13">
        <f>IF(OR($A2751="",AND($J2751="",$K2751="")),"",MIN($J2751,$K2751))</f>
        <v/>
      </c>
      <c r="Q2751">
        <f>IF($A2751="","",$D2751&amp;"("&amp;SUBSTITUTE($E2751," ","")&amp;")")</f>
        <v/>
      </c>
      <c r="R2751">
        <f>IF($A2751="","",$B2751&amp;" - "&amp;$C2751)</f>
        <v/>
      </c>
      <c r="S2751">
        <f>IF($A2751="","",$R2751&amp;"|"&amp;$Q2751)</f>
        <v/>
      </c>
      <c r="T2751">
        <f>IF($A2751="","",$S2751&amp;"|"&amp;$F2751)</f>
        <v/>
      </c>
      <c r="U2751">
        <f>IF($A2751="","",$R2751&amp;"("&amp;$E2751&amp;")")</f>
        <v/>
      </c>
      <c r="V2751">
        <f>IF($A2751="","",$F2751&amp;"|"&amp;$U2751&amp;"|"&amp;$D2751)</f>
        <v/>
      </c>
      <c r="W2751">
        <f>IF($T2751="","",IF($X2751&gt;N($X2750),$X2751,""))</f>
        <v/>
      </c>
      <c r="X2751">
        <f>IF($T2751="",N($X2750),IF(MATCH($T2751,$T$6:$T$6005,0)=ROW()-5,N($X2750)+1,N($X2750)))</f>
        <v/>
      </c>
      <c r="Z2751">
        <f>IF($V2751="","",IF($AA2751&gt;N($AA2750),$AA2751,""))</f>
        <v/>
      </c>
      <c r="AA2751">
        <f>IF($V2751="",N($AA2750),IF(MATCH($V2751,$V$6:$V$6005,0)=ROW()-5,N($AA2750)+1,N($AA2750)))</f>
        <v/>
      </c>
    </row>
    <row r="2752" ht="21" customHeight="1" s="66">
      <c r="A2752" s="56" t="n"/>
      <c r="B2752" s="57" t="n"/>
      <c r="C2752" s="57" t="n"/>
      <c r="D2752" s="57" t="n"/>
      <c r="E2752" s="56" t="n"/>
      <c r="F2752" s="57" t="n"/>
      <c r="G2752" s="57" t="n"/>
      <c r="H2752" s="56" t="n"/>
      <c r="I2752" s="56" t="n"/>
      <c r="J2752" s="58" t="n"/>
      <c r="K2752" s="58" t="n"/>
      <c r="L2752" s="13">
        <f>IF(OR($A2752="",AND($J2752="",$K2752="")),"",ROUND(N($J2752)-N($K2752),2))</f>
        <v/>
      </c>
      <c r="M2752" s="13">
        <f>IF(OR($A2752="",AND($J2752="",$K2752="")),"",MIN($J2752,$K2752))</f>
        <v/>
      </c>
      <c r="Q2752">
        <f>IF($A2752="","",$D2752&amp;"("&amp;SUBSTITUTE($E2752," ","")&amp;")")</f>
        <v/>
      </c>
      <c r="R2752">
        <f>IF($A2752="","",$B2752&amp;" - "&amp;$C2752)</f>
        <v/>
      </c>
      <c r="S2752">
        <f>IF($A2752="","",$R2752&amp;"|"&amp;$Q2752)</f>
        <v/>
      </c>
      <c r="T2752">
        <f>IF($A2752="","",$S2752&amp;"|"&amp;$F2752)</f>
        <v/>
      </c>
      <c r="U2752">
        <f>IF($A2752="","",$R2752&amp;"("&amp;$E2752&amp;")")</f>
        <v/>
      </c>
      <c r="V2752">
        <f>IF($A2752="","",$F2752&amp;"|"&amp;$U2752&amp;"|"&amp;$D2752)</f>
        <v/>
      </c>
      <c r="W2752">
        <f>IF($T2752="","",IF($X2752&gt;N($X2751),$X2752,""))</f>
        <v/>
      </c>
      <c r="X2752">
        <f>IF($T2752="",N($X2751),IF(MATCH($T2752,$T$6:$T$6005,0)=ROW()-5,N($X2751)+1,N($X2751)))</f>
        <v/>
      </c>
      <c r="Z2752">
        <f>IF($V2752="","",IF($AA2752&gt;N($AA2751),$AA2752,""))</f>
        <v/>
      </c>
      <c r="AA2752">
        <f>IF($V2752="",N($AA2751),IF(MATCH($V2752,$V$6:$V$6005,0)=ROW()-5,N($AA2751)+1,N($AA2751)))</f>
        <v/>
      </c>
    </row>
    <row r="2753" ht="21" customHeight="1" s="66">
      <c r="A2753" s="56" t="n"/>
      <c r="B2753" s="57" t="n"/>
      <c r="C2753" s="57" t="n"/>
      <c r="D2753" s="57" t="n"/>
      <c r="E2753" s="56" t="n"/>
      <c r="F2753" s="57" t="n"/>
      <c r="G2753" s="57" t="n"/>
      <c r="H2753" s="56" t="n"/>
      <c r="I2753" s="56" t="n"/>
      <c r="J2753" s="58" t="n"/>
      <c r="K2753" s="58" t="n"/>
      <c r="L2753" s="13">
        <f>IF(OR($A2753="",AND($J2753="",$K2753="")),"",ROUND(N($J2753)-N($K2753),2))</f>
        <v/>
      </c>
      <c r="M2753" s="13">
        <f>IF(OR($A2753="",AND($J2753="",$K2753="")),"",MIN($J2753,$K2753))</f>
        <v/>
      </c>
      <c r="Q2753">
        <f>IF($A2753="","",$D2753&amp;"("&amp;SUBSTITUTE($E2753," ","")&amp;")")</f>
        <v/>
      </c>
      <c r="R2753">
        <f>IF($A2753="","",$B2753&amp;" - "&amp;$C2753)</f>
        <v/>
      </c>
      <c r="S2753">
        <f>IF($A2753="","",$R2753&amp;"|"&amp;$Q2753)</f>
        <v/>
      </c>
      <c r="T2753">
        <f>IF($A2753="","",$S2753&amp;"|"&amp;$F2753)</f>
        <v/>
      </c>
      <c r="U2753">
        <f>IF($A2753="","",$R2753&amp;"("&amp;$E2753&amp;")")</f>
        <v/>
      </c>
      <c r="V2753">
        <f>IF($A2753="","",$F2753&amp;"|"&amp;$U2753&amp;"|"&amp;$D2753)</f>
        <v/>
      </c>
      <c r="W2753">
        <f>IF($T2753="","",IF($X2753&gt;N($X2752),$X2753,""))</f>
        <v/>
      </c>
      <c r="X2753">
        <f>IF($T2753="",N($X2752),IF(MATCH($T2753,$T$6:$T$6005,0)=ROW()-5,N($X2752)+1,N($X2752)))</f>
        <v/>
      </c>
      <c r="Z2753">
        <f>IF($V2753="","",IF($AA2753&gt;N($AA2752),$AA2753,""))</f>
        <v/>
      </c>
      <c r="AA2753">
        <f>IF($V2753="",N($AA2752),IF(MATCH($V2753,$V$6:$V$6005,0)=ROW()-5,N($AA2752)+1,N($AA2752)))</f>
        <v/>
      </c>
    </row>
    <row r="2754" ht="21" customHeight="1" s="66">
      <c r="A2754" s="56" t="n"/>
      <c r="B2754" s="57" t="n"/>
      <c r="C2754" s="57" t="n"/>
      <c r="D2754" s="57" t="n"/>
      <c r="E2754" s="56" t="n"/>
      <c r="F2754" s="57" t="n"/>
      <c r="G2754" s="57" t="n"/>
      <c r="H2754" s="56" t="n"/>
      <c r="I2754" s="56" t="n"/>
      <c r="J2754" s="58" t="n"/>
      <c r="K2754" s="58" t="n"/>
      <c r="L2754" s="13">
        <f>IF(OR($A2754="",AND($J2754="",$K2754="")),"",ROUND(N($J2754)-N($K2754),2))</f>
        <v/>
      </c>
      <c r="M2754" s="13">
        <f>IF(OR($A2754="",AND($J2754="",$K2754="")),"",MIN($J2754,$K2754))</f>
        <v/>
      </c>
      <c r="Q2754">
        <f>IF($A2754="","",$D2754&amp;"("&amp;SUBSTITUTE($E2754," ","")&amp;")")</f>
        <v/>
      </c>
      <c r="R2754">
        <f>IF($A2754="","",$B2754&amp;" - "&amp;$C2754)</f>
        <v/>
      </c>
      <c r="S2754">
        <f>IF($A2754="","",$R2754&amp;"|"&amp;$Q2754)</f>
        <v/>
      </c>
      <c r="T2754">
        <f>IF($A2754="","",$S2754&amp;"|"&amp;$F2754)</f>
        <v/>
      </c>
      <c r="U2754">
        <f>IF($A2754="","",$R2754&amp;"("&amp;$E2754&amp;")")</f>
        <v/>
      </c>
      <c r="V2754">
        <f>IF($A2754="","",$F2754&amp;"|"&amp;$U2754&amp;"|"&amp;$D2754)</f>
        <v/>
      </c>
      <c r="W2754">
        <f>IF($T2754="","",IF($X2754&gt;N($X2753),$X2754,""))</f>
        <v/>
      </c>
      <c r="X2754">
        <f>IF($T2754="",N($X2753),IF(MATCH($T2754,$T$6:$T$6005,0)=ROW()-5,N($X2753)+1,N($X2753)))</f>
        <v/>
      </c>
      <c r="Z2754">
        <f>IF($V2754="","",IF($AA2754&gt;N($AA2753),$AA2754,""))</f>
        <v/>
      </c>
      <c r="AA2754">
        <f>IF($V2754="",N($AA2753),IF(MATCH($V2754,$V$6:$V$6005,0)=ROW()-5,N($AA2753)+1,N($AA2753)))</f>
        <v/>
      </c>
    </row>
    <row r="2755" ht="21" customHeight="1" s="66">
      <c r="A2755" s="56" t="n"/>
      <c r="B2755" s="57" t="n"/>
      <c r="C2755" s="57" t="n"/>
      <c r="D2755" s="57" t="n"/>
      <c r="E2755" s="56" t="n"/>
      <c r="F2755" s="57" t="n"/>
      <c r="G2755" s="57" t="n"/>
      <c r="H2755" s="56" t="n"/>
      <c r="I2755" s="56" t="n"/>
      <c r="J2755" s="58" t="n"/>
      <c r="K2755" s="58" t="n"/>
      <c r="L2755" s="13">
        <f>IF(OR($A2755="",AND($J2755="",$K2755="")),"",ROUND(N($J2755)-N($K2755),2))</f>
        <v/>
      </c>
      <c r="M2755" s="13">
        <f>IF(OR($A2755="",AND($J2755="",$K2755="")),"",MIN($J2755,$K2755))</f>
        <v/>
      </c>
      <c r="Q2755">
        <f>IF($A2755="","",$D2755&amp;"("&amp;SUBSTITUTE($E2755," ","")&amp;")")</f>
        <v/>
      </c>
      <c r="R2755">
        <f>IF($A2755="","",$B2755&amp;" - "&amp;$C2755)</f>
        <v/>
      </c>
      <c r="S2755">
        <f>IF($A2755="","",$R2755&amp;"|"&amp;$Q2755)</f>
        <v/>
      </c>
      <c r="T2755">
        <f>IF($A2755="","",$S2755&amp;"|"&amp;$F2755)</f>
        <v/>
      </c>
      <c r="U2755">
        <f>IF($A2755="","",$R2755&amp;"("&amp;$E2755&amp;")")</f>
        <v/>
      </c>
      <c r="V2755">
        <f>IF($A2755="","",$F2755&amp;"|"&amp;$U2755&amp;"|"&amp;$D2755)</f>
        <v/>
      </c>
      <c r="W2755">
        <f>IF($T2755="","",IF($X2755&gt;N($X2754),$X2755,""))</f>
        <v/>
      </c>
      <c r="X2755">
        <f>IF($T2755="",N($X2754),IF(MATCH($T2755,$T$6:$T$6005,0)=ROW()-5,N($X2754)+1,N($X2754)))</f>
        <v/>
      </c>
      <c r="Z2755">
        <f>IF($V2755="","",IF($AA2755&gt;N($AA2754),$AA2755,""))</f>
        <v/>
      </c>
      <c r="AA2755">
        <f>IF($V2755="",N($AA2754),IF(MATCH($V2755,$V$6:$V$6005,0)=ROW()-5,N($AA2754)+1,N($AA2754)))</f>
        <v/>
      </c>
    </row>
    <row r="2756" ht="21" customHeight="1" s="66">
      <c r="A2756" s="56" t="n"/>
      <c r="B2756" s="57" t="n"/>
      <c r="C2756" s="57" t="n"/>
      <c r="D2756" s="57" t="n"/>
      <c r="E2756" s="56" t="n"/>
      <c r="F2756" s="57" t="n"/>
      <c r="G2756" s="57" t="n"/>
      <c r="H2756" s="56" t="n"/>
      <c r="I2756" s="56" t="n"/>
      <c r="J2756" s="58" t="n"/>
      <c r="K2756" s="58" t="n"/>
      <c r="L2756" s="13">
        <f>IF(OR($A2756="",AND($J2756="",$K2756="")),"",ROUND(N($J2756)-N($K2756),2))</f>
        <v/>
      </c>
      <c r="M2756" s="13">
        <f>IF(OR($A2756="",AND($J2756="",$K2756="")),"",MIN($J2756,$K2756))</f>
        <v/>
      </c>
      <c r="Q2756">
        <f>IF($A2756="","",$D2756&amp;"("&amp;SUBSTITUTE($E2756," ","")&amp;")")</f>
        <v/>
      </c>
      <c r="R2756">
        <f>IF($A2756="","",$B2756&amp;" - "&amp;$C2756)</f>
        <v/>
      </c>
      <c r="S2756">
        <f>IF($A2756="","",$R2756&amp;"|"&amp;$Q2756)</f>
        <v/>
      </c>
      <c r="T2756">
        <f>IF($A2756="","",$S2756&amp;"|"&amp;$F2756)</f>
        <v/>
      </c>
      <c r="U2756">
        <f>IF($A2756="","",$R2756&amp;"("&amp;$E2756&amp;")")</f>
        <v/>
      </c>
      <c r="V2756">
        <f>IF($A2756="","",$F2756&amp;"|"&amp;$U2756&amp;"|"&amp;$D2756)</f>
        <v/>
      </c>
      <c r="W2756">
        <f>IF($T2756="","",IF($X2756&gt;N($X2755),$X2756,""))</f>
        <v/>
      </c>
      <c r="X2756">
        <f>IF($T2756="",N($X2755),IF(MATCH($T2756,$T$6:$T$6005,0)=ROW()-5,N($X2755)+1,N($X2755)))</f>
        <v/>
      </c>
      <c r="Z2756">
        <f>IF($V2756="","",IF($AA2756&gt;N($AA2755),$AA2756,""))</f>
        <v/>
      </c>
      <c r="AA2756">
        <f>IF($V2756="",N($AA2755),IF(MATCH($V2756,$V$6:$V$6005,0)=ROW()-5,N($AA2755)+1,N($AA2755)))</f>
        <v/>
      </c>
    </row>
    <row r="2757" ht="21" customHeight="1" s="66">
      <c r="A2757" s="56" t="n"/>
      <c r="B2757" s="57" t="n"/>
      <c r="C2757" s="57" t="n"/>
      <c r="D2757" s="57" t="n"/>
      <c r="E2757" s="56" t="n"/>
      <c r="F2757" s="57" t="n"/>
      <c r="G2757" s="57" t="n"/>
      <c r="H2757" s="56" t="n"/>
      <c r="I2757" s="56" t="n"/>
      <c r="J2757" s="58" t="n"/>
      <c r="K2757" s="58" t="n"/>
      <c r="L2757" s="13">
        <f>IF(OR($A2757="",AND($J2757="",$K2757="")),"",ROUND(N($J2757)-N($K2757),2))</f>
        <v/>
      </c>
      <c r="M2757" s="13">
        <f>IF(OR($A2757="",AND($J2757="",$K2757="")),"",MIN($J2757,$K2757))</f>
        <v/>
      </c>
      <c r="Q2757">
        <f>IF($A2757="","",$D2757&amp;"("&amp;SUBSTITUTE($E2757," ","")&amp;")")</f>
        <v/>
      </c>
      <c r="R2757">
        <f>IF($A2757="","",$B2757&amp;" - "&amp;$C2757)</f>
        <v/>
      </c>
      <c r="S2757">
        <f>IF($A2757="","",$R2757&amp;"|"&amp;$Q2757)</f>
        <v/>
      </c>
      <c r="T2757">
        <f>IF($A2757="","",$S2757&amp;"|"&amp;$F2757)</f>
        <v/>
      </c>
      <c r="U2757">
        <f>IF($A2757="","",$R2757&amp;"("&amp;$E2757&amp;")")</f>
        <v/>
      </c>
      <c r="V2757">
        <f>IF($A2757="","",$F2757&amp;"|"&amp;$U2757&amp;"|"&amp;$D2757)</f>
        <v/>
      </c>
      <c r="W2757">
        <f>IF($T2757="","",IF($X2757&gt;N($X2756),$X2757,""))</f>
        <v/>
      </c>
      <c r="X2757">
        <f>IF($T2757="",N($X2756),IF(MATCH($T2757,$T$6:$T$6005,0)=ROW()-5,N($X2756)+1,N($X2756)))</f>
        <v/>
      </c>
      <c r="Z2757">
        <f>IF($V2757="","",IF($AA2757&gt;N($AA2756),$AA2757,""))</f>
        <v/>
      </c>
      <c r="AA2757">
        <f>IF($V2757="",N($AA2756),IF(MATCH($V2757,$V$6:$V$6005,0)=ROW()-5,N($AA2756)+1,N($AA2756)))</f>
        <v/>
      </c>
    </row>
    <row r="2758" ht="21" customHeight="1" s="66">
      <c r="A2758" s="56" t="n"/>
      <c r="B2758" s="57" t="n"/>
      <c r="C2758" s="57" t="n"/>
      <c r="D2758" s="57" t="n"/>
      <c r="E2758" s="56" t="n"/>
      <c r="F2758" s="57" t="n"/>
      <c r="G2758" s="57" t="n"/>
      <c r="H2758" s="56" t="n"/>
      <c r="I2758" s="56" t="n"/>
      <c r="J2758" s="58" t="n"/>
      <c r="K2758" s="58" t="n"/>
      <c r="L2758" s="13">
        <f>IF(OR($A2758="",AND($J2758="",$K2758="")),"",ROUND(N($J2758)-N($K2758),2))</f>
        <v/>
      </c>
      <c r="M2758" s="13">
        <f>IF(OR($A2758="",AND($J2758="",$K2758="")),"",MIN($J2758,$K2758))</f>
        <v/>
      </c>
      <c r="Q2758">
        <f>IF($A2758="","",$D2758&amp;"("&amp;SUBSTITUTE($E2758," ","")&amp;")")</f>
        <v/>
      </c>
      <c r="R2758">
        <f>IF($A2758="","",$B2758&amp;" - "&amp;$C2758)</f>
        <v/>
      </c>
      <c r="S2758">
        <f>IF($A2758="","",$R2758&amp;"|"&amp;$Q2758)</f>
        <v/>
      </c>
      <c r="T2758">
        <f>IF($A2758="","",$S2758&amp;"|"&amp;$F2758)</f>
        <v/>
      </c>
      <c r="U2758">
        <f>IF($A2758="","",$R2758&amp;"("&amp;$E2758&amp;")")</f>
        <v/>
      </c>
      <c r="V2758">
        <f>IF($A2758="","",$F2758&amp;"|"&amp;$U2758&amp;"|"&amp;$D2758)</f>
        <v/>
      </c>
      <c r="W2758">
        <f>IF($T2758="","",IF($X2758&gt;N($X2757),$X2758,""))</f>
        <v/>
      </c>
      <c r="X2758">
        <f>IF($T2758="",N($X2757),IF(MATCH($T2758,$T$6:$T$6005,0)=ROW()-5,N($X2757)+1,N($X2757)))</f>
        <v/>
      </c>
      <c r="Z2758">
        <f>IF($V2758="","",IF($AA2758&gt;N($AA2757),$AA2758,""))</f>
        <v/>
      </c>
      <c r="AA2758">
        <f>IF($V2758="",N($AA2757),IF(MATCH($V2758,$V$6:$V$6005,0)=ROW()-5,N($AA2757)+1,N($AA2757)))</f>
        <v/>
      </c>
    </row>
    <row r="2759" ht="21" customHeight="1" s="66">
      <c r="A2759" s="56" t="n"/>
      <c r="B2759" s="57" t="n"/>
      <c r="C2759" s="57" t="n"/>
      <c r="D2759" s="57" t="n"/>
      <c r="E2759" s="56" t="n"/>
      <c r="F2759" s="57" t="n"/>
      <c r="G2759" s="57" t="n"/>
      <c r="H2759" s="56" t="n"/>
      <c r="I2759" s="56" t="n"/>
      <c r="J2759" s="58" t="n"/>
      <c r="K2759" s="58" t="n"/>
      <c r="L2759" s="13">
        <f>IF(OR($A2759="",AND($J2759="",$K2759="")),"",ROUND(N($J2759)-N($K2759),2))</f>
        <v/>
      </c>
      <c r="M2759" s="13">
        <f>IF(OR($A2759="",AND($J2759="",$K2759="")),"",MIN($J2759,$K2759))</f>
        <v/>
      </c>
      <c r="Q2759">
        <f>IF($A2759="","",$D2759&amp;"("&amp;SUBSTITUTE($E2759," ","")&amp;")")</f>
        <v/>
      </c>
      <c r="R2759">
        <f>IF($A2759="","",$B2759&amp;" - "&amp;$C2759)</f>
        <v/>
      </c>
      <c r="S2759">
        <f>IF($A2759="","",$R2759&amp;"|"&amp;$Q2759)</f>
        <v/>
      </c>
      <c r="T2759">
        <f>IF($A2759="","",$S2759&amp;"|"&amp;$F2759)</f>
        <v/>
      </c>
      <c r="U2759">
        <f>IF($A2759="","",$R2759&amp;"("&amp;$E2759&amp;")")</f>
        <v/>
      </c>
      <c r="V2759">
        <f>IF($A2759="","",$F2759&amp;"|"&amp;$U2759&amp;"|"&amp;$D2759)</f>
        <v/>
      </c>
      <c r="W2759">
        <f>IF($T2759="","",IF($X2759&gt;N($X2758),$X2759,""))</f>
        <v/>
      </c>
      <c r="X2759">
        <f>IF($T2759="",N($X2758),IF(MATCH($T2759,$T$6:$T$6005,0)=ROW()-5,N($X2758)+1,N($X2758)))</f>
        <v/>
      </c>
      <c r="Z2759">
        <f>IF($V2759="","",IF($AA2759&gt;N($AA2758),$AA2759,""))</f>
        <v/>
      </c>
      <c r="AA2759">
        <f>IF($V2759="",N($AA2758),IF(MATCH($V2759,$V$6:$V$6005,0)=ROW()-5,N($AA2758)+1,N($AA2758)))</f>
        <v/>
      </c>
    </row>
    <row r="2760" ht="21" customHeight="1" s="66">
      <c r="A2760" s="56" t="n"/>
      <c r="B2760" s="57" t="n"/>
      <c r="C2760" s="57" t="n"/>
      <c r="D2760" s="57" t="n"/>
      <c r="E2760" s="56" t="n"/>
      <c r="F2760" s="57" t="n"/>
      <c r="G2760" s="57" t="n"/>
      <c r="H2760" s="56" t="n"/>
      <c r="I2760" s="56" t="n"/>
      <c r="J2760" s="58" t="n"/>
      <c r="K2760" s="58" t="n"/>
      <c r="L2760" s="13">
        <f>IF(OR($A2760="",AND($J2760="",$K2760="")),"",ROUND(N($J2760)-N($K2760),2))</f>
        <v/>
      </c>
      <c r="M2760" s="13">
        <f>IF(OR($A2760="",AND($J2760="",$K2760="")),"",MIN($J2760,$K2760))</f>
        <v/>
      </c>
      <c r="Q2760">
        <f>IF($A2760="","",$D2760&amp;"("&amp;SUBSTITUTE($E2760," ","")&amp;")")</f>
        <v/>
      </c>
      <c r="R2760">
        <f>IF($A2760="","",$B2760&amp;" - "&amp;$C2760)</f>
        <v/>
      </c>
      <c r="S2760">
        <f>IF($A2760="","",$R2760&amp;"|"&amp;$Q2760)</f>
        <v/>
      </c>
      <c r="T2760">
        <f>IF($A2760="","",$S2760&amp;"|"&amp;$F2760)</f>
        <v/>
      </c>
      <c r="U2760">
        <f>IF($A2760="","",$R2760&amp;"("&amp;$E2760&amp;")")</f>
        <v/>
      </c>
      <c r="V2760">
        <f>IF($A2760="","",$F2760&amp;"|"&amp;$U2760&amp;"|"&amp;$D2760)</f>
        <v/>
      </c>
      <c r="W2760">
        <f>IF($T2760="","",IF($X2760&gt;N($X2759),$X2760,""))</f>
        <v/>
      </c>
      <c r="X2760">
        <f>IF($T2760="",N($X2759),IF(MATCH($T2760,$T$6:$T$6005,0)=ROW()-5,N($X2759)+1,N($X2759)))</f>
        <v/>
      </c>
      <c r="Z2760">
        <f>IF($V2760="","",IF($AA2760&gt;N($AA2759),$AA2760,""))</f>
        <v/>
      </c>
      <c r="AA2760">
        <f>IF($V2760="",N($AA2759),IF(MATCH($V2760,$V$6:$V$6005,0)=ROW()-5,N($AA2759)+1,N($AA2759)))</f>
        <v/>
      </c>
    </row>
    <row r="2761" ht="21" customHeight="1" s="66">
      <c r="A2761" s="56" t="n"/>
      <c r="B2761" s="57" t="n"/>
      <c r="C2761" s="57" t="n"/>
      <c r="D2761" s="57" t="n"/>
      <c r="E2761" s="56" t="n"/>
      <c r="F2761" s="57" t="n"/>
      <c r="G2761" s="57" t="n"/>
      <c r="H2761" s="56" t="n"/>
      <c r="I2761" s="56" t="n"/>
      <c r="J2761" s="58" t="n"/>
      <c r="K2761" s="58" t="n"/>
      <c r="L2761" s="13">
        <f>IF(OR($A2761="",AND($J2761="",$K2761="")),"",ROUND(N($J2761)-N($K2761),2))</f>
        <v/>
      </c>
      <c r="M2761" s="13">
        <f>IF(OR($A2761="",AND($J2761="",$K2761="")),"",MIN($J2761,$K2761))</f>
        <v/>
      </c>
      <c r="Q2761">
        <f>IF($A2761="","",$D2761&amp;"("&amp;SUBSTITUTE($E2761," ","")&amp;")")</f>
        <v/>
      </c>
      <c r="R2761">
        <f>IF($A2761="","",$B2761&amp;" - "&amp;$C2761)</f>
        <v/>
      </c>
      <c r="S2761">
        <f>IF($A2761="","",$R2761&amp;"|"&amp;$Q2761)</f>
        <v/>
      </c>
      <c r="T2761">
        <f>IF($A2761="","",$S2761&amp;"|"&amp;$F2761)</f>
        <v/>
      </c>
      <c r="U2761">
        <f>IF($A2761="","",$R2761&amp;"("&amp;$E2761&amp;")")</f>
        <v/>
      </c>
      <c r="V2761">
        <f>IF($A2761="","",$F2761&amp;"|"&amp;$U2761&amp;"|"&amp;$D2761)</f>
        <v/>
      </c>
      <c r="W2761">
        <f>IF($T2761="","",IF($X2761&gt;N($X2760),$X2761,""))</f>
        <v/>
      </c>
      <c r="X2761">
        <f>IF($T2761="",N($X2760),IF(MATCH($T2761,$T$6:$T$6005,0)=ROW()-5,N($X2760)+1,N($X2760)))</f>
        <v/>
      </c>
      <c r="Z2761">
        <f>IF($V2761="","",IF($AA2761&gt;N($AA2760),$AA2761,""))</f>
        <v/>
      </c>
      <c r="AA2761">
        <f>IF($V2761="",N($AA2760),IF(MATCH($V2761,$V$6:$V$6005,0)=ROW()-5,N($AA2760)+1,N($AA2760)))</f>
        <v/>
      </c>
    </row>
    <row r="2762" ht="21" customHeight="1" s="66">
      <c r="A2762" s="56" t="n"/>
      <c r="B2762" s="57" t="n"/>
      <c r="C2762" s="57" t="n"/>
      <c r="D2762" s="57" t="n"/>
      <c r="E2762" s="56" t="n"/>
      <c r="F2762" s="57" t="n"/>
      <c r="G2762" s="57" t="n"/>
      <c r="H2762" s="56" t="n"/>
      <c r="I2762" s="56" t="n"/>
      <c r="J2762" s="58" t="n"/>
      <c r="K2762" s="58" t="n"/>
      <c r="L2762" s="13">
        <f>IF(OR($A2762="",AND($J2762="",$K2762="")),"",ROUND(N($J2762)-N($K2762),2))</f>
        <v/>
      </c>
      <c r="M2762" s="13">
        <f>IF(OR($A2762="",AND($J2762="",$K2762="")),"",MIN($J2762,$K2762))</f>
        <v/>
      </c>
      <c r="Q2762">
        <f>IF($A2762="","",$D2762&amp;"("&amp;SUBSTITUTE($E2762," ","")&amp;")")</f>
        <v/>
      </c>
      <c r="R2762">
        <f>IF($A2762="","",$B2762&amp;" - "&amp;$C2762)</f>
        <v/>
      </c>
      <c r="S2762">
        <f>IF($A2762="","",$R2762&amp;"|"&amp;$Q2762)</f>
        <v/>
      </c>
      <c r="T2762">
        <f>IF($A2762="","",$S2762&amp;"|"&amp;$F2762)</f>
        <v/>
      </c>
      <c r="U2762">
        <f>IF($A2762="","",$R2762&amp;"("&amp;$E2762&amp;")")</f>
        <v/>
      </c>
      <c r="V2762">
        <f>IF($A2762="","",$F2762&amp;"|"&amp;$U2762&amp;"|"&amp;$D2762)</f>
        <v/>
      </c>
      <c r="W2762">
        <f>IF($T2762="","",IF($X2762&gt;N($X2761),$X2762,""))</f>
        <v/>
      </c>
      <c r="X2762">
        <f>IF($T2762="",N($X2761),IF(MATCH($T2762,$T$6:$T$6005,0)=ROW()-5,N($X2761)+1,N($X2761)))</f>
        <v/>
      </c>
      <c r="Z2762">
        <f>IF($V2762="","",IF($AA2762&gt;N($AA2761),$AA2762,""))</f>
        <v/>
      </c>
      <c r="AA2762">
        <f>IF($V2762="",N($AA2761),IF(MATCH($V2762,$V$6:$V$6005,0)=ROW()-5,N($AA2761)+1,N($AA2761)))</f>
        <v/>
      </c>
    </row>
    <row r="2763" ht="21" customHeight="1" s="66">
      <c r="A2763" s="56" t="n"/>
      <c r="B2763" s="57" t="n"/>
      <c r="C2763" s="57" t="n"/>
      <c r="D2763" s="57" t="n"/>
      <c r="E2763" s="56" t="n"/>
      <c r="F2763" s="57" t="n"/>
      <c r="G2763" s="57" t="n"/>
      <c r="H2763" s="56" t="n"/>
      <c r="I2763" s="56" t="n"/>
      <c r="J2763" s="58" t="n"/>
      <c r="K2763" s="58" t="n"/>
      <c r="L2763" s="13">
        <f>IF(OR($A2763="",AND($J2763="",$K2763="")),"",ROUND(N($J2763)-N($K2763),2))</f>
        <v/>
      </c>
      <c r="M2763" s="13">
        <f>IF(OR($A2763="",AND($J2763="",$K2763="")),"",MIN($J2763,$K2763))</f>
        <v/>
      </c>
      <c r="Q2763">
        <f>IF($A2763="","",$D2763&amp;"("&amp;SUBSTITUTE($E2763," ","")&amp;")")</f>
        <v/>
      </c>
      <c r="R2763">
        <f>IF($A2763="","",$B2763&amp;" - "&amp;$C2763)</f>
        <v/>
      </c>
      <c r="S2763">
        <f>IF($A2763="","",$R2763&amp;"|"&amp;$Q2763)</f>
        <v/>
      </c>
      <c r="T2763">
        <f>IF($A2763="","",$S2763&amp;"|"&amp;$F2763)</f>
        <v/>
      </c>
      <c r="U2763">
        <f>IF($A2763="","",$R2763&amp;"("&amp;$E2763&amp;")")</f>
        <v/>
      </c>
      <c r="V2763">
        <f>IF($A2763="","",$F2763&amp;"|"&amp;$U2763&amp;"|"&amp;$D2763)</f>
        <v/>
      </c>
      <c r="W2763">
        <f>IF($T2763="","",IF($X2763&gt;N($X2762),$X2763,""))</f>
        <v/>
      </c>
      <c r="X2763">
        <f>IF($T2763="",N($X2762),IF(MATCH($T2763,$T$6:$T$6005,0)=ROW()-5,N($X2762)+1,N($X2762)))</f>
        <v/>
      </c>
      <c r="Z2763">
        <f>IF($V2763="","",IF($AA2763&gt;N($AA2762),$AA2763,""))</f>
        <v/>
      </c>
      <c r="AA2763">
        <f>IF($V2763="",N($AA2762),IF(MATCH($V2763,$V$6:$V$6005,0)=ROW()-5,N($AA2762)+1,N($AA2762)))</f>
        <v/>
      </c>
    </row>
    <row r="2764" ht="21" customHeight="1" s="66">
      <c r="A2764" s="56" t="n"/>
      <c r="B2764" s="57" t="n"/>
      <c r="C2764" s="57" t="n"/>
      <c r="D2764" s="57" t="n"/>
      <c r="E2764" s="56" t="n"/>
      <c r="F2764" s="57" t="n"/>
      <c r="G2764" s="57" t="n"/>
      <c r="H2764" s="56" t="n"/>
      <c r="I2764" s="56" t="n"/>
      <c r="J2764" s="58" t="n"/>
      <c r="K2764" s="58" t="n"/>
      <c r="L2764" s="13">
        <f>IF(OR($A2764="",AND($J2764="",$K2764="")),"",ROUND(N($J2764)-N($K2764),2))</f>
        <v/>
      </c>
      <c r="M2764" s="13">
        <f>IF(OR($A2764="",AND($J2764="",$K2764="")),"",MIN($J2764,$K2764))</f>
        <v/>
      </c>
      <c r="Q2764">
        <f>IF($A2764="","",$D2764&amp;"("&amp;SUBSTITUTE($E2764," ","")&amp;")")</f>
        <v/>
      </c>
      <c r="R2764">
        <f>IF($A2764="","",$B2764&amp;" - "&amp;$C2764)</f>
        <v/>
      </c>
      <c r="S2764">
        <f>IF($A2764="","",$R2764&amp;"|"&amp;$Q2764)</f>
        <v/>
      </c>
      <c r="T2764">
        <f>IF($A2764="","",$S2764&amp;"|"&amp;$F2764)</f>
        <v/>
      </c>
      <c r="U2764">
        <f>IF($A2764="","",$R2764&amp;"("&amp;$E2764&amp;")")</f>
        <v/>
      </c>
      <c r="V2764">
        <f>IF($A2764="","",$F2764&amp;"|"&amp;$U2764&amp;"|"&amp;$D2764)</f>
        <v/>
      </c>
      <c r="W2764">
        <f>IF($T2764="","",IF($X2764&gt;N($X2763),$X2764,""))</f>
        <v/>
      </c>
      <c r="X2764">
        <f>IF($T2764="",N($X2763),IF(MATCH($T2764,$T$6:$T$6005,0)=ROW()-5,N($X2763)+1,N($X2763)))</f>
        <v/>
      </c>
      <c r="Z2764">
        <f>IF($V2764="","",IF($AA2764&gt;N($AA2763),$AA2764,""))</f>
        <v/>
      </c>
      <c r="AA2764">
        <f>IF($V2764="",N($AA2763),IF(MATCH($V2764,$V$6:$V$6005,0)=ROW()-5,N($AA2763)+1,N($AA2763)))</f>
        <v/>
      </c>
    </row>
    <row r="2765" ht="21" customHeight="1" s="66">
      <c r="A2765" s="56" t="n"/>
      <c r="B2765" s="57" t="n"/>
      <c r="C2765" s="57" t="n"/>
      <c r="D2765" s="57" t="n"/>
      <c r="E2765" s="56" t="n"/>
      <c r="F2765" s="57" t="n"/>
      <c r="G2765" s="57" t="n"/>
      <c r="H2765" s="56" t="n"/>
      <c r="I2765" s="56" t="n"/>
      <c r="J2765" s="58" t="n"/>
      <c r="K2765" s="58" t="n"/>
      <c r="L2765" s="13">
        <f>IF(OR($A2765="",AND($J2765="",$K2765="")),"",ROUND(N($J2765)-N($K2765),2))</f>
        <v/>
      </c>
      <c r="M2765" s="13">
        <f>IF(OR($A2765="",AND($J2765="",$K2765="")),"",MIN($J2765,$K2765))</f>
        <v/>
      </c>
      <c r="Q2765">
        <f>IF($A2765="","",$D2765&amp;"("&amp;SUBSTITUTE($E2765," ","")&amp;")")</f>
        <v/>
      </c>
      <c r="R2765">
        <f>IF($A2765="","",$B2765&amp;" - "&amp;$C2765)</f>
        <v/>
      </c>
      <c r="S2765">
        <f>IF($A2765="","",$R2765&amp;"|"&amp;$Q2765)</f>
        <v/>
      </c>
      <c r="T2765">
        <f>IF($A2765="","",$S2765&amp;"|"&amp;$F2765)</f>
        <v/>
      </c>
      <c r="U2765">
        <f>IF($A2765="","",$R2765&amp;"("&amp;$E2765&amp;")")</f>
        <v/>
      </c>
      <c r="V2765">
        <f>IF($A2765="","",$F2765&amp;"|"&amp;$U2765&amp;"|"&amp;$D2765)</f>
        <v/>
      </c>
      <c r="W2765">
        <f>IF($T2765="","",IF($X2765&gt;N($X2764),$X2765,""))</f>
        <v/>
      </c>
      <c r="X2765">
        <f>IF($T2765="",N($X2764),IF(MATCH($T2765,$T$6:$T$6005,0)=ROW()-5,N($X2764)+1,N($X2764)))</f>
        <v/>
      </c>
      <c r="Z2765">
        <f>IF($V2765="","",IF($AA2765&gt;N($AA2764),$AA2765,""))</f>
        <v/>
      </c>
      <c r="AA2765">
        <f>IF($V2765="",N($AA2764),IF(MATCH($V2765,$V$6:$V$6005,0)=ROW()-5,N($AA2764)+1,N($AA2764)))</f>
        <v/>
      </c>
    </row>
    <row r="2766" ht="21" customHeight="1" s="66">
      <c r="A2766" s="56" t="n"/>
      <c r="B2766" s="57" t="n"/>
      <c r="C2766" s="57" t="n"/>
      <c r="D2766" s="57" t="n"/>
      <c r="E2766" s="56" t="n"/>
      <c r="F2766" s="57" t="n"/>
      <c r="G2766" s="57" t="n"/>
      <c r="H2766" s="56" t="n"/>
      <c r="I2766" s="56" t="n"/>
      <c r="J2766" s="58" t="n"/>
      <c r="K2766" s="58" t="n"/>
      <c r="L2766" s="13">
        <f>IF(OR($A2766="",AND($J2766="",$K2766="")),"",ROUND(N($J2766)-N($K2766),2))</f>
        <v/>
      </c>
      <c r="M2766" s="13">
        <f>IF(OR($A2766="",AND($J2766="",$K2766="")),"",MIN($J2766,$K2766))</f>
        <v/>
      </c>
      <c r="Q2766">
        <f>IF($A2766="","",$D2766&amp;"("&amp;SUBSTITUTE($E2766," ","")&amp;")")</f>
        <v/>
      </c>
      <c r="R2766">
        <f>IF($A2766="","",$B2766&amp;" - "&amp;$C2766)</f>
        <v/>
      </c>
      <c r="S2766">
        <f>IF($A2766="","",$R2766&amp;"|"&amp;$Q2766)</f>
        <v/>
      </c>
      <c r="T2766">
        <f>IF($A2766="","",$S2766&amp;"|"&amp;$F2766)</f>
        <v/>
      </c>
      <c r="U2766">
        <f>IF($A2766="","",$R2766&amp;"("&amp;$E2766&amp;")")</f>
        <v/>
      </c>
      <c r="V2766">
        <f>IF($A2766="","",$F2766&amp;"|"&amp;$U2766&amp;"|"&amp;$D2766)</f>
        <v/>
      </c>
      <c r="W2766">
        <f>IF($T2766="","",IF($X2766&gt;N($X2765),$X2766,""))</f>
        <v/>
      </c>
      <c r="X2766">
        <f>IF($T2766="",N($X2765),IF(MATCH($T2766,$T$6:$T$6005,0)=ROW()-5,N($X2765)+1,N($X2765)))</f>
        <v/>
      </c>
      <c r="Z2766">
        <f>IF($V2766="","",IF($AA2766&gt;N($AA2765),$AA2766,""))</f>
        <v/>
      </c>
      <c r="AA2766">
        <f>IF($V2766="",N($AA2765),IF(MATCH($V2766,$V$6:$V$6005,0)=ROW()-5,N($AA2765)+1,N($AA2765)))</f>
        <v/>
      </c>
    </row>
    <row r="2767" ht="21" customHeight="1" s="66">
      <c r="A2767" s="56" t="n"/>
      <c r="B2767" s="57" t="n"/>
      <c r="C2767" s="57" t="n"/>
      <c r="D2767" s="57" t="n"/>
      <c r="E2767" s="56" t="n"/>
      <c r="F2767" s="57" t="n"/>
      <c r="G2767" s="57" t="n"/>
      <c r="H2767" s="56" t="n"/>
      <c r="I2767" s="56" t="n"/>
      <c r="J2767" s="58" t="n"/>
      <c r="K2767" s="58" t="n"/>
      <c r="L2767" s="13">
        <f>IF(OR($A2767="",AND($J2767="",$K2767="")),"",ROUND(N($J2767)-N($K2767),2))</f>
        <v/>
      </c>
      <c r="M2767" s="13">
        <f>IF(OR($A2767="",AND($J2767="",$K2767="")),"",MIN($J2767,$K2767))</f>
        <v/>
      </c>
      <c r="Q2767">
        <f>IF($A2767="","",$D2767&amp;"("&amp;SUBSTITUTE($E2767," ","")&amp;")")</f>
        <v/>
      </c>
      <c r="R2767">
        <f>IF($A2767="","",$B2767&amp;" - "&amp;$C2767)</f>
        <v/>
      </c>
      <c r="S2767">
        <f>IF($A2767="","",$R2767&amp;"|"&amp;$Q2767)</f>
        <v/>
      </c>
      <c r="T2767">
        <f>IF($A2767="","",$S2767&amp;"|"&amp;$F2767)</f>
        <v/>
      </c>
      <c r="U2767">
        <f>IF($A2767="","",$R2767&amp;"("&amp;$E2767&amp;")")</f>
        <v/>
      </c>
      <c r="V2767">
        <f>IF($A2767="","",$F2767&amp;"|"&amp;$U2767&amp;"|"&amp;$D2767)</f>
        <v/>
      </c>
      <c r="W2767">
        <f>IF($T2767="","",IF($X2767&gt;N($X2766),$X2767,""))</f>
        <v/>
      </c>
      <c r="X2767">
        <f>IF($T2767="",N($X2766),IF(MATCH($T2767,$T$6:$T$6005,0)=ROW()-5,N($X2766)+1,N($X2766)))</f>
        <v/>
      </c>
      <c r="Z2767">
        <f>IF($V2767="","",IF($AA2767&gt;N($AA2766),$AA2767,""))</f>
        <v/>
      </c>
      <c r="AA2767">
        <f>IF($V2767="",N($AA2766),IF(MATCH($V2767,$V$6:$V$6005,0)=ROW()-5,N($AA2766)+1,N($AA2766)))</f>
        <v/>
      </c>
    </row>
    <row r="2768" ht="21" customHeight="1" s="66">
      <c r="A2768" s="56" t="n"/>
      <c r="B2768" s="57" t="n"/>
      <c r="C2768" s="57" t="n"/>
      <c r="D2768" s="57" t="n"/>
      <c r="E2768" s="56" t="n"/>
      <c r="F2768" s="57" t="n"/>
      <c r="G2768" s="57" t="n"/>
      <c r="H2768" s="56" t="n"/>
      <c r="I2768" s="56" t="n"/>
      <c r="J2768" s="58" t="n"/>
      <c r="K2768" s="58" t="n"/>
      <c r="L2768" s="13">
        <f>IF(OR($A2768="",AND($J2768="",$K2768="")),"",ROUND(N($J2768)-N($K2768),2))</f>
        <v/>
      </c>
      <c r="M2768" s="13">
        <f>IF(OR($A2768="",AND($J2768="",$K2768="")),"",MIN($J2768,$K2768))</f>
        <v/>
      </c>
      <c r="Q2768">
        <f>IF($A2768="","",$D2768&amp;"("&amp;SUBSTITUTE($E2768," ","")&amp;")")</f>
        <v/>
      </c>
      <c r="R2768">
        <f>IF($A2768="","",$B2768&amp;" - "&amp;$C2768)</f>
        <v/>
      </c>
      <c r="S2768">
        <f>IF($A2768="","",$R2768&amp;"|"&amp;$Q2768)</f>
        <v/>
      </c>
      <c r="T2768">
        <f>IF($A2768="","",$S2768&amp;"|"&amp;$F2768)</f>
        <v/>
      </c>
      <c r="U2768">
        <f>IF($A2768="","",$R2768&amp;"("&amp;$E2768&amp;")")</f>
        <v/>
      </c>
      <c r="V2768">
        <f>IF($A2768="","",$F2768&amp;"|"&amp;$U2768&amp;"|"&amp;$D2768)</f>
        <v/>
      </c>
      <c r="W2768">
        <f>IF($T2768="","",IF($X2768&gt;N($X2767),$X2768,""))</f>
        <v/>
      </c>
      <c r="X2768">
        <f>IF($T2768="",N($X2767),IF(MATCH($T2768,$T$6:$T$6005,0)=ROW()-5,N($X2767)+1,N($X2767)))</f>
        <v/>
      </c>
      <c r="Z2768">
        <f>IF($V2768="","",IF($AA2768&gt;N($AA2767),$AA2768,""))</f>
        <v/>
      </c>
      <c r="AA2768">
        <f>IF($V2768="",N($AA2767),IF(MATCH($V2768,$V$6:$V$6005,0)=ROW()-5,N($AA2767)+1,N($AA2767)))</f>
        <v/>
      </c>
    </row>
    <row r="2769" ht="21" customHeight="1" s="66">
      <c r="A2769" s="56" t="n"/>
      <c r="B2769" s="57" t="n"/>
      <c r="C2769" s="57" t="n"/>
      <c r="D2769" s="57" t="n"/>
      <c r="E2769" s="56" t="n"/>
      <c r="F2769" s="57" t="n"/>
      <c r="G2769" s="57" t="n"/>
      <c r="H2769" s="56" t="n"/>
      <c r="I2769" s="56" t="n"/>
      <c r="J2769" s="58" t="n"/>
      <c r="K2769" s="58" t="n"/>
      <c r="L2769" s="13">
        <f>IF(OR($A2769="",AND($J2769="",$K2769="")),"",ROUND(N($J2769)-N($K2769),2))</f>
        <v/>
      </c>
      <c r="M2769" s="13">
        <f>IF(OR($A2769="",AND($J2769="",$K2769="")),"",MIN($J2769,$K2769))</f>
        <v/>
      </c>
      <c r="Q2769">
        <f>IF($A2769="","",$D2769&amp;"("&amp;SUBSTITUTE($E2769," ","")&amp;")")</f>
        <v/>
      </c>
      <c r="R2769">
        <f>IF($A2769="","",$B2769&amp;" - "&amp;$C2769)</f>
        <v/>
      </c>
      <c r="S2769">
        <f>IF($A2769="","",$R2769&amp;"|"&amp;$Q2769)</f>
        <v/>
      </c>
      <c r="T2769">
        <f>IF($A2769="","",$S2769&amp;"|"&amp;$F2769)</f>
        <v/>
      </c>
      <c r="U2769">
        <f>IF($A2769="","",$R2769&amp;"("&amp;$E2769&amp;")")</f>
        <v/>
      </c>
      <c r="V2769">
        <f>IF($A2769="","",$F2769&amp;"|"&amp;$U2769&amp;"|"&amp;$D2769)</f>
        <v/>
      </c>
      <c r="W2769">
        <f>IF($T2769="","",IF($X2769&gt;N($X2768),$X2769,""))</f>
        <v/>
      </c>
      <c r="X2769">
        <f>IF($T2769="",N($X2768),IF(MATCH($T2769,$T$6:$T$6005,0)=ROW()-5,N($X2768)+1,N($X2768)))</f>
        <v/>
      </c>
      <c r="Z2769">
        <f>IF($V2769="","",IF($AA2769&gt;N($AA2768),$AA2769,""))</f>
        <v/>
      </c>
      <c r="AA2769">
        <f>IF($V2769="",N($AA2768),IF(MATCH($V2769,$V$6:$V$6005,0)=ROW()-5,N($AA2768)+1,N($AA2768)))</f>
        <v/>
      </c>
    </row>
    <row r="2770" ht="21" customHeight="1" s="66">
      <c r="A2770" s="56" t="n"/>
      <c r="B2770" s="57" t="n"/>
      <c r="C2770" s="57" t="n"/>
      <c r="D2770" s="57" t="n"/>
      <c r="E2770" s="56" t="n"/>
      <c r="F2770" s="57" t="n"/>
      <c r="G2770" s="57" t="n"/>
      <c r="H2770" s="56" t="n"/>
      <c r="I2770" s="56" t="n"/>
      <c r="J2770" s="58" t="n"/>
      <c r="K2770" s="58" t="n"/>
      <c r="L2770" s="13">
        <f>IF(OR($A2770="",AND($J2770="",$K2770="")),"",ROUND(N($J2770)-N($K2770),2))</f>
        <v/>
      </c>
      <c r="M2770" s="13">
        <f>IF(OR($A2770="",AND($J2770="",$K2770="")),"",MIN($J2770,$K2770))</f>
        <v/>
      </c>
      <c r="Q2770">
        <f>IF($A2770="","",$D2770&amp;"("&amp;SUBSTITUTE($E2770," ","")&amp;")")</f>
        <v/>
      </c>
      <c r="R2770">
        <f>IF($A2770="","",$B2770&amp;" - "&amp;$C2770)</f>
        <v/>
      </c>
      <c r="S2770">
        <f>IF($A2770="","",$R2770&amp;"|"&amp;$Q2770)</f>
        <v/>
      </c>
      <c r="T2770">
        <f>IF($A2770="","",$S2770&amp;"|"&amp;$F2770)</f>
        <v/>
      </c>
      <c r="U2770">
        <f>IF($A2770="","",$R2770&amp;"("&amp;$E2770&amp;")")</f>
        <v/>
      </c>
      <c r="V2770">
        <f>IF($A2770="","",$F2770&amp;"|"&amp;$U2770&amp;"|"&amp;$D2770)</f>
        <v/>
      </c>
      <c r="W2770">
        <f>IF($T2770="","",IF($X2770&gt;N($X2769),$X2770,""))</f>
        <v/>
      </c>
      <c r="X2770">
        <f>IF($T2770="",N($X2769),IF(MATCH($T2770,$T$6:$T$6005,0)=ROW()-5,N($X2769)+1,N($X2769)))</f>
        <v/>
      </c>
      <c r="Z2770">
        <f>IF($V2770="","",IF($AA2770&gt;N($AA2769),$AA2770,""))</f>
        <v/>
      </c>
      <c r="AA2770">
        <f>IF($V2770="",N($AA2769),IF(MATCH($V2770,$V$6:$V$6005,0)=ROW()-5,N($AA2769)+1,N($AA2769)))</f>
        <v/>
      </c>
    </row>
    <row r="2771" ht="21" customHeight="1" s="66">
      <c r="A2771" s="56" t="n"/>
      <c r="B2771" s="57" t="n"/>
      <c r="C2771" s="57" t="n"/>
      <c r="D2771" s="57" t="n"/>
      <c r="E2771" s="56" t="n"/>
      <c r="F2771" s="57" t="n"/>
      <c r="G2771" s="57" t="n"/>
      <c r="H2771" s="56" t="n"/>
      <c r="I2771" s="56" t="n"/>
      <c r="J2771" s="58" t="n"/>
      <c r="K2771" s="58" t="n"/>
      <c r="L2771" s="13">
        <f>IF(OR($A2771="",AND($J2771="",$K2771="")),"",ROUND(N($J2771)-N($K2771),2))</f>
        <v/>
      </c>
      <c r="M2771" s="13">
        <f>IF(OR($A2771="",AND($J2771="",$K2771="")),"",MIN($J2771,$K2771))</f>
        <v/>
      </c>
      <c r="Q2771">
        <f>IF($A2771="","",$D2771&amp;"("&amp;SUBSTITUTE($E2771," ","")&amp;")")</f>
        <v/>
      </c>
      <c r="R2771">
        <f>IF($A2771="","",$B2771&amp;" - "&amp;$C2771)</f>
        <v/>
      </c>
      <c r="S2771">
        <f>IF($A2771="","",$R2771&amp;"|"&amp;$Q2771)</f>
        <v/>
      </c>
      <c r="T2771">
        <f>IF($A2771="","",$S2771&amp;"|"&amp;$F2771)</f>
        <v/>
      </c>
      <c r="U2771">
        <f>IF($A2771="","",$R2771&amp;"("&amp;$E2771&amp;")")</f>
        <v/>
      </c>
      <c r="V2771">
        <f>IF($A2771="","",$F2771&amp;"|"&amp;$U2771&amp;"|"&amp;$D2771)</f>
        <v/>
      </c>
      <c r="W2771">
        <f>IF($T2771="","",IF($X2771&gt;N($X2770),$X2771,""))</f>
        <v/>
      </c>
      <c r="X2771">
        <f>IF($T2771="",N($X2770),IF(MATCH($T2771,$T$6:$T$6005,0)=ROW()-5,N($X2770)+1,N($X2770)))</f>
        <v/>
      </c>
      <c r="Z2771">
        <f>IF($V2771="","",IF($AA2771&gt;N($AA2770),$AA2771,""))</f>
        <v/>
      </c>
      <c r="AA2771">
        <f>IF($V2771="",N($AA2770),IF(MATCH($V2771,$V$6:$V$6005,0)=ROW()-5,N($AA2770)+1,N($AA2770)))</f>
        <v/>
      </c>
    </row>
    <row r="2772" ht="21" customHeight="1" s="66">
      <c r="A2772" s="56" t="n"/>
      <c r="B2772" s="57" t="n"/>
      <c r="C2772" s="57" t="n"/>
      <c r="D2772" s="57" t="n"/>
      <c r="E2772" s="56" t="n"/>
      <c r="F2772" s="57" t="n"/>
      <c r="G2772" s="57" t="n"/>
      <c r="H2772" s="56" t="n"/>
      <c r="I2772" s="56" t="n"/>
      <c r="J2772" s="58" t="n"/>
      <c r="K2772" s="58" t="n"/>
      <c r="L2772" s="13">
        <f>IF(OR($A2772="",AND($J2772="",$K2772="")),"",ROUND(N($J2772)-N($K2772),2))</f>
        <v/>
      </c>
      <c r="M2772" s="13">
        <f>IF(OR($A2772="",AND($J2772="",$K2772="")),"",MIN($J2772,$K2772))</f>
        <v/>
      </c>
      <c r="Q2772">
        <f>IF($A2772="","",$D2772&amp;"("&amp;SUBSTITUTE($E2772," ","")&amp;")")</f>
        <v/>
      </c>
      <c r="R2772">
        <f>IF($A2772="","",$B2772&amp;" - "&amp;$C2772)</f>
        <v/>
      </c>
      <c r="S2772">
        <f>IF($A2772="","",$R2772&amp;"|"&amp;$Q2772)</f>
        <v/>
      </c>
      <c r="T2772">
        <f>IF($A2772="","",$S2772&amp;"|"&amp;$F2772)</f>
        <v/>
      </c>
      <c r="U2772">
        <f>IF($A2772="","",$R2772&amp;"("&amp;$E2772&amp;")")</f>
        <v/>
      </c>
      <c r="V2772">
        <f>IF($A2772="","",$F2772&amp;"|"&amp;$U2772&amp;"|"&amp;$D2772)</f>
        <v/>
      </c>
      <c r="W2772">
        <f>IF($T2772="","",IF($X2772&gt;N($X2771),$X2772,""))</f>
        <v/>
      </c>
      <c r="X2772">
        <f>IF($T2772="",N($X2771),IF(MATCH($T2772,$T$6:$T$6005,0)=ROW()-5,N($X2771)+1,N($X2771)))</f>
        <v/>
      </c>
      <c r="Z2772">
        <f>IF($V2772="","",IF($AA2772&gt;N($AA2771),$AA2772,""))</f>
        <v/>
      </c>
      <c r="AA2772">
        <f>IF($V2772="",N($AA2771),IF(MATCH($V2772,$V$6:$V$6005,0)=ROW()-5,N($AA2771)+1,N($AA2771)))</f>
        <v/>
      </c>
    </row>
    <row r="2773" ht="21" customHeight="1" s="66">
      <c r="A2773" s="56" t="n"/>
      <c r="B2773" s="57" t="n"/>
      <c r="C2773" s="57" t="n"/>
      <c r="D2773" s="57" t="n"/>
      <c r="E2773" s="56" t="n"/>
      <c r="F2773" s="57" t="n"/>
      <c r="G2773" s="57" t="n"/>
      <c r="H2773" s="56" t="n"/>
      <c r="I2773" s="56" t="n"/>
      <c r="J2773" s="58" t="n"/>
      <c r="K2773" s="58" t="n"/>
      <c r="L2773" s="13">
        <f>IF(OR($A2773="",AND($J2773="",$K2773="")),"",ROUND(N($J2773)-N($K2773),2))</f>
        <v/>
      </c>
      <c r="M2773" s="13">
        <f>IF(OR($A2773="",AND($J2773="",$K2773="")),"",MIN($J2773,$K2773))</f>
        <v/>
      </c>
      <c r="Q2773">
        <f>IF($A2773="","",$D2773&amp;"("&amp;SUBSTITUTE($E2773," ","")&amp;")")</f>
        <v/>
      </c>
      <c r="R2773">
        <f>IF($A2773="","",$B2773&amp;" - "&amp;$C2773)</f>
        <v/>
      </c>
      <c r="S2773">
        <f>IF($A2773="","",$R2773&amp;"|"&amp;$Q2773)</f>
        <v/>
      </c>
      <c r="T2773">
        <f>IF($A2773="","",$S2773&amp;"|"&amp;$F2773)</f>
        <v/>
      </c>
      <c r="U2773">
        <f>IF($A2773="","",$R2773&amp;"("&amp;$E2773&amp;")")</f>
        <v/>
      </c>
      <c r="V2773">
        <f>IF($A2773="","",$F2773&amp;"|"&amp;$U2773&amp;"|"&amp;$D2773)</f>
        <v/>
      </c>
      <c r="W2773">
        <f>IF($T2773="","",IF($X2773&gt;N($X2772),$X2773,""))</f>
        <v/>
      </c>
      <c r="X2773">
        <f>IF($T2773="",N($X2772),IF(MATCH($T2773,$T$6:$T$6005,0)=ROW()-5,N($X2772)+1,N($X2772)))</f>
        <v/>
      </c>
      <c r="Z2773">
        <f>IF($V2773="","",IF($AA2773&gt;N($AA2772),$AA2773,""))</f>
        <v/>
      </c>
      <c r="AA2773">
        <f>IF($V2773="",N($AA2772),IF(MATCH($V2773,$V$6:$V$6005,0)=ROW()-5,N($AA2772)+1,N($AA2772)))</f>
        <v/>
      </c>
    </row>
    <row r="2774" ht="21" customHeight="1" s="66">
      <c r="A2774" s="56" t="n"/>
      <c r="B2774" s="57" t="n"/>
      <c r="C2774" s="57" t="n"/>
      <c r="D2774" s="57" t="n"/>
      <c r="E2774" s="56" t="n"/>
      <c r="F2774" s="57" t="n"/>
      <c r="G2774" s="57" t="n"/>
      <c r="H2774" s="56" t="n"/>
      <c r="I2774" s="56" t="n"/>
      <c r="J2774" s="58" t="n"/>
      <c r="K2774" s="58" t="n"/>
      <c r="L2774" s="13">
        <f>IF(OR($A2774="",AND($J2774="",$K2774="")),"",ROUND(N($J2774)-N($K2774),2))</f>
        <v/>
      </c>
      <c r="M2774" s="13">
        <f>IF(OR($A2774="",AND($J2774="",$K2774="")),"",MIN($J2774,$K2774))</f>
        <v/>
      </c>
      <c r="Q2774">
        <f>IF($A2774="","",$D2774&amp;"("&amp;SUBSTITUTE($E2774," ","")&amp;")")</f>
        <v/>
      </c>
      <c r="R2774">
        <f>IF($A2774="","",$B2774&amp;" - "&amp;$C2774)</f>
        <v/>
      </c>
      <c r="S2774">
        <f>IF($A2774="","",$R2774&amp;"|"&amp;$Q2774)</f>
        <v/>
      </c>
      <c r="T2774">
        <f>IF($A2774="","",$S2774&amp;"|"&amp;$F2774)</f>
        <v/>
      </c>
      <c r="U2774">
        <f>IF($A2774="","",$R2774&amp;"("&amp;$E2774&amp;")")</f>
        <v/>
      </c>
      <c r="V2774">
        <f>IF($A2774="","",$F2774&amp;"|"&amp;$U2774&amp;"|"&amp;$D2774)</f>
        <v/>
      </c>
      <c r="W2774">
        <f>IF($T2774="","",IF($X2774&gt;N($X2773),$X2774,""))</f>
        <v/>
      </c>
      <c r="X2774">
        <f>IF($T2774="",N($X2773),IF(MATCH($T2774,$T$6:$T$6005,0)=ROW()-5,N($X2773)+1,N($X2773)))</f>
        <v/>
      </c>
      <c r="Z2774">
        <f>IF($V2774="","",IF($AA2774&gt;N($AA2773),$AA2774,""))</f>
        <v/>
      </c>
      <c r="AA2774">
        <f>IF($V2774="",N($AA2773),IF(MATCH($V2774,$V$6:$V$6005,0)=ROW()-5,N($AA2773)+1,N($AA2773)))</f>
        <v/>
      </c>
    </row>
    <row r="2775" ht="21" customHeight="1" s="66">
      <c r="A2775" s="56" t="n"/>
      <c r="B2775" s="57" t="n"/>
      <c r="C2775" s="57" t="n"/>
      <c r="D2775" s="57" t="n"/>
      <c r="E2775" s="56" t="n"/>
      <c r="F2775" s="57" t="n"/>
      <c r="G2775" s="57" t="n"/>
      <c r="H2775" s="56" t="n"/>
      <c r="I2775" s="56" t="n"/>
      <c r="J2775" s="58" t="n"/>
      <c r="K2775" s="58" t="n"/>
      <c r="L2775" s="13">
        <f>IF(OR($A2775="",AND($J2775="",$K2775="")),"",ROUND(N($J2775)-N($K2775),2))</f>
        <v/>
      </c>
      <c r="M2775" s="13">
        <f>IF(OR($A2775="",AND($J2775="",$K2775="")),"",MIN($J2775,$K2775))</f>
        <v/>
      </c>
      <c r="Q2775">
        <f>IF($A2775="","",$D2775&amp;"("&amp;SUBSTITUTE($E2775," ","")&amp;")")</f>
        <v/>
      </c>
      <c r="R2775">
        <f>IF($A2775="","",$B2775&amp;" - "&amp;$C2775)</f>
        <v/>
      </c>
      <c r="S2775">
        <f>IF($A2775="","",$R2775&amp;"|"&amp;$Q2775)</f>
        <v/>
      </c>
      <c r="T2775">
        <f>IF($A2775="","",$S2775&amp;"|"&amp;$F2775)</f>
        <v/>
      </c>
      <c r="U2775">
        <f>IF($A2775="","",$R2775&amp;"("&amp;$E2775&amp;")")</f>
        <v/>
      </c>
      <c r="V2775">
        <f>IF($A2775="","",$F2775&amp;"|"&amp;$U2775&amp;"|"&amp;$D2775)</f>
        <v/>
      </c>
      <c r="W2775">
        <f>IF($T2775="","",IF($X2775&gt;N($X2774),$X2775,""))</f>
        <v/>
      </c>
      <c r="X2775">
        <f>IF($T2775="",N($X2774),IF(MATCH($T2775,$T$6:$T$6005,0)=ROW()-5,N($X2774)+1,N($X2774)))</f>
        <v/>
      </c>
      <c r="Z2775">
        <f>IF($V2775="","",IF($AA2775&gt;N($AA2774),$AA2775,""))</f>
        <v/>
      </c>
      <c r="AA2775">
        <f>IF($V2775="",N($AA2774),IF(MATCH($V2775,$V$6:$V$6005,0)=ROW()-5,N($AA2774)+1,N($AA2774)))</f>
        <v/>
      </c>
    </row>
    <row r="2776" ht="21" customHeight="1" s="66">
      <c r="A2776" s="56" t="n"/>
      <c r="B2776" s="57" t="n"/>
      <c r="C2776" s="57" t="n"/>
      <c r="D2776" s="57" t="n"/>
      <c r="E2776" s="56" t="n"/>
      <c r="F2776" s="57" t="n"/>
      <c r="G2776" s="57" t="n"/>
      <c r="H2776" s="56" t="n"/>
      <c r="I2776" s="56" t="n"/>
      <c r="J2776" s="58" t="n"/>
      <c r="K2776" s="58" t="n"/>
      <c r="L2776" s="13">
        <f>IF(OR($A2776="",AND($J2776="",$K2776="")),"",ROUND(N($J2776)-N($K2776),2))</f>
        <v/>
      </c>
      <c r="M2776" s="13">
        <f>IF(OR($A2776="",AND($J2776="",$K2776="")),"",MIN($J2776,$K2776))</f>
        <v/>
      </c>
      <c r="Q2776">
        <f>IF($A2776="","",$D2776&amp;"("&amp;SUBSTITUTE($E2776," ","")&amp;")")</f>
        <v/>
      </c>
      <c r="R2776">
        <f>IF($A2776="","",$B2776&amp;" - "&amp;$C2776)</f>
        <v/>
      </c>
      <c r="S2776">
        <f>IF($A2776="","",$R2776&amp;"|"&amp;$Q2776)</f>
        <v/>
      </c>
      <c r="T2776">
        <f>IF($A2776="","",$S2776&amp;"|"&amp;$F2776)</f>
        <v/>
      </c>
      <c r="U2776">
        <f>IF($A2776="","",$R2776&amp;"("&amp;$E2776&amp;")")</f>
        <v/>
      </c>
      <c r="V2776">
        <f>IF($A2776="","",$F2776&amp;"|"&amp;$U2776&amp;"|"&amp;$D2776)</f>
        <v/>
      </c>
      <c r="W2776">
        <f>IF($T2776="","",IF($X2776&gt;N($X2775),$X2776,""))</f>
        <v/>
      </c>
      <c r="X2776">
        <f>IF($T2776="",N($X2775),IF(MATCH($T2776,$T$6:$T$6005,0)=ROW()-5,N($X2775)+1,N($X2775)))</f>
        <v/>
      </c>
      <c r="Z2776">
        <f>IF($V2776="","",IF($AA2776&gt;N($AA2775),$AA2776,""))</f>
        <v/>
      </c>
      <c r="AA2776">
        <f>IF($V2776="",N($AA2775),IF(MATCH($V2776,$V$6:$V$6005,0)=ROW()-5,N($AA2775)+1,N($AA2775)))</f>
        <v/>
      </c>
    </row>
    <row r="2777" ht="21" customHeight="1" s="66">
      <c r="A2777" s="56" t="n"/>
      <c r="B2777" s="57" t="n"/>
      <c r="C2777" s="57" t="n"/>
      <c r="D2777" s="57" t="n"/>
      <c r="E2777" s="56" t="n"/>
      <c r="F2777" s="57" t="n"/>
      <c r="G2777" s="57" t="n"/>
      <c r="H2777" s="56" t="n"/>
      <c r="I2777" s="56" t="n"/>
      <c r="J2777" s="58" t="n"/>
      <c r="K2777" s="58" t="n"/>
      <c r="L2777" s="13">
        <f>IF(OR($A2777="",AND($J2777="",$K2777="")),"",ROUND(N($J2777)-N($K2777),2))</f>
        <v/>
      </c>
      <c r="M2777" s="13">
        <f>IF(OR($A2777="",AND($J2777="",$K2777="")),"",MIN($J2777,$K2777))</f>
        <v/>
      </c>
      <c r="Q2777">
        <f>IF($A2777="","",$D2777&amp;"("&amp;SUBSTITUTE($E2777," ","")&amp;")")</f>
        <v/>
      </c>
      <c r="R2777">
        <f>IF($A2777="","",$B2777&amp;" - "&amp;$C2777)</f>
        <v/>
      </c>
      <c r="S2777">
        <f>IF($A2777="","",$R2777&amp;"|"&amp;$Q2777)</f>
        <v/>
      </c>
      <c r="T2777">
        <f>IF($A2777="","",$S2777&amp;"|"&amp;$F2777)</f>
        <v/>
      </c>
      <c r="U2777">
        <f>IF($A2777="","",$R2777&amp;"("&amp;$E2777&amp;")")</f>
        <v/>
      </c>
      <c r="V2777">
        <f>IF($A2777="","",$F2777&amp;"|"&amp;$U2777&amp;"|"&amp;$D2777)</f>
        <v/>
      </c>
      <c r="W2777">
        <f>IF($T2777="","",IF($X2777&gt;N($X2776),$X2777,""))</f>
        <v/>
      </c>
      <c r="X2777">
        <f>IF($T2777="",N($X2776),IF(MATCH($T2777,$T$6:$T$6005,0)=ROW()-5,N($X2776)+1,N($X2776)))</f>
        <v/>
      </c>
      <c r="Z2777">
        <f>IF($V2777="","",IF($AA2777&gt;N($AA2776),$AA2777,""))</f>
        <v/>
      </c>
      <c r="AA2777">
        <f>IF($V2777="",N($AA2776),IF(MATCH($V2777,$V$6:$V$6005,0)=ROW()-5,N($AA2776)+1,N($AA2776)))</f>
        <v/>
      </c>
    </row>
    <row r="2778" ht="21" customHeight="1" s="66">
      <c r="A2778" s="56" t="n"/>
      <c r="B2778" s="57" t="n"/>
      <c r="C2778" s="57" t="n"/>
      <c r="D2778" s="57" t="n"/>
      <c r="E2778" s="56" t="n"/>
      <c r="F2778" s="57" t="n"/>
      <c r="G2778" s="57" t="n"/>
      <c r="H2778" s="56" t="n"/>
      <c r="I2778" s="56" t="n"/>
      <c r="J2778" s="58" t="n"/>
      <c r="K2778" s="58" t="n"/>
      <c r="L2778" s="13">
        <f>IF(OR($A2778="",AND($J2778="",$K2778="")),"",ROUND(N($J2778)-N($K2778),2))</f>
        <v/>
      </c>
      <c r="M2778" s="13">
        <f>IF(OR($A2778="",AND($J2778="",$K2778="")),"",MIN($J2778,$K2778))</f>
        <v/>
      </c>
      <c r="Q2778">
        <f>IF($A2778="","",$D2778&amp;"("&amp;SUBSTITUTE($E2778," ","")&amp;")")</f>
        <v/>
      </c>
      <c r="R2778">
        <f>IF($A2778="","",$B2778&amp;" - "&amp;$C2778)</f>
        <v/>
      </c>
      <c r="S2778">
        <f>IF($A2778="","",$R2778&amp;"|"&amp;$Q2778)</f>
        <v/>
      </c>
      <c r="T2778">
        <f>IF($A2778="","",$S2778&amp;"|"&amp;$F2778)</f>
        <v/>
      </c>
      <c r="U2778">
        <f>IF($A2778="","",$R2778&amp;"("&amp;$E2778&amp;")")</f>
        <v/>
      </c>
      <c r="V2778">
        <f>IF($A2778="","",$F2778&amp;"|"&amp;$U2778&amp;"|"&amp;$D2778)</f>
        <v/>
      </c>
      <c r="W2778">
        <f>IF($T2778="","",IF($X2778&gt;N($X2777),$X2778,""))</f>
        <v/>
      </c>
      <c r="X2778">
        <f>IF($T2778="",N($X2777),IF(MATCH($T2778,$T$6:$T$6005,0)=ROW()-5,N($X2777)+1,N($X2777)))</f>
        <v/>
      </c>
      <c r="Z2778">
        <f>IF($V2778="","",IF($AA2778&gt;N($AA2777),$AA2778,""))</f>
        <v/>
      </c>
      <c r="AA2778">
        <f>IF($V2778="",N($AA2777),IF(MATCH($V2778,$V$6:$V$6005,0)=ROW()-5,N($AA2777)+1,N($AA2777)))</f>
        <v/>
      </c>
    </row>
    <row r="2779" ht="21" customHeight="1" s="66">
      <c r="A2779" s="56" t="n"/>
      <c r="B2779" s="57" t="n"/>
      <c r="C2779" s="57" t="n"/>
      <c r="D2779" s="57" t="n"/>
      <c r="E2779" s="56" t="n"/>
      <c r="F2779" s="57" t="n"/>
      <c r="G2779" s="57" t="n"/>
      <c r="H2779" s="56" t="n"/>
      <c r="I2779" s="56" t="n"/>
      <c r="J2779" s="58" t="n"/>
      <c r="K2779" s="58" t="n"/>
      <c r="L2779" s="13">
        <f>IF(OR($A2779="",AND($J2779="",$K2779="")),"",ROUND(N($J2779)-N($K2779),2))</f>
        <v/>
      </c>
      <c r="M2779" s="13">
        <f>IF(OR($A2779="",AND($J2779="",$K2779="")),"",MIN($J2779,$K2779))</f>
        <v/>
      </c>
      <c r="Q2779">
        <f>IF($A2779="","",$D2779&amp;"("&amp;SUBSTITUTE($E2779," ","")&amp;")")</f>
        <v/>
      </c>
      <c r="R2779">
        <f>IF($A2779="","",$B2779&amp;" - "&amp;$C2779)</f>
        <v/>
      </c>
      <c r="S2779">
        <f>IF($A2779="","",$R2779&amp;"|"&amp;$Q2779)</f>
        <v/>
      </c>
      <c r="T2779">
        <f>IF($A2779="","",$S2779&amp;"|"&amp;$F2779)</f>
        <v/>
      </c>
      <c r="U2779">
        <f>IF($A2779="","",$R2779&amp;"("&amp;$E2779&amp;")")</f>
        <v/>
      </c>
      <c r="V2779">
        <f>IF($A2779="","",$F2779&amp;"|"&amp;$U2779&amp;"|"&amp;$D2779)</f>
        <v/>
      </c>
      <c r="W2779">
        <f>IF($T2779="","",IF($X2779&gt;N($X2778),$X2779,""))</f>
        <v/>
      </c>
      <c r="X2779">
        <f>IF($T2779="",N($X2778),IF(MATCH($T2779,$T$6:$T$6005,0)=ROW()-5,N($X2778)+1,N($X2778)))</f>
        <v/>
      </c>
      <c r="Z2779">
        <f>IF($V2779="","",IF($AA2779&gt;N($AA2778),$AA2779,""))</f>
        <v/>
      </c>
      <c r="AA2779">
        <f>IF($V2779="",N($AA2778),IF(MATCH($V2779,$V$6:$V$6005,0)=ROW()-5,N($AA2778)+1,N($AA2778)))</f>
        <v/>
      </c>
    </row>
    <row r="2780" ht="21" customHeight="1" s="66">
      <c r="A2780" s="56" t="n"/>
      <c r="B2780" s="57" t="n"/>
      <c r="C2780" s="57" t="n"/>
      <c r="D2780" s="57" t="n"/>
      <c r="E2780" s="56" t="n"/>
      <c r="F2780" s="57" t="n"/>
      <c r="G2780" s="57" t="n"/>
      <c r="H2780" s="56" t="n"/>
      <c r="I2780" s="56" t="n"/>
      <c r="J2780" s="58" t="n"/>
      <c r="K2780" s="58" t="n"/>
      <c r="L2780" s="13">
        <f>IF(OR($A2780="",AND($J2780="",$K2780="")),"",ROUND(N($J2780)-N($K2780),2))</f>
        <v/>
      </c>
      <c r="M2780" s="13">
        <f>IF(OR($A2780="",AND($J2780="",$K2780="")),"",MIN($J2780,$K2780))</f>
        <v/>
      </c>
      <c r="Q2780">
        <f>IF($A2780="","",$D2780&amp;"("&amp;SUBSTITUTE($E2780," ","")&amp;")")</f>
        <v/>
      </c>
      <c r="R2780">
        <f>IF($A2780="","",$B2780&amp;" - "&amp;$C2780)</f>
        <v/>
      </c>
      <c r="S2780">
        <f>IF($A2780="","",$R2780&amp;"|"&amp;$Q2780)</f>
        <v/>
      </c>
      <c r="T2780">
        <f>IF($A2780="","",$S2780&amp;"|"&amp;$F2780)</f>
        <v/>
      </c>
      <c r="U2780">
        <f>IF($A2780="","",$R2780&amp;"("&amp;$E2780&amp;")")</f>
        <v/>
      </c>
      <c r="V2780">
        <f>IF($A2780="","",$F2780&amp;"|"&amp;$U2780&amp;"|"&amp;$D2780)</f>
        <v/>
      </c>
      <c r="W2780">
        <f>IF($T2780="","",IF($X2780&gt;N($X2779),$X2780,""))</f>
        <v/>
      </c>
      <c r="X2780">
        <f>IF($T2780="",N($X2779),IF(MATCH($T2780,$T$6:$T$6005,0)=ROW()-5,N($X2779)+1,N($X2779)))</f>
        <v/>
      </c>
      <c r="Z2780">
        <f>IF($V2780="","",IF($AA2780&gt;N($AA2779),$AA2780,""))</f>
        <v/>
      </c>
      <c r="AA2780">
        <f>IF($V2780="",N($AA2779),IF(MATCH($V2780,$V$6:$V$6005,0)=ROW()-5,N($AA2779)+1,N($AA2779)))</f>
        <v/>
      </c>
    </row>
    <row r="2781" ht="21" customHeight="1" s="66">
      <c r="A2781" s="56" t="n"/>
      <c r="B2781" s="57" t="n"/>
      <c r="C2781" s="57" t="n"/>
      <c r="D2781" s="57" t="n"/>
      <c r="E2781" s="56" t="n"/>
      <c r="F2781" s="57" t="n"/>
      <c r="G2781" s="57" t="n"/>
      <c r="H2781" s="56" t="n"/>
      <c r="I2781" s="56" t="n"/>
      <c r="J2781" s="58" t="n"/>
      <c r="K2781" s="58" t="n"/>
      <c r="L2781" s="13">
        <f>IF(OR($A2781="",AND($J2781="",$K2781="")),"",ROUND(N($J2781)-N($K2781),2))</f>
        <v/>
      </c>
      <c r="M2781" s="13">
        <f>IF(OR($A2781="",AND($J2781="",$K2781="")),"",MIN($J2781,$K2781))</f>
        <v/>
      </c>
      <c r="Q2781">
        <f>IF($A2781="","",$D2781&amp;"("&amp;SUBSTITUTE($E2781," ","")&amp;")")</f>
        <v/>
      </c>
      <c r="R2781">
        <f>IF($A2781="","",$B2781&amp;" - "&amp;$C2781)</f>
        <v/>
      </c>
      <c r="S2781">
        <f>IF($A2781="","",$R2781&amp;"|"&amp;$Q2781)</f>
        <v/>
      </c>
      <c r="T2781">
        <f>IF($A2781="","",$S2781&amp;"|"&amp;$F2781)</f>
        <v/>
      </c>
      <c r="U2781">
        <f>IF($A2781="","",$R2781&amp;"("&amp;$E2781&amp;")")</f>
        <v/>
      </c>
      <c r="V2781">
        <f>IF($A2781="","",$F2781&amp;"|"&amp;$U2781&amp;"|"&amp;$D2781)</f>
        <v/>
      </c>
      <c r="W2781">
        <f>IF($T2781="","",IF($X2781&gt;N($X2780),$X2781,""))</f>
        <v/>
      </c>
      <c r="X2781">
        <f>IF($T2781="",N($X2780),IF(MATCH($T2781,$T$6:$T$6005,0)=ROW()-5,N($X2780)+1,N($X2780)))</f>
        <v/>
      </c>
      <c r="Z2781">
        <f>IF($V2781="","",IF($AA2781&gt;N($AA2780),$AA2781,""))</f>
        <v/>
      </c>
      <c r="AA2781">
        <f>IF($V2781="",N($AA2780),IF(MATCH($V2781,$V$6:$V$6005,0)=ROW()-5,N($AA2780)+1,N($AA2780)))</f>
        <v/>
      </c>
    </row>
    <row r="2782" ht="21" customHeight="1" s="66">
      <c r="A2782" s="56" t="n"/>
      <c r="B2782" s="57" t="n"/>
      <c r="C2782" s="57" t="n"/>
      <c r="D2782" s="57" t="n"/>
      <c r="E2782" s="56" t="n"/>
      <c r="F2782" s="57" t="n"/>
      <c r="G2782" s="57" t="n"/>
      <c r="H2782" s="56" t="n"/>
      <c r="I2782" s="56" t="n"/>
      <c r="J2782" s="58" t="n"/>
      <c r="K2782" s="58" t="n"/>
      <c r="L2782" s="13">
        <f>IF(OR($A2782="",AND($J2782="",$K2782="")),"",ROUND(N($J2782)-N($K2782),2))</f>
        <v/>
      </c>
      <c r="M2782" s="13">
        <f>IF(OR($A2782="",AND($J2782="",$K2782="")),"",MIN($J2782,$K2782))</f>
        <v/>
      </c>
      <c r="Q2782">
        <f>IF($A2782="","",$D2782&amp;"("&amp;SUBSTITUTE($E2782," ","")&amp;")")</f>
        <v/>
      </c>
      <c r="R2782">
        <f>IF($A2782="","",$B2782&amp;" - "&amp;$C2782)</f>
        <v/>
      </c>
      <c r="S2782">
        <f>IF($A2782="","",$R2782&amp;"|"&amp;$Q2782)</f>
        <v/>
      </c>
      <c r="T2782">
        <f>IF($A2782="","",$S2782&amp;"|"&amp;$F2782)</f>
        <v/>
      </c>
      <c r="U2782">
        <f>IF($A2782="","",$R2782&amp;"("&amp;$E2782&amp;")")</f>
        <v/>
      </c>
      <c r="V2782">
        <f>IF($A2782="","",$F2782&amp;"|"&amp;$U2782&amp;"|"&amp;$D2782)</f>
        <v/>
      </c>
      <c r="W2782">
        <f>IF($T2782="","",IF($X2782&gt;N($X2781),$X2782,""))</f>
        <v/>
      </c>
      <c r="X2782">
        <f>IF($T2782="",N($X2781),IF(MATCH($T2782,$T$6:$T$6005,0)=ROW()-5,N($X2781)+1,N($X2781)))</f>
        <v/>
      </c>
      <c r="Z2782">
        <f>IF($V2782="","",IF($AA2782&gt;N($AA2781),$AA2782,""))</f>
        <v/>
      </c>
      <c r="AA2782">
        <f>IF($V2782="",N($AA2781),IF(MATCH($V2782,$V$6:$V$6005,0)=ROW()-5,N($AA2781)+1,N($AA2781)))</f>
        <v/>
      </c>
    </row>
    <row r="2783" ht="21" customHeight="1" s="66">
      <c r="A2783" s="56" t="n"/>
      <c r="B2783" s="57" t="n"/>
      <c r="C2783" s="57" t="n"/>
      <c r="D2783" s="57" t="n"/>
      <c r="E2783" s="56" t="n"/>
      <c r="F2783" s="57" t="n"/>
      <c r="G2783" s="57" t="n"/>
      <c r="H2783" s="56" t="n"/>
      <c r="I2783" s="56" t="n"/>
      <c r="J2783" s="58" t="n"/>
      <c r="K2783" s="58" t="n"/>
      <c r="L2783" s="13">
        <f>IF(OR($A2783="",AND($J2783="",$K2783="")),"",ROUND(N($J2783)-N($K2783),2))</f>
        <v/>
      </c>
      <c r="M2783" s="13">
        <f>IF(OR($A2783="",AND($J2783="",$K2783="")),"",MIN($J2783,$K2783))</f>
        <v/>
      </c>
      <c r="Q2783">
        <f>IF($A2783="","",$D2783&amp;"("&amp;SUBSTITUTE($E2783," ","")&amp;")")</f>
        <v/>
      </c>
      <c r="R2783">
        <f>IF($A2783="","",$B2783&amp;" - "&amp;$C2783)</f>
        <v/>
      </c>
      <c r="S2783">
        <f>IF($A2783="","",$R2783&amp;"|"&amp;$Q2783)</f>
        <v/>
      </c>
      <c r="T2783">
        <f>IF($A2783="","",$S2783&amp;"|"&amp;$F2783)</f>
        <v/>
      </c>
      <c r="U2783">
        <f>IF($A2783="","",$R2783&amp;"("&amp;$E2783&amp;")")</f>
        <v/>
      </c>
      <c r="V2783">
        <f>IF($A2783="","",$F2783&amp;"|"&amp;$U2783&amp;"|"&amp;$D2783)</f>
        <v/>
      </c>
      <c r="W2783">
        <f>IF($T2783="","",IF($X2783&gt;N($X2782),$X2783,""))</f>
        <v/>
      </c>
      <c r="X2783">
        <f>IF($T2783="",N($X2782),IF(MATCH($T2783,$T$6:$T$6005,0)=ROW()-5,N($X2782)+1,N($X2782)))</f>
        <v/>
      </c>
      <c r="Z2783">
        <f>IF($V2783="","",IF($AA2783&gt;N($AA2782),$AA2783,""))</f>
        <v/>
      </c>
      <c r="AA2783">
        <f>IF($V2783="",N($AA2782),IF(MATCH($V2783,$V$6:$V$6005,0)=ROW()-5,N($AA2782)+1,N($AA2782)))</f>
        <v/>
      </c>
    </row>
    <row r="2784" ht="21" customHeight="1" s="66">
      <c r="A2784" s="56" t="n"/>
      <c r="B2784" s="57" t="n"/>
      <c r="C2784" s="57" t="n"/>
      <c r="D2784" s="57" t="n"/>
      <c r="E2784" s="56" t="n"/>
      <c r="F2784" s="57" t="n"/>
      <c r="G2784" s="57" t="n"/>
      <c r="H2784" s="56" t="n"/>
      <c r="I2784" s="56" t="n"/>
      <c r="J2784" s="58" t="n"/>
      <c r="K2784" s="58" t="n"/>
      <c r="L2784" s="13">
        <f>IF(OR($A2784="",AND($J2784="",$K2784="")),"",ROUND(N($J2784)-N($K2784),2))</f>
        <v/>
      </c>
      <c r="M2784" s="13">
        <f>IF(OR($A2784="",AND($J2784="",$K2784="")),"",MIN($J2784,$K2784))</f>
        <v/>
      </c>
      <c r="Q2784">
        <f>IF($A2784="","",$D2784&amp;"("&amp;SUBSTITUTE($E2784," ","")&amp;")")</f>
        <v/>
      </c>
      <c r="R2784">
        <f>IF($A2784="","",$B2784&amp;" - "&amp;$C2784)</f>
        <v/>
      </c>
      <c r="S2784">
        <f>IF($A2784="","",$R2784&amp;"|"&amp;$Q2784)</f>
        <v/>
      </c>
      <c r="T2784">
        <f>IF($A2784="","",$S2784&amp;"|"&amp;$F2784)</f>
        <v/>
      </c>
      <c r="U2784">
        <f>IF($A2784="","",$R2784&amp;"("&amp;$E2784&amp;")")</f>
        <v/>
      </c>
      <c r="V2784">
        <f>IF($A2784="","",$F2784&amp;"|"&amp;$U2784&amp;"|"&amp;$D2784)</f>
        <v/>
      </c>
      <c r="W2784">
        <f>IF($T2784="","",IF($X2784&gt;N($X2783),$X2784,""))</f>
        <v/>
      </c>
      <c r="X2784">
        <f>IF($T2784="",N($X2783),IF(MATCH($T2784,$T$6:$T$6005,0)=ROW()-5,N($X2783)+1,N($X2783)))</f>
        <v/>
      </c>
      <c r="Z2784">
        <f>IF($V2784="","",IF($AA2784&gt;N($AA2783),$AA2784,""))</f>
        <v/>
      </c>
      <c r="AA2784">
        <f>IF($V2784="",N($AA2783),IF(MATCH($V2784,$V$6:$V$6005,0)=ROW()-5,N($AA2783)+1,N($AA2783)))</f>
        <v/>
      </c>
    </row>
    <row r="2785" ht="21" customHeight="1" s="66">
      <c r="A2785" s="56" t="n"/>
      <c r="B2785" s="57" t="n"/>
      <c r="C2785" s="57" t="n"/>
      <c r="D2785" s="57" t="n"/>
      <c r="E2785" s="56" t="n"/>
      <c r="F2785" s="57" t="n"/>
      <c r="G2785" s="57" t="n"/>
      <c r="H2785" s="56" t="n"/>
      <c r="I2785" s="56" t="n"/>
      <c r="J2785" s="58" t="n"/>
      <c r="K2785" s="58" t="n"/>
      <c r="L2785" s="13">
        <f>IF(OR($A2785="",AND($J2785="",$K2785="")),"",ROUND(N($J2785)-N($K2785),2))</f>
        <v/>
      </c>
      <c r="M2785" s="13">
        <f>IF(OR($A2785="",AND($J2785="",$K2785="")),"",MIN($J2785,$K2785))</f>
        <v/>
      </c>
      <c r="Q2785">
        <f>IF($A2785="","",$D2785&amp;"("&amp;SUBSTITUTE($E2785," ","")&amp;")")</f>
        <v/>
      </c>
      <c r="R2785">
        <f>IF($A2785="","",$B2785&amp;" - "&amp;$C2785)</f>
        <v/>
      </c>
      <c r="S2785">
        <f>IF($A2785="","",$R2785&amp;"|"&amp;$Q2785)</f>
        <v/>
      </c>
      <c r="T2785">
        <f>IF($A2785="","",$S2785&amp;"|"&amp;$F2785)</f>
        <v/>
      </c>
      <c r="U2785">
        <f>IF($A2785="","",$R2785&amp;"("&amp;$E2785&amp;")")</f>
        <v/>
      </c>
      <c r="V2785">
        <f>IF($A2785="","",$F2785&amp;"|"&amp;$U2785&amp;"|"&amp;$D2785)</f>
        <v/>
      </c>
      <c r="W2785">
        <f>IF($T2785="","",IF($X2785&gt;N($X2784),$X2785,""))</f>
        <v/>
      </c>
      <c r="X2785">
        <f>IF($T2785="",N($X2784),IF(MATCH($T2785,$T$6:$T$6005,0)=ROW()-5,N($X2784)+1,N($X2784)))</f>
        <v/>
      </c>
      <c r="Z2785">
        <f>IF($V2785="","",IF($AA2785&gt;N($AA2784),$AA2785,""))</f>
        <v/>
      </c>
      <c r="AA2785">
        <f>IF($V2785="",N($AA2784),IF(MATCH($V2785,$V$6:$V$6005,0)=ROW()-5,N($AA2784)+1,N($AA2784)))</f>
        <v/>
      </c>
    </row>
    <row r="2786" ht="21" customHeight="1" s="66">
      <c r="A2786" s="56" t="n"/>
      <c r="B2786" s="57" t="n"/>
      <c r="C2786" s="57" t="n"/>
      <c r="D2786" s="57" t="n"/>
      <c r="E2786" s="56" t="n"/>
      <c r="F2786" s="57" t="n"/>
      <c r="G2786" s="57" t="n"/>
      <c r="H2786" s="56" t="n"/>
      <c r="I2786" s="56" t="n"/>
      <c r="J2786" s="58" t="n"/>
      <c r="K2786" s="58" t="n"/>
      <c r="L2786" s="13">
        <f>IF(OR($A2786="",AND($J2786="",$K2786="")),"",ROUND(N($J2786)-N($K2786),2))</f>
        <v/>
      </c>
      <c r="M2786" s="13">
        <f>IF(OR($A2786="",AND($J2786="",$K2786="")),"",MIN($J2786,$K2786))</f>
        <v/>
      </c>
      <c r="Q2786">
        <f>IF($A2786="","",$D2786&amp;"("&amp;SUBSTITUTE($E2786," ","")&amp;")")</f>
        <v/>
      </c>
      <c r="R2786">
        <f>IF($A2786="","",$B2786&amp;" - "&amp;$C2786)</f>
        <v/>
      </c>
      <c r="S2786">
        <f>IF($A2786="","",$R2786&amp;"|"&amp;$Q2786)</f>
        <v/>
      </c>
      <c r="T2786">
        <f>IF($A2786="","",$S2786&amp;"|"&amp;$F2786)</f>
        <v/>
      </c>
      <c r="U2786">
        <f>IF($A2786="","",$R2786&amp;"("&amp;$E2786&amp;")")</f>
        <v/>
      </c>
      <c r="V2786">
        <f>IF($A2786="","",$F2786&amp;"|"&amp;$U2786&amp;"|"&amp;$D2786)</f>
        <v/>
      </c>
      <c r="W2786">
        <f>IF($T2786="","",IF($X2786&gt;N($X2785),$X2786,""))</f>
        <v/>
      </c>
      <c r="X2786">
        <f>IF($T2786="",N($X2785),IF(MATCH($T2786,$T$6:$T$6005,0)=ROW()-5,N($X2785)+1,N($X2785)))</f>
        <v/>
      </c>
      <c r="Z2786">
        <f>IF($V2786="","",IF($AA2786&gt;N($AA2785),$AA2786,""))</f>
        <v/>
      </c>
      <c r="AA2786">
        <f>IF($V2786="",N($AA2785),IF(MATCH($V2786,$V$6:$V$6005,0)=ROW()-5,N($AA2785)+1,N($AA2785)))</f>
        <v/>
      </c>
    </row>
    <row r="2787" ht="21" customHeight="1" s="66">
      <c r="A2787" s="56" t="n"/>
      <c r="B2787" s="57" t="n"/>
      <c r="C2787" s="57" t="n"/>
      <c r="D2787" s="57" t="n"/>
      <c r="E2787" s="56" t="n"/>
      <c r="F2787" s="57" t="n"/>
      <c r="G2787" s="57" t="n"/>
      <c r="H2787" s="56" t="n"/>
      <c r="I2787" s="56" t="n"/>
      <c r="J2787" s="58" t="n"/>
      <c r="K2787" s="58" t="n"/>
      <c r="L2787" s="13">
        <f>IF(OR($A2787="",AND($J2787="",$K2787="")),"",ROUND(N($J2787)-N($K2787),2))</f>
        <v/>
      </c>
      <c r="M2787" s="13">
        <f>IF(OR($A2787="",AND($J2787="",$K2787="")),"",MIN($J2787,$K2787))</f>
        <v/>
      </c>
      <c r="Q2787">
        <f>IF($A2787="","",$D2787&amp;"("&amp;SUBSTITUTE($E2787," ","")&amp;")")</f>
        <v/>
      </c>
      <c r="R2787">
        <f>IF($A2787="","",$B2787&amp;" - "&amp;$C2787)</f>
        <v/>
      </c>
      <c r="S2787">
        <f>IF($A2787="","",$R2787&amp;"|"&amp;$Q2787)</f>
        <v/>
      </c>
      <c r="T2787">
        <f>IF($A2787="","",$S2787&amp;"|"&amp;$F2787)</f>
        <v/>
      </c>
      <c r="U2787">
        <f>IF($A2787="","",$R2787&amp;"("&amp;$E2787&amp;")")</f>
        <v/>
      </c>
      <c r="V2787">
        <f>IF($A2787="","",$F2787&amp;"|"&amp;$U2787&amp;"|"&amp;$D2787)</f>
        <v/>
      </c>
      <c r="W2787">
        <f>IF($T2787="","",IF($X2787&gt;N($X2786),$X2787,""))</f>
        <v/>
      </c>
      <c r="X2787">
        <f>IF($T2787="",N($X2786),IF(MATCH($T2787,$T$6:$T$6005,0)=ROW()-5,N($X2786)+1,N($X2786)))</f>
        <v/>
      </c>
      <c r="Z2787">
        <f>IF($V2787="","",IF($AA2787&gt;N($AA2786),$AA2787,""))</f>
        <v/>
      </c>
      <c r="AA2787">
        <f>IF($V2787="",N($AA2786),IF(MATCH($V2787,$V$6:$V$6005,0)=ROW()-5,N($AA2786)+1,N($AA2786)))</f>
        <v/>
      </c>
    </row>
    <row r="2788" ht="21" customHeight="1" s="66">
      <c r="A2788" s="56" t="n"/>
      <c r="B2788" s="57" t="n"/>
      <c r="C2788" s="57" t="n"/>
      <c r="D2788" s="57" t="n"/>
      <c r="E2788" s="56" t="n"/>
      <c r="F2788" s="57" t="n"/>
      <c r="G2788" s="57" t="n"/>
      <c r="H2788" s="56" t="n"/>
      <c r="I2788" s="56" t="n"/>
      <c r="J2788" s="58" t="n"/>
      <c r="K2788" s="58" t="n"/>
      <c r="L2788" s="13">
        <f>IF(OR($A2788="",AND($J2788="",$K2788="")),"",ROUND(N($J2788)-N($K2788),2))</f>
        <v/>
      </c>
      <c r="M2788" s="13">
        <f>IF(OR($A2788="",AND($J2788="",$K2788="")),"",MIN($J2788,$K2788))</f>
        <v/>
      </c>
      <c r="Q2788">
        <f>IF($A2788="","",$D2788&amp;"("&amp;SUBSTITUTE($E2788," ","")&amp;")")</f>
        <v/>
      </c>
      <c r="R2788">
        <f>IF($A2788="","",$B2788&amp;" - "&amp;$C2788)</f>
        <v/>
      </c>
      <c r="S2788">
        <f>IF($A2788="","",$R2788&amp;"|"&amp;$Q2788)</f>
        <v/>
      </c>
      <c r="T2788">
        <f>IF($A2788="","",$S2788&amp;"|"&amp;$F2788)</f>
        <v/>
      </c>
      <c r="U2788">
        <f>IF($A2788="","",$R2788&amp;"("&amp;$E2788&amp;")")</f>
        <v/>
      </c>
      <c r="V2788">
        <f>IF($A2788="","",$F2788&amp;"|"&amp;$U2788&amp;"|"&amp;$D2788)</f>
        <v/>
      </c>
      <c r="W2788">
        <f>IF($T2788="","",IF($X2788&gt;N($X2787),$X2788,""))</f>
        <v/>
      </c>
      <c r="X2788">
        <f>IF($T2788="",N($X2787),IF(MATCH($T2788,$T$6:$T$6005,0)=ROW()-5,N($X2787)+1,N($X2787)))</f>
        <v/>
      </c>
      <c r="Z2788">
        <f>IF($V2788="","",IF($AA2788&gt;N($AA2787),$AA2788,""))</f>
        <v/>
      </c>
      <c r="AA2788">
        <f>IF($V2788="",N($AA2787),IF(MATCH($V2788,$V$6:$V$6005,0)=ROW()-5,N($AA2787)+1,N($AA2787)))</f>
        <v/>
      </c>
    </row>
    <row r="2789" ht="21" customHeight="1" s="66">
      <c r="A2789" s="56" t="n"/>
      <c r="B2789" s="57" t="n"/>
      <c r="C2789" s="57" t="n"/>
      <c r="D2789" s="57" t="n"/>
      <c r="E2789" s="56" t="n"/>
      <c r="F2789" s="57" t="n"/>
      <c r="G2789" s="57" t="n"/>
      <c r="H2789" s="56" t="n"/>
      <c r="I2789" s="56" t="n"/>
      <c r="J2789" s="58" t="n"/>
      <c r="K2789" s="58" t="n"/>
      <c r="L2789" s="13">
        <f>IF(OR($A2789="",AND($J2789="",$K2789="")),"",ROUND(N($J2789)-N($K2789),2))</f>
        <v/>
      </c>
      <c r="M2789" s="13">
        <f>IF(OR($A2789="",AND($J2789="",$K2789="")),"",MIN($J2789,$K2789))</f>
        <v/>
      </c>
      <c r="Q2789">
        <f>IF($A2789="","",$D2789&amp;"("&amp;SUBSTITUTE($E2789," ","")&amp;")")</f>
        <v/>
      </c>
      <c r="R2789">
        <f>IF($A2789="","",$B2789&amp;" - "&amp;$C2789)</f>
        <v/>
      </c>
      <c r="S2789">
        <f>IF($A2789="","",$R2789&amp;"|"&amp;$Q2789)</f>
        <v/>
      </c>
      <c r="T2789">
        <f>IF($A2789="","",$S2789&amp;"|"&amp;$F2789)</f>
        <v/>
      </c>
      <c r="U2789">
        <f>IF($A2789="","",$R2789&amp;"("&amp;$E2789&amp;")")</f>
        <v/>
      </c>
      <c r="V2789">
        <f>IF($A2789="","",$F2789&amp;"|"&amp;$U2789&amp;"|"&amp;$D2789)</f>
        <v/>
      </c>
      <c r="W2789">
        <f>IF($T2789="","",IF($X2789&gt;N($X2788),$X2789,""))</f>
        <v/>
      </c>
      <c r="X2789">
        <f>IF($T2789="",N($X2788),IF(MATCH($T2789,$T$6:$T$6005,0)=ROW()-5,N($X2788)+1,N($X2788)))</f>
        <v/>
      </c>
      <c r="Z2789">
        <f>IF($V2789="","",IF($AA2789&gt;N($AA2788),$AA2789,""))</f>
        <v/>
      </c>
      <c r="AA2789">
        <f>IF($V2789="",N($AA2788),IF(MATCH($V2789,$V$6:$V$6005,0)=ROW()-5,N($AA2788)+1,N($AA2788)))</f>
        <v/>
      </c>
    </row>
    <row r="2790" ht="21" customHeight="1" s="66">
      <c r="A2790" s="56" t="n"/>
      <c r="B2790" s="57" t="n"/>
      <c r="C2790" s="57" t="n"/>
      <c r="D2790" s="57" t="n"/>
      <c r="E2790" s="56" t="n"/>
      <c r="F2790" s="57" t="n"/>
      <c r="G2790" s="57" t="n"/>
      <c r="H2790" s="56" t="n"/>
      <c r="I2790" s="56" t="n"/>
      <c r="J2790" s="58" t="n"/>
      <c r="K2790" s="58" t="n"/>
      <c r="L2790" s="13">
        <f>IF(OR($A2790="",AND($J2790="",$K2790="")),"",ROUND(N($J2790)-N($K2790),2))</f>
        <v/>
      </c>
      <c r="M2790" s="13">
        <f>IF(OR($A2790="",AND($J2790="",$K2790="")),"",MIN($J2790,$K2790))</f>
        <v/>
      </c>
      <c r="Q2790">
        <f>IF($A2790="","",$D2790&amp;"("&amp;SUBSTITUTE($E2790," ","")&amp;")")</f>
        <v/>
      </c>
      <c r="R2790">
        <f>IF($A2790="","",$B2790&amp;" - "&amp;$C2790)</f>
        <v/>
      </c>
      <c r="S2790">
        <f>IF($A2790="","",$R2790&amp;"|"&amp;$Q2790)</f>
        <v/>
      </c>
      <c r="T2790">
        <f>IF($A2790="","",$S2790&amp;"|"&amp;$F2790)</f>
        <v/>
      </c>
      <c r="U2790">
        <f>IF($A2790="","",$R2790&amp;"("&amp;$E2790&amp;")")</f>
        <v/>
      </c>
      <c r="V2790">
        <f>IF($A2790="","",$F2790&amp;"|"&amp;$U2790&amp;"|"&amp;$D2790)</f>
        <v/>
      </c>
      <c r="W2790">
        <f>IF($T2790="","",IF($X2790&gt;N($X2789),$X2790,""))</f>
        <v/>
      </c>
      <c r="X2790">
        <f>IF($T2790="",N($X2789),IF(MATCH($T2790,$T$6:$T$6005,0)=ROW()-5,N($X2789)+1,N($X2789)))</f>
        <v/>
      </c>
      <c r="Z2790">
        <f>IF($V2790="","",IF($AA2790&gt;N($AA2789),$AA2790,""))</f>
        <v/>
      </c>
      <c r="AA2790">
        <f>IF($V2790="",N($AA2789),IF(MATCH($V2790,$V$6:$V$6005,0)=ROW()-5,N($AA2789)+1,N($AA2789)))</f>
        <v/>
      </c>
    </row>
    <row r="2791" ht="21" customHeight="1" s="66">
      <c r="A2791" s="56" t="n"/>
      <c r="B2791" s="57" t="n"/>
      <c r="C2791" s="57" t="n"/>
      <c r="D2791" s="57" t="n"/>
      <c r="E2791" s="56" t="n"/>
      <c r="F2791" s="57" t="n"/>
      <c r="G2791" s="57" t="n"/>
      <c r="H2791" s="56" t="n"/>
      <c r="I2791" s="56" t="n"/>
      <c r="J2791" s="58" t="n"/>
      <c r="K2791" s="58" t="n"/>
      <c r="L2791" s="13">
        <f>IF(OR($A2791="",AND($J2791="",$K2791="")),"",ROUND(N($J2791)-N($K2791),2))</f>
        <v/>
      </c>
      <c r="M2791" s="13">
        <f>IF(OR($A2791="",AND($J2791="",$K2791="")),"",MIN($J2791,$K2791))</f>
        <v/>
      </c>
      <c r="Q2791">
        <f>IF($A2791="","",$D2791&amp;"("&amp;SUBSTITUTE($E2791," ","")&amp;")")</f>
        <v/>
      </c>
      <c r="R2791">
        <f>IF($A2791="","",$B2791&amp;" - "&amp;$C2791)</f>
        <v/>
      </c>
      <c r="S2791">
        <f>IF($A2791="","",$R2791&amp;"|"&amp;$Q2791)</f>
        <v/>
      </c>
      <c r="T2791">
        <f>IF($A2791="","",$S2791&amp;"|"&amp;$F2791)</f>
        <v/>
      </c>
      <c r="U2791">
        <f>IF($A2791="","",$R2791&amp;"("&amp;$E2791&amp;")")</f>
        <v/>
      </c>
      <c r="V2791">
        <f>IF($A2791="","",$F2791&amp;"|"&amp;$U2791&amp;"|"&amp;$D2791)</f>
        <v/>
      </c>
      <c r="W2791">
        <f>IF($T2791="","",IF($X2791&gt;N($X2790),$X2791,""))</f>
        <v/>
      </c>
      <c r="X2791">
        <f>IF($T2791="",N($X2790),IF(MATCH($T2791,$T$6:$T$6005,0)=ROW()-5,N($X2790)+1,N($X2790)))</f>
        <v/>
      </c>
      <c r="Z2791">
        <f>IF($V2791="","",IF($AA2791&gt;N($AA2790),$AA2791,""))</f>
        <v/>
      </c>
      <c r="AA2791">
        <f>IF($V2791="",N($AA2790),IF(MATCH($V2791,$V$6:$V$6005,0)=ROW()-5,N($AA2790)+1,N($AA2790)))</f>
        <v/>
      </c>
    </row>
    <row r="2792" ht="21" customHeight="1" s="66">
      <c r="A2792" s="56" t="n"/>
      <c r="B2792" s="57" t="n"/>
      <c r="C2792" s="57" t="n"/>
      <c r="D2792" s="57" t="n"/>
      <c r="E2792" s="56" t="n"/>
      <c r="F2792" s="57" t="n"/>
      <c r="G2792" s="57" t="n"/>
      <c r="H2792" s="56" t="n"/>
      <c r="I2792" s="56" t="n"/>
      <c r="J2792" s="58" t="n"/>
      <c r="K2792" s="58" t="n"/>
      <c r="L2792" s="13">
        <f>IF(OR($A2792="",AND($J2792="",$K2792="")),"",ROUND(N($J2792)-N($K2792),2))</f>
        <v/>
      </c>
      <c r="M2792" s="13">
        <f>IF(OR($A2792="",AND($J2792="",$K2792="")),"",MIN($J2792,$K2792))</f>
        <v/>
      </c>
      <c r="Q2792">
        <f>IF($A2792="","",$D2792&amp;"("&amp;SUBSTITUTE($E2792," ","")&amp;")")</f>
        <v/>
      </c>
      <c r="R2792">
        <f>IF($A2792="","",$B2792&amp;" - "&amp;$C2792)</f>
        <v/>
      </c>
      <c r="S2792">
        <f>IF($A2792="","",$R2792&amp;"|"&amp;$Q2792)</f>
        <v/>
      </c>
      <c r="T2792">
        <f>IF($A2792="","",$S2792&amp;"|"&amp;$F2792)</f>
        <v/>
      </c>
      <c r="U2792">
        <f>IF($A2792="","",$R2792&amp;"("&amp;$E2792&amp;")")</f>
        <v/>
      </c>
      <c r="V2792">
        <f>IF($A2792="","",$F2792&amp;"|"&amp;$U2792&amp;"|"&amp;$D2792)</f>
        <v/>
      </c>
      <c r="W2792">
        <f>IF($T2792="","",IF($X2792&gt;N($X2791),$X2792,""))</f>
        <v/>
      </c>
      <c r="X2792">
        <f>IF($T2792="",N($X2791),IF(MATCH($T2792,$T$6:$T$6005,0)=ROW()-5,N($X2791)+1,N($X2791)))</f>
        <v/>
      </c>
      <c r="Z2792">
        <f>IF($V2792="","",IF($AA2792&gt;N($AA2791),$AA2792,""))</f>
        <v/>
      </c>
      <c r="AA2792">
        <f>IF($V2792="",N($AA2791),IF(MATCH($V2792,$V$6:$V$6005,0)=ROW()-5,N($AA2791)+1,N($AA2791)))</f>
        <v/>
      </c>
    </row>
    <row r="2793" ht="21" customHeight="1" s="66">
      <c r="A2793" s="56" t="n"/>
      <c r="B2793" s="57" t="n"/>
      <c r="C2793" s="57" t="n"/>
      <c r="D2793" s="57" t="n"/>
      <c r="E2793" s="56" t="n"/>
      <c r="F2793" s="57" t="n"/>
      <c r="G2793" s="57" t="n"/>
      <c r="H2793" s="56" t="n"/>
      <c r="I2793" s="56" t="n"/>
      <c r="J2793" s="58" t="n"/>
      <c r="K2793" s="58" t="n"/>
      <c r="L2793" s="13">
        <f>IF(OR($A2793="",AND($J2793="",$K2793="")),"",ROUND(N($J2793)-N($K2793),2))</f>
        <v/>
      </c>
      <c r="M2793" s="13">
        <f>IF(OR($A2793="",AND($J2793="",$K2793="")),"",MIN($J2793,$K2793))</f>
        <v/>
      </c>
      <c r="Q2793">
        <f>IF($A2793="","",$D2793&amp;"("&amp;SUBSTITUTE($E2793," ","")&amp;")")</f>
        <v/>
      </c>
      <c r="R2793">
        <f>IF($A2793="","",$B2793&amp;" - "&amp;$C2793)</f>
        <v/>
      </c>
      <c r="S2793">
        <f>IF($A2793="","",$R2793&amp;"|"&amp;$Q2793)</f>
        <v/>
      </c>
      <c r="T2793">
        <f>IF($A2793="","",$S2793&amp;"|"&amp;$F2793)</f>
        <v/>
      </c>
      <c r="U2793">
        <f>IF($A2793="","",$R2793&amp;"("&amp;$E2793&amp;")")</f>
        <v/>
      </c>
      <c r="V2793">
        <f>IF($A2793="","",$F2793&amp;"|"&amp;$U2793&amp;"|"&amp;$D2793)</f>
        <v/>
      </c>
      <c r="W2793">
        <f>IF($T2793="","",IF($X2793&gt;N($X2792),$X2793,""))</f>
        <v/>
      </c>
      <c r="X2793">
        <f>IF($T2793="",N($X2792),IF(MATCH($T2793,$T$6:$T$6005,0)=ROW()-5,N($X2792)+1,N($X2792)))</f>
        <v/>
      </c>
      <c r="Z2793">
        <f>IF($V2793="","",IF($AA2793&gt;N($AA2792),$AA2793,""))</f>
        <v/>
      </c>
      <c r="AA2793">
        <f>IF($V2793="",N($AA2792),IF(MATCH($V2793,$V$6:$V$6005,0)=ROW()-5,N($AA2792)+1,N($AA2792)))</f>
        <v/>
      </c>
    </row>
    <row r="2794" ht="21" customHeight="1" s="66">
      <c r="A2794" s="56" t="n"/>
      <c r="B2794" s="57" t="n"/>
      <c r="C2794" s="57" t="n"/>
      <c r="D2794" s="57" t="n"/>
      <c r="E2794" s="56" t="n"/>
      <c r="F2794" s="57" t="n"/>
      <c r="G2794" s="57" t="n"/>
      <c r="H2794" s="56" t="n"/>
      <c r="I2794" s="56" t="n"/>
      <c r="J2794" s="58" t="n"/>
      <c r="K2794" s="58" t="n"/>
      <c r="L2794" s="13">
        <f>IF(OR($A2794="",AND($J2794="",$K2794="")),"",ROUND(N($J2794)-N($K2794),2))</f>
        <v/>
      </c>
      <c r="M2794" s="13">
        <f>IF(OR($A2794="",AND($J2794="",$K2794="")),"",MIN($J2794,$K2794))</f>
        <v/>
      </c>
      <c r="Q2794">
        <f>IF($A2794="","",$D2794&amp;"("&amp;SUBSTITUTE($E2794," ","")&amp;")")</f>
        <v/>
      </c>
      <c r="R2794">
        <f>IF($A2794="","",$B2794&amp;" - "&amp;$C2794)</f>
        <v/>
      </c>
      <c r="S2794">
        <f>IF($A2794="","",$R2794&amp;"|"&amp;$Q2794)</f>
        <v/>
      </c>
      <c r="T2794">
        <f>IF($A2794="","",$S2794&amp;"|"&amp;$F2794)</f>
        <v/>
      </c>
      <c r="U2794">
        <f>IF($A2794="","",$R2794&amp;"("&amp;$E2794&amp;")")</f>
        <v/>
      </c>
      <c r="V2794">
        <f>IF($A2794="","",$F2794&amp;"|"&amp;$U2794&amp;"|"&amp;$D2794)</f>
        <v/>
      </c>
      <c r="W2794">
        <f>IF($T2794="","",IF($X2794&gt;N($X2793),$X2794,""))</f>
        <v/>
      </c>
      <c r="X2794">
        <f>IF($T2794="",N($X2793),IF(MATCH($T2794,$T$6:$T$6005,0)=ROW()-5,N($X2793)+1,N($X2793)))</f>
        <v/>
      </c>
      <c r="Z2794">
        <f>IF($V2794="","",IF($AA2794&gt;N($AA2793),$AA2794,""))</f>
        <v/>
      </c>
      <c r="AA2794">
        <f>IF($V2794="",N($AA2793),IF(MATCH($V2794,$V$6:$V$6005,0)=ROW()-5,N($AA2793)+1,N($AA2793)))</f>
        <v/>
      </c>
    </row>
    <row r="2795" ht="21" customHeight="1" s="66">
      <c r="A2795" s="56" t="n"/>
      <c r="B2795" s="57" t="n"/>
      <c r="C2795" s="57" t="n"/>
      <c r="D2795" s="57" t="n"/>
      <c r="E2795" s="56" t="n"/>
      <c r="F2795" s="57" t="n"/>
      <c r="G2795" s="57" t="n"/>
      <c r="H2795" s="56" t="n"/>
      <c r="I2795" s="56" t="n"/>
      <c r="J2795" s="58" t="n"/>
      <c r="K2795" s="58" t="n"/>
      <c r="L2795" s="13">
        <f>IF(OR($A2795="",AND($J2795="",$K2795="")),"",ROUND(N($J2795)-N($K2795),2))</f>
        <v/>
      </c>
      <c r="M2795" s="13">
        <f>IF(OR($A2795="",AND($J2795="",$K2795="")),"",MIN($J2795,$K2795))</f>
        <v/>
      </c>
      <c r="Q2795">
        <f>IF($A2795="","",$D2795&amp;"("&amp;SUBSTITUTE($E2795," ","")&amp;")")</f>
        <v/>
      </c>
      <c r="R2795">
        <f>IF($A2795="","",$B2795&amp;" - "&amp;$C2795)</f>
        <v/>
      </c>
      <c r="S2795">
        <f>IF($A2795="","",$R2795&amp;"|"&amp;$Q2795)</f>
        <v/>
      </c>
      <c r="T2795">
        <f>IF($A2795="","",$S2795&amp;"|"&amp;$F2795)</f>
        <v/>
      </c>
      <c r="U2795">
        <f>IF($A2795="","",$R2795&amp;"("&amp;$E2795&amp;")")</f>
        <v/>
      </c>
      <c r="V2795">
        <f>IF($A2795="","",$F2795&amp;"|"&amp;$U2795&amp;"|"&amp;$D2795)</f>
        <v/>
      </c>
      <c r="W2795">
        <f>IF($T2795="","",IF($X2795&gt;N($X2794),$X2795,""))</f>
        <v/>
      </c>
      <c r="X2795">
        <f>IF($T2795="",N($X2794),IF(MATCH($T2795,$T$6:$T$6005,0)=ROW()-5,N($X2794)+1,N($X2794)))</f>
        <v/>
      </c>
      <c r="Z2795">
        <f>IF($V2795="","",IF($AA2795&gt;N($AA2794),$AA2795,""))</f>
        <v/>
      </c>
      <c r="AA2795">
        <f>IF($V2795="",N($AA2794),IF(MATCH($V2795,$V$6:$V$6005,0)=ROW()-5,N($AA2794)+1,N($AA2794)))</f>
        <v/>
      </c>
    </row>
    <row r="2796" ht="21" customHeight="1" s="66">
      <c r="A2796" s="56" t="n"/>
      <c r="B2796" s="57" t="n"/>
      <c r="C2796" s="57" t="n"/>
      <c r="D2796" s="57" t="n"/>
      <c r="E2796" s="56" t="n"/>
      <c r="F2796" s="57" t="n"/>
      <c r="G2796" s="57" t="n"/>
      <c r="H2796" s="56" t="n"/>
      <c r="I2796" s="56" t="n"/>
      <c r="J2796" s="58" t="n"/>
      <c r="K2796" s="58" t="n"/>
      <c r="L2796" s="13">
        <f>IF(OR($A2796="",AND($J2796="",$K2796="")),"",ROUND(N($J2796)-N($K2796),2))</f>
        <v/>
      </c>
      <c r="M2796" s="13">
        <f>IF(OR($A2796="",AND($J2796="",$K2796="")),"",MIN($J2796,$K2796))</f>
        <v/>
      </c>
      <c r="Q2796">
        <f>IF($A2796="","",$D2796&amp;"("&amp;SUBSTITUTE($E2796," ","")&amp;")")</f>
        <v/>
      </c>
      <c r="R2796">
        <f>IF($A2796="","",$B2796&amp;" - "&amp;$C2796)</f>
        <v/>
      </c>
      <c r="S2796">
        <f>IF($A2796="","",$R2796&amp;"|"&amp;$Q2796)</f>
        <v/>
      </c>
      <c r="T2796">
        <f>IF($A2796="","",$S2796&amp;"|"&amp;$F2796)</f>
        <v/>
      </c>
      <c r="U2796">
        <f>IF($A2796="","",$R2796&amp;"("&amp;$E2796&amp;")")</f>
        <v/>
      </c>
      <c r="V2796">
        <f>IF($A2796="","",$F2796&amp;"|"&amp;$U2796&amp;"|"&amp;$D2796)</f>
        <v/>
      </c>
      <c r="W2796">
        <f>IF($T2796="","",IF($X2796&gt;N($X2795),$X2796,""))</f>
        <v/>
      </c>
      <c r="X2796">
        <f>IF($T2796="",N($X2795),IF(MATCH($T2796,$T$6:$T$6005,0)=ROW()-5,N($X2795)+1,N($X2795)))</f>
        <v/>
      </c>
      <c r="Z2796">
        <f>IF($V2796="","",IF($AA2796&gt;N($AA2795),$AA2796,""))</f>
        <v/>
      </c>
      <c r="AA2796">
        <f>IF($V2796="",N($AA2795),IF(MATCH($V2796,$V$6:$V$6005,0)=ROW()-5,N($AA2795)+1,N($AA2795)))</f>
        <v/>
      </c>
    </row>
    <row r="2797" ht="21" customHeight="1" s="66">
      <c r="A2797" s="56" t="n"/>
      <c r="B2797" s="57" t="n"/>
      <c r="C2797" s="57" t="n"/>
      <c r="D2797" s="57" t="n"/>
      <c r="E2797" s="56" t="n"/>
      <c r="F2797" s="57" t="n"/>
      <c r="G2797" s="57" t="n"/>
      <c r="H2797" s="56" t="n"/>
      <c r="I2797" s="56" t="n"/>
      <c r="J2797" s="58" t="n"/>
      <c r="K2797" s="58" t="n"/>
      <c r="L2797" s="13">
        <f>IF(OR($A2797="",AND($J2797="",$K2797="")),"",ROUND(N($J2797)-N($K2797),2))</f>
        <v/>
      </c>
      <c r="M2797" s="13">
        <f>IF(OR($A2797="",AND($J2797="",$K2797="")),"",MIN($J2797,$K2797))</f>
        <v/>
      </c>
      <c r="Q2797">
        <f>IF($A2797="","",$D2797&amp;"("&amp;SUBSTITUTE($E2797," ","")&amp;")")</f>
        <v/>
      </c>
      <c r="R2797">
        <f>IF($A2797="","",$B2797&amp;" - "&amp;$C2797)</f>
        <v/>
      </c>
      <c r="S2797">
        <f>IF($A2797="","",$R2797&amp;"|"&amp;$Q2797)</f>
        <v/>
      </c>
      <c r="T2797">
        <f>IF($A2797="","",$S2797&amp;"|"&amp;$F2797)</f>
        <v/>
      </c>
      <c r="U2797">
        <f>IF($A2797="","",$R2797&amp;"("&amp;$E2797&amp;")")</f>
        <v/>
      </c>
      <c r="V2797">
        <f>IF($A2797="","",$F2797&amp;"|"&amp;$U2797&amp;"|"&amp;$D2797)</f>
        <v/>
      </c>
      <c r="W2797">
        <f>IF($T2797="","",IF($X2797&gt;N($X2796),$X2797,""))</f>
        <v/>
      </c>
      <c r="X2797">
        <f>IF($T2797="",N($X2796),IF(MATCH($T2797,$T$6:$T$6005,0)=ROW()-5,N($X2796)+1,N($X2796)))</f>
        <v/>
      </c>
      <c r="Z2797">
        <f>IF($V2797="","",IF($AA2797&gt;N($AA2796),$AA2797,""))</f>
        <v/>
      </c>
      <c r="AA2797">
        <f>IF($V2797="",N($AA2796),IF(MATCH($V2797,$V$6:$V$6005,0)=ROW()-5,N($AA2796)+1,N($AA2796)))</f>
        <v/>
      </c>
    </row>
    <row r="2798" ht="21" customHeight="1" s="66">
      <c r="A2798" s="56" t="n"/>
      <c r="B2798" s="57" t="n"/>
      <c r="C2798" s="57" t="n"/>
      <c r="D2798" s="57" t="n"/>
      <c r="E2798" s="56" t="n"/>
      <c r="F2798" s="57" t="n"/>
      <c r="G2798" s="57" t="n"/>
      <c r="H2798" s="56" t="n"/>
      <c r="I2798" s="56" t="n"/>
      <c r="J2798" s="58" t="n"/>
      <c r="K2798" s="58" t="n"/>
      <c r="L2798" s="13">
        <f>IF(OR($A2798="",AND($J2798="",$K2798="")),"",ROUND(N($J2798)-N($K2798),2))</f>
        <v/>
      </c>
      <c r="M2798" s="13">
        <f>IF(OR($A2798="",AND($J2798="",$K2798="")),"",MIN($J2798,$K2798))</f>
        <v/>
      </c>
      <c r="Q2798">
        <f>IF($A2798="","",$D2798&amp;"("&amp;SUBSTITUTE($E2798," ","")&amp;")")</f>
        <v/>
      </c>
      <c r="R2798">
        <f>IF($A2798="","",$B2798&amp;" - "&amp;$C2798)</f>
        <v/>
      </c>
      <c r="S2798">
        <f>IF($A2798="","",$R2798&amp;"|"&amp;$Q2798)</f>
        <v/>
      </c>
      <c r="T2798">
        <f>IF($A2798="","",$S2798&amp;"|"&amp;$F2798)</f>
        <v/>
      </c>
      <c r="U2798">
        <f>IF($A2798="","",$R2798&amp;"("&amp;$E2798&amp;")")</f>
        <v/>
      </c>
      <c r="V2798">
        <f>IF($A2798="","",$F2798&amp;"|"&amp;$U2798&amp;"|"&amp;$D2798)</f>
        <v/>
      </c>
      <c r="W2798">
        <f>IF($T2798="","",IF($X2798&gt;N($X2797),$X2798,""))</f>
        <v/>
      </c>
      <c r="X2798">
        <f>IF($T2798="",N($X2797),IF(MATCH($T2798,$T$6:$T$6005,0)=ROW()-5,N($X2797)+1,N($X2797)))</f>
        <v/>
      </c>
      <c r="Z2798">
        <f>IF($V2798="","",IF($AA2798&gt;N($AA2797),$AA2798,""))</f>
        <v/>
      </c>
      <c r="AA2798">
        <f>IF($V2798="",N($AA2797),IF(MATCH($V2798,$V$6:$V$6005,0)=ROW()-5,N($AA2797)+1,N($AA2797)))</f>
        <v/>
      </c>
    </row>
    <row r="2799" ht="21" customHeight="1" s="66">
      <c r="A2799" s="56" t="n"/>
      <c r="B2799" s="57" t="n"/>
      <c r="C2799" s="57" t="n"/>
      <c r="D2799" s="57" t="n"/>
      <c r="E2799" s="56" t="n"/>
      <c r="F2799" s="57" t="n"/>
      <c r="G2799" s="57" t="n"/>
      <c r="H2799" s="56" t="n"/>
      <c r="I2799" s="56" t="n"/>
      <c r="J2799" s="58" t="n"/>
      <c r="K2799" s="58" t="n"/>
      <c r="L2799" s="13">
        <f>IF(OR($A2799="",AND($J2799="",$K2799="")),"",ROUND(N($J2799)-N($K2799),2))</f>
        <v/>
      </c>
      <c r="M2799" s="13">
        <f>IF(OR($A2799="",AND($J2799="",$K2799="")),"",MIN($J2799,$K2799))</f>
        <v/>
      </c>
      <c r="Q2799">
        <f>IF($A2799="","",$D2799&amp;"("&amp;SUBSTITUTE($E2799," ","")&amp;")")</f>
        <v/>
      </c>
      <c r="R2799">
        <f>IF($A2799="","",$B2799&amp;" - "&amp;$C2799)</f>
        <v/>
      </c>
      <c r="S2799">
        <f>IF($A2799="","",$R2799&amp;"|"&amp;$Q2799)</f>
        <v/>
      </c>
      <c r="T2799">
        <f>IF($A2799="","",$S2799&amp;"|"&amp;$F2799)</f>
        <v/>
      </c>
      <c r="U2799">
        <f>IF($A2799="","",$R2799&amp;"("&amp;$E2799&amp;")")</f>
        <v/>
      </c>
      <c r="V2799">
        <f>IF($A2799="","",$F2799&amp;"|"&amp;$U2799&amp;"|"&amp;$D2799)</f>
        <v/>
      </c>
      <c r="W2799">
        <f>IF($T2799="","",IF($X2799&gt;N($X2798),$X2799,""))</f>
        <v/>
      </c>
      <c r="X2799">
        <f>IF($T2799="",N($X2798),IF(MATCH($T2799,$T$6:$T$6005,0)=ROW()-5,N($X2798)+1,N($X2798)))</f>
        <v/>
      </c>
      <c r="Z2799">
        <f>IF($V2799="","",IF($AA2799&gt;N($AA2798),$AA2799,""))</f>
        <v/>
      </c>
      <c r="AA2799">
        <f>IF($V2799="",N($AA2798),IF(MATCH($V2799,$V$6:$V$6005,0)=ROW()-5,N($AA2798)+1,N($AA2798)))</f>
        <v/>
      </c>
    </row>
    <row r="2800" ht="21" customHeight="1" s="66">
      <c r="A2800" s="56" t="n"/>
      <c r="B2800" s="57" t="n"/>
      <c r="C2800" s="57" t="n"/>
      <c r="D2800" s="57" t="n"/>
      <c r="E2800" s="56" t="n"/>
      <c r="F2800" s="57" t="n"/>
      <c r="G2800" s="57" t="n"/>
      <c r="H2800" s="56" t="n"/>
      <c r="I2800" s="56" t="n"/>
      <c r="J2800" s="58" t="n"/>
      <c r="K2800" s="58" t="n"/>
      <c r="L2800" s="13">
        <f>IF(OR($A2800="",AND($J2800="",$K2800="")),"",ROUND(N($J2800)-N($K2800),2))</f>
        <v/>
      </c>
      <c r="M2800" s="13">
        <f>IF(OR($A2800="",AND($J2800="",$K2800="")),"",MIN($J2800,$K2800))</f>
        <v/>
      </c>
      <c r="Q2800">
        <f>IF($A2800="","",$D2800&amp;"("&amp;SUBSTITUTE($E2800," ","")&amp;")")</f>
        <v/>
      </c>
      <c r="R2800">
        <f>IF($A2800="","",$B2800&amp;" - "&amp;$C2800)</f>
        <v/>
      </c>
      <c r="S2800">
        <f>IF($A2800="","",$R2800&amp;"|"&amp;$Q2800)</f>
        <v/>
      </c>
      <c r="T2800">
        <f>IF($A2800="","",$S2800&amp;"|"&amp;$F2800)</f>
        <v/>
      </c>
      <c r="U2800">
        <f>IF($A2800="","",$R2800&amp;"("&amp;$E2800&amp;")")</f>
        <v/>
      </c>
      <c r="V2800">
        <f>IF($A2800="","",$F2800&amp;"|"&amp;$U2800&amp;"|"&amp;$D2800)</f>
        <v/>
      </c>
      <c r="W2800">
        <f>IF($T2800="","",IF($X2800&gt;N($X2799),$X2800,""))</f>
        <v/>
      </c>
      <c r="X2800">
        <f>IF($T2800="",N($X2799),IF(MATCH($T2800,$T$6:$T$6005,0)=ROW()-5,N($X2799)+1,N($X2799)))</f>
        <v/>
      </c>
      <c r="Z2800">
        <f>IF($V2800="","",IF($AA2800&gt;N($AA2799),$AA2800,""))</f>
        <v/>
      </c>
      <c r="AA2800">
        <f>IF($V2800="",N($AA2799),IF(MATCH($V2800,$V$6:$V$6005,0)=ROW()-5,N($AA2799)+1,N($AA2799)))</f>
        <v/>
      </c>
    </row>
    <row r="2801" ht="21" customHeight="1" s="66">
      <c r="A2801" s="56" t="n"/>
      <c r="B2801" s="57" t="n"/>
      <c r="C2801" s="57" t="n"/>
      <c r="D2801" s="57" t="n"/>
      <c r="E2801" s="56" t="n"/>
      <c r="F2801" s="57" t="n"/>
      <c r="G2801" s="57" t="n"/>
      <c r="H2801" s="56" t="n"/>
      <c r="I2801" s="56" t="n"/>
      <c r="J2801" s="58" t="n"/>
      <c r="K2801" s="58" t="n"/>
      <c r="L2801" s="13">
        <f>IF(OR($A2801="",AND($J2801="",$K2801="")),"",ROUND(N($J2801)-N($K2801),2))</f>
        <v/>
      </c>
      <c r="M2801" s="13">
        <f>IF(OR($A2801="",AND($J2801="",$K2801="")),"",MIN($J2801,$K2801))</f>
        <v/>
      </c>
      <c r="Q2801">
        <f>IF($A2801="","",$D2801&amp;"("&amp;SUBSTITUTE($E2801," ","")&amp;")")</f>
        <v/>
      </c>
      <c r="R2801">
        <f>IF($A2801="","",$B2801&amp;" - "&amp;$C2801)</f>
        <v/>
      </c>
      <c r="S2801">
        <f>IF($A2801="","",$R2801&amp;"|"&amp;$Q2801)</f>
        <v/>
      </c>
      <c r="T2801">
        <f>IF($A2801="","",$S2801&amp;"|"&amp;$F2801)</f>
        <v/>
      </c>
      <c r="U2801">
        <f>IF($A2801="","",$R2801&amp;"("&amp;$E2801&amp;")")</f>
        <v/>
      </c>
      <c r="V2801">
        <f>IF($A2801="","",$F2801&amp;"|"&amp;$U2801&amp;"|"&amp;$D2801)</f>
        <v/>
      </c>
      <c r="W2801">
        <f>IF($T2801="","",IF($X2801&gt;N($X2800),$X2801,""))</f>
        <v/>
      </c>
      <c r="X2801">
        <f>IF($T2801="",N($X2800),IF(MATCH($T2801,$T$6:$T$6005,0)=ROW()-5,N($X2800)+1,N($X2800)))</f>
        <v/>
      </c>
      <c r="Z2801">
        <f>IF($V2801="","",IF($AA2801&gt;N($AA2800),$AA2801,""))</f>
        <v/>
      </c>
      <c r="AA2801">
        <f>IF($V2801="",N($AA2800),IF(MATCH($V2801,$V$6:$V$6005,0)=ROW()-5,N($AA2800)+1,N($AA2800)))</f>
        <v/>
      </c>
    </row>
    <row r="2802" ht="21" customHeight="1" s="66">
      <c r="A2802" s="56" t="n"/>
      <c r="B2802" s="57" t="n"/>
      <c r="C2802" s="57" t="n"/>
      <c r="D2802" s="57" t="n"/>
      <c r="E2802" s="56" t="n"/>
      <c r="F2802" s="57" t="n"/>
      <c r="G2802" s="57" t="n"/>
      <c r="H2802" s="56" t="n"/>
      <c r="I2802" s="56" t="n"/>
      <c r="J2802" s="58" t="n"/>
      <c r="K2802" s="58" t="n"/>
      <c r="L2802" s="13">
        <f>IF(OR($A2802="",AND($J2802="",$K2802="")),"",ROUND(N($J2802)-N($K2802),2))</f>
        <v/>
      </c>
      <c r="M2802" s="13">
        <f>IF(OR($A2802="",AND($J2802="",$K2802="")),"",MIN($J2802,$K2802))</f>
        <v/>
      </c>
      <c r="Q2802">
        <f>IF($A2802="","",$D2802&amp;"("&amp;SUBSTITUTE($E2802," ","")&amp;")")</f>
        <v/>
      </c>
      <c r="R2802">
        <f>IF($A2802="","",$B2802&amp;" - "&amp;$C2802)</f>
        <v/>
      </c>
      <c r="S2802">
        <f>IF($A2802="","",$R2802&amp;"|"&amp;$Q2802)</f>
        <v/>
      </c>
      <c r="T2802">
        <f>IF($A2802="","",$S2802&amp;"|"&amp;$F2802)</f>
        <v/>
      </c>
      <c r="U2802">
        <f>IF($A2802="","",$R2802&amp;"("&amp;$E2802&amp;")")</f>
        <v/>
      </c>
      <c r="V2802">
        <f>IF($A2802="","",$F2802&amp;"|"&amp;$U2802&amp;"|"&amp;$D2802)</f>
        <v/>
      </c>
      <c r="W2802">
        <f>IF($T2802="","",IF($X2802&gt;N($X2801),$X2802,""))</f>
        <v/>
      </c>
      <c r="X2802">
        <f>IF($T2802="",N($X2801),IF(MATCH($T2802,$T$6:$T$6005,0)=ROW()-5,N($X2801)+1,N($X2801)))</f>
        <v/>
      </c>
      <c r="Z2802">
        <f>IF($V2802="","",IF($AA2802&gt;N($AA2801),$AA2802,""))</f>
        <v/>
      </c>
      <c r="AA2802">
        <f>IF($V2802="",N($AA2801),IF(MATCH($V2802,$V$6:$V$6005,0)=ROW()-5,N($AA2801)+1,N($AA2801)))</f>
        <v/>
      </c>
    </row>
    <row r="2803" ht="21" customHeight="1" s="66">
      <c r="A2803" s="56" t="n"/>
      <c r="B2803" s="57" t="n"/>
      <c r="C2803" s="57" t="n"/>
      <c r="D2803" s="57" t="n"/>
      <c r="E2803" s="56" t="n"/>
      <c r="F2803" s="57" t="n"/>
      <c r="G2803" s="57" t="n"/>
      <c r="H2803" s="56" t="n"/>
      <c r="I2803" s="56" t="n"/>
      <c r="J2803" s="58" t="n"/>
      <c r="K2803" s="58" t="n"/>
      <c r="L2803" s="13">
        <f>IF(OR($A2803="",AND($J2803="",$K2803="")),"",ROUND(N($J2803)-N($K2803),2))</f>
        <v/>
      </c>
      <c r="M2803" s="13">
        <f>IF(OR($A2803="",AND($J2803="",$K2803="")),"",MIN($J2803,$K2803))</f>
        <v/>
      </c>
      <c r="Q2803">
        <f>IF($A2803="","",$D2803&amp;"("&amp;SUBSTITUTE($E2803," ","")&amp;")")</f>
        <v/>
      </c>
      <c r="R2803">
        <f>IF($A2803="","",$B2803&amp;" - "&amp;$C2803)</f>
        <v/>
      </c>
      <c r="S2803">
        <f>IF($A2803="","",$R2803&amp;"|"&amp;$Q2803)</f>
        <v/>
      </c>
      <c r="T2803">
        <f>IF($A2803="","",$S2803&amp;"|"&amp;$F2803)</f>
        <v/>
      </c>
      <c r="U2803">
        <f>IF($A2803="","",$R2803&amp;"("&amp;$E2803&amp;")")</f>
        <v/>
      </c>
      <c r="V2803">
        <f>IF($A2803="","",$F2803&amp;"|"&amp;$U2803&amp;"|"&amp;$D2803)</f>
        <v/>
      </c>
      <c r="W2803">
        <f>IF($T2803="","",IF($X2803&gt;N($X2802),$X2803,""))</f>
        <v/>
      </c>
      <c r="X2803">
        <f>IF($T2803="",N($X2802),IF(MATCH($T2803,$T$6:$T$6005,0)=ROW()-5,N($X2802)+1,N($X2802)))</f>
        <v/>
      </c>
      <c r="Z2803">
        <f>IF($V2803="","",IF($AA2803&gt;N($AA2802),$AA2803,""))</f>
        <v/>
      </c>
      <c r="AA2803">
        <f>IF($V2803="",N($AA2802),IF(MATCH($V2803,$V$6:$V$6005,0)=ROW()-5,N($AA2802)+1,N($AA2802)))</f>
        <v/>
      </c>
    </row>
    <row r="2804" ht="21" customHeight="1" s="66">
      <c r="A2804" s="56" t="n"/>
      <c r="B2804" s="57" t="n"/>
      <c r="C2804" s="57" t="n"/>
      <c r="D2804" s="57" t="n"/>
      <c r="E2804" s="56" t="n"/>
      <c r="F2804" s="57" t="n"/>
      <c r="G2804" s="57" t="n"/>
      <c r="H2804" s="56" t="n"/>
      <c r="I2804" s="56" t="n"/>
      <c r="J2804" s="58" t="n"/>
      <c r="K2804" s="58" t="n"/>
      <c r="L2804" s="13">
        <f>IF(OR($A2804="",AND($J2804="",$K2804="")),"",ROUND(N($J2804)-N($K2804),2))</f>
        <v/>
      </c>
      <c r="M2804" s="13">
        <f>IF(OR($A2804="",AND($J2804="",$K2804="")),"",MIN($J2804,$K2804))</f>
        <v/>
      </c>
      <c r="Q2804">
        <f>IF($A2804="","",$D2804&amp;"("&amp;SUBSTITUTE($E2804," ","")&amp;")")</f>
        <v/>
      </c>
      <c r="R2804">
        <f>IF($A2804="","",$B2804&amp;" - "&amp;$C2804)</f>
        <v/>
      </c>
      <c r="S2804">
        <f>IF($A2804="","",$R2804&amp;"|"&amp;$Q2804)</f>
        <v/>
      </c>
      <c r="T2804">
        <f>IF($A2804="","",$S2804&amp;"|"&amp;$F2804)</f>
        <v/>
      </c>
      <c r="U2804">
        <f>IF($A2804="","",$R2804&amp;"("&amp;$E2804&amp;")")</f>
        <v/>
      </c>
      <c r="V2804">
        <f>IF($A2804="","",$F2804&amp;"|"&amp;$U2804&amp;"|"&amp;$D2804)</f>
        <v/>
      </c>
      <c r="W2804">
        <f>IF($T2804="","",IF($X2804&gt;N($X2803),$X2804,""))</f>
        <v/>
      </c>
      <c r="X2804">
        <f>IF($T2804="",N($X2803),IF(MATCH($T2804,$T$6:$T$6005,0)=ROW()-5,N($X2803)+1,N($X2803)))</f>
        <v/>
      </c>
      <c r="Z2804">
        <f>IF($V2804="","",IF($AA2804&gt;N($AA2803),$AA2804,""))</f>
        <v/>
      </c>
      <c r="AA2804">
        <f>IF($V2804="",N($AA2803),IF(MATCH($V2804,$V$6:$V$6005,0)=ROW()-5,N($AA2803)+1,N($AA2803)))</f>
        <v/>
      </c>
    </row>
    <row r="2805" ht="21" customHeight="1" s="66">
      <c r="A2805" s="56" t="n"/>
      <c r="B2805" s="57" t="n"/>
      <c r="C2805" s="57" t="n"/>
      <c r="D2805" s="57" t="n"/>
      <c r="E2805" s="56" t="n"/>
      <c r="F2805" s="57" t="n"/>
      <c r="G2805" s="57" t="n"/>
      <c r="H2805" s="56" t="n"/>
      <c r="I2805" s="56" t="n"/>
      <c r="J2805" s="58" t="n"/>
      <c r="K2805" s="58" t="n"/>
      <c r="L2805" s="13">
        <f>IF(OR($A2805="",AND($J2805="",$K2805="")),"",ROUND(N($J2805)-N($K2805),2))</f>
        <v/>
      </c>
      <c r="M2805" s="13">
        <f>IF(OR($A2805="",AND($J2805="",$K2805="")),"",MIN($J2805,$K2805))</f>
        <v/>
      </c>
      <c r="Q2805">
        <f>IF($A2805="","",$D2805&amp;"("&amp;SUBSTITUTE($E2805," ","")&amp;")")</f>
        <v/>
      </c>
      <c r="R2805">
        <f>IF($A2805="","",$B2805&amp;" - "&amp;$C2805)</f>
        <v/>
      </c>
      <c r="S2805">
        <f>IF($A2805="","",$R2805&amp;"|"&amp;$Q2805)</f>
        <v/>
      </c>
      <c r="T2805">
        <f>IF($A2805="","",$S2805&amp;"|"&amp;$F2805)</f>
        <v/>
      </c>
      <c r="U2805">
        <f>IF($A2805="","",$R2805&amp;"("&amp;$E2805&amp;")")</f>
        <v/>
      </c>
      <c r="V2805">
        <f>IF($A2805="","",$F2805&amp;"|"&amp;$U2805&amp;"|"&amp;$D2805)</f>
        <v/>
      </c>
      <c r="W2805">
        <f>IF($T2805="","",IF($X2805&gt;N($X2804),$X2805,""))</f>
        <v/>
      </c>
      <c r="X2805">
        <f>IF($T2805="",N($X2804),IF(MATCH($T2805,$T$6:$T$6005,0)=ROW()-5,N($X2804)+1,N($X2804)))</f>
        <v/>
      </c>
      <c r="Z2805">
        <f>IF($V2805="","",IF($AA2805&gt;N($AA2804),$AA2805,""))</f>
        <v/>
      </c>
      <c r="AA2805">
        <f>IF($V2805="",N($AA2804),IF(MATCH($V2805,$V$6:$V$6005,0)=ROW()-5,N($AA2804)+1,N($AA2804)))</f>
        <v/>
      </c>
    </row>
    <row r="2806" ht="21" customHeight="1" s="66">
      <c r="A2806" s="56" t="n"/>
      <c r="B2806" s="57" t="n"/>
      <c r="C2806" s="57" t="n"/>
      <c r="D2806" s="57" t="n"/>
      <c r="E2806" s="56" t="n"/>
      <c r="F2806" s="57" t="n"/>
      <c r="G2806" s="57" t="n"/>
      <c r="H2806" s="56" t="n"/>
      <c r="I2806" s="56" t="n"/>
      <c r="J2806" s="58" t="n"/>
      <c r="K2806" s="58" t="n"/>
      <c r="L2806" s="13">
        <f>IF(OR($A2806="",AND($J2806="",$K2806="")),"",ROUND(N($J2806)-N($K2806),2))</f>
        <v/>
      </c>
      <c r="M2806" s="13">
        <f>IF(OR($A2806="",AND($J2806="",$K2806="")),"",MIN($J2806,$K2806))</f>
        <v/>
      </c>
      <c r="Q2806">
        <f>IF($A2806="","",$D2806&amp;"("&amp;SUBSTITUTE($E2806," ","")&amp;")")</f>
        <v/>
      </c>
      <c r="R2806">
        <f>IF($A2806="","",$B2806&amp;" - "&amp;$C2806)</f>
        <v/>
      </c>
      <c r="S2806">
        <f>IF($A2806="","",$R2806&amp;"|"&amp;$Q2806)</f>
        <v/>
      </c>
      <c r="T2806">
        <f>IF($A2806="","",$S2806&amp;"|"&amp;$F2806)</f>
        <v/>
      </c>
      <c r="U2806">
        <f>IF($A2806="","",$R2806&amp;"("&amp;$E2806&amp;")")</f>
        <v/>
      </c>
      <c r="V2806">
        <f>IF($A2806="","",$F2806&amp;"|"&amp;$U2806&amp;"|"&amp;$D2806)</f>
        <v/>
      </c>
      <c r="W2806">
        <f>IF($T2806="","",IF($X2806&gt;N($X2805),$X2806,""))</f>
        <v/>
      </c>
      <c r="X2806">
        <f>IF($T2806="",N($X2805),IF(MATCH($T2806,$T$6:$T$6005,0)=ROW()-5,N($X2805)+1,N($X2805)))</f>
        <v/>
      </c>
      <c r="Z2806">
        <f>IF($V2806="","",IF($AA2806&gt;N($AA2805),$AA2806,""))</f>
        <v/>
      </c>
      <c r="AA2806">
        <f>IF($V2806="",N($AA2805),IF(MATCH($V2806,$V$6:$V$6005,0)=ROW()-5,N($AA2805)+1,N($AA2805)))</f>
        <v/>
      </c>
    </row>
    <row r="2807" ht="21" customHeight="1" s="66">
      <c r="A2807" s="56" t="n"/>
      <c r="B2807" s="57" t="n"/>
      <c r="C2807" s="57" t="n"/>
      <c r="D2807" s="57" t="n"/>
      <c r="E2807" s="56" t="n"/>
      <c r="F2807" s="57" t="n"/>
      <c r="G2807" s="57" t="n"/>
      <c r="H2807" s="56" t="n"/>
      <c r="I2807" s="56" t="n"/>
      <c r="J2807" s="58" t="n"/>
      <c r="K2807" s="58" t="n"/>
      <c r="L2807" s="13">
        <f>IF(OR($A2807="",AND($J2807="",$K2807="")),"",ROUND(N($J2807)-N($K2807),2))</f>
        <v/>
      </c>
      <c r="M2807" s="13">
        <f>IF(OR($A2807="",AND($J2807="",$K2807="")),"",MIN($J2807,$K2807))</f>
        <v/>
      </c>
      <c r="Q2807">
        <f>IF($A2807="","",$D2807&amp;"("&amp;SUBSTITUTE($E2807," ","")&amp;")")</f>
        <v/>
      </c>
      <c r="R2807">
        <f>IF($A2807="","",$B2807&amp;" - "&amp;$C2807)</f>
        <v/>
      </c>
      <c r="S2807">
        <f>IF($A2807="","",$R2807&amp;"|"&amp;$Q2807)</f>
        <v/>
      </c>
      <c r="T2807">
        <f>IF($A2807="","",$S2807&amp;"|"&amp;$F2807)</f>
        <v/>
      </c>
      <c r="U2807">
        <f>IF($A2807="","",$R2807&amp;"("&amp;$E2807&amp;")")</f>
        <v/>
      </c>
      <c r="V2807">
        <f>IF($A2807="","",$F2807&amp;"|"&amp;$U2807&amp;"|"&amp;$D2807)</f>
        <v/>
      </c>
      <c r="W2807">
        <f>IF($T2807="","",IF($X2807&gt;N($X2806),$X2807,""))</f>
        <v/>
      </c>
      <c r="X2807">
        <f>IF($T2807="",N($X2806),IF(MATCH($T2807,$T$6:$T$6005,0)=ROW()-5,N($X2806)+1,N($X2806)))</f>
        <v/>
      </c>
      <c r="Z2807">
        <f>IF($V2807="","",IF($AA2807&gt;N($AA2806),$AA2807,""))</f>
        <v/>
      </c>
      <c r="AA2807">
        <f>IF($V2807="",N($AA2806),IF(MATCH($V2807,$V$6:$V$6005,0)=ROW()-5,N($AA2806)+1,N($AA2806)))</f>
        <v/>
      </c>
    </row>
    <row r="2808" ht="21" customHeight="1" s="66">
      <c r="A2808" s="56" t="n"/>
      <c r="B2808" s="57" t="n"/>
      <c r="C2808" s="57" t="n"/>
      <c r="D2808" s="57" t="n"/>
      <c r="E2808" s="56" t="n"/>
      <c r="F2808" s="57" t="n"/>
      <c r="G2808" s="57" t="n"/>
      <c r="H2808" s="56" t="n"/>
      <c r="I2808" s="56" t="n"/>
      <c r="J2808" s="58" t="n"/>
      <c r="K2808" s="58" t="n"/>
      <c r="L2808" s="13">
        <f>IF(OR($A2808="",AND($J2808="",$K2808="")),"",ROUND(N($J2808)-N($K2808),2))</f>
        <v/>
      </c>
      <c r="M2808" s="13">
        <f>IF(OR($A2808="",AND($J2808="",$K2808="")),"",MIN($J2808,$K2808))</f>
        <v/>
      </c>
      <c r="Q2808">
        <f>IF($A2808="","",$D2808&amp;"("&amp;SUBSTITUTE($E2808," ","")&amp;")")</f>
        <v/>
      </c>
      <c r="R2808">
        <f>IF($A2808="","",$B2808&amp;" - "&amp;$C2808)</f>
        <v/>
      </c>
      <c r="S2808">
        <f>IF($A2808="","",$R2808&amp;"|"&amp;$Q2808)</f>
        <v/>
      </c>
      <c r="T2808">
        <f>IF($A2808="","",$S2808&amp;"|"&amp;$F2808)</f>
        <v/>
      </c>
      <c r="U2808">
        <f>IF($A2808="","",$R2808&amp;"("&amp;$E2808&amp;")")</f>
        <v/>
      </c>
      <c r="V2808">
        <f>IF($A2808="","",$F2808&amp;"|"&amp;$U2808&amp;"|"&amp;$D2808)</f>
        <v/>
      </c>
      <c r="W2808">
        <f>IF($T2808="","",IF($X2808&gt;N($X2807),$X2808,""))</f>
        <v/>
      </c>
      <c r="X2808">
        <f>IF($T2808="",N($X2807),IF(MATCH($T2808,$T$6:$T$6005,0)=ROW()-5,N($X2807)+1,N($X2807)))</f>
        <v/>
      </c>
      <c r="Z2808">
        <f>IF($V2808="","",IF($AA2808&gt;N($AA2807),$AA2808,""))</f>
        <v/>
      </c>
      <c r="AA2808">
        <f>IF($V2808="",N($AA2807),IF(MATCH($V2808,$V$6:$V$6005,0)=ROW()-5,N($AA2807)+1,N($AA2807)))</f>
        <v/>
      </c>
    </row>
    <row r="2809" ht="21" customHeight="1" s="66">
      <c r="A2809" s="56" t="n"/>
      <c r="B2809" s="57" t="n"/>
      <c r="C2809" s="57" t="n"/>
      <c r="D2809" s="57" t="n"/>
      <c r="E2809" s="56" t="n"/>
      <c r="F2809" s="57" t="n"/>
      <c r="G2809" s="57" t="n"/>
      <c r="H2809" s="56" t="n"/>
      <c r="I2809" s="56" t="n"/>
      <c r="J2809" s="58" t="n"/>
      <c r="K2809" s="58" t="n"/>
      <c r="L2809" s="13">
        <f>IF(OR($A2809="",AND($J2809="",$K2809="")),"",ROUND(N($J2809)-N($K2809),2))</f>
        <v/>
      </c>
      <c r="M2809" s="13">
        <f>IF(OR($A2809="",AND($J2809="",$K2809="")),"",MIN($J2809,$K2809))</f>
        <v/>
      </c>
      <c r="Q2809">
        <f>IF($A2809="","",$D2809&amp;"("&amp;SUBSTITUTE($E2809," ","")&amp;")")</f>
        <v/>
      </c>
      <c r="R2809">
        <f>IF($A2809="","",$B2809&amp;" - "&amp;$C2809)</f>
        <v/>
      </c>
      <c r="S2809">
        <f>IF($A2809="","",$R2809&amp;"|"&amp;$Q2809)</f>
        <v/>
      </c>
      <c r="T2809">
        <f>IF($A2809="","",$S2809&amp;"|"&amp;$F2809)</f>
        <v/>
      </c>
      <c r="U2809">
        <f>IF($A2809="","",$R2809&amp;"("&amp;$E2809&amp;")")</f>
        <v/>
      </c>
      <c r="V2809">
        <f>IF($A2809="","",$F2809&amp;"|"&amp;$U2809&amp;"|"&amp;$D2809)</f>
        <v/>
      </c>
      <c r="W2809">
        <f>IF($T2809="","",IF($X2809&gt;N($X2808),$X2809,""))</f>
        <v/>
      </c>
      <c r="X2809">
        <f>IF($T2809="",N($X2808),IF(MATCH($T2809,$T$6:$T$6005,0)=ROW()-5,N($X2808)+1,N($X2808)))</f>
        <v/>
      </c>
      <c r="Z2809">
        <f>IF($V2809="","",IF($AA2809&gt;N($AA2808),$AA2809,""))</f>
        <v/>
      </c>
      <c r="AA2809">
        <f>IF($V2809="",N($AA2808),IF(MATCH($V2809,$V$6:$V$6005,0)=ROW()-5,N($AA2808)+1,N($AA2808)))</f>
        <v/>
      </c>
    </row>
    <row r="2810" ht="21" customHeight="1" s="66">
      <c r="A2810" s="56" t="n"/>
      <c r="B2810" s="57" t="n"/>
      <c r="C2810" s="57" t="n"/>
      <c r="D2810" s="57" t="n"/>
      <c r="E2810" s="56" t="n"/>
      <c r="F2810" s="57" t="n"/>
      <c r="G2810" s="57" t="n"/>
      <c r="H2810" s="56" t="n"/>
      <c r="I2810" s="56" t="n"/>
      <c r="J2810" s="58" t="n"/>
      <c r="K2810" s="58" t="n"/>
      <c r="L2810" s="13">
        <f>IF(OR($A2810="",AND($J2810="",$K2810="")),"",ROUND(N($J2810)-N($K2810),2))</f>
        <v/>
      </c>
      <c r="M2810" s="13">
        <f>IF(OR($A2810="",AND($J2810="",$K2810="")),"",MIN($J2810,$K2810))</f>
        <v/>
      </c>
      <c r="Q2810">
        <f>IF($A2810="","",$D2810&amp;"("&amp;SUBSTITUTE($E2810," ","")&amp;")")</f>
        <v/>
      </c>
      <c r="R2810">
        <f>IF($A2810="","",$B2810&amp;" - "&amp;$C2810)</f>
        <v/>
      </c>
      <c r="S2810">
        <f>IF($A2810="","",$R2810&amp;"|"&amp;$Q2810)</f>
        <v/>
      </c>
      <c r="T2810">
        <f>IF($A2810="","",$S2810&amp;"|"&amp;$F2810)</f>
        <v/>
      </c>
      <c r="U2810">
        <f>IF($A2810="","",$R2810&amp;"("&amp;$E2810&amp;")")</f>
        <v/>
      </c>
      <c r="V2810">
        <f>IF($A2810="","",$F2810&amp;"|"&amp;$U2810&amp;"|"&amp;$D2810)</f>
        <v/>
      </c>
      <c r="W2810">
        <f>IF($T2810="","",IF($X2810&gt;N($X2809),$X2810,""))</f>
        <v/>
      </c>
      <c r="X2810">
        <f>IF($T2810="",N($X2809),IF(MATCH($T2810,$T$6:$T$6005,0)=ROW()-5,N($X2809)+1,N($X2809)))</f>
        <v/>
      </c>
      <c r="Z2810">
        <f>IF($V2810="","",IF($AA2810&gt;N($AA2809),$AA2810,""))</f>
        <v/>
      </c>
      <c r="AA2810">
        <f>IF($V2810="",N($AA2809),IF(MATCH($V2810,$V$6:$V$6005,0)=ROW()-5,N($AA2809)+1,N($AA2809)))</f>
        <v/>
      </c>
    </row>
    <row r="2811" ht="21" customHeight="1" s="66">
      <c r="A2811" s="56" t="n"/>
      <c r="B2811" s="57" t="n"/>
      <c r="C2811" s="57" t="n"/>
      <c r="D2811" s="57" t="n"/>
      <c r="E2811" s="56" t="n"/>
      <c r="F2811" s="57" t="n"/>
      <c r="G2811" s="57" t="n"/>
      <c r="H2811" s="56" t="n"/>
      <c r="I2811" s="56" t="n"/>
      <c r="J2811" s="58" t="n"/>
      <c r="K2811" s="58" t="n"/>
      <c r="L2811" s="13">
        <f>IF(OR($A2811="",AND($J2811="",$K2811="")),"",ROUND(N($J2811)-N($K2811),2))</f>
        <v/>
      </c>
      <c r="M2811" s="13">
        <f>IF(OR($A2811="",AND($J2811="",$K2811="")),"",MIN($J2811,$K2811))</f>
        <v/>
      </c>
      <c r="Q2811">
        <f>IF($A2811="","",$D2811&amp;"("&amp;SUBSTITUTE($E2811," ","")&amp;")")</f>
        <v/>
      </c>
      <c r="R2811">
        <f>IF($A2811="","",$B2811&amp;" - "&amp;$C2811)</f>
        <v/>
      </c>
      <c r="S2811">
        <f>IF($A2811="","",$R2811&amp;"|"&amp;$Q2811)</f>
        <v/>
      </c>
      <c r="T2811">
        <f>IF($A2811="","",$S2811&amp;"|"&amp;$F2811)</f>
        <v/>
      </c>
      <c r="U2811">
        <f>IF($A2811="","",$R2811&amp;"("&amp;$E2811&amp;")")</f>
        <v/>
      </c>
      <c r="V2811">
        <f>IF($A2811="","",$F2811&amp;"|"&amp;$U2811&amp;"|"&amp;$D2811)</f>
        <v/>
      </c>
      <c r="W2811">
        <f>IF($T2811="","",IF($X2811&gt;N($X2810),$X2811,""))</f>
        <v/>
      </c>
      <c r="X2811">
        <f>IF($T2811="",N($X2810),IF(MATCH($T2811,$T$6:$T$6005,0)=ROW()-5,N($X2810)+1,N($X2810)))</f>
        <v/>
      </c>
      <c r="Z2811">
        <f>IF($V2811="","",IF($AA2811&gt;N($AA2810),$AA2811,""))</f>
        <v/>
      </c>
      <c r="AA2811">
        <f>IF($V2811="",N($AA2810),IF(MATCH($V2811,$V$6:$V$6005,0)=ROW()-5,N($AA2810)+1,N($AA2810)))</f>
        <v/>
      </c>
    </row>
    <row r="2812" ht="21" customHeight="1" s="66">
      <c r="A2812" s="56" t="n"/>
      <c r="B2812" s="57" t="n"/>
      <c r="C2812" s="57" t="n"/>
      <c r="D2812" s="57" t="n"/>
      <c r="E2812" s="56" t="n"/>
      <c r="F2812" s="57" t="n"/>
      <c r="G2812" s="57" t="n"/>
      <c r="H2812" s="56" t="n"/>
      <c r="I2812" s="56" t="n"/>
      <c r="J2812" s="58" t="n"/>
      <c r="K2812" s="58" t="n"/>
      <c r="L2812" s="13">
        <f>IF(OR($A2812="",AND($J2812="",$K2812="")),"",ROUND(N($J2812)-N($K2812),2))</f>
        <v/>
      </c>
      <c r="M2812" s="13">
        <f>IF(OR($A2812="",AND($J2812="",$K2812="")),"",MIN($J2812,$K2812))</f>
        <v/>
      </c>
      <c r="Q2812">
        <f>IF($A2812="","",$D2812&amp;"("&amp;SUBSTITUTE($E2812," ","")&amp;")")</f>
        <v/>
      </c>
      <c r="R2812">
        <f>IF($A2812="","",$B2812&amp;" - "&amp;$C2812)</f>
        <v/>
      </c>
      <c r="S2812">
        <f>IF($A2812="","",$R2812&amp;"|"&amp;$Q2812)</f>
        <v/>
      </c>
      <c r="T2812">
        <f>IF($A2812="","",$S2812&amp;"|"&amp;$F2812)</f>
        <v/>
      </c>
      <c r="U2812">
        <f>IF($A2812="","",$R2812&amp;"("&amp;$E2812&amp;")")</f>
        <v/>
      </c>
      <c r="V2812">
        <f>IF($A2812="","",$F2812&amp;"|"&amp;$U2812&amp;"|"&amp;$D2812)</f>
        <v/>
      </c>
      <c r="W2812">
        <f>IF($T2812="","",IF($X2812&gt;N($X2811),$X2812,""))</f>
        <v/>
      </c>
      <c r="X2812">
        <f>IF($T2812="",N($X2811),IF(MATCH($T2812,$T$6:$T$6005,0)=ROW()-5,N($X2811)+1,N($X2811)))</f>
        <v/>
      </c>
      <c r="Z2812">
        <f>IF($V2812="","",IF($AA2812&gt;N($AA2811),$AA2812,""))</f>
        <v/>
      </c>
      <c r="AA2812">
        <f>IF($V2812="",N($AA2811),IF(MATCH($V2812,$V$6:$V$6005,0)=ROW()-5,N($AA2811)+1,N($AA2811)))</f>
        <v/>
      </c>
    </row>
    <row r="2813" ht="21" customHeight="1" s="66">
      <c r="A2813" s="56" t="n"/>
      <c r="B2813" s="57" t="n"/>
      <c r="C2813" s="57" t="n"/>
      <c r="D2813" s="57" t="n"/>
      <c r="E2813" s="56" t="n"/>
      <c r="F2813" s="57" t="n"/>
      <c r="G2813" s="57" t="n"/>
      <c r="H2813" s="56" t="n"/>
      <c r="I2813" s="56" t="n"/>
      <c r="J2813" s="58" t="n"/>
      <c r="K2813" s="58" t="n"/>
      <c r="L2813" s="13">
        <f>IF(OR($A2813="",AND($J2813="",$K2813="")),"",ROUND(N($J2813)-N($K2813),2))</f>
        <v/>
      </c>
      <c r="M2813" s="13">
        <f>IF(OR($A2813="",AND($J2813="",$K2813="")),"",MIN($J2813,$K2813))</f>
        <v/>
      </c>
      <c r="Q2813">
        <f>IF($A2813="","",$D2813&amp;"("&amp;SUBSTITUTE($E2813," ","")&amp;")")</f>
        <v/>
      </c>
      <c r="R2813">
        <f>IF($A2813="","",$B2813&amp;" - "&amp;$C2813)</f>
        <v/>
      </c>
      <c r="S2813">
        <f>IF($A2813="","",$R2813&amp;"|"&amp;$Q2813)</f>
        <v/>
      </c>
      <c r="T2813">
        <f>IF($A2813="","",$S2813&amp;"|"&amp;$F2813)</f>
        <v/>
      </c>
      <c r="U2813">
        <f>IF($A2813="","",$R2813&amp;"("&amp;$E2813&amp;")")</f>
        <v/>
      </c>
      <c r="V2813">
        <f>IF($A2813="","",$F2813&amp;"|"&amp;$U2813&amp;"|"&amp;$D2813)</f>
        <v/>
      </c>
      <c r="W2813">
        <f>IF($T2813="","",IF($X2813&gt;N($X2812),$X2813,""))</f>
        <v/>
      </c>
      <c r="X2813">
        <f>IF($T2813="",N($X2812),IF(MATCH($T2813,$T$6:$T$6005,0)=ROW()-5,N($X2812)+1,N($X2812)))</f>
        <v/>
      </c>
      <c r="Z2813">
        <f>IF($V2813="","",IF($AA2813&gt;N($AA2812),$AA2813,""))</f>
        <v/>
      </c>
      <c r="AA2813">
        <f>IF($V2813="",N($AA2812),IF(MATCH($V2813,$V$6:$V$6005,0)=ROW()-5,N($AA2812)+1,N($AA2812)))</f>
        <v/>
      </c>
    </row>
    <row r="2814" ht="21" customHeight="1" s="66">
      <c r="A2814" s="56" t="n"/>
      <c r="B2814" s="57" t="n"/>
      <c r="C2814" s="57" t="n"/>
      <c r="D2814" s="57" t="n"/>
      <c r="E2814" s="56" t="n"/>
      <c r="F2814" s="57" t="n"/>
      <c r="G2814" s="57" t="n"/>
      <c r="H2814" s="56" t="n"/>
      <c r="I2814" s="56" t="n"/>
      <c r="J2814" s="58" t="n"/>
      <c r="K2814" s="58" t="n"/>
      <c r="L2814" s="13">
        <f>IF(OR($A2814="",AND($J2814="",$K2814="")),"",ROUND(N($J2814)-N($K2814),2))</f>
        <v/>
      </c>
      <c r="M2814" s="13">
        <f>IF(OR($A2814="",AND($J2814="",$K2814="")),"",MIN($J2814,$K2814))</f>
        <v/>
      </c>
      <c r="Q2814">
        <f>IF($A2814="","",$D2814&amp;"("&amp;SUBSTITUTE($E2814," ","")&amp;")")</f>
        <v/>
      </c>
      <c r="R2814">
        <f>IF($A2814="","",$B2814&amp;" - "&amp;$C2814)</f>
        <v/>
      </c>
      <c r="S2814">
        <f>IF($A2814="","",$R2814&amp;"|"&amp;$Q2814)</f>
        <v/>
      </c>
      <c r="T2814">
        <f>IF($A2814="","",$S2814&amp;"|"&amp;$F2814)</f>
        <v/>
      </c>
      <c r="U2814">
        <f>IF($A2814="","",$R2814&amp;"("&amp;$E2814&amp;")")</f>
        <v/>
      </c>
      <c r="V2814">
        <f>IF($A2814="","",$F2814&amp;"|"&amp;$U2814&amp;"|"&amp;$D2814)</f>
        <v/>
      </c>
      <c r="W2814">
        <f>IF($T2814="","",IF($X2814&gt;N($X2813),$X2814,""))</f>
        <v/>
      </c>
      <c r="X2814">
        <f>IF($T2814="",N($X2813),IF(MATCH($T2814,$T$6:$T$6005,0)=ROW()-5,N($X2813)+1,N($X2813)))</f>
        <v/>
      </c>
      <c r="Z2814">
        <f>IF($V2814="","",IF($AA2814&gt;N($AA2813),$AA2814,""))</f>
        <v/>
      </c>
      <c r="AA2814">
        <f>IF($V2814="",N($AA2813),IF(MATCH($V2814,$V$6:$V$6005,0)=ROW()-5,N($AA2813)+1,N($AA2813)))</f>
        <v/>
      </c>
    </row>
    <row r="2815" ht="21" customHeight="1" s="66">
      <c r="A2815" s="56" t="n"/>
      <c r="B2815" s="57" t="n"/>
      <c r="C2815" s="57" t="n"/>
      <c r="D2815" s="57" t="n"/>
      <c r="E2815" s="56" t="n"/>
      <c r="F2815" s="57" t="n"/>
      <c r="G2815" s="57" t="n"/>
      <c r="H2815" s="56" t="n"/>
      <c r="I2815" s="56" t="n"/>
      <c r="J2815" s="58" t="n"/>
      <c r="K2815" s="58" t="n"/>
      <c r="L2815" s="13">
        <f>IF(OR($A2815="",AND($J2815="",$K2815="")),"",ROUND(N($J2815)-N($K2815),2))</f>
        <v/>
      </c>
      <c r="M2815" s="13">
        <f>IF(OR($A2815="",AND($J2815="",$K2815="")),"",MIN($J2815,$K2815))</f>
        <v/>
      </c>
      <c r="Q2815">
        <f>IF($A2815="","",$D2815&amp;"("&amp;SUBSTITUTE($E2815," ","")&amp;")")</f>
        <v/>
      </c>
      <c r="R2815">
        <f>IF($A2815="","",$B2815&amp;" - "&amp;$C2815)</f>
        <v/>
      </c>
      <c r="S2815">
        <f>IF($A2815="","",$R2815&amp;"|"&amp;$Q2815)</f>
        <v/>
      </c>
      <c r="T2815">
        <f>IF($A2815="","",$S2815&amp;"|"&amp;$F2815)</f>
        <v/>
      </c>
      <c r="U2815">
        <f>IF($A2815="","",$R2815&amp;"("&amp;$E2815&amp;")")</f>
        <v/>
      </c>
      <c r="V2815">
        <f>IF($A2815="","",$F2815&amp;"|"&amp;$U2815&amp;"|"&amp;$D2815)</f>
        <v/>
      </c>
      <c r="W2815">
        <f>IF($T2815="","",IF($X2815&gt;N($X2814),$X2815,""))</f>
        <v/>
      </c>
      <c r="X2815">
        <f>IF($T2815="",N($X2814),IF(MATCH($T2815,$T$6:$T$6005,0)=ROW()-5,N($X2814)+1,N($X2814)))</f>
        <v/>
      </c>
      <c r="Z2815">
        <f>IF($V2815="","",IF($AA2815&gt;N($AA2814),$AA2815,""))</f>
        <v/>
      </c>
      <c r="AA2815">
        <f>IF($V2815="",N($AA2814),IF(MATCH($V2815,$V$6:$V$6005,0)=ROW()-5,N($AA2814)+1,N($AA2814)))</f>
        <v/>
      </c>
    </row>
    <row r="2816" ht="21" customHeight="1" s="66">
      <c r="A2816" s="56" t="n"/>
      <c r="B2816" s="57" t="n"/>
      <c r="C2816" s="57" t="n"/>
      <c r="D2816" s="57" t="n"/>
      <c r="E2816" s="56" t="n"/>
      <c r="F2816" s="57" t="n"/>
      <c r="G2816" s="57" t="n"/>
      <c r="H2816" s="56" t="n"/>
      <c r="I2816" s="56" t="n"/>
      <c r="J2816" s="58" t="n"/>
      <c r="K2816" s="58" t="n"/>
      <c r="L2816" s="13">
        <f>IF(OR($A2816="",AND($J2816="",$K2816="")),"",ROUND(N($J2816)-N($K2816),2))</f>
        <v/>
      </c>
      <c r="M2816" s="13">
        <f>IF(OR($A2816="",AND($J2816="",$K2816="")),"",MIN($J2816,$K2816))</f>
        <v/>
      </c>
      <c r="Q2816">
        <f>IF($A2816="","",$D2816&amp;"("&amp;SUBSTITUTE($E2816," ","")&amp;")")</f>
        <v/>
      </c>
      <c r="R2816">
        <f>IF($A2816="","",$B2816&amp;" - "&amp;$C2816)</f>
        <v/>
      </c>
      <c r="S2816">
        <f>IF($A2816="","",$R2816&amp;"|"&amp;$Q2816)</f>
        <v/>
      </c>
      <c r="T2816">
        <f>IF($A2816="","",$S2816&amp;"|"&amp;$F2816)</f>
        <v/>
      </c>
      <c r="U2816">
        <f>IF($A2816="","",$R2816&amp;"("&amp;$E2816&amp;")")</f>
        <v/>
      </c>
      <c r="V2816">
        <f>IF($A2816="","",$F2816&amp;"|"&amp;$U2816&amp;"|"&amp;$D2816)</f>
        <v/>
      </c>
      <c r="W2816">
        <f>IF($T2816="","",IF($X2816&gt;N($X2815),$X2816,""))</f>
        <v/>
      </c>
      <c r="X2816">
        <f>IF($T2816="",N($X2815),IF(MATCH($T2816,$T$6:$T$6005,0)=ROW()-5,N($X2815)+1,N($X2815)))</f>
        <v/>
      </c>
      <c r="Z2816">
        <f>IF($V2816="","",IF($AA2816&gt;N($AA2815),$AA2816,""))</f>
        <v/>
      </c>
      <c r="AA2816">
        <f>IF($V2816="",N($AA2815),IF(MATCH($V2816,$V$6:$V$6005,0)=ROW()-5,N($AA2815)+1,N($AA2815)))</f>
        <v/>
      </c>
    </row>
    <row r="2817" ht="21" customHeight="1" s="66">
      <c r="A2817" s="56" t="n"/>
      <c r="B2817" s="57" t="n"/>
      <c r="C2817" s="57" t="n"/>
      <c r="D2817" s="57" t="n"/>
      <c r="E2817" s="56" t="n"/>
      <c r="F2817" s="57" t="n"/>
      <c r="G2817" s="57" t="n"/>
      <c r="H2817" s="56" t="n"/>
      <c r="I2817" s="56" t="n"/>
      <c r="J2817" s="58" t="n"/>
      <c r="K2817" s="58" t="n"/>
      <c r="L2817" s="13">
        <f>IF(OR($A2817="",AND($J2817="",$K2817="")),"",ROUND(N($J2817)-N($K2817),2))</f>
        <v/>
      </c>
      <c r="M2817" s="13">
        <f>IF(OR($A2817="",AND($J2817="",$K2817="")),"",MIN($J2817,$K2817))</f>
        <v/>
      </c>
      <c r="Q2817">
        <f>IF($A2817="","",$D2817&amp;"("&amp;SUBSTITUTE($E2817," ","")&amp;")")</f>
        <v/>
      </c>
      <c r="R2817">
        <f>IF($A2817="","",$B2817&amp;" - "&amp;$C2817)</f>
        <v/>
      </c>
      <c r="S2817">
        <f>IF($A2817="","",$R2817&amp;"|"&amp;$Q2817)</f>
        <v/>
      </c>
      <c r="T2817">
        <f>IF($A2817="","",$S2817&amp;"|"&amp;$F2817)</f>
        <v/>
      </c>
      <c r="U2817">
        <f>IF($A2817="","",$R2817&amp;"("&amp;$E2817&amp;")")</f>
        <v/>
      </c>
      <c r="V2817">
        <f>IF($A2817="","",$F2817&amp;"|"&amp;$U2817&amp;"|"&amp;$D2817)</f>
        <v/>
      </c>
      <c r="W2817">
        <f>IF($T2817="","",IF($X2817&gt;N($X2816),$X2817,""))</f>
        <v/>
      </c>
      <c r="X2817">
        <f>IF($T2817="",N($X2816),IF(MATCH($T2817,$T$6:$T$6005,0)=ROW()-5,N($X2816)+1,N($X2816)))</f>
        <v/>
      </c>
      <c r="Z2817">
        <f>IF($V2817="","",IF($AA2817&gt;N($AA2816),$AA2817,""))</f>
        <v/>
      </c>
      <c r="AA2817">
        <f>IF($V2817="",N($AA2816),IF(MATCH($V2817,$V$6:$V$6005,0)=ROW()-5,N($AA2816)+1,N($AA2816)))</f>
        <v/>
      </c>
    </row>
    <row r="2818" ht="21" customHeight="1" s="66">
      <c r="A2818" s="56" t="n"/>
      <c r="B2818" s="57" t="n"/>
      <c r="C2818" s="57" t="n"/>
      <c r="D2818" s="57" t="n"/>
      <c r="E2818" s="56" t="n"/>
      <c r="F2818" s="57" t="n"/>
      <c r="G2818" s="57" t="n"/>
      <c r="H2818" s="56" t="n"/>
      <c r="I2818" s="56" t="n"/>
      <c r="J2818" s="58" t="n"/>
      <c r="K2818" s="58" t="n"/>
      <c r="L2818" s="13">
        <f>IF(OR($A2818="",AND($J2818="",$K2818="")),"",ROUND(N($J2818)-N($K2818),2))</f>
        <v/>
      </c>
      <c r="M2818" s="13">
        <f>IF(OR($A2818="",AND($J2818="",$K2818="")),"",MIN($J2818,$K2818))</f>
        <v/>
      </c>
      <c r="Q2818">
        <f>IF($A2818="","",$D2818&amp;"("&amp;SUBSTITUTE($E2818," ","")&amp;")")</f>
        <v/>
      </c>
      <c r="R2818">
        <f>IF($A2818="","",$B2818&amp;" - "&amp;$C2818)</f>
        <v/>
      </c>
      <c r="S2818">
        <f>IF($A2818="","",$R2818&amp;"|"&amp;$Q2818)</f>
        <v/>
      </c>
      <c r="T2818">
        <f>IF($A2818="","",$S2818&amp;"|"&amp;$F2818)</f>
        <v/>
      </c>
      <c r="U2818">
        <f>IF($A2818="","",$R2818&amp;"("&amp;$E2818&amp;")")</f>
        <v/>
      </c>
      <c r="V2818">
        <f>IF($A2818="","",$F2818&amp;"|"&amp;$U2818&amp;"|"&amp;$D2818)</f>
        <v/>
      </c>
      <c r="W2818">
        <f>IF($T2818="","",IF($X2818&gt;N($X2817),$X2818,""))</f>
        <v/>
      </c>
      <c r="X2818">
        <f>IF($T2818="",N($X2817),IF(MATCH($T2818,$T$6:$T$6005,0)=ROW()-5,N($X2817)+1,N($X2817)))</f>
        <v/>
      </c>
      <c r="Z2818">
        <f>IF($V2818="","",IF($AA2818&gt;N($AA2817),$AA2818,""))</f>
        <v/>
      </c>
      <c r="AA2818">
        <f>IF($V2818="",N($AA2817),IF(MATCH($V2818,$V$6:$V$6005,0)=ROW()-5,N($AA2817)+1,N($AA2817)))</f>
        <v/>
      </c>
    </row>
    <row r="2819" ht="21" customHeight="1" s="66">
      <c r="A2819" s="56" t="n"/>
      <c r="B2819" s="57" t="n"/>
      <c r="C2819" s="57" t="n"/>
      <c r="D2819" s="57" t="n"/>
      <c r="E2819" s="56" t="n"/>
      <c r="F2819" s="57" t="n"/>
      <c r="G2819" s="57" t="n"/>
      <c r="H2819" s="56" t="n"/>
      <c r="I2819" s="56" t="n"/>
      <c r="J2819" s="58" t="n"/>
      <c r="K2819" s="58" t="n"/>
      <c r="L2819" s="13">
        <f>IF(OR($A2819="",AND($J2819="",$K2819="")),"",ROUND(N($J2819)-N($K2819),2))</f>
        <v/>
      </c>
      <c r="M2819" s="13">
        <f>IF(OR($A2819="",AND($J2819="",$K2819="")),"",MIN($J2819,$K2819))</f>
        <v/>
      </c>
      <c r="Q2819">
        <f>IF($A2819="","",$D2819&amp;"("&amp;SUBSTITUTE($E2819," ","")&amp;")")</f>
        <v/>
      </c>
      <c r="R2819">
        <f>IF($A2819="","",$B2819&amp;" - "&amp;$C2819)</f>
        <v/>
      </c>
      <c r="S2819">
        <f>IF($A2819="","",$R2819&amp;"|"&amp;$Q2819)</f>
        <v/>
      </c>
      <c r="T2819">
        <f>IF($A2819="","",$S2819&amp;"|"&amp;$F2819)</f>
        <v/>
      </c>
      <c r="U2819">
        <f>IF($A2819="","",$R2819&amp;"("&amp;$E2819&amp;")")</f>
        <v/>
      </c>
      <c r="V2819">
        <f>IF($A2819="","",$F2819&amp;"|"&amp;$U2819&amp;"|"&amp;$D2819)</f>
        <v/>
      </c>
      <c r="W2819">
        <f>IF($T2819="","",IF($X2819&gt;N($X2818),$X2819,""))</f>
        <v/>
      </c>
      <c r="X2819">
        <f>IF($T2819="",N($X2818),IF(MATCH($T2819,$T$6:$T$6005,0)=ROW()-5,N($X2818)+1,N($X2818)))</f>
        <v/>
      </c>
      <c r="Z2819">
        <f>IF($V2819="","",IF($AA2819&gt;N($AA2818),$AA2819,""))</f>
        <v/>
      </c>
      <c r="AA2819">
        <f>IF($V2819="",N($AA2818),IF(MATCH($V2819,$V$6:$V$6005,0)=ROW()-5,N($AA2818)+1,N($AA2818)))</f>
        <v/>
      </c>
    </row>
    <row r="2820" ht="21" customHeight="1" s="66">
      <c r="A2820" s="56" t="n"/>
      <c r="B2820" s="57" t="n"/>
      <c r="C2820" s="57" t="n"/>
      <c r="D2820" s="57" t="n"/>
      <c r="E2820" s="56" t="n"/>
      <c r="F2820" s="57" t="n"/>
      <c r="G2820" s="57" t="n"/>
      <c r="H2820" s="56" t="n"/>
      <c r="I2820" s="56" t="n"/>
      <c r="J2820" s="58" t="n"/>
      <c r="K2820" s="58" t="n"/>
      <c r="L2820" s="13">
        <f>IF(OR($A2820="",AND($J2820="",$K2820="")),"",ROUND(N($J2820)-N($K2820),2))</f>
        <v/>
      </c>
      <c r="M2820" s="13">
        <f>IF(OR($A2820="",AND($J2820="",$K2820="")),"",MIN($J2820,$K2820))</f>
        <v/>
      </c>
      <c r="Q2820">
        <f>IF($A2820="","",$D2820&amp;"("&amp;SUBSTITUTE($E2820," ","")&amp;")")</f>
        <v/>
      </c>
      <c r="R2820">
        <f>IF($A2820="","",$B2820&amp;" - "&amp;$C2820)</f>
        <v/>
      </c>
      <c r="S2820">
        <f>IF($A2820="","",$R2820&amp;"|"&amp;$Q2820)</f>
        <v/>
      </c>
      <c r="T2820">
        <f>IF($A2820="","",$S2820&amp;"|"&amp;$F2820)</f>
        <v/>
      </c>
      <c r="U2820">
        <f>IF($A2820="","",$R2820&amp;"("&amp;$E2820&amp;")")</f>
        <v/>
      </c>
      <c r="V2820">
        <f>IF($A2820="","",$F2820&amp;"|"&amp;$U2820&amp;"|"&amp;$D2820)</f>
        <v/>
      </c>
      <c r="W2820">
        <f>IF($T2820="","",IF($X2820&gt;N($X2819),$X2820,""))</f>
        <v/>
      </c>
      <c r="X2820">
        <f>IF($T2820="",N($X2819),IF(MATCH($T2820,$T$6:$T$6005,0)=ROW()-5,N($X2819)+1,N($X2819)))</f>
        <v/>
      </c>
      <c r="Z2820">
        <f>IF($V2820="","",IF($AA2820&gt;N($AA2819),$AA2820,""))</f>
        <v/>
      </c>
      <c r="AA2820">
        <f>IF($V2820="",N($AA2819),IF(MATCH($V2820,$V$6:$V$6005,0)=ROW()-5,N($AA2819)+1,N($AA2819)))</f>
        <v/>
      </c>
    </row>
    <row r="2821" ht="21" customHeight="1" s="66">
      <c r="A2821" s="56" t="n"/>
      <c r="B2821" s="57" t="n"/>
      <c r="C2821" s="57" t="n"/>
      <c r="D2821" s="57" t="n"/>
      <c r="E2821" s="56" t="n"/>
      <c r="F2821" s="57" t="n"/>
      <c r="G2821" s="57" t="n"/>
      <c r="H2821" s="56" t="n"/>
      <c r="I2821" s="56" t="n"/>
      <c r="J2821" s="58" t="n"/>
      <c r="K2821" s="58" t="n"/>
      <c r="L2821" s="13">
        <f>IF(OR($A2821="",AND($J2821="",$K2821="")),"",ROUND(N($J2821)-N($K2821),2))</f>
        <v/>
      </c>
      <c r="M2821" s="13">
        <f>IF(OR($A2821="",AND($J2821="",$K2821="")),"",MIN($J2821,$K2821))</f>
        <v/>
      </c>
      <c r="Q2821">
        <f>IF($A2821="","",$D2821&amp;"("&amp;SUBSTITUTE($E2821," ","")&amp;")")</f>
        <v/>
      </c>
      <c r="R2821">
        <f>IF($A2821="","",$B2821&amp;" - "&amp;$C2821)</f>
        <v/>
      </c>
      <c r="S2821">
        <f>IF($A2821="","",$R2821&amp;"|"&amp;$Q2821)</f>
        <v/>
      </c>
      <c r="T2821">
        <f>IF($A2821="","",$S2821&amp;"|"&amp;$F2821)</f>
        <v/>
      </c>
      <c r="U2821">
        <f>IF($A2821="","",$R2821&amp;"("&amp;$E2821&amp;")")</f>
        <v/>
      </c>
      <c r="V2821">
        <f>IF($A2821="","",$F2821&amp;"|"&amp;$U2821&amp;"|"&amp;$D2821)</f>
        <v/>
      </c>
      <c r="W2821">
        <f>IF($T2821="","",IF($X2821&gt;N($X2820),$X2821,""))</f>
        <v/>
      </c>
      <c r="X2821">
        <f>IF($T2821="",N($X2820),IF(MATCH($T2821,$T$6:$T$6005,0)=ROW()-5,N($X2820)+1,N($X2820)))</f>
        <v/>
      </c>
      <c r="Z2821">
        <f>IF($V2821="","",IF($AA2821&gt;N($AA2820),$AA2821,""))</f>
        <v/>
      </c>
      <c r="AA2821">
        <f>IF($V2821="",N($AA2820),IF(MATCH($V2821,$V$6:$V$6005,0)=ROW()-5,N($AA2820)+1,N($AA2820)))</f>
        <v/>
      </c>
    </row>
    <row r="2822" ht="21" customHeight="1" s="66">
      <c r="A2822" s="56" t="n"/>
      <c r="B2822" s="57" t="n"/>
      <c r="C2822" s="57" t="n"/>
      <c r="D2822" s="57" t="n"/>
      <c r="E2822" s="56" t="n"/>
      <c r="F2822" s="57" t="n"/>
      <c r="G2822" s="57" t="n"/>
      <c r="H2822" s="56" t="n"/>
      <c r="I2822" s="56" t="n"/>
      <c r="J2822" s="58" t="n"/>
      <c r="K2822" s="58" t="n"/>
      <c r="L2822" s="13">
        <f>IF(OR($A2822="",AND($J2822="",$K2822="")),"",ROUND(N($J2822)-N($K2822),2))</f>
        <v/>
      </c>
      <c r="M2822" s="13">
        <f>IF(OR($A2822="",AND($J2822="",$K2822="")),"",MIN($J2822,$K2822))</f>
        <v/>
      </c>
      <c r="Q2822">
        <f>IF($A2822="","",$D2822&amp;"("&amp;SUBSTITUTE($E2822," ","")&amp;")")</f>
        <v/>
      </c>
      <c r="R2822">
        <f>IF($A2822="","",$B2822&amp;" - "&amp;$C2822)</f>
        <v/>
      </c>
      <c r="S2822">
        <f>IF($A2822="","",$R2822&amp;"|"&amp;$Q2822)</f>
        <v/>
      </c>
      <c r="T2822">
        <f>IF($A2822="","",$S2822&amp;"|"&amp;$F2822)</f>
        <v/>
      </c>
      <c r="U2822">
        <f>IF($A2822="","",$R2822&amp;"("&amp;$E2822&amp;")")</f>
        <v/>
      </c>
      <c r="V2822">
        <f>IF($A2822="","",$F2822&amp;"|"&amp;$U2822&amp;"|"&amp;$D2822)</f>
        <v/>
      </c>
      <c r="W2822">
        <f>IF($T2822="","",IF($X2822&gt;N($X2821),$X2822,""))</f>
        <v/>
      </c>
      <c r="X2822">
        <f>IF($T2822="",N($X2821),IF(MATCH($T2822,$T$6:$T$6005,0)=ROW()-5,N($X2821)+1,N($X2821)))</f>
        <v/>
      </c>
      <c r="Z2822">
        <f>IF($V2822="","",IF($AA2822&gt;N($AA2821),$AA2822,""))</f>
        <v/>
      </c>
      <c r="AA2822">
        <f>IF($V2822="",N($AA2821),IF(MATCH($V2822,$V$6:$V$6005,0)=ROW()-5,N($AA2821)+1,N($AA2821)))</f>
        <v/>
      </c>
    </row>
    <row r="2823" ht="21" customHeight="1" s="66">
      <c r="A2823" s="56" t="n"/>
      <c r="B2823" s="57" t="n"/>
      <c r="C2823" s="57" t="n"/>
      <c r="D2823" s="57" t="n"/>
      <c r="E2823" s="56" t="n"/>
      <c r="F2823" s="57" t="n"/>
      <c r="G2823" s="57" t="n"/>
      <c r="H2823" s="56" t="n"/>
      <c r="I2823" s="56" t="n"/>
      <c r="J2823" s="58" t="n"/>
      <c r="K2823" s="58" t="n"/>
      <c r="L2823" s="13">
        <f>IF(OR($A2823="",AND($J2823="",$K2823="")),"",ROUND(N($J2823)-N($K2823),2))</f>
        <v/>
      </c>
      <c r="M2823" s="13">
        <f>IF(OR($A2823="",AND($J2823="",$K2823="")),"",MIN($J2823,$K2823))</f>
        <v/>
      </c>
      <c r="Q2823">
        <f>IF($A2823="","",$D2823&amp;"("&amp;SUBSTITUTE($E2823," ","")&amp;")")</f>
        <v/>
      </c>
      <c r="R2823">
        <f>IF($A2823="","",$B2823&amp;" - "&amp;$C2823)</f>
        <v/>
      </c>
      <c r="S2823">
        <f>IF($A2823="","",$R2823&amp;"|"&amp;$Q2823)</f>
        <v/>
      </c>
      <c r="T2823">
        <f>IF($A2823="","",$S2823&amp;"|"&amp;$F2823)</f>
        <v/>
      </c>
      <c r="U2823">
        <f>IF($A2823="","",$R2823&amp;"("&amp;$E2823&amp;")")</f>
        <v/>
      </c>
      <c r="V2823">
        <f>IF($A2823="","",$F2823&amp;"|"&amp;$U2823&amp;"|"&amp;$D2823)</f>
        <v/>
      </c>
      <c r="W2823">
        <f>IF($T2823="","",IF($X2823&gt;N($X2822),$X2823,""))</f>
        <v/>
      </c>
      <c r="X2823">
        <f>IF($T2823="",N($X2822),IF(MATCH($T2823,$T$6:$T$6005,0)=ROW()-5,N($X2822)+1,N($X2822)))</f>
        <v/>
      </c>
      <c r="Z2823">
        <f>IF($V2823="","",IF($AA2823&gt;N($AA2822),$AA2823,""))</f>
        <v/>
      </c>
      <c r="AA2823">
        <f>IF($V2823="",N($AA2822),IF(MATCH($V2823,$V$6:$V$6005,0)=ROW()-5,N($AA2822)+1,N($AA2822)))</f>
        <v/>
      </c>
    </row>
    <row r="2824" ht="21" customHeight="1" s="66">
      <c r="A2824" s="56" t="n"/>
      <c r="B2824" s="57" t="n"/>
      <c r="C2824" s="57" t="n"/>
      <c r="D2824" s="57" t="n"/>
      <c r="E2824" s="56" t="n"/>
      <c r="F2824" s="57" t="n"/>
      <c r="G2824" s="57" t="n"/>
      <c r="H2824" s="56" t="n"/>
      <c r="I2824" s="56" t="n"/>
      <c r="J2824" s="58" t="n"/>
      <c r="K2824" s="58" t="n"/>
      <c r="L2824" s="13">
        <f>IF(OR($A2824="",AND($J2824="",$K2824="")),"",ROUND(N($J2824)-N($K2824),2))</f>
        <v/>
      </c>
      <c r="M2824" s="13">
        <f>IF(OR($A2824="",AND($J2824="",$K2824="")),"",MIN($J2824,$K2824))</f>
        <v/>
      </c>
      <c r="Q2824">
        <f>IF($A2824="","",$D2824&amp;"("&amp;SUBSTITUTE($E2824," ","")&amp;")")</f>
        <v/>
      </c>
      <c r="R2824">
        <f>IF($A2824="","",$B2824&amp;" - "&amp;$C2824)</f>
        <v/>
      </c>
      <c r="S2824">
        <f>IF($A2824="","",$R2824&amp;"|"&amp;$Q2824)</f>
        <v/>
      </c>
      <c r="T2824">
        <f>IF($A2824="","",$S2824&amp;"|"&amp;$F2824)</f>
        <v/>
      </c>
      <c r="U2824">
        <f>IF($A2824="","",$R2824&amp;"("&amp;$E2824&amp;")")</f>
        <v/>
      </c>
      <c r="V2824">
        <f>IF($A2824="","",$F2824&amp;"|"&amp;$U2824&amp;"|"&amp;$D2824)</f>
        <v/>
      </c>
      <c r="W2824">
        <f>IF($T2824="","",IF($X2824&gt;N($X2823),$X2824,""))</f>
        <v/>
      </c>
      <c r="X2824">
        <f>IF($T2824="",N($X2823),IF(MATCH($T2824,$T$6:$T$6005,0)=ROW()-5,N($X2823)+1,N($X2823)))</f>
        <v/>
      </c>
      <c r="Z2824">
        <f>IF($V2824="","",IF($AA2824&gt;N($AA2823),$AA2824,""))</f>
        <v/>
      </c>
      <c r="AA2824">
        <f>IF($V2824="",N($AA2823),IF(MATCH($V2824,$V$6:$V$6005,0)=ROW()-5,N($AA2823)+1,N($AA2823)))</f>
        <v/>
      </c>
    </row>
    <row r="2825" ht="21" customHeight="1" s="66">
      <c r="A2825" s="56" t="n"/>
      <c r="B2825" s="57" t="n"/>
      <c r="C2825" s="57" t="n"/>
      <c r="D2825" s="57" t="n"/>
      <c r="E2825" s="56" t="n"/>
      <c r="F2825" s="57" t="n"/>
      <c r="G2825" s="57" t="n"/>
      <c r="H2825" s="56" t="n"/>
      <c r="I2825" s="56" t="n"/>
      <c r="J2825" s="58" t="n"/>
      <c r="K2825" s="58" t="n"/>
      <c r="L2825" s="13">
        <f>IF(OR($A2825="",AND($J2825="",$K2825="")),"",ROUND(N($J2825)-N($K2825),2))</f>
        <v/>
      </c>
      <c r="M2825" s="13">
        <f>IF(OR($A2825="",AND($J2825="",$K2825="")),"",MIN($J2825,$K2825))</f>
        <v/>
      </c>
      <c r="Q2825">
        <f>IF($A2825="","",$D2825&amp;"("&amp;SUBSTITUTE($E2825," ","")&amp;")")</f>
        <v/>
      </c>
      <c r="R2825">
        <f>IF($A2825="","",$B2825&amp;" - "&amp;$C2825)</f>
        <v/>
      </c>
      <c r="S2825">
        <f>IF($A2825="","",$R2825&amp;"|"&amp;$Q2825)</f>
        <v/>
      </c>
      <c r="T2825">
        <f>IF($A2825="","",$S2825&amp;"|"&amp;$F2825)</f>
        <v/>
      </c>
      <c r="U2825">
        <f>IF($A2825="","",$R2825&amp;"("&amp;$E2825&amp;")")</f>
        <v/>
      </c>
      <c r="V2825">
        <f>IF($A2825="","",$F2825&amp;"|"&amp;$U2825&amp;"|"&amp;$D2825)</f>
        <v/>
      </c>
      <c r="W2825">
        <f>IF($T2825="","",IF($X2825&gt;N($X2824),$X2825,""))</f>
        <v/>
      </c>
      <c r="X2825">
        <f>IF($T2825="",N($X2824),IF(MATCH($T2825,$T$6:$T$6005,0)=ROW()-5,N($X2824)+1,N($X2824)))</f>
        <v/>
      </c>
      <c r="Z2825">
        <f>IF($V2825="","",IF($AA2825&gt;N($AA2824),$AA2825,""))</f>
        <v/>
      </c>
      <c r="AA2825">
        <f>IF($V2825="",N($AA2824),IF(MATCH($V2825,$V$6:$V$6005,0)=ROW()-5,N($AA2824)+1,N($AA2824)))</f>
        <v/>
      </c>
    </row>
    <row r="2826" ht="21" customHeight="1" s="66">
      <c r="A2826" s="56" t="n"/>
      <c r="B2826" s="57" t="n"/>
      <c r="C2826" s="57" t="n"/>
      <c r="D2826" s="57" t="n"/>
      <c r="E2826" s="56" t="n"/>
      <c r="F2826" s="57" t="n"/>
      <c r="G2826" s="57" t="n"/>
      <c r="H2826" s="56" t="n"/>
      <c r="I2826" s="56" t="n"/>
      <c r="J2826" s="58" t="n"/>
      <c r="K2826" s="58" t="n"/>
      <c r="L2826" s="13">
        <f>IF(OR($A2826="",AND($J2826="",$K2826="")),"",ROUND(N($J2826)-N($K2826),2))</f>
        <v/>
      </c>
      <c r="M2826" s="13">
        <f>IF(OR($A2826="",AND($J2826="",$K2826="")),"",MIN($J2826,$K2826))</f>
        <v/>
      </c>
      <c r="Q2826">
        <f>IF($A2826="","",$D2826&amp;"("&amp;SUBSTITUTE($E2826," ","")&amp;")")</f>
        <v/>
      </c>
      <c r="R2826">
        <f>IF($A2826="","",$B2826&amp;" - "&amp;$C2826)</f>
        <v/>
      </c>
      <c r="S2826">
        <f>IF($A2826="","",$R2826&amp;"|"&amp;$Q2826)</f>
        <v/>
      </c>
      <c r="T2826">
        <f>IF($A2826="","",$S2826&amp;"|"&amp;$F2826)</f>
        <v/>
      </c>
      <c r="U2826">
        <f>IF($A2826="","",$R2826&amp;"("&amp;$E2826&amp;")")</f>
        <v/>
      </c>
      <c r="V2826">
        <f>IF($A2826="","",$F2826&amp;"|"&amp;$U2826&amp;"|"&amp;$D2826)</f>
        <v/>
      </c>
      <c r="W2826">
        <f>IF($T2826="","",IF($X2826&gt;N($X2825),$X2826,""))</f>
        <v/>
      </c>
      <c r="X2826">
        <f>IF($T2826="",N($X2825),IF(MATCH($T2826,$T$6:$T$6005,0)=ROW()-5,N($X2825)+1,N($X2825)))</f>
        <v/>
      </c>
      <c r="Z2826">
        <f>IF($V2826="","",IF($AA2826&gt;N($AA2825),$AA2826,""))</f>
        <v/>
      </c>
      <c r="AA2826">
        <f>IF($V2826="",N($AA2825),IF(MATCH($V2826,$V$6:$V$6005,0)=ROW()-5,N($AA2825)+1,N($AA2825)))</f>
        <v/>
      </c>
    </row>
    <row r="2827" ht="21" customHeight="1" s="66">
      <c r="A2827" s="56" t="n"/>
      <c r="B2827" s="57" t="n"/>
      <c r="C2827" s="57" t="n"/>
      <c r="D2827" s="57" t="n"/>
      <c r="E2827" s="56" t="n"/>
      <c r="F2827" s="57" t="n"/>
      <c r="G2827" s="57" t="n"/>
      <c r="H2827" s="56" t="n"/>
      <c r="I2827" s="56" t="n"/>
      <c r="J2827" s="58" t="n"/>
      <c r="K2827" s="58" t="n"/>
      <c r="L2827" s="13">
        <f>IF(OR($A2827="",AND($J2827="",$K2827="")),"",ROUND(N($J2827)-N($K2827),2))</f>
        <v/>
      </c>
      <c r="M2827" s="13">
        <f>IF(OR($A2827="",AND($J2827="",$K2827="")),"",MIN($J2827,$K2827))</f>
        <v/>
      </c>
      <c r="Q2827">
        <f>IF($A2827="","",$D2827&amp;"("&amp;SUBSTITUTE($E2827," ","")&amp;")")</f>
        <v/>
      </c>
      <c r="R2827">
        <f>IF($A2827="","",$B2827&amp;" - "&amp;$C2827)</f>
        <v/>
      </c>
      <c r="S2827">
        <f>IF($A2827="","",$R2827&amp;"|"&amp;$Q2827)</f>
        <v/>
      </c>
      <c r="T2827">
        <f>IF($A2827="","",$S2827&amp;"|"&amp;$F2827)</f>
        <v/>
      </c>
      <c r="U2827">
        <f>IF($A2827="","",$R2827&amp;"("&amp;$E2827&amp;")")</f>
        <v/>
      </c>
      <c r="V2827">
        <f>IF($A2827="","",$F2827&amp;"|"&amp;$U2827&amp;"|"&amp;$D2827)</f>
        <v/>
      </c>
      <c r="W2827">
        <f>IF($T2827="","",IF($X2827&gt;N($X2826),$X2827,""))</f>
        <v/>
      </c>
      <c r="X2827">
        <f>IF($T2827="",N($X2826),IF(MATCH($T2827,$T$6:$T$6005,0)=ROW()-5,N($X2826)+1,N($X2826)))</f>
        <v/>
      </c>
      <c r="Z2827">
        <f>IF($V2827="","",IF($AA2827&gt;N($AA2826),$AA2827,""))</f>
        <v/>
      </c>
      <c r="AA2827">
        <f>IF($V2827="",N($AA2826),IF(MATCH($V2827,$V$6:$V$6005,0)=ROW()-5,N($AA2826)+1,N($AA2826)))</f>
        <v/>
      </c>
    </row>
    <row r="2828" ht="21" customHeight="1" s="66">
      <c r="A2828" s="56" t="n"/>
      <c r="B2828" s="57" t="n"/>
      <c r="C2828" s="57" t="n"/>
      <c r="D2828" s="57" t="n"/>
      <c r="E2828" s="56" t="n"/>
      <c r="F2828" s="57" t="n"/>
      <c r="G2828" s="57" t="n"/>
      <c r="H2828" s="56" t="n"/>
      <c r="I2828" s="56" t="n"/>
      <c r="J2828" s="58" t="n"/>
      <c r="K2828" s="58" t="n"/>
      <c r="L2828" s="13">
        <f>IF(OR($A2828="",AND($J2828="",$K2828="")),"",ROUND(N($J2828)-N($K2828),2))</f>
        <v/>
      </c>
      <c r="M2828" s="13">
        <f>IF(OR($A2828="",AND($J2828="",$K2828="")),"",MIN($J2828,$K2828))</f>
        <v/>
      </c>
      <c r="Q2828">
        <f>IF($A2828="","",$D2828&amp;"("&amp;SUBSTITUTE($E2828," ","")&amp;")")</f>
        <v/>
      </c>
      <c r="R2828">
        <f>IF($A2828="","",$B2828&amp;" - "&amp;$C2828)</f>
        <v/>
      </c>
      <c r="S2828">
        <f>IF($A2828="","",$R2828&amp;"|"&amp;$Q2828)</f>
        <v/>
      </c>
      <c r="T2828">
        <f>IF($A2828="","",$S2828&amp;"|"&amp;$F2828)</f>
        <v/>
      </c>
      <c r="U2828">
        <f>IF($A2828="","",$R2828&amp;"("&amp;$E2828&amp;")")</f>
        <v/>
      </c>
      <c r="V2828">
        <f>IF($A2828="","",$F2828&amp;"|"&amp;$U2828&amp;"|"&amp;$D2828)</f>
        <v/>
      </c>
      <c r="W2828">
        <f>IF($T2828="","",IF($X2828&gt;N($X2827),$X2828,""))</f>
        <v/>
      </c>
      <c r="X2828">
        <f>IF($T2828="",N($X2827),IF(MATCH($T2828,$T$6:$T$6005,0)=ROW()-5,N($X2827)+1,N($X2827)))</f>
        <v/>
      </c>
      <c r="Z2828">
        <f>IF($V2828="","",IF($AA2828&gt;N($AA2827),$AA2828,""))</f>
        <v/>
      </c>
      <c r="AA2828">
        <f>IF($V2828="",N($AA2827),IF(MATCH($V2828,$V$6:$V$6005,0)=ROW()-5,N($AA2827)+1,N($AA2827)))</f>
        <v/>
      </c>
    </row>
    <row r="2829" ht="21" customHeight="1" s="66">
      <c r="A2829" s="56" t="n"/>
      <c r="B2829" s="57" t="n"/>
      <c r="C2829" s="57" t="n"/>
      <c r="D2829" s="57" t="n"/>
      <c r="E2829" s="56" t="n"/>
      <c r="F2829" s="57" t="n"/>
      <c r="G2829" s="57" t="n"/>
      <c r="H2829" s="56" t="n"/>
      <c r="I2829" s="56" t="n"/>
      <c r="J2829" s="58" t="n"/>
      <c r="K2829" s="58" t="n"/>
      <c r="L2829" s="13">
        <f>IF(OR($A2829="",AND($J2829="",$K2829="")),"",ROUND(N($J2829)-N($K2829),2))</f>
        <v/>
      </c>
      <c r="M2829" s="13">
        <f>IF(OR($A2829="",AND($J2829="",$K2829="")),"",MIN($J2829,$K2829))</f>
        <v/>
      </c>
      <c r="Q2829">
        <f>IF($A2829="","",$D2829&amp;"("&amp;SUBSTITUTE($E2829," ","")&amp;")")</f>
        <v/>
      </c>
      <c r="R2829">
        <f>IF($A2829="","",$B2829&amp;" - "&amp;$C2829)</f>
        <v/>
      </c>
      <c r="S2829">
        <f>IF($A2829="","",$R2829&amp;"|"&amp;$Q2829)</f>
        <v/>
      </c>
      <c r="T2829">
        <f>IF($A2829="","",$S2829&amp;"|"&amp;$F2829)</f>
        <v/>
      </c>
      <c r="U2829">
        <f>IF($A2829="","",$R2829&amp;"("&amp;$E2829&amp;")")</f>
        <v/>
      </c>
      <c r="V2829">
        <f>IF($A2829="","",$F2829&amp;"|"&amp;$U2829&amp;"|"&amp;$D2829)</f>
        <v/>
      </c>
      <c r="W2829">
        <f>IF($T2829="","",IF($X2829&gt;N($X2828),$X2829,""))</f>
        <v/>
      </c>
      <c r="X2829">
        <f>IF($T2829="",N($X2828),IF(MATCH($T2829,$T$6:$T$6005,0)=ROW()-5,N($X2828)+1,N($X2828)))</f>
        <v/>
      </c>
      <c r="Z2829">
        <f>IF($V2829="","",IF($AA2829&gt;N($AA2828),$AA2829,""))</f>
        <v/>
      </c>
      <c r="AA2829">
        <f>IF($V2829="",N($AA2828),IF(MATCH($V2829,$V$6:$V$6005,0)=ROW()-5,N($AA2828)+1,N($AA2828)))</f>
        <v/>
      </c>
    </row>
    <row r="2830" ht="21" customHeight="1" s="66">
      <c r="A2830" s="56" t="n"/>
      <c r="B2830" s="57" t="n"/>
      <c r="C2830" s="57" t="n"/>
      <c r="D2830" s="57" t="n"/>
      <c r="E2830" s="56" t="n"/>
      <c r="F2830" s="57" t="n"/>
      <c r="G2830" s="57" t="n"/>
      <c r="H2830" s="56" t="n"/>
      <c r="I2830" s="56" t="n"/>
      <c r="J2830" s="58" t="n"/>
      <c r="K2830" s="58" t="n"/>
      <c r="L2830" s="13">
        <f>IF(OR($A2830="",AND($J2830="",$K2830="")),"",ROUND(N($J2830)-N($K2830),2))</f>
        <v/>
      </c>
      <c r="M2830" s="13">
        <f>IF(OR($A2830="",AND($J2830="",$K2830="")),"",MIN($J2830,$K2830))</f>
        <v/>
      </c>
      <c r="Q2830">
        <f>IF($A2830="","",$D2830&amp;"("&amp;SUBSTITUTE($E2830," ","")&amp;")")</f>
        <v/>
      </c>
      <c r="R2830">
        <f>IF($A2830="","",$B2830&amp;" - "&amp;$C2830)</f>
        <v/>
      </c>
      <c r="S2830">
        <f>IF($A2830="","",$R2830&amp;"|"&amp;$Q2830)</f>
        <v/>
      </c>
      <c r="T2830">
        <f>IF($A2830="","",$S2830&amp;"|"&amp;$F2830)</f>
        <v/>
      </c>
      <c r="U2830">
        <f>IF($A2830="","",$R2830&amp;"("&amp;$E2830&amp;")")</f>
        <v/>
      </c>
      <c r="V2830">
        <f>IF($A2830="","",$F2830&amp;"|"&amp;$U2830&amp;"|"&amp;$D2830)</f>
        <v/>
      </c>
      <c r="W2830">
        <f>IF($T2830="","",IF($X2830&gt;N($X2829),$X2830,""))</f>
        <v/>
      </c>
      <c r="X2830">
        <f>IF($T2830="",N($X2829),IF(MATCH($T2830,$T$6:$T$6005,0)=ROW()-5,N($X2829)+1,N($X2829)))</f>
        <v/>
      </c>
      <c r="Z2830">
        <f>IF($V2830="","",IF($AA2830&gt;N($AA2829),$AA2830,""))</f>
        <v/>
      </c>
      <c r="AA2830">
        <f>IF($V2830="",N($AA2829),IF(MATCH($V2830,$V$6:$V$6005,0)=ROW()-5,N($AA2829)+1,N($AA2829)))</f>
        <v/>
      </c>
    </row>
    <row r="2831" ht="21" customHeight="1" s="66">
      <c r="A2831" s="56" t="n"/>
      <c r="B2831" s="57" t="n"/>
      <c r="C2831" s="57" t="n"/>
      <c r="D2831" s="57" t="n"/>
      <c r="E2831" s="56" t="n"/>
      <c r="F2831" s="57" t="n"/>
      <c r="G2831" s="57" t="n"/>
      <c r="H2831" s="56" t="n"/>
      <c r="I2831" s="56" t="n"/>
      <c r="J2831" s="58" t="n"/>
      <c r="K2831" s="58" t="n"/>
      <c r="L2831" s="13">
        <f>IF(OR($A2831="",AND($J2831="",$K2831="")),"",ROUND(N($J2831)-N($K2831),2))</f>
        <v/>
      </c>
      <c r="M2831" s="13">
        <f>IF(OR($A2831="",AND($J2831="",$K2831="")),"",MIN($J2831,$K2831))</f>
        <v/>
      </c>
      <c r="Q2831">
        <f>IF($A2831="","",$D2831&amp;"("&amp;SUBSTITUTE($E2831," ","")&amp;")")</f>
        <v/>
      </c>
      <c r="R2831">
        <f>IF($A2831="","",$B2831&amp;" - "&amp;$C2831)</f>
        <v/>
      </c>
      <c r="S2831">
        <f>IF($A2831="","",$R2831&amp;"|"&amp;$Q2831)</f>
        <v/>
      </c>
      <c r="T2831">
        <f>IF($A2831="","",$S2831&amp;"|"&amp;$F2831)</f>
        <v/>
      </c>
      <c r="U2831">
        <f>IF($A2831="","",$R2831&amp;"("&amp;$E2831&amp;")")</f>
        <v/>
      </c>
      <c r="V2831">
        <f>IF($A2831="","",$F2831&amp;"|"&amp;$U2831&amp;"|"&amp;$D2831)</f>
        <v/>
      </c>
      <c r="W2831">
        <f>IF($T2831="","",IF($X2831&gt;N($X2830),$X2831,""))</f>
        <v/>
      </c>
      <c r="X2831">
        <f>IF($T2831="",N($X2830),IF(MATCH($T2831,$T$6:$T$6005,0)=ROW()-5,N($X2830)+1,N($X2830)))</f>
        <v/>
      </c>
      <c r="Z2831">
        <f>IF($V2831="","",IF($AA2831&gt;N($AA2830),$AA2831,""))</f>
        <v/>
      </c>
      <c r="AA2831">
        <f>IF($V2831="",N($AA2830),IF(MATCH($V2831,$V$6:$V$6005,0)=ROW()-5,N($AA2830)+1,N($AA2830)))</f>
        <v/>
      </c>
    </row>
    <row r="2832" ht="21" customHeight="1" s="66">
      <c r="A2832" s="56" t="n"/>
      <c r="B2832" s="57" t="n"/>
      <c r="C2832" s="57" t="n"/>
      <c r="D2832" s="57" t="n"/>
      <c r="E2832" s="56" t="n"/>
      <c r="F2832" s="57" t="n"/>
      <c r="G2832" s="57" t="n"/>
      <c r="H2832" s="56" t="n"/>
      <c r="I2832" s="56" t="n"/>
      <c r="J2832" s="58" t="n"/>
      <c r="K2832" s="58" t="n"/>
      <c r="L2832" s="13">
        <f>IF(OR($A2832="",AND($J2832="",$K2832="")),"",ROUND(N($J2832)-N($K2832),2))</f>
        <v/>
      </c>
      <c r="M2832" s="13">
        <f>IF(OR($A2832="",AND($J2832="",$K2832="")),"",MIN($J2832,$K2832))</f>
        <v/>
      </c>
      <c r="Q2832">
        <f>IF($A2832="","",$D2832&amp;"("&amp;SUBSTITUTE($E2832," ","")&amp;")")</f>
        <v/>
      </c>
      <c r="R2832">
        <f>IF($A2832="","",$B2832&amp;" - "&amp;$C2832)</f>
        <v/>
      </c>
      <c r="S2832">
        <f>IF($A2832="","",$R2832&amp;"|"&amp;$Q2832)</f>
        <v/>
      </c>
      <c r="T2832">
        <f>IF($A2832="","",$S2832&amp;"|"&amp;$F2832)</f>
        <v/>
      </c>
      <c r="U2832">
        <f>IF($A2832="","",$R2832&amp;"("&amp;$E2832&amp;")")</f>
        <v/>
      </c>
      <c r="V2832">
        <f>IF($A2832="","",$F2832&amp;"|"&amp;$U2832&amp;"|"&amp;$D2832)</f>
        <v/>
      </c>
      <c r="W2832">
        <f>IF($T2832="","",IF($X2832&gt;N($X2831),$X2832,""))</f>
        <v/>
      </c>
      <c r="X2832">
        <f>IF($T2832="",N($X2831),IF(MATCH($T2832,$T$6:$T$6005,0)=ROW()-5,N($X2831)+1,N($X2831)))</f>
        <v/>
      </c>
      <c r="Z2832">
        <f>IF($V2832="","",IF($AA2832&gt;N($AA2831),$AA2832,""))</f>
        <v/>
      </c>
      <c r="AA2832">
        <f>IF($V2832="",N($AA2831),IF(MATCH($V2832,$V$6:$V$6005,0)=ROW()-5,N($AA2831)+1,N($AA2831)))</f>
        <v/>
      </c>
    </row>
    <row r="2833" ht="21" customHeight="1" s="66">
      <c r="A2833" s="56" t="n"/>
      <c r="B2833" s="57" t="n"/>
      <c r="C2833" s="57" t="n"/>
      <c r="D2833" s="57" t="n"/>
      <c r="E2833" s="56" t="n"/>
      <c r="F2833" s="57" t="n"/>
      <c r="G2833" s="57" t="n"/>
      <c r="H2833" s="56" t="n"/>
      <c r="I2833" s="56" t="n"/>
      <c r="J2833" s="58" t="n"/>
      <c r="K2833" s="58" t="n"/>
      <c r="L2833" s="13">
        <f>IF(OR($A2833="",AND($J2833="",$K2833="")),"",ROUND(N($J2833)-N($K2833),2))</f>
        <v/>
      </c>
      <c r="M2833" s="13">
        <f>IF(OR($A2833="",AND($J2833="",$K2833="")),"",MIN($J2833,$K2833))</f>
        <v/>
      </c>
      <c r="Q2833">
        <f>IF($A2833="","",$D2833&amp;"("&amp;SUBSTITUTE($E2833," ","")&amp;")")</f>
        <v/>
      </c>
      <c r="R2833">
        <f>IF($A2833="","",$B2833&amp;" - "&amp;$C2833)</f>
        <v/>
      </c>
      <c r="S2833">
        <f>IF($A2833="","",$R2833&amp;"|"&amp;$Q2833)</f>
        <v/>
      </c>
      <c r="T2833">
        <f>IF($A2833="","",$S2833&amp;"|"&amp;$F2833)</f>
        <v/>
      </c>
      <c r="U2833">
        <f>IF($A2833="","",$R2833&amp;"("&amp;$E2833&amp;")")</f>
        <v/>
      </c>
      <c r="V2833">
        <f>IF($A2833="","",$F2833&amp;"|"&amp;$U2833&amp;"|"&amp;$D2833)</f>
        <v/>
      </c>
      <c r="W2833">
        <f>IF($T2833="","",IF($X2833&gt;N($X2832),$X2833,""))</f>
        <v/>
      </c>
      <c r="X2833">
        <f>IF($T2833="",N($X2832),IF(MATCH($T2833,$T$6:$T$6005,0)=ROW()-5,N($X2832)+1,N($X2832)))</f>
        <v/>
      </c>
      <c r="Z2833">
        <f>IF($V2833="","",IF($AA2833&gt;N($AA2832),$AA2833,""))</f>
        <v/>
      </c>
      <c r="AA2833">
        <f>IF($V2833="",N($AA2832),IF(MATCH($V2833,$V$6:$V$6005,0)=ROW()-5,N($AA2832)+1,N($AA2832)))</f>
        <v/>
      </c>
    </row>
    <row r="2834" ht="21" customHeight="1" s="66">
      <c r="A2834" s="56" t="n"/>
      <c r="B2834" s="57" t="n"/>
      <c r="C2834" s="57" t="n"/>
      <c r="D2834" s="57" t="n"/>
      <c r="E2834" s="56" t="n"/>
      <c r="F2834" s="57" t="n"/>
      <c r="G2834" s="57" t="n"/>
      <c r="H2834" s="56" t="n"/>
      <c r="I2834" s="56" t="n"/>
      <c r="J2834" s="58" t="n"/>
      <c r="K2834" s="58" t="n"/>
      <c r="L2834" s="13">
        <f>IF(OR($A2834="",AND($J2834="",$K2834="")),"",ROUND(N($J2834)-N($K2834),2))</f>
        <v/>
      </c>
      <c r="M2834" s="13">
        <f>IF(OR($A2834="",AND($J2834="",$K2834="")),"",MIN($J2834,$K2834))</f>
        <v/>
      </c>
      <c r="Q2834">
        <f>IF($A2834="","",$D2834&amp;"("&amp;SUBSTITUTE($E2834," ","")&amp;")")</f>
        <v/>
      </c>
      <c r="R2834">
        <f>IF($A2834="","",$B2834&amp;" - "&amp;$C2834)</f>
        <v/>
      </c>
      <c r="S2834">
        <f>IF($A2834="","",$R2834&amp;"|"&amp;$Q2834)</f>
        <v/>
      </c>
      <c r="T2834">
        <f>IF($A2834="","",$S2834&amp;"|"&amp;$F2834)</f>
        <v/>
      </c>
      <c r="U2834">
        <f>IF($A2834="","",$R2834&amp;"("&amp;$E2834&amp;")")</f>
        <v/>
      </c>
      <c r="V2834">
        <f>IF($A2834="","",$F2834&amp;"|"&amp;$U2834&amp;"|"&amp;$D2834)</f>
        <v/>
      </c>
      <c r="W2834">
        <f>IF($T2834="","",IF($X2834&gt;N($X2833),$X2834,""))</f>
        <v/>
      </c>
      <c r="X2834">
        <f>IF($T2834="",N($X2833),IF(MATCH($T2834,$T$6:$T$6005,0)=ROW()-5,N($X2833)+1,N($X2833)))</f>
        <v/>
      </c>
      <c r="Z2834">
        <f>IF($V2834="","",IF($AA2834&gt;N($AA2833),$AA2834,""))</f>
        <v/>
      </c>
      <c r="AA2834">
        <f>IF($V2834="",N($AA2833),IF(MATCH($V2834,$V$6:$V$6005,0)=ROW()-5,N($AA2833)+1,N($AA2833)))</f>
        <v/>
      </c>
    </row>
    <row r="2835" ht="21" customHeight="1" s="66">
      <c r="A2835" s="56" t="n"/>
      <c r="B2835" s="57" t="n"/>
      <c r="C2835" s="57" t="n"/>
      <c r="D2835" s="57" t="n"/>
      <c r="E2835" s="56" t="n"/>
      <c r="F2835" s="57" t="n"/>
      <c r="G2835" s="57" t="n"/>
      <c r="H2835" s="56" t="n"/>
      <c r="I2835" s="56" t="n"/>
      <c r="J2835" s="58" t="n"/>
      <c r="K2835" s="58" t="n"/>
      <c r="L2835" s="13">
        <f>IF(OR($A2835="",AND($J2835="",$K2835="")),"",ROUND(N($J2835)-N($K2835),2))</f>
        <v/>
      </c>
      <c r="M2835" s="13">
        <f>IF(OR($A2835="",AND($J2835="",$K2835="")),"",MIN($J2835,$K2835))</f>
        <v/>
      </c>
      <c r="Q2835">
        <f>IF($A2835="","",$D2835&amp;"("&amp;SUBSTITUTE($E2835," ","")&amp;")")</f>
        <v/>
      </c>
      <c r="R2835">
        <f>IF($A2835="","",$B2835&amp;" - "&amp;$C2835)</f>
        <v/>
      </c>
      <c r="S2835">
        <f>IF($A2835="","",$R2835&amp;"|"&amp;$Q2835)</f>
        <v/>
      </c>
      <c r="T2835">
        <f>IF($A2835="","",$S2835&amp;"|"&amp;$F2835)</f>
        <v/>
      </c>
      <c r="U2835">
        <f>IF($A2835="","",$R2835&amp;"("&amp;$E2835&amp;")")</f>
        <v/>
      </c>
      <c r="V2835">
        <f>IF($A2835="","",$F2835&amp;"|"&amp;$U2835&amp;"|"&amp;$D2835)</f>
        <v/>
      </c>
      <c r="W2835">
        <f>IF($T2835="","",IF($X2835&gt;N($X2834),$X2835,""))</f>
        <v/>
      </c>
      <c r="X2835">
        <f>IF($T2835="",N($X2834),IF(MATCH($T2835,$T$6:$T$6005,0)=ROW()-5,N($X2834)+1,N($X2834)))</f>
        <v/>
      </c>
      <c r="Z2835">
        <f>IF($V2835="","",IF($AA2835&gt;N($AA2834),$AA2835,""))</f>
        <v/>
      </c>
      <c r="AA2835">
        <f>IF($V2835="",N($AA2834),IF(MATCH($V2835,$V$6:$V$6005,0)=ROW()-5,N($AA2834)+1,N($AA2834)))</f>
        <v/>
      </c>
    </row>
    <row r="2836" ht="21" customHeight="1" s="66">
      <c r="A2836" s="56" t="n"/>
      <c r="B2836" s="57" t="n"/>
      <c r="C2836" s="57" t="n"/>
      <c r="D2836" s="57" t="n"/>
      <c r="E2836" s="56" t="n"/>
      <c r="F2836" s="57" t="n"/>
      <c r="G2836" s="57" t="n"/>
      <c r="H2836" s="56" t="n"/>
      <c r="I2836" s="56" t="n"/>
      <c r="J2836" s="58" t="n"/>
      <c r="K2836" s="58" t="n"/>
      <c r="L2836" s="13">
        <f>IF(OR($A2836="",AND($J2836="",$K2836="")),"",ROUND(N($J2836)-N($K2836),2))</f>
        <v/>
      </c>
      <c r="M2836" s="13">
        <f>IF(OR($A2836="",AND($J2836="",$K2836="")),"",MIN($J2836,$K2836))</f>
        <v/>
      </c>
      <c r="Q2836">
        <f>IF($A2836="","",$D2836&amp;"("&amp;SUBSTITUTE($E2836," ","")&amp;")")</f>
        <v/>
      </c>
      <c r="R2836">
        <f>IF($A2836="","",$B2836&amp;" - "&amp;$C2836)</f>
        <v/>
      </c>
      <c r="S2836">
        <f>IF($A2836="","",$R2836&amp;"|"&amp;$Q2836)</f>
        <v/>
      </c>
      <c r="T2836">
        <f>IF($A2836="","",$S2836&amp;"|"&amp;$F2836)</f>
        <v/>
      </c>
      <c r="U2836">
        <f>IF($A2836="","",$R2836&amp;"("&amp;$E2836&amp;")")</f>
        <v/>
      </c>
      <c r="V2836">
        <f>IF($A2836="","",$F2836&amp;"|"&amp;$U2836&amp;"|"&amp;$D2836)</f>
        <v/>
      </c>
      <c r="W2836">
        <f>IF($T2836="","",IF($X2836&gt;N($X2835),$X2836,""))</f>
        <v/>
      </c>
      <c r="X2836">
        <f>IF($T2836="",N($X2835),IF(MATCH($T2836,$T$6:$T$6005,0)=ROW()-5,N($X2835)+1,N($X2835)))</f>
        <v/>
      </c>
      <c r="Z2836">
        <f>IF($V2836="","",IF($AA2836&gt;N($AA2835),$AA2836,""))</f>
        <v/>
      </c>
      <c r="AA2836">
        <f>IF($V2836="",N($AA2835),IF(MATCH($V2836,$V$6:$V$6005,0)=ROW()-5,N($AA2835)+1,N($AA2835)))</f>
        <v/>
      </c>
    </row>
    <row r="2837" ht="21" customHeight="1" s="66">
      <c r="A2837" s="56" t="n"/>
      <c r="B2837" s="57" t="n"/>
      <c r="C2837" s="57" t="n"/>
      <c r="D2837" s="57" t="n"/>
      <c r="E2837" s="56" t="n"/>
      <c r="F2837" s="57" t="n"/>
      <c r="G2837" s="57" t="n"/>
      <c r="H2837" s="56" t="n"/>
      <c r="I2837" s="56" t="n"/>
      <c r="J2837" s="58" t="n"/>
      <c r="K2837" s="58" t="n"/>
      <c r="L2837" s="13">
        <f>IF(OR($A2837="",AND($J2837="",$K2837="")),"",ROUND(N($J2837)-N($K2837),2))</f>
        <v/>
      </c>
      <c r="M2837" s="13">
        <f>IF(OR($A2837="",AND($J2837="",$K2837="")),"",MIN($J2837,$K2837))</f>
        <v/>
      </c>
      <c r="Q2837">
        <f>IF($A2837="","",$D2837&amp;"("&amp;SUBSTITUTE($E2837," ","")&amp;")")</f>
        <v/>
      </c>
      <c r="R2837">
        <f>IF($A2837="","",$B2837&amp;" - "&amp;$C2837)</f>
        <v/>
      </c>
      <c r="S2837">
        <f>IF($A2837="","",$R2837&amp;"|"&amp;$Q2837)</f>
        <v/>
      </c>
      <c r="T2837">
        <f>IF($A2837="","",$S2837&amp;"|"&amp;$F2837)</f>
        <v/>
      </c>
      <c r="U2837">
        <f>IF($A2837="","",$R2837&amp;"("&amp;$E2837&amp;")")</f>
        <v/>
      </c>
      <c r="V2837">
        <f>IF($A2837="","",$F2837&amp;"|"&amp;$U2837&amp;"|"&amp;$D2837)</f>
        <v/>
      </c>
      <c r="W2837">
        <f>IF($T2837="","",IF($X2837&gt;N($X2836),$X2837,""))</f>
        <v/>
      </c>
      <c r="X2837">
        <f>IF($T2837="",N($X2836),IF(MATCH($T2837,$T$6:$T$6005,0)=ROW()-5,N($X2836)+1,N($X2836)))</f>
        <v/>
      </c>
      <c r="Z2837">
        <f>IF($V2837="","",IF($AA2837&gt;N($AA2836),$AA2837,""))</f>
        <v/>
      </c>
      <c r="AA2837">
        <f>IF($V2837="",N($AA2836),IF(MATCH($V2837,$V$6:$V$6005,0)=ROW()-5,N($AA2836)+1,N($AA2836)))</f>
        <v/>
      </c>
    </row>
    <row r="2838" ht="21" customHeight="1" s="66">
      <c r="A2838" s="56" t="n"/>
      <c r="B2838" s="57" t="n"/>
      <c r="C2838" s="57" t="n"/>
      <c r="D2838" s="57" t="n"/>
      <c r="E2838" s="56" t="n"/>
      <c r="F2838" s="57" t="n"/>
      <c r="G2838" s="57" t="n"/>
      <c r="H2838" s="56" t="n"/>
      <c r="I2838" s="56" t="n"/>
      <c r="J2838" s="58" t="n"/>
      <c r="K2838" s="58" t="n"/>
      <c r="L2838" s="13">
        <f>IF(OR($A2838="",AND($J2838="",$K2838="")),"",ROUND(N($J2838)-N($K2838),2))</f>
        <v/>
      </c>
      <c r="M2838" s="13">
        <f>IF(OR($A2838="",AND($J2838="",$K2838="")),"",MIN($J2838,$K2838))</f>
        <v/>
      </c>
      <c r="Q2838">
        <f>IF($A2838="","",$D2838&amp;"("&amp;SUBSTITUTE($E2838," ","")&amp;")")</f>
        <v/>
      </c>
      <c r="R2838">
        <f>IF($A2838="","",$B2838&amp;" - "&amp;$C2838)</f>
        <v/>
      </c>
      <c r="S2838">
        <f>IF($A2838="","",$R2838&amp;"|"&amp;$Q2838)</f>
        <v/>
      </c>
      <c r="T2838">
        <f>IF($A2838="","",$S2838&amp;"|"&amp;$F2838)</f>
        <v/>
      </c>
      <c r="U2838">
        <f>IF($A2838="","",$R2838&amp;"("&amp;$E2838&amp;")")</f>
        <v/>
      </c>
      <c r="V2838">
        <f>IF($A2838="","",$F2838&amp;"|"&amp;$U2838&amp;"|"&amp;$D2838)</f>
        <v/>
      </c>
      <c r="W2838">
        <f>IF($T2838="","",IF($X2838&gt;N($X2837),$X2838,""))</f>
        <v/>
      </c>
      <c r="X2838">
        <f>IF($T2838="",N($X2837),IF(MATCH($T2838,$T$6:$T$6005,0)=ROW()-5,N($X2837)+1,N($X2837)))</f>
        <v/>
      </c>
      <c r="Z2838">
        <f>IF($V2838="","",IF($AA2838&gt;N($AA2837),$AA2838,""))</f>
        <v/>
      </c>
      <c r="AA2838">
        <f>IF($V2838="",N($AA2837),IF(MATCH($V2838,$V$6:$V$6005,0)=ROW()-5,N($AA2837)+1,N($AA2837)))</f>
        <v/>
      </c>
    </row>
    <row r="2839" ht="21" customHeight="1" s="66">
      <c r="A2839" s="56" t="n"/>
      <c r="B2839" s="57" t="n"/>
      <c r="C2839" s="57" t="n"/>
      <c r="D2839" s="57" t="n"/>
      <c r="E2839" s="56" t="n"/>
      <c r="F2839" s="57" t="n"/>
      <c r="G2839" s="57" t="n"/>
      <c r="H2839" s="56" t="n"/>
      <c r="I2839" s="56" t="n"/>
      <c r="J2839" s="58" t="n"/>
      <c r="K2839" s="58" t="n"/>
      <c r="L2839" s="13">
        <f>IF(OR($A2839="",AND($J2839="",$K2839="")),"",ROUND(N($J2839)-N($K2839),2))</f>
        <v/>
      </c>
      <c r="M2839" s="13">
        <f>IF(OR($A2839="",AND($J2839="",$K2839="")),"",MIN($J2839,$K2839))</f>
        <v/>
      </c>
      <c r="Q2839">
        <f>IF($A2839="","",$D2839&amp;"("&amp;SUBSTITUTE($E2839," ","")&amp;")")</f>
        <v/>
      </c>
      <c r="R2839">
        <f>IF($A2839="","",$B2839&amp;" - "&amp;$C2839)</f>
        <v/>
      </c>
      <c r="S2839">
        <f>IF($A2839="","",$R2839&amp;"|"&amp;$Q2839)</f>
        <v/>
      </c>
      <c r="T2839">
        <f>IF($A2839="","",$S2839&amp;"|"&amp;$F2839)</f>
        <v/>
      </c>
      <c r="U2839">
        <f>IF($A2839="","",$R2839&amp;"("&amp;$E2839&amp;")")</f>
        <v/>
      </c>
      <c r="V2839">
        <f>IF($A2839="","",$F2839&amp;"|"&amp;$U2839&amp;"|"&amp;$D2839)</f>
        <v/>
      </c>
      <c r="W2839">
        <f>IF($T2839="","",IF($X2839&gt;N($X2838),$X2839,""))</f>
        <v/>
      </c>
      <c r="X2839">
        <f>IF($T2839="",N($X2838),IF(MATCH($T2839,$T$6:$T$6005,0)=ROW()-5,N($X2838)+1,N($X2838)))</f>
        <v/>
      </c>
      <c r="Z2839">
        <f>IF($V2839="","",IF($AA2839&gt;N($AA2838),$AA2839,""))</f>
        <v/>
      </c>
      <c r="AA2839">
        <f>IF($V2839="",N($AA2838),IF(MATCH($V2839,$V$6:$V$6005,0)=ROW()-5,N($AA2838)+1,N($AA2838)))</f>
        <v/>
      </c>
    </row>
    <row r="2840" ht="21" customHeight="1" s="66">
      <c r="A2840" s="56" t="n"/>
      <c r="B2840" s="57" t="n"/>
      <c r="C2840" s="57" t="n"/>
      <c r="D2840" s="57" t="n"/>
      <c r="E2840" s="56" t="n"/>
      <c r="F2840" s="57" t="n"/>
      <c r="G2840" s="57" t="n"/>
      <c r="H2840" s="56" t="n"/>
      <c r="I2840" s="56" t="n"/>
      <c r="J2840" s="58" t="n"/>
      <c r="K2840" s="58" t="n"/>
      <c r="L2840" s="13">
        <f>IF(OR($A2840="",AND($J2840="",$K2840="")),"",ROUND(N($J2840)-N($K2840),2))</f>
        <v/>
      </c>
      <c r="M2840" s="13">
        <f>IF(OR($A2840="",AND($J2840="",$K2840="")),"",MIN($J2840,$K2840))</f>
        <v/>
      </c>
      <c r="Q2840">
        <f>IF($A2840="","",$D2840&amp;"("&amp;SUBSTITUTE($E2840," ","")&amp;")")</f>
        <v/>
      </c>
      <c r="R2840">
        <f>IF($A2840="","",$B2840&amp;" - "&amp;$C2840)</f>
        <v/>
      </c>
      <c r="S2840">
        <f>IF($A2840="","",$R2840&amp;"|"&amp;$Q2840)</f>
        <v/>
      </c>
      <c r="T2840">
        <f>IF($A2840="","",$S2840&amp;"|"&amp;$F2840)</f>
        <v/>
      </c>
      <c r="U2840">
        <f>IF($A2840="","",$R2840&amp;"("&amp;$E2840&amp;")")</f>
        <v/>
      </c>
      <c r="V2840">
        <f>IF($A2840="","",$F2840&amp;"|"&amp;$U2840&amp;"|"&amp;$D2840)</f>
        <v/>
      </c>
      <c r="W2840">
        <f>IF($T2840="","",IF($X2840&gt;N($X2839),$X2840,""))</f>
        <v/>
      </c>
      <c r="X2840">
        <f>IF($T2840="",N($X2839),IF(MATCH($T2840,$T$6:$T$6005,0)=ROW()-5,N($X2839)+1,N($X2839)))</f>
        <v/>
      </c>
      <c r="Z2840">
        <f>IF($V2840="","",IF($AA2840&gt;N($AA2839),$AA2840,""))</f>
        <v/>
      </c>
      <c r="AA2840">
        <f>IF($V2840="",N($AA2839),IF(MATCH($V2840,$V$6:$V$6005,0)=ROW()-5,N($AA2839)+1,N($AA2839)))</f>
        <v/>
      </c>
    </row>
    <row r="2841" ht="21" customHeight="1" s="66">
      <c r="A2841" s="56" t="n"/>
      <c r="B2841" s="57" t="n"/>
      <c r="C2841" s="57" t="n"/>
      <c r="D2841" s="57" t="n"/>
      <c r="E2841" s="56" t="n"/>
      <c r="F2841" s="57" t="n"/>
      <c r="G2841" s="57" t="n"/>
      <c r="H2841" s="56" t="n"/>
      <c r="I2841" s="56" t="n"/>
      <c r="J2841" s="58" t="n"/>
      <c r="K2841" s="58" t="n"/>
      <c r="L2841" s="13">
        <f>IF(OR($A2841="",AND($J2841="",$K2841="")),"",ROUND(N($J2841)-N($K2841),2))</f>
        <v/>
      </c>
      <c r="M2841" s="13">
        <f>IF(OR($A2841="",AND($J2841="",$K2841="")),"",MIN($J2841,$K2841))</f>
        <v/>
      </c>
      <c r="Q2841">
        <f>IF($A2841="","",$D2841&amp;"("&amp;SUBSTITUTE($E2841," ","")&amp;")")</f>
        <v/>
      </c>
      <c r="R2841">
        <f>IF($A2841="","",$B2841&amp;" - "&amp;$C2841)</f>
        <v/>
      </c>
      <c r="S2841">
        <f>IF($A2841="","",$R2841&amp;"|"&amp;$Q2841)</f>
        <v/>
      </c>
      <c r="T2841">
        <f>IF($A2841="","",$S2841&amp;"|"&amp;$F2841)</f>
        <v/>
      </c>
      <c r="U2841">
        <f>IF($A2841="","",$R2841&amp;"("&amp;$E2841&amp;")")</f>
        <v/>
      </c>
      <c r="V2841">
        <f>IF($A2841="","",$F2841&amp;"|"&amp;$U2841&amp;"|"&amp;$D2841)</f>
        <v/>
      </c>
      <c r="W2841">
        <f>IF($T2841="","",IF($X2841&gt;N($X2840),$X2841,""))</f>
        <v/>
      </c>
      <c r="X2841">
        <f>IF($T2841="",N($X2840),IF(MATCH($T2841,$T$6:$T$6005,0)=ROW()-5,N($X2840)+1,N($X2840)))</f>
        <v/>
      </c>
      <c r="Z2841">
        <f>IF($V2841="","",IF($AA2841&gt;N($AA2840),$AA2841,""))</f>
        <v/>
      </c>
      <c r="AA2841">
        <f>IF($V2841="",N($AA2840),IF(MATCH($V2841,$V$6:$V$6005,0)=ROW()-5,N($AA2840)+1,N($AA2840)))</f>
        <v/>
      </c>
    </row>
    <row r="2842" ht="21" customHeight="1" s="66">
      <c r="A2842" s="56" t="n"/>
      <c r="B2842" s="57" t="n"/>
      <c r="C2842" s="57" t="n"/>
      <c r="D2842" s="57" t="n"/>
      <c r="E2842" s="56" t="n"/>
      <c r="F2842" s="57" t="n"/>
      <c r="G2842" s="57" t="n"/>
      <c r="H2842" s="56" t="n"/>
      <c r="I2842" s="56" t="n"/>
      <c r="J2842" s="58" t="n"/>
      <c r="K2842" s="58" t="n"/>
      <c r="L2842" s="13">
        <f>IF(OR($A2842="",AND($J2842="",$K2842="")),"",ROUND(N($J2842)-N($K2842),2))</f>
        <v/>
      </c>
      <c r="M2842" s="13">
        <f>IF(OR($A2842="",AND($J2842="",$K2842="")),"",MIN($J2842,$K2842))</f>
        <v/>
      </c>
      <c r="Q2842">
        <f>IF($A2842="","",$D2842&amp;"("&amp;SUBSTITUTE($E2842," ","")&amp;")")</f>
        <v/>
      </c>
      <c r="R2842">
        <f>IF($A2842="","",$B2842&amp;" - "&amp;$C2842)</f>
        <v/>
      </c>
      <c r="S2842">
        <f>IF($A2842="","",$R2842&amp;"|"&amp;$Q2842)</f>
        <v/>
      </c>
      <c r="T2842">
        <f>IF($A2842="","",$S2842&amp;"|"&amp;$F2842)</f>
        <v/>
      </c>
      <c r="U2842">
        <f>IF($A2842="","",$R2842&amp;"("&amp;$E2842&amp;")")</f>
        <v/>
      </c>
      <c r="V2842">
        <f>IF($A2842="","",$F2842&amp;"|"&amp;$U2842&amp;"|"&amp;$D2842)</f>
        <v/>
      </c>
      <c r="W2842">
        <f>IF($T2842="","",IF($X2842&gt;N($X2841),$X2842,""))</f>
        <v/>
      </c>
      <c r="X2842">
        <f>IF($T2842="",N($X2841),IF(MATCH($T2842,$T$6:$T$6005,0)=ROW()-5,N($X2841)+1,N($X2841)))</f>
        <v/>
      </c>
      <c r="Z2842">
        <f>IF($V2842="","",IF($AA2842&gt;N($AA2841),$AA2842,""))</f>
        <v/>
      </c>
      <c r="AA2842">
        <f>IF($V2842="",N($AA2841),IF(MATCH($V2842,$V$6:$V$6005,0)=ROW()-5,N($AA2841)+1,N($AA2841)))</f>
        <v/>
      </c>
    </row>
    <row r="2843" ht="21" customHeight="1" s="66">
      <c r="A2843" s="56" t="n"/>
      <c r="B2843" s="57" t="n"/>
      <c r="C2843" s="57" t="n"/>
      <c r="D2843" s="57" t="n"/>
      <c r="E2843" s="56" t="n"/>
      <c r="F2843" s="57" t="n"/>
      <c r="G2843" s="57" t="n"/>
      <c r="H2843" s="56" t="n"/>
      <c r="I2843" s="56" t="n"/>
      <c r="J2843" s="58" t="n"/>
      <c r="K2843" s="58" t="n"/>
      <c r="L2843" s="13">
        <f>IF(OR($A2843="",AND($J2843="",$K2843="")),"",ROUND(N($J2843)-N($K2843),2))</f>
        <v/>
      </c>
      <c r="M2843" s="13">
        <f>IF(OR($A2843="",AND($J2843="",$K2843="")),"",MIN($J2843,$K2843))</f>
        <v/>
      </c>
      <c r="Q2843">
        <f>IF($A2843="","",$D2843&amp;"("&amp;SUBSTITUTE($E2843," ","")&amp;")")</f>
        <v/>
      </c>
      <c r="R2843">
        <f>IF($A2843="","",$B2843&amp;" - "&amp;$C2843)</f>
        <v/>
      </c>
      <c r="S2843">
        <f>IF($A2843="","",$R2843&amp;"|"&amp;$Q2843)</f>
        <v/>
      </c>
      <c r="T2843">
        <f>IF($A2843="","",$S2843&amp;"|"&amp;$F2843)</f>
        <v/>
      </c>
      <c r="U2843">
        <f>IF($A2843="","",$R2843&amp;"("&amp;$E2843&amp;")")</f>
        <v/>
      </c>
      <c r="V2843">
        <f>IF($A2843="","",$F2843&amp;"|"&amp;$U2843&amp;"|"&amp;$D2843)</f>
        <v/>
      </c>
      <c r="W2843">
        <f>IF($T2843="","",IF($X2843&gt;N($X2842),$X2843,""))</f>
        <v/>
      </c>
      <c r="X2843">
        <f>IF($T2843="",N($X2842),IF(MATCH($T2843,$T$6:$T$6005,0)=ROW()-5,N($X2842)+1,N($X2842)))</f>
        <v/>
      </c>
      <c r="Z2843">
        <f>IF($V2843="","",IF($AA2843&gt;N($AA2842),$AA2843,""))</f>
        <v/>
      </c>
      <c r="AA2843">
        <f>IF($V2843="",N($AA2842),IF(MATCH($V2843,$V$6:$V$6005,0)=ROW()-5,N($AA2842)+1,N($AA2842)))</f>
        <v/>
      </c>
    </row>
    <row r="2844" ht="21" customHeight="1" s="66">
      <c r="A2844" s="56" t="n"/>
      <c r="B2844" s="57" t="n"/>
      <c r="C2844" s="57" t="n"/>
      <c r="D2844" s="57" t="n"/>
      <c r="E2844" s="56" t="n"/>
      <c r="F2844" s="57" t="n"/>
      <c r="G2844" s="57" t="n"/>
      <c r="H2844" s="56" t="n"/>
      <c r="I2844" s="56" t="n"/>
      <c r="J2844" s="58" t="n"/>
      <c r="K2844" s="58" t="n"/>
      <c r="L2844" s="13">
        <f>IF(OR($A2844="",AND($J2844="",$K2844="")),"",ROUND(N($J2844)-N($K2844),2))</f>
        <v/>
      </c>
      <c r="M2844" s="13">
        <f>IF(OR($A2844="",AND($J2844="",$K2844="")),"",MIN($J2844,$K2844))</f>
        <v/>
      </c>
      <c r="Q2844">
        <f>IF($A2844="","",$D2844&amp;"("&amp;SUBSTITUTE($E2844," ","")&amp;")")</f>
        <v/>
      </c>
      <c r="R2844">
        <f>IF($A2844="","",$B2844&amp;" - "&amp;$C2844)</f>
        <v/>
      </c>
      <c r="S2844">
        <f>IF($A2844="","",$R2844&amp;"|"&amp;$Q2844)</f>
        <v/>
      </c>
      <c r="T2844">
        <f>IF($A2844="","",$S2844&amp;"|"&amp;$F2844)</f>
        <v/>
      </c>
      <c r="U2844">
        <f>IF($A2844="","",$R2844&amp;"("&amp;$E2844&amp;")")</f>
        <v/>
      </c>
      <c r="V2844">
        <f>IF($A2844="","",$F2844&amp;"|"&amp;$U2844&amp;"|"&amp;$D2844)</f>
        <v/>
      </c>
      <c r="W2844">
        <f>IF($T2844="","",IF($X2844&gt;N($X2843),$X2844,""))</f>
        <v/>
      </c>
      <c r="X2844">
        <f>IF($T2844="",N($X2843),IF(MATCH($T2844,$T$6:$T$6005,0)=ROW()-5,N($X2843)+1,N($X2843)))</f>
        <v/>
      </c>
      <c r="Z2844">
        <f>IF($V2844="","",IF($AA2844&gt;N($AA2843),$AA2844,""))</f>
        <v/>
      </c>
      <c r="AA2844">
        <f>IF($V2844="",N($AA2843),IF(MATCH($V2844,$V$6:$V$6005,0)=ROW()-5,N($AA2843)+1,N($AA2843)))</f>
        <v/>
      </c>
    </row>
    <row r="2845" ht="21" customHeight="1" s="66">
      <c r="A2845" s="56" t="n"/>
      <c r="B2845" s="57" t="n"/>
      <c r="C2845" s="57" t="n"/>
      <c r="D2845" s="57" t="n"/>
      <c r="E2845" s="56" t="n"/>
      <c r="F2845" s="57" t="n"/>
      <c r="G2845" s="57" t="n"/>
      <c r="H2845" s="56" t="n"/>
      <c r="I2845" s="56" t="n"/>
      <c r="J2845" s="58" t="n"/>
      <c r="K2845" s="58" t="n"/>
      <c r="L2845" s="13">
        <f>IF(OR($A2845="",AND($J2845="",$K2845="")),"",ROUND(N($J2845)-N($K2845),2))</f>
        <v/>
      </c>
      <c r="M2845" s="13">
        <f>IF(OR($A2845="",AND($J2845="",$K2845="")),"",MIN($J2845,$K2845))</f>
        <v/>
      </c>
      <c r="Q2845">
        <f>IF($A2845="","",$D2845&amp;"("&amp;SUBSTITUTE($E2845," ","")&amp;")")</f>
        <v/>
      </c>
      <c r="R2845">
        <f>IF($A2845="","",$B2845&amp;" - "&amp;$C2845)</f>
        <v/>
      </c>
      <c r="S2845">
        <f>IF($A2845="","",$R2845&amp;"|"&amp;$Q2845)</f>
        <v/>
      </c>
      <c r="T2845">
        <f>IF($A2845="","",$S2845&amp;"|"&amp;$F2845)</f>
        <v/>
      </c>
      <c r="U2845">
        <f>IF($A2845="","",$R2845&amp;"("&amp;$E2845&amp;")")</f>
        <v/>
      </c>
      <c r="V2845">
        <f>IF($A2845="","",$F2845&amp;"|"&amp;$U2845&amp;"|"&amp;$D2845)</f>
        <v/>
      </c>
      <c r="W2845">
        <f>IF($T2845="","",IF($X2845&gt;N($X2844),$X2845,""))</f>
        <v/>
      </c>
      <c r="X2845">
        <f>IF($T2845="",N($X2844),IF(MATCH($T2845,$T$6:$T$6005,0)=ROW()-5,N($X2844)+1,N($X2844)))</f>
        <v/>
      </c>
      <c r="Z2845">
        <f>IF($V2845="","",IF($AA2845&gt;N($AA2844),$AA2845,""))</f>
        <v/>
      </c>
      <c r="AA2845">
        <f>IF($V2845="",N($AA2844),IF(MATCH($V2845,$V$6:$V$6005,0)=ROW()-5,N($AA2844)+1,N($AA2844)))</f>
        <v/>
      </c>
    </row>
    <row r="2846" ht="21" customHeight="1" s="66">
      <c r="A2846" s="56" t="n"/>
      <c r="B2846" s="57" t="n"/>
      <c r="C2846" s="57" t="n"/>
      <c r="D2846" s="57" t="n"/>
      <c r="E2846" s="56" t="n"/>
      <c r="F2846" s="57" t="n"/>
      <c r="G2846" s="57" t="n"/>
      <c r="H2846" s="56" t="n"/>
      <c r="I2846" s="56" t="n"/>
      <c r="J2846" s="58" t="n"/>
      <c r="K2846" s="58" t="n"/>
      <c r="L2846" s="13">
        <f>IF(OR($A2846="",AND($J2846="",$K2846="")),"",ROUND(N($J2846)-N($K2846),2))</f>
        <v/>
      </c>
      <c r="M2846" s="13">
        <f>IF(OR($A2846="",AND($J2846="",$K2846="")),"",MIN($J2846,$K2846))</f>
        <v/>
      </c>
      <c r="Q2846">
        <f>IF($A2846="","",$D2846&amp;"("&amp;SUBSTITUTE($E2846," ","")&amp;")")</f>
        <v/>
      </c>
      <c r="R2846">
        <f>IF($A2846="","",$B2846&amp;" - "&amp;$C2846)</f>
        <v/>
      </c>
      <c r="S2846">
        <f>IF($A2846="","",$R2846&amp;"|"&amp;$Q2846)</f>
        <v/>
      </c>
      <c r="T2846">
        <f>IF($A2846="","",$S2846&amp;"|"&amp;$F2846)</f>
        <v/>
      </c>
      <c r="U2846">
        <f>IF($A2846="","",$R2846&amp;"("&amp;$E2846&amp;")")</f>
        <v/>
      </c>
      <c r="V2846">
        <f>IF($A2846="","",$F2846&amp;"|"&amp;$U2846&amp;"|"&amp;$D2846)</f>
        <v/>
      </c>
      <c r="W2846">
        <f>IF($T2846="","",IF($X2846&gt;N($X2845),$X2846,""))</f>
        <v/>
      </c>
      <c r="X2846">
        <f>IF($T2846="",N($X2845),IF(MATCH($T2846,$T$6:$T$6005,0)=ROW()-5,N($X2845)+1,N($X2845)))</f>
        <v/>
      </c>
      <c r="Z2846">
        <f>IF($V2846="","",IF($AA2846&gt;N($AA2845),$AA2846,""))</f>
        <v/>
      </c>
      <c r="AA2846">
        <f>IF($V2846="",N($AA2845),IF(MATCH($V2846,$V$6:$V$6005,0)=ROW()-5,N($AA2845)+1,N($AA2845)))</f>
        <v/>
      </c>
    </row>
    <row r="2847" ht="21" customHeight="1" s="66">
      <c r="A2847" s="56" t="n"/>
      <c r="B2847" s="57" t="n"/>
      <c r="C2847" s="57" t="n"/>
      <c r="D2847" s="57" t="n"/>
      <c r="E2847" s="56" t="n"/>
      <c r="F2847" s="57" t="n"/>
      <c r="G2847" s="57" t="n"/>
      <c r="H2847" s="56" t="n"/>
      <c r="I2847" s="56" t="n"/>
      <c r="J2847" s="58" t="n"/>
      <c r="K2847" s="58" t="n"/>
      <c r="L2847" s="13">
        <f>IF(OR($A2847="",AND($J2847="",$K2847="")),"",ROUND(N($J2847)-N($K2847),2))</f>
        <v/>
      </c>
      <c r="M2847" s="13">
        <f>IF(OR($A2847="",AND($J2847="",$K2847="")),"",MIN($J2847,$K2847))</f>
        <v/>
      </c>
      <c r="Q2847">
        <f>IF($A2847="","",$D2847&amp;"("&amp;SUBSTITUTE($E2847," ","")&amp;")")</f>
        <v/>
      </c>
      <c r="R2847">
        <f>IF($A2847="","",$B2847&amp;" - "&amp;$C2847)</f>
        <v/>
      </c>
      <c r="S2847">
        <f>IF($A2847="","",$R2847&amp;"|"&amp;$Q2847)</f>
        <v/>
      </c>
      <c r="T2847">
        <f>IF($A2847="","",$S2847&amp;"|"&amp;$F2847)</f>
        <v/>
      </c>
      <c r="U2847">
        <f>IF($A2847="","",$R2847&amp;"("&amp;$E2847&amp;")")</f>
        <v/>
      </c>
      <c r="V2847">
        <f>IF($A2847="","",$F2847&amp;"|"&amp;$U2847&amp;"|"&amp;$D2847)</f>
        <v/>
      </c>
      <c r="W2847">
        <f>IF($T2847="","",IF($X2847&gt;N($X2846),$X2847,""))</f>
        <v/>
      </c>
      <c r="X2847">
        <f>IF($T2847="",N($X2846),IF(MATCH($T2847,$T$6:$T$6005,0)=ROW()-5,N($X2846)+1,N($X2846)))</f>
        <v/>
      </c>
      <c r="Z2847">
        <f>IF($V2847="","",IF($AA2847&gt;N($AA2846),$AA2847,""))</f>
        <v/>
      </c>
      <c r="AA2847">
        <f>IF($V2847="",N($AA2846),IF(MATCH($V2847,$V$6:$V$6005,0)=ROW()-5,N($AA2846)+1,N($AA2846)))</f>
        <v/>
      </c>
    </row>
    <row r="2848" ht="21" customHeight="1" s="66">
      <c r="A2848" s="56" t="n"/>
      <c r="B2848" s="57" t="n"/>
      <c r="C2848" s="57" t="n"/>
      <c r="D2848" s="57" t="n"/>
      <c r="E2848" s="56" t="n"/>
      <c r="F2848" s="57" t="n"/>
      <c r="G2848" s="57" t="n"/>
      <c r="H2848" s="56" t="n"/>
      <c r="I2848" s="56" t="n"/>
      <c r="J2848" s="58" t="n"/>
      <c r="K2848" s="58" t="n"/>
      <c r="L2848" s="13">
        <f>IF(OR($A2848="",AND($J2848="",$K2848="")),"",ROUND(N($J2848)-N($K2848),2))</f>
        <v/>
      </c>
      <c r="M2848" s="13">
        <f>IF(OR($A2848="",AND($J2848="",$K2848="")),"",MIN($J2848,$K2848))</f>
        <v/>
      </c>
      <c r="Q2848">
        <f>IF($A2848="","",$D2848&amp;"("&amp;SUBSTITUTE($E2848," ","")&amp;")")</f>
        <v/>
      </c>
      <c r="R2848">
        <f>IF($A2848="","",$B2848&amp;" - "&amp;$C2848)</f>
        <v/>
      </c>
      <c r="S2848">
        <f>IF($A2848="","",$R2848&amp;"|"&amp;$Q2848)</f>
        <v/>
      </c>
      <c r="T2848">
        <f>IF($A2848="","",$S2848&amp;"|"&amp;$F2848)</f>
        <v/>
      </c>
      <c r="U2848">
        <f>IF($A2848="","",$R2848&amp;"("&amp;$E2848&amp;")")</f>
        <v/>
      </c>
      <c r="V2848">
        <f>IF($A2848="","",$F2848&amp;"|"&amp;$U2848&amp;"|"&amp;$D2848)</f>
        <v/>
      </c>
      <c r="W2848">
        <f>IF($T2848="","",IF($X2848&gt;N($X2847),$X2848,""))</f>
        <v/>
      </c>
      <c r="X2848">
        <f>IF($T2848="",N($X2847),IF(MATCH($T2848,$T$6:$T$6005,0)=ROW()-5,N($X2847)+1,N($X2847)))</f>
        <v/>
      </c>
      <c r="Z2848">
        <f>IF($V2848="","",IF($AA2848&gt;N($AA2847),$AA2848,""))</f>
        <v/>
      </c>
      <c r="AA2848">
        <f>IF($V2848="",N($AA2847),IF(MATCH($V2848,$V$6:$V$6005,0)=ROW()-5,N($AA2847)+1,N($AA2847)))</f>
        <v/>
      </c>
    </row>
    <row r="2849" ht="21" customHeight="1" s="66">
      <c r="A2849" s="56" t="n"/>
      <c r="B2849" s="57" t="n"/>
      <c r="C2849" s="57" t="n"/>
      <c r="D2849" s="57" t="n"/>
      <c r="E2849" s="56" t="n"/>
      <c r="F2849" s="57" t="n"/>
      <c r="G2849" s="57" t="n"/>
      <c r="H2849" s="56" t="n"/>
      <c r="I2849" s="56" t="n"/>
      <c r="J2849" s="58" t="n"/>
      <c r="K2849" s="58" t="n"/>
      <c r="L2849" s="13">
        <f>IF(OR($A2849="",AND($J2849="",$K2849="")),"",ROUND(N($J2849)-N($K2849),2))</f>
        <v/>
      </c>
      <c r="M2849" s="13">
        <f>IF(OR($A2849="",AND($J2849="",$K2849="")),"",MIN($J2849,$K2849))</f>
        <v/>
      </c>
      <c r="Q2849">
        <f>IF($A2849="","",$D2849&amp;"("&amp;SUBSTITUTE($E2849," ","")&amp;")")</f>
        <v/>
      </c>
      <c r="R2849">
        <f>IF($A2849="","",$B2849&amp;" - "&amp;$C2849)</f>
        <v/>
      </c>
      <c r="S2849">
        <f>IF($A2849="","",$R2849&amp;"|"&amp;$Q2849)</f>
        <v/>
      </c>
      <c r="T2849">
        <f>IF($A2849="","",$S2849&amp;"|"&amp;$F2849)</f>
        <v/>
      </c>
      <c r="U2849">
        <f>IF($A2849="","",$R2849&amp;"("&amp;$E2849&amp;")")</f>
        <v/>
      </c>
      <c r="V2849">
        <f>IF($A2849="","",$F2849&amp;"|"&amp;$U2849&amp;"|"&amp;$D2849)</f>
        <v/>
      </c>
      <c r="W2849">
        <f>IF($T2849="","",IF($X2849&gt;N($X2848),$X2849,""))</f>
        <v/>
      </c>
      <c r="X2849">
        <f>IF($T2849="",N($X2848),IF(MATCH($T2849,$T$6:$T$6005,0)=ROW()-5,N($X2848)+1,N($X2848)))</f>
        <v/>
      </c>
      <c r="Z2849">
        <f>IF($V2849="","",IF($AA2849&gt;N($AA2848),$AA2849,""))</f>
        <v/>
      </c>
      <c r="AA2849">
        <f>IF($V2849="",N($AA2848),IF(MATCH($V2849,$V$6:$V$6005,0)=ROW()-5,N($AA2848)+1,N($AA2848)))</f>
        <v/>
      </c>
    </row>
    <row r="2850" ht="21" customHeight="1" s="66">
      <c r="A2850" s="56" t="n"/>
      <c r="B2850" s="57" t="n"/>
      <c r="C2850" s="57" t="n"/>
      <c r="D2850" s="57" t="n"/>
      <c r="E2850" s="56" t="n"/>
      <c r="F2850" s="57" t="n"/>
      <c r="G2850" s="57" t="n"/>
      <c r="H2850" s="56" t="n"/>
      <c r="I2850" s="56" t="n"/>
      <c r="J2850" s="58" t="n"/>
      <c r="K2850" s="58" t="n"/>
      <c r="L2850" s="13">
        <f>IF(OR($A2850="",AND($J2850="",$K2850="")),"",ROUND(N($J2850)-N($K2850),2))</f>
        <v/>
      </c>
      <c r="M2850" s="13">
        <f>IF(OR($A2850="",AND($J2850="",$K2850="")),"",MIN($J2850,$K2850))</f>
        <v/>
      </c>
      <c r="Q2850">
        <f>IF($A2850="","",$D2850&amp;"("&amp;SUBSTITUTE($E2850," ","")&amp;")")</f>
        <v/>
      </c>
      <c r="R2850">
        <f>IF($A2850="","",$B2850&amp;" - "&amp;$C2850)</f>
        <v/>
      </c>
      <c r="S2850">
        <f>IF($A2850="","",$R2850&amp;"|"&amp;$Q2850)</f>
        <v/>
      </c>
      <c r="T2850">
        <f>IF($A2850="","",$S2850&amp;"|"&amp;$F2850)</f>
        <v/>
      </c>
      <c r="U2850">
        <f>IF($A2850="","",$R2850&amp;"("&amp;$E2850&amp;")")</f>
        <v/>
      </c>
      <c r="V2850">
        <f>IF($A2850="","",$F2850&amp;"|"&amp;$U2850&amp;"|"&amp;$D2850)</f>
        <v/>
      </c>
      <c r="W2850">
        <f>IF($T2850="","",IF($X2850&gt;N($X2849),$X2850,""))</f>
        <v/>
      </c>
      <c r="X2850">
        <f>IF($T2850="",N($X2849),IF(MATCH($T2850,$T$6:$T$6005,0)=ROW()-5,N($X2849)+1,N($X2849)))</f>
        <v/>
      </c>
      <c r="Z2850">
        <f>IF($V2850="","",IF($AA2850&gt;N($AA2849),$AA2850,""))</f>
        <v/>
      </c>
      <c r="AA2850">
        <f>IF($V2850="",N($AA2849),IF(MATCH($V2850,$V$6:$V$6005,0)=ROW()-5,N($AA2849)+1,N($AA2849)))</f>
        <v/>
      </c>
    </row>
    <row r="2851" ht="21" customHeight="1" s="66">
      <c r="A2851" s="56" t="n"/>
      <c r="B2851" s="57" t="n"/>
      <c r="C2851" s="57" t="n"/>
      <c r="D2851" s="57" t="n"/>
      <c r="E2851" s="56" t="n"/>
      <c r="F2851" s="57" t="n"/>
      <c r="G2851" s="57" t="n"/>
      <c r="H2851" s="56" t="n"/>
      <c r="I2851" s="56" t="n"/>
      <c r="J2851" s="58" t="n"/>
      <c r="K2851" s="58" t="n"/>
      <c r="L2851" s="13">
        <f>IF(OR($A2851="",AND($J2851="",$K2851="")),"",ROUND(N($J2851)-N($K2851),2))</f>
        <v/>
      </c>
      <c r="M2851" s="13">
        <f>IF(OR($A2851="",AND($J2851="",$K2851="")),"",MIN($J2851,$K2851))</f>
        <v/>
      </c>
      <c r="Q2851">
        <f>IF($A2851="","",$D2851&amp;"("&amp;SUBSTITUTE($E2851," ","")&amp;")")</f>
        <v/>
      </c>
      <c r="R2851">
        <f>IF($A2851="","",$B2851&amp;" - "&amp;$C2851)</f>
        <v/>
      </c>
      <c r="S2851">
        <f>IF($A2851="","",$R2851&amp;"|"&amp;$Q2851)</f>
        <v/>
      </c>
      <c r="T2851">
        <f>IF($A2851="","",$S2851&amp;"|"&amp;$F2851)</f>
        <v/>
      </c>
      <c r="U2851">
        <f>IF($A2851="","",$R2851&amp;"("&amp;$E2851&amp;")")</f>
        <v/>
      </c>
      <c r="V2851">
        <f>IF($A2851="","",$F2851&amp;"|"&amp;$U2851&amp;"|"&amp;$D2851)</f>
        <v/>
      </c>
      <c r="W2851">
        <f>IF($T2851="","",IF($X2851&gt;N($X2850),$X2851,""))</f>
        <v/>
      </c>
      <c r="X2851">
        <f>IF($T2851="",N($X2850),IF(MATCH($T2851,$T$6:$T$6005,0)=ROW()-5,N($X2850)+1,N($X2850)))</f>
        <v/>
      </c>
      <c r="Z2851">
        <f>IF($V2851="","",IF($AA2851&gt;N($AA2850),$AA2851,""))</f>
        <v/>
      </c>
      <c r="AA2851">
        <f>IF($V2851="",N($AA2850),IF(MATCH($V2851,$V$6:$V$6005,0)=ROW()-5,N($AA2850)+1,N($AA2850)))</f>
        <v/>
      </c>
    </row>
    <row r="2852" ht="21" customHeight="1" s="66">
      <c r="A2852" s="56" t="n"/>
      <c r="B2852" s="57" t="n"/>
      <c r="C2852" s="57" t="n"/>
      <c r="D2852" s="57" t="n"/>
      <c r="E2852" s="56" t="n"/>
      <c r="F2852" s="57" t="n"/>
      <c r="G2852" s="57" t="n"/>
      <c r="H2852" s="56" t="n"/>
      <c r="I2852" s="56" t="n"/>
      <c r="J2852" s="58" t="n"/>
      <c r="K2852" s="58" t="n"/>
      <c r="L2852" s="13">
        <f>IF(OR($A2852="",AND($J2852="",$K2852="")),"",ROUND(N($J2852)-N($K2852),2))</f>
        <v/>
      </c>
      <c r="M2852" s="13">
        <f>IF(OR($A2852="",AND($J2852="",$K2852="")),"",MIN($J2852,$K2852))</f>
        <v/>
      </c>
      <c r="Q2852">
        <f>IF($A2852="","",$D2852&amp;"("&amp;SUBSTITUTE($E2852," ","")&amp;")")</f>
        <v/>
      </c>
      <c r="R2852">
        <f>IF($A2852="","",$B2852&amp;" - "&amp;$C2852)</f>
        <v/>
      </c>
      <c r="S2852">
        <f>IF($A2852="","",$R2852&amp;"|"&amp;$Q2852)</f>
        <v/>
      </c>
      <c r="T2852">
        <f>IF($A2852="","",$S2852&amp;"|"&amp;$F2852)</f>
        <v/>
      </c>
      <c r="U2852">
        <f>IF($A2852="","",$R2852&amp;"("&amp;$E2852&amp;")")</f>
        <v/>
      </c>
      <c r="V2852">
        <f>IF($A2852="","",$F2852&amp;"|"&amp;$U2852&amp;"|"&amp;$D2852)</f>
        <v/>
      </c>
      <c r="W2852">
        <f>IF($T2852="","",IF($X2852&gt;N($X2851),$X2852,""))</f>
        <v/>
      </c>
      <c r="X2852">
        <f>IF($T2852="",N($X2851),IF(MATCH($T2852,$T$6:$T$6005,0)=ROW()-5,N($X2851)+1,N($X2851)))</f>
        <v/>
      </c>
      <c r="Z2852">
        <f>IF($V2852="","",IF($AA2852&gt;N($AA2851),$AA2852,""))</f>
        <v/>
      </c>
      <c r="AA2852">
        <f>IF($V2852="",N($AA2851),IF(MATCH($V2852,$V$6:$V$6005,0)=ROW()-5,N($AA2851)+1,N($AA2851)))</f>
        <v/>
      </c>
    </row>
    <row r="2853" ht="21" customHeight="1" s="66">
      <c r="A2853" s="56" t="n"/>
      <c r="B2853" s="57" t="n"/>
      <c r="C2853" s="57" t="n"/>
      <c r="D2853" s="57" t="n"/>
      <c r="E2853" s="56" t="n"/>
      <c r="F2853" s="57" t="n"/>
      <c r="G2853" s="57" t="n"/>
      <c r="H2853" s="56" t="n"/>
      <c r="I2853" s="56" t="n"/>
      <c r="J2853" s="58" t="n"/>
      <c r="K2853" s="58" t="n"/>
      <c r="L2853" s="13">
        <f>IF(OR($A2853="",AND($J2853="",$K2853="")),"",ROUND(N($J2853)-N($K2853),2))</f>
        <v/>
      </c>
      <c r="M2853" s="13">
        <f>IF(OR($A2853="",AND($J2853="",$K2853="")),"",MIN($J2853,$K2853))</f>
        <v/>
      </c>
      <c r="Q2853">
        <f>IF($A2853="","",$D2853&amp;"("&amp;SUBSTITUTE($E2853," ","")&amp;")")</f>
        <v/>
      </c>
      <c r="R2853">
        <f>IF($A2853="","",$B2853&amp;" - "&amp;$C2853)</f>
        <v/>
      </c>
      <c r="S2853">
        <f>IF($A2853="","",$R2853&amp;"|"&amp;$Q2853)</f>
        <v/>
      </c>
      <c r="T2853">
        <f>IF($A2853="","",$S2853&amp;"|"&amp;$F2853)</f>
        <v/>
      </c>
      <c r="U2853">
        <f>IF($A2853="","",$R2853&amp;"("&amp;$E2853&amp;")")</f>
        <v/>
      </c>
      <c r="V2853">
        <f>IF($A2853="","",$F2853&amp;"|"&amp;$U2853&amp;"|"&amp;$D2853)</f>
        <v/>
      </c>
      <c r="W2853">
        <f>IF($T2853="","",IF($X2853&gt;N($X2852),$X2853,""))</f>
        <v/>
      </c>
      <c r="X2853">
        <f>IF($T2853="",N($X2852),IF(MATCH($T2853,$T$6:$T$6005,0)=ROW()-5,N($X2852)+1,N($X2852)))</f>
        <v/>
      </c>
      <c r="Z2853">
        <f>IF($V2853="","",IF($AA2853&gt;N($AA2852),$AA2853,""))</f>
        <v/>
      </c>
      <c r="AA2853">
        <f>IF($V2853="",N($AA2852),IF(MATCH($V2853,$V$6:$V$6005,0)=ROW()-5,N($AA2852)+1,N($AA2852)))</f>
        <v/>
      </c>
    </row>
    <row r="2854" ht="21" customHeight="1" s="66">
      <c r="A2854" s="56" t="n"/>
      <c r="B2854" s="57" t="n"/>
      <c r="C2854" s="57" t="n"/>
      <c r="D2854" s="57" t="n"/>
      <c r="E2854" s="56" t="n"/>
      <c r="F2854" s="57" t="n"/>
      <c r="G2854" s="57" t="n"/>
      <c r="H2854" s="56" t="n"/>
      <c r="I2854" s="56" t="n"/>
      <c r="J2854" s="58" t="n"/>
      <c r="K2854" s="58" t="n"/>
      <c r="L2854" s="13">
        <f>IF(OR($A2854="",AND($J2854="",$K2854="")),"",ROUND(N($J2854)-N($K2854),2))</f>
        <v/>
      </c>
      <c r="M2854" s="13">
        <f>IF(OR($A2854="",AND($J2854="",$K2854="")),"",MIN($J2854,$K2854))</f>
        <v/>
      </c>
      <c r="Q2854">
        <f>IF($A2854="","",$D2854&amp;"("&amp;SUBSTITUTE($E2854," ","")&amp;")")</f>
        <v/>
      </c>
      <c r="R2854">
        <f>IF($A2854="","",$B2854&amp;" - "&amp;$C2854)</f>
        <v/>
      </c>
      <c r="S2854">
        <f>IF($A2854="","",$R2854&amp;"|"&amp;$Q2854)</f>
        <v/>
      </c>
      <c r="T2854">
        <f>IF($A2854="","",$S2854&amp;"|"&amp;$F2854)</f>
        <v/>
      </c>
      <c r="U2854">
        <f>IF($A2854="","",$R2854&amp;"("&amp;$E2854&amp;")")</f>
        <v/>
      </c>
      <c r="V2854">
        <f>IF($A2854="","",$F2854&amp;"|"&amp;$U2854&amp;"|"&amp;$D2854)</f>
        <v/>
      </c>
      <c r="W2854">
        <f>IF($T2854="","",IF($X2854&gt;N($X2853),$X2854,""))</f>
        <v/>
      </c>
      <c r="X2854">
        <f>IF($T2854="",N($X2853),IF(MATCH($T2854,$T$6:$T$6005,0)=ROW()-5,N($X2853)+1,N($X2853)))</f>
        <v/>
      </c>
      <c r="Z2854">
        <f>IF($V2854="","",IF($AA2854&gt;N($AA2853),$AA2854,""))</f>
        <v/>
      </c>
      <c r="AA2854">
        <f>IF($V2854="",N($AA2853),IF(MATCH($V2854,$V$6:$V$6005,0)=ROW()-5,N($AA2853)+1,N($AA2853)))</f>
        <v/>
      </c>
    </row>
    <row r="2855" ht="21" customHeight="1" s="66">
      <c r="A2855" s="56" t="n"/>
      <c r="B2855" s="57" t="n"/>
      <c r="C2855" s="57" t="n"/>
      <c r="D2855" s="57" t="n"/>
      <c r="E2855" s="56" t="n"/>
      <c r="F2855" s="57" t="n"/>
      <c r="G2855" s="57" t="n"/>
      <c r="H2855" s="56" t="n"/>
      <c r="I2855" s="56" t="n"/>
      <c r="J2855" s="58" t="n"/>
      <c r="K2855" s="58" t="n"/>
      <c r="L2855" s="13">
        <f>IF(OR($A2855="",AND($J2855="",$K2855="")),"",ROUND(N($J2855)-N($K2855),2))</f>
        <v/>
      </c>
      <c r="M2855" s="13">
        <f>IF(OR($A2855="",AND($J2855="",$K2855="")),"",MIN($J2855,$K2855))</f>
        <v/>
      </c>
      <c r="Q2855">
        <f>IF($A2855="","",$D2855&amp;"("&amp;SUBSTITUTE($E2855," ","")&amp;")")</f>
        <v/>
      </c>
      <c r="R2855">
        <f>IF($A2855="","",$B2855&amp;" - "&amp;$C2855)</f>
        <v/>
      </c>
      <c r="S2855">
        <f>IF($A2855="","",$R2855&amp;"|"&amp;$Q2855)</f>
        <v/>
      </c>
      <c r="T2855">
        <f>IF($A2855="","",$S2855&amp;"|"&amp;$F2855)</f>
        <v/>
      </c>
      <c r="U2855">
        <f>IF($A2855="","",$R2855&amp;"("&amp;$E2855&amp;")")</f>
        <v/>
      </c>
      <c r="V2855">
        <f>IF($A2855="","",$F2855&amp;"|"&amp;$U2855&amp;"|"&amp;$D2855)</f>
        <v/>
      </c>
      <c r="W2855">
        <f>IF($T2855="","",IF($X2855&gt;N($X2854),$X2855,""))</f>
        <v/>
      </c>
      <c r="X2855">
        <f>IF($T2855="",N($X2854),IF(MATCH($T2855,$T$6:$T$6005,0)=ROW()-5,N($X2854)+1,N($X2854)))</f>
        <v/>
      </c>
      <c r="Z2855">
        <f>IF($V2855="","",IF($AA2855&gt;N($AA2854),$AA2855,""))</f>
        <v/>
      </c>
      <c r="AA2855">
        <f>IF($V2855="",N($AA2854),IF(MATCH($V2855,$V$6:$V$6005,0)=ROW()-5,N($AA2854)+1,N($AA2854)))</f>
        <v/>
      </c>
    </row>
    <row r="2856" ht="21" customHeight="1" s="66">
      <c r="A2856" s="56" t="n"/>
      <c r="B2856" s="57" t="n"/>
      <c r="C2856" s="57" t="n"/>
      <c r="D2856" s="57" t="n"/>
      <c r="E2856" s="56" t="n"/>
      <c r="F2856" s="57" t="n"/>
      <c r="G2856" s="57" t="n"/>
      <c r="H2856" s="56" t="n"/>
      <c r="I2856" s="56" t="n"/>
      <c r="J2856" s="58" t="n"/>
      <c r="K2856" s="58" t="n"/>
      <c r="L2856" s="13">
        <f>IF(OR($A2856="",AND($J2856="",$K2856="")),"",ROUND(N($J2856)-N($K2856),2))</f>
        <v/>
      </c>
      <c r="M2856" s="13">
        <f>IF(OR($A2856="",AND($J2856="",$K2856="")),"",MIN($J2856,$K2856))</f>
        <v/>
      </c>
      <c r="Q2856">
        <f>IF($A2856="","",$D2856&amp;"("&amp;SUBSTITUTE($E2856," ","")&amp;")")</f>
        <v/>
      </c>
      <c r="R2856">
        <f>IF($A2856="","",$B2856&amp;" - "&amp;$C2856)</f>
        <v/>
      </c>
      <c r="S2856">
        <f>IF($A2856="","",$R2856&amp;"|"&amp;$Q2856)</f>
        <v/>
      </c>
      <c r="T2856">
        <f>IF($A2856="","",$S2856&amp;"|"&amp;$F2856)</f>
        <v/>
      </c>
      <c r="U2856">
        <f>IF($A2856="","",$R2856&amp;"("&amp;$E2856&amp;")")</f>
        <v/>
      </c>
      <c r="V2856">
        <f>IF($A2856="","",$F2856&amp;"|"&amp;$U2856&amp;"|"&amp;$D2856)</f>
        <v/>
      </c>
      <c r="W2856">
        <f>IF($T2856="","",IF($X2856&gt;N($X2855),$X2856,""))</f>
        <v/>
      </c>
      <c r="X2856">
        <f>IF($T2856="",N($X2855),IF(MATCH($T2856,$T$6:$T$6005,0)=ROW()-5,N($X2855)+1,N($X2855)))</f>
        <v/>
      </c>
      <c r="Z2856">
        <f>IF($V2856="","",IF($AA2856&gt;N($AA2855),$AA2856,""))</f>
        <v/>
      </c>
      <c r="AA2856">
        <f>IF($V2856="",N($AA2855),IF(MATCH($V2856,$V$6:$V$6005,0)=ROW()-5,N($AA2855)+1,N($AA2855)))</f>
        <v/>
      </c>
    </row>
    <row r="2857" ht="21" customHeight="1" s="66">
      <c r="A2857" s="56" t="n"/>
      <c r="B2857" s="57" t="n"/>
      <c r="C2857" s="57" t="n"/>
      <c r="D2857" s="57" t="n"/>
      <c r="E2857" s="56" t="n"/>
      <c r="F2857" s="57" t="n"/>
      <c r="G2857" s="57" t="n"/>
      <c r="H2857" s="56" t="n"/>
      <c r="I2857" s="56" t="n"/>
      <c r="J2857" s="58" t="n"/>
      <c r="K2857" s="58" t="n"/>
      <c r="L2857" s="13">
        <f>IF(OR($A2857="",AND($J2857="",$K2857="")),"",ROUND(N($J2857)-N($K2857),2))</f>
        <v/>
      </c>
      <c r="M2857" s="13">
        <f>IF(OR($A2857="",AND($J2857="",$K2857="")),"",MIN($J2857,$K2857))</f>
        <v/>
      </c>
      <c r="Q2857">
        <f>IF($A2857="","",$D2857&amp;"("&amp;SUBSTITUTE($E2857," ","")&amp;")")</f>
        <v/>
      </c>
      <c r="R2857">
        <f>IF($A2857="","",$B2857&amp;" - "&amp;$C2857)</f>
        <v/>
      </c>
      <c r="S2857">
        <f>IF($A2857="","",$R2857&amp;"|"&amp;$Q2857)</f>
        <v/>
      </c>
      <c r="T2857">
        <f>IF($A2857="","",$S2857&amp;"|"&amp;$F2857)</f>
        <v/>
      </c>
      <c r="U2857">
        <f>IF($A2857="","",$R2857&amp;"("&amp;$E2857&amp;")")</f>
        <v/>
      </c>
      <c r="V2857">
        <f>IF($A2857="","",$F2857&amp;"|"&amp;$U2857&amp;"|"&amp;$D2857)</f>
        <v/>
      </c>
      <c r="W2857">
        <f>IF($T2857="","",IF($X2857&gt;N($X2856),$X2857,""))</f>
        <v/>
      </c>
      <c r="X2857">
        <f>IF($T2857="",N($X2856),IF(MATCH($T2857,$T$6:$T$6005,0)=ROW()-5,N($X2856)+1,N($X2856)))</f>
        <v/>
      </c>
      <c r="Z2857">
        <f>IF($V2857="","",IF($AA2857&gt;N($AA2856),$AA2857,""))</f>
        <v/>
      </c>
      <c r="AA2857">
        <f>IF($V2857="",N($AA2856),IF(MATCH($V2857,$V$6:$V$6005,0)=ROW()-5,N($AA2856)+1,N($AA2856)))</f>
        <v/>
      </c>
    </row>
    <row r="2858" ht="21" customHeight="1" s="66">
      <c r="A2858" s="56" t="n"/>
      <c r="B2858" s="57" t="n"/>
      <c r="C2858" s="57" t="n"/>
      <c r="D2858" s="57" t="n"/>
      <c r="E2858" s="56" t="n"/>
      <c r="F2858" s="57" t="n"/>
      <c r="G2858" s="57" t="n"/>
      <c r="H2858" s="56" t="n"/>
      <c r="I2858" s="56" t="n"/>
      <c r="J2858" s="58" t="n"/>
      <c r="K2858" s="58" t="n"/>
      <c r="L2858" s="13">
        <f>IF(OR($A2858="",AND($J2858="",$K2858="")),"",ROUND(N($J2858)-N($K2858),2))</f>
        <v/>
      </c>
      <c r="M2858" s="13">
        <f>IF(OR($A2858="",AND($J2858="",$K2858="")),"",MIN($J2858,$K2858))</f>
        <v/>
      </c>
      <c r="Q2858">
        <f>IF($A2858="","",$D2858&amp;"("&amp;SUBSTITUTE($E2858," ","")&amp;")")</f>
        <v/>
      </c>
      <c r="R2858">
        <f>IF($A2858="","",$B2858&amp;" - "&amp;$C2858)</f>
        <v/>
      </c>
      <c r="S2858">
        <f>IF($A2858="","",$R2858&amp;"|"&amp;$Q2858)</f>
        <v/>
      </c>
      <c r="T2858">
        <f>IF($A2858="","",$S2858&amp;"|"&amp;$F2858)</f>
        <v/>
      </c>
      <c r="U2858">
        <f>IF($A2858="","",$R2858&amp;"("&amp;$E2858&amp;")")</f>
        <v/>
      </c>
      <c r="V2858">
        <f>IF($A2858="","",$F2858&amp;"|"&amp;$U2858&amp;"|"&amp;$D2858)</f>
        <v/>
      </c>
      <c r="W2858">
        <f>IF($T2858="","",IF($X2858&gt;N($X2857),$X2858,""))</f>
        <v/>
      </c>
      <c r="X2858">
        <f>IF($T2858="",N($X2857),IF(MATCH($T2858,$T$6:$T$6005,0)=ROW()-5,N($X2857)+1,N($X2857)))</f>
        <v/>
      </c>
      <c r="Z2858">
        <f>IF($V2858="","",IF($AA2858&gt;N($AA2857),$AA2858,""))</f>
        <v/>
      </c>
      <c r="AA2858">
        <f>IF($V2858="",N($AA2857),IF(MATCH($V2858,$V$6:$V$6005,0)=ROW()-5,N($AA2857)+1,N($AA2857)))</f>
        <v/>
      </c>
    </row>
    <row r="2859" ht="21" customHeight="1" s="66">
      <c r="A2859" s="56" t="n"/>
      <c r="B2859" s="57" t="n"/>
      <c r="C2859" s="57" t="n"/>
      <c r="D2859" s="57" t="n"/>
      <c r="E2859" s="56" t="n"/>
      <c r="F2859" s="57" t="n"/>
      <c r="G2859" s="57" t="n"/>
      <c r="H2859" s="56" t="n"/>
      <c r="I2859" s="56" t="n"/>
      <c r="J2859" s="58" t="n"/>
      <c r="K2859" s="58" t="n"/>
      <c r="L2859" s="13">
        <f>IF(OR($A2859="",AND($J2859="",$K2859="")),"",ROUND(N($J2859)-N($K2859),2))</f>
        <v/>
      </c>
      <c r="M2859" s="13">
        <f>IF(OR($A2859="",AND($J2859="",$K2859="")),"",MIN($J2859,$K2859))</f>
        <v/>
      </c>
      <c r="Q2859">
        <f>IF($A2859="","",$D2859&amp;"("&amp;SUBSTITUTE($E2859," ","")&amp;")")</f>
        <v/>
      </c>
      <c r="R2859">
        <f>IF($A2859="","",$B2859&amp;" - "&amp;$C2859)</f>
        <v/>
      </c>
      <c r="S2859">
        <f>IF($A2859="","",$R2859&amp;"|"&amp;$Q2859)</f>
        <v/>
      </c>
      <c r="T2859">
        <f>IF($A2859="","",$S2859&amp;"|"&amp;$F2859)</f>
        <v/>
      </c>
      <c r="U2859">
        <f>IF($A2859="","",$R2859&amp;"("&amp;$E2859&amp;")")</f>
        <v/>
      </c>
      <c r="V2859">
        <f>IF($A2859="","",$F2859&amp;"|"&amp;$U2859&amp;"|"&amp;$D2859)</f>
        <v/>
      </c>
      <c r="W2859">
        <f>IF($T2859="","",IF($X2859&gt;N($X2858),$X2859,""))</f>
        <v/>
      </c>
      <c r="X2859">
        <f>IF($T2859="",N($X2858),IF(MATCH($T2859,$T$6:$T$6005,0)=ROW()-5,N($X2858)+1,N($X2858)))</f>
        <v/>
      </c>
      <c r="Z2859">
        <f>IF($V2859="","",IF($AA2859&gt;N($AA2858),$AA2859,""))</f>
        <v/>
      </c>
      <c r="AA2859">
        <f>IF($V2859="",N($AA2858),IF(MATCH($V2859,$V$6:$V$6005,0)=ROW()-5,N($AA2858)+1,N($AA2858)))</f>
        <v/>
      </c>
    </row>
    <row r="2860" ht="21" customHeight="1" s="66">
      <c r="A2860" s="56" t="n"/>
      <c r="B2860" s="57" t="n"/>
      <c r="C2860" s="57" t="n"/>
      <c r="D2860" s="57" t="n"/>
      <c r="E2860" s="56" t="n"/>
      <c r="F2860" s="57" t="n"/>
      <c r="G2860" s="57" t="n"/>
      <c r="H2860" s="56" t="n"/>
      <c r="I2860" s="56" t="n"/>
      <c r="J2860" s="58" t="n"/>
      <c r="K2860" s="58" t="n"/>
      <c r="L2860" s="13">
        <f>IF(OR($A2860="",AND($J2860="",$K2860="")),"",ROUND(N($J2860)-N($K2860),2))</f>
        <v/>
      </c>
      <c r="M2860" s="13">
        <f>IF(OR($A2860="",AND($J2860="",$K2860="")),"",MIN($J2860,$K2860))</f>
        <v/>
      </c>
      <c r="Q2860">
        <f>IF($A2860="","",$D2860&amp;"("&amp;SUBSTITUTE($E2860," ","")&amp;")")</f>
        <v/>
      </c>
      <c r="R2860">
        <f>IF($A2860="","",$B2860&amp;" - "&amp;$C2860)</f>
        <v/>
      </c>
      <c r="S2860">
        <f>IF($A2860="","",$R2860&amp;"|"&amp;$Q2860)</f>
        <v/>
      </c>
      <c r="T2860">
        <f>IF($A2860="","",$S2860&amp;"|"&amp;$F2860)</f>
        <v/>
      </c>
      <c r="U2860">
        <f>IF($A2860="","",$R2860&amp;"("&amp;$E2860&amp;")")</f>
        <v/>
      </c>
      <c r="V2860">
        <f>IF($A2860="","",$F2860&amp;"|"&amp;$U2860&amp;"|"&amp;$D2860)</f>
        <v/>
      </c>
      <c r="W2860">
        <f>IF($T2860="","",IF($X2860&gt;N($X2859),$X2860,""))</f>
        <v/>
      </c>
      <c r="X2860">
        <f>IF($T2860="",N($X2859),IF(MATCH($T2860,$T$6:$T$6005,0)=ROW()-5,N($X2859)+1,N($X2859)))</f>
        <v/>
      </c>
      <c r="Z2860">
        <f>IF($V2860="","",IF($AA2860&gt;N($AA2859),$AA2860,""))</f>
        <v/>
      </c>
      <c r="AA2860">
        <f>IF($V2860="",N($AA2859),IF(MATCH($V2860,$V$6:$V$6005,0)=ROW()-5,N($AA2859)+1,N($AA2859)))</f>
        <v/>
      </c>
    </row>
    <row r="2861" ht="21" customHeight="1" s="66">
      <c r="A2861" s="56" t="n"/>
      <c r="B2861" s="57" t="n"/>
      <c r="C2861" s="57" t="n"/>
      <c r="D2861" s="57" t="n"/>
      <c r="E2861" s="56" t="n"/>
      <c r="F2861" s="57" t="n"/>
      <c r="G2861" s="57" t="n"/>
      <c r="H2861" s="56" t="n"/>
      <c r="I2861" s="56" t="n"/>
      <c r="J2861" s="58" t="n"/>
      <c r="K2861" s="58" t="n"/>
      <c r="L2861" s="13">
        <f>IF(OR($A2861="",AND($J2861="",$K2861="")),"",ROUND(N($J2861)-N($K2861),2))</f>
        <v/>
      </c>
      <c r="M2861" s="13">
        <f>IF(OR($A2861="",AND($J2861="",$K2861="")),"",MIN($J2861,$K2861))</f>
        <v/>
      </c>
      <c r="Q2861">
        <f>IF($A2861="","",$D2861&amp;"("&amp;SUBSTITUTE($E2861," ","")&amp;")")</f>
        <v/>
      </c>
      <c r="R2861">
        <f>IF($A2861="","",$B2861&amp;" - "&amp;$C2861)</f>
        <v/>
      </c>
      <c r="S2861">
        <f>IF($A2861="","",$R2861&amp;"|"&amp;$Q2861)</f>
        <v/>
      </c>
      <c r="T2861">
        <f>IF($A2861="","",$S2861&amp;"|"&amp;$F2861)</f>
        <v/>
      </c>
      <c r="U2861">
        <f>IF($A2861="","",$R2861&amp;"("&amp;$E2861&amp;")")</f>
        <v/>
      </c>
      <c r="V2861">
        <f>IF($A2861="","",$F2861&amp;"|"&amp;$U2861&amp;"|"&amp;$D2861)</f>
        <v/>
      </c>
      <c r="W2861">
        <f>IF($T2861="","",IF($X2861&gt;N($X2860),$X2861,""))</f>
        <v/>
      </c>
      <c r="X2861">
        <f>IF($T2861="",N($X2860),IF(MATCH($T2861,$T$6:$T$6005,0)=ROW()-5,N($X2860)+1,N($X2860)))</f>
        <v/>
      </c>
      <c r="Z2861">
        <f>IF($V2861="","",IF($AA2861&gt;N($AA2860),$AA2861,""))</f>
        <v/>
      </c>
      <c r="AA2861">
        <f>IF($V2861="",N($AA2860),IF(MATCH($V2861,$V$6:$V$6005,0)=ROW()-5,N($AA2860)+1,N($AA2860)))</f>
        <v/>
      </c>
    </row>
    <row r="2862" ht="21" customHeight="1" s="66">
      <c r="A2862" s="56" t="n"/>
      <c r="B2862" s="57" t="n"/>
      <c r="C2862" s="57" t="n"/>
      <c r="D2862" s="57" t="n"/>
      <c r="E2862" s="56" t="n"/>
      <c r="F2862" s="57" t="n"/>
      <c r="G2862" s="57" t="n"/>
      <c r="H2862" s="56" t="n"/>
      <c r="I2862" s="56" t="n"/>
      <c r="J2862" s="58" t="n"/>
      <c r="K2862" s="58" t="n"/>
      <c r="L2862" s="13">
        <f>IF(OR($A2862="",AND($J2862="",$K2862="")),"",ROUND(N($J2862)-N($K2862),2))</f>
        <v/>
      </c>
      <c r="M2862" s="13">
        <f>IF(OR($A2862="",AND($J2862="",$K2862="")),"",MIN($J2862,$K2862))</f>
        <v/>
      </c>
      <c r="Q2862">
        <f>IF($A2862="","",$D2862&amp;"("&amp;SUBSTITUTE($E2862," ","")&amp;")")</f>
        <v/>
      </c>
      <c r="R2862">
        <f>IF($A2862="","",$B2862&amp;" - "&amp;$C2862)</f>
        <v/>
      </c>
      <c r="S2862">
        <f>IF($A2862="","",$R2862&amp;"|"&amp;$Q2862)</f>
        <v/>
      </c>
      <c r="T2862">
        <f>IF($A2862="","",$S2862&amp;"|"&amp;$F2862)</f>
        <v/>
      </c>
      <c r="U2862">
        <f>IF($A2862="","",$R2862&amp;"("&amp;$E2862&amp;")")</f>
        <v/>
      </c>
      <c r="V2862">
        <f>IF($A2862="","",$F2862&amp;"|"&amp;$U2862&amp;"|"&amp;$D2862)</f>
        <v/>
      </c>
      <c r="W2862">
        <f>IF($T2862="","",IF($X2862&gt;N($X2861),$X2862,""))</f>
        <v/>
      </c>
      <c r="X2862">
        <f>IF($T2862="",N($X2861),IF(MATCH($T2862,$T$6:$T$6005,0)=ROW()-5,N($X2861)+1,N($X2861)))</f>
        <v/>
      </c>
      <c r="Z2862">
        <f>IF($V2862="","",IF($AA2862&gt;N($AA2861),$AA2862,""))</f>
        <v/>
      </c>
      <c r="AA2862">
        <f>IF($V2862="",N($AA2861),IF(MATCH($V2862,$V$6:$V$6005,0)=ROW()-5,N($AA2861)+1,N($AA2861)))</f>
        <v/>
      </c>
    </row>
    <row r="2863" ht="21" customHeight="1" s="66">
      <c r="A2863" s="56" t="n"/>
      <c r="B2863" s="57" t="n"/>
      <c r="C2863" s="57" t="n"/>
      <c r="D2863" s="57" t="n"/>
      <c r="E2863" s="56" t="n"/>
      <c r="F2863" s="57" t="n"/>
      <c r="G2863" s="57" t="n"/>
      <c r="H2863" s="56" t="n"/>
      <c r="I2863" s="56" t="n"/>
      <c r="J2863" s="58" t="n"/>
      <c r="K2863" s="58" t="n"/>
      <c r="L2863" s="13">
        <f>IF(OR($A2863="",AND($J2863="",$K2863="")),"",ROUND(N($J2863)-N($K2863),2))</f>
        <v/>
      </c>
      <c r="M2863" s="13">
        <f>IF(OR($A2863="",AND($J2863="",$K2863="")),"",MIN($J2863,$K2863))</f>
        <v/>
      </c>
      <c r="Q2863">
        <f>IF($A2863="","",$D2863&amp;"("&amp;SUBSTITUTE($E2863," ","")&amp;")")</f>
        <v/>
      </c>
      <c r="R2863">
        <f>IF($A2863="","",$B2863&amp;" - "&amp;$C2863)</f>
        <v/>
      </c>
      <c r="S2863">
        <f>IF($A2863="","",$R2863&amp;"|"&amp;$Q2863)</f>
        <v/>
      </c>
      <c r="T2863">
        <f>IF($A2863="","",$S2863&amp;"|"&amp;$F2863)</f>
        <v/>
      </c>
      <c r="U2863">
        <f>IF($A2863="","",$R2863&amp;"("&amp;$E2863&amp;")")</f>
        <v/>
      </c>
      <c r="V2863">
        <f>IF($A2863="","",$F2863&amp;"|"&amp;$U2863&amp;"|"&amp;$D2863)</f>
        <v/>
      </c>
      <c r="W2863">
        <f>IF($T2863="","",IF($X2863&gt;N($X2862),$X2863,""))</f>
        <v/>
      </c>
      <c r="X2863">
        <f>IF($T2863="",N($X2862),IF(MATCH($T2863,$T$6:$T$6005,0)=ROW()-5,N($X2862)+1,N($X2862)))</f>
        <v/>
      </c>
      <c r="Z2863">
        <f>IF($V2863="","",IF($AA2863&gt;N($AA2862),$AA2863,""))</f>
        <v/>
      </c>
      <c r="AA2863">
        <f>IF($V2863="",N($AA2862),IF(MATCH($V2863,$V$6:$V$6005,0)=ROW()-5,N($AA2862)+1,N($AA2862)))</f>
        <v/>
      </c>
    </row>
    <row r="2864" ht="21" customHeight="1" s="66">
      <c r="A2864" s="56" t="n"/>
      <c r="B2864" s="57" t="n"/>
      <c r="C2864" s="57" t="n"/>
      <c r="D2864" s="57" t="n"/>
      <c r="E2864" s="56" t="n"/>
      <c r="F2864" s="57" t="n"/>
      <c r="G2864" s="57" t="n"/>
      <c r="H2864" s="56" t="n"/>
      <c r="I2864" s="56" t="n"/>
      <c r="J2864" s="58" t="n"/>
      <c r="K2864" s="58" t="n"/>
      <c r="L2864" s="13">
        <f>IF(OR($A2864="",AND($J2864="",$K2864="")),"",ROUND(N($J2864)-N($K2864),2))</f>
        <v/>
      </c>
      <c r="M2864" s="13">
        <f>IF(OR($A2864="",AND($J2864="",$K2864="")),"",MIN($J2864,$K2864))</f>
        <v/>
      </c>
      <c r="Q2864">
        <f>IF($A2864="","",$D2864&amp;"("&amp;SUBSTITUTE($E2864," ","")&amp;")")</f>
        <v/>
      </c>
      <c r="R2864">
        <f>IF($A2864="","",$B2864&amp;" - "&amp;$C2864)</f>
        <v/>
      </c>
      <c r="S2864">
        <f>IF($A2864="","",$R2864&amp;"|"&amp;$Q2864)</f>
        <v/>
      </c>
      <c r="T2864">
        <f>IF($A2864="","",$S2864&amp;"|"&amp;$F2864)</f>
        <v/>
      </c>
      <c r="U2864">
        <f>IF($A2864="","",$R2864&amp;"("&amp;$E2864&amp;")")</f>
        <v/>
      </c>
      <c r="V2864">
        <f>IF($A2864="","",$F2864&amp;"|"&amp;$U2864&amp;"|"&amp;$D2864)</f>
        <v/>
      </c>
      <c r="W2864">
        <f>IF($T2864="","",IF($X2864&gt;N($X2863),$X2864,""))</f>
        <v/>
      </c>
      <c r="X2864">
        <f>IF($T2864="",N($X2863),IF(MATCH($T2864,$T$6:$T$6005,0)=ROW()-5,N($X2863)+1,N($X2863)))</f>
        <v/>
      </c>
      <c r="Z2864">
        <f>IF($V2864="","",IF($AA2864&gt;N($AA2863),$AA2864,""))</f>
        <v/>
      </c>
      <c r="AA2864">
        <f>IF($V2864="",N($AA2863),IF(MATCH($V2864,$V$6:$V$6005,0)=ROW()-5,N($AA2863)+1,N($AA2863)))</f>
        <v/>
      </c>
    </row>
    <row r="2865" ht="21" customHeight="1" s="66">
      <c r="A2865" s="56" t="n"/>
      <c r="B2865" s="57" t="n"/>
      <c r="C2865" s="57" t="n"/>
      <c r="D2865" s="57" t="n"/>
      <c r="E2865" s="56" t="n"/>
      <c r="F2865" s="57" t="n"/>
      <c r="G2865" s="57" t="n"/>
      <c r="H2865" s="56" t="n"/>
      <c r="I2865" s="56" t="n"/>
      <c r="J2865" s="58" t="n"/>
      <c r="K2865" s="58" t="n"/>
      <c r="L2865" s="13">
        <f>IF(OR($A2865="",AND($J2865="",$K2865="")),"",ROUND(N($J2865)-N($K2865),2))</f>
        <v/>
      </c>
      <c r="M2865" s="13">
        <f>IF(OR($A2865="",AND($J2865="",$K2865="")),"",MIN($J2865,$K2865))</f>
        <v/>
      </c>
      <c r="Q2865">
        <f>IF($A2865="","",$D2865&amp;"("&amp;SUBSTITUTE($E2865," ","")&amp;")")</f>
        <v/>
      </c>
      <c r="R2865">
        <f>IF($A2865="","",$B2865&amp;" - "&amp;$C2865)</f>
        <v/>
      </c>
      <c r="S2865">
        <f>IF($A2865="","",$R2865&amp;"|"&amp;$Q2865)</f>
        <v/>
      </c>
      <c r="T2865">
        <f>IF($A2865="","",$S2865&amp;"|"&amp;$F2865)</f>
        <v/>
      </c>
      <c r="U2865">
        <f>IF($A2865="","",$R2865&amp;"("&amp;$E2865&amp;")")</f>
        <v/>
      </c>
      <c r="V2865">
        <f>IF($A2865="","",$F2865&amp;"|"&amp;$U2865&amp;"|"&amp;$D2865)</f>
        <v/>
      </c>
      <c r="W2865">
        <f>IF($T2865="","",IF($X2865&gt;N($X2864),$X2865,""))</f>
        <v/>
      </c>
      <c r="X2865">
        <f>IF($T2865="",N($X2864),IF(MATCH($T2865,$T$6:$T$6005,0)=ROW()-5,N($X2864)+1,N($X2864)))</f>
        <v/>
      </c>
      <c r="Z2865">
        <f>IF($V2865="","",IF($AA2865&gt;N($AA2864),$AA2865,""))</f>
        <v/>
      </c>
      <c r="AA2865">
        <f>IF($V2865="",N($AA2864),IF(MATCH($V2865,$V$6:$V$6005,0)=ROW()-5,N($AA2864)+1,N($AA2864)))</f>
        <v/>
      </c>
    </row>
    <row r="2866" ht="21" customHeight="1" s="66">
      <c r="A2866" s="56" t="n"/>
      <c r="B2866" s="57" t="n"/>
      <c r="C2866" s="57" t="n"/>
      <c r="D2866" s="57" t="n"/>
      <c r="E2866" s="56" t="n"/>
      <c r="F2866" s="57" t="n"/>
      <c r="G2866" s="57" t="n"/>
      <c r="H2866" s="56" t="n"/>
      <c r="I2866" s="56" t="n"/>
      <c r="J2866" s="58" t="n"/>
      <c r="K2866" s="58" t="n"/>
      <c r="L2866" s="13">
        <f>IF(OR($A2866="",AND($J2866="",$K2866="")),"",ROUND(N($J2866)-N($K2866),2))</f>
        <v/>
      </c>
      <c r="M2866" s="13">
        <f>IF(OR($A2866="",AND($J2866="",$K2866="")),"",MIN($J2866,$K2866))</f>
        <v/>
      </c>
      <c r="Q2866">
        <f>IF($A2866="","",$D2866&amp;"("&amp;SUBSTITUTE($E2866," ","")&amp;")")</f>
        <v/>
      </c>
      <c r="R2866">
        <f>IF($A2866="","",$B2866&amp;" - "&amp;$C2866)</f>
        <v/>
      </c>
      <c r="S2866">
        <f>IF($A2866="","",$R2866&amp;"|"&amp;$Q2866)</f>
        <v/>
      </c>
      <c r="T2866">
        <f>IF($A2866="","",$S2866&amp;"|"&amp;$F2866)</f>
        <v/>
      </c>
      <c r="U2866">
        <f>IF($A2866="","",$R2866&amp;"("&amp;$E2866&amp;")")</f>
        <v/>
      </c>
      <c r="V2866">
        <f>IF($A2866="","",$F2866&amp;"|"&amp;$U2866&amp;"|"&amp;$D2866)</f>
        <v/>
      </c>
      <c r="W2866">
        <f>IF($T2866="","",IF($X2866&gt;N($X2865),$X2866,""))</f>
        <v/>
      </c>
      <c r="X2866">
        <f>IF($T2866="",N($X2865),IF(MATCH($T2866,$T$6:$T$6005,0)=ROW()-5,N($X2865)+1,N($X2865)))</f>
        <v/>
      </c>
      <c r="Z2866">
        <f>IF($V2866="","",IF($AA2866&gt;N($AA2865),$AA2866,""))</f>
        <v/>
      </c>
      <c r="AA2866">
        <f>IF($V2866="",N($AA2865),IF(MATCH($V2866,$V$6:$V$6005,0)=ROW()-5,N($AA2865)+1,N($AA2865)))</f>
        <v/>
      </c>
    </row>
    <row r="2867" ht="21" customHeight="1" s="66">
      <c r="A2867" s="56" t="n"/>
      <c r="B2867" s="57" t="n"/>
      <c r="C2867" s="57" t="n"/>
      <c r="D2867" s="57" t="n"/>
      <c r="E2867" s="56" t="n"/>
      <c r="F2867" s="57" t="n"/>
      <c r="G2867" s="57" t="n"/>
      <c r="H2867" s="56" t="n"/>
      <c r="I2867" s="56" t="n"/>
      <c r="J2867" s="58" t="n"/>
      <c r="K2867" s="58" t="n"/>
      <c r="L2867" s="13">
        <f>IF(OR($A2867="",AND($J2867="",$K2867="")),"",ROUND(N($J2867)-N($K2867),2))</f>
        <v/>
      </c>
      <c r="M2867" s="13">
        <f>IF(OR($A2867="",AND($J2867="",$K2867="")),"",MIN($J2867,$K2867))</f>
        <v/>
      </c>
      <c r="Q2867">
        <f>IF($A2867="","",$D2867&amp;"("&amp;SUBSTITUTE($E2867," ","")&amp;")")</f>
        <v/>
      </c>
      <c r="R2867">
        <f>IF($A2867="","",$B2867&amp;" - "&amp;$C2867)</f>
        <v/>
      </c>
      <c r="S2867">
        <f>IF($A2867="","",$R2867&amp;"|"&amp;$Q2867)</f>
        <v/>
      </c>
      <c r="T2867">
        <f>IF($A2867="","",$S2867&amp;"|"&amp;$F2867)</f>
        <v/>
      </c>
      <c r="U2867">
        <f>IF($A2867="","",$R2867&amp;"("&amp;$E2867&amp;")")</f>
        <v/>
      </c>
      <c r="V2867">
        <f>IF($A2867="","",$F2867&amp;"|"&amp;$U2867&amp;"|"&amp;$D2867)</f>
        <v/>
      </c>
      <c r="W2867">
        <f>IF($T2867="","",IF($X2867&gt;N($X2866),$X2867,""))</f>
        <v/>
      </c>
      <c r="X2867">
        <f>IF($T2867="",N($X2866),IF(MATCH($T2867,$T$6:$T$6005,0)=ROW()-5,N($X2866)+1,N($X2866)))</f>
        <v/>
      </c>
      <c r="Z2867">
        <f>IF($V2867="","",IF($AA2867&gt;N($AA2866),$AA2867,""))</f>
        <v/>
      </c>
      <c r="AA2867">
        <f>IF($V2867="",N($AA2866),IF(MATCH($V2867,$V$6:$V$6005,0)=ROW()-5,N($AA2866)+1,N($AA2866)))</f>
        <v/>
      </c>
    </row>
    <row r="2868" ht="21" customHeight="1" s="66">
      <c r="A2868" s="56" t="n"/>
      <c r="B2868" s="57" t="n"/>
      <c r="C2868" s="57" t="n"/>
      <c r="D2868" s="57" t="n"/>
      <c r="E2868" s="56" t="n"/>
      <c r="F2868" s="57" t="n"/>
      <c r="G2868" s="57" t="n"/>
      <c r="H2868" s="56" t="n"/>
      <c r="I2868" s="56" t="n"/>
      <c r="J2868" s="58" t="n"/>
      <c r="K2868" s="58" t="n"/>
      <c r="L2868" s="13">
        <f>IF(OR($A2868="",AND($J2868="",$K2868="")),"",ROUND(N($J2868)-N($K2868),2))</f>
        <v/>
      </c>
      <c r="M2868" s="13">
        <f>IF(OR($A2868="",AND($J2868="",$K2868="")),"",MIN($J2868,$K2868))</f>
        <v/>
      </c>
      <c r="Q2868">
        <f>IF($A2868="","",$D2868&amp;"("&amp;SUBSTITUTE($E2868," ","")&amp;")")</f>
        <v/>
      </c>
      <c r="R2868">
        <f>IF($A2868="","",$B2868&amp;" - "&amp;$C2868)</f>
        <v/>
      </c>
      <c r="S2868">
        <f>IF($A2868="","",$R2868&amp;"|"&amp;$Q2868)</f>
        <v/>
      </c>
      <c r="T2868">
        <f>IF($A2868="","",$S2868&amp;"|"&amp;$F2868)</f>
        <v/>
      </c>
      <c r="U2868">
        <f>IF($A2868="","",$R2868&amp;"("&amp;$E2868&amp;")")</f>
        <v/>
      </c>
      <c r="V2868">
        <f>IF($A2868="","",$F2868&amp;"|"&amp;$U2868&amp;"|"&amp;$D2868)</f>
        <v/>
      </c>
      <c r="W2868">
        <f>IF($T2868="","",IF($X2868&gt;N($X2867),$X2868,""))</f>
        <v/>
      </c>
      <c r="X2868">
        <f>IF($T2868="",N($X2867),IF(MATCH($T2868,$T$6:$T$6005,0)=ROW()-5,N($X2867)+1,N($X2867)))</f>
        <v/>
      </c>
      <c r="Z2868">
        <f>IF($V2868="","",IF($AA2868&gt;N($AA2867),$AA2868,""))</f>
        <v/>
      </c>
      <c r="AA2868">
        <f>IF($V2868="",N($AA2867),IF(MATCH($V2868,$V$6:$V$6005,0)=ROW()-5,N($AA2867)+1,N($AA2867)))</f>
        <v/>
      </c>
    </row>
    <row r="2869" ht="21" customHeight="1" s="66">
      <c r="A2869" s="56" t="n"/>
      <c r="B2869" s="57" t="n"/>
      <c r="C2869" s="57" t="n"/>
      <c r="D2869" s="57" t="n"/>
      <c r="E2869" s="56" t="n"/>
      <c r="F2869" s="57" t="n"/>
      <c r="G2869" s="57" t="n"/>
      <c r="H2869" s="56" t="n"/>
      <c r="I2869" s="56" t="n"/>
      <c r="J2869" s="58" t="n"/>
      <c r="K2869" s="58" t="n"/>
      <c r="L2869" s="13">
        <f>IF(OR($A2869="",AND($J2869="",$K2869="")),"",ROUND(N($J2869)-N($K2869),2))</f>
        <v/>
      </c>
      <c r="M2869" s="13">
        <f>IF(OR($A2869="",AND($J2869="",$K2869="")),"",MIN($J2869,$K2869))</f>
        <v/>
      </c>
      <c r="Q2869">
        <f>IF($A2869="","",$D2869&amp;"("&amp;SUBSTITUTE($E2869," ","")&amp;")")</f>
        <v/>
      </c>
      <c r="R2869">
        <f>IF($A2869="","",$B2869&amp;" - "&amp;$C2869)</f>
        <v/>
      </c>
      <c r="S2869">
        <f>IF($A2869="","",$R2869&amp;"|"&amp;$Q2869)</f>
        <v/>
      </c>
      <c r="T2869">
        <f>IF($A2869="","",$S2869&amp;"|"&amp;$F2869)</f>
        <v/>
      </c>
      <c r="U2869">
        <f>IF($A2869="","",$R2869&amp;"("&amp;$E2869&amp;")")</f>
        <v/>
      </c>
      <c r="V2869">
        <f>IF($A2869="","",$F2869&amp;"|"&amp;$U2869&amp;"|"&amp;$D2869)</f>
        <v/>
      </c>
      <c r="W2869">
        <f>IF($T2869="","",IF($X2869&gt;N($X2868),$X2869,""))</f>
        <v/>
      </c>
      <c r="X2869">
        <f>IF($T2869="",N($X2868),IF(MATCH($T2869,$T$6:$T$6005,0)=ROW()-5,N($X2868)+1,N($X2868)))</f>
        <v/>
      </c>
      <c r="Z2869">
        <f>IF($V2869="","",IF($AA2869&gt;N($AA2868),$AA2869,""))</f>
        <v/>
      </c>
      <c r="AA2869">
        <f>IF($V2869="",N($AA2868),IF(MATCH($V2869,$V$6:$V$6005,0)=ROW()-5,N($AA2868)+1,N($AA2868)))</f>
        <v/>
      </c>
    </row>
    <row r="2870" ht="21" customHeight="1" s="66">
      <c r="A2870" s="56" t="n"/>
      <c r="B2870" s="57" t="n"/>
      <c r="C2870" s="57" t="n"/>
      <c r="D2870" s="57" t="n"/>
      <c r="E2870" s="56" t="n"/>
      <c r="F2870" s="57" t="n"/>
      <c r="G2870" s="57" t="n"/>
      <c r="H2870" s="56" t="n"/>
      <c r="I2870" s="56" t="n"/>
      <c r="J2870" s="58" t="n"/>
      <c r="K2870" s="58" t="n"/>
      <c r="L2870" s="13">
        <f>IF(OR($A2870="",AND($J2870="",$K2870="")),"",ROUND(N($J2870)-N($K2870),2))</f>
        <v/>
      </c>
      <c r="M2870" s="13">
        <f>IF(OR($A2870="",AND($J2870="",$K2870="")),"",MIN($J2870,$K2870))</f>
        <v/>
      </c>
      <c r="Q2870">
        <f>IF($A2870="","",$D2870&amp;"("&amp;SUBSTITUTE($E2870," ","")&amp;")")</f>
        <v/>
      </c>
      <c r="R2870">
        <f>IF($A2870="","",$B2870&amp;" - "&amp;$C2870)</f>
        <v/>
      </c>
      <c r="S2870">
        <f>IF($A2870="","",$R2870&amp;"|"&amp;$Q2870)</f>
        <v/>
      </c>
      <c r="T2870">
        <f>IF($A2870="","",$S2870&amp;"|"&amp;$F2870)</f>
        <v/>
      </c>
      <c r="U2870">
        <f>IF($A2870="","",$R2870&amp;"("&amp;$E2870&amp;")")</f>
        <v/>
      </c>
      <c r="V2870">
        <f>IF($A2870="","",$F2870&amp;"|"&amp;$U2870&amp;"|"&amp;$D2870)</f>
        <v/>
      </c>
      <c r="W2870">
        <f>IF($T2870="","",IF($X2870&gt;N($X2869),$X2870,""))</f>
        <v/>
      </c>
      <c r="X2870">
        <f>IF($T2870="",N($X2869),IF(MATCH($T2870,$T$6:$T$6005,0)=ROW()-5,N($X2869)+1,N($X2869)))</f>
        <v/>
      </c>
      <c r="Z2870">
        <f>IF($V2870="","",IF($AA2870&gt;N($AA2869),$AA2870,""))</f>
        <v/>
      </c>
      <c r="AA2870">
        <f>IF($V2870="",N($AA2869),IF(MATCH($V2870,$V$6:$V$6005,0)=ROW()-5,N($AA2869)+1,N($AA2869)))</f>
        <v/>
      </c>
    </row>
    <row r="2871" ht="21" customHeight="1" s="66">
      <c r="A2871" s="56" t="n"/>
      <c r="B2871" s="57" t="n"/>
      <c r="C2871" s="57" t="n"/>
      <c r="D2871" s="57" t="n"/>
      <c r="E2871" s="56" t="n"/>
      <c r="F2871" s="57" t="n"/>
      <c r="G2871" s="57" t="n"/>
      <c r="H2871" s="56" t="n"/>
      <c r="I2871" s="56" t="n"/>
      <c r="J2871" s="58" t="n"/>
      <c r="K2871" s="58" t="n"/>
      <c r="L2871" s="13">
        <f>IF(OR($A2871="",AND($J2871="",$K2871="")),"",ROUND(N($J2871)-N($K2871),2))</f>
        <v/>
      </c>
      <c r="M2871" s="13">
        <f>IF(OR($A2871="",AND($J2871="",$K2871="")),"",MIN($J2871,$K2871))</f>
        <v/>
      </c>
      <c r="Q2871">
        <f>IF($A2871="","",$D2871&amp;"("&amp;SUBSTITUTE($E2871," ","")&amp;")")</f>
        <v/>
      </c>
      <c r="R2871">
        <f>IF($A2871="","",$B2871&amp;" - "&amp;$C2871)</f>
        <v/>
      </c>
      <c r="S2871">
        <f>IF($A2871="","",$R2871&amp;"|"&amp;$Q2871)</f>
        <v/>
      </c>
      <c r="T2871">
        <f>IF($A2871="","",$S2871&amp;"|"&amp;$F2871)</f>
        <v/>
      </c>
      <c r="U2871">
        <f>IF($A2871="","",$R2871&amp;"("&amp;$E2871&amp;")")</f>
        <v/>
      </c>
      <c r="V2871">
        <f>IF($A2871="","",$F2871&amp;"|"&amp;$U2871&amp;"|"&amp;$D2871)</f>
        <v/>
      </c>
      <c r="W2871">
        <f>IF($T2871="","",IF($X2871&gt;N($X2870),$X2871,""))</f>
        <v/>
      </c>
      <c r="X2871">
        <f>IF($T2871="",N($X2870),IF(MATCH($T2871,$T$6:$T$6005,0)=ROW()-5,N($X2870)+1,N($X2870)))</f>
        <v/>
      </c>
      <c r="Z2871">
        <f>IF($V2871="","",IF($AA2871&gt;N($AA2870),$AA2871,""))</f>
        <v/>
      </c>
      <c r="AA2871">
        <f>IF($V2871="",N($AA2870),IF(MATCH($V2871,$V$6:$V$6005,0)=ROW()-5,N($AA2870)+1,N($AA2870)))</f>
        <v/>
      </c>
    </row>
    <row r="2872" ht="21" customHeight="1" s="66">
      <c r="A2872" s="56" t="n"/>
      <c r="B2872" s="57" t="n"/>
      <c r="C2872" s="57" t="n"/>
      <c r="D2872" s="57" t="n"/>
      <c r="E2872" s="56" t="n"/>
      <c r="F2872" s="57" t="n"/>
      <c r="G2872" s="57" t="n"/>
      <c r="H2872" s="56" t="n"/>
      <c r="I2872" s="56" t="n"/>
      <c r="J2872" s="58" t="n"/>
      <c r="K2872" s="58" t="n"/>
      <c r="L2872" s="13">
        <f>IF(OR($A2872="",AND($J2872="",$K2872="")),"",ROUND(N($J2872)-N($K2872),2))</f>
        <v/>
      </c>
      <c r="M2872" s="13">
        <f>IF(OR($A2872="",AND($J2872="",$K2872="")),"",MIN($J2872,$K2872))</f>
        <v/>
      </c>
      <c r="Q2872">
        <f>IF($A2872="","",$D2872&amp;"("&amp;SUBSTITUTE($E2872," ","")&amp;")")</f>
        <v/>
      </c>
      <c r="R2872">
        <f>IF($A2872="","",$B2872&amp;" - "&amp;$C2872)</f>
        <v/>
      </c>
      <c r="S2872">
        <f>IF($A2872="","",$R2872&amp;"|"&amp;$Q2872)</f>
        <v/>
      </c>
      <c r="T2872">
        <f>IF($A2872="","",$S2872&amp;"|"&amp;$F2872)</f>
        <v/>
      </c>
      <c r="U2872">
        <f>IF($A2872="","",$R2872&amp;"("&amp;$E2872&amp;")")</f>
        <v/>
      </c>
      <c r="V2872">
        <f>IF($A2872="","",$F2872&amp;"|"&amp;$U2872&amp;"|"&amp;$D2872)</f>
        <v/>
      </c>
      <c r="W2872">
        <f>IF($T2872="","",IF($X2872&gt;N($X2871),$X2872,""))</f>
        <v/>
      </c>
      <c r="X2872">
        <f>IF($T2872="",N($X2871),IF(MATCH($T2872,$T$6:$T$6005,0)=ROW()-5,N($X2871)+1,N($X2871)))</f>
        <v/>
      </c>
      <c r="Z2872">
        <f>IF($V2872="","",IF($AA2872&gt;N($AA2871),$AA2872,""))</f>
        <v/>
      </c>
      <c r="AA2872">
        <f>IF($V2872="",N($AA2871),IF(MATCH($V2872,$V$6:$V$6005,0)=ROW()-5,N($AA2871)+1,N($AA2871)))</f>
        <v/>
      </c>
    </row>
    <row r="2873" ht="21" customHeight="1" s="66">
      <c r="A2873" s="56" t="n"/>
      <c r="B2873" s="57" t="n"/>
      <c r="C2873" s="57" t="n"/>
      <c r="D2873" s="57" t="n"/>
      <c r="E2873" s="56" t="n"/>
      <c r="F2873" s="57" t="n"/>
      <c r="G2873" s="57" t="n"/>
      <c r="H2873" s="56" t="n"/>
      <c r="I2873" s="56" t="n"/>
      <c r="J2873" s="58" t="n"/>
      <c r="K2873" s="58" t="n"/>
      <c r="L2873" s="13">
        <f>IF(OR($A2873="",AND($J2873="",$K2873="")),"",ROUND(N($J2873)-N($K2873),2))</f>
        <v/>
      </c>
      <c r="M2873" s="13">
        <f>IF(OR($A2873="",AND($J2873="",$K2873="")),"",MIN($J2873,$K2873))</f>
        <v/>
      </c>
      <c r="Q2873">
        <f>IF($A2873="","",$D2873&amp;"("&amp;SUBSTITUTE($E2873," ","")&amp;")")</f>
        <v/>
      </c>
      <c r="R2873">
        <f>IF($A2873="","",$B2873&amp;" - "&amp;$C2873)</f>
        <v/>
      </c>
      <c r="S2873">
        <f>IF($A2873="","",$R2873&amp;"|"&amp;$Q2873)</f>
        <v/>
      </c>
      <c r="T2873">
        <f>IF($A2873="","",$S2873&amp;"|"&amp;$F2873)</f>
        <v/>
      </c>
      <c r="U2873">
        <f>IF($A2873="","",$R2873&amp;"("&amp;$E2873&amp;")")</f>
        <v/>
      </c>
      <c r="V2873">
        <f>IF($A2873="","",$F2873&amp;"|"&amp;$U2873&amp;"|"&amp;$D2873)</f>
        <v/>
      </c>
      <c r="W2873">
        <f>IF($T2873="","",IF($X2873&gt;N($X2872),$X2873,""))</f>
        <v/>
      </c>
      <c r="X2873">
        <f>IF($T2873="",N($X2872),IF(MATCH($T2873,$T$6:$T$6005,0)=ROW()-5,N($X2872)+1,N($X2872)))</f>
        <v/>
      </c>
      <c r="Z2873">
        <f>IF($V2873="","",IF($AA2873&gt;N($AA2872),$AA2873,""))</f>
        <v/>
      </c>
      <c r="AA2873">
        <f>IF($V2873="",N($AA2872),IF(MATCH($V2873,$V$6:$V$6005,0)=ROW()-5,N($AA2872)+1,N($AA2872)))</f>
        <v/>
      </c>
    </row>
    <row r="2874" ht="21" customHeight="1" s="66">
      <c r="A2874" s="56" t="n"/>
      <c r="B2874" s="57" t="n"/>
      <c r="C2874" s="57" t="n"/>
      <c r="D2874" s="57" t="n"/>
      <c r="E2874" s="56" t="n"/>
      <c r="F2874" s="57" t="n"/>
      <c r="G2874" s="57" t="n"/>
      <c r="H2874" s="56" t="n"/>
      <c r="I2874" s="56" t="n"/>
      <c r="J2874" s="58" t="n"/>
      <c r="K2874" s="58" t="n"/>
      <c r="L2874" s="13">
        <f>IF(OR($A2874="",AND($J2874="",$K2874="")),"",ROUND(N($J2874)-N($K2874),2))</f>
        <v/>
      </c>
      <c r="M2874" s="13">
        <f>IF(OR($A2874="",AND($J2874="",$K2874="")),"",MIN($J2874,$K2874))</f>
        <v/>
      </c>
      <c r="Q2874">
        <f>IF($A2874="","",$D2874&amp;"("&amp;SUBSTITUTE($E2874," ","")&amp;")")</f>
        <v/>
      </c>
      <c r="R2874">
        <f>IF($A2874="","",$B2874&amp;" - "&amp;$C2874)</f>
        <v/>
      </c>
      <c r="S2874">
        <f>IF($A2874="","",$R2874&amp;"|"&amp;$Q2874)</f>
        <v/>
      </c>
      <c r="T2874">
        <f>IF($A2874="","",$S2874&amp;"|"&amp;$F2874)</f>
        <v/>
      </c>
      <c r="U2874">
        <f>IF($A2874="","",$R2874&amp;"("&amp;$E2874&amp;")")</f>
        <v/>
      </c>
      <c r="V2874">
        <f>IF($A2874="","",$F2874&amp;"|"&amp;$U2874&amp;"|"&amp;$D2874)</f>
        <v/>
      </c>
      <c r="W2874">
        <f>IF($T2874="","",IF($X2874&gt;N($X2873),$X2874,""))</f>
        <v/>
      </c>
      <c r="X2874">
        <f>IF($T2874="",N($X2873),IF(MATCH($T2874,$T$6:$T$6005,0)=ROW()-5,N($X2873)+1,N($X2873)))</f>
        <v/>
      </c>
      <c r="Z2874">
        <f>IF($V2874="","",IF($AA2874&gt;N($AA2873),$AA2874,""))</f>
        <v/>
      </c>
      <c r="AA2874">
        <f>IF($V2874="",N($AA2873),IF(MATCH($V2874,$V$6:$V$6005,0)=ROW()-5,N($AA2873)+1,N($AA2873)))</f>
        <v/>
      </c>
    </row>
    <row r="2875" ht="21" customHeight="1" s="66">
      <c r="A2875" s="56" t="n"/>
      <c r="B2875" s="57" t="n"/>
      <c r="C2875" s="57" t="n"/>
      <c r="D2875" s="57" t="n"/>
      <c r="E2875" s="56" t="n"/>
      <c r="F2875" s="57" t="n"/>
      <c r="G2875" s="57" t="n"/>
      <c r="H2875" s="56" t="n"/>
      <c r="I2875" s="56" t="n"/>
      <c r="J2875" s="58" t="n"/>
      <c r="K2875" s="58" t="n"/>
      <c r="L2875" s="13">
        <f>IF(OR($A2875="",AND($J2875="",$K2875="")),"",ROUND(N($J2875)-N($K2875),2))</f>
        <v/>
      </c>
      <c r="M2875" s="13">
        <f>IF(OR($A2875="",AND($J2875="",$K2875="")),"",MIN($J2875,$K2875))</f>
        <v/>
      </c>
      <c r="Q2875">
        <f>IF($A2875="","",$D2875&amp;"("&amp;SUBSTITUTE($E2875," ","")&amp;")")</f>
        <v/>
      </c>
      <c r="R2875">
        <f>IF($A2875="","",$B2875&amp;" - "&amp;$C2875)</f>
        <v/>
      </c>
      <c r="S2875">
        <f>IF($A2875="","",$R2875&amp;"|"&amp;$Q2875)</f>
        <v/>
      </c>
      <c r="T2875">
        <f>IF($A2875="","",$S2875&amp;"|"&amp;$F2875)</f>
        <v/>
      </c>
      <c r="U2875">
        <f>IF($A2875="","",$R2875&amp;"("&amp;$E2875&amp;")")</f>
        <v/>
      </c>
      <c r="V2875">
        <f>IF($A2875="","",$F2875&amp;"|"&amp;$U2875&amp;"|"&amp;$D2875)</f>
        <v/>
      </c>
      <c r="W2875">
        <f>IF($T2875="","",IF($X2875&gt;N($X2874),$X2875,""))</f>
        <v/>
      </c>
      <c r="X2875">
        <f>IF($T2875="",N($X2874),IF(MATCH($T2875,$T$6:$T$6005,0)=ROW()-5,N($X2874)+1,N($X2874)))</f>
        <v/>
      </c>
      <c r="Z2875">
        <f>IF($V2875="","",IF($AA2875&gt;N($AA2874),$AA2875,""))</f>
        <v/>
      </c>
      <c r="AA2875">
        <f>IF($V2875="",N($AA2874),IF(MATCH($V2875,$V$6:$V$6005,0)=ROW()-5,N($AA2874)+1,N($AA2874)))</f>
        <v/>
      </c>
    </row>
    <row r="2876" ht="21" customHeight="1" s="66">
      <c r="A2876" s="56" t="n"/>
      <c r="B2876" s="57" t="n"/>
      <c r="C2876" s="57" t="n"/>
      <c r="D2876" s="57" t="n"/>
      <c r="E2876" s="56" t="n"/>
      <c r="F2876" s="57" t="n"/>
      <c r="G2876" s="57" t="n"/>
      <c r="H2876" s="56" t="n"/>
      <c r="I2876" s="56" t="n"/>
      <c r="J2876" s="58" t="n"/>
      <c r="K2876" s="58" t="n"/>
      <c r="L2876" s="13">
        <f>IF(OR($A2876="",AND($J2876="",$K2876="")),"",ROUND(N($J2876)-N($K2876),2))</f>
        <v/>
      </c>
      <c r="M2876" s="13">
        <f>IF(OR($A2876="",AND($J2876="",$K2876="")),"",MIN($J2876,$K2876))</f>
        <v/>
      </c>
      <c r="Q2876">
        <f>IF($A2876="","",$D2876&amp;"("&amp;SUBSTITUTE($E2876," ","")&amp;")")</f>
        <v/>
      </c>
      <c r="R2876">
        <f>IF($A2876="","",$B2876&amp;" - "&amp;$C2876)</f>
        <v/>
      </c>
      <c r="S2876">
        <f>IF($A2876="","",$R2876&amp;"|"&amp;$Q2876)</f>
        <v/>
      </c>
      <c r="T2876">
        <f>IF($A2876="","",$S2876&amp;"|"&amp;$F2876)</f>
        <v/>
      </c>
      <c r="U2876">
        <f>IF($A2876="","",$R2876&amp;"("&amp;$E2876&amp;")")</f>
        <v/>
      </c>
      <c r="V2876">
        <f>IF($A2876="","",$F2876&amp;"|"&amp;$U2876&amp;"|"&amp;$D2876)</f>
        <v/>
      </c>
      <c r="W2876">
        <f>IF($T2876="","",IF($X2876&gt;N($X2875),$X2876,""))</f>
        <v/>
      </c>
      <c r="X2876">
        <f>IF($T2876="",N($X2875),IF(MATCH($T2876,$T$6:$T$6005,0)=ROW()-5,N($X2875)+1,N($X2875)))</f>
        <v/>
      </c>
      <c r="Z2876">
        <f>IF($V2876="","",IF($AA2876&gt;N($AA2875),$AA2876,""))</f>
        <v/>
      </c>
      <c r="AA2876">
        <f>IF($V2876="",N($AA2875),IF(MATCH($V2876,$V$6:$V$6005,0)=ROW()-5,N($AA2875)+1,N($AA2875)))</f>
        <v/>
      </c>
    </row>
    <row r="2877" ht="21" customHeight="1" s="66">
      <c r="A2877" s="56" t="n"/>
      <c r="B2877" s="57" t="n"/>
      <c r="C2877" s="57" t="n"/>
      <c r="D2877" s="57" t="n"/>
      <c r="E2877" s="56" t="n"/>
      <c r="F2877" s="57" t="n"/>
      <c r="G2877" s="57" t="n"/>
      <c r="H2877" s="56" t="n"/>
      <c r="I2877" s="56" t="n"/>
      <c r="J2877" s="58" t="n"/>
      <c r="K2877" s="58" t="n"/>
      <c r="L2877" s="13">
        <f>IF(OR($A2877="",AND($J2877="",$K2877="")),"",ROUND(N($J2877)-N($K2877),2))</f>
        <v/>
      </c>
      <c r="M2877" s="13">
        <f>IF(OR($A2877="",AND($J2877="",$K2877="")),"",MIN($J2877,$K2877))</f>
        <v/>
      </c>
      <c r="Q2877">
        <f>IF($A2877="","",$D2877&amp;"("&amp;SUBSTITUTE($E2877," ","")&amp;")")</f>
        <v/>
      </c>
      <c r="R2877">
        <f>IF($A2877="","",$B2877&amp;" - "&amp;$C2877)</f>
        <v/>
      </c>
      <c r="S2877">
        <f>IF($A2877="","",$R2877&amp;"|"&amp;$Q2877)</f>
        <v/>
      </c>
      <c r="T2877">
        <f>IF($A2877="","",$S2877&amp;"|"&amp;$F2877)</f>
        <v/>
      </c>
      <c r="U2877">
        <f>IF($A2877="","",$R2877&amp;"("&amp;$E2877&amp;")")</f>
        <v/>
      </c>
      <c r="V2877">
        <f>IF($A2877="","",$F2877&amp;"|"&amp;$U2877&amp;"|"&amp;$D2877)</f>
        <v/>
      </c>
      <c r="W2877">
        <f>IF($T2877="","",IF($X2877&gt;N($X2876),$X2877,""))</f>
        <v/>
      </c>
      <c r="X2877">
        <f>IF($T2877="",N($X2876),IF(MATCH($T2877,$T$6:$T$6005,0)=ROW()-5,N($X2876)+1,N($X2876)))</f>
        <v/>
      </c>
      <c r="Z2877">
        <f>IF($V2877="","",IF($AA2877&gt;N($AA2876),$AA2877,""))</f>
        <v/>
      </c>
      <c r="AA2877">
        <f>IF($V2877="",N($AA2876),IF(MATCH($V2877,$V$6:$V$6005,0)=ROW()-5,N($AA2876)+1,N($AA2876)))</f>
        <v/>
      </c>
    </row>
    <row r="2878" ht="21" customHeight="1" s="66">
      <c r="A2878" s="56" t="n"/>
      <c r="B2878" s="57" t="n"/>
      <c r="C2878" s="57" t="n"/>
      <c r="D2878" s="57" t="n"/>
      <c r="E2878" s="56" t="n"/>
      <c r="F2878" s="57" t="n"/>
      <c r="G2878" s="57" t="n"/>
      <c r="H2878" s="56" t="n"/>
      <c r="I2878" s="56" t="n"/>
      <c r="J2878" s="58" t="n"/>
      <c r="K2878" s="58" t="n"/>
      <c r="L2878" s="13">
        <f>IF(OR($A2878="",AND($J2878="",$K2878="")),"",ROUND(N($J2878)-N($K2878),2))</f>
        <v/>
      </c>
      <c r="M2878" s="13">
        <f>IF(OR($A2878="",AND($J2878="",$K2878="")),"",MIN($J2878,$K2878))</f>
        <v/>
      </c>
      <c r="Q2878">
        <f>IF($A2878="","",$D2878&amp;"("&amp;SUBSTITUTE($E2878," ","")&amp;")")</f>
        <v/>
      </c>
      <c r="R2878">
        <f>IF($A2878="","",$B2878&amp;" - "&amp;$C2878)</f>
        <v/>
      </c>
      <c r="S2878">
        <f>IF($A2878="","",$R2878&amp;"|"&amp;$Q2878)</f>
        <v/>
      </c>
      <c r="T2878">
        <f>IF($A2878="","",$S2878&amp;"|"&amp;$F2878)</f>
        <v/>
      </c>
      <c r="U2878">
        <f>IF($A2878="","",$R2878&amp;"("&amp;$E2878&amp;")")</f>
        <v/>
      </c>
      <c r="V2878">
        <f>IF($A2878="","",$F2878&amp;"|"&amp;$U2878&amp;"|"&amp;$D2878)</f>
        <v/>
      </c>
      <c r="W2878">
        <f>IF($T2878="","",IF($X2878&gt;N($X2877),$X2878,""))</f>
        <v/>
      </c>
      <c r="X2878">
        <f>IF($T2878="",N($X2877),IF(MATCH($T2878,$T$6:$T$6005,0)=ROW()-5,N($X2877)+1,N($X2877)))</f>
        <v/>
      </c>
      <c r="Z2878">
        <f>IF($V2878="","",IF($AA2878&gt;N($AA2877),$AA2878,""))</f>
        <v/>
      </c>
      <c r="AA2878">
        <f>IF($V2878="",N($AA2877),IF(MATCH($V2878,$V$6:$V$6005,0)=ROW()-5,N($AA2877)+1,N($AA2877)))</f>
        <v/>
      </c>
    </row>
    <row r="2879" ht="21" customHeight="1" s="66">
      <c r="A2879" s="56" t="n"/>
      <c r="B2879" s="57" t="n"/>
      <c r="C2879" s="57" t="n"/>
      <c r="D2879" s="57" t="n"/>
      <c r="E2879" s="56" t="n"/>
      <c r="F2879" s="57" t="n"/>
      <c r="G2879" s="57" t="n"/>
      <c r="H2879" s="56" t="n"/>
      <c r="I2879" s="56" t="n"/>
      <c r="J2879" s="58" t="n"/>
      <c r="K2879" s="58" t="n"/>
      <c r="L2879" s="13">
        <f>IF(OR($A2879="",AND($J2879="",$K2879="")),"",ROUND(N($J2879)-N($K2879),2))</f>
        <v/>
      </c>
      <c r="M2879" s="13">
        <f>IF(OR($A2879="",AND($J2879="",$K2879="")),"",MIN($J2879,$K2879))</f>
        <v/>
      </c>
      <c r="Q2879">
        <f>IF($A2879="","",$D2879&amp;"("&amp;SUBSTITUTE($E2879," ","")&amp;")")</f>
        <v/>
      </c>
      <c r="R2879">
        <f>IF($A2879="","",$B2879&amp;" - "&amp;$C2879)</f>
        <v/>
      </c>
      <c r="S2879">
        <f>IF($A2879="","",$R2879&amp;"|"&amp;$Q2879)</f>
        <v/>
      </c>
      <c r="T2879">
        <f>IF($A2879="","",$S2879&amp;"|"&amp;$F2879)</f>
        <v/>
      </c>
      <c r="U2879">
        <f>IF($A2879="","",$R2879&amp;"("&amp;$E2879&amp;")")</f>
        <v/>
      </c>
      <c r="V2879">
        <f>IF($A2879="","",$F2879&amp;"|"&amp;$U2879&amp;"|"&amp;$D2879)</f>
        <v/>
      </c>
      <c r="W2879">
        <f>IF($T2879="","",IF($X2879&gt;N($X2878),$X2879,""))</f>
        <v/>
      </c>
      <c r="X2879">
        <f>IF($T2879="",N($X2878),IF(MATCH($T2879,$T$6:$T$6005,0)=ROW()-5,N($X2878)+1,N($X2878)))</f>
        <v/>
      </c>
      <c r="Z2879">
        <f>IF($V2879="","",IF($AA2879&gt;N($AA2878),$AA2879,""))</f>
        <v/>
      </c>
      <c r="AA2879">
        <f>IF($V2879="",N($AA2878),IF(MATCH($V2879,$V$6:$V$6005,0)=ROW()-5,N($AA2878)+1,N($AA2878)))</f>
        <v/>
      </c>
    </row>
    <row r="2880" ht="21" customHeight="1" s="66">
      <c r="A2880" s="56" t="n"/>
      <c r="B2880" s="57" t="n"/>
      <c r="C2880" s="57" t="n"/>
      <c r="D2880" s="57" t="n"/>
      <c r="E2880" s="56" t="n"/>
      <c r="F2880" s="57" t="n"/>
      <c r="G2880" s="57" t="n"/>
      <c r="H2880" s="56" t="n"/>
      <c r="I2880" s="56" t="n"/>
      <c r="J2880" s="58" t="n"/>
      <c r="K2880" s="58" t="n"/>
      <c r="L2880" s="13">
        <f>IF(OR($A2880="",AND($J2880="",$K2880="")),"",ROUND(N($J2880)-N($K2880),2))</f>
        <v/>
      </c>
      <c r="M2880" s="13">
        <f>IF(OR($A2880="",AND($J2880="",$K2880="")),"",MIN($J2880,$K2880))</f>
        <v/>
      </c>
      <c r="Q2880">
        <f>IF($A2880="","",$D2880&amp;"("&amp;SUBSTITUTE($E2880," ","")&amp;")")</f>
        <v/>
      </c>
      <c r="R2880">
        <f>IF($A2880="","",$B2880&amp;" - "&amp;$C2880)</f>
        <v/>
      </c>
      <c r="S2880">
        <f>IF($A2880="","",$R2880&amp;"|"&amp;$Q2880)</f>
        <v/>
      </c>
      <c r="T2880">
        <f>IF($A2880="","",$S2880&amp;"|"&amp;$F2880)</f>
        <v/>
      </c>
      <c r="U2880">
        <f>IF($A2880="","",$R2880&amp;"("&amp;$E2880&amp;")")</f>
        <v/>
      </c>
      <c r="V2880">
        <f>IF($A2880="","",$F2880&amp;"|"&amp;$U2880&amp;"|"&amp;$D2880)</f>
        <v/>
      </c>
      <c r="W2880">
        <f>IF($T2880="","",IF($X2880&gt;N($X2879),$X2880,""))</f>
        <v/>
      </c>
      <c r="X2880">
        <f>IF($T2880="",N($X2879),IF(MATCH($T2880,$T$6:$T$6005,0)=ROW()-5,N($X2879)+1,N($X2879)))</f>
        <v/>
      </c>
      <c r="Z2880">
        <f>IF($V2880="","",IF($AA2880&gt;N($AA2879),$AA2880,""))</f>
        <v/>
      </c>
      <c r="AA2880">
        <f>IF($V2880="",N($AA2879),IF(MATCH($V2880,$V$6:$V$6005,0)=ROW()-5,N($AA2879)+1,N($AA2879)))</f>
        <v/>
      </c>
    </row>
    <row r="2881" ht="21" customHeight="1" s="66">
      <c r="A2881" s="56" t="n"/>
      <c r="B2881" s="57" t="n"/>
      <c r="C2881" s="57" t="n"/>
      <c r="D2881" s="57" t="n"/>
      <c r="E2881" s="56" t="n"/>
      <c r="F2881" s="57" t="n"/>
      <c r="G2881" s="57" t="n"/>
      <c r="H2881" s="56" t="n"/>
      <c r="I2881" s="56" t="n"/>
      <c r="J2881" s="58" t="n"/>
      <c r="K2881" s="58" t="n"/>
      <c r="L2881" s="13">
        <f>IF(OR($A2881="",AND($J2881="",$K2881="")),"",ROUND(N($J2881)-N($K2881),2))</f>
        <v/>
      </c>
      <c r="M2881" s="13">
        <f>IF(OR($A2881="",AND($J2881="",$K2881="")),"",MIN($J2881,$K2881))</f>
        <v/>
      </c>
      <c r="Q2881">
        <f>IF($A2881="","",$D2881&amp;"("&amp;SUBSTITUTE($E2881," ","")&amp;")")</f>
        <v/>
      </c>
      <c r="R2881">
        <f>IF($A2881="","",$B2881&amp;" - "&amp;$C2881)</f>
        <v/>
      </c>
      <c r="S2881">
        <f>IF($A2881="","",$R2881&amp;"|"&amp;$Q2881)</f>
        <v/>
      </c>
      <c r="T2881">
        <f>IF($A2881="","",$S2881&amp;"|"&amp;$F2881)</f>
        <v/>
      </c>
      <c r="U2881">
        <f>IF($A2881="","",$R2881&amp;"("&amp;$E2881&amp;")")</f>
        <v/>
      </c>
      <c r="V2881">
        <f>IF($A2881="","",$F2881&amp;"|"&amp;$U2881&amp;"|"&amp;$D2881)</f>
        <v/>
      </c>
      <c r="W2881">
        <f>IF($T2881="","",IF($X2881&gt;N($X2880),$X2881,""))</f>
        <v/>
      </c>
      <c r="X2881">
        <f>IF($T2881="",N($X2880),IF(MATCH($T2881,$T$6:$T$6005,0)=ROW()-5,N($X2880)+1,N($X2880)))</f>
        <v/>
      </c>
      <c r="Z2881">
        <f>IF($V2881="","",IF($AA2881&gt;N($AA2880),$AA2881,""))</f>
        <v/>
      </c>
      <c r="AA2881">
        <f>IF($V2881="",N($AA2880),IF(MATCH($V2881,$V$6:$V$6005,0)=ROW()-5,N($AA2880)+1,N($AA2880)))</f>
        <v/>
      </c>
    </row>
    <row r="2882" ht="21" customHeight="1" s="66">
      <c r="A2882" s="56" t="n"/>
      <c r="B2882" s="57" t="n"/>
      <c r="C2882" s="57" t="n"/>
      <c r="D2882" s="57" t="n"/>
      <c r="E2882" s="56" t="n"/>
      <c r="F2882" s="57" t="n"/>
      <c r="G2882" s="57" t="n"/>
      <c r="H2882" s="56" t="n"/>
      <c r="I2882" s="56" t="n"/>
      <c r="J2882" s="58" t="n"/>
      <c r="K2882" s="58" t="n"/>
      <c r="L2882" s="13">
        <f>IF(OR($A2882="",AND($J2882="",$K2882="")),"",ROUND(N($J2882)-N($K2882),2))</f>
        <v/>
      </c>
      <c r="M2882" s="13">
        <f>IF(OR($A2882="",AND($J2882="",$K2882="")),"",MIN($J2882,$K2882))</f>
        <v/>
      </c>
      <c r="Q2882">
        <f>IF($A2882="","",$D2882&amp;"("&amp;SUBSTITUTE($E2882," ","")&amp;")")</f>
        <v/>
      </c>
      <c r="R2882">
        <f>IF($A2882="","",$B2882&amp;" - "&amp;$C2882)</f>
        <v/>
      </c>
      <c r="S2882">
        <f>IF($A2882="","",$R2882&amp;"|"&amp;$Q2882)</f>
        <v/>
      </c>
      <c r="T2882">
        <f>IF($A2882="","",$S2882&amp;"|"&amp;$F2882)</f>
        <v/>
      </c>
      <c r="U2882">
        <f>IF($A2882="","",$R2882&amp;"("&amp;$E2882&amp;")")</f>
        <v/>
      </c>
      <c r="V2882">
        <f>IF($A2882="","",$F2882&amp;"|"&amp;$U2882&amp;"|"&amp;$D2882)</f>
        <v/>
      </c>
      <c r="W2882">
        <f>IF($T2882="","",IF($X2882&gt;N($X2881),$X2882,""))</f>
        <v/>
      </c>
      <c r="X2882">
        <f>IF($T2882="",N($X2881),IF(MATCH($T2882,$T$6:$T$6005,0)=ROW()-5,N($X2881)+1,N($X2881)))</f>
        <v/>
      </c>
      <c r="Z2882">
        <f>IF($V2882="","",IF($AA2882&gt;N($AA2881),$AA2882,""))</f>
        <v/>
      </c>
      <c r="AA2882">
        <f>IF($V2882="",N($AA2881),IF(MATCH($V2882,$V$6:$V$6005,0)=ROW()-5,N($AA2881)+1,N($AA2881)))</f>
        <v/>
      </c>
    </row>
    <row r="2883" ht="21" customHeight="1" s="66">
      <c r="A2883" s="56" t="n"/>
      <c r="B2883" s="57" t="n"/>
      <c r="C2883" s="57" t="n"/>
      <c r="D2883" s="57" t="n"/>
      <c r="E2883" s="56" t="n"/>
      <c r="F2883" s="57" t="n"/>
      <c r="G2883" s="57" t="n"/>
      <c r="H2883" s="56" t="n"/>
      <c r="I2883" s="56" t="n"/>
      <c r="J2883" s="58" t="n"/>
      <c r="K2883" s="58" t="n"/>
      <c r="L2883" s="13">
        <f>IF(OR($A2883="",AND($J2883="",$K2883="")),"",ROUND(N($J2883)-N($K2883),2))</f>
        <v/>
      </c>
      <c r="M2883" s="13">
        <f>IF(OR($A2883="",AND($J2883="",$K2883="")),"",MIN($J2883,$K2883))</f>
        <v/>
      </c>
      <c r="Q2883">
        <f>IF($A2883="","",$D2883&amp;"("&amp;SUBSTITUTE($E2883," ","")&amp;")")</f>
        <v/>
      </c>
      <c r="R2883">
        <f>IF($A2883="","",$B2883&amp;" - "&amp;$C2883)</f>
        <v/>
      </c>
      <c r="S2883">
        <f>IF($A2883="","",$R2883&amp;"|"&amp;$Q2883)</f>
        <v/>
      </c>
      <c r="T2883">
        <f>IF($A2883="","",$S2883&amp;"|"&amp;$F2883)</f>
        <v/>
      </c>
      <c r="U2883">
        <f>IF($A2883="","",$R2883&amp;"("&amp;$E2883&amp;")")</f>
        <v/>
      </c>
      <c r="V2883">
        <f>IF($A2883="","",$F2883&amp;"|"&amp;$U2883&amp;"|"&amp;$D2883)</f>
        <v/>
      </c>
      <c r="W2883">
        <f>IF($T2883="","",IF($X2883&gt;N($X2882),$X2883,""))</f>
        <v/>
      </c>
      <c r="X2883">
        <f>IF($T2883="",N($X2882),IF(MATCH($T2883,$T$6:$T$6005,0)=ROW()-5,N($X2882)+1,N($X2882)))</f>
        <v/>
      </c>
      <c r="Z2883">
        <f>IF($V2883="","",IF($AA2883&gt;N($AA2882),$AA2883,""))</f>
        <v/>
      </c>
      <c r="AA2883">
        <f>IF($V2883="",N($AA2882),IF(MATCH($V2883,$V$6:$V$6005,0)=ROW()-5,N($AA2882)+1,N($AA2882)))</f>
        <v/>
      </c>
    </row>
    <row r="2884" ht="21" customHeight="1" s="66">
      <c r="A2884" s="56" t="n"/>
      <c r="B2884" s="57" t="n"/>
      <c r="C2884" s="57" t="n"/>
      <c r="D2884" s="57" t="n"/>
      <c r="E2884" s="56" t="n"/>
      <c r="F2884" s="57" t="n"/>
      <c r="G2884" s="57" t="n"/>
      <c r="H2884" s="56" t="n"/>
      <c r="I2884" s="56" t="n"/>
      <c r="J2884" s="58" t="n"/>
      <c r="K2884" s="58" t="n"/>
      <c r="L2884" s="13">
        <f>IF(OR($A2884="",AND($J2884="",$K2884="")),"",ROUND(N($J2884)-N($K2884),2))</f>
        <v/>
      </c>
      <c r="M2884" s="13">
        <f>IF(OR($A2884="",AND($J2884="",$K2884="")),"",MIN($J2884,$K2884))</f>
        <v/>
      </c>
      <c r="Q2884">
        <f>IF($A2884="","",$D2884&amp;"("&amp;SUBSTITUTE($E2884," ","")&amp;")")</f>
        <v/>
      </c>
      <c r="R2884">
        <f>IF($A2884="","",$B2884&amp;" - "&amp;$C2884)</f>
        <v/>
      </c>
      <c r="S2884">
        <f>IF($A2884="","",$R2884&amp;"|"&amp;$Q2884)</f>
        <v/>
      </c>
      <c r="T2884">
        <f>IF($A2884="","",$S2884&amp;"|"&amp;$F2884)</f>
        <v/>
      </c>
      <c r="U2884">
        <f>IF($A2884="","",$R2884&amp;"("&amp;$E2884&amp;")")</f>
        <v/>
      </c>
      <c r="V2884">
        <f>IF($A2884="","",$F2884&amp;"|"&amp;$U2884&amp;"|"&amp;$D2884)</f>
        <v/>
      </c>
      <c r="W2884">
        <f>IF($T2884="","",IF($X2884&gt;N($X2883),$X2884,""))</f>
        <v/>
      </c>
      <c r="X2884">
        <f>IF($T2884="",N($X2883),IF(MATCH($T2884,$T$6:$T$6005,0)=ROW()-5,N($X2883)+1,N($X2883)))</f>
        <v/>
      </c>
      <c r="Z2884">
        <f>IF($V2884="","",IF($AA2884&gt;N($AA2883),$AA2884,""))</f>
        <v/>
      </c>
      <c r="AA2884">
        <f>IF($V2884="",N($AA2883),IF(MATCH($V2884,$V$6:$V$6005,0)=ROW()-5,N($AA2883)+1,N($AA2883)))</f>
        <v/>
      </c>
    </row>
    <row r="2885" ht="21" customHeight="1" s="66">
      <c r="A2885" s="56" t="n"/>
      <c r="B2885" s="57" t="n"/>
      <c r="C2885" s="57" t="n"/>
      <c r="D2885" s="57" t="n"/>
      <c r="E2885" s="56" t="n"/>
      <c r="F2885" s="57" t="n"/>
      <c r="G2885" s="57" t="n"/>
      <c r="H2885" s="56" t="n"/>
      <c r="I2885" s="56" t="n"/>
      <c r="J2885" s="58" t="n"/>
      <c r="K2885" s="58" t="n"/>
      <c r="L2885" s="13">
        <f>IF(OR($A2885="",AND($J2885="",$K2885="")),"",ROUND(N($J2885)-N($K2885),2))</f>
        <v/>
      </c>
      <c r="M2885" s="13">
        <f>IF(OR($A2885="",AND($J2885="",$K2885="")),"",MIN($J2885,$K2885))</f>
        <v/>
      </c>
      <c r="Q2885">
        <f>IF($A2885="","",$D2885&amp;"("&amp;SUBSTITUTE($E2885," ","")&amp;")")</f>
        <v/>
      </c>
      <c r="R2885">
        <f>IF($A2885="","",$B2885&amp;" - "&amp;$C2885)</f>
        <v/>
      </c>
      <c r="S2885">
        <f>IF($A2885="","",$R2885&amp;"|"&amp;$Q2885)</f>
        <v/>
      </c>
      <c r="T2885">
        <f>IF($A2885="","",$S2885&amp;"|"&amp;$F2885)</f>
        <v/>
      </c>
      <c r="U2885">
        <f>IF($A2885="","",$R2885&amp;"("&amp;$E2885&amp;")")</f>
        <v/>
      </c>
      <c r="V2885">
        <f>IF($A2885="","",$F2885&amp;"|"&amp;$U2885&amp;"|"&amp;$D2885)</f>
        <v/>
      </c>
      <c r="W2885">
        <f>IF($T2885="","",IF($X2885&gt;N($X2884),$X2885,""))</f>
        <v/>
      </c>
      <c r="X2885">
        <f>IF($T2885="",N($X2884),IF(MATCH($T2885,$T$6:$T$6005,0)=ROW()-5,N($X2884)+1,N($X2884)))</f>
        <v/>
      </c>
      <c r="Z2885">
        <f>IF($V2885="","",IF($AA2885&gt;N($AA2884),$AA2885,""))</f>
        <v/>
      </c>
      <c r="AA2885">
        <f>IF($V2885="",N($AA2884),IF(MATCH($V2885,$V$6:$V$6005,0)=ROW()-5,N($AA2884)+1,N($AA2884)))</f>
        <v/>
      </c>
    </row>
    <row r="2886" ht="21" customHeight="1" s="66">
      <c r="A2886" s="56" t="n"/>
      <c r="B2886" s="57" t="n"/>
      <c r="C2886" s="57" t="n"/>
      <c r="D2886" s="57" t="n"/>
      <c r="E2886" s="56" t="n"/>
      <c r="F2886" s="57" t="n"/>
      <c r="G2886" s="57" t="n"/>
      <c r="H2886" s="56" t="n"/>
      <c r="I2886" s="56" t="n"/>
      <c r="J2886" s="58" t="n"/>
      <c r="K2886" s="58" t="n"/>
      <c r="L2886" s="13">
        <f>IF(OR($A2886="",AND($J2886="",$K2886="")),"",ROUND(N($J2886)-N($K2886),2))</f>
        <v/>
      </c>
      <c r="M2886" s="13">
        <f>IF(OR($A2886="",AND($J2886="",$K2886="")),"",MIN($J2886,$K2886))</f>
        <v/>
      </c>
      <c r="Q2886">
        <f>IF($A2886="","",$D2886&amp;"("&amp;SUBSTITUTE($E2886," ","")&amp;")")</f>
        <v/>
      </c>
      <c r="R2886">
        <f>IF($A2886="","",$B2886&amp;" - "&amp;$C2886)</f>
        <v/>
      </c>
      <c r="S2886">
        <f>IF($A2886="","",$R2886&amp;"|"&amp;$Q2886)</f>
        <v/>
      </c>
      <c r="T2886">
        <f>IF($A2886="","",$S2886&amp;"|"&amp;$F2886)</f>
        <v/>
      </c>
      <c r="U2886">
        <f>IF($A2886="","",$R2886&amp;"("&amp;$E2886&amp;")")</f>
        <v/>
      </c>
      <c r="V2886">
        <f>IF($A2886="","",$F2886&amp;"|"&amp;$U2886&amp;"|"&amp;$D2886)</f>
        <v/>
      </c>
      <c r="W2886">
        <f>IF($T2886="","",IF($X2886&gt;N($X2885),$X2886,""))</f>
        <v/>
      </c>
      <c r="X2886">
        <f>IF($T2886="",N($X2885),IF(MATCH($T2886,$T$6:$T$6005,0)=ROW()-5,N($X2885)+1,N($X2885)))</f>
        <v/>
      </c>
      <c r="Z2886">
        <f>IF($V2886="","",IF($AA2886&gt;N($AA2885),$AA2886,""))</f>
        <v/>
      </c>
      <c r="AA2886">
        <f>IF($V2886="",N($AA2885),IF(MATCH($V2886,$V$6:$V$6005,0)=ROW()-5,N($AA2885)+1,N($AA2885)))</f>
        <v/>
      </c>
    </row>
    <row r="2887" ht="21" customHeight="1" s="66">
      <c r="A2887" s="56" t="n"/>
      <c r="B2887" s="57" t="n"/>
      <c r="C2887" s="57" t="n"/>
      <c r="D2887" s="57" t="n"/>
      <c r="E2887" s="56" t="n"/>
      <c r="F2887" s="57" t="n"/>
      <c r="G2887" s="57" t="n"/>
      <c r="H2887" s="56" t="n"/>
      <c r="I2887" s="56" t="n"/>
      <c r="J2887" s="58" t="n"/>
      <c r="K2887" s="58" t="n"/>
      <c r="L2887" s="13">
        <f>IF(OR($A2887="",AND($J2887="",$K2887="")),"",ROUND(N($J2887)-N($K2887),2))</f>
        <v/>
      </c>
      <c r="M2887" s="13">
        <f>IF(OR($A2887="",AND($J2887="",$K2887="")),"",MIN($J2887,$K2887))</f>
        <v/>
      </c>
      <c r="Q2887">
        <f>IF($A2887="","",$D2887&amp;"("&amp;SUBSTITUTE($E2887," ","")&amp;")")</f>
        <v/>
      </c>
      <c r="R2887">
        <f>IF($A2887="","",$B2887&amp;" - "&amp;$C2887)</f>
        <v/>
      </c>
      <c r="S2887">
        <f>IF($A2887="","",$R2887&amp;"|"&amp;$Q2887)</f>
        <v/>
      </c>
      <c r="T2887">
        <f>IF($A2887="","",$S2887&amp;"|"&amp;$F2887)</f>
        <v/>
      </c>
      <c r="U2887">
        <f>IF($A2887="","",$R2887&amp;"("&amp;$E2887&amp;")")</f>
        <v/>
      </c>
      <c r="V2887">
        <f>IF($A2887="","",$F2887&amp;"|"&amp;$U2887&amp;"|"&amp;$D2887)</f>
        <v/>
      </c>
      <c r="W2887">
        <f>IF($T2887="","",IF($X2887&gt;N($X2886),$X2887,""))</f>
        <v/>
      </c>
      <c r="X2887">
        <f>IF($T2887="",N($X2886),IF(MATCH($T2887,$T$6:$T$6005,0)=ROW()-5,N($X2886)+1,N($X2886)))</f>
        <v/>
      </c>
      <c r="Z2887">
        <f>IF($V2887="","",IF($AA2887&gt;N($AA2886),$AA2887,""))</f>
        <v/>
      </c>
      <c r="AA2887">
        <f>IF($V2887="",N($AA2886),IF(MATCH($V2887,$V$6:$V$6005,0)=ROW()-5,N($AA2886)+1,N($AA2886)))</f>
        <v/>
      </c>
    </row>
    <row r="2888" ht="21" customHeight="1" s="66">
      <c r="A2888" s="56" t="n"/>
      <c r="B2888" s="57" t="n"/>
      <c r="C2888" s="57" t="n"/>
      <c r="D2888" s="57" t="n"/>
      <c r="E2888" s="56" t="n"/>
      <c r="F2888" s="57" t="n"/>
      <c r="G2888" s="57" t="n"/>
      <c r="H2888" s="56" t="n"/>
      <c r="I2888" s="56" t="n"/>
      <c r="J2888" s="58" t="n"/>
      <c r="K2888" s="58" t="n"/>
      <c r="L2888" s="13">
        <f>IF(OR($A2888="",AND($J2888="",$K2888="")),"",ROUND(N($J2888)-N($K2888),2))</f>
        <v/>
      </c>
      <c r="M2888" s="13">
        <f>IF(OR($A2888="",AND($J2888="",$K2888="")),"",MIN($J2888,$K2888))</f>
        <v/>
      </c>
      <c r="Q2888">
        <f>IF($A2888="","",$D2888&amp;"("&amp;SUBSTITUTE($E2888," ","")&amp;")")</f>
        <v/>
      </c>
      <c r="R2888">
        <f>IF($A2888="","",$B2888&amp;" - "&amp;$C2888)</f>
        <v/>
      </c>
      <c r="S2888">
        <f>IF($A2888="","",$R2888&amp;"|"&amp;$Q2888)</f>
        <v/>
      </c>
      <c r="T2888">
        <f>IF($A2888="","",$S2888&amp;"|"&amp;$F2888)</f>
        <v/>
      </c>
      <c r="U2888">
        <f>IF($A2888="","",$R2888&amp;"("&amp;$E2888&amp;")")</f>
        <v/>
      </c>
      <c r="V2888">
        <f>IF($A2888="","",$F2888&amp;"|"&amp;$U2888&amp;"|"&amp;$D2888)</f>
        <v/>
      </c>
      <c r="W2888">
        <f>IF($T2888="","",IF($X2888&gt;N($X2887),$X2888,""))</f>
        <v/>
      </c>
      <c r="X2888">
        <f>IF($T2888="",N($X2887),IF(MATCH($T2888,$T$6:$T$6005,0)=ROW()-5,N($X2887)+1,N($X2887)))</f>
        <v/>
      </c>
      <c r="Z2888">
        <f>IF($V2888="","",IF($AA2888&gt;N($AA2887),$AA2888,""))</f>
        <v/>
      </c>
      <c r="AA2888">
        <f>IF($V2888="",N($AA2887),IF(MATCH($V2888,$V$6:$V$6005,0)=ROW()-5,N($AA2887)+1,N($AA2887)))</f>
        <v/>
      </c>
    </row>
    <row r="2889" ht="21" customHeight="1" s="66">
      <c r="A2889" s="56" t="n"/>
      <c r="B2889" s="57" t="n"/>
      <c r="C2889" s="57" t="n"/>
      <c r="D2889" s="57" t="n"/>
      <c r="E2889" s="56" t="n"/>
      <c r="F2889" s="57" t="n"/>
      <c r="G2889" s="57" t="n"/>
      <c r="H2889" s="56" t="n"/>
      <c r="I2889" s="56" t="n"/>
      <c r="J2889" s="58" t="n"/>
      <c r="K2889" s="58" t="n"/>
      <c r="L2889" s="13">
        <f>IF(OR($A2889="",AND($J2889="",$K2889="")),"",ROUND(N($J2889)-N($K2889),2))</f>
        <v/>
      </c>
      <c r="M2889" s="13">
        <f>IF(OR($A2889="",AND($J2889="",$K2889="")),"",MIN($J2889,$K2889))</f>
        <v/>
      </c>
      <c r="Q2889">
        <f>IF($A2889="","",$D2889&amp;"("&amp;SUBSTITUTE($E2889," ","")&amp;")")</f>
        <v/>
      </c>
      <c r="R2889">
        <f>IF($A2889="","",$B2889&amp;" - "&amp;$C2889)</f>
        <v/>
      </c>
      <c r="S2889">
        <f>IF($A2889="","",$R2889&amp;"|"&amp;$Q2889)</f>
        <v/>
      </c>
      <c r="T2889">
        <f>IF($A2889="","",$S2889&amp;"|"&amp;$F2889)</f>
        <v/>
      </c>
      <c r="U2889">
        <f>IF($A2889="","",$R2889&amp;"("&amp;$E2889&amp;")")</f>
        <v/>
      </c>
      <c r="V2889">
        <f>IF($A2889="","",$F2889&amp;"|"&amp;$U2889&amp;"|"&amp;$D2889)</f>
        <v/>
      </c>
      <c r="W2889">
        <f>IF($T2889="","",IF($X2889&gt;N($X2888),$X2889,""))</f>
        <v/>
      </c>
      <c r="X2889">
        <f>IF($T2889="",N($X2888),IF(MATCH($T2889,$T$6:$T$6005,0)=ROW()-5,N($X2888)+1,N($X2888)))</f>
        <v/>
      </c>
      <c r="Z2889">
        <f>IF($V2889="","",IF($AA2889&gt;N($AA2888),$AA2889,""))</f>
        <v/>
      </c>
      <c r="AA2889">
        <f>IF($V2889="",N($AA2888),IF(MATCH($V2889,$V$6:$V$6005,0)=ROW()-5,N($AA2888)+1,N($AA2888)))</f>
        <v/>
      </c>
    </row>
    <row r="2890" ht="21" customHeight="1" s="66">
      <c r="A2890" s="56" t="n"/>
      <c r="B2890" s="57" t="n"/>
      <c r="C2890" s="57" t="n"/>
      <c r="D2890" s="57" t="n"/>
      <c r="E2890" s="56" t="n"/>
      <c r="F2890" s="57" t="n"/>
      <c r="G2890" s="57" t="n"/>
      <c r="H2890" s="56" t="n"/>
      <c r="I2890" s="56" t="n"/>
      <c r="J2890" s="58" t="n"/>
      <c r="K2890" s="58" t="n"/>
      <c r="L2890" s="13">
        <f>IF(OR($A2890="",AND($J2890="",$K2890="")),"",ROUND(N($J2890)-N($K2890),2))</f>
        <v/>
      </c>
      <c r="M2890" s="13">
        <f>IF(OR($A2890="",AND($J2890="",$K2890="")),"",MIN($J2890,$K2890))</f>
        <v/>
      </c>
      <c r="Q2890">
        <f>IF($A2890="","",$D2890&amp;"("&amp;SUBSTITUTE($E2890," ","")&amp;")")</f>
        <v/>
      </c>
      <c r="R2890">
        <f>IF($A2890="","",$B2890&amp;" - "&amp;$C2890)</f>
        <v/>
      </c>
      <c r="S2890">
        <f>IF($A2890="","",$R2890&amp;"|"&amp;$Q2890)</f>
        <v/>
      </c>
      <c r="T2890">
        <f>IF($A2890="","",$S2890&amp;"|"&amp;$F2890)</f>
        <v/>
      </c>
      <c r="U2890">
        <f>IF($A2890="","",$R2890&amp;"("&amp;$E2890&amp;")")</f>
        <v/>
      </c>
      <c r="V2890">
        <f>IF($A2890="","",$F2890&amp;"|"&amp;$U2890&amp;"|"&amp;$D2890)</f>
        <v/>
      </c>
      <c r="W2890">
        <f>IF($T2890="","",IF($X2890&gt;N($X2889),$X2890,""))</f>
        <v/>
      </c>
      <c r="X2890">
        <f>IF($T2890="",N($X2889),IF(MATCH($T2890,$T$6:$T$6005,0)=ROW()-5,N($X2889)+1,N($X2889)))</f>
        <v/>
      </c>
      <c r="Z2890">
        <f>IF($V2890="","",IF($AA2890&gt;N($AA2889),$AA2890,""))</f>
        <v/>
      </c>
      <c r="AA2890">
        <f>IF($V2890="",N($AA2889),IF(MATCH($V2890,$V$6:$V$6005,0)=ROW()-5,N($AA2889)+1,N($AA2889)))</f>
        <v/>
      </c>
    </row>
    <row r="2891" ht="21" customHeight="1" s="66">
      <c r="A2891" s="56" t="n"/>
      <c r="B2891" s="57" t="n"/>
      <c r="C2891" s="57" t="n"/>
      <c r="D2891" s="57" t="n"/>
      <c r="E2891" s="56" t="n"/>
      <c r="F2891" s="57" t="n"/>
      <c r="G2891" s="57" t="n"/>
      <c r="H2891" s="56" t="n"/>
      <c r="I2891" s="56" t="n"/>
      <c r="J2891" s="58" t="n"/>
      <c r="K2891" s="58" t="n"/>
      <c r="L2891" s="13">
        <f>IF(OR($A2891="",AND($J2891="",$K2891="")),"",ROUND(N($J2891)-N($K2891),2))</f>
        <v/>
      </c>
      <c r="M2891" s="13">
        <f>IF(OR($A2891="",AND($J2891="",$K2891="")),"",MIN($J2891,$K2891))</f>
        <v/>
      </c>
      <c r="Q2891">
        <f>IF($A2891="","",$D2891&amp;"("&amp;SUBSTITUTE($E2891," ","")&amp;")")</f>
        <v/>
      </c>
      <c r="R2891">
        <f>IF($A2891="","",$B2891&amp;" - "&amp;$C2891)</f>
        <v/>
      </c>
      <c r="S2891">
        <f>IF($A2891="","",$R2891&amp;"|"&amp;$Q2891)</f>
        <v/>
      </c>
      <c r="T2891">
        <f>IF($A2891="","",$S2891&amp;"|"&amp;$F2891)</f>
        <v/>
      </c>
      <c r="U2891">
        <f>IF($A2891="","",$R2891&amp;"("&amp;$E2891&amp;")")</f>
        <v/>
      </c>
      <c r="V2891">
        <f>IF($A2891="","",$F2891&amp;"|"&amp;$U2891&amp;"|"&amp;$D2891)</f>
        <v/>
      </c>
      <c r="W2891">
        <f>IF($T2891="","",IF($X2891&gt;N($X2890),$X2891,""))</f>
        <v/>
      </c>
      <c r="X2891">
        <f>IF($T2891="",N($X2890),IF(MATCH($T2891,$T$6:$T$6005,0)=ROW()-5,N($X2890)+1,N($X2890)))</f>
        <v/>
      </c>
      <c r="Z2891">
        <f>IF($V2891="","",IF($AA2891&gt;N($AA2890),$AA2891,""))</f>
        <v/>
      </c>
      <c r="AA2891">
        <f>IF($V2891="",N($AA2890),IF(MATCH($V2891,$V$6:$V$6005,0)=ROW()-5,N($AA2890)+1,N($AA2890)))</f>
        <v/>
      </c>
    </row>
    <row r="2892" ht="21" customHeight="1" s="66">
      <c r="A2892" s="56" t="n"/>
      <c r="B2892" s="57" t="n"/>
      <c r="C2892" s="57" t="n"/>
      <c r="D2892" s="57" t="n"/>
      <c r="E2892" s="56" t="n"/>
      <c r="F2892" s="57" t="n"/>
      <c r="G2892" s="57" t="n"/>
      <c r="H2892" s="56" t="n"/>
      <c r="I2892" s="56" t="n"/>
      <c r="J2892" s="58" t="n"/>
      <c r="K2892" s="58" t="n"/>
      <c r="L2892" s="13">
        <f>IF(OR($A2892="",AND($J2892="",$K2892="")),"",ROUND(N($J2892)-N($K2892),2))</f>
        <v/>
      </c>
      <c r="M2892" s="13">
        <f>IF(OR($A2892="",AND($J2892="",$K2892="")),"",MIN($J2892,$K2892))</f>
        <v/>
      </c>
      <c r="Q2892">
        <f>IF($A2892="","",$D2892&amp;"("&amp;SUBSTITUTE($E2892," ","")&amp;")")</f>
        <v/>
      </c>
      <c r="R2892">
        <f>IF($A2892="","",$B2892&amp;" - "&amp;$C2892)</f>
        <v/>
      </c>
      <c r="S2892">
        <f>IF($A2892="","",$R2892&amp;"|"&amp;$Q2892)</f>
        <v/>
      </c>
      <c r="T2892">
        <f>IF($A2892="","",$S2892&amp;"|"&amp;$F2892)</f>
        <v/>
      </c>
      <c r="U2892">
        <f>IF($A2892="","",$R2892&amp;"("&amp;$E2892&amp;")")</f>
        <v/>
      </c>
      <c r="V2892">
        <f>IF($A2892="","",$F2892&amp;"|"&amp;$U2892&amp;"|"&amp;$D2892)</f>
        <v/>
      </c>
      <c r="W2892">
        <f>IF($T2892="","",IF($X2892&gt;N($X2891),$X2892,""))</f>
        <v/>
      </c>
      <c r="X2892">
        <f>IF($T2892="",N($X2891),IF(MATCH($T2892,$T$6:$T$6005,0)=ROW()-5,N($X2891)+1,N($X2891)))</f>
        <v/>
      </c>
      <c r="Z2892">
        <f>IF($V2892="","",IF($AA2892&gt;N($AA2891),$AA2892,""))</f>
        <v/>
      </c>
      <c r="AA2892">
        <f>IF($V2892="",N($AA2891),IF(MATCH($V2892,$V$6:$V$6005,0)=ROW()-5,N($AA2891)+1,N($AA2891)))</f>
        <v/>
      </c>
    </row>
    <row r="2893" ht="21" customHeight="1" s="66">
      <c r="A2893" s="56" t="n"/>
      <c r="B2893" s="57" t="n"/>
      <c r="C2893" s="57" t="n"/>
      <c r="D2893" s="57" t="n"/>
      <c r="E2893" s="56" t="n"/>
      <c r="F2893" s="57" t="n"/>
      <c r="G2893" s="57" t="n"/>
      <c r="H2893" s="56" t="n"/>
      <c r="I2893" s="56" t="n"/>
      <c r="J2893" s="58" t="n"/>
      <c r="K2893" s="58" t="n"/>
      <c r="L2893" s="13">
        <f>IF(OR($A2893="",AND($J2893="",$K2893="")),"",ROUND(N($J2893)-N($K2893),2))</f>
        <v/>
      </c>
      <c r="M2893" s="13">
        <f>IF(OR($A2893="",AND($J2893="",$K2893="")),"",MIN($J2893,$K2893))</f>
        <v/>
      </c>
      <c r="Q2893">
        <f>IF($A2893="","",$D2893&amp;"("&amp;SUBSTITUTE($E2893," ","")&amp;")")</f>
        <v/>
      </c>
      <c r="R2893">
        <f>IF($A2893="","",$B2893&amp;" - "&amp;$C2893)</f>
        <v/>
      </c>
      <c r="S2893">
        <f>IF($A2893="","",$R2893&amp;"|"&amp;$Q2893)</f>
        <v/>
      </c>
      <c r="T2893">
        <f>IF($A2893="","",$S2893&amp;"|"&amp;$F2893)</f>
        <v/>
      </c>
      <c r="U2893">
        <f>IF($A2893="","",$R2893&amp;"("&amp;$E2893&amp;")")</f>
        <v/>
      </c>
      <c r="V2893">
        <f>IF($A2893="","",$F2893&amp;"|"&amp;$U2893&amp;"|"&amp;$D2893)</f>
        <v/>
      </c>
      <c r="W2893">
        <f>IF($T2893="","",IF($X2893&gt;N($X2892),$X2893,""))</f>
        <v/>
      </c>
      <c r="X2893">
        <f>IF($T2893="",N($X2892),IF(MATCH($T2893,$T$6:$T$6005,0)=ROW()-5,N($X2892)+1,N($X2892)))</f>
        <v/>
      </c>
      <c r="Z2893">
        <f>IF($V2893="","",IF($AA2893&gt;N($AA2892),$AA2893,""))</f>
        <v/>
      </c>
      <c r="AA2893">
        <f>IF($V2893="",N($AA2892),IF(MATCH($V2893,$V$6:$V$6005,0)=ROW()-5,N($AA2892)+1,N($AA2892)))</f>
        <v/>
      </c>
    </row>
    <row r="2894" ht="21" customHeight="1" s="66">
      <c r="A2894" s="56" t="n"/>
      <c r="B2894" s="57" t="n"/>
      <c r="C2894" s="57" t="n"/>
      <c r="D2894" s="57" t="n"/>
      <c r="E2894" s="56" t="n"/>
      <c r="F2894" s="57" t="n"/>
      <c r="G2894" s="57" t="n"/>
      <c r="H2894" s="56" t="n"/>
      <c r="I2894" s="56" t="n"/>
      <c r="J2894" s="58" t="n"/>
      <c r="K2894" s="58" t="n"/>
      <c r="L2894" s="13">
        <f>IF(OR($A2894="",AND($J2894="",$K2894="")),"",ROUND(N($J2894)-N($K2894),2))</f>
        <v/>
      </c>
      <c r="M2894" s="13">
        <f>IF(OR($A2894="",AND($J2894="",$K2894="")),"",MIN($J2894,$K2894))</f>
        <v/>
      </c>
      <c r="Q2894">
        <f>IF($A2894="","",$D2894&amp;"("&amp;SUBSTITUTE($E2894," ","")&amp;")")</f>
        <v/>
      </c>
      <c r="R2894">
        <f>IF($A2894="","",$B2894&amp;" - "&amp;$C2894)</f>
        <v/>
      </c>
      <c r="S2894">
        <f>IF($A2894="","",$R2894&amp;"|"&amp;$Q2894)</f>
        <v/>
      </c>
      <c r="T2894">
        <f>IF($A2894="","",$S2894&amp;"|"&amp;$F2894)</f>
        <v/>
      </c>
      <c r="U2894">
        <f>IF($A2894="","",$R2894&amp;"("&amp;$E2894&amp;")")</f>
        <v/>
      </c>
      <c r="V2894">
        <f>IF($A2894="","",$F2894&amp;"|"&amp;$U2894&amp;"|"&amp;$D2894)</f>
        <v/>
      </c>
      <c r="W2894">
        <f>IF($T2894="","",IF($X2894&gt;N($X2893),$X2894,""))</f>
        <v/>
      </c>
      <c r="X2894">
        <f>IF($T2894="",N($X2893),IF(MATCH($T2894,$T$6:$T$6005,0)=ROW()-5,N($X2893)+1,N($X2893)))</f>
        <v/>
      </c>
      <c r="Z2894">
        <f>IF($V2894="","",IF($AA2894&gt;N($AA2893),$AA2894,""))</f>
        <v/>
      </c>
      <c r="AA2894">
        <f>IF($V2894="",N($AA2893),IF(MATCH($V2894,$V$6:$V$6005,0)=ROW()-5,N($AA2893)+1,N($AA2893)))</f>
        <v/>
      </c>
    </row>
    <row r="2895" ht="21" customHeight="1" s="66">
      <c r="A2895" s="56" t="n"/>
      <c r="B2895" s="57" t="n"/>
      <c r="C2895" s="57" t="n"/>
      <c r="D2895" s="57" t="n"/>
      <c r="E2895" s="56" t="n"/>
      <c r="F2895" s="57" t="n"/>
      <c r="G2895" s="57" t="n"/>
      <c r="H2895" s="56" t="n"/>
      <c r="I2895" s="56" t="n"/>
      <c r="J2895" s="58" t="n"/>
      <c r="K2895" s="58" t="n"/>
      <c r="L2895" s="13">
        <f>IF(OR($A2895="",AND($J2895="",$K2895="")),"",ROUND(N($J2895)-N($K2895),2))</f>
        <v/>
      </c>
      <c r="M2895" s="13">
        <f>IF(OR($A2895="",AND($J2895="",$K2895="")),"",MIN($J2895,$K2895))</f>
        <v/>
      </c>
      <c r="Q2895">
        <f>IF($A2895="","",$D2895&amp;"("&amp;SUBSTITUTE($E2895," ","")&amp;")")</f>
        <v/>
      </c>
      <c r="R2895">
        <f>IF($A2895="","",$B2895&amp;" - "&amp;$C2895)</f>
        <v/>
      </c>
      <c r="S2895">
        <f>IF($A2895="","",$R2895&amp;"|"&amp;$Q2895)</f>
        <v/>
      </c>
      <c r="T2895">
        <f>IF($A2895="","",$S2895&amp;"|"&amp;$F2895)</f>
        <v/>
      </c>
      <c r="U2895">
        <f>IF($A2895="","",$R2895&amp;"("&amp;$E2895&amp;")")</f>
        <v/>
      </c>
      <c r="V2895">
        <f>IF($A2895="","",$F2895&amp;"|"&amp;$U2895&amp;"|"&amp;$D2895)</f>
        <v/>
      </c>
      <c r="W2895">
        <f>IF($T2895="","",IF($X2895&gt;N($X2894),$X2895,""))</f>
        <v/>
      </c>
      <c r="X2895">
        <f>IF($T2895="",N($X2894),IF(MATCH($T2895,$T$6:$T$6005,0)=ROW()-5,N($X2894)+1,N($X2894)))</f>
        <v/>
      </c>
      <c r="Z2895">
        <f>IF($V2895="","",IF($AA2895&gt;N($AA2894),$AA2895,""))</f>
        <v/>
      </c>
      <c r="AA2895">
        <f>IF($V2895="",N($AA2894),IF(MATCH($V2895,$V$6:$V$6005,0)=ROW()-5,N($AA2894)+1,N($AA2894)))</f>
        <v/>
      </c>
    </row>
    <row r="2896" ht="21" customHeight="1" s="66">
      <c r="A2896" s="56" t="n"/>
      <c r="B2896" s="57" t="n"/>
      <c r="C2896" s="57" t="n"/>
      <c r="D2896" s="57" t="n"/>
      <c r="E2896" s="56" t="n"/>
      <c r="F2896" s="57" t="n"/>
      <c r="G2896" s="57" t="n"/>
      <c r="H2896" s="56" t="n"/>
      <c r="I2896" s="56" t="n"/>
      <c r="J2896" s="58" t="n"/>
      <c r="K2896" s="58" t="n"/>
      <c r="L2896" s="13">
        <f>IF(OR($A2896="",AND($J2896="",$K2896="")),"",ROUND(N($J2896)-N($K2896),2))</f>
        <v/>
      </c>
      <c r="M2896" s="13">
        <f>IF(OR($A2896="",AND($J2896="",$K2896="")),"",MIN($J2896,$K2896))</f>
        <v/>
      </c>
      <c r="Q2896">
        <f>IF($A2896="","",$D2896&amp;"("&amp;SUBSTITUTE($E2896," ","")&amp;")")</f>
        <v/>
      </c>
      <c r="R2896">
        <f>IF($A2896="","",$B2896&amp;" - "&amp;$C2896)</f>
        <v/>
      </c>
      <c r="S2896">
        <f>IF($A2896="","",$R2896&amp;"|"&amp;$Q2896)</f>
        <v/>
      </c>
      <c r="T2896">
        <f>IF($A2896="","",$S2896&amp;"|"&amp;$F2896)</f>
        <v/>
      </c>
      <c r="U2896">
        <f>IF($A2896="","",$R2896&amp;"("&amp;$E2896&amp;")")</f>
        <v/>
      </c>
      <c r="V2896">
        <f>IF($A2896="","",$F2896&amp;"|"&amp;$U2896&amp;"|"&amp;$D2896)</f>
        <v/>
      </c>
      <c r="W2896">
        <f>IF($T2896="","",IF($X2896&gt;N($X2895),$X2896,""))</f>
        <v/>
      </c>
      <c r="X2896">
        <f>IF($T2896="",N($X2895),IF(MATCH($T2896,$T$6:$T$6005,0)=ROW()-5,N($X2895)+1,N($X2895)))</f>
        <v/>
      </c>
      <c r="Z2896">
        <f>IF($V2896="","",IF($AA2896&gt;N($AA2895),$AA2896,""))</f>
        <v/>
      </c>
      <c r="AA2896">
        <f>IF($V2896="",N($AA2895),IF(MATCH($V2896,$V$6:$V$6005,0)=ROW()-5,N($AA2895)+1,N($AA2895)))</f>
        <v/>
      </c>
    </row>
    <row r="2897" ht="21" customHeight="1" s="66">
      <c r="A2897" s="56" t="n"/>
      <c r="B2897" s="57" t="n"/>
      <c r="C2897" s="57" t="n"/>
      <c r="D2897" s="57" t="n"/>
      <c r="E2897" s="56" t="n"/>
      <c r="F2897" s="57" t="n"/>
      <c r="G2897" s="57" t="n"/>
      <c r="H2897" s="56" t="n"/>
      <c r="I2897" s="56" t="n"/>
      <c r="J2897" s="58" t="n"/>
      <c r="K2897" s="58" t="n"/>
      <c r="L2897" s="13">
        <f>IF(OR($A2897="",AND($J2897="",$K2897="")),"",ROUND(N($J2897)-N($K2897),2))</f>
        <v/>
      </c>
      <c r="M2897" s="13">
        <f>IF(OR($A2897="",AND($J2897="",$K2897="")),"",MIN($J2897,$K2897))</f>
        <v/>
      </c>
      <c r="Q2897">
        <f>IF($A2897="","",$D2897&amp;"("&amp;SUBSTITUTE($E2897," ","")&amp;")")</f>
        <v/>
      </c>
      <c r="R2897">
        <f>IF($A2897="","",$B2897&amp;" - "&amp;$C2897)</f>
        <v/>
      </c>
      <c r="S2897">
        <f>IF($A2897="","",$R2897&amp;"|"&amp;$Q2897)</f>
        <v/>
      </c>
      <c r="T2897">
        <f>IF($A2897="","",$S2897&amp;"|"&amp;$F2897)</f>
        <v/>
      </c>
      <c r="U2897">
        <f>IF($A2897="","",$R2897&amp;"("&amp;$E2897&amp;")")</f>
        <v/>
      </c>
      <c r="V2897">
        <f>IF($A2897="","",$F2897&amp;"|"&amp;$U2897&amp;"|"&amp;$D2897)</f>
        <v/>
      </c>
      <c r="W2897">
        <f>IF($T2897="","",IF($X2897&gt;N($X2896),$X2897,""))</f>
        <v/>
      </c>
      <c r="X2897">
        <f>IF($T2897="",N($X2896),IF(MATCH($T2897,$T$6:$T$6005,0)=ROW()-5,N($X2896)+1,N($X2896)))</f>
        <v/>
      </c>
      <c r="Z2897">
        <f>IF($V2897="","",IF($AA2897&gt;N($AA2896),$AA2897,""))</f>
        <v/>
      </c>
      <c r="AA2897">
        <f>IF($V2897="",N($AA2896),IF(MATCH($V2897,$V$6:$V$6005,0)=ROW()-5,N($AA2896)+1,N($AA2896)))</f>
        <v/>
      </c>
    </row>
    <row r="2898" ht="21" customHeight="1" s="66">
      <c r="A2898" s="56" t="n"/>
      <c r="B2898" s="57" t="n"/>
      <c r="C2898" s="57" t="n"/>
      <c r="D2898" s="57" t="n"/>
      <c r="E2898" s="56" t="n"/>
      <c r="F2898" s="57" t="n"/>
      <c r="G2898" s="57" t="n"/>
      <c r="H2898" s="56" t="n"/>
      <c r="I2898" s="56" t="n"/>
      <c r="J2898" s="58" t="n"/>
      <c r="K2898" s="58" t="n"/>
      <c r="L2898" s="13">
        <f>IF(OR($A2898="",AND($J2898="",$K2898="")),"",ROUND(N($J2898)-N($K2898),2))</f>
        <v/>
      </c>
      <c r="M2898" s="13">
        <f>IF(OR($A2898="",AND($J2898="",$K2898="")),"",MIN($J2898,$K2898))</f>
        <v/>
      </c>
      <c r="Q2898">
        <f>IF($A2898="","",$D2898&amp;"("&amp;SUBSTITUTE($E2898," ","")&amp;")")</f>
        <v/>
      </c>
      <c r="R2898">
        <f>IF($A2898="","",$B2898&amp;" - "&amp;$C2898)</f>
        <v/>
      </c>
      <c r="S2898">
        <f>IF($A2898="","",$R2898&amp;"|"&amp;$Q2898)</f>
        <v/>
      </c>
      <c r="T2898">
        <f>IF($A2898="","",$S2898&amp;"|"&amp;$F2898)</f>
        <v/>
      </c>
      <c r="U2898">
        <f>IF($A2898="","",$R2898&amp;"("&amp;$E2898&amp;")")</f>
        <v/>
      </c>
      <c r="V2898">
        <f>IF($A2898="","",$F2898&amp;"|"&amp;$U2898&amp;"|"&amp;$D2898)</f>
        <v/>
      </c>
      <c r="W2898">
        <f>IF($T2898="","",IF($X2898&gt;N($X2897),$X2898,""))</f>
        <v/>
      </c>
      <c r="X2898">
        <f>IF($T2898="",N($X2897),IF(MATCH($T2898,$T$6:$T$6005,0)=ROW()-5,N($X2897)+1,N($X2897)))</f>
        <v/>
      </c>
      <c r="Z2898">
        <f>IF($V2898="","",IF($AA2898&gt;N($AA2897),$AA2898,""))</f>
        <v/>
      </c>
      <c r="AA2898">
        <f>IF($V2898="",N($AA2897),IF(MATCH($V2898,$V$6:$V$6005,0)=ROW()-5,N($AA2897)+1,N($AA2897)))</f>
        <v/>
      </c>
    </row>
    <row r="2899" ht="21" customHeight="1" s="66">
      <c r="A2899" s="56" t="n"/>
      <c r="B2899" s="57" t="n"/>
      <c r="C2899" s="57" t="n"/>
      <c r="D2899" s="57" t="n"/>
      <c r="E2899" s="56" t="n"/>
      <c r="F2899" s="57" t="n"/>
      <c r="G2899" s="57" t="n"/>
      <c r="H2899" s="56" t="n"/>
      <c r="I2899" s="56" t="n"/>
      <c r="J2899" s="58" t="n"/>
      <c r="K2899" s="58" t="n"/>
      <c r="L2899" s="13">
        <f>IF(OR($A2899="",AND($J2899="",$K2899="")),"",ROUND(N($J2899)-N($K2899),2))</f>
        <v/>
      </c>
      <c r="M2899" s="13">
        <f>IF(OR($A2899="",AND($J2899="",$K2899="")),"",MIN($J2899,$K2899))</f>
        <v/>
      </c>
      <c r="Q2899">
        <f>IF($A2899="","",$D2899&amp;"("&amp;SUBSTITUTE($E2899," ","")&amp;")")</f>
        <v/>
      </c>
      <c r="R2899">
        <f>IF($A2899="","",$B2899&amp;" - "&amp;$C2899)</f>
        <v/>
      </c>
      <c r="S2899">
        <f>IF($A2899="","",$R2899&amp;"|"&amp;$Q2899)</f>
        <v/>
      </c>
      <c r="T2899">
        <f>IF($A2899="","",$S2899&amp;"|"&amp;$F2899)</f>
        <v/>
      </c>
      <c r="U2899">
        <f>IF($A2899="","",$R2899&amp;"("&amp;$E2899&amp;")")</f>
        <v/>
      </c>
      <c r="V2899">
        <f>IF($A2899="","",$F2899&amp;"|"&amp;$U2899&amp;"|"&amp;$D2899)</f>
        <v/>
      </c>
      <c r="W2899">
        <f>IF($T2899="","",IF($X2899&gt;N($X2898),$X2899,""))</f>
        <v/>
      </c>
      <c r="X2899">
        <f>IF($T2899="",N($X2898),IF(MATCH($T2899,$T$6:$T$6005,0)=ROW()-5,N($X2898)+1,N($X2898)))</f>
        <v/>
      </c>
      <c r="Z2899">
        <f>IF($V2899="","",IF($AA2899&gt;N($AA2898),$AA2899,""))</f>
        <v/>
      </c>
      <c r="AA2899">
        <f>IF($V2899="",N($AA2898),IF(MATCH($V2899,$V$6:$V$6005,0)=ROW()-5,N($AA2898)+1,N($AA2898)))</f>
        <v/>
      </c>
    </row>
    <row r="2900" ht="21" customHeight="1" s="66">
      <c r="A2900" s="56" t="n"/>
      <c r="B2900" s="57" t="n"/>
      <c r="C2900" s="57" t="n"/>
      <c r="D2900" s="57" t="n"/>
      <c r="E2900" s="56" t="n"/>
      <c r="F2900" s="57" t="n"/>
      <c r="G2900" s="57" t="n"/>
      <c r="H2900" s="56" t="n"/>
      <c r="I2900" s="56" t="n"/>
      <c r="J2900" s="58" t="n"/>
      <c r="K2900" s="58" t="n"/>
      <c r="L2900" s="13">
        <f>IF(OR($A2900="",AND($J2900="",$K2900="")),"",ROUND(N($J2900)-N($K2900),2))</f>
        <v/>
      </c>
      <c r="M2900" s="13">
        <f>IF(OR($A2900="",AND($J2900="",$K2900="")),"",MIN($J2900,$K2900))</f>
        <v/>
      </c>
      <c r="Q2900">
        <f>IF($A2900="","",$D2900&amp;"("&amp;SUBSTITUTE($E2900," ","")&amp;")")</f>
        <v/>
      </c>
      <c r="R2900">
        <f>IF($A2900="","",$B2900&amp;" - "&amp;$C2900)</f>
        <v/>
      </c>
      <c r="S2900">
        <f>IF($A2900="","",$R2900&amp;"|"&amp;$Q2900)</f>
        <v/>
      </c>
      <c r="T2900">
        <f>IF($A2900="","",$S2900&amp;"|"&amp;$F2900)</f>
        <v/>
      </c>
      <c r="U2900">
        <f>IF($A2900="","",$R2900&amp;"("&amp;$E2900&amp;")")</f>
        <v/>
      </c>
      <c r="V2900">
        <f>IF($A2900="","",$F2900&amp;"|"&amp;$U2900&amp;"|"&amp;$D2900)</f>
        <v/>
      </c>
      <c r="W2900">
        <f>IF($T2900="","",IF($X2900&gt;N($X2899),$X2900,""))</f>
        <v/>
      </c>
      <c r="X2900">
        <f>IF($T2900="",N($X2899),IF(MATCH($T2900,$T$6:$T$6005,0)=ROW()-5,N($X2899)+1,N($X2899)))</f>
        <v/>
      </c>
      <c r="Z2900">
        <f>IF($V2900="","",IF($AA2900&gt;N($AA2899),$AA2900,""))</f>
        <v/>
      </c>
      <c r="AA2900">
        <f>IF($V2900="",N($AA2899),IF(MATCH($V2900,$V$6:$V$6005,0)=ROW()-5,N($AA2899)+1,N($AA2899)))</f>
        <v/>
      </c>
    </row>
    <row r="2901" ht="21" customHeight="1" s="66">
      <c r="A2901" s="56" t="n"/>
      <c r="B2901" s="57" t="n"/>
      <c r="C2901" s="57" t="n"/>
      <c r="D2901" s="57" t="n"/>
      <c r="E2901" s="56" t="n"/>
      <c r="F2901" s="57" t="n"/>
      <c r="G2901" s="57" t="n"/>
      <c r="H2901" s="56" t="n"/>
      <c r="I2901" s="56" t="n"/>
      <c r="J2901" s="58" t="n"/>
      <c r="K2901" s="58" t="n"/>
      <c r="L2901" s="13">
        <f>IF(OR($A2901="",AND($J2901="",$K2901="")),"",ROUND(N($J2901)-N($K2901),2))</f>
        <v/>
      </c>
      <c r="M2901" s="13">
        <f>IF(OR($A2901="",AND($J2901="",$K2901="")),"",MIN($J2901,$K2901))</f>
        <v/>
      </c>
      <c r="Q2901">
        <f>IF($A2901="","",$D2901&amp;"("&amp;SUBSTITUTE($E2901," ","")&amp;")")</f>
        <v/>
      </c>
      <c r="R2901">
        <f>IF($A2901="","",$B2901&amp;" - "&amp;$C2901)</f>
        <v/>
      </c>
      <c r="S2901">
        <f>IF($A2901="","",$R2901&amp;"|"&amp;$Q2901)</f>
        <v/>
      </c>
      <c r="T2901">
        <f>IF($A2901="","",$S2901&amp;"|"&amp;$F2901)</f>
        <v/>
      </c>
      <c r="U2901">
        <f>IF($A2901="","",$R2901&amp;"("&amp;$E2901&amp;")")</f>
        <v/>
      </c>
      <c r="V2901">
        <f>IF($A2901="","",$F2901&amp;"|"&amp;$U2901&amp;"|"&amp;$D2901)</f>
        <v/>
      </c>
      <c r="W2901">
        <f>IF($T2901="","",IF($X2901&gt;N($X2900),$X2901,""))</f>
        <v/>
      </c>
      <c r="X2901">
        <f>IF($T2901="",N($X2900),IF(MATCH($T2901,$T$6:$T$6005,0)=ROW()-5,N($X2900)+1,N($X2900)))</f>
        <v/>
      </c>
      <c r="Z2901">
        <f>IF($V2901="","",IF($AA2901&gt;N($AA2900),$AA2901,""))</f>
        <v/>
      </c>
      <c r="AA2901">
        <f>IF($V2901="",N($AA2900),IF(MATCH($V2901,$V$6:$V$6005,0)=ROW()-5,N($AA2900)+1,N($AA2900)))</f>
        <v/>
      </c>
    </row>
    <row r="2902" ht="21" customHeight="1" s="66">
      <c r="A2902" s="56" t="n"/>
      <c r="B2902" s="57" t="n"/>
      <c r="C2902" s="57" t="n"/>
      <c r="D2902" s="57" t="n"/>
      <c r="E2902" s="56" t="n"/>
      <c r="F2902" s="57" t="n"/>
      <c r="G2902" s="57" t="n"/>
      <c r="H2902" s="56" t="n"/>
      <c r="I2902" s="56" t="n"/>
      <c r="J2902" s="58" t="n"/>
      <c r="K2902" s="58" t="n"/>
      <c r="L2902" s="13">
        <f>IF(OR($A2902="",AND($J2902="",$K2902="")),"",ROUND(N($J2902)-N($K2902),2))</f>
        <v/>
      </c>
      <c r="M2902" s="13">
        <f>IF(OR($A2902="",AND($J2902="",$K2902="")),"",MIN($J2902,$K2902))</f>
        <v/>
      </c>
      <c r="Q2902">
        <f>IF($A2902="","",$D2902&amp;"("&amp;SUBSTITUTE($E2902," ","")&amp;")")</f>
        <v/>
      </c>
      <c r="R2902">
        <f>IF($A2902="","",$B2902&amp;" - "&amp;$C2902)</f>
        <v/>
      </c>
      <c r="S2902">
        <f>IF($A2902="","",$R2902&amp;"|"&amp;$Q2902)</f>
        <v/>
      </c>
      <c r="T2902">
        <f>IF($A2902="","",$S2902&amp;"|"&amp;$F2902)</f>
        <v/>
      </c>
      <c r="U2902">
        <f>IF($A2902="","",$R2902&amp;"("&amp;$E2902&amp;")")</f>
        <v/>
      </c>
      <c r="V2902">
        <f>IF($A2902="","",$F2902&amp;"|"&amp;$U2902&amp;"|"&amp;$D2902)</f>
        <v/>
      </c>
      <c r="W2902">
        <f>IF($T2902="","",IF($X2902&gt;N($X2901),$X2902,""))</f>
        <v/>
      </c>
      <c r="X2902">
        <f>IF($T2902="",N($X2901),IF(MATCH($T2902,$T$6:$T$6005,0)=ROW()-5,N($X2901)+1,N($X2901)))</f>
        <v/>
      </c>
      <c r="Z2902">
        <f>IF($V2902="","",IF($AA2902&gt;N($AA2901),$AA2902,""))</f>
        <v/>
      </c>
      <c r="AA2902">
        <f>IF($V2902="",N($AA2901),IF(MATCH($V2902,$V$6:$V$6005,0)=ROW()-5,N($AA2901)+1,N($AA2901)))</f>
        <v/>
      </c>
    </row>
    <row r="2903" ht="21" customHeight="1" s="66">
      <c r="A2903" s="56" t="n"/>
      <c r="B2903" s="57" t="n"/>
      <c r="C2903" s="57" t="n"/>
      <c r="D2903" s="57" t="n"/>
      <c r="E2903" s="56" t="n"/>
      <c r="F2903" s="57" t="n"/>
      <c r="G2903" s="57" t="n"/>
      <c r="H2903" s="56" t="n"/>
      <c r="I2903" s="56" t="n"/>
      <c r="J2903" s="58" t="n"/>
      <c r="K2903" s="58" t="n"/>
      <c r="L2903" s="13">
        <f>IF(OR($A2903="",AND($J2903="",$K2903="")),"",ROUND(N($J2903)-N($K2903),2))</f>
        <v/>
      </c>
      <c r="M2903" s="13">
        <f>IF(OR($A2903="",AND($J2903="",$K2903="")),"",MIN($J2903,$K2903))</f>
        <v/>
      </c>
      <c r="Q2903">
        <f>IF($A2903="","",$D2903&amp;"("&amp;SUBSTITUTE($E2903," ","")&amp;")")</f>
        <v/>
      </c>
      <c r="R2903">
        <f>IF($A2903="","",$B2903&amp;" - "&amp;$C2903)</f>
        <v/>
      </c>
      <c r="S2903">
        <f>IF($A2903="","",$R2903&amp;"|"&amp;$Q2903)</f>
        <v/>
      </c>
      <c r="T2903">
        <f>IF($A2903="","",$S2903&amp;"|"&amp;$F2903)</f>
        <v/>
      </c>
      <c r="U2903">
        <f>IF($A2903="","",$R2903&amp;"("&amp;$E2903&amp;")")</f>
        <v/>
      </c>
      <c r="V2903">
        <f>IF($A2903="","",$F2903&amp;"|"&amp;$U2903&amp;"|"&amp;$D2903)</f>
        <v/>
      </c>
      <c r="W2903">
        <f>IF($T2903="","",IF($X2903&gt;N($X2902),$X2903,""))</f>
        <v/>
      </c>
      <c r="X2903">
        <f>IF($T2903="",N($X2902),IF(MATCH($T2903,$T$6:$T$6005,0)=ROW()-5,N($X2902)+1,N($X2902)))</f>
        <v/>
      </c>
      <c r="Z2903">
        <f>IF($V2903="","",IF($AA2903&gt;N($AA2902),$AA2903,""))</f>
        <v/>
      </c>
      <c r="AA2903">
        <f>IF($V2903="",N($AA2902),IF(MATCH($V2903,$V$6:$V$6005,0)=ROW()-5,N($AA2902)+1,N($AA2902)))</f>
        <v/>
      </c>
    </row>
    <row r="2904" ht="21" customHeight="1" s="66">
      <c r="A2904" s="56" t="n"/>
      <c r="B2904" s="57" t="n"/>
      <c r="C2904" s="57" t="n"/>
      <c r="D2904" s="57" t="n"/>
      <c r="E2904" s="56" t="n"/>
      <c r="F2904" s="57" t="n"/>
      <c r="G2904" s="57" t="n"/>
      <c r="H2904" s="56" t="n"/>
      <c r="I2904" s="56" t="n"/>
      <c r="J2904" s="58" t="n"/>
      <c r="K2904" s="58" t="n"/>
      <c r="L2904" s="13">
        <f>IF(OR($A2904="",AND($J2904="",$K2904="")),"",ROUND(N($J2904)-N($K2904),2))</f>
        <v/>
      </c>
      <c r="M2904" s="13">
        <f>IF(OR($A2904="",AND($J2904="",$K2904="")),"",MIN($J2904,$K2904))</f>
        <v/>
      </c>
      <c r="Q2904">
        <f>IF($A2904="","",$D2904&amp;"("&amp;SUBSTITUTE($E2904," ","")&amp;")")</f>
        <v/>
      </c>
      <c r="R2904">
        <f>IF($A2904="","",$B2904&amp;" - "&amp;$C2904)</f>
        <v/>
      </c>
      <c r="S2904">
        <f>IF($A2904="","",$R2904&amp;"|"&amp;$Q2904)</f>
        <v/>
      </c>
      <c r="T2904">
        <f>IF($A2904="","",$S2904&amp;"|"&amp;$F2904)</f>
        <v/>
      </c>
      <c r="U2904">
        <f>IF($A2904="","",$R2904&amp;"("&amp;$E2904&amp;")")</f>
        <v/>
      </c>
      <c r="V2904">
        <f>IF($A2904="","",$F2904&amp;"|"&amp;$U2904&amp;"|"&amp;$D2904)</f>
        <v/>
      </c>
      <c r="W2904">
        <f>IF($T2904="","",IF($X2904&gt;N($X2903),$X2904,""))</f>
        <v/>
      </c>
      <c r="X2904">
        <f>IF($T2904="",N($X2903),IF(MATCH($T2904,$T$6:$T$6005,0)=ROW()-5,N($X2903)+1,N($X2903)))</f>
        <v/>
      </c>
      <c r="Z2904">
        <f>IF($V2904="","",IF($AA2904&gt;N($AA2903),$AA2904,""))</f>
        <v/>
      </c>
      <c r="AA2904">
        <f>IF($V2904="",N($AA2903),IF(MATCH($V2904,$V$6:$V$6005,0)=ROW()-5,N($AA2903)+1,N($AA2903)))</f>
        <v/>
      </c>
    </row>
    <row r="2905" ht="21" customHeight="1" s="66">
      <c r="A2905" s="56" t="n"/>
      <c r="B2905" s="57" t="n"/>
      <c r="C2905" s="57" t="n"/>
      <c r="D2905" s="57" t="n"/>
      <c r="E2905" s="56" t="n"/>
      <c r="F2905" s="57" t="n"/>
      <c r="G2905" s="57" t="n"/>
      <c r="H2905" s="56" t="n"/>
      <c r="I2905" s="56" t="n"/>
      <c r="J2905" s="58" t="n"/>
      <c r="K2905" s="58" t="n"/>
      <c r="L2905" s="13">
        <f>IF(OR($A2905="",AND($J2905="",$K2905="")),"",ROUND(N($J2905)-N($K2905),2))</f>
        <v/>
      </c>
      <c r="M2905" s="13">
        <f>IF(OR($A2905="",AND($J2905="",$K2905="")),"",MIN($J2905,$K2905))</f>
        <v/>
      </c>
      <c r="Q2905">
        <f>IF($A2905="","",$D2905&amp;"("&amp;SUBSTITUTE($E2905," ","")&amp;")")</f>
        <v/>
      </c>
      <c r="R2905">
        <f>IF($A2905="","",$B2905&amp;" - "&amp;$C2905)</f>
        <v/>
      </c>
      <c r="S2905">
        <f>IF($A2905="","",$R2905&amp;"|"&amp;$Q2905)</f>
        <v/>
      </c>
      <c r="T2905">
        <f>IF($A2905="","",$S2905&amp;"|"&amp;$F2905)</f>
        <v/>
      </c>
      <c r="U2905">
        <f>IF($A2905="","",$R2905&amp;"("&amp;$E2905&amp;")")</f>
        <v/>
      </c>
      <c r="V2905">
        <f>IF($A2905="","",$F2905&amp;"|"&amp;$U2905&amp;"|"&amp;$D2905)</f>
        <v/>
      </c>
      <c r="W2905">
        <f>IF($T2905="","",IF($X2905&gt;N($X2904),$X2905,""))</f>
        <v/>
      </c>
      <c r="X2905">
        <f>IF($T2905="",N($X2904),IF(MATCH($T2905,$T$6:$T$6005,0)=ROW()-5,N($X2904)+1,N($X2904)))</f>
        <v/>
      </c>
      <c r="Z2905">
        <f>IF($V2905="","",IF($AA2905&gt;N($AA2904),$AA2905,""))</f>
        <v/>
      </c>
      <c r="AA2905">
        <f>IF($V2905="",N($AA2904),IF(MATCH($V2905,$V$6:$V$6005,0)=ROW()-5,N($AA2904)+1,N($AA2904)))</f>
        <v/>
      </c>
    </row>
    <row r="2906" ht="21" customHeight="1" s="66">
      <c r="A2906" s="56" t="n"/>
      <c r="B2906" s="57" t="n"/>
      <c r="C2906" s="57" t="n"/>
      <c r="D2906" s="57" t="n"/>
      <c r="E2906" s="56" t="n"/>
      <c r="F2906" s="57" t="n"/>
      <c r="G2906" s="57" t="n"/>
      <c r="H2906" s="56" t="n"/>
      <c r="I2906" s="56" t="n"/>
      <c r="J2906" s="58" t="n"/>
      <c r="K2906" s="58" t="n"/>
      <c r="L2906" s="13">
        <f>IF(OR($A2906="",AND($J2906="",$K2906="")),"",ROUND(N($J2906)-N($K2906),2))</f>
        <v/>
      </c>
      <c r="M2906" s="13">
        <f>IF(OR($A2906="",AND($J2906="",$K2906="")),"",MIN($J2906,$K2906))</f>
        <v/>
      </c>
      <c r="Q2906">
        <f>IF($A2906="","",$D2906&amp;"("&amp;SUBSTITUTE($E2906," ","")&amp;")")</f>
        <v/>
      </c>
      <c r="R2906">
        <f>IF($A2906="","",$B2906&amp;" - "&amp;$C2906)</f>
        <v/>
      </c>
      <c r="S2906">
        <f>IF($A2906="","",$R2906&amp;"|"&amp;$Q2906)</f>
        <v/>
      </c>
      <c r="T2906">
        <f>IF($A2906="","",$S2906&amp;"|"&amp;$F2906)</f>
        <v/>
      </c>
      <c r="U2906">
        <f>IF($A2906="","",$R2906&amp;"("&amp;$E2906&amp;")")</f>
        <v/>
      </c>
      <c r="V2906">
        <f>IF($A2906="","",$F2906&amp;"|"&amp;$U2906&amp;"|"&amp;$D2906)</f>
        <v/>
      </c>
      <c r="W2906">
        <f>IF($T2906="","",IF($X2906&gt;N($X2905),$X2906,""))</f>
        <v/>
      </c>
      <c r="X2906">
        <f>IF($T2906="",N($X2905),IF(MATCH($T2906,$T$6:$T$6005,0)=ROW()-5,N($X2905)+1,N($X2905)))</f>
        <v/>
      </c>
      <c r="Z2906">
        <f>IF($V2906="","",IF($AA2906&gt;N($AA2905),$AA2906,""))</f>
        <v/>
      </c>
      <c r="AA2906">
        <f>IF($V2906="",N($AA2905),IF(MATCH($V2906,$V$6:$V$6005,0)=ROW()-5,N($AA2905)+1,N($AA2905)))</f>
        <v/>
      </c>
    </row>
    <row r="2907" ht="21" customHeight="1" s="66">
      <c r="A2907" s="56" t="n"/>
      <c r="B2907" s="57" t="n"/>
      <c r="C2907" s="57" t="n"/>
      <c r="D2907" s="57" t="n"/>
      <c r="E2907" s="56" t="n"/>
      <c r="F2907" s="57" t="n"/>
      <c r="G2907" s="57" t="n"/>
      <c r="H2907" s="56" t="n"/>
      <c r="I2907" s="56" t="n"/>
      <c r="J2907" s="58" t="n"/>
      <c r="K2907" s="58" t="n"/>
      <c r="L2907" s="13">
        <f>IF(OR($A2907="",AND($J2907="",$K2907="")),"",ROUND(N($J2907)-N($K2907),2))</f>
        <v/>
      </c>
      <c r="M2907" s="13">
        <f>IF(OR($A2907="",AND($J2907="",$K2907="")),"",MIN($J2907,$K2907))</f>
        <v/>
      </c>
      <c r="Q2907">
        <f>IF($A2907="","",$D2907&amp;"("&amp;SUBSTITUTE($E2907," ","")&amp;")")</f>
        <v/>
      </c>
      <c r="R2907">
        <f>IF($A2907="","",$B2907&amp;" - "&amp;$C2907)</f>
        <v/>
      </c>
      <c r="S2907">
        <f>IF($A2907="","",$R2907&amp;"|"&amp;$Q2907)</f>
        <v/>
      </c>
      <c r="T2907">
        <f>IF($A2907="","",$S2907&amp;"|"&amp;$F2907)</f>
        <v/>
      </c>
      <c r="U2907">
        <f>IF($A2907="","",$R2907&amp;"("&amp;$E2907&amp;")")</f>
        <v/>
      </c>
      <c r="V2907">
        <f>IF($A2907="","",$F2907&amp;"|"&amp;$U2907&amp;"|"&amp;$D2907)</f>
        <v/>
      </c>
      <c r="W2907">
        <f>IF($T2907="","",IF($X2907&gt;N($X2906),$X2907,""))</f>
        <v/>
      </c>
      <c r="X2907">
        <f>IF($T2907="",N($X2906),IF(MATCH($T2907,$T$6:$T$6005,0)=ROW()-5,N($X2906)+1,N($X2906)))</f>
        <v/>
      </c>
      <c r="Z2907">
        <f>IF($V2907="","",IF($AA2907&gt;N($AA2906),$AA2907,""))</f>
        <v/>
      </c>
      <c r="AA2907">
        <f>IF($V2907="",N($AA2906),IF(MATCH($V2907,$V$6:$V$6005,0)=ROW()-5,N($AA2906)+1,N($AA2906)))</f>
        <v/>
      </c>
    </row>
    <row r="2908" ht="21" customHeight="1" s="66">
      <c r="A2908" s="56" t="n"/>
      <c r="B2908" s="57" t="n"/>
      <c r="C2908" s="57" t="n"/>
      <c r="D2908" s="57" t="n"/>
      <c r="E2908" s="56" t="n"/>
      <c r="F2908" s="57" t="n"/>
      <c r="G2908" s="57" t="n"/>
      <c r="H2908" s="56" t="n"/>
      <c r="I2908" s="56" t="n"/>
      <c r="J2908" s="58" t="n"/>
      <c r="K2908" s="58" t="n"/>
      <c r="L2908" s="13">
        <f>IF(OR($A2908="",AND($J2908="",$K2908="")),"",ROUND(N($J2908)-N($K2908),2))</f>
        <v/>
      </c>
      <c r="M2908" s="13">
        <f>IF(OR($A2908="",AND($J2908="",$K2908="")),"",MIN($J2908,$K2908))</f>
        <v/>
      </c>
      <c r="Q2908">
        <f>IF($A2908="","",$D2908&amp;"("&amp;SUBSTITUTE($E2908," ","")&amp;")")</f>
        <v/>
      </c>
      <c r="R2908">
        <f>IF($A2908="","",$B2908&amp;" - "&amp;$C2908)</f>
        <v/>
      </c>
      <c r="S2908">
        <f>IF($A2908="","",$R2908&amp;"|"&amp;$Q2908)</f>
        <v/>
      </c>
      <c r="T2908">
        <f>IF($A2908="","",$S2908&amp;"|"&amp;$F2908)</f>
        <v/>
      </c>
      <c r="U2908">
        <f>IF($A2908="","",$R2908&amp;"("&amp;$E2908&amp;")")</f>
        <v/>
      </c>
      <c r="V2908">
        <f>IF($A2908="","",$F2908&amp;"|"&amp;$U2908&amp;"|"&amp;$D2908)</f>
        <v/>
      </c>
      <c r="W2908">
        <f>IF($T2908="","",IF($X2908&gt;N($X2907),$X2908,""))</f>
        <v/>
      </c>
      <c r="X2908">
        <f>IF($T2908="",N($X2907),IF(MATCH($T2908,$T$6:$T$6005,0)=ROW()-5,N($X2907)+1,N($X2907)))</f>
        <v/>
      </c>
      <c r="Z2908">
        <f>IF($V2908="","",IF($AA2908&gt;N($AA2907),$AA2908,""))</f>
        <v/>
      </c>
      <c r="AA2908">
        <f>IF($V2908="",N($AA2907),IF(MATCH($V2908,$V$6:$V$6005,0)=ROW()-5,N($AA2907)+1,N($AA2907)))</f>
        <v/>
      </c>
    </row>
    <row r="2909" ht="21" customHeight="1" s="66">
      <c r="A2909" s="56" t="n"/>
      <c r="B2909" s="57" t="n"/>
      <c r="C2909" s="57" t="n"/>
      <c r="D2909" s="57" t="n"/>
      <c r="E2909" s="56" t="n"/>
      <c r="F2909" s="57" t="n"/>
      <c r="G2909" s="57" t="n"/>
      <c r="H2909" s="56" t="n"/>
      <c r="I2909" s="56" t="n"/>
      <c r="J2909" s="58" t="n"/>
      <c r="K2909" s="58" t="n"/>
      <c r="L2909" s="13">
        <f>IF(OR($A2909="",AND($J2909="",$K2909="")),"",ROUND(N($J2909)-N($K2909),2))</f>
        <v/>
      </c>
      <c r="M2909" s="13">
        <f>IF(OR($A2909="",AND($J2909="",$K2909="")),"",MIN($J2909,$K2909))</f>
        <v/>
      </c>
      <c r="Q2909">
        <f>IF($A2909="","",$D2909&amp;"("&amp;SUBSTITUTE($E2909," ","")&amp;")")</f>
        <v/>
      </c>
      <c r="R2909">
        <f>IF($A2909="","",$B2909&amp;" - "&amp;$C2909)</f>
        <v/>
      </c>
      <c r="S2909">
        <f>IF($A2909="","",$R2909&amp;"|"&amp;$Q2909)</f>
        <v/>
      </c>
      <c r="T2909">
        <f>IF($A2909="","",$S2909&amp;"|"&amp;$F2909)</f>
        <v/>
      </c>
      <c r="U2909">
        <f>IF($A2909="","",$R2909&amp;"("&amp;$E2909&amp;")")</f>
        <v/>
      </c>
      <c r="V2909">
        <f>IF($A2909="","",$F2909&amp;"|"&amp;$U2909&amp;"|"&amp;$D2909)</f>
        <v/>
      </c>
      <c r="W2909">
        <f>IF($T2909="","",IF($X2909&gt;N($X2908),$X2909,""))</f>
        <v/>
      </c>
      <c r="X2909">
        <f>IF($T2909="",N($X2908),IF(MATCH($T2909,$T$6:$T$6005,0)=ROW()-5,N($X2908)+1,N($X2908)))</f>
        <v/>
      </c>
      <c r="Z2909">
        <f>IF($V2909="","",IF($AA2909&gt;N($AA2908),$AA2909,""))</f>
        <v/>
      </c>
      <c r="AA2909">
        <f>IF($V2909="",N($AA2908),IF(MATCH($V2909,$V$6:$V$6005,0)=ROW()-5,N($AA2908)+1,N($AA2908)))</f>
        <v/>
      </c>
    </row>
    <row r="2910" ht="21" customHeight="1" s="66">
      <c r="A2910" s="56" t="n"/>
      <c r="B2910" s="57" t="n"/>
      <c r="C2910" s="57" t="n"/>
      <c r="D2910" s="57" t="n"/>
      <c r="E2910" s="56" t="n"/>
      <c r="F2910" s="57" t="n"/>
      <c r="G2910" s="57" t="n"/>
      <c r="H2910" s="56" t="n"/>
      <c r="I2910" s="56" t="n"/>
      <c r="J2910" s="58" t="n"/>
      <c r="K2910" s="58" t="n"/>
      <c r="L2910" s="13">
        <f>IF(OR($A2910="",AND($J2910="",$K2910="")),"",ROUND(N($J2910)-N($K2910),2))</f>
        <v/>
      </c>
      <c r="M2910" s="13">
        <f>IF(OR($A2910="",AND($J2910="",$K2910="")),"",MIN($J2910,$K2910))</f>
        <v/>
      </c>
      <c r="Q2910">
        <f>IF($A2910="","",$D2910&amp;"("&amp;SUBSTITUTE($E2910," ","")&amp;")")</f>
        <v/>
      </c>
      <c r="R2910">
        <f>IF($A2910="","",$B2910&amp;" - "&amp;$C2910)</f>
        <v/>
      </c>
      <c r="S2910">
        <f>IF($A2910="","",$R2910&amp;"|"&amp;$Q2910)</f>
        <v/>
      </c>
      <c r="T2910">
        <f>IF($A2910="","",$S2910&amp;"|"&amp;$F2910)</f>
        <v/>
      </c>
      <c r="U2910">
        <f>IF($A2910="","",$R2910&amp;"("&amp;$E2910&amp;")")</f>
        <v/>
      </c>
      <c r="V2910">
        <f>IF($A2910="","",$F2910&amp;"|"&amp;$U2910&amp;"|"&amp;$D2910)</f>
        <v/>
      </c>
      <c r="W2910">
        <f>IF($T2910="","",IF($X2910&gt;N($X2909),$X2910,""))</f>
        <v/>
      </c>
      <c r="X2910">
        <f>IF($T2910="",N($X2909),IF(MATCH($T2910,$T$6:$T$6005,0)=ROW()-5,N($X2909)+1,N($X2909)))</f>
        <v/>
      </c>
      <c r="Z2910">
        <f>IF($V2910="","",IF($AA2910&gt;N($AA2909),$AA2910,""))</f>
        <v/>
      </c>
      <c r="AA2910">
        <f>IF($V2910="",N($AA2909),IF(MATCH($V2910,$V$6:$V$6005,0)=ROW()-5,N($AA2909)+1,N($AA2909)))</f>
        <v/>
      </c>
    </row>
    <row r="2911" ht="21" customHeight="1" s="66">
      <c r="A2911" s="56" t="n"/>
      <c r="B2911" s="57" t="n"/>
      <c r="C2911" s="57" t="n"/>
      <c r="D2911" s="57" t="n"/>
      <c r="E2911" s="56" t="n"/>
      <c r="F2911" s="57" t="n"/>
      <c r="G2911" s="57" t="n"/>
      <c r="H2911" s="56" t="n"/>
      <c r="I2911" s="56" t="n"/>
      <c r="J2911" s="58" t="n"/>
      <c r="K2911" s="58" t="n"/>
      <c r="L2911" s="13">
        <f>IF(OR($A2911="",AND($J2911="",$K2911="")),"",ROUND(N($J2911)-N($K2911),2))</f>
        <v/>
      </c>
      <c r="M2911" s="13">
        <f>IF(OR($A2911="",AND($J2911="",$K2911="")),"",MIN($J2911,$K2911))</f>
        <v/>
      </c>
      <c r="Q2911">
        <f>IF($A2911="","",$D2911&amp;"("&amp;SUBSTITUTE($E2911," ","")&amp;")")</f>
        <v/>
      </c>
      <c r="R2911">
        <f>IF($A2911="","",$B2911&amp;" - "&amp;$C2911)</f>
        <v/>
      </c>
      <c r="S2911">
        <f>IF($A2911="","",$R2911&amp;"|"&amp;$Q2911)</f>
        <v/>
      </c>
      <c r="T2911">
        <f>IF($A2911="","",$S2911&amp;"|"&amp;$F2911)</f>
        <v/>
      </c>
      <c r="U2911">
        <f>IF($A2911="","",$R2911&amp;"("&amp;$E2911&amp;")")</f>
        <v/>
      </c>
      <c r="V2911">
        <f>IF($A2911="","",$F2911&amp;"|"&amp;$U2911&amp;"|"&amp;$D2911)</f>
        <v/>
      </c>
      <c r="W2911">
        <f>IF($T2911="","",IF($X2911&gt;N($X2910),$X2911,""))</f>
        <v/>
      </c>
      <c r="X2911">
        <f>IF($T2911="",N($X2910),IF(MATCH($T2911,$T$6:$T$6005,0)=ROW()-5,N($X2910)+1,N($X2910)))</f>
        <v/>
      </c>
      <c r="Z2911">
        <f>IF($V2911="","",IF($AA2911&gt;N($AA2910),$AA2911,""))</f>
        <v/>
      </c>
      <c r="AA2911">
        <f>IF($V2911="",N($AA2910),IF(MATCH($V2911,$V$6:$V$6005,0)=ROW()-5,N($AA2910)+1,N($AA2910)))</f>
        <v/>
      </c>
    </row>
    <row r="2912" ht="21" customHeight="1" s="66">
      <c r="A2912" s="56" t="n"/>
      <c r="B2912" s="57" t="n"/>
      <c r="C2912" s="57" t="n"/>
      <c r="D2912" s="57" t="n"/>
      <c r="E2912" s="56" t="n"/>
      <c r="F2912" s="57" t="n"/>
      <c r="G2912" s="57" t="n"/>
      <c r="H2912" s="56" t="n"/>
      <c r="I2912" s="56" t="n"/>
      <c r="J2912" s="58" t="n"/>
      <c r="K2912" s="58" t="n"/>
      <c r="L2912" s="13">
        <f>IF(OR($A2912="",AND($J2912="",$K2912="")),"",ROUND(N($J2912)-N($K2912),2))</f>
        <v/>
      </c>
      <c r="M2912" s="13">
        <f>IF(OR($A2912="",AND($J2912="",$K2912="")),"",MIN($J2912,$K2912))</f>
        <v/>
      </c>
      <c r="Q2912">
        <f>IF($A2912="","",$D2912&amp;"("&amp;SUBSTITUTE($E2912," ","")&amp;")")</f>
        <v/>
      </c>
      <c r="R2912">
        <f>IF($A2912="","",$B2912&amp;" - "&amp;$C2912)</f>
        <v/>
      </c>
      <c r="S2912">
        <f>IF($A2912="","",$R2912&amp;"|"&amp;$Q2912)</f>
        <v/>
      </c>
      <c r="T2912">
        <f>IF($A2912="","",$S2912&amp;"|"&amp;$F2912)</f>
        <v/>
      </c>
      <c r="U2912">
        <f>IF($A2912="","",$R2912&amp;"("&amp;$E2912&amp;")")</f>
        <v/>
      </c>
      <c r="V2912">
        <f>IF($A2912="","",$F2912&amp;"|"&amp;$U2912&amp;"|"&amp;$D2912)</f>
        <v/>
      </c>
      <c r="W2912">
        <f>IF($T2912="","",IF($X2912&gt;N($X2911),$X2912,""))</f>
        <v/>
      </c>
      <c r="X2912">
        <f>IF($T2912="",N($X2911),IF(MATCH($T2912,$T$6:$T$6005,0)=ROW()-5,N($X2911)+1,N($X2911)))</f>
        <v/>
      </c>
      <c r="Z2912">
        <f>IF($V2912="","",IF($AA2912&gt;N($AA2911),$AA2912,""))</f>
        <v/>
      </c>
      <c r="AA2912">
        <f>IF($V2912="",N($AA2911),IF(MATCH($V2912,$V$6:$V$6005,0)=ROW()-5,N($AA2911)+1,N($AA2911)))</f>
        <v/>
      </c>
    </row>
    <row r="2913" ht="21" customHeight="1" s="66">
      <c r="A2913" s="56" t="n"/>
      <c r="B2913" s="57" t="n"/>
      <c r="C2913" s="57" t="n"/>
      <c r="D2913" s="57" t="n"/>
      <c r="E2913" s="56" t="n"/>
      <c r="F2913" s="57" t="n"/>
      <c r="G2913" s="57" t="n"/>
      <c r="H2913" s="56" t="n"/>
      <c r="I2913" s="56" t="n"/>
      <c r="J2913" s="58" t="n"/>
      <c r="K2913" s="58" t="n"/>
      <c r="L2913" s="13">
        <f>IF(OR($A2913="",AND($J2913="",$K2913="")),"",ROUND(N($J2913)-N($K2913),2))</f>
        <v/>
      </c>
      <c r="M2913" s="13">
        <f>IF(OR($A2913="",AND($J2913="",$K2913="")),"",MIN($J2913,$K2913))</f>
        <v/>
      </c>
      <c r="Q2913">
        <f>IF($A2913="","",$D2913&amp;"("&amp;SUBSTITUTE($E2913," ","")&amp;")")</f>
        <v/>
      </c>
      <c r="R2913">
        <f>IF($A2913="","",$B2913&amp;" - "&amp;$C2913)</f>
        <v/>
      </c>
      <c r="S2913">
        <f>IF($A2913="","",$R2913&amp;"|"&amp;$Q2913)</f>
        <v/>
      </c>
      <c r="T2913">
        <f>IF($A2913="","",$S2913&amp;"|"&amp;$F2913)</f>
        <v/>
      </c>
      <c r="U2913">
        <f>IF($A2913="","",$R2913&amp;"("&amp;$E2913&amp;")")</f>
        <v/>
      </c>
      <c r="V2913">
        <f>IF($A2913="","",$F2913&amp;"|"&amp;$U2913&amp;"|"&amp;$D2913)</f>
        <v/>
      </c>
      <c r="W2913">
        <f>IF($T2913="","",IF($X2913&gt;N($X2912),$X2913,""))</f>
        <v/>
      </c>
      <c r="X2913">
        <f>IF($T2913="",N($X2912),IF(MATCH($T2913,$T$6:$T$6005,0)=ROW()-5,N($X2912)+1,N($X2912)))</f>
        <v/>
      </c>
      <c r="Z2913">
        <f>IF($V2913="","",IF($AA2913&gt;N($AA2912),$AA2913,""))</f>
        <v/>
      </c>
      <c r="AA2913">
        <f>IF($V2913="",N($AA2912),IF(MATCH($V2913,$V$6:$V$6005,0)=ROW()-5,N($AA2912)+1,N($AA2912)))</f>
        <v/>
      </c>
    </row>
    <row r="2914" ht="21" customHeight="1" s="66">
      <c r="A2914" s="56" t="n"/>
      <c r="B2914" s="57" t="n"/>
      <c r="C2914" s="57" t="n"/>
      <c r="D2914" s="57" t="n"/>
      <c r="E2914" s="56" t="n"/>
      <c r="F2914" s="57" t="n"/>
      <c r="G2914" s="57" t="n"/>
      <c r="H2914" s="56" t="n"/>
      <c r="I2914" s="56" t="n"/>
      <c r="J2914" s="58" t="n"/>
      <c r="K2914" s="58" t="n"/>
      <c r="L2914" s="13">
        <f>IF(OR($A2914="",AND($J2914="",$K2914="")),"",ROUND(N($J2914)-N($K2914),2))</f>
        <v/>
      </c>
      <c r="M2914" s="13">
        <f>IF(OR($A2914="",AND($J2914="",$K2914="")),"",MIN($J2914,$K2914))</f>
        <v/>
      </c>
      <c r="Q2914">
        <f>IF($A2914="","",$D2914&amp;"("&amp;SUBSTITUTE($E2914," ","")&amp;")")</f>
        <v/>
      </c>
      <c r="R2914">
        <f>IF($A2914="","",$B2914&amp;" - "&amp;$C2914)</f>
        <v/>
      </c>
      <c r="S2914">
        <f>IF($A2914="","",$R2914&amp;"|"&amp;$Q2914)</f>
        <v/>
      </c>
      <c r="T2914">
        <f>IF($A2914="","",$S2914&amp;"|"&amp;$F2914)</f>
        <v/>
      </c>
      <c r="U2914">
        <f>IF($A2914="","",$R2914&amp;"("&amp;$E2914&amp;")")</f>
        <v/>
      </c>
      <c r="V2914">
        <f>IF($A2914="","",$F2914&amp;"|"&amp;$U2914&amp;"|"&amp;$D2914)</f>
        <v/>
      </c>
      <c r="W2914">
        <f>IF($T2914="","",IF($X2914&gt;N($X2913),$X2914,""))</f>
        <v/>
      </c>
      <c r="X2914">
        <f>IF($T2914="",N($X2913),IF(MATCH($T2914,$T$6:$T$6005,0)=ROW()-5,N($X2913)+1,N($X2913)))</f>
        <v/>
      </c>
      <c r="Z2914">
        <f>IF($V2914="","",IF($AA2914&gt;N($AA2913),$AA2914,""))</f>
        <v/>
      </c>
      <c r="AA2914">
        <f>IF($V2914="",N($AA2913),IF(MATCH($V2914,$V$6:$V$6005,0)=ROW()-5,N($AA2913)+1,N($AA2913)))</f>
        <v/>
      </c>
    </row>
    <row r="2915" ht="21" customHeight="1" s="66">
      <c r="A2915" s="56" t="n"/>
      <c r="B2915" s="57" t="n"/>
      <c r="C2915" s="57" t="n"/>
      <c r="D2915" s="57" t="n"/>
      <c r="E2915" s="56" t="n"/>
      <c r="F2915" s="57" t="n"/>
      <c r="G2915" s="57" t="n"/>
      <c r="H2915" s="56" t="n"/>
      <c r="I2915" s="56" t="n"/>
      <c r="J2915" s="58" t="n"/>
      <c r="K2915" s="58" t="n"/>
      <c r="L2915" s="13">
        <f>IF(OR($A2915="",AND($J2915="",$K2915="")),"",ROUND(N($J2915)-N($K2915),2))</f>
        <v/>
      </c>
      <c r="M2915" s="13">
        <f>IF(OR($A2915="",AND($J2915="",$K2915="")),"",MIN($J2915,$K2915))</f>
        <v/>
      </c>
      <c r="Q2915">
        <f>IF($A2915="","",$D2915&amp;"("&amp;SUBSTITUTE($E2915," ","")&amp;")")</f>
        <v/>
      </c>
      <c r="R2915">
        <f>IF($A2915="","",$B2915&amp;" - "&amp;$C2915)</f>
        <v/>
      </c>
      <c r="S2915">
        <f>IF($A2915="","",$R2915&amp;"|"&amp;$Q2915)</f>
        <v/>
      </c>
      <c r="T2915">
        <f>IF($A2915="","",$S2915&amp;"|"&amp;$F2915)</f>
        <v/>
      </c>
      <c r="U2915">
        <f>IF($A2915="","",$R2915&amp;"("&amp;$E2915&amp;")")</f>
        <v/>
      </c>
      <c r="V2915">
        <f>IF($A2915="","",$F2915&amp;"|"&amp;$U2915&amp;"|"&amp;$D2915)</f>
        <v/>
      </c>
      <c r="W2915">
        <f>IF($T2915="","",IF($X2915&gt;N($X2914),$X2915,""))</f>
        <v/>
      </c>
      <c r="X2915">
        <f>IF($T2915="",N($X2914),IF(MATCH($T2915,$T$6:$T$6005,0)=ROW()-5,N($X2914)+1,N($X2914)))</f>
        <v/>
      </c>
      <c r="Z2915">
        <f>IF($V2915="","",IF($AA2915&gt;N($AA2914),$AA2915,""))</f>
        <v/>
      </c>
      <c r="AA2915">
        <f>IF($V2915="",N($AA2914),IF(MATCH($V2915,$V$6:$V$6005,0)=ROW()-5,N($AA2914)+1,N($AA2914)))</f>
        <v/>
      </c>
    </row>
    <row r="2916" ht="21" customHeight="1" s="66">
      <c r="A2916" s="56" t="n"/>
      <c r="B2916" s="57" t="n"/>
      <c r="C2916" s="57" t="n"/>
      <c r="D2916" s="57" t="n"/>
      <c r="E2916" s="56" t="n"/>
      <c r="F2916" s="57" t="n"/>
      <c r="G2916" s="57" t="n"/>
      <c r="H2916" s="56" t="n"/>
      <c r="I2916" s="56" t="n"/>
      <c r="J2916" s="58" t="n"/>
      <c r="K2916" s="58" t="n"/>
      <c r="L2916" s="13">
        <f>IF(OR($A2916="",AND($J2916="",$K2916="")),"",ROUND(N($J2916)-N($K2916),2))</f>
        <v/>
      </c>
      <c r="M2916" s="13">
        <f>IF(OR($A2916="",AND($J2916="",$K2916="")),"",MIN($J2916,$K2916))</f>
        <v/>
      </c>
      <c r="Q2916">
        <f>IF($A2916="","",$D2916&amp;"("&amp;SUBSTITUTE($E2916," ","")&amp;")")</f>
        <v/>
      </c>
      <c r="R2916">
        <f>IF($A2916="","",$B2916&amp;" - "&amp;$C2916)</f>
        <v/>
      </c>
      <c r="S2916">
        <f>IF($A2916="","",$R2916&amp;"|"&amp;$Q2916)</f>
        <v/>
      </c>
      <c r="T2916">
        <f>IF($A2916="","",$S2916&amp;"|"&amp;$F2916)</f>
        <v/>
      </c>
      <c r="U2916">
        <f>IF($A2916="","",$R2916&amp;"("&amp;$E2916&amp;")")</f>
        <v/>
      </c>
      <c r="V2916">
        <f>IF($A2916="","",$F2916&amp;"|"&amp;$U2916&amp;"|"&amp;$D2916)</f>
        <v/>
      </c>
      <c r="W2916">
        <f>IF($T2916="","",IF($X2916&gt;N($X2915),$X2916,""))</f>
        <v/>
      </c>
      <c r="X2916">
        <f>IF($T2916="",N($X2915),IF(MATCH($T2916,$T$6:$T$6005,0)=ROW()-5,N($X2915)+1,N($X2915)))</f>
        <v/>
      </c>
      <c r="Z2916">
        <f>IF($V2916="","",IF($AA2916&gt;N($AA2915),$AA2916,""))</f>
        <v/>
      </c>
      <c r="AA2916">
        <f>IF($V2916="",N($AA2915),IF(MATCH($V2916,$V$6:$V$6005,0)=ROW()-5,N($AA2915)+1,N($AA2915)))</f>
        <v/>
      </c>
    </row>
    <row r="2917" ht="21" customHeight="1" s="66">
      <c r="A2917" s="56" t="n"/>
      <c r="B2917" s="57" t="n"/>
      <c r="C2917" s="57" t="n"/>
      <c r="D2917" s="57" t="n"/>
      <c r="E2917" s="56" t="n"/>
      <c r="F2917" s="57" t="n"/>
      <c r="G2917" s="57" t="n"/>
      <c r="H2917" s="56" t="n"/>
      <c r="I2917" s="56" t="n"/>
      <c r="J2917" s="58" t="n"/>
      <c r="K2917" s="58" t="n"/>
      <c r="L2917" s="13">
        <f>IF(OR($A2917="",AND($J2917="",$K2917="")),"",ROUND(N($J2917)-N($K2917),2))</f>
        <v/>
      </c>
      <c r="M2917" s="13">
        <f>IF(OR($A2917="",AND($J2917="",$K2917="")),"",MIN($J2917,$K2917))</f>
        <v/>
      </c>
      <c r="Q2917">
        <f>IF($A2917="","",$D2917&amp;"("&amp;SUBSTITUTE($E2917," ","")&amp;")")</f>
        <v/>
      </c>
      <c r="R2917">
        <f>IF($A2917="","",$B2917&amp;" - "&amp;$C2917)</f>
        <v/>
      </c>
      <c r="S2917">
        <f>IF($A2917="","",$R2917&amp;"|"&amp;$Q2917)</f>
        <v/>
      </c>
      <c r="T2917">
        <f>IF($A2917="","",$S2917&amp;"|"&amp;$F2917)</f>
        <v/>
      </c>
      <c r="U2917">
        <f>IF($A2917="","",$R2917&amp;"("&amp;$E2917&amp;")")</f>
        <v/>
      </c>
      <c r="V2917">
        <f>IF($A2917="","",$F2917&amp;"|"&amp;$U2917&amp;"|"&amp;$D2917)</f>
        <v/>
      </c>
      <c r="W2917">
        <f>IF($T2917="","",IF($X2917&gt;N($X2916),$X2917,""))</f>
        <v/>
      </c>
      <c r="X2917">
        <f>IF($T2917="",N($X2916),IF(MATCH($T2917,$T$6:$T$6005,0)=ROW()-5,N($X2916)+1,N($X2916)))</f>
        <v/>
      </c>
      <c r="Z2917">
        <f>IF($V2917="","",IF($AA2917&gt;N($AA2916),$AA2917,""))</f>
        <v/>
      </c>
      <c r="AA2917">
        <f>IF($V2917="",N($AA2916),IF(MATCH($V2917,$V$6:$V$6005,0)=ROW()-5,N($AA2916)+1,N($AA2916)))</f>
        <v/>
      </c>
    </row>
    <row r="2918" ht="21" customHeight="1" s="66">
      <c r="A2918" s="56" t="n"/>
      <c r="B2918" s="57" t="n"/>
      <c r="C2918" s="57" t="n"/>
      <c r="D2918" s="57" t="n"/>
      <c r="E2918" s="56" t="n"/>
      <c r="F2918" s="57" t="n"/>
      <c r="G2918" s="57" t="n"/>
      <c r="H2918" s="56" t="n"/>
      <c r="I2918" s="56" t="n"/>
      <c r="J2918" s="58" t="n"/>
      <c r="K2918" s="58" t="n"/>
      <c r="L2918" s="13">
        <f>IF(OR($A2918="",AND($J2918="",$K2918="")),"",ROUND(N($J2918)-N($K2918),2))</f>
        <v/>
      </c>
      <c r="M2918" s="13">
        <f>IF(OR($A2918="",AND($J2918="",$K2918="")),"",MIN($J2918,$K2918))</f>
        <v/>
      </c>
      <c r="Q2918">
        <f>IF($A2918="","",$D2918&amp;"("&amp;SUBSTITUTE($E2918," ","")&amp;")")</f>
        <v/>
      </c>
      <c r="R2918">
        <f>IF($A2918="","",$B2918&amp;" - "&amp;$C2918)</f>
        <v/>
      </c>
      <c r="S2918">
        <f>IF($A2918="","",$R2918&amp;"|"&amp;$Q2918)</f>
        <v/>
      </c>
      <c r="T2918">
        <f>IF($A2918="","",$S2918&amp;"|"&amp;$F2918)</f>
        <v/>
      </c>
      <c r="U2918">
        <f>IF($A2918="","",$R2918&amp;"("&amp;$E2918&amp;")")</f>
        <v/>
      </c>
      <c r="V2918">
        <f>IF($A2918="","",$F2918&amp;"|"&amp;$U2918&amp;"|"&amp;$D2918)</f>
        <v/>
      </c>
      <c r="W2918">
        <f>IF($T2918="","",IF($X2918&gt;N($X2917),$X2918,""))</f>
        <v/>
      </c>
      <c r="X2918">
        <f>IF($T2918="",N($X2917),IF(MATCH($T2918,$T$6:$T$6005,0)=ROW()-5,N($X2917)+1,N($X2917)))</f>
        <v/>
      </c>
      <c r="Z2918">
        <f>IF($V2918="","",IF($AA2918&gt;N($AA2917),$AA2918,""))</f>
        <v/>
      </c>
      <c r="AA2918">
        <f>IF($V2918="",N($AA2917),IF(MATCH($V2918,$V$6:$V$6005,0)=ROW()-5,N($AA2917)+1,N($AA2917)))</f>
        <v/>
      </c>
    </row>
    <row r="2919" ht="21" customHeight="1" s="66">
      <c r="A2919" s="56" t="n"/>
      <c r="B2919" s="57" t="n"/>
      <c r="C2919" s="57" t="n"/>
      <c r="D2919" s="57" t="n"/>
      <c r="E2919" s="56" t="n"/>
      <c r="F2919" s="57" t="n"/>
      <c r="G2919" s="57" t="n"/>
      <c r="H2919" s="56" t="n"/>
      <c r="I2919" s="56" t="n"/>
      <c r="J2919" s="58" t="n"/>
      <c r="K2919" s="58" t="n"/>
      <c r="L2919" s="13">
        <f>IF(OR($A2919="",AND($J2919="",$K2919="")),"",ROUND(N($J2919)-N($K2919),2))</f>
        <v/>
      </c>
      <c r="M2919" s="13">
        <f>IF(OR($A2919="",AND($J2919="",$K2919="")),"",MIN($J2919,$K2919))</f>
        <v/>
      </c>
      <c r="Q2919">
        <f>IF($A2919="","",$D2919&amp;"("&amp;SUBSTITUTE($E2919," ","")&amp;")")</f>
        <v/>
      </c>
      <c r="R2919">
        <f>IF($A2919="","",$B2919&amp;" - "&amp;$C2919)</f>
        <v/>
      </c>
      <c r="S2919">
        <f>IF($A2919="","",$R2919&amp;"|"&amp;$Q2919)</f>
        <v/>
      </c>
      <c r="T2919">
        <f>IF($A2919="","",$S2919&amp;"|"&amp;$F2919)</f>
        <v/>
      </c>
      <c r="U2919">
        <f>IF($A2919="","",$R2919&amp;"("&amp;$E2919&amp;")")</f>
        <v/>
      </c>
      <c r="V2919">
        <f>IF($A2919="","",$F2919&amp;"|"&amp;$U2919&amp;"|"&amp;$D2919)</f>
        <v/>
      </c>
      <c r="W2919">
        <f>IF($T2919="","",IF($X2919&gt;N($X2918),$X2919,""))</f>
        <v/>
      </c>
      <c r="X2919">
        <f>IF($T2919="",N($X2918),IF(MATCH($T2919,$T$6:$T$6005,0)=ROW()-5,N($X2918)+1,N($X2918)))</f>
        <v/>
      </c>
      <c r="Z2919">
        <f>IF($V2919="","",IF($AA2919&gt;N($AA2918),$AA2919,""))</f>
        <v/>
      </c>
      <c r="AA2919">
        <f>IF($V2919="",N($AA2918),IF(MATCH($V2919,$V$6:$V$6005,0)=ROW()-5,N($AA2918)+1,N($AA2918)))</f>
        <v/>
      </c>
    </row>
    <row r="2920" ht="21" customHeight="1" s="66">
      <c r="A2920" s="56" t="n"/>
      <c r="B2920" s="57" t="n"/>
      <c r="C2920" s="57" t="n"/>
      <c r="D2920" s="57" t="n"/>
      <c r="E2920" s="56" t="n"/>
      <c r="F2920" s="57" t="n"/>
      <c r="G2920" s="57" t="n"/>
      <c r="H2920" s="56" t="n"/>
      <c r="I2920" s="56" t="n"/>
      <c r="J2920" s="58" t="n"/>
      <c r="K2920" s="58" t="n"/>
      <c r="L2920" s="13">
        <f>IF(OR($A2920="",AND($J2920="",$K2920="")),"",ROUND(N($J2920)-N($K2920),2))</f>
        <v/>
      </c>
      <c r="M2920" s="13">
        <f>IF(OR($A2920="",AND($J2920="",$K2920="")),"",MIN($J2920,$K2920))</f>
        <v/>
      </c>
      <c r="Q2920">
        <f>IF($A2920="","",$D2920&amp;"("&amp;SUBSTITUTE($E2920," ","")&amp;")")</f>
        <v/>
      </c>
      <c r="R2920">
        <f>IF($A2920="","",$B2920&amp;" - "&amp;$C2920)</f>
        <v/>
      </c>
      <c r="S2920">
        <f>IF($A2920="","",$R2920&amp;"|"&amp;$Q2920)</f>
        <v/>
      </c>
      <c r="T2920">
        <f>IF($A2920="","",$S2920&amp;"|"&amp;$F2920)</f>
        <v/>
      </c>
      <c r="U2920">
        <f>IF($A2920="","",$R2920&amp;"("&amp;$E2920&amp;")")</f>
        <v/>
      </c>
      <c r="V2920">
        <f>IF($A2920="","",$F2920&amp;"|"&amp;$U2920&amp;"|"&amp;$D2920)</f>
        <v/>
      </c>
      <c r="W2920">
        <f>IF($T2920="","",IF($X2920&gt;N($X2919),$X2920,""))</f>
        <v/>
      </c>
      <c r="X2920">
        <f>IF($T2920="",N($X2919),IF(MATCH($T2920,$T$6:$T$6005,0)=ROW()-5,N($X2919)+1,N($X2919)))</f>
        <v/>
      </c>
      <c r="Z2920">
        <f>IF($V2920="","",IF($AA2920&gt;N($AA2919),$AA2920,""))</f>
        <v/>
      </c>
      <c r="AA2920">
        <f>IF($V2920="",N($AA2919),IF(MATCH($V2920,$V$6:$V$6005,0)=ROW()-5,N($AA2919)+1,N($AA2919)))</f>
        <v/>
      </c>
    </row>
    <row r="2921" ht="21" customHeight="1" s="66">
      <c r="A2921" s="56" t="n"/>
      <c r="B2921" s="57" t="n"/>
      <c r="C2921" s="57" t="n"/>
      <c r="D2921" s="57" t="n"/>
      <c r="E2921" s="56" t="n"/>
      <c r="F2921" s="57" t="n"/>
      <c r="G2921" s="57" t="n"/>
      <c r="H2921" s="56" t="n"/>
      <c r="I2921" s="56" t="n"/>
      <c r="J2921" s="58" t="n"/>
      <c r="K2921" s="58" t="n"/>
      <c r="L2921" s="13">
        <f>IF(OR($A2921="",AND($J2921="",$K2921="")),"",ROUND(N($J2921)-N($K2921),2))</f>
        <v/>
      </c>
      <c r="M2921" s="13">
        <f>IF(OR($A2921="",AND($J2921="",$K2921="")),"",MIN($J2921,$K2921))</f>
        <v/>
      </c>
      <c r="Q2921">
        <f>IF($A2921="","",$D2921&amp;"("&amp;SUBSTITUTE($E2921," ","")&amp;")")</f>
        <v/>
      </c>
      <c r="R2921">
        <f>IF($A2921="","",$B2921&amp;" - "&amp;$C2921)</f>
        <v/>
      </c>
      <c r="S2921">
        <f>IF($A2921="","",$R2921&amp;"|"&amp;$Q2921)</f>
        <v/>
      </c>
      <c r="T2921">
        <f>IF($A2921="","",$S2921&amp;"|"&amp;$F2921)</f>
        <v/>
      </c>
      <c r="U2921">
        <f>IF($A2921="","",$R2921&amp;"("&amp;$E2921&amp;")")</f>
        <v/>
      </c>
      <c r="V2921">
        <f>IF($A2921="","",$F2921&amp;"|"&amp;$U2921&amp;"|"&amp;$D2921)</f>
        <v/>
      </c>
      <c r="W2921">
        <f>IF($T2921="","",IF($X2921&gt;N($X2920),$X2921,""))</f>
        <v/>
      </c>
      <c r="X2921">
        <f>IF($T2921="",N($X2920),IF(MATCH($T2921,$T$6:$T$6005,0)=ROW()-5,N($X2920)+1,N($X2920)))</f>
        <v/>
      </c>
      <c r="Z2921">
        <f>IF($V2921="","",IF($AA2921&gt;N($AA2920),$AA2921,""))</f>
        <v/>
      </c>
      <c r="AA2921">
        <f>IF($V2921="",N($AA2920),IF(MATCH($V2921,$V$6:$V$6005,0)=ROW()-5,N($AA2920)+1,N($AA2920)))</f>
        <v/>
      </c>
    </row>
    <row r="2922" ht="21" customHeight="1" s="66">
      <c r="A2922" s="56" t="n"/>
      <c r="B2922" s="57" t="n"/>
      <c r="C2922" s="57" t="n"/>
      <c r="D2922" s="57" t="n"/>
      <c r="E2922" s="56" t="n"/>
      <c r="F2922" s="57" t="n"/>
      <c r="G2922" s="57" t="n"/>
      <c r="H2922" s="56" t="n"/>
      <c r="I2922" s="56" t="n"/>
      <c r="J2922" s="58" t="n"/>
      <c r="K2922" s="58" t="n"/>
      <c r="L2922" s="13">
        <f>IF(OR($A2922="",AND($J2922="",$K2922="")),"",ROUND(N($J2922)-N($K2922),2))</f>
        <v/>
      </c>
      <c r="M2922" s="13">
        <f>IF(OR($A2922="",AND($J2922="",$K2922="")),"",MIN($J2922,$K2922))</f>
        <v/>
      </c>
      <c r="Q2922">
        <f>IF($A2922="","",$D2922&amp;"("&amp;SUBSTITUTE($E2922," ","")&amp;")")</f>
        <v/>
      </c>
      <c r="R2922">
        <f>IF($A2922="","",$B2922&amp;" - "&amp;$C2922)</f>
        <v/>
      </c>
      <c r="S2922">
        <f>IF($A2922="","",$R2922&amp;"|"&amp;$Q2922)</f>
        <v/>
      </c>
      <c r="T2922">
        <f>IF($A2922="","",$S2922&amp;"|"&amp;$F2922)</f>
        <v/>
      </c>
      <c r="U2922">
        <f>IF($A2922="","",$R2922&amp;"("&amp;$E2922&amp;")")</f>
        <v/>
      </c>
      <c r="V2922">
        <f>IF($A2922="","",$F2922&amp;"|"&amp;$U2922&amp;"|"&amp;$D2922)</f>
        <v/>
      </c>
      <c r="W2922">
        <f>IF($T2922="","",IF($X2922&gt;N($X2921),$X2922,""))</f>
        <v/>
      </c>
      <c r="X2922">
        <f>IF($T2922="",N($X2921),IF(MATCH($T2922,$T$6:$T$6005,0)=ROW()-5,N($X2921)+1,N($X2921)))</f>
        <v/>
      </c>
      <c r="Z2922">
        <f>IF($V2922="","",IF($AA2922&gt;N($AA2921),$AA2922,""))</f>
        <v/>
      </c>
      <c r="AA2922">
        <f>IF($V2922="",N($AA2921),IF(MATCH($V2922,$V$6:$V$6005,0)=ROW()-5,N($AA2921)+1,N($AA2921)))</f>
        <v/>
      </c>
    </row>
    <row r="2923" ht="21" customHeight="1" s="66">
      <c r="A2923" s="56" t="n"/>
      <c r="B2923" s="57" t="n"/>
      <c r="C2923" s="57" t="n"/>
      <c r="D2923" s="57" t="n"/>
      <c r="E2923" s="56" t="n"/>
      <c r="F2923" s="57" t="n"/>
      <c r="G2923" s="57" t="n"/>
      <c r="H2923" s="56" t="n"/>
      <c r="I2923" s="56" t="n"/>
      <c r="J2923" s="58" t="n"/>
      <c r="K2923" s="58" t="n"/>
      <c r="L2923" s="13">
        <f>IF(OR($A2923="",AND($J2923="",$K2923="")),"",ROUND(N($J2923)-N($K2923),2))</f>
        <v/>
      </c>
      <c r="M2923" s="13">
        <f>IF(OR($A2923="",AND($J2923="",$K2923="")),"",MIN($J2923,$K2923))</f>
        <v/>
      </c>
      <c r="Q2923">
        <f>IF($A2923="","",$D2923&amp;"("&amp;SUBSTITUTE($E2923," ","")&amp;")")</f>
        <v/>
      </c>
      <c r="R2923">
        <f>IF($A2923="","",$B2923&amp;" - "&amp;$C2923)</f>
        <v/>
      </c>
      <c r="S2923">
        <f>IF($A2923="","",$R2923&amp;"|"&amp;$Q2923)</f>
        <v/>
      </c>
      <c r="T2923">
        <f>IF($A2923="","",$S2923&amp;"|"&amp;$F2923)</f>
        <v/>
      </c>
      <c r="U2923">
        <f>IF($A2923="","",$R2923&amp;"("&amp;$E2923&amp;")")</f>
        <v/>
      </c>
      <c r="V2923">
        <f>IF($A2923="","",$F2923&amp;"|"&amp;$U2923&amp;"|"&amp;$D2923)</f>
        <v/>
      </c>
      <c r="W2923">
        <f>IF($T2923="","",IF($X2923&gt;N($X2922),$X2923,""))</f>
        <v/>
      </c>
      <c r="X2923">
        <f>IF($T2923="",N($X2922),IF(MATCH($T2923,$T$6:$T$6005,0)=ROW()-5,N($X2922)+1,N($X2922)))</f>
        <v/>
      </c>
      <c r="Z2923">
        <f>IF($V2923="","",IF($AA2923&gt;N($AA2922),$AA2923,""))</f>
        <v/>
      </c>
      <c r="AA2923">
        <f>IF($V2923="",N($AA2922),IF(MATCH($V2923,$V$6:$V$6005,0)=ROW()-5,N($AA2922)+1,N($AA2922)))</f>
        <v/>
      </c>
    </row>
    <row r="2924" ht="21" customHeight="1" s="66">
      <c r="A2924" s="56" t="n"/>
      <c r="B2924" s="57" t="n"/>
      <c r="C2924" s="57" t="n"/>
      <c r="D2924" s="57" t="n"/>
      <c r="E2924" s="56" t="n"/>
      <c r="F2924" s="57" t="n"/>
      <c r="G2924" s="57" t="n"/>
      <c r="H2924" s="56" t="n"/>
      <c r="I2924" s="56" t="n"/>
      <c r="J2924" s="58" t="n"/>
      <c r="K2924" s="58" t="n"/>
      <c r="L2924" s="13">
        <f>IF(OR($A2924="",AND($J2924="",$K2924="")),"",ROUND(N($J2924)-N($K2924),2))</f>
        <v/>
      </c>
      <c r="M2924" s="13">
        <f>IF(OR($A2924="",AND($J2924="",$K2924="")),"",MIN($J2924,$K2924))</f>
        <v/>
      </c>
      <c r="Q2924">
        <f>IF($A2924="","",$D2924&amp;"("&amp;SUBSTITUTE($E2924," ","")&amp;")")</f>
        <v/>
      </c>
      <c r="R2924">
        <f>IF($A2924="","",$B2924&amp;" - "&amp;$C2924)</f>
        <v/>
      </c>
      <c r="S2924">
        <f>IF($A2924="","",$R2924&amp;"|"&amp;$Q2924)</f>
        <v/>
      </c>
      <c r="T2924">
        <f>IF($A2924="","",$S2924&amp;"|"&amp;$F2924)</f>
        <v/>
      </c>
      <c r="U2924">
        <f>IF($A2924="","",$R2924&amp;"("&amp;$E2924&amp;")")</f>
        <v/>
      </c>
      <c r="V2924">
        <f>IF($A2924="","",$F2924&amp;"|"&amp;$U2924&amp;"|"&amp;$D2924)</f>
        <v/>
      </c>
      <c r="W2924">
        <f>IF($T2924="","",IF($X2924&gt;N($X2923),$X2924,""))</f>
        <v/>
      </c>
      <c r="X2924">
        <f>IF($T2924="",N($X2923),IF(MATCH($T2924,$T$6:$T$6005,0)=ROW()-5,N($X2923)+1,N($X2923)))</f>
        <v/>
      </c>
      <c r="Z2924">
        <f>IF($V2924="","",IF($AA2924&gt;N($AA2923),$AA2924,""))</f>
        <v/>
      </c>
      <c r="AA2924">
        <f>IF($V2924="",N($AA2923),IF(MATCH($V2924,$V$6:$V$6005,0)=ROW()-5,N($AA2923)+1,N($AA2923)))</f>
        <v/>
      </c>
    </row>
    <row r="2925" ht="21" customHeight="1" s="66">
      <c r="A2925" s="56" t="n"/>
      <c r="B2925" s="57" t="n"/>
      <c r="C2925" s="57" t="n"/>
      <c r="D2925" s="57" t="n"/>
      <c r="E2925" s="56" t="n"/>
      <c r="F2925" s="57" t="n"/>
      <c r="G2925" s="57" t="n"/>
      <c r="H2925" s="56" t="n"/>
      <c r="I2925" s="56" t="n"/>
      <c r="J2925" s="58" t="n"/>
      <c r="K2925" s="58" t="n"/>
      <c r="L2925" s="13">
        <f>IF(OR($A2925="",AND($J2925="",$K2925="")),"",ROUND(N($J2925)-N($K2925),2))</f>
        <v/>
      </c>
      <c r="M2925" s="13">
        <f>IF(OR($A2925="",AND($J2925="",$K2925="")),"",MIN($J2925,$K2925))</f>
        <v/>
      </c>
      <c r="Q2925">
        <f>IF($A2925="","",$D2925&amp;"("&amp;SUBSTITUTE($E2925," ","")&amp;")")</f>
        <v/>
      </c>
      <c r="R2925">
        <f>IF($A2925="","",$B2925&amp;" - "&amp;$C2925)</f>
        <v/>
      </c>
      <c r="S2925">
        <f>IF($A2925="","",$R2925&amp;"|"&amp;$Q2925)</f>
        <v/>
      </c>
      <c r="T2925">
        <f>IF($A2925="","",$S2925&amp;"|"&amp;$F2925)</f>
        <v/>
      </c>
      <c r="U2925">
        <f>IF($A2925="","",$R2925&amp;"("&amp;$E2925&amp;")")</f>
        <v/>
      </c>
      <c r="V2925">
        <f>IF($A2925="","",$F2925&amp;"|"&amp;$U2925&amp;"|"&amp;$D2925)</f>
        <v/>
      </c>
      <c r="W2925">
        <f>IF($T2925="","",IF($X2925&gt;N($X2924),$X2925,""))</f>
        <v/>
      </c>
      <c r="X2925">
        <f>IF($T2925="",N($X2924),IF(MATCH($T2925,$T$6:$T$6005,0)=ROW()-5,N($X2924)+1,N($X2924)))</f>
        <v/>
      </c>
      <c r="Z2925">
        <f>IF($V2925="","",IF($AA2925&gt;N($AA2924),$AA2925,""))</f>
        <v/>
      </c>
      <c r="AA2925">
        <f>IF($V2925="",N($AA2924),IF(MATCH($V2925,$V$6:$V$6005,0)=ROW()-5,N($AA2924)+1,N($AA2924)))</f>
        <v/>
      </c>
    </row>
    <row r="2926" ht="21" customHeight="1" s="66">
      <c r="A2926" s="56" t="n"/>
      <c r="B2926" s="57" t="n"/>
      <c r="C2926" s="57" t="n"/>
      <c r="D2926" s="57" t="n"/>
      <c r="E2926" s="56" t="n"/>
      <c r="F2926" s="57" t="n"/>
      <c r="G2926" s="57" t="n"/>
      <c r="H2926" s="56" t="n"/>
      <c r="I2926" s="56" t="n"/>
      <c r="J2926" s="58" t="n"/>
      <c r="K2926" s="58" t="n"/>
      <c r="L2926" s="13">
        <f>IF(OR($A2926="",AND($J2926="",$K2926="")),"",ROUND(N($J2926)-N($K2926),2))</f>
        <v/>
      </c>
      <c r="M2926" s="13">
        <f>IF(OR($A2926="",AND($J2926="",$K2926="")),"",MIN($J2926,$K2926))</f>
        <v/>
      </c>
      <c r="Q2926">
        <f>IF($A2926="","",$D2926&amp;"("&amp;SUBSTITUTE($E2926," ","")&amp;")")</f>
        <v/>
      </c>
      <c r="R2926">
        <f>IF($A2926="","",$B2926&amp;" - "&amp;$C2926)</f>
        <v/>
      </c>
      <c r="S2926">
        <f>IF($A2926="","",$R2926&amp;"|"&amp;$Q2926)</f>
        <v/>
      </c>
      <c r="T2926">
        <f>IF($A2926="","",$S2926&amp;"|"&amp;$F2926)</f>
        <v/>
      </c>
      <c r="U2926">
        <f>IF($A2926="","",$R2926&amp;"("&amp;$E2926&amp;")")</f>
        <v/>
      </c>
      <c r="V2926">
        <f>IF($A2926="","",$F2926&amp;"|"&amp;$U2926&amp;"|"&amp;$D2926)</f>
        <v/>
      </c>
      <c r="W2926">
        <f>IF($T2926="","",IF($X2926&gt;N($X2925),$X2926,""))</f>
        <v/>
      </c>
      <c r="X2926">
        <f>IF($T2926="",N($X2925),IF(MATCH($T2926,$T$6:$T$6005,0)=ROW()-5,N($X2925)+1,N($X2925)))</f>
        <v/>
      </c>
      <c r="Z2926">
        <f>IF($V2926="","",IF($AA2926&gt;N($AA2925),$AA2926,""))</f>
        <v/>
      </c>
      <c r="AA2926">
        <f>IF($V2926="",N($AA2925),IF(MATCH($V2926,$V$6:$V$6005,0)=ROW()-5,N($AA2925)+1,N($AA2925)))</f>
        <v/>
      </c>
    </row>
    <row r="2927" ht="21" customHeight="1" s="66">
      <c r="A2927" s="56" t="n"/>
      <c r="B2927" s="57" t="n"/>
      <c r="C2927" s="57" t="n"/>
      <c r="D2927" s="57" t="n"/>
      <c r="E2927" s="56" t="n"/>
      <c r="F2927" s="57" t="n"/>
      <c r="G2927" s="57" t="n"/>
      <c r="H2927" s="56" t="n"/>
      <c r="I2927" s="56" t="n"/>
      <c r="J2927" s="58" t="n"/>
      <c r="K2927" s="58" t="n"/>
      <c r="L2927" s="13">
        <f>IF(OR($A2927="",AND($J2927="",$K2927="")),"",ROUND(N($J2927)-N($K2927),2))</f>
        <v/>
      </c>
      <c r="M2927" s="13">
        <f>IF(OR($A2927="",AND($J2927="",$K2927="")),"",MIN($J2927,$K2927))</f>
        <v/>
      </c>
      <c r="Q2927">
        <f>IF($A2927="","",$D2927&amp;"("&amp;SUBSTITUTE($E2927," ","")&amp;")")</f>
        <v/>
      </c>
      <c r="R2927">
        <f>IF($A2927="","",$B2927&amp;" - "&amp;$C2927)</f>
        <v/>
      </c>
      <c r="S2927">
        <f>IF($A2927="","",$R2927&amp;"|"&amp;$Q2927)</f>
        <v/>
      </c>
      <c r="T2927">
        <f>IF($A2927="","",$S2927&amp;"|"&amp;$F2927)</f>
        <v/>
      </c>
      <c r="U2927">
        <f>IF($A2927="","",$R2927&amp;"("&amp;$E2927&amp;")")</f>
        <v/>
      </c>
      <c r="V2927">
        <f>IF($A2927="","",$F2927&amp;"|"&amp;$U2927&amp;"|"&amp;$D2927)</f>
        <v/>
      </c>
      <c r="W2927">
        <f>IF($T2927="","",IF($X2927&gt;N($X2926),$X2927,""))</f>
        <v/>
      </c>
      <c r="X2927">
        <f>IF($T2927="",N($X2926),IF(MATCH($T2927,$T$6:$T$6005,0)=ROW()-5,N($X2926)+1,N($X2926)))</f>
        <v/>
      </c>
      <c r="Z2927">
        <f>IF($V2927="","",IF($AA2927&gt;N($AA2926),$AA2927,""))</f>
        <v/>
      </c>
      <c r="AA2927">
        <f>IF($V2927="",N($AA2926),IF(MATCH($V2927,$V$6:$V$6005,0)=ROW()-5,N($AA2926)+1,N($AA2926)))</f>
        <v/>
      </c>
    </row>
    <row r="2928" ht="21" customHeight="1" s="66">
      <c r="A2928" s="56" t="n"/>
      <c r="B2928" s="57" t="n"/>
      <c r="C2928" s="57" t="n"/>
      <c r="D2928" s="57" t="n"/>
      <c r="E2928" s="56" t="n"/>
      <c r="F2928" s="57" t="n"/>
      <c r="G2928" s="57" t="n"/>
      <c r="H2928" s="56" t="n"/>
      <c r="I2928" s="56" t="n"/>
      <c r="J2928" s="58" t="n"/>
      <c r="K2928" s="58" t="n"/>
      <c r="L2928" s="13">
        <f>IF(OR($A2928="",AND($J2928="",$K2928="")),"",ROUND(N($J2928)-N($K2928),2))</f>
        <v/>
      </c>
      <c r="M2928" s="13">
        <f>IF(OR($A2928="",AND($J2928="",$K2928="")),"",MIN($J2928,$K2928))</f>
        <v/>
      </c>
      <c r="Q2928">
        <f>IF($A2928="","",$D2928&amp;"("&amp;SUBSTITUTE($E2928," ","")&amp;")")</f>
        <v/>
      </c>
      <c r="R2928">
        <f>IF($A2928="","",$B2928&amp;" - "&amp;$C2928)</f>
        <v/>
      </c>
      <c r="S2928">
        <f>IF($A2928="","",$R2928&amp;"|"&amp;$Q2928)</f>
        <v/>
      </c>
      <c r="T2928">
        <f>IF($A2928="","",$S2928&amp;"|"&amp;$F2928)</f>
        <v/>
      </c>
      <c r="U2928">
        <f>IF($A2928="","",$R2928&amp;"("&amp;$E2928&amp;")")</f>
        <v/>
      </c>
      <c r="V2928">
        <f>IF($A2928="","",$F2928&amp;"|"&amp;$U2928&amp;"|"&amp;$D2928)</f>
        <v/>
      </c>
      <c r="W2928">
        <f>IF($T2928="","",IF($X2928&gt;N($X2927),$X2928,""))</f>
        <v/>
      </c>
      <c r="X2928">
        <f>IF($T2928="",N($X2927),IF(MATCH($T2928,$T$6:$T$6005,0)=ROW()-5,N($X2927)+1,N($X2927)))</f>
        <v/>
      </c>
      <c r="Z2928">
        <f>IF($V2928="","",IF($AA2928&gt;N($AA2927),$AA2928,""))</f>
        <v/>
      </c>
      <c r="AA2928">
        <f>IF($V2928="",N($AA2927),IF(MATCH($V2928,$V$6:$V$6005,0)=ROW()-5,N($AA2927)+1,N($AA2927)))</f>
        <v/>
      </c>
    </row>
    <row r="2929" ht="21" customHeight="1" s="66">
      <c r="A2929" s="56" t="n"/>
      <c r="B2929" s="57" t="n"/>
      <c r="C2929" s="57" t="n"/>
      <c r="D2929" s="57" t="n"/>
      <c r="E2929" s="56" t="n"/>
      <c r="F2929" s="57" t="n"/>
      <c r="G2929" s="57" t="n"/>
      <c r="H2929" s="56" t="n"/>
      <c r="I2929" s="56" t="n"/>
      <c r="J2929" s="58" t="n"/>
      <c r="K2929" s="58" t="n"/>
      <c r="L2929" s="13">
        <f>IF(OR($A2929="",AND($J2929="",$K2929="")),"",ROUND(N($J2929)-N($K2929),2))</f>
        <v/>
      </c>
      <c r="M2929" s="13">
        <f>IF(OR($A2929="",AND($J2929="",$K2929="")),"",MIN($J2929,$K2929))</f>
        <v/>
      </c>
      <c r="Q2929">
        <f>IF($A2929="","",$D2929&amp;"("&amp;SUBSTITUTE($E2929," ","")&amp;")")</f>
        <v/>
      </c>
      <c r="R2929">
        <f>IF($A2929="","",$B2929&amp;" - "&amp;$C2929)</f>
        <v/>
      </c>
      <c r="S2929">
        <f>IF($A2929="","",$R2929&amp;"|"&amp;$Q2929)</f>
        <v/>
      </c>
      <c r="T2929">
        <f>IF($A2929="","",$S2929&amp;"|"&amp;$F2929)</f>
        <v/>
      </c>
      <c r="U2929">
        <f>IF($A2929="","",$R2929&amp;"("&amp;$E2929&amp;")")</f>
        <v/>
      </c>
      <c r="V2929">
        <f>IF($A2929="","",$F2929&amp;"|"&amp;$U2929&amp;"|"&amp;$D2929)</f>
        <v/>
      </c>
      <c r="W2929">
        <f>IF($T2929="","",IF($X2929&gt;N($X2928),$X2929,""))</f>
        <v/>
      </c>
      <c r="X2929">
        <f>IF($T2929="",N($X2928),IF(MATCH($T2929,$T$6:$T$6005,0)=ROW()-5,N($X2928)+1,N($X2928)))</f>
        <v/>
      </c>
      <c r="Z2929">
        <f>IF($V2929="","",IF($AA2929&gt;N($AA2928),$AA2929,""))</f>
        <v/>
      </c>
      <c r="AA2929">
        <f>IF($V2929="",N($AA2928),IF(MATCH($V2929,$V$6:$V$6005,0)=ROW()-5,N($AA2928)+1,N($AA2928)))</f>
        <v/>
      </c>
    </row>
    <row r="2930" ht="21" customHeight="1" s="66">
      <c r="A2930" s="56" t="n"/>
      <c r="B2930" s="57" t="n"/>
      <c r="C2930" s="57" t="n"/>
      <c r="D2930" s="57" t="n"/>
      <c r="E2930" s="56" t="n"/>
      <c r="F2930" s="57" t="n"/>
      <c r="G2930" s="57" t="n"/>
      <c r="H2930" s="56" t="n"/>
      <c r="I2930" s="56" t="n"/>
      <c r="J2930" s="58" t="n"/>
      <c r="K2930" s="58" t="n"/>
      <c r="L2930" s="13">
        <f>IF(OR($A2930="",AND($J2930="",$K2930="")),"",ROUND(N($J2930)-N($K2930),2))</f>
        <v/>
      </c>
      <c r="M2930" s="13">
        <f>IF(OR($A2930="",AND($J2930="",$K2930="")),"",MIN($J2930,$K2930))</f>
        <v/>
      </c>
      <c r="Q2930">
        <f>IF($A2930="","",$D2930&amp;"("&amp;SUBSTITUTE($E2930," ","")&amp;")")</f>
        <v/>
      </c>
      <c r="R2930">
        <f>IF($A2930="","",$B2930&amp;" - "&amp;$C2930)</f>
        <v/>
      </c>
      <c r="S2930">
        <f>IF($A2930="","",$R2930&amp;"|"&amp;$Q2930)</f>
        <v/>
      </c>
      <c r="T2930">
        <f>IF($A2930="","",$S2930&amp;"|"&amp;$F2930)</f>
        <v/>
      </c>
      <c r="U2930">
        <f>IF($A2930="","",$R2930&amp;"("&amp;$E2930&amp;")")</f>
        <v/>
      </c>
      <c r="V2930">
        <f>IF($A2930="","",$F2930&amp;"|"&amp;$U2930&amp;"|"&amp;$D2930)</f>
        <v/>
      </c>
      <c r="W2930">
        <f>IF($T2930="","",IF($X2930&gt;N($X2929),$X2930,""))</f>
        <v/>
      </c>
      <c r="X2930">
        <f>IF($T2930="",N($X2929),IF(MATCH($T2930,$T$6:$T$6005,0)=ROW()-5,N($X2929)+1,N($X2929)))</f>
        <v/>
      </c>
      <c r="Z2930">
        <f>IF($V2930="","",IF($AA2930&gt;N($AA2929),$AA2930,""))</f>
        <v/>
      </c>
      <c r="AA2930">
        <f>IF($V2930="",N($AA2929),IF(MATCH($V2930,$V$6:$V$6005,0)=ROW()-5,N($AA2929)+1,N($AA2929)))</f>
        <v/>
      </c>
    </row>
    <row r="2931" ht="21" customHeight="1" s="66">
      <c r="A2931" s="56" t="n"/>
      <c r="B2931" s="57" t="n"/>
      <c r="C2931" s="57" t="n"/>
      <c r="D2931" s="57" t="n"/>
      <c r="E2931" s="56" t="n"/>
      <c r="F2931" s="57" t="n"/>
      <c r="G2931" s="57" t="n"/>
      <c r="H2931" s="56" t="n"/>
      <c r="I2931" s="56" t="n"/>
      <c r="J2931" s="58" t="n"/>
      <c r="K2931" s="58" t="n"/>
      <c r="L2931" s="13">
        <f>IF(OR($A2931="",AND($J2931="",$K2931="")),"",ROUND(N($J2931)-N($K2931),2))</f>
        <v/>
      </c>
      <c r="M2931" s="13">
        <f>IF(OR($A2931="",AND($J2931="",$K2931="")),"",MIN($J2931,$K2931))</f>
        <v/>
      </c>
      <c r="Q2931">
        <f>IF($A2931="","",$D2931&amp;"("&amp;SUBSTITUTE($E2931," ","")&amp;")")</f>
        <v/>
      </c>
      <c r="R2931">
        <f>IF($A2931="","",$B2931&amp;" - "&amp;$C2931)</f>
        <v/>
      </c>
      <c r="S2931">
        <f>IF($A2931="","",$R2931&amp;"|"&amp;$Q2931)</f>
        <v/>
      </c>
      <c r="T2931">
        <f>IF($A2931="","",$S2931&amp;"|"&amp;$F2931)</f>
        <v/>
      </c>
      <c r="U2931">
        <f>IF($A2931="","",$R2931&amp;"("&amp;$E2931&amp;")")</f>
        <v/>
      </c>
      <c r="V2931">
        <f>IF($A2931="","",$F2931&amp;"|"&amp;$U2931&amp;"|"&amp;$D2931)</f>
        <v/>
      </c>
      <c r="W2931">
        <f>IF($T2931="","",IF($X2931&gt;N($X2930),$X2931,""))</f>
        <v/>
      </c>
      <c r="X2931">
        <f>IF($T2931="",N($X2930),IF(MATCH($T2931,$T$6:$T$6005,0)=ROW()-5,N($X2930)+1,N($X2930)))</f>
        <v/>
      </c>
      <c r="Z2931">
        <f>IF($V2931="","",IF($AA2931&gt;N($AA2930),$AA2931,""))</f>
        <v/>
      </c>
      <c r="AA2931">
        <f>IF($V2931="",N($AA2930),IF(MATCH($V2931,$V$6:$V$6005,0)=ROW()-5,N($AA2930)+1,N($AA2930)))</f>
        <v/>
      </c>
    </row>
    <row r="2932" ht="21" customHeight="1" s="66">
      <c r="A2932" s="56" t="n"/>
      <c r="B2932" s="57" t="n"/>
      <c r="C2932" s="57" t="n"/>
      <c r="D2932" s="57" t="n"/>
      <c r="E2932" s="56" t="n"/>
      <c r="F2932" s="57" t="n"/>
      <c r="G2932" s="57" t="n"/>
      <c r="H2932" s="56" t="n"/>
      <c r="I2932" s="56" t="n"/>
      <c r="J2932" s="58" t="n"/>
      <c r="K2932" s="58" t="n"/>
      <c r="L2932" s="13">
        <f>IF(OR($A2932="",AND($J2932="",$K2932="")),"",ROUND(N($J2932)-N($K2932),2))</f>
        <v/>
      </c>
      <c r="M2932" s="13">
        <f>IF(OR($A2932="",AND($J2932="",$K2932="")),"",MIN($J2932,$K2932))</f>
        <v/>
      </c>
      <c r="Q2932">
        <f>IF($A2932="","",$D2932&amp;"("&amp;SUBSTITUTE($E2932," ","")&amp;")")</f>
        <v/>
      </c>
      <c r="R2932">
        <f>IF($A2932="","",$B2932&amp;" - "&amp;$C2932)</f>
        <v/>
      </c>
      <c r="S2932">
        <f>IF($A2932="","",$R2932&amp;"|"&amp;$Q2932)</f>
        <v/>
      </c>
      <c r="T2932">
        <f>IF($A2932="","",$S2932&amp;"|"&amp;$F2932)</f>
        <v/>
      </c>
      <c r="U2932">
        <f>IF($A2932="","",$R2932&amp;"("&amp;$E2932&amp;")")</f>
        <v/>
      </c>
      <c r="V2932">
        <f>IF($A2932="","",$F2932&amp;"|"&amp;$U2932&amp;"|"&amp;$D2932)</f>
        <v/>
      </c>
      <c r="W2932">
        <f>IF($T2932="","",IF($X2932&gt;N($X2931),$X2932,""))</f>
        <v/>
      </c>
      <c r="X2932">
        <f>IF($T2932="",N($X2931),IF(MATCH($T2932,$T$6:$T$6005,0)=ROW()-5,N($X2931)+1,N($X2931)))</f>
        <v/>
      </c>
      <c r="Z2932">
        <f>IF($V2932="","",IF($AA2932&gt;N($AA2931),$AA2932,""))</f>
        <v/>
      </c>
      <c r="AA2932">
        <f>IF($V2932="",N($AA2931),IF(MATCH($V2932,$V$6:$V$6005,0)=ROW()-5,N($AA2931)+1,N($AA2931)))</f>
        <v/>
      </c>
    </row>
    <row r="2933" ht="21" customHeight="1" s="66">
      <c r="A2933" s="56" t="n"/>
      <c r="B2933" s="57" t="n"/>
      <c r="C2933" s="57" t="n"/>
      <c r="D2933" s="57" t="n"/>
      <c r="E2933" s="56" t="n"/>
      <c r="F2933" s="57" t="n"/>
      <c r="G2933" s="57" t="n"/>
      <c r="H2933" s="56" t="n"/>
      <c r="I2933" s="56" t="n"/>
      <c r="J2933" s="58" t="n"/>
      <c r="K2933" s="58" t="n"/>
      <c r="L2933" s="13">
        <f>IF(OR($A2933="",AND($J2933="",$K2933="")),"",ROUND(N($J2933)-N($K2933),2))</f>
        <v/>
      </c>
      <c r="M2933" s="13">
        <f>IF(OR($A2933="",AND($J2933="",$K2933="")),"",MIN($J2933,$K2933))</f>
        <v/>
      </c>
      <c r="Q2933">
        <f>IF($A2933="","",$D2933&amp;"("&amp;SUBSTITUTE($E2933," ","")&amp;")")</f>
        <v/>
      </c>
      <c r="R2933">
        <f>IF($A2933="","",$B2933&amp;" - "&amp;$C2933)</f>
        <v/>
      </c>
      <c r="S2933">
        <f>IF($A2933="","",$R2933&amp;"|"&amp;$Q2933)</f>
        <v/>
      </c>
      <c r="T2933">
        <f>IF($A2933="","",$S2933&amp;"|"&amp;$F2933)</f>
        <v/>
      </c>
      <c r="U2933">
        <f>IF($A2933="","",$R2933&amp;"("&amp;$E2933&amp;")")</f>
        <v/>
      </c>
      <c r="V2933">
        <f>IF($A2933="","",$F2933&amp;"|"&amp;$U2933&amp;"|"&amp;$D2933)</f>
        <v/>
      </c>
      <c r="W2933">
        <f>IF($T2933="","",IF($X2933&gt;N($X2932),$X2933,""))</f>
        <v/>
      </c>
      <c r="X2933">
        <f>IF($T2933="",N($X2932),IF(MATCH($T2933,$T$6:$T$6005,0)=ROW()-5,N($X2932)+1,N($X2932)))</f>
        <v/>
      </c>
      <c r="Z2933">
        <f>IF($V2933="","",IF($AA2933&gt;N($AA2932),$AA2933,""))</f>
        <v/>
      </c>
      <c r="AA2933">
        <f>IF($V2933="",N($AA2932),IF(MATCH($V2933,$V$6:$V$6005,0)=ROW()-5,N($AA2932)+1,N($AA2932)))</f>
        <v/>
      </c>
    </row>
    <row r="2934" ht="21" customHeight="1" s="66">
      <c r="A2934" s="56" t="n"/>
      <c r="B2934" s="57" t="n"/>
      <c r="C2934" s="57" t="n"/>
      <c r="D2934" s="57" t="n"/>
      <c r="E2934" s="56" t="n"/>
      <c r="F2934" s="57" t="n"/>
      <c r="G2934" s="57" t="n"/>
      <c r="H2934" s="56" t="n"/>
      <c r="I2934" s="56" t="n"/>
      <c r="J2934" s="58" t="n"/>
      <c r="K2934" s="58" t="n"/>
      <c r="L2934" s="13">
        <f>IF(OR($A2934="",AND($J2934="",$K2934="")),"",ROUND(N($J2934)-N($K2934),2))</f>
        <v/>
      </c>
      <c r="M2934" s="13">
        <f>IF(OR($A2934="",AND($J2934="",$K2934="")),"",MIN($J2934,$K2934))</f>
        <v/>
      </c>
      <c r="Q2934">
        <f>IF($A2934="","",$D2934&amp;"("&amp;SUBSTITUTE($E2934," ","")&amp;")")</f>
        <v/>
      </c>
      <c r="R2934">
        <f>IF($A2934="","",$B2934&amp;" - "&amp;$C2934)</f>
        <v/>
      </c>
      <c r="S2934">
        <f>IF($A2934="","",$R2934&amp;"|"&amp;$Q2934)</f>
        <v/>
      </c>
      <c r="T2934">
        <f>IF($A2934="","",$S2934&amp;"|"&amp;$F2934)</f>
        <v/>
      </c>
      <c r="U2934">
        <f>IF($A2934="","",$R2934&amp;"("&amp;$E2934&amp;")")</f>
        <v/>
      </c>
      <c r="V2934">
        <f>IF($A2934="","",$F2934&amp;"|"&amp;$U2934&amp;"|"&amp;$D2934)</f>
        <v/>
      </c>
      <c r="W2934">
        <f>IF($T2934="","",IF($X2934&gt;N($X2933),$X2934,""))</f>
        <v/>
      </c>
      <c r="X2934">
        <f>IF($T2934="",N($X2933),IF(MATCH($T2934,$T$6:$T$6005,0)=ROW()-5,N($X2933)+1,N($X2933)))</f>
        <v/>
      </c>
      <c r="Z2934">
        <f>IF($V2934="","",IF($AA2934&gt;N($AA2933),$AA2934,""))</f>
        <v/>
      </c>
      <c r="AA2934">
        <f>IF($V2934="",N($AA2933),IF(MATCH($V2934,$V$6:$V$6005,0)=ROW()-5,N($AA2933)+1,N($AA2933)))</f>
        <v/>
      </c>
    </row>
    <row r="2935" ht="21" customHeight="1" s="66">
      <c r="A2935" s="56" t="n"/>
      <c r="B2935" s="57" t="n"/>
      <c r="C2935" s="57" t="n"/>
      <c r="D2935" s="57" t="n"/>
      <c r="E2935" s="56" t="n"/>
      <c r="F2935" s="57" t="n"/>
      <c r="G2935" s="57" t="n"/>
      <c r="H2935" s="56" t="n"/>
      <c r="I2935" s="56" t="n"/>
      <c r="J2935" s="58" t="n"/>
      <c r="K2935" s="58" t="n"/>
      <c r="L2935" s="13">
        <f>IF(OR($A2935="",AND($J2935="",$K2935="")),"",ROUND(N($J2935)-N($K2935),2))</f>
        <v/>
      </c>
      <c r="M2935" s="13">
        <f>IF(OR($A2935="",AND($J2935="",$K2935="")),"",MIN($J2935,$K2935))</f>
        <v/>
      </c>
      <c r="Q2935">
        <f>IF($A2935="","",$D2935&amp;"("&amp;SUBSTITUTE($E2935," ","")&amp;")")</f>
        <v/>
      </c>
      <c r="R2935">
        <f>IF($A2935="","",$B2935&amp;" - "&amp;$C2935)</f>
        <v/>
      </c>
      <c r="S2935">
        <f>IF($A2935="","",$R2935&amp;"|"&amp;$Q2935)</f>
        <v/>
      </c>
      <c r="T2935">
        <f>IF($A2935="","",$S2935&amp;"|"&amp;$F2935)</f>
        <v/>
      </c>
      <c r="U2935">
        <f>IF($A2935="","",$R2935&amp;"("&amp;$E2935&amp;")")</f>
        <v/>
      </c>
      <c r="V2935">
        <f>IF($A2935="","",$F2935&amp;"|"&amp;$U2935&amp;"|"&amp;$D2935)</f>
        <v/>
      </c>
      <c r="W2935">
        <f>IF($T2935="","",IF($X2935&gt;N($X2934),$X2935,""))</f>
        <v/>
      </c>
      <c r="X2935">
        <f>IF($T2935="",N($X2934),IF(MATCH($T2935,$T$6:$T$6005,0)=ROW()-5,N($X2934)+1,N($X2934)))</f>
        <v/>
      </c>
      <c r="Z2935">
        <f>IF($V2935="","",IF($AA2935&gt;N($AA2934),$AA2935,""))</f>
        <v/>
      </c>
      <c r="AA2935">
        <f>IF($V2935="",N($AA2934),IF(MATCH($V2935,$V$6:$V$6005,0)=ROW()-5,N($AA2934)+1,N($AA2934)))</f>
        <v/>
      </c>
    </row>
    <row r="2936" ht="21" customHeight="1" s="66">
      <c r="A2936" s="56" t="n"/>
      <c r="B2936" s="57" t="n"/>
      <c r="C2936" s="57" t="n"/>
      <c r="D2936" s="57" t="n"/>
      <c r="E2936" s="56" t="n"/>
      <c r="F2936" s="57" t="n"/>
      <c r="G2936" s="57" t="n"/>
      <c r="H2936" s="56" t="n"/>
      <c r="I2936" s="56" t="n"/>
      <c r="J2936" s="58" t="n"/>
      <c r="K2936" s="58" t="n"/>
      <c r="L2936" s="13">
        <f>IF(OR($A2936="",AND($J2936="",$K2936="")),"",ROUND(N($J2936)-N($K2936),2))</f>
        <v/>
      </c>
      <c r="M2936" s="13">
        <f>IF(OR($A2936="",AND($J2936="",$K2936="")),"",MIN($J2936,$K2936))</f>
        <v/>
      </c>
      <c r="Q2936">
        <f>IF($A2936="","",$D2936&amp;"("&amp;SUBSTITUTE($E2936," ","")&amp;")")</f>
        <v/>
      </c>
      <c r="R2936">
        <f>IF($A2936="","",$B2936&amp;" - "&amp;$C2936)</f>
        <v/>
      </c>
      <c r="S2936">
        <f>IF($A2936="","",$R2936&amp;"|"&amp;$Q2936)</f>
        <v/>
      </c>
      <c r="T2936">
        <f>IF($A2936="","",$S2936&amp;"|"&amp;$F2936)</f>
        <v/>
      </c>
      <c r="U2936">
        <f>IF($A2936="","",$R2936&amp;"("&amp;$E2936&amp;")")</f>
        <v/>
      </c>
      <c r="V2936">
        <f>IF($A2936="","",$F2936&amp;"|"&amp;$U2936&amp;"|"&amp;$D2936)</f>
        <v/>
      </c>
      <c r="W2936">
        <f>IF($T2936="","",IF($X2936&gt;N($X2935),$X2936,""))</f>
        <v/>
      </c>
      <c r="X2936">
        <f>IF($T2936="",N($X2935),IF(MATCH($T2936,$T$6:$T$6005,0)=ROW()-5,N($X2935)+1,N($X2935)))</f>
        <v/>
      </c>
      <c r="Z2936">
        <f>IF($V2936="","",IF($AA2936&gt;N($AA2935),$AA2936,""))</f>
        <v/>
      </c>
      <c r="AA2936">
        <f>IF($V2936="",N($AA2935),IF(MATCH($V2936,$V$6:$V$6005,0)=ROW()-5,N($AA2935)+1,N($AA2935)))</f>
        <v/>
      </c>
    </row>
    <row r="2937" ht="21" customHeight="1" s="66">
      <c r="A2937" s="56" t="n"/>
      <c r="B2937" s="57" t="n"/>
      <c r="C2937" s="57" t="n"/>
      <c r="D2937" s="57" t="n"/>
      <c r="E2937" s="56" t="n"/>
      <c r="F2937" s="57" t="n"/>
      <c r="G2937" s="57" t="n"/>
      <c r="H2937" s="56" t="n"/>
      <c r="I2937" s="56" t="n"/>
      <c r="J2937" s="58" t="n"/>
      <c r="K2937" s="58" t="n"/>
      <c r="L2937" s="13">
        <f>IF(OR($A2937="",AND($J2937="",$K2937="")),"",ROUND(N($J2937)-N($K2937),2))</f>
        <v/>
      </c>
      <c r="M2937" s="13">
        <f>IF(OR($A2937="",AND($J2937="",$K2937="")),"",MIN($J2937,$K2937))</f>
        <v/>
      </c>
      <c r="Q2937">
        <f>IF($A2937="","",$D2937&amp;"("&amp;SUBSTITUTE($E2937," ","")&amp;")")</f>
        <v/>
      </c>
      <c r="R2937">
        <f>IF($A2937="","",$B2937&amp;" - "&amp;$C2937)</f>
        <v/>
      </c>
      <c r="S2937">
        <f>IF($A2937="","",$R2937&amp;"|"&amp;$Q2937)</f>
        <v/>
      </c>
      <c r="T2937">
        <f>IF($A2937="","",$S2937&amp;"|"&amp;$F2937)</f>
        <v/>
      </c>
      <c r="U2937">
        <f>IF($A2937="","",$R2937&amp;"("&amp;$E2937&amp;")")</f>
        <v/>
      </c>
      <c r="V2937">
        <f>IF($A2937="","",$F2937&amp;"|"&amp;$U2937&amp;"|"&amp;$D2937)</f>
        <v/>
      </c>
      <c r="W2937">
        <f>IF($T2937="","",IF($X2937&gt;N($X2936),$X2937,""))</f>
        <v/>
      </c>
      <c r="X2937">
        <f>IF($T2937="",N($X2936),IF(MATCH($T2937,$T$6:$T$6005,0)=ROW()-5,N($X2936)+1,N($X2936)))</f>
        <v/>
      </c>
      <c r="Z2937">
        <f>IF($V2937="","",IF($AA2937&gt;N($AA2936),$AA2937,""))</f>
        <v/>
      </c>
      <c r="AA2937">
        <f>IF($V2937="",N($AA2936),IF(MATCH($V2937,$V$6:$V$6005,0)=ROW()-5,N($AA2936)+1,N($AA2936)))</f>
        <v/>
      </c>
    </row>
    <row r="2938" ht="21" customHeight="1" s="66">
      <c r="A2938" s="56" t="n"/>
      <c r="B2938" s="57" t="n"/>
      <c r="C2938" s="57" t="n"/>
      <c r="D2938" s="57" t="n"/>
      <c r="E2938" s="56" t="n"/>
      <c r="F2938" s="57" t="n"/>
      <c r="G2938" s="57" t="n"/>
      <c r="H2938" s="56" t="n"/>
      <c r="I2938" s="56" t="n"/>
      <c r="J2938" s="58" t="n"/>
      <c r="K2938" s="58" t="n"/>
      <c r="L2938" s="13">
        <f>IF(OR($A2938="",AND($J2938="",$K2938="")),"",ROUND(N($J2938)-N($K2938),2))</f>
        <v/>
      </c>
      <c r="M2938" s="13">
        <f>IF(OR($A2938="",AND($J2938="",$K2938="")),"",MIN($J2938,$K2938))</f>
        <v/>
      </c>
      <c r="Q2938">
        <f>IF($A2938="","",$D2938&amp;"("&amp;SUBSTITUTE($E2938," ","")&amp;")")</f>
        <v/>
      </c>
      <c r="R2938">
        <f>IF($A2938="","",$B2938&amp;" - "&amp;$C2938)</f>
        <v/>
      </c>
      <c r="S2938">
        <f>IF($A2938="","",$R2938&amp;"|"&amp;$Q2938)</f>
        <v/>
      </c>
      <c r="T2938">
        <f>IF($A2938="","",$S2938&amp;"|"&amp;$F2938)</f>
        <v/>
      </c>
      <c r="U2938">
        <f>IF($A2938="","",$R2938&amp;"("&amp;$E2938&amp;")")</f>
        <v/>
      </c>
      <c r="V2938">
        <f>IF($A2938="","",$F2938&amp;"|"&amp;$U2938&amp;"|"&amp;$D2938)</f>
        <v/>
      </c>
      <c r="W2938">
        <f>IF($T2938="","",IF($X2938&gt;N($X2937),$X2938,""))</f>
        <v/>
      </c>
      <c r="X2938">
        <f>IF($T2938="",N($X2937),IF(MATCH($T2938,$T$6:$T$6005,0)=ROW()-5,N($X2937)+1,N($X2937)))</f>
        <v/>
      </c>
      <c r="Z2938">
        <f>IF($V2938="","",IF($AA2938&gt;N($AA2937),$AA2938,""))</f>
        <v/>
      </c>
      <c r="AA2938">
        <f>IF($V2938="",N($AA2937),IF(MATCH($V2938,$V$6:$V$6005,0)=ROW()-5,N($AA2937)+1,N($AA2937)))</f>
        <v/>
      </c>
    </row>
    <row r="2939" ht="21" customHeight="1" s="66">
      <c r="A2939" s="56" t="n"/>
      <c r="B2939" s="57" t="n"/>
      <c r="C2939" s="57" t="n"/>
      <c r="D2939" s="57" t="n"/>
      <c r="E2939" s="56" t="n"/>
      <c r="F2939" s="57" t="n"/>
      <c r="G2939" s="57" t="n"/>
      <c r="H2939" s="56" t="n"/>
      <c r="I2939" s="56" t="n"/>
      <c r="J2939" s="58" t="n"/>
      <c r="K2939" s="58" t="n"/>
      <c r="L2939" s="13">
        <f>IF(OR($A2939="",AND($J2939="",$K2939="")),"",ROUND(N($J2939)-N($K2939),2))</f>
        <v/>
      </c>
      <c r="M2939" s="13">
        <f>IF(OR($A2939="",AND($J2939="",$K2939="")),"",MIN($J2939,$K2939))</f>
        <v/>
      </c>
      <c r="Q2939">
        <f>IF($A2939="","",$D2939&amp;"("&amp;SUBSTITUTE($E2939," ","")&amp;")")</f>
        <v/>
      </c>
      <c r="R2939">
        <f>IF($A2939="","",$B2939&amp;" - "&amp;$C2939)</f>
        <v/>
      </c>
      <c r="S2939">
        <f>IF($A2939="","",$R2939&amp;"|"&amp;$Q2939)</f>
        <v/>
      </c>
      <c r="T2939">
        <f>IF($A2939="","",$S2939&amp;"|"&amp;$F2939)</f>
        <v/>
      </c>
      <c r="U2939">
        <f>IF($A2939="","",$R2939&amp;"("&amp;$E2939&amp;")")</f>
        <v/>
      </c>
      <c r="V2939">
        <f>IF($A2939="","",$F2939&amp;"|"&amp;$U2939&amp;"|"&amp;$D2939)</f>
        <v/>
      </c>
      <c r="W2939">
        <f>IF($T2939="","",IF($X2939&gt;N($X2938),$X2939,""))</f>
        <v/>
      </c>
      <c r="X2939">
        <f>IF($T2939="",N($X2938),IF(MATCH($T2939,$T$6:$T$6005,0)=ROW()-5,N($X2938)+1,N($X2938)))</f>
        <v/>
      </c>
      <c r="Z2939">
        <f>IF($V2939="","",IF($AA2939&gt;N($AA2938),$AA2939,""))</f>
        <v/>
      </c>
      <c r="AA2939">
        <f>IF($V2939="",N($AA2938),IF(MATCH($V2939,$V$6:$V$6005,0)=ROW()-5,N($AA2938)+1,N($AA2938)))</f>
        <v/>
      </c>
    </row>
    <row r="2940" ht="21" customHeight="1" s="66">
      <c r="A2940" s="56" t="n"/>
      <c r="B2940" s="57" t="n"/>
      <c r="C2940" s="57" t="n"/>
      <c r="D2940" s="57" t="n"/>
      <c r="E2940" s="56" t="n"/>
      <c r="F2940" s="57" t="n"/>
      <c r="G2940" s="57" t="n"/>
      <c r="H2940" s="56" t="n"/>
      <c r="I2940" s="56" t="n"/>
      <c r="J2940" s="58" t="n"/>
      <c r="K2940" s="58" t="n"/>
      <c r="L2940" s="13">
        <f>IF(OR($A2940="",AND($J2940="",$K2940="")),"",ROUND(N($J2940)-N($K2940),2))</f>
        <v/>
      </c>
      <c r="M2940" s="13">
        <f>IF(OR($A2940="",AND($J2940="",$K2940="")),"",MIN($J2940,$K2940))</f>
        <v/>
      </c>
      <c r="Q2940">
        <f>IF($A2940="","",$D2940&amp;"("&amp;SUBSTITUTE($E2940," ","")&amp;")")</f>
        <v/>
      </c>
      <c r="R2940">
        <f>IF($A2940="","",$B2940&amp;" - "&amp;$C2940)</f>
        <v/>
      </c>
      <c r="S2940">
        <f>IF($A2940="","",$R2940&amp;"|"&amp;$Q2940)</f>
        <v/>
      </c>
      <c r="T2940">
        <f>IF($A2940="","",$S2940&amp;"|"&amp;$F2940)</f>
        <v/>
      </c>
      <c r="U2940">
        <f>IF($A2940="","",$R2940&amp;"("&amp;$E2940&amp;")")</f>
        <v/>
      </c>
      <c r="V2940">
        <f>IF($A2940="","",$F2940&amp;"|"&amp;$U2940&amp;"|"&amp;$D2940)</f>
        <v/>
      </c>
      <c r="W2940">
        <f>IF($T2940="","",IF($X2940&gt;N($X2939),$X2940,""))</f>
        <v/>
      </c>
      <c r="X2940">
        <f>IF($T2940="",N($X2939),IF(MATCH($T2940,$T$6:$T$6005,0)=ROW()-5,N($X2939)+1,N($X2939)))</f>
        <v/>
      </c>
      <c r="Z2940">
        <f>IF($V2940="","",IF($AA2940&gt;N($AA2939),$AA2940,""))</f>
        <v/>
      </c>
      <c r="AA2940">
        <f>IF($V2940="",N($AA2939),IF(MATCH($V2940,$V$6:$V$6005,0)=ROW()-5,N($AA2939)+1,N($AA2939)))</f>
        <v/>
      </c>
    </row>
    <row r="2941" ht="21" customHeight="1" s="66">
      <c r="A2941" s="56" t="n"/>
      <c r="B2941" s="57" t="n"/>
      <c r="C2941" s="57" t="n"/>
      <c r="D2941" s="57" t="n"/>
      <c r="E2941" s="56" t="n"/>
      <c r="F2941" s="57" t="n"/>
      <c r="G2941" s="57" t="n"/>
      <c r="H2941" s="56" t="n"/>
      <c r="I2941" s="56" t="n"/>
      <c r="J2941" s="58" t="n"/>
      <c r="K2941" s="58" t="n"/>
      <c r="L2941" s="13">
        <f>IF(OR($A2941="",AND($J2941="",$K2941="")),"",ROUND(N($J2941)-N($K2941),2))</f>
        <v/>
      </c>
      <c r="M2941" s="13">
        <f>IF(OR($A2941="",AND($J2941="",$K2941="")),"",MIN($J2941,$K2941))</f>
        <v/>
      </c>
      <c r="Q2941">
        <f>IF($A2941="","",$D2941&amp;"("&amp;SUBSTITUTE($E2941," ","")&amp;")")</f>
        <v/>
      </c>
      <c r="R2941">
        <f>IF($A2941="","",$B2941&amp;" - "&amp;$C2941)</f>
        <v/>
      </c>
      <c r="S2941">
        <f>IF($A2941="","",$R2941&amp;"|"&amp;$Q2941)</f>
        <v/>
      </c>
      <c r="T2941">
        <f>IF($A2941="","",$S2941&amp;"|"&amp;$F2941)</f>
        <v/>
      </c>
      <c r="U2941">
        <f>IF($A2941="","",$R2941&amp;"("&amp;$E2941&amp;")")</f>
        <v/>
      </c>
      <c r="V2941">
        <f>IF($A2941="","",$F2941&amp;"|"&amp;$U2941&amp;"|"&amp;$D2941)</f>
        <v/>
      </c>
      <c r="W2941">
        <f>IF($T2941="","",IF($X2941&gt;N($X2940),$X2941,""))</f>
        <v/>
      </c>
      <c r="X2941">
        <f>IF($T2941="",N($X2940),IF(MATCH($T2941,$T$6:$T$6005,0)=ROW()-5,N($X2940)+1,N($X2940)))</f>
        <v/>
      </c>
      <c r="Z2941">
        <f>IF($V2941="","",IF($AA2941&gt;N($AA2940),$AA2941,""))</f>
        <v/>
      </c>
      <c r="AA2941">
        <f>IF($V2941="",N($AA2940),IF(MATCH($V2941,$V$6:$V$6005,0)=ROW()-5,N($AA2940)+1,N($AA2940)))</f>
        <v/>
      </c>
    </row>
    <row r="2942" ht="21" customHeight="1" s="66">
      <c r="A2942" s="56" t="n"/>
      <c r="B2942" s="57" t="n"/>
      <c r="C2942" s="57" t="n"/>
      <c r="D2942" s="57" t="n"/>
      <c r="E2942" s="56" t="n"/>
      <c r="F2942" s="57" t="n"/>
      <c r="G2942" s="57" t="n"/>
      <c r="H2942" s="56" t="n"/>
      <c r="I2942" s="56" t="n"/>
      <c r="J2942" s="58" t="n"/>
      <c r="K2942" s="58" t="n"/>
      <c r="L2942" s="13">
        <f>IF(OR($A2942="",AND($J2942="",$K2942="")),"",ROUND(N($J2942)-N($K2942),2))</f>
        <v/>
      </c>
      <c r="M2942" s="13">
        <f>IF(OR($A2942="",AND($J2942="",$K2942="")),"",MIN($J2942,$K2942))</f>
        <v/>
      </c>
      <c r="Q2942">
        <f>IF($A2942="","",$D2942&amp;"("&amp;SUBSTITUTE($E2942," ","")&amp;")")</f>
        <v/>
      </c>
      <c r="R2942">
        <f>IF($A2942="","",$B2942&amp;" - "&amp;$C2942)</f>
        <v/>
      </c>
      <c r="S2942">
        <f>IF($A2942="","",$R2942&amp;"|"&amp;$Q2942)</f>
        <v/>
      </c>
      <c r="T2942">
        <f>IF($A2942="","",$S2942&amp;"|"&amp;$F2942)</f>
        <v/>
      </c>
      <c r="U2942">
        <f>IF($A2942="","",$R2942&amp;"("&amp;$E2942&amp;")")</f>
        <v/>
      </c>
      <c r="V2942">
        <f>IF($A2942="","",$F2942&amp;"|"&amp;$U2942&amp;"|"&amp;$D2942)</f>
        <v/>
      </c>
      <c r="W2942">
        <f>IF($T2942="","",IF($X2942&gt;N($X2941),$X2942,""))</f>
        <v/>
      </c>
      <c r="X2942">
        <f>IF($T2942="",N($X2941),IF(MATCH($T2942,$T$6:$T$6005,0)=ROW()-5,N($X2941)+1,N($X2941)))</f>
        <v/>
      </c>
      <c r="Z2942">
        <f>IF($V2942="","",IF($AA2942&gt;N($AA2941),$AA2942,""))</f>
        <v/>
      </c>
      <c r="AA2942">
        <f>IF($V2942="",N($AA2941),IF(MATCH($V2942,$V$6:$V$6005,0)=ROW()-5,N($AA2941)+1,N($AA2941)))</f>
        <v/>
      </c>
    </row>
    <row r="2943" ht="21" customHeight="1" s="66">
      <c r="A2943" s="56" t="n"/>
      <c r="B2943" s="57" t="n"/>
      <c r="C2943" s="57" t="n"/>
      <c r="D2943" s="57" t="n"/>
      <c r="E2943" s="56" t="n"/>
      <c r="F2943" s="57" t="n"/>
      <c r="G2943" s="57" t="n"/>
      <c r="H2943" s="56" t="n"/>
      <c r="I2943" s="56" t="n"/>
      <c r="J2943" s="58" t="n"/>
      <c r="K2943" s="58" t="n"/>
      <c r="L2943" s="13">
        <f>IF(OR($A2943="",AND($J2943="",$K2943="")),"",ROUND(N($J2943)-N($K2943),2))</f>
        <v/>
      </c>
      <c r="M2943" s="13">
        <f>IF(OR($A2943="",AND($J2943="",$K2943="")),"",MIN($J2943,$K2943))</f>
        <v/>
      </c>
      <c r="Q2943">
        <f>IF($A2943="","",$D2943&amp;"("&amp;SUBSTITUTE($E2943," ","")&amp;")")</f>
        <v/>
      </c>
      <c r="R2943">
        <f>IF($A2943="","",$B2943&amp;" - "&amp;$C2943)</f>
        <v/>
      </c>
      <c r="S2943">
        <f>IF($A2943="","",$R2943&amp;"|"&amp;$Q2943)</f>
        <v/>
      </c>
      <c r="T2943">
        <f>IF($A2943="","",$S2943&amp;"|"&amp;$F2943)</f>
        <v/>
      </c>
      <c r="U2943">
        <f>IF($A2943="","",$R2943&amp;"("&amp;$E2943&amp;")")</f>
        <v/>
      </c>
      <c r="V2943">
        <f>IF($A2943="","",$F2943&amp;"|"&amp;$U2943&amp;"|"&amp;$D2943)</f>
        <v/>
      </c>
      <c r="W2943">
        <f>IF($T2943="","",IF($X2943&gt;N($X2942),$X2943,""))</f>
        <v/>
      </c>
      <c r="X2943">
        <f>IF($T2943="",N($X2942),IF(MATCH($T2943,$T$6:$T$6005,0)=ROW()-5,N($X2942)+1,N($X2942)))</f>
        <v/>
      </c>
      <c r="Z2943">
        <f>IF($V2943="","",IF($AA2943&gt;N($AA2942),$AA2943,""))</f>
        <v/>
      </c>
      <c r="AA2943">
        <f>IF($V2943="",N($AA2942),IF(MATCH($V2943,$V$6:$V$6005,0)=ROW()-5,N($AA2942)+1,N($AA2942)))</f>
        <v/>
      </c>
    </row>
    <row r="2944" ht="21" customHeight="1" s="66">
      <c r="A2944" s="56" t="n"/>
      <c r="B2944" s="57" t="n"/>
      <c r="C2944" s="57" t="n"/>
      <c r="D2944" s="57" t="n"/>
      <c r="E2944" s="56" t="n"/>
      <c r="F2944" s="57" t="n"/>
      <c r="G2944" s="57" t="n"/>
      <c r="H2944" s="56" t="n"/>
      <c r="I2944" s="56" t="n"/>
      <c r="J2944" s="58" t="n"/>
      <c r="K2944" s="58" t="n"/>
      <c r="L2944" s="13">
        <f>IF(OR($A2944="",AND($J2944="",$K2944="")),"",ROUND(N($J2944)-N($K2944),2))</f>
        <v/>
      </c>
      <c r="M2944" s="13">
        <f>IF(OR($A2944="",AND($J2944="",$K2944="")),"",MIN($J2944,$K2944))</f>
        <v/>
      </c>
      <c r="Q2944">
        <f>IF($A2944="","",$D2944&amp;"("&amp;SUBSTITUTE($E2944," ","")&amp;")")</f>
        <v/>
      </c>
      <c r="R2944">
        <f>IF($A2944="","",$B2944&amp;" - "&amp;$C2944)</f>
        <v/>
      </c>
      <c r="S2944">
        <f>IF($A2944="","",$R2944&amp;"|"&amp;$Q2944)</f>
        <v/>
      </c>
      <c r="T2944">
        <f>IF($A2944="","",$S2944&amp;"|"&amp;$F2944)</f>
        <v/>
      </c>
      <c r="U2944">
        <f>IF($A2944="","",$R2944&amp;"("&amp;$E2944&amp;")")</f>
        <v/>
      </c>
      <c r="V2944">
        <f>IF($A2944="","",$F2944&amp;"|"&amp;$U2944&amp;"|"&amp;$D2944)</f>
        <v/>
      </c>
      <c r="W2944">
        <f>IF($T2944="","",IF($X2944&gt;N($X2943),$X2944,""))</f>
        <v/>
      </c>
      <c r="X2944">
        <f>IF($T2944="",N($X2943),IF(MATCH($T2944,$T$6:$T$6005,0)=ROW()-5,N($X2943)+1,N($X2943)))</f>
        <v/>
      </c>
      <c r="Z2944">
        <f>IF($V2944="","",IF($AA2944&gt;N($AA2943),$AA2944,""))</f>
        <v/>
      </c>
      <c r="AA2944">
        <f>IF($V2944="",N($AA2943),IF(MATCH($V2944,$V$6:$V$6005,0)=ROW()-5,N($AA2943)+1,N($AA2943)))</f>
        <v/>
      </c>
    </row>
    <row r="2945" ht="21" customHeight="1" s="66">
      <c r="A2945" s="56" t="n"/>
      <c r="B2945" s="57" t="n"/>
      <c r="C2945" s="57" t="n"/>
      <c r="D2945" s="57" t="n"/>
      <c r="E2945" s="56" t="n"/>
      <c r="F2945" s="57" t="n"/>
      <c r="G2945" s="57" t="n"/>
      <c r="H2945" s="56" t="n"/>
      <c r="I2945" s="56" t="n"/>
      <c r="J2945" s="58" t="n"/>
      <c r="K2945" s="58" t="n"/>
      <c r="L2945" s="13">
        <f>IF(OR($A2945="",AND($J2945="",$K2945="")),"",ROUND(N($J2945)-N($K2945),2))</f>
        <v/>
      </c>
      <c r="M2945" s="13">
        <f>IF(OR($A2945="",AND($J2945="",$K2945="")),"",MIN($J2945,$K2945))</f>
        <v/>
      </c>
      <c r="Q2945">
        <f>IF($A2945="","",$D2945&amp;"("&amp;SUBSTITUTE($E2945," ","")&amp;")")</f>
        <v/>
      </c>
      <c r="R2945">
        <f>IF($A2945="","",$B2945&amp;" - "&amp;$C2945)</f>
        <v/>
      </c>
      <c r="S2945">
        <f>IF($A2945="","",$R2945&amp;"|"&amp;$Q2945)</f>
        <v/>
      </c>
      <c r="T2945">
        <f>IF($A2945="","",$S2945&amp;"|"&amp;$F2945)</f>
        <v/>
      </c>
      <c r="U2945">
        <f>IF($A2945="","",$R2945&amp;"("&amp;$E2945&amp;")")</f>
        <v/>
      </c>
      <c r="V2945">
        <f>IF($A2945="","",$F2945&amp;"|"&amp;$U2945&amp;"|"&amp;$D2945)</f>
        <v/>
      </c>
      <c r="W2945">
        <f>IF($T2945="","",IF($X2945&gt;N($X2944),$X2945,""))</f>
        <v/>
      </c>
      <c r="X2945">
        <f>IF($T2945="",N($X2944),IF(MATCH($T2945,$T$6:$T$6005,0)=ROW()-5,N($X2944)+1,N($X2944)))</f>
        <v/>
      </c>
      <c r="Z2945">
        <f>IF($V2945="","",IF($AA2945&gt;N($AA2944),$AA2945,""))</f>
        <v/>
      </c>
      <c r="AA2945">
        <f>IF($V2945="",N($AA2944),IF(MATCH($V2945,$V$6:$V$6005,0)=ROW()-5,N($AA2944)+1,N($AA2944)))</f>
        <v/>
      </c>
    </row>
    <row r="2946" ht="21" customHeight="1" s="66">
      <c r="A2946" s="56" t="n"/>
      <c r="B2946" s="57" t="n"/>
      <c r="C2946" s="57" t="n"/>
      <c r="D2946" s="57" t="n"/>
      <c r="E2946" s="56" t="n"/>
      <c r="F2946" s="57" t="n"/>
      <c r="G2946" s="57" t="n"/>
      <c r="H2946" s="56" t="n"/>
      <c r="I2946" s="56" t="n"/>
      <c r="J2946" s="58" t="n"/>
      <c r="K2946" s="58" t="n"/>
      <c r="L2946" s="13">
        <f>IF(OR($A2946="",AND($J2946="",$K2946="")),"",ROUND(N($J2946)-N($K2946),2))</f>
        <v/>
      </c>
      <c r="M2946" s="13">
        <f>IF(OR($A2946="",AND($J2946="",$K2946="")),"",MIN($J2946,$K2946))</f>
        <v/>
      </c>
      <c r="Q2946">
        <f>IF($A2946="","",$D2946&amp;"("&amp;SUBSTITUTE($E2946," ","")&amp;")")</f>
        <v/>
      </c>
      <c r="R2946">
        <f>IF($A2946="","",$B2946&amp;" - "&amp;$C2946)</f>
        <v/>
      </c>
      <c r="S2946">
        <f>IF($A2946="","",$R2946&amp;"|"&amp;$Q2946)</f>
        <v/>
      </c>
      <c r="T2946">
        <f>IF($A2946="","",$S2946&amp;"|"&amp;$F2946)</f>
        <v/>
      </c>
      <c r="U2946">
        <f>IF($A2946="","",$R2946&amp;"("&amp;$E2946&amp;")")</f>
        <v/>
      </c>
      <c r="V2946">
        <f>IF($A2946="","",$F2946&amp;"|"&amp;$U2946&amp;"|"&amp;$D2946)</f>
        <v/>
      </c>
      <c r="W2946">
        <f>IF($T2946="","",IF($X2946&gt;N($X2945),$X2946,""))</f>
        <v/>
      </c>
      <c r="X2946">
        <f>IF($T2946="",N($X2945),IF(MATCH($T2946,$T$6:$T$6005,0)=ROW()-5,N($X2945)+1,N($X2945)))</f>
        <v/>
      </c>
      <c r="Z2946">
        <f>IF($V2946="","",IF($AA2946&gt;N($AA2945),$AA2946,""))</f>
        <v/>
      </c>
      <c r="AA2946">
        <f>IF($V2946="",N($AA2945),IF(MATCH($V2946,$V$6:$V$6005,0)=ROW()-5,N($AA2945)+1,N($AA2945)))</f>
        <v/>
      </c>
    </row>
    <row r="2947" ht="21" customHeight="1" s="66">
      <c r="A2947" s="56" t="n"/>
      <c r="B2947" s="57" t="n"/>
      <c r="C2947" s="57" t="n"/>
      <c r="D2947" s="57" t="n"/>
      <c r="E2947" s="56" t="n"/>
      <c r="F2947" s="57" t="n"/>
      <c r="G2947" s="57" t="n"/>
      <c r="H2947" s="56" t="n"/>
      <c r="I2947" s="56" t="n"/>
      <c r="J2947" s="58" t="n"/>
      <c r="K2947" s="58" t="n"/>
      <c r="L2947" s="13">
        <f>IF(OR($A2947="",AND($J2947="",$K2947="")),"",ROUND(N($J2947)-N($K2947),2))</f>
        <v/>
      </c>
      <c r="M2947" s="13">
        <f>IF(OR($A2947="",AND($J2947="",$K2947="")),"",MIN($J2947,$K2947))</f>
        <v/>
      </c>
      <c r="Q2947">
        <f>IF($A2947="","",$D2947&amp;"("&amp;SUBSTITUTE($E2947," ","")&amp;")")</f>
        <v/>
      </c>
      <c r="R2947">
        <f>IF($A2947="","",$B2947&amp;" - "&amp;$C2947)</f>
        <v/>
      </c>
      <c r="S2947">
        <f>IF($A2947="","",$R2947&amp;"|"&amp;$Q2947)</f>
        <v/>
      </c>
      <c r="T2947">
        <f>IF($A2947="","",$S2947&amp;"|"&amp;$F2947)</f>
        <v/>
      </c>
      <c r="U2947">
        <f>IF($A2947="","",$R2947&amp;"("&amp;$E2947&amp;")")</f>
        <v/>
      </c>
      <c r="V2947">
        <f>IF($A2947="","",$F2947&amp;"|"&amp;$U2947&amp;"|"&amp;$D2947)</f>
        <v/>
      </c>
      <c r="W2947">
        <f>IF($T2947="","",IF($X2947&gt;N($X2946),$X2947,""))</f>
        <v/>
      </c>
      <c r="X2947">
        <f>IF($T2947="",N($X2946),IF(MATCH($T2947,$T$6:$T$6005,0)=ROW()-5,N($X2946)+1,N($X2946)))</f>
        <v/>
      </c>
      <c r="Z2947">
        <f>IF($V2947="","",IF($AA2947&gt;N($AA2946),$AA2947,""))</f>
        <v/>
      </c>
      <c r="AA2947">
        <f>IF($V2947="",N($AA2946),IF(MATCH($V2947,$V$6:$V$6005,0)=ROW()-5,N($AA2946)+1,N($AA2946)))</f>
        <v/>
      </c>
    </row>
    <row r="2948" ht="21" customHeight="1" s="66">
      <c r="A2948" s="56" t="n"/>
      <c r="B2948" s="57" t="n"/>
      <c r="C2948" s="57" t="n"/>
      <c r="D2948" s="57" t="n"/>
      <c r="E2948" s="56" t="n"/>
      <c r="F2948" s="57" t="n"/>
      <c r="G2948" s="57" t="n"/>
      <c r="H2948" s="56" t="n"/>
      <c r="I2948" s="56" t="n"/>
      <c r="J2948" s="58" t="n"/>
      <c r="K2948" s="58" t="n"/>
      <c r="L2948" s="13">
        <f>IF(OR($A2948="",AND($J2948="",$K2948="")),"",ROUND(N($J2948)-N($K2948),2))</f>
        <v/>
      </c>
      <c r="M2948" s="13">
        <f>IF(OR($A2948="",AND($J2948="",$K2948="")),"",MIN($J2948,$K2948))</f>
        <v/>
      </c>
      <c r="Q2948">
        <f>IF($A2948="","",$D2948&amp;"("&amp;SUBSTITUTE($E2948," ","")&amp;")")</f>
        <v/>
      </c>
      <c r="R2948">
        <f>IF($A2948="","",$B2948&amp;" - "&amp;$C2948)</f>
        <v/>
      </c>
      <c r="S2948">
        <f>IF($A2948="","",$R2948&amp;"|"&amp;$Q2948)</f>
        <v/>
      </c>
      <c r="T2948">
        <f>IF($A2948="","",$S2948&amp;"|"&amp;$F2948)</f>
        <v/>
      </c>
      <c r="U2948">
        <f>IF($A2948="","",$R2948&amp;"("&amp;$E2948&amp;")")</f>
        <v/>
      </c>
      <c r="V2948">
        <f>IF($A2948="","",$F2948&amp;"|"&amp;$U2948&amp;"|"&amp;$D2948)</f>
        <v/>
      </c>
      <c r="W2948">
        <f>IF($T2948="","",IF($X2948&gt;N($X2947),$X2948,""))</f>
        <v/>
      </c>
      <c r="X2948">
        <f>IF($T2948="",N($X2947),IF(MATCH($T2948,$T$6:$T$6005,0)=ROW()-5,N($X2947)+1,N($X2947)))</f>
        <v/>
      </c>
      <c r="Z2948">
        <f>IF($V2948="","",IF($AA2948&gt;N($AA2947),$AA2948,""))</f>
        <v/>
      </c>
      <c r="AA2948">
        <f>IF($V2948="",N($AA2947),IF(MATCH($V2948,$V$6:$V$6005,0)=ROW()-5,N($AA2947)+1,N($AA2947)))</f>
        <v/>
      </c>
    </row>
    <row r="2949" ht="21" customHeight="1" s="66">
      <c r="A2949" s="56" t="n"/>
      <c r="B2949" s="57" t="n"/>
      <c r="C2949" s="57" t="n"/>
      <c r="D2949" s="57" t="n"/>
      <c r="E2949" s="56" t="n"/>
      <c r="F2949" s="57" t="n"/>
      <c r="G2949" s="57" t="n"/>
      <c r="H2949" s="56" t="n"/>
      <c r="I2949" s="56" t="n"/>
      <c r="J2949" s="58" t="n"/>
      <c r="K2949" s="58" t="n"/>
      <c r="L2949" s="13">
        <f>IF(OR($A2949="",AND($J2949="",$K2949="")),"",ROUND(N($J2949)-N($K2949),2))</f>
        <v/>
      </c>
      <c r="M2949" s="13">
        <f>IF(OR($A2949="",AND($J2949="",$K2949="")),"",MIN($J2949,$K2949))</f>
        <v/>
      </c>
      <c r="Q2949">
        <f>IF($A2949="","",$D2949&amp;"("&amp;SUBSTITUTE($E2949," ","")&amp;")")</f>
        <v/>
      </c>
      <c r="R2949">
        <f>IF($A2949="","",$B2949&amp;" - "&amp;$C2949)</f>
        <v/>
      </c>
      <c r="S2949">
        <f>IF($A2949="","",$R2949&amp;"|"&amp;$Q2949)</f>
        <v/>
      </c>
      <c r="T2949">
        <f>IF($A2949="","",$S2949&amp;"|"&amp;$F2949)</f>
        <v/>
      </c>
      <c r="U2949">
        <f>IF($A2949="","",$R2949&amp;"("&amp;$E2949&amp;")")</f>
        <v/>
      </c>
      <c r="V2949">
        <f>IF($A2949="","",$F2949&amp;"|"&amp;$U2949&amp;"|"&amp;$D2949)</f>
        <v/>
      </c>
      <c r="W2949">
        <f>IF($T2949="","",IF($X2949&gt;N($X2948),$X2949,""))</f>
        <v/>
      </c>
      <c r="X2949">
        <f>IF($T2949="",N($X2948),IF(MATCH($T2949,$T$6:$T$6005,0)=ROW()-5,N($X2948)+1,N($X2948)))</f>
        <v/>
      </c>
      <c r="Z2949">
        <f>IF($V2949="","",IF($AA2949&gt;N($AA2948),$AA2949,""))</f>
        <v/>
      </c>
      <c r="AA2949">
        <f>IF($V2949="",N($AA2948),IF(MATCH($V2949,$V$6:$V$6005,0)=ROW()-5,N($AA2948)+1,N($AA2948)))</f>
        <v/>
      </c>
    </row>
    <row r="2950" ht="21" customHeight="1" s="66">
      <c r="A2950" s="56" t="n"/>
      <c r="B2950" s="57" t="n"/>
      <c r="C2950" s="57" t="n"/>
      <c r="D2950" s="57" t="n"/>
      <c r="E2950" s="56" t="n"/>
      <c r="F2950" s="57" t="n"/>
      <c r="G2950" s="57" t="n"/>
      <c r="H2950" s="56" t="n"/>
      <c r="I2950" s="56" t="n"/>
      <c r="J2950" s="58" t="n"/>
      <c r="K2950" s="58" t="n"/>
      <c r="L2950" s="13">
        <f>IF(OR($A2950="",AND($J2950="",$K2950="")),"",ROUND(N($J2950)-N($K2950),2))</f>
        <v/>
      </c>
      <c r="M2950" s="13">
        <f>IF(OR($A2950="",AND($J2950="",$K2950="")),"",MIN($J2950,$K2950))</f>
        <v/>
      </c>
      <c r="Q2950">
        <f>IF($A2950="","",$D2950&amp;"("&amp;SUBSTITUTE($E2950," ","")&amp;")")</f>
        <v/>
      </c>
      <c r="R2950">
        <f>IF($A2950="","",$B2950&amp;" - "&amp;$C2950)</f>
        <v/>
      </c>
      <c r="S2950">
        <f>IF($A2950="","",$R2950&amp;"|"&amp;$Q2950)</f>
        <v/>
      </c>
      <c r="T2950">
        <f>IF($A2950="","",$S2950&amp;"|"&amp;$F2950)</f>
        <v/>
      </c>
      <c r="U2950">
        <f>IF($A2950="","",$R2950&amp;"("&amp;$E2950&amp;")")</f>
        <v/>
      </c>
      <c r="V2950">
        <f>IF($A2950="","",$F2950&amp;"|"&amp;$U2950&amp;"|"&amp;$D2950)</f>
        <v/>
      </c>
      <c r="W2950">
        <f>IF($T2950="","",IF($X2950&gt;N($X2949),$X2950,""))</f>
        <v/>
      </c>
      <c r="X2950">
        <f>IF($T2950="",N($X2949),IF(MATCH($T2950,$T$6:$T$6005,0)=ROW()-5,N($X2949)+1,N($X2949)))</f>
        <v/>
      </c>
      <c r="Z2950">
        <f>IF($V2950="","",IF($AA2950&gt;N($AA2949),$AA2950,""))</f>
        <v/>
      </c>
      <c r="AA2950">
        <f>IF($V2950="",N($AA2949),IF(MATCH($V2950,$V$6:$V$6005,0)=ROW()-5,N($AA2949)+1,N($AA2949)))</f>
        <v/>
      </c>
    </row>
    <row r="2951" ht="21" customHeight="1" s="66">
      <c r="A2951" s="56" t="n"/>
      <c r="B2951" s="57" t="n"/>
      <c r="C2951" s="57" t="n"/>
      <c r="D2951" s="57" t="n"/>
      <c r="E2951" s="56" t="n"/>
      <c r="F2951" s="57" t="n"/>
      <c r="G2951" s="57" t="n"/>
      <c r="H2951" s="56" t="n"/>
      <c r="I2951" s="56" t="n"/>
      <c r="J2951" s="58" t="n"/>
      <c r="K2951" s="58" t="n"/>
      <c r="L2951" s="13">
        <f>IF(OR($A2951="",AND($J2951="",$K2951="")),"",ROUND(N($J2951)-N($K2951),2))</f>
        <v/>
      </c>
      <c r="M2951" s="13">
        <f>IF(OR($A2951="",AND($J2951="",$K2951="")),"",MIN($J2951,$K2951))</f>
        <v/>
      </c>
      <c r="Q2951">
        <f>IF($A2951="","",$D2951&amp;"("&amp;SUBSTITUTE($E2951," ","")&amp;")")</f>
        <v/>
      </c>
      <c r="R2951">
        <f>IF($A2951="","",$B2951&amp;" - "&amp;$C2951)</f>
        <v/>
      </c>
      <c r="S2951">
        <f>IF($A2951="","",$R2951&amp;"|"&amp;$Q2951)</f>
        <v/>
      </c>
      <c r="T2951">
        <f>IF($A2951="","",$S2951&amp;"|"&amp;$F2951)</f>
        <v/>
      </c>
      <c r="U2951">
        <f>IF($A2951="","",$R2951&amp;"("&amp;$E2951&amp;")")</f>
        <v/>
      </c>
      <c r="V2951">
        <f>IF($A2951="","",$F2951&amp;"|"&amp;$U2951&amp;"|"&amp;$D2951)</f>
        <v/>
      </c>
      <c r="W2951">
        <f>IF($T2951="","",IF($X2951&gt;N($X2950),$X2951,""))</f>
        <v/>
      </c>
      <c r="X2951">
        <f>IF($T2951="",N($X2950),IF(MATCH($T2951,$T$6:$T$6005,0)=ROW()-5,N($X2950)+1,N($X2950)))</f>
        <v/>
      </c>
      <c r="Z2951">
        <f>IF($V2951="","",IF($AA2951&gt;N($AA2950),$AA2951,""))</f>
        <v/>
      </c>
      <c r="AA2951">
        <f>IF($V2951="",N($AA2950),IF(MATCH($V2951,$V$6:$V$6005,0)=ROW()-5,N($AA2950)+1,N($AA2950)))</f>
        <v/>
      </c>
    </row>
    <row r="2952" ht="21" customHeight="1" s="66">
      <c r="A2952" s="56" t="n"/>
      <c r="B2952" s="57" t="n"/>
      <c r="C2952" s="57" t="n"/>
      <c r="D2952" s="57" t="n"/>
      <c r="E2952" s="56" t="n"/>
      <c r="F2952" s="57" t="n"/>
      <c r="G2952" s="57" t="n"/>
      <c r="H2952" s="56" t="n"/>
      <c r="I2952" s="56" t="n"/>
      <c r="J2952" s="58" t="n"/>
      <c r="K2952" s="58" t="n"/>
      <c r="L2952" s="13">
        <f>IF(OR($A2952="",AND($J2952="",$K2952="")),"",ROUND(N($J2952)-N($K2952),2))</f>
        <v/>
      </c>
      <c r="M2952" s="13">
        <f>IF(OR($A2952="",AND($J2952="",$K2952="")),"",MIN($J2952,$K2952))</f>
        <v/>
      </c>
      <c r="Q2952">
        <f>IF($A2952="","",$D2952&amp;"("&amp;SUBSTITUTE($E2952," ","")&amp;")")</f>
        <v/>
      </c>
      <c r="R2952">
        <f>IF($A2952="","",$B2952&amp;" - "&amp;$C2952)</f>
        <v/>
      </c>
      <c r="S2952">
        <f>IF($A2952="","",$R2952&amp;"|"&amp;$Q2952)</f>
        <v/>
      </c>
      <c r="T2952">
        <f>IF($A2952="","",$S2952&amp;"|"&amp;$F2952)</f>
        <v/>
      </c>
      <c r="U2952">
        <f>IF($A2952="","",$R2952&amp;"("&amp;$E2952&amp;")")</f>
        <v/>
      </c>
      <c r="V2952">
        <f>IF($A2952="","",$F2952&amp;"|"&amp;$U2952&amp;"|"&amp;$D2952)</f>
        <v/>
      </c>
      <c r="W2952">
        <f>IF($T2952="","",IF($X2952&gt;N($X2951),$X2952,""))</f>
        <v/>
      </c>
      <c r="X2952">
        <f>IF($T2952="",N($X2951),IF(MATCH($T2952,$T$6:$T$6005,0)=ROW()-5,N($X2951)+1,N($X2951)))</f>
        <v/>
      </c>
      <c r="Z2952">
        <f>IF($V2952="","",IF($AA2952&gt;N($AA2951),$AA2952,""))</f>
        <v/>
      </c>
      <c r="AA2952">
        <f>IF($V2952="",N($AA2951),IF(MATCH($V2952,$V$6:$V$6005,0)=ROW()-5,N($AA2951)+1,N($AA2951)))</f>
        <v/>
      </c>
    </row>
    <row r="2953" ht="21" customHeight="1" s="66">
      <c r="A2953" s="56" t="n"/>
      <c r="B2953" s="57" t="n"/>
      <c r="C2953" s="57" t="n"/>
      <c r="D2953" s="57" t="n"/>
      <c r="E2953" s="56" t="n"/>
      <c r="F2953" s="57" t="n"/>
      <c r="G2953" s="57" t="n"/>
      <c r="H2953" s="56" t="n"/>
      <c r="I2953" s="56" t="n"/>
      <c r="J2953" s="58" t="n"/>
      <c r="K2953" s="58" t="n"/>
      <c r="L2953" s="13">
        <f>IF(OR($A2953="",AND($J2953="",$K2953="")),"",ROUND(N($J2953)-N($K2953),2))</f>
        <v/>
      </c>
      <c r="M2953" s="13">
        <f>IF(OR($A2953="",AND($J2953="",$K2953="")),"",MIN($J2953,$K2953))</f>
        <v/>
      </c>
      <c r="Q2953">
        <f>IF($A2953="","",$D2953&amp;"("&amp;SUBSTITUTE($E2953," ","")&amp;")")</f>
        <v/>
      </c>
      <c r="R2953">
        <f>IF($A2953="","",$B2953&amp;" - "&amp;$C2953)</f>
        <v/>
      </c>
      <c r="S2953">
        <f>IF($A2953="","",$R2953&amp;"|"&amp;$Q2953)</f>
        <v/>
      </c>
      <c r="T2953">
        <f>IF($A2953="","",$S2953&amp;"|"&amp;$F2953)</f>
        <v/>
      </c>
      <c r="U2953">
        <f>IF($A2953="","",$R2953&amp;"("&amp;$E2953&amp;")")</f>
        <v/>
      </c>
      <c r="V2953">
        <f>IF($A2953="","",$F2953&amp;"|"&amp;$U2953&amp;"|"&amp;$D2953)</f>
        <v/>
      </c>
      <c r="W2953">
        <f>IF($T2953="","",IF($X2953&gt;N($X2952),$X2953,""))</f>
        <v/>
      </c>
      <c r="X2953">
        <f>IF($T2953="",N($X2952),IF(MATCH($T2953,$T$6:$T$6005,0)=ROW()-5,N($X2952)+1,N($X2952)))</f>
        <v/>
      </c>
      <c r="Z2953">
        <f>IF($V2953="","",IF($AA2953&gt;N($AA2952),$AA2953,""))</f>
        <v/>
      </c>
      <c r="AA2953">
        <f>IF($V2953="",N($AA2952),IF(MATCH($V2953,$V$6:$V$6005,0)=ROW()-5,N($AA2952)+1,N($AA2952)))</f>
        <v/>
      </c>
    </row>
    <row r="2954" ht="21" customHeight="1" s="66">
      <c r="A2954" s="56" t="n"/>
      <c r="B2954" s="57" t="n"/>
      <c r="C2954" s="57" t="n"/>
      <c r="D2954" s="57" t="n"/>
      <c r="E2954" s="56" t="n"/>
      <c r="F2954" s="57" t="n"/>
      <c r="G2954" s="57" t="n"/>
      <c r="H2954" s="56" t="n"/>
      <c r="I2954" s="56" t="n"/>
      <c r="J2954" s="58" t="n"/>
      <c r="K2954" s="58" t="n"/>
      <c r="L2954" s="13">
        <f>IF(OR($A2954="",AND($J2954="",$K2954="")),"",ROUND(N($J2954)-N($K2954),2))</f>
        <v/>
      </c>
      <c r="M2954" s="13">
        <f>IF(OR($A2954="",AND($J2954="",$K2954="")),"",MIN($J2954,$K2954))</f>
        <v/>
      </c>
      <c r="Q2954">
        <f>IF($A2954="","",$D2954&amp;"("&amp;SUBSTITUTE($E2954," ","")&amp;")")</f>
        <v/>
      </c>
      <c r="R2954">
        <f>IF($A2954="","",$B2954&amp;" - "&amp;$C2954)</f>
        <v/>
      </c>
      <c r="S2954">
        <f>IF($A2954="","",$R2954&amp;"|"&amp;$Q2954)</f>
        <v/>
      </c>
      <c r="T2954">
        <f>IF($A2954="","",$S2954&amp;"|"&amp;$F2954)</f>
        <v/>
      </c>
      <c r="U2954">
        <f>IF($A2954="","",$R2954&amp;"("&amp;$E2954&amp;")")</f>
        <v/>
      </c>
      <c r="V2954">
        <f>IF($A2954="","",$F2954&amp;"|"&amp;$U2954&amp;"|"&amp;$D2954)</f>
        <v/>
      </c>
      <c r="W2954">
        <f>IF($T2954="","",IF($X2954&gt;N($X2953),$X2954,""))</f>
        <v/>
      </c>
      <c r="X2954">
        <f>IF($T2954="",N($X2953),IF(MATCH($T2954,$T$6:$T$6005,0)=ROW()-5,N($X2953)+1,N($X2953)))</f>
        <v/>
      </c>
      <c r="Z2954">
        <f>IF($V2954="","",IF($AA2954&gt;N($AA2953),$AA2954,""))</f>
        <v/>
      </c>
      <c r="AA2954">
        <f>IF($V2954="",N($AA2953),IF(MATCH($V2954,$V$6:$V$6005,0)=ROW()-5,N($AA2953)+1,N($AA2953)))</f>
        <v/>
      </c>
    </row>
    <row r="2955" ht="21" customHeight="1" s="66">
      <c r="A2955" s="56" t="n"/>
      <c r="B2955" s="57" t="n"/>
      <c r="C2955" s="57" t="n"/>
      <c r="D2955" s="57" t="n"/>
      <c r="E2955" s="56" t="n"/>
      <c r="F2955" s="57" t="n"/>
      <c r="G2955" s="57" t="n"/>
      <c r="H2955" s="56" t="n"/>
      <c r="I2955" s="56" t="n"/>
      <c r="J2955" s="58" t="n"/>
      <c r="K2955" s="58" t="n"/>
      <c r="L2955" s="13">
        <f>IF(OR($A2955="",AND($J2955="",$K2955="")),"",ROUND(N($J2955)-N($K2955),2))</f>
        <v/>
      </c>
      <c r="M2955" s="13">
        <f>IF(OR($A2955="",AND($J2955="",$K2955="")),"",MIN($J2955,$K2955))</f>
        <v/>
      </c>
      <c r="Q2955">
        <f>IF($A2955="","",$D2955&amp;"("&amp;SUBSTITUTE($E2955," ","")&amp;")")</f>
        <v/>
      </c>
      <c r="R2955">
        <f>IF($A2955="","",$B2955&amp;" - "&amp;$C2955)</f>
        <v/>
      </c>
      <c r="S2955">
        <f>IF($A2955="","",$R2955&amp;"|"&amp;$Q2955)</f>
        <v/>
      </c>
      <c r="T2955">
        <f>IF($A2955="","",$S2955&amp;"|"&amp;$F2955)</f>
        <v/>
      </c>
      <c r="U2955">
        <f>IF($A2955="","",$R2955&amp;"("&amp;$E2955&amp;")")</f>
        <v/>
      </c>
      <c r="V2955">
        <f>IF($A2955="","",$F2955&amp;"|"&amp;$U2955&amp;"|"&amp;$D2955)</f>
        <v/>
      </c>
      <c r="W2955">
        <f>IF($T2955="","",IF($X2955&gt;N($X2954),$X2955,""))</f>
        <v/>
      </c>
      <c r="X2955">
        <f>IF($T2955="",N($X2954),IF(MATCH($T2955,$T$6:$T$6005,0)=ROW()-5,N($X2954)+1,N($X2954)))</f>
        <v/>
      </c>
      <c r="Z2955">
        <f>IF($V2955="","",IF($AA2955&gt;N($AA2954),$AA2955,""))</f>
        <v/>
      </c>
      <c r="AA2955">
        <f>IF($V2955="",N($AA2954),IF(MATCH($V2955,$V$6:$V$6005,0)=ROW()-5,N($AA2954)+1,N($AA2954)))</f>
        <v/>
      </c>
    </row>
    <row r="2956" ht="21" customHeight="1" s="66">
      <c r="A2956" s="56" t="n"/>
      <c r="B2956" s="57" t="n"/>
      <c r="C2956" s="57" t="n"/>
      <c r="D2956" s="57" t="n"/>
      <c r="E2956" s="56" t="n"/>
      <c r="F2956" s="57" t="n"/>
      <c r="G2956" s="57" t="n"/>
      <c r="H2956" s="56" t="n"/>
      <c r="I2956" s="56" t="n"/>
      <c r="J2956" s="58" t="n"/>
      <c r="K2956" s="58" t="n"/>
      <c r="L2956" s="13">
        <f>IF(OR($A2956="",AND($J2956="",$K2956="")),"",ROUND(N($J2956)-N($K2956),2))</f>
        <v/>
      </c>
      <c r="M2956" s="13">
        <f>IF(OR($A2956="",AND($J2956="",$K2956="")),"",MIN($J2956,$K2956))</f>
        <v/>
      </c>
      <c r="Q2956">
        <f>IF($A2956="","",$D2956&amp;"("&amp;SUBSTITUTE($E2956," ","")&amp;")")</f>
        <v/>
      </c>
      <c r="R2956">
        <f>IF($A2956="","",$B2956&amp;" - "&amp;$C2956)</f>
        <v/>
      </c>
      <c r="S2956">
        <f>IF($A2956="","",$R2956&amp;"|"&amp;$Q2956)</f>
        <v/>
      </c>
      <c r="T2956">
        <f>IF($A2956="","",$S2956&amp;"|"&amp;$F2956)</f>
        <v/>
      </c>
      <c r="U2956">
        <f>IF($A2956="","",$R2956&amp;"("&amp;$E2956&amp;")")</f>
        <v/>
      </c>
      <c r="V2956">
        <f>IF($A2956="","",$F2956&amp;"|"&amp;$U2956&amp;"|"&amp;$D2956)</f>
        <v/>
      </c>
      <c r="W2956">
        <f>IF($T2956="","",IF($X2956&gt;N($X2955),$X2956,""))</f>
        <v/>
      </c>
      <c r="X2956">
        <f>IF($T2956="",N($X2955),IF(MATCH($T2956,$T$6:$T$6005,0)=ROW()-5,N($X2955)+1,N($X2955)))</f>
        <v/>
      </c>
      <c r="Z2956">
        <f>IF($V2956="","",IF($AA2956&gt;N($AA2955),$AA2956,""))</f>
        <v/>
      </c>
      <c r="AA2956">
        <f>IF($V2956="",N($AA2955),IF(MATCH($V2956,$V$6:$V$6005,0)=ROW()-5,N($AA2955)+1,N($AA2955)))</f>
        <v/>
      </c>
    </row>
    <row r="2957" ht="21" customHeight="1" s="66">
      <c r="A2957" s="56" t="n"/>
      <c r="B2957" s="57" t="n"/>
      <c r="C2957" s="57" t="n"/>
      <c r="D2957" s="57" t="n"/>
      <c r="E2957" s="56" t="n"/>
      <c r="F2957" s="57" t="n"/>
      <c r="G2957" s="57" t="n"/>
      <c r="H2957" s="56" t="n"/>
      <c r="I2957" s="56" t="n"/>
      <c r="J2957" s="58" t="n"/>
      <c r="K2957" s="58" t="n"/>
      <c r="L2957" s="13">
        <f>IF(OR($A2957="",AND($J2957="",$K2957="")),"",ROUND(N($J2957)-N($K2957),2))</f>
        <v/>
      </c>
      <c r="M2957" s="13">
        <f>IF(OR($A2957="",AND($J2957="",$K2957="")),"",MIN($J2957,$K2957))</f>
        <v/>
      </c>
      <c r="Q2957">
        <f>IF($A2957="","",$D2957&amp;"("&amp;SUBSTITUTE($E2957," ","")&amp;")")</f>
        <v/>
      </c>
      <c r="R2957">
        <f>IF($A2957="","",$B2957&amp;" - "&amp;$C2957)</f>
        <v/>
      </c>
      <c r="S2957">
        <f>IF($A2957="","",$R2957&amp;"|"&amp;$Q2957)</f>
        <v/>
      </c>
      <c r="T2957">
        <f>IF($A2957="","",$S2957&amp;"|"&amp;$F2957)</f>
        <v/>
      </c>
      <c r="U2957">
        <f>IF($A2957="","",$R2957&amp;"("&amp;$E2957&amp;")")</f>
        <v/>
      </c>
      <c r="V2957">
        <f>IF($A2957="","",$F2957&amp;"|"&amp;$U2957&amp;"|"&amp;$D2957)</f>
        <v/>
      </c>
      <c r="W2957">
        <f>IF($T2957="","",IF($X2957&gt;N($X2956),$X2957,""))</f>
        <v/>
      </c>
      <c r="X2957">
        <f>IF($T2957="",N($X2956),IF(MATCH($T2957,$T$6:$T$6005,0)=ROW()-5,N($X2956)+1,N($X2956)))</f>
        <v/>
      </c>
      <c r="Z2957">
        <f>IF($V2957="","",IF($AA2957&gt;N($AA2956),$AA2957,""))</f>
        <v/>
      </c>
      <c r="AA2957">
        <f>IF($V2957="",N($AA2956),IF(MATCH($V2957,$V$6:$V$6005,0)=ROW()-5,N($AA2956)+1,N($AA2956)))</f>
        <v/>
      </c>
    </row>
    <row r="2958" ht="21" customHeight="1" s="66">
      <c r="A2958" s="56" t="n"/>
      <c r="B2958" s="57" t="n"/>
      <c r="C2958" s="57" t="n"/>
      <c r="D2958" s="57" t="n"/>
      <c r="E2958" s="56" t="n"/>
      <c r="F2958" s="57" t="n"/>
      <c r="G2958" s="57" t="n"/>
      <c r="H2958" s="56" t="n"/>
      <c r="I2958" s="56" t="n"/>
      <c r="J2958" s="58" t="n"/>
      <c r="K2958" s="58" t="n"/>
      <c r="L2958" s="13">
        <f>IF(OR($A2958="",AND($J2958="",$K2958="")),"",ROUND(N($J2958)-N($K2958),2))</f>
        <v/>
      </c>
      <c r="M2958" s="13">
        <f>IF(OR($A2958="",AND($J2958="",$K2958="")),"",MIN($J2958,$K2958))</f>
        <v/>
      </c>
      <c r="Q2958">
        <f>IF($A2958="","",$D2958&amp;"("&amp;SUBSTITUTE($E2958," ","")&amp;")")</f>
        <v/>
      </c>
      <c r="R2958">
        <f>IF($A2958="","",$B2958&amp;" - "&amp;$C2958)</f>
        <v/>
      </c>
      <c r="S2958">
        <f>IF($A2958="","",$R2958&amp;"|"&amp;$Q2958)</f>
        <v/>
      </c>
      <c r="T2958">
        <f>IF($A2958="","",$S2958&amp;"|"&amp;$F2958)</f>
        <v/>
      </c>
      <c r="U2958">
        <f>IF($A2958="","",$R2958&amp;"("&amp;$E2958&amp;")")</f>
        <v/>
      </c>
      <c r="V2958">
        <f>IF($A2958="","",$F2958&amp;"|"&amp;$U2958&amp;"|"&amp;$D2958)</f>
        <v/>
      </c>
      <c r="W2958">
        <f>IF($T2958="","",IF($X2958&gt;N($X2957),$X2958,""))</f>
        <v/>
      </c>
      <c r="X2958">
        <f>IF($T2958="",N($X2957),IF(MATCH($T2958,$T$6:$T$6005,0)=ROW()-5,N($X2957)+1,N($X2957)))</f>
        <v/>
      </c>
      <c r="Z2958">
        <f>IF($V2958="","",IF($AA2958&gt;N($AA2957),$AA2958,""))</f>
        <v/>
      </c>
      <c r="AA2958">
        <f>IF($V2958="",N($AA2957),IF(MATCH($V2958,$V$6:$V$6005,0)=ROW()-5,N($AA2957)+1,N($AA2957)))</f>
        <v/>
      </c>
    </row>
    <row r="2959" ht="21" customHeight="1" s="66">
      <c r="A2959" s="56" t="n"/>
      <c r="B2959" s="57" t="n"/>
      <c r="C2959" s="57" t="n"/>
      <c r="D2959" s="57" t="n"/>
      <c r="E2959" s="56" t="n"/>
      <c r="F2959" s="57" t="n"/>
      <c r="G2959" s="57" t="n"/>
      <c r="H2959" s="56" t="n"/>
      <c r="I2959" s="56" t="n"/>
      <c r="J2959" s="58" t="n"/>
      <c r="K2959" s="58" t="n"/>
      <c r="L2959" s="13">
        <f>IF(OR($A2959="",AND($J2959="",$K2959="")),"",ROUND(N($J2959)-N($K2959),2))</f>
        <v/>
      </c>
      <c r="M2959" s="13">
        <f>IF(OR($A2959="",AND($J2959="",$K2959="")),"",MIN($J2959,$K2959))</f>
        <v/>
      </c>
      <c r="Q2959">
        <f>IF($A2959="","",$D2959&amp;"("&amp;SUBSTITUTE($E2959," ","")&amp;")")</f>
        <v/>
      </c>
      <c r="R2959">
        <f>IF($A2959="","",$B2959&amp;" - "&amp;$C2959)</f>
        <v/>
      </c>
      <c r="S2959">
        <f>IF($A2959="","",$R2959&amp;"|"&amp;$Q2959)</f>
        <v/>
      </c>
      <c r="T2959">
        <f>IF($A2959="","",$S2959&amp;"|"&amp;$F2959)</f>
        <v/>
      </c>
      <c r="U2959">
        <f>IF($A2959="","",$R2959&amp;"("&amp;$E2959&amp;")")</f>
        <v/>
      </c>
      <c r="V2959">
        <f>IF($A2959="","",$F2959&amp;"|"&amp;$U2959&amp;"|"&amp;$D2959)</f>
        <v/>
      </c>
      <c r="W2959">
        <f>IF($T2959="","",IF($X2959&gt;N($X2958),$X2959,""))</f>
        <v/>
      </c>
      <c r="X2959">
        <f>IF($T2959="",N($X2958),IF(MATCH($T2959,$T$6:$T$6005,0)=ROW()-5,N($X2958)+1,N($X2958)))</f>
        <v/>
      </c>
      <c r="Z2959">
        <f>IF($V2959="","",IF($AA2959&gt;N($AA2958),$AA2959,""))</f>
        <v/>
      </c>
      <c r="AA2959">
        <f>IF($V2959="",N($AA2958),IF(MATCH($V2959,$V$6:$V$6005,0)=ROW()-5,N($AA2958)+1,N($AA2958)))</f>
        <v/>
      </c>
    </row>
    <row r="2960" ht="21" customHeight="1" s="66">
      <c r="A2960" s="56" t="n"/>
      <c r="B2960" s="57" t="n"/>
      <c r="C2960" s="57" t="n"/>
      <c r="D2960" s="57" t="n"/>
      <c r="E2960" s="56" t="n"/>
      <c r="F2960" s="57" t="n"/>
      <c r="G2960" s="57" t="n"/>
      <c r="H2960" s="56" t="n"/>
      <c r="I2960" s="56" t="n"/>
      <c r="J2960" s="58" t="n"/>
      <c r="K2960" s="58" t="n"/>
      <c r="L2960" s="13">
        <f>IF(OR($A2960="",AND($J2960="",$K2960="")),"",ROUND(N($J2960)-N($K2960),2))</f>
        <v/>
      </c>
      <c r="M2960" s="13">
        <f>IF(OR($A2960="",AND($J2960="",$K2960="")),"",MIN($J2960,$K2960))</f>
        <v/>
      </c>
      <c r="Q2960">
        <f>IF($A2960="","",$D2960&amp;"("&amp;SUBSTITUTE($E2960," ","")&amp;")")</f>
        <v/>
      </c>
      <c r="R2960">
        <f>IF($A2960="","",$B2960&amp;" - "&amp;$C2960)</f>
        <v/>
      </c>
      <c r="S2960">
        <f>IF($A2960="","",$R2960&amp;"|"&amp;$Q2960)</f>
        <v/>
      </c>
      <c r="T2960">
        <f>IF($A2960="","",$S2960&amp;"|"&amp;$F2960)</f>
        <v/>
      </c>
      <c r="U2960">
        <f>IF($A2960="","",$R2960&amp;"("&amp;$E2960&amp;")")</f>
        <v/>
      </c>
      <c r="V2960">
        <f>IF($A2960="","",$F2960&amp;"|"&amp;$U2960&amp;"|"&amp;$D2960)</f>
        <v/>
      </c>
      <c r="W2960">
        <f>IF($T2960="","",IF($X2960&gt;N($X2959),$X2960,""))</f>
        <v/>
      </c>
      <c r="X2960">
        <f>IF($T2960="",N($X2959),IF(MATCH($T2960,$T$6:$T$6005,0)=ROW()-5,N($X2959)+1,N($X2959)))</f>
        <v/>
      </c>
      <c r="Z2960">
        <f>IF($V2960="","",IF($AA2960&gt;N($AA2959),$AA2960,""))</f>
        <v/>
      </c>
      <c r="AA2960">
        <f>IF($V2960="",N($AA2959),IF(MATCH($V2960,$V$6:$V$6005,0)=ROW()-5,N($AA2959)+1,N($AA2959)))</f>
        <v/>
      </c>
    </row>
    <row r="2961" ht="21" customHeight="1" s="66">
      <c r="A2961" s="56" t="n"/>
      <c r="B2961" s="57" t="n"/>
      <c r="C2961" s="57" t="n"/>
      <c r="D2961" s="57" t="n"/>
      <c r="E2961" s="56" t="n"/>
      <c r="F2961" s="57" t="n"/>
      <c r="G2961" s="57" t="n"/>
      <c r="H2961" s="56" t="n"/>
      <c r="I2961" s="56" t="n"/>
      <c r="J2961" s="58" t="n"/>
      <c r="K2961" s="58" t="n"/>
      <c r="L2961" s="13">
        <f>IF(OR($A2961="",AND($J2961="",$K2961="")),"",ROUND(N($J2961)-N($K2961),2))</f>
        <v/>
      </c>
      <c r="M2961" s="13">
        <f>IF(OR($A2961="",AND($J2961="",$K2961="")),"",MIN($J2961,$K2961))</f>
        <v/>
      </c>
      <c r="Q2961">
        <f>IF($A2961="","",$D2961&amp;"("&amp;SUBSTITUTE($E2961," ","")&amp;")")</f>
        <v/>
      </c>
      <c r="R2961">
        <f>IF($A2961="","",$B2961&amp;" - "&amp;$C2961)</f>
        <v/>
      </c>
      <c r="S2961">
        <f>IF($A2961="","",$R2961&amp;"|"&amp;$Q2961)</f>
        <v/>
      </c>
      <c r="T2961">
        <f>IF($A2961="","",$S2961&amp;"|"&amp;$F2961)</f>
        <v/>
      </c>
      <c r="U2961">
        <f>IF($A2961="","",$R2961&amp;"("&amp;$E2961&amp;")")</f>
        <v/>
      </c>
      <c r="V2961">
        <f>IF($A2961="","",$F2961&amp;"|"&amp;$U2961&amp;"|"&amp;$D2961)</f>
        <v/>
      </c>
      <c r="W2961">
        <f>IF($T2961="","",IF($X2961&gt;N($X2960),$X2961,""))</f>
        <v/>
      </c>
      <c r="X2961">
        <f>IF($T2961="",N($X2960),IF(MATCH($T2961,$T$6:$T$6005,0)=ROW()-5,N($X2960)+1,N($X2960)))</f>
        <v/>
      </c>
      <c r="Z2961">
        <f>IF($V2961="","",IF($AA2961&gt;N($AA2960),$AA2961,""))</f>
        <v/>
      </c>
      <c r="AA2961">
        <f>IF($V2961="",N($AA2960),IF(MATCH($V2961,$V$6:$V$6005,0)=ROW()-5,N($AA2960)+1,N($AA2960)))</f>
        <v/>
      </c>
    </row>
    <row r="2962" ht="21" customHeight="1" s="66">
      <c r="A2962" s="56" t="n"/>
      <c r="B2962" s="57" t="n"/>
      <c r="C2962" s="57" t="n"/>
      <c r="D2962" s="57" t="n"/>
      <c r="E2962" s="56" t="n"/>
      <c r="F2962" s="57" t="n"/>
      <c r="G2962" s="57" t="n"/>
      <c r="H2962" s="56" t="n"/>
      <c r="I2962" s="56" t="n"/>
      <c r="J2962" s="58" t="n"/>
      <c r="K2962" s="58" t="n"/>
      <c r="L2962" s="13">
        <f>IF(OR($A2962="",AND($J2962="",$K2962="")),"",ROUND(N($J2962)-N($K2962),2))</f>
        <v/>
      </c>
      <c r="M2962" s="13">
        <f>IF(OR($A2962="",AND($J2962="",$K2962="")),"",MIN($J2962,$K2962))</f>
        <v/>
      </c>
      <c r="Q2962">
        <f>IF($A2962="","",$D2962&amp;"("&amp;SUBSTITUTE($E2962," ","")&amp;")")</f>
        <v/>
      </c>
      <c r="R2962">
        <f>IF($A2962="","",$B2962&amp;" - "&amp;$C2962)</f>
        <v/>
      </c>
      <c r="S2962">
        <f>IF($A2962="","",$R2962&amp;"|"&amp;$Q2962)</f>
        <v/>
      </c>
      <c r="T2962">
        <f>IF($A2962="","",$S2962&amp;"|"&amp;$F2962)</f>
        <v/>
      </c>
      <c r="U2962">
        <f>IF($A2962="","",$R2962&amp;"("&amp;$E2962&amp;")")</f>
        <v/>
      </c>
      <c r="V2962">
        <f>IF($A2962="","",$F2962&amp;"|"&amp;$U2962&amp;"|"&amp;$D2962)</f>
        <v/>
      </c>
      <c r="W2962">
        <f>IF($T2962="","",IF($X2962&gt;N($X2961),$X2962,""))</f>
        <v/>
      </c>
      <c r="X2962">
        <f>IF($T2962="",N($X2961),IF(MATCH($T2962,$T$6:$T$6005,0)=ROW()-5,N($X2961)+1,N($X2961)))</f>
        <v/>
      </c>
      <c r="Z2962">
        <f>IF($V2962="","",IF($AA2962&gt;N($AA2961),$AA2962,""))</f>
        <v/>
      </c>
      <c r="AA2962">
        <f>IF($V2962="",N($AA2961),IF(MATCH($V2962,$V$6:$V$6005,0)=ROW()-5,N($AA2961)+1,N($AA2961)))</f>
        <v/>
      </c>
    </row>
    <row r="2963" ht="21" customHeight="1" s="66">
      <c r="A2963" s="56" t="n"/>
      <c r="B2963" s="57" t="n"/>
      <c r="C2963" s="57" t="n"/>
      <c r="D2963" s="57" t="n"/>
      <c r="E2963" s="56" t="n"/>
      <c r="F2963" s="57" t="n"/>
      <c r="G2963" s="57" t="n"/>
      <c r="H2963" s="56" t="n"/>
      <c r="I2963" s="56" t="n"/>
      <c r="J2963" s="58" t="n"/>
      <c r="K2963" s="58" t="n"/>
      <c r="L2963" s="13">
        <f>IF(OR($A2963="",AND($J2963="",$K2963="")),"",ROUND(N($J2963)-N($K2963),2))</f>
        <v/>
      </c>
      <c r="M2963" s="13">
        <f>IF(OR($A2963="",AND($J2963="",$K2963="")),"",MIN($J2963,$K2963))</f>
        <v/>
      </c>
      <c r="Q2963">
        <f>IF($A2963="","",$D2963&amp;"("&amp;SUBSTITUTE($E2963," ","")&amp;")")</f>
        <v/>
      </c>
      <c r="R2963">
        <f>IF($A2963="","",$B2963&amp;" - "&amp;$C2963)</f>
        <v/>
      </c>
      <c r="S2963">
        <f>IF($A2963="","",$R2963&amp;"|"&amp;$Q2963)</f>
        <v/>
      </c>
      <c r="T2963">
        <f>IF($A2963="","",$S2963&amp;"|"&amp;$F2963)</f>
        <v/>
      </c>
      <c r="U2963">
        <f>IF($A2963="","",$R2963&amp;"("&amp;$E2963&amp;")")</f>
        <v/>
      </c>
      <c r="V2963">
        <f>IF($A2963="","",$F2963&amp;"|"&amp;$U2963&amp;"|"&amp;$D2963)</f>
        <v/>
      </c>
      <c r="W2963">
        <f>IF($T2963="","",IF($X2963&gt;N($X2962),$X2963,""))</f>
        <v/>
      </c>
      <c r="X2963">
        <f>IF($T2963="",N($X2962),IF(MATCH($T2963,$T$6:$T$6005,0)=ROW()-5,N($X2962)+1,N($X2962)))</f>
        <v/>
      </c>
      <c r="Z2963">
        <f>IF($V2963="","",IF($AA2963&gt;N($AA2962),$AA2963,""))</f>
        <v/>
      </c>
      <c r="AA2963">
        <f>IF($V2963="",N($AA2962),IF(MATCH($V2963,$V$6:$V$6005,0)=ROW()-5,N($AA2962)+1,N($AA2962)))</f>
        <v/>
      </c>
    </row>
    <row r="2964" ht="21" customHeight="1" s="66">
      <c r="A2964" s="56" t="n"/>
      <c r="B2964" s="57" t="n"/>
      <c r="C2964" s="57" t="n"/>
      <c r="D2964" s="57" t="n"/>
      <c r="E2964" s="56" t="n"/>
      <c r="F2964" s="57" t="n"/>
      <c r="G2964" s="57" t="n"/>
      <c r="H2964" s="56" t="n"/>
      <c r="I2964" s="56" t="n"/>
      <c r="J2964" s="58" t="n"/>
      <c r="K2964" s="58" t="n"/>
      <c r="L2964" s="13">
        <f>IF(OR($A2964="",AND($J2964="",$K2964="")),"",ROUND(N($J2964)-N($K2964),2))</f>
        <v/>
      </c>
      <c r="M2964" s="13">
        <f>IF(OR($A2964="",AND($J2964="",$K2964="")),"",MIN($J2964,$K2964))</f>
        <v/>
      </c>
      <c r="Q2964">
        <f>IF($A2964="","",$D2964&amp;"("&amp;SUBSTITUTE($E2964," ","")&amp;")")</f>
        <v/>
      </c>
      <c r="R2964">
        <f>IF($A2964="","",$B2964&amp;" - "&amp;$C2964)</f>
        <v/>
      </c>
      <c r="S2964">
        <f>IF($A2964="","",$R2964&amp;"|"&amp;$Q2964)</f>
        <v/>
      </c>
      <c r="T2964">
        <f>IF($A2964="","",$S2964&amp;"|"&amp;$F2964)</f>
        <v/>
      </c>
      <c r="U2964">
        <f>IF($A2964="","",$R2964&amp;"("&amp;$E2964&amp;")")</f>
        <v/>
      </c>
      <c r="V2964">
        <f>IF($A2964="","",$F2964&amp;"|"&amp;$U2964&amp;"|"&amp;$D2964)</f>
        <v/>
      </c>
      <c r="W2964">
        <f>IF($T2964="","",IF($X2964&gt;N($X2963),$X2964,""))</f>
        <v/>
      </c>
      <c r="X2964">
        <f>IF($T2964="",N($X2963),IF(MATCH($T2964,$T$6:$T$6005,0)=ROW()-5,N($X2963)+1,N($X2963)))</f>
        <v/>
      </c>
      <c r="Z2964">
        <f>IF($V2964="","",IF($AA2964&gt;N($AA2963),$AA2964,""))</f>
        <v/>
      </c>
      <c r="AA2964">
        <f>IF($V2964="",N($AA2963),IF(MATCH($V2964,$V$6:$V$6005,0)=ROW()-5,N($AA2963)+1,N($AA2963)))</f>
        <v/>
      </c>
    </row>
    <row r="2965" ht="21" customHeight="1" s="66">
      <c r="A2965" s="56" t="n"/>
      <c r="B2965" s="57" t="n"/>
      <c r="C2965" s="57" t="n"/>
      <c r="D2965" s="57" t="n"/>
      <c r="E2965" s="56" t="n"/>
      <c r="F2965" s="57" t="n"/>
      <c r="G2965" s="57" t="n"/>
      <c r="H2965" s="56" t="n"/>
      <c r="I2965" s="56" t="n"/>
      <c r="J2965" s="58" t="n"/>
      <c r="K2965" s="58" t="n"/>
      <c r="L2965" s="13">
        <f>IF(OR($A2965="",AND($J2965="",$K2965="")),"",ROUND(N($J2965)-N($K2965),2))</f>
        <v/>
      </c>
      <c r="M2965" s="13">
        <f>IF(OR($A2965="",AND($J2965="",$K2965="")),"",MIN($J2965,$K2965))</f>
        <v/>
      </c>
      <c r="Q2965">
        <f>IF($A2965="","",$D2965&amp;"("&amp;SUBSTITUTE($E2965," ","")&amp;")")</f>
        <v/>
      </c>
      <c r="R2965">
        <f>IF($A2965="","",$B2965&amp;" - "&amp;$C2965)</f>
        <v/>
      </c>
      <c r="S2965">
        <f>IF($A2965="","",$R2965&amp;"|"&amp;$Q2965)</f>
        <v/>
      </c>
      <c r="T2965">
        <f>IF($A2965="","",$S2965&amp;"|"&amp;$F2965)</f>
        <v/>
      </c>
      <c r="U2965">
        <f>IF($A2965="","",$R2965&amp;"("&amp;$E2965&amp;")")</f>
        <v/>
      </c>
      <c r="V2965">
        <f>IF($A2965="","",$F2965&amp;"|"&amp;$U2965&amp;"|"&amp;$D2965)</f>
        <v/>
      </c>
      <c r="W2965">
        <f>IF($T2965="","",IF($X2965&gt;N($X2964),$X2965,""))</f>
        <v/>
      </c>
      <c r="X2965">
        <f>IF($T2965="",N($X2964),IF(MATCH($T2965,$T$6:$T$6005,0)=ROW()-5,N($X2964)+1,N($X2964)))</f>
        <v/>
      </c>
      <c r="Z2965">
        <f>IF($V2965="","",IF($AA2965&gt;N($AA2964),$AA2965,""))</f>
        <v/>
      </c>
      <c r="AA2965">
        <f>IF($V2965="",N($AA2964),IF(MATCH($V2965,$V$6:$V$6005,0)=ROW()-5,N($AA2964)+1,N($AA2964)))</f>
        <v/>
      </c>
    </row>
    <row r="2966" ht="21" customHeight="1" s="66">
      <c r="A2966" s="56" t="n"/>
      <c r="B2966" s="57" t="n"/>
      <c r="C2966" s="57" t="n"/>
      <c r="D2966" s="57" t="n"/>
      <c r="E2966" s="56" t="n"/>
      <c r="F2966" s="57" t="n"/>
      <c r="G2966" s="57" t="n"/>
      <c r="H2966" s="56" t="n"/>
      <c r="I2966" s="56" t="n"/>
      <c r="J2966" s="58" t="n"/>
      <c r="K2966" s="58" t="n"/>
      <c r="L2966" s="13">
        <f>IF(OR($A2966="",AND($J2966="",$K2966="")),"",ROUND(N($J2966)-N($K2966),2))</f>
        <v/>
      </c>
      <c r="M2966" s="13">
        <f>IF(OR($A2966="",AND($J2966="",$K2966="")),"",MIN($J2966,$K2966))</f>
        <v/>
      </c>
      <c r="Q2966">
        <f>IF($A2966="","",$D2966&amp;"("&amp;SUBSTITUTE($E2966," ","")&amp;")")</f>
        <v/>
      </c>
      <c r="R2966">
        <f>IF($A2966="","",$B2966&amp;" - "&amp;$C2966)</f>
        <v/>
      </c>
      <c r="S2966">
        <f>IF($A2966="","",$R2966&amp;"|"&amp;$Q2966)</f>
        <v/>
      </c>
      <c r="T2966">
        <f>IF($A2966="","",$S2966&amp;"|"&amp;$F2966)</f>
        <v/>
      </c>
      <c r="U2966">
        <f>IF($A2966="","",$R2966&amp;"("&amp;$E2966&amp;")")</f>
        <v/>
      </c>
      <c r="V2966">
        <f>IF($A2966="","",$F2966&amp;"|"&amp;$U2966&amp;"|"&amp;$D2966)</f>
        <v/>
      </c>
      <c r="W2966">
        <f>IF($T2966="","",IF($X2966&gt;N($X2965),$X2966,""))</f>
        <v/>
      </c>
      <c r="X2966">
        <f>IF($T2966="",N($X2965),IF(MATCH($T2966,$T$6:$T$6005,0)=ROW()-5,N($X2965)+1,N($X2965)))</f>
        <v/>
      </c>
      <c r="Z2966">
        <f>IF($V2966="","",IF($AA2966&gt;N($AA2965),$AA2966,""))</f>
        <v/>
      </c>
      <c r="AA2966">
        <f>IF($V2966="",N($AA2965),IF(MATCH($V2966,$V$6:$V$6005,0)=ROW()-5,N($AA2965)+1,N($AA2965)))</f>
        <v/>
      </c>
    </row>
    <row r="2967" ht="21" customHeight="1" s="66">
      <c r="A2967" s="56" t="n"/>
      <c r="B2967" s="57" t="n"/>
      <c r="C2967" s="57" t="n"/>
      <c r="D2967" s="57" t="n"/>
      <c r="E2967" s="56" t="n"/>
      <c r="F2967" s="57" t="n"/>
      <c r="G2967" s="57" t="n"/>
      <c r="H2967" s="56" t="n"/>
      <c r="I2967" s="56" t="n"/>
      <c r="J2967" s="58" t="n"/>
      <c r="K2967" s="58" t="n"/>
      <c r="L2967" s="13">
        <f>IF(OR($A2967="",AND($J2967="",$K2967="")),"",ROUND(N($J2967)-N($K2967),2))</f>
        <v/>
      </c>
      <c r="M2967" s="13">
        <f>IF(OR($A2967="",AND($J2967="",$K2967="")),"",MIN($J2967,$K2967))</f>
        <v/>
      </c>
      <c r="Q2967">
        <f>IF($A2967="","",$D2967&amp;"("&amp;SUBSTITUTE($E2967," ","")&amp;")")</f>
        <v/>
      </c>
      <c r="R2967">
        <f>IF($A2967="","",$B2967&amp;" - "&amp;$C2967)</f>
        <v/>
      </c>
      <c r="S2967">
        <f>IF($A2967="","",$R2967&amp;"|"&amp;$Q2967)</f>
        <v/>
      </c>
      <c r="T2967">
        <f>IF($A2967="","",$S2967&amp;"|"&amp;$F2967)</f>
        <v/>
      </c>
      <c r="U2967">
        <f>IF($A2967="","",$R2967&amp;"("&amp;$E2967&amp;")")</f>
        <v/>
      </c>
      <c r="V2967">
        <f>IF($A2967="","",$F2967&amp;"|"&amp;$U2967&amp;"|"&amp;$D2967)</f>
        <v/>
      </c>
      <c r="W2967">
        <f>IF($T2967="","",IF($X2967&gt;N($X2966),$X2967,""))</f>
        <v/>
      </c>
      <c r="X2967">
        <f>IF($T2967="",N($X2966),IF(MATCH($T2967,$T$6:$T$6005,0)=ROW()-5,N($X2966)+1,N($X2966)))</f>
        <v/>
      </c>
      <c r="Z2967">
        <f>IF($V2967="","",IF($AA2967&gt;N($AA2966),$AA2967,""))</f>
        <v/>
      </c>
      <c r="AA2967">
        <f>IF($V2967="",N($AA2966),IF(MATCH($V2967,$V$6:$V$6005,0)=ROW()-5,N($AA2966)+1,N($AA2966)))</f>
        <v/>
      </c>
    </row>
    <row r="2968" ht="21" customHeight="1" s="66">
      <c r="A2968" s="56" t="n"/>
      <c r="B2968" s="57" t="n"/>
      <c r="C2968" s="57" t="n"/>
      <c r="D2968" s="57" t="n"/>
      <c r="E2968" s="56" t="n"/>
      <c r="F2968" s="57" t="n"/>
      <c r="G2968" s="57" t="n"/>
      <c r="H2968" s="56" t="n"/>
      <c r="I2968" s="56" t="n"/>
      <c r="J2968" s="58" t="n"/>
      <c r="K2968" s="58" t="n"/>
      <c r="L2968" s="13">
        <f>IF(OR($A2968="",AND($J2968="",$K2968="")),"",ROUND(N($J2968)-N($K2968),2))</f>
        <v/>
      </c>
      <c r="M2968" s="13">
        <f>IF(OR($A2968="",AND($J2968="",$K2968="")),"",MIN($J2968,$K2968))</f>
        <v/>
      </c>
      <c r="Q2968">
        <f>IF($A2968="","",$D2968&amp;"("&amp;SUBSTITUTE($E2968," ","")&amp;")")</f>
        <v/>
      </c>
      <c r="R2968">
        <f>IF($A2968="","",$B2968&amp;" - "&amp;$C2968)</f>
        <v/>
      </c>
      <c r="S2968">
        <f>IF($A2968="","",$R2968&amp;"|"&amp;$Q2968)</f>
        <v/>
      </c>
      <c r="T2968">
        <f>IF($A2968="","",$S2968&amp;"|"&amp;$F2968)</f>
        <v/>
      </c>
      <c r="U2968">
        <f>IF($A2968="","",$R2968&amp;"("&amp;$E2968&amp;")")</f>
        <v/>
      </c>
      <c r="V2968">
        <f>IF($A2968="","",$F2968&amp;"|"&amp;$U2968&amp;"|"&amp;$D2968)</f>
        <v/>
      </c>
      <c r="W2968">
        <f>IF($T2968="","",IF($X2968&gt;N($X2967),$X2968,""))</f>
        <v/>
      </c>
      <c r="X2968">
        <f>IF($T2968="",N($X2967),IF(MATCH($T2968,$T$6:$T$6005,0)=ROW()-5,N($X2967)+1,N($X2967)))</f>
        <v/>
      </c>
      <c r="Z2968">
        <f>IF($V2968="","",IF($AA2968&gt;N($AA2967),$AA2968,""))</f>
        <v/>
      </c>
      <c r="AA2968">
        <f>IF($V2968="",N($AA2967),IF(MATCH($V2968,$V$6:$V$6005,0)=ROW()-5,N($AA2967)+1,N($AA2967)))</f>
        <v/>
      </c>
    </row>
    <row r="2969" ht="21" customHeight="1" s="66">
      <c r="A2969" s="56" t="n"/>
      <c r="B2969" s="57" t="n"/>
      <c r="C2969" s="57" t="n"/>
      <c r="D2969" s="57" t="n"/>
      <c r="E2969" s="56" t="n"/>
      <c r="F2969" s="57" t="n"/>
      <c r="G2969" s="57" t="n"/>
      <c r="H2969" s="56" t="n"/>
      <c r="I2969" s="56" t="n"/>
      <c r="J2969" s="58" t="n"/>
      <c r="K2969" s="58" t="n"/>
      <c r="L2969" s="13">
        <f>IF(OR($A2969="",AND($J2969="",$K2969="")),"",ROUND(N($J2969)-N($K2969),2))</f>
        <v/>
      </c>
      <c r="M2969" s="13">
        <f>IF(OR($A2969="",AND($J2969="",$K2969="")),"",MIN($J2969,$K2969))</f>
        <v/>
      </c>
      <c r="Q2969">
        <f>IF($A2969="","",$D2969&amp;"("&amp;SUBSTITUTE($E2969," ","")&amp;")")</f>
        <v/>
      </c>
      <c r="R2969">
        <f>IF($A2969="","",$B2969&amp;" - "&amp;$C2969)</f>
        <v/>
      </c>
      <c r="S2969">
        <f>IF($A2969="","",$R2969&amp;"|"&amp;$Q2969)</f>
        <v/>
      </c>
      <c r="T2969">
        <f>IF($A2969="","",$S2969&amp;"|"&amp;$F2969)</f>
        <v/>
      </c>
      <c r="U2969">
        <f>IF($A2969="","",$R2969&amp;"("&amp;$E2969&amp;")")</f>
        <v/>
      </c>
      <c r="V2969">
        <f>IF($A2969="","",$F2969&amp;"|"&amp;$U2969&amp;"|"&amp;$D2969)</f>
        <v/>
      </c>
      <c r="W2969">
        <f>IF($T2969="","",IF($X2969&gt;N($X2968),$X2969,""))</f>
        <v/>
      </c>
      <c r="X2969">
        <f>IF($T2969="",N($X2968),IF(MATCH($T2969,$T$6:$T$6005,0)=ROW()-5,N($X2968)+1,N($X2968)))</f>
        <v/>
      </c>
      <c r="Z2969">
        <f>IF($V2969="","",IF($AA2969&gt;N($AA2968),$AA2969,""))</f>
        <v/>
      </c>
      <c r="AA2969">
        <f>IF($V2969="",N($AA2968),IF(MATCH($V2969,$V$6:$V$6005,0)=ROW()-5,N($AA2968)+1,N($AA2968)))</f>
        <v/>
      </c>
    </row>
    <row r="2970" ht="21" customHeight="1" s="66">
      <c r="A2970" s="56" t="n"/>
      <c r="B2970" s="57" t="n"/>
      <c r="C2970" s="57" t="n"/>
      <c r="D2970" s="57" t="n"/>
      <c r="E2970" s="56" t="n"/>
      <c r="F2970" s="57" t="n"/>
      <c r="G2970" s="57" t="n"/>
      <c r="H2970" s="56" t="n"/>
      <c r="I2970" s="56" t="n"/>
      <c r="J2970" s="58" t="n"/>
      <c r="K2970" s="58" t="n"/>
      <c r="L2970" s="13">
        <f>IF(OR($A2970="",AND($J2970="",$K2970="")),"",ROUND(N($J2970)-N($K2970),2))</f>
        <v/>
      </c>
      <c r="M2970" s="13">
        <f>IF(OR($A2970="",AND($J2970="",$K2970="")),"",MIN($J2970,$K2970))</f>
        <v/>
      </c>
      <c r="Q2970">
        <f>IF($A2970="","",$D2970&amp;"("&amp;SUBSTITUTE($E2970," ","")&amp;")")</f>
        <v/>
      </c>
      <c r="R2970">
        <f>IF($A2970="","",$B2970&amp;" - "&amp;$C2970)</f>
        <v/>
      </c>
      <c r="S2970">
        <f>IF($A2970="","",$R2970&amp;"|"&amp;$Q2970)</f>
        <v/>
      </c>
      <c r="T2970">
        <f>IF($A2970="","",$S2970&amp;"|"&amp;$F2970)</f>
        <v/>
      </c>
      <c r="U2970">
        <f>IF($A2970="","",$R2970&amp;"("&amp;$E2970&amp;")")</f>
        <v/>
      </c>
      <c r="V2970">
        <f>IF($A2970="","",$F2970&amp;"|"&amp;$U2970&amp;"|"&amp;$D2970)</f>
        <v/>
      </c>
      <c r="W2970">
        <f>IF($T2970="","",IF($X2970&gt;N($X2969),$X2970,""))</f>
        <v/>
      </c>
      <c r="X2970">
        <f>IF($T2970="",N($X2969),IF(MATCH($T2970,$T$6:$T$6005,0)=ROW()-5,N($X2969)+1,N($X2969)))</f>
        <v/>
      </c>
      <c r="Z2970">
        <f>IF($V2970="","",IF($AA2970&gt;N($AA2969),$AA2970,""))</f>
        <v/>
      </c>
      <c r="AA2970">
        <f>IF($V2970="",N($AA2969),IF(MATCH($V2970,$V$6:$V$6005,0)=ROW()-5,N($AA2969)+1,N($AA2969)))</f>
        <v/>
      </c>
    </row>
    <row r="2971" ht="21" customHeight="1" s="66">
      <c r="A2971" s="56" t="n"/>
      <c r="B2971" s="57" t="n"/>
      <c r="C2971" s="57" t="n"/>
      <c r="D2971" s="57" t="n"/>
      <c r="E2971" s="56" t="n"/>
      <c r="F2971" s="57" t="n"/>
      <c r="G2971" s="57" t="n"/>
      <c r="H2971" s="56" t="n"/>
      <c r="I2971" s="56" t="n"/>
      <c r="J2971" s="58" t="n"/>
      <c r="K2971" s="58" t="n"/>
      <c r="L2971" s="13">
        <f>IF(OR($A2971="",AND($J2971="",$K2971="")),"",ROUND(N($J2971)-N($K2971),2))</f>
        <v/>
      </c>
      <c r="M2971" s="13">
        <f>IF(OR($A2971="",AND($J2971="",$K2971="")),"",MIN($J2971,$K2971))</f>
        <v/>
      </c>
      <c r="Q2971">
        <f>IF($A2971="","",$D2971&amp;"("&amp;SUBSTITUTE($E2971," ","")&amp;")")</f>
        <v/>
      </c>
      <c r="R2971">
        <f>IF($A2971="","",$B2971&amp;" - "&amp;$C2971)</f>
        <v/>
      </c>
      <c r="S2971">
        <f>IF($A2971="","",$R2971&amp;"|"&amp;$Q2971)</f>
        <v/>
      </c>
      <c r="T2971">
        <f>IF($A2971="","",$S2971&amp;"|"&amp;$F2971)</f>
        <v/>
      </c>
      <c r="U2971">
        <f>IF($A2971="","",$R2971&amp;"("&amp;$E2971&amp;")")</f>
        <v/>
      </c>
      <c r="V2971">
        <f>IF($A2971="","",$F2971&amp;"|"&amp;$U2971&amp;"|"&amp;$D2971)</f>
        <v/>
      </c>
      <c r="W2971">
        <f>IF($T2971="","",IF($X2971&gt;N($X2970),$X2971,""))</f>
        <v/>
      </c>
      <c r="X2971">
        <f>IF($T2971="",N($X2970),IF(MATCH($T2971,$T$6:$T$6005,0)=ROW()-5,N($X2970)+1,N($X2970)))</f>
        <v/>
      </c>
      <c r="Z2971">
        <f>IF($V2971="","",IF($AA2971&gt;N($AA2970),$AA2971,""))</f>
        <v/>
      </c>
      <c r="AA2971">
        <f>IF($V2971="",N($AA2970),IF(MATCH($V2971,$V$6:$V$6005,0)=ROW()-5,N($AA2970)+1,N($AA2970)))</f>
        <v/>
      </c>
    </row>
    <row r="2972" ht="21" customHeight="1" s="66">
      <c r="A2972" s="56" t="n"/>
      <c r="B2972" s="57" t="n"/>
      <c r="C2972" s="57" t="n"/>
      <c r="D2972" s="57" t="n"/>
      <c r="E2972" s="56" t="n"/>
      <c r="F2972" s="57" t="n"/>
      <c r="G2972" s="57" t="n"/>
      <c r="H2972" s="56" t="n"/>
      <c r="I2972" s="56" t="n"/>
      <c r="J2972" s="58" t="n"/>
      <c r="K2972" s="58" t="n"/>
      <c r="L2972" s="13">
        <f>IF(OR($A2972="",AND($J2972="",$K2972="")),"",ROUND(N($J2972)-N($K2972),2))</f>
        <v/>
      </c>
      <c r="M2972" s="13">
        <f>IF(OR($A2972="",AND($J2972="",$K2972="")),"",MIN($J2972,$K2972))</f>
        <v/>
      </c>
      <c r="Q2972">
        <f>IF($A2972="","",$D2972&amp;"("&amp;SUBSTITUTE($E2972," ","")&amp;")")</f>
        <v/>
      </c>
      <c r="R2972">
        <f>IF($A2972="","",$B2972&amp;" - "&amp;$C2972)</f>
        <v/>
      </c>
      <c r="S2972">
        <f>IF($A2972="","",$R2972&amp;"|"&amp;$Q2972)</f>
        <v/>
      </c>
      <c r="T2972">
        <f>IF($A2972="","",$S2972&amp;"|"&amp;$F2972)</f>
        <v/>
      </c>
      <c r="U2972">
        <f>IF($A2972="","",$R2972&amp;"("&amp;$E2972&amp;")")</f>
        <v/>
      </c>
      <c r="V2972">
        <f>IF($A2972="","",$F2972&amp;"|"&amp;$U2972&amp;"|"&amp;$D2972)</f>
        <v/>
      </c>
      <c r="W2972">
        <f>IF($T2972="","",IF($X2972&gt;N($X2971),$X2972,""))</f>
        <v/>
      </c>
      <c r="X2972">
        <f>IF($T2972="",N($X2971),IF(MATCH($T2972,$T$6:$T$6005,0)=ROW()-5,N($X2971)+1,N($X2971)))</f>
        <v/>
      </c>
      <c r="Z2972">
        <f>IF($V2972="","",IF($AA2972&gt;N($AA2971),$AA2972,""))</f>
        <v/>
      </c>
      <c r="AA2972">
        <f>IF($V2972="",N($AA2971),IF(MATCH($V2972,$V$6:$V$6005,0)=ROW()-5,N($AA2971)+1,N($AA2971)))</f>
        <v/>
      </c>
    </row>
    <row r="2973" ht="21" customHeight="1" s="66">
      <c r="A2973" s="56" t="n"/>
      <c r="B2973" s="57" t="n"/>
      <c r="C2973" s="57" t="n"/>
      <c r="D2973" s="57" t="n"/>
      <c r="E2973" s="56" t="n"/>
      <c r="F2973" s="57" t="n"/>
      <c r="G2973" s="57" t="n"/>
      <c r="H2973" s="56" t="n"/>
      <c r="I2973" s="56" t="n"/>
      <c r="J2973" s="58" t="n"/>
      <c r="K2973" s="58" t="n"/>
      <c r="L2973" s="13">
        <f>IF(OR($A2973="",AND($J2973="",$K2973="")),"",ROUND(N($J2973)-N($K2973),2))</f>
        <v/>
      </c>
      <c r="M2973" s="13">
        <f>IF(OR($A2973="",AND($J2973="",$K2973="")),"",MIN($J2973,$K2973))</f>
        <v/>
      </c>
      <c r="Q2973">
        <f>IF($A2973="","",$D2973&amp;"("&amp;SUBSTITUTE($E2973," ","")&amp;")")</f>
        <v/>
      </c>
      <c r="R2973">
        <f>IF($A2973="","",$B2973&amp;" - "&amp;$C2973)</f>
        <v/>
      </c>
      <c r="S2973">
        <f>IF($A2973="","",$R2973&amp;"|"&amp;$Q2973)</f>
        <v/>
      </c>
      <c r="T2973">
        <f>IF($A2973="","",$S2973&amp;"|"&amp;$F2973)</f>
        <v/>
      </c>
      <c r="U2973">
        <f>IF($A2973="","",$R2973&amp;"("&amp;$E2973&amp;")")</f>
        <v/>
      </c>
      <c r="V2973">
        <f>IF($A2973="","",$F2973&amp;"|"&amp;$U2973&amp;"|"&amp;$D2973)</f>
        <v/>
      </c>
      <c r="W2973">
        <f>IF($T2973="","",IF($X2973&gt;N($X2972),$X2973,""))</f>
        <v/>
      </c>
      <c r="X2973">
        <f>IF($T2973="",N($X2972),IF(MATCH($T2973,$T$6:$T$6005,0)=ROW()-5,N($X2972)+1,N($X2972)))</f>
        <v/>
      </c>
      <c r="Z2973">
        <f>IF($V2973="","",IF($AA2973&gt;N($AA2972),$AA2973,""))</f>
        <v/>
      </c>
      <c r="AA2973">
        <f>IF($V2973="",N($AA2972),IF(MATCH($V2973,$V$6:$V$6005,0)=ROW()-5,N($AA2972)+1,N($AA2972)))</f>
        <v/>
      </c>
    </row>
    <row r="2974" ht="21" customHeight="1" s="66">
      <c r="A2974" s="56" t="n"/>
      <c r="B2974" s="57" t="n"/>
      <c r="C2974" s="57" t="n"/>
      <c r="D2974" s="57" t="n"/>
      <c r="E2974" s="56" t="n"/>
      <c r="F2974" s="57" t="n"/>
      <c r="G2974" s="57" t="n"/>
      <c r="H2974" s="56" t="n"/>
      <c r="I2974" s="56" t="n"/>
      <c r="J2974" s="58" t="n"/>
      <c r="K2974" s="58" t="n"/>
      <c r="L2974" s="13">
        <f>IF(OR($A2974="",AND($J2974="",$K2974="")),"",ROUND(N($J2974)-N($K2974),2))</f>
        <v/>
      </c>
      <c r="M2974" s="13">
        <f>IF(OR($A2974="",AND($J2974="",$K2974="")),"",MIN($J2974,$K2974))</f>
        <v/>
      </c>
      <c r="Q2974">
        <f>IF($A2974="","",$D2974&amp;"("&amp;SUBSTITUTE($E2974," ","")&amp;")")</f>
        <v/>
      </c>
      <c r="R2974">
        <f>IF($A2974="","",$B2974&amp;" - "&amp;$C2974)</f>
        <v/>
      </c>
      <c r="S2974">
        <f>IF($A2974="","",$R2974&amp;"|"&amp;$Q2974)</f>
        <v/>
      </c>
      <c r="T2974">
        <f>IF($A2974="","",$S2974&amp;"|"&amp;$F2974)</f>
        <v/>
      </c>
      <c r="U2974">
        <f>IF($A2974="","",$R2974&amp;"("&amp;$E2974&amp;")")</f>
        <v/>
      </c>
      <c r="V2974">
        <f>IF($A2974="","",$F2974&amp;"|"&amp;$U2974&amp;"|"&amp;$D2974)</f>
        <v/>
      </c>
      <c r="W2974">
        <f>IF($T2974="","",IF($X2974&gt;N($X2973),$X2974,""))</f>
        <v/>
      </c>
      <c r="X2974">
        <f>IF($T2974="",N($X2973),IF(MATCH($T2974,$T$6:$T$6005,0)=ROW()-5,N($X2973)+1,N($X2973)))</f>
        <v/>
      </c>
      <c r="Z2974">
        <f>IF($V2974="","",IF($AA2974&gt;N($AA2973),$AA2974,""))</f>
        <v/>
      </c>
      <c r="AA2974">
        <f>IF($V2974="",N($AA2973),IF(MATCH($V2974,$V$6:$V$6005,0)=ROW()-5,N($AA2973)+1,N($AA2973)))</f>
        <v/>
      </c>
    </row>
    <row r="2975" ht="21" customHeight="1" s="66">
      <c r="A2975" s="56" t="n"/>
      <c r="B2975" s="57" t="n"/>
      <c r="C2975" s="57" t="n"/>
      <c r="D2975" s="57" t="n"/>
      <c r="E2975" s="56" t="n"/>
      <c r="F2975" s="57" t="n"/>
      <c r="G2975" s="57" t="n"/>
      <c r="H2975" s="56" t="n"/>
      <c r="I2975" s="56" t="n"/>
      <c r="J2975" s="58" t="n"/>
      <c r="K2975" s="58" t="n"/>
      <c r="L2975" s="13">
        <f>IF(OR($A2975="",AND($J2975="",$K2975="")),"",ROUND(N($J2975)-N($K2975),2))</f>
        <v/>
      </c>
      <c r="M2975" s="13">
        <f>IF(OR($A2975="",AND($J2975="",$K2975="")),"",MIN($J2975,$K2975))</f>
        <v/>
      </c>
      <c r="Q2975">
        <f>IF($A2975="","",$D2975&amp;"("&amp;SUBSTITUTE($E2975," ","")&amp;")")</f>
        <v/>
      </c>
      <c r="R2975">
        <f>IF($A2975="","",$B2975&amp;" - "&amp;$C2975)</f>
        <v/>
      </c>
      <c r="S2975">
        <f>IF($A2975="","",$R2975&amp;"|"&amp;$Q2975)</f>
        <v/>
      </c>
      <c r="T2975">
        <f>IF($A2975="","",$S2975&amp;"|"&amp;$F2975)</f>
        <v/>
      </c>
      <c r="U2975">
        <f>IF($A2975="","",$R2975&amp;"("&amp;$E2975&amp;")")</f>
        <v/>
      </c>
      <c r="V2975">
        <f>IF($A2975="","",$F2975&amp;"|"&amp;$U2975&amp;"|"&amp;$D2975)</f>
        <v/>
      </c>
      <c r="W2975">
        <f>IF($T2975="","",IF($X2975&gt;N($X2974),$X2975,""))</f>
        <v/>
      </c>
      <c r="X2975">
        <f>IF($T2975="",N($X2974),IF(MATCH($T2975,$T$6:$T$6005,0)=ROW()-5,N($X2974)+1,N($X2974)))</f>
        <v/>
      </c>
      <c r="Z2975">
        <f>IF($V2975="","",IF($AA2975&gt;N($AA2974),$AA2975,""))</f>
        <v/>
      </c>
      <c r="AA2975">
        <f>IF($V2975="",N($AA2974),IF(MATCH($V2975,$V$6:$V$6005,0)=ROW()-5,N($AA2974)+1,N($AA2974)))</f>
        <v/>
      </c>
    </row>
    <row r="2976" ht="21" customHeight="1" s="66">
      <c r="A2976" s="56" t="n"/>
      <c r="B2976" s="57" t="n"/>
      <c r="C2976" s="57" t="n"/>
      <c r="D2976" s="57" t="n"/>
      <c r="E2976" s="56" t="n"/>
      <c r="F2976" s="57" t="n"/>
      <c r="G2976" s="57" t="n"/>
      <c r="H2976" s="56" t="n"/>
      <c r="I2976" s="56" t="n"/>
      <c r="J2976" s="58" t="n"/>
      <c r="K2976" s="58" t="n"/>
      <c r="L2976" s="13">
        <f>IF(OR($A2976="",AND($J2976="",$K2976="")),"",ROUND(N($J2976)-N($K2976),2))</f>
        <v/>
      </c>
      <c r="M2976" s="13">
        <f>IF(OR($A2976="",AND($J2976="",$K2976="")),"",MIN($J2976,$K2976))</f>
        <v/>
      </c>
      <c r="Q2976">
        <f>IF($A2976="","",$D2976&amp;"("&amp;SUBSTITUTE($E2976," ","")&amp;")")</f>
        <v/>
      </c>
      <c r="R2976">
        <f>IF($A2976="","",$B2976&amp;" - "&amp;$C2976)</f>
        <v/>
      </c>
      <c r="S2976">
        <f>IF($A2976="","",$R2976&amp;"|"&amp;$Q2976)</f>
        <v/>
      </c>
      <c r="T2976">
        <f>IF($A2976="","",$S2976&amp;"|"&amp;$F2976)</f>
        <v/>
      </c>
      <c r="U2976">
        <f>IF($A2976="","",$R2976&amp;"("&amp;$E2976&amp;")")</f>
        <v/>
      </c>
      <c r="V2976">
        <f>IF($A2976="","",$F2976&amp;"|"&amp;$U2976&amp;"|"&amp;$D2976)</f>
        <v/>
      </c>
      <c r="W2976">
        <f>IF($T2976="","",IF($X2976&gt;N($X2975),$X2976,""))</f>
        <v/>
      </c>
      <c r="X2976">
        <f>IF($T2976="",N($X2975),IF(MATCH($T2976,$T$6:$T$6005,0)=ROW()-5,N($X2975)+1,N($X2975)))</f>
        <v/>
      </c>
      <c r="Z2976">
        <f>IF($V2976="","",IF($AA2976&gt;N($AA2975),$AA2976,""))</f>
        <v/>
      </c>
      <c r="AA2976">
        <f>IF($V2976="",N($AA2975),IF(MATCH($V2976,$V$6:$V$6005,0)=ROW()-5,N($AA2975)+1,N($AA2975)))</f>
        <v/>
      </c>
    </row>
    <row r="2977" ht="21" customHeight="1" s="66">
      <c r="A2977" s="56" t="n"/>
      <c r="B2977" s="57" t="n"/>
      <c r="C2977" s="57" t="n"/>
      <c r="D2977" s="57" t="n"/>
      <c r="E2977" s="56" t="n"/>
      <c r="F2977" s="57" t="n"/>
      <c r="G2977" s="57" t="n"/>
      <c r="H2977" s="56" t="n"/>
      <c r="I2977" s="56" t="n"/>
      <c r="J2977" s="58" t="n"/>
      <c r="K2977" s="58" t="n"/>
      <c r="L2977" s="13">
        <f>IF(OR($A2977="",AND($J2977="",$K2977="")),"",ROUND(N($J2977)-N($K2977),2))</f>
        <v/>
      </c>
      <c r="M2977" s="13">
        <f>IF(OR($A2977="",AND($J2977="",$K2977="")),"",MIN($J2977,$K2977))</f>
        <v/>
      </c>
      <c r="Q2977">
        <f>IF($A2977="","",$D2977&amp;"("&amp;SUBSTITUTE($E2977," ","")&amp;")")</f>
        <v/>
      </c>
      <c r="R2977">
        <f>IF($A2977="","",$B2977&amp;" - "&amp;$C2977)</f>
        <v/>
      </c>
      <c r="S2977">
        <f>IF($A2977="","",$R2977&amp;"|"&amp;$Q2977)</f>
        <v/>
      </c>
      <c r="T2977">
        <f>IF($A2977="","",$S2977&amp;"|"&amp;$F2977)</f>
        <v/>
      </c>
      <c r="U2977">
        <f>IF($A2977="","",$R2977&amp;"("&amp;$E2977&amp;")")</f>
        <v/>
      </c>
      <c r="V2977">
        <f>IF($A2977="","",$F2977&amp;"|"&amp;$U2977&amp;"|"&amp;$D2977)</f>
        <v/>
      </c>
      <c r="W2977">
        <f>IF($T2977="","",IF($X2977&gt;N($X2976),$X2977,""))</f>
        <v/>
      </c>
      <c r="X2977">
        <f>IF($T2977="",N($X2976),IF(MATCH($T2977,$T$6:$T$6005,0)=ROW()-5,N($X2976)+1,N($X2976)))</f>
        <v/>
      </c>
      <c r="Z2977">
        <f>IF($V2977="","",IF($AA2977&gt;N($AA2976),$AA2977,""))</f>
        <v/>
      </c>
      <c r="AA2977">
        <f>IF($V2977="",N($AA2976),IF(MATCH($V2977,$V$6:$V$6005,0)=ROW()-5,N($AA2976)+1,N($AA2976)))</f>
        <v/>
      </c>
    </row>
    <row r="2978" ht="21" customHeight="1" s="66">
      <c r="A2978" s="56" t="n"/>
      <c r="B2978" s="57" t="n"/>
      <c r="C2978" s="57" t="n"/>
      <c r="D2978" s="57" t="n"/>
      <c r="E2978" s="56" t="n"/>
      <c r="F2978" s="57" t="n"/>
      <c r="G2978" s="57" t="n"/>
      <c r="H2978" s="56" t="n"/>
      <c r="I2978" s="56" t="n"/>
      <c r="J2978" s="58" t="n"/>
      <c r="K2978" s="58" t="n"/>
      <c r="L2978" s="13">
        <f>IF(OR($A2978="",AND($J2978="",$K2978="")),"",ROUND(N($J2978)-N($K2978),2))</f>
        <v/>
      </c>
      <c r="M2978" s="13">
        <f>IF(OR($A2978="",AND($J2978="",$K2978="")),"",MIN($J2978,$K2978))</f>
        <v/>
      </c>
      <c r="Q2978">
        <f>IF($A2978="","",$D2978&amp;"("&amp;SUBSTITUTE($E2978," ","")&amp;")")</f>
        <v/>
      </c>
      <c r="R2978">
        <f>IF($A2978="","",$B2978&amp;" - "&amp;$C2978)</f>
        <v/>
      </c>
      <c r="S2978">
        <f>IF($A2978="","",$R2978&amp;"|"&amp;$Q2978)</f>
        <v/>
      </c>
      <c r="T2978">
        <f>IF($A2978="","",$S2978&amp;"|"&amp;$F2978)</f>
        <v/>
      </c>
      <c r="U2978">
        <f>IF($A2978="","",$R2978&amp;"("&amp;$E2978&amp;")")</f>
        <v/>
      </c>
      <c r="V2978">
        <f>IF($A2978="","",$F2978&amp;"|"&amp;$U2978&amp;"|"&amp;$D2978)</f>
        <v/>
      </c>
      <c r="W2978">
        <f>IF($T2978="","",IF($X2978&gt;N($X2977),$X2978,""))</f>
        <v/>
      </c>
      <c r="X2978">
        <f>IF($T2978="",N($X2977),IF(MATCH($T2978,$T$6:$T$6005,0)=ROW()-5,N($X2977)+1,N($X2977)))</f>
        <v/>
      </c>
      <c r="Z2978">
        <f>IF($V2978="","",IF($AA2978&gt;N($AA2977),$AA2978,""))</f>
        <v/>
      </c>
      <c r="AA2978">
        <f>IF($V2978="",N($AA2977),IF(MATCH($V2978,$V$6:$V$6005,0)=ROW()-5,N($AA2977)+1,N($AA2977)))</f>
        <v/>
      </c>
    </row>
    <row r="2979" ht="21" customHeight="1" s="66">
      <c r="A2979" s="56" t="n"/>
      <c r="B2979" s="57" t="n"/>
      <c r="C2979" s="57" t="n"/>
      <c r="D2979" s="57" t="n"/>
      <c r="E2979" s="56" t="n"/>
      <c r="F2979" s="57" t="n"/>
      <c r="G2979" s="57" t="n"/>
      <c r="H2979" s="56" t="n"/>
      <c r="I2979" s="56" t="n"/>
      <c r="J2979" s="58" t="n"/>
      <c r="K2979" s="58" t="n"/>
      <c r="L2979" s="13">
        <f>IF(OR($A2979="",AND($J2979="",$K2979="")),"",ROUND(N($J2979)-N($K2979),2))</f>
        <v/>
      </c>
      <c r="M2979" s="13">
        <f>IF(OR($A2979="",AND($J2979="",$K2979="")),"",MIN($J2979,$K2979))</f>
        <v/>
      </c>
      <c r="Q2979">
        <f>IF($A2979="","",$D2979&amp;"("&amp;SUBSTITUTE($E2979," ","")&amp;")")</f>
        <v/>
      </c>
      <c r="R2979">
        <f>IF($A2979="","",$B2979&amp;" - "&amp;$C2979)</f>
        <v/>
      </c>
      <c r="S2979">
        <f>IF($A2979="","",$R2979&amp;"|"&amp;$Q2979)</f>
        <v/>
      </c>
      <c r="T2979">
        <f>IF($A2979="","",$S2979&amp;"|"&amp;$F2979)</f>
        <v/>
      </c>
      <c r="U2979">
        <f>IF($A2979="","",$R2979&amp;"("&amp;$E2979&amp;")")</f>
        <v/>
      </c>
      <c r="V2979">
        <f>IF($A2979="","",$F2979&amp;"|"&amp;$U2979&amp;"|"&amp;$D2979)</f>
        <v/>
      </c>
      <c r="W2979">
        <f>IF($T2979="","",IF($X2979&gt;N($X2978),$X2979,""))</f>
        <v/>
      </c>
      <c r="X2979">
        <f>IF($T2979="",N($X2978),IF(MATCH($T2979,$T$6:$T$6005,0)=ROW()-5,N($X2978)+1,N($X2978)))</f>
        <v/>
      </c>
      <c r="Z2979">
        <f>IF($V2979="","",IF($AA2979&gt;N($AA2978),$AA2979,""))</f>
        <v/>
      </c>
      <c r="AA2979">
        <f>IF($V2979="",N($AA2978),IF(MATCH($V2979,$V$6:$V$6005,0)=ROW()-5,N($AA2978)+1,N($AA2978)))</f>
        <v/>
      </c>
    </row>
    <row r="2980" ht="21" customHeight="1" s="66">
      <c r="A2980" s="56" t="n"/>
      <c r="B2980" s="57" t="n"/>
      <c r="C2980" s="57" t="n"/>
      <c r="D2980" s="57" t="n"/>
      <c r="E2980" s="56" t="n"/>
      <c r="F2980" s="57" t="n"/>
      <c r="G2980" s="57" t="n"/>
      <c r="H2980" s="56" t="n"/>
      <c r="I2980" s="56" t="n"/>
      <c r="J2980" s="58" t="n"/>
      <c r="K2980" s="58" t="n"/>
      <c r="L2980" s="13">
        <f>IF(OR($A2980="",AND($J2980="",$K2980="")),"",ROUND(N($J2980)-N($K2980),2))</f>
        <v/>
      </c>
      <c r="M2980" s="13">
        <f>IF(OR($A2980="",AND($J2980="",$K2980="")),"",MIN($J2980,$K2980))</f>
        <v/>
      </c>
      <c r="Q2980">
        <f>IF($A2980="","",$D2980&amp;"("&amp;SUBSTITUTE($E2980," ","")&amp;")")</f>
        <v/>
      </c>
      <c r="R2980">
        <f>IF($A2980="","",$B2980&amp;" - "&amp;$C2980)</f>
        <v/>
      </c>
      <c r="S2980">
        <f>IF($A2980="","",$R2980&amp;"|"&amp;$Q2980)</f>
        <v/>
      </c>
      <c r="T2980">
        <f>IF($A2980="","",$S2980&amp;"|"&amp;$F2980)</f>
        <v/>
      </c>
      <c r="U2980">
        <f>IF($A2980="","",$R2980&amp;"("&amp;$E2980&amp;")")</f>
        <v/>
      </c>
      <c r="V2980">
        <f>IF($A2980="","",$F2980&amp;"|"&amp;$U2980&amp;"|"&amp;$D2980)</f>
        <v/>
      </c>
      <c r="W2980">
        <f>IF($T2980="","",IF($X2980&gt;N($X2979),$X2980,""))</f>
        <v/>
      </c>
      <c r="X2980">
        <f>IF($T2980="",N($X2979),IF(MATCH($T2980,$T$6:$T$6005,0)=ROW()-5,N($X2979)+1,N($X2979)))</f>
        <v/>
      </c>
      <c r="Z2980">
        <f>IF($V2980="","",IF($AA2980&gt;N($AA2979),$AA2980,""))</f>
        <v/>
      </c>
      <c r="AA2980">
        <f>IF($V2980="",N($AA2979),IF(MATCH($V2980,$V$6:$V$6005,0)=ROW()-5,N($AA2979)+1,N($AA2979)))</f>
        <v/>
      </c>
    </row>
    <row r="2981" ht="21" customHeight="1" s="66">
      <c r="A2981" s="56" t="n"/>
      <c r="B2981" s="57" t="n"/>
      <c r="C2981" s="57" t="n"/>
      <c r="D2981" s="57" t="n"/>
      <c r="E2981" s="56" t="n"/>
      <c r="F2981" s="57" t="n"/>
      <c r="G2981" s="57" t="n"/>
      <c r="H2981" s="56" t="n"/>
      <c r="I2981" s="56" t="n"/>
      <c r="J2981" s="58" t="n"/>
      <c r="K2981" s="58" t="n"/>
      <c r="L2981" s="13">
        <f>IF(OR($A2981="",AND($J2981="",$K2981="")),"",ROUND(N($J2981)-N($K2981),2))</f>
        <v/>
      </c>
      <c r="M2981" s="13">
        <f>IF(OR($A2981="",AND($J2981="",$K2981="")),"",MIN($J2981,$K2981))</f>
        <v/>
      </c>
      <c r="Q2981">
        <f>IF($A2981="","",$D2981&amp;"("&amp;SUBSTITUTE($E2981," ","")&amp;")")</f>
        <v/>
      </c>
      <c r="R2981">
        <f>IF($A2981="","",$B2981&amp;" - "&amp;$C2981)</f>
        <v/>
      </c>
      <c r="S2981">
        <f>IF($A2981="","",$R2981&amp;"|"&amp;$Q2981)</f>
        <v/>
      </c>
      <c r="T2981">
        <f>IF($A2981="","",$S2981&amp;"|"&amp;$F2981)</f>
        <v/>
      </c>
      <c r="U2981">
        <f>IF($A2981="","",$R2981&amp;"("&amp;$E2981&amp;")")</f>
        <v/>
      </c>
      <c r="V2981">
        <f>IF($A2981="","",$F2981&amp;"|"&amp;$U2981&amp;"|"&amp;$D2981)</f>
        <v/>
      </c>
      <c r="W2981">
        <f>IF($T2981="","",IF($X2981&gt;N($X2980),$X2981,""))</f>
        <v/>
      </c>
      <c r="X2981">
        <f>IF($T2981="",N($X2980),IF(MATCH($T2981,$T$6:$T$6005,0)=ROW()-5,N($X2980)+1,N($X2980)))</f>
        <v/>
      </c>
      <c r="Z2981">
        <f>IF($V2981="","",IF($AA2981&gt;N($AA2980),$AA2981,""))</f>
        <v/>
      </c>
      <c r="AA2981">
        <f>IF($V2981="",N($AA2980),IF(MATCH($V2981,$V$6:$V$6005,0)=ROW()-5,N($AA2980)+1,N($AA2980)))</f>
        <v/>
      </c>
    </row>
    <row r="2982" ht="21" customHeight="1" s="66">
      <c r="A2982" s="56" t="n"/>
      <c r="B2982" s="57" t="n"/>
      <c r="C2982" s="57" t="n"/>
      <c r="D2982" s="57" t="n"/>
      <c r="E2982" s="56" t="n"/>
      <c r="F2982" s="57" t="n"/>
      <c r="G2982" s="57" t="n"/>
      <c r="H2982" s="56" t="n"/>
      <c r="I2982" s="56" t="n"/>
      <c r="J2982" s="58" t="n"/>
      <c r="K2982" s="58" t="n"/>
      <c r="L2982" s="13">
        <f>IF(OR($A2982="",AND($J2982="",$K2982="")),"",ROUND(N($J2982)-N($K2982),2))</f>
        <v/>
      </c>
      <c r="M2982" s="13">
        <f>IF(OR($A2982="",AND($J2982="",$K2982="")),"",MIN($J2982,$K2982))</f>
        <v/>
      </c>
      <c r="Q2982">
        <f>IF($A2982="","",$D2982&amp;"("&amp;SUBSTITUTE($E2982," ","")&amp;")")</f>
        <v/>
      </c>
      <c r="R2982">
        <f>IF($A2982="","",$B2982&amp;" - "&amp;$C2982)</f>
        <v/>
      </c>
      <c r="S2982">
        <f>IF($A2982="","",$R2982&amp;"|"&amp;$Q2982)</f>
        <v/>
      </c>
      <c r="T2982">
        <f>IF($A2982="","",$S2982&amp;"|"&amp;$F2982)</f>
        <v/>
      </c>
      <c r="U2982">
        <f>IF($A2982="","",$R2982&amp;"("&amp;$E2982&amp;")")</f>
        <v/>
      </c>
      <c r="V2982">
        <f>IF($A2982="","",$F2982&amp;"|"&amp;$U2982&amp;"|"&amp;$D2982)</f>
        <v/>
      </c>
      <c r="W2982">
        <f>IF($T2982="","",IF($X2982&gt;N($X2981),$X2982,""))</f>
        <v/>
      </c>
      <c r="X2982">
        <f>IF($T2982="",N($X2981),IF(MATCH($T2982,$T$6:$T$6005,0)=ROW()-5,N($X2981)+1,N($X2981)))</f>
        <v/>
      </c>
      <c r="Z2982">
        <f>IF($V2982="","",IF($AA2982&gt;N($AA2981),$AA2982,""))</f>
        <v/>
      </c>
      <c r="AA2982">
        <f>IF($V2982="",N($AA2981),IF(MATCH($V2982,$V$6:$V$6005,0)=ROW()-5,N($AA2981)+1,N($AA2981)))</f>
        <v/>
      </c>
    </row>
    <row r="2983" ht="21" customHeight="1" s="66">
      <c r="A2983" s="56" t="n"/>
      <c r="B2983" s="57" t="n"/>
      <c r="C2983" s="57" t="n"/>
      <c r="D2983" s="57" t="n"/>
      <c r="E2983" s="56" t="n"/>
      <c r="F2983" s="57" t="n"/>
      <c r="G2983" s="57" t="n"/>
      <c r="H2983" s="56" t="n"/>
      <c r="I2983" s="56" t="n"/>
      <c r="J2983" s="58" t="n"/>
      <c r="K2983" s="58" t="n"/>
      <c r="L2983" s="13">
        <f>IF(OR($A2983="",AND($J2983="",$K2983="")),"",ROUND(N($J2983)-N($K2983),2))</f>
        <v/>
      </c>
      <c r="M2983" s="13">
        <f>IF(OR($A2983="",AND($J2983="",$K2983="")),"",MIN($J2983,$K2983))</f>
        <v/>
      </c>
      <c r="Q2983">
        <f>IF($A2983="","",$D2983&amp;"("&amp;SUBSTITUTE($E2983," ","")&amp;")")</f>
        <v/>
      </c>
      <c r="R2983">
        <f>IF($A2983="","",$B2983&amp;" - "&amp;$C2983)</f>
        <v/>
      </c>
      <c r="S2983">
        <f>IF($A2983="","",$R2983&amp;"|"&amp;$Q2983)</f>
        <v/>
      </c>
      <c r="T2983">
        <f>IF($A2983="","",$S2983&amp;"|"&amp;$F2983)</f>
        <v/>
      </c>
      <c r="U2983">
        <f>IF($A2983="","",$R2983&amp;"("&amp;$E2983&amp;")")</f>
        <v/>
      </c>
      <c r="V2983">
        <f>IF($A2983="","",$F2983&amp;"|"&amp;$U2983&amp;"|"&amp;$D2983)</f>
        <v/>
      </c>
      <c r="W2983">
        <f>IF($T2983="","",IF($X2983&gt;N($X2982),$X2983,""))</f>
        <v/>
      </c>
      <c r="X2983">
        <f>IF($T2983="",N($X2982),IF(MATCH($T2983,$T$6:$T$6005,0)=ROW()-5,N($X2982)+1,N($X2982)))</f>
        <v/>
      </c>
      <c r="Z2983">
        <f>IF($V2983="","",IF($AA2983&gt;N($AA2982),$AA2983,""))</f>
        <v/>
      </c>
      <c r="AA2983">
        <f>IF($V2983="",N($AA2982),IF(MATCH($V2983,$V$6:$V$6005,0)=ROW()-5,N($AA2982)+1,N($AA2982)))</f>
        <v/>
      </c>
    </row>
    <row r="2984" ht="21" customHeight="1" s="66">
      <c r="A2984" s="56" t="n"/>
      <c r="B2984" s="57" t="n"/>
      <c r="C2984" s="57" t="n"/>
      <c r="D2984" s="57" t="n"/>
      <c r="E2984" s="56" t="n"/>
      <c r="F2984" s="57" t="n"/>
      <c r="G2984" s="57" t="n"/>
      <c r="H2984" s="56" t="n"/>
      <c r="I2984" s="56" t="n"/>
      <c r="J2984" s="58" t="n"/>
      <c r="K2984" s="58" t="n"/>
      <c r="L2984" s="13">
        <f>IF(OR($A2984="",AND($J2984="",$K2984="")),"",ROUND(N($J2984)-N($K2984),2))</f>
        <v/>
      </c>
      <c r="M2984" s="13">
        <f>IF(OR($A2984="",AND($J2984="",$K2984="")),"",MIN($J2984,$K2984))</f>
        <v/>
      </c>
      <c r="Q2984">
        <f>IF($A2984="","",$D2984&amp;"("&amp;SUBSTITUTE($E2984," ","")&amp;")")</f>
        <v/>
      </c>
      <c r="R2984">
        <f>IF($A2984="","",$B2984&amp;" - "&amp;$C2984)</f>
        <v/>
      </c>
      <c r="S2984">
        <f>IF($A2984="","",$R2984&amp;"|"&amp;$Q2984)</f>
        <v/>
      </c>
      <c r="T2984">
        <f>IF($A2984="","",$S2984&amp;"|"&amp;$F2984)</f>
        <v/>
      </c>
      <c r="U2984">
        <f>IF($A2984="","",$R2984&amp;"("&amp;$E2984&amp;")")</f>
        <v/>
      </c>
      <c r="V2984">
        <f>IF($A2984="","",$F2984&amp;"|"&amp;$U2984&amp;"|"&amp;$D2984)</f>
        <v/>
      </c>
      <c r="W2984">
        <f>IF($T2984="","",IF($X2984&gt;N($X2983),$X2984,""))</f>
        <v/>
      </c>
      <c r="X2984">
        <f>IF($T2984="",N($X2983),IF(MATCH($T2984,$T$6:$T$6005,0)=ROW()-5,N($X2983)+1,N($X2983)))</f>
        <v/>
      </c>
      <c r="Z2984">
        <f>IF($V2984="","",IF($AA2984&gt;N($AA2983),$AA2984,""))</f>
        <v/>
      </c>
      <c r="AA2984">
        <f>IF($V2984="",N($AA2983),IF(MATCH($V2984,$V$6:$V$6005,0)=ROW()-5,N($AA2983)+1,N($AA2983)))</f>
        <v/>
      </c>
    </row>
    <row r="2985" ht="21" customHeight="1" s="66">
      <c r="A2985" s="56" t="n"/>
      <c r="B2985" s="57" t="n"/>
      <c r="C2985" s="57" t="n"/>
      <c r="D2985" s="57" t="n"/>
      <c r="E2985" s="56" t="n"/>
      <c r="F2985" s="57" t="n"/>
      <c r="G2985" s="57" t="n"/>
      <c r="H2985" s="56" t="n"/>
      <c r="I2985" s="56" t="n"/>
      <c r="J2985" s="58" t="n"/>
      <c r="K2985" s="58" t="n"/>
      <c r="L2985" s="13">
        <f>IF(OR($A2985="",AND($J2985="",$K2985="")),"",ROUND(N($J2985)-N($K2985),2))</f>
        <v/>
      </c>
      <c r="M2985" s="13">
        <f>IF(OR($A2985="",AND($J2985="",$K2985="")),"",MIN($J2985,$K2985))</f>
        <v/>
      </c>
      <c r="Q2985">
        <f>IF($A2985="","",$D2985&amp;"("&amp;SUBSTITUTE($E2985," ","")&amp;")")</f>
        <v/>
      </c>
      <c r="R2985">
        <f>IF($A2985="","",$B2985&amp;" - "&amp;$C2985)</f>
        <v/>
      </c>
      <c r="S2985">
        <f>IF($A2985="","",$R2985&amp;"|"&amp;$Q2985)</f>
        <v/>
      </c>
      <c r="T2985">
        <f>IF($A2985="","",$S2985&amp;"|"&amp;$F2985)</f>
        <v/>
      </c>
      <c r="U2985">
        <f>IF($A2985="","",$R2985&amp;"("&amp;$E2985&amp;")")</f>
        <v/>
      </c>
      <c r="V2985">
        <f>IF($A2985="","",$F2985&amp;"|"&amp;$U2985&amp;"|"&amp;$D2985)</f>
        <v/>
      </c>
      <c r="W2985">
        <f>IF($T2985="","",IF($X2985&gt;N($X2984),$X2985,""))</f>
        <v/>
      </c>
      <c r="X2985">
        <f>IF($T2985="",N($X2984),IF(MATCH($T2985,$T$6:$T$6005,0)=ROW()-5,N($X2984)+1,N($X2984)))</f>
        <v/>
      </c>
      <c r="Z2985">
        <f>IF($V2985="","",IF($AA2985&gt;N($AA2984),$AA2985,""))</f>
        <v/>
      </c>
      <c r="AA2985">
        <f>IF($V2985="",N($AA2984),IF(MATCH($V2985,$V$6:$V$6005,0)=ROW()-5,N($AA2984)+1,N($AA2984)))</f>
        <v/>
      </c>
    </row>
    <row r="2986" ht="21" customHeight="1" s="66">
      <c r="A2986" s="56" t="n"/>
      <c r="B2986" s="57" t="n"/>
      <c r="C2986" s="57" t="n"/>
      <c r="D2986" s="57" t="n"/>
      <c r="E2986" s="56" t="n"/>
      <c r="F2986" s="57" t="n"/>
      <c r="G2986" s="57" t="n"/>
      <c r="H2986" s="56" t="n"/>
      <c r="I2986" s="56" t="n"/>
      <c r="J2986" s="58" t="n"/>
      <c r="K2986" s="58" t="n"/>
      <c r="L2986" s="13">
        <f>IF(OR($A2986="",AND($J2986="",$K2986="")),"",ROUND(N($J2986)-N($K2986),2))</f>
        <v/>
      </c>
      <c r="M2986" s="13">
        <f>IF(OR($A2986="",AND($J2986="",$K2986="")),"",MIN($J2986,$K2986))</f>
        <v/>
      </c>
      <c r="Q2986">
        <f>IF($A2986="","",$D2986&amp;"("&amp;SUBSTITUTE($E2986," ","")&amp;")")</f>
        <v/>
      </c>
      <c r="R2986">
        <f>IF($A2986="","",$B2986&amp;" - "&amp;$C2986)</f>
        <v/>
      </c>
      <c r="S2986">
        <f>IF($A2986="","",$R2986&amp;"|"&amp;$Q2986)</f>
        <v/>
      </c>
      <c r="T2986">
        <f>IF($A2986="","",$S2986&amp;"|"&amp;$F2986)</f>
        <v/>
      </c>
      <c r="U2986">
        <f>IF($A2986="","",$R2986&amp;"("&amp;$E2986&amp;")")</f>
        <v/>
      </c>
      <c r="V2986">
        <f>IF($A2986="","",$F2986&amp;"|"&amp;$U2986&amp;"|"&amp;$D2986)</f>
        <v/>
      </c>
      <c r="W2986">
        <f>IF($T2986="","",IF($X2986&gt;N($X2985),$X2986,""))</f>
        <v/>
      </c>
      <c r="X2986">
        <f>IF($T2986="",N($X2985),IF(MATCH($T2986,$T$6:$T$6005,0)=ROW()-5,N($X2985)+1,N($X2985)))</f>
        <v/>
      </c>
      <c r="Z2986">
        <f>IF($V2986="","",IF($AA2986&gt;N($AA2985),$AA2986,""))</f>
        <v/>
      </c>
      <c r="AA2986">
        <f>IF($V2986="",N($AA2985),IF(MATCH($V2986,$V$6:$V$6005,0)=ROW()-5,N($AA2985)+1,N($AA2985)))</f>
        <v/>
      </c>
    </row>
    <row r="2987" ht="21" customHeight="1" s="66">
      <c r="A2987" s="56" t="n"/>
      <c r="B2987" s="57" t="n"/>
      <c r="C2987" s="57" t="n"/>
      <c r="D2987" s="57" t="n"/>
      <c r="E2987" s="56" t="n"/>
      <c r="F2987" s="57" t="n"/>
      <c r="G2987" s="57" t="n"/>
      <c r="H2987" s="56" t="n"/>
      <c r="I2987" s="56" t="n"/>
      <c r="J2987" s="58" t="n"/>
      <c r="K2987" s="58" t="n"/>
      <c r="L2987" s="13">
        <f>IF(OR($A2987="",AND($J2987="",$K2987="")),"",ROUND(N($J2987)-N($K2987),2))</f>
        <v/>
      </c>
      <c r="M2987" s="13">
        <f>IF(OR($A2987="",AND($J2987="",$K2987="")),"",MIN($J2987,$K2987))</f>
        <v/>
      </c>
      <c r="Q2987">
        <f>IF($A2987="","",$D2987&amp;"("&amp;SUBSTITUTE($E2987," ","")&amp;")")</f>
        <v/>
      </c>
      <c r="R2987">
        <f>IF($A2987="","",$B2987&amp;" - "&amp;$C2987)</f>
        <v/>
      </c>
      <c r="S2987">
        <f>IF($A2987="","",$R2987&amp;"|"&amp;$Q2987)</f>
        <v/>
      </c>
      <c r="T2987">
        <f>IF($A2987="","",$S2987&amp;"|"&amp;$F2987)</f>
        <v/>
      </c>
      <c r="U2987">
        <f>IF($A2987="","",$R2987&amp;"("&amp;$E2987&amp;")")</f>
        <v/>
      </c>
      <c r="V2987">
        <f>IF($A2987="","",$F2987&amp;"|"&amp;$U2987&amp;"|"&amp;$D2987)</f>
        <v/>
      </c>
      <c r="W2987">
        <f>IF($T2987="","",IF($X2987&gt;N($X2986),$X2987,""))</f>
        <v/>
      </c>
      <c r="X2987">
        <f>IF($T2987="",N($X2986),IF(MATCH($T2987,$T$6:$T$6005,0)=ROW()-5,N($X2986)+1,N($X2986)))</f>
        <v/>
      </c>
      <c r="Z2987">
        <f>IF($V2987="","",IF($AA2987&gt;N($AA2986),$AA2987,""))</f>
        <v/>
      </c>
      <c r="AA2987">
        <f>IF($V2987="",N($AA2986),IF(MATCH($V2987,$V$6:$V$6005,0)=ROW()-5,N($AA2986)+1,N($AA2986)))</f>
        <v/>
      </c>
    </row>
    <row r="2988" ht="21" customHeight="1" s="66">
      <c r="A2988" s="56" t="n"/>
      <c r="B2988" s="57" t="n"/>
      <c r="C2988" s="57" t="n"/>
      <c r="D2988" s="57" t="n"/>
      <c r="E2988" s="56" t="n"/>
      <c r="F2988" s="57" t="n"/>
      <c r="G2988" s="57" t="n"/>
      <c r="H2988" s="56" t="n"/>
      <c r="I2988" s="56" t="n"/>
      <c r="J2988" s="58" t="n"/>
      <c r="K2988" s="58" t="n"/>
      <c r="L2988" s="13">
        <f>IF(OR($A2988="",AND($J2988="",$K2988="")),"",ROUND(N($J2988)-N($K2988),2))</f>
        <v/>
      </c>
      <c r="M2988" s="13">
        <f>IF(OR($A2988="",AND($J2988="",$K2988="")),"",MIN($J2988,$K2988))</f>
        <v/>
      </c>
      <c r="Q2988">
        <f>IF($A2988="","",$D2988&amp;"("&amp;SUBSTITUTE($E2988," ","")&amp;")")</f>
        <v/>
      </c>
      <c r="R2988">
        <f>IF($A2988="","",$B2988&amp;" - "&amp;$C2988)</f>
        <v/>
      </c>
      <c r="S2988">
        <f>IF($A2988="","",$R2988&amp;"|"&amp;$Q2988)</f>
        <v/>
      </c>
      <c r="T2988">
        <f>IF($A2988="","",$S2988&amp;"|"&amp;$F2988)</f>
        <v/>
      </c>
      <c r="U2988">
        <f>IF($A2988="","",$R2988&amp;"("&amp;$E2988&amp;")")</f>
        <v/>
      </c>
      <c r="V2988">
        <f>IF($A2988="","",$F2988&amp;"|"&amp;$U2988&amp;"|"&amp;$D2988)</f>
        <v/>
      </c>
      <c r="W2988">
        <f>IF($T2988="","",IF($X2988&gt;N($X2987),$X2988,""))</f>
        <v/>
      </c>
      <c r="X2988">
        <f>IF($T2988="",N($X2987),IF(MATCH($T2988,$T$6:$T$6005,0)=ROW()-5,N($X2987)+1,N($X2987)))</f>
        <v/>
      </c>
      <c r="Z2988">
        <f>IF($V2988="","",IF($AA2988&gt;N($AA2987),$AA2988,""))</f>
        <v/>
      </c>
      <c r="AA2988">
        <f>IF($V2988="",N($AA2987),IF(MATCH($V2988,$V$6:$V$6005,0)=ROW()-5,N($AA2987)+1,N($AA2987)))</f>
        <v/>
      </c>
    </row>
    <row r="2989" ht="21" customHeight="1" s="66">
      <c r="A2989" s="56" t="n"/>
      <c r="B2989" s="57" t="n"/>
      <c r="C2989" s="57" t="n"/>
      <c r="D2989" s="57" t="n"/>
      <c r="E2989" s="56" t="n"/>
      <c r="F2989" s="57" t="n"/>
      <c r="G2989" s="57" t="n"/>
      <c r="H2989" s="56" t="n"/>
      <c r="I2989" s="56" t="n"/>
      <c r="J2989" s="58" t="n"/>
      <c r="K2989" s="58" t="n"/>
      <c r="L2989" s="13">
        <f>IF(OR($A2989="",AND($J2989="",$K2989="")),"",ROUND(N($J2989)-N($K2989),2))</f>
        <v/>
      </c>
      <c r="M2989" s="13">
        <f>IF(OR($A2989="",AND($J2989="",$K2989="")),"",MIN($J2989,$K2989))</f>
        <v/>
      </c>
      <c r="Q2989">
        <f>IF($A2989="","",$D2989&amp;"("&amp;SUBSTITUTE($E2989," ","")&amp;")")</f>
        <v/>
      </c>
      <c r="R2989">
        <f>IF($A2989="","",$B2989&amp;" - "&amp;$C2989)</f>
        <v/>
      </c>
      <c r="S2989">
        <f>IF($A2989="","",$R2989&amp;"|"&amp;$Q2989)</f>
        <v/>
      </c>
      <c r="T2989">
        <f>IF($A2989="","",$S2989&amp;"|"&amp;$F2989)</f>
        <v/>
      </c>
      <c r="U2989">
        <f>IF($A2989="","",$R2989&amp;"("&amp;$E2989&amp;")")</f>
        <v/>
      </c>
      <c r="V2989">
        <f>IF($A2989="","",$F2989&amp;"|"&amp;$U2989&amp;"|"&amp;$D2989)</f>
        <v/>
      </c>
      <c r="W2989">
        <f>IF($T2989="","",IF($X2989&gt;N($X2988),$X2989,""))</f>
        <v/>
      </c>
      <c r="X2989">
        <f>IF($T2989="",N($X2988),IF(MATCH($T2989,$T$6:$T$6005,0)=ROW()-5,N($X2988)+1,N($X2988)))</f>
        <v/>
      </c>
      <c r="Z2989">
        <f>IF($V2989="","",IF($AA2989&gt;N($AA2988),$AA2989,""))</f>
        <v/>
      </c>
      <c r="AA2989">
        <f>IF($V2989="",N($AA2988),IF(MATCH($V2989,$V$6:$V$6005,0)=ROW()-5,N($AA2988)+1,N($AA2988)))</f>
        <v/>
      </c>
    </row>
    <row r="2990" ht="21" customHeight="1" s="66">
      <c r="A2990" s="56" t="n"/>
      <c r="B2990" s="57" t="n"/>
      <c r="C2990" s="57" t="n"/>
      <c r="D2990" s="57" t="n"/>
      <c r="E2990" s="56" t="n"/>
      <c r="F2990" s="57" t="n"/>
      <c r="G2990" s="57" t="n"/>
      <c r="H2990" s="56" t="n"/>
      <c r="I2990" s="56" t="n"/>
      <c r="J2990" s="58" t="n"/>
      <c r="K2990" s="58" t="n"/>
      <c r="L2990" s="13">
        <f>IF(OR($A2990="",AND($J2990="",$K2990="")),"",ROUND(N($J2990)-N($K2990),2))</f>
        <v/>
      </c>
      <c r="M2990" s="13">
        <f>IF(OR($A2990="",AND($J2990="",$K2990="")),"",MIN($J2990,$K2990))</f>
        <v/>
      </c>
      <c r="Q2990">
        <f>IF($A2990="","",$D2990&amp;"("&amp;SUBSTITUTE($E2990," ","")&amp;")")</f>
        <v/>
      </c>
      <c r="R2990">
        <f>IF($A2990="","",$B2990&amp;" - "&amp;$C2990)</f>
        <v/>
      </c>
      <c r="S2990">
        <f>IF($A2990="","",$R2990&amp;"|"&amp;$Q2990)</f>
        <v/>
      </c>
      <c r="T2990">
        <f>IF($A2990="","",$S2990&amp;"|"&amp;$F2990)</f>
        <v/>
      </c>
      <c r="U2990">
        <f>IF($A2990="","",$R2990&amp;"("&amp;$E2990&amp;")")</f>
        <v/>
      </c>
      <c r="V2990">
        <f>IF($A2990="","",$F2990&amp;"|"&amp;$U2990&amp;"|"&amp;$D2990)</f>
        <v/>
      </c>
      <c r="W2990">
        <f>IF($T2990="","",IF($X2990&gt;N($X2989),$X2990,""))</f>
        <v/>
      </c>
      <c r="X2990">
        <f>IF($T2990="",N($X2989),IF(MATCH($T2990,$T$6:$T$6005,0)=ROW()-5,N($X2989)+1,N($X2989)))</f>
        <v/>
      </c>
      <c r="Z2990">
        <f>IF($V2990="","",IF($AA2990&gt;N($AA2989),$AA2990,""))</f>
        <v/>
      </c>
      <c r="AA2990">
        <f>IF($V2990="",N($AA2989),IF(MATCH($V2990,$V$6:$V$6005,0)=ROW()-5,N($AA2989)+1,N($AA2989)))</f>
        <v/>
      </c>
    </row>
    <row r="2991" ht="21" customHeight="1" s="66">
      <c r="A2991" s="56" t="n"/>
      <c r="B2991" s="57" t="n"/>
      <c r="C2991" s="57" t="n"/>
      <c r="D2991" s="57" t="n"/>
      <c r="E2991" s="56" t="n"/>
      <c r="F2991" s="57" t="n"/>
      <c r="G2991" s="57" t="n"/>
      <c r="H2991" s="56" t="n"/>
      <c r="I2991" s="56" t="n"/>
      <c r="J2991" s="58" t="n"/>
      <c r="K2991" s="58" t="n"/>
      <c r="L2991" s="13">
        <f>IF(OR($A2991="",AND($J2991="",$K2991="")),"",ROUND(N($J2991)-N($K2991),2))</f>
        <v/>
      </c>
      <c r="M2991" s="13">
        <f>IF(OR($A2991="",AND($J2991="",$K2991="")),"",MIN($J2991,$K2991))</f>
        <v/>
      </c>
      <c r="Q2991">
        <f>IF($A2991="","",$D2991&amp;"("&amp;SUBSTITUTE($E2991," ","")&amp;")")</f>
        <v/>
      </c>
      <c r="R2991">
        <f>IF($A2991="","",$B2991&amp;" - "&amp;$C2991)</f>
        <v/>
      </c>
      <c r="S2991">
        <f>IF($A2991="","",$R2991&amp;"|"&amp;$Q2991)</f>
        <v/>
      </c>
      <c r="T2991">
        <f>IF($A2991="","",$S2991&amp;"|"&amp;$F2991)</f>
        <v/>
      </c>
      <c r="U2991">
        <f>IF($A2991="","",$R2991&amp;"("&amp;$E2991&amp;")")</f>
        <v/>
      </c>
      <c r="V2991">
        <f>IF($A2991="","",$F2991&amp;"|"&amp;$U2991&amp;"|"&amp;$D2991)</f>
        <v/>
      </c>
      <c r="W2991">
        <f>IF($T2991="","",IF($X2991&gt;N($X2990),$X2991,""))</f>
        <v/>
      </c>
      <c r="X2991">
        <f>IF($T2991="",N($X2990),IF(MATCH($T2991,$T$6:$T$6005,0)=ROW()-5,N($X2990)+1,N($X2990)))</f>
        <v/>
      </c>
      <c r="Z2991">
        <f>IF($V2991="","",IF($AA2991&gt;N($AA2990),$AA2991,""))</f>
        <v/>
      </c>
      <c r="AA2991">
        <f>IF($V2991="",N($AA2990),IF(MATCH($V2991,$V$6:$V$6005,0)=ROW()-5,N($AA2990)+1,N($AA2990)))</f>
        <v/>
      </c>
    </row>
    <row r="2992" ht="21" customHeight="1" s="66">
      <c r="A2992" s="56" t="n"/>
      <c r="B2992" s="57" t="n"/>
      <c r="C2992" s="57" t="n"/>
      <c r="D2992" s="57" t="n"/>
      <c r="E2992" s="56" t="n"/>
      <c r="F2992" s="57" t="n"/>
      <c r="G2992" s="57" t="n"/>
      <c r="H2992" s="56" t="n"/>
      <c r="I2992" s="56" t="n"/>
      <c r="J2992" s="58" t="n"/>
      <c r="K2992" s="58" t="n"/>
      <c r="L2992" s="13">
        <f>IF(OR($A2992="",AND($J2992="",$K2992="")),"",ROUND(N($J2992)-N($K2992),2))</f>
        <v/>
      </c>
      <c r="M2992" s="13">
        <f>IF(OR($A2992="",AND($J2992="",$K2992="")),"",MIN($J2992,$K2992))</f>
        <v/>
      </c>
      <c r="Q2992">
        <f>IF($A2992="","",$D2992&amp;"("&amp;SUBSTITUTE($E2992," ","")&amp;")")</f>
        <v/>
      </c>
      <c r="R2992">
        <f>IF($A2992="","",$B2992&amp;" - "&amp;$C2992)</f>
        <v/>
      </c>
      <c r="S2992">
        <f>IF($A2992="","",$R2992&amp;"|"&amp;$Q2992)</f>
        <v/>
      </c>
      <c r="T2992">
        <f>IF($A2992="","",$S2992&amp;"|"&amp;$F2992)</f>
        <v/>
      </c>
      <c r="U2992">
        <f>IF($A2992="","",$R2992&amp;"("&amp;$E2992&amp;")")</f>
        <v/>
      </c>
      <c r="V2992">
        <f>IF($A2992="","",$F2992&amp;"|"&amp;$U2992&amp;"|"&amp;$D2992)</f>
        <v/>
      </c>
      <c r="W2992">
        <f>IF($T2992="","",IF($X2992&gt;N($X2991),$X2992,""))</f>
        <v/>
      </c>
      <c r="X2992">
        <f>IF($T2992="",N($X2991),IF(MATCH($T2992,$T$6:$T$6005,0)=ROW()-5,N($X2991)+1,N($X2991)))</f>
        <v/>
      </c>
      <c r="Z2992">
        <f>IF($V2992="","",IF($AA2992&gt;N($AA2991),$AA2992,""))</f>
        <v/>
      </c>
      <c r="AA2992">
        <f>IF($V2992="",N($AA2991),IF(MATCH($V2992,$V$6:$V$6005,0)=ROW()-5,N($AA2991)+1,N($AA2991)))</f>
        <v/>
      </c>
    </row>
    <row r="2993" ht="21" customHeight="1" s="66">
      <c r="A2993" s="56" t="n"/>
      <c r="B2993" s="57" t="n"/>
      <c r="C2993" s="57" t="n"/>
      <c r="D2993" s="57" t="n"/>
      <c r="E2993" s="56" t="n"/>
      <c r="F2993" s="57" t="n"/>
      <c r="G2993" s="57" t="n"/>
      <c r="H2993" s="56" t="n"/>
      <c r="I2993" s="56" t="n"/>
      <c r="J2993" s="58" t="n"/>
      <c r="K2993" s="58" t="n"/>
      <c r="L2993" s="13">
        <f>IF(OR($A2993="",AND($J2993="",$K2993="")),"",ROUND(N($J2993)-N($K2993),2))</f>
        <v/>
      </c>
      <c r="M2993" s="13">
        <f>IF(OR($A2993="",AND($J2993="",$K2993="")),"",MIN($J2993,$K2993))</f>
        <v/>
      </c>
      <c r="Q2993">
        <f>IF($A2993="","",$D2993&amp;"("&amp;SUBSTITUTE($E2993," ","")&amp;")")</f>
        <v/>
      </c>
      <c r="R2993">
        <f>IF($A2993="","",$B2993&amp;" - "&amp;$C2993)</f>
        <v/>
      </c>
      <c r="S2993">
        <f>IF($A2993="","",$R2993&amp;"|"&amp;$Q2993)</f>
        <v/>
      </c>
      <c r="T2993">
        <f>IF($A2993="","",$S2993&amp;"|"&amp;$F2993)</f>
        <v/>
      </c>
      <c r="U2993">
        <f>IF($A2993="","",$R2993&amp;"("&amp;$E2993&amp;")")</f>
        <v/>
      </c>
      <c r="V2993">
        <f>IF($A2993="","",$F2993&amp;"|"&amp;$U2993&amp;"|"&amp;$D2993)</f>
        <v/>
      </c>
      <c r="W2993">
        <f>IF($T2993="","",IF($X2993&gt;N($X2992),$X2993,""))</f>
        <v/>
      </c>
      <c r="X2993">
        <f>IF($T2993="",N($X2992),IF(MATCH($T2993,$T$6:$T$6005,0)=ROW()-5,N($X2992)+1,N($X2992)))</f>
        <v/>
      </c>
      <c r="Z2993">
        <f>IF($V2993="","",IF($AA2993&gt;N($AA2992),$AA2993,""))</f>
        <v/>
      </c>
      <c r="AA2993">
        <f>IF($V2993="",N($AA2992),IF(MATCH($V2993,$V$6:$V$6005,0)=ROW()-5,N($AA2992)+1,N($AA2992)))</f>
        <v/>
      </c>
    </row>
    <row r="2994" ht="21" customHeight="1" s="66">
      <c r="A2994" s="56" t="n"/>
      <c r="B2994" s="57" t="n"/>
      <c r="C2994" s="57" t="n"/>
      <c r="D2994" s="57" t="n"/>
      <c r="E2994" s="56" t="n"/>
      <c r="F2994" s="57" t="n"/>
      <c r="G2994" s="57" t="n"/>
      <c r="H2994" s="56" t="n"/>
      <c r="I2994" s="56" t="n"/>
      <c r="J2994" s="58" t="n"/>
      <c r="K2994" s="58" t="n"/>
      <c r="L2994" s="13">
        <f>IF(OR($A2994="",AND($J2994="",$K2994="")),"",ROUND(N($J2994)-N($K2994),2))</f>
        <v/>
      </c>
      <c r="M2994" s="13">
        <f>IF(OR($A2994="",AND($J2994="",$K2994="")),"",MIN($J2994,$K2994))</f>
        <v/>
      </c>
      <c r="Q2994">
        <f>IF($A2994="","",$D2994&amp;"("&amp;SUBSTITUTE($E2994," ","")&amp;")")</f>
        <v/>
      </c>
      <c r="R2994">
        <f>IF($A2994="","",$B2994&amp;" - "&amp;$C2994)</f>
        <v/>
      </c>
      <c r="S2994">
        <f>IF($A2994="","",$R2994&amp;"|"&amp;$Q2994)</f>
        <v/>
      </c>
      <c r="T2994">
        <f>IF($A2994="","",$S2994&amp;"|"&amp;$F2994)</f>
        <v/>
      </c>
      <c r="U2994">
        <f>IF($A2994="","",$R2994&amp;"("&amp;$E2994&amp;")")</f>
        <v/>
      </c>
      <c r="V2994">
        <f>IF($A2994="","",$F2994&amp;"|"&amp;$U2994&amp;"|"&amp;$D2994)</f>
        <v/>
      </c>
      <c r="W2994">
        <f>IF($T2994="","",IF($X2994&gt;N($X2993),$X2994,""))</f>
        <v/>
      </c>
      <c r="X2994">
        <f>IF($T2994="",N($X2993),IF(MATCH($T2994,$T$6:$T$6005,0)=ROW()-5,N($X2993)+1,N($X2993)))</f>
        <v/>
      </c>
      <c r="Z2994">
        <f>IF($V2994="","",IF($AA2994&gt;N($AA2993),$AA2994,""))</f>
        <v/>
      </c>
      <c r="AA2994">
        <f>IF($V2994="",N($AA2993),IF(MATCH($V2994,$V$6:$V$6005,0)=ROW()-5,N($AA2993)+1,N($AA2993)))</f>
        <v/>
      </c>
    </row>
    <row r="2995" ht="21" customHeight="1" s="66">
      <c r="A2995" s="56" t="n"/>
      <c r="B2995" s="57" t="n"/>
      <c r="C2995" s="57" t="n"/>
      <c r="D2995" s="57" t="n"/>
      <c r="E2995" s="56" t="n"/>
      <c r="F2995" s="57" t="n"/>
      <c r="G2995" s="57" t="n"/>
      <c r="H2995" s="56" t="n"/>
      <c r="I2995" s="56" t="n"/>
      <c r="J2995" s="58" t="n"/>
      <c r="K2995" s="58" t="n"/>
      <c r="L2995" s="13">
        <f>IF(OR($A2995="",AND($J2995="",$K2995="")),"",ROUND(N($J2995)-N($K2995),2))</f>
        <v/>
      </c>
      <c r="M2995" s="13">
        <f>IF(OR($A2995="",AND($J2995="",$K2995="")),"",MIN($J2995,$K2995))</f>
        <v/>
      </c>
      <c r="Q2995">
        <f>IF($A2995="","",$D2995&amp;"("&amp;SUBSTITUTE($E2995," ","")&amp;")")</f>
        <v/>
      </c>
      <c r="R2995">
        <f>IF($A2995="","",$B2995&amp;" - "&amp;$C2995)</f>
        <v/>
      </c>
      <c r="S2995">
        <f>IF($A2995="","",$R2995&amp;"|"&amp;$Q2995)</f>
        <v/>
      </c>
      <c r="T2995">
        <f>IF($A2995="","",$S2995&amp;"|"&amp;$F2995)</f>
        <v/>
      </c>
      <c r="U2995">
        <f>IF($A2995="","",$R2995&amp;"("&amp;$E2995&amp;")")</f>
        <v/>
      </c>
      <c r="V2995">
        <f>IF($A2995="","",$F2995&amp;"|"&amp;$U2995&amp;"|"&amp;$D2995)</f>
        <v/>
      </c>
      <c r="W2995">
        <f>IF($T2995="","",IF($X2995&gt;N($X2994),$X2995,""))</f>
        <v/>
      </c>
      <c r="X2995">
        <f>IF($T2995="",N($X2994),IF(MATCH($T2995,$T$6:$T$6005,0)=ROW()-5,N($X2994)+1,N($X2994)))</f>
        <v/>
      </c>
      <c r="Z2995">
        <f>IF($V2995="","",IF($AA2995&gt;N($AA2994),$AA2995,""))</f>
        <v/>
      </c>
      <c r="AA2995">
        <f>IF($V2995="",N($AA2994),IF(MATCH($V2995,$V$6:$V$6005,0)=ROW()-5,N($AA2994)+1,N($AA2994)))</f>
        <v/>
      </c>
    </row>
    <row r="2996" ht="21" customHeight="1" s="66">
      <c r="A2996" s="56" t="n"/>
      <c r="B2996" s="57" t="n"/>
      <c r="C2996" s="57" t="n"/>
      <c r="D2996" s="57" t="n"/>
      <c r="E2996" s="56" t="n"/>
      <c r="F2996" s="57" t="n"/>
      <c r="G2996" s="57" t="n"/>
      <c r="H2996" s="56" t="n"/>
      <c r="I2996" s="56" t="n"/>
      <c r="J2996" s="58" t="n"/>
      <c r="K2996" s="58" t="n"/>
      <c r="L2996" s="13">
        <f>IF(OR($A2996="",AND($J2996="",$K2996="")),"",ROUND(N($J2996)-N($K2996),2))</f>
        <v/>
      </c>
      <c r="M2996" s="13">
        <f>IF(OR($A2996="",AND($J2996="",$K2996="")),"",MIN($J2996,$K2996))</f>
        <v/>
      </c>
      <c r="Q2996">
        <f>IF($A2996="","",$D2996&amp;"("&amp;SUBSTITUTE($E2996," ","")&amp;")")</f>
        <v/>
      </c>
      <c r="R2996">
        <f>IF($A2996="","",$B2996&amp;" - "&amp;$C2996)</f>
        <v/>
      </c>
      <c r="S2996">
        <f>IF($A2996="","",$R2996&amp;"|"&amp;$Q2996)</f>
        <v/>
      </c>
      <c r="T2996">
        <f>IF($A2996="","",$S2996&amp;"|"&amp;$F2996)</f>
        <v/>
      </c>
      <c r="U2996">
        <f>IF($A2996="","",$R2996&amp;"("&amp;$E2996&amp;")")</f>
        <v/>
      </c>
      <c r="V2996">
        <f>IF($A2996="","",$F2996&amp;"|"&amp;$U2996&amp;"|"&amp;$D2996)</f>
        <v/>
      </c>
      <c r="W2996">
        <f>IF($T2996="","",IF($X2996&gt;N($X2995),$X2996,""))</f>
        <v/>
      </c>
      <c r="X2996">
        <f>IF($T2996="",N($X2995),IF(MATCH($T2996,$T$6:$T$6005,0)=ROW()-5,N($X2995)+1,N($X2995)))</f>
        <v/>
      </c>
      <c r="Z2996">
        <f>IF($V2996="","",IF($AA2996&gt;N($AA2995),$AA2996,""))</f>
        <v/>
      </c>
      <c r="AA2996">
        <f>IF($V2996="",N($AA2995),IF(MATCH($V2996,$V$6:$V$6005,0)=ROW()-5,N($AA2995)+1,N($AA2995)))</f>
        <v/>
      </c>
    </row>
    <row r="2997" ht="21" customHeight="1" s="66">
      <c r="A2997" s="56" t="n"/>
      <c r="B2997" s="57" t="n"/>
      <c r="C2997" s="57" t="n"/>
      <c r="D2997" s="57" t="n"/>
      <c r="E2997" s="56" t="n"/>
      <c r="F2997" s="57" t="n"/>
      <c r="G2997" s="57" t="n"/>
      <c r="H2997" s="56" t="n"/>
      <c r="I2997" s="56" t="n"/>
      <c r="J2997" s="58" t="n"/>
      <c r="K2997" s="58" t="n"/>
      <c r="L2997" s="13">
        <f>IF(OR($A2997="",AND($J2997="",$K2997="")),"",ROUND(N($J2997)-N($K2997),2))</f>
        <v/>
      </c>
      <c r="M2997" s="13">
        <f>IF(OR($A2997="",AND($J2997="",$K2997="")),"",MIN($J2997,$K2997))</f>
        <v/>
      </c>
      <c r="Q2997">
        <f>IF($A2997="","",$D2997&amp;"("&amp;SUBSTITUTE($E2997," ","")&amp;")")</f>
        <v/>
      </c>
      <c r="R2997">
        <f>IF($A2997="","",$B2997&amp;" - "&amp;$C2997)</f>
        <v/>
      </c>
      <c r="S2997">
        <f>IF($A2997="","",$R2997&amp;"|"&amp;$Q2997)</f>
        <v/>
      </c>
      <c r="T2997">
        <f>IF($A2997="","",$S2997&amp;"|"&amp;$F2997)</f>
        <v/>
      </c>
      <c r="U2997">
        <f>IF($A2997="","",$R2997&amp;"("&amp;$E2997&amp;")")</f>
        <v/>
      </c>
      <c r="V2997">
        <f>IF($A2997="","",$F2997&amp;"|"&amp;$U2997&amp;"|"&amp;$D2997)</f>
        <v/>
      </c>
      <c r="W2997">
        <f>IF($T2997="","",IF($X2997&gt;N($X2996),$X2997,""))</f>
        <v/>
      </c>
      <c r="X2997">
        <f>IF($T2997="",N($X2996),IF(MATCH($T2997,$T$6:$T$6005,0)=ROW()-5,N($X2996)+1,N($X2996)))</f>
        <v/>
      </c>
      <c r="Z2997">
        <f>IF($V2997="","",IF($AA2997&gt;N($AA2996),$AA2997,""))</f>
        <v/>
      </c>
      <c r="AA2997">
        <f>IF($V2997="",N($AA2996),IF(MATCH($V2997,$V$6:$V$6005,0)=ROW()-5,N($AA2996)+1,N($AA2996)))</f>
        <v/>
      </c>
    </row>
    <row r="2998" ht="21" customHeight="1" s="66">
      <c r="A2998" s="56" t="n"/>
      <c r="B2998" s="57" t="n"/>
      <c r="C2998" s="57" t="n"/>
      <c r="D2998" s="57" t="n"/>
      <c r="E2998" s="56" t="n"/>
      <c r="F2998" s="57" t="n"/>
      <c r="G2998" s="57" t="n"/>
      <c r="H2998" s="56" t="n"/>
      <c r="I2998" s="56" t="n"/>
      <c r="J2998" s="58" t="n"/>
      <c r="K2998" s="58" t="n"/>
      <c r="L2998" s="13">
        <f>IF(OR($A2998="",AND($J2998="",$K2998="")),"",ROUND(N($J2998)-N($K2998),2))</f>
        <v/>
      </c>
      <c r="M2998" s="13">
        <f>IF(OR($A2998="",AND($J2998="",$K2998="")),"",MIN($J2998,$K2998))</f>
        <v/>
      </c>
      <c r="Q2998">
        <f>IF($A2998="","",$D2998&amp;"("&amp;SUBSTITUTE($E2998," ","")&amp;")")</f>
        <v/>
      </c>
      <c r="R2998">
        <f>IF($A2998="","",$B2998&amp;" - "&amp;$C2998)</f>
        <v/>
      </c>
      <c r="S2998">
        <f>IF($A2998="","",$R2998&amp;"|"&amp;$Q2998)</f>
        <v/>
      </c>
      <c r="T2998">
        <f>IF($A2998="","",$S2998&amp;"|"&amp;$F2998)</f>
        <v/>
      </c>
      <c r="U2998">
        <f>IF($A2998="","",$R2998&amp;"("&amp;$E2998&amp;")")</f>
        <v/>
      </c>
      <c r="V2998">
        <f>IF($A2998="","",$F2998&amp;"|"&amp;$U2998&amp;"|"&amp;$D2998)</f>
        <v/>
      </c>
      <c r="W2998">
        <f>IF($T2998="","",IF($X2998&gt;N($X2997),$X2998,""))</f>
        <v/>
      </c>
      <c r="X2998">
        <f>IF($T2998="",N($X2997),IF(MATCH($T2998,$T$6:$T$6005,0)=ROW()-5,N($X2997)+1,N($X2997)))</f>
        <v/>
      </c>
      <c r="Z2998">
        <f>IF($V2998="","",IF($AA2998&gt;N($AA2997),$AA2998,""))</f>
        <v/>
      </c>
      <c r="AA2998">
        <f>IF($V2998="",N($AA2997),IF(MATCH($V2998,$V$6:$V$6005,0)=ROW()-5,N($AA2997)+1,N($AA2997)))</f>
        <v/>
      </c>
    </row>
    <row r="2999" ht="21" customHeight="1" s="66">
      <c r="A2999" s="56" t="n"/>
      <c r="B2999" s="57" t="n"/>
      <c r="C2999" s="57" t="n"/>
      <c r="D2999" s="57" t="n"/>
      <c r="E2999" s="56" t="n"/>
      <c r="F2999" s="57" t="n"/>
      <c r="G2999" s="57" t="n"/>
      <c r="H2999" s="56" t="n"/>
      <c r="I2999" s="56" t="n"/>
      <c r="J2999" s="58" t="n"/>
      <c r="K2999" s="58" t="n"/>
      <c r="L2999" s="13">
        <f>IF(OR($A2999="",AND($J2999="",$K2999="")),"",ROUND(N($J2999)-N($K2999),2))</f>
        <v/>
      </c>
      <c r="M2999" s="13">
        <f>IF(OR($A2999="",AND($J2999="",$K2999="")),"",MIN($J2999,$K2999))</f>
        <v/>
      </c>
      <c r="Q2999">
        <f>IF($A2999="","",$D2999&amp;"("&amp;SUBSTITUTE($E2999," ","")&amp;")")</f>
        <v/>
      </c>
      <c r="R2999">
        <f>IF($A2999="","",$B2999&amp;" - "&amp;$C2999)</f>
        <v/>
      </c>
      <c r="S2999">
        <f>IF($A2999="","",$R2999&amp;"|"&amp;$Q2999)</f>
        <v/>
      </c>
      <c r="T2999">
        <f>IF($A2999="","",$S2999&amp;"|"&amp;$F2999)</f>
        <v/>
      </c>
      <c r="U2999">
        <f>IF($A2999="","",$R2999&amp;"("&amp;$E2999&amp;")")</f>
        <v/>
      </c>
      <c r="V2999">
        <f>IF($A2999="","",$F2999&amp;"|"&amp;$U2999&amp;"|"&amp;$D2999)</f>
        <v/>
      </c>
      <c r="W2999">
        <f>IF($T2999="","",IF($X2999&gt;N($X2998),$X2999,""))</f>
        <v/>
      </c>
      <c r="X2999">
        <f>IF($T2999="",N($X2998),IF(MATCH($T2999,$T$6:$T$6005,0)=ROW()-5,N($X2998)+1,N($X2998)))</f>
        <v/>
      </c>
      <c r="Z2999">
        <f>IF($V2999="","",IF($AA2999&gt;N($AA2998),$AA2999,""))</f>
        <v/>
      </c>
      <c r="AA2999">
        <f>IF($V2999="",N($AA2998),IF(MATCH($V2999,$V$6:$V$6005,0)=ROW()-5,N($AA2998)+1,N($AA2998)))</f>
        <v/>
      </c>
    </row>
    <row r="3000" ht="21" customHeight="1" s="66">
      <c r="A3000" s="56" t="n"/>
      <c r="B3000" s="57" t="n"/>
      <c r="C3000" s="57" t="n"/>
      <c r="D3000" s="57" t="n"/>
      <c r="E3000" s="56" t="n"/>
      <c r="F3000" s="57" t="n"/>
      <c r="G3000" s="57" t="n"/>
      <c r="H3000" s="56" t="n"/>
      <c r="I3000" s="56" t="n"/>
      <c r="J3000" s="58" t="n"/>
      <c r="K3000" s="58" t="n"/>
      <c r="L3000" s="13">
        <f>IF(OR($A3000="",AND($J3000="",$K3000="")),"",ROUND(N($J3000)-N($K3000),2))</f>
        <v/>
      </c>
      <c r="M3000" s="13">
        <f>IF(OR($A3000="",AND($J3000="",$K3000="")),"",MIN($J3000,$K3000))</f>
        <v/>
      </c>
      <c r="Q3000">
        <f>IF($A3000="","",$D3000&amp;"("&amp;SUBSTITUTE($E3000," ","")&amp;")")</f>
        <v/>
      </c>
      <c r="R3000">
        <f>IF($A3000="","",$B3000&amp;" - "&amp;$C3000)</f>
        <v/>
      </c>
      <c r="S3000">
        <f>IF($A3000="","",$R3000&amp;"|"&amp;$Q3000)</f>
        <v/>
      </c>
      <c r="T3000">
        <f>IF($A3000="","",$S3000&amp;"|"&amp;$F3000)</f>
        <v/>
      </c>
      <c r="U3000">
        <f>IF($A3000="","",$R3000&amp;"("&amp;$E3000&amp;")")</f>
        <v/>
      </c>
      <c r="V3000">
        <f>IF($A3000="","",$F3000&amp;"|"&amp;$U3000&amp;"|"&amp;$D3000)</f>
        <v/>
      </c>
      <c r="W3000">
        <f>IF($T3000="","",IF($X3000&gt;N($X2999),$X3000,""))</f>
        <v/>
      </c>
      <c r="X3000">
        <f>IF($T3000="",N($X2999),IF(MATCH($T3000,$T$6:$T$6005,0)=ROW()-5,N($X2999)+1,N($X2999)))</f>
        <v/>
      </c>
      <c r="Z3000">
        <f>IF($V3000="","",IF($AA3000&gt;N($AA2999),$AA3000,""))</f>
        <v/>
      </c>
      <c r="AA3000">
        <f>IF($V3000="",N($AA2999),IF(MATCH($V3000,$V$6:$V$6005,0)=ROW()-5,N($AA2999)+1,N($AA2999)))</f>
        <v/>
      </c>
    </row>
    <row r="3001" ht="21" customHeight="1" s="66">
      <c r="A3001" s="56" t="n"/>
      <c r="B3001" s="57" t="n"/>
      <c r="C3001" s="57" t="n"/>
      <c r="D3001" s="57" t="n"/>
      <c r="E3001" s="56" t="n"/>
      <c r="F3001" s="57" t="n"/>
      <c r="G3001" s="57" t="n"/>
      <c r="H3001" s="56" t="n"/>
      <c r="I3001" s="56" t="n"/>
      <c r="J3001" s="58" t="n"/>
      <c r="K3001" s="58" t="n"/>
      <c r="L3001" s="13">
        <f>IF(OR($A3001="",AND($J3001="",$K3001="")),"",ROUND(N($J3001)-N($K3001),2))</f>
        <v/>
      </c>
      <c r="M3001" s="13">
        <f>IF(OR($A3001="",AND($J3001="",$K3001="")),"",MIN($J3001,$K3001))</f>
        <v/>
      </c>
      <c r="Q3001">
        <f>IF($A3001="","",$D3001&amp;"("&amp;SUBSTITUTE($E3001," ","")&amp;")")</f>
        <v/>
      </c>
      <c r="R3001">
        <f>IF($A3001="","",$B3001&amp;" - "&amp;$C3001)</f>
        <v/>
      </c>
      <c r="S3001">
        <f>IF($A3001="","",$R3001&amp;"|"&amp;$Q3001)</f>
        <v/>
      </c>
      <c r="T3001">
        <f>IF($A3001="","",$S3001&amp;"|"&amp;$F3001)</f>
        <v/>
      </c>
      <c r="U3001">
        <f>IF($A3001="","",$R3001&amp;"("&amp;$E3001&amp;")")</f>
        <v/>
      </c>
      <c r="V3001">
        <f>IF($A3001="","",$F3001&amp;"|"&amp;$U3001&amp;"|"&amp;$D3001)</f>
        <v/>
      </c>
      <c r="W3001">
        <f>IF($T3001="","",IF($X3001&gt;N($X3000),$X3001,""))</f>
        <v/>
      </c>
      <c r="X3001">
        <f>IF($T3001="",N($X3000),IF(MATCH($T3001,$T$6:$T$6005,0)=ROW()-5,N($X3000)+1,N($X3000)))</f>
        <v/>
      </c>
      <c r="Z3001">
        <f>IF($V3001="","",IF($AA3001&gt;N($AA3000),$AA3001,""))</f>
        <v/>
      </c>
      <c r="AA3001">
        <f>IF($V3001="",N($AA3000),IF(MATCH($V3001,$V$6:$V$6005,0)=ROW()-5,N($AA3000)+1,N($AA3000)))</f>
        <v/>
      </c>
    </row>
    <row r="3002" ht="21" customHeight="1" s="66">
      <c r="A3002" s="56" t="n"/>
      <c r="B3002" s="57" t="n"/>
      <c r="C3002" s="57" t="n"/>
      <c r="D3002" s="57" t="n"/>
      <c r="E3002" s="56" t="n"/>
      <c r="F3002" s="57" t="n"/>
      <c r="G3002" s="57" t="n"/>
      <c r="H3002" s="56" t="n"/>
      <c r="I3002" s="56" t="n"/>
      <c r="J3002" s="58" t="n"/>
      <c r="K3002" s="58" t="n"/>
      <c r="L3002" s="13">
        <f>IF(OR($A3002="",AND($J3002="",$K3002="")),"",ROUND(N($J3002)-N($K3002),2))</f>
        <v/>
      </c>
      <c r="M3002" s="13">
        <f>IF(OR($A3002="",AND($J3002="",$K3002="")),"",MIN($J3002,$K3002))</f>
        <v/>
      </c>
      <c r="Q3002">
        <f>IF($A3002="","",$D3002&amp;"("&amp;SUBSTITUTE($E3002," ","")&amp;")")</f>
        <v/>
      </c>
      <c r="R3002">
        <f>IF($A3002="","",$B3002&amp;" - "&amp;$C3002)</f>
        <v/>
      </c>
      <c r="S3002">
        <f>IF($A3002="","",$R3002&amp;"|"&amp;$Q3002)</f>
        <v/>
      </c>
      <c r="T3002">
        <f>IF($A3002="","",$S3002&amp;"|"&amp;$F3002)</f>
        <v/>
      </c>
      <c r="U3002">
        <f>IF($A3002="","",$R3002&amp;"("&amp;$E3002&amp;")")</f>
        <v/>
      </c>
      <c r="V3002">
        <f>IF($A3002="","",$F3002&amp;"|"&amp;$U3002&amp;"|"&amp;$D3002)</f>
        <v/>
      </c>
      <c r="W3002">
        <f>IF($T3002="","",IF($X3002&gt;N($X3001),$X3002,""))</f>
        <v/>
      </c>
      <c r="X3002">
        <f>IF($T3002="",N($X3001),IF(MATCH($T3002,$T$6:$T$6005,0)=ROW()-5,N($X3001)+1,N($X3001)))</f>
        <v/>
      </c>
      <c r="Z3002">
        <f>IF($V3002="","",IF($AA3002&gt;N($AA3001),$AA3002,""))</f>
        <v/>
      </c>
      <c r="AA3002">
        <f>IF($V3002="",N($AA3001),IF(MATCH($V3002,$V$6:$V$6005,0)=ROW()-5,N($AA3001)+1,N($AA3001)))</f>
        <v/>
      </c>
    </row>
    <row r="3003" ht="21" customHeight="1" s="66">
      <c r="A3003" s="56" t="n"/>
      <c r="B3003" s="57" t="n"/>
      <c r="C3003" s="57" t="n"/>
      <c r="D3003" s="57" t="n"/>
      <c r="E3003" s="56" t="n"/>
      <c r="F3003" s="57" t="n"/>
      <c r="G3003" s="57" t="n"/>
      <c r="H3003" s="56" t="n"/>
      <c r="I3003" s="56" t="n"/>
      <c r="J3003" s="58" t="n"/>
      <c r="K3003" s="58" t="n"/>
      <c r="L3003" s="13">
        <f>IF(OR($A3003="",AND($J3003="",$K3003="")),"",ROUND(N($J3003)-N($K3003),2))</f>
        <v/>
      </c>
      <c r="M3003" s="13">
        <f>IF(OR($A3003="",AND($J3003="",$K3003="")),"",MIN($J3003,$K3003))</f>
        <v/>
      </c>
      <c r="Q3003">
        <f>IF($A3003="","",$D3003&amp;"("&amp;SUBSTITUTE($E3003," ","")&amp;")")</f>
        <v/>
      </c>
      <c r="R3003">
        <f>IF($A3003="","",$B3003&amp;" - "&amp;$C3003)</f>
        <v/>
      </c>
      <c r="S3003">
        <f>IF($A3003="","",$R3003&amp;"|"&amp;$Q3003)</f>
        <v/>
      </c>
      <c r="T3003">
        <f>IF($A3003="","",$S3003&amp;"|"&amp;$F3003)</f>
        <v/>
      </c>
      <c r="U3003">
        <f>IF($A3003="","",$R3003&amp;"("&amp;$E3003&amp;")")</f>
        <v/>
      </c>
      <c r="V3003">
        <f>IF($A3003="","",$F3003&amp;"|"&amp;$U3003&amp;"|"&amp;$D3003)</f>
        <v/>
      </c>
      <c r="W3003">
        <f>IF($T3003="","",IF($X3003&gt;N($X3002),$X3003,""))</f>
        <v/>
      </c>
      <c r="X3003">
        <f>IF($T3003="",N($X3002),IF(MATCH($T3003,$T$6:$T$6005,0)=ROW()-5,N($X3002)+1,N($X3002)))</f>
        <v/>
      </c>
      <c r="Z3003">
        <f>IF($V3003="","",IF($AA3003&gt;N($AA3002),$AA3003,""))</f>
        <v/>
      </c>
      <c r="AA3003">
        <f>IF($V3003="",N($AA3002),IF(MATCH($V3003,$V$6:$V$6005,0)=ROW()-5,N($AA3002)+1,N($AA3002)))</f>
        <v/>
      </c>
    </row>
    <row r="3004" ht="21" customHeight="1" s="66">
      <c r="A3004" s="56" t="n"/>
      <c r="B3004" s="57" t="n"/>
      <c r="C3004" s="57" t="n"/>
      <c r="D3004" s="57" t="n"/>
      <c r="E3004" s="56" t="n"/>
      <c r="F3004" s="57" t="n"/>
      <c r="G3004" s="57" t="n"/>
      <c r="H3004" s="56" t="n"/>
      <c r="I3004" s="56" t="n"/>
      <c r="J3004" s="58" t="n"/>
      <c r="K3004" s="58" t="n"/>
      <c r="L3004" s="13">
        <f>IF(OR($A3004="",AND($J3004="",$K3004="")),"",ROUND(N($J3004)-N($K3004),2))</f>
        <v/>
      </c>
      <c r="M3004" s="13">
        <f>IF(OR($A3004="",AND($J3004="",$K3004="")),"",MIN($J3004,$K3004))</f>
        <v/>
      </c>
      <c r="Q3004">
        <f>IF($A3004="","",$D3004&amp;"("&amp;SUBSTITUTE($E3004," ","")&amp;")")</f>
        <v/>
      </c>
      <c r="R3004">
        <f>IF($A3004="","",$B3004&amp;" - "&amp;$C3004)</f>
        <v/>
      </c>
      <c r="S3004">
        <f>IF($A3004="","",$R3004&amp;"|"&amp;$Q3004)</f>
        <v/>
      </c>
      <c r="T3004">
        <f>IF($A3004="","",$S3004&amp;"|"&amp;$F3004)</f>
        <v/>
      </c>
      <c r="U3004">
        <f>IF($A3004="","",$R3004&amp;"("&amp;$E3004&amp;")")</f>
        <v/>
      </c>
      <c r="V3004">
        <f>IF($A3004="","",$F3004&amp;"|"&amp;$U3004&amp;"|"&amp;$D3004)</f>
        <v/>
      </c>
      <c r="W3004">
        <f>IF($T3004="","",IF($X3004&gt;N($X3003),$X3004,""))</f>
        <v/>
      </c>
      <c r="X3004">
        <f>IF($T3004="",N($X3003),IF(MATCH($T3004,$T$6:$T$6005,0)=ROW()-5,N($X3003)+1,N($X3003)))</f>
        <v/>
      </c>
      <c r="Z3004">
        <f>IF($V3004="","",IF($AA3004&gt;N($AA3003),$AA3004,""))</f>
        <v/>
      </c>
      <c r="AA3004">
        <f>IF($V3004="",N($AA3003),IF(MATCH($V3004,$V$6:$V$6005,0)=ROW()-5,N($AA3003)+1,N($AA3003)))</f>
        <v/>
      </c>
    </row>
    <row r="3005" ht="21" customHeight="1" s="66">
      <c r="A3005" s="56" t="n"/>
      <c r="B3005" s="57" t="n"/>
      <c r="C3005" s="57" t="n"/>
      <c r="D3005" s="57" t="n"/>
      <c r="E3005" s="56" t="n"/>
      <c r="F3005" s="57" t="n"/>
      <c r="G3005" s="57" t="n"/>
      <c r="H3005" s="56" t="n"/>
      <c r="I3005" s="56" t="n"/>
      <c r="J3005" s="58" t="n"/>
      <c r="K3005" s="58" t="n"/>
      <c r="L3005" s="13">
        <f>IF(OR($A3005="",AND($J3005="",$K3005="")),"",ROUND(N($J3005)-N($K3005),2))</f>
        <v/>
      </c>
      <c r="M3005" s="13">
        <f>IF(OR($A3005="",AND($J3005="",$K3005="")),"",MIN($J3005,$K3005))</f>
        <v/>
      </c>
      <c r="Q3005">
        <f>IF($A3005="","",$D3005&amp;"("&amp;SUBSTITUTE($E3005," ","")&amp;")")</f>
        <v/>
      </c>
      <c r="R3005">
        <f>IF($A3005="","",$B3005&amp;" - "&amp;$C3005)</f>
        <v/>
      </c>
      <c r="S3005">
        <f>IF($A3005="","",$R3005&amp;"|"&amp;$Q3005)</f>
        <v/>
      </c>
      <c r="T3005">
        <f>IF($A3005="","",$S3005&amp;"|"&amp;$F3005)</f>
        <v/>
      </c>
      <c r="U3005">
        <f>IF($A3005="","",$R3005&amp;"("&amp;$E3005&amp;")")</f>
        <v/>
      </c>
      <c r="V3005">
        <f>IF($A3005="","",$F3005&amp;"|"&amp;$U3005&amp;"|"&amp;$D3005)</f>
        <v/>
      </c>
      <c r="W3005">
        <f>IF($T3005="","",IF($X3005&gt;N($X3004),$X3005,""))</f>
        <v/>
      </c>
      <c r="X3005">
        <f>IF($T3005="",N($X3004),IF(MATCH($T3005,$T$6:$T$6005,0)=ROW()-5,N($X3004)+1,N($X3004)))</f>
        <v/>
      </c>
      <c r="Z3005">
        <f>IF($V3005="","",IF($AA3005&gt;N($AA3004),$AA3005,""))</f>
        <v/>
      </c>
      <c r="AA3005">
        <f>IF($V3005="",N($AA3004),IF(MATCH($V3005,$V$6:$V$6005,0)=ROW()-5,N($AA3004)+1,N($AA3004)))</f>
        <v/>
      </c>
    </row>
    <row r="3006" ht="21" customHeight="1" s="66">
      <c r="A3006" s="56" t="n"/>
      <c r="B3006" s="57" t="n"/>
      <c r="C3006" s="57" t="n"/>
      <c r="D3006" s="57" t="n"/>
      <c r="E3006" s="56" t="n"/>
      <c r="F3006" s="57" t="n"/>
      <c r="G3006" s="57" t="n"/>
      <c r="H3006" s="56" t="n"/>
      <c r="I3006" s="56" t="n"/>
      <c r="J3006" s="58" t="n"/>
      <c r="K3006" s="58" t="n"/>
      <c r="L3006" s="13">
        <f>IF(OR($A3006="",AND($J3006="",$K3006="")),"",ROUND(N($J3006)-N($K3006),2))</f>
        <v/>
      </c>
      <c r="M3006" s="13">
        <f>IF(OR($A3006="",AND($J3006="",$K3006="")),"",MIN($J3006,$K3006))</f>
        <v/>
      </c>
      <c r="Q3006">
        <f>IF($A3006="","",$D3006&amp;"("&amp;SUBSTITUTE($E3006," ","")&amp;")")</f>
        <v/>
      </c>
      <c r="R3006">
        <f>IF($A3006="","",$B3006&amp;" - "&amp;$C3006)</f>
        <v/>
      </c>
      <c r="S3006">
        <f>IF($A3006="","",$R3006&amp;"|"&amp;$Q3006)</f>
        <v/>
      </c>
      <c r="T3006">
        <f>IF($A3006="","",$S3006&amp;"|"&amp;$F3006)</f>
        <v/>
      </c>
      <c r="U3006">
        <f>IF($A3006="","",$R3006&amp;"("&amp;$E3006&amp;")")</f>
        <v/>
      </c>
      <c r="V3006">
        <f>IF($A3006="","",$F3006&amp;"|"&amp;$U3006&amp;"|"&amp;$D3006)</f>
        <v/>
      </c>
      <c r="W3006">
        <f>IF($T3006="","",IF($X3006&gt;N($X3005),$X3006,""))</f>
        <v/>
      </c>
      <c r="X3006">
        <f>IF($T3006="",N($X3005),IF(MATCH($T3006,$T$6:$T$6005,0)=ROW()-5,N($X3005)+1,N($X3005)))</f>
        <v/>
      </c>
      <c r="Z3006">
        <f>IF($V3006="","",IF($AA3006&gt;N($AA3005),$AA3006,""))</f>
        <v/>
      </c>
      <c r="AA3006">
        <f>IF($V3006="",N($AA3005),IF(MATCH($V3006,$V$6:$V$6005,0)=ROW()-5,N($AA3005)+1,N($AA3005)))</f>
        <v/>
      </c>
    </row>
    <row r="3007" ht="21" customHeight="1" s="66">
      <c r="A3007" s="56" t="n"/>
      <c r="B3007" s="57" t="n"/>
      <c r="C3007" s="57" t="n"/>
      <c r="D3007" s="57" t="n"/>
      <c r="E3007" s="56" t="n"/>
      <c r="F3007" s="57" t="n"/>
      <c r="G3007" s="57" t="n"/>
      <c r="H3007" s="56" t="n"/>
      <c r="I3007" s="56" t="n"/>
      <c r="J3007" s="58" t="n"/>
      <c r="K3007" s="58" t="n"/>
      <c r="L3007" s="13">
        <f>IF(OR($A3007="",AND($J3007="",$K3007="")),"",ROUND(N($J3007)-N($K3007),2))</f>
        <v/>
      </c>
      <c r="M3007" s="13">
        <f>IF(OR($A3007="",AND($J3007="",$K3007="")),"",MIN($J3007,$K3007))</f>
        <v/>
      </c>
      <c r="Q3007">
        <f>IF($A3007="","",$D3007&amp;"("&amp;SUBSTITUTE($E3007," ","")&amp;")")</f>
        <v/>
      </c>
      <c r="R3007">
        <f>IF($A3007="","",$B3007&amp;" - "&amp;$C3007)</f>
        <v/>
      </c>
      <c r="S3007">
        <f>IF($A3007="","",$R3007&amp;"|"&amp;$Q3007)</f>
        <v/>
      </c>
      <c r="T3007">
        <f>IF($A3007="","",$S3007&amp;"|"&amp;$F3007)</f>
        <v/>
      </c>
      <c r="U3007">
        <f>IF($A3007="","",$R3007&amp;"("&amp;$E3007&amp;")")</f>
        <v/>
      </c>
      <c r="V3007">
        <f>IF($A3007="","",$F3007&amp;"|"&amp;$U3007&amp;"|"&amp;$D3007)</f>
        <v/>
      </c>
      <c r="W3007">
        <f>IF($T3007="","",IF($X3007&gt;N($X3006),$X3007,""))</f>
        <v/>
      </c>
      <c r="X3007">
        <f>IF($T3007="",N($X3006),IF(MATCH($T3007,$T$6:$T$6005,0)=ROW()-5,N($X3006)+1,N($X3006)))</f>
        <v/>
      </c>
      <c r="Z3007">
        <f>IF($V3007="","",IF($AA3007&gt;N($AA3006),$AA3007,""))</f>
        <v/>
      </c>
      <c r="AA3007">
        <f>IF($V3007="",N($AA3006),IF(MATCH($V3007,$V$6:$V$6005,0)=ROW()-5,N($AA3006)+1,N($AA3006)))</f>
        <v/>
      </c>
    </row>
    <row r="3008" ht="21" customHeight="1" s="66">
      <c r="A3008" s="56" t="n"/>
      <c r="B3008" s="57" t="n"/>
      <c r="C3008" s="57" t="n"/>
      <c r="D3008" s="57" t="n"/>
      <c r="E3008" s="56" t="n"/>
      <c r="F3008" s="57" t="n"/>
      <c r="G3008" s="57" t="n"/>
      <c r="H3008" s="56" t="n"/>
      <c r="I3008" s="56" t="n"/>
      <c r="J3008" s="58" t="n"/>
      <c r="K3008" s="58" t="n"/>
      <c r="L3008" s="13">
        <f>IF(OR($A3008="",AND($J3008="",$K3008="")),"",ROUND(N($J3008)-N($K3008),2))</f>
        <v/>
      </c>
      <c r="M3008" s="13">
        <f>IF(OR($A3008="",AND($J3008="",$K3008="")),"",MIN($J3008,$K3008))</f>
        <v/>
      </c>
      <c r="Q3008">
        <f>IF($A3008="","",$D3008&amp;"("&amp;SUBSTITUTE($E3008," ","")&amp;")")</f>
        <v/>
      </c>
      <c r="R3008">
        <f>IF($A3008="","",$B3008&amp;" - "&amp;$C3008)</f>
        <v/>
      </c>
      <c r="S3008">
        <f>IF($A3008="","",$R3008&amp;"|"&amp;$Q3008)</f>
        <v/>
      </c>
      <c r="T3008">
        <f>IF($A3008="","",$S3008&amp;"|"&amp;$F3008)</f>
        <v/>
      </c>
      <c r="U3008">
        <f>IF($A3008="","",$R3008&amp;"("&amp;$E3008&amp;")")</f>
        <v/>
      </c>
      <c r="V3008">
        <f>IF($A3008="","",$F3008&amp;"|"&amp;$U3008&amp;"|"&amp;$D3008)</f>
        <v/>
      </c>
      <c r="W3008">
        <f>IF($T3008="","",IF($X3008&gt;N($X3007),$X3008,""))</f>
        <v/>
      </c>
      <c r="X3008">
        <f>IF($T3008="",N($X3007),IF(MATCH($T3008,$T$6:$T$6005,0)=ROW()-5,N($X3007)+1,N($X3007)))</f>
        <v/>
      </c>
      <c r="Z3008">
        <f>IF($V3008="","",IF($AA3008&gt;N($AA3007),$AA3008,""))</f>
        <v/>
      </c>
      <c r="AA3008">
        <f>IF($V3008="",N($AA3007),IF(MATCH($V3008,$V$6:$V$6005,0)=ROW()-5,N($AA3007)+1,N($AA3007)))</f>
        <v/>
      </c>
    </row>
    <row r="3009" ht="21" customHeight="1" s="66">
      <c r="A3009" s="56" t="n"/>
      <c r="B3009" s="57" t="n"/>
      <c r="C3009" s="57" t="n"/>
      <c r="D3009" s="57" t="n"/>
      <c r="E3009" s="56" t="n"/>
      <c r="F3009" s="57" t="n"/>
      <c r="G3009" s="57" t="n"/>
      <c r="H3009" s="56" t="n"/>
      <c r="I3009" s="56" t="n"/>
      <c r="J3009" s="58" t="n"/>
      <c r="K3009" s="58" t="n"/>
      <c r="L3009" s="13">
        <f>IF(OR($A3009="",AND($J3009="",$K3009="")),"",ROUND(N($J3009)-N($K3009),2))</f>
        <v/>
      </c>
      <c r="M3009" s="13">
        <f>IF(OR($A3009="",AND($J3009="",$K3009="")),"",MIN($J3009,$K3009))</f>
        <v/>
      </c>
      <c r="Q3009">
        <f>IF($A3009="","",$D3009&amp;"("&amp;SUBSTITUTE($E3009," ","")&amp;")")</f>
        <v/>
      </c>
      <c r="R3009">
        <f>IF($A3009="","",$B3009&amp;" - "&amp;$C3009)</f>
        <v/>
      </c>
      <c r="S3009">
        <f>IF($A3009="","",$R3009&amp;"|"&amp;$Q3009)</f>
        <v/>
      </c>
      <c r="T3009">
        <f>IF($A3009="","",$S3009&amp;"|"&amp;$F3009)</f>
        <v/>
      </c>
      <c r="U3009">
        <f>IF($A3009="","",$R3009&amp;"("&amp;$E3009&amp;")")</f>
        <v/>
      </c>
      <c r="V3009">
        <f>IF($A3009="","",$F3009&amp;"|"&amp;$U3009&amp;"|"&amp;$D3009)</f>
        <v/>
      </c>
      <c r="W3009">
        <f>IF($T3009="","",IF($X3009&gt;N($X3008),$X3009,""))</f>
        <v/>
      </c>
      <c r="X3009">
        <f>IF($T3009="",N($X3008),IF(MATCH($T3009,$T$6:$T$6005,0)=ROW()-5,N($X3008)+1,N($X3008)))</f>
        <v/>
      </c>
      <c r="Z3009">
        <f>IF($V3009="","",IF($AA3009&gt;N($AA3008),$AA3009,""))</f>
        <v/>
      </c>
      <c r="AA3009">
        <f>IF($V3009="",N($AA3008),IF(MATCH($V3009,$V$6:$V$6005,0)=ROW()-5,N($AA3008)+1,N($AA3008)))</f>
        <v/>
      </c>
    </row>
    <row r="3010" ht="21" customHeight="1" s="66">
      <c r="A3010" s="56" t="n"/>
      <c r="B3010" s="57" t="n"/>
      <c r="C3010" s="57" t="n"/>
      <c r="D3010" s="57" t="n"/>
      <c r="E3010" s="56" t="n"/>
      <c r="F3010" s="57" t="n"/>
      <c r="G3010" s="57" t="n"/>
      <c r="H3010" s="56" t="n"/>
      <c r="I3010" s="56" t="n"/>
      <c r="J3010" s="58" t="n"/>
      <c r="K3010" s="58" t="n"/>
      <c r="L3010" s="13">
        <f>IF(OR($A3010="",AND($J3010="",$K3010="")),"",ROUND(N($J3010)-N($K3010),2))</f>
        <v/>
      </c>
      <c r="M3010" s="13">
        <f>IF(OR($A3010="",AND($J3010="",$K3010="")),"",MIN($J3010,$K3010))</f>
        <v/>
      </c>
      <c r="Q3010">
        <f>IF($A3010="","",$D3010&amp;"("&amp;SUBSTITUTE($E3010," ","")&amp;")")</f>
        <v/>
      </c>
      <c r="R3010">
        <f>IF($A3010="","",$B3010&amp;" - "&amp;$C3010)</f>
        <v/>
      </c>
      <c r="S3010">
        <f>IF($A3010="","",$R3010&amp;"|"&amp;$Q3010)</f>
        <v/>
      </c>
      <c r="T3010">
        <f>IF($A3010="","",$S3010&amp;"|"&amp;$F3010)</f>
        <v/>
      </c>
      <c r="U3010">
        <f>IF($A3010="","",$R3010&amp;"("&amp;$E3010&amp;")")</f>
        <v/>
      </c>
      <c r="V3010">
        <f>IF($A3010="","",$F3010&amp;"|"&amp;$U3010&amp;"|"&amp;$D3010)</f>
        <v/>
      </c>
      <c r="W3010">
        <f>IF($T3010="","",IF($X3010&gt;N($X3009),$X3010,""))</f>
        <v/>
      </c>
      <c r="X3010">
        <f>IF($T3010="",N($X3009),IF(MATCH($T3010,$T$6:$T$6005,0)=ROW()-5,N($X3009)+1,N($X3009)))</f>
        <v/>
      </c>
      <c r="Z3010">
        <f>IF($V3010="","",IF($AA3010&gt;N($AA3009),$AA3010,""))</f>
        <v/>
      </c>
      <c r="AA3010">
        <f>IF($V3010="",N($AA3009),IF(MATCH($V3010,$V$6:$V$6005,0)=ROW()-5,N($AA3009)+1,N($AA3009)))</f>
        <v/>
      </c>
    </row>
    <row r="3011" ht="21" customHeight="1" s="66">
      <c r="A3011" s="56" t="n"/>
      <c r="B3011" s="57" t="n"/>
      <c r="C3011" s="57" t="n"/>
      <c r="D3011" s="57" t="n"/>
      <c r="E3011" s="56" t="n"/>
      <c r="F3011" s="57" t="n"/>
      <c r="G3011" s="57" t="n"/>
      <c r="H3011" s="56" t="n"/>
      <c r="I3011" s="56" t="n"/>
      <c r="J3011" s="58" t="n"/>
      <c r="K3011" s="58" t="n"/>
      <c r="L3011" s="13">
        <f>IF(OR($A3011="",AND($J3011="",$K3011="")),"",ROUND(N($J3011)-N($K3011),2))</f>
        <v/>
      </c>
      <c r="M3011" s="13">
        <f>IF(OR($A3011="",AND($J3011="",$K3011="")),"",MIN($J3011,$K3011))</f>
        <v/>
      </c>
      <c r="Q3011">
        <f>IF($A3011="","",$D3011&amp;"("&amp;SUBSTITUTE($E3011," ","")&amp;")")</f>
        <v/>
      </c>
      <c r="R3011">
        <f>IF($A3011="","",$B3011&amp;" - "&amp;$C3011)</f>
        <v/>
      </c>
      <c r="S3011">
        <f>IF($A3011="","",$R3011&amp;"|"&amp;$Q3011)</f>
        <v/>
      </c>
      <c r="T3011">
        <f>IF($A3011="","",$S3011&amp;"|"&amp;$F3011)</f>
        <v/>
      </c>
      <c r="U3011">
        <f>IF($A3011="","",$R3011&amp;"("&amp;$E3011&amp;")")</f>
        <v/>
      </c>
      <c r="V3011">
        <f>IF($A3011="","",$F3011&amp;"|"&amp;$U3011&amp;"|"&amp;$D3011)</f>
        <v/>
      </c>
      <c r="W3011">
        <f>IF($T3011="","",IF($X3011&gt;N($X3010),$X3011,""))</f>
        <v/>
      </c>
      <c r="X3011">
        <f>IF($T3011="",N($X3010),IF(MATCH($T3011,$T$6:$T$6005,0)=ROW()-5,N($X3010)+1,N($X3010)))</f>
        <v/>
      </c>
      <c r="Z3011">
        <f>IF($V3011="","",IF($AA3011&gt;N($AA3010),$AA3011,""))</f>
        <v/>
      </c>
      <c r="AA3011">
        <f>IF($V3011="",N($AA3010),IF(MATCH($V3011,$V$6:$V$6005,0)=ROW()-5,N($AA3010)+1,N($AA3010)))</f>
        <v/>
      </c>
    </row>
    <row r="3012" ht="21" customHeight="1" s="66">
      <c r="A3012" s="56" t="n"/>
      <c r="B3012" s="57" t="n"/>
      <c r="C3012" s="57" t="n"/>
      <c r="D3012" s="57" t="n"/>
      <c r="E3012" s="56" t="n"/>
      <c r="F3012" s="57" t="n"/>
      <c r="G3012" s="57" t="n"/>
      <c r="H3012" s="56" t="n"/>
      <c r="I3012" s="56" t="n"/>
      <c r="J3012" s="58" t="n"/>
      <c r="K3012" s="58" t="n"/>
      <c r="L3012" s="13">
        <f>IF(OR($A3012="",AND($J3012="",$K3012="")),"",ROUND(N($J3012)-N($K3012),2))</f>
        <v/>
      </c>
      <c r="M3012" s="13">
        <f>IF(OR($A3012="",AND($J3012="",$K3012="")),"",MIN($J3012,$K3012))</f>
        <v/>
      </c>
      <c r="Q3012">
        <f>IF($A3012="","",$D3012&amp;"("&amp;SUBSTITUTE($E3012," ","")&amp;")")</f>
        <v/>
      </c>
      <c r="R3012">
        <f>IF($A3012="","",$B3012&amp;" - "&amp;$C3012)</f>
        <v/>
      </c>
      <c r="S3012">
        <f>IF($A3012="","",$R3012&amp;"|"&amp;$Q3012)</f>
        <v/>
      </c>
      <c r="T3012">
        <f>IF($A3012="","",$S3012&amp;"|"&amp;$F3012)</f>
        <v/>
      </c>
      <c r="U3012">
        <f>IF($A3012="","",$R3012&amp;"("&amp;$E3012&amp;")")</f>
        <v/>
      </c>
      <c r="V3012">
        <f>IF($A3012="","",$F3012&amp;"|"&amp;$U3012&amp;"|"&amp;$D3012)</f>
        <v/>
      </c>
      <c r="W3012">
        <f>IF($T3012="","",IF($X3012&gt;N($X3011),$X3012,""))</f>
        <v/>
      </c>
      <c r="X3012">
        <f>IF($T3012="",N($X3011),IF(MATCH($T3012,$T$6:$T$6005,0)=ROW()-5,N($X3011)+1,N($X3011)))</f>
        <v/>
      </c>
      <c r="Z3012">
        <f>IF($V3012="","",IF($AA3012&gt;N($AA3011),$AA3012,""))</f>
        <v/>
      </c>
      <c r="AA3012">
        <f>IF($V3012="",N($AA3011),IF(MATCH($V3012,$V$6:$V$6005,0)=ROW()-5,N($AA3011)+1,N($AA3011)))</f>
        <v/>
      </c>
    </row>
    <row r="3013" ht="21" customHeight="1" s="66">
      <c r="A3013" s="56" t="n"/>
      <c r="B3013" s="57" t="n"/>
      <c r="C3013" s="57" t="n"/>
      <c r="D3013" s="57" t="n"/>
      <c r="E3013" s="56" t="n"/>
      <c r="F3013" s="57" t="n"/>
      <c r="G3013" s="57" t="n"/>
      <c r="H3013" s="56" t="n"/>
      <c r="I3013" s="56" t="n"/>
      <c r="J3013" s="58" t="n"/>
      <c r="K3013" s="58" t="n"/>
      <c r="L3013" s="13">
        <f>IF(OR($A3013="",AND($J3013="",$K3013="")),"",ROUND(N($J3013)-N($K3013),2))</f>
        <v/>
      </c>
      <c r="M3013" s="13">
        <f>IF(OR($A3013="",AND($J3013="",$K3013="")),"",MIN($J3013,$K3013))</f>
        <v/>
      </c>
      <c r="Q3013">
        <f>IF($A3013="","",$D3013&amp;"("&amp;SUBSTITUTE($E3013," ","")&amp;")")</f>
        <v/>
      </c>
      <c r="R3013">
        <f>IF($A3013="","",$B3013&amp;" - "&amp;$C3013)</f>
        <v/>
      </c>
      <c r="S3013">
        <f>IF($A3013="","",$R3013&amp;"|"&amp;$Q3013)</f>
        <v/>
      </c>
      <c r="T3013">
        <f>IF($A3013="","",$S3013&amp;"|"&amp;$F3013)</f>
        <v/>
      </c>
      <c r="U3013">
        <f>IF($A3013="","",$R3013&amp;"("&amp;$E3013&amp;")")</f>
        <v/>
      </c>
      <c r="V3013">
        <f>IF($A3013="","",$F3013&amp;"|"&amp;$U3013&amp;"|"&amp;$D3013)</f>
        <v/>
      </c>
      <c r="W3013">
        <f>IF($T3013="","",IF($X3013&gt;N($X3012),$X3013,""))</f>
        <v/>
      </c>
      <c r="X3013">
        <f>IF($T3013="",N($X3012),IF(MATCH($T3013,$T$6:$T$6005,0)=ROW()-5,N($X3012)+1,N($X3012)))</f>
        <v/>
      </c>
      <c r="Z3013">
        <f>IF($V3013="","",IF($AA3013&gt;N($AA3012),$AA3013,""))</f>
        <v/>
      </c>
      <c r="AA3013">
        <f>IF($V3013="",N($AA3012),IF(MATCH($V3013,$V$6:$V$6005,0)=ROW()-5,N($AA3012)+1,N($AA3012)))</f>
        <v/>
      </c>
    </row>
    <row r="3014" ht="21" customHeight="1" s="66">
      <c r="A3014" s="56" t="n"/>
      <c r="B3014" s="57" t="n"/>
      <c r="C3014" s="57" t="n"/>
      <c r="D3014" s="57" t="n"/>
      <c r="E3014" s="56" t="n"/>
      <c r="F3014" s="57" t="n"/>
      <c r="G3014" s="57" t="n"/>
      <c r="H3014" s="56" t="n"/>
      <c r="I3014" s="56" t="n"/>
      <c r="J3014" s="58" t="n"/>
      <c r="K3014" s="58" t="n"/>
      <c r="L3014" s="13">
        <f>IF(OR($A3014="",AND($J3014="",$K3014="")),"",ROUND(N($J3014)-N($K3014),2))</f>
        <v/>
      </c>
      <c r="M3014" s="13">
        <f>IF(OR($A3014="",AND($J3014="",$K3014="")),"",MIN($J3014,$K3014))</f>
        <v/>
      </c>
      <c r="Q3014">
        <f>IF($A3014="","",$D3014&amp;"("&amp;SUBSTITUTE($E3014," ","")&amp;")")</f>
        <v/>
      </c>
      <c r="R3014">
        <f>IF($A3014="","",$B3014&amp;" - "&amp;$C3014)</f>
        <v/>
      </c>
      <c r="S3014">
        <f>IF($A3014="","",$R3014&amp;"|"&amp;$Q3014)</f>
        <v/>
      </c>
      <c r="T3014">
        <f>IF($A3014="","",$S3014&amp;"|"&amp;$F3014)</f>
        <v/>
      </c>
      <c r="U3014">
        <f>IF($A3014="","",$R3014&amp;"("&amp;$E3014&amp;")")</f>
        <v/>
      </c>
      <c r="V3014">
        <f>IF($A3014="","",$F3014&amp;"|"&amp;$U3014&amp;"|"&amp;$D3014)</f>
        <v/>
      </c>
      <c r="W3014">
        <f>IF($T3014="","",IF($X3014&gt;N($X3013),$X3014,""))</f>
        <v/>
      </c>
      <c r="X3014">
        <f>IF($T3014="",N($X3013),IF(MATCH($T3014,$T$6:$T$6005,0)=ROW()-5,N($X3013)+1,N($X3013)))</f>
        <v/>
      </c>
      <c r="Z3014">
        <f>IF($V3014="","",IF($AA3014&gt;N($AA3013),$AA3014,""))</f>
        <v/>
      </c>
      <c r="AA3014">
        <f>IF($V3014="",N($AA3013),IF(MATCH($V3014,$V$6:$V$6005,0)=ROW()-5,N($AA3013)+1,N($AA3013)))</f>
        <v/>
      </c>
    </row>
    <row r="3015" ht="21" customHeight="1" s="66">
      <c r="A3015" s="56" t="n"/>
      <c r="B3015" s="57" t="n"/>
      <c r="C3015" s="57" t="n"/>
      <c r="D3015" s="57" t="n"/>
      <c r="E3015" s="56" t="n"/>
      <c r="F3015" s="57" t="n"/>
      <c r="G3015" s="57" t="n"/>
      <c r="H3015" s="56" t="n"/>
      <c r="I3015" s="56" t="n"/>
      <c r="J3015" s="58" t="n"/>
      <c r="K3015" s="58" t="n"/>
      <c r="L3015" s="13">
        <f>IF(OR($A3015="",AND($J3015="",$K3015="")),"",ROUND(N($J3015)-N($K3015),2))</f>
        <v/>
      </c>
      <c r="M3015" s="13">
        <f>IF(OR($A3015="",AND($J3015="",$K3015="")),"",MIN($J3015,$K3015))</f>
        <v/>
      </c>
      <c r="Q3015">
        <f>IF($A3015="","",$D3015&amp;"("&amp;SUBSTITUTE($E3015," ","")&amp;")")</f>
        <v/>
      </c>
      <c r="R3015">
        <f>IF($A3015="","",$B3015&amp;" - "&amp;$C3015)</f>
        <v/>
      </c>
      <c r="S3015">
        <f>IF($A3015="","",$R3015&amp;"|"&amp;$Q3015)</f>
        <v/>
      </c>
      <c r="T3015">
        <f>IF($A3015="","",$S3015&amp;"|"&amp;$F3015)</f>
        <v/>
      </c>
      <c r="U3015">
        <f>IF($A3015="","",$R3015&amp;"("&amp;$E3015&amp;")")</f>
        <v/>
      </c>
      <c r="V3015">
        <f>IF($A3015="","",$F3015&amp;"|"&amp;$U3015&amp;"|"&amp;$D3015)</f>
        <v/>
      </c>
      <c r="W3015">
        <f>IF($T3015="","",IF($X3015&gt;N($X3014),$X3015,""))</f>
        <v/>
      </c>
      <c r="X3015">
        <f>IF($T3015="",N($X3014),IF(MATCH($T3015,$T$6:$T$6005,0)=ROW()-5,N($X3014)+1,N($X3014)))</f>
        <v/>
      </c>
      <c r="Z3015">
        <f>IF($V3015="","",IF($AA3015&gt;N($AA3014),$AA3015,""))</f>
        <v/>
      </c>
      <c r="AA3015">
        <f>IF($V3015="",N($AA3014),IF(MATCH($V3015,$V$6:$V$6005,0)=ROW()-5,N($AA3014)+1,N($AA3014)))</f>
        <v/>
      </c>
    </row>
    <row r="3016" ht="21" customHeight="1" s="66">
      <c r="A3016" s="56" t="n"/>
      <c r="B3016" s="57" t="n"/>
      <c r="C3016" s="57" t="n"/>
      <c r="D3016" s="57" t="n"/>
      <c r="E3016" s="56" t="n"/>
      <c r="F3016" s="57" t="n"/>
      <c r="G3016" s="57" t="n"/>
      <c r="H3016" s="56" t="n"/>
      <c r="I3016" s="56" t="n"/>
      <c r="J3016" s="58" t="n"/>
      <c r="K3016" s="58" t="n"/>
      <c r="L3016" s="13">
        <f>IF(OR($A3016="",AND($J3016="",$K3016="")),"",ROUND(N($J3016)-N($K3016),2))</f>
        <v/>
      </c>
      <c r="M3016" s="13">
        <f>IF(OR($A3016="",AND($J3016="",$K3016="")),"",MIN($J3016,$K3016))</f>
        <v/>
      </c>
      <c r="Q3016">
        <f>IF($A3016="","",$D3016&amp;"("&amp;SUBSTITUTE($E3016," ","")&amp;")")</f>
        <v/>
      </c>
      <c r="R3016">
        <f>IF($A3016="","",$B3016&amp;" - "&amp;$C3016)</f>
        <v/>
      </c>
      <c r="S3016">
        <f>IF($A3016="","",$R3016&amp;"|"&amp;$Q3016)</f>
        <v/>
      </c>
      <c r="T3016">
        <f>IF($A3016="","",$S3016&amp;"|"&amp;$F3016)</f>
        <v/>
      </c>
      <c r="U3016">
        <f>IF($A3016="","",$R3016&amp;"("&amp;$E3016&amp;")")</f>
        <v/>
      </c>
      <c r="V3016">
        <f>IF($A3016="","",$F3016&amp;"|"&amp;$U3016&amp;"|"&amp;$D3016)</f>
        <v/>
      </c>
      <c r="W3016">
        <f>IF($T3016="","",IF($X3016&gt;N($X3015),$X3016,""))</f>
        <v/>
      </c>
      <c r="X3016">
        <f>IF($T3016="",N($X3015),IF(MATCH($T3016,$T$6:$T$6005,0)=ROW()-5,N($X3015)+1,N($X3015)))</f>
        <v/>
      </c>
      <c r="Z3016">
        <f>IF($V3016="","",IF($AA3016&gt;N($AA3015),$AA3016,""))</f>
        <v/>
      </c>
      <c r="AA3016">
        <f>IF($V3016="",N($AA3015),IF(MATCH($V3016,$V$6:$V$6005,0)=ROW()-5,N($AA3015)+1,N($AA3015)))</f>
        <v/>
      </c>
    </row>
    <row r="3017" ht="21" customHeight="1" s="66">
      <c r="A3017" s="56" t="n"/>
      <c r="B3017" s="57" t="n"/>
      <c r="C3017" s="57" t="n"/>
      <c r="D3017" s="57" t="n"/>
      <c r="E3017" s="56" t="n"/>
      <c r="F3017" s="57" t="n"/>
      <c r="G3017" s="57" t="n"/>
      <c r="H3017" s="56" t="n"/>
      <c r="I3017" s="56" t="n"/>
      <c r="J3017" s="58" t="n"/>
      <c r="K3017" s="58" t="n"/>
      <c r="L3017" s="13">
        <f>IF(OR($A3017="",AND($J3017="",$K3017="")),"",ROUND(N($J3017)-N($K3017),2))</f>
        <v/>
      </c>
      <c r="M3017" s="13">
        <f>IF(OR($A3017="",AND($J3017="",$K3017="")),"",MIN($J3017,$K3017))</f>
        <v/>
      </c>
      <c r="Q3017">
        <f>IF($A3017="","",$D3017&amp;"("&amp;SUBSTITUTE($E3017," ","")&amp;")")</f>
        <v/>
      </c>
      <c r="R3017">
        <f>IF($A3017="","",$B3017&amp;" - "&amp;$C3017)</f>
        <v/>
      </c>
      <c r="S3017">
        <f>IF($A3017="","",$R3017&amp;"|"&amp;$Q3017)</f>
        <v/>
      </c>
      <c r="T3017">
        <f>IF($A3017="","",$S3017&amp;"|"&amp;$F3017)</f>
        <v/>
      </c>
      <c r="U3017">
        <f>IF($A3017="","",$R3017&amp;"("&amp;$E3017&amp;")")</f>
        <v/>
      </c>
      <c r="V3017">
        <f>IF($A3017="","",$F3017&amp;"|"&amp;$U3017&amp;"|"&amp;$D3017)</f>
        <v/>
      </c>
      <c r="W3017">
        <f>IF($T3017="","",IF($X3017&gt;N($X3016),$X3017,""))</f>
        <v/>
      </c>
      <c r="X3017">
        <f>IF($T3017="",N($X3016),IF(MATCH($T3017,$T$6:$T$6005,0)=ROW()-5,N($X3016)+1,N($X3016)))</f>
        <v/>
      </c>
      <c r="Z3017">
        <f>IF($V3017="","",IF($AA3017&gt;N($AA3016),$AA3017,""))</f>
        <v/>
      </c>
      <c r="AA3017">
        <f>IF($V3017="",N($AA3016),IF(MATCH($V3017,$V$6:$V$6005,0)=ROW()-5,N($AA3016)+1,N($AA3016)))</f>
        <v/>
      </c>
    </row>
    <row r="3018" ht="21" customHeight="1" s="66">
      <c r="A3018" s="56" t="n"/>
      <c r="B3018" s="57" t="n"/>
      <c r="C3018" s="57" t="n"/>
      <c r="D3018" s="57" t="n"/>
      <c r="E3018" s="56" t="n"/>
      <c r="F3018" s="57" t="n"/>
      <c r="G3018" s="57" t="n"/>
      <c r="H3018" s="56" t="n"/>
      <c r="I3018" s="56" t="n"/>
      <c r="J3018" s="58" t="n"/>
      <c r="K3018" s="58" t="n"/>
      <c r="L3018" s="13">
        <f>IF(OR($A3018="",AND($J3018="",$K3018="")),"",ROUND(N($J3018)-N($K3018),2))</f>
        <v/>
      </c>
      <c r="M3018" s="13">
        <f>IF(OR($A3018="",AND($J3018="",$K3018="")),"",MIN($J3018,$K3018))</f>
        <v/>
      </c>
      <c r="Q3018">
        <f>IF($A3018="","",$D3018&amp;"("&amp;SUBSTITUTE($E3018," ","")&amp;")")</f>
        <v/>
      </c>
      <c r="R3018">
        <f>IF($A3018="","",$B3018&amp;" - "&amp;$C3018)</f>
        <v/>
      </c>
      <c r="S3018">
        <f>IF($A3018="","",$R3018&amp;"|"&amp;$Q3018)</f>
        <v/>
      </c>
      <c r="T3018">
        <f>IF($A3018="","",$S3018&amp;"|"&amp;$F3018)</f>
        <v/>
      </c>
      <c r="U3018">
        <f>IF($A3018="","",$R3018&amp;"("&amp;$E3018&amp;")")</f>
        <v/>
      </c>
      <c r="V3018">
        <f>IF($A3018="","",$F3018&amp;"|"&amp;$U3018&amp;"|"&amp;$D3018)</f>
        <v/>
      </c>
      <c r="W3018">
        <f>IF($T3018="","",IF($X3018&gt;N($X3017),$X3018,""))</f>
        <v/>
      </c>
      <c r="X3018">
        <f>IF($T3018="",N($X3017),IF(MATCH($T3018,$T$6:$T$6005,0)=ROW()-5,N($X3017)+1,N($X3017)))</f>
        <v/>
      </c>
      <c r="Z3018">
        <f>IF($V3018="","",IF($AA3018&gt;N($AA3017),$AA3018,""))</f>
        <v/>
      </c>
      <c r="AA3018">
        <f>IF($V3018="",N($AA3017),IF(MATCH($V3018,$V$6:$V$6005,0)=ROW()-5,N($AA3017)+1,N($AA3017)))</f>
        <v/>
      </c>
    </row>
    <row r="3019" ht="21" customHeight="1" s="66">
      <c r="A3019" s="56" t="n"/>
      <c r="B3019" s="57" t="n"/>
      <c r="C3019" s="57" t="n"/>
      <c r="D3019" s="57" t="n"/>
      <c r="E3019" s="56" t="n"/>
      <c r="F3019" s="57" t="n"/>
      <c r="G3019" s="57" t="n"/>
      <c r="H3019" s="56" t="n"/>
      <c r="I3019" s="56" t="n"/>
      <c r="J3019" s="58" t="n"/>
      <c r="K3019" s="58" t="n"/>
      <c r="L3019" s="13">
        <f>IF(OR($A3019="",AND($J3019="",$K3019="")),"",ROUND(N($J3019)-N($K3019),2))</f>
        <v/>
      </c>
      <c r="M3019" s="13">
        <f>IF(OR($A3019="",AND($J3019="",$K3019="")),"",MIN($J3019,$K3019))</f>
        <v/>
      </c>
      <c r="Q3019">
        <f>IF($A3019="","",$D3019&amp;"("&amp;SUBSTITUTE($E3019," ","")&amp;")")</f>
        <v/>
      </c>
      <c r="R3019">
        <f>IF($A3019="","",$B3019&amp;" - "&amp;$C3019)</f>
        <v/>
      </c>
      <c r="S3019">
        <f>IF($A3019="","",$R3019&amp;"|"&amp;$Q3019)</f>
        <v/>
      </c>
      <c r="T3019">
        <f>IF($A3019="","",$S3019&amp;"|"&amp;$F3019)</f>
        <v/>
      </c>
      <c r="U3019">
        <f>IF($A3019="","",$R3019&amp;"("&amp;$E3019&amp;")")</f>
        <v/>
      </c>
      <c r="V3019">
        <f>IF($A3019="","",$F3019&amp;"|"&amp;$U3019&amp;"|"&amp;$D3019)</f>
        <v/>
      </c>
      <c r="W3019">
        <f>IF($T3019="","",IF($X3019&gt;N($X3018),$X3019,""))</f>
        <v/>
      </c>
      <c r="X3019">
        <f>IF($T3019="",N($X3018),IF(MATCH($T3019,$T$6:$T$6005,0)=ROW()-5,N($X3018)+1,N($X3018)))</f>
        <v/>
      </c>
      <c r="Z3019">
        <f>IF($V3019="","",IF($AA3019&gt;N($AA3018),$AA3019,""))</f>
        <v/>
      </c>
      <c r="AA3019">
        <f>IF($V3019="",N($AA3018),IF(MATCH($V3019,$V$6:$V$6005,0)=ROW()-5,N($AA3018)+1,N($AA3018)))</f>
        <v/>
      </c>
    </row>
    <row r="3020" ht="21" customHeight="1" s="66">
      <c r="A3020" s="56" t="n"/>
      <c r="B3020" s="57" t="n"/>
      <c r="C3020" s="57" t="n"/>
      <c r="D3020" s="57" t="n"/>
      <c r="E3020" s="56" t="n"/>
      <c r="F3020" s="57" t="n"/>
      <c r="G3020" s="57" t="n"/>
      <c r="H3020" s="56" t="n"/>
      <c r="I3020" s="56" t="n"/>
      <c r="J3020" s="58" t="n"/>
      <c r="K3020" s="58" t="n"/>
      <c r="L3020" s="13">
        <f>IF(OR($A3020="",AND($J3020="",$K3020="")),"",ROUND(N($J3020)-N($K3020),2))</f>
        <v/>
      </c>
      <c r="M3020" s="13">
        <f>IF(OR($A3020="",AND($J3020="",$K3020="")),"",MIN($J3020,$K3020))</f>
        <v/>
      </c>
      <c r="Q3020">
        <f>IF($A3020="","",$D3020&amp;"("&amp;SUBSTITUTE($E3020," ","")&amp;")")</f>
        <v/>
      </c>
      <c r="R3020">
        <f>IF($A3020="","",$B3020&amp;" - "&amp;$C3020)</f>
        <v/>
      </c>
      <c r="S3020">
        <f>IF($A3020="","",$R3020&amp;"|"&amp;$Q3020)</f>
        <v/>
      </c>
      <c r="T3020">
        <f>IF($A3020="","",$S3020&amp;"|"&amp;$F3020)</f>
        <v/>
      </c>
      <c r="U3020">
        <f>IF($A3020="","",$R3020&amp;"("&amp;$E3020&amp;")")</f>
        <v/>
      </c>
      <c r="V3020">
        <f>IF($A3020="","",$F3020&amp;"|"&amp;$U3020&amp;"|"&amp;$D3020)</f>
        <v/>
      </c>
      <c r="W3020">
        <f>IF($T3020="","",IF($X3020&gt;N($X3019),$X3020,""))</f>
        <v/>
      </c>
      <c r="X3020">
        <f>IF($T3020="",N($X3019),IF(MATCH($T3020,$T$6:$T$6005,0)=ROW()-5,N($X3019)+1,N($X3019)))</f>
        <v/>
      </c>
      <c r="Z3020">
        <f>IF($V3020="","",IF($AA3020&gt;N($AA3019),$AA3020,""))</f>
        <v/>
      </c>
      <c r="AA3020">
        <f>IF($V3020="",N($AA3019),IF(MATCH($V3020,$V$6:$V$6005,0)=ROW()-5,N($AA3019)+1,N($AA3019)))</f>
        <v/>
      </c>
    </row>
    <row r="3021" ht="21" customHeight="1" s="66">
      <c r="A3021" s="56" t="n"/>
      <c r="B3021" s="57" t="n"/>
      <c r="C3021" s="57" t="n"/>
      <c r="D3021" s="57" t="n"/>
      <c r="E3021" s="56" t="n"/>
      <c r="F3021" s="57" t="n"/>
      <c r="G3021" s="57" t="n"/>
      <c r="H3021" s="56" t="n"/>
      <c r="I3021" s="56" t="n"/>
      <c r="J3021" s="58" t="n"/>
      <c r="K3021" s="58" t="n"/>
      <c r="L3021" s="13">
        <f>IF(OR($A3021="",AND($J3021="",$K3021="")),"",ROUND(N($J3021)-N($K3021),2))</f>
        <v/>
      </c>
      <c r="M3021" s="13">
        <f>IF(OR($A3021="",AND($J3021="",$K3021="")),"",MIN($J3021,$K3021))</f>
        <v/>
      </c>
      <c r="Q3021">
        <f>IF($A3021="","",$D3021&amp;"("&amp;SUBSTITUTE($E3021," ","")&amp;")")</f>
        <v/>
      </c>
      <c r="R3021">
        <f>IF($A3021="","",$B3021&amp;" - "&amp;$C3021)</f>
        <v/>
      </c>
      <c r="S3021">
        <f>IF($A3021="","",$R3021&amp;"|"&amp;$Q3021)</f>
        <v/>
      </c>
      <c r="T3021">
        <f>IF($A3021="","",$S3021&amp;"|"&amp;$F3021)</f>
        <v/>
      </c>
      <c r="U3021">
        <f>IF($A3021="","",$R3021&amp;"("&amp;$E3021&amp;")")</f>
        <v/>
      </c>
      <c r="V3021">
        <f>IF($A3021="","",$F3021&amp;"|"&amp;$U3021&amp;"|"&amp;$D3021)</f>
        <v/>
      </c>
      <c r="W3021">
        <f>IF($T3021="","",IF($X3021&gt;N($X3020),$X3021,""))</f>
        <v/>
      </c>
      <c r="X3021">
        <f>IF($T3021="",N($X3020),IF(MATCH($T3021,$T$6:$T$6005,0)=ROW()-5,N($X3020)+1,N($X3020)))</f>
        <v/>
      </c>
      <c r="Z3021">
        <f>IF($V3021="","",IF($AA3021&gt;N($AA3020),$AA3021,""))</f>
        <v/>
      </c>
      <c r="AA3021">
        <f>IF($V3021="",N($AA3020),IF(MATCH($V3021,$V$6:$V$6005,0)=ROW()-5,N($AA3020)+1,N($AA3020)))</f>
        <v/>
      </c>
    </row>
    <row r="3022" ht="21" customHeight="1" s="66">
      <c r="A3022" s="56" t="n"/>
      <c r="B3022" s="57" t="n"/>
      <c r="C3022" s="57" t="n"/>
      <c r="D3022" s="57" t="n"/>
      <c r="E3022" s="56" t="n"/>
      <c r="F3022" s="57" t="n"/>
      <c r="G3022" s="57" t="n"/>
      <c r="H3022" s="56" t="n"/>
      <c r="I3022" s="56" t="n"/>
      <c r="J3022" s="58" t="n"/>
      <c r="K3022" s="58" t="n"/>
      <c r="L3022" s="13">
        <f>IF(OR($A3022="",AND($J3022="",$K3022="")),"",ROUND(N($J3022)-N($K3022),2))</f>
        <v/>
      </c>
      <c r="M3022" s="13">
        <f>IF(OR($A3022="",AND($J3022="",$K3022="")),"",MIN($J3022,$K3022))</f>
        <v/>
      </c>
      <c r="Q3022">
        <f>IF($A3022="","",$D3022&amp;"("&amp;SUBSTITUTE($E3022," ","")&amp;")")</f>
        <v/>
      </c>
      <c r="R3022">
        <f>IF($A3022="","",$B3022&amp;" - "&amp;$C3022)</f>
        <v/>
      </c>
      <c r="S3022">
        <f>IF($A3022="","",$R3022&amp;"|"&amp;$Q3022)</f>
        <v/>
      </c>
      <c r="T3022">
        <f>IF($A3022="","",$S3022&amp;"|"&amp;$F3022)</f>
        <v/>
      </c>
      <c r="U3022">
        <f>IF($A3022="","",$R3022&amp;"("&amp;$E3022&amp;")")</f>
        <v/>
      </c>
      <c r="V3022">
        <f>IF($A3022="","",$F3022&amp;"|"&amp;$U3022&amp;"|"&amp;$D3022)</f>
        <v/>
      </c>
      <c r="W3022">
        <f>IF($T3022="","",IF($X3022&gt;N($X3021),$X3022,""))</f>
        <v/>
      </c>
      <c r="X3022">
        <f>IF($T3022="",N($X3021),IF(MATCH($T3022,$T$6:$T$6005,0)=ROW()-5,N($X3021)+1,N($X3021)))</f>
        <v/>
      </c>
      <c r="Z3022">
        <f>IF($V3022="","",IF($AA3022&gt;N($AA3021),$AA3022,""))</f>
        <v/>
      </c>
      <c r="AA3022">
        <f>IF($V3022="",N($AA3021),IF(MATCH($V3022,$V$6:$V$6005,0)=ROW()-5,N($AA3021)+1,N($AA3021)))</f>
        <v/>
      </c>
    </row>
    <row r="3023" ht="21" customHeight="1" s="66">
      <c r="A3023" s="56" t="n"/>
      <c r="B3023" s="57" t="n"/>
      <c r="C3023" s="57" t="n"/>
      <c r="D3023" s="57" t="n"/>
      <c r="E3023" s="56" t="n"/>
      <c r="F3023" s="57" t="n"/>
      <c r="G3023" s="57" t="n"/>
      <c r="H3023" s="56" t="n"/>
      <c r="I3023" s="56" t="n"/>
      <c r="J3023" s="58" t="n"/>
      <c r="K3023" s="58" t="n"/>
      <c r="L3023" s="13">
        <f>IF(OR($A3023="",AND($J3023="",$K3023="")),"",ROUND(N($J3023)-N($K3023),2))</f>
        <v/>
      </c>
      <c r="M3023" s="13">
        <f>IF(OR($A3023="",AND($J3023="",$K3023="")),"",MIN($J3023,$K3023))</f>
        <v/>
      </c>
      <c r="Q3023">
        <f>IF($A3023="","",$D3023&amp;"("&amp;SUBSTITUTE($E3023," ","")&amp;")")</f>
        <v/>
      </c>
      <c r="R3023">
        <f>IF($A3023="","",$B3023&amp;" - "&amp;$C3023)</f>
        <v/>
      </c>
      <c r="S3023">
        <f>IF($A3023="","",$R3023&amp;"|"&amp;$Q3023)</f>
        <v/>
      </c>
      <c r="T3023">
        <f>IF($A3023="","",$S3023&amp;"|"&amp;$F3023)</f>
        <v/>
      </c>
      <c r="U3023">
        <f>IF($A3023="","",$R3023&amp;"("&amp;$E3023&amp;")")</f>
        <v/>
      </c>
      <c r="V3023">
        <f>IF($A3023="","",$F3023&amp;"|"&amp;$U3023&amp;"|"&amp;$D3023)</f>
        <v/>
      </c>
      <c r="W3023">
        <f>IF($T3023="","",IF($X3023&gt;N($X3022),$X3023,""))</f>
        <v/>
      </c>
      <c r="X3023">
        <f>IF($T3023="",N($X3022),IF(MATCH($T3023,$T$6:$T$6005,0)=ROW()-5,N($X3022)+1,N($X3022)))</f>
        <v/>
      </c>
      <c r="Z3023">
        <f>IF($V3023="","",IF($AA3023&gt;N($AA3022),$AA3023,""))</f>
        <v/>
      </c>
      <c r="AA3023">
        <f>IF($V3023="",N($AA3022),IF(MATCH($V3023,$V$6:$V$6005,0)=ROW()-5,N($AA3022)+1,N($AA3022)))</f>
        <v/>
      </c>
    </row>
    <row r="3024" ht="21" customHeight="1" s="66">
      <c r="A3024" s="56" t="n"/>
      <c r="B3024" s="57" t="n"/>
      <c r="C3024" s="57" t="n"/>
      <c r="D3024" s="57" t="n"/>
      <c r="E3024" s="56" t="n"/>
      <c r="F3024" s="57" t="n"/>
      <c r="G3024" s="57" t="n"/>
      <c r="H3024" s="56" t="n"/>
      <c r="I3024" s="56" t="n"/>
      <c r="J3024" s="58" t="n"/>
      <c r="K3024" s="58" t="n"/>
      <c r="L3024" s="13">
        <f>IF(OR($A3024="",AND($J3024="",$K3024="")),"",ROUND(N($J3024)-N($K3024),2))</f>
        <v/>
      </c>
      <c r="M3024" s="13">
        <f>IF(OR($A3024="",AND($J3024="",$K3024="")),"",MIN($J3024,$K3024))</f>
        <v/>
      </c>
      <c r="Q3024">
        <f>IF($A3024="","",$D3024&amp;"("&amp;SUBSTITUTE($E3024," ","")&amp;")")</f>
        <v/>
      </c>
      <c r="R3024">
        <f>IF($A3024="","",$B3024&amp;" - "&amp;$C3024)</f>
        <v/>
      </c>
      <c r="S3024">
        <f>IF($A3024="","",$R3024&amp;"|"&amp;$Q3024)</f>
        <v/>
      </c>
      <c r="T3024">
        <f>IF($A3024="","",$S3024&amp;"|"&amp;$F3024)</f>
        <v/>
      </c>
      <c r="U3024">
        <f>IF($A3024="","",$R3024&amp;"("&amp;$E3024&amp;")")</f>
        <v/>
      </c>
      <c r="V3024">
        <f>IF($A3024="","",$F3024&amp;"|"&amp;$U3024&amp;"|"&amp;$D3024)</f>
        <v/>
      </c>
      <c r="W3024">
        <f>IF($T3024="","",IF($X3024&gt;N($X3023),$X3024,""))</f>
        <v/>
      </c>
      <c r="X3024">
        <f>IF($T3024="",N($X3023),IF(MATCH($T3024,$T$6:$T$6005,0)=ROW()-5,N($X3023)+1,N($X3023)))</f>
        <v/>
      </c>
      <c r="Z3024">
        <f>IF($V3024="","",IF($AA3024&gt;N($AA3023),$AA3024,""))</f>
        <v/>
      </c>
      <c r="AA3024">
        <f>IF($V3024="",N($AA3023),IF(MATCH($V3024,$V$6:$V$6005,0)=ROW()-5,N($AA3023)+1,N($AA3023)))</f>
        <v/>
      </c>
    </row>
    <row r="3025" ht="21" customHeight="1" s="66">
      <c r="A3025" s="56" t="n"/>
      <c r="B3025" s="57" t="n"/>
      <c r="C3025" s="57" t="n"/>
      <c r="D3025" s="57" t="n"/>
      <c r="E3025" s="56" t="n"/>
      <c r="F3025" s="57" t="n"/>
      <c r="G3025" s="57" t="n"/>
      <c r="H3025" s="56" t="n"/>
      <c r="I3025" s="56" t="n"/>
      <c r="J3025" s="58" t="n"/>
      <c r="K3025" s="58" t="n"/>
      <c r="L3025" s="13">
        <f>IF(OR($A3025="",AND($J3025="",$K3025="")),"",ROUND(N($J3025)-N($K3025),2))</f>
        <v/>
      </c>
      <c r="M3025" s="13">
        <f>IF(OR($A3025="",AND($J3025="",$K3025="")),"",MIN($J3025,$K3025))</f>
        <v/>
      </c>
      <c r="Q3025">
        <f>IF($A3025="","",$D3025&amp;"("&amp;SUBSTITUTE($E3025," ","")&amp;")")</f>
        <v/>
      </c>
      <c r="R3025">
        <f>IF($A3025="","",$B3025&amp;" - "&amp;$C3025)</f>
        <v/>
      </c>
      <c r="S3025">
        <f>IF($A3025="","",$R3025&amp;"|"&amp;$Q3025)</f>
        <v/>
      </c>
      <c r="T3025">
        <f>IF($A3025="","",$S3025&amp;"|"&amp;$F3025)</f>
        <v/>
      </c>
      <c r="U3025">
        <f>IF($A3025="","",$R3025&amp;"("&amp;$E3025&amp;")")</f>
        <v/>
      </c>
      <c r="V3025">
        <f>IF($A3025="","",$F3025&amp;"|"&amp;$U3025&amp;"|"&amp;$D3025)</f>
        <v/>
      </c>
      <c r="W3025">
        <f>IF($T3025="","",IF($X3025&gt;N($X3024),$X3025,""))</f>
        <v/>
      </c>
      <c r="X3025">
        <f>IF($T3025="",N($X3024),IF(MATCH($T3025,$T$6:$T$6005,0)=ROW()-5,N($X3024)+1,N($X3024)))</f>
        <v/>
      </c>
      <c r="Z3025">
        <f>IF($V3025="","",IF($AA3025&gt;N($AA3024),$AA3025,""))</f>
        <v/>
      </c>
      <c r="AA3025">
        <f>IF($V3025="",N($AA3024),IF(MATCH($V3025,$V$6:$V$6005,0)=ROW()-5,N($AA3024)+1,N($AA3024)))</f>
        <v/>
      </c>
    </row>
    <row r="3026" ht="21" customHeight="1" s="66">
      <c r="A3026" s="56" t="n"/>
      <c r="B3026" s="57" t="n"/>
      <c r="C3026" s="57" t="n"/>
      <c r="D3026" s="57" t="n"/>
      <c r="E3026" s="56" t="n"/>
      <c r="F3026" s="57" t="n"/>
      <c r="G3026" s="57" t="n"/>
      <c r="H3026" s="56" t="n"/>
      <c r="I3026" s="56" t="n"/>
      <c r="J3026" s="58" t="n"/>
      <c r="K3026" s="58" t="n"/>
      <c r="L3026" s="13">
        <f>IF(OR($A3026="",AND($J3026="",$K3026="")),"",ROUND(N($J3026)-N($K3026),2))</f>
        <v/>
      </c>
      <c r="M3026" s="13">
        <f>IF(OR($A3026="",AND($J3026="",$K3026="")),"",MIN($J3026,$K3026))</f>
        <v/>
      </c>
      <c r="Q3026">
        <f>IF($A3026="","",$D3026&amp;"("&amp;SUBSTITUTE($E3026," ","")&amp;")")</f>
        <v/>
      </c>
      <c r="R3026">
        <f>IF($A3026="","",$B3026&amp;" - "&amp;$C3026)</f>
        <v/>
      </c>
      <c r="S3026">
        <f>IF($A3026="","",$R3026&amp;"|"&amp;$Q3026)</f>
        <v/>
      </c>
      <c r="T3026">
        <f>IF($A3026="","",$S3026&amp;"|"&amp;$F3026)</f>
        <v/>
      </c>
      <c r="U3026">
        <f>IF($A3026="","",$R3026&amp;"("&amp;$E3026&amp;")")</f>
        <v/>
      </c>
      <c r="V3026">
        <f>IF($A3026="","",$F3026&amp;"|"&amp;$U3026&amp;"|"&amp;$D3026)</f>
        <v/>
      </c>
      <c r="W3026">
        <f>IF($T3026="","",IF($X3026&gt;N($X3025),$X3026,""))</f>
        <v/>
      </c>
      <c r="X3026">
        <f>IF($T3026="",N($X3025),IF(MATCH($T3026,$T$6:$T$6005,0)=ROW()-5,N($X3025)+1,N($X3025)))</f>
        <v/>
      </c>
      <c r="Z3026">
        <f>IF($V3026="","",IF($AA3026&gt;N($AA3025),$AA3026,""))</f>
        <v/>
      </c>
      <c r="AA3026">
        <f>IF($V3026="",N($AA3025),IF(MATCH($V3026,$V$6:$V$6005,0)=ROW()-5,N($AA3025)+1,N($AA3025)))</f>
        <v/>
      </c>
    </row>
    <row r="3027" ht="21" customHeight="1" s="66">
      <c r="A3027" s="56" t="n"/>
      <c r="B3027" s="57" t="n"/>
      <c r="C3027" s="57" t="n"/>
      <c r="D3027" s="57" t="n"/>
      <c r="E3027" s="56" t="n"/>
      <c r="F3027" s="57" t="n"/>
      <c r="G3027" s="57" t="n"/>
      <c r="H3027" s="56" t="n"/>
      <c r="I3027" s="56" t="n"/>
      <c r="J3027" s="58" t="n"/>
      <c r="K3027" s="58" t="n"/>
      <c r="L3027" s="13">
        <f>IF(OR($A3027="",AND($J3027="",$K3027="")),"",ROUND(N($J3027)-N($K3027),2))</f>
        <v/>
      </c>
      <c r="M3027" s="13">
        <f>IF(OR($A3027="",AND($J3027="",$K3027="")),"",MIN($J3027,$K3027))</f>
        <v/>
      </c>
      <c r="Q3027">
        <f>IF($A3027="","",$D3027&amp;"("&amp;SUBSTITUTE($E3027," ","")&amp;")")</f>
        <v/>
      </c>
      <c r="R3027">
        <f>IF($A3027="","",$B3027&amp;" - "&amp;$C3027)</f>
        <v/>
      </c>
      <c r="S3027">
        <f>IF($A3027="","",$R3027&amp;"|"&amp;$Q3027)</f>
        <v/>
      </c>
      <c r="T3027">
        <f>IF($A3027="","",$S3027&amp;"|"&amp;$F3027)</f>
        <v/>
      </c>
      <c r="U3027">
        <f>IF($A3027="","",$R3027&amp;"("&amp;$E3027&amp;")")</f>
        <v/>
      </c>
      <c r="V3027">
        <f>IF($A3027="","",$F3027&amp;"|"&amp;$U3027&amp;"|"&amp;$D3027)</f>
        <v/>
      </c>
      <c r="W3027">
        <f>IF($T3027="","",IF($X3027&gt;N($X3026),$X3027,""))</f>
        <v/>
      </c>
      <c r="X3027">
        <f>IF($T3027="",N($X3026),IF(MATCH($T3027,$T$6:$T$6005,0)=ROW()-5,N($X3026)+1,N($X3026)))</f>
        <v/>
      </c>
      <c r="Z3027">
        <f>IF($V3027="","",IF($AA3027&gt;N($AA3026),$AA3027,""))</f>
        <v/>
      </c>
      <c r="AA3027">
        <f>IF($V3027="",N($AA3026),IF(MATCH($V3027,$V$6:$V$6005,0)=ROW()-5,N($AA3026)+1,N($AA3026)))</f>
        <v/>
      </c>
    </row>
    <row r="3028" ht="21" customHeight="1" s="66">
      <c r="A3028" s="56" t="n"/>
      <c r="B3028" s="57" t="n"/>
      <c r="C3028" s="57" t="n"/>
      <c r="D3028" s="57" t="n"/>
      <c r="E3028" s="56" t="n"/>
      <c r="F3028" s="57" t="n"/>
      <c r="G3028" s="57" t="n"/>
      <c r="H3028" s="56" t="n"/>
      <c r="I3028" s="56" t="n"/>
      <c r="J3028" s="58" t="n"/>
      <c r="K3028" s="58" t="n"/>
      <c r="L3028" s="13">
        <f>IF(OR($A3028="",AND($J3028="",$K3028="")),"",ROUND(N($J3028)-N($K3028),2))</f>
        <v/>
      </c>
      <c r="M3028" s="13">
        <f>IF(OR($A3028="",AND($J3028="",$K3028="")),"",MIN($J3028,$K3028))</f>
        <v/>
      </c>
      <c r="Q3028">
        <f>IF($A3028="","",$D3028&amp;"("&amp;SUBSTITUTE($E3028," ","")&amp;")")</f>
        <v/>
      </c>
      <c r="R3028">
        <f>IF($A3028="","",$B3028&amp;" - "&amp;$C3028)</f>
        <v/>
      </c>
      <c r="S3028">
        <f>IF($A3028="","",$R3028&amp;"|"&amp;$Q3028)</f>
        <v/>
      </c>
      <c r="T3028">
        <f>IF($A3028="","",$S3028&amp;"|"&amp;$F3028)</f>
        <v/>
      </c>
      <c r="U3028">
        <f>IF($A3028="","",$R3028&amp;"("&amp;$E3028&amp;")")</f>
        <v/>
      </c>
      <c r="V3028">
        <f>IF($A3028="","",$F3028&amp;"|"&amp;$U3028&amp;"|"&amp;$D3028)</f>
        <v/>
      </c>
      <c r="W3028">
        <f>IF($T3028="","",IF($X3028&gt;N($X3027),$X3028,""))</f>
        <v/>
      </c>
      <c r="X3028">
        <f>IF($T3028="",N($X3027),IF(MATCH($T3028,$T$6:$T$6005,0)=ROW()-5,N($X3027)+1,N($X3027)))</f>
        <v/>
      </c>
      <c r="Z3028">
        <f>IF($V3028="","",IF($AA3028&gt;N($AA3027),$AA3028,""))</f>
        <v/>
      </c>
      <c r="AA3028">
        <f>IF($V3028="",N($AA3027),IF(MATCH($V3028,$V$6:$V$6005,0)=ROW()-5,N($AA3027)+1,N($AA3027)))</f>
        <v/>
      </c>
    </row>
    <row r="3029" ht="21" customHeight="1" s="66">
      <c r="A3029" s="56" t="n"/>
      <c r="B3029" s="57" t="n"/>
      <c r="C3029" s="57" t="n"/>
      <c r="D3029" s="57" t="n"/>
      <c r="E3029" s="56" t="n"/>
      <c r="F3029" s="57" t="n"/>
      <c r="G3029" s="57" t="n"/>
      <c r="H3029" s="56" t="n"/>
      <c r="I3029" s="56" t="n"/>
      <c r="J3029" s="58" t="n"/>
      <c r="K3029" s="58" t="n"/>
      <c r="L3029" s="13">
        <f>IF(OR($A3029="",AND($J3029="",$K3029="")),"",ROUND(N($J3029)-N($K3029),2))</f>
        <v/>
      </c>
      <c r="M3029" s="13">
        <f>IF(OR($A3029="",AND($J3029="",$K3029="")),"",MIN($J3029,$K3029))</f>
        <v/>
      </c>
      <c r="Q3029">
        <f>IF($A3029="","",$D3029&amp;"("&amp;SUBSTITUTE($E3029," ","")&amp;")")</f>
        <v/>
      </c>
      <c r="R3029">
        <f>IF($A3029="","",$B3029&amp;" - "&amp;$C3029)</f>
        <v/>
      </c>
      <c r="S3029">
        <f>IF($A3029="","",$R3029&amp;"|"&amp;$Q3029)</f>
        <v/>
      </c>
      <c r="T3029">
        <f>IF($A3029="","",$S3029&amp;"|"&amp;$F3029)</f>
        <v/>
      </c>
      <c r="U3029">
        <f>IF($A3029="","",$R3029&amp;"("&amp;$E3029&amp;")")</f>
        <v/>
      </c>
      <c r="V3029">
        <f>IF($A3029="","",$F3029&amp;"|"&amp;$U3029&amp;"|"&amp;$D3029)</f>
        <v/>
      </c>
      <c r="W3029">
        <f>IF($T3029="","",IF($X3029&gt;N($X3028),$X3029,""))</f>
        <v/>
      </c>
      <c r="X3029">
        <f>IF($T3029="",N($X3028),IF(MATCH($T3029,$T$6:$T$6005,0)=ROW()-5,N($X3028)+1,N($X3028)))</f>
        <v/>
      </c>
      <c r="Z3029">
        <f>IF($V3029="","",IF($AA3029&gt;N($AA3028),$AA3029,""))</f>
        <v/>
      </c>
      <c r="AA3029">
        <f>IF($V3029="",N($AA3028),IF(MATCH($V3029,$V$6:$V$6005,0)=ROW()-5,N($AA3028)+1,N($AA3028)))</f>
        <v/>
      </c>
    </row>
    <row r="3030" ht="21" customHeight="1" s="66">
      <c r="A3030" s="56" t="n"/>
      <c r="B3030" s="57" t="n"/>
      <c r="C3030" s="57" t="n"/>
      <c r="D3030" s="57" t="n"/>
      <c r="E3030" s="56" t="n"/>
      <c r="F3030" s="57" t="n"/>
      <c r="G3030" s="57" t="n"/>
      <c r="H3030" s="56" t="n"/>
      <c r="I3030" s="56" t="n"/>
      <c r="J3030" s="58" t="n"/>
      <c r="K3030" s="58" t="n"/>
      <c r="L3030" s="13">
        <f>IF(OR($A3030="",AND($J3030="",$K3030="")),"",ROUND(N($J3030)-N($K3030),2))</f>
        <v/>
      </c>
      <c r="M3030" s="13">
        <f>IF(OR($A3030="",AND($J3030="",$K3030="")),"",MIN($J3030,$K3030))</f>
        <v/>
      </c>
      <c r="Q3030">
        <f>IF($A3030="","",$D3030&amp;"("&amp;SUBSTITUTE($E3030," ","")&amp;")")</f>
        <v/>
      </c>
      <c r="R3030">
        <f>IF($A3030="","",$B3030&amp;" - "&amp;$C3030)</f>
        <v/>
      </c>
      <c r="S3030">
        <f>IF($A3030="","",$R3030&amp;"|"&amp;$Q3030)</f>
        <v/>
      </c>
      <c r="T3030">
        <f>IF($A3030="","",$S3030&amp;"|"&amp;$F3030)</f>
        <v/>
      </c>
      <c r="U3030">
        <f>IF($A3030="","",$R3030&amp;"("&amp;$E3030&amp;")")</f>
        <v/>
      </c>
      <c r="V3030">
        <f>IF($A3030="","",$F3030&amp;"|"&amp;$U3030&amp;"|"&amp;$D3030)</f>
        <v/>
      </c>
      <c r="W3030">
        <f>IF($T3030="","",IF($X3030&gt;N($X3029),$X3030,""))</f>
        <v/>
      </c>
      <c r="X3030">
        <f>IF($T3030="",N($X3029),IF(MATCH($T3030,$T$6:$T$6005,0)=ROW()-5,N($X3029)+1,N($X3029)))</f>
        <v/>
      </c>
      <c r="Z3030">
        <f>IF($V3030="","",IF($AA3030&gt;N($AA3029),$AA3030,""))</f>
        <v/>
      </c>
      <c r="AA3030">
        <f>IF($V3030="",N($AA3029),IF(MATCH($V3030,$V$6:$V$6005,0)=ROW()-5,N($AA3029)+1,N($AA3029)))</f>
        <v/>
      </c>
    </row>
    <row r="3031" ht="21" customHeight="1" s="66">
      <c r="A3031" s="56" t="n"/>
      <c r="B3031" s="57" t="n"/>
      <c r="C3031" s="57" t="n"/>
      <c r="D3031" s="57" t="n"/>
      <c r="E3031" s="56" t="n"/>
      <c r="F3031" s="57" t="n"/>
      <c r="G3031" s="57" t="n"/>
      <c r="H3031" s="56" t="n"/>
      <c r="I3031" s="56" t="n"/>
      <c r="J3031" s="58" t="n"/>
      <c r="K3031" s="58" t="n"/>
      <c r="L3031" s="13">
        <f>IF(OR($A3031="",AND($J3031="",$K3031="")),"",ROUND(N($J3031)-N($K3031),2))</f>
        <v/>
      </c>
      <c r="M3031" s="13">
        <f>IF(OR($A3031="",AND($J3031="",$K3031="")),"",MIN($J3031,$K3031))</f>
        <v/>
      </c>
      <c r="Q3031">
        <f>IF($A3031="","",$D3031&amp;"("&amp;SUBSTITUTE($E3031," ","")&amp;")")</f>
        <v/>
      </c>
      <c r="R3031">
        <f>IF($A3031="","",$B3031&amp;" - "&amp;$C3031)</f>
        <v/>
      </c>
      <c r="S3031">
        <f>IF($A3031="","",$R3031&amp;"|"&amp;$Q3031)</f>
        <v/>
      </c>
      <c r="T3031">
        <f>IF($A3031="","",$S3031&amp;"|"&amp;$F3031)</f>
        <v/>
      </c>
      <c r="U3031">
        <f>IF($A3031="","",$R3031&amp;"("&amp;$E3031&amp;")")</f>
        <v/>
      </c>
      <c r="V3031">
        <f>IF($A3031="","",$F3031&amp;"|"&amp;$U3031&amp;"|"&amp;$D3031)</f>
        <v/>
      </c>
      <c r="W3031">
        <f>IF($T3031="","",IF($X3031&gt;N($X3030),$X3031,""))</f>
        <v/>
      </c>
      <c r="X3031">
        <f>IF($T3031="",N($X3030),IF(MATCH($T3031,$T$6:$T$6005,0)=ROW()-5,N($X3030)+1,N($X3030)))</f>
        <v/>
      </c>
      <c r="Z3031">
        <f>IF($V3031="","",IF($AA3031&gt;N($AA3030),$AA3031,""))</f>
        <v/>
      </c>
      <c r="AA3031">
        <f>IF($V3031="",N($AA3030),IF(MATCH($V3031,$V$6:$V$6005,0)=ROW()-5,N($AA3030)+1,N($AA3030)))</f>
        <v/>
      </c>
    </row>
    <row r="3032" ht="21" customHeight="1" s="66">
      <c r="A3032" s="56" t="n"/>
      <c r="B3032" s="57" t="n"/>
      <c r="C3032" s="57" t="n"/>
      <c r="D3032" s="57" t="n"/>
      <c r="E3032" s="56" t="n"/>
      <c r="F3032" s="57" t="n"/>
      <c r="G3032" s="57" t="n"/>
      <c r="H3032" s="56" t="n"/>
      <c r="I3032" s="56" t="n"/>
      <c r="J3032" s="58" t="n"/>
      <c r="K3032" s="58" t="n"/>
      <c r="L3032" s="13">
        <f>IF(OR($A3032="",AND($J3032="",$K3032="")),"",ROUND(N($J3032)-N($K3032),2))</f>
        <v/>
      </c>
      <c r="M3032" s="13">
        <f>IF(OR($A3032="",AND($J3032="",$K3032="")),"",MIN($J3032,$K3032))</f>
        <v/>
      </c>
      <c r="Q3032">
        <f>IF($A3032="","",$D3032&amp;"("&amp;SUBSTITUTE($E3032," ","")&amp;")")</f>
        <v/>
      </c>
      <c r="R3032">
        <f>IF($A3032="","",$B3032&amp;" - "&amp;$C3032)</f>
        <v/>
      </c>
      <c r="S3032">
        <f>IF($A3032="","",$R3032&amp;"|"&amp;$Q3032)</f>
        <v/>
      </c>
      <c r="T3032">
        <f>IF($A3032="","",$S3032&amp;"|"&amp;$F3032)</f>
        <v/>
      </c>
      <c r="U3032">
        <f>IF($A3032="","",$R3032&amp;"("&amp;$E3032&amp;")")</f>
        <v/>
      </c>
      <c r="V3032">
        <f>IF($A3032="","",$F3032&amp;"|"&amp;$U3032&amp;"|"&amp;$D3032)</f>
        <v/>
      </c>
      <c r="W3032">
        <f>IF($T3032="","",IF($X3032&gt;N($X3031),$X3032,""))</f>
        <v/>
      </c>
      <c r="X3032">
        <f>IF($T3032="",N($X3031),IF(MATCH($T3032,$T$6:$T$6005,0)=ROW()-5,N($X3031)+1,N($X3031)))</f>
        <v/>
      </c>
      <c r="Z3032">
        <f>IF($V3032="","",IF($AA3032&gt;N($AA3031),$AA3032,""))</f>
        <v/>
      </c>
      <c r="AA3032">
        <f>IF($V3032="",N($AA3031),IF(MATCH($V3032,$V$6:$V$6005,0)=ROW()-5,N($AA3031)+1,N($AA3031)))</f>
        <v/>
      </c>
    </row>
    <row r="3033" ht="21" customHeight="1" s="66">
      <c r="A3033" s="56" t="n"/>
      <c r="B3033" s="57" t="n"/>
      <c r="C3033" s="57" t="n"/>
      <c r="D3033" s="57" t="n"/>
      <c r="E3033" s="56" t="n"/>
      <c r="F3033" s="57" t="n"/>
      <c r="G3033" s="57" t="n"/>
      <c r="H3033" s="56" t="n"/>
      <c r="I3033" s="56" t="n"/>
      <c r="J3033" s="58" t="n"/>
      <c r="K3033" s="58" t="n"/>
      <c r="L3033" s="13">
        <f>IF(OR($A3033="",AND($J3033="",$K3033="")),"",ROUND(N($J3033)-N($K3033),2))</f>
        <v/>
      </c>
      <c r="M3033" s="13">
        <f>IF(OR($A3033="",AND($J3033="",$K3033="")),"",MIN($J3033,$K3033))</f>
        <v/>
      </c>
      <c r="Q3033">
        <f>IF($A3033="","",$D3033&amp;"("&amp;SUBSTITUTE($E3033," ","")&amp;")")</f>
        <v/>
      </c>
      <c r="R3033">
        <f>IF($A3033="","",$B3033&amp;" - "&amp;$C3033)</f>
        <v/>
      </c>
      <c r="S3033">
        <f>IF($A3033="","",$R3033&amp;"|"&amp;$Q3033)</f>
        <v/>
      </c>
      <c r="T3033">
        <f>IF($A3033="","",$S3033&amp;"|"&amp;$F3033)</f>
        <v/>
      </c>
      <c r="U3033">
        <f>IF($A3033="","",$R3033&amp;"("&amp;$E3033&amp;")")</f>
        <v/>
      </c>
      <c r="V3033">
        <f>IF($A3033="","",$F3033&amp;"|"&amp;$U3033&amp;"|"&amp;$D3033)</f>
        <v/>
      </c>
      <c r="W3033">
        <f>IF($T3033="","",IF($X3033&gt;N($X3032),$X3033,""))</f>
        <v/>
      </c>
      <c r="X3033">
        <f>IF($T3033="",N($X3032),IF(MATCH($T3033,$T$6:$T$6005,0)=ROW()-5,N($X3032)+1,N($X3032)))</f>
        <v/>
      </c>
      <c r="Z3033">
        <f>IF($V3033="","",IF($AA3033&gt;N($AA3032),$AA3033,""))</f>
        <v/>
      </c>
      <c r="AA3033">
        <f>IF($V3033="",N($AA3032),IF(MATCH($V3033,$V$6:$V$6005,0)=ROW()-5,N($AA3032)+1,N($AA3032)))</f>
        <v/>
      </c>
    </row>
    <row r="3034" ht="21" customHeight="1" s="66">
      <c r="A3034" s="56" t="n"/>
      <c r="B3034" s="57" t="n"/>
      <c r="C3034" s="57" t="n"/>
      <c r="D3034" s="57" t="n"/>
      <c r="E3034" s="56" t="n"/>
      <c r="F3034" s="57" t="n"/>
      <c r="G3034" s="57" t="n"/>
      <c r="H3034" s="56" t="n"/>
      <c r="I3034" s="56" t="n"/>
      <c r="J3034" s="58" t="n"/>
      <c r="K3034" s="58" t="n"/>
      <c r="L3034" s="13">
        <f>IF(OR($A3034="",AND($J3034="",$K3034="")),"",ROUND(N($J3034)-N($K3034),2))</f>
        <v/>
      </c>
      <c r="M3034" s="13">
        <f>IF(OR($A3034="",AND($J3034="",$K3034="")),"",MIN($J3034,$K3034))</f>
        <v/>
      </c>
      <c r="Q3034">
        <f>IF($A3034="","",$D3034&amp;"("&amp;SUBSTITUTE($E3034," ","")&amp;")")</f>
        <v/>
      </c>
      <c r="R3034">
        <f>IF($A3034="","",$B3034&amp;" - "&amp;$C3034)</f>
        <v/>
      </c>
      <c r="S3034">
        <f>IF($A3034="","",$R3034&amp;"|"&amp;$Q3034)</f>
        <v/>
      </c>
      <c r="T3034">
        <f>IF($A3034="","",$S3034&amp;"|"&amp;$F3034)</f>
        <v/>
      </c>
      <c r="U3034">
        <f>IF($A3034="","",$R3034&amp;"("&amp;$E3034&amp;")")</f>
        <v/>
      </c>
      <c r="V3034">
        <f>IF($A3034="","",$F3034&amp;"|"&amp;$U3034&amp;"|"&amp;$D3034)</f>
        <v/>
      </c>
      <c r="W3034">
        <f>IF($T3034="","",IF($X3034&gt;N($X3033),$X3034,""))</f>
        <v/>
      </c>
      <c r="X3034">
        <f>IF($T3034="",N($X3033),IF(MATCH($T3034,$T$6:$T$6005,0)=ROW()-5,N($X3033)+1,N($X3033)))</f>
        <v/>
      </c>
      <c r="Z3034">
        <f>IF($V3034="","",IF($AA3034&gt;N($AA3033),$AA3034,""))</f>
        <v/>
      </c>
      <c r="AA3034">
        <f>IF($V3034="",N($AA3033),IF(MATCH($V3034,$V$6:$V$6005,0)=ROW()-5,N($AA3033)+1,N($AA3033)))</f>
        <v/>
      </c>
    </row>
    <row r="3035" ht="21" customHeight="1" s="66">
      <c r="A3035" s="56" t="n"/>
      <c r="B3035" s="57" t="n"/>
      <c r="C3035" s="57" t="n"/>
      <c r="D3035" s="57" t="n"/>
      <c r="E3035" s="56" t="n"/>
      <c r="F3035" s="57" t="n"/>
      <c r="G3035" s="57" t="n"/>
      <c r="H3035" s="56" t="n"/>
      <c r="I3035" s="56" t="n"/>
      <c r="J3035" s="58" t="n"/>
      <c r="K3035" s="58" t="n"/>
      <c r="L3035" s="13">
        <f>IF(OR($A3035="",AND($J3035="",$K3035="")),"",ROUND(N($J3035)-N($K3035),2))</f>
        <v/>
      </c>
      <c r="M3035" s="13">
        <f>IF(OR($A3035="",AND($J3035="",$K3035="")),"",MIN($J3035,$K3035))</f>
        <v/>
      </c>
      <c r="Q3035">
        <f>IF($A3035="","",$D3035&amp;"("&amp;SUBSTITUTE($E3035," ","")&amp;")")</f>
        <v/>
      </c>
      <c r="R3035">
        <f>IF($A3035="","",$B3035&amp;" - "&amp;$C3035)</f>
        <v/>
      </c>
      <c r="S3035">
        <f>IF($A3035="","",$R3035&amp;"|"&amp;$Q3035)</f>
        <v/>
      </c>
      <c r="T3035">
        <f>IF($A3035="","",$S3035&amp;"|"&amp;$F3035)</f>
        <v/>
      </c>
      <c r="U3035">
        <f>IF($A3035="","",$R3035&amp;"("&amp;$E3035&amp;")")</f>
        <v/>
      </c>
      <c r="V3035">
        <f>IF($A3035="","",$F3035&amp;"|"&amp;$U3035&amp;"|"&amp;$D3035)</f>
        <v/>
      </c>
      <c r="W3035">
        <f>IF($T3035="","",IF($X3035&gt;N($X3034),$X3035,""))</f>
        <v/>
      </c>
      <c r="X3035">
        <f>IF($T3035="",N($X3034),IF(MATCH($T3035,$T$6:$T$6005,0)=ROW()-5,N($X3034)+1,N($X3034)))</f>
        <v/>
      </c>
      <c r="Z3035">
        <f>IF($V3035="","",IF($AA3035&gt;N($AA3034),$AA3035,""))</f>
        <v/>
      </c>
      <c r="AA3035">
        <f>IF($V3035="",N($AA3034),IF(MATCH($V3035,$V$6:$V$6005,0)=ROW()-5,N($AA3034)+1,N($AA3034)))</f>
        <v/>
      </c>
    </row>
    <row r="3036" ht="21" customHeight="1" s="66">
      <c r="A3036" s="56" t="n"/>
      <c r="B3036" s="57" t="n"/>
      <c r="C3036" s="57" t="n"/>
      <c r="D3036" s="57" t="n"/>
      <c r="E3036" s="56" t="n"/>
      <c r="F3036" s="57" t="n"/>
      <c r="G3036" s="57" t="n"/>
      <c r="H3036" s="56" t="n"/>
      <c r="I3036" s="56" t="n"/>
      <c r="J3036" s="58" t="n"/>
      <c r="K3036" s="58" t="n"/>
      <c r="L3036" s="13">
        <f>IF(OR($A3036="",AND($J3036="",$K3036="")),"",ROUND(N($J3036)-N($K3036),2))</f>
        <v/>
      </c>
      <c r="M3036" s="13">
        <f>IF(OR($A3036="",AND($J3036="",$K3036="")),"",MIN($J3036,$K3036))</f>
        <v/>
      </c>
      <c r="Q3036">
        <f>IF($A3036="","",$D3036&amp;"("&amp;SUBSTITUTE($E3036," ","")&amp;")")</f>
        <v/>
      </c>
      <c r="R3036">
        <f>IF($A3036="","",$B3036&amp;" - "&amp;$C3036)</f>
        <v/>
      </c>
      <c r="S3036">
        <f>IF($A3036="","",$R3036&amp;"|"&amp;$Q3036)</f>
        <v/>
      </c>
      <c r="T3036">
        <f>IF($A3036="","",$S3036&amp;"|"&amp;$F3036)</f>
        <v/>
      </c>
      <c r="U3036">
        <f>IF($A3036="","",$R3036&amp;"("&amp;$E3036&amp;")")</f>
        <v/>
      </c>
      <c r="V3036">
        <f>IF($A3036="","",$F3036&amp;"|"&amp;$U3036&amp;"|"&amp;$D3036)</f>
        <v/>
      </c>
      <c r="W3036">
        <f>IF($T3036="","",IF($X3036&gt;N($X3035),$X3036,""))</f>
        <v/>
      </c>
      <c r="X3036">
        <f>IF($T3036="",N($X3035),IF(MATCH($T3036,$T$6:$T$6005,0)=ROW()-5,N($X3035)+1,N($X3035)))</f>
        <v/>
      </c>
      <c r="Z3036">
        <f>IF($V3036="","",IF($AA3036&gt;N($AA3035),$AA3036,""))</f>
        <v/>
      </c>
      <c r="AA3036">
        <f>IF($V3036="",N($AA3035),IF(MATCH($V3036,$V$6:$V$6005,0)=ROW()-5,N($AA3035)+1,N($AA3035)))</f>
        <v/>
      </c>
    </row>
    <row r="3037" ht="21" customHeight="1" s="66">
      <c r="A3037" s="56" t="n"/>
      <c r="B3037" s="57" t="n"/>
      <c r="C3037" s="57" t="n"/>
      <c r="D3037" s="57" t="n"/>
      <c r="E3037" s="56" t="n"/>
      <c r="F3037" s="57" t="n"/>
      <c r="G3037" s="57" t="n"/>
      <c r="H3037" s="56" t="n"/>
      <c r="I3037" s="56" t="n"/>
      <c r="J3037" s="58" t="n"/>
      <c r="K3037" s="58" t="n"/>
      <c r="L3037" s="13">
        <f>IF(OR($A3037="",AND($J3037="",$K3037="")),"",ROUND(N($J3037)-N($K3037),2))</f>
        <v/>
      </c>
      <c r="M3037" s="13">
        <f>IF(OR($A3037="",AND($J3037="",$K3037="")),"",MIN($J3037,$K3037))</f>
        <v/>
      </c>
      <c r="Q3037">
        <f>IF($A3037="","",$D3037&amp;"("&amp;SUBSTITUTE($E3037," ","")&amp;")")</f>
        <v/>
      </c>
      <c r="R3037">
        <f>IF($A3037="","",$B3037&amp;" - "&amp;$C3037)</f>
        <v/>
      </c>
      <c r="S3037">
        <f>IF($A3037="","",$R3037&amp;"|"&amp;$Q3037)</f>
        <v/>
      </c>
      <c r="T3037">
        <f>IF($A3037="","",$S3037&amp;"|"&amp;$F3037)</f>
        <v/>
      </c>
      <c r="U3037">
        <f>IF($A3037="","",$R3037&amp;"("&amp;$E3037&amp;")")</f>
        <v/>
      </c>
      <c r="V3037">
        <f>IF($A3037="","",$F3037&amp;"|"&amp;$U3037&amp;"|"&amp;$D3037)</f>
        <v/>
      </c>
      <c r="W3037">
        <f>IF($T3037="","",IF($X3037&gt;N($X3036),$X3037,""))</f>
        <v/>
      </c>
      <c r="X3037">
        <f>IF($T3037="",N($X3036),IF(MATCH($T3037,$T$6:$T$6005,0)=ROW()-5,N($X3036)+1,N($X3036)))</f>
        <v/>
      </c>
      <c r="Z3037">
        <f>IF($V3037="","",IF($AA3037&gt;N($AA3036),$AA3037,""))</f>
        <v/>
      </c>
      <c r="AA3037">
        <f>IF($V3037="",N($AA3036),IF(MATCH($V3037,$V$6:$V$6005,0)=ROW()-5,N($AA3036)+1,N($AA3036)))</f>
        <v/>
      </c>
    </row>
    <row r="3038" ht="21" customHeight="1" s="66">
      <c r="A3038" s="56" t="n"/>
      <c r="B3038" s="57" t="n"/>
      <c r="C3038" s="57" t="n"/>
      <c r="D3038" s="57" t="n"/>
      <c r="E3038" s="56" t="n"/>
      <c r="F3038" s="57" t="n"/>
      <c r="G3038" s="57" t="n"/>
      <c r="H3038" s="56" t="n"/>
      <c r="I3038" s="56" t="n"/>
      <c r="J3038" s="58" t="n"/>
      <c r="K3038" s="58" t="n"/>
      <c r="L3038" s="13">
        <f>IF(OR($A3038="",AND($J3038="",$K3038="")),"",ROUND(N($J3038)-N($K3038),2))</f>
        <v/>
      </c>
      <c r="M3038" s="13">
        <f>IF(OR($A3038="",AND($J3038="",$K3038="")),"",MIN($J3038,$K3038))</f>
        <v/>
      </c>
      <c r="Q3038">
        <f>IF($A3038="","",$D3038&amp;"("&amp;SUBSTITUTE($E3038," ","")&amp;")")</f>
        <v/>
      </c>
      <c r="R3038">
        <f>IF($A3038="","",$B3038&amp;" - "&amp;$C3038)</f>
        <v/>
      </c>
      <c r="S3038">
        <f>IF($A3038="","",$R3038&amp;"|"&amp;$Q3038)</f>
        <v/>
      </c>
      <c r="T3038">
        <f>IF($A3038="","",$S3038&amp;"|"&amp;$F3038)</f>
        <v/>
      </c>
      <c r="U3038">
        <f>IF($A3038="","",$R3038&amp;"("&amp;$E3038&amp;")")</f>
        <v/>
      </c>
      <c r="V3038">
        <f>IF($A3038="","",$F3038&amp;"|"&amp;$U3038&amp;"|"&amp;$D3038)</f>
        <v/>
      </c>
      <c r="W3038">
        <f>IF($T3038="","",IF($X3038&gt;N($X3037),$X3038,""))</f>
        <v/>
      </c>
      <c r="X3038">
        <f>IF($T3038="",N($X3037),IF(MATCH($T3038,$T$6:$T$6005,0)=ROW()-5,N($X3037)+1,N($X3037)))</f>
        <v/>
      </c>
      <c r="Z3038">
        <f>IF($V3038="","",IF($AA3038&gt;N($AA3037),$AA3038,""))</f>
        <v/>
      </c>
      <c r="AA3038">
        <f>IF($V3038="",N($AA3037),IF(MATCH($V3038,$V$6:$V$6005,0)=ROW()-5,N($AA3037)+1,N($AA3037)))</f>
        <v/>
      </c>
    </row>
    <row r="3039" ht="21" customHeight="1" s="66">
      <c r="A3039" s="56" t="n"/>
      <c r="B3039" s="57" t="n"/>
      <c r="C3039" s="57" t="n"/>
      <c r="D3039" s="57" t="n"/>
      <c r="E3039" s="56" t="n"/>
      <c r="F3039" s="57" t="n"/>
      <c r="G3039" s="57" t="n"/>
      <c r="H3039" s="56" t="n"/>
      <c r="I3039" s="56" t="n"/>
      <c r="J3039" s="58" t="n"/>
      <c r="K3039" s="58" t="n"/>
      <c r="L3039" s="13">
        <f>IF(OR($A3039="",AND($J3039="",$K3039="")),"",ROUND(N($J3039)-N($K3039),2))</f>
        <v/>
      </c>
      <c r="M3039" s="13">
        <f>IF(OR($A3039="",AND($J3039="",$K3039="")),"",MIN($J3039,$K3039))</f>
        <v/>
      </c>
      <c r="Q3039">
        <f>IF($A3039="","",$D3039&amp;"("&amp;SUBSTITUTE($E3039," ","")&amp;")")</f>
        <v/>
      </c>
      <c r="R3039">
        <f>IF($A3039="","",$B3039&amp;" - "&amp;$C3039)</f>
        <v/>
      </c>
      <c r="S3039">
        <f>IF($A3039="","",$R3039&amp;"|"&amp;$Q3039)</f>
        <v/>
      </c>
      <c r="T3039">
        <f>IF($A3039="","",$S3039&amp;"|"&amp;$F3039)</f>
        <v/>
      </c>
      <c r="U3039">
        <f>IF($A3039="","",$R3039&amp;"("&amp;$E3039&amp;")")</f>
        <v/>
      </c>
      <c r="V3039">
        <f>IF($A3039="","",$F3039&amp;"|"&amp;$U3039&amp;"|"&amp;$D3039)</f>
        <v/>
      </c>
      <c r="W3039">
        <f>IF($T3039="","",IF($X3039&gt;N($X3038),$X3039,""))</f>
        <v/>
      </c>
      <c r="X3039">
        <f>IF($T3039="",N($X3038),IF(MATCH($T3039,$T$6:$T$6005,0)=ROW()-5,N($X3038)+1,N($X3038)))</f>
        <v/>
      </c>
      <c r="Z3039">
        <f>IF($V3039="","",IF($AA3039&gt;N($AA3038),$AA3039,""))</f>
        <v/>
      </c>
      <c r="AA3039">
        <f>IF($V3039="",N($AA3038),IF(MATCH($V3039,$V$6:$V$6005,0)=ROW()-5,N($AA3038)+1,N($AA3038)))</f>
        <v/>
      </c>
    </row>
    <row r="3040" ht="21" customHeight="1" s="66">
      <c r="A3040" s="56" t="n"/>
      <c r="B3040" s="57" t="n"/>
      <c r="C3040" s="57" t="n"/>
      <c r="D3040" s="57" t="n"/>
      <c r="E3040" s="56" t="n"/>
      <c r="F3040" s="57" t="n"/>
      <c r="G3040" s="57" t="n"/>
      <c r="H3040" s="56" t="n"/>
      <c r="I3040" s="56" t="n"/>
      <c r="J3040" s="58" t="n"/>
      <c r="K3040" s="58" t="n"/>
      <c r="L3040" s="13">
        <f>IF(OR($A3040="",AND($J3040="",$K3040="")),"",ROUND(N($J3040)-N($K3040),2))</f>
        <v/>
      </c>
      <c r="M3040" s="13">
        <f>IF(OR($A3040="",AND($J3040="",$K3040="")),"",MIN($J3040,$K3040))</f>
        <v/>
      </c>
      <c r="Q3040">
        <f>IF($A3040="","",$D3040&amp;"("&amp;SUBSTITUTE($E3040," ","")&amp;")")</f>
        <v/>
      </c>
      <c r="R3040">
        <f>IF($A3040="","",$B3040&amp;" - "&amp;$C3040)</f>
        <v/>
      </c>
      <c r="S3040">
        <f>IF($A3040="","",$R3040&amp;"|"&amp;$Q3040)</f>
        <v/>
      </c>
      <c r="T3040">
        <f>IF($A3040="","",$S3040&amp;"|"&amp;$F3040)</f>
        <v/>
      </c>
      <c r="U3040">
        <f>IF($A3040="","",$R3040&amp;"("&amp;$E3040&amp;")")</f>
        <v/>
      </c>
      <c r="V3040">
        <f>IF($A3040="","",$F3040&amp;"|"&amp;$U3040&amp;"|"&amp;$D3040)</f>
        <v/>
      </c>
      <c r="W3040">
        <f>IF($T3040="","",IF($X3040&gt;N($X3039),$X3040,""))</f>
        <v/>
      </c>
      <c r="X3040">
        <f>IF($T3040="",N($X3039),IF(MATCH($T3040,$T$6:$T$6005,0)=ROW()-5,N($X3039)+1,N($X3039)))</f>
        <v/>
      </c>
      <c r="Z3040">
        <f>IF($V3040="","",IF($AA3040&gt;N($AA3039),$AA3040,""))</f>
        <v/>
      </c>
      <c r="AA3040">
        <f>IF($V3040="",N($AA3039),IF(MATCH($V3040,$V$6:$V$6005,0)=ROW()-5,N($AA3039)+1,N($AA3039)))</f>
        <v/>
      </c>
    </row>
    <row r="3041" ht="21" customHeight="1" s="66">
      <c r="A3041" s="56" t="n"/>
      <c r="B3041" s="57" t="n"/>
      <c r="C3041" s="57" t="n"/>
      <c r="D3041" s="57" t="n"/>
      <c r="E3041" s="56" t="n"/>
      <c r="F3041" s="57" t="n"/>
      <c r="G3041" s="57" t="n"/>
      <c r="H3041" s="56" t="n"/>
      <c r="I3041" s="56" t="n"/>
      <c r="J3041" s="58" t="n"/>
      <c r="K3041" s="58" t="n"/>
      <c r="L3041" s="13">
        <f>IF(OR($A3041="",AND($J3041="",$K3041="")),"",ROUND(N($J3041)-N($K3041),2))</f>
        <v/>
      </c>
      <c r="M3041" s="13">
        <f>IF(OR($A3041="",AND($J3041="",$K3041="")),"",MIN($J3041,$K3041))</f>
        <v/>
      </c>
      <c r="Q3041">
        <f>IF($A3041="","",$D3041&amp;"("&amp;SUBSTITUTE($E3041," ","")&amp;")")</f>
        <v/>
      </c>
      <c r="R3041">
        <f>IF($A3041="","",$B3041&amp;" - "&amp;$C3041)</f>
        <v/>
      </c>
      <c r="S3041">
        <f>IF($A3041="","",$R3041&amp;"|"&amp;$Q3041)</f>
        <v/>
      </c>
      <c r="T3041">
        <f>IF($A3041="","",$S3041&amp;"|"&amp;$F3041)</f>
        <v/>
      </c>
      <c r="U3041">
        <f>IF($A3041="","",$R3041&amp;"("&amp;$E3041&amp;")")</f>
        <v/>
      </c>
      <c r="V3041">
        <f>IF($A3041="","",$F3041&amp;"|"&amp;$U3041&amp;"|"&amp;$D3041)</f>
        <v/>
      </c>
      <c r="W3041">
        <f>IF($T3041="","",IF($X3041&gt;N($X3040),$X3041,""))</f>
        <v/>
      </c>
      <c r="X3041">
        <f>IF($T3041="",N($X3040),IF(MATCH($T3041,$T$6:$T$6005,0)=ROW()-5,N($X3040)+1,N($X3040)))</f>
        <v/>
      </c>
      <c r="Z3041">
        <f>IF($V3041="","",IF($AA3041&gt;N($AA3040),$AA3041,""))</f>
        <v/>
      </c>
      <c r="AA3041">
        <f>IF($V3041="",N($AA3040),IF(MATCH($V3041,$V$6:$V$6005,0)=ROW()-5,N($AA3040)+1,N($AA3040)))</f>
        <v/>
      </c>
    </row>
    <row r="3042" ht="21" customHeight="1" s="66">
      <c r="A3042" s="56" t="n"/>
      <c r="B3042" s="57" t="n"/>
      <c r="C3042" s="57" t="n"/>
      <c r="D3042" s="57" t="n"/>
      <c r="E3042" s="56" t="n"/>
      <c r="F3042" s="57" t="n"/>
      <c r="G3042" s="57" t="n"/>
      <c r="H3042" s="56" t="n"/>
      <c r="I3042" s="56" t="n"/>
      <c r="J3042" s="58" t="n"/>
      <c r="K3042" s="58" t="n"/>
      <c r="L3042" s="13">
        <f>IF(OR($A3042="",AND($J3042="",$K3042="")),"",ROUND(N($J3042)-N($K3042),2))</f>
        <v/>
      </c>
      <c r="M3042" s="13">
        <f>IF(OR($A3042="",AND($J3042="",$K3042="")),"",MIN($J3042,$K3042))</f>
        <v/>
      </c>
      <c r="Q3042">
        <f>IF($A3042="","",$D3042&amp;"("&amp;SUBSTITUTE($E3042," ","")&amp;")")</f>
        <v/>
      </c>
      <c r="R3042">
        <f>IF($A3042="","",$B3042&amp;" - "&amp;$C3042)</f>
        <v/>
      </c>
      <c r="S3042">
        <f>IF($A3042="","",$R3042&amp;"|"&amp;$Q3042)</f>
        <v/>
      </c>
      <c r="T3042">
        <f>IF($A3042="","",$S3042&amp;"|"&amp;$F3042)</f>
        <v/>
      </c>
      <c r="U3042">
        <f>IF($A3042="","",$R3042&amp;"("&amp;$E3042&amp;")")</f>
        <v/>
      </c>
      <c r="V3042">
        <f>IF($A3042="","",$F3042&amp;"|"&amp;$U3042&amp;"|"&amp;$D3042)</f>
        <v/>
      </c>
      <c r="W3042">
        <f>IF($T3042="","",IF($X3042&gt;N($X3041),$X3042,""))</f>
        <v/>
      </c>
      <c r="X3042">
        <f>IF($T3042="",N($X3041),IF(MATCH($T3042,$T$6:$T$6005,0)=ROW()-5,N($X3041)+1,N($X3041)))</f>
        <v/>
      </c>
      <c r="Z3042">
        <f>IF($V3042="","",IF($AA3042&gt;N($AA3041),$AA3042,""))</f>
        <v/>
      </c>
      <c r="AA3042">
        <f>IF($V3042="",N($AA3041),IF(MATCH($V3042,$V$6:$V$6005,0)=ROW()-5,N($AA3041)+1,N($AA3041)))</f>
        <v/>
      </c>
    </row>
    <row r="3043" ht="21" customHeight="1" s="66">
      <c r="A3043" s="56" t="n"/>
      <c r="B3043" s="57" t="n"/>
      <c r="C3043" s="57" t="n"/>
      <c r="D3043" s="57" t="n"/>
      <c r="E3043" s="56" t="n"/>
      <c r="F3043" s="57" t="n"/>
      <c r="G3043" s="57" t="n"/>
      <c r="H3043" s="56" t="n"/>
      <c r="I3043" s="56" t="n"/>
      <c r="J3043" s="58" t="n"/>
      <c r="K3043" s="58" t="n"/>
      <c r="L3043" s="13">
        <f>IF(OR($A3043="",AND($J3043="",$K3043="")),"",ROUND(N($J3043)-N($K3043),2))</f>
        <v/>
      </c>
      <c r="M3043" s="13">
        <f>IF(OR($A3043="",AND($J3043="",$K3043="")),"",MIN($J3043,$K3043))</f>
        <v/>
      </c>
      <c r="Q3043">
        <f>IF($A3043="","",$D3043&amp;"("&amp;SUBSTITUTE($E3043," ","")&amp;")")</f>
        <v/>
      </c>
      <c r="R3043">
        <f>IF($A3043="","",$B3043&amp;" - "&amp;$C3043)</f>
        <v/>
      </c>
      <c r="S3043">
        <f>IF($A3043="","",$R3043&amp;"|"&amp;$Q3043)</f>
        <v/>
      </c>
      <c r="T3043">
        <f>IF($A3043="","",$S3043&amp;"|"&amp;$F3043)</f>
        <v/>
      </c>
      <c r="U3043">
        <f>IF($A3043="","",$R3043&amp;"("&amp;$E3043&amp;")")</f>
        <v/>
      </c>
      <c r="V3043">
        <f>IF($A3043="","",$F3043&amp;"|"&amp;$U3043&amp;"|"&amp;$D3043)</f>
        <v/>
      </c>
      <c r="W3043">
        <f>IF($T3043="","",IF($X3043&gt;N($X3042),$X3043,""))</f>
        <v/>
      </c>
      <c r="X3043">
        <f>IF($T3043="",N($X3042),IF(MATCH($T3043,$T$6:$T$6005,0)=ROW()-5,N($X3042)+1,N($X3042)))</f>
        <v/>
      </c>
      <c r="Z3043">
        <f>IF($V3043="","",IF($AA3043&gt;N($AA3042),$AA3043,""))</f>
        <v/>
      </c>
      <c r="AA3043">
        <f>IF($V3043="",N($AA3042),IF(MATCH($V3043,$V$6:$V$6005,0)=ROW()-5,N($AA3042)+1,N($AA3042)))</f>
        <v/>
      </c>
    </row>
    <row r="3044" ht="21" customHeight="1" s="66">
      <c r="A3044" s="56" t="n"/>
      <c r="B3044" s="57" t="n"/>
      <c r="C3044" s="57" t="n"/>
      <c r="D3044" s="57" t="n"/>
      <c r="E3044" s="56" t="n"/>
      <c r="F3044" s="57" t="n"/>
      <c r="G3044" s="57" t="n"/>
      <c r="H3044" s="56" t="n"/>
      <c r="I3044" s="56" t="n"/>
      <c r="J3044" s="58" t="n"/>
      <c r="K3044" s="58" t="n"/>
      <c r="L3044" s="13">
        <f>IF(OR($A3044="",AND($J3044="",$K3044="")),"",ROUND(N($J3044)-N($K3044),2))</f>
        <v/>
      </c>
      <c r="M3044" s="13">
        <f>IF(OR($A3044="",AND($J3044="",$K3044="")),"",MIN($J3044,$K3044))</f>
        <v/>
      </c>
      <c r="Q3044">
        <f>IF($A3044="","",$D3044&amp;"("&amp;SUBSTITUTE($E3044," ","")&amp;")")</f>
        <v/>
      </c>
      <c r="R3044">
        <f>IF($A3044="","",$B3044&amp;" - "&amp;$C3044)</f>
        <v/>
      </c>
      <c r="S3044">
        <f>IF($A3044="","",$R3044&amp;"|"&amp;$Q3044)</f>
        <v/>
      </c>
      <c r="T3044">
        <f>IF($A3044="","",$S3044&amp;"|"&amp;$F3044)</f>
        <v/>
      </c>
      <c r="U3044">
        <f>IF($A3044="","",$R3044&amp;"("&amp;$E3044&amp;")")</f>
        <v/>
      </c>
      <c r="V3044">
        <f>IF($A3044="","",$F3044&amp;"|"&amp;$U3044&amp;"|"&amp;$D3044)</f>
        <v/>
      </c>
      <c r="W3044">
        <f>IF($T3044="","",IF($X3044&gt;N($X3043),$X3044,""))</f>
        <v/>
      </c>
      <c r="X3044">
        <f>IF($T3044="",N($X3043),IF(MATCH($T3044,$T$6:$T$6005,0)=ROW()-5,N($X3043)+1,N($X3043)))</f>
        <v/>
      </c>
      <c r="Z3044">
        <f>IF($V3044="","",IF($AA3044&gt;N($AA3043),$AA3044,""))</f>
        <v/>
      </c>
      <c r="AA3044">
        <f>IF($V3044="",N($AA3043),IF(MATCH($V3044,$V$6:$V$6005,0)=ROW()-5,N($AA3043)+1,N($AA3043)))</f>
        <v/>
      </c>
    </row>
    <row r="3045" ht="21" customHeight="1" s="66">
      <c r="A3045" s="56" t="n"/>
      <c r="B3045" s="57" t="n"/>
      <c r="C3045" s="57" t="n"/>
      <c r="D3045" s="57" t="n"/>
      <c r="E3045" s="56" t="n"/>
      <c r="F3045" s="57" t="n"/>
      <c r="G3045" s="57" t="n"/>
      <c r="H3045" s="56" t="n"/>
      <c r="I3045" s="56" t="n"/>
      <c r="J3045" s="58" t="n"/>
      <c r="K3045" s="58" t="n"/>
      <c r="L3045" s="13">
        <f>IF(OR($A3045="",AND($J3045="",$K3045="")),"",ROUND(N($J3045)-N($K3045),2))</f>
        <v/>
      </c>
      <c r="M3045" s="13">
        <f>IF(OR($A3045="",AND($J3045="",$K3045="")),"",MIN($J3045,$K3045))</f>
        <v/>
      </c>
      <c r="Q3045">
        <f>IF($A3045="","",$D3045&amp;"("&amp;SUBSTITUTE($E3045," ","")&amp;")")</f>
        <v/>
      </c>
      <c r="R3045">
        <f>IF($A3045="","",$B3045&amp;" - "&amp;$C3045)</f>
        <v/>
      </c>
      <c r="S3045">
        <f>IF($A3045="","",$R3045&amp;"|"&amp;$Q3045)</f>
        <v/>
      </c>
      <c r="T3045">
        <f>IF($A3045="","",$S3045&amp;"|"&amp;$F3045)</f>
        <v/>
      </c>
      <c r="U3045">
        <f>IF($A3045="","",$R3045&amp;"("&amp;$E3045&amp;")")</f>
        <v/>
      </c>
      <c r="V3045">
        <f>IF($A3045="","",$F3045&amp;"|"&amp;$U3045&amp;"|"&amp;$D3045)</f>
        <v/>
      </c>
      <c r="W3045">
        <f>IF($T3045="","",IF($X3045&gt;N($X3044),$X3045,""))</f>
        <v/>
      </c>
      <c r="X3045">
        <f>IF($T3045="",N($X3044),IF(MATCH($T3045,$T$6:$T$6005,0)=ROW()-5,N($X3044)+1,N($X3044)))</f>
        <v/>
      </c>
      <c r="Z3045">
        <f>IF($V3045="","",IF($AA3045&gt;N($AA3044),$AA3045,""))</f>
        <v/>
      </c>
      <c r="AA3045">
        <f>IF($V3045="",N($AA3044),IF(MATCH($V3045,$V$6:$V$6005,0)=ROW()-5,N($AA3044)+1,N($AA3044)))</f>
        <v/>
      </c>
    </row>
    <row r="3046" ht="21" customHeight="1" s="66">
      <c r="A3046" s="56" t="n"/>
      <c r="B3046" s="57" t="n"/>
      <c r="C3046" s="57" t="n"/>
      <c r="D3046" s="57" t="n"/>
      <c r="E3046" s="56" t="n"/>
      <c r="F3046" s="57" t="n"/>
      <c r="G3046" s="57" t="n"/>
      <c r="H3046" s="56" t="n"/>
      <c r="I3046" s="56" t="n"/>
      <c r="J3046" s="58" t="n"/>
      <c r="K3046" s="58" t="n"/>
      <c r="L3046" s="13">
        <f>IF(OR($A3046="",AND($J3046="",$K3046="")),"",ROUND(N($J3046)-N($K3046),2))</f>
        <v/>
      </c>
      <c r="M3046" s="13">
        <f>IF(OR($A3046="",AND($J3046="",$K3046="")),"",MIN($J3046,$K3046))</f>
        <v/>
      </c>
      <c r="Q3046">
        <f>IF($A3046="","",$D3046&amp;"("&amp;SUBSTITUTE($E3046," ","")&amp;")")</f>
        <v/>
      </c>
      <c r="R3046">
        <f>IF($A3046="","",$B3046&amp;" - "&amp;$C3046)</f>
        <v/>
      </c>
      <c r="S3046">
        <f>IF($A3046="","",$R3046&amp;"|"&amp;$Q3046)</f>
        <v/>
      </c>
      <c r="T3046">
        <f>IF($A3046="","",$S3046&amp;"|"&amp;$F3046)</f>
        <v/>
      </c>
      <c r="U3046">
        <f>IF($A3046="","",$R3046&amp;"("&amp;$E3046&amp;")")</f>
        <v/>
      </c>
      <c r="V3046">
        <f>IF($A3046="","",$F3046&amp;"|"&amp;$U3046&amp;"|"&amp;$D3046)</f>
        <v/>
      </c>
      <c r="W3046">
        <f>IF($T3046="","",IF($X3046&gt;N($X3045),$X3046,""))</f>
        <v/>
      </c>
      <c r="X3046">
        <f>IF($T3046="",N($X3045),IF(MATCH($T3046,$T$6:$T$6005,0)=ROW()-5,N($X3045)+1,N($X3045)))</f>
        <v/>
      </c>
      <c r="Z3046">
        <f>IF($V3046="","",IF($AA3046&gt;N($AA3045),$AA3046,""))</f>
        <v/>
      </c>
      <c r="AA3046">
        <f>IF($V3046="",N($AA3045),IF(MATCH($V3046,$V$6:$V$6005,0)=ROW()-5,N($AA3045)+1,N($AA3045)))</f>
        <v/>
      </c>
    </row>
    <row r="3047" ht="21" customHeight="1" s="66">
      <c r="A3047" s="56" t="n"/>
      <c r="B3047" s="57" t="n"/>
      <c r="C3047" s="57" t="n"/>
      <c r="D3047" s="57" t="n"/>
      <c r="E3047" s="56" t="n"/>
      <c r="F3047" s="57" t="n"/>
      <c r="G3047" s="57" t="n"/>
      <c r="H3047" s="56" t="n"/>
      <c r="I3047" s="56" t="n"/>
      <c r="J3047" s="58" t="n"/>
      <c r="K3047" s="58" t="n"/>
      <c r="L3047" s="13">
        <f>IF(OR($A3047="",AND($J3047="",$K3047="")),"",ROUND(N($J3047)-N($K3047),2))</f>
        <v/>
      </c>
      <c r="M3047" s="13">
        <f>IF(OR($A3047="",AND($J3047="",$K3047="")),"",MIN($J3047,$K3047))</f>
        <v/>
      </c>
      <c r="Q3047">
        <f>IF($A3047="","",$D3047&amp;"("&amp;SUBSTITUTE($E3047," ","")&amp;")")</f>
        <v/>
      </c>
      <c r="R3047">
        <f>IF($A3047="","",$B3047&amp;" - "&amp;$C3047)</f>
        <v/>
      </c>
      <c r="S3047">
        <f>IF($A3047="","",$R3047&amp;"|"&amp;$Q3047)</f>
        <v/>
      </c>
      <c r="T3047">
        <f>IF($A3047="","",$S3047&amp;"|"&amp;$F3047)</f>
        <v/>
      </c>
      <c r="U3047">
        <f>IF($A3047="","",$R3047&amp;"("&amp;$E3047&amp;")")</f>
        <v/>
      </c>
      <c r="V3047">
        <f>IF($A3047="","",$F3047&amp;"|"&amp;$U3047&amp;"|"&amp;$D3047)</f>
        <v/>
      </c>
      <c r="W3047">
        <f>IF($T3047="","",IF($X3047&gt;N($X3046),$X3047,""))</f>
        <v/>
      </c>
      <c r="X3047">
        <f>IF($T3047="",N($X3046),IF(MATCH($T3047,$T$6:$T$6005,0)=ROW()-5,N($X3046)+1,N($X3046)))</f>
        <v/>
      </c>
      <c r="Z3047">
        <f>IF($V3047="","",IF($AA3047&gt;N($AA3046),$AA3047,""))</f>
        <v/>
      </c>
      <c r="AA3047">
        <f>IF($V3047="",N($AA3046),IF(MATCH($V3047,$V$6:$V$6005,0)=ROW()-5,N($AA3046)+1,N($AA3046)))</f>
        <v/>
      </c>
    </row>
    <row r="3048" ht="21" customHeight="1" s="66">
      <c r="A3048" s="56" t="n"/>
      <c r="B3048" s="57" t="n"/>
      <c r="C3048" s="57" t="n"/>
      <c r="D3048" s="57" t="n"/>
      <c r="E3048" s="56" t="n"/>
      <c r="F3048" s="57" t="n"/>
      <c r="G3048" s="57" t="n"/>
      <c r="H3048" s="56" t="n"/>
      <c r="I3048" s="56" t="n"/>
      <c r="J3048" s="58" t="n"/>
      <c r="K3048" s="58" t="n"/>
      <c r="L3048" s="13">
        <f>IF(OR($A3048="",AND($J3048="",$K3048="")),"",ROUND(N($J3048)-N($K3048),2))</f>
        <v/>
      </c>
      <c r="M3048" s="13">
        <f>IF(OR($A3048="",AND($J3048="",$K3048="")),"",MIN($J3048,$K3048))</f>
        <v/>
      </c>
      <c r="Q3048">
        <f>IF($A3048="","",$D3048&amp;"("&amp;SUBSTITUTE($E3048," ","")&amp;")")</f>
        <v/>
      </c>
      <c r="R3048">
        <f>IF($A3048="","",$B3048&amp;" - "&amp;$C3048)</f>
        <v/>
      </c>
      <c r="S3048">
        <f>IF($A3048="","",$R3048&amp;"|"&amp;$Q3048)</f>
        <v/>
      </c>
      <c r="T3048">
        <f>IF($A3048="","",$S3048&amp;"|"&amp;$F3048)</f>
        <v/>
      </c>
      <c r="U3048">
        <f>IF($A3048="","",$R3048&amp;"("&amp;$E3048&amp;")")</f>
        <v/>
      </c>
      <c r="V3048">
        <f>IF($A3048="","",$F3048&amp;"|"&amp;$U3048&amp;"|"&amp;$D3048)</f>
        <v/>
      </c>
      <c r="W3048">
        <f>IF($T3048="","",IF($X3048&gt;N($X3047),$X3048,""))</f>
        <v/>
      </c>
      <c r="X3048">
        <f>IF($T3048="",N($X3047),IF(MATCH($T3048,$T$6:$T$6005,0)=ROW()-5,N($X3047)+1,N($X3047)))</f>
        <v/>
      </c>
      <c r="Z3048">
        <f>IF($V3048="","",IF($AA3048&gt;N($AA3047),$AA3048,""))</f>
        <v/>
      </c>
      <c r="AA3048">
        <f>IF($V3048="",N($AA3047),IF(MATCH($V3048,$V$6:$V$6005,0)=ROW()-5,N($AA3047)+1,N($AA3047)))</f>
        <v/>
      </c>
    </row>
    <row r="3049" ht="21" customHeight="1" s="66">
      <c r="A3049" s="56" t="n"/>
      <c r="B3049" s="57" t="n"/>
      <c r="C3049" s="57" t="n"/>
      <c r="D3049" s="57" t="n"/>
      <c r="E3049" s="56" t="n"/>
      <c r="F3049" s="57" t="n"/>
      <c r="G3049" s="57" t="n"/>
      <c r="H3049" s="56" t="n"/>
      <c r="I3049" s="56" t="n"/>
      <c r="J3049" s="58" t="n"/>
      <c r="K3049" s="58" t="n"/>
      <c r="L3049" s="13">
        <f>IF(OR($A3049="",AND($J3049="",$K3049="")),"",ROUND(N($J3049)-N($K3049),2))</f>
        <v/>
      </c>
      <c r="M3049" s="13">
        <f>IF(OR($A3049="",AND($J3049="",$K3049="")),"",MIN($J3049,$K3049))</f>
        <v/>
      </c>
      <c r="Q3049">
        <f>IF($A3049="","",$D3049&amp;"("&amp;SUBSTITUTE($E3049," ","")&amp;")")</f>
        <v/>
      </c>
      <c r="R3049">
        <f>IF($A3049="","",$B3049&amp;" - "&amp;$C3049)</f>
        <v/>
      </c>
      <c r="S3049">
        <f>IF($A3049="","",$R3049&amp;"|"&amp;$Q3049)</f>
        <v/>
      </c>
      <c r="T3049">
        <f>IF($A3049="","",$S3049&amp;"|"&amp;$F3049)</f>
        <v/>
      </c>
      <c r="U3049">
        <f>IF($A3049="","",$R3049&amp;"("&amp;$E3049&amp;")")</f>
        <v/>
      </c>
      <c r="V3049">
        <f>IF($A3049="","",$F3049&amp;"|"&amp;$U3049&amp;"|"&amp;$D3049)</f>
        <v/>
      </c>
      <c r="W3049">
        <f>IF($T3049="","",IF($X3049&gt;N($X3048),$X3049,""))</f>
        <v/>
      </c>
      <c r="X3049">
        <f>IF($T3049="",N($X3048),IF(MATCH($T3049,$T$6:$T$6005,0)=ROW()-5,N($X3048)+1,N($X3048)))</f>
        <v/>
      </c>
      <c r="Z3049">
        <f>IF($V3049="","",IF($AA3049&gt;N($AA3048),$AA3049,""))</f>
        <v/>
      </c>
      <c r="AA3049">
        <f>IF($V3049="",N($AA3048),IF(MATCH($V3049,$V$6:$V$6005,0)=ROW()-5,N($AA3048)+1,N($AA3048)))</f>
        <v/>
      </c>
    </row>
    <row r="3050" ht="21" customHeight="1" s="66">
      <c r="A3050" s="56" t="n"/>
      <c r="B3050" s="57" t="n"/>
      <c r="C3050" s="57" t="n"/>
      <c r="D3050" s="57" t="n"/>
      <c r="E3050" s="56" t="n"/>
      <c r="F3050" s="57" t="n"/>
      <c r="G3050" s="57" t="n"/>
      <c r="H3050" s="56" t="n"/>
      <c r="I3050" s="56" t="n"/>
      <c r="J3050" s="58" t="n"/>
      <c r="K3050" s="58" t="n"/>
      <c r="L3050" s="13">
        <f>IF(OR($A3050="",AND($J3050="",$K3050="")),"",ROUND(N($J3050)-N($K3050),2))</f>
        <v/>
      </c>
      <c r="M3050" s="13">
        <f>IF(OR($A3050="",AND($J3050="",$K3050="")),"",MIN($J3050,$K3050))</f>
        <v/>
      </c>
      <c r="Q3050">
        <f>IF($A3050="","",$D3050&amp;"("&amp;SUBSTITUTE($E3050," ","")&amp;")")</f>
        <v/>
      </c>
      <c r="R3050">
        <f>IF($A3050="","",$B3050&amp;" - "&amp;$C3050)</f>
        <v/>
      </c>
      <c r="S3050">
        <f>IF($A3050="","",$R3050&amp;"|"&amp;$Q3050)</f>
        <v/>
      </c>
      <c r="T3050">
        <f>IF($A3050="","",$S3050&amp;"|"&amp;$F3050)</f>
        <v/>
      </c>
      <c r="U3050">
        <f>IF($A3050="","",$R3050&amp;"("&amp;$E3050&amp;")")</f>
        <v/>
      </c>
      <c r="V3050">
        <f>IF($A3050="","",$F3050&amp;"|"&amp;$U3050&amp;"|"&amp;$D3050)</f>
        <v/>
      </c>
      <c r="W3050">
        <f>IF($T3050="","",IF($X3050&gt;N($X3049),$X3050,""))</f>
        <v/>
      </c>
      <c r="X3050">
        <f>IF($T3050="",N($X3049),IF(MATCH($T3050,$T$6:$T$6005,0)=ROW()-5,N($X3049)+1,N($X3049)))</f>
        <v/>
      </c>
      <c r="Z3050">
        <f>IF($V3050="","",IF($AA3050&gt;N($AA3049),$AA3050,""))</f>
        <v/>
      </c>
      <c r="AA3050">
        <f>IF($V3050="",N($AA3049),IF(MATCH($V3050,$V$6:$V$6005,0)=ROW()-5,N($AA3049)+1,N($AA3049)))</f>
        <v/>
      </c>
    </row>
    <row r="3051" ht="21" customHeight="1" s="66">
      <c r="A3051" s="56" t="n"/>
      <c r="B3051" s="57" t="n"/>
      <c r="C3051" s="57" t="n"/>
      <c r="D3051" s="57" t="n"/>
      <c r="E3051" s="56" t="n"/>
      <c r="F3051" s="57" t="n"/>
      <c r="G3051" s="57" t="n"/>
      <c r="H3051" s="56" t="n"/>
      <c r="I3051" s="56" t="n"/>
      <c r="J3051" s="58" t="n"/>
      <c r="K3051" s="58" t="n"/>
      <c r="L3051" s="13">
        <f>IF(OR($A3051="",AND($J3051="",$K3051="")),"",ROUND(N($J3051)-N($K3051),2))</f>
        <v/>
      </c>
      <c r="M3051" s="13">
        <f>IF(OR($A3051="",AND($J3051="",$K3051="")),"",MIN($J3051,$K3051))</f>
        <v/>
      </c>
      <c r="Q3051">
        <f>IF($A3051="","",$D3051&amp;"("&amp;SUBSTITUTE($E3051," ","")&amp;")")</f>
        <v/>
      </c>
      <c r="R3051">
        <f>IF($A3051="","",$B3051&amp;" - "&amp;$C3051)</f>
        <v/>
      </c>
      <c r="S3051">
        <f>IF($A3051="","",$R3051&amp;"|"&amp;$Q3051)</f>
        <v/>
      </c>
      <c r="T3051">
        <f>IF($A3051="","",$S3051&amp;"|"&amp;$F3051)</f>
        <v/>
      </c>
      <c r="U3051">
        <f>IF($A3051="","",$R3051&amp;"("&amp;$E3051&amp;")")</f>
        <v/>
      </c>
      <c r="V3051">
        <f>IF($A3051="","",$F3051&amp;"|"&amp;$U3051&amp;"|"&amp;$D3051)</f>
        <v/>
      </c>
      <c r="W3051">
        <f>IF($T3051="","",IF($X3051&gt;N($X3050),$X3051,""))</f>
        <v/>
      </c>
      <c r="X3051">
        <f>IF($T3051="",N($X3050),IF(MATCH($T3051,$T$6:$T$6005,0)=ROW()-5,N($X3050)+1,N($X3050)))</f>
        <v/>
      </c>
      <c r="Z3051">
        <f>IF($V3051="","",IF($AA3051&gt;N($AA3050),$AA3051,""))</f>
        <v/>
      </c>
      <c r="AA3051">
        <f>IF($V3051="",N($AA3050),IF(MATCH($V3051,$V$6:$V$6005,0)=ROW()-5,N($AA3050)+1,N($AA3050)))</f>
        <v/>
      </c>
    </row>
    <row r="3052" ht="21" customHeight="1" s="66">
      <c r="A3052" s="56" t="n"/>
      <c r="B3052" s="57" t="n"/>
      <c r="C3052" s="57" t="n"/>
      <c r="D3052" s="57" t="n"/>
      <c r="E3052" s="56" t="n"/>
      <c r="F3052" s="57" t="n"/>
      <c r="G3052" s="57" t="n"/>
      <c r="H3052" s="56" t="n"/>
      <c r="I3052" s="56" t="n"/>
      <c r="J3052" s="58" t="n"/>
      <c r="K3052" s="58" t="n"/>
      <c r="L3052" s="13">
        <f>IF(OR($A3052="",AND($J3052="",$K3052="")),"",ROUND(N($J3052)-N($K3052),2))</f>
        <v/>
      </c>
      <c r="M3052" s="13">
        <f>IF(OR($A3052="",AND($J3052="",$K3052="")),"",MIN($J3052,$K3052))</f>
        <v/>
      </c>
      <c r="Q3052">
        <f>IF($A3052="","",$D3052&amp;"("&amp;SUBSTITUTE($E3052," ","")&amp;")")</f>
        <v/>
      </c>
      <c r="R3052">
        <f>IF($A3052="","",$B3052&amp;" - "&amp;$C3052)</f>
        <v/>
      </c>
      <c r="S3052">
        <f>IF($A3052="","",$R3052&amp;"|"&amp;$Q3052)</f>
        <v/>
      </c>
      <c r="T3052">
        <f>IF($A3052="","",$S3052&amp;"|"&amp;$F3052)</f>
        <v/>
      </c>
      <c r="U3052">
        <f>IF($A3052="","",$R3052&amp;"("&amp;$E3052&amp;")")</f>
        <v/>
      </c>
      <c r="V3052">
        <f>IF($A3052="","",$F3052&amp;"|"&amp;$U3052&amp;"|"&amp;$D3052)</f>
        <v/>
      </c>
      <c r="W3052">
        <f>IF($T3052="","",IF($X3052&gt;N($X3051),$X3052,""))</f>
        <v/>
      </c>
      <c r="X3052">
        <f>IF($T3052="",N($X3051),IF(MATCH($T3052,$T$6:$T$6005,0)=ROW()-5,N($X3051)+1,N($X3051)))</f>
        <v/>
      </c>
      <c r="Z3052">
        <f>IF($V3052="","",IF($AA3052&gt;N($AA3051),$AA3052,""))</f>
        <v/>
      </c>
      <c r="AA3052">
        <f>IF($V3052="",N($AA3051),IF(MATCH($V3052,$V$6:$V$6005,0)=ROW()-5,N($AA3051)+1,N($AA3051)))</f>
        <v/>
      </c>
    </row>
    <row r="3053" ht="21" customHeight="1" s="66">
      <c r="A3053" s="56" t="n"/>
      <c r="B3053" s="57" t="n"/>
      <c r="C3053" s="57" t="n"/>
      <c r="D3053" s="57" t="n"/>
      <c r="E3053" s="56" t="n"/>
      <c r="F3053" s="57" t="n"/>
      <c r="G3053" s="57" t="n"/>
      <c r="H3053" s="56" t="n"/>
      <c r="I3053" s="56" t="n"/>
      <c r="J3053" s="58" t="n"/>
      <c r="K3053" s="58" t="n"/>
      <c r="L3053" s="13">
        <f>IF(OR($A3053="",AND($J3053="",$K3053="")),"",ROUND(N($J3053)-N($K3053),2))</f>
        <v/>
      </c>
      <c r="M3053" s="13">
        <f>IF(OR($A3053="",AND($J3053="",$K3053="")),"",MIN($J3053,$K3053))</f>
        <v/>
      </c>
      <c r="Q3053">
        <f>IF($A3053="","",$D3053&amp;"("&amp;SUBSTITUTE($E3053," ","")&amp;")")</f>
        <v/>
      </c>
      <c r="R3053">
        <f>IF($A3053="","",$B3053&amp;" - "&amp;$C3053)</f>
        <v/>
      </c>
      <c r="S3053">
        <f>IF($A3053="","",$R3053&amp;"|"&amp;$Q3053)</f>
        <v/>
      </c>
      <c r="T3053">
        <f>IF($A3053="","",$S3053&amp;"|"&amp;$F3053)</f>
        <v/>
      </c>
      <c r="U3053">
        <f>IF($A3053="","",$R3053&amp;"("&amp;$E3053&amp;")")</f>
        <v/>
      </c>
      <c r="V3053">
        <f>IF($A3053="","",$F3053&amp;"|"&amp;$U3053&amp;"|"&amp;$D3053)</f>
        <v/>
      </c>
      <c r="W3053">
        <f>IF($T3053="","",IF($X3053&gt;N($X3052),$X3053,""))</f>
        <v/>
      </c>
      <c r="X3053">
        <f>IF($T3053="",N($X3052),IF(MATCH($T3053,$T$6:$T$6005,0)=ROW()-5,N($X3052)+1,N($X3052)))</f>
        <v/>
      </c>
      <c r="Z3053">
        <f>IF($V3053="","",IF($AA3053&gt;N($AA3052),$AA3053,""))</f>
        <v/>
      </c>
      <c r="AA3053">
        <f>IF($V3053="",N($AA3052),IF(MATCH($V3053,$V$6:$V$6005,0)=ROW()-5,N($AA3052)+1,N($AA3052)))</f>
        <v/>
      </c>
    </row>
    <row r="3054" ht="21" customHeight="1" s="66">
      <c r="A3054" s="56" t="n"/>
      <c r="B3054" s="57" t="n"/>
      <c r="C3054" s="57" t="n"/>
      <c r="D3054" s="57" t="n"/>
      <c r="E3054" s="56" t="n"/>
      <c r="F3054" s="57" t="n"/>
      <c r="G3054" s="57" t="n"/>
      <c r="H3054" s="56" t="n"/>
      <c r="I3054" s="56" t="n"/>
      <c r="J3054" s="58" t="n"/>
      <c r="K3054" s="58" t="n"/>
      <c r="L3054" s="13">
        <f>IF(OR($A3054="",AND($J3054="",$K3054="")),"",ROUND(N($J3054)-N($K3054),2))</f>
        <v/>
      </c>
      <c r="M3054" s="13">
        <f>IF(OR($A3054="",AND($J3054="",$K3054="")),"",MIN($J3054,$K3054))</f>
        <v/>
      </c>
      <c r="Q3054">
        <f>IF($A3054="","",$D3054&amp;"("&amp;SUBSTITUTE($E3054," ","")&amp;")")</f>
        <v/>
      </c>
      <c r="R3054">
        <f>IF($A3054="","",$B3054&amp;" - "&amp;$C3054)</f>
        <v/>
      </c>
      <c r="S3054">
        <f>IF($A3054="","",$R3054&amp;"|"&amp;$Q3054)</f>
        <v/>
      </c>
      <c r="T3054">
        <f>IF($A3054="","",$S3054&amp;"|"&amp;$F3054)</f>
        <v/>
      </c>
      <c r="U3054">
        <f>IF($A3054="","",$R3054&amp;"("&amp;$E3054&amp;")")</f>
        <v/>
      </c>
      <c r="V3054">
        <f>IF($A3054="","",$F3054&amp;"|"&amp;$U3054&amp;"|"&amp;$D3054)</f>
        <v/>
      </c>
      <c r="W3054">
        <f>IF($T3054="","",IF($X3054&gt;N($X3053),$X3054,""))</f>
        <v/>
      </c>
      <c r="X3054">
        <f>IF($T3054="",N($X3053),IF(MATCH($T3054,$T$6:$T$6005,0)=ROW()-5,N($X3053)+1,N($X3053)))</f>
        <v/>
      </c>
      <c r="Z3054">
        <f>IF($V3054="","",IF($AA3054&gt;N($AA3053),$AA3054,""))</f>
        <v/>
      </c>
      <c r="AA3054">
        <f>IF($V3054="",N($AA3053),IF(MATCH($V3054,$V$6:$V$6005,0)=ROW()-5,N($AA3053)+1,N($AA3053)))</f>
        <v/>
      </c>
    </row>
    <row r="3055" ht="21" customHeight="1" s="66">
      <c r="A3055" s="56" t="n"/>
      <c r="B3055" s="57" t="n"/>
      <c r="C3055" s="57" t="n"/>
      <c r="D3055" s="57" t="n"/>
      <c r="E3055" s="56" t="n"/>
      <c r="F3055" s="57" t="n"/>
      <c r="G3055" s="57" t="n"/>
      <c r="H3055" s="56" t="n"/>
      <c r="I3055" s="56" t="n"/>
      <c r="J3055" s="58" t="n"/>
      <c r="K3055" s="58" t="n"/>
      <c r="L3055" s="13">
        <f>IF(OR($A3055="",AND($J3055="",$K3055="")),"",ROUND(N($J3055)-N($K3055),2))</f>
        <v/>
      </c>
      <c r="M3055" s="13">
        <f>IF(OR($A3055="",AND($J3055="",$K3055="")),"",MIN($J3055,$K3055))</f>
        <v/>
      </c>
      <c r="Q3055">
        <f>IF($A3055="","",$D3055&amp;"("&amp;SUBSTITUTE($E3055," ","")&amp;")")</f>
        <v/>
      </c>
      <c r="R3055">
        <f>IF($A3055="","",$B3055&amp;" - "&amp;$C3055)</f>
        <v/>
      </c>
      <c r="S3055">
        <f>IF($A3055="","",$R3055&amp;"|"&amp;$Q3055)</f>
        <v/>
      </c>
      <c r="T3055">
        <f>IF($A3055="","",$S3055&amp;"|"&amp;$F3055)</f>
        <v/>
      </c>
      <c r="U3055">
        <f>IF($A3055="","",$R3055&amp;"("&amp;$E3055&amp;")")</f>
        <v/>
      </c>
      <c r="V3055">
        <f>IF($A3055="","",$F3055&amp;"|"&amp;$U3055&amp;"|"&amp;$D3055)</f>
        <v/>
      </c>
      <c r="W3055">
        <f>IF($T3055="","",IF($X3055&gt;N($X3054),$X3055,""))</f>
        <v/>
      </c>
      <c r="X3055">
        <f>IF($T3055="",N($X3054),IF(MATCH($T3055,$T$6:$T$6005,0)=ROW()-5,N($X3054)+1,N($X3054)))</f>
        <v/>
      </c>
      <c r="Z3055">
        <f>IF($V3055="","",IF($AA3055&gt;N($AA3054),$AA3055,""))</f>
        <v/>
      </c>
      <c r="AA3055">
        <f>IF($V3055="",N($AA3054),IF(MATCH($V3055,$V$6:$V$6005,0)=ROW()-5,N($AA3054)+1,N($AA3054)))</f>
        <v/>
      </c>
    </row>
    <row r="3056" ht="21" customHeight="1" s="66">
      <c r="A3056" s="56" t="n"/>
      <c r="B3056" s="57" t="n"/>
      <c r="C3056" s="57" t="n"/>
      <c r="D3056" s="57" t="n"/>
      <c r="E3056" s="56" t="n"/>
      <c r="F3056" s="57" t="n"/>
      <c r="G3056" s="57" t="n"/>
      <c r="H3056" s="56" t="n"/>
      <c r="I3056" s="56" t="n"/>
      <c r="J3056" s="58" t="n"/>
      <c r="K3056" s="58" t="n"/>
      <c r="L3056" s="13">
        <f>IF(OR($A3056="",AND($J3056="",$K3056="")),"",ROUND(N($J3056)-N($K3056),2))</f>
        <v/>
      </c>
      <c r="M3056" s="13">
        <f>IF(OR($A3056="",AND($J3056="",$K3056="")),"",MIN($J3056,$K3056))</f>
        <v/>
      </c>
      <c r="Q3056">
        <f>IF($A3056="","",$D3056&amp;"("&amp;SUBSTITUTE($E3056," ","")&amp;")")</f>
        <v/>
      </c>
      <c r="R3056">
        <f>IF($A3056="","",$B3056&amp;" - "&amp;$C3056)</f>
        <v/>
      </c>
      <c r="S3056">
        <f>IF($A3056="","",$R3056&amp;"|"&amp;$Q3056)</f>
        <v/>
      </c>
      <c r="T3056">
        <f>IF($A3056="","",$S3056&amp;"|"&amp;$F3056)</f>
        <v/>
      </c>
      <c r="U3056">
        <f>IF($A3056="","",$R3056&amp;"("&amp;$E3056&amp;")")</f>
        <v/>
      </c>
      <c r="V3056">
        <f>IF($A3056="","",$F3056&amp;"|"&amp;$U3056&amp;"|"&amp;$D3056)</f>
        <v/>
      </c>
      <c r="W3056">
        <f>IF($T3056="","",IF($X3056&gt;N($X3055),$X3056,""))</f>
        <v/>
      </c>
      <c r="X3056">
        <f>IF($T3056="",N($X3055),IF(MATCH($T3056,$T$6:$T$6005,0)=ROW()-5,N($X3055)+1,N($X3055)))</f>
        <v/>
      </c>
      <c r="Z3056">
        <f>IF($V3056="","",IF($AA3056&gt;N($AA3055),$AA3056,""))</f>
        <v/>
      </c>
      <c r="AA3056">
        <f>IF($V3056="",N($AA3055),IF(MATCH($V3056,$V$6:$V$6005,0)=ROW()-5,N($AA3055)+1,N($AA3055)))</f>
        <v/>
      </c>
    </row>
    <row r="3057" ht="21" customHeight="1" s="66">
      <c r="A3057" s="56" t="n"/>
      <c r="B3057" s="57" t="n"/>
      <c r="C3057" s="57" t="n"/>
      <c r="D3057" s="57" t="n"/>
      <c r="E3057" s="56" t="n"/>
      <c r="F3057" s="57" t="n"/>
      <c r="G3057" s="57" t="n"/>
      <c r="H3057" s="56" t="n"/>
      <c r="I3057" s="56" t="n"/>
      <c r="J3057" s="58" t="n"/>
      <c r="K3057" s="58" t="n"/>
      <c r="L3057" s="13">
        <f>IF(OR($A3057="",AND($J3057="",$K3057="")),"",ROUND(N($J3057)-N($K3057),2))</f>
        <v/>
      </c>
      <c r="M3057" s="13">
        <f>IF(OR($A3057="",AND($J3057="",$K3057="")),"",MIN($J3057,$K3057))</f>
        <v/>
      </c>
      <c r="Q3057">
        <f>IF($A3057="","",$D3057&amp;"("&amp;SUBSTITUTE($E3057," ","")&amp;")")</f>
        <v/>
      </c>
      <c r="R3057">
        <f>IF($A3057="","",$B3057&amp;" - "&amp;$C3057)</f>
        <v/>
      </c>
      <c r="S3057">
        <f>IF($A3057="","",$R3057&amp;"|"&amp;$Q3057)</f>
        <v/>
      </c>
      <c r="T3057">
        <f>IF($A3057="","",$S3057&amp;"|"&amp;$F3057)</f>
        <v/>
      </c>
      <c r="U3057">
        <f>IF($A3057="","",$R3057&amp;"("&amp;$E3057&amp;")")</f>
        <v/>
      </c>
      <c r="V3057">
        <f>IF($A3057="","",$F3057&amp;"|"&amp;$U3057&amp;"|"&amp;$D3057)</f>
        <v/>
      </c>
      <c r="W3057">
        <f>IF($T3057="","",IF($X3057&gt;N($X3056),$X3057,""))</f>
        <v/>
      </c>
      <c r="X3057">
        <f>IF($T3057="",N($X3056),IF(MATCH($T3057,$T$6:$T$6005,0)=ROW()-5,N($X3056)+1,N($X3056)))</f>
        <v/>
      </c>
      <c r="Z3057">
        <f>IF($V3057="","",IF($AA3057&gt;N($AA3056),$AA3057,""))</f>
        <v/>
      </c>
      <c r="AA3057">
        <f>IF($V3057="",N($AA3056),IF(MATCH($V3057,$V$6:$V$6005,0)=ROW()-5,N($AA3056)+1,N($AA3056)))</f>
        <v/>
      </c>
    </row>
    <row r="3058" ht="21" customHeight="1" s="66">
      <c r="A3058" s="56" t="n"/>
      <c r="B3058" s="57" t="n"/>
      <c r="C3058" s="57" t="n"/>
      <c r="D3058" s="57" t="n"/>
      <c r="E3058" s="56" t="n"/>
      <c r="F3058" s="57" t="n"/>
      <c r="G3058" s="57" t="n"/>
      <c r="H3058" s="56" t="n"/>
      <c r="I3058" s="56" t="n"/>
      <c r="J3058" s="58" t="n"/>
      <c r="K3058" s="58" t="n"/>
      <c r="L3058" s="13">
        <f>IF(OR($A3058="",AND($J3058="",$K3058="")),"",ROUND(N($J3058)-N($K3058),2))</f>
        <v/>
      </c>
      <c r="M3058" s="13">
        <f>IF(OR($A3058="",AND($J3058="",$K3058="")),"",MIN($J3058,$K3058))</f>
        <v/>
      </c>
      <c r="Q3058">
        <f>IF($A3058="","",$D3058&amp;"("&amp;SUBSTITUTE($E3058," ","")&amp;")")</f>
        <v/>
      </c>
      <c r="R3058">
        <f>IF($A3058="","",$B3058&amp;" - "&amp;$C3058)</f>
        <v/>
      </c>
      <c r="S3058">
        <f>IF($A3058="","",$R3058&amp;"|"&amp;$Q3058)</f>
        <v/>
      </c>
      <c r="T3058">
        <f>IF($A3058="","",$S3058&amp;"|"&amp;$F3058)</f>
        <v/>
      </c>
      <c r="U3058">
        <f>IF($A3058="","",$R3058&amp;"("&amp;$E3058&amp;")")</f>
        <v/>
      </c>
      <c r="V3058">
        <f>IF($A3058="","",$F3058&amp;"|"&amp;$U3058&amp;"|"&amp;$D3058)</f>
        <v/>
      </c>
      <c r="W3058">
        <f>IF($T3058="","",IF($X3058&gt;N($X3057),$X3058,""))</f>
        <v/>
      </c>
      <c r="X3058">
        <f>IF($T3058="",N($X3057),IF(MATCH($T3058,$T$6:$T$6005,0)=ROW()-5,N($X3057)+1,N($X3057)))</f>
        <v/>
      </c>
      <c r="Z3058">
        <f>IF($V3058="","",IF($AA3058&gt;N($AA3057),$AA3058,""))</f>
        <v/>
      </c>
      <c r="AA3058">
        <f>IF($V3058="",N($AA3057),IF(MATCH($V3058,$V$6:$V$6005,0)=ROW()-5,N($AA3057)+1,N($AA3057)))</f>
        <v/>
      </c>
    </row>
    <row r="3059" ht="21" customHeight="1" s="66">
      <c r="A3059" s="56" t="n"/>
      <c r="B3059" s="57" t="n"/>
      <c r="C3059" s="57" t="n"/>
      <c r="D3059" s="57" t="n"/>
      <c r="E3059" s="56" t="n"/>
      <c r="F3059" s="57" t="n"/>
      <c r="G3059" s="57" t="n"/>
      <c r="H3059" s="56" t="n"/>
      <c r="I3059" s="56" t="n"/>
      <c r="J3059" s="58" t="n"/>
      <c r="K3059" s="58" t="n"/>
      <c r="L3059" s="13">
        <f>IF(OR($A3059="",AND($J3059="",$K3059="")),"",ROUND(N($J3059)-N($K3059),2))</f>
        <v/>
      </c>
      <c r="M3059" s="13">
        <f>IF(OR($A3059="",AND($J3059="",$K3059="")),"",MIN($J3059,$K3059))</f>
        <v/>
      </c>
      <c r="Q3059">
        <f>IF($A3059="","",$D3059&amp;"("&amp;SUBSTITUTE($E3059," ","")&amp;")")</f>
        <v/>
      </c>
      <c r="R3059">
        <f>IF($A3059="","",$B3059&amp;" - "&amp;$C3059)</f>
        <v/>
      </c>
      <c r="S3059">
        <f>IF($A3059="","",$R3059&amp;"|"&amp;$Q3059)</f>
        <v/>
      </c>
      <c r="T3059">
        <f>IF($A3059="","",$S3059&amp;"|"&amp;$F3059)</f>
        <v/>
      </c>
      <c r="U3059">
        <f>IF($A3059="","",$R3059&amp;"("&amp;$E3059&amp;")")</f>
        <v/>
      </c>
      <c r="V3059">
        <f>IF($A3059="","",$F3059&amp;"|"&amp;$U3059&amp;"|"&amp;$D3059)</f>
        <v/>
      </c>
      <c r="W3059">
        <f>IF($T3059="","",IF($X3059&gt;N($X3058),$X3059,""))</f>
        <v/>
      </c>
      <c r="X3059">
        <f>IF($T3059="",N($X3058),IF(MATCH($T3059,$T$6:$T$6005,0)=ROW()-5,N($X3058)+1,N($X3058)))</f>
        <v/>
      </c>
      <c r="Z3059">
        <f>IF($V3059="","",IF($AA3059&gt;N($AA3058),$AA3059,""))</f>
        <v/>
      </c>
      <c r="AA3059">
        <f>IF($V3059="",N($AA3058),IF(MATCH($V3059,$V$6:$V$6005,0)=ROW()-5,N($AA3058)+1,N($AA3058)))</f>
        <v/>
      </c>
    </row>
    <row r="3060" ht="21" customHeight="1" s="66">
      <c r="A3060" s="56" t="n"/>
      <c r="B3060" s="57" t="n"/>
      <c r="C3060" s="57" t="n"/>
      <c r="D3060" s="57" t="n"/>
      <c r="E3060" s="56" t="n"/>
      <c r="F3060" s="57" t="n"/>
      <c r="G3060" s="57" t="n"/>
      <c r="H3060" s="56" t="n"/>
      <c r="I3060" s="56" t="n"/>
      <c r="J3060" s="58" t="n"/>
      <c r="K3060" s="58" t="n"/>
      <c r="L3060" s="13">
        <f>IF(OR($A3060="",AND($J3060="",$K3060="")),"",ROUND(N($J3060)-N($K3060),2))</f>
        <v/>
      </c>
      <c r="M3060" s="13">
        <f>IF(OR($A3060="",AND($J3060="",$K3060="")),"",MIN($J3060,$K3060))</f>
        <v/>
      </c>
      <c r="Q3060">
        <f>IF($A3060="","",$D3060&amp;"("&amp;SUBSTITUTE($E3060," ","")&amp;")")</f>
        <v/>
      </c>
      <c r="R3060">
        <f>IF($A3060="","",$B3060&amp;" - "&amp;$C3060)</f>
        <v/>
      </c>
      <c r="S3060">
        <f>IF($A3060="","",$R3060&amp;"|"&amp;$Q3060)</f>
        <v/>
      </c>
      <c r="T3060">
        <f>IF($A3060="","",$S3060&amp;"|"&amp;$F3060)</f>
        <v/>
      </c>
      <c r="U3060">
        <f>IF($A3060="","",$R3060&amp;"("&amp;$E3060&amp;")")</f>
        <v/>
      </c>
      <c r="V3060">
        <f>IF($A3060="","",$F3060&amp;"|"&amp;$U3060&amp;"|"&amp;$D3060)</f>
        <v/>
      </c>
      <c r="W3060">
        <f>IF($T3060="","",IF($X3060&gt;N($X3059),$X3060,""))</f>
        <v/>
      </c>
      <c r="X3060">
        <f>IF($T3060="",N($X3059),IF(MATCH($T3060,$T$6:$T$6005,0)=ROW()-5,N($X3059)+1,N($X3059)))</f>
        <v/>
      </c>
      <c r="Z3060">
        <f>IF($V3060="","",IF($AA3060&gt;N($AA3059),$AA3060,""))</f>
        <v/>
      </c>
      <c r="AA3060">
        <f>IF($V3060="",N($AA3059),IF(MATCH($V3060,$V$6:$V$6005,0)=ROW()-5,N($AA3059)+1,N($AA3059)))</f>
        <v/>
      </c>
    </row>
    <row r="3061" ht="21" customHeight="1" s="66">
      <c r="A3061" s="56" t="n"/>
      <c r="B3061" s="57" t="n"/>
      <c r="C3061" s="57" t="n"/>
      <c r="D3061" s="57" t="n"/>
      <c r="E3061" s="56" t="n"/>
      <c r="F3061" s="57" t="n"/>
      <c r="G3061" s="57" t="n"/>
      <c r="H3061" s="56" t="n"/>
      <c r="I3061" s="56" t="n"/>
      <c r="J3061" s="58" t="n"/>
      <c r="K3061" s="58" t="n"/>
      <c r="L3061" s="13">
        <f>IF(OR($A3061="",AND($J3061="",$K3061="")),"",ROUND(N($J3061)-N($K3061),2))</f>
        <v/>
      </c>
      <c r="M3061" s="13">
        <f>IF(OR($A3061="",AND($J3061="",$K3061="")),"",MIN($J3061,$K3061))</f>
        <v/>
      </c>
      <c r="Q3061">
        <f>IF($A3061="","",$D3061&amp;"("&amp;SUBSTITUTE($E3061," ","")&amp;")")</f>
        <v/>
      </c>
      <c r="R3061">
        <f>IF($A3061="","",$B3061&amp;" - "&amp;$C3061)</f>
        <v/>
      </c>
      <c r="S3061">
        <f>IF($A3061="","",$R3061&amp;"|"&amp;$Q3061)</f>
        <v/>
      </c>
      <c r="T3061">
        <f>IF($A3061="","",$S3061&amp;"|"&amp;$F3061)</f>
        <v/>
      </c>
      <c r="U3061">
        <f>IF($A3061="","",$R3061&amp;"("&amp;$E3061&amp;")")</f>
        <v/>
      </c>
      <c r="V3061">
        <f>IF($A3061="","",$F3061&amp;"|"&amp;$U3061&amp;"|"&amp;$D3061)</f>
        <v/>
      </c>
      <c r="W3061">
        <f>IF($T3061="","",IF($X3061&gt;N($X3060),$X3061,""))</f>
        <v/>
      </c>
      <c r="X3061">
        <f>IF($T3061="",N($X3060),IF(MATCH($T3061,$T$6:$T$6005,0)=ROW()-5,N($X3060)+1,N($X3060)))</f>
        <v/>
      </c>
      <c r="Z3061">
        <f>IF($V3061="","",IF($AA3061&gt;N($AA3060),$AA3061,""))</f>
        <v/>
      </c>
      <c r="AA3061">
        <f>IF($V3061="",N($AA3060),IF(MATCH($V3061,$V$6:$V$6005,0)=ROW()-5,N($AA3060)+1,N($AA3060)))</f>
        <v/>
      </c>
    </row>
    <row r="3062" ht="21" customHeight="1" s="66">
      <c r="A3062" s="56" t="n"/>
      <c r="B3062" s="57" t="n"/>
      <c r="C3062" s="57" t="n"/>
      <c r="D3062" s="57" t="n"/>
      <c r="E3062" s="56" t="n"/>
      <c r="F3062" s="57" t="n"/>
      <c r="G3062" s="57" t="n"/>
      <c r="H3062" s="56" t="n"/>
      <c r="I3062" s="56" t="n"/>
      <c r="J3062" s="58" t="n"/>
      <c r="K3062" s="58" t="n"/>
      <c r="L3062" s="13">
        <f>IF(OR($A3062="",AND($J3062="",$K3062="")),"",ROUND(N($J3062)-N($K3062),2))</f>
        <v/>
      </c>
      <c r="M3062" s="13">
        <f>IF(OR($A3062="",AND($J3062="",$K3062="")),"",MIN($J3062,$K3062))</f>
        <v/>
      </c>
      <c r="Q3062">
        <f>IF($A3062="","",$D3062&amp;"("&amp;SUBSTITUTE($E3062," ","")&amp;")")</f>
        <v/>
      </c>
      <c r="R3062">
        <f>IF($A3062="","",$B3062&amp;" - "&amp;$C3062)</f>
        <v/>
      </c>
      <c r="S3062">
        <f>IF($A3062="","",$R3062&amp;"|"&amp;$Q3062)</f>
        <v/>
      </c>
      <c r="T3062">
        <f>IF($A3062="","",$S3062&amp;"|"&amp;$F3062)</f>
        <v/>
      </c>
      <c r="U3062">
        <f>IF($A3062="","",$R3062&amp;"("&amp;$E3062&amp;")")</f>
        <v/>
      </c>
      <c r="V3062">
        <f>IF($A3062="","",$F3062&amp;"|"&amp;$U3062&amp;"|"&amp;$D3062)</f>
        <v/>
      </c>
      <c r="W3062">
        <f>IF($T3062="","",IF($X3062&gt;N($X3061),$X3062,""))</f>
        <v/>
      </c>
      <c r="X3062">
        <f>IF($T3062="",N($X3061),IF(MATCH($T3062,$T$6:$T$6005,0)=ROW()-5,N($X3061)+1,N($X3061)))</f>
        <v/>
      </c>
      <c r="Z3062">
        <f>IF($V3062="","",IF($AA3062&gt;N($AA3061),$AA3062,""))</f>
        <v/>
      </c>
      <c r="AA3062">
        <f>IF($V3062="",N($AA3061),IF(MATCH($V3062,$V$6:$V$6005,0)=ROW()-5,N($AA3061)+1,N($AA3061)))</f>
        <v/>
      </c>
    </row>
    <row r="3063" ht="21" customHeight="1" s="66">
      <c r="A3063" s="56" t="n"/>
      <c r="B3063" s="57" t="n"/>
      <c r="C3063" s="57" t="n"/>
      <c r="D3063" s="57" t="n"/>
      <c r="E3063" s="56" t="n"/>
      <c r="F3063" s="57" t="n"/>
      <c r="G3063" s="57" t="n"/>
      <c r="H3063" s="56" t="n"/>
      <c r="I3063" s="56" t="n"/>
      <c r="J3063" s="58" t="n"/>
      <c r="K3063" s="58" t="n"/>
      <c r="L3063" s="13">
        <f>IF(OR($A3063="",AND($J3063="",$K3063="")),"",ROUND(N($J3063)-N($K3063),2))</f>
        <v/>
      </c>
      <c r="M3063" s="13">
        <f>IF(OR($A3063="",AND($J3063="",$K3063="")),"",MIN($J3063,$K3063))</f>
        <v/>
      </c>
      <c r="Q3063">
        <f>IF($A3063="","",$D3063&amp;"("&amp;SUBSTITUTE($E3063," ","")&amp;")")</f>
        <v/>
      </c>
      <c r="R3063">
        <f>IF($A3063="","",$B3063&amp;" - "&amp;$C3063)</f>
        <v/>
      </c>
      <c r="S3063">
        <f>IF($A3063="","",$R3063&amp;"|"&amp;$Q3063)</f>
        <v/>
      </c>
      <c r="T3063">
        <f>IF($A3063="","",$S3063&amp;"|"&amp;$F3063)</f>
        <v/>
      </c>
      <c r="U3063">
        <f>IF($A3063="","",$R3063&amp;"("&amp;$E3063&amp;")")</f>
        <v/>
      </c>
      <c r="V3063">
        <f>IF($A3063="","",$F3063&amp;"|"&amp;$U3063&amp;"|"&amp;$D3063)</f>
        <v/>
      </c>
      <c r="W3063">
        <f>IF($T3063="","",IF($X3063&gt;N($X3062),$X3063,""))</f>
        <v/>
      </c>
      <c r="X3063">
        <f>IF($T3063="",N($X3062),IF(MATCH($T3063,$T$6:$T$6005,0)=ROW()-5,N($X3062)+1,N($X3062)))</f>
        <v/>
      </c>
      <c r="Z3063">
        <f>IF($V3063="","",IF($AA3063&gt;N($AA3062),$AA3063,""))</f>
        <v/>
      </c>
      <c r="AA3063">
        <f>IF($V3063="",N($AA3062),IF(MATCH($V3063,$V$6:$V$6005,0)=ROW()-5,N($AA3062)+1,N($AA3062)))</f>
        <v/>
      </c>
    </row>
    <row r="3064" ht="21" customHeight="1" s="66">
      <c r="A3064" s="56" t="n"/>
      <c r="B3064" s="57" t="n"/>
      <c r="C3064" s="57" t="n"/>
      <c r="D3064" s="57" t="n"/>
      <c r="E3064" s="56" t="n"/>
      <c r="F3064" s="57" t="n"/>
      <c r="G3064" s="57" t="n"/>
      <c r="H3064" s="56" t="n"/>
      <c r="I3064" s="56" t="n"/>
      <c r="J3064" s="58" t="n"/>
      <c r="K3064" s="58" t="n"/>
      <c r="L3064" s="13">
        <f>IF(OR($A3064="",AND($J3064="",$K3064="")),"",ROUND(N($J3064)-N($K3064),2))</f>
        <v/>
      </c>
      <c r="M3064" s="13">
        <f>IF(OR($A3064="",AND($J3064="",$K3064="")),"",MIN($J3064,$K3064))</f>
        <v/>
      </c>
      <c r="Q3064">
        <f>IF($A3064="","",$D3064&amp;"("&amp;SUBSTITUTE($E3064," ","")&amp;")")</f>
        <v/>
      </c>
      <c r="R3064">
        <f>IF($A3064="","",$B3064&amp;" - "&amp;$C3064)</f>
        <v/>
      </c>
      <c r="S3064">
        <f>IF($A3064="","",$R3064&amp;"|"&amp;$Q3064)</f>
        <v/>
      </c>
      <c r="T3064">
        <f>IF($A3064="","",$S3064&amp;"|"&amp;$F3064)</f>
        <v/>
      </c>
      <c r="U3064">
        <f>IF($A3064="","",$R3064&amp;"("&amp;$E3064&amp;")")</f>
        <v/>
      </c>
      <c r="V3064">
        <f>IF($A3064="","",$F3064&amp;"|"&amp;$U3064&amp;"|"&amp;$D3064)</f>
        <v/>
      </c>
      <c r="W3064">
        <f>IF($T3064="","",IF($X3064&gt;N($X3063),$X3064,""))</f>
        <v/>
      </c>
      <c r="X3064">
        <f>IF($T3064="",N($X3063),IF(MATCH($T3064,$T$6:$T$6005,0)=ROW()-5,N($X3063)+1,N($X3063)))</f>
        <v/>
      </c>
      <c r="Z3064">
        <f>IF($V3064="","",IF($AA3064&gt;N($AA3063),$AA3064,""))</f>
        <v/>
      </c>
      <c r="AA3064">
        <f>IF($V3064="",N($AA3063),IF(MATCH($V3064,$V$6:$V$6005,0)=ROW()-5,N($AA3063)+1,N($AA3063)))</f>
        <v/>
      </c>
    </row>
    <row r="3065" ht="21" customHeight="1" s="66">
      <c r="A3065" s="56" t="n"/>
      <c r="B3065" s="57" t="n"/>
      <c r="C3065" s="57" t="n"/>
      <c r="D3065" s="57" t="n"/>
      <c r="E3065" s="56" t="n"/>
      <c r="F3065" s="57" t="n"/>
      <c r="G3065" s="57" t="n"/>
      <c r="H3065" s="56" t="n"/>
      <c r="I3065" s="56" t="n"/>
      <c r="J3065" s="58" t="n"/>
      <c r="K3065" s="58" t="n"/>
      <c r="L3065" s="13">
        <f>IF(OR($A3065="",AND($J3065="",$K3065="")),"",ROUND(N($J3065)-N($K3065),2))</f>
        <v/>
      </c>
      <c r="M3065" s="13">
        <f>IF(OR($A3065="",AND($J3065="",$K3065="")),"",MIN($J3065,$K3065))</f>
        <v/>
      </c>
      <c r="Q3065">
        <f>IF($A3065="","",$D3065&amp;"("&amp;SUBSTITUTE($E3065," ","")&amp;")")</f>
        <v/>
      </c>
      <c r="R3065">
        <f>IF($A3065="","",$B3065&amp;" - "&amp;$C3065)</f>
        <v/>
      </c>
      <c r="S3065">
        <f>IF($A3065="","",$R3065&amp;"|"&amp;$Q3065)</f>
        <v/>
      </c>
      <c r="T3065">
        <f>IF($A3065="","",$S3065&amp;"|"&amp;$F3065)</f>
        <v/>
      </c>
      <c r="U3065">
        <f>IF($A3065="","",$R3065&amp;"("&amp;$E3065&amp;")")</f>
        <v/>
      </c>
      <c r="V3065">
        <f>IF($A3065="","",$F3065&amp;"|"&amp;$U3065&amp;"|"&amp;$D3065)</f>
        <v/>
      </c>
      <c r="W3065">
        <f>IF($T3065="","",IF($X3065&gt;N($X3064),$X3065,""))</f>
        <v/>
      </c>
      <c r="X3065">
        <f>IF($T3065="",N($X3064),IF(MATCH($T3065,$T$6:$T$6005,0)=ROW()-5,N($X3064)+1,N($X3064)))</f>
        <v/>
      </c>
      <c r="Z3065">
        <f>IF($V3065="","",IF($AA3065&gt;N($AA3064),$AA3065,""))</f>
        <v/>
      </c>
      <c r="AA3065">
        <f>IF($V3065="",N($AA3064),IF(MATCH($V3065,$V$6:$V$6005,0)=ROW()-5,N($AA3064)+1,N($AA3064)))</f>
        <v/>
      </c>
    </row>
    <row r="3066" ht="21" customHeight="1" s="66">
      <c r="A3066" s="56" t="n"/>
      <c r="B3066" s="57" t="n"/>
      <c r="C3066" s="57" t="n"/>
      <c r="D3066" s="57" t="n"/>
      <c r="E3066" s="56" t="n"/>
      <c r="F3066" s="57" t="n"/>
      <c r="G3066" s="57" t="n"/>
      <c r="H3066" s="56" t="n"/>
      <c r="I3066" s="56" t="n"/>
      <c r="J3066" s="58" t="n"/>
      <c r="K3066" s="58" t="n"/>
      <c r="L3066" s="13">
        <f>IF(OR($A3066="",AND($J3066="",$K3066="")),"",ROUND(N($J3066)-N($K3066),2))</f>
        <v/>
      </c>
      <c r="M3066" s="13">
        <f>IF(OR($A3066="",AND($J3066="",$K3066="")),"",MIN($J3066,$K3066))</f>
        <v/>
      </c>
      <c r="Q3066">
        <f>IF($A3066="","",$D3066&amp;"("&amp;SUBSTITUTE($E3066," ","")&amp;")")</f>
        <v/>
      </c>
      <c r="R3066">
        <f>IF($A3066="","",$B3066&amp;" - "&amp;$C3066)</f>
        <v/>
      </c>
      <c r="S3066">
        <f>IF($A3066="","",$R3066&amp;"|"&amp;$Q3066)</f>
        <v/>
      </c>
      <c r="T3066">
        <f>IF($A3066="","",$S3066&amp;"|"&amp;$F3066)</f>
        <v/>
      </c>
      <c r="U3066">
        <f>IF($A3066="","",$R3066&amp;"("&amp;$E3066&amp;")")</f>
        <v/>
      </c>
      <c r="V3066">
        <f>IF($A3066="","",$F3066&amp;"|"&amp;$U3066&amp;"|"&amp;$D3066)</f>
        <v/>
      </c>
      <c r="W3066">
        <f>IF($T3066="","",IF($X3066&gt;N($X3065),$X3066,""))</f>
        <v/>
      </c>
      <c r="X3066">
        <f>IF($T3066="",N($X3065),IF(MATCH($T3066,$T$6:$T$6005,0)=ROW()-5,N($X3065)+1,N($X3065)))</f>
        <v/>
      </c>
      <c r="Z3066">
        <f>IF($V3066="","",IF($AA3066&gt;N($AA3065),$AA3066,""))</f>
        <v/>
      </c>
      <c r="AA3066">
        <f>IF($V3066="",N($AA3065),IF(MATCH($V3066,$V$6:$V$6005,0)=ROW()-5,N($AA3065)+1,N($AA3065)))</f>
        <v/>
      </c>
    </row>
    <row r="3067" ht="21" customHeight="1" s="66">
      <c r="A3067" s="56" t="n"/>
      <c r="B3067" s="57" t="n"/>
      <c r="C3067" s="57" t="n"/>
      <c r="D3067" s="57" t="n"/>
      <c r="E3067" s="56" t="n"/>
      <c r="F3067" s="57" t="n"/>
      <c r="G3067" s="57" t="n"/>
      <c r="H3067" s="56" t="n"/>
      <c r="I3067" s="56" t="n"/>
      <c r="J3067" s="58" t="n"/>
      <c r="K3067" s="58" t="n"/>
      <c r="L3067" s="13">
        <f>IF(OR($A3067="",AND($J3067="",$K3067="")),"",ROUND(N($J3067)-N($K3067),2))</f>
        <v/>
      </c>
      <c r="M3067" s="13">
        <f>IF(OR($A3067="",AND($J3067="",$K3067="")),"",MIN($J3067,$K3067))</f>
        <v/>
      </c>
      <c r="Q3067">
        <f>IF($A3067="","",$D3067&amp;"("&amp;SUBSTITUTE($E3067," ","")&amp;")")</f>
        <v/>
      </c>
      <c r="R3067">
        <f>IF($A3067="","",$B3067&amp;" - "&amp;$C3067)</f>
        <v/>
      </c>
      <c r="S3067">
        <f>IF($A3067="","",$R3067&amp;"|"&amp;$Q3067)</f>
        <v/>
      </c>
      <c r="T3067">
        <f>IF($A3067="","",$S3067&amp;"|"&amp;$F3067)</f>
        <v/>
      </c>
      <c r="U3067">
        <f>IF($A3067="","",$R3067&amp;"("&amp;$E3067&amp;")")</f>
        <v/>
      </c>
      <c r="V3067">
        <f>IF($A3067="","",$F3067&amp;"|"&amp;$U3067&amp;"|"&amp;$D3067)</f>
        <v/>
      </c>
      <c r="W3067">
        <f>IF($T3067="","",IF($X3067&gt;N($X3066),$X3067,""))</f>
        <v/>
      </c>
      <c r="X3067">
        <f>IF($T3067="",N($X3066),IF(MATCH($T3067,$T$6:$T$6005,0)=ROW()-5,N($X3066)+1,N($X3066)))</f>
        <v/>
      </c>
      <c r="Z3067">
        <f>IF($V3067="","",IF($AA3067&gt;N($AA3066),$AA3067,""))</f>
        <v/>
      </c>
      <c r="AA3067">
        <f>IF($V3067="",N($AA3066),IF(MATCH($V3067,$V$6:$V$6005,0)=ROW()-5,N($AA3066)+1,N($AA3066)))</f>
        <v/>
      </c>
    </row>
    <row r="3068" ht="21" customHeight="1" s="66">
      <c r="A3068" s="56" t="n"/>
      <c r="B3068" s="57" t="n"/>
      <c r="C3068" s="57" t="n"/>
      <c r="D3068" s="57" t="n"/>
      <c r="E3068" s="56" t="n"/>
      <c r="F3068" s="57" t="n"/>
      <c r="G3068" s="57" t="n"/>
      <c r="H3068" s="56" t="n"/>
      <c r="I3068" s="56" t="n"/>
      <c r="J3068" s="58" t="n"/>
      <c r="K3068" s="58" t="n"/>
      <c r="L3068" s="13">
        <f>IF(OR($A3068="",AND($J3068="",$K3068="")),"",ROUND(N($J3068)-N($K3068),2))</f>
        <v/>
      </c>
      <c r="M3068" s="13">
        <f>IF(OR($A3068="",AND($J3068="",$K3068="")),"",MIN($J3068,$K3068))</f>
        <v/>
      </c>
      <c r="Q3068">
        <f>IF($A3068="","",$D3068&amp;"("&amp;SUBSTITUTE($E3068," ","")&amp;")")</f>
        <v/>
      </c>
      <c r="R3068">
        <f>IF($A3068="","",$B3068&amp;" - "&amp;$C3068)</f>
        <v/>
      </c>
      <c r="S3068">
        <f>IF($A3068="","",$R3068&amp;"|"&amp;$Q3068)</f>
        <v/>
      </c>
      <c r="T3068">
        <f>IF($A3068="","",$S3068&amp;"|"&amp;$F3068)</f>
        <v/>
      </c>
      <c r="U3068">
        <f>IF($A3068="","",$R3068&amp;"("&amp;$E3068&amp;")")</f>
        <v/>
      </c>
      <c r="V3068">
        <f>IF($A3068="","",$F3068&amp;"|"&amp;$U3068&amp;"|"&amp;$D3068)</f>
        <v/>
      </c>
      <c r="W3068">
        <f>IF($T3068="","",IF($X3068&gt;N($X3067),$X3068,""))</f>
        <v/>
      </c>
      <c r="X3068">
        <f>IF($T3068="",N($X3067),IF(MATCH($T3068,$T$6:$T$6005,0)=ROW()-5,N($X3067)+1,N($X3067)))</f>
        <v/>
      </c>
      <c r="Z3068">
        <f>IF($V3068="","",IF($AA3068&gt;N($AA3067),$AA3068,""))</f>
        <v/>
      </c>
      <c r="AA3068">
        <f>IF($V3068="",N($AA3067),IF(MATCH($V3068,$V$6:$V$6005,0)=ROW()-5,N($AA3067)+1,N($AA3067)))</f>
        <v/>
      </c>
    </row>
    <row r="3069" ht="21" customHeight="1" s="66">
      <c r="A3069" s="56" t="n"/>
      <c r="B3069" s="57" t="n"/>
      <c r="C3069" s="57" t="n"/>
      <c r="D3069" s="57" t="n"/>
      <c r="E3069" s="56" t="n"/>
      <c r="F3069" s="57" t="n"/>
      <c r="G3069" s="57" t="n"/>
      <c r="H3069" s="56" t="n"/>
      <c r="I3069" s="56" t="n"/>
      <c r="J3069" s="58" t="n"/>
      <c r="K3069" s="58" t="n"/>
      <c r="L3069" s="13">
        <f>IF(OR($A3069="",AND($J3069="",$K3069="")),"",ROUND(N($J3069)-N($K3069),2))</f>
        <v/>
      </c>
      <c r="M3069" s="13">
        <f>IF(OR($A3069="",AND($J3069="",$K3069="")),"",MIN($J3069,$K3069))</f>
        <v/>
      </c>
      <c r="Q3069">
        <f>IF($A3069="","",$D3069&amp;"("&amp;SUBSTITUTE($E3069," ","")&amp;")")</f>
        <v/>
      </c>
      <c r="R3069">
        <f>IF($A3069="","",$B3069&amp;" - "&amp;$C3069)</f>
        <v/>
      </c>
      <c r="S3069">
        <f>IF($A3069="","",$R3069&amp;"|"&amp;$Q3069)</f>
        <v/>
      </c>
      <c r="T3069">
        <f>IF($A3069="","",$S3069&amp;"|"&amp;$F3069)</f>
        <v/>
      </c>
      <c r="U3069">
        <f>IF($A3069="","",$R3069&amp;"("&amp;$E3069&amp;")")</f>
        <v/>
      </c>
      <c r="V3069">
        <f>IF($A3069="","",$F3069&amp;"|"&amp;$U3069&amp;"|"&amp;$D3069)</f>
        <v/>
      </c>
      <c r="W3069">
        <f>IF($T3069="","",IF($X3069&gt;N($X3068),$X3069,""))</f>
        <v/>
      </c>
      <c r="X3069">
        <f>IF($T3069="",N($X3068),IF(MATCH($T3069,$T$6:$T$6005,0)=ROW()-5,N($X3068)+1,N($X3068)))</f>
        <v/>
      </c>
      <c r="Z3069">
        <f>IF($V3069="","",IF($AA3069&gt;N($AA3068),$AA3069,""))</f>
        <v/>
      </c>
      <c r="AA3069">
        <f>IF($V3069="",N($AA3068),IF(MATCH($V3069,$V$6:$V$6005,0)=ROW()-5,N($AA3068)+1,N($AA3068)))</f>
        <v/>
      </c>
    </row>
    <row r="3070" ht="21" customHeight="1" s="66">
      <c r="A3070" s="56" t="n"/>
      <c r="B3070" s="57" t="n"/>
      <c r="C3070" s="57" t="n"/>
      <c r="D3070" s="57" t="n"/>
      <c r="E3070" s="56" t="n"/>
      <c r="F3070" s="57" t="n"/>
      <c r="G3070" s="57" t="n"/>
      <c r="H3070" s="56" t="n"/>
      <c r="I3070" s="56" t="n"/>
      <c r="J3070" s="58" t="n"/>
      <c r="K3070" s="58" t="n"/>
      <c r="L3070" s="13">
        <f>IF(OR($A3070="",AND($J3070="",$K3070="")),"",ROUND(N($J3070)-N($K3070),2))</f>
        <v/>
      </c>
      <c r="M3070" s="13">
        <f>IF(OR($A3070="",AND($J3070="",$K3070="")),"",MIN($J3070,$K3070))</f>
        <v/>
      </c>
      <c r="Q3070">
        <f>IF($A3070="","",$D3070&amp;"("&amp;SUBSTITUTE($E3070," ","")&amp;")")</f>
        <v/>
      </c>
      <c r="R3070">
        <f>IF($A3070="","",$B3070&amp;" - "&amp;$C3070)</f>
        <v/>
      </c>
      <c r="S3070">
        <f>IF($A3070="","",$R3070&amp;"|"&amp;$Q3070)</f>
        <v/>
      </c>
      <c r="T3070">
        <f>IF($A3070="","",$S3070&amp;"|"&amp;$F3070)</f>
        <v/>
      </c>
      <c r="U3070">
        <f>IF($A3070="","",$R3070&amp;"("&amp;$E3070&amp;")")</f>
        <v/>
      </c>
      <c r="V3070">
        <f>IF($A3070="","",$F3070&amp;"|"&amp;$U3070&amp;"|"&amp;$D3070)</f>
        <v/>
      </c>
      <c r="W3070">
        <f>IF($T3070="","",IF($X3070&gt;N($X3069),$X3070,""))</f>
        <v/>
      </c>
      <c r="X3070">
        <f>IF($T3070="",N($X3069),IF(MATCH($T3070,$T$6:$T$6005,0)=ROW()-5,N($X3069)+1,N($X3069)))</f>
        <v/>
      </c>
      <c r="Z3070">
        <f>IF($V3070="","",IF($AA3070&gt;N($AA3069),$AA3070,""))</f>
        <v/>
      </c>
      <c r="AA3070">
        <f>IF($V3070="",N($AA3069),IF(MATCH($V3070,$V$6:$V$6005,0)=ROW()-5,N($AA3069)+1,N($AA3069)))</f>
        <v/>
      </c>
    </row>
    <row r="3071" ht="21" customHeight="1" s="66">
      <c r="A3071" s="56" t="n"/>
      <c r="B3071" s="57" t="n"/>
      <c r="C3071" s="57" t="n"/>
      <c r="D3071" s="57" t="n"/>
      <c r="E3071" s="56" t="n"/>
      <c r="F3071" s="57" t="n"/>
      <c r="G3071" s="57" t="n"/>
      <c r="H3071" s="56" t="n"/>
      <c r="I3071" s="56" t="n"/>
      <c r="J3071" s="58" t="n"/>
      <c r="K3071" s="58" t="n"/>
      <c r="L3071" s="13">
        <f>IF(OR($A3071="",AND($J3071="",$K3071="")),"",ROUND(N($J3071)-N($K3071),2))</f>
        <v/>
      </c>
      <c r="M3071" s="13">
        <f>IF(OR($A3071="",AND($J3071="",$K3071="")),"",MIN($J3071,$K3071))</f>
        <v/>
      </c>
      <c r="Q3071">
        <f>IF($A3071="","",$D3071&amp;"("&amp;SUBSTITUTE($E3071," ","")&amp;")")</f>
        <v/>
      </c>
      <c r="R3071">
        <f>IF($A3071="","",$B3071&amp;" - "&amp;$C3071)</f>
        <v/>
      </c>
      <c r="S3071">
        <f>IF($A3071="","",$R3071&amp;"|"&amp;$Q3071)</f>
        <v/>
      </c>
      <c r="T3071">
        <f>IF($A3071="","",$S3071&amp;"|"&amp;$F3071)</f>
        <v/>
      </c>
      <c r="U3071">
        <f>IF($A3071="","",$R3071&amp;"("&amp;$E3071&amp;")")</f>
        <v/>
      </c>
      <c r="V3071">
        <f>IF($A3071="","",$F3071&amp;"|"&amp;$U3071&amp;"|"&amp;$D3071)</f>
        <v/>
      </c>
      <c r="W3071">
        <f>IF($T3071="","",IF($X3071&gt;N($X3070),$X3071,""))</f>
        <v/>
      </c>
      <c r="X3071">
        <f>IF($T3071="",N($X3070),IF(MATCH($T3071,$T$6:$T$6005,0)=ROW()-5,N($X3070)+1,N($X3070)))</f>
        <v/>
      </c>
      <c r="Z3071">
        <f>IF($V3071="","",IF($AA3071&gt;N($AA3070),$AA3071,""))</f>
        <v/>
      </c>
      <c r="AA3071">
        <f>IF($V3071="",N($AA3070),IF(MATCH($V3071,$V$6:$V$6005,0)=ROW()-5,N($AA3070)+1,N($AA3070)))</f>
        <v/>
      </c>
    </row>
    <row r="3072" ht="21" customHeight="1" s="66">
      <c r="A3072" s="56" t="n"/>
      <c r="B3072" s="57" t="n"/>
      <c r="C3072" s="57" t="n"/>
      <c r="D3072" s="57" t="n"/>
      <c r="E3072" s="56" t="n"/>
      <c r="F3072" s="57" t="n"/>
      <c r="G3072" s="57" t="n"/>
      <c r="H3072" s="56" t="n"/>
      <c r="I3072" s="56" t="n"/>
      <c r="J3072" s="58" t="n"/>
      <c r="K3072" s="58" t="n"/>
      <c r="L3072" s="13">
        <f>IF(OR($A3072="",AND($J3072="",$K3072="")),"",ROUND(N($J3072)-N($K3072),2))</f>
        <v/>
      </c>
      <c r="M3072" s="13">
        <f>IF(OR($A3072="",AND($J3072="",$K3072="")),"",MIN($J3072,$K3072))</f>
        <v/>
      </c>
      <c r="Q3072">
        <f>IF($A3072="","",$D3072&amp;"("&amp;SUBSTITUTE($E3072," ","")&amp;")")</f>
        <v/>
      </c>
      <c r="R3072">
        <f>IF($A3072="","",$B3072&amp;" - "&amp;$C3072)</f>
        <v/>
      </c>
      <c r="S3072">
        <f>IF($A3072="","",$R3072&amp;"|"&amp;$Q3072)</f>
        <v/>
      </c>
      <c r="T3072">
        <f>IF($A3072="","",$S3072&amp;"|"&amp;$F3072)</f>
        <v/>
      </c>
      <c r="U3072">
        <f>IF($A3072="","",$R3072&amp;"("&amp;$E3072&amp;")")</f>
        <v/>
      </c>
      <c r="V3072">
        <f>IF($A3072="","",$F3072&amp;"|"&amp;$U3072&amp;"|"&amp;$D3072)</f>
        <v/>
      </c>
      <c r="W3072">
        <f>IF($T3072="","",IF($X3072&gt;N($X3071),$X3072,""))</f>
        <v/>
      </c>
      <c r="X3072">
        <f>IF($T3072="",N($X3071),IF(MATCH($T3072,$T$6:$T$6005,0)=ROW()-5,N($X3071)+1,N($X3071)))</f>
        <v/>
      </c>
      <c r="Z3072">
        <f>IF($V3072="","",IF($AA3072&gt;N($AA3071),$AA3072,""))</f>
        <v/>
      </c>
      <c r="AA3072">
        <f>IF($V3072="",N($AA3071),IF(MATCH($V3072,$V$6:$V$6005,0)=ROW()-5,N($AA3071)+1,N($AA3071)))</f>
        <v/>
      </c>
    </row>
    <row r="3073" ht="21" customHeight="1" s="66">
      <c r="A3073" s="56" t="n"/>
      <c r="B3073" s="57" t="n"/>
      <c r="C3073" s="57" t="n"/>
      <c r="D3073" s="57" t="n"/>
      <c r="E3073" s="56" t="n"/>
      <c r="F3073" s="57" t="n"/>
      <c r="G3073" s="57" t="n"/>
      <c r="H3073" s="56" t="n"/>
      <c r="I3073" s="56" t="n"/>
      <c r="J3073" s="58" t="n"/>
      <c r="K3073" s="58" t="n"/>
      <c r="L3073" s="13">
        <f>IF(OR($A3073="",AND($J3073="",$K3073="")),"",ROUND(N($J3073)-N($K3073),2))</f>
        <v/>
      </c>
      <c r="M3073" s="13">
        <f>IF(OR($A3073="",AND($J3073="",$K3073="")),"",MIN($J3073,$K3073))</f>
        <v/>
      </c>
      <c r="Q3073">
        <f>IF($A3073="","",$D3073&amp;"("&amp;SUBSTITUTE($E3073," ","")&amp;")")</f>
        <v/>
      </c>
      <c r="R3073">
        <f>IF($A3073="","",$B3073&amp;" - "&amp;$C3073)</f>
        <v/>
      </c>
      <c r="S3073">
        <f>IF($A3073="","",$R3073&amp;"|"&amp;$Q3073)</f>
        <v/>
      </c>
      <c r="T3073">
        <f>IF($A3073="","",$S3073&amp;"|"&amp;$F3073)</f>
        <v/>
      </c>
      <c r="U3073">
        <f>IF($A3073="","",$R3073&amp;"("&amp;$E3073&amp;")")</f>
        <v/>
      </c>
      <c r="V3073">
        <f>IF($A3073="","",$F3073&amp;"|"&amp;$U3073&amp;"|"&amp;$D3073)</f>
        <v/>
      </c>
      <c r="W3073">
        <f>IF($T3073="","",IF($X3073&gt;N($X3072),$X3073,""))</f>
        <v/>
      </c>
      <c r="X3073">
        <f>IF($T3073="",N($X3072),IF(MATCH($T3073,$T$6:$T$6005,0)=ROW()-5,N($X3072)+1,N($X3072)))</f>
        <v/>
      </c>
      <c r="Z3073">
        <f>IF($V3073="","",IF($AA3073&gt;N($AA3072),$AA3073,""))</f>
        <v/>
      </c>
      <c r="AA3073">
        <f>IF($V3073="",N($AA3072),IF(MATCH($V3073,$V$6:$V$6005,0)=ROW()-5,N($AA3072)+1,N($AA3072)))</f>
        <v/>
      </c>
    </row>
    <row r="3074" ht="21" customHeight="1" s="66">
      <c r="A3074" s="56" t="n"/>
      <c r="B3074" s="57" t="n"/>
      <c r="C3074" s="57" t="n"/>
      <c r="D3074" s="57" t="n"/>
      <c r="E3074" s="56" t="n"/>
      <c r="F3074" s="57" t="n"/>
      <c r="G3074" s="57" t="n"/>
      <c r="H3074" s="56" t="n"/>
      <c r="I3074" s="56" t="n"/>
      <c r="J3074" s="58" t="n"/>
      <c r="K3074" s="58" t="n"/>
      <c r="L3074" s="13">
        <f>IF(OR($A3074="",AND($J3074="",$K3074="")),"",ROUND(N($J3074)-N($K3074),2))</f>
        <v/>
      </c>
      <c r="M3074" s="13">
        <f>IF(OR($A3074="",AND($J3074="",$K3074="")),"",MIN($J3074,$K3074))</f>
        <v/>
      </c>
      <c r="Q3074">
        <f>IF($A3074="","",$D3074&amp;"("&amp;SUBSTITUTE($E3074," ","")&amp;")")</f>
        <v/>
      </c>
      <c r="R3074">
        <f>IF($A3074="","",$B3074&amp;" - "&amp;$C3074)</f>
        <v/>
      </c>
      <c r="S3074">
        <f>IF($A3074="","",$R3074&amp;"|"&amp;$Q3074)</f>
        <v/>
      </c>
      <c r="T3074">
        <f>IF($A3074="","",$S3074&amp;"|"&amp;$F3074)</f>
        <v/>
      </c>
      <c r="U3074">
        <f>IF($A3074="","",$R3074&amp;"("&amp;$E3074&amp;")")</f>
        <v/>
      </c>
      <c r="V3074">
        <f>IF($A3074="","",$F3074&amp;"|"&amp;$U3074&amp;"|"&amp;$D3074)</f>
        <v/>
      </c>
      <c r="W3074">
        <f>IF($T3074="","",IF($X3074&gt;N($X3073),$X3074,""))</f>
        <v/>
      </c>
      <c r="X3074">
        <f>IF($T3074="",N($X3073),IF(MATCH($T3074,$T$6:$T$6005,0)=ROW()-5,N($X3073)+1,N($X3073)))</f>
        <v/>
      </c>
      <c r="Z3074">
        <f>IF($V3074="","",IF($AA3074&gt;N($AA3073),$AA3074,""))</f>
        <v/>
      </c>
      <c r="AA3074">
        <f>IF($V3074="",N($AA3073),IF(MATCH($V3074,$V$6:$V$6005,0)=ROW()-5,N($AA3073)+1,N($AA3073)))</f>
        <v/>
      </c>
    </row>
    <row r="3075" ht="21" customHeight="1" s="66">
      <c r="A3075" s="56" t="n"/>
      <c r="B3075" s="57" t="n"/>
      <c r="C3075" s="57" t="n"/>
      <c r="D3075" s="57" t="n"/>
      <c r="E3075" s="56" t="n"/>
      <c r="F3075" s="57" t="n"/>
      <c r="G3075" s="57" t="n"/>
      <c r="H3075" s="56" t="n"/>
      <c r="I3075" s="56" t="n"/>
      <c r="J3075" s="58" t="n"/>
      <c r="K3075" s="58" t="n"/>
      <c r="L3075" s="13">
        <f>IF(OR($A3075="",AND($J3075="",$K3075="")),"",ROUND(N($J3075)-N($K3075),2))</f>
        <v/>
      </c>
      <c r="M3075" s="13">
        <f>IF(OR($A3075="",AND($J3075="",$K3075="")),"",MIN($J3075,$K3075))</f>
        <v/>
      </c>
      <c r="Q3075">
        <f>IF($A3075="","",$D3075&amp;"("&amp;SUBSTITUTE($E3075," ","")&amp;")")</f>
        <v/>
      </c>
      <c r="R3075">
        <f>IF($A3075="","",$B3075&amp;" - "&amp;$C3075)</f>
        <v/>
      </c>
      <c r="S3075">
        <f>IF($A3075="","",$R3075&amp;"|"&amp;$Q3075)</f>
        <v/>
      </c>
      <c r="T3075">
        <f>IF($A3075="","",$S3075&amp;"|"&amp;$F3075)</f>
        <v/>
      </c>
      <c r="U3075">
        <f>IF($A3075="","",$R3075&amp;"("&amp;$E3075&amp;")")</f>
        <v/>
      </c>
      <c r="V3075">
        <f>IF($A3075="","",$F3075&amp;"|"&amp;$U3075&amp;"|"&amp;$D3075)</f>
        <v/>
      </c>
      <c r="W3075">
        <f>IF($T3075="","",IF($X3075&gt;N($X3074),$X3075,""))</f>
        <v/>
      </c>
      <c r="X3075">
        <f>IF($T3075="",N($X3074),IF(MATCH($T3075,$T$6:$T$6005,0)=ROW()-5,N($X3074)+1,N($X3074)))</f>
        <v/>
      </c>
      <c r="Z3075">
        <f>IF($V3075="","",IF($AA3075&gt;N($AA3074),$AA3075,""))</f>
        <v/>
      </c>
      <c r="AA3075">
        <f>IF($V3075="",N($AA3074),IF(MATCH($V3075,$V$6:$V$6005,0)=ROW()-5,N($AA3074)+1,N($AA3074)))</f>
        <v/>
      </c>
    </row>
    <row r="3076" ht="21" customHeight="1" s="66">
      <c r="A3076" s="56" t="n"/>
      <c r="B3076" s="57" t="n"/>
      <c r="C3076" s="57" t="n"/>
      <c r="D3076" s="57" t="n"/>
      <c r="E3076" s="56" t="n"/>
      <c r="F3076" s="57" t="n"/>
      <c r="G3076" s="57" t="n"/>
      <c r="H3076" s="56" t="n"/>
      <c r="I3076" s="56" t="n"/>
      <c r="J3076" s="58" t="n"/>
      <c r="K3076" s="58" t="n"/>
      <c r="L3076" s="13">
        <f>IF(OR($A3076="",AND($J3076="",$K3076="")),"",ROUND(N($J3076)-N($K3076),2))</f>
        <v/>
      </c>
      <c r="M3076" s="13">
        <f>IF(OR($A3076="",AND($J3076="",$K3076="")),"",MIN($J3076,$K3076))</f>
        <v/>
      </c>
      <c r="Q3076">
        <f>IF($A3076="","",$D3076&amp;"("&amp;SUBSTITUTE($E3076," ","")&amp;")")</f>
        <v/>
      </c>
      <c r="R3076">
        <f>IF($A3076="","",$B3076&amp;" - "&amp;$C3076)</f>
        <v/>
      </c>
      <c r="S3076">
        <f>IF($A3076="","",$R3076&amp;"|"&amp;$Q3076)</f>
        <v/>
      </c>
      <c r="T3076">
        <f>IF($A3076="","",$S3076&amp;"|"&amp;$F3076)</f>
        <v/>
      </c>
      <c r="U3076">
        <f>IF($A3076="","",$R3076&amp;"("&amp;$E3076&amp;")")</f>
        <v/>
      </c>
      <c r="V3076">
        <f>IF($A3076="","",$F3076&amp;"|"&amp;$U3076&amp;"|"&amp;$D3076)</f>
        <v/>
      </c>
      <c r="W3076">
        <f>IF($T3076="","",IF($X3076&gt;N($X3075),$X3076,""))</f>
        <v/>
      </c>
      <c r="X3076">
        <f>IF($T3076="",N($X3075),IF(MATCH($T3076,$T$6:$T$6005,0)=ROW()-5,N($X3075)+1,N($X3075)))</f>
        <v/>
      </c>
      <c r="Z3076">
        <f>IF($V3076="","",IF($AA3076&gt;N($AA3075),$AA3076,""))</f>
        <v/>
      </c>
      <c r="AA3076">
        <f>IF($V3076="",N($AA3075),IF(MATCH($V3076,$V$6:$V$6005,0)=ROW()-5,N($AA3075)+1,N($AA3075)))</f>
        <v/>
      </c>
    </row>
    <row r="3077" ht="21" customHeight="1" s="66">
      <c r="A3077" s="56" t="n"/>
      <c r="B3077" s="57" t="n"/>
      <c r="C3077" s="57" t="n"/>
      <c r="D3077" s="57" t="n"/>
      <c r="E3077" s="56" t="n"/>
      <c r="F3077" s="57" t="n"/>
      <c r="G3077" s="57" t="n"/>
      <c r="H3077" s="56" t="n"/>
      <c r="I3077" s="56" t="n"/>
      <c r="J3077" s="58" t="n"/>
      <c r="K3077" s="58" t="n"/>
      <c r="L3077" s="13">
        <f>IF(OR($A3077="",AND($J3077="",$K3077="")),"",ROUND(N($J3077)-N($K3077),2))</f>
        <v/>
      </c>
      <c r="M3077" s="13">
        <f>IF(OR($A3077="",AND($J3077="",$K3077="")),"",MIN($J3077,$K3077))</f>
        <v/>
      </c>
      <c r="Q3077">
        <f>IF($A3077="","",$D3077&amp;"("&amp;SUBSTITUTE($E3077," ","")&amp;")")</f>
        <v/>
      </c>
      <c r="R3077">
        <f>IF($A3077="","",$B3077&amp;" - "&amp;$C3077)</f>
        <v/>
      </c>
      <c r="S3077">
        <f>IF($A3077="","",$R3077&amp;"|"&amp;$Q3077)</f>
        <v/>
      </c>
      <c r="T3077">
        <f>IF($A3077="","",$S3077&amp;"|"&amp;$F3077)</f>
        <v/>
      </c>
      <c r="U3077">
        <f>IF($A3077="","",$R3077&amp;"("&amp;$E3077&amp;")")</f>
        <v/>
      </c>
      <c r="V3077">
        <f>IF($A3077="","",$F3077&amp;"|"&amp;$U3077&amp;"|"&amp;$D3077)</f>
        <v/>
      </c>
      <c r="W3077">
        <f>IF($T3077="","",IF($X3077&gt;N($X3076),$X3077,""))</f>
        <v/>
      </c>
      <c r="X3077">
        <f>IF($T3077="",N($X3076),IF(MATCH($T3077,$T$6:$T$6005,0)=ROW()-5,N($X3076)+1,N($X3076)))</f>
        <v/>
      </c>
      <c r="Z3077">
        <f>IF($V3077="","",IF($AA3077&gt;N($AA3076),$AA3077,""))</f>
        <v/>
      </c>
      <c r="AA3077">
        <f>IF($V3077="",N($AA3076),IF(MATCH($V3077,$V$6:$V$6005,0)=ROW()-5,N($AA3076)+1,N($AA3076)))</f>
        <v/>
      </c>
    </row>
    <row r="3078" ht="21" customHeight="1" s="66">
      <c r="A3078" s="56" t="n"/>
      <c r="B3078" s="57" t="n"/>
      <c r="C3078" s="57" t="n"/>
      <c r="D3078" s="57" t="n"/>
      <c r="E3078" s="56" t="n"/>
      <c r="F3078" s="57" t="n"/>
      <c r="G3078" s="57" t="n"/>
      <c r="H3078" s="56" t="n"/>
      <c r="I3078" s="56" t="n"/>
      <c r="J3078" s="58" t="n"/>
      <c r="K3078" s="58" t="n"/>
      <c r="L3078" s="13">
        <f>IF(OR($A3078="",AND($J3078="",$K3078="")),"",ROUND(N($J3078)-N($K3078),2))</f>
        <v/>
      </c>
      <c r="M3078" s="13">
        <f>IF(OR($A3078="",AND($J3078="",$K3078="")),"",MIN($J3078,$K3078))</f>
        <v/>
      </c>
      <c r="Q3078">
        <f>IF($A3078="","",$D3078&amp;"("&amp;SUBSTITUTE($E3078," ","")&amp;")")</f>
        <v/>
      </c>
      <c r="R3078">
        <f>IF($A3078="","",$B3078&amp;" - "&amp;$C3078)</f>
        <v/>
      </c>
      <c r="S3078">
        <f>IF($A3078="","",$R3078&amp;"|"&amp;$Q3078)</f>
        <v/>
      </c>
      <c r="T3078">
        <f>IF($A3078="","",$S3078&amp;"|"&amp;$F3078)</f>
        <v/>
      </c>
      <c r="U3078">
        <f>IF($A3078="","",$R3078&amp;"("&amp;$E3078&amp;")")</f>
        <v/>
      </c>
      <c r="V3078">
        <f>IF($A3078="","",$F3078&amp;"|"&amp;$U3078&amp;"|"&amp;$D3078)</f>
        <v/>
      </c>
      <c r="W3078">
        <f>IF($T3078="","",IF($X3078&gt;N($X3077),$X3078,""))</f>
        <v/>
      </c>
      <c r="X3078">
        <f>IF($T3078="",N($X3077),IF(MATCH($T3078,$T$6:$T$6005,0)=ROW()-5,N($X3077)+1,N($X3077)))</f>
        <v/>
      </c>
      <c r="Z3078">
        <f>IF($V3078="","",IF($AA3078&gt;N($AA3077),$AA3078,""))</f>
        <v/>
      </c>
      <c r="AA3078">
        <f>IF($V3078="",N($AA3077),IF(MATCH($V3078,$V$6:$V$6005,0)=ROW()-5,N($AA3077)+1,N($AA3077)))</f>
        <v/>
      </c>
    </row>
    <row r="3079" ht="21" customHeight="1" s="66">
      <c r="A3079" s="56" t="n"/>
      <c r="B3079" s="57" t="n"/>
      <c r="C3079" s="57" t="n"/>
      <c r="D3079" s="57" t="n"/>
      <c r="E3079" s="56" t="n"/>
      <c r="F3079" s="57" t="n"/>
      <c r="G3079" s="57" t="n"/>
      <c r="H3079" s="56" t="n"/>
      <c r="I3079" s="56" t="n"/>
      <c r="J3079" s="58" t="n"/>
      <c r="K3079" s="58" t="n"/>
      <c r="L3079" s="13">
        <f>IF(OR($A3079="",AND($J3079="",$K3079="")),"",ROUND(N($J3079)-N($K3079),2))</f>
        <v/>
      </c>
      <c r="M3079" s="13">
        <f>IF(OR($A3079="",AND($J3079="",$K3079="")),"",MIN($J3079,$K3079))</f>
        <v/>
      </c>
      <c r="Q3079">
        <f>IF($A3079="","",$D3079&amp;"("&amp;SUBSTITUTE($E3079," ","")&amp;")")</f>
        <v/>
      </c>
      <c r="R3079">
        <f>IF($A3079="","",$B3079&amp;" - "&amp;$C3079)</f>
        <v/>
      </c>
      <c r="S3079">
        <f>IF($A3079="","",$R3079&amp;"|"&amp;$Q3079)</f>
        <v/>
      </c>
      <c r="T3079">
        <f>IF($A3079="","",$S3079&amp;"|"&amp;$F3079)</f>
        <v/>
      </c>
      <c r="U3079">
        <f>IF($A3079="","",$R3079&amp;"("&amp;$E3079&amp;")")</f>
        <v/>
      </c>
      <c r="V3079">
        <f>IF($A3079="","",$F3079&amp;"|"&amp;$U3079&amp;"|"&amp;$D3079)</f>
        <v/>
      </c>
      <c r="W3079">
        <f>IF($T3079="","",IF($X3079&gt;N($X3078),$X3079,""))</f>
        <v/>
      </c>
      <c r="X3079">
        <f>IF($T3079="",N($X3078),IF(MATCH($T3079,$T$6:$T$6005,0)=ROW()-5,N($X3078)+1,N($X3078)))</f>
        <v/>
      </c>
      <c r="Z3079">
        <f>IF($V3079="","",IF($AA3079&gt;N($AA3078),$AA3079,""))</f>
        <v/>
      </c>
      <c r="AA3079">
        <f>IF($V3079="",N($AA3078),IF(MATCH($V3079,$V$6:$V$6005,0)=ROW()-5,N($AA3078)+1,N($AA3078)))</f>
        <v/>
      </c>
    </row>
    <row r="3080" ht="21" customHeight="1" s="66">
      <c r="A3080" s="56" t="n"/>
      <c r="B3080" s="57" t="n"/>
      <c r="C3080" s="57" t="n"/>
      <c r="D3080" s="57" t="n"/>
      <c r="E3080" s="56" t="n"/>
      <c r="F3080" s="57" t="n"/>
      <c r="G3080" s="57" t="n"/>
      <c r="H3080" s="56" t="n"/>
      <c r="I3080" s="56" t="n"/>
      <c r="J3080" s="58" t="n"/>
      <c r="K3080" s="58" t="n"/>
      <c r="L3080" s="13">
        <f>IF(OR($A3080="",AND($J3080="",$K3080="")),"",ROUND(N($J3080)-N($K3080),2))</f>
        <v/>
      </c>
      <c r="M3080" s="13">
        <f>IF(OR($A3080="",AND($J3080="",$K3080="")),"",MIN($J3080,$K3080))</f>
        <v/>
      </c>
      <c r="Q3080">
        <f>IF($A3080="","",$D3080&amp;"("&amp;SUBSTITUTE($E3080," ","")&amp;")")</f>
        <v/>
      </c>
      <c r="R3080">
        <f>IF($A3080="","",$B3080&amp;" - "&amp;$C3080)</f>
        <v/>
      </c>
      <c r="S3080">
        <f>IF($A3080="","",$R3080&amp;"|"&amp;$Q3080)</f>
        <v/>
      </c>
      <c r="T3080">
        <f>IF($A3080="","",$S3080&amp;"|"&amp;$F3080)</f>
        <v/>
      </c>
      <c r="U3080">
        <f>IF($A3080="","",$R3080&amp;"("&amp;$E3080&amp;")")</f>
        <v/>
      </c>
      <c r="V3080">
        <f>IF($A3080="","",$F3080&amp;"|"&amp;$U3080&amp;"|"&amp;$D3080)</f>
        <v/>
      </c>
      <c r="W3080">
        <f>IF($T3080="","",IF($X3080&gt;N($X3079),$X3080,""))</f>
        <v/>
      </c>
      <c r="X3080">
        <f>IF($T3080="",N($X3079),IF(MATCH($T3080,$T$6:$T$6005,0)=ROW()-5,N($X3079)+1,N($X3079)))</f>
        <v/>
      </c>
      <c r="Z3080">
        <f>IF($V3080="","",IF($AA3080&gt;N($AA3079),$AA3080,""))</f>
        <v/>
      </c>
      <c r="AA3080">
        <f>IF($V3080="",N($AA3079),IF(MATCH($V3080,$V$6:$V$6005,0)=ROW()-5,N($AA3079)+1,N($AA3079)))</f>
        <v/>
      </c>
    </row>
    <row r="3081" ht="21" customHeight="1" s="66">
      <c r="A3081" s="56" t="n"/>
      <c r="B3081" s="57" t="n"/>
      <c r="C3081" s="57" t="n"/>
      <c r="D3081" s="57" t="n"/>
      <c r="E3081" s="56" t="n"/>
      <c r="F3081" s="57" t="n"/>
      <c r="G3081" s="57" t="n"/>
      <c r="H3081" s="56" t="n"/>
      <c r="I3081" s="56" t="n"/>
      <c r="J3081" s="58" t="n"/>
      <c r="K3081" s="58" t="n"/>
      <c r="L3081" s="13">
        <f>IF(OR($A3081="",AND($J3081="",$K3081="")),"",ROUND(N($J3081)-N($K3081),2))</f>
        <v/>
      </c>
      <c r="M3081" s="13">
        <f>IF(OR($A3081="",AND($J3081="",$K3081="")),"",MIN($J3081,$K3081))</f>
        <v/>
      </c>
      <c r="Q3081">
        <f>IF($A3081="","",$D3081&amp;"("&amp;SUBSTITUTE($E3081," ","")&amp;")")</f>
        <v/>
      </c>
      <c r="R3081">
        <f>IF($A3081="","",$B3081&amp;" - "&amp;$C3081)</f>
        <v/>
      </c>
      <c r="S3081">
        <f>IF($A3081="","",$R3081&amp;"|"&amp;$Q3081)</f>
        <v/>
      </c>
      <c r="T3081">
        <f>IF($A3081="","",$S3081&amp;"|"&amp;$F3081)</f>
        <v/>
      </c>
      <c r="U3081">
        <f>IF($A3081="","",$R3081&amp;"("&amp;$E3081&amp;")")</f>
        <v/>
      </c>
      <c r="V3081">
        <f>IF($A3081="","",$F3081&amp;"|"&amp;$U3081&amp;"|"&amp;$D3081)</f>
        <v/>
      </c>
      <c r="W3081">
        <f>IF($T3081="","",IF($X3081&gt;N($X3080),$X3081,""))</f>
        <v/>
      </c>
      <c r="X3081">
        <f>IF($T3081="",N($X3080),IF(MATCH($T3081,$T$6:$T$6005,0)=ROW()-5,N($X3080)+1,N($X3080)))</f>
        <v/>
      </c>
      <c r="Z3081">
        <f>IF($V3081="","",IF($AA3081&gt;N($AA3080),$AA3081,""))</f>
        <v/>
      </c>
      <c r="AA3081">
        <f>IF($V3081="",N($AA3080),IF(MATCH($V3081,$V$6:$V$6005,0)=ROW()-5,N($AA3080)+1,N($AA3080)))</f>
        <v/>
      </c>
    </row>
    <row r="3082" ht="21" customHeight="1" s="66">
      <c r="A3082" s="56" t="n"/>
      <c r="B3082" s="57" t="n"/>
      <c r="C3082" s="57" t="n"/>
      <c r="D3082" s="57" t="n"/>
      <c r="E3082" s="56" t="n"/>
      <c r="F3082" s="57" t="n"/>
      <c r="G3082" s="57" t="n"/>
      <c r="H3082" s="56" t="n"/>
      <c r="I3082" s="56" t="n"/>
      <c r="J3082" s="58" t="n"/>
      <c r="K3082" s="58" t="n"/>
      <c r="L3082" s="13">
        <f>IF(OR($A3082="",AND($J3082="",$K3082="")),"",ROUND(N($J3082)-N($K3082),2))</f>
        <v/>
      </c>
      <c r="M3082" s="13">
        <f>IF(OR($A3082="",AND($J3082="",$K3082="")),"",MIN($J3082,$K3082))</f>
        <v/>
      </c>
      <c r="Q3082">
        <f>IF($A3082="","",$D3082&amp;"("&amp;SUBSTITUTE($E3082," ","")&amp;")")</f>
        <v/>
      </c>
      <c r="R3082">
        <f>IF($A3082="","",$B3082&amp;" - "&amp;$C3082)</f>
        <v/>
      </c>
      <c r="S3082">
        <f>IF($A3082="","",$R3082&amp;"|"&amp;$Q3082)</f>
        <v/>
      </c>
      <c r="T3082">
        <f>IF($A3082="","",$S3082&amp;"|"&amp;$F3082)</f>
        <v/>
      </c>
      <c r="U3082">
        <f>IF($A3082="","",$R3082&amp;"("&amp;$E3082&amp;")")</f>
        <v/>
      </c>
      <c r="V3082">
        <f>IF($A3082="","",$F3082&amp;"|"&amp;$U3082&amp;"|"&amp;$D3082)</f>
        <v/>
      </c>
      <c r="W3082">
        <f>IF($T3082="","",IF($X3082&gt;N($X3081),$X3082,""))</f>
        <v/>
      </c>
      <c r="X3082">
        <f>IF($T3082="",N($X3081),IF(MATCH($T3082,$T$6:$T$6005,0)=ROW()-5,N($X3081)+1,N($X3081)))</f>
        <v/>
      </c>
      <c r="Z3082">
        <f>IF($V3082="","",IF($AA3082&gt;N($AA3081),$AA3082,""))</f>
        <v/>
      </c>
      <c r="AA3082">
        <f>IF($V3082="",N($AA3081),IF(MATCH($V3082,$V$6:$V$6005,0)=ROW()-5,N($AA3081)+1,N($AA3081)))</f>
        <v/>
      </c>
    </row>
    <row r="3083" ht="21" customHeight="1" s="66">
      <c r="A3083" s="56" t="n"/>
      <c r="B3083" s="57" t="n"/>
      <c r="C3083" s="57" t="n"/>
      <c r="D3083" s="57" t="n"/>
      <c r="E3083" s="56" t="n"/>
      <c r="F3083" s="57" t="n"/>
      <c r="G3083" s="57" t="n"/>
      <c r="H3083" s="56" t="n"/>
      <c r="I3083" s="56" t="n"/>
      <c r="J3083" s="58" t="n"/>
      <c r="K3083" s="58" t="n"/>
      <c r="L3083" s="13">
        <f>IF(OR($A3083="",AND($J3083="",$K3083="")),"",ROUND(N($J3083)-N($K3083),2))</f>
        <v/>
      </c>
      <c r="M3083" s="13">
        <f>IF(OR($A3083="",AND($J3083="",$K3083="")),"",MIN($J3083,$K3083))</f>
        <v/>
      </c>
      <c r="Q3083">
        <f>IF($A3083="","",$D3083&amp;"("&amp;SUBSTITUTE($E3083," ","")&amp;")")</f>
        <v/>
      </c>
      <c r="R3083">
        <f>IF($A3083="","",$B3083&amp;" - "&amp;$C3083)</f>
        <v/>
      </c>
      <c r="S3083">
        <f>IF($A3083="","",$R3083&amp;"|"&amp;$Q3083)</f>
        <v/>
      </c>
      <c r="T3083">
        <f>IF($A3083="","",$S3083&amp;"|"&amp;$F3083)</f>
        <v/>
      </c>
      <c r="U3083">
        <f>IF($A3083="","",$R3083&amp;"("&amp;$E3083&amp;")")</f>
        <v/>
      </c>
      <c r="V3083">
        <f>IF($A3083="","",$F3083&amp;"|"&amp;$U3083&amp;"|"&amp;$D3083)</f>
        <v/>
      </c>
      <c r="W3083">
        <f>IF($T3083="","",IF($X3083&gt;N($X3082),$X3083,""))</f>
        <v/>
      </c>
      <c r="X3083">
        <f>IF($T3083="",N($X3082),IF(MATCH($T3083,$T$6:$T$6005,0)=ROW()-5,N($X3082)+1,N($X3082)))</f>
        <v/>
      </c>
      <c r="Z3083">
        <f>IF($V3083="","",IF($AA3083&gt;N($AA3082),$AA3083,""))</f>
        <v/>
      </c>
      <c r="AA3083">
        <f>IF($V3083="",N($AA3082),IF(MATCH($V3083,$V$6:$V$6005,0)=ROW()-5,N($AA3082)+1,N($AA3082)))</f>
        <v/>
      </c>
    </row>
    <row r="3084" ht="21" customHeight="1" s="66">
      <c r="A3084" s="56" t="n"/>
      <c r="B3084" s="57" t="n"/>
      <c r="C3084" s="57" t="n"/>
      <c r="D3084" s="57" t="n"/>
      <c r="E3084" s="56" t="n"/>
      <c r="F3084" s="57" t="n"/>
      <c r="G3084" s="57" t="n"/>
      <c r="H3084" s="56" t="n"/>
      <c r="I3084" s="56" t="n"/>
      <c r="J3084" s="58" t="n"/>
      <c r="K3084" s="58" t="n"/>
      <c r="L3084" s="13">
        <f>IF(OR($A3084="",AND($J3084="",$K3084="")),"",ROUND(N($J3084)-N($K3084),2))</f>
        <v/>
      </c>
      <c r="M3084" s="13">
        <f>IF(OR($A3084="",AND($J3084="",$K3084="")),"",MIN($J3084,$K3084))</f>
        <v/>
      </c>
      <c r="Q3084">
        <f>IF($A3084="","",$D3084&amp;"("&amp;SUBSTITUTE($E3084," ","")&amp;")")</f>
        <v/>
      </c>
      <c r="R3084">
        <f>IF($A3084="","",$B3084&amp;" - "&amp;$C3084)</f>
        <v/>
      </c>
      <c r="S3084">
        <f>IF($A3084="","",$R3084&amp;"|"&amp;$Q3084)</f>
        <v/>
      </c>
      <c r="T3084">
        <f>IF($A3084="","",$S3084&amp;"|"&amp;$F3084)</f>
        <v/>
      </c>
      <c r="U3084">
        <f>IF($A3084="","",$R3084&amp;"("&amp;$E3084&amp;")")</f>
        <v/>
      </c>
      <c r="V3084">
        <f>IF($A3084="","",$F3084&amp;"|"&amp;$U3084&amp;"|"&amp;$D3084)</f>
        <v/>
      </c>
      <c r="W3084">
        <f>IF($T3084="","",IF($X3084&gt;N($X3083),$X3084,""))</f>
        <v/>
      </c>
      <c r="X3084">
        <f>IF($T3084="",N($X3083),IF(MATCH($T3084,$T$6:$T$6005,0)=ROW()-5,N($X3083)+1,N($X3083)))</f>
        <v/>
      </c>
      <c r="Z3084">
        <f>IF($V3084="","",IF($AA3084&gt;N($AA3083),$AA3084,""))</f>
        <v/>
      </c>
      <c r="AA3084">
        <f>IF($V3084="",N($AA3083),IF(MATCH($V3084,$V$6:$V$6005,0)=ROW()-5,N($AA3083)+1,N($AA3083)))</f>
        <v/>
      </c>
    </row>
    <row r="3085" ht="21" customHeight="1" s="66">
      <c r="A3085" s="56" t="n"/>
      <c r="B3085" s="57" t="n"/>
      <c r="C3085" s="57" t="n"/>
      <c r="D3085" s="57" t="n"/>
      <c r="E3085" s="56" t="n"/>
      <c r="F3085" s="57" t="n"/>
      <c r="G3085" s="57" t="n"/>
      <c r="H3085" s="56" t="n"/>
      <c r="I3085" s="56" t="n"/>
      <c r="J3085" s="58" t="n"/>
      <c r="K3085" s="58" t="n"/>
      <c r="L3085" s="13">
        <f>IF(OR($A3085="",AND($J3085="",$K3085="")),"",ROUND(N($J3085)-N($K3085),2))</f>
        <v/>
      </c>
      <c r="M3085" s="13">
        <f>IF(OR($A3085="",AND($J3085="",$K3085="")),"",MIN($J3085,$K3085))</f>
        <v/>
      </c>
      <c r="Q3085">
        <f>IF($A3085="","",$D3085&amp;"("&amp;SUBSTITUTE($E3085," ","")&amp;")")</f>
        <v/>
      </c>
      <c r="R3085">
        <f>IF($A3085="","",$B3085&amp;" - "&amp;$C3085)</f>
        <v/>
      </c>
      <c r="S3085">
        <f>IF($A3085="","",$R3085&amp;"|"&amp;$Q3085)</f>
        <v/>
      </c>
      <c r="T3085">
        <f>IF($A3085="","",$S3085&amp;"|"&amp;$F3085)</f>
        <v/>
      </c>
      <c r="U3085">
        <f>IF($A3085="","",$R3085&amp;"("&amp;$E3085&amp;")")</f>
        <v/>
      </c>
      <c r="V3085">
        <f>IF($A3085="","",$F3085&amp;"|"&amp;$U3085&amp;"|"&amp;$D3085)</f>
        <v/>
      </c>
      <c r="W3085">
        <f>IF($T3085="","",IF($X3085&gt;N($X3084),$X3085,""))</f>
        <v/>
      </c>
      <c r="X3085">
        <f>IF($T3085="",N($X3084),IF(MATCH($T3085,$T$6:$T$6005,0)=ROW()-5,N($X3084)+1,N($X3084)))</f>
        <v/>
      </c>
      <c r="Z3085">
        <f>IF($V3085="","",IF($AA3085&gt;N($AA3084),$AA3085,""))</f>
        <v/>
      </c>
      <c r="AA3085">
        <f>IF($V3085="",N($AA3084),IF(MATCH($V3085,$V$6:$V$6005,0)=ROW()-5,N($AA3084)+1,N($AA3084)))</f>
        <v/>
      </c>
    </row>
    <row r="3086" ht="21" customHeight="1" s="66">
      <c r="A3086" s="56" t="n"/>
      <c r="B3086" s="57" t="n"/>
      <c r="C3086" s="57" t="n"/>
      <c r="D3086" s="57" t="n"/>
      <c r="E3086" s="56" t="n"/>
      <c r="F3086" s="57" t="n"/>
      <c r="G3086" s="57" t="n"/>
      <c r="H3086" s="56" t="n"/>
      <c r="I3086" s="56" t="n"/>
      <c r="J3086" s="58" t="n"/>
      <c r="K3086" s="58" t="n"/>
      <c r="L3086" s="13">
        <f>IF(OR($A3086="",AND($J3086="",$K3086="")),"",ROUND(N($J3086)-N($K3086),2))</f>
        <v/>
      </c>
      <c r="M3086" s="13">
        <f>IF(OR($A3086="",AND($J3086="",$K3086="")),"",MIN($J3086,$K3086))</f>
        <v/>
      </c>
      <c r="Q3086">
        <f>IF($A3086="","",$D3086&amp;"("&amp;SUBSTITUTE($E3086," ","")&amp;")")</f>
        <v/>
      </c>
      <c r="R3086">
        <f>IF($A3086="","",$B3086&amp;" - "&amp;$C3086)</f>
        <v/>
      </c>
      <c r="S3086">
        <f>IF($A3086="","",$R3086&amp;"|"&amp;$Q3086)</f>
        <v/>
      </c>
      <c r="T3086">
        <f>IF($A3086="","",$S3086&amp;"|"&amp;$F3086)</f>
        <v/>
      </c>
      <c r="U3086">
        <f>IF($A3086="","",$R3086&amp;"("&amp;$E3086&amp;")")</f>
        <v/>
      </c>
      <c r="V3086">
        <f>IF($A3086="","",$F3086&amp;"|"&amp;$U3086&amp;"|"&amp;$D3086)</f>
        <v/>
      </c>
      <c r="W3086">
        <f>IF($T3086="","",IF($X3086&gt;N($X3085),$X3086,""))</f>
        <v/>
      </c>
      <c r="X3086">
        <f>IF($T3086="",N($X3085),IF(MATCH($T3086,$T$6:$T$6005,0)=ROW()-5,N($X3085)+1,N($X3085)))</f>
        <v/>
      </c>
      <c r="Z3086">
        <f>IF($V3086="","",IF($AA3086&gt;N($AA3085),$AA3086,""))</f>
        <v/>
      </c>
      <c r="AA3086">
        <f>IF($V3086="",N($AA3085),IF(MATCH($V3086,$V$6:$V$6005,0)=ROW()-5,N($AA3085)+1,N($AA3085)))</f>
        <v/>
      </c>
    </row>
    <row r="3087" ht="21" customHeight="1" s="66">
      <c r="A3087" s="56" t="n"/>
      <c r="B3087" s="57" t="n"/>
      <c r="C3087" s="57" t="n"/>
      <c r="D3087" s="57" t="n"/>
      <c r="E3087" s="56" t="n"/>
      <c r="F3087" s="57" t="n"/>
      <c r="G3087" s="57" t="n"/>
      <c r="H3087" s="56" t="n"/>
      <c r="I3087" s="56" t="n"/>
      <c r="J3087" s="58" t="n"/>
      <c r="K3087" s="58" t="n"/>
      <c r="L3087" s="13">
        <f>IF(OR($A3087="",AND($J3087="",$K3087="")),"",ROUND(N($J3087)-N($K3087),2))</f>
        <v/>
      </c>
      <c r="M3087" s="13">
        <f>IF(OR($A3087="",AND($J3087="",$K3087="")),"",MIN($J3087,$K3087))</f>
        <v/>
      </c>
      <c r="Q3087">
        <f>IF($A3087="","",$D3087&amp;"("&amp;SUBSTITUTE($E3087," ","")&amp;")")</f>
        <v/>
      </c>
      <c r="R3087">
        <f>IF($A3087="","",$B3087&amp;" - "&amp;$C3087)</f>
        <v/>
      </c>
      <c r="S3087">
        <f>IF($A3087="","",$R3087&amp;"|"&amp;$Q3087)</f>
        <v/>
      </c>
      <c r="T3087">
        <f>IF($A3087="","",$S3087&amp;"|"&amp;$F3087)</f>
        <v/>
      </c>
      <c r="U3087">
        <f>IF($A3087="","",$R3087&amp;"("&amp;$E3087&amp;")")</f>
        <v/>
      </c>
      <c r="V3087">
        <f>IF($A3087="","",$F3087&amp;"|"&amp;$U3087&amp;"|"&amp;$D3087)</f>
        <v/>
      </c>
      <c r="W3087">
        <f>IF($T3087="","",IF($X3087&gt;N($X3086),$X3087,""))</f>
        <v/>
      </c>
      <c r="X3087">
        <f>IF($T3087="",N($X3086),IF(MATCH($T3087,$T$6:$T$6005,0)=ROW()-5,N($X3086)+1,N($X3086)))</f>
        <v/>
      </c>
      <c r="Z3087">
        <f>IF($V3087="","",IF($AA3087&gt;N($AA3086),$AA3087,""))</f>
        <v/>
      </c>
      <c r="AA3087">
        <f>IF($V3087="",N($AA3086),IF(MATCH($V3087,$V$6:$V$6005,0)=ROW()-5,N($AA3086)+1,N($AA3086)))</f>
        <v/>
      </c>
    </row>
    <row r="3088" ht="21" customHeight="1" s="66">
      <c r="A3088" s="56" t="n"/>
      <c r="B3088" s="57" t="n"/>
      <c r="C3088" s="57" t="n"/>
      <c r="D3088" s="57" t="n"/>
      <c r="E3088" s="56" t="n"/>
      <c r="F3088" s="57" t="n"/>
      <c r="G3088" s="57" t="n"/>
      <c r="H3088" s="56" t="n"/>
      <c r="I3088" s="56" t="n"/>
      <c r="J3088" s="58" t="n"/>
      <c r="K3088" s="58" t="n"/>
      <c r="L3088" s="13">
        <f>IF(OR($A3088="",AND($J3088="",$K3088="")),"",ROUND(N($J3088)-N($K3088),2))</f>
        <v/>
      </c>
      <c r="M3088" s="13">
        <f>IF(OR($A3088="",AND($J3088="",$K3088="")),"",MIN($J3088,$K3088))</f>
        <v/>
      </c>
      <c r="Q3088">
        <f>IF($A3088="","",$D3088&amp;"("&amp;SUBSTITUTE($E3088," ","")&amp;")")</f>
        <v/>
      </c>
      <c r="R3088">
        <f>IF($A3088="","",$B3088&amp;" - "&amp;$C3088)</f>
        <v/>
      </c>
      <c r="S3088">
        <f>IF($A3088="","",$R3088&amp;"|"&amp;$Q3088)</f>
        <v/>
      </c>
      <c r="T3088">
        <f>IF($A3088="","",$S3088&amp;"|"&amp;$F3088)</f>
        <v/>
      </c>
      <c r="U3088">
        <f>IF($A3088="","",$R3088&amp;"("&amp;$E3088&amp;")")</f>
        <v/>
      </c>
      <c r="V3088">
        <f>IF($A3088="","",$F3088&amp;"|"&amp;$U3088&amp;"|"&amp;$D3088)</f>
        <v/>
      </c>
      <c r="W3088">
        <f>IF($T3088="","",IF($X3088&gt;N($X3087),$X3088,""))</f>
        <v/>
      </c>
      <c r="X3088">
        <f>IF($T3088="",N($X3087),IF(MATCH($T3088,$T$6:$T$6005,0)=ROW()-5,N($X3087)+1,N($X3087)))</f>
        <v/>
      </c>
      <c r="Z3088">
        <f>IF($V3088="","",IF($AA3088&gt;N($AA3087),$AA3088,""))</f>
        <v/>
      </c>
      <c r="AA3088">
        <f>IF($V3088="",N($AA3087),IF(MATCH($V3088,$V$6:$V$6005,0)=ROW()-5,N($AA3087)+1,N($AA3087)))</f>
        <v/>
      </c>
    </row>
    <row r="3089" ht="21" customHeight="1" s="66">
      <c r="A3089" s="56" t="n"/>
      <c r="B3089" s="57" t="n"/>
      <c r="C3089" s="57" t="n"/>
      <c r="D3089" s="57" t="n"/>
      <c r="E3089" s="56" t="n"/>
      <c r="F3089" s="57" t="n"/>
      <c r="G3089" s="57" t="n"/>
      <c r="H3089" s="56" t="n"/>
      <c r="I3089" s="56" t="n"/>
      <c r="J3089" s="58" t="n"/>
      <c r="K3089" s="58" t="n"/>
      <c r="L3089" s="13">
        <f>IF(OR($A3089="",AND($J3089="",$K3089="")),"",ROUND(N($J3089)-N($K3089),2))</f>
        <v/>
      </c>
      <c r="M3089" s="13">
        <f>IF(OR($A3089="",AND($J3089="",$K3089="")),"",MIN($J3089,$K3089))</f>
        <v/>
      </c>
      <c r="Q3089">
        <f>IF($A3089="","",$D3089&amp;"("&amp;SUBSTITUTE($E3089," ","")&amp;")")</f>
        <v/>
      </c>
      <c r="R3089">
        <f>IF($A3089="","",$B3089&amp;" - "&amp;$C3089)</f>
        <v/>
      </c>
      <c r="S3089">
        <f>IF($A3089="","",$R3089&amp;"|"&amp;$Q3089)</f>
        <v/>
      </c>
      <c r="T3089">
        <f>IF($A3089="","",$S3089&amp;"|"&amp;$F3089)</f>
        <v/>
      </c>
      <c r="U3089">
        <f>IF($A3089="","",$R3089&amp;"("&amp;$E3089&amp;")")</f>
        <v/>
      </c>
      <c r="V3089">
        <f>IF($A3089="","",$F3089&amp;"|"&amp;$U3089&amp;"|"&amp;$D3089)</f>
        <v/>
      </c>
      <c r="W3089">
        <f>IF($T3089="","",IF($X3089&gt;N($X3088),$X3089,""))</f>
        <v/>
      </c>
      <c r="X3089">
        <f>IF($T3089="",N($X3088),IF(MATCH($T3089,$T$6:$T$6005,0)=ROW()-5,N($X3088)+1,N($X3088)))</f>
        <v/>
      </c>
      <c r="Z3089">
        <f>IF($V3089="","",IF($AA3089&gt;N($AA3088),$AA3089,""))</f>
        <v/>
      </c>
      <c r="AA3089">
        <f>IF($V3089="",N($AA3088),IF(MATCH($V3089,$V$6:$V$6005,0)=ROW()-5,N($AA3088)+1,N($AA3088)))</f>
        <v/>
      </c>
    </row>
    <row r="3090" ht="21" customHeight="1" s="66">
      <c r="A3090" s="56" t="n"/>
      <c r="B3090" s="57" t="n"/>
      <c r="C3090" s="57" t="n"/>
      <c r="D3090" s="57" t="n"/>
      <c r="E3090" s="56" t="n"/>
      <c r="F3090" s="57" t="n"/>
      <c r="G3090" s="57" t="n"/>
      <c r="H3090" s="56" t="n"/>
      <c r="I3090" s="56" t="n"/>
      <c r="J3090" s="58" t="n"/>
      <c r="K3090" s="58" t="n"/>
      <c r="L3090" s="13">
        <f>IF(OR($A3090="",AND($J3090="",$K3090="")),"",ROUND(N($J3090)-N($K3090),2))</f>
        <v/>
      </c>
      <c r="M3090" s="13">
        <f>IF(OR($A3090="",AND($J3090="",$K3090="")),"",MIN($J3090,$K3090))</f>
        <v/>
      </c>
      <c r="Q3090">
        <f>IF($A3090="","",$D3090&amp;"("&amp;SUBSTITUTE($E3090," ","")&amp;")")</f>
        <v/>
      </c>
      <c r="R3090">
        <f>IF($A3090="","",$B3090&amp;" - "&amp;$C3090)</f>
        <v/>
      </c>
      <c r="S3090">
        <f>IF($A3090="","",$R3090&amp;"|"&amp;$Q3090)</f>
        <v/>
      </c>
      <c r="T3090">
        <f>IF($A3090="","",$S3090&amp;"|"&amp;$F3090)</f>
        <v/>
      </c>
      <c r="U3090">
        <f>IF($A3090="","",$R3090&amp;"("&amp;$E3090&amp;")")</f>
        <v/>
      </c>
      <c r="V3090">
        <f>IF($A3090="","",$F3090&amp;"|"&amp;$U3090&amp;"|"&amp;$D3090)</f>
        <v/>
      </c>
      <c r="W3090">
        <f>IF($T3090="","",IF($X3090&gt;N($X3089),$X3090,""))</f>
        <v/>
      </c>
      <c r="X3090">
        <f>IF($T3090="",N($X3089),IF(MATCH($T3090,$T$6:$T$6005,0)=ROW()-5,N($X3089)+1,N($X3089)))</f>
        <v/>
      </c>
      <c r="Z3090">
        <f>IF($V3090="","",IF($AA3090&gt;N($AA3089),$AA3090,""))</f>
        <v/>
      </c>
      <c r="AA3090">
        <f>IF($V3090="",N($AA3089),IF(MATCH($V3090,$V$6:$V$6005,0)=ROW()-5,N($AA3089)+1,N($AA3089)))</f>
        <v/>
      </c>
    </row>
    <row r="3091" ht="21" customHeight="1" s="66">
      <c r="A3091" s="56" t="n"/>
      <c r="B3091" s="57" t="n"/>
      <c r="C3091" s="57" t="n"/>
      <c r="D3091" s="57" t="n"/>
      <c r="E3091" s="56" t="n"/>
      <c r="F3091" s="57" t="n"/>
      <c r="G3091" s="57" t="n"/>
      <c r="H3091" s="56" t="n"/>
      <c r="I3091" s="56" t="n"/>
      <c r="J3091" s="58" t="n"/>
      <c r="K3091" s="58" t="n"/>
      <c r="L3091" s="13">
        <f>IF(OR($A3091="",AND($J3091="",$K3091="")),"",ROUND(N($J3091)-N($K3091),2))</f>
        <v/>
      </c>
      <c r="M3091" s="13">
        <f>IF(OR($A3091="",AND($J3091="",$K3091="")),"",MIN($J3091,$K3091))</f>
        <v/>
      </c>
      <c r="Q3091">
        <f>IF($A3091="","",$D3091&amp;"("&amp;SUBSTITUTE($E3091," ","")&amp;")")</f>
        <v/>
      </c>
      <c r="R3091">
        <f>IF($A3091="","",$B3091&amp;" - "&amp;$C3091)</f>
        <v/>
      </c>
      <c r="S3091">
        <f>IF($A3091="","",$R3091&amp;"|"&amp;$Q3091)</f>
        <v/>
      </c>
      <c r="T3091">
        <f>IF($A3091="","",$S3091&amp;"|"&amp;$F3091)</f>
        <v/>
      </c>
      <c r="U3091">
        <f>IF($A3091="","",$R3091&amp;"("&amp;$E3091&amp;")")</f>
        <v/>
      </c>
      <c r="V3091">
        <f>IF($A3091="","",$F3091&amp;"|"&amp;$U3091&amp;"|"&amp;$D3091)</f>
        <v/>
      </c>
      <c r="W3091">
        <f>IF($T3091="","",IF($X3091&gt;N($X3090),$X3091,""))</f>
        <v/>
      </c>
      <c r="X3091">
        <f>IF($T3091="",N($X3090),IF(MATCH($T3091,$T$6:$T$6005,0)=ROW()-5,N($X3090)+1,N($X3090)))</f>
        <v/>
      </c>
      <c r="Z3091">
        <f>IF($V3091="","",IF($AA3091&gt;N($AA3090),$AA3091,""))</f>
        <v/>
      </c>
      <c r="AA3091">
        <f>IF($V3091="",N($AA3090),IF(MATCH($V3091,$V$6:$V$6005,0)=ROW()-5,N($AA3090)+1,N($AA3090)))</f>
        <v/>
      </c>
    </row>
    <row r="3092" ht="21" customHeight="1" s="66">
      <c r="A3092" s="56" t="n"/>
      <c r="B3092" s="57" t="n"/>
      <c r="C3092" s="57" t="n"/>
      <c r="D3092" s="57" t="n"/>
      <c r="E3092" s="56" t="n"/>
      <c r="F3092" s="57" t="n"/>
      <c r="G3092" s="57" t="n"/>
      <c r="H3092" s="56" t="n"/>
      <c r="I3092" s="56" t="n"/>
      <c r="J3092" s="58" t="n"/>
      <c r="K3092" s="58" t="n"/>
      <c r="L3092" s="13">
        <f>IF(OR($A3092="",AND($J3092="",$K3092="")),"",ROUND(N($J3092)-N($K3092),2))</f>
        <v/>
      </c>
      <c r="M3092" s="13">
        <f>IF(OR($A3092="",AND($J3092="",$K3092="")),"",MIN($J3092,$K3092))</f>
        <v/>
      </c>
      <c r="Q3092">
        <f>IF($A3092="","",$D3092&amp;"("&amp;SUBSTITUTE($E3092," ","")&amp;")")</f>
        <v/>
      </c>
      <c r="R3092">
        <f>IF($A3092="","",$B3092&amp;" - "&amp;$C3092)</f>
        <v/>
      </c>
      <c r="S3092">
        <f>IF($A3092="","",$R3092&amp;"|"&amp;$Q3092)</f>
        <v/>
      </c>
      <c r="T3092">
        <f>IF($A3092="","",$S3092&amp;"|"&amp;$F3092)</f>
        <v/>
      </c>
      <c r="U3092">
        <f>IF($A3092="","",$R3092&amp;"("&amp;$E3092&amp;")")</f>
        <v/>
      </c>
      <c r="V3092">
        <f>IF($A3092="","",$F3092&amp;"|"&amp;$U3092&amp;"|"&amp;$D3092)</f>
        <v/>
      </c>
      <c r="W3092">
        <f>IF($T3092="","",IF($X3092&gt;N($X3091),$X3092,""))</f>
        <v/>
      </c>
      <c r="X3092">
        <f>IF($T3092="",N($X3091),IF(MATCH($T3092,$T$6:$T$6005,0)=ROW()-5,N($X3091)+1,N($X3091)))</f>
        <v/>
      </c>
      <c r="Z3092">
        <f>IF($V3092="","",IF($AA3092&gt;N($AA3091),$AA3092,""))</f>
        <v/>
      </c>
      <c r="AA3092">
        <f>IF($V3092="",N($AA3091),IF(MATCH($V3092,$V$6:$V$6005,0)=ROW()-5,N($AA3091)+1,N($AA3091)))</f>
        <v/>
      </c>
    </row>
    <row r="3093" ht="21" customHeight="1" s="66">
      <c r="A3093" s="56" t="n"/>
      <c r="B3093" s="57" t="n"/>
      <c r="C3093" s="57" t="n"/>
      <c r="D3093" s="57" t="n"/>
      <c r="E3093" s="56" t="n"/>
      <c r="F3093" s="57" t="n"/>
      <c r="G3093" s="57" t="n"/>
      <c r="H3093" s="56" t="n"/>
      <c r="I3093" s="56" t="n"/>
      <c r="J3093" s="58" t="n"/>
      <c r="K3093" s="58" t="n"/>
      <c r="L3093" s="13">
        <f>IF(OR($A3093="",AND($J3093="",$K3093="")),"",ROUND(N($J3093)-N($K3093),2))</f>
        <v/>
      </c>
      <c r="M3093" s="13">
        <f>IF(OR($A3093="",AND($J3093="",$K3093="")),"",MIN($J3093,$K3093))</f>
        <v/>
      </c>
      <c r="Q3093">
        <f>IF($A3093="","",$D3093&amp;"("&amp;SUBSTITUTE($E3093," ","")&amp;")")</f>
        <v/>
      </c>
      <c r="R3093">
        <f>IF($A3093="","",$B3093&amp;" - "&amp;$C3093)</f>
        <v/>
      </c>
      <c r="S3093">
        <f>IF($A3093="","",$R3093&amp;"|"&amp;$Q3093)</f>
        <v/>
      </c>
      <c r="T3093">
        <f>IF($A3093="","",$S3093&amp;"|"&amp;$F3093)</f>
        <v/>
      </c>
      <c r="U3093">
        <f>IF($A3093="","",$R3093&amp;"("&amp;$E3093&amp;")")</f>
        <v/>
      </c>
      <c r="V3093">
        <f>IF($A3093="","",$F3093&amp;"|"&amp;$U3093&amp;"|"&amp;$D3093)</f>
        <v/>
      </c>
      <c r="W3093">
        <f>IF($T3093="","",IF($X3093&gt;N($X3092),$X3093,""))</f>
        <v/>
      </c>
      <c r="X3093">
        <f>IF($T3093="",N($X3092),IF(MATCH($T3093,$T$6:$T$6005,0)=ROW()-5,N($X3092)+1,N($X3092)))</f>
        <v/>
      </c>
      <c r="Z3093">
        <f>IF($V3093="","",IF($AA3093&gt;N($AA3092),$AA3093,""))</f>
        <v/>
      </c>
      <c r="AA3093">
        <f>IF($V3093="",N($AA3092),IF(MATCH($V3093,$V$6:$V$6005,0)=ROW()-5,N($AA3092)+1,N($AA3092)))</f>
        <v/>
      </c>
    </row>
    <row r="3094" ht="21" customHeight="1" s="66">
      <c r="A3094" s="56" t="n"/>
      <c r="B3094" s="57" t="n"/>
      <c r="C3094" s="57" t="n"/>
      <c r="D3094" s="57" t="n"/>
      <c r="E3094" s="56" t="n"/>
      <c r="F3094" s="57" t="n"/>
      <c r="G3094" s="57" t="n"/>
      <c r="H3094" s="56" t="n"/>
      <c r="I3094" s="56" t="n"/>
      <c r="J3094" s="58" t="n"/>
      <c r="K3094" s="58" t="n"/>
      <c r="L3094" s="13">
        <f>IF(OR($A3094="",AND($J3094="",$K3094="")),"",ROUND(N($J3094)-N($K3094),2))</f>
        <v/>
      </c>
      <c r="M3094" s="13">
        <f>IF(OR($A3094="",AND($J3094="",$K3094="")),"",MIN($J3094,$K3094))</f>
        <v/>
      </c>
      <c r="Q3094">
        <f>IF($A3094="","",$D3094&amp;"("&amp;SUBSTITUTE($E3094," ","")&amp;")")</f>
        <v/>
      </c>
      <c r="R3094">
        <f>IF($A3094="","",$B3094&amp;" - "&amp;$C3094)</f>
        <v/>
      </c>
      <c r="S3094">
        <f>IF($A3094="","",$R3094&amp;"|"&amp;$Q3094)</f>
        <v/>
      </c>
      <c r="T3094">
        <f>IF($A3094="","",$S3094&amp;"|"&amp;$F3094)</f>
        <v/>
      </c>
      <c r="U3094">
        <f>IF($A3094="","",$R3094&amp;"("&amp;$E3094&amp;")")</f>
        <v/>
      </c>
      <c r="V3094">
        <f>IF($A3094="","",$F3094&amp;"|"&amp;$U3094&amp;"|"&amp;$D3094)</f>
        <v/>
      </c>
      <c r="W3094">
        <f>IF($T3094="","",IF($X3094&gt;N($X3093),$X3094,""))</f>
        <v/>
      </c>
      <c r="X3094">
        <f>IF($T3094="",N($X3093),IF(MATCH($T3094,$T$6:$T$6005,0)=ROW()-5,N($X3093)+1,N($X3093)))</f>
        <v/>
      </c>
      <c r="Z3094">
        <f>IF($V3094="","",IF($AA3094&gt;N($AA3093),$AA3094,""))</f>
        <v/>
      </c>
      <c r="AA3094">
        <f>IF($V3094="",N($AA3093),IF(MATCH($V3094,$V$6:$V$6005,0)=ROW()-5,N($AA3093)+1,N($AA3093)))</f>
        <v/>
      </c>
    </row>
    <row r="3095" ht="21" customHeight="1" s="66">
      <c r="A3095" s="56" t="n"/>
      <c r="B3095" s="57" t="n"/>
      <c r="C3095" s="57" t="n"/>
      <c r="D3095" s="57" t="n"/>
      <c r="E3095" s="56" t="n"/>
      <c r="F3095" s="57" t="n"/>
      <c r="G3095" s="57" t="n"/>
      <c r="H3095" s="56" t="n"/>
      <c r="I3095" s="56" t="n"/>
      <c r="J3095" s="58" t="n"/>
      <c r="K3095" s="58" t="n"/>
      <c r="L3095" s="13">
        <f>IF(OR($A3095="",AND($J3095="",$K3095="")),"",ROUND(N($J3095)-N($K3095),2))</f>
        <v/>
      </c>
      <c r="M3095" s="13">
        <f>IF(OR($A3095="",AND($J3095="",$K3095="")),"",MIN($J3095,$K3095))</f>
        <v/>
      </c>
      <c r="Q3095">
        <f>IF($A3095="","",$D3095&amp;"("&amp;SUBSTITUTE($E3095," ","")&amp;")")</f>
        <v/>
      </c>
      <c r="R3095">
        <f>IF($A3095="","",$B3095&amp;" - "&amp;$C3095)</f>
        <v/>
      </c>
      <c r="S3095">
        <f>IF($A3095="","",$R3095&amp;"|"&amp;$Q3095)</f>
        <v/>
      </c>
      <c r="T3095">
        <f>IF($A3095="","",$S3095&amp;"|"&amp;$F3095)</f>
        <v/>
      </c>
      <c r="U3095">
        <f>IF($A3095="","",$R3095&amp;"("&amp;$E3095&amp;")")</f>
        <v/>
      </c>
      <c r="V3095">
        <f>IF($A3095="","",$F3095&amp;"|"&amp;$U3095&amp;"|"&amp;$D3095)</f>
        <v/>
      </c>
      <c r="W3095">
        <f>IF($T3095="","",IF($X3095&gt;N($X3094),$X3095,""))</f>
        <v/>
      </c>
      <c r="X3095">
        <f>IF($T3095="",N($X3094),IF(MATCH($T3095,$T$6:$T$6005,0)=ROW()-5,N($X3094)+1,N($X3094)))</f>
        <v/>
      </c>
      <c r="Z3095">
        <f>IF($V3095="","",IF($AA3095&gt;N($AA3094),$AA3095,""))</f>
        <v/>
      </c>
      <c r="AA3095">
        <f>IF($V3095="",N($AA3094),IF(MATCH($V3095,$V$6:$V$6005,0)=ROW()-5,N($AA3094)+1,N($AA3094)))</f>
        <v/>
      </c>
    </row>
    <row r="3096" ht="21" customHeight="1" s="66">
      <c r="A3096" s="56" t="n"/>
      <c r="B3096" s="57" t="n"/>
      <c r="C3096" s="57" t="n"/>
      <c r="D3096" s="57" t="n"/>
      <c r="E3096" s="56" t="n"/>
      <c r="F3096" s="57" t="n"/>
      <c r="G3096" s="57" t="n"/>
      <c r="H3096" s="56" t="n"/>
      <c r="I3096" s="56" t="n"/>
      <c r="J3096" s="58" t="n"/>
      <c r="K3096" s="58" t="n"/>
      <c r="L3096" s="13">
        <f>IF(OR($A3096="",AND($J3096="",$K3096="")),"",ROUND(N($J3096)-N($K3096),2))</f>
        <v/>
      </c>
      <c r="M3096" s="13">
        <f>IF(OR($A3096="",AND($J3096="",$K3096="")),"",MIN($J3096,$K3096))</f>
        <v/>
      </c>
      <c r="Q3096">
        <f>IF($A3096="","",$D3096&amp;"("&amp;SUBSTITUTE($E3096," ","")&amp;")")</f>
        <v/>
      </c>
      <c r="R3096">
        <f>IF($A3096="","",$B3096&amp;" - "&amp;$C3096)</f>
        <v/>
      </c>
      <c r="S3096">
        <f>IF($A3096="","",$R3096&amp;"|"&amp;$Q3096)</f>
        <v/>
      </c>
      <c r="T3096">
        <f>IF($A3096="","",$S3096&amp;"|"&amp;$F3096)</f>
        <v/>
      </c>
      <c r="U3096">
        <f>IF($A3096="","",$R3096&amp;"("&amp;$E3096&amp;")")</f>
        <v/>
      </c>
      <c r="V3096">
        <f>IF($A3096="","",$F3096&amp;"|"&amp;$U3096&amp;"|"&amp;$D3096)</f>
        <v/>
      </c>
      <c r="W3096">
        <f>IF($T3096="","",IF($X3096&gt;N($X3095),$X3096,""))</f>
        <v/>
      </c>
      <c r="X3096">
        <f>IF($T3096="",N($X3095),IF(MATCH($T3096,$T$6:$T$6005,0)=ROW()-5,N($X3095)+1,N($X3095)))</f>
        <v/>
      </c>
      <c r="Z3096">
        <f>IF($V3096="","",IF($AA3096&gt;N($AA3095),$AA3096,""))</f>
        <v/>
      </c>
      <c r="AA3096">
        <f>IF($V3096="",N($AA3095),IF(MATCH($V3096,$V$6:$V$6005,0)=ROW()-5,N($AA3095)+1,N($AA3095)))</f>
        <v/>
      </c>
    </row>
    <row r="3097" ht="21" customHeight="1" s="66">
      <c r="A3097" s="56" t="n"/>
      <c r="B3097" s="57" t="n"/>
      <c r="C3097" s="57" t="n"/>
      <c r="D3097" s="57" t="n"/>
      <c r="E3097" s="56" t="n"/>
      <c r="F3097" s="57" t="n"/>
      <c r="G3097" s="57" t="n"/>
      <c r="H3097" s="56" t="n"/>
      <c r="I3097" s="56" t="n"/>
      <c r="J3097" s="58" t="n"/>
      <c r="K3097" s="58" t="n"/>
      <c r="L3097" s="13">
        <f>IF(OR($A3097="",AND($J3097="",$K3097="")),"",ROUND(N($J3097)-N($K3097),2))</f>
        <v/>
      </c>
      <c r="M3097" s="13">
        <f>IF(OR($A3097="",AND($J3097="",$K3097="")),"",MIN($J3097,$K3097))</f>
        <v/>
      </c>
      <c r="Q3097">
        <f>IF($A3097="","",$D3097&amp;"("&amp;SUBSTITUTE($E3097," ","")&amp;")")</f>
        <v/>
      </c>
      <c r="R3097">
        <f>IF($A3097="","",$B3097&amp;" - "&amp;$C3097)</f>
        <v/>
      </c>
      <c r="S3097">
        <f>IF($A3097="","",$R3097&amp;"|"&amp;$Q3097)</f>
        <v/>
      </c>
      <c r="T3097">
        <f>IF($A3097="","",$S3097&amp;"|"&amp;$F3097)</f>
        <v/>
      </c>
      <c r="U3097">
        <f>IF($A3097="","",$R3097&amp;"("&amp;$E3097&amp;")")</f>
        <v/>
      </c>
      <c r="V3097">
        <f>IF($A3097="","",$F3097&amp;"|"&amp;$U3097&amp;"|"&amp;$D3097)</f>
        <v/>
      </c>
      <c r="W3097">
        <f>IF($T3097="","",IF($X3097&gt;N($X3096),$X3097,""))</f>
        <v/>
      </c>
      <c r="X3097">
        <f>IF($T3097="",N($X3096),IF(MATCH($T3097,$T$6:$T$6005,0)=ROW()-5,N($X3096)+1,N($X3096)))</f>
        <v/>
      </c>
      <c r="Z3097">
        <f>IF($V3097="","",IF($AA3097&gt;N($AA3096),$AA3097,""))</f>
        <v/>
      </c>
      <c r="AA3097">
        <f>IF($V3097="",N($AA3096),IF(MATCH($V3097,$V$6:$V$6005,0)=ROW()-5,N($AA3096)+1,N($AA3096)))</f>
        <v/>
      </c>
    </row>
    <row r="3098" ht="21" customHeight="1" s="66">
      <c r="A3098" s="56" t="n"/>
      <c r="B3098" s="57" t="n"/>
      <c r="C3098" s="57" t="n"/>
      <c r="D3098" s="57" t="n"/>
      <c r="E3098" s="56" t="n"/>
      <c r="F3098" s="57" t="n"/>
      <c r="G3098" s="57" t="n"/>
      <c r="H3098" s="56" t="n"/>
      <c r="I3098" s="56" t="n"/>
      <c r="J3098" s="58" t="n"/>
      <c r="K3098" s="58" t="n"/>
      <c r="L3098" s="13">
        <f>IF(OR($A3098="",AND($J3098="",$K3098="")),"",ROUND(N($J3098)-N($K3098),2))</f>
        <v/>
      </c>
      <c r="M3098" s="13">
        <f>IF(OR($A3098="",AND($J3098="",$K3098="")),"",MIN($J3098,$K3098))</f>
        <v/>
      </c>
      <c r="Q3098">
        <f>IF($A3098="","",$D3098&amp;"("&amp;SUBSTITUTE($E3098," ","")&amp;")")</f>
        <v/>
      </c>
      <c r="R3098">
        <f>IF($A3098="","",$B3098&amp;" - "&amp;$C3098)</f>
        <v/>
      </c>
      <c r="S3098">
        <f>IF($A3098="","",$R3098&amp;"|"&amp;$Q3098)</f>
        <v/>
      </c>
      <c r="T3098">
        <f>IF($A3098="","",$S3098&amp;"|"&amp;$F3098)</f>
        <v/>
      </c>
      <c r="U3098">
        <f>IF($A3098="","",$R3098&amp;"("&amp;$E3098&amp;")")</f>
        <v/>
      </c>
      <c r="V3098">
        <f>IF($A3098="","",$F3098&amp;"|"&amp;$U3098&amp;"|"&amp;$D3098)</f>
        <v/>
      </c>
      <c r="W3098">
        <f>IF($T3098="","",IF($X3098&gt;N($X3097),$X3098,""))</f>
        <v/>
      </c>
      <c r="X3098">
        <f>IF($T3098="",N($X3097),IF(MATCH($T3098,$T$6:$T$6005,0)=ROW()-5,N($X3097)+1,N($X3097)))</f>
        <v/>
      </c>
      <c r="Z3098">
        <f>IF($V3098="","",IF($AA3098&gt;N($AA3097),$AA3098,""))</f>
        <v/>
      </c>
      <c r="AA3098">
        <f>IF($V3098="",N($AA3097),IF(MATCH($V3098,$V$6:$V$6005,0)=ROW()-5,N($AA3097)+1,N($AA3097)))</f>
        <v/>
      </c>
    </row>
    <row r="3099" ht="21" customHeight="1" s="66">
      <c r="A3099" s="56" t="n"/>
      <c r="B3099" s="57" t="n"/>
      <c r="C3099" s="57" t="n"/>
      <c r="D3099" s="57" t="n"/>
      <c r="E3099" s="56" t="n"/>
      <c r="F3099" s="57" t="n"/>
      <c r="G3099" s="57" t="n"/>
      <c r="H3099" s="56" t="n"/>
      <c r="I3099" s="56" t="n"/>
      <c r="J3099" s="58" t="n"/>
      <c r="K3099" s="58" t="n"/>
      <c r="L3099" s="13">
        <f>IF(OR($A3099="",AND($J3099="",$K3099="")),"",ROUND(N($J3099)-N($K3099),2))</f>
        <v/>
      </c>
      <c r="M3099" s="13">
        <f>IF(OR($A3099="",AND($J3099="",$K3099="")),"",MIN($J3099,$K3099))</f>
        <v/>
      </c>
      <c r="Q3099">
        <f>IF($A3099="","",$D3099&amp;"("&amp;SUBSTITUTE($E3099," ","")&amp;")")</f>
        <v/>
      </c>
      <c r="R3099">
        <f>IF($A3099="","",$B3099&amp;" - "&amp;$C3099)</f>
        <v/>
      </c>
      <c r="S3099">
        <f>IF($A3099="","",$R3099&amp;"|"&amp;$Q3099)</f>
        <v/>
      </c>
      <c r="T3099">
        <f>IF($A3099="","",$S3099&amp;"|"&amp;$F3099)</f>
        <v/>
      </c>
      <c r="U3099">
        <f>IF($A3099="","",$R3099&amp;"("&amp;$E3099&amp;")")</f>
        <v/>
      </c>
      <c r="V3099">
        <f>IF($A3099="","",$F3099&amp;"|"&amp;$U3099&amp;"|"&amp;$D3099)</f>
        <v/>
      </c>
      <c r="W3099">
        <f>IF($T3099="","",IF($X3099&gt;N($X3098),$X3099,""))</f>
        <v/>
      </c>
      <c r="X3099">
        <f>IF($T3099="",N($X3098),IF(MATCH($T3099,$T$6:$T$6005,0)=ROW()-5,N($X3098)+1,N($X3098)))</f>
        <v/>
      </c>
      <c r="Z3099">
        <f>IF($V3099="","",IF($AA3099&gt;N($AA3098),$AA3099,""))</f>
        <v/>
      </c>
      <c r="AA3099">
        <f>IF($V3099="",N($AA3098),IF(MATCH($V3099,$V$6:$V$6005,0)=ROW()-5,N($AA3098)+1,N($AA3098)))</f>
        <v/>
      </c>
    </row>
    <row r="3100" ht="21" customHeight="1" s="66">
      <c r="A3100" s="56" t="n"/>
      <c r="B3100" s="57" t="n"/>
      <c r="C3100" s="57" t="n"/>
      <c r="D3100" s="57" t="n"/>
      <c r="E3100" s="56" t="n"/>
      <c r="F3100" s="57" t="n"/>
      <c r="G3100" s="57" t="n"/>
      <c r="H3100" s="56" t="n"/>
      <c r="I3100" s="56" t="n"/>
      <c r="J3100" s="58" t="n"/>
      <c r="K3100" s="58" t="n"/>
      <c r="L3100" s="13">
        <f>IF(OR($A3100="",AND($J3100="",$K3100="")),"",ROUND(N($J3100)-N($K3100),2))</f>
        <v/>
      </c>
      <c r="M3100" s="13">
        <f>IF(OR($A3100="",AND($J3100="",$K3100="")),"",MIN($J3100,$K3100))</f>
        <v/>
      </c>
      <c r="Q3100">
        <f>IF($A3100="","",$D3100&amp;"("&amp;SUBSTITUTE($E3100," ","")&amp;")")</f>
        <v/>
      </c>
      <c r="R3100">
        <f>IF($A3100="","",$B3100&amp;" - "&amp;$C3100)</f>
        <v/>
      </c>
      <c r="S3100">
        <f>IF($A3100="","",$R3100&amp;"|"&amp;$Q3100)</f>
        <v/>
      </c>
      <c r="T3100">
        <f>IF($A3100="","",$S3100&amp;"|"&amp;$F3100)</f>
        <v/>
      </c>
      <c r="U3100">
        <f>IF($A3100="","",$R3100&amp;"("&amp;$E3100&amp;")")</f>
        <v/>
      </c>
      <c r="V3100">
        <f>IF($A3100="","",$F3100&amp;"|"&amp;$U3100&amp;"|"&amp;$D3100)</f>
        <v/>
      </c>
      <c r="W3100">
        <f>IF($T3100="","",IF($X3100&gt;N($X3099),$X3100,""))</f>
        <v/>
      </c>
      <c r="X3100">
        <f>IF($T3100="",N($X3099),IF(MATCH($T3100,$T$6:$T$6005,0)=ROW()-5,N($X3099)+1,N($X3099)))</f>
        <v/>
      </c>
      <c r="Z3100">
        <f>IF($V3100="","",IF($AA3100&gt;N($AA3099),$AA3100,""))</f>
        <v/>
      </c>
      <c r="AA3100">
        <f>IF($V3100="",N($AA3099),IF(MATCH($V3100,$V$6:$V$6005,0)=ROW()-5,N($AA3099)+1,N($AA3099)))</f>
        <v/>
      </c>
    </row>
    <row r="3101" ht="21" customHeight="1" s="66">
      <c r="A3101" s="56" t="n"/>
      <c r="B3101" s="57" t="n"/>
      <c r="C3101" s="57" t="n"/>
      <c r="D3101" s="57" t="n"/>
      <c r="E3101" s="56" t="n"/>
      <c r="F3101" s="57" t="n"/>
      <c r="G3101" s="57" t="n"/>
      <c r="H3101" s="56" t="n"/>
      <c r="I3101" s="56" t="n"/>
      <c r="J3101" s="58" t="n"/>
      <c r="K3101" s="58" t="n"/>
      <c r="L3101" s="13">
        <f>IF(OR($A3101="",AND($J3101="",$K3101="")),"",ROUND(N($J3101)-N($K3101),2))</f>
        <v/>
      </c>
      <c r="M3101" s="13">
        <f>IF(OR($A3101="",AND($J3101="",$K3101="")),"",MIN($J3101,$K3101))</f>
        <v/>
      </c>
      <c r="Q3101">
        <f>IF($A3101="","",$D3101&amp;"("&amp;SUBSTITUTE($E3101," ","")&amp;")")</f>
        <v/>
      </c>
      <c r="R3101">
        <f>IF($A3101="","",$B3101&amp;" - "&amp;$C3101)</f>
        <v/>
      </c>
      <c r="S3101">
        <f>IF($A3101="","",$R3101&amp;"|"&amp;$Q3101)</f>
        <v/>
      </c>
      <c r="T3101">
        <f>IF($A3101="","",$S3101&amp;"|"&amp;$F3101)</f>
        <v/>
      </c>
      <c r="U3101">
        <f>IF($A3101="","",$R3101&amp;"("&amp;$E3101&amp;")")</f>
        <v/>
      </c>
      <c r="V3101">
        <f>IF($A3101="","",$F3101&amp;"|"&amp;$U3101&amp;"|"&amp;$D3101)</f>
        <v/>
      </c>
      <c r="W3101">
        <f>IF($T3101="","",IF($X3101&gt;N($X3100),$X3101,""))</f>
        <v/>
      </c>
      <c r="X3101">
        <f>IF($T3101="",N($X3100),IF(MATCH($T3101,$T$6:$T$6005,0)=ROW()-5,N($X3100)+1,N($X3100)))</f>
        <v/>
      </c>
      <c r="Z3101">
        <f>IF($V3101="","",IF($AA3101&gt;N($AA3100),$AA3101,""))</f>
        <v/>
      </c>
      <c r="AA3101">
        <f>IF($V3101="",N($AA3100),IF(MATCH($V3101,$V$6:$V$6005,0)=ROW()-5,N($AA3100)+1,N($AA3100)))</f>
        <v/>
      </c>
    </row>
    <row r="3102" ht="21" customHeight="1" s="66">
      <c r="A3102" s="56" t="n"/>
      <c r="B3102" s="57" t="n"/>
      <c r="C3102" s="57" t="n"/>
      <c r="D3102" s="57" t="n"/>
      <c r="E3102" s="56" t="n"/>
      <c r="F3102" s="57" t="n"/>
      <c r="G3102" s="57" t="n"/>
      <c r="H3102" s="56" t="n"/>
      <c r="I3102" s="56" t="n"/>
      <c r="J3102" s="58" t="n"/>
      <c r="K3102" s="58" t="n"/>
      <c r="L3102" s="13">
        <f>IF(OR($A3102="",AND($J3102="",$K3102="")),"",ROUND(N($J3102)-N($K3102),2))</f>
        <v/>
      </c>
      <c r="M3102" s="13">
        <f>IF(OR($A3102="",AND($J3102="",$K3102="")),"",MIN($J3102,$K3102))</f>
        <v/>
      </c>
      <c r="Q3102">
        <f>IF($A3102="","",$D3102&amp;"("&amp;SUBSTITUTE($E3102," ","")&amp;")")</f>
        <v/>
      </c>
      <c r="R3102">
        <f>IF($A3102="","",$B3102&amp;" - "&amp;$C3102)</f>
        <v/>
      </c>
      <c r="S3102">
        <f>IF($A3102="","",$R3102&amp;"|"&amp;$Q3102)</f>
        <v/>
      </c>
      <c r="T3102">
        <f>IF($A3102="","",$S3102&amp;"|"&amp;$F3102)</f>
        <v/>
      </c>
      <c r="U3102">
        <f>IF($A3102="","",$R3102&amp;"("&amp;$E3102&amp;")")</f>
        <v/>
      </c>
      <c r="V3102">
        <f>IF($A3102="","",$F3102&amp;"|"&amp;$U3102&amp;"|"&amp;$D3102)</f>
        <v/>
      </c>
      <c r="W3102">
        <f>IF($T3102="","",IF($X3102&gt;N($X3101),$X3102,""))</f>
        <v/>
      </c>
      <c r="X3102">
        <f>IF($T3102="",N($X3101),IF(MATCH($T3102,$T$6:$T$6005,0)=ROW()-5,N($X3101)+1,N($X3101)))</f>
        <v/>
      </c>
      <c r="Z3102">
        <f>IF($V3102="","",IF($AA3102&gt;N($AA3101),$AA3102,""))</f>
        <v/>
      </c>
      <c r="AA3102">
        <f>IF($V3102="",N($AA3101),IF(MATCH($V3102,$V$6:$V$6005,0)=ROW()-5,N($AA3101)+1,N($AA3101)))</f>
        <v/>
      </c>
    </row>
    <row r="3103" ht="21" customHeight="1" s="66">
      <c r="A3103" s="56" t="n"/>
      <c r="B3103" s="57" t="n"/>
      <c r="C3103" s="57" t="n"/>
      <c r="D3103" s="57" t="n"/>
      <c r="E3103" s="56" t="n"/>
      <c r="F3103" s="57" t="n"/>
      <c r="G3103" s="57" t="n"/>
      <c r="H3103" s="56" t="n"/>
      <c r="I3103" s="56" t="n"/>
      <c r="J3103" s="58" t="n"/>
      <c r="K3103" s="58" t="n"/>
      <c r="L3103" s="13">
        <f>IF(OR($A3103="",AND($J3103="",$K3103="")),"",ROUND(N($J3103)-N($K3103),2))</f>
        <v/>
      </c>
      <c r="M3103" s="13">
        <f>IF(OR($A3103="",AND($J3103="",$K3103="")),"",MIN($J3103,$K3103))</f>
        <v/>
      </c>
      <c r="Q3103">
        <f>IF($A3103="","",$D3103&amp;"("&amp;SUBSTITUTE($E3103," ","")&amp;")")</f>
        <v/>
      </c>
      <c r="R3103">
        <f>IF($A3103="","",$B3103&amp;" - "&amp;$C3103)</f>
        <v/>
      </c>
      <c r="S3103">
        <f>IF($A3103="","",$R3103&amp;"|"&amp;$Q3103)</f>
        <v/>
      </c>
      <c r="T3103">
        <f>IF($A3103="","",$S3103&amp;"|"&amp;$F3103)</f>
        <v/>
      </c>
      <c r="U3103">
        <f>IF($A3103="","",$R3103&amp;"("&amp;$E3103&amp;")")</f>
        <v/>
      </c>
      <c r="V3103">
        <f>IF($A3103="","",$F3103&amp;"|"&amp;$U3103&amp;"|"&amp;$D3103)</f>
        <v/>
      </c>
      <c r="W3103">
        <f>IF($T3103="","",IF($X3103&gt;N($X3102),$X3103,""))</f>
        <v/>
      </c>
      <c r="X3103">
        <f>IF($T3103="",N($X3102),IF(MATCH($T3103,$T$6:$T$6005,0)=ROW()-5,N($X3102)+1,N($X3102)))</f>
        <v/>
      </c>
      <c r="Z3103">
        <f>IF($V3103="","",IF($AA3103&gt;N($AA3102),$AA3103,""))</f>
        <v/>
      </c>
      <c r="AA3103">
        <f>IF($V3103="",N($AA3102),IF(MATCH($V3103,$V$6:$V$6005,0)=ROW()-5,N($AA3102)+1,N($AA3102)))</f>
        <v/>
      </c>
    </row>
    <row r="3104" ht="21" customHeight="1" s="66">
      <c r="A3104" s="56" t="n"/>
      <c r="B3104" s="57" t="n"/>
      <c r="C3104" s="57" t="n"/>
      <c r="D3104" s="57" t="n"/>
      <c r="E3104" s="56" t="n"/>
      <c r="F3104" s="57" t="n"/>
      <c r="G3104" s="57" t="n"/>
      <c r="H3104" s="56" t="n"/>
      <c r="I3104" s="56" t="n"/>
      <c r="J3104" s="58" t="n"/>
      <c r="K3104" s="58" t="n"/>
      <c r="L3104" s="13">
        <f>IF(OR($A3104="",AND($J3104="",$K3104="")),"",ROUND(N($J3104)-N($K3104),2))</f>
        <v/>
      </c>
      <c r="M3104" s="13">
        <f>IF(OR($A3104="",AND($J3104="",$K3104="")),"",MIN($J3104,$K3104))</f>
        <v/>
      </c>
      <c r="Q3104">
        <f>IF($A3104="","",$D3104&amp;"("&amp;SUBSTITUTE($E3104," ","")&amp;")")</f>
        <v/>
      </c>
      <c r="R3104">
        <f>IF($A3104="","",$B3104&amp;" - "&amp;$C3104)</f>
        <v/>
      </c>
      <c r="S3104">
        <f>IF($A3104="","",$R3104&amp;"|"&amp;$Q3104)</f>
        <v/>
      </c>
      <c r="T3104">
        <f>IF($A3104="","",$S3104&amp;"|"&amp;$F3104)</f>
        <v/>
      </c>
      <c r="U3104">
        <f>IF($A3104="","",$R3104&amp;"("&amp;$E3104&amp;")")</f>
        <v/>
      </c>
      <c r="V3104">
        <f>IF($A3104="","",$F3104&amp;"|"&amp;$U3104&amp;"|"&amp;$D3104)</f>
        <v/>
      </c>
      <c r="W3104">
        <f>IF($T3104="","",IF($X3104&gt;N($X3103),$X3104,""))</f>
        <v/>
      </c>
      <c r="X3104">
        <f>IF($T3104="",N($X3103),IF(MATCH($T3104,$T$6:$T$6005,0)=ROW()-5,N($X3103)+1,N($X3103)))</f>
        <v/>
      </c>
      <c r="Z3104">
        <f>IF($V3104="","",IF($AA3104&gt;N($AA3103),$AA3104,""))</f>
        <v/>
      </c>
      <c r="AA3104">
        <f>IF($V3104="",N($AA3103),IF(MATCH($V3104,$V$6:$V$6005,0)=ROW()-5,N($AA3103)+1,N($AA3103)))</f>
        <v/>
      </c>
    </row>
    <row r="3105" ht="21" customHeight="1" s="66">
      <c r="A3105" s="56" t="n"/>
      <c r="B3105" s="57" t="n"/>
      <c r="C3105" s="57" t="n"/>
      <c r="D3105" s="57" t="n"/>
      <c r="E3105" s="56" t="n"/>
      <c r="F3105" s="57" t="n"/>
      <c r="G3105" s="57" t="n"/>
      <c r="H3105" s="56" t="n"/>
      <c r="I3105" s="56" t="n"/>
      <c r="J3105" s="58" t="n"/>
      <c r="K3105" s="58" t="n"/>
      <c r="L3105" s="13">
        <f>IF(OR($A3105="",AND($J3105="",$K3105="")),"",ROUND(N($J3105)-N($K3105),2))</f>
        <v/>
      </c>
      <c r="M3105" s="13">
        <f>IF(OR($A3105="",AND($J3105="",$K3105="")),"",MIN($J3105,$K3105))</f>
        <v/>
      </c>
      <c r="Q3105">
        <f>IF($A3105="","",$D3105&amp;"("&amp;SUBSTITUTE($E3105," ","")&amp;")")</f>
        <v/>
      </c>
      <c r="R3105">
        <f>IF($A3105="","",$B3105&amp;" - "&amp;$C3105)</f>
        <v/>
      </c>
      <c r="S3105">
        <f>IF($A3105="","",$R3105&amp;"|"&amp;$Q3105)</f>
        <v/>
      </c>
      <c r="T3105">
        <f>IF($A3105="","",$S3105&amp;"|"&amp;$F3105)</f>
        <v/>
      </c>
      <c r="U3105">
        <f>IF($A3105="","",$R3105&amp;"("&amp;$E3105&amp;")")</f>
        <v/>
      </c>
      <c r="V3105">
        <f>IF($A3105="","",$F3105&amp;"|"&amp;$U3105&amp;"|"&amp;$D3105)</f>
        <v/>
      </c>
      <c r="W3105">
        <f>IF($T3105="","",IF($X3105&gt;N($X3104),$X3105,""))</f>
        <v/>
      </c>
      <c r="X3105">
        <f>IF($T3105="",N($X3104),IF(MATCH($T3105,$T$6:$T$6005,0)=ROW()-5,N($X3104)+1,N($X3104)))</f>
        <v/>
      </c>
      <c r="Z3105">
        <f>IF($V3105="","",IF($AA3105&gt;N($AA3104),$AA3105,""))</f>
        <v/>
      </c>
      <c r="AA3105">
        <f>IF($V3105="",N($AA3104),IF(MATCH($V3105,$V$6:$V$6005,0)=ROW()-5,N($AA3104)+1,N($AA3104)))</f>
        <v/>
      </c>
    </row>
    <row r="3106" ht="21" customHeight="1" s="66">
      <c r="A3106" s="56" t="n"/>
      <c r="B3106" s="57" t="n"/>
      <c r="C3106" s="57" t="n"/>
      <c r="D3106" s="57" t="n"/>
      <c r="E3106" s="56" t="n"/>
      <c r="F3106" s="57" t="n"/>
      <c r="G3106" s="57" t="n"/>
      <c r="H3106" s="56" t="n"/>
      <c r="I3106" s="56" t="n"/>
      <c r="J3106" s="58" t="n"/>
      <c r="K3106" s="58" t="n"/>
      <c r="L3106" s="13">
        <f>IF(OR($A3106="",AND($J3106="",$K3106="")),"",ROUND(N($J3106)-N($K3106),2))</f>
        <v/>
      </c>
      <c r="M3106" s="13">
        <f>IF(OR($A3106="",AND($J3106="",$K3106="")),"",MIN($J3106,$K3106))</f>
        <v/>
      </c>
      <c r="Q3106">
        <f>IF($A3106="","",$D3106&amp;"("&amp;SUBSTITUTE($E3106," ","")&amp;")")</f>
        <v/>
      </c>
      <c r="R3106">
        <f>IF($A3106="","",$B3106&amp;" - "&amp;$C3106)</f>
        <v/>
      </c>
      <c r="S3106">
        <f>IF($A3106="","",$R3106&amp;"|"&amp;$Q3106)</f>
        <v/>
      </c>
      <c r="T3106">
        <f>IF($A3106="","",$S3106&amp;"|"&amp;$F3106)</f>
        <v/>
      </c>
      <c r="U3106">
        <f>IF($A3106="","",$R3106&amp;"("&amp;$E3106&amp;")")</f>
        <v/>
      </c>
      <c r="V3106">
        <f>IF($A3106="","",$F3106&amp;"|"&amp;$U3106&amp;"|"&amp;$D3106)</f>
        <v/>
      </c>
      <c r="W3106">
        <f>IF($T3106="","",IF($X3106&gt;N($X3105),$X3106,""))</f>
        <v/>
      </c>
      <c r="X3106">
        <f>IF($T3106="",N($X3105),IF(MATCH($T3106,$T$6:$T$6005,0)=ROW()-5,N($X3105)+1,N($X3105)))</f>
        <v/>
      </c>
      <c r="Z3106">
        <f>IF($V3106="","",IF($AA3106&gt;N($AA3105),$AA3106,""))</f>
        <v/>
      </c>
      <c r="AA3106">
        <f>IF($V3106="",N($AA3105),IF(MATCH($V3106,$V$6:$V$6005,0)=ROW()-5,N($AA3105)+1,N($AA3105)))</f>
        <v/>
      </c>
    </row>
    <row r="3107" ht="21" customHeight="1" s="66">
      <c r="A3107" s="56" t="n"/>
      <c r="B3107" s="57" t="n"/>
      <c r="C3107" s="57" t="n"/>
      <c r="D3107" s="57" t="n"/>
      <c r="E3107" s="56" t="n"/>
      <c r="F3107" s="57" t="n"/>
      <c r="G3107" s="57" t="n"/>
      <c r="H3107" s="56" t="n"/>
      <c r="I3107" s="56" t="n"/>
      <c r="J3107" s="58" t="n"/>
      <c r="K3107" s="58" t="n"/>
      <c r="L3107" s="13">
        <f>IF(OR($A3107="",AND($J3107="",$K3107="")),"",ROUND(N($J3107)-N($K3107),2))</f>
        <v/>
      </c>
      <c r="M3107" s="13">
        <f>IF(OR($A3107="",AND($J3107="",$K3107="")),"",MIN($J3107,$K3107))</f>
        <v/>
      </c>
      <c r="Q3107">
        <f>IF($A3107="","",$D3107&amp;"("&amp;SUBSTITUTE($E3107," ","")&amp;")")</f>
        <v/>
      </c>
      <c r="R3107">
        <f>IF($A3107="","",$B3107&amp;" - "&amp;$C3107)</f>
        <v/>
      </c>
      <c r="S3107">
        <f>IF($A3107="","",$R3107&amp;"|"&amp;$Q3107)</f>
        <v/>
      </c>
      <c r="T3107">
        <f>IF($A3107="","",$S3107&amp;"|"&amp;$F3107)</f>
        <v/>
      </c>
      <c r="U3107">
        <f>IF($A3107="","",$R3107&amp;"("&amp;$E3107&amp;")")</f>
        <v/>
      </c>
      <c r="V3107">
        <f>IF($A3107="","",$F3107&amp;"|"&amp;$U3107&amp;"|"&amp;$D3107)</f>
        <v/>
      </c>
      <c r="W3107">
        <f>IF($T3107="","",IF($X3107&gt;N($X3106),$X3107,""))</f>
        <v/>
      </c>
      <c r="X3107">
        <f>IF($T3107="",N($X3106),IF(MATCH($T3107,$T$6:$T$6005,0)=ROW()-5,N($X3106)+1,N($X3106)))</f>
        <v/>
      </c>
      <c r="Z3107">
        <f>IF($V3107="","",IF($AA3107&gt;N($AA3106),$AA3107,""))</f>
        <v/>
      </c>
      <c r="AA3107">
        <f>IF($V3107="",N($AA3106),IF(MATCH($V3107,$V$6:$V$6005,0)=ROW()-5,N($AA3106)+1,N($AA3106)))</f>
        <v/>
      </c>
    </row>
    <row r="3108" ht="21" customHeight="1" s="66">
      <c r="A3108" s="56" t="n"/>
      <c r="B3108" s="57" t="n"/>
      <c r="C3108" s="57" t="n"/>
      <c r="D3108" s="57" t="n"/>
      <c r="E3108" s="56" t="n"/>
      <c r="F3108" s="57" t="n"/>
      <c r="G3108" s="57" t="n"/>
      <c r="H3108" s="56" t="n"/>
      <c r="I3108" s="56" t="n"/>
      <c r="J3108" s="58" t="n"/>
      <c r="K3108" s="58" t="n"/>
      <c r="L3108" s="13">
        <f>IF(OR($A3108="",AND($J3108="",$K3108="")),"",ROUND(N($J3108)-N($K3108),2))</f>
        <v/>
      </c>
      <c r="M3108" s="13">
        <f>IF(OR($A3108="",AND($J3108="",$K3108="")),"",MIN($J3108,$K3108))</f>
        <v/>
      </c>
      <c r="Q3108">
        <f>IF($A3108="","",$D3108&amp;"("&amp;SUBSTITUTE($E3108," ","")&amp;")")</f>
        <v/>
      </c>
      <c r="R3108">
        <f>IF($A3108="","",$B3108&amp;" - "&amp;$C3108)</f>
        <v/>
      </c>
      <c r="S3108">
        <f>IF($A3108="","",$R3108&amp;"|"&amp;$Q3108)</f>
        <v/>
      </c>
      <c r="T3108">
        <f>IF($A3108="","",$S3108&amp;"|"&amp;$F3108)</f>
        <v/>
      </c>
      <c r="U3108">
        <f>IF($A3108="","",$R3108&amp;"("&amp;$E3108&amp;")")</f>
        <v/>
      </c>
      <c r="V3108">
        <f>IF($A3108="","",$F3108&amp;"|"&amp;$U3108&amp;"|"&amp;$D3108)</f>
        <v/>
      </c>
      <c r="W3108">
        <f>IF($T3108="","",IF($X3108&gt;N($X3107),$X3108,""))</f>
        <v/>
      </c>
      <c r="X3108">
        <f>IF($T3108="",N($X3107),IF(MATCH($T3108,$T$6:$T$6005,0)=ROW()-5,N($X3107)+1,N($X3107)))</f>
        <v/>
      </c>
      <c r="Z3108">
        <f>IF($V3108="","",IF($AA3108&gt;N($AA3107),$AA3108,""))</f>
        <v/>
      </c>
      <c r="AA3108">
        <f>IF($V3108="",N($AA3107),IF(MATCH($V3108,$V$6:$V$6005,0)=ROW()-5,N($AA3107)+1,N($AA3107)))</f>
        <v/>
      </c>
    </row>
    <row r="3109" ht="21" customHeight="1" s="66">
      <c r="A3109" s="56" t="n"/>
      <c r="B3109" s="57" t="n"/>
      <c r="C3109" s="57" t="n"/>
      <c r="D3109" s="57" t="n"/>
      <c r="E3109" s="56" t="n"/>
      <c r="F3109" s="57" t="n"/>
      <c r="G3109" s="57" t="n"/>
      <c r="H3109" s="56" t="n"/>
      <c r="I3109" s="56" t="n"/>
      <c r="J3109" s="58" t="n"/>
      <c r="K3109" s="58" t="n"/>
      <c r="L3109" s="13">
        <f>IF(OR($A3109="",AND($J3109="",$K3109="")),"",ROUND(N($J3109)-N($K3109),2))</f>
        <v/>
      </c>
      <c r="M3109" s="13">
        <f>IF(OR($A3109="",AND($J3109="",$K3109="")),"",MIN($J3109,$K3109))</f>
        <v/>
      </c>
      <c r="Q3109">
        <f>IF($A3109="","",$D3109&amp;"("&amp;SUBSTITUTE($E3109," ","")&amp;")")</f>
        <v/>
      </c>
      <c r="R3109">
        <f>IF($A3109="","",$B3109&amp;" - "&amp;$C3109)</f>
        <v/>
      </c>
      <c r="S3109">
        <f>IF($A3109="","",$R3109&amp;"|"&amp;$Q3109)</f>
        <v/>
      </c>
      <c r="T3109">
        <f>IF($A3109="","",$S3109&amp;"|"&amp;$F3109)</f>
        <v/>
      </c>
      <c r="U3109">
        <f>IF($A3109="","",$R3109&amp;"("&amp;$E3109&amp;")")</f>
        <v/>
      </c>
      <c r="V3109">
        <f>IF($A3109="","",$F3109&amp;"|"&amp;$U3109&amp;"|"&amp;$D3109)</f>
        <v/>
      </c>
      <c r="W3109">
        <f>IF($T3109="","",IF($X3109&gt;N($X3108),$X3109,""))</f>
        <v/>
      </c>
      <c r="X3109">
        <f>IF($T3109="",N($X3108),IF(MATCH($T3109,$T$6:$T$6005,0)=ROW()-5,N($X3108)+1,N($X3108)))</f>
        <v/>
      </c>
      <c r="Z3109">
        <f>IF($V3109="","",IF($AA3109&gt;N($AA3108),$AA3109,""))</f>
        <v/>
      </c>
      <c r="AA3109">
        <f>IF($V3109="",N($AA3108),IF(MATCH($V3109,$V$6:$V$6005,0)=ROW()-5,N($AA3108)+1,N($AA3108)))</f>
        <v/>
      </c>
    </row>
    <row r="3110" ht="21" customHeight="1" s="66">
      <c r="A3110" s="56" t="n"/>
      <c r="B3110" s="57" t="n"/>
      <c r="C3110" s="57" t="n"/>
      <c r="D3110" s="57" t="n"/>
      <c r="E3110" s="56" t="n"/>
      <c r="F3110" s="57" t="n"/>
      <c r="G3110" s="57" t="n"/>
      <c r="H3110" s="56" t="n"/>
      <c r="I3110" s="56" t="n"/>
      <c r="J3110" s="58" t="n"/>
      <c r="K3110" s="58" t="n"/>
      <c r="L3110" s="13">
        <f>IF(OR($A3110="",AND($J3110="",$K3110="")),"",ROUND(N($J3110)-N($K3110),2))</f>
        <v/>
      </c>
      <c r="M3110" s="13">
        <f>IF(OR($A3110="",AND($J3110="",$K3110="")),"",MIN($J3110,$K3110))</f>
        <v/>
      </c>
      <c r="Q3110">
        <f>IF($A3110="","",$D3110&amp;"("&amp;SUBSTITUTE($E3110," ","")&amp;")")</f>
        <v/>
      </c>
      <c r="R3110">
        <f>IF($A3110="","",$B3110&amp;" - "&amp;$C3110)</f>
        <v/>
      </c>
      <c r="S3110">
        <f>IF($A3110="","",$R3110&amp;"|"&amp;$Q3110)</f>
        <v/>
      </c>
      <c r="T3110">
        <f>IF($A3110="","",$S3110&amp;"|"&amp;$F3110)</f>
        <v/>
      </c>
      <c r="U3110">
        <f>IF($A3110="","",$R3110&amp;"("&amp;$E3110&amp;")")</f>
        <v/>
      </c>
      <c r="V3110">
        <f>IF($A3110="","",$F3110&amp;"|"&amp;$U3110&amp;"|"&amp;$D3110)</f>
        <v/>
      </c>
      <c r="W3110">
        <f>IF($T3110="","",IF($X3110&gt;N($X3109),$X3110,""))</f>
        <v/>
      </c>
      <c r="X3110">
        <f>IF($T3110="",N($X3109),IF(MATCH($T3110,$T$6:$T$6005,0)=ROW()-5,N($X3109)+1,N($X3109)))</f>
        <v/>
      </c>
      <c r="Z3110">
        <f>IF($V3110="","",IF($AA3110&gt;N($AA3109),$AA3110,""))</f>
        <v/>
      </c>
      <c r="AA3110">
        <f>IF($V3110="",N($AA3109),IF(MATCH($V3110,$V$6:$V$6005,0)=ROW()-5,N($AA3109)+1,N($AA3109)))</f>
        <v/>
      </c>
    </row>
    <row r="3111" ht="21" customHeight="1" s="66">
      <c r="A3111" s="56" t="n"/>
      <c r="B3111" s="57" t="n"/>
      <c r="C3111" s="57" t="n"/>
      <c r="D3111" s="57" t="n"/>
      <c r="E3111" s="56" t="n"/>
      <c r="F3111" s="57" t="n"/>
      <c r="G3111" s="57" t="n"/>
      <c r="H3111" s="56" t="n"/>
      <c r="I3111" s="56" t="n"/>
      <c r="J3111" s="58" t="n"/>
      <c r="K3111" s="58" t="n"/>
      <c r="L3111" s="13">
        <f>IF(OR($A3111="",AND($J3111="",$K3111="")),"",ROUND(N($J3111)-N($K3111),2))</f>
        <v/>
      </c>
      <c r="M3111" s="13">
        <f>IF(OR($A3111="",AND($J3111="",$K3111="")),"",MIN($J3111,$K3111))</f>
        <v/>
      </c>
      <c r="Q3111">
        <f>IF($A3111="","",$D3111&amp;"("&amp;SUBSTITUTE($E3111," ","")&amp;")")</f>
        <v/>
      </c>
      <c r="R3111">
        <f>IF($A3111="","",$B3111&amp;" - "&amp;$C3111)</f>
        <v/>
      </c>
      <c r="S3111">
        <f>IF($A3111="","",$R3111&amp;"|"&amp;$Q3111)</f>
        <v/>
      </c>
      <c r="T3111">
        <f>IF($A3111="","",$S3111&amp;"|"&amp;$F3111)</f>
        <v/>
      </c>
      <c r="U3111">
        <f>IF($A3111="","",$R3111&amp;"("&amp;$E3111&amp;")")</f>
        <v/>
      </c>
      <c r="V3111">
        <f>IF($A3111="","",$F3111&amp;"|"&amp;$U3111&amp;"|"&amp;$D3111)</f>
        <v/>
      </c>
      <c r="W3111">
        <f>IF($T3111="","",IF($X3111&gt;N($X3110),$X3111,""))</f>
        <v/>
      </c>
      <c r="X3111">
        <f>IF($T3111="",N($X3110),IF(MATCH($T3111,$T$6:$T$6005,0)=ROW()-5,N($X3110)+1,N($X3110)))</f>
        <v/>
      </c>
      <c r="Z3111">
        <f>IF($V3111="","",IF($AA3111&gt;N($AA3110),$AA3111,""))</f>
        <v/>
      </c>
      <c r="AA3111">
        <f>IF($V3111="",N($AA3110),IF(MATCH($V3111,$V$6:$V$6005,0)=ROW()-5,N($AA3110)+1,N($AA3110)))</f>
        <v/>
      </c>
    </row>
    <row r="3112" ht="21" customHeight="1" s="66">
      <c r="A3112" s="56" t="n"/>
      <c r="B3112" s="57" t="n"/>
      <c r="C3112" s="57" t="n"/>
      <c r="D3112" s="57" t="n"/>
      <c r="E3112" s="56" t="n"/>
      <c r="F3112" s="57" t="n"/>
      <c r="G3112" s="57" t="n"/>
      <c r="H3112" s="56" t="n"/>
      <c r="I3112" s="56" t="n"/>
      <c r="J3112" s="58" t="n"/>
      <c r="K3112" s="58" t="n"/>
      <c r="L3112" s="13">
        <f>IF(OR($A3112="",AND($J3112="",$K3112="")),"",ROUND(N($J3112)-N($K3112),2))</f>
        <v/>
      </c>
      <c r="M3112" s="13">
        <f>IF(OR($A3112="",AND($J3112="",$K3112="")),"",MIN($J3112,$K3112))</f>
        <v/>
      </c>
      <c r="Q3112">
        <f>IF($A3112="","",$D3112&amp;"("&amp;SUBSTITUTE($E3112," ","")&amp;")")</f>
        <v/>
      </c>
      <c r="R3112">
        <f>IF($A3112="","",$B3112&amp;" - "&amp;$C3112)</f>
        <v/>
      </c>
      <c r="S3112">
        <f>IF($A3112="","",$R3112&amp;"|"&amp;$Q3112)</f>
        <v/>
      </c>
      <c r="T3112">
        <f>IF($A3112="","",$S3112&amp;"|"&amp;$F3112)</f>
        <v/>
      </c>
      <c r="U3112">
        <f>IF($A3112="","",$R3112&amp;"("&amp;$E3112&amp;")")</f>
        <v/>
      </c>
      <c r="V3112">
        <f>IF($A3112="","",$F3112&amp;"|"&amp;$U3112&amp;"|"&amp;$D3112)</f>
        <v/>
      </c>
      <c r="W3112">
        <f>IF($T3112="","",IF($X3112&gt;N($X3111),$X3112,""))</f>
        <v/>
      </c>
      <c r="X3112">
        <f>IF($T3112="",N($X3111),IF(MATCH($T3112,$T$6:$T$6005,0)=ROW()-5,N($X3111)+1,N($X3111)))</f>
        <v/>
      </c>
      <c r="Z3112">
        <f>IF($V3112="","",IF($AA3112&gt;N($AA3111),$AA3112,""))</f>
        <v/>
      </c>
      <c r="AA3112">
        <f>IF($V3112="",N($AA3111),IF(MATCH($V3112,$V$6:$V$6005,0)=ROW()-5,N($AA3111)+1,N($AA3111)))</f>
        <v/>
      </c>
    </row>
    <row r="3113" ht="21" customHeight="1" s="66">
      <c r="A3113" s="56" t="n"/>
      <c r="B3113" s="57" t="n"/>
      <c r="C3113" s="57" t="n"/>
      <c r="D3113" s="57" t="n"/>
      <c r="E3113" s="56" t="n"/>
      <c r="F3113" s="57" t="n"/>
      <c r="G3113" s="57" t="n"/>
      <c r="H3113" s="56" t="n"/>
      <c r="I3113" s="56" t="n"/>
      <c r="J3113" s="58" t="n"/>
      <c r="K3113" s="58" t="n"/>
      <c r="L3113" s="13">
        <f>IF(OR($A3113="",AND($J3113="",$K3113="")),"",ROUND(N($J3113)-N($K3113),2))</f>
        <v/>
      </c>
      <c r="M3113" s="13">
        <f>IF(OR($A3113="",AND($J3113="",$K3113="")),"",MIN($J3113,$K3113))</f>
        <v/>
      </c>
      <c r="Q3113">
        <f>IF($A3113="","",$D3113&amp;"("&amp;SUBSTITUTE($E3113," ","")&amp;")")</f>
        <v/>
      </c>
      <c r="R3113">
        <f>IF($A3113="","",$B3113&amp;" - "&amp;$C3113)</f>
        <v/>
      </c>
      <c r="S3113">
        <f>IF($A3113="","",$R3113&amp;"|"&amp;$Q3113)</f>
        <v/>
      </c>
      <c r="T3113">
        <f>IF($A3113="","",$S3113&amp;"|"&amp;$F3113)</f>
        <v/>
      </c>
      <c r="U3113">
        <f>IF($A3113="","",$R3113&amp;"("&amp;$E3113&amp;")")</f>
        <v/>
      </c>
      <c r="V3113">
        <f>IF($A3113="","",$F3113&amp;"|"&amp;$U3113&amp;"|"&amp;$D3113)</f>
        <v/>
      </c>
      <c r="W3113">
        <f>IF($T3113="","",IF($X3113&gt;N($X3112),$X3113,""))</f>
        <v/>
      </c>
      <c r="X3113">
        <f>IF($T3113="",N($X3112),IF(MATCH($T3113,$T$6:$T$6005,0)=ROW()-5,N($X3112)+1,N($X3112)))</f>
        <v/>
      </c>
      <c r="Z3113">
        <f>IF($V3113="","",IF($AA3113&gt;N($AA3112),$AA3113,""))</f>
        <v/>
      </c>
      <c r="AA3113">
        <f>IF($V3113="",N($AA3112),IF(MATCH($V3113,$V$6:$V$6005,0)=ROW()-5,N($AA3112)+1,N($AA3112)))</f>
        <v/>
      </c>
    </row>
    <row r="3114" ht="21" customHeight="1" s="66">
      <c r="A3114" s="56" t="n"/>
      <c r="B3114" s="57" t="n"/>
      <c r="C3114" s="57" t="n"/>
      <c r="D3114" s="57" t="n"/>
      <c r="E3114" s="56" t="n"/>
      <c r="F3114" s="57" t="n"/>
      <c r="G3114" s="57" t="n"/>
      <c r="H3114" s="56" t="n"/>
      <c r="I3114" s="56" t="n"/>
      <c r="J3114" s="58" t="n"/>
      <c r="K3114" s="58" t="n"/>
      <c r="L3114" s="13">
        <f>IF(OR($A3114="",AND($J3114="",$K3114="")),"",ROUND(N($J3114)-N($K3114),2))</f>
        <v/>
      </c>
      <c r="M3114" s="13">
        <f>IF(OR($A3114="",AND($J3114="",$K3114="")),"",MIN($J3114,$K3114))</f>
        <v/>
      </c>
      <c r="Q3114">
        <f>IF($A3114="","",$D3114&amp;"("&amp;SUBSTITUTE($E3114," ","")&amp;")")</f>
        <v/>
      </c>
      <c r="R3114">
        <f>IF($A3114="","",$B3114&amp;" - "&amp;$C3114)</f>
        <v/>
      </c>
      <c r="S3114">
        <f>IF($A3114="","",$R3114&amp;"|"&amp;$Q3114)</f>
        <v/>
      </c>
      <c r="T3114">
        <f>IF($A3114="","",$S3114&amp;"|"&amp;$F3114)</f>
        <v/>
      </c>
      <c r="U3114">
        <f>IF($A3114="","",$R3114&amp;"("&amp;$E3114&amp;")")</f>
        <v/>
      </c>
      <c r="V3114">
        <f>IF($A3114="","",$F3114&amp;"|"&amp;$U3114&amp;"|"&amp;$D3114)</f>
        <v/>
      </c>
      <c r="W3114">
        <f>IF($T3114="","",IF($X3114&gt;N($X3113),$X3114,""))</f>
        <v/>
      </c>
      <c r="X3114">
        <f>IF($T3114="",N($X3113),IF(MATCH($T3114,$T$6:$T$6005,0)=ROW()-5,N($X3113)+1,N($X3113)))</f>
        <v/>
      </c>
      <c r="Z3114">
        <f>IF($V3114="","",IF($AA3114&gt;N($AA3113),$AA3114,""))</f>
        <v/>
      </c>
      <c r="AA3114">
        <f>IF($V3114="",N($AA3113),IF(MATCH($V3114,$V$6:$V$6005,0)=ROW()-5,N($AA3113)+1,N($AA3113)))</f>
        <v/>
      </c>
    </row>
    <row r="3115" ht="21" customHeight="1" s="66">
      <c r="A3115" s="56" t="n"/>
      <c r="B3115" s="57" t="n"/>
      <c r="C3115" s="57" t="n"/>
      <c r="D3115" s="57" t="n"/>
      <c r="E3115" s="56" t="n"/>
      <c r="F3115" s="57" t="n"/>
      <c r="G3115" s="57" t="n"/>
      <c r="H3115" s="56" t="n"/>
      <c r="I3115" s="56" t="n"/>
      <c r="J3115" s="58" t="n"/>
      <c r="K3115" s="58" t="n"/>
      <c r="L3115" s="13">
        <f>IF(OR($A3115="",AND($J3115="",$K3115="")),"",ROUND(N($J3115)-N($K3115),2))</f>
        <v/>
      </c>
      <c r="M3115" s="13">
        <f>IF(OR($A3115="",AND($J3115="",$K3115="")),"",MIN($J3115,$K3115))</f>
        <v/>
      </c>
      <c r="Q3115">
        <f>IF($A3115="","",$D3115&amp;"("&amp;SUBSTITUTE($E3115," ","")&amp;")")</f>
        <v/>
      </c>
      <c r="R3115">
        <f>IF($A3115="","",$B3115&amp;" - "&amp;$C3115)</f>
        <v/>
      </c>
      <c r="S3115">
        <f>IF($A3115="","",$R3115&amp;"|"&amp;$Q3115)</f>
        <v/>
      </c>
      <c r="T3115">
        <f>IF($A3115="","",$S3115&amp;"|"&amp;$F3115)</f>
        <v/>
      </c>
      <c r="U3115">
        <f>IF($A3115="","",$R3115&amp;"("&amp;$E3115&amp;")")</f>
        <v/>
      </c>
      <c r="V3115">
        <f>IF($A3115="","",$F3115&amp;"|"&amp;$U3115&amp;"|"&amp;$D3115)</f>
        <v/>
      </c>
      <c r="W3115">
        <f>IF($T3115="","",IF($X3115&gt;N($X3114),$X3115,""))</f>
        <v/>
      </c>
      <c r="X3115">
        <f>IF($T3115="",N($X3114),IF(MATCH($T3115,$T$6:$T$6005,0)=ROW()-5,N($X3114)+1,N($X3114)))</f>
        <v/>
      </c>
      <c r="Z3115">
        <f>IF($V3115="","",IF($AA3115&gt;N($AA3114),$AA3115,""))</f>
        <v/>
      </c>
      <c r="AA3115">
        <f>IF($V3115="",N($AA3114),IF(MATCH($V3115,$V$6:$V$6005,0)=ROW()-5,N($AA3114)+1,N($AA3114)))</f>
        <v/>
      </c>
    </row>
    <row r="3116" ht="21" customHeight="1" s="66">
      <c r="A3116" s="56" t="n"/>
      <c r="B3116" s="57" t="n"/>
      <c r="C3116" s="57" t="n"/>
      <c r="D3116" s="57" t="n"/>
      <c r="E3116" s="56" t="n"/>
      <c r="F3116" s="57" t="n"/>
      <c r="G3116" s="57" t="n"/>
      <c r="H3116" s="56" t="n"/>
      <c r="I3116" s="56" t="n"/>
      <c r="J3116" s="58" t="n"/>
      <c r="K3116" s="58" t="n"/>
      <c r="L3116" s="13">
        <f>IF(OR($A3116="",AND($J3116="",$K3116="")),"",ROUND(N($J3116)-N($K3116),2))</f>
        <v/>
      </c>
      <c r="M3116" s="13">
        <f>IF(OR($A3116="",AND($J3116="",$K3116="")),"",MIN($J3116,$K3116))</f>
        <v/>
      </c>
      <c r="Q3116">
        <f>IF($A3116="","",$D3116&amp;"("&amp;SUBSTITUTE($E3116," ","")&amp;")")</f>
        <v/>
      </c>
      <c r="R3116">
        <f>IF($A3116="","",$B3116&amp;" - "&amp;$C3116)</f>
        <v/>
      </c>
      <c r="S3116">
        <f>IF($A3116="","",$R3116&amp;"|"&amp;$Q3116)</f>
        <v/>
      </c>
      <c r="T3116">
        <f>IF($A3116="","",$S3116&amp;"|"&amp;$F3116)</f>
        <v/>
      </c>
      <c r="U3116">
        <f>IF($A3116="","",$R3116&amp;"("&amp;$E3116&amp;")")</f>
        <v/>
      </c>
      <c r="V3116">
        <f>IF($A3116="","",$F3116&amp;"|"&amp;$U3116&amp;"|"&amp;$D3116)</f>
        <v/>
      </c>
      <c r="W3116">
        <f>IF($T3116="","",IF($X3116&gt;N($X3115),$X3116,""))</f>
        <v/>
      </c>
      <c r="X3116">
        <f>IF($T3116="",N($X3115),IF(MATCH($T3116,$T$6:$T$6005,0)=ROW()-5,N($X3115)+1,N($X3115)))</f>
        <v/>
      </c>
      <c r="Z3116">
        <f>IF($V3116="","",IF($AA3116&gt;N($AA3115),$AA3116,""))</f>
        <v/>
      </c>
      <c r="AA3116">
        <f>IF($V3116="",N($AA3115),IF(MATCH($V3116,$V$6:$V$6005,0)=ROW()-5,N($AA3115)+1,N($AA3115)))</f>
        <v/>
      </c>
    </row>
    <row r="3117" ht="21" customHeight="1" s="66">
      <c r="A3117" s="56" t="n"/>
      <c r="B3117" s="57" t="n"/>
      <c r="C3117" s="57" t="n"/>
      <c r="D3117" s="57" t="n"/>
      <c r="E3117" s="56" t="n"/>
      <c r="F3117" s="57" t="n"/>
      <c r="G3117" s="57" t="n"/>
      <c r="H3117" s="56" t="n"/>
      <c r="I3117" s="56" t="n"/>
      <c r="J3117" s="58" t="n"/>
      <c r="K3117" s="58" t="n"/>
      <c r="L3117" s="13">
        <f>IF(OR($A3117="",AND($J3117="",$K3117="")),"",ROUND(N($J3117)-N($K3117),2))</f>
        <v/>
      </c>
      <c r="M3117" s="13">
        <f>IF(OR($A3117="",AND($J3117="",$K3117="")),"",MIN($J3117,$K3117))</f>
        <v/>
      </c>
      <c r="Q3117">
        <f>IF($A3117="","",$D3117&amp;"("&amp;SUBSTITUTE($E3117," ","")&amp;")")</f>
        <v/>
      </c>
      <c r="R3117">
        <f>IF($A3117="","",$B3117&amp;" - "&amp;$C3117)</f>
        <v/>
      </c>
      <c r="S3117">
        <f>IF($A3117="","",$R3117&amp;"|"&amp;$Q3117)</f>
        <v/>
      </c>
      <c r="T3117">
        <f>IF($A3117="","",$S3117&amp;"|"&amp;$F3117)</f>
        <v/>
      </c>
      <c r="U3117">
        <f>IF($A3117="","",$R3117&amp;"("&amp;$E3117&amp;")")</f>
        <v/>
      </c>
      <c r="V3117">
        <f>IF($A3117="","",$F3117&amp;"|"&amp;$U3117&amp;"|"&amp;$D3117)</f>
        <v/>
      </c>
      <c r="W3117">
        <f>IF($T3117="","",IF($X3117&gt;N($X3116),$X3117,""))</f>
        <v/>
      </c>
      <c r="X3117">
        <f>IF($T3117="",N($X3116),IF(MATCH($T3117,$T$6:$T$6005,0)=ROW()-5,N($X3116)+1,N($X3116)))</f>
        <v/>
      </c>
      <c r="Z3117">
        <f>IF($V3117="","",IF($AA3117&gt;N($AA3116),$AA3117,""))</f>
        <v/>
      </c>
      <c r="AA3117">
        <f>IF($V3117="",N($AA3116),IF(MATCH($V3117,$V$6:$V$6005,0)=ROW()-5,N($AA3116)+1,N($AA3116)))</f>
        <v/>
      </c>
    </row>
    <row r="3118" ht="21" customHeight="1" s="66">
      <c r="A3118" s="56" t="n"/>
      <c r="B3118" s="57" t="n"/>
      <c r="C3118" s="57" t="n"/>
      <c r="D3118" s="57" t="n"/>
      <c r="E3118" s="56" t="n"/>
      <c r="F3118" s="57" t="n"/>
      <c r="G3118" s="57" t="n"/>
      <c r="H3118" s="56" t="n"/>
      <c r="I3118" s="56" t="n"/>
      <c r="J3118" s="58" t="n"/>
      <c r="K3118" s="58" t="n"/>
      <c r="L3118" s="13">
        <f>IF(OR($A3118="",AND($J3118="",$K3118="")),"",ROUND(N($J3118)-N($K3118),2))</f>
        <v/>
      </c>
      <c r="M3118" s="13">
        <f>IF(OR($A3118="",AND($J3118="",$K3118="")),"",MIN($J3118,$K3118))</f>
        <v/>
      </c>
      <c r="Q3118">
        <f>IF($A3118="","",$D3118&amp;"("&amp;SUBSTITUTE($E3118," ","")&amp;")")</f>
        <v/>
      </c>
      <c r="R3118">
        <f>IF($A3118="","",$B3118&amp;" - "&amp;$C3118)</f>
        <v/>
      </c>
      <c r="S3118">
        <f>IF($A3118="","",$R3118&amp;"|"&amp;$Q3118)</f>
        <v/>
      </c>
      <c r="T3118">
        <f>IF($A3118="","",$S3118&amp;"|"&amp;$F3118)</f>
        <v/>
      </c>
      <c r="U3118">
        <f>IF($A3118="","",$R3118&amp;"("&amp;$E3118&amp;")")</f>
        <v/>
      </c>
      <c r="V3118">
        <f>IF($A3118="","",$F3118&amp;"|"&amp;$U3118&amp;"|"&amp;$D3118)</f>
        <v/>
      </c>
      <c r="W3118">
        <f>IF($T3118="","",IF($X3118&gt;N($X3117),$X3118,""))</f>
        <v/>
      </c>
      <c r="X3118">
        <f>IF($T3118="",N($X3117),IF(MATCH($T3118,$T$6:$T$6005,0)=ROW()-5,N($X3117)+1,N($X3117)))</f>
        <v/>
      </c>
      <c r="Z3118">
        <f>IF($V3118="","",IF($AA3118&gt;N($AA3117),$AA3118,""))</f>
        <v/>
      </c>
      <c r="AA3118">
        <f>IF($V3118="",N($AA3117),IF(MATCH($V3118,$V$6:$V$6005,0)=ROW()-5,N($AA3117)+1,N($AA3117)))</f>
        <v/>
      </c>
    </row>
    <row r="3119" ht="21" customHeight="1" s="66">
      <c r="A3119" s="56" t="n"/>
      <c r="B3119" s="57" t="n"/>
      <c r="C3119" s="57" t="n"/>
      <c r="D3119" s="57" t="n"/>
      <c r="E3119" s="56" t="n"/>
      <c r="F3119" s="57" t="n"/>
      <c r="G3119" s="57" t="n"/>
      <c r="H3119" s="56" t="n"/>
      <c r="I3119" s="56" t="n"/>
      <c r="J3119" s="58" t="n"/>
      <c r="K3119" s="58" t="n"/>
      <c r="L3119" s="13">
        <f>IF(OR($A3119="",AND($J3119="",$K3119="")),"",ROUND(N($J3119)-N($K3119),2))</f>
        <v/>
      </c>
      <c r="M3119" s="13">
        <f>IF(OR($A3119="",AND($J3119="",$K3119="")),"",MIN($J3119,$K3119))</f>
        <v/>
      </c>
      <c r="Q3119">
        <f>IF($A3119="","",$D3119&amp;"("&amp;SUBSTITUTE($E3119," ","")&amp;")")</f>
        <v/>
      </c>
      <c r="R3119">
        <f>IF($A3119="","",$B3119&amp;" - "&amp;$C3119)</f>
        <v/>
      </c>
      <c r="S3119">
        <f>IF($A3119="","",$R3119&amp;"|"&amp;$Q3119)</f>
        <v/>
      </c>
      <c r="T3119">
        <f>IF($A3119="","",$S3119&amp;"|"&amp;$F3119)</f>
        <v/>
      </c>
      <c r="U3119">
        <f>IF($A3119="","",$R3119&amp;"("&amp;$E3119&amp;")")</f>
        <v/>
      </c>
      <c r="V3119">
        <f>IF($A3119="","",$F3119&amp;"|"&amp;$U3119&amp;"|"&amp;$D3119)</f>
        <v/>
      </c>
      <c r="W3119">
        <f>IF($T3119="","",IF($X3119&gt;N($X3118),$X3119,""))</f>
        <v/>
      </c>
      <c r="X3119">
        <f>IF($T3119="",N($X3118),IF(MATCH($T3119,$T$6:$T$6005,0)=ROW()-5,N($X3118)+1,N($X3118)))</f>
        <v/>
      </c>
      <c r="Z3119">
        <f>IF($V3119="","",IF($AA3119&gt;N($AA3118),$AA3119,""))</f>
        <v/>
      </c>
      <c r="AA3119">
        <f>IF($V3119="",N($AA3118),IF(MATCH($V3119,$V$6:$V$6005,0)=ROW()-5,N($AA3118)+1,N($AA3118)))</f>
        <v/>
      </c>
    </row>
    <row r="3120" ht="21" customHeight="1" s="66">
      <c r="A3120" s="56" t="n"/>
      <c r="B3120" s="57" t="n"/>
      <c r="C3120" s="57" t="n"/>
      <c r="D3120" s="57" t="n"/>
      <c r="E3120" s="56" t="n"/>
      <c r="F3120" s="57" t="n"/>
      <c r="G3120" s="57" t="n"/>
      <c r="H3120" s="56" t="n"/>
      <c r="I3120" s="56" t="n"/>
      <c r="J3120" s="58" t="n"/>
      <c r="K3120" s="58" t="n"/>
      <c r="L3120" s="13">
        <f>IF(OR($A3120="",AND($J3120="",$K3120="")),"",ROUND(N($J3120)-N($K3120),2))</f>
        <v/>
      </c>
      <c r="M3120" s="13">
        <f>IF(OR($A3120="",AND($J3120="",$K3120="")),"",MIN($J3120,$K3120))</f>
        <v/>
      </c>
      <c r="Q3120">
        <f>IF($A3120="","",$D3120&amp;"("&amp;SUBSTITUTE($E3120," ","")&amp;")")</f>
        <v/>
      </c>
      <c r="R3120">
        <f>IF($A3120="","",$B3120&amp;" - "&amp;$C3120)</f>
        <v/>
      </c>
      <c r="S3120">
        <f>IF($A3120="","",$R3120&amp;"|"&amp;$Q3120)</f>
        <v/>
      </c>
      <c r="T3120">
        <f>IF($A3120="","",$S3120&amp;"|"&amp;$F3120)</f>
        <v/>
      </c>
      <c r="U3120">
        <f>IF($A3120="","",$R3120&amp;"("&amp;$E3120&amp;")")</f>
        <v/>
      </c>
      <c r="V3120">
        <f>IF($A3120="","",$F3120&amp;"|"&amp;$U3120&amp;"|"&amp;$D3120)</f>
        <v/>
      </c>
      <c r="W3120">
        <f>IF($T3120="","",IF($X3120&gt;N($X3119),$X3120,""))</f>
        <v/>
      </c>
      <c r="X3120">
        <f>IF($T3120="",N($X3119),IF(MATCH($T3120,$T$6:$T$6005,0)=ROW()-5,N($X3119)+1,N($X3119)))</f>
        <v/>
      </c>
      <c r="Z3120">
        <f>IF($V3120="","",IF($AA3120&gt;N($AA3119),$AA3120,""))</f>
        <v/>
      </c>
      <c r="AA3120">
        <f>IF($V3120="",N($AA3119),IF(MATCH($V3120,$V$6:$V$6005,0)=ROW()-5,N($AA3119)+1,N($AA3119)))</f>
        <v/>
      </c>
    </row>
    <row r="3121" ht="21" customHeight="1" s="66">
      <c r="A3121" s="56" t="n"/>
      <c r="B3121" s="57" t="n"/>
      <c r="C3121" s="57" t="n"/>
      <c r="D3121" s="57" t="n"/>
      <c r="E3121" s="56" t="n"/>
      <c r="F3121" s="57" t="n"/>
      <c r="G3121" s="57" t="n"/>
      <c r="H3121" s="56" t="n"/>
      <c r="I3121" s="56" t="n"/>
      <c r="J3121" s="58" t="n"/>
      <c r="K3121" s="58" t="n"/>
      <c r="L3121" s="13">
        <f>IF(OR($A3121="",AND($J3121="",$K3121="")),"",ROUND(N($J3121)-N($K3121),2))</f>
        <v/>
      </c>
      <c r="M3121" s="13">
        <f>IF(OR($A3121="",AND($J3121="",$K3121="")),"",MIN($J3121,$K3121))</f>
        <v/>
      </c>
      <c r="Q3121">
        <f>IF($A3121="","",$D3121&amp;"("&amp;SUBSTITUTE($E3121," ","")&amp;")")</f>
        <v/>
      </c>
      <c r="R3121">
        <f>IF($A3121="","",$B3121&amp;" - "&amp;$C3121)</f>
        <v/>
      </c>
      <c r="S3121">
        <f>IF($A3121="","",$R3121&amp;"|"&amp;$Q3121)</f>
        <v/>
      </c>
      <c r="T3121">
        <f>IF($A3121="","",$S3121&amp;"|"&amp;$F3121)</f>
        <v/>
      </c>
      <c r="U3121">
        <f>IF($A3121="","",$R3121&amp;"("&amp;$E3121&amp;")")</f>
        <v/>
      </c>
      <c r="V3121">
        <f>IF($A3121="","",$F3121&amp;"|"&amp;$U3121&amp;"|"&amp;$D3121)</f>
        <v/>
      </c>
      <c r="W3121">
        <f>IF($T3121="","",IF($X3121&gt;N($X3120),$X3121,""))</f>
        <v/>
      </c>
      <c r="X3121">
        <f>IF($T3121="",N($X3120),IF(MATCH($T3121,$T$6:$T$6005,0)=ROW()-5,N($X3120)+1,N($X3120)))</f>
        <v/>
      </c>
      <c r="Z3121">
        <f>IF($V3121="","",IF($AA3121&gt;N($AA3120),$AA3121,""))</f>
        <v/>
      </c>
      <c r="AA3121">
        <f>IF($V3121="",N($AA3120),IF(MATCH($V3121,$V$6:$V$6005,0)=ROW()-5,N($AA3120)+1,N($AA3120)))</f>
        <v/>
      </c>
    </row>
    <row r="3122" ht="21" customHeight="1" s="66">
      <c r="A3122" s="56" t="n"/>
      <c r="B3122" s="57" t="n"/>
      <c r="C3122" s="57" t="n"/>
      <c r="D3122" s="57" t="n"/>
      <c r="E3122" s="56" t="n"/>
      <c r="F3122" s="57" t="n"/>
      <c r="G3122" s="57" t="n"/>
      <c r="H3122" s="56" t="n"/>
      <c r="I3122" s="56" t="n"/>
      <c r="J3122" s="58" t="n"/>
      <c r="K3122" s="58" t="n"/>
      <c r="L3122" s="13">
        <f>IF(OR($A3122="",AND($J3122="",$K3122="")),"",ROUND(N($J3122)-N($K3122),2))</f>
        <v/>
      </c>
      <c r="M3122" s="13">
        <f>IF(OR($A3122="",AND($J3122="",$K3122="")),"",MIN($J3122,$K3122))</f>
        <v/>
      </c>
      <c r="Q3122">
        <f>IF($A3122="","",$D3122&amp;"("&amp;SUBSTITUTE($E3122," ","")&amp;")")</f>
        <v/>
      </c>
      <c r="R3122">
        <f>IF($A3122="","",$B3122&amp;" - "&amp;$C3122)</f>
        <v/>
      </c>
      <c r="S3122">
        <f>IF($A3122="","",$R3122&amp;"|"&amp;$Q3122)</f>
        <v/>
      </c>
      <c r="T3122">
        <f>IF($A3122="","",$S3122&amp;"|"&amp;$F3122)</f>
        <v/>
      </c>
      <c r="U3122">
        <f>IF($A3122="","",$R3122&amp;"("&amp;$E3122&amp;")")</f>
        <v/>
      </c>
      <c r="V3122">
        <f>IF($A3122="","",$F3122&amp;"|"&amp;$U3122&amp;"|"&amp;$D3122)</f>
        <v/>
      </c>
      <c r="W3122">
        <f>IF($T3122="","",IF($X3122&gt;N($X3121),$X3122,""))</f>
        <v/>
      </c>
      <c r="X3122">
        <f>IF($T3122="",N($X3121),IF(MATCH($T3122,$T$6:$T$6005,0)=ROW()-5,N($X3121)+1,N($X3121)))</f>
        <v/>
      </c>
      <c r="Z3122">
        <f>IF($V3122="","",IF($AA3122&gt;N($AA3121),$AA3122,""))</f>
        <v/>
      </c>
      <c r="AA3122">
        <f>IF($V3122="",N($AA3121),IF(MATCH($V3122,$V$6:$V$6005,0)=ROW()-5,N($AA3121)+1,N($AA3121)))</f>
        <v/>
      </c>
    </row>
    <row r="3123" ht="21" customHeight="1" s="66">
      <c r="A3123" s="56" t="n"/>
      <c r="B3123" s="57" t="n"/>
      <c r="C3123" s="57" t="n"/>
      <c r="D3123" s="57" t="n"/>
      <c r="E3123" s="56" t="n"/>
      <c r="F3123" s="57" t="n"/>
      <c r="G3123" s="57" t="n"/>
      <c r="H3123" s="56" t="n"/>
      <c r="I3123" s="56" t="n"/>
      <c r="J3123" s="58" t="n"/>
      <c r="K3123" s="58" t="n"/>
      <c r="L3123" s="13">
        <f>IF(OR($A3123="",AND($J3123="",$K3123="")),"",ROUND(N($J3123)-N($K3123),2))</f>
        <v/>
      </c>
      <c r="M3123" s="13">
        <f>IF(OR($A3123="",AND($J3123="",$K3123="")),"",MIN($J3123,$K3123))</f>
        <v/>
      </c>
      <c r="Q3123">
        <f>IF($A3123="","",$D3123&amp;"("&amp;SUBSTITUTE($E3123," ","")&amp;")")</f>
        <v/>
      </c>
      <c r="R3123">
        <f>IF($A3123="","",$B3123&amp;" - "&amp;$C3123)</f>
        <v/>
      </c>
      <c r="S3123">
        <f>IF($A3123="","",$R3123&amp;"|"&amp;$Q3123)</f>
        <v/>
      </c>
      <c r="T3123">
        <f>IF($A3123="","",$S3123&amp;"|"&amp;$F3123)</f>
        <v/>
      </c>
      <c r="U3123">
        <f>IF($A3123="","",$R3123&amp;"("&amp;$E3123&amp;")")</f>
        <v/>
      </c>
      <c r="V3123">
        <f>IF($A3123="","",$F3123&amp;"|"&amp;$U3123&amp;"|"&amp;$D3123)</f>
        <v/>
      </c>
      <c r="W3123">
        <f>IF($T3123="","",IF($X3123&gt;N($X3122),$X3123,""))</f>
        <v/>
      </c>
      <c r="X3123">
        <f>IF($T3123="",N($X3122),IF(MATCH($T3123,$T$6:$T$6005,0)=ROW()-5,N($X3122)+1,N($X3122)))</f>
        <v/>
      </c>
      <c r="Z3123">
        <f>IF($V3123="","",IF($AA3123&gt;N($AA3122),$AA3123,""))</f>
        <v/>
      </c>
      <c r="AA3123">
        <f>IF($V3123="",N($AA3122),IF(MATCH($V3123,$V$6:$V$6005,0)=ROW()-5,N($AA3122)+1,N($AA3122)))</f>
        <v/>
      </c>
    </row>
    <row r="3124" ht="21" customHeight="1" s="66">
      <c r="A3124" s="56" t="n"/>
      <c r="B3124" s="57" t="n"/>
      <c r="C3124" s="57" t="n"/>
      <c r="D3124" s="57" t="n"/>
      <c r="E3124" s="56" t="n"/>
      <c r="F3124" s="57" t="n"/>
      <c r="G3124" s="57" t="n"/>
      <c r="H3124" s="56" t="n"/>
      <c r="I3124" s="56" t="n"/>
      <c r="J3124" s="58" t="n"/>
      <c r="K3124" s="58" t="n"/>
      <c r="L3124" s="13">
        <f>IF(OR($A3124="",AND($J3124="",$K3124="")),"",ROUND(N($J3124)-N($K3124),2))</f>
        <v/>
      </c>
      <c r="M3124" s="13">
        <f>IF(OR($A3124="",AND($J3124="",$K3124="")),"",MIN($J3124,$K3124))</f>
        <v/>
      </c>
      <c r="Q3124">
        <f>IF($A3124="","",$D3124&amp;"("&amp;SUBSTITUTE($E3124," ","")&amp;")")</f>
        <v/>
      </c>
      <c r="R3124">
        <f>IF($A3124="","",$B3124&amp;" - "&amp;$C3124)</f>
        <v/>
      </c>
      <c r="S3124">
        <f>IF($A3124="","",$R3124&amp;"|"&amp;$Q3124)</f>
        <v/>
      </c>
      <c r="T3124">
        <f>IF($A3124="","",$S3124&amp;"|"&amp;$F3124)</f>
        <v/>
      </c>
      <c r="U3124">
        <f>IF($A3124="","",$R3124&amp;"("&amp;$E3124&amp;")")</f>
        <v/>
      </c>
      <c r="V3124">
        <f>IF($A3124="","",$F3124&amp;"|"&amp;$U3124&amp;"|"&amp;$D3124)</f>
        <v/>
      </c>
      <c r="W3124">
        <f>IF($T3124="","",IF($X3124&gt;N($X3123),$X3124,""))</f>
        <v/>
      </c>
      <c r="X3124">
        <f>IF($T3124="",N($X3123),IF(MATCH($T3124,$T$6:$T$6005,0)=ROW()-5,N($X3123)+1,N($X3123)))</f>
        <v/>
      </c>
      <c r="Z3124">
        <f>IF($V3124="","",IF($AA3124&gt;N($AA3123),$AA3124,""))</f>
        <v/>
      </c>
      <c r="AA3124">
        <f>IF($V3124="",N($AA3123),IF(MATCH($V3124,$V$6:$V$6005,0)=ROW()-5,N($AA3123)+1,N($AA3123)))</f>
        <v/>
      </c>
    </row>
    <row r="3125" ht="21" customHeight="1" s="66">
      <c r="A3125" s="56" t="n"/>
      <c r="B3125" s="57" t="n"/>
      <c r="C3125" s="57" t="n"/>
      <c r="D3125" s="57" t="n"/>
      <c r="E3125" s="56" t="n"/>
      <c r="F3125" s="57" t="n"/>
      <c r="G3125" s="57" t="n"/>
      <c r="H3125" s="56" t="n"/>
      <c r="I3125" s="56" t="n"/>
      <c r="J3125" s="58" t="n"/>
      <c r="K3125" s="58" t="n"/>
      <c r="L3125" s="13">
        <f>IF(OR($A3125="",AND($J3125="",$K3125="")),"",ROUND(N($J3125)-N($K3125),2))</f>
        <v/>
      </c>
      <c r="M3125" s="13">
        <f>IF(OR($A3125="",AND($J3125="",$K3125="")),"",MIN($J3125,$K3125))</f>
        <v/>
      </c>
      <c r="Q3125">
        <f>IF($A3125="","",$D3125&amp;"("&amp;SUBSTITUTE($E3125," ","")&amp;")")</f>
        <v/>
      </c>
      <c r="R3125">
        <f>IF($A3125="","",$B3125&amp;" - "&amp;$C3125)</f>
        <v/>
      </c>
      <c r="S3125">
        <f>IF($A3125="","",$R3125&amp;"|"&amp;$Q3125)</f>
        <v/>
      </c>
      <c r="T3125">
        <f>IF($A3125="","",$S3125&amp;"|"&amp;$F3125)</f>
        <v/>
      </c>
      <c r="U3125">
        <f>IF($A3125="","",$R3125&amp;"("&amp;$E3125&amp;")")</f>
        <v/>
      </c>
      <c r="V3125">
        <f>IF($A3125="","",$F3125&amp;"|"&amp;$U3125&amp;"|"&amp;$D3125)</f>
        <v/>
      </c>
      <c r="W3125">
        <f>IF($T3125="","",IF($X3125&gt;N($X3124),$X3125,""))</f>
        <v/>
      </c>
      <c r="X3125">
        <f>IF($T3125="",N($X3124),IF(MATCH($T3125,$T$6:$T$6005,0)=ROW()-5,N($X3124)+1,N($X3124)))</f>
        <v/>
      </c>
      <c r="Z3125">
        <f>IF($V3125="","",IF($AA3125&gt;N($AA3124),$AA3125,""))</f>
        <v/>
      </c>
      <c r="AA3125">
        <f>IF($V3125="",N($AA3124),IF(MATCH($V3125,$V$6:$V$6005,0)=ROW()-5,N($AA3124)+1,N($AA3124)))</f>
        <v/>
      </c>
    </row>
    <row r="3126" ht="21" customHeight="1" s="66">
      <c r="A3126" s="56" t="n"/>
      <c r="B3126" s="57" t="n"/>
      <c r="C3126" s="57" t="n"/>
      <c r="D3126" s="57" t="n"/>
      <c r="E3126" s="56" t="n"/>
      <c r="F3126" s="57" t="n"/>
      <c r="G3126" s="57" t="n"/>
      <c r="H3126" s="56" t="n"/>
      <c r="I3126" s="56" t="n"/>
      <c r="J3126" s="58" t="n"/>
      <c r="K3126" s="58" t="n"/>
      <c r="L3126" s="13">
        <f>IF(OR($A3126="",AND($J3126="",$K3126="")),"",ROUND(N($J3126)-N($K3126),2))</f>
        <v/>
      </c>
      <c r="M3126" s="13">
        <f>IF(OR($A3126="",AND($J3126="",$K3126="")),"",MIN($J3126,$K3126))</f>
        <v/>
      </c>
      <c r="Q3126">
        <f>IF($A3126="","",$D3126&amp;"("&amp;SUBSTITUTE($E3126," ","")&amp;")")</f>
        <v/>
      </c>
      <c r="R3126">
        <f>IF($A3126="","",$B3126&amp;" - "&amp;$C3126)</f>
        <v/>
      </c>
      <c r="S3126">
        <f>IF($A3126="","",$R3126&amp;"|"&amp;$Q3126)</f>
        <v/>
      </c>
      <c r="T3126">
        <f>IF($A3126="","",$S3126&amp;"|"&amp;$F3126)</f>
        <v/>
      </c>
      <c r="U3126">
        <f>IF($A3126="","",$R3126&amp;"("&amp;$E3126&amp;")")</f>
        <v/>
      </c>
      <c r="V3126">
        <f>IF($A3126="","",$F3126&amp;"|"&amp;$U3126&amp;"|"&amp;$D3126)</f>
        <v/>
      </c>
      <c r="W3126">
        <f>IF($T3126="","",IF($X3126&gt;N($X3125),$X3126,""))</f>
        <v/>
      </c>
      <c r="X3126">
        <f>IF($T3126="",N($X3125),IF(MATCH($T3126,$T$6:$T$6005,0)=ROW()-5,N($X3125)+1,N($X3125)))</f>
        <v/>
      </c>
      <c r="Z3126">
        <f>IF($V3126="","",IF($AA3126&gt;N($AA3125),$AA3126,""))</f>
        <v/>
      </c>
      <c r="AA3126">
        <f>IF($V3126="",N($AA3125),IF(MATCH($V3126,$V$6:$V$6005,0)=ROW()-5,N($AA3125)+1,N($AA3125)))</f>
        <v/>
      </c>
    </row>
    <row r="3127" ht="21" customHeight="1" s="66">
      <c r="A3127" s="56" t="n"/>
      <c r="B3127" s="57" t="n"/>
      <c r="C3127" s="57" t="n"/>
      <c r="D3127" s="57" t="n"/>
      <c r="E3127" s="56" t="n"/>
      <c r="F3127" s="57" t="n"/>
      <c r="G3127" s="57" t="n"/>
      <c r="H3127" s="56" t="n"/>
      <c r="I3127" s="56" t="n"/>
      <c r="J3127" s="58" t="n"/>
      <c r="K3127" s="58" t="n"/>
      <c r="L3127" s="13">
        <f>IF(OR($A3127="",AND($J3127="",$K3127="")),"",ROUND(N($J3127)-N($K3127),2))</f>
        <v/>
      </c>
      <c r="M3127" s="13">
        <f>IF(OR($A3127="",AND($J3127="",$K3127="")),"",MIN($J3127,$K3127))</f>
        <v/>
      </c>
      <c r="Q3127">
        <f>IF($A3127="","",$D3127&amp;"("&amp;SUBSTITUTE($E3127," ","")&amp;")")</f>
        <v/>
      </c>
      <c r="R3127">
        <f>IF($A3127="","",$B3127&amp;" - "&amp;$C3127)</f>
        <v/>
      </c>
      <c r="S3127">
        <f>IF($A3127="","",$R3127&amp;"|"&amp;$Q3127)</f>
        <v/>
      </c>
      <c r="T3127">
        <f>IF($A3127="","",$S3127&amp;"|"&amp;$F3127)</f>
        <v/>
      </c>
      <c r="U3127">
        <f>IF($A3127="","",$R3127&amp;"("&amp;$E3127&amp;")")</f>
        <v/>
      </c>
      <c r="V3127">
        <f>IF($A3127="","",$F3127&amp;"|"&amp;$U3127&amp;"|"&amp;$D3127)</f>
        <v/>
      </c>
      <c r="W3127">
        <f>IF($T3127="","",IF($X3127&gt;N($X3126),$X3127,""))</f>
        <v/>
      </c>
      <c r="X3127">
        <f>IF($T3127="",N($X3126),IF(MATCH($T3127,$T$6:$T$6005,0)=ROW()-5,N($X3126)+1,N($X3126)))</f>
        <v/>
      </c>
      <c r="Z3127">
        <f>IF($V3127="","",IF($AA3127&gt;N($AA3126),$AA3127,""))</f>
        <v/>
      </c>
      <c r="AA3127">
        <f>IF($V3127="",N($AA3126),IF(MATCH($V3127,$V$6:$V$6005,0)=ROW()-5,N($AA3126)+1,N($AA3126)))</f>
        <v/>
      </c>
    </row>
    <row r="3128" ht="21" customHeight="1" s="66">
      <c r="A3128" s="56" t="n"/>
      <c r="B3128" s="57" t="n"/>
      <c r="C3128" s="57" t="n"/>
      <c r="D3128" s="57" t="n"/>
      <c r="E3128" s="56" t="n"/>
      <c r="F3128" s="57" t="n"/>
      <c r="G3128" s="57" t="n"/>
      <c r="H3128" s="56" t="n"/>
      <c r="I3128" s="56" t="n"/>
      <c r="J3128" s="58" t="n"/>
      <c r="K3128" s="58" t="n"/>
      <c r="L3128" s="13">
        <f>IF(OR($A3128="",AND($J3128="",$K3128="")),"",ROUND(N($J3128)-N($K3128),2))</f>
        <v/>
      </c>
      <c r="M3128" s="13">
        <f>IF(OR($A3128="",AND($J3128="",$K3128="")),"",MIN($J3128,$K3128))</f>
        <v/>
      </c>
      <c r="Q3128">
        <f>IF($A3128="","",$D3128&amp;"("&amp;SUBSTITUTE($E3128," ","")&amp;")")</f>
        <v/>
      </c>
      <c r="R3128">
        <f>IF($A3128="","",$B3128&amp;" - "&amp;$C3128)</f>
        <v/>
      </c>
      <c r="S3128">
        <f>IF($A3128="","",$R3128&amp;"|"&amp;$Q3128)</f>
        <v/>
      </c>
      <c r="T3128">
        <f>IF($A3128="","",$S3128&amp;"|"&amp;$F3128)</f>
        <v/>
      </c>
      <c r="U3128">
        <f>IF($A3128="","",$R3128&amp;"("&amp;$E3128&amp;")")</f>
        <v/>
      </c>
      <c r="V3128">
        <f>IF($A3128="","",$F3128&amp;"|"&amp;$U3128&amp;"|"&amp;$D3128)</f>
        <v/>
      </c>
      <c r="W3128">
        <f>IF($T3128="","",IF($X3128&gt;N($X3127),$X3128,""))</f>
        <v/>
      </c>
      <c r="X3128">
        <f>IF($T3128="",N($X3127),IF(MATCH($T3128,$T$6:$T$6005,0)=ROW()-5,N($X3127)+1,N($X3127)))</f>
        <v/>
      </c>
      <c r="Z3128">
        <f>IF($V3128="","",IF($AA3128&gt;N($AA3127),$AA3128,""))</f>
        <v/>
      </c>
      <c r="AA3128">
        <f>IF($V3128="",N($AA3127),IF(MATCH($V3128,$V$6:$V$6005,0)=ROW()-5,N($AA3127)+1,N($AA3127)))</f>
        <v/>
      </c>
    </row>
    <row r="3129" ht="21" customHeight="1" s="66">
      <c r="A3129" s="56" t="n"/>
      <c r="B3129" s="57" t="n"/>
      <c r="C3129" s="57" t="n"/>
      <c r="D3129" s="57" t="n"/>
      <c r="E3129" s="56" t="n"/>
      <c r="F3129" s="57" t="n"/>
      <c r="G3129" s="57" t="n"/>
      <c r="H3129" s="56" t="n"/>
      <c r="I3129" s="56" t="n"/>
      <c r="J3129" s="58" t="n"/>
      <c r="K3129" s="58" t="n"/>
      <c r="L3129" s="13">
        <f>IF(OR($A3129="",AND($J3129="",$K3129="")),"",ROUND(N($J3129)-N($K3129),2))</f>
        <v/>
      </c>
      <c r="M3129" s="13">
        <f>IF(OR($A3129="",AND($J3129="",$K3129="")),"",MIN($J3129,$K3129))</f>
        <v/>
      </c>
      <c r="Q3129">
        <f>IF($A3129="","",$D3129&amp;"("&amp;SUBSTITUTE($E3129," ","")&amp;")")</f>
        <v/>
      </c>
      <c r="R3129">
        <f>IF($A3129="","",$B3129&amp;" - "&amp;$C3129)</f>
        <v/>
      </c>
      <c r="S3129">
        <f>IF($A3129="","",$R3129&amp;"|"&amp;$Q3129)</f>
        <v/>
      </c>
      <c r="T3129">
        <f>IF($A3129="","",$S3129&amp;"|"&amp;$F3129)</f>
        <v/>
      </c>
      <c r="U3129">
        <f>IF($A3129="","",$R3129&amp;"("&amp;$E3129&amp;")")</f>
        <v/>
      </c>
      <c r="V3129">
        <f>IF($A3129="","",$F3129&amp;"|"&amp;$U3129&amp;"|"&amp;$D3129)</f>
        <v/>
      </c>
      <c r="W3129">
        <f>IF($T3129="","",IF($X3129&gt;N($X3128),$X3129,""))</f>
        <v/>
      </c>
      <c r="X3129">
        <f>IF($T3129="",N($X3128),IF(MATCH($T3129,$T$6:$T$6005,0)=ROW()-5,N($X3128)+1,N($X3128)))</f>
        <v/>
      </c>
      <c r="Z3129">
        <f>IF($V3129="","",IF($AA3129&gt;N($AA3128),$AA3129,""))</f>
        <v/>
      </c>
      <c r="AA3129">
        <f>IF($V3129="",N($AA3128),IF(MATCH($V3129,$V$6:$V$6005,0)=ROW()-5,N($AA3128)+1,N($AA3128)))</f>
        <v/>
      </c>
    </row>
    <row r="3130" ht="21" customHeight="1" s="66">
      <c r="A3130" s="56" t="n"/>
      <c r="B3130" s="57" t="n"/>
      <c r="C3130" s="57" t="n"/>
      <c r="D3130" s="57" t="n"/>
      <c r="E3130" s="56" t="n"/>
      <c r="F3130" s="57" t="n"/>
      <c r="G3130" s="57" t="n"/>
      <c r="H3130" s="56" t="n"/>
      <c r="I3130" s="56" t="n"/>
      <c r="J3130" s="58" t="n"/>
      <c r="K3130" s="58" t="n"/>
      <c r="L3130" s="13">
        <f>IF(OR($A3130="",AND($J3130="",$K3130="")),"",ROUND(N($J3130)-N($K3130),2))</f>
        <v/>
      </c>
      <c r="M3130" s="13">
        <f>IF(OR($A3130="",AND($J3130="",$K3130="")),"",MIN($J3130,$K3130))</f>
        <v/>
      </c>
      <c r="Q3130">
        <f>IF($A3130="","",$D3130&amp;"("&amp;SUBSTITUTE($E3130," ","")&amp;")")</f>
        <v/>
      </c>
      <c r="R3130">
        <f>IF($A3130="","",$B3130&amp;" - "&amp;$C3130)</f>
        <v/>
      </c>
      <c r="S3130">
        <f>IF($A3130="","",$R3130&amp;"|"&amp;$Q3130)</f>
        <v/>
      </c>
      <c r="T3130">
        <f>IF($A3130="","",$S3130&amp;"|"&amp;$F3130)</f>
        <v/>
      </c>
      <c r="U3130">
        <f>IF($A3130="","",$R3130&amp;"("&amp;$E3130&amp;")")</f>
        <v/>
      </c>
      <c r="V3130">
        <f>IF($A3130="","",$F3130&amp;"|"&amp;$U3130&amp;"|"&amp;$D3130)</f>
        <v/>
      </c>
      <c r="W3130">
        <f>IF($T3130="","",IF($X3130&gt;N($X3129),$X3130,""))</f>
        <v/>
      </c>
      <c r="X3130">
        <f>IF($T3130="",N($X3129),IF(MATCH($T3130,$T$6:$T$6005,0)=ROW()-5,N($X3129)+1,N($X3129)))</f>
        <v/>
      </c>
      <c r="Z3130">
        <f>IF($V3130="","",IF($AA3130&gt;N($AA3129),$AA3130,""))</f>
        <v/>
      </c>
      <c r="AA3130">
        <f>IF($V3130="",N($AA3129),IF(MATCH($V3130,$V$6:$V$6005,0)=ROW()-5,N($AA3129)+1,N($AA3129)))</f>
        <v/>
      </c>
    </row>
    <row r="3131" ht="21" customHeight="1" s="66">
      <c r="A3131" s="56" t="n"/>
      <c r="B3131" s="57" t="n"/>
      <c r="C3131" s="57" t="n"/>
      <c r="D3131" s="57" t="n"/>
      <c r="E3131" s="56" t="n"/>
      <c r="F3131" s="57" t="n"/>
      <c r="G3131" s="57" t="n"/>
      <c r="H3131" s="56" t="n"/>
      <c r="I3131" s="56" t="n"/>
      <c r="J3131" s="58" t="n"/>
      <c r="K3131" s="58" t="n"/>
      <c r="L3131" s="13">
        <f>IF(OR($A3131="",AND($J3131="",$K3131="")),"",ROUND(N($J3131)-N($K3131),2))</f>
        <v/>
      </c>
      <c r="M3131" s="13">
        <f>IF(OR($A3131="",AND($J3131="",$K3131="")),"",MIN($J3131,$K3131))</f>
        <v/>
      </c>
      <c r="Q3131">
        <f>IF($A3131="","",$D3131&amp;"("&amp;SUBSTITUTE($E3131," ","")&amp;")")</f>
        <v/>
      </c>
      <c r="R3131">
        <f>IF($A3131="","",$B3131&amp;" - "&amp;$C3131)</f>
        <v/>
      </c>
      <c r="S3131">
        <f>IF($A3131="","",$R3131&amp;"|"&amp;$Q3131)</f>
        <v/>
      </c>
      <c r="T3131">
        <f>IF($A3131="","",$S3131&amp;"|"&amp;$F3131)</f>
        <v/>
      </c>
      <c r="U3131">
        <f>IF($A3131="","",$R3131&amp;"("&amp;$E3131&amp;")")</f>
        <v/>
      </c>
      <c r="V3131">
        <f>IF($A3131="","",$F3131&amp;"|"&amp;$U3131&amp;"|"&amp;$D3131)</f>
        <v/>
      </c>
      <c r="W3131">
        <f>IF($T3131="","",IF($X3131&gt;N($X3130),$X3131,""))</f>
        <v/>
      </c>
      <c r="X3131">
        <f>IF($T3131="",N($X3130),IF(MATCH($T3131,$T$6:$T$6005,0)=ROW()-5,N($X3130)+1,N($X3130)))</f>
        <v/>
      </c>
      <c r="Z3131">
        <f>IF($V3131="","",IF($AA3131&gt;N($AA3130),$AA3131,""))</f>
        <v/>
      </c>
      <c r="AA3131">
        <f>IF($V3131="",N($AA3130),IF(MATCH($V3131,$V$6:$V$6005,0)=ROW()-5,N($AA3130)+1,N($AA3130)))</f>
        <v/>
      </c>
    </row>
    <row r="3132" ht="21" customHeight="1" s="66">
      <c r="A3132" s="56" t="n"/>
      <c r="B3132" s="57" t="n"/>
      <c r="C3132" s="57" t="n"/>
      <c r="D3132" s="57" t="n"/>
      <c r="E3132" s="56" t="n"/>
      <c r="F3132" s="57" t="n"/>
      <c r="G3132" s="57" t="n"/>
      <c r="H3132" s="56" t="n"/>
      <c r="I3132" s="56" t="n"/>
      <c r="J3132" s="58" t="n"/>
      <c r="K3132" s="58" t="n"/>
      <c r="L3132" s="13">
        <f>IF(OR($A3132="",AND($J3132="",$K3132="")),"",ROUND(N($J3132)-N($K3132),2))</f>
        <v/>
      </c>
      <c r="M3132" s="13">
        <f>IF(OR($A3132="",AND($J3132="",$K3132="")),"",MIN($J3132,$K3132))</f>
        <v/>
      </c>
      <c r="Q3132">
        <f>IF($A3132="","",$D3132&amp;"("&amp;SUBSTITUTE($E3132," ","")&amp;")")</f>
        <v/>
      </c>
      <c r="R3132">
        <f>IF($A3132="","",$B3132&amp;" - "&amp;$C3132)</f>
        <v/>
      </c>
      <c r="S3132">
        <f>IF($A3132="","",$R3132&amp;"|"&amp;$Q3132)</f>
        <v/>
      </c>
      <c r="T3132">
        <f>IF($A3132="","",$S3132&amp;"|"&amp;$F3132)</f>
        <v/>
      </c>
      <c r="U3132">
        <f>IF($A3132="","",$R3132&amp;"("&amp;$E3132&amp;")")</f>
        <v/>
      </c>
      <c r="V3132">
        <f>IF($A3132="","",$F3132&amp;"|"&amp;$U3132&amp;"|"&amp;$D3132)</f>
        <v/>
      </c>
      <c r="W3132">
        <f>IF($T3132="","",IF($X3132&gt;N($X3131),$X3132,""))</f>
        <v/>
      </c>
      <c r="X3132">
        <f>IF($T3132="",N($X3131),IF(MATCH($T3132,$T$6:$T$6005,0)=ROW()-5,N($X3131)+1,N($X3131)))</f>
        <v/>
      </c>
      <c r="Z3132">
        <f>IF($V3132="","",IF($AA3132&gt;N($AA3131),$AA3132,""))</f>
        <v/>
      </c>
      <c r="AA3132">
        <f>IF($V3132="",N($AA3131),IF(MATCH($V3132,$V$6:$V$6005,0)=ROW()-5,N($AA3131)+1,N($AA3131)))</f>
        <v/>
      </c>
    </row>
    <row r="3133" ht="21" customHeight="1" s="66">
      <c r="A3133" s="56" t="n"/>
      <c r="B3133" s="57" t="n"/>
      <c r="C3133" s="57" t="n"/>
      <c r="D3133" s="57" t="n"/>
      <c r="E3133" s="56" t="n"/>
      <c r="F3133" s="57" t="n"/>
      <c r="G3133" s="57" t="n"/>
      <c r="H3133" s="56" t="n"/>
      <c r="I3133" s="56" t="n"/>
      <c r="J3133" s="58" t="n"/>
      <c r="K3133" s="58" t="n"/>
      <c r="L3133" s="13">
        <f>IF(OR($A3133="",AND($J3133="",$K3133="")),"",ROUND(N($J3133)-N($K3133),2))</f>
        <v/>
      </c>
      <c r="M3133" s="13">
        <f>IF(OR($A3133="",AND($J3133="",$K3133="")),"",MIN($J3133,$K3133))</f>
        <v/>
      </c>
      <c r="Q3133">
        <f>IF($A3133="","",$D3133&amp;"("&amp;SUBSTITUTE($E3133," ","")&amp;")")</f>
        <v/>
      </c>
      <c r="R3133">
        <f>IF($A3133="","",$B3133&amp;" - "&amp;$C3133)</f>
        <v/>
      </c>
      <c r="S3133">
        <f>IF($A3133="","",$R3133&amp;"|"&amp;$Q3133)</f>
        <v/>
      </c>
      <c r="T3133">
        <f>IF($A3133="","",$S3133&amp;"|"&amp;$F3133)</f>
        <v/>
      </c>
      <c r="U3133">
        <f>IF($A3133="","",$R3133&amp;"("&amp;$E3133&amp;")")</f>
        <v/>
      </c>
      <c r="V3133">
        <f>IF($A3133="","",$F3133&amp;"|"&amp;$U3133&amp;"|"&amp;$D3133)</f>
        <v/>
      </c>
      <c r="W3133">
        <f>IF($T3133="","",IF($X3133&gt;N($X3132),$X3133,""))</f>
        <v/>
      </c>
      <c r="X3133">
        <f>IF($T3133="",N($X3132),IF(MATCH($T3133,$T$6:$T$6005,0)=ROW()-5,N($X3132)+1,N($X3132)))</f>
        <v/>
      </c>
      <c r="Z3133">
        <f>IF($V3133="","",IF($AA3133&gt;N($AA3132),$AA3133,""))</f>
        <v/>
      </c>
      <c r="AA3133">
        <f>IF($V3133="",N($AA3132),IF(MATCH($V3133,$V$6:$V$6005,0)=ROW()-5,N($AA3132)+1,N($AA3132)))</f>
        <v/>
      </c>
    </row>
    <row r="3134" ht="21" customHeight="1" s="66">
      <c r="A3134" s="56" t="n"/>
      <c r="B3134" s="57" t="n"/>
      <c r="C3134" s="57" t="n"/>
      <c r="D3134" s="57" t="n"/>
      <c r="E3134" s="56" t="n"/>
      <c r="F3134" s="57" t="n"/>
      <c r="G3134" s="57" t="n"/>
      <c r="H3134" s="56" t="n"/>
      <c r="I3134" s="56" t="n"/>
      <c r="J3134" s="58" t="n"/>
      <c r="K3134" s="58" t="n"/>
      <c r="L3134" s="13">
        <f>IF(OR($A3134="",AND($J3134="",$K3134="")),"",ROUND(N($J3134)-N($K3134),2))</f>
        <v/>
      </c>
      <c r="M3134" s="13">
        <f>IF(OR($A3134="",AND($J3134="",$K3134="")),"",MIN($J3134,$K3134))</f>
        <v/>
      </c>
      <c r="Q3134">
        <f>IF($A3134="","",$D3134&amp;"("&amp;SUBSTITUTE($E3134," ","")&amp;")")</f>
        <v/>
      </c>
      <c r="R3134">
        <f>IF($A3134="","",$B3134&amp;" - "&amp;$C3134)</f>
        <v/>
      </c>
      <c r="S3134">
        <f>IF($A3134="","",$R3134&amp;"|"&amp;$Q3134)</f>
        <v/>
      </c>
      <c r="T3134">
        <f>IF($A3134="","",$S3134&amp;"|"&amp;$F3134)</f>
        <v/>
      </c>
      <c r="U3134">
        <f>IF($A3134="","",$R3134&amp;"("&amp;$E3134&amp;")")</f>
        <v/>
      </c>
      <c r="V3134">
        <f>IF($A3134="","",$F3134&amp;"|"&amp;$U3134&amp;"|"&amp;$D3134)</f>
        <v/>
      </c>
      <c r="W3134">
        <f>IF($T3134="","",IF($X3134&gt;N($X3133),$X3134,""))</f>
        <v/>
      </c>
      <c r="X3134">
        <f>IF($T3134="",N($X3133),IF(MATCH($T3134,$T$6:$T$6005,0)=ROW()-5,N($X3133)+1,N($X3133)))</f>
        <v/>
      </c>
      <c r="Z3134">
        <f>IF($V3134="","",IF($AA3134&gt;N($AA3133),$AA3134,""))</f>
        <v/>
      </c>
      <c r="AA3134">
        <f>IF($V3134="",N($AA3133),IF(MATCH($V3134,$V$6:$V$6005,0)=ROW()-5,N($AA3133)+1,N($AA3133)))</f>
        <v/>
      </c>
    </row>
    <row r="3135" ht="21" customHeight="1" s="66">
      <c r="A3135" s="56" t="n"/>
      <c r="B3135" s="57" t="n"/>
      <c r="C3135" s="57" t="n"/>
      <c r="D3135" s="57" t="n"/>
      <c r="E3135" s="56" t="n"/>
      <c r="F3135" s="57" t="n"/>
      <c r="G3135" s="57" t="n"/>
      <c r="H3135" s="56" t="n"/>
      <c r="I3135" s="56" t="n"/>
      <c r="J3135" s="58" t="n"/>
      <c r="K3135" s="58" t="n"/>
      <c r="L3135" s="13">
        <f>IF(OR($A3135="",AND($J3135="",$K3135="")),"",ROUND(N($J3135)-N($K3135),2))</f>
        <v/>
      </c>
      <c r="M3135" s="13">
        <f>IF(OR($A3135="",AND($J3135="",$K3135="")),"",MIN($J3135,$K3135))</f>
        <v/>
      </c>
      <c r="Q3135">
        <f>IF($A3135="","",$D3135&amp;"("&amp;SUBSTITUTE($E3135," ","")&amp;")")</f>
        <v/>
      </c>
      <c r="R3135">
        <f>IF($A3135="","",$B3135&amp;" - "&amp;$C3135)</f>
        <v/>
      </c>
      <c r="S3135">
        <f>IF($A3135="","",$R3135&amp;"|"&amp;$Q3135)</f>
        <v/>
      </c>
      <c r="T3135">
        <f>IF($A3135="","",$S3135&amp;"|"&amp;$F3135)</f>
        <v/>
      </c>
      <c r="U3135">
        <f>IF($A3135="","",$R3135&amp;"("&amp;$E3135&amp;")")</f>
        <v/>
      </c>
      <c r="V3135">
        <f>IF($A3135="","",$F3135&amp;"|"&amp;$U3135&amp;"|"&amp;$D3135)</f>
        <v/>
      </c>
      <c r="W3135">
        <f>IF($T3135="","",IF($X3135&gt;N($X3134),$X3135,""))</f>
        <v/>
      </c>
      <c r="X3135">
        <f>IF($T3135="",N($X3134),IF(MATCH($T3135,$T$6:$T$6005,0)=ROW()-5,N($X3134)+1,N($X3134)))</f>
        <v/>
      </c>
      <c r="Z3135">
        <f>IF($V3135="","",IF($AA3135&gt;N($AA3134),$AA3135,""))</f>
        <v/>
      </c>
      <c r="AA3135">
        <f>IF($V3135="",N($AA3134),IF(MATCH($V3135,$V$6:$V$6005,0)=ROW()-5,N($AA3134)+1,N($AA3134)))</f>
        <v/>
      </c>
    </row>
    <row r="3136" ht="21" customHeight="1" s="66">
      <c r="A3136" s="56" t="n"/>
      <c r="B3136" s="57" t="n"/>
      <c r="C3136" s="57" t="n"/>
      <c r="D3136" s="57" t="n"/>
      <c r="E3136" s="56" t="n"/>
      <c r="F3136" s="57" t="n"/>
      <c r="G3136" s="57" t="n"/>
      <c r="H3136" s="56" t="n"/>
      <c r="I3136" s="56" t="n"/>
      <c r="J3136" s="58" t="n"/>
      <c r="K3136" s="58" t="n"/>
      <c r="L3136" s="13">
        <f>IF(OR($A3136="",AND($J3136="",$K3136="")),"",ROUND(N($J3136)-N($K3136),2))</f>
        <v/>
      </c>
      <c r="M3136" s="13">
        <f>IF(OR($A3136="",AND($J3136="",$K3136="")),"",MIN($J3136,$K3136))</f>
        <v/>
      </c>
      <c r="Q3136">
        <f>IF($A3136="","",$D3136&amp;"("&amp;SUBSTITUTE($E3136," ","")&amp;")")</f>
        <v/>
      </c>
      <c r="R3136">
        <f>IF($A3136="","",$B3136&amp;" - "&amp;$C3136)</f>
        <v/>
      </c>
      <c r="S3136">
        <f>IF($A3136="","",$R3136&amp;"|"&amp;$Q3136)</f>
        <v/>
      </c>
      <c r="T3136">
        <f>IF($A3136="","",$S3136&amp;"|"&amp;$F3136)</f>
        <v/>
      </c>
      <c r="U3136">
        <f>IF($A3136="","",$R3136&amp;"("&amp;$E3136&amp;")")</f>
        <v/>
      </c>
      <c r="V3136">
        <f>IF($A3136="","",$F3136&amp;"|"&amp;$U3136&amp;"|"&amp;$D3136)</f>
        <v/>
      </c>
      <c r="W3136">
        <f>IF($T3136="","",IF($X3136&gt;N($X3135),$X3136,""))</f>
        <v/>
      </c>
      <c r="X3136">
        <f>IF($T3136="",N($X3135),IF(MATCH($T3136,$T$6:$T$6005,0)=ROW()-5,N($X3135)+1,N($X3135)))</f>
        <v/>
      </c>
      <c r="Z3136">
        <f>IF($V3136="","",IF($AA3136&gt;N($AA3135),$AA3136,""))</f>
        <v/>
      </c>
      <c r="AA3136">
        <f>IF($V3136="",N($AA3135),IF(MATCH($V3136,$V$6:$V$6005,0)=ROW()-5,N($AA3135)+1,N($AA3135)))</f>
        <v/>
      </c>
    </row>
    <row r="3137" ht="21" customHeight="1" s="66">
      <c r="A3137" s="56" t="n"/>
      <c r="B3137" s="57" t="n"/>
      <c r="C3137" s="57" t="n"/>
      <c r="D3137" s="57" t="n"/>
      <c r="E3137" s="56" t="n"/>
      <c r="F3137" s="57" t="n"/>
      <c r="G3137" s="57" t="n"/>
      <c r="H3137" s="56" t="n"/>
      <c r="I3137" s="56" t="n"/>
      <c r="J3137" s="58" t="n"/>
      <c r="K3137" s="58" t="n"/>
      <c r="L3137" s="13">
        <f>IF(OR($A3137="",AND($J3137="",$K3137="")),"",ROUND(N($J3137)-N($K3137),2))</f>
        <v/>
      </c>
      <c r="M3137" s="13">
        <f>IF(OR($A3137="",AND($J3137="",$K3137="")),"",MIN($J3137,$K3137))</f>
        <v/>
      </c>
      <c r="Q3137">
        <f>IF($A3137="","",$D3137&amp;"("&amp;SUBSTITUTE($E3137," ","")&amp;")")</f>
        <v/>
      </c>
      <c r="R3137">
        <f>IF($A3137="","",$B3137&amp;" - "&amp;$C3137)</f>
        <v/>
      </c>
      <c r="S3137">
        <f>IF($A3137="","",$R3137&amp;"|"&amp;$Q3137)</f>
        <v/>
      </c>
      <c r="T3137">
        <f>IF($A3137="","",$S3137&amp;"|"&amp;$F3137)</f>
        <v/>
      </c>
      <c r="U3137">
        <f>IF($A3137="","",$R3137&amp;"("&amp;$E3137&amp;")")</f>
        <v/>
      </c>
      <c r="V3137">
        <f>IF($A3137="","",$F3137&amp;"|"&amp;$U3137&amp;"|"&amp;$D3137)</f>
        <v/>
      </c>
      <c r="W3137">
        <f>IF($T3137="","",IF($X3137&gt;N($X3136),$X3137,""))</f>
        <v/>
      </c>
      <c r="X3137">
        <f>IF($T3137="",N($X3136),IF(MATCH($T3137,$T$6:$T$6005,0)=ROW()-5,N($X3136)+1,N($X3136)))</f>
        <v/>
      </c>
      <c r="Z3137">
        <f>IF($V3137="","",IF($AA3137&gt;N($AA3136),$AA3137,""))</f>
        <v/>
      </c>
      <c r="AA3137">
        <f>IF($V3137="",N($AA3136),IF(MATCH($V3137,$V$6:$V$6005,0)=ROW()-5,N($AA3136)+1,N($AA3136)))</f>
        <v/>
      </c>
    </row>
    <row r="3138" ht="21" customHeight="1" s="66">
      <c r="A3138" s="56" t="n"/>
      <c r="B3138" s="57" t="n"/>
      <c r="C3138" s="57" t="n"/>
      <c r="D3138" s="57" t="n"/>
      <c r="E3138" s="56" t="n"/>
      <c r="F3138" s="57" t="n"/>
      <c r="G3138" s="57" t="n"/>
      <c r="H3138" s="56" t="n"/>
      <c r="I3138" s="56" t="n"/>
      <c r="J3138" s="58" t="n"/>
      <c r="K3138" s="58" t="n"/>
      <c r="L3138" s="13">
        <f>IF(OR($A3138="",AND($J3138="",$K3138="")),"",ROUND(N($J3138)-N($K3138),2))</f>
        <v/>
      </c>
      <c r="M3138" s="13">
        <f>IF(OR($A3138="",AND($J3138="",$K3138="")),"",MIN($J3138,$K3138))</f>
        <v/>
      </c>
      <c r="Q3138">
        <f>IF($A3138="","",$D3138&amp;"("&amp;SUBSTITUTE($E3138," ","")&amp;")")</f>
        <v/>
      </c>
      <c r="R3138">
        <f>IF($A3138="","",$B3138&amp;" - "&amp;$C3138)</f>
        <v/>
      </c>
      <c r="S3138">
        <f>IF($A3138="","",$R3138&amp;"|"&amp;$Q3138)</f>
        <v/>
      </c>
      <c r="T3138">
        <f>IF($A3138="","",$S3138&amp;"|"&amp;$F3138)</f>
        <v/>
      </c>
      <c r="U3138">
        <f>IF($A3138="","",$R3138&amp;"("&amp;$E3138&amp;")")</f>
        <v/>
      </c>
      <c r="V3138">
        <f>IF($A3138="","",$F3138&amp;"|"&amp;$U3138&amp;"|"&amp;$D3138)</f>
        <v/>
      </c>
      <c r="W3138">
        <f>IF($T3138="","",IF($X3138&gt;N($X3137),$X3138,""))</f>
        <v/>
      </c>
      <c r="X3138">
        <f>IF($T3138="",N($X3137),IF(MATCH($T3138,$T$6:$T$6005,0)=ROW()-5,N($X3137)+1,N($X3137)))</f>
        <v/>
      </c>
      <c r="Z3138">
        <f>IF($V3138="","",IF($AA3138&gt;N($AA3137),$AA3138,""))</f>
        <v/>
      </c>
      <c r="AA3138">
        <f>IF($V3138="",N($AA3137),IF(MATCH($V3138,$V$6:$V$6005,0)=ROW()-5,N($AA3137)+1,N($AA3137)))</f>
        <v/>
      </c>
    </row>
    <row r="3139" ht="21" customHeight="1" s="66">
      <c r="A3139" s="56" t="n"/>
      <c r="B3139" s="57" t="n"/>
      <c r="C3139" s="57" t="n"/>
      <c r="D3139" s="57" t="n"/>
      <c r="E3139" s="56" t="n"/>
      <c r="F3139" s="57" t="n"/>
      <c r="G3139" s="57" t="n"/>
      <c r="H3139" s="56" t="n"/>
      <c r="I3139" s="56" t="n"/>
      <c r="J3139" s="58" t="n"/>
      <c r="K3139" s="58" t="n"/>
      <c r="L3139" s="13">
        <f>IF(OR($A3139="",AND($J3139="",$K3139="")),"",ROUND(N($J3139)-N($K3139),2))</f>
        <v/>
      </c>
      <c r="M3139" s="13">
        <f>IF(OR($A3139="",AND($J3139="",$K3139="")),"",MIN($J3139,$K3139))</f>
        <v/>
      </c>
      <c r="Q3139">
        <f>IF($A3139="","",$D3139&amp;"("&amp;SUBSTITUTE($E3139," ","")&amp;")")</f>
        <v/>
      </c>
      <c r="R3139">
        <f>IF($A3139="","",$B3139&amp;" - "&amp;$C3139)</f>
        <v/>
      </c>
      <c r="S3139">
        <f>IF($A3139="","",$R3139&amp;"|"&amp;$Q3139)</f>
        <v/>
      </c>
      <c r="T3139">
        <f>IF($A3139="","",$S3139&amp;"|"&amp;$F3139)</f>
        <v/>
      </c>
      <c r="U3139">
        <f>IF($A3139="","",$R3139&amp;"("&amp;$E3139&amp;")")</f>
        <v/>
      </c>
      <c r="V3139">
        <f>IF($A3139="","",$F3139&amp;"|"&amp;$U3139&amp;"|"&amp;$D3139)</f>
        <v/>
      </c>
      <c r="W3139">
        <f>IF($T3139="","",IF($X3139&gt;N($X3138),$X3139,""))</f>
        <v/>
      </c>
      <c r="X3139">
        <f>IF($T3139="",N($X3138),IF(MATCH($T3139,$T$6:$T$6005,0)=ROW()-5,N($X3138)+1,N($X3138)))</f>
        <v/>
      </c>
      <c r="Z3139">
        <f>IF($V3139="","",IF($AA3139&gt;N($AA3138),$AA3139,""))</f>
        <v/>
      </c>
      <c r="AA3139">
        <f>IF($V3139="",N($AA3138),IF(MATCH($V3139,$V$6:$V$6005,0)=ROW()-5,N($AA3138)+1,N($AA3138)))</f>
        <v/>
      </c>
    </row>
    <row r="3140" ht="21" customHeight="1" s="66">
      <c r="A3140" s="56" t="n"/>
      <c r="B3140" s="57" t="n"/>
      <c r="C3140" s="57" t="n"/>
      <c r="D3140" s="57" t="n"/>
      <c r="E3140" s="56" t="n"/>
      <c r="F3140" s="57" t="n"/>
      <c r="G3140" s="57" t="n"/>
      <c r="H3140" s="56" t="n"/>
      <c r="I3140" s="56" t="n"/>
      <c r="J3140" s="58" t="n"/>
      <c r="K3140" s="58" t="n"/>
      <c r="L3140" s="13">
        <f>IF(OR($A3140="",AND($J3140="",$K3140="")),"",ROUND(N($J3140)-N($K3140),2))</f>
        <v/>
      </c>
      <c r="M3140" s="13">
        <f>IF(OR($A3140="",AND($J3140="",$K3140="")),"",MIN($J3140,$K3140))</f>
        <v/>
      </c>
      <c r="Q3140">
        <f>IF($A3140="","",$D3140&amp;"("&amp;SUBSTITUTE($E3140," ","")&amp;")")</f>
        <v/>
      </c>
      <c r="R3140">
        <f>IF($A3140="","",$B3140&amp;" - "&amp;$C3140)</f>
        <v/>
      </c>
      <c r="S3140">
        <f>IF($A3140="","",$R3140&amp;"|"&amp;$Q3140)</f>
        <v/>
      </c>
      <c r="T3140">
        <f>IF($A3140="","",$S3140&amp;"|"&amp;$F3140)</f>
        <v/>
      </c>
      <c r="U3140">
        <f>IF($A3140="","",$R3140&amp;"("&amp;$E3140&amp;")")</f>
        <v/>
      </c>
      <c r="V3140">
        <f>IF($A3140="","",$F3140&amp;"|"&amp;$U3140&amp;"|"&amp;$D3140)</f>
        <v/>
      </c>
      <c r="W3140">
        <f>IF($T3140="","",IF($X3140&gt;N($X3139),$X3140,""))</f>
        <v/>
      </c>
      <c r="X3140">
        <f>IF($T3140="",N($X3139),IF(MATCH($T3140,$T$6:$T$6005,0)=ROW()-5,N($X3139)+1,N($X3139)))</f>
        <v/>
      </c>
      <c r="Z3140">
        <f>IF($V3140="","",IF($AA3140&gt;N($AA3139),$AA3140,""))</f>
        <v/>
      </c>
      <c r="AA3140">
        <f>IF($V3140="",N($AA3139),IF(MATCH($V3140,$V$6:$V$6005,0)=ROW()-5,N($AA3139)+1,N($AA3139)))</f>
        <v/>
      </c>
    </row>
    <row r="3141" ht="21" customHeight="1" s="66">
      <c r="A3141" s="56" t="n"/>
      <c r="B3141" s="57" t="n"/>
      <c r="C3141" s="57" t="n"/>
      <c r="D3141" s="57" t="n"/>
      <c r="E3141" s="56" t="n"/>
      <c r="F3141" s="57" t="n"/>
      <c r="G3141" s="57" t="n"/>
      <c r="H3141" s="56" t="n"/>
      <c r="I3141" s="56" t="n"/>
      <c r="J3141" s="58" t="n"/>
      <c r="K3141" s="58" t="n"/>
      <c r="L3141" s="13">
        <f>IF(OR($A3141="",AND($J3141="",$K3141="")),"",ROUND(N($J3141)-N($K3141),2))</f>
        <v/>
      </c>
      <c r="M3141" s="13">
        <f>IF(OR($A3141="",AND($J3141="",$K3141="")),"",MIN($J3141,$K3141))</f>
        <v/>
      </c>
      <c r="Q3141">
        <f>IF($A3141="","",$D3141&amp;"("&amp;SUBSTITUTE($E3141," ","")&amp;")")</f>
        <v/>
      </c>
      <c r="R3141">
        <f>IF($A3141="","",$B3141&amp;" - "&amp;$C3141)</f>
        <v/>
      </c>
      <c r="S3141">
        <f>IF($A3141="","",$R3141&amp;"|"&amp;$Q3141)</f>
        <v/>
      </c>
      <c r="T3141">
        <f>IF($A3141="","",$S3141&amp;"|"&amp;$F3141)</f>
        <v/>
      </c>
      <c r="U3141">
        <f>IF($A3141="","",$R3141&amp;"("&amp;$E3141&amp;")")</f>
        <v/>
      </c>
      <c r="V3141">
        <f>IF($A3141="","",$F3141&amp;"|"&amp;$U3141&amp;"|"&amp;$D3141)</f>
        <v/>
      </c>
      <c r="W3141">
        <f>IF($T3141="","",IF($X3141&gt;N($X3140),$X3141,""))</f>
        <v/>
      </c>
      <c r="X3141">
        <f>IF($T3141="",N($X3140),IF(MATCH($T3141,$T$6:$T$6005,0)=ROW()-5,N($X3140)+1,N($X3140)))</f>
        <v/>
      </c>
      <c r="Z3141">
        <f>IF($V3141="","",IF($AA3141&gt;N($AA3140),$AA3141,""))</f>
        <v/>
      </c>
      <c r="AA3141">
        <f>IF($V3141="",N($AA3140),IF(MATCH($V3141,$V$6:$V$6005,0)=ROW()-5,N($AA3140)+1,N($AA3140)))</f>
        <v/>
      </c>
    </row>
    <row r="3142" ht="21" customHeight="1" s="66">
      <c r="A3142" s="56" t="n"/>
      <c r="B3142" s="57" t="n"/>
      <c r="C3142" s="57" t="n"/>
      <c r="D3142" s="57" t="n"/>
      <c r="E3142" s="56" t="n"/>
      <c r="F3142" s="57" t="n"/>
      <c r="G3142" s="57" t="n"/>
      <c r="H3142" s="56" t="n"/>
      <c r="I3142" s="56" t="n"/>
      <c r="J3142" s="58" t="n"/>
      <c r="K3142" s="58" t="n"/>
      <c r="L3142" s="13">
        <f>IF(OR($A3142="",AND($J3142="",$K3142="")),"",ROUND(N($J3142)-N($K3142),2))</f>
        <v/>
      </c>
      <c r="M3142" s="13">
        <f>IF(OR($A3142="",AND($J3142="",$K3142="")),"",MIN($J3142,$K3142))</f>
        <v/>
      </c>
      <c r="Q3142">
        <f>IF($A3142="","",$D3142&amp;"("&amp;SUBSTITUTE($E3142," ","")&amp;")")</f>
        <v/>
      </c>
      <c r="R3142">
        <f>IF($A3142="","",$B3142&amp;" - "&amp;$C3142)</f>
        <v/>
      </c>
      <c r="S3142">
        <f>IF($A3142="","",$R3142&amp;"|"&amp;$Q3142)</f>
        <v/>
      </c>
      <c r="T3142">
        <f>IF($A3142="","",$S3142&amp;"|"&amp;$F3142)</f>
        <v/>
      </c>
      <c r="U3142">
        <f>IF($A3142="","",$R3142&amp;"("&amp;$E3142&amp;")")</f>
        <v/>
      </c>
      <c r="V3142">
        <f>IF($A3142="","",$F3142&amp;"|"&amp;$U3142&amp;"|"&amp;$D3142)</f>
        <v/>
      </c>
      <c r="W3142">
        <f>IF($T3142="","",IF($X3142&gt;N($X3141),$X3142,""))</f>
        <v/>
      </c>
      <c r="X3142">
        <f>IF($T3142="",N($X3141),IF(MATCH($T3142,$T$6:$T$6005,0)=ROW()-5,N($X3141)+1,N($X3141)))</f>
        <v/>
      </c>
      <c r="Z3142">
        <f>IF($V3142="","",IF($AA3142&gt;N($AA3141),$AA3142,""))</f>
        <v/>
      </c>
      <c r="AA3142">
        <f>IF($V3142="",N($AA3141),IF(MATCH($V3142,$V$6:$V$6005,0)=ROW()-5,N($AA3141)+1,N($AA3141)))</f>
        <v/>
      </c>
    </row>
    <row r="3143" ht="21" customHeight="1" s="66">
      <c r="A3143" s="56" t="n"/>
      <c r="B3143" s="57" t="n"/>
      <c r="C3143" s="57" t="n"/>
      <c r="D3143" s="57" t="n"/>
      <c r="E3143" s="56" t="n"/>
      <c r="F3143" s="57" t="n"/>
      <c r="G3143" s="57" t="n"/>
      <c r="H3143" s="56" t="n"/>
      <c r="I3143" s="56" t="n"/>
      <c r="J3143" s="58" t="n"/>
      <c r="K3143" s="58" t="n"/>
      <c r="L3143" s="13">
        <f>IF(OR($A3143="",AND($J3143="",$K3143="")),"",ROUND(N($J3143)-N($K3143),2))</f>
        <v/>
      </c>
      <c r="M3143" s="13">
        <f>IF(OR($A3143="",AND($J3143="",$K3143="")),"",MIN($J3143,$K3143))</f>
        <v/>
      </c>
      <c r="Q3143">
        <f>IF($A3143="","",$D3143&amp;"("&amp;SUBSTITUTE($E3143," ","")&amp;")")</f>
        <v/>
      </c>
      <c r="R3143">
        <f>IF($A3143="","",$B3143&amp;" - "&amp;$C3143)</f>
        <v/>
      </c>
      <c r="S3143">
        <f>IF($A3143="","",$R3143&amp;"|"&amp;$Q3143)</f>
        <v/>
      </c>
      <c r="T3143">
        <f>IF($A3143="","",$S3143&amp;"|"&amp;$F3143)</f>
        <v/>
      </c>
      <c r="U3143">
        <f>IF($A3143="","",$R3143&amp;"("&amp;$E3143&amp;")")</f>
        <v/>
      </c>
      <c r="V3143">
        <f>IF($A3143="","",$F3143&amp;"|"&amp;$U3143&amp;"|"&amp;$D3143)</f>
        <v/>
      </c>
      <c r="W3143">
        <f>IF($T3143="","",IF($X3143&gt;N($X3142),$X3143,""))</f>
        <v/>
      </c>
      <c r="X3143">
        <f>IF($T3143="",N($X3142),IF(MATCH($T3143,$T$6:$T$6005,0)=ROW()-5,N($X3142)+1,N($X3142)))</f>
        <v/>
      </c>
      <c r="Z3143">
        <f>IF($V3143="","",IF($AA3143&gt;N($AA3142),$AA3143,""))</f>
        <v/>
      </c>
      <c r="AA3143">
        <f>IF($V3143="",N($AA3142),IF(MATCH($V3143,$V$6:$V$6005,0)=ROW()-5,N($AA3142)+1,N($AA3142)))</f>
        <v/>
      </c>
    </row>
    <row r="3144" ht="21" customHeight="1" s="66">
      <c r="A3144" s="56" t="n"/>
      <c r="B3144" s="57" t="n"/>
      <c r="C3144" s="57" t="n"/>
      <c r="D3144" s="57" t="n"/>
      <c r="E3144" s="56" t="n"/>
      <c r="F3144" s="57" t="n"/>
      <c r="G3144" s="57" t="n"/>
      <c r="H3144" s="56" t="n"/>
      <c r="I3144" s="56" t="n"/>
      <c r="J3144" s="58" t="n"/>
      <c r="K3144" s="58" t="n"/>
      <c r="L3144" s="13">
        <f>IF(OR($A3144="",AND($J3144="",$K3144="")),"",ROUND(N($J3144)-N($K3144),2))</f>
        <v/>
      </c>
      <c r="M3144" s="13">
        <f>IF(OR($A3144="",AND($J3144="",$K3144="")),"",MIN($J3144,$K3144))</f>
        <v/>
      </c>
      <c r="Q3144">
        <f>IF($A3144="","",$D3144&amp;"("&amp;SUBSTITUTE($E3144," ","")&amp;")")</f>
        <v/>
      </c>
      <c r="R3144">
        <f>IF($A3144="","",$B3144&amp;" - "&amp;$C3144)</f>
        <v/>
      </c>
      <c r="S3144">
        <f>IF($A3144="","",$R3144&amp;"|"&amp;$Q3144)</f>
        <v/>
      </c>
      <c r="T3144">
        <f>IF($A3144="","",$S3144&amp;"|"&amp;$F3144)</f>
        <v/>
      </c>
      <c r="U3144">
        <f>IF($A3144="","",$R3144&amp;"("&amp;$E3144&amp;")")</f>
        <v/>
      </c>
      <c r="V3144">
        <f>IF($A3144="","",$F3144&amp;"|"&amp;$U3144&amp;"|"&amp;$D3144)</f>
        <v/>
      </c>
      <c r="W3144">
        <f>IF($T3144="","",IF($X3144&gt;N($X3143),$X3144,""))</f>
        <v/>
      </c>
      <c r="X3144">
        <f>IF($T3144="",N($X3143),IF(MATCH($T3144,$T$6:$T$6005,0)=ROW()-5,N($X3143)+1,N($X3143)))</f>
        <v/>
      </c>
      <c r="Z3144">
        <f>IF($V3144="","",IF($AA3144&gt;N($AA3143),$AA3144,""))</f>
        <v/>
      </c>
      <c r="AA3144">
        <f>IF($V3144="",N($AA3143),IF(MATCH($V3144,$V$6:$V$6005,0)=ROW()-5,N($AA3143)+1,N($AA3143)))</f>
        <v/>
      </c>
    </row>
    <row r="3145" ht="21" customHeight="1" s="66">
      <c r="A3145" s="56" t="n"/>
      <c r="B3145" s="57" t="n"/>
      <c r="C3145" s="57" t="n"/>
      <c r="D3145" s="57" t="n"/>
      <c r="E3145" s="56" t="n"/>
      <c r="F3145" s="57" t="n"/>
      <c r="G3145" s="57" t="n"/>
      <c r="H3145" s="56" t="n"/>
      <c r="I3145" s="56" t="n"/>
      <c r="J3145" s="58" t="n"/>
      <c r="K3145" s="58" t="n"/>
      <c r="L3145" s="13">
        <f>IF(OR($A3145="",AND($J3145="",$K3145="")),"",ROUND(N($J3145)-N($K3145),2))</f>
        <v/>
      </c>
      <c r="M3145" s="13">
        <f>IF(OR($A3145="",AND($J3145="",$K3145="")),"",MIN($J3145,$K3145))</f>
        <v/>
      </c>
      <c r="Q3145">
        <f>IF($A3145="","",$D3145&amp;"("&amp;SUBSTITUTE($E3145," ","")&amp;")")</f>
        <v/>
      </c>
      <c r="R3145">
        <f>IF($A3145="","",$B3145&amp;" - "&amp;$C3145)</f>
        <v/>
      </c>
      <c r="S3145">
        <f>IF($A3145="","",$R3145&amp;"|"&amp;$Q3145)</f>
        <v/>
      </c>
      <c r="T3145">
        <f>IF($A3145="","",$S3145&amp;"|"&amp;$F3145)</f>
        <v/>
      </c>
      <c r="U3145">
        <f>IF($A3145="","",$R3145&amp;"("&amp;$E3145&amp;")")</f>
        <v/>
      </c>
      <c r="V3145">
        <f>IF($A3145="","",$F3145&amp;"|"&amp;$U3145&amp;"|"&amp;$D3145)</f>
        <v/>
      </c>
      <c r="W3145">
        <f>IF($T3145="","",IF($X3145&gt;N($X3144),$X3145,""))</f>
        <v/>
      </c>
      <c r="X3145">
        <f>IF($T3145="",N($X3144),IF(MATCH($T3145,$T$6:$T$6005,0)=ROW()-5,N($X3144)+1,N($X3144)))</f>
        <v/>
      </c>
      <c r="Z3145">
        <f>IF($V3145="","",IF($AA3145&gt;N($AA3144),$AA3145,""))</f>
        <v/>
      </c>
      <c r="AA3145">
        <f>IF($V3145="",N($AA3144),IF(MATCH($V3145,$V$6:$V$6005,0)=ROW()-5,N($AA3144)+1,N($AA3144)))</f>
        <v/>
      </c>
    </row>
    <row r="3146" ht="21" customHeight="1" s="66">
      <c r="A3146" s="56" t="n"/>
      <c r="B3146" s="57" t="n"/>
      <c r="C3146" s="57" t="n"/>
      <c r="D3146" s="57" t="n"/>
      <c r="E3146" s="56" t="n"/>
      <c r="F3146" s="57" t="n"/>
      <c r="G3146" s="57" t="n"/>
      <c r="H3146" s="56" t="n"/>
      <c r="I3146" s="56" t="n"/>
      <c r="J3146" s="58" t="n"/>
      <c r="K3146" s="58" t="n"/>
      <c r="L3146" s="13">
        <f>IF(OR($A3146="",AND($J3146="",$K3146="")),"",ROUND(N($J3146)-N($K3146),2))</f>
        <v/>
      </c>
      <c r="M3146" s="13">
        <f>IF(OR($A3146="",AND($J3146="",$K3146="")),"",MIN($J3146,$K3146))</f>
        <v/>
      </c>
      <c r="Q3146">
        <f>IF($A3146="","",$D3146&amp;"("&amp;SUBSTITUTE($E3146," ","")&amp;")")</f>
        <v/>
      </c>
      <c r="R3146">
        <f>IF($A3146="","",$B3146&amp;" - "&amp;$C3146)</f>
        <v/>
      </c>
      <c r="S3146">
        <f>IF($A3146="","",$R3146&amp;"|"&amp;$Q3146)</f>
        <v/>
      </c>
      <c r="T3146">
        <f>IF($A3146="","",$S3146&amp;"|"&amp;$F3146)</f>
        <v/>
      </c>
      <c r="U3146">
        <f>IF($A3146="","",$R3146&amp;"("&amp;$E3146&amp;")")</f>
        <v/>
      </c>
      <c r="V3146">
        <f>IF($A3146="","",$F3146&amp;"|"&amp;$U3146&amp;"|"&amp;$D3146)</f>
        <v/>
      </c>
      <c r="W3146">
        <f>IF($T3146="","",IF($X3146&gt;N($X3145),$X3146,""))</f>
        <v/>
      </c>
      <c r="X3146">
        <f>IF($T3146="",N($X3145),IF(MATCH($T3146,$T$6:$T$6005,0)=ROW()-5,N($X3145)+1,N($X3145)))</f>
        <v/>
      </c>
      <c r="Z3146">
        <f>IF($V3146="","",IF($AA3146&gt;N($AA3145),$AA3146,""))</f>
        <v/>
      </c>
      <c r="AA3146">
        <f>IF($V3146="",N($AA3145),IF(MATCH($V3146,$V$6:$V$6005,0)=ROW()-5,N($AA3145)+1,N($AA3145)))</f>
        <v/>
      </c>
    </row>
    <row r="3147" ht="21" customHeight="1" s="66">
      <c r="A3147" s="56" t="n"/>
      <c r="B3147" s="57" t="n"/>
      <c r="C3147" s="57" t="n"/>
      <c r="D3147" s="57" t="n"/>
      <c r="E3147" s="56" t="n"/>
      <c r="F3147" s="57" t="n"/>
      <c r="G3147" s="57" t="n"/>
      <c r="H3147" s="56" t="n"/>
      <c r="I3147" s="56" t="n"/>
      <c r="J3147" s="58" t="n"/>
      <c r="K3147" s="58" t="n"/>
      <c r="L3147" s="13">
        <f>IF(OR($A3147="",AND($J3147="",$K3147="")),"",ROUND(N($J3147)-N($K3147),2))</f>
        <v/>
      </c>
      <c r="M3147" s="13">
        <f>IF(OR($A3147="",AND($J3147="",$K3147="")),"",MIN($J3147,$K3147))</f>
        <v/>
      </c>
      <c r="Q3147">
        <f>IF($A3147="","",$D3147&amp;"("&amp;SUBSTITUTE($E3147," ","")&amp;")")</f>
        <v/>
      </c>
      <c r="R3147">
        <f>IF($A3147="","",$B3147&amp;" - "&amp;$C3147)</f>
        <v/>
      </c>
      <c r="S3147">
        <f>IF($A3147="","",$R3147&amp;"|"&amp;$Q3147)</f>
        <v/>
      </c>
      <c r="T3147">
        <f>IF($A3147="","",$S3147&amp;"|"&amp;$F3147)</f>
        <v/>
      </c>
      <c r="U3147">
        <f>IF($A3147="","",$R3147&amp;"("&amp;$E3147&amp;")")</f>
        <v/>
      </c>
      <c r="V3147">
        <f>IF($A3147="","",$F3147&amp;"|"&amp;$U3147&amp;"|"&amp;$D3147)</f>
        <v/>
      </c>
      <c r="W3147">
        <f>IF($T3147="","",IF($X3147&gt;N($X3146),$X3147,""))</f>
        <v/>
      </c>
      <c r="X3147">
        <f>IF($T3147="",N($X3146),IF(MATCH($T3147,$T$6:$T$6005,0)=ROW()-5,N($X3146)+1,N($X3146)))</f>
        <v/>
      </c>
      <c r="Z3147">
        <f>IF($V3147="","",IF($AA3147&gt;N($AA3146),$AA3147,""))</f>
        <v/>
      </c>
      <c r="AA3147">
        <f>IF($V3147="",N($AA3146),IF(MATCH($V3147,$V$6:$V$6005,0)=ROW()-5,N($AA3146)+1,N($AA3146)))</f>
        <v/>
      </c>
    </row>
    <row r="3148" ht="21" customHeight="1" s="66">
      <c r="A3148" s="56" t="n"/>
      <c r="B3148" s="57" t="n"/>
      <c r="C3148" s="57" t="n"/>
      <c r="D3148" s="57" t="n"/>
      <c r="E3148" s="56" t="n"/>
      <c r="F3148" s="57" t="n"/>
      <c r="G3148" s="57" t="n"/>
      <c r="H3148" s="56" t="n"/>
      <c r="I3148" s="56" t="n"/>
      <c r="J3148" s="58" t="n"/>
      <c r="K3148" s="58" t="n"/>
      <c r="L3148" s="13">
        <f>IF(OR($A3148="",AND($J3148="",$K3148="")),"",ROUND(N($J3148)-N($K3148),2))</f>
        <v/>
      </c>
      <c r="M3148" s="13">
        <f>IF(OR($A3148="",AND($J3148="",$K3148="")),"",MIN($J3148,$K3148))</f>
        <v/>
      </c>
      <c r="Q3148">
        <f>IF($A3148="","",$D3148&amp;"("&amp;SUBSTITUTE($E3148," ","")&amp;")")</f>
        <v/>
      </c>
      <c r="R3148">
        <f>IF($A3148="","",$B3148&amp;" - "&amp;$C3148)</f>
        <v/>
      </c>
      <c r="S3148">
        <f>IF($A3148="","",$R3148&amp;"|"&amp;$Q3148)</f>
        <v/>
      </c>
      <c r="T3148">
        <f>IF($A3148="","",$S3148&amp;"|"&amp;$F3148)</f>
        <v/>
      </c>
      <c r="U3148">
        <f>IF($A3148="","",$R3148&amp;"("&amp;$E3148&amp;")")</f>
        <v/>
      </c>
      <c r="V3148">
        <f>IF($A3148="","",$F3148&amp;"|"&amp;$U3148&amp;"|"&amp;$D3148)</f>
        <v/>
      </c>
      <c r="W3148">
        <f>IF($T3148="","",IF($X3148&gt;N($X3147),$X3148,""))</f>
        <v/>
      </c>
      <c r="X3148">
        <f>IF($T3148="",N($X3147),IF(MATCH($T3148,$T$6:$T$6005,0)=ROW()-5,N($X3147)+1,N($X3147)))</f>
        <v/>
      </c>
      <c r="Z3148">
        <f>IF($V3148="","",IF($AA3148&gt;N($AA3147),$AA3148,""))</f>
        <v/>
      </c>
      <c r="AA3148">
        <f>IF($V3148="",N($AA3147),IF(MATCH($V3148,$V$6:$V$6005,0)=ROW()-5,N($AA3147)+1,N($AA3147)))</f>
        <v/>
      </c>
    </row>
    <row r="3149" ht="21" customHeight="1" s="66">
      <c r="A3149" s="56" t="n"/>
      <c r="B3149" s="57" t="n"/>
      <c r="C3149" s="57" t="n"/>
      <c r="D3149" s="57" t="n"/>
      <c r="E3149" s="56" t="n"/>
      <c r="F3149" s="57" t="n"/>
      <c r="G3149" s="57" t="n"/>
      <c r="H3149" s="56" t="n"/>
      <c r="I3149" s="56" t="n"/>
      <c r="J3149" s="58" t="n"/>
      <c r="K3149" s="58" t="n"/>
      <c r="L3149" s="13">
        <f>IF(OR($A3149="",AND($J3149="",$K3149="")),"",ROUND(N($J3149)-N($K3149),2))</f>
        <v/>
      </c>
      <c r="M3149" s="13">
        <f>IF(OR($A3149="",AND($J3149="",$K3149="")),"",MIN($J3149,$K3149))</f>
        <v/>
      </c>
      <c r="Q3149">
        <f>IF($A3149="","",$D3149&amp;"("&amp;SUBSTITUTE($E3149," ","")&amp;")")</f>
        <v/>
      </c>
      <c r="R3149">
        <f>IF($A3149="","",$B3149&amp;" - "&amp;$C3149)</f>
        <v/>
      </c>
      <c r="S3149">
        <f>IF($A3149="","",$R3149&amp;"|"&amp;$Q3149)</f>
        <v/>
      </c>
      <c r="T3149">
        <f>IF($A3149="","",$S3149&amp;"|"&amp;$F3149)</f>
        <v/>
      </c>
      <c r="U3149">
        <f>IF($A3149="","",$R3149&amp;"("&amp;$E3149&amp;")")</f>
        <v/>
      </c>
      <c r="V3149">
        <f>IF($A3149="","",$F3149&amp;"|"&amp;$U3149&amp;"|"&amp;$D3149)</f>
        <v/>
      </c>
      <c r="W3149">
        <f>IF($T3149="","",IF($X3149&gt;N($X3148),$X3149,""))</f>
        <v/>
      </c>
      <c r="X3149">
        <f>IF($T3149="",N($X3148),IF(MATCH($T3149,$T$6:$T$6005,0)=ROW()-5,N($X3148)+1,N($X3148)))</f>
        <v/>
      </c>
      <c r="Z3149">
        <f>IF($V3149="","",IF($AA3149&gt;N($AA3148),$AA3149,""))</f>
        <v/>
      </c>
      <c r="AA3149">
        <f>IF($V3149="",N($AA3148),IF(MATCH($V3149,$V$6:$V$6005,0)=ROW()-5,N($AA3148)+1,N($AA3148)))</f>
        <v/>
      </c>
    </row>
    <row r="3150" ht="21" customHeight="1" s="66">
      <c r="A3150" s="56" t="n"/>
      <c r="B3150" s="57" t="n"/>
      <c r="C3150" s="57" t="n"/>
      <c r="D3150" s="57" t="n"/>
      <c r="E3150" s="56" t="n"/>
      <c r="F3150" s="57" t="n"/>
      <c r="G3150" s="57" t="n"/>
      <c r="H3150" s="56" t="n"/>
      <c r="I3150" s="56" t="n"/>
      <c r="J3150" s="58" t="n"/>
      <c r="K3150" s="58" t="n"/>
      <c r="L3150" s="13">
        <f>IF(OR($A3150="",AND($J3150="",$K3150="")),"",ROUND(N($J3150)-N($K3150),2))</f>
        <v/>
      </c>
      <c r="M3150" s="13">
        <f>IF(OR($A3150="",AND($J3150="",$K3150="")),"",MIN($J3150,$K3150))</f>
        <v/>
      </c>
      <c r="Q3150">
        <f>IF($A3150="","",$D3150&amp;"("&amp;SUBSTITUTE($E3150," ","")&amp;")")</f>
        <v/>
      </c>
      <c r="R3150">
        <f>IF($A3150="","",$B3150&amp;" - "&amp;$C3150)</f>
        <v/>
      </c>
      <c r="S3150">
        <f>IF($A3150="","",$R3150&amp;"|"&amp;$Q3150)</f>
        <v/>
      </c>
      <c r="T3150">
        <f>IF($A3150="","",$S3150&amp;"|"&amp;$F3150)</f>
        <v/>
      </c>
      <c r="U3150">
        <f>IF($A3150="","",$R3150&amp;"("&amp;$E3150&amp;")")</f>
        <v/>
      </c>
      <c r="V3150">
        <f>IF($A3150="","",$F3150&amp;"|"&amp;$U3150&amp;"|"&amp;$D3150)</f>
        <v/>
      </c>
      <c r="W3150">
        <f>IF($T3150="","",IF($X3150&gt;N($X3149),$X3150,""))</f>
        <v/>
      </c>
      <c r="X3150">
        <f>IF($T3150="",N($X3149),IF(MATCH($T3150,$T$6:$T$6005,0)=ROW()-5,N($X3149)+1,N($X3149)))</f>
        <v/>
      </c>
      <c r="Z3150">
        <f>IF($V3150="","",IF($AA3150&gt;N($AA3149),$AA3150,""))</f>
        <v/>
      </c>
      <c r="AA3150">
        <f>IF($V3150="",N($AA3149),IF(MATCH($V3150,$V$6:$V$6005,0)=ROW()-5,N($AA3149)+1,N($AA3149)))</f>
        <v/>
      </c>
    </row>
    <row r="3151" ht="21" customHeight="1" s="66">
      <c r="A3151" s="56" t="n"/>
      <c r="B3151" s="57" t="n"/>
      <c r="C3151" s="57" t="n"/>
      <c r="D3151" s="57" t="n"/>
      <c r="E3151" s="56" t="n"/>
      <c r="F3151" s="57" t="n"/>
      <c r="G3151" s="57" t="n"/>
      <c r="H3151" s="56" t="n"/>
      <c r="I3151" s="56" t="n"/>
      <c r="J3151" s="58" t="n"/>
      <c r="K3151" s="58" t="n"/>
      <c r="L3151" s="13">
        <f>IF(OR($A3151="",AND($J3151="",$K3151="")),"",ROUND(N($J3151)-N($K3151),2))</f>
        <v/>
      </c>
      <c r="M3151" s="13">
        <f>IF(OR($A3151="",AND($J3151="",$K3151="")),"",MIN($J3151,$K3151))</f>
        <v/>
      </c>
      <c r="Q3151">
        <f>IF($A3151="","",$D3151&amp;"("&amp;SUBSTITUTE($E3151," ","")&amp;")")</f>
        <v/>
      </c>
      <c r="R3151">
        <f>IF($A3151="","",$B3151&amp;" - "&amp;$C3151)</f>
        <v/>
      </c>
      <c r="S3151">
        <f>IF($A3151="","",$R3151&amp;"|"&amp;$Q3151)</f>
        <v/>
      </c>
      <c r="T3151">
        <f>IF($A3151="","",$S3151&amp;"|"&amp;$F3151)</f>
        <v/>
      </c>
      <c r="U3151">
        <f>IF($A3151="","",$R3151&amp;"("&amp;$E3151&amp;")")</f>
        <v/>
      </c>
      <c r="V3151">
        <f>IF($A3151="","",$F3151&amp;"|"&amp;$U3151&amp;"|"&amp;$D3151)</f>
        <v/>
      </c>
      <c r="W3151">
        <f>IF($T3151="","",IF($X3151&gt;N($X3150),$X3151,""))</f>
        <v/>
      </c>
      <c r="X3151">
        <f>IF($T3151="",N($X3150),IF(MATCH($T3151,$T$6:$T$6005,0)=ROW()-5,N($X3150)+1,N($X3150)))</f>
        <v/>
      </c>
      <c r="Z3151">
        <f>IF($V3151="","",IF($AA3151&gt;N($AA3150),$AA3151,""))</f>
        <v/>
      </c>
      <c r="AA3151">
        <f>IF($V3151="",N($AA3150),IF(MATCH($V3151,$V$6:$V$6005,0)=ROW()-5,N($AA3150)+1,N($AA3150)))</f>
        <v/>
      </c>
    </row>
    <row r="3152" ht="21" customHeight="1" s="66">
      <c r="A3152" s="56" t="n"/>
      <c r="B3152" s="57" t="n"/>
      <c r="C3152" s="57" t="n"/>
      <c r="D3152" s="57" t="n"/>
      <c r="E3152" s="56" t="n"/>
      <c r="F3152" s="57" t="n"/>
      <c r="G3152" s="57" t="n"/>
      <c r="H3152" s="56" t="n"/>
      <c r="I3152" s="56" t="n"/>
      <c r="J3152" s="58" t="n"/>
      <c r="K3152" s="58" t="n"/>
      <c r="L3152" s="13">
        <f>IF(OR($A3152="",AND($J3152="",$K3152="")),"",ROUND(N($J3152)-N($K3152),2))</f>
        <v/>
      </c>
      <c r="M3152" s="13">
        <f>IF(OR($A3152="",AND($J3152="",$K3152="")),"",MIN($J3152,$K3152))</f>
        <v/>
      </c>
      <c r="Q3152">
        <f>IF($A3152="","",$D3152&amp;"("&amp;SUBSTITUTE($E3152," ","")&amp;")")</f>
        <v/>
      </c>
      <c r="R3152">
        <f>IF($A3152="","",$B3152&amp;" - "&amp;$C3152)</f>
        <v/>
      </c>
      <c r="S3152">
        <f>IF($A3152="","",$R3152&amp;"|"&amp;$Q3152)</f>
        <v/>
      </c>
      <c r="T3152">
        <f>IF($A3152="","",$S3152&amp;"|"&amp;$F3152)</f>
        <v/>
      </c>
      <c r="U3152">
        <f>IF($A3152="","",$R3152&amp;"("&amp;$E3152&amp;")")</f>
        <v/>
      </c>
      <c r="V3152">
        <f>IF($A3152="","",$F3152&amp;"|"&amp;$U3152&amp;"|"&amp;$D3152)</f>
        <v/>
      </c>
      <c r="W3152">
        <f>IF($T3152="","",IF($X3152&gt;N($X3151),$X3152,""))</f>
        <v/>
      </c>
      <c r="X3152">
        <f>IF($T3152="",N($X3151),IF(MATCH($T3152,$T$6:$T$6005,0)=ROW()-5,N($X3151)+1,N($X3151)))</f>
        <v/>
      </c>
      <c r="Z3152">
        <f>IF($V3152="","",IF($AA3152&gt;N($AA3151),$AA3152,""))</f>
        <v/>
      </c>
      <c r="AA3152">
        <f>IF($V3152="",N($AA3151),IF(MATCH($V3152,$V$6:$V$6005,0)=ROW()-5,N($AA3151)+1,N($AA3151)))</f>
        <v/>
      </c>
    </row>
    <row r="3153" ht="21" customHeight="1" s="66">
      <c r="A3153" s="56" t="n"/>
      <c r="B3153" s="57" t="n"/>
      <c r="C3153" s="57" t="n"/>
      <c r="D3153" s="57" t="n"/>
      <c r="E3153" s="56" t="n"/>
      <c r="F3153" s="57" t="n"/>
      <c r="G3153" s="57" t="n"/>
      <c r="H3153" s="56" t="n"/>
      <c r="I3153" s="56" t="n"/>
      <c r="J3153" s="58" t="n"/>
      <c r="K3153" s="58" t="n"/>
      <c r="L3153" s="13">
        <f>IF(OR($A3153="",AND($J3153="",$K3153="")),"",ROUND(N($J3153)-N($K3153),2))</f>
        <v/>
      </c>
      <c r="M3153" s="13">
        <f>IF(OR($A3153="",AND($J3153="",$K3153="")),"",MIN($J3153,$K3153))</f>
        <v/>
      </c>
      <c r="Q3153">
        <f>IF($A3153="","",$D3153&amp;"("&amp;SUBSTITUTE($E3153," ","")&amp;")")</f>
        <v/>
      </c>
      <c r="R3153">
        <f>IF($A3153="","",$B3153&amp;" - "&amp;$C3153)</f>
        <v/>
      </c>
      <c r="S3153">
        <f>IF($A3153="","",$R3153&amp;"|"&amp;$Q3153)</f>
        <v/>
      </c>
      <c r="T3153">
        <f>IF($A3153="","",$S3153&amp;"|"&amp;$F3153)</f>
        <v/>
      </c>
      <c r="U3153">
        <f>IF($A3153="","",$R3153&amp;"("&amp;$E3153&amp;")")</f>
        <v/>
      </c>
      <c r="V3153">
        <f>IF($A3153="","",$F3153&amp;"|"&amp;$U3153&amp;"|"&amp;$D3153)</f>
        <v/>
      </c>
      <c r="W3153">
        <f>IF($T3153="","",IF($X3153&gt;N($X3152),$X3153,""))</f>
        <v/>
      </c>
      <c r="X3153">
        <f>IF($T3153="",N($X3152),IF(MATCH($T3153,$T$6:$T$6005,0)=ROW()-5,N($X3152)+1,N($X3152)))</f>
        <v/>
      </c>
      <c r="Z3153">
        <f>IF($V3153="","",IF($AA3153&gt;N($AA3152),$AA3153,""))</f>
        <v/>
      </c>
      <c r="AA3153">
        <f>IF($V3153="",N($AA3152),IF(MATCH($V3153,$V$6:$V$6005,0)=ROW()-5,N($AA3152)+1,N($AA3152)))</f>
        <v/>
      </c>
    </row>
    <row r="3154" ht="21" customHeight="1" s="66">
      <c r="A3154" s="56" t="n"/>
      <c r="B3154" s="57" t="n"/>
      <c r="C3154" s="57" t="n"/>
      <c r="D3154" s="57" t="n"/>
      <c r="E3154" s="56" t="n"/>
      <c r="F3154" s="57" t="n"/>
      <c r="G3154" s="57" t="n"/>
      <c r="H3154" s="56" t="n"/>
      <c r="I3154" s="56" t="n"/>
      <c r="J3154" s="58" t="n"/>
      <c r="K3154" s="58" t="n"/>
      <c r="L3154" s="13">
        <f>IF(OR($A3154="",AND($J3154="",$K3154="")),"",ROUND(N($J3154)-N($K3154),2))</f>
        <v/>
      </c>
      <c r="M3154" s="13">
        <f>IF(OR($A3154="",AND($J3154="",$K3154="")),"",MIN($J3154,$K3154))</f>
        <v/>
      </c>
      <c r="Q3154">
        <f>IF($A3154="","",$D3154&amp;"("&amp;SUBSTITUTE($E3154," ","")&amp;")")</f>
        <v/>
      </c>
      <c r="R3154">
        <f>IF($A3154="","",$B3154&amp;" - "&amp;$C3154)</f>
        <v/>
      </c>
      <c r="S3154">
        <f>IF($A3154="","",$R3154&amp;"|"&amp;$Q3154)</f>
        <v/>
      </c>
      <c r="T3154">
        <f>IF($A3154="","",$S3154&amp;"|"&amp;$F3154)</f>
        <v/>
      </c>
      <c r="U3154">
        <f>IF($A3154="","",$R3154&amp;"("&amp;$E3154&amp;")")</f>
        <v/>
      </c>
      <c r="V3154">
        <f>IF($A3154="","",$F3154&amp;"|"&amp;$U3154&amp;"|"&amp;$D3154)</f>
        <v/>
      </c>
      <c r="W3154">
        <f>IF($T3154="","",IF($X3154&gt;N($X3153),$X3154,""))</f>
        <v/>
      </c>
      <c r="X3154">
        <f>IF($T3154="",N($X3153),IF(MATCH($T3154,$T$6:$T$6005,0)=ROW()-5,N($X3153)+1,N($X3153)))</f>
        <v/>
      </c>
      <c r="Z3154">
        <f>IF($V3154="","",IF($AA3154&gt;N($AA3153),$AA3154,""))</f>
        <v/>
      </c>
      <c r="AA3154">
        <f>IF($V3154="",N($AA3153),IF(MATCH($V3154,$V$6:$V$6005,0)=ROW()-5,N($AA3153)+1,N($AA3153)))</f>
        <v/>
      </c>
    </row>
    <row r="3155" ht="21" customHeight="1" s="66">
      <c r="A3155" s="56" t="n"/>
      <c r="B3155" s="57" t="n"/>
      <c r="C3155" s="57" t="n"/>
      <c r="D3155" s="57" t="n"/>
      <c r="E3155" s="56" t="n"/>
      <c r="F3155" s="57" t="n"/>
      <c r="G3155" s="57" t="n"/>
      <c r="H3155" s="56" t="n"/>
      <c r="I3155" s="56" t="n"/>
      <c r="J3155" s="58" t="n"/>
      <c r="K3155" s="58" t="n"/>
      <c r="L3155" s="13">
        <f>IF(OR($A3155="",AND($J3155="",$K3155="")),"",ROUND(N($J3155)-N($K3155),2))</f>
        <v/>
      </c>
      <c r="M3155" s="13">
        <f>IF(OR($A3155="",AND($J3155="",$K3155="")),"",MIN($J3155,$K3155))</f>
        <v/>
      </c>
      <c r="Q3155">
        <f>IF($A3155="","",$D3155&amp;"("&amp;SUBSTITUTE($E3155," ","")&amp;")")</f>
        <v/>
      </c>
      <c r="R3155">
        <f>IF($A3155="","",$B3155&amp;" - "&amp;$C3155)</f>
        <v/>
      </c>
      <c r="S3155">
        <f>IF($A3155="","",$R3155&amp;"|"&amp;$Q3155)</f>
        <v/>
      </c>
      <c r="T3155">
        <f>IF($A3155="","",$S3155&amp;"|"&amp;$F3155)</f>
        <v/>
      </c>
      <c r="U3155">
        <f>IF($A3155="","",$R3155&amp;"("&amp;$E3155&amp;")")</f>
        <v/>
      </c>
      <c r="V3155">
        <f>IF($A3155="","",$F3155&amp;"|"&amp;$U3155&amp;"|"&amp;$D3155)</f>
        <v/>
      </c>
      <c r="W3155">
        <f>IF($T3155="","",IF($X3155&gt;N($X3154),$X3155,""))</f>
        <v/>
      </c>
      <c r="X3155">
        <f>IF($T3155="",N($X3154),IF(MATCH($T3155,$T$6:$T$6005,0)=ROW()-5,N($X3154)+1,N($X3154)))</f>
        <v/>
      </c>
      <c r="Z3155">
        <f>IF($V3155="","",IF($AA3155&gt;N($AA3154),$AA3155,""))</f>
        <v/>
      </c>
      <c r="AA3155">
        <f>IF($V3155="",N($AA3154),IF(MATCH($V3155,$V$6:$V$6005,0)=ROW()-5,N($AA3154)+1,N($AA3154)))</f>
        <v/>
      </c>
    </row>
    <row r="3156" ht="21" customHeight="1" s="66">
      <c r="A3156" s="56" t="n"/>
      <c r="B3156" s="57" t="n"/>
      <c r="C3156" s="57" t="n"/>
      <c r="D3156" s="57" t="n"/>
      <c r="E3156" s="56" t="n"/>
      <c r="F3156" s="57" t="n"/>
      <c r="G3156" s="57" t="n"/>
      <c r="H3156" s="56" t="n"/>
      <c r="I3156" s="56" t="n"/>
      <c r="J3156" s="58" t="n"/>
      <c r="K3156" s="58" t="n"/>
      <c r="L3156" s="13">
        <f>IF(OR($A3156="",AND($J3156="",$K3156="")),"",ROUND(N($J3156)-N($K3156),2))</f>
        <v/>
      </c>
      <c r="M3156" s="13">
        <f>IF(OR($A3156="",AND($J3156="",$K3156="")),"",MIN($J3156,$K3156))</f>
        <v/>
      </c>
      <c r="Q3156">
        <f>IF($A3156="","",$D3156&amp;"("&amp;SUBSTITUTE($E3156," ","")&amp;")")</f>
        <v/>
      </c>
      <c r="R3156">
        <f>IF($A3156="","",$B3156&amp;" - "&amp;$C3156)</f>
        <v/>
      </c>
      <c r="S3156">
        <f>IF($A3156="","",$R3156&amp;"|"&amp;$Q3156)</f>
        <v/>
      </c>
      <c r="T3156">
        <f>IF($A3156="","",$S3156&amp;"|"&amp;$F3156)</f>
        <v/>
      </c>
      <c r="U3156">
        <f>IF($A3156="","",$R3156&amp;"("&amp;$E3156&amp;")")</f>
        <v/>
      </c>
      <c r="V3156">
        <f>IF($A3156="","",$F3156&amp;"|"&amp;$U3156&amp;"|"&amp;$D3156)</f>
        <v/>
      </c>
      <c r="W3156">
        <f>IF($T3156="","",IF($X3156&gt;N($X3155),$X3156,""))</f>
        <v/>
      </c>
      <c r="X3156">
        <f>IF($T3156="",N($X3155),IF(MATCH($T3156,$T$6:$T$6005,0)=ROW()-5,N($X3155)+1,N($X3155)))</f>
        <v/>
      </c>
      <c r="Z3156">
        <f>IF($V3156="","",IF($AA3156&gt;N($AA3155),$AA3156,""))</f>
        <v/>
      </c>
      <c r="AA3156">
        <f>IF($V3156="",N($AA3155),IF(MATCH($V3156,$V$6:$V$6005,0)=ROW()-5,N($AA3155)+1,N($AA3155)))</f>
        <v/>
      </c>
    </row>
    <row r="3157" ht="21" customHeight="1" s="66">
      <c r="A3157" s="56" t="n"/>
      <c r="B3157" s="57" t="n"/>
      <c r="C3157" s="57" t="n"/>
      <c r="D3157" s="57" t="n"/>
      <c r="E3157" s="56" t="n"/>
      <c r="F3157" s="57" t="n"/>
      <c r="G3157" s="57" t="n"/>
      <c r="H3157" s="56" t="n"/>
      <c r="I3157" s="56" t="n"/>
      <c r="J3157" s="58" t="n"/>
      <c r="K3157" s="58" t="n"/>
      <c r="L3157" s="13">
        <f>IF(OR($A3157="",AND($J3157="",$K3157="")),"",ROUND(N($J3157)-N($K3157),2))</f>
        <v/>
      </c>
      <c r="M3157" s="13">
        <f>IF(OR($A3157="",AND($J3157="",$K3157="")),"",MIN($J3157,$K3157))</f>
        <v/>
      </c>
      <c r="Q3157">
        <f>IF($A3157="","",$D3157&amp;"("&amp;SUBSTITUTE($E3157," ","")&amp;")")</f>
        <v/>
      </c>
      <c r="R3157">
        <f>IF($A3157="","",$B3157&amp;" - "&amp;$C3157)</f>
        <v/>
      </c>
      <c r="S3157">
        <f>IF($A3157="","",$R3157&amp;"|"&amp;$Q3157)</f>
        <v/>
      </c>
      <c r="T3157">
        <f>IF($A3157="","",$S3157&amp;"|"&amp;$F3157)</f>
        <v/>
      </c>
      <c r="U3157">
        <f>IF($A3157="","",$R3157&amp;"("&amp;$E3157&amp;")")</f>
        <v/>
      </c>
      <c r="V3157">
        <f>IF($A3157="","",$F3157&amp;"|"&amp;$U3157&amp;"|"&amp;$D3157)</f>
        <v/>
      </c>
      <c r="W3157">
        <f>IF($T3157="","",IF($X3157&gt;N($X3156),$X3157,""))</f>
        <v/>
      </c>
      <c r="X3157">
        <f>IF($T3157="",N($X3156),IF(MATCH($T3157,$T$6:$T$6005,0)=ROW()-5,N($X3156)+1,N($X3156)))</f>
        <v/>
      </c>
      <c r="Z3157">
        <f>IF($V3157="","",IF($AA3157&gt;N($AA3156),$AA3157,""))</f>
        <v/>
      </c>
      <c r="AA3157">
        <f>IF($V3157="",N($AA3156),IF(MATCH($V3157,$V$6:$V$6005,0)=ROW()-5,N($AA3156)+1,N($AA3156)))</f>
        <v/>
      </c>
    </row>
    <row r="3158" ht="21" customHeight="1" s="66">
      <c r="A3158" s="56" t="n"/>
      <c r="B3158" s="57" t="n"/>
      <c r="C3158" s="57" t="n"/>
      <c r="D3158" s="57" t="n"/>
      <c r="E3158" s="56" t="n"/>
      <c r="F3158" s="57" t="n"/>
      <c r="G3158" s="57" t="n"/>
      <c r="H3158" s="56" t="n"/>
      <c r="I3158" s="56" t="n"/>
      <c r="J3158" s="58" t="n"/>
      <c r="K3158" s="58" t="n"/>
      <c r="L3158" s="13">
        <f>IF(OR($A3158="",AND($J3158="",$K3158="")),"",ROUND(N($J3158)-N($K3158),2))</f>
        <v/>
      </c>
      <c r="M3158" s="13">
        <f>IF(OR($A3158="",AND($J3158="",$K3158="")),"",MIN($J3158,$K3158))</f>
        <v/>
      </c>
      <c r="Q3158">
        <f>IF($A3158="","",$D3158&amp;"("&amp;SUBSTITUTE($E3158," ","")&amp;")")</f>
        <v/>
      </c>
      <c r="R3158">
        <f>IF($A3158="","",$B3158&amp;" - "&amp;$C3158)</f>
        <v/>
      </c>
      <c r="S3158">
        <f>IF($A3158="","",$R3158&amp;"|"&amp;$Q3158)</f>
        <v/>
      </c>
      <c r="T3158">
        <f>IF($A3158="","",$S3158&amp;"|"&amp;$F3158)</f>
        <v/>
      </c>
      <c r="U3158">
        <f>IF($A3158="","",$R3158&amp;"("&amp;$E3158&amp;")")</f>
        <v/>
      </c>
      <c r="V3158">
        <f>IF($A3158="","",$F3158&amp;"|"&amp;$U3158&amp;"|"&amp;$D3158)</f>
        <v/>
      </c>
      <c r="W3158">
        <f>IF($T3158="","",IF($X3158&gt;N($X3157),$X3158,""))</f>
        <v/>
      </c>
      <c r="X3158">
        <f>IF($T3158="",N($X3157),IF(MATCH($T3158,$T$6:$T$6005,0)=ROW()-5,N($X3157)+1,N($X3157)))</f>
        <v/>
      </c>
      <c r="Z3158">
        <f>IF($V3158="","",IF($AA3158&gt;N($AA3157),$AA3158,""))</f>
        <v/>
      </c>
      <c r="AA3158">
        <f>IF($V3158="",N($AA3157),IF(MATCH($V3158,$V$6:$V$6005,0)=ROW()-5,N($AA3157)+1,N($AA3157)))</f>
        <v/>
      </c>
    </row>
    <row r="3159" ht="21" customHeight="1" s="66">
      <c r="A3159" s="56" t="n"/>
      <c r="B3159" s="57" t="n"/>
      <c r="C3159" s="57" t="n"/>
      <c r="D3159" s="57" t="n"/>
      <c r="E3159" s="56" t="n"/>
      <c r="F3159" s="57" t="n"/>
      <c r="G3159" s="57" t="n"/>
      <c r="H3159" s="56" t="n"/>
      <c r="I3159" s="56" t="n"/>
      <c r="J3159" s="58" t="n"/>
      <c r="K3159" s="58" t="n"/>
      <c r="L3159" s="13">
        <f>IF(OR($A3159="",AND($J3159="",$K3159="")),"",ROUND(N($J3159)-N($K3159),2))</f>
        <v/>
      </c>
      <c r="M3159" s="13">
        <f>IF(OR($A3159="",AND($J3159="",$K3159="")),"",MIN($J3159,$K3159))</f>
        <v/>
      </c>
      <c r="Q3159">
        <f>IF($A3159="","",$D3159&amp;"("&amp;SUBSTITUTE($E3159," ","")&amp;")")</f>
        <v/>
      </c>
      <c r="R3159">
        <f>IF($A3159="","",$B3159&amp;" - "&amp;$C3159)</f>
        <v/>
      </c>
      <c r="S3159">
        <f>IF($A3159="","",$R3159&amp;"|"&amp;$Q3159)</f>
        <v/>
      </c>
      <c r="T3159">
        <f>IF($A3159="","",$S3159&amp;"|"&amp;$F3159)</f>
        <v/>
      </c>
      <c r="U3159">
        <f>IF($A3159="","",$R3159&amp;"("&amp;$E3159&amp;")")</f>
        <v/>
      </c>
      <c r="V3159">
        <f>IF($A3159="","",$F3159&amp;"|"&amp;$U3159&amp;"|"&amp;$D3159)</f>
        <v/>
      </c>
      <c r="W3159">
        <f>IF($T3159="","",IF($X3159&gt;N($X3158),$X3159,""))</f>
        <v/>
      </c>
      <c r="X3159">
        <f>IF($T3159="",N($X3158),IF(MATCH($T3159,$T$6:$T$6005,0)=ROW()-5,N($X3158)+1,N($X3158)))</f>
        <v/>
      </c>
      <c r="Z3159">
        <f>IF($V3159="","",IF($AA3159&gt;N($AA3158),$AA3159,""))</f>
        <v/>
      </c>
      <c r="AA3159">
        <f>IF($V3159="",N($AA3158),IF(MATCH($V3159,$V$6:$V$6005,0)=ROW()-5,N($AA3158)+1,N($AA3158)))</f>
        <v/>
      </c>
    </row>
    <row r="3160" ht="21" customHeight="1" s="66">
      <c r="A3160" s="56" t="n"/>
      <c r="B3160" s="57" t="n"/>
      <c r="C3160" s="57" t="n"/>
      <c r="D3160" s="57" t="n"/>
      <c r="E3160" s="56" t="n"/>
      <c r="F3160" s="57" t="n"/>
      <c r="G3160" s="57" t="n"/>
      <c r="H3160" s="56" t="n"/>
      <c r="I3160" s="56" t="n"/>
      <c r="J3160" s="58" t="n"/>
      <c r="K3160" s="58" t="n"/>
      <c r="L3160" s="13">
        <f>IF(OR($A3160="",AND($J3160="",$K3160="")),"",ROUND(N($J3160)-N($K3160),2))</f>
        <v/>
      </c>
      <c r="M3160" s="13">
        <f>IF(OR($A3160="",AND($J3160="",$K3160="")),"",MIN($J3160,$K3160))</f>
        <v/>
      </c>
      <c r="Q3160">
        <f>IF($A3160="","",$D3160&amp;"("&amp;SUBSTITUTE($E3160," ","")&amp;")")</f>
        <v/>
      </c>
      <c r="R3160">
        <f>IF($A3160="","",$B3160&amp;" - "&amp;$C3160)</f>
        <v/>
      </c>
      <c r="S3160">
        <f>IF($A3160="","",$R3160&amp;"|"&amp;$Q3160)</f>
        <v/>
      </c>
      <c r="T3160">
        <f>IF($A3160="","",$S3160&amp;"|"&amp;$F3160)</f>
        <v/>
      </c>
      <c r="U3160">
        <f>IF($A3160="","",$R3160&amp;"("&amp;$E3160&amp;")")</f>
        <v/>
      </c>
      <c r="V3160">
        <f>IF($A3160="","",$F3160&amp;"|"&amp;$U3160&amp;"|"&amp;$D3160)</f>
        <v/>
      </c>
      <c r="W3160">
        <f>IF($T3160="","",IF($X3160&gt;N($X3159),$X3160,""))</f>
        <v/>
      </c>
      <c r="X3160">
        <f>IF($T3160="",N($X3159),IF(MATCH($T3160,$T$6:$T$6005,0)=ROW()-5,N($X3159)+1,N($X3159)))</f>
        <v/>
      </c>
      <c r="Z3160">
        <f>IF($V3160="","",IF($AA3160&gt;N($AA3159),$AA3160,""))</f>
        <v/>
      </c>
      <c r="AA3160">
        <f>IF($V3160="",N($AA3159),IF(MATCH($V3160,$V$6:$V$6005,0)=ROW()-5,N($AA3159)+1,N($AA3159)))</f>
        <v/>
      </c>
    </row>
    <row r="3161" ht="21" customHeight="1" s="66">
      <c r="A3161" s="56" t="n"/>
      <c r="B3161" s="57" t="n"/>
      <c r="C3161" s="57" t="n"/>
      <c r="D3161" s="57" t="n"/>
      <c r="E3161" s="56" t="n"/>
      <c r="F3161" s="57" t="n"/>
      <c r="G3161" s="57" t="n"/>
      <c r="H3161" s="56" t="n"/>
      <c r="I3161" s="56" t="n"/>
      <c r="J3161" s="58" t="n"/>
      <c r="K3161" s="58" t="n"/>
      <c r="L3161" s="13">
        <f>IF(OR($A3161="",AND($J3161="",$K3161="")),"",ROUND(N($J3161)-N($K3161),2))</f>
        <v/>
      </c>
      <c r="M3161" s="13">
        <f>IF(OR($A3161="",AND($J3161="",$K3161="")),"",MIN($J3161,$K3161))</f>
        <v/>
      </c>
      <c r="Q3161">
        <f>IF($A3161="","",$D3161&amp;"("&amp;SUBSTITUTE($E3161," ","")&amp;")")</f>
        <v/>
      </c>
      <c r="R3161">
        <f>IF($A3161="","",$B3161&amp;" - "&amp;$C3161)</f>
        <v/>
      </c>
      <c r="S3161">
        <f>IF($A3161="","",$R3161&amp;"|"&amp;$Q3161)</f>
        <v/>
      </c>
      <c r="T3161">
        <f>IF($A3161="","",$S3161&amp;"|"&amp;$F3161)</f>
        <v/>
      </c>
      <c r="U3161">
        <f>IF($A3161="","",$R3161&amp;"("&amp;$E3161&amp;")")</f>
        <v/>
      </c>
      <c r="V3161">
        <f>IF($A3161="","",$F3161&amp;"|"&amp;$U3161&amp;"|"&amp;$D3161)</f>
        <v/>
      </c>
      <c r="W3161">
        <f>IF($T3161="","",IF($X3161&gt;N($X3160),$X3161,""))</f>
        <v/>
      </c>
      <c r="X3161">
        <f>IF($T3161="",N($X3160),IF(MATCH($T3161,$T$6:$T$6005,0)=ROW()-5,N($X3160)+1,N($X3160)))</f>
        <v/>
      </c>
      <c r="Z3161">
        <f>IF($V3161="","",IF($AA3161&gt;N($AA3160),$AA3161,""))</f>
        <v/>
      </c>
      <c r="AA3161">
        <f>IF($V3161="",N($AA3160),IF(MATCH($V3161,$V$6:$V$6005,0)=ROW()-5,N($AA3160)+1,N($AA3160)))</f>
        <v/>
      </c>
    </row>
    <row r="3162" ht="21" customHeight="1" s="66">
      <c r="A3162" s="56" t="n"/>
      <c r="B3162" s="57" t="n"/>
      <c r="C3162" s="57" t="n"/>
      <c r="D3162" s="57" t="n"/>
      <c r="E3162" s="56" t="n"/>
      <c r="F3162" s="57" t="n"/>
      <c r="G3162" s="57" t="n"/>
      <c r="H3162" s="56" t="n"/>
      <c r="I3162" s="56" t="n"/>
      <c r="J3162" s="58" t="n"/>
      <c r="K3162" s="58" t="n"/>
      <c r="L3162" s="13">
        <f>IF(OR($A3162="",AND($J3162="",$K3162="")),"",ROUND(N($J3162)-N($K3162),2))</f>
        <v/>
      </c>
      <c r="M3162" s="13">
        <f>IF(OR($A3162="",AND($J3162="",$K3162="")),"",MIN($J3162,$K3162))</f>
        <v/>
      </c>
      <c r="Q3162">
        <f>IF($A3162="","",$D3162&amp;"("&amp;SUBSTITUTE($E3162," ","")&amp;")")</f>
        <v/>
      </c>
      <c r="R3162">
        <f>IF($A3162="","",$B3162&amp;" - "&amp;$C3162)</f>
        <v/>
      </c>
      <c r="S3162">
        <f>IF($A3162="","",$R3162&amp;"|"&amp;$Q3162)</f>
        <v/>
      </c>
      <c r="T3162">
        <f>IF($A3162="","",$S3162&amp;"|"&amp;$F3162)</f>
        <v/>
      </c>
      <c r="U3162">
        <f>IF($A3162="","",$R3162&amp;"("&amp;$E3162&amp;")")</f>
        <v/>
      </c>
      <c r="V3162">
        <f>IF($A3162="","",$F3162&amp;"|"&amp;$U3162&amp;"|"&amp;$D3162)</f>
        <v/>
      </c>
      <c r="W3162">
        <f>IF($T3162="","",IF($X3162&gt;N($X3161),$X3162,""))</f>
        <v/>
      </c>
      <c r="X3162">
        <f>IF($T3162="",N($X3161),IF(MATCH($T3162,$T$6:$T$6005,0)=ROW()-5,N($X3161)+1,N($X3161)))</f>
        <v/>
      </c>
      <c r="Z3162">
        <f>IF($V3162="","",IF($AA3162&gt;N($AA3161),$AA3162,""))</f>
        <v/>
      </c>
      <c r="AA3162">
        <f>IF($V3162="",N($AA3161),IF(MATCH($V3162,$V$6:$V$6005,0)=ROW()-5,N($AA3161)+1,N($AA3161)))</f>
        <v/>
      </c>
    </row>
    <row r="3163" ht="21" customHeight="1" s="66">
      <c r="A3163" s="56" t="n"/>
      <c r="B3163" s="57" t="n"/>
      <c r="C3163" s="57" t="n"/>
      <c r="D3163" s="57" t="n"/>
      <c r="E3163" s="56" t="n"/>
      <c r="F3163" s="57" t="n"/>
      <c r="G3163" s="57" t="n"/>
      <c r="H3163" s="56" t="n"/>
      <c r="I3163" s="56" t="n"/>
      <c r="J3163" s="58" t="n"/>
      <c r="K3163" s="58" t="n"/>
      <c r="L3163" s="13">
        <f>IF(OR($A3163="",AND($J3163="",$K3163="")),"",ROUND(N($J3163)-N($K3163),2))</f>
        <v/>
      </c>
      <c r="M3163" s="13">
        <f>IF(OR($A3163="",AND($J3163="",$K3163="")),"",MIN($J3163,$K3163))</f>
        <v/>
      </c>
      <c r="Q3163">
        <f>IF($A3163="","",$D3163&amp;"("&amp;SUBSTITUTE($E3163," ","")&amp;")")</f>
        <v/>
      </c>
      <c r="R3163">
        <f>IF($A3163="","",$B3163&amp;" - "&amp;$C3163)</f>
        <v/>
      </c>
      <c r="S3163">
        <f>IF($A3163="","",$R3163&amp;"|"&amp;$Q3163)</f>
        <v/>
      </c>
      <c r="T3163">
        <f>IF($A3163="","",$S3163&amp;"|"&amp;$F3163)</f>
        <v/>
      </c>
      <c r="U3163">
        <f>IF($A3163="","",$R3163&amp;"("&amp;$E3163&amp;")")</f>
        <v/>
      </c>
      <c r="V3163">
        <f>IF($A3163="","",$F3163&amp;"|"&amp;$U3163&amp;"|"&amp;$D3163)</f>
        <v/>
      </c>
      <c r="W3163">
        <f>IF($T3163="","",IF($X3163&gt;N($X3162),$X3163,""))</f>
        <v/>
      </c>
      <c r="X3163">
        <f>IF($T3163="",N($X3162),IF(MATCH($T3163,$T$6:$T$6005,0)=ROW()-5,N($X3162)+1,N($X3162)))</f>
        <v/>
      </c>
      <c r="Z3163">
        <f>IF($V3163="","",IF($AA3163&gt;N($AA3162),$AA3163,""))</f>
        <v/>
      </c>
      <c r="AA3163">
        <f>IF($V3163="",N($AA3162),IF(MATCH($V3163,$V$6:$V$6005,0)=ROW()-5,N($AA3162)+1,N($AA3162)))</f>
        <v/>
      </c>
    </row>
    <row r="3164" ht="21" customHeight="1" s="66">
      <c r="A3164" s="56" t="n"/>
      <c r="B3164" s="57" t="n"/>
      <c r="C3164" s="57" t="n"/>
      <c r="D3164" s="57" t="n"/>
      <c r="E3164" s="56" t="n"/>
      <c r="F3164" s="57" t="n"/>
      <c r="G3164" s="57" t="n"/>
      <c r="H3164" s="56" t="n"/>
      <c r="I3164" s="56" t="n"/>
      <c r="J3164" s="58" t="n"/>
      <c r="K3164" s="58" t="n"/>
      <c r="L3164" s="13">
        <f>IF(OR($A3164="",AND($J3164="",$K3164="")),"",ROUND(N($J3164)-N($K3164),2))</f>
        <v/>
      </c>
      <c r="M3164" s="13">
        <f>IF(OR($A3164="",AND($J3164="",$K3164="")),"",MIN($J3164,$K3164))</f>
        <v/>
      </c>
      <c r="Q3164">
        <f>IF($A3164="","",$D3164&amp;"("&amp;SUBSTITUTE($E3164," ","")&amp;")")</f>
        <v/>
      </c>
      <c r="R3164">
        <f>IF($A3164="","",$B3164&amp;" - "&amp;$C3164)</f>
        <v/>
      </c>
      <c r="S3164">
        <f>IF($A3164="","",$R3164&amp;"|"&amp;$Q3164)</f>
        <v/>
      </c>
      <c r="T3164">
        <f>IF($A3164="","",$S3164&amp;"|"&amp;$F3164)</f>
        <v/>
      </c>
      <c r="U3164">
        <f>IF($A3164="","",$R3164&amp;"("&amp;$E3164&amp;")")</f>
        <v/>
      </c>
      <c r="V3164">
        <f>IF($A3164="","",$F3164&amp;"|"&amp;$U3164&amp;"|"&amp;$D3164)</f>
        <v/>
      </c>
      <c r="W3164">
        <f>IF($T3164="","",IF($X3164&gt;N($X3163),$X3164,""))</f>
        <v/>
      </c>
      <c r="X3164">
        <f>IF($T3164="",N($X3163),IF(MATCH($T3164,$T$6:$T$6005,0)=ROW()-5,N($X3163)+1,N($X3163)))</f>
        <v/>
      </c>
      <c r="Z3164">
        <f>IF($V3164="","",IF($AA3164&gt;N($AA3163),$AA3164,""))</f>
        <v/>
      </c>
      <c r="AA3164">
        <f>IF($V3164="",N($AA3163),IF(MATCH($V3164,$V$6:$V$6005,0)=ROW()-5,N($AA3163)+1,N($AA3163)))</f>
        <v/>
      </c>
    </row>
    <row r="3165" ht="21" customHeight="1" s="66">
      <c r="A3165" s="56" t="n"/>
      <c r="B3165" s="57" t="n"/>
      <c r="C3165" s="57" t="n"/>
      <c r="D3165" s="57" t="n"/>
      <c r="E3165" s="56" t="n"/>
      <c r="F3165" s="57" t="n"/>
      <c r="G3165" s="57" t="n"/>
      <c r="H3165" s="56" t="n"/>
      <c r="I3165" s="56" t="n"/>
      <c r="J3165" s="58" t="n"/>
      <c r="K3165" s="58" t="n"/>
      <c r="L3165" s="13">
        <f>IF(OR($A3165="",AND($J3165="",$K3165="")),"",ROUND(N($J3165)-N($K3165),2))</f>
        <v/>
      </c>
      <c r="M3165" s="13">
        <f>IF(OR($A3165="",AND($J3165="",$K3165="")),"",MIN($J3165,$K3165))</f>
        <v/>
      </c>
      <c r="Q3165">
        <f>IF($A3165="","",$D3165&amp;"("&amp;SUBSTITUTE($E3165," ","")&amp;")")</f>
        <v/>
      </c>
      <c r="R3165">
        <f>IF($A3165="","",$B3165&amp;" - "&amp;$C3165)</f>
        <v/>
      </c>
      <c r="S3165">
        <f>IF($A3165="","",$R3165&amp;"|"&amp;$Q3165)</f>
        <v/>
      </c>
      <c r="T3165">
        <f>IF($A3165="","",$S3165&amp;"|"&amp;$F3165)</f>
        <v/>
      </c>
      <c r="U3165">
        <f>IF($A3165="","",$R3165&amp;"("&amp;$E3165&amp;")")</f>
        <v/>
      </c>
      <c r="V3165">
        <f>IF($A3165="","",$F3165&amp;"|"&amp;$U3165&amp;"|"&amp;$D3165)</f>
        <v/>
      </c>
      <c r="W3165">
        <f>IF($T3165="","",IF($X3165&gt;N($X3164),$X3165,""))</f>
        <v/>
      </c>
      <c r="X3165">
        <f>IF($T3165="",N($X3164),IF(MATCH($T3165,$T$6:$T$6005,0)=ROW()-5,N($X3164)+1,N($X3164)))</f>
        <v/>
      </c>
      <c r="Z3165">
        <f>IF($V3165="","",IF($AA3165&gt;N($AA3164),$AA3165,""))</f>
        <v/>
      </c>
      <c r="AA3165">
        <f>IF($V3165="",N($AA3164),IF(MATCH($V3165,$V$6:$V$6005,0)=ROW()-5,N($AA3164)+1,N($AA3164)))</f>
        <v/>
      </c>
    </row>
    <row r="3166" ht="21" customHeight="1" s="66">
      <c r="A3166" s="56" t="n"/>
      <c r="B3166" s="57" t="n"/>
      <c r="C3166" s="57" t="n"/>
      <c r="D3166" s="57" t="n"/>
      <c r="E3166" s="56" t="n"/>
      <c r="F3166" s="57" t="n"/>
      <c r="G3166" s="57" t="n"/>
      <c r="H3166" s="56" t="n"/>
      <c r="I3166" s="56" t="n"/>
      <c r="J3166" s="58" t="n"/>
      <c r="K3166" s="58" t="n"/>
      <c r="L3166" s="13">
        <f>IF(OR($A3166="",AND($J3166="",$K3166="")),"",ROUND(N($J3166)-N($K3166),2))</f>
        <v/>
      </c>
      <c r="M3166" s="13">
        <f>IF(OR($A3166="",AND($J3166="",$K3166="")),"",MIN($J3166,$K3166))</f>
        <v/>
      </c>
      <c r="Q3166">
        <f>IF($A3166="","",$D3166&amp;"("&amp;SUBSTITUTE($E3166," ","")&amp;")")</f>
        <v/>
      </c>
      <c r="R3166">
        <f>IF($A3166="","",$B3166&amp;" - "&amp;$C3166)</f>
        <v/>
      </c>
      <c r="S3166">
        <f>IF($A3166="","",$R3166&amp;"|"&amp;$Q3166)</f>
        <v/>
      </c>
      <c r="T3166">
        <f>IF($A3166="","",$S3166&amp;"|"&amp;$F3166)</f>
        <v/>
      </c>
      <c r="U3166">
        <f>IF($A3166="","",$R3166&amp;"("&amp;$E3166&amp;")")</f>
        <v/>
      </c>
      <c r="V3166">
        <f>IF($A3166="","",$F3166&amp;"|"&amp;$U3166&amp;"|"&amp;$D3166)</f>
        <v/>
      </c>
      <c r="W3166">
        <f>IF($T3166="","",IF($X3166&gt;N($X3165),$X3166,""))</f>
        <v/>
      </c>
      <c r="X3166">
        <f>IF($T3166="",N($X3165),IF(MATCH($T3166,$T$6:$T$6005,0)=ROW()-5,N($X3165)+1,N($X3165)))</f>
        <v/>
      </c>
      <c r="Z3166">
        <f>IF($V3166="","",IF($AA3166&gt;N($AA3165),$AA3166,""))</f>
        <v/>
      </c>
      <c r="AA3166">
        <f>IF($V3166="",N($AA3165),IF(MATCH($V3166,$V$6:$V$6005,0)=ROW()-5,N($AA3165)+1,N($AA3165)))</f>
        <v/>
      </c>
    </row>
    <row r="3167" ht="21" customHeight="1" s="66">
      <c r="A3167" s="56" t="n"/>
      <c r="B3167" s="57" t="n"/>
      <c r="C3167" s="57" t="n"/>
      <c r="D3167" s="57" t="n"/>
      <c r="E3167" s="56" t="n"/>
      <c r="F3167" s="57" t="n"/>
      <c r="G3167" s="57" t="n"/>
      <c r="H3167" s="56" t="n"/>
      <c r="I3167" s="56" t="n"/>
      <c r="J3167" s="58" t="n"/>
      <c r="K3167" s="58" t="n"/>
      <c r="L3167" s="13">
        <f>IF(OR($A3167="",AND($J3167="",$K3167="")),"",ROUND(N($J3167)-N($K3167),2))</f>
        <v/>
      </c>
      <c r="M3167" s="13">
        <f>IF(OR($A3167="",AND($J3167="",$K3167="")),"",MIN($J3167,$K3167))</f>
        <v/>
      </c>
      <c r="Q3167">
        <f>IF($A3167="","",$D3167&amp;"("&amp;SUBSTITUTE($E3167," ","")&amp;")")</f>
        <v/>
      </c>
      <c r="R3167">
        <f>IF($A3167="","",$B3167&amp;" - "&amp;$C3167)</f>
        <v/>
      </c>
      <c r="S3167">
        <f>IF($A3167="","",$R3167&amp;"|"&amp;$Q3167)</f>
        <v/>
      </c>
      <c r="T3167">
        <f>IF($A3167="","",$S3167&amp;"|"&amp;$F3167)</f>
        <v/>
      </c>
      <c r="U3167">
        <f>IF($A3167="","",$R3167&amp;"("&amp;$E3167&amp;")")</f>
        <v/>
      </c>
      <c r="V3167">
        <f>IF($A3167="","",$F3167&amp;"|"&amp;$U3167&amp;"|"&amp;$D3167)</f>
        <v/>
      </c>
      <c r="W3167">
        <f>IF($T3167="","",IF($X3167&gt;N($X3166),$X3167,""))</f>
        <v/>
      </c>
      <c r="X3167">
        <f>IF($T3167="",N($X3166),IF(MATCH($T3167,$T$6:$T$6005,0)=ROW()-5,N($X3166)+1,N($X3166)))</f>
        <v/>
      </c>
      <c r="Z3167">
        <f>IF($V3167="","",IF($AA3167&gt;N($AA3166),$AA3167,""))</f>
        <v/>
      </c>
      <c r="AA3167">
        <f>IF($V3167="",N($AA3166),IF(MATCH($V3167,$V$6:$V$6005,0)=ROW()-5,N($AA3166)+1,N($AA3166)))</f>
        <v/>
      </c>
    </row>
    <row r="3168" ht="21" customHeight="1" s="66">
      <c r="A3168" s="56" t="n"/>
      <c r="B3168" s="57" t="n"/>
      <c r="C3168" s="57" t="n"/>
      <c r="D3168" s="57" t="n"/>
      <c r="E3168" s="56" t="n"/>
      <c r="F3168" s="57" t="n"/>
      <c r="G3168" s="57" t="n"/>
      <c r="H3168" s="56" t="n"/>
      <c r="I3168" s="56" t="n"/>
      <c r="J3168" s="58" t="n"/>
      <c r="K3168" s="58" t="n"/>
      <c r="L3168" s="13">
        <f>IF(OR($A3168="",AND($J3168="",$K3168="")),"",ROUND(N($J3168)-N($K3168),2))</f>
        <v/>
      </c>
      <c r="M3168" s="13">
        <f>IF(OR($A3168="",AND($J3168="",$K3168="")),"",MIN($J3168,$K3168))</f>
        <v/>
      </c>
      <c r="Q3168">
        <f>IF($A3168="","",$D3168&amp;"("&amp;SUBSTITUTE($E3168," ","")&amp;")")</f>
        <v/>
      </c>
      <c r="R3168">
        <f>IF($A3168="","",$B3168&amp;" - "&amp;$C3168)</f>
        <v/>
      </c>
      <c r="S3168">
        <f>IF($A3168="","",$R3168&amp;"|"&amp;$Q3168)</f>
        <v/>
      </c>
      <c r="T3168">
        <f>IF($A3168="","",$S3168&amp;"|"&amp;$F3168)</f>
        <v/>
      </c>
      <c r="U3168">
        <f>IF($A3168="","",$R3168&amp;"("&amp;$E3168&amp;")")</f>
        <v/>
      </c>
      <c r="V3168">
        <f>IF($A3168="","",$F3168&amp;"|"&amp;$U3168&amp;"|"&amp;$D3168)</f>
        <v/>
      </c>
      <c r="W3168">
        <f>IF($T3168="","",IF($X3168&gt;N($X3167),$X3168,""))</f>
        <v/>
      </c>
      <c r="X3168">
        <f>IF($T3168="",N($X3167),IF(MATCH($T3168,$T$6:$T$6005,0)=ROW()-5,N($X3167)+1,N($X3167)))</f>
        <v/>
      </c>
      <c r="Z3168">
        <f>IF($V3168="","",IF($AA3168&gt;N($AA3167),$AA3168,""))</f>
        <v/>
      </c>
      <c r="AA3168">
        <f>IF($V3168="",N($AA3167),IF(MATCH($V3168,$V$6:$V$6005,0)=ROW()-5,N($AA3167)+1,N($AA3167)))</f>
        <v/>
      </c>
    </row>
    <row r="3169" ht="21" customHeight="1" s="66">
      <c r="A3169" s="56" t="n"/>
      <c r="B3169" s="57" t="n"/>
      <c r="C3169" s="57" t="n"/>
      <c r="D3169" s="57" t="n"/>
      <c r="E3169" s="56" t="n"/>
      <c r="F3169" s="57" t="n"/>
      <c r="G3169" s="57" t="n"/>
      <c r="H3169" s="56" t="n"/>
      <c r="I3169" s="56" t="n"/>
      <c r="J3169" s="58" t="n"/>
      <c r="K3169" s="58" t="n"/>
      <c r="L3169" s="13">
        <f>IF(OR($A3169="",AND($J3169="",$K3169="")),"",ROUND(N($J3169)-N($K3169),2))</f>
        <v/>
      </c>
      <c r="M3169" s="13">
        <f>IF(OR($A3169="",AND($J3169="",$K3169="")),"",MIN($J3169,$K3169))</f>
        <v/>
      </c>
      <c r="Q3169">
        <f>IF($A3169="","",$D3169&amp;"("&amp;SUBSTITUTE($E3169," ","")&amp;")")</f>
        <v/>
      </c>
      <c r="R3169">
        <f>IF($A3169="","",$B3169&amp;" - "&amp;$C3169)</f>
        <v/>
      </c>
      <c r="S3169">
        <f>IF($A3169="","",$R3169&amp;"|"&amp;$Q3169)</f>
        <v/>
      </c>
      <c r="T3169">
        <f>IF($A3169="","",$S3169&amp;"|"&amp;$F3169)</f>
        <v/>
      </c>
      <c r="U3169">
        <f>IF($A3169="","",$R3169&amp;"("&amp;$E3169&amp;")")</f>
        <v/>
      </c>
      <c r="V3169">
        <f>IF($A3169="","",$F3169&amp;"|"&amp;$U3169&amp;"|"&amp;$D3169)</f>
        <v/>
      </c>
      <c r="W3169">
        <f>IF($T3169="","",IF($X3169&gt;N($X3168),$X3169,""))</f>
        <v/>
      </c>
      <c r="X3169">
        <f>IF($T3169="",N($X3168),IF(MATCH($T3169,$T$6:$T$6005,0)=ROW()-5,N($X3168)+1,N($X3168)))</f>
        <v/>
      </c>
      <c r="Z3169">
        <f>IF($V3169="","",IF($AA3169&gt;N($AA3168),$AA3169,""))</f>
        <v/>
      </c>
      <c r="AA3169">
        <f>IF($V3169="",N($AA3168),IF(MATCH($V3169,$V$6:$V$6005,0)=ROW()-5,N($AA3168)+1,N($AA3168)))</f>
        <v/>
      </c>
    </row>
    <row r="3170" ht="21" customHeight="1" s="66">
      <c r="A3170" s="56" t="n"/>
      <c r="B3170" s="57" t="n"/>
      <c r="C3170" s="57" t="n"/>
      <c r="D3170" s="57" t="n"/>
      <c r="E3170" s="56" t="n"/>
      <c r="F3170" s="57" t="n"/>
      <c r="G3170" s="57" t="n"/>
      <c r="H3170" s="56" t="n"/>
      <c r="I3170" s="56" t="n"/>
      <c r="J3170" s="58" t="n"/>
      <c r="K3170" s="58" t="n"/>
      <c r="L3170" s="13">
        <f>IF(OR($A3170="",AND($J3170="",$K3170="")),"",ROUND(N($J3170)-N($K3170),2))</f>
        <v/>
      </c>
      <c r="M3170" s="13">
        <f>IF(OR($A3170="",AND($J3170="",$K3170="")),"",MIN($J3170,$K3170))</f>
        <v/>
      </c>
      <c r="Q3170">
        <f>IF($A3170="","",$D3170&amp;"("&amp;SUBSTITUTE($E3170," ","")&amp;")")</f>
        <v/>
      </c>
      <c r="R3170">
        <f>IF($A3170="","",$B3170&amp;" - "&amp;$C3170)</f>
        <v/>
      </c>
      <c r="S3170">
        <f>IF($A3170="","",$R3170&amp;"|"&amp;$Q3170)</f>
        <v/>
      </c>
      <c r="T3170">
        <f>IF($A3170="","",$S3170&amp;"|"&amp;$F3170)</f>
        <v/>
      </c>
      <c r="U3170">
        <f>IF($A3170="","",$R3170&amp;"("&amp;$E3170&amp;")")</f>
        <v/>
      </c>
      <c r="V3170">
        <f>IF($A3170="","",$F3170&amp;"|"&amp;$U3170&amp;"|"&amp;$D3170)</f>
        <v/>
      </c>
      <c r="W3170">
        <f>IF($T3170="","",IF($X3170&gt;N($X3169),$X3170,""))</f>
        <v/>
      </c>
      <c r="X3170">
        <f>IF($T3170="",N($X3169),IF(MATCH($T3170,$T$6:$T$6005,0)=ROW()-5,N($X3169)+1,N($X3169)))</f>
        <v/>
      </c>
      <c r="Z3170">
        <f>IF($V3170="","",IF($AA3170&gt;N($AA3169),$AA3170,""))</f>
        <v/>
      </c>
      <c r="AA3170">
        <f>IF($V3170="",N($AA3169),IF(MATCH($V3170,$V$6:$V$6005,0)=ROW()-5,N($AA3169)+1,N($AA3169)))</f>
        <v/>
      </c>
    </row>
    <row r="3171" ht="21" customHeight="1" s="66">
      <c r="A3171" s="56" t="n"/>
      <c r="B3171" s="57" t="n"/>
      <c r="C3171" s="57" t="n"/>
      <c r="D3171" s="57" t="n"/>
      <c r="E3171" s="56" t="n"/>
      <c r="F3171" s="57" t="n"/>
      <c r="G3171" s="57" t="n"/>
      <c r="H3171" s="56" t="n"/>
      <c r="I3171" s="56" t="n"/>
      <c r="J3171" s="58" t="n"/>
      <c r="K3171" s="58" t="n"/>
      <c r="L3171" s="13">
        <f>IF(OR($A3171="",AND($J3171="",$K3171="")),"",ROUND(N($J3171)-N($K3171),2))</f>
        <v/>
      </c>
      <c r="M3171" s="13">
        <f>IF(OR($A3171="",AND($J3171="",$K3171="")),"",MIN($J3171,$K3171))</f>
        <v/>
      </c>
      <c r="Q3171">
        <f>IF($A3171="","",$D3171&amp;"("&amp;SUBSTITUTE($E3171," ","")&amp;")")</f>
        <v/>
      </c>
      <c r="R3171">
        <f>IF($A3171="","",$B3171&amp;" - "&amp;$C3171)</f>
        <v/>
      </c>
      <c r="S3171">
        <f>IF($A3171="","",$R3171&amp;"|"&amp;$Q3171)</f>
        <v/>
      </c>
      <c r="T3171">
        <f>IF($A3171="","",$S3171&amp;"|"&amp;$F3171)</f>
        <v/>
      </c>
      <c r="U3171">
        <f>IF($A3171="","",$R3171&amp;"("&amp;$E3171&amp;")")</f>
        <v/>
      </c>
      <c r="V3171">
        <f>IF($A3171="","",$F3171&amp;"|"&amp;$U3171&amp;"|"&amp;$D3171)</f>
        <v/>
      </c>
      <c r="W3171">
        <f>IF($T3171="","",IF($X3171&gt;N($X3170),$X3171,""))</f>
        <v/>
      </c>
      <c r="X3171">
        <f>IF($T3171="",N($X3170),IF(MATCH($T3171,$T$6:$T$6005,0)=ROW()-5,N($X3170)+1,N($X3170)))</f>
        <v/>
      </c>
      <c r="Z3171">
        <f>IF($V3171="","",IF($AA3171&gt;N($AA3170),$AA3171,""))</f>
        <v/>
      </c>
      <c r="AA3171">
        <f>IF($V3171="",N($AA3170),IF(MATCH($V3171,$V$6:$V$6005,0)=ROW()-5,N($AA3170)+1,N($AA3170)))</f>
        <v/>
      </c>
    </row>
    <row r="3172" ht="21" customHeight="1" s="66">
      <c r="A3172" s="56" t="n"/>
      <c r="B3172" s="57" t="n"/>
      <c r="C3172" s="57" t="n"/>
      <c r="D3172" s="57" t="n"/>
      <c r="E3172" s="56" t="n"/>
      <c r="F3172" s="57" t="n"/>
      <c r="G3172" s="57" t="n"/>
      <c r="H3172" s="56" t="n"/>
      <c r="I3172" s="56" t="n"/>
      <c r="J3172" s="58" t="n"/>
      <c r="K3172" s="58" t="n"/>
      <c r="L3172" s="13">
        <f>IF(OR($A3172="",AND($J3172="",$K3172="")),"",ROUND(N($J3172)-N($K3172),2))</f>
        <v/>
      </c>
      <c r="M3172" s="13">
        <f>IF(OR($A3172="",AND($J3172="",$K3172="")),"",MIN($J3172,$K3172))</f>
        <v/>
      </c>
      <c r="Q3172">
        <f>IF($A3172="","",$D3172&amp;"("&amp;SUBSTITUTE($E3172," ","")&amp;")")</f>
        <v/>
      </c>
      <c r="R3172">
        <f>IF($A3172="","",$B3172&amp;" - "&amp;$C3172)</f>
        <v/>
      </c>
      <c r="S3172">
        <f>IF($A3172="","",$R3172&amp;"|"&amp;$Q3172)</f>
        <v/>
      </c>
      <c r="T3172">
        <f>IF($A3172="","",$S3172&amp;"|"&amp;$F3172)</f>
        <v/>
      </c>
      <c r="U3172">
        <f>IF($A3172="","",$R3172&amp;"("&amp;$E3172&amp;")")</f>
        <v/>
      </c>
      <c r="V3172">
        <f>IF($A3172="","",$F3172&amp;"|"&amp;$U3172&amp;"|"&amp;$D3172)</f>
        <v/>
      </c>
      <c r="W3172">
        <f>IF($T3172="","",IF($X3172&gt;N($X3171),$X3172,""))</f>
        <v/>
      </c>
      <c r="X3172">
        <f>IF($T3172="",N($X3171),IF(MATCH($T3172,$T$6:$T$6005,0)=ROW()-5,N($X3171)+1,N($X3171)))</f>
        <v/>
      </c>
      <c r="Z3172">
        <f>IF($V3172="","",IF($AA3172&gt;N($AA3171),$AA3172,""))</f>
        <v/>
      </c>
      <c r="AA3172">
        <f>IF($V3172="",N($AA3171),IF(MATCH($V3172,$V$6:$V$6005,0)=ROW()-5,N($AA3171)+1,N($AA3171)))</f>
        <v/>
      </c>
    </row>
    <row r="3173" ht="21" customHeight="1" s="66">
      <c r="A3173" s="56" t="n"/>
      <c r="B3173" s="57" t="n"/>
      <c r="C3173" s="57" t="n"/>
      <c r="D3173" s="57" t="n"/>
      <c r="E3173" s="56" t="n"/>
      <c r="F3173" s="57" t="n"/>
      <c r="G3173" s="57" t="n"/>
      <c r="H3173" s="56" t="n"/>
      <c r="I3173" s="56" t="n"/>
      <c r="J3173" s="58" t="n"/>
      <c r="K3173" s="58" t="n"/>
      <c r="L3173" s="13">
        <f>IF(OR($A3173="",AND($J3173="",$K3173="")),"",ROUND(N($J3173)-N($K3173),2))</f>
        <v/>
      </c>
      <c r="M3173" s="13">
        <f>IF(OR($A3173="",AND($J3173="",$K3173="")),"",MIN($J3173,$K3173))</f>
        <v/>
      </c>
      <c r="Q3173">
        <f>IF($A3173="","",$D3173&amp;"("&amp;SUBSTITUTE($E3173," ","")&amp;")")</f>
        <v/>
      </c>
      <c r="R3173">
        <f>IF($A3173="","",$B3173&amp;" - "&amp;$C3173)</f>
        <v/>
      </c>
      <c r="S3173">
        <f>IF($A3173="","",$R3173&amp;"|"&amp;$Q3173)</f>
        <v/>
      </c>
      <c r="T3173">
        <f>IF($A3173="","",$S3173&amp;"|"&amp;$F3173)</f>
        <v/>
      </c>
      <c r="U3173">
        <f>IF($A3173="","",$R3173&amp;"("&amp;$E3173&amp;")")</f>
        <v/>
      </c>
      <c r="V3173">
        <f>IF($A3173="","",$F3173&amp;"|"&amp;$U3173&amp;"|"&amp;$D3173)</f>
        <v/>
      </c>
      <c r="W3173">
        <f>IF($T3173="","",IF($X3173&gt;N($X3172),$X3173,""))</f>
        <v/>
      </c>
      <c r="X3173">
        <f>IF($T3173="",N($X3172),IF(MATCH($T3173,$T$6:$T$6005,0)=ROW()-5,N($X3172)+1,N($X3172)))</f>
        <v/>
      </c>
      <c r="Z3173">
        <f>IF($V3173="","",IF($AA3173&gt;N($AA3172),$AA3173,""))</f>
        <v/>
      </c>
      <c r="AA3173">
        <f>IF($V3173="",N($AA3172),IF(MATCH($V3173,$V$6:$V$6005,0)=ROW()-5,N($AA3172)+1,N($AA3172)))</f>
        <v/>
      </c>
    </row>
    <row r="3174" ht="21" customHeight="1" s="66">
      <c r="A3174" s="56" t="n"/>
      <c r="B3174" s="57" t="n"/>
      <c r="C3174" s="57" t="n"/>
      <c r="D3174" s="57" t="n"/>
      <c r="E3174" s="56" t="n"/>
      <c r="F3174" s="57" t="n"/>
      <c r="G3174" s="57" t="n"/>
      <c r="H3174" s="56" t="n"/>
      <c r="I3174" s="56" t="n"/>
      <c r="J3174" s="58" t="n"/>
      <c r="K3174" s="58" t="n"/>
      <c r="L3174" s="13">
        <f>IF(OR($A3174="",AND($J3174="",$K3174="")),"",ROUND(N($J3174)-N($K3174),2))</f>
        <v/>
      </c>
      <c r="M3174" s="13">
        <f>IF(OR($A3174="",AND($J3174="",$K3174="")),"",MIN($J3174,$K3174))</f>
        <v/>
      </c>
      <c r="Q3174">
        <f>IF($A3174="","",$D3174&amp;"("&amp;SUBSTITUTE($E3174," ","")&amp;")")</f>
        <v/>
      </c>
      <c r="R3174">
        <f>IF($A3174="","",$B3174&amp;" - "&amp;$C3174)</f>
        <v/>
      </c>
      <c r="S3174">
        <f>IF($A3174="","",$R3174&amp;"|"&amp;$Q3174)</f>
        <v/>
      </c>
      <c r="T3174">
        <f>IF($A3174="","",$S3174&amp;"|"&amp;$F3174)</f>
        <v/>
      </c>
      <c r="U3174">
        <f>IF($A3174="","",$R3174&amp;"("&amp;$E3174&amp;")")</f>
        <v/>
      </c>
      <c r="V3174">
        <f>IF($A3174="","",$F3174&amp;"|"&amp;$U3174&amp;"|"&amp;$D3174)</f>
        <v/>
      </c>
      <c r="W3174">
        <f>IF($T3174="","",IF($X3174&gt;N($X3173),$X3174,""))</f>
        <v/>
      </c>
      <c r="X3174">
        <f>IF($T3174="",N($X3173),IF(MATCH($T3174,$T$6:$T$6005,0)=ROW()-5,N($X3173)+1,N($X3173)))</f>
        <v/>
      </c>
      <c r="Z3174">
        <f>IF($V3174="","",IF($AA3174&gt;N($AA3173),$AA3174,""))</f>
        <v/>
      </c>
      <c r="AA3174">
        <f>IF($V3174="",N($AA3173),IF(MATCH($V3174,$V$6:$V$6005,0)=ROW()-5,N($AA3173)+1,N($AA3173)))</f>
        <v/>
      </c>
    </row>
    <row r="3175" ht="21" customHeight="1" s="66">
      <c r="A3175" s="56" t="n"/>
      <c r="B3175" s="57" t="n"/>
      <c r="C3175" s="57" t="n"/>
      <c r="D3175" s="57" t="n"/>
      <c r="E3175" s="56" t="n"/>
      <c r="F3175" s="57" t="n"/>
      <c r="G3175" s="57" t="n"/>
      <c r="H3175" s="56" t="n"/>
      <c r="I3175" s="56" t="n"/>
      <c r="J3175" s="58" t="n"/>
      <c r="K3175" s="58" t="n"/>
      <c r="L3175" s="13">
        <f>IF(OR($A3175="",AND($J3175="",$K3175="")),"",ROUND(N($J3175)-N($K3175),2))</f>
        <v/>
      </c>
      <c r="M3175" s="13">
        <f>IF(OR($A3175="",AND($J3175="",$K3175="")),"",MIN($J3175,$K3175))</f>
        <v/>
      </c>
      <c r="Q3175">
        <f>IF($A3175="","",$D3175&amp;"("&amp;SUBSTITUTE($E3175," ","")&amp;")")</f>
        <v/>
      </c>
      <c r="R3175">
        <f>IF($A3175="","",$B3175&amp;" - "&amp;$C3175)</f>
        <v/>
      </c>
      <c r="S3175">
        <f>IF($A3175="","",$R3175&amp;"|"&amp;$Q3175)</f>
        <v/>
      </c>
      <c r="T3175">
        <f>IF($A3175="","",$S3175&amp;"|"&amp;$F3175)</f>
        <v/>
      </c>
      <c r="U3175">
        <f>IF($A3175="","",$R3175&amp;"("&amp;$E3175&amp;")")</f>
        <v/>
      </c>
      <c r="V3175">
        <f>IF($A3175="","",$F3175&amp;"|"&amp;$U3175&amp;"|"&amp;$D3175)</f>
        <v/>
      </c>
      <c r="W3175">
        <f>IF($T3175="","",IF($X3175&gt;N($X3174),$X3175,""))</f>
        <v/>
      </c>
      <c r="X3175">
        <f>IF($T3175="",N($X3174),IF(MATCH($T3175,$T$6:$T$6005,0)=ROW()-5,N($X3174)+1,N($X3174)))</f>
        <v/>
      </c>
      <c r="Z3175">
        <f>IF($V3175="","",IF($AA3175&gt;N($AA3174),$AA3175,""))</f>
        <v/>
      </c>
      <c r="AA3175">
        <f>IF($V3175="",N($AA3174),IF(MATCH($V3175,$V$6:$V$6005,0)=ROW()-5,N($AA3174)+1,N($AA3174)))</f>
        <v/>
      </c>
    </row>
    <row r="3176" ht="21" customHeight="1" s="66">
      <c r="A3176" s="56" t="n"/>
      <c r="B3176" s="57" t="n"/>
      <c r="C3176" s="57" t="n"/>
      <c r="D3176" s="57" t="n"/>
      <c r="E3176" s="56" t="n"/>
      <c r="F3176" s="57" t="n"/>
      <c r="G3176" s="57" t="n"/>
      <c r="H3176" s="56" t="n"/>
      <c r="I3176" s="56" t="n"/>
      <c r="J3176" s="58" t="n"/>
      <c r="K3176" s="58" t="n"/>
      <c r="L3176" s="13">
        <f>IF(OR($A3176="",AND($J3176="",$K3176="")),"",ROUND(N($J3176)-N($K3176),2))</f>
        <v/>
      </c>
      <c r="M3176" s="13">
        <f>IF(OR($A3176="",AND($J3176="",$K3176="")),"",MIN($J3176,$K3176))</f>
        <v/>
      </c>
      <c r="Q3176">
        <f>IF($A3176="","",$D3176&amp;"("&amp;SUBSTITUTE($E3176," ","")&amp;")")</f>
        <v/>
      </c>
      <c r="R3176">
        <f>IF($A3176="","",$B3176&amp;" - "&amp;$C3176)</f>
        <v/>
      </c>
      <c r="S3176">
        <f>IF($A3176="","",$R3176&amp;"|"&amp;$Q3176)</f>
        <v/>
      </c>
      <c r="T3176">
        <f>IF($A3176="","",$S3176&amp;"|"&amp;$F3176)</f>
        <v/>
      </c>
      <c r="U3176">
        <f>IF($A3176="","",$R3176&amp;"("&amp;$E3176&amp;")")</f>
        <v/>
      </c>
      <c r="V3176">
        <f>IF($A3176="","",$F3176&amp;"|"&amp;$U3176&amp;"|"&amp;$D3176)</f>
        <v/>
      </c>
      <c r="W3176">
        <f>IF($T3176="","",IF($X3176&gt;N($X3175),$X3176,""))</f>
        <v/>
      </c>
      <c r="X3176">
        <f>IF($T3176="",N($X3175),IF(MATCH($T3176,$T$6:$T$6005,0)=ROW()-5,N($X3175)+1,N($X3175)))</f>
        <v/>
      </c>
      <c r="Z3176">
        <f>IF($V3176="","",IF($AA3176&gt;N($AA3175),$AA3176,""))</f>
        <v/>
      </c>
      <c r="AA3176">
        <f>IF($V3176="",N($AA3175),IF(MATCH($V3176,$V$6:$V$6005,0)=ROW()-5,N($AA3175)+1,N($AA3175)))</f>
        <v/>
      </c>
    </row>
    <row r="3177" ht="21" customHeight="1" s="66">
      <c r="A3177" s="56" t="n"/>
      <c r="B3177" s="57" t="n"/>
      <c r="C3177" s="57" t="n"/>
      <c r="D3177" s="57" t="n"/>
      <c r="E3177" s="56" t="n"/>
      <c r="F3177" s="57" t="n"/>
      <c r="G3177" s="57" t="n"/>
      <c r="H3177" s="56" t="n"/>
      <c r="I3177" s="56" t="n"/>
      <c r="J3177" s="58" t="n"/>
      <c r="K3177" s="58" t="n"/>
      <c r="L3177" s="13">
        <f>IF(OR($A3177="",AND($J3177="",$K3177="")),"",ROUND(N($J3177)-N($K3177),2))</f>
        <v/>
      </c>
      <c r="M3177" s="13">
        <f>IF(OR($A3177="",AND($J3177="",$K3177="")),"",MIN($J3177,$K3177))</f>
        <v/>
      </c>
      <c r="Q3177">
        <f>IF($A3177="","",$D3177&amp;"("&amp;SUBSTITUTE($E3177," ","")&amp;")")</f>
        <v/>
      </c>
      <c r="R3177">
        <f>IF($A3177="","",$B3177&amp;" - "&amp;$C3177)</f>
        <v/>
      </c>
      <c r="S3177">
        <f>IF($A3177="","",$R3177&amp;"|"&amp;$Q3177)</f>
        <v/>
      </c>
      <c r="T3177">
        <f>IF($A3177="","",$S3177&amp;"|"&amp;$F3177)</f>
        <v/>
      </c>
      <c r="U3177">
        <f>IF($A3177="","",$R3177&amp;"("&amp;$E3177&amp;")")</f>
        <v/>
      </c>
      <c r="V3177">
        <f>IF($A3177="","",$F3177&amp;"|"&amp;$U3177&amp;"|"&amp;$D3177)</f>
        <v/>
      </c>
      <c r="W3177">
        <f>IF($T3177="","",IF($X3177&gt;N($X3176),$X3177,""))</f>
        <v/>
      </c>
      <c r="X3177">
        <f>IF($T3177="",N($X3176),IF(MATCH($T3177,$T$6:$T$6005,0)=ROW()-5,N($X3176)+1,N($X3176)))</f>
        <v/>
      </c>
      <c r="Z3177">
        <f>IF($V3177="","",IF($AA3177&gt;N($AA3176),$AA3177,""))</f>
        <v/>
      </c>
      <c r="AA3177">
        <f>IF($V3177="",N($AA3176),IF(MATCH($V3177,$V$6:$V$6005,0)=ROW()-5,N($AA3176)+1,N($AA3176)))</f>
        <v/>
      </c>
    </row>
    <row r="3178" ht="21" customHeight="1" s="66">
      <c r="A3178" s="56" t="n"/>
      <c r="B3178" s="57" t="n"/>
      <c r="C3178" s="57" t="n"/>
      <c r="D3178" s="57" t="n"/>
      <c r="E3178" s="56" t="n"/>
      <c r="F3178" s="57" t="n"/>
      <c r="G3178" s="57" t="n"/>
      <c r="H3178" s="56" t="n"/>
      <c r="I3178" s="56" t="n"/>
      <c r="J3178" s="58" t="n"/>
      <c r="K3178" s="58" t="n"/>
      <c r="L3178" s="13">
        <f>IF(OR($A3178="",AND($J3178="",$K3178="")),"",ROUND(N($J3178)-N($K3178),2))</f>
        <v/>
      </c>
      <c r="M3178" s="13">
        <f>IF(OR($A3178="",AND($J3178="",$K3178="")),"",MIN($J3178,$K3178))</f>
        <v/>
      </c>
      <c r="Q3178">
        <f>IF($A3178="","",$D3178&amp;"("&amp;SUBSTITUTE($E3178," ","")&amp;")")</f>
        <v/>
      </c>
      <c r="R3178">
        <f>IF($A3178="","",$B3178&amp;" - "&amp;$C3178)</f>
        <v/>
      </c>
      <c r="S3178">
        <f>IF($A3178="","",$R3178&amp;"|"&amp;$Q3178)</f>
        <v/>
      </c>
      <c r="T3178">
        <f>IF($A3178="","",$S3178&amp;"|"&amp;$F3178)</f>
        <v/>
      </c>
      <c r="U3178">
        <f>IF($A3178="","",$R3178&amp;"("&amp;$E3178&amp;")")</f>
        <v/>
      </c>
      <c r="V3178">
        <f>IF($A3178="","",$F3178&amp;"|"&amp;$U3178&amp;"|"&amp;$D3178)</f>
        <v/>
      </c>
      <c r="W3178">
        <f>IF($T3178="","",IF($X3178&gt;N($X3177),$X3178,""))</f>
        <v/>
      </c>
      <c r="X3178">
        <f>IF($T3178="",N($X3177),IF(MATCH($T3178,$T$6:$T$6005,0)=ROW()-5,N($X3177)+1,N($X3177)))</f>
        <v/>
      </c>
      <c r="Z3178">
        <f>IF($V3178="","",IF($AA3178&gt;N($AA3177),$AA3178,""))</f>
        <v/>
      </c>
      <c r="AA3178">
        <f>IF($V3178="",N($AA3177),IF(MATCH($V3178,$V$6:$V$6005,0)=ROW()-5,N($AA3177)+1,N($AA3177)))</f>
        <v/>
      </c>
    </row>
    <row r="3179" ht="21" customHeight="1" s="66">
      <c r="A3179" s="56" t="n"/>
      <c r="B3179" s="57" t="n"/>
      <c r="C3179" s="57" t="n"/>
      <c r="D3179" s="57" t="n"/>
      <c r="E3179" s="56" t="n"/>
      <c r="F3179" s="57" t="n"/>
      <c r="G3179" s="57" t="n"/>
      <c r="H3179" s="56" t="n"/>
      <c r="I3179" s="56" t="n"/>
      <c r="J3179" s="58" t="n"/>
      <c r="K3179" s="58" t="n"/>
      <c r="L3179" s="13">
        <f>IF(OR($A3179="",AND($J3179="",$K3179="")),"",ROUND(N($J3179)-N($K3179),2))</f>
        <v/>
      </c>
      <c r="M3179" s="13">
        <f>IF(OR($A3179="",AND($J3179="",$K3179="")),"",MIN($J3179,$K3179))</f>
        <v/>
      </c>
      <c r="Q3179">
        <f>IF($A3179="","",$D3179&amp;"("&amp;SUBSTITUTE($E3179," ","")&amp;")")</f>
        <v/>
      </c>
      <c r="R3179">
        <f>IF($A3179="","",$B3179&amp;" - "&amp;$C3179)</f>
        <v/>
      </c>
      <c r="S3179">
        <f>IF($A3179="","",$R3179&amp;"|"&amp;$Q3179)</f>
        <v/>
      </c>
      <c r="T3179">
        <f>IF($A3179="","",$S3179&amp;"|"&amp;$F3179)</f>
        <v/>
      </c>
      <c r="U3179">
        <f>IF($A3179="","",$R3179&amp;"("&amp;$E3179&amp;")")</f>
        <v/>
      </c>
      <c r="V3179">
        <f>IF($A3179="","",$F3179&amp;"|"&amp;$U3179&amp;"|"&amp;$D3179)</f>
        <v/>
      </c>
      <c r="W3179">
        <f>IF($T3179="","",IF($X3179&gt;N($X3178),$X3179,""))</f>
        <v/>
      </c>
      <c r="X3179">
        <f>IF($T3179="",N($X3178),IF(MATCH($T3179,$T$6:$T$6005,0)=ROW()-5,N($X3178)+1,N($X3178)))</f>
        <v/>
      </c>
      <c r="Z3179">
        <f>IF($V3179="","",IF($AA3179&gt;N($AA3178),$AA3179,""))</f>
        <v/>
      </c>
      <c r="AA3179">
        <f>IF($V3179="",N($AA3178),IF(MATCH($V3179,$V$6:$V$6005,0)=ROW()-5,N($AA3178)+1,N($AA3178)))</f>
        <v/>
      </c>
    </row>
    <row r="3180" ht="21" customHeight="1" s="66">
      <c r="A3180" s="56" t="n"/>
      <c r="B3180" s="57" t="n"/>
      <c r="C3180" s="57" t="n"/>
      <c r="D3180" s="57" t="n"/>
      <c r="E3180" s="56" t="n"/>
      <c r="F3180" s="57" t="n"/>
      <c r="G3180" s="57" t="n"/>
      <c r="H3180" s="56" t="n"/>
      <c r="I3180" s="56" t="n"/>
      <c r="J3180" s="58" t="n"/>
      <c r="K3180" s="58" t="n"/>
      <c r="L3180" s="13">
        <f>IF(OR($A3180="",AND($J3180="",$K3180="")),"",ROUND(N($J3180)-N($K3180),2))</f>
        <v/>
      </c>
      <c r="M3180" s="13">
        <f>IF(OR($A3180="",AND($J3180="",$K3180="")),"",MIN($J3180,$K3180))</f>
        <v/>
      </c>
      <c r="Q3180">
        <f>IF($A3180="","",$D3180&amp;"("&amp;SUBSTITUTE($E3180," ","")&amp;")")</f>
        <v/>
      </c>
      <c r="R3180">
        <f>IF($A3180="","",$B3180&amp;" - "&amp;$C3180)</f>
        <v/>
      </c>
      <c r="S3180">
        <f>IF($A3180="","",$R3180&amp;"|"&amp;$Q3180)</f>
        <v/>
      </c>
      <c r="T3180">
        <f>IF($A3180="","",$S3180&amp;"|"&amp;$F3180)</f>
        <v/>
      </c>
      <c r="U3180">
        <f>IF($A3180="","",$R3180&amp;"("&amp;$E3180&amp;")")</f>
        <v/>
      </c>
      <c r="V3180">
        <f>IF($A3180="","",$F3180&amp;"|"&amp;$U3180&amp;"|"&amp;$D3180)</f>
        <v/>
      </c>
      <c r="W3180">
        <f>IF($T3180="","",IF($X3180&gt;N($X3179),$X3180,""))</f>
        <v/>
      </c>
      <c r="X3180">
        <f>IF($T3180="",N($X3179),IF(MATCH($T3180,$T$6:$T$6005,0)=ROW()-5,N($X3179)+1,N($X3179)))</f>
        <v/>
      </c>
      <c r="Z3180">
        <f>IF($V3180="","",IF($AA3180&gt;N($AA3179),$AA3180,""))</f>
        <v/>
      </c>
      <c r="AA3180">
        <f>IF($V3180="",N($AA3179),IF(MATCH($V3180,$V$6:$V$6005,0)=ROW()-5,N($AA3179)+1,N($AA3179)))</f>
        <v/>
      </c>
    </row>
    <row r="3181" ht="21" customHeight="1" s="66">
      <c r="A3181" s="56" t="n"/>
      <c r="B3181" s="57" t="n"/>
      <c r="C3181" s="57" t="n"/>
      <c r="D3181" s="57" t="n"/>
      <c r="E3181" s="56" t="n"/>
      <c r="F3181" s="57" t="n"/>
      <c r="G3181" s="57" t="n"/>
      <c r="H3181" s="56" t="n"/>
      <c r="I3181" s="56" t="n"/>
      <c r="J3181" s="58" t="n"/>
      <c r="K3181" s="58" t="n"/>
      <c r="L3181" s="13">
        <f>IF(OR($A3181="",AND($J3181="",$K3181="")),"",ROUND(N($J3181)-N($K3181),2))</f>
        <v/>
      </c>
      <c r="M3181" s="13">
        <f>IF(OR($A3181="",AND($J3181="",$K3181="")),"",MIN($J3181,$K3181))</f>
        <v/>
      </c>
      <c r="Q3181">
        <f>IF($A3181="","",$D3181&amp;"("&amp;SUBSTITUTE($E3181," ","")&amp;")")</f>
        <v/>
      </c>
      <c r="R3181">
        <f>IF($A3181="","",$B3181&amp;" - "&amp;$C3181)</f>
        <v/>
      </c>
      <c r="S3181">
        <f>IF($A3181="","",$R3181&amp;"|"&amp;$Q3181)</f>
        <v/>
      </c>
      <c r="T3181">
        <f>IF($A3181="","",$S3181&amp;"|"&amp;$F3181)</f>
        <v/>
      </c>
      <c r="U3181">
        <f>IF($A3181="","",$R3181&amp;"("&amp;$E3181&amp;")")</f>
        <v/>
      </c>
      <c r="V3181">
        <f>IF($A3181="","",$F3181&amp;"|"&amp;$U3181&amp;"|"&amp;$D3181)</f>
        <v/>
      </c>
      <c r="W3181">
        <f>IF($T3181="","",IF($X3181&gt;N($X3180),$X3181,""))</f>
        <v/>
      </c>
      <c r="X3181">
        <f>IF($T3181="",N($X3180),IF(MATCH($T3181,$T$6:$T$6005,0)=ROW()-5,N($X3180)+1,N($X3180)))</f>
        <v/>
      </c>
      <c r="Z3181">
        <f>IF($V3181="","",IF($AA3181&gt;N($AA3180),$AA3181,""))</f>
        <v/>
      </c>
      <c r="AA3181">
        <f>IF($V3181="",N($AA3180),IF(MATCH($V3181,$V$6:$V$6005,0)=ROW()-5,N($AA3180)+1,N($AA3180)))</f>
        <v/>
      </c>
    </row>
    <row r="3182" ht="21" customHeight="1" s="66">
      <c r="A3182" s="56" t="n"/>
      <c r="B3182" s="57" t="n"/>
      <c r="C3182" s="57" t="n"/>
      <c r="D3182" s="57" t="n"/>
      <c r="E3182" s="56" t="n"/>
      <c r="F3182" s="57" t="n"/>
      <c r="G3182" s="57" t="n"/>
      <c r="H3182" s="56" t="n"/>
      <c r="I3182" s="56" t="n"/>
      <c r="J3182" s="58" t="n"/>
      <c r="K3182" s="58" t="n"/>
      <c r="L3182" s="13">
        <f>IF(OR($A3182="",AND($J3182="",$K3182="")),"",ROUND(N($J3182)-N($K3182),2))</f>
        <v/>
      </c>
      <c r="M3182" s="13">
        <f>IF(OR($A3182="",AND($J3182="",$K3182="")),"",MIN($J3182,$K3182))</f>
        <v/>
      </c>
      <c r="Q3182">
        <f>IF($A3182="","",$D3182&amp;"("&amp;SUBSTITUTE($E3182," ","")&amp;")")</f>
        <v/>
      </c>
      <c r="R3182">
        <f>IF($A3182="","",$B3182&amp;" - "&amp;$C3182)</f>
        <v/>
      </c>
      <c r="S3182">
        <f>IF($A3182="","",$R3182&amp;"|"&amp;$Q3182)</f>
        <v/>
      </c>
      <c r="T3182">
        <f>IF($A3182="","",$S3182&amp;"|"&amp;$F3182)</f>
        <v/>
      </c>
      <c r="U3182">
        <f>IF($A3182="","",$R3182&amp;"("&amp;$E3182&amp;")")</f>
        <v/>
      </c>
      <c r="V3182">
        <f>IF($A3182="","",$F3182&amp;"|"&amp;$U3182&amp;"|"&amp;$D3182)</f>
        <v/>
      </c>
      <c r="W3182">
        <f>IF($T3182="","",IF($X3182&gt;N($X3181),$X3182,""))</f>
        <v/>
      </c>
      <c r="X3182">
        <f>IF($T3182="",N($X3181),IF(MATCH($T3182,$T$6:$T$6005,0)=ROW()-5,N($X3181)+1,N($X3181)))</f>
        <v/>
      </c>
      <c r="Z3182">
        <f>IF($V3182="","",IF($AA3182&gt;N($AA3181),$AA3182,""))</f>
        <v/>
      </c>
      <c r="AA3182">
        <f>IF($V3182="",N($AA3181),IF(MATCH($V3182,$V$6:$V$6005,0)=ROW()-5,N($AA3181)+1,N($AA3181)))</f>
        <v/>
      </c>
    </row>
    <row r="3183" ht="21" customHeight="1" s="66">
      <c r="A3183" s="56" t="n"/>
      <c r="B3183" s="57" t="n"/>
      <c r="C3183" s="57" t="n"/>
      <c r="D3183" s="57" t="n"/>
      <c r="E3183" s="56" t="n"/>
      <c r="F3183" s="57" t="n"/>
      <c r="G3183" s="57" t="n"/>
      <c r="H3183" s="56" t="n"/>
      <c r="I3183" s="56" t="n"/>
      <c r="J3183" s="58" t="n"/>
      <c r="K3183" s="58" t="n"/>
      <c r="L3183" s="13">
        <f>IF(OR($A3183="",AND($J3183="",$K3183="")),"",ROUND(N($J3183)-N($K3183),2))</f>
        <v/>
      </c>
      <c r="M3183" s="13">
        <f>IF(OR($A3183="",AND($J3183="",$K3183="")),"",MIN($J3183,$K3183))</f>
        <v/>
      </c>
      <c r="Q3183">
        <f>IF($A3183="","",$D3183&amp;"("&amp;SUBSTITUTE($E3183," ","")&amp;")")</f>
        <v/>
      </c>
      <c r="R3183">
        <f>IF($A3183="","",$B3183&amp;" - "&amp;$C3183)</f>
        <v/>
      </c>
      <c r="S3183">
        <f>IF($A3183="","",$R3183&amp;"|"&amp;$Q3183)</f>
        <v/>
      </c>
      <c r="T3183">
        <f>IF($A3183="","",$S3183&amp;"|"&amp;$F3183)</f>
        <v/>
      </c>
      <c r="U3183">
        <f>IF($A3183="","",$R3183&amp;"("&amp;$E3183&amp;")")</f>
        <v/>
      </c>
      <c r="V3183">
        <f>IF($A3183="","",$F3183&amp;"|"&amp;$U3183&amp;"|"&amp;$D3183)</f>
        <v/>
      </c>
      <c r="W3183">
        <f>IF($T3183="","",IF($X3183&gt;N($X3182),$X3183,""))</f>
        <v/>
      </c>
      <c r="X3183">
        <f>IF($T3183="",N($X3182),IF(MATCH($T3183,$T$6:$T$6005,0)=ROW()-5,N($X3182)+1,N($X3182)))</f>
        <v/>
      </c>
      <c r="Z3183">
        <f>IF($V3183="","",IF($AA3183&gt;N($AA3182),$AA3183,""))</f>
        <v/>
      </c>
      <c r="AA3183">
        <f>IF($V3183="",N($AA3182),IF(MATCH($V3183,$V$6:$V$6005,0)=ROW()-5,N($AA3182)+1,N($AA3182)))</f>
        <v/>
      </c>
    </row>
    <row r="3184" ht="21" customHeight="1" s="66">
      <c r="A3184" s="56" t="n"/>
      <c r="B3184" s="57" t="n"/>
      <c r="C3184" s="57" t="n"/>
      <c r="D3184" s="57" t="n"/>
      <c r="E3184" s="56" t="n"/>
      <c r="F3184" s="57" t="n"/>
      <c r="G3184" s="57" t="n"/>
      <c r="H3184" s="56" t="n"/>
      <c r="I3184" s="56" t="n"/>
      <c r="J3184" s="58" t="n"/>
      <c r="K3184" s="58" t="n"/>
      <c r="L3184" s="13">
        <f>IF(OR($A3184="",AND($J3184="",$K3184="")),"",ROUND(N($J3184)-N($K3184),2))</f>
        <v/>
      </c>
      <c r="M3184" s="13">
        <f>IF(OR($A3184="",AND($J3184="",$K3184="")),"",MIN($J3184,$K3184))</f>
        <v/>
      </c>
      <c r="Q3184">
        <f>IF($A3184="","",$D3184&amp;"("&amp;SUBSTITUTE($E3184," ","")&amp;")")</f>
        <v/>
      </c>
      <c r="R3184">
        <f>IF($A3184="","",$B3184&amp;" - "&amp;$C3184)</f>
        <v/>
      </c>
      <c r="S3184">
        <f>IF($A3184="","",$R3184&amp;"|"&amp;$Q3184)</f>
        <v/>
      </c>
      <c r="T3184">
        <f>IF($A3184="","",$S3184&amp;"|"&amp;$F3184)</f>
        <v/>
      </c>
      <c r="U3184">
        <f>IF($A3184="","",$R3184&amp;"("&amp;$E3184&amp;")")</f>
        <v/>
      </c>
      <c r="V3184">
        <f>IF($A3184="","",$F3184&amp;"|"&amp;$U3184&amp;"|"&amp;$D3184)</f>
        <v/>
      </c>
      <c r="W3184">
        <f>IF($T3184="","",IF($X3184&gt;N($X3183),$X3184,""))</f>
        <v/>
      </c>
      <c r="X3184">
        <f>IF($T3184="",N($X3183),IF(MATCH($T3184,$T$6:$T$6005,0)=ROW()-5,N($X3183)+1,N($X3183)))</f>
        <v/>
      </c>
      <c r="Z3184">
        <f>IF($V3184="","",IF($AA3184&gt;N($AA3183),$AA3184,""))</f>
        <v/>
      </c>
      <c r="AA3184">
        <f>IF($V3184="",N($AA3183),IF(MATCH($V3184,$V$6:$V$6005,0)=ROW()-5,N($AA3183)+1,N($AA3183)))</f>
        <v/>
      </c>
    </row>
    <row r="3185" ht="21" customHeight="1" s="66">
      <c r="A3185" s="56" t="n"/>
      <c r="B3185" s="57" t="n"/>
      <c r="C3185" s="57" t="n"/>
      <c r="D3185" s="57" t="n"/>
      <c r="E3185" s="56" t="n"/>
      <c r="F3185" s="57" t="n"/>
      <c r="G3185" s="57" t="n"/>
      <c r="H3185" s="56" t="n"/>
      <c r="I3185" s="56" t="n"/>
      <c r="J3185" s="58" t="n"/>
      <c r="K3185" s="58" t="n"/>
      <c r="L3185" s="13">
        <f>IF(OR($A3185="",AND($J3185="",$K3185="")),"",ROUND(N($J3185)-N($K3185),2))</f>
        <v/>
      </c>
      <c r="M3185" s="13">
        <f>IF(OR($A3185="",AND($J3185="",$K3185="")),"",MIN($J3185,$K3185))</f>
        <v/>
      </c>
      <c r="Q3185">
        <f>IF($A3185="","",$D3185&amp;"("&amp;SUBSTITUTE($E3185," ","")&amp;")")</f>
        <v/>
      </c>
      <c r="R3185">
        <f>IF($A3185="","",$B3185&amp;" - "&amp;$C3185)</f>
        <v/>
      </c>
      <c r="S3185">
        <f>IF($A3185="","",$R3185&amp;"|"&amp;$Q3185)</f>
        <v/>
      </c>
      <c r="T3185">
        <f>IF($A3185="","",$S3185&amp;"|"&amp;$F3185)</f>
        <v/>
      </c>
      <c r="U3185">
        <f>IF($A3185="","",$R3185&amp;"("&amp;$E3185&amp;")")</f>
        <v/>
      </c>
      <c r="V3185">
        <f>IF($A3185="","",$F3185&amp;"|"&amp;$U3185&amp;"|"&amp;$D3185)</f>
        <v/>
      </c>
      <c r="W3185">
        <f>IF($T3185="","",IF($X3185&gt;N($X3184),$X3185,""))</f>
        <v/>
      </c>
      <c r="X3185">
        <f>IF($T3185="",N($X3184),IF(MATCH($T3185,$T$6:$T$6005,0)=ROW()-5,N($X3184)+1,N($X3184)))</f>
        <v/>
      </c>
      <c r="Z3185">
        <f>IF($V3185="","",IF($AA3185&gt;N($AA3184),$AA3185,""))</f>
        <v/>
      </c>
      <c r="AA3185">
        <f>IF($V3185="",N($AA3184),IF(MATCH($V3185,$V$6:$V$6005,0)=ROW()-5,N($AA3184)+1,N($AA3184)))</f>
        <v/>
      </c>
    </row>
    <row r="3186" ht="21" customHeight="1" s="66">
      <c r="A3186" s="56" t="n"/>
      <c r="B3186" s="57" t="n"/>
      <c r="C3186" s="57" t="n"/>
      <c r="D3186" s="57" t="n"/>
      <c r="E3186" s="56" t="n"/>
      <c r="F3186" s="57" t="n"/>
      <c r="G3186" s="57" t="n"/>
      <c r="H3186" s="56" t="n"/>
      <c r="I3186" s="56" t="n"/>
      <c r="J3186" s="58" t="n"/>
      <c r="K3186" s="58" t="n"/>
      <c r="L3186" s="13">
        <f>IF(OR($A3186="",AND($J3186="",$K3186="")),"",ROUND(N($J3186)-N($K3186),2))</f>
        <v/>
      </c>
      <c r="M3186" s="13">
        <f>IF(OR($A3186="",AND($J3186="",$K3186="")),"",MIN($J3186,$K3186))</f>
        <v/>
      </c>
      <c r="Q3186">
        <f>IF($A3186="","",$D3186&amp;"("&amp;SUBSTITUTE($E3186," ","")&amp;")")</f>
        <v/>
      </c>
      <c r="R3186">
        <f>IF($A3186="","",$B3186&amp;" - "&amp;$C3186)</f>
        <v/>
      </c>
      <c r="S3186">
        <f>IF($A3186="","",$R3186&amp;"|"&amp;$Q3186)</f>
        <v/>
      </c>
      <c r="T3186">
        <f>IF($A3186="","",$S3186&amp;"|"&amp;$F3186)</f>
        <v/>
      </c>
      <c r="U3186">
        <f>IF($A3186="","",$R3186&amp;"("&amp;$E3186&amp;")")</f>
        <v/>
      </c>
      <c r="V3186">
        <f>IF($A3186="","",$F3186&amp;"|"&amp;$U3186&amp;"|"&amp;$D3186)</f>
        <v/>
      </c>
      <c r="W3186">
        <f>IF($T3186="","",IF($X3186&gt;N($X3185),$X3186,""))</f>
        <v/>
      </c>
      <c r="X3186">
        <f>IF($T3186="",N($X3185),IF(MATCH($T3186,$T$6:$T$6005,0)=ROW()-5,N($X3185)+1,N($X3185)))</f>
        <v/>
      </c>
      <c r="Z3186">
        <f>IF($V3186="","",IF($AA3186&gt;N($AA3185),$AA3186,""))</f>
        <v/>
      </c>
      <c r="AA3186">
        <f>IF($V3186="",N($AA3185),IF(MATCH($V3186,$V$6:$V$6005,0)=ROW()-5,N($AA3185)+1,N($AA3185)))</f>
        <v/>
      </c>
    </row>
    <row r="3187" ht="21" customHeight="1" s="66">
      <c r="A3187" s="56" t="n"/>
      <c r="B3187" s="57" t="n"/>
      <c r="C3187" s="57" t="n"/>
      <c r="D3187" s="57" t="n"/>
      <c r="E3187" s="56" t="n"/>
      <c r="F3187" s="57" t="n"/>
      <c r="G3187" s="57" t="n"/>
      <c r="H3187" s="56" t="n"/>
      <c r="I3187" s="56" t="n"/>
      <c r="J3187" s="58" t="n"/>
      <c r="K3187" s="58" t="n"/>
      <c r="L3187" s="13">
        <f>IF(OR($A3187="",AND($J3187="",$K3187="")),"",ROUND(N($J3187)-N($K3187),2))</f>
        <v/>
      </c>
      <c r="M3187" s="13">
        <f>IF(OR($A3187="",AND($J3187="",$K3187="")),"",MIN($J3187,$K3187))</f>
        <v/>
      </c>
      <c r="Q3187">
        <f>IF($A3187="","",$D3187&amp;"("&amp;SUBSTITUTE($E3187," ","")&amp;")")</f>
        <v/>
      </c>
      <c r="R3187">
        <f>IF($A3187="","",$B3187&amp;" - "&amp;$C3187)</f>
        <v/>
      </c>
      <c r="S3187">
        <f>IF($A3187="","",$R3187&amp;"|"&amp;$Q3187)</f>
        <v/>
      </c>
      <c r="T3187">
        <f>IF($A3187="","",$S3187&amp;"|"&amp;$F3187)</f>
        <v/>
      </c>
      <c r="U3187">
        <f>IF($A3187="","",$R3187&amp;"("&amp;$E3187&amp;")")</f>
        <v/>
      </c>
      <c r="V3187">
        <f>IF($A3187="","",$F3187&amp;"|"&amp;$U3187&amp;"|"&amp;$D3187)</f>
        <v/>
      </c>
      <c r="W3187">
        <f>IF($T3187="","",IF($X3187&gt;N($X3186),$X3187,""))</f>
        <v/>
      </c>
      <c r="X3187">
        <f>IF($T3187="",N($X3186),IF(MATCH($T3187,$T$6:$T$6005,0)=ROW()-5,N($X3186)+1,N($X3186)))</f>
        <v/>
      </c>
      <c r="Z3187">
        <f>IF($V3187="","",IF($AA3187&gt;N($AA3186),$AA3187,""))</f>
        <v/>
      </c>
      <c r="AA3187">
        <f>IF($V3187="",N($AA3186),IF(MATCH($V3187,$V$6:$V$6005,0)=ROW()-5,N($AA3186)+1,N($AA3186)))</f>
        <v/>
      </c>
    </row>
    <row r="3188" ht="21" customHeight="1" s="66">
      <c r="A3188" s="56" t="n"/>
      <c r="B3188" s="57" t="n"/>
      <c r="C3188" s="57" t="n"/>
      <c r="D3188" s="57" t="n"/>
      <c r="E3188" s="56" t="n"/>
      <c r="F3188" s="57" t="n"/>
      <c r="G3188" s="57" t="n"/>
      <c r="H3188" s="56" t="n"/>
      <c r="I3188" s="56" t="n"/>
      <c r="J3188" s="58" t="n"/>
      <c r="K3188" s="58" t="n"/>
      <c r="L3188" s="13">
        <f>IF(OR($A3188="",AND($J3188="",$K3188="")),"",ROUND(N($J3188)-N($K3188),2))</f>
        <v/>
      </c>
      <c r="M3188" s="13">
        <f>IF(OR($A3188="",AND($J3188="",$K3188="")),"",MIN($J3188,$K3188))</f>
        <v/>
      </c>
      <c r="Q3188">
        <f>IF($A3188="","",$D3188&amp;"("&amp;SUBSTITUTE($E3188," ","")&amp;")")</f>
        <v/>
      </c>
      <c r="R3188">
        <f>IF($A3188="","",$B3188&amp;" - "&amp;$C3188)</f>
        <v/>
      </c>
      <c r="S3188">
        <f>IF($A3188="","",$R3188&amp;"|"&amp;$Q3188)</f>
        <v/>
      </c>
      <c r="T3188">
        <f>IF($A3188="","",$S3188&amp;"|"&amp;$F3188)</f>
        <v/>
      </c>
      <c r="U3188">
        <f>IF($A3188="","",$R3188&amp;"("&amp;$E3188&amp;")")</f>
        <v/>
      </c>
      <c r="V3188">
        <f>IF($A3188="","",$F3188&amp;"|"&amp;$U3188&amp;"|"&amp;$D3188)</f>
        <v/>
      </c>
      <c r="W3188">
        <f>IF($T3188="","",IF($X3188&gt;N($X3187),$X3188,""))</f>
        <v/>
      </c>
      <c r="X3188">
        <f>IF($T3188="",N($X3187),IF(MATCH($T3188,$T$6:$T$6005,0)=ROW()-5,N($X3187)+1,N($X3187)))</f>
        <v/>
      </c>
      <c r="Z3188">
        <f>IF($V3188="","",IF($AA3188&gt;N($AA3187),$AA3188,""))</f>
        <v/>
      </c>
      <c r="AA3188">
        <f>IF($V3188="",N($AA3187),IF(MATCH($V3188,$V$6:$V$6005,0)=ROW()-5,N($AA3187)+1,N($AA3187)))</f>
        <v/>
      </c>
    </row>
    <row r="3189" ht="21" customHeight="1" s="66">
      <c r="A3189" s="56" t="n"/>
      <c r="B3189" s="57" t="n"/>
      <c r="C3189" s="57" t="n"/>
      <c r="D3189" s="57" t="n"/>
      <c r="E3189" s="56" t="n"/>
      <c r="F3189" s="57" t="n"/>
      <c r="G3189" s="57" t="n"/>
      <c r="H3189" s="56" t="n"/>
      <c r="I3189" s="56" t="n"/>
      <c r="J3189" s="58" t="n"/>
      <c r="K3189" s="58" t="n"/>
      <c r="L3189" s="13">
        <f>IF(OR($A3189="",AND($J3189="",$K3189="")),"",ROUND(N($J3189)-N($K3189),2))</f>
        <v/>
      </c>
      <c r="M3189" s="13">
        <f>IF(OR($A3189="",AND($J3189="",$K3189="")),"",MIN($J3189,$K3189))</f>
        <v/>
      </c>
      <c r="Q3189">
        <f>IF($A3189="","",$D3189&amp;"("&amp;SUBSTITUTE($E3189," ","")&amp;")")</f>
        <v/>
      </c>
      <c r="R3189">
        <f>IF($A3189="","",$B3189&amp;" - "&amp;$C3189)</f>
        <v/>
      </c>
      <c r="S3189">
        <f>IF($A3189="","",$R3189&amp;"|"&amp;$Q3189)</f>
        <v/>
      </c>
      <c r="T3189">
        <f>IF($A3189="","",$S3189&amp;"|"&amp;$F3189)</f>
        <v/>
      </c>
      <c r="U3189">
        <f>IF($A3189="","",$R3189&amp;"("&amp;$E3189&amp;")")</f>
        <v/>
      </c>
      <c r="V3189">
        <f>IF($A3189="","",$F3189&amp;"|"&amp;$U3189&amp;"|"&amp;$D3189)</f>
        <v/>
      </c>
      <c r="W3189">
        <f>IF($T3189="","",IF($X3189&gt;N($X3188),$X3189,""))</f>
        <v/>
      </c>
      <c r="X3189">
        <f>IF($T3189="",N($X3188),IF(MATCH($T3189,$T$6:$T$6005,0)=ROW()-5,N($X3188)+1,N($X3188)))</f>
        <v/>
      </c>
      <c r="Z3189">
        <f>IF($V3189="","",IF($AA3189&gt;N($AA3188),$AA3189,""))</f>
        <v/>
      </c>
      <c r="AA3189">
        <f>IF($V3189="",N($AA3188),IF(MATCH($V3189,$V$6:$V$6005,0)=ROW()-5,N($AA3188)+1,N($AA3188)))</f>
        <v/>
      </c>
    </row>
    <row r="3190" ht="21" customHeight="1" s="66">
      <c r="A3190" s="56" t="n"/>
      <c r="B3190" s="57" t="n"/>
      <c r="C3190" s="57" t="n"/>
      <c r="D3190" s="57" t="n"/>
      <c r="E3190" s="56" t="n"/>
      <c r="F3190" s="57" t="n"/>
      <c r="G3190" s="57" t="n"/>
      <c r="H3190" s="56" t="n"/>
      <c r="I3190" s="56" t="n"/>
      <c r="J3190" s="58" t="n"/>
      <c r="K3190" s="58" t="n"/>
      <c r="L3190" s="13">
        <f>IF(OR($A3190="",AND($J3190="",$K3190="")),"",ROUND(N($J3190)-N($K3190),2))</f>
        <v/>
      </c>
      <c r="M3190" s="13">
        <f>IF(OR($A3190="",AND($J3190="",$K3190="")),"",MIN($J3190,$K3190))</f>
        <v/>
      </c>
      <c r="Q3190">
        <f>IF($A3190="","",$D3190&amp;"("&amp;SUBSTITUTE($E3190," ","")&amp;")")</f>
        <v/>
      </c>
      <c r="R3190">
        <f>IF($A3190="","",$B3190&amp;" - "&amp;$C3190)</f>
        <v/>
      </c>
      <c r="S3190">
        <f>IF($A3190="","",$R3190&amp;"|"&amp;$Q3190)</f>
        <v/>
      </c>
      <c r="T3190">
        <f>IF($A3190="","",$S3190&amp;"|"&amp;$F3190)</f>
        <v/>
      </c>
      <c r="U3190">
        <f>IF($A3190="","",$R3190&amp;"("&amp;$E3190&amp;")")</f>
        <v/>
      </c>
      <c r="V3190">
        <f>IF($A3190="","",$F3190&amp;"|"&amp;$U3190&amp;"|"&amp;$D3190)</f>
        <v/>
      </c>
      <c r="W3190">
        <f>IF($T3190="","",IF($X3190&gt;N($X3189),$X3190,""))</f>
        <v/>
      </c>
      <c r="X3190">
        <f>IF($T3190="",N($X3189),IF(MATCH($T3190,$T$6:$T$6005,0)=ROW()-5,N($X3189)+1,N($X3189)))</f>
        <v/>
      </c>
      <c r="Z3190">
        <f>IF($V3190="","",IF($AA3190&gt;N($AA3189),$AA3190,""))</f>
        <v/>
      </c>
      <c r="AA3190">
        <f>IF($V3190="",N($AA3189),IF(MATCH($V3190,$V$6:$V$6005,0)=ROW()-5,N($AA3189)+1,N($AA3189)))</f>
        <v/>
      </c>
    </row>
    <row r="3191" ht="21" customHeight="1" s="66">
      <c r="A3191" s="56" t="n"/>
      <c r="B3191" s="57" t="n"/>
      <c r="C3191" s="57" t="n"/>
      <c r="D3191" s="57" t="n"/>
      <c r="E3191" s="56" t="n"/>
      <c r="F3191" s="57" t="n"/>
      <c r="G3191" s="57" t="n"/>
      <c r="H3191" s="56" t="n"/>
      <c r="I3191" s="56" t="n"/>
      <c r="J3191" s="58" t="n"/>
      <c r="K3191" s="58" t="n"/>
      <c r="L3191" s="13">
        <f>IF(OR($A3191="",AND($J3191="",$K3191="")),"",ROUND(N($J3191)-N($K3191),2))</f>
        <v/>
      </c>
      <c r="M3191" s="13">
        <f>IF(OR($A3191="",AND($J3191="",$K3191="")),"",MIN($J3191,$K3191))</f>
        <v/>
      </c>
      <c r="Q3191">
        <f>IF($A3191="","",$D3191&amp;"("&amp;SUBSTITUTE($E3191," ","")&amp;")")</f>
        <v/>
      </c>
      <c r="R3191">
        <f>IF($A3191="","",$B3191&amp;" - "&amp;$C3191)</f>
        <v/>
      </c>
      <c r="S3191">
        <f>IF($A3191="","",$R3191&amp;"|"&amp;$Q3191)</f>
        <v/>
      </c>
      <c r="T3191">
        <f>IF($A3191="","",$S3191&amp;"|"&amp;$F3191)</f>
        <v/>
      </c>
      <c r="U3191">
        <f>IF($A3191="","",$R3191&amp;"("&amp;$E3191&amp;")")</f>
        <v/>
      </c>
      <c r="V3191">
        <f>IF($A3191="","",$F3191&amp;"|"&amp;$U3191&amp;"|"&amp;$D3191)</f>
        <v/>
      </c>
      <c r="W3191">
        <f>IF($T3191="","",IF($X3191&gt;N($X3190),$X3191,""))</f>
        <v/>
      </c>
      <c r="X3191">
        <f>IF($T3191="",N($X3190),IF(MATCH($T3191,$T$6:$T$6005,0)=ROW()-5,N($X3190)+1,N($X3190)))</f>
        <v/>
      </c>
      <c r="Z3191">
        <f>IF($V3191="","",IF($AA3191&gt;N($AA3190),$AA3191,""))</f>
        <v/>
      </c>
      <c r="AA3191">
        <f>IF($V3191="",N($AA3190),IF(MATCH($V3191,$V$6:$V$6005,0)=ROW()-5,N($AA3190)+1,N($AA3190)))</f>
        <v/>
      </c>
    </row>
    <row r="3192" ht="21" customHeight="1" s="66">
      <c r="A3192" s="56" t="n"/>
      <c r="B3192" s="57" t="n"/>
      <c r="C3192" s="57" t="n"/>
      <c r="D3192" s="57" t="n"/>
      <c r="E3192" s="56" t="n"/>
      <c r="F3192" s="57" t="n"/>
      <c r="G3192" s="57" t="n"/>
      <c r="H3192" s="56" t="n"/>
      <c r="I3192" s="56" t="n"/>
      <c r="J3192" s="58" t="n"/>
      <c r="K3192" s="58" t="n"/>
      <c r="L3192" s="13">
        <f>IF(OR($A3192="",AND($J3192="",$K3192="")),"",ROUND(N($J3192)-N($K3192),2))</f>
        <v/>
      </c>
      <c r="M3192" s="13">
        <f>IF(OR($A3192="",AND($J3192="",$K3192="")),"",MIN($J3192,$K3192))</f>
        <v/>
      </c>
      <c r="Q3192">
        <f>IF($A3192="","",$D3192&amp;"("&amp;SUBSTITUTE($E3192," ","")&amp;")")</f>
        <v/>
      </c>
      <c r="R3192">
        <f>IF($A3192="","",$B3192&amp;" - "&amp;$C3192)</f>
        <v/>
      </c>
      <c r="S3192">
        <f>IF($A3192="","",$R3192&amp;"|"&amp;$Q3192)</f>
        <v/>
      </c>
      <c r="T3192">
        <f>IF($A3192="","",$S3192&amp;"|"&amp;$F3192)</f>
        <v/>
      </c>
      <c r="U3192">
        <f>IF($A3192="","",$R3192&amp;"("&amp;$E3192&amp;")")</f>
        <v/>
      </c>
      <c r="V3192">
        <f>IF($A3192="","",$F3192&amp;"|"&amp;$U3192&amp;"|"&amp;$D3192)</f>
        <v/>
      </c>
      <c r="W3192">
        <f>IF($T3192="","",IF($X3192&gt;N($X3191),$X3192,""))</f>
        <v/>
      </c>
      <c r="X3192">
        <f>IF($T3192="",N($X3191),IF(MATCH($T3192,$T$6:$T$6005,0)=ROW()-5,N($X3191)+1,N($X3191)))</f>
        <v/>
      </c>
      <c r="Z3192">
        <f>IF($V3192="","",IF($AA3192&gt;N($AA3191),$AA3192,""))</f>
        <v/>
      </c>
      <c r="AA3192">
        <f>IF($V3192="",N($AA3191),IF(MATCH($V3192,$V$6:$V$6005,0)=ROW()-5,N($AA3191)+1,N($AA3191)))</f>
        <v/>
      </c>
    </row>
    <row r="3193" ht="21" customHeight="1" s="66">
      <c r="A3193" s="56" t="n"/>
      <c r="B3193" s="57" t="n"/>
      <c r="C3193" s="57" t="n"/>
      <c r="D3193" s="57" t="n"/>
      <c r="E3193" s="56" t="n"/>
      <c r="F3193" s="57" t="n"/>
      <c r="G3193" s="57" t="n"/>
      <c r="H3193" s="56" t="n"/>
      <c r="I3193" s="56" t="n"/>
      <c r="J3193" s="58" t="n"/>
      <c r="K3193" s="58" t="n"/>
      <c r="L3193" s="13">
        <f>IF(OR($A3193="",AND($J3193="",$K3193="")),"",ROUND(N($J3193)-N($K3193),2))</f>
        <v/>
      </c>
      <c r="M3193" s="13">
        <f>IF(OR($A3193="",AND($J3193="",$K3193="")),"",MIN($J3193,$K3193))</f>
        <v/>
      </c>
      <c r="Q3193">
        <f>IF($A3193="","",$D3193&amp;"("&amp;SUBSTITUTE($E3193," ","")&amp;")")</f>
        <v/>
      </c>
      <c r="R3193">
        <f>IF($A3193="","",$B3193&amp;" - "&amp;$C3193)</f>
        <v/>
      </c>
      <c r="S3193">
        <f>IF($A3193="","",$R3193&amp;"|"&amp;$Q3193)</f>
        <v/>
      </c>
      <c r="T3193">
        <f>IF($A3193="","",$S3193&amp;"|"&amp;$F3193)</f>
        <v/>
      </c>
      <c r="U3193">
        <f>IF($A3193="","",$R3193&amp;"("&amp;$E3193&amp;")")</f>
        <v/>
      </c>
      <c r="V3193">
        <f>IF($A3193="","",$F3193&amp;"|"&amp;$U3193&amp;"|"&amp;$D3193)</f>
        <v/>
      </c>
      <c r="W3193">
        <f>IF($T3193="","",IF($X3193&gt;N($X3192),$X3193,""))</f>
        <v/>
      </c>
      <c r="X3193">
        <f>IF($T3193="",N($X3192),IF(MATCH($T3193,$T$6:$T$6005,0)=ROW()-5,N($X3192)+1,N($X3192)))</f>
        <v/>
      </c>
      <c r="Z3193">
        <f>IF($V3193="","",IF($AA3193&gt;N($AA3192),$AA3193,""))</f>
        <v/>
      </c>
      <c r="AA3193">
        <f>IF($V3193="",N($AA3192),IF(MATCH($V3193,$V$6:$V$6005,0)=ROW()-5,N($AA3192)+1,N($AA3192)))</f>
        <v/>
      </c>
    </row>
    <row r="3194" ht="21" customHeight="1" s="66">
      <c r="A3194" s="56" t="n"/>
      <c r="B3194" s="57" t="n"/>
      <c r="C3194" s="57" t="n"/>
      <c r="D3194" s="57" t="n"/>
      <c r="E3194" s="56" t="n"/>
      <c r="F3194" s="57" t="n"/>
      <c r="G3194" s="57" t="n"/>
      <c r="H3194" s="56" t="n"/>
      <c r="I3194" s="56" t="n"/>
      <c r="J3194" s="58" t="n"/>
      <c r="K3194" s="58" t="n"/>
      <c r="L3194" s="13">
        <f>IF(OR($A3194="",AND($J3194="",$K3194="")),"",ROUND(N($J3194)-N($K3194),2))</f>
        <v/>
      </c>
      <c r="M3194" s="13">
        <f>IF(OR($A3194="",AND($J3194="",$K3194="")),"",MIN($J3194,$K3194))</f>
        <v/>
      </c>
      <c r="Q3194">
        <f>IF($A3194="","",$D3194&amp;"("&amp;SUBSTITUTE($E3194," ","")&amp;")")</f>
        <v/>
      </c>
      <c r="R3194">
        <f>IF($A3194="","",$B3194&amp;" - "&amp;$C3194)</f>
        <v/>
      </c>
      <c r="S3194">
        <f>IF($A3194="","",$R3194&amp;"|"&amp;$Q3194)</f>
        <v/>
      </c>
      <c r="T3194">
        <f>IF($A3194="","",$S3194&amp;"|"&amp;$F3194)</f>
        <v/>
      </c>
      <c r="U3194">
        <f>IF($A3194="","",$R3194&amp;"("&amp;$E3194&amp;")")</f>
        <v/>
      </c>
      <c r="V3194">
        <f>IF($A3194="","",$F3194&amp;"|"&amp;$U3194&amp;"|"&amp;$D3194)</f>
        <v/>
      </c>
      <c r="W3194">
        <f>IF($T3194="","",IF($X3194&gt;N($X3193),$X3194,""))</f>
        <v/>
      </c>
      <c r="X3194">
        <f>IF($T3194="",N($X3193),IF(MATCH($T3194,$T$6:$T$6005,0)=ROW()-5,N($X3193)+1,N($X3193)))</f>
        <v/>
      </c>
      <c r="Z3194">
        <f>IF($V3194="","",IF($AA3194&gt;N($AA3193),$AA3194,""))</f>
        <v/>
      </c>
      <c r="AA3194">
        <f>IF($V3194="",N($AA3193),IF(MATCH($V3194,$V$6:$V$6005,0)=ROW()-5,N($AA3193)+1,N($AA3193)))</f>
        <v/>
      </c>
    </row>
    <row r="3195" ht="21" customHeight="1" s="66">
      <c r="A3195" s="56" t="n"/>
      <c r="B3195" s="57" t="n"/>
      <c r="C3195" s="57" t="n"/>
      <c r="D3195" s="57" t="n"/>
      <c r="E3195" s="56" t="n"/>
      <c r="F3195" s="57" t="n"/>
      <c r="G3195" s="57" t="n"/>
      <c r="H3195" s="56" t="n"/>
      <c r="I3195" s="56" t="n"/>
      <c r="J3195" s="58" t="n"/>
      <c r="K3195" s="58" t="n"/>
      <c r="L3195" s="13">
        <f>IF(OR($A3195="",AND($J3195="",$K3195="")),"",ROUND(N($J3195)-N($K3195),2))</f>
        <v/>
      </c>
      <c r="M3195" s="13">
        <f>IF(OR($A3195="",AND($J3195="",$K3195="")),"",MIN($J3195,$K3195))</f>
        <v/>
      </c>
      <c r="Q3195">
        <f>IF($A3195="","",$D3195&amp;"("&amp;SUBSTITUTE($E3195," ","")&amp;")")</f>
        <v/>
      </c>
      <c r="R3195">
        <f>IF($A3195="","",$B3195&amp;" - "&amp;$C3195)</f>
        <v/>
      </c>
      <c r="S3195">
        <f>IF($A3195="","",$R3195&amp;"|"&amp;$Q3195)</f>
        <v/>
      </c>
      <c r="T3195">
        <f>IF($A3195="","",$S3195&amp;"|"&amp;$F3195)</f>
        <v/>
      </c>
      <c r="U3195">
        <f>IF($A3195="","",$R3195&amp;"("&amp;$E3195&amp;")")</f>
        <v/>
      </c>
      <c r="V3195">
        <f>IF($A3195="","",$F3195&amp;"|"&amp;$U3195&amp;"|"&amp;$D3195)</f>
        <v/>
      </c>
      <c r="W3195">
        <f>IF($T3195="","",IF($X3195&gt;N($X3194),$X3195,""))</f>
        <v/>
      </c>
      <c r="X3195">
        <f>IF($T3195="",N($X3194),IF(MATCH($T3195,$T$6:$T$6005,0)=ROW()-5,N($X3194)+1,N($X3194)))</f>
        <v/>
      </c>
      <c r="Z3195">
        <f>IF($V3195="","",IF($AA3195&gt;N($AA3194),$AA3195,""))</f>
        <v/>
      </c>
      <c r="AA3195">
        <f>IF($V3195="",N($AA3194),IF(MATCH($V3195,$V$6:$V$6005,0)=ROW()-5,N($AA3194)+1,N($AA3194)))</f>
        <v/>
      </c>
    </row>
    <row r="3196" ht="21" customHeight="1" s="66">
      <c r="A3196" s="56" t="n"/>
      <c r="B3196" s="57" t="n"/>
      <c r="C3196" s="57" t="n"/>
      <c r="D3196" s="57" t="n"/>
      <c r="E3196" s="56" t="n"/>
      <c r="F3196" s="57" t="n"/>
      <c r="G3196" s="57" t="n"/>
      <c r="H3196" s="56" t="n"/>
      <c r="I3196" s="56" t="n"/>
      <c r="J3196" s="58" t="n"/>
      <c r="K3196" s="58" t="n"/>
      <c r="L3196" s="13">
        <f>IF(OR($A3196="",AND($J3196="",$K3196="")),"",ROUND(N($J3196)-N($K3196),2))</f>
        <v/>
      </c>
      <c r="M3196" s="13">
        <f>IF(OR($A3196="",AND($J3196="",$K3196="")),"",MIN($J3196,$K3196))</f>
        <v/>
      </c>
      <c r="Q3196">
        <f>IF($A3196="","",$D3196&amp;"("&amp;SUBSTITUTE($E3196," ","")&amp;")")</f>
        <v/>
      </c>
      <c r="R3196">
        <f>IF($A3196="","",$B3196&amp;" - "&amp;$C3196)</f>
        <v/>
      </c>
      <c r="S3196">
        <f>IF($A3196="","",$R3196&amp;"|"&amp;$Q3196)</f>
        <v/>
      </c>
      <c r="T3196">
        <f>IF($A3196="","",$S3196&amp;"|"&amp;$F3196)</f>
        <v/>
      </c>
      <c r="U3196">
        <f>IF($A3196="","",$R3196&amp;"("&amp;$E3196&amp;")")</f>
        <v/>
      </c>
      <c r="V3196">
        <f>IF($A3196="","",$F3196&amp;"|"&amp;$U3196&amp;"|"&amp;$D3196)</f>
        <v/>
      </c>
      <c r="W3196">
        <f>IF($T3196="","",IF($X3196&gt;N($X3195),$X3196,""))</f>
        <v/>
      </c>
      <c r="X3196">
        <f>IF($T3196="",N($X3195),IF(MATCH($T3196,$T$6:$T$6005,0)=ROW()-5,N($X3195)+1,N($X3195)))</f>
        <v/>
      </c>
      <c r="Z3196">
        <f>IF($V3196="","",IF($AA3196&gt;N($AA3195),$AA3196,""))</f>
        <v/>
      </c>
      <c r="AA3196">
        <f>IF($V3196="",N($AA3195),IF(MATCH($V3196,$V$6:$V$6005,0)=ROW()-5,N($AA3195)+1,N($AA3195)))</f>
        <v/>
      </c>
    </row>
    <row r="3197" ht="21" customHeight="1" s="66">
      <c r="A3197" s="56" t="n"/>
      <c r="B3197" s="57" t="n"/>
      <c r="C3197" s="57" t="n"/>
      <c r="D3197" s="57" t="n"/>
      <c r="E3197" s="56" t="n"/>
      <c r="F3197" s="57" t="n"/>
      <c r="G3197" s="57" t="n"/>
      <c r="H3197" s="56" t="n"/>
      <c r="I3197" s="56" t="n"/>
      <c r="J3197" s="58" t="n"/>
      <c r="K3197" s="58" t="n"/>
      <c r="L3197" s="13">
        <f>IF(OR($A3197="",AND($J3197="",$K3197="")),"",ROUND(N($J3197)-N($K3197),2))</f>
        <v/>
      </c>
      <c r="M3197" s="13">
        <f>IF(OR($A3197="",AND($J3197="",$K3197="")),"",MIN($J3197,$K3197))</f>
        <v/>
      </c>
      <c r="Q3197">
        <f>IF($A3197="","",$D3197&amp;"("&amp;SUBSTITUTE($E3197," ","")&amp;")")</f>
        <v/>
      </c>
      <c r="R3197">
        <f>IF($A3197="","",$B3197&amp;" - "&amp;$C3197)</f>
        <v/>
      </c>
      <c r="S3197">
        <f>IF($A3197="","",$R3197&amp;"|"&amp;$Q3197)</f>
        <v/>
      </c>
      <c r="T3197">
        <f>IF($A3197="","",$S3197&amp;"|"&amp;$F3197)</f>
        <v/>
      </c>
      <c r="U3197">
        <f>IF($A3197="","",$R3197&amp;"("&amp;$E3197&amp;")")</f>
        <v/>
      </c>
      <c r="V3197">
        <f>IF($A3197="","",$F3197&amp;"|"&amp;$U3197&amp;"|"&amp;$D3197)</f>
        <v/>
      </c>
      <c r="W3197">
        <f>IF($T3197="","",IF($X3197&gt;N($X3196),$X3197,""))</f>
        <v/>
      </c>
      <c r="X3197">
        <f>IF($T3197="",N($X3196),IF(MATCH($T3197,$T$6:$T$6005,0)=ROW()-5,N($X3196)+1,N($X3196)))</f>
        <v/>
      </c>
      <c r="Z3197">
        <f>IF($V3197="","",IF($AA3197&gt;N($AA3196),$AA3197,""))</f>
        <v/>
      </c>
      <c r="AA3197">
        <f>IF($V3197="",N($AA3196),IF(MATCH($V3197,$V$6:$V$6005,0)=ROW()-5,N($AA3196)+1,N($AA3196)))</f>
        <v/>
      </c>
    </row>
    <row r="3198" ht="21" customHeight="1" s="66">
      <c r="A3198" s="56" t="n"/>
      <c r="B3198" s="57" t="n"/>
      <c r="C3198" s="57" t="n"/>
      <c r="D3198" s="57" t="n"/>
      <c r="E3198" s="56" t="n"/>
      <c r="F3198" s="57" t="n"/>
      <c r="G3198" s="57" t="n"/>
      <c r="H3198" s="56" t="n"/>
      <c r="I3198" s="56" t="n"/>
      <c r="J3198" s="58" t="n"/>
      <c r="K3198" s="58" t="n"/>
      <c r="L3198" s="13">
        <f>IF(OR($A3198="",AND($J3198="",$K3198="")),"",ROUND(N($J3198)-N($K3198),2))</f>
        <v/>
      </c>
      <c r="M3198" s="13">
        <f>IF(OR($A3198="",AND($J3198="",$K3198="")),"",MIN($J3198,$K3198))</f>
        <v/>
      </c>
      <c r="Q3198">
        <f>IF($A3198="","",$D3198&amp;"("&amp;SUBSTITUTE($E3198," ","")&amp;")")</f>
        <v/>
      </c>
      <c r="R3198">
        <f>IF($A3198="","",$B3198&amp;" - "&amp;$C3198)</f>
        <v/>
      </c>
      <c r="S3198">
        <f>IF($A3198="","",$R3198&amp;"|"&amp;$Q3198)</f>
        <v/>
      </c>
      <c r="T3198">
        <f>IF($A3198="","",$S3198&amp;"|"&amp;$F3198)</f>
        <v/>
      </c>
      <c r="U3198">
        <f>IF($A3198="","",$R3198&amp;"("&amp;$E3198&amp;")")</f>
        <v/>
      </c>
      <c r="V3198">
        <f>IF($A3198="","",$F3198&amp;"|"&amp;$U3198&amp;"|"&amp;$D3198)</f>
        <v/>
      </c>
      <c r="W3198">
        <f>IF($T3198="","",IF($X3198&gt;N($X3197),$X3198,""))</f>
        <v/>
      </c>
      <c r="X3198">
        <f>IF($T3198="",N($X3197),IF(MATCH($T3198,$T$6:$T$6005,0)=ROW()-5,N($X3197)+1,N($X3197)))</f>
        <v/>
      </c>
      <c r="Z3198">
        <f>IF($V3198="","",IF($AA3198&gt;N($AA3197),$AA3198,""))</f>
        <v/>
      </c>
      <c r="AA3198">
        <f>IF($V3198="",N($AA3197),IF(MATCH($V3198,$V$6:$V$6005,0)=ROW()-5,N($AA3197)+1,N($AA3197)))</f>
        <v/>
      </c>
    </row>
    <row r="3199" ht="21" customHeight="1" s="66">
      <c r="A3199" s="56" t="n"/>
      <c r="B3199" s="57" t="n"/>
      <c r="C3199" s="57" t="n"/>
      <c r="D3199" s="57" t="n"/>
      <c r="E3199" s="56" t="n"/>
      <c r="F3199" s="57" t="n"/>
      <c r="G3199" s="57" t="n"/>
      <c r="H3199" s="56" t="n"/>
      <c r="I3199" s="56" t="n"/>
      <c r="J3199" s="58" t="n"/>
      <c r="K3199" s="58" t="n"/>
      <c r="L3199" s="13">
        <f>IF(OR($A3199="",AND($J3199="",$K3199="")),"",ROUND(N($J3199)-N($K3199),2))</f>
        <v/>
      </c>
      <c r="M3199" s="13">
        <f>IF(OR($A3199="",AND($J3199="",$K3199="")),"",MIN($J3199,$K3199))</f>
        <v/>
      </c>
      <c r="Q3199">
        <f>IF($A3199="","",$D3199&amp;"("&amp;SUBSTITUTE($E3199," ","")&amp;")")</f>
        <v/>
      </c>
      <c r="R3199">
        <f>IF($A3199="","",$B3199&amp;" - "&amp;$C3199)</f>
        <v/>
      </c>
      <c r="S3199">
        <f>IF($A3199="","",$R3199&amp;"|"&amp;$Q3199)</f>
        <v/>
      </c>
      <c r="T3199">
        <f>IF($A3199="","",$S3199&amp;"|"&amp;$F3199)</f>
        <v/>
      </c>
      <c r="U3199">
        <f>IF($A3199="","",$R3199&amp;"("&amp;$E3199&amp;")")</f>
        <v/>
      </c>
      <c r="V3199">
        <f>IF($A3199="","",$F3199&amp;"|"&amp;$U3199&amp;"|"&amp;$D3199)</f>
        <v/>
      </c>
      <c r="W3199">
        <f>IF($T3199="","",IF($X3199&gt;N($X3198),$X3199,""))</f>
        <v/>
      </c>
      <c r="X3199">
        <f>IF($T3199="",N($X3198),IF(MATCH($T3199,$T$6:$T$6005,0)=ROW()-5,N($X3198)+1,N($X3198)))</f>
        <v/>
      </c>
      <c r="Z3199">
        <f>IF($V3199="","",IF($AA3199&gt;N($AA3198),$AA3199,""))</f>
        <v/>
      </c>
      <c r="AA3199">
        <f>IF($V3199="",N($AA3198),IF(MATCH($V3199,$V$6:$V$6005,0)=ROW()-5,N($AA3198)+1,N($AA3198)))</f>
        <v/>
      </c>
    </row>
    <row r="3200" ht="21" customHeight="1" s="66">
      <c r="A3200" s="56" t="n"/>
      <c r="B3200" s="57" t="n"/>
      <c r="C3200" s="57" t="n"/>
      <c r="D3200" s="57" t="n"/>
      <c r="E3200" s="56" t="n"/>
      <c r="F3200" s="57" t="n"/>
      <c r="G3200" s="57" t="n"/>
      <c r="H3200" s="56" t="n"/>
      <c r="I3200" s="56" t="n"/>
      <c r="J3200" s="58" t="n"/>
      <c r="K3200" s="58" t="n"/>
      <c r="L3200" s="13">
        <f>IF(OR($A3200="",AND($J3200="",$K3200="")),"",ROUND(N($J3200)-N($K3200),2))</f>
        <v/>
      </c>
      <c r="M3200" s="13">
        <f>IF(OR($A3200="",AND($J3200="",$K3200="")),"",MIN($J3200,$K3200))</f>
        <v/>
      </c>
      <c r="Q3200">
        <f>IF($A3200="","",$D3200&amp;"("&amp;SUBSTITUTE($E3200," ","")&amp;")")</f>
        <v/>
      </c>
      <c r="R3200">
        <f>IF($A3200="","",$B3200&amp;" - "&amp;$C3200)</f>
        <v/>
      </c>
      <c r="S3200">
        <f>IF($A3200="","",$R3200&amp;"|"&amp;$Q3200)</f>
        <v/>
      </c>
      <c r="T3200">
        <f>IF($A3200="","",$S3200&amp;"|"&amp;$F3200)</f>
        <v/>
      </c>
      <c r="U3200">
        <f>IF($A3200="","",$R3200&amp;"("&amp;$E3200&amp;")")</f>
        <v/>
      </c>
      <c r="V3200">
        <f>IF($A3200="","",$F3200&amp;"|"&amp;$U3200&amp;"|"&amp;$D3200)</f>
        <v/>
      </c>
      <c r="W3200">
        <f>IF($T3200="","",IF($X3200&gt;N($X3199),$X3200,""))</f>
        <v/>
      </c>
      <c r="X3200">
        <f>IF($T3200="",N($X3199),IF(MATCH($T3200,$T$6:$T$6005,0)=ROW()-5,N($X3199)+1,N($X3199)))</f>
        <v/>
      </c>
      <c r="Z3200">
        <f>IF($V3200="","",IF($AA3200&gt;N($AA3199),$AA3200,""))</f>
        <v/>
      </c>
      <c r="AA3200">
        <f>IF($V3200="",N($AA3199),IF(MATCH($V3200,$V$6:$V$6005,0)=ROW()-5,N($AA3199)+1,N($AA3199)))</f>
        <v/>
      </c>
    </row>
    <row r="3201" ht="21" customHeight="1" s="66">
      <c r="A3201" s="56" t="n"/>
      <c r="B3201" s="57" t="n"/>
      <c r="C3201" s="57" t="n"/>
      <c r="D3201" s="57" t="n"/>
      <c r="E3201" s="56" t="n"/>
      <c r="F3201" s="57" t="n"/>
      <c r="G3201" s="57" t="n"/>
      <c r="H3201" s="56" t="n"/>
      <c r="I3201" s="56" t="n"/>
      <c r="J3201" s="58" t="n"/>
      <c r="K3201" s="58" t="n"/>
      <c r="L3201" s="13">
        <f>IF(OR($A3201="",AND($J3201="",$K3201="")),"",ROUND(N($J3201)-N($K3201),2))</f>
        <v/>
      </c>
      <c r="M3201" s="13">
        <f>IF(OR($A3201="",AND($J3201="",$K3201="")),"",MIN($J3201,$K3201))</f>
        <v/>
      </c>
      <c r="Q3201">
        <f>IF($A3201="","",$D3201&amp;"("&amp;SUBSTITUTE($E3201," ","")&amp;")")</f>
        <v/>
      </c>
      <c r="R3201">
        <f>IF($A3201="","",$B3201&amp;" - "&amp;$C3201)</f>
        <v/>
      </c>
      <c r="S3201">
        <f>IF($A3201="","",$R3201&amp;"|"&amp;$Q3201)</f>
        <v/>
      </c>
      <c r="T3201">
        <f>IF($A3201="","",$S3201&amp;"|"&amp;$F3201)</f>
        <v/>
      </c>
      <c r="U3201">
        <f>IF($A3201="","",$R3201&amp;"("&amp;$E3201&amp;")")</f>
        <v/>
      </c>
      <c r="V3201">
        <f>IF($A3201="","",$F3201&amp;"|"&amp;$U3201&amp;"|"&amp;$D3201)</f>
        <v/>
      </c>
      <c r="W3201">
        <f>IF($T3201="","",IF($X3201&gt;N($X3200),$X3201,""))</f>
        <v/>
      </c>
      <c r="X3201">
        <f>IF($T3201="",N($X3200),IF(MATCH($T3201,$T$6:$T$6005,0)=ROW()-5,N($X3200)+1,N($X3200)))</f>
        <v/>
      </c>
      <c r="Z3201">
        <f>IF($V3201="","",IF($AA3201&gt;N($AA3200),$AA3201,""))</f>
        <v/>
      </c>
      <c r="AA3201">
        <f>IF($V3201="",N($AA3200),IF(MATCH($V3201,$V$6:$V$6005,0)=ROW()-5,N($AA3200)+1,N($AA3200)))</f>
        <v/>
      </c>
    </row>
    <row r="3202" ht="21" customHeight="1" s="66">
      <c r="A3202" s="56" t="n"/>
      <c r="B3202" s="57" t="n"/>
      <c r="C3202" s="57" t="n"/>
      <c r="D3202" s="57" t="n"/>
      <c r="E3202" s="56" t="n"/>
      <c r="F3202" s="57" t="n"/>
      <c r="G3202" s="57" t="n"/>
      <c r="H3202" s="56" t="n"/>
      <c r="I3202" s="56" t="n"/>
      <c r="J3202" s="58" t="n"/>
      <c r="K3202" s="58" t="n"/>
      <c r="L3202" s="13">
        <f>IF(OR($A3202="",AND($J3202="",$K3202="")),"",ROUND(N($J3202)-N($K3202),2))</f>
        <v/>
      </c>
      <c r="M3202" s="13">
        <f>IF(OR($A3202="",AND($J3202="",$K3202="")),"",MIN($J3202,$K3202))</f>
        <v/>
      </c>
      <c r="Q3202">
        <f>IF($A3202="","",$D3202&amp;"("&amp;SUBSTITUTE($E3202," ","")&amp;")")</f>
        <v/>
      </c>
      <c r="R3202">
        <f>IF($A3202="","",$B3202&amp;" - "&amp;$C3202)</f>
        <v/>
      </c>
      <c r="S3202">
        <f>IF($A3202="","",$R3202&amp;"|"&amp;$Q3202)</f>
        <v/>
      </c>
      <c r="T3202">
        <f>IF($A3202="","",$S3202&amp;"|"&amp;$F3202)</f>
        <v/>
      </c>
      <c r="U3202">
        <f>IF($A3202="","",$R3202&amp;"("&amp;$E3202&amp;")")</f>
        <v/>
      </c>
      <c r="V3202">
        <f>IF($A3202="","",$F3202&amp;"|"&amp;$U3202&amp;"|"&amp;$D3202)</f>
        <v/>
      </c>
      <c r="W3202">
        <f>IF($T3202="","",IF($X3202&gt;N($X3201),$X3202,""))</f>
        <v/>
      </c>
      <c r="X3202">
        <f>IF($T3202="",N($X3201),IF(MATCH($T3202,$T$6:$T$6005,0)=ROW()-5,N($X3201)+1,N($X3201)))</f>
        <v/>
      </c>
      <c r="Z3202">
        <f>IF($V3202="","",IF($AA3202&gt;N($AA3201),$AA3202,""))</f>
        <v/>
      </c>
      <c r="AA3202">
        <f>IF($V3202="",N($AA3201),IF(MATCH($V3202,$V$6:$V$6005,0)=ROW()-5,N($AA3201)+1,N($AA3201)))</f>
        <v/>
      </c>
    </row>
    <row r="3203" ht="21" customHeight="1" s="66">
      <c r="A3203" s="56" t="n"/>
      <c r="B3203" s="57" t="n"/>
      <c r="C3203" s="57" t="n"/>
      <c r="D3203" s="57" t="n"/>
      <c r="E3203" s="56" t="n"/>
      <c r="F3203" s="57" t="n"/>
      <c r="G3203" s="57" t="n"/>
      <c r="H3203" s="56" t="n"/>
      <c r="I3203" s="56" t="n"/>
      <c r="J3203" s="58" t="n"/>
      <c r="K3203" s="58" t="n"/>
      <c r="L3203" s="13">
        <f>IF(OR($A3203="",AND($J3203="",$K3203="")),"",ROUND(N($J3203)-N($K3203),2))</f>
        <v/>
      </c>
      <c r="M3203" s="13">
        <f>IF(OR($A3203="",AND($J3203="",$K3203="")),"",MIN($J3203,$K3203))</f>
        <v/>
      </c>
      <c r="Q3203">
        <f>IF($A3203="","",$D3203&amp;"("&amp;SUBSTITUTE($E3203," ","")&amp;")")</f>
        <v/>
      </c>
      <c r="R3203">
        <f>IF($A3203="","",$B3203&amp;" - "&amp;$C3203)</f>
        <v/>
      </c>
      <c r="S3203">
        <f>IF($A3203="","",$R3203&amp;"|"&amp;$Q3203)</f>
        <v/>
      </c>
      <c r="T3203">
        <f>IF($A3203="","",$S3203&amp;"|"&amp;$F3203)</f>
        <v/>
      </c>
      <c r="U3203">
        <f>IF($A3203="","",$R3203&amp;"("&amp;$E3203&amp;")")</f>
        <v/>
      </c>
      <c r="V3203">
        <f>IF($A3203="","",$F3203&amp;"|"&amp;$U3203&amp;"|"&amp;$D3203)</f>
        <v/>
      </c>
      <c r="W3203">
        <f>IF($T3203="","",IF($X3203&gt;N($X3202),$X3203,""))</f>
        <v/>
      </c>
      <c r="X3203">
        <f>IF($T3203="",N($X3202),IF(MATCH($T3203,$T$6:$T$6005,0)=ROW()-5,N($X3202)+1,N($X3202)))</f>
        <v/>
      </c>
      <c r="Z3203">
        <f>IF($V3203="","",IF($AA3203&gt;N($AA3202),$AA3203,""))</f>
        <v/>
      </c>
      <c r="AA3203">
        <f>IF($V3203="",N($AA3202),IF(MATCH($V3203,$V$6:$V$6005,0)=ROW()-5,N($AA3202)+1,N($AA3202)))</f>
        <v/>
      </c>
    </row>
    <row r="3204" ht="21" customHeight="1" s="66">
      <c r="A3204" s="56" t="n"/>
      <c r="B3204" s="57" t="n"/>
      <c r="C3204" s="57" t="n"/>
      <c r="D3204" s="57" t="n"/>
      <c r="E3204" s="56" t="n"/>
      <c r="F3204" s="57" t="n"/>
      <c r="G3204" s="57" t="n"/>
      <c r="H3204" s="56" t="n"/>
      <c r="I3204" s="56" t="n"/>
      <c r="J3204" s="58" t="n"/>
      <c r="K3204" s="58" t="n"/>
      <c r="L3204" s="13">
        <f>IF(OR($A3204="",AND($J3204="",$K3204="")),"",ROUND(N($J3204)-N($K3204),2))</f>
        <v/>
      </c>
      <c r="M3204" s="13">
        <f>IF(OR($A3204="",AND($J3204="",$K3204="")),"",MIN($J3204,$K3204))</f>
        <v/>
      </c>
      <c r="Q3204">
        <f>IF($A3204="","",$D3204&amp;"("&amp;SUBSTITUTE($E3204," ","")&amp;")")</f>
        <v/>
      </c>
      <c r="R3204">
        <f>IF($A3204="","",$B3204&amp;" - "&amp;$C3204)</f>
        <v/>
      </c>
      <c r="S3204">
        <f>IF($A3204="","",$R3204&amp;"|"&amp;$Q3204)</f>
        <v/>
      </c>
      <c r="T3204">
        <f>IF($A3204="","",$S3204&amp;"|"&amp;$F3204)</f>
        <v/>
      </c>
      <c r="U3204">
        <f>IF($A3204="","",$R3204&amp;"("&amp;$E3204&amp;")")</f>
        <v/>
      </c>
      <c r="V3204">
        <f>IF($A3204="","",$F3204&amp;"|"&amp;$U3204&amp;"|"&amp;$D3204)</f>
        <v/>
      </c>
      <c r="W3204">
        <f>IF($T3204="","",IF($X3204&gt;N($X3203),$X3204,""))</f>
        <v/>
      </c>
      <c r="X3204">
        <f>IF($T3204="",N($X3203),IF(MATCH($T3204,$T$6:$T$6005,0)=ROW()-5,N($X3203)+1,N($X3203)))</f>
        <v/>
      </c>
      <c r="Z3204">
        <f>IF($V3204="","",IF($AA3204&gt;N($AA3203),$AA3204,""))</f>
        <v/>
      </c>
      <c r="AA3204">
        <f>IF($V3204="",N($AA3203),IF(MATCH($V3204,$V$6:$V$6005,0)=ROW()-5,N($AA3203)+1,N($AA3203)))</f>
        <v/>
      </c>
    </row>
    <row r="3205" ht="21" customHeight="1" s="66">
      <c r="A3205" s="56" t="n"/>
      <c r="B3205" s="57" t="n"/>
      <c r="C3205" s="57" t="n"/>
      <c r="D3205" s="57" t="n"/>
      <c r="E3205" s="56" t="n"/>
      <c r="F3205" s="57" t="n"/>
      <c r="G3205" s="57" t="n"/>
      <c r="H3205" s="56" t="n"/>
      <c r="I3205" s="56" t="n"/>
      <c r="J3205" s="58" t="n"/>
      <c r="K3205" s="58" t="n"/>
      <c r="L3205" s="13">
        <f>IF(OR($A3205="",AND($J3205="",$K3205="")),"",ROUND(N($J3205)-N($K3205),2))</f>
        <v/>
      </c>
      <c r="M3205" s="13">
        <f>IF(OR($A3205="",AND($J3205="",$K3205="")),"",MIN($J3205,$K3205))</f>
        <v/>
      </c>
      <c r="Q3205">
        <f>IF($A3205="","",$D3205&amp;"("&amp;SUBSTITUTE($E3205," ","")&amp;")")</f>
        <v/>
      </c>
      <c r="R3205">
        <f>IF($A3205="","",$B3205&amp;" - "&amp;$C3205)</f>
        <v/>
      </c>
      <c r="S3205">
        <f>IF($A3205="","",$R3205&amp;"|"&amp;$Q3205)</f>
        <v/>
      </c>
      <c r="T3205">
        <f>IF($A3205="","",$S3205&amp;"|"&amp;$F3205)</f>
        <v/>
      </c>
      <c r="U3205">
        <f>IF($A3205="","",$R3205&amp;"("&amp;$E3205&amp;")")</f>
        <v/>
      </c>
      <c r="V3205">
        <f>IF($A3205="","",$F3205&amp;"|"&amp;$U3205&amp;"|"&amp;$D3205)</f>
        <v/>
      </c>
      <c r="W3205">
        <f>IF($T3205="","",IF($X3205&gt;N($X3204),$X3205,""))</f>
        <v/>
      </c>
      <c r="X3205">
        <f>IF($T3205="",N($X3204),IF(MATCH($T3205,$T$6:$T$6005,0)=ROW()-5,N($X3204)+1,N($X3204)))</f>
        <v/>
      </c>
      <c r="Z3205">
        <f>IF($V3205="","",IF($AA3205&gt;N($AA3204),$AA3205,""))</f>
        <v/>
      </c>
      <c r="AA3205">
        <f>IF($V3205="",N($AA3204),IF(MATCH($V3205,$V$6:$V$6005,0)=ROW()-5,N($AA3204)+1,N($AA3204)))</f>
        <v/>
      </c>
    </row>
    <row r="3206" ht="21" customHeight="1" s="66">
      <c r="A3206" s="56" t="n"/>
      <c r="B3206" s="57" t="n"/>
      <c r="C3206" s="57" t="n"/>
      <c r="D3206" s="57" t="n"/>
      <c r="E3206" s="56" t="n"/>
      <c r="F3206" s="57" t="n"/>
      <c r="G3206" s="57" t="n"/>
      <c r="H3206" s="56" t="n"/>
      <c r="I3206" s="56" t="n"/>
      <c r="J3206" s="58" t="n"/>
      <c r="K3206" s="58" t="n"/>
      <c r="L3206" s="13">
        <f>IF(OR($A3206="",AND($J3206="",$K3206="")),"",ROUND(N($J3206)-N($K3206),2))</f>
        <v/>
      </c>
      <c r="M3206" s="13">
        <f>IF(OR($A3206="",AND($J3206="",$K3206="")),"",MIN($J3206,$K3206))</f>
        <v/>
      </c>
      <c r="Q3206">
        <f>IF($A3206="","",$D3206&amp;"("&amp;SUBSTITUTE($E3206," ","")&amp;")")</f>
        <v/>
      </c>
      <c r="R3206">
        <f>IF($A3206="","",$B3206&amp;" - "&amp;$C3206)</f>
        <v/>
      </c>
      <c r="S3206">
        <f>IF($A3206="","",$R3206&amp;"|"&amp;$Q3206)</f>
        <v/>
      </c>
      <c r="T3206">
        <f>IF($A3206="","",$S3206&amp;"|"&amp;$F3206)</f>
        <v/>
      </c>
      <c r="U3206">
        <f>IF($A3206="","",$R3206&amp;"("&amp;$E3206&amp;")")</f>
        <v/>
      </c>
      <c r="V3206">
        <f>IF($A3206="","",$F3206&amp;"|"&amp;$U3206&amp;"|"&amp;$D3206)</f>
        <v/>
      </c>
      <c r="W3206">
        <f>IF($T3206="","",IF($X3206&gt;N($X3205),$X3206,""))</f>
        <v/>
      </c>
      <c r="X3206">
        <f>IF($T3206="",N($X3205),IF(MATCH($T3206,$T$6:$T$6005,0)=ROW()-5,N($X3205)+1,N($X3205)))</f>
        <v/>
      </c>
      <c r="Z3206">
        <f>IF($V3206="","",IF($AA3206&gt;N($AA3205),$AA3206,""))</f>
        <v/>
      </c>
      <c r="AA3206">
        <f>IF($V3206="",N($AA3205),IF(MATCH($V3206,$V$6:$V$6005,0)=ROW()-5,N($AA3205)+1,N($AA3205)))</f>
        <v/>
      </c>
    </row>
    <row r="3207" ht="21" customHeight="1" s="66">
      <c r="A3207" s="56" t="n"/>
      <c r="B3207" s="57" t="n"/>
      <c r="C3207" s="57" t="n"/>
      <c r="D3207" s="57" t="n"/>
      <c r="E3207" s="56" t="n"/>
      <c r="F3207" s="57" t="n"/>
      <c r="G3207" s="57" t="n"/>
      <c r="H3207" s="56" t="n"/>
      <c r="I3207" s="56" t="n"/>
      <c r="J3207" s="58" t="n"/>
      <c r="K3207" s="58" t="n"/>
      <c r="L3207" s="13">
        <f>IF(OR($A3207="",AND($J3207="",$K3207="")),"",ROUND(N($J3207)-N($K3207),2))</f>
        <v/>
      </c>
      <c r="M3207" s="13">
        <f>IF(OR($A3207="",AND($J3207="",$K3207="")),"",MIN($J3207,$K3207))</f>
        <v/>
      </c>
      <c r="Q3207">
        <f>IF($A3207="","",$D3207&amp;"("&amp;SUBSTITUTE($E3207," ","")&amp;")")</f>
        <v/>
      </c>
      <c r="R3207">
        <f>IF($A3207="","",$B3207&amp;" - "&amp;$C3207)</f>
        <v/>
      </c>
      <c r="S3207">
        <f>IF($A3207="","",$R3207&amp;"|"&amp;$Q3207)</f>
        <v/>
      </c>
      <c r="T3207">
        <f>IF($A3207="","",$S3207&amp;"|"&amp;$F3207)</f>
        <v/>
      </c>
      <c r="U3207">
        <f>IF($A3207="","",$R3207&amp;"("&amp;$E3207&amp;")")</f>
        <v/>
      </c>
      <c r="V3207">
        <f>IF($A3207="","",$F3207&amp;"|"&amp;$U3207&amp;"|"&amp;$D3207)</f>
        <v/>
      </c>
      <c r="W3207">
        <f>IF($T3207="","",IF($X3207&gt;N($X3206),$X3207,""))</f>
        <v/>
      </c>
      <c r="X3207">
        <f>IF($T3207="",N($X3206),IF(MATCH($T3207,$T$6:$T$6005,0)=ROW()-5,N($X3206)+1,N($X3206)))</f>
        <v/>
      </c>
      <c r="Z3207">
        <f>IF($V3207="","",IF($AA3207&gt;N($AA3206),$AA3207,""))</f>
        <v/>
      </c>
      <c r="AA3207">
        <f>IF($V3207="",N($AA3206),IF(MATCH($V3207,$V$6:$V$6005,0)=ROW()-5,N($AA3206)+1,N($AA3206)))</f>
        <v/>
      </c>
    </row>
    <row r="3208" ht="21" customHeight="1" s="66">
      <c r="A3208" s="56" t="n"/>
      <c r="B3208" s="57" t="n"/>
      <c r="C3208" s="57" t="n"/>
      <c r="D3208" s="57" t="n"/>
      <c r="E3208" s="56" t="n"/>
      <c r="F3208" s="57" t="n"/>
      <c r="G3208" s="57" t="n"/>
      <c r="H3208" s="56" t="n"/>
      <c r="I3208" s="56" t="n"/>
      <c r="J3208" s="58" t="n"/>
      <c r="K3208" s="58" t="n"/>
      <c r="L3208" s="13">
        <f>IF(OR($A3208="",AND($J3208="",$K3208="")),"",ROUND(N($J3208)-N($K3208),2))</f>
        <v/>
      </c>
      <c r="M3208" s="13">
        <f>IF(OR($A3208="",AND($J3208="",$K3208="")),"",MIN($J3208,$K3208))</f>
        <v/>
      </c>
      <c r="Q3208">
        <f>IF($A3208="","",$D3208&amp;"("&amp;SUBSTITUTE($E3208," ","")&amp;")")</f>
        <v/>
      </c>
      <c r="R3208">
        <f>IF($A3208="","",$B3208&amp;" - "&amp;$C3208)</f>
        <v/>
      </c>
      <c r="S3208">
        <f>IF($A3208="","",$R3208&amp;"|"&amp;$Q3208)</f>
        <v/>
      </c>
      <c r="T3208">
        <f>IF($A3208="","",$S3208&amp;"|"&amp;$F3208)</f>
        <v/>
      </c>
      <c r="U3208">
        <f>IF($A3208="","",$R3208&amp;"("&amp;$E3208&amp;")")</f>
        <v/>
      </c>
      <c r="V3208">
        <f>IF($A3208="","",$F3208&amp;"|"&amp;$U3208&amp;"|"&amp;$D3208)</f>
        <v/>
      </c>
      <c r="W3208">
        <f>IF($T3208="","",IF($X3208&gt;N($X3207),$X3208,""))</f>
        <v/>
      </c>
      <c r="X3208">
        <f>IF($T3208="",N($X3207),IF(MATCH($T3208,$T$6:$T$6005,0)=ROW()-5,N($X3207)+1,N($X3207)))</f>
        <v/>
      </c>
      <c r="Z3208">
        <f>IF($V3208="","",IF($AA3208&gt;N($AA3207),$AA3208,""))</f>
        <v/>
      </c>
      <c r="AA3208">
        <f>IF($V3208="",N($AA3207),IF(MATCH($V3208,$V$6:$V$6005,0)=ROW()-5,N($AA3207)+1,N($AA3207)))</f>
        <v/>
      </c>
    </row>
    <row r="3209" ht="21" customHeight="1" s="66">
      <c r="A3209" s="56" t="n"/>
      <c r="B3209" s="57" t="n"/>
      <c r="C3209" s="57" t="n"/>
      <c r="D3209" s="57" t="n"/>
      <c r="E3209" s="56" t="n"/>
      <c r="F3209" s="57" t="n"/>
      <c r="G3209" s="57" t="n"/>
      <c r="H3209" s="56" t="n"/>
      <c r="I3209" s="56" t="n"/>
      <c r="J3209" s="58" t="n"/>
      <c r="K3209" s="58" t="n"/>
      <c r="L3209" s="13">
        <f>IF(OR($A3209="",AND($J3209="",$K3209="")),"",ROUND(N($J3209)-N($K3209),2))</f>
        <v/>
      </c>
      <c r="M3209" s="13">
        <f>IF(OR($A3209="",AND($J3209="",$K3209="")),"",MIN($J3209,$K3209))</f>
        <v/>
      </c>
      <c r="Q3209">
        <f>IF($A3209="","",$D3209&amp;"("&amp;SUBSTITUTE($E3209," ","")&amp;")")</f>
        <v/>
      </c>
      <c r="R3209">
        <f>IF($A3209="","",$B3209&amp;" - "&amp;$C3209)</f>
        <v/>
      </c>
      <c r="S3209">
        <f>IF($A3209="","",$R3209&amp;"|"&amp;$Q3209)</f>
        <v/>
      </c>
      <c r="T3209">
        <f>IF($A3209="","",$S3209&amp;"|"&amp;$F3209)</f>
        <v/>
      </c>
      <c r="U3209">
        <f>IF($A3209="","",$R3209&amp;"("&amp;$E3209&amp;")")</f>
        <v/>
      </c>
      <c r="V3209">
        <f>IF($A3209="","",$F3209&amp;"|"&amp;$U3209&amp;"|"&amp;$D3209)</f>
        <v/>
      </c>
      <c r="W3209">
        <f>IF($T3209="","",IF($X3209&gt;N($X3208),$X3209,""))</f>
        <v/>
      </c>
      <c r="X3209">
        <f>IF($T3209="",N($X3208),IF(MATCH($T3209,$T$6:$T$6005,0)=ROW()-5,N($X3208)+1,N($X3208)))</f>
        <v/>
      </c>
      <c r="Z3209">
        <f>IF($V3209="","",IF($AA3209&gt;N($AA3208),$AA3209,""))</f>
        <v/>
      </c>
      <c r="AA3209">
        <f>IF($V3209="",N($AA3208),IF(MATCH($V3209,$V$6:$V$6005,0)=ROW()-5,N($AA3208)+1,N($AA3208)))</f>
        <v/>
      </c>
    </row>
    <row r="3210" ht="21" customHeight="1" s="66">
      <c r="A3210" s="56" t="n"/>
      <c r="B3210" s="57" t="n"/>
      <c r="C3210" s="57" t="n"/>
      <c r="D3210" s="57" t="n"/>
      <c r="E3210" s="56" t="n"/>
      <c r="F3210" s="57" t="n"/>
      <c r="G3210" s="57" t="n"/>
      <c r="H3210" s="56" t="n"/>
      <c r="I3210" s="56" t="n"/>
      <c r="J3210" s="58" t="n"/>
      <c r="K3210" s="58" t="n"/>
      <c r="L3210" s="13">
        <f>IF(OR($A3210="",AND($J3210="",$K3210="")),"",ROUND(N($J3210)-N($K3210),2))</f>
        <v/>
      </c>
      <c r="M3210" s="13">
        <f>IF(OR($A3210="",AND($J3210="",$K3210="")),"",MIN($J3210,$K3210))</f>
        <v/>
      </c>
      <c r="Q3210">
        <f>IF($A3210="","",$D3210&amp;"("&amp;SUBSTITUTE($E3210," ","")&amp;")")</f>
        <v/>
      </c>
      <c r="R3210">
        <f>IF($A3210="","",$B3210&amp;" - "&amp;$C3210)</f>
        <v/>
      </c>
      <c r="S3210">
        <f>IF($A3210="","",$R3210&amp;"|"&amp;$Q3210)</f>
        <v/>
      </c>
      <c r="T3210">
        <f>IF($A3210="","",$S3210&amp;"|"&amp;$F3210)</f>
        <v/>
      </c>
      <c r="U3210">
        <f>IF($A3210="","",$R3210&amp;"("&amp;$E3210&amp;")")</f>
        <v/>
      </c>
      <c r="V3210">
        <f>IF($A3210="","",$F3210&amp;"|"&amp;$U3210&amp;"|"&amp;$D3210)</f>
        <v/>
      </c>
      <c r="W3210">
        <f>IF($T3210="","",IF($X3210&gt;N($X3209),$X3210,""))</f>
        <v/>
      </c>
      <c r="X3210">
        <f>IF($T3210="",N($X3209),IF(MATCH($T3210,$T$6:$T$6005,0)=ROW()-5,N($X3209)+1,N($X3209)))</f>
        <v/>
      </c>
      <c r="Z3210">
        <f>IF($V3210="","",IF($AA3210&gt;N($AA3209),$AA3210,""))</f>
        <v/>
      </c>
      <c r="AA3210">
        <f>IF($V3210="",N($AA3209),IF(MATCH($V3210,$V$6:$V$6005,0)=ROW()-5,N($AA3209)+1,N($AA3209)))</f>
        <v/>
      </c>
    </row>
    <row r="3211" ht="21" customHeight="1" s="66">
      <c r="A3211" s="56" t="n"/>
      <c r="B3211" s="57" t="n"/>
      <c r="C3211" s="57" t="n"/>
      <c r="D3211" s="57" t="n"/>
      <c r="E3211" s="56" t="n"/>
      <c r="F3211" s="57" t="n"/>
      <c r="G3211" s="57" t="n"/>
      <c r="H3211" s="56" t="n"/>
      <c r="I3211" s="56" t="n"/>
      <c r="J3211" s="58" t="n"/>
      <c r="K3211" s="58" t="n"/>
      <c r="L3211" s="13">
        <f>IF(OR($A3211="",AND($J3211="",$K3211="")),"",ROUND(N($J3211)-N($K3211),2))</f>
        <v/>
      </c>
      <c r="M3211" s="13">
        <f>IF(OR($A3211="",AND($J3211="",$K3211="")),"",MIN($J3211,$K3211))</f>
        <v/>
      </c>
      <c r="Q3211">
        <f>IF($A3211="","",$D3211&amp;"("&amp;SUBSTITUTE($E3211," ","")&amp;")")</f>
        <v/>
      </c>
      <c r="R3211">
        <f>IF($A3211="","",$B3211&amp;" - "&amp;$C3211)</f>
        <v/>
      </c>
      <c r="S3211">
        <f>IF($A3211="","",$R3211&amp;"|"&amp;$Q3211)</f>
        <v/>
      </c>
      <c r="T3211">
        <f>IF($A3211="","",$S3211&amp;"|"&amp;$F3211)</f>
        <v/>
      </c>
      <c r="U3211">
        <f>IF($A3211="","",$R3211&amp;"("&amp;$E3211&amp;")")</f>
        <v/>
      </c>
      <c r="V3211">
        <f>IF($A3211="","",$F3211&amp;"|"&amp;$U3211&amp;"|"&amp;$D3211)</f>
        <v/>
      </c>
      <c r="W3211">
        <f>IF($T3211="","",IF($X3211&gt;N($X3210),$X3211,""))</f>
        <v/>
      </c>
      <c r="X3211">
        <f>IF($T3211="",N($X3210),IF(MATCH($T3211,$T$6:$T$6005,0)=ROW()-5,N($X3210)+1,N($X3210)))</f>
        <v/>
      </c>
      <c r="Z3211">
        <f>IF($V3211="","",IF($AA3211&gt;N($AA3210),$AA3211,""))</f>
        <v/>
      </c>
      <c r="AA3211">
        <f>IF($V3211="",N($AA3210),IF(MATCH($V3211,$V$6:$V$6005,0)=ROW()-5,N($AA3210)+1,N($AA3210)))</f>
        <v/>
      </c>
    </row>
    <row r="3212" ht="21" customHeight="1" s="66">
      <c r="A3212" s="56" t="n"/>
      <c r="B3212" s="57" t="n"/>
      <c r="C3212" s="57" t="n"/>
      <c r="D3212" s="57" t="n"/>
      <c r="E3212" s="56" t="n"/>
      <c r="F3212" s="57" t="n"/>
      <c r="G3212" s="57" t="n"/>
      <c r="H3212" s="56" t="n"/>
      <c r="I3212" s="56" t="n"/>
      <c r="J3212" s="58" t="n"/>
      <c r="K3212" s="58" t="n"/>
      <c r="L3212" s="13">
        <f>IF(OR($A3212="",AND($J3212="",$K3212="")),"",ROUND(N($J3212)-N($K3212),2))</f>
        <v/>
      </c>
      <c r="M3212" s="13">
        <f>IF(OR($A3212="",AND($J3212="",$K3212="")),"",MIN($J3212,$K3212))</f>
        <v/>
      </c>
      <c r="Q3212">
        <f>IF($A3212="","",$D3212&amp;"("&amp;SUBSTITUTE($E3212," ","")&amp;")")</f>
        <v/>
      </c>
      <c r="R3212">
        <f>IF($A3212="","",$B3212&amp;" - "&amp;$C3212)</f>
        <v/>
      </c>
      <c r="S3212">
        <f>IF($A3212="","",$R3212&amp;"|"&amp;$Q3212)</f>
        <v/>
      </c>
      <c r="T3212">
        <f>IF($A3212="","",$S3212&amp;"|"&amp;$F3212)</f>
        <v/>
      </c>
      <c r="U3212">
        <f>IF($A3212="","",$R3212&amp;"("&amp;$E3212&amp;")")</f>
        <v/>
      </c>
      <c r="V3212">
        <f>IF($A3212="","",$F3212&amp;"|"&amp;$U3212&amp;"|"&amp;$D3212)</f>
        <v/>
      </c>
      <c r="W3212">
        <f>IF($T3212="","",IF($X3212&gt;N($X3211),$X3212,""))</f>
        <v/>
      </c>
      <c r="X3212">
        <f>IF($T3212="",N($X3211),IF(MATCH($T3212,$T$6:$T$6005,0)=ROW()-5,N($X3211)+1,N($X3211)))</f>
        <v/>
      </c>
      <c r="Z3212">
        <f>IF($V3212="","",IF($AA3212&gt;N($AA3211),$AA3212,""))</f>
        <v/>
      </c>
      <c r="AA3212">
        <f>IF($V3212="",N($AA3211),IF(MATCH($V3212,$V$6:$V$6005,0)=ROW()-5,N($AA3211)+1,N($AA3211)))</f>
        <v/>
      </c>
    </row>
    <row r="3213" ht="21" customHeight="1" s="66">
      <c r="A3213" s="56" t="n"/>
      <c r="B3213" s="57" t="n"/>
      <c r="C3213" s="57" t="n"/>
      <c r="D3213" s="57" t="n"/>
      <c r="E3213" s="56" t="n"/>
      <c r="F3213" s="57" t="n"/>
      <c r="G3213" s="57" t="n"/>
      <c r="H3213" s="56" t="n"/>
      <c r="I3213" s="56" t="n"/>
      <c r="J3213" s="58" t="n"/>
      <c r="K3213" s="58" t="n"/>
      <c r="L3213" s="13">
        <f>IF(OR($A3213="",AND($J3213="",$K3213="")),"",ROUND(N($J3213)-N($K3213),2))</f>
        <v/>
      </c>
      <c r="M3213" s="13">
        <f>IF(OR($A3213="",AND($J3213="",$K3213="")),"",MIN($J3213,$K3213))</f>
        <v/>
      </c>
      <c r="Q3213">
        <f>IF($A3213="","",$D3213&amp;"("&amp;SUBSTITUTE($E3213," ","")&amp;")")</f>
        <v/>
      </c>
      <c r="R3213">
        <f>IF($A3213="","",$B3213&amp;" - "&amp;$C3213)</f>
        <v/>
      </c>
      <c r="S3213">
        <f>IF($A3213="","",$R3213&amp;"|"&amp;$Q3213)</f>
        <v/>
      </c>
      <c r="T3213">
        <f>IF($A3213="","",$S3213&amp;"|"&amp;$F3213)</f>
        <v/>
      </c>
      <c r="U3213">
        <f>IF($A3213="","",$R3213&amp;"("&amp;$E3213&amp;")")</f>
        <v/>
      </c>
      <c r="V3213">
        <f>IF($A3213="","",$F3213&amp;"|"&amp;$U3213&amp;"|"&amp;$D3213)</f>
        <v/>
      </c>
      <c r="W3213">
        <f>IF($T3213="","",IF($X3213&gt;N($X3212),$X3213,""))</f>
        <v/>
      </c>
      <c r="X3213">
        <f>IF($T3213="",N($X3212),IF(MATCH($T3213,$T$6:$T$6005,0)=ROW()-5,N($X3212)+1,N($X3212)))</f>
        <v/>
      </c>
      <c r="Z3213">
        <f>IF($V3213="","",IF($AA3213&gt;N($AA3212),$AA3213,""))</f>
        <v/>
      </c>
      <c r="AA3213">
        <f>IF($V3213="",N($AA3212),IF(MATCH($V3213,$V$6:$V$6005,0)=ROW()-5,N($AA3212)+1,N($AA3212)))</f>
        <v/>
      </c>
    </row>
    <row r="3214" ht="21" customHeight="1" s="66">
      <c r="A3214" s="56" t="n"/>
      <c r="B3214" s="57" t="n"/>
      <c r="C3214" s="57" t="n"/>
      <c r="D3214" s="57" t="n"/>
      <c r="E3214" s="56" t="n"/>
      <c r="F3214" s="57" t="n"/>
      <c r="G3214" s="57" t="n"/>
      <c r="H3214" s="56" t="n"/>
      <c r="I3214" s="56" t="n"/>
      <c r="J3214" s="58" t="n"/>
      <c r="K3214" s="58" t="n"/>
      <c r="L3214" s="13">
        <f>IF(OR($A3214="",AND($J3214="",$K3214="")),"",ROUND(N($J3214)-N($K3214),2))</f>
        <v/>
      </c>
      <c r="M3214" s="13">
        <f>IF(OR($A3214="",AND($J3214="",$K3214="")),"",MIN($J3214,$K3214))</f>
        <v/>
      </c>
      <c r="Q3214">
        <f>IF($A3214="","",$D3214&amp;"("&amp;SUBSTITUTE($E3214," ","")&amp;")")</f>
        <v/>
      </c>
      <c r="R3214">
        <f>IF($A3214="","",$B3214&amp;" - "&amp;$C3214)</f>
        <v/>
      </c>
      <c r="S3214">
        <f>IF($A3214="","",$R3214&amp;"|"&amp;$Q3214)</f>
        <v/>
      </c>
      <c r="T3214">
        <f>IF($A3214="","",$S3214&amp;"|"&amp;$F3214)</f>
        <v/>
      </c>
      <c r="U3214">
        <f>IF($A3214="","",$R3214&amp;"("&amp;$E3214&amp;")")</f>
        <v/>
      </c>
      <c r="V3214">
        <f>IF($A3214="","",$F3214&amp;"|"&amp;$U3214&amp;"|"&amp;$D3214)</f>
        <v/>
      </c>
      <c r="W3214">
        <f>IF($T3214="","",IF($X3214&gt;N($X3213),$X3214,""))</f>
        <v/>
      </c>
      <c r="X3214">
        <f>IF($T3214="",N($X3213),IF(MATCH($T3214,$T$6:$T$6005,0)=ROW()-5,N($X3213)+1,N($X3213)))</f>
        <v/>
      </c>
      <c r="Z3214">
        <f>IF($V3214="","",IF($AA3214&gt;N($AA3213),$AA3214,""))</f>
        <v/>
      </c>
      <c r="AA3214">
        <f>IF($V3214="",N($AA3213),IF(MATCH($V3214,$V$6:$V$6005,0)=ROW()-5,N($AA3213)+1,N($AA3213)))</f>
        <v/>
      </c>
    </row>
    <row r="3215" ht="21" customHeight="1" s="66">
      <c r="A3215" s="56" t="n"/>
      <c r="B3215" s="57" t="n"/>
      <c r="C3215" s="57" t="n"/>
      <c r="D3215" s="57" t="n"/>
      <c r="E3215" s="56" t="n"/>
      <c r="F3215" s="57" t="n"/>
      <c r="G3215" s="57" t="n"/>
      <c r="H3215" s="56" t="n"/>
      <c r="I3215" s="56" t="n"/>
      <c r="J3215" s="58" t="n"/>
      <c r="K3215" s="58" t="n"/>
      <c r="L3215" s="13">
        <f>IF(OR($A3215="",AND($J3215="",$K3215="")),"",ROUND(N($J3215)-N($K3215),2))</f>
        <v/>
      </c>
      <c r="M3215" s="13">
        <f>IF(OR($A3215="",AND($J3215="",$K3215="")),"",MIN($J3215,$K3215))</f>
        <v/>
      </c>
      <c r="Q3215">
        <f>IF($A3215="","",$D3215&amp;"("&amp;SUBSTITUTE($E3215," ","")&amp;")")</f>
        <v/>
      </c>
      <c r="R3215">
        <f>IF($A3215="","",$B3215&amp;" - "&amp;$C3215)</f>
        <v/>
      </c>
      <c r="S3215">
        <f>IF($A3215="","",$R3215&amp;"|"&amp;$Q3215)</f>
        <v/>
      </c>
      <c r="T3215">
        <f>IF($A3215="","",$S3215&amp;"|"&amp;$F3215)</f>
        <v/>
      </c>
      <c r="U3215">
        <f>IF($A3215="","",$R3215&amp;"("&amp;$E3215&amp;")")</f>
        <v/>
      </c>
      <c r="V3215">
        <f>IF($A3215="","",$F3215&amp;"|"&amp;$U3215&amp;"|"&amp;$D3215)</f>
        <v/>
      </c>
      <c r="W3215">
        <f>IF($T3215="","",IF($X3215&gt;N($X3214),$X3215,""))</f>
        <v/>
      </c>
      <c r="X3215">
        <f>IF($T3215="",N($X3214),IF(MATCH($T3215,$T$6:$T$6005,0)=ROW()-5,N($X3214)+1,N($X3214)))</f>
        <v/>
      </c>
      <c r="Z3215">
        <f>IF($V3215="","",IF($AA3215&gt;N($AA3214),$AA3215,""))</f>
        <v/>
      </c>
      <c r="AA3215">
        <f>IF($V3215="",N($AA3214),IF(MATCH($V3215,$V$6:$V$6005,0)=ROW()-5,N($AA3214)+1,N($AA3214)))</f>
        <v/>
      </c>
    </row>
    <row r="3216" ht="21" customHeight="1" s="66">
      <c r="A3216" s="56" t="n"/>
      <c r="B3216" s="57" t="n"/>
      <c r="C3216" s="57" t="n"/>
      <c r="D3216" s="57" t="n"/>
      <c r="E3216" s="56" t="n"/>
      <c r="F3216" s="57" t="n"/>
      <c r="G3216" s="57" t="n"/>
      <c r="H3216" s="56" t="n"/>
      <c r="I3216" s="56" t="n"/>
      <c r="J3216" s="58" t="n"/>
      <c r="K3216" s="58" t="n"/>
      <c r="L3216" s="13">
        <f>IF(OR($A3216="",AND($J3216="",$K3216="")),"",ROUND(N($J3216)-N($K3216),2))</f>
        <v/>
      </c>
      <c r="M3216" s="13">
        <f>IF(OR($A3216="",AND($J3216="",$K3216="")),"",MIN($J3216,$K3216))</f>
        <v/>
      </c>
      <c r="Q3216">
        <f>IF($A3216="","",$D3216&amp;"("&amp;SUBSTITUTE($E3216," ","")&amp;")")</f>
        <v/>
      </c>
      <c r="R3216">
        <f>IF($A3216="","",$B3216&amp;" - "&amp;$C3216)</f>
        <v/>
      </c>
      <c r="S3216">
        <f>IF($A3216="","",$R3216&amp;"|"&amp;$Q3216)</f>
        <v/>
      </c>
      <c r="T3216">
        <f>IF($A3216="","",$S3216&amp;"|"&amp;$F3216)</f>
        <v/>
      </c>
      <c r="U3216">
        <f>IF($A3216="","",$R3216&amp;"("&amp;$E3216&amp;")")</f>
        <v/>
      </c>
      <c r="V3216">
        <f>IF($A3216="","",$F3216&amp;"|"&amp;$U3216&amp;"|"&amp;$D3216)</f>
        <v/>
      </c>
      <c r="W3216">
        <f>IF($T3216="","",IF($X3216&gt;N($X3215),$X3216,""))</f>
        <v/>
      </c>
      <c r="X3216">
        <f>IF($T3216="",N($X3215),IF(MATCH($T3216,$T$6:$T$6005,0)=ROW()-5,N($X3215)+1,N($X3215)))</f>
        <v/>
      </c>
      <c r="Z3216">
        <f>IF($V3216="","",IF($AA3216&gt;N($AA3215),$AA3216,""))</f>
        <v/>
      </c>
      <c r="AA3216">
        <f>IF($V3216="",N($AA3215),IF(MATCH($V3216,$V$6:$V$6005,0)=ROW()-5,N($AA3215)+1,N($AA3215)))</f>
        <v/>
      </c>
    </row>
    <row r="3217" ht="21" customHeight="1" s="66">
      <c r="A3217" s="56" t="n"/>
      <c r="B3217" s="57" t="n"/>
      <c r="C3217" s="57" t="n"/>
      <c r="D3217" s="57" t="n"/>
      <c r="E3217" s="56" t="n"/>
      <c r="F3217" s="57" t="n"/>
      <c r="G3217" s="57" t="n"/>
      <c r="H3217" s="56" t="n"/>
      <c r="I3217" s="56" t="n"/>
      <c r="J3217" s="58" t="n"/>
      <c r="K3217" s="58" t="n"/>
      <c r="L3217" s="13">
        <f>IF(OR($A3217="",AND($J3217="",$K3217="")),"",ROUND(N($J3217)-N($K3217),2))</f>
        <v/>
      </c>
      <c r="M3217" s="13">
        <f>IF(OR($A3217="",AND($J3217="",$K3217="")),"",MIN($J3217,$K3217))</f>
        <v/>
      </c>
      <c r="Q3217">
        <f>IF($A3217="","",$D3217&amp;"("&amp;SUBSTITUTE($E3217," ","")&amp;")")</f>
        <v/>
      </c>
      <c r="R3217">
        <f>IF($A3217="","",$B3217&amp;" - "&amp;$C3217)</f>
        <v/>
      </c>
      <c r="S3217">
        <f>IF($A3217="","",$R3217&amp;"|"&amp;$Q3217)</f>
        <v/>
      </c>
      <c r="T3217">
        <f>IF($A3217="","",$S3217&amp;"|"&amp;$F3217)</f>
        <v/>
      </c>
      <c r="U3217">
        <f>IF($A3217="","",$R3217&amp;"("&amp;$E3217&amp;")")</f>
        <v/>
      </c>
      <c r="V3217">
        <f>IF($A3217="","",$F3217&amp;"|"&amp;$U3217&amp;"|"&amp;$D3217)</f>
        <v/>
      </c>
      <c r="W3217">
        <f>IF($T3217="","",IF($X3217&gt;N($X3216),$X3217,""))</f>
        <v/>
      </c>
      <c r="X3217">
        <f>IF($T3217="",N($X3216),IF(MATCH($T3217,$T$6:$T$6005,0)=ROW()-5,N($X3216)+1,N($X3216)))</f>
        <v/>
      </c>
      <c r="Z3217">
        <f>IF($V3217="","",IF($AA3217&gt;N($AA3216),$AA3217,""))</f>
        <v/>
      </c>
      <c r="AA3217">
        <f>IF($V3217="",N($AA3216),IF(MATCH($V3217,$V$6:$V$6005,0)=ROW()-5,N($AA3216)+1,N($AA3216)))</f>
        <v/>
      </c>
    </row>
    <row r="3218" ht="21" customHeight="1" s="66">
      <c r="A3218" s="56" t="n"/>
      <c r="B3218" s="57" t="n"/>
      <c r="C3218" s="57" t="n"/>
      <c r="D3218" s="57" t="n"/>
      <c r="E3218" s="56" t="n"/>
      <c r="F3218" s="57" t="n"/>
      <c r="G3218" s="57" t="n"/>
      <c r="H3218" s="56" t="n"/>
      <c r="I3218" s="56" t="n"/>
      <c r="J3218" s="58" t="n"/>
      <c r="K3218" s="58" t="n"/>
      <c r="L3218" s="13">
        <f>IF(OR($A3218="",AND($J3218="",$K3218="")),"",ROUND(N($J3218)-N($K3218),2))</f>
        <v/>
      </c>
      <c r="M3218" s="13">
        <f>IF(OR($A3218="",AND($J3218="",$K3218="")),"",MIN($J3218,$K3218))</f>
        <v/>
      </c>
      <c r="Q3218">
        <f>IF($A3218="","",$D3218&amp;"("&amp;SUBSTITUTE($E3218," ","")&amp;")")</f>
        <v/>
      </c>
      <c r="R3218">
        <f>IF($A3218="","",$B3218&amp;" - "&amp;$C3218)</f>
        <v/>
      </c>
      <c r="S3218">
        <f>IF($A3218="","",$R3218&amp;"|"&amp;$Q3218)</f>
        <v/>
      </c>
      <c r="T3218">
        <f>IF($A3218="","",$S3218&amp;"|"&amp;$F3218)</f>
        <v/>
      </c>
      <c r="U3218">
        <f>IF($A3218="","",$R3218&amp;"("&amp;$E3218&amp;")")</f>
        <v/>
      </c>
      <c r="V3218">
        <f>IF($A3218="","",$F3218&amp;"|"&amp;$U3218&amp;"|"&amp;$D3218)</f>
        <v/>
      </c>
      <c r="W3218">
        <f>IF($T3218="","",IF($X3218&gt;N($X3217),$X3218,""))</f>
        <v/>
      </c>
      <c r="X3218">
        <f>IF($T3218="",N($X3217),IF(MATCH($T3218,$T$6:$T$6005,0)=ROW()-5,N($X3217)+1,N($X3217)))</f>
        <v/>
      </c>
      <c r="Z3218">
        <f>IF($V3218="","",IF($AA3218&gt;N($AA3217),$AA3218,""))</f>
        <v/>
      </c>
      <c r="AA3218">
        <f>IF($V3218="",N($AA3217),IF(MATCH($V3218,$V$6:$V$6005,0)=ROW()-5,N($AA3217)+1,N($AA3217)))</f>
        <v/>
      </c>
    </row>
    <row r="3219" ht="21" customHeight="1" s="66">
      <c r="A3219" s="56" t="n"/>
      <c r="B3219" s="57" t="n"/>
      <c r="C3219" s="57" t="n"/>
      <c r="D3219" s="57" t="n"/>
      <c r="E3219" s="56" t="n"/>
      <c r="F3219" s="57" t="n"/>
      <c r="G3219" s="57" t="n"/>
      <c r="H3219" s="56" t="n"/>
      <c r="I3219" s="56" t="n"/>
      <c r="J3219" s="58" t="n"/>
      <c r="K3219" s="58" t="n"/>
      <c r="L3219" s="13">
        <f>IF(OR($A3219="",AND($J3219="",$K3219="")),"",ROUND(N($J3219)-N($K3219),2))</f>
        <v/>
      </c>
      <c r="M3219" s="13">
        <f>IF(OR($A3219="",AND($J3219="",$K3219="")),"",MIN($J3219,$K3219))</f>
        <v/>
      </c>
      <c r="Q3219">
        <f>IF($A3219="","",$D3219&amp;"("&amp;SUBSTITUTE($E3219," ","")&amp;")")</f>
        <v/>
      </c>
      <c r="R3219">
        <f>IF($A3219="","",$B3219&amp;" - "&amp;$C3219)</f>
        <v/>
      </c>
      <c r="S3219">
        <f>IF($A3219="","",$R3219&amp;"|"&amp;$Q3219)</f>
        <v/>
      </c>
      <c r="T3219">
        <f>IF($A3219="","",$S3219&amp;"|"&amp;$F3219)</f>
        <v/>
      </c>
      <c r="U3219">
        <f>IF($A3219="","",$R3219&amp;"("&amp;$E3219&amp;")")</f>
        <v/>
      </c>
      <c r="V3219">
        <f>IF($A3219="","",$F3219&amp;"|"&amp;$U3219&amp;"|"&amp;$D3219)</f>
        <v/>
      </c>
      <c r="W3219">
        <f>IF($T3219="","",IF($X3219&gt;N($X3218),$X3219,""))</f>
        <v/>
      </c>
      <c r="X3219">
        <f>IF($T3219="",N($X3218),IF(MATCH($T3219,$T$6:$T$6005,0)=ROW()-5,N($X3218)+1,N($X3218)))</f>
        <v/>
      </c>
      <c r="Z3219">
        <f>IF($V3219="","",IF($AA3219&gt;N($AA3218),$AA3219,""))</f>
        <v/>
      </c>
      <c r="AA3219">
        <f>IF($V3219="",N($AA3218),IF(MATCH($V3219,$V$6:$V$6005,0)=ROW()-5,N($AA3218)+1,N($AA3218)))</f>
        <v/>
      </c>
    </row>
    <row r="3220" ht="21" customHeight="1" s="66">
      <c r="A3220" s="56" t="n"/>
      <c r="B3220" s="57" t="n"/>
      <c r="C3220" s="57" t="n"/>
      <c r="D3220" s="57" t="n"/>
      <c r="E3220" s="56" t="n"/>
      <c r="F3220" s="57" t="n"/>
      <c r="G3220" s="57" t="n"/>
      <c r="H3220" s="56" t="n"/>
      <c r="I3220" s="56" t="n"/>
      <c r="J3220" s="58" t="n"/>
      <c r="K3220" s="58" t="n"/>
      <c r="L3220" s="13">
        <f>IF(OR($A3220="",AND($J3220="",$K3220="")),"",ROUND(N($J3220)-N($K3220),2))</f>
        <v/>
      </c>
      <c r="M3220" s="13">
        <f>IF(OR($A3220="",AND($J3220="",$K3220="")),"",MIN($J3220,$K3220))</f>
        <v/>
      </c>
      <c r="Q3220">
        <f>IF($A3220="","",$D3220&amp;"("&amp;SUBSTITUTE($E3220," ","")&amp;")")</f>
        <v/>
      </c>
      <c r="R3220">
        <f>IF($A3220="","",$B3220&amp;" - "&amp;$C3220)</f>
        <v/>
      </c>
      <c r="S3220">
        <f>IF($A3220="","",$R3220&amp;"|"&amp;$Q3220)</f>
        <v/>
      </c>
      <c r="T3220">
        <f>IF($A3220="","",$S3220&amp;"|"&amp;$F3220)</f>
        <v/>
      </c>
      <c r="U3220">
        <f>IF($A3220="","",$R3220&amp;"("&amp;$E3220&amp;")")</f>
        <v/>
      </c>
      <c r="V3220">
        <f>IF($A3220="","",$F3220&amp;"|"&amp;$U3220&amp;"|"&amp;$D3220)</f>
        <v/>
      </c>
      <c r="W3220">
        <f>IF($T3220="","",IF($X3220&gt;N($X3219),$X3220,""))</f>
        <v/>
      </c>
      <c r="X3220">
        <f>IF($T3220="",N($X3219),IF(MATCH($T3220,$T$6:$T$6005,0)=ROW()-5,N($X3219)+1,N($X3219)))</f>
        <v/>
      </c>
      <c r="Z3220">
        <f>IF($V3220="","",IF($AA3220&gt;N($AA3219),$AA3220,""))</f>
        <v/>
      </c>
      <c r="AA3220">
        <f>IF($V3220="",N($AA3219),IF(MATCH($V3220,$V$6:$V$6005,0)=ROW()-5,N($AA3219)+1,N($AA3219)))</f>
        <v/>
      </c>
    </row>
    <row r="3221" ht="21" customHeight="1" s="66">
      <c r="A3221" s="56" t="n"/>
      <c r="B3221" s="57" t="n"/>
      <c r="C3221" s="57" t="n"/>
      <c r="D3221" s="57" t="n"/>
      <c r="E3221" s="56" t="n"/>
      <c r="F3221" s="57" t="n"/>
      <c r="G3221" s="57" t="n"/>
      <c r="H3221" s="56" t="n"/>
      <c r="I3221" s="56" t="n"/>
      <c r="J3221" s="58" t="n"/>
      <c r="K3221" s="58" t="n"/>
      <c r="L3221" s="13">
        <f>IF(OR($A3221="",AND($J3221="",$K3221="")),"",ROUND(N($J3221)-N($K3221),2))</f>
        <v/>
      </c>
      <c r="M3221" s="13">
        <f>IF(OR($A3221="",AND($J3221="",$K3221="")),"",MIN($J3221,$K3221))</f>
        <v/>
      </c>
      <c r="Q3221">
        <f>IF($A3221="","",$D3221&amp;"("&amp;SUBSTITUTE($E3221," ","")&amp;")")</f>
        <v/>
      </c>
      <c r="R3221">
        <f>IF($A3221="","",$B3221&amp;" - "&amp;$C3221)</f>
        <v/>
      </c>
      <c r="S3221">
        <f>IF($A3221="","",$R3221&amp;"|"&amp;$Q3221)</f>
        <v/>
      </c>
      <c r="T3221">
        <f>IF($A3221="","",$S3221&amp;"|"&amp;$F3221)</f>
        <v/>
      </c>
      <c r="U3221">
        <f>IF($A3221="","",$R3221&amp;"("&amp;$E3221&amp;")")</f>
        <v/>
      </c>
      <c r="V3221">
        <f>IF($A3221="","",$F3221&amp;"|"&amp;$U3221&amp;"|"&amp;$D3221)</f>
        <v/>
      </c>
      <c r="W3221">
        <f>IF($T3221="","",IF($X3221&gt;N($X3220),$X3221,""))</f>
        <v/>
      </c>
      <c r="X3221">
        <f>IF($T3221="",N($X3220),IF(MATCH($T3221,$T$6:$T$6005,0)=ROW()-5,N($X3220)+1,N($X3220)))</f>
        <v/>
      </c>
      <c r="Z3221">
        <f>IF($V3221="","",IF($AA3221&gt;N($AA3220),$AA3221,""))</f>
        <v/>
      </c>
      <c r="AA3221">
        <f>IF($V3221="",N($AA3220),IF(MATCH($V3221,$V$6:$V$6005,0)=ROW()-5,N($AA3220)+1,N($AA3220)))</f>
        <v/>
      </c>
    </row>
    <row r="3222" ht="21" customHeight="1" s="66">
      <c r="A3222" s="56" t="n"/>
      <c r="B3222" s="57" t="n"/>
      <c r="C3222" s="57" t="n"/>
      <c r="D3222" s="57" t="n"/>
      <c r="E3222" s="56" t="n"/>
      <c r="F3222" s="57" t="n"/>
      <c r="G3222" s="57" t="n"/>
      <c r="H3222" s="56" t="n"/>
      <c r="I3222" s="56" t="n"/>
      <c r="J3222" s="58" t="n"/>
      <c r="K3222" s="58" t="n"/>
      <c r="L3222" s="13">
        <f>IF(OR($A3222="",AND($J3222="",$K3222="")),"",ROUND(N($J3222)-N($K3222),2))</f>
        <v/>
      </c>
      <c r="M3222" s="13">
        <f>IF(OR($A3222="",AND($J3222="",$K3222="")),"",MIN($J3222,$K3222))</f>
        <v/>
      </c>
      <c r="Q3222">
        <f>IF($A3222="","",$D3222&amp;"("&amp;SUBSTITUTE($E3222," ","")&amp;")")</f>
        <v/>
      </c>
      <c r="R3222">
        <f>IF($A3222="","",$B3222&amp;" - "&amp;$C3222)</f>
        <v/>
      </c>
      <c r="S3222">
        <f>IF($A3222="","",$R3222&amp;"|"&amp;$Q3222)</f>
        <v/>
      </c>
      <c r="T3222">
        <f>IF($A3222="","",$S3222&amp;"|"&amp;$F3222)</f>
        <v/>
      </c>
      <c r="U3222">
        <f>IF($A3222="","",$R3222&amp;"("&amp;$E3222&amp;")")</f>
        <v/>
      </c>
      <c r="V3222">
        <f>IF($A3222="","",$F3222&amp;"|"&amp;$U3222&amp;"|"&amp;$D3222)</f>
        <v/>
      </c>
      <c r="W3222">
        <f>IF($T3222="","",IF($X3222&gt;N($X3221),$X3222,""))</f>
        <v/>
      </c>
      <c r="X3222">
        <f>IF($T3222="",N($X3221),IF(MATCH($T3222,$T$6:$T$6005,0)=ROW()-5,N($X3221)+1,N($X3221)))</f>
        <v/>
      </c>
      <c r="Z3222">
        <f>IF($V3222="","",IF($AA3222&gt;N($AA3221),$AA3222,""))</f>
        <v/>
      </c>
      <c r="AA3222">
        <f>IF($V3222="",N($AA3221),IF(MATCH($V3222,$V$6:$V$6005,0)=ROW()-5,N($AA3221)+1,N($AA3221)))</f>
        <v/>
      </c>
    </row>
    <row r="3223" ht="21" customHeight="1" s="66">
      <c r="A3223" s="56" t="n"/>
      <c r="B3223" s="57" t="n"/>
      <c r="C3223" s="57" t="n"/>
      <c r="D3223" s="57" t="n"/>
      <c r="E3223" s="56" t="n"/>
      <c r="F3223" s="57" t="n"/>
      <c r="G3223" s="57" t="n"/>
      <c r="H3223" s="56" t="n"/>
      <c r="I3223" s="56" t="n"/>
      <c r="J3223" s="58" t="n"/>
      <c r="K3223" s="58" t="n"/>
      <c r="L3223" s="13">
        <f>IF(OR($A3223="",AND($J3223="",$K3223="")),"",ROUND(N($J3223)-N($K3223),2))</f>
        <v/>
      </c>
      <c r="M3223" s="13">
        <f>IF(OR($A3223="",AND($J3223="",$K3223="")),"",MIN($J3223,$K3223))</f>
        <v/>
      </c>
      <c r="Q3223">
        <f>IF($A3223="","",$D3223&amp;"("&amp;SUBSTITUTE($E3223," ","")&amp;")")</f>
        <v/>
      </c>
      <c r="R3223">
        <f>IF($A3223="","",$B3223&amp;" - "&amp;$C3223)</f>
        <v/>
      </c>
      <c r="S3223">
        <f>IF($A3223="","",$R3223&amp;"|"&amp;$Q3223)</f>
        <v/>
      </c>
      <c r="T3223">
        <f>IF($A3223="","",$S3223&amp;"|"&amp;$F3223)</f>
        <v/>
      </c>
      <c r="U3223">
        <f>IF($A3223="","",$R3223&amp;"("&amp;$E3223&amp;")")</f>
        <v/>
      </c>
      <c r="V3223">
        <f>IF($A3223="","",$F3223&amp;"|"&amp;$U3223&amp;"|"&amp;$D3223)</f>
        <v/>
      </c>
      <c r="W3223">
        <f>IF($T3223="","",IF($X3223&gt;N($X3222),$X3223,""))</f>
        <v/>
      </c>
      <c r="X3223">
        <f>IF($T3223="",N($X3222),IF(MATCH($T3223,$T$6:$T$6005,0)=ROW()-5,N($X3222)+1,N($X3222)))</f>
        <v/>
      </c>
      <c r="Z3223">
        <f>IF($V3223="","",IF($AA3223&gt;N($AA3222),$AA3223,""))</f>
        <v/>
      </c>
      <c r="AA3223">
        <f>IF($V3223="",N($AA3222),IF(MATCH($V3223,$V$6:$V$6005,0)=ROW()-5,N($AA3222)+1,N($AA3222)))</f>
        <v/>
      </c>
    </row>
    <row r="3224" ht="21" customHeight="1" s="66">
      <c r="A3224" s="56" t="n"/>
      <c r="B3224" s="57" t="n"/>
      <c r="C3224" s="57" t="n"/>
      <c r="D3224" s="57" t="n"/>
      <c r="E3224" s="56" t="n"/>
      <c r="F3224" s="57" t="n"/>
      <c r="G3224" s="57" t="n"/>
      <c r="H3224" s="56" t="n"/>
      <c r="I3224" s="56" t="n"/>
      <c r="J3224" s="58" t="n"/>
      <c r="K3224" s="58" t="n"/>
      <c r="L3224" s="13">
        <f>IF(OR($A3224="",AND($J3224="",$K3224="")),"",ROUND(N($J3224)-N($K3224),2))</f>
        <v/>
      </c>
      <c r="M3224" s="13">
        <f>IF(OR($A3224="",AND($J3224="",$K3224="")),"",MIN($J3224,$K3224))</f>
        <v/>
      </c>
      <c r="Q3224">
        <f>IF($A3224="","",$D3224&amp;"("&amp;SUBSTITUTE($E3224," ","")&amp;")")</f>
        <v/>
      </c>
      <c r="R3224">
        <f>IF($A3224="","",$B3224&amp;" - "&amp;$C3224)</f>
        <v/>
      </c>
      <c r="S3224">
        <f>IF($A3224="","",$R3224&amp;"|"&amp;$Q3224)</f>
        <v/>
      </c>
      <c r="T3224">
        <f>IF($A3224="","",$S3224&amp;"|"&amp;$F3224)</f>
        <v/>
      </c>
      <c r="U3224">
        <f>IF($A3224="","",$R3224&amp;"("&amp;$E3224&amp;")")</f>
        <v/>
      </c>
      <c r="V3224">
        <f>IF($A3224="","",$F3224&amp;"|"&amp;$U3224&amp;"|"&amp;$D3224)</f>
        <v/>
      </c>
      <c r="W3224">
        <f>IF($T3224="","",IF($X3224&gt;N($X3223),$X3224,""))</f>
        <v/>
      </c>
      <c r="X3224">
        <f>IF($T3224="",N($X3223),IF(MATCH($T3224,$T$6:$T$6005,0)=ROW()-5,N($X3223)+1,N($X3223)))</f>
        <v/>
      </c>
      <c r="Z3224">
        <f>IF($V3224="","",IF($AA3224&gt;N($AA3223),$AA3224,""))</f>
        <v/>
      </c>
      <c r="AA3224">
        <f>IF($V3224="",N($AA3223),IF(MATCH($V3224,$V$6:$V$6005,0)=ROW()-5,N($AA3223)+1,N($AA3223)))</f>
        <v/>
      </c>
    </row>
    <row r="3225" ht="21" customHeight="1" s="66">
      <c r="A3225" s="56" t="n"/>
      <c r="B3225" s="57" t="n"/>
      <c r="C3225" s="57" t="n"/>
      <c r="D3225" s="57" t="n"/>
      <c r="E3225" s="56" t="n"/>
      <c r="F3225" s="57" t="n"/>
      <c r="G3225" s="57" t="n"/>
      <c r="H3225" s="56" t="n"/>
      <c r="I3225" s="56" t="n"/>
      <c r="J3225" s="58" t="n"/>
      <c r="K3225" s="58" t="n"/>
      <c r="L3225" s="13">
        <f>IF(OR($A3225="",AND($J3225="",$K3225="")),"",ROUND(N($J3225)-N($K3225),2))</f>
        <v/>
      </c>
      <c r="M3225" s="13">
        <f>IF(OR($A3225="",AND($J3225="",$K3225="")),"",MIN($J3225,$K3225))</f>
        <v/>
      </c>
      <c r="Q3225">
        <f>IF($A3225="","",$D3225&amp;"("&amp;SUBSTITUTE($E3225," ","")&amp;")")</f>
        <v/>
      </c>
      <c r="R3225">
        <f>IF($A3225="","",$B3225&amp;" - "&amp;$C3225)</f>
        <v/>
      </c>
      <c r="S3225">
        <f>IF($A3225="","",$R3225&amp;"|"&amp;$Q3225)</f>
        <v/>
      </c>
      <c r="T3225">
        <f>IF($A3225="","",$S3225&amp;"|"&amp;$F3225)</f>
        <v/>
      </c>
      <c r="U3225">
        <f>IF($A3225="","",$R3225&amp;"("&amp;$E3225&amp;")")</f>
        <v/>
      </c>
      <c r="V3225">
        <f>IF($A3225="","",$F3225&amp;"|"&amp;$U3225&amp;"|"&amp;$D3225)</f>
        <v/>
      </c>
      <c r="W3225">
        <f>IF($T3225="","",IF($X3225&gt;N($X3224),$X3225,""))</f>
        <v/>
      </c>
      <c r="X3225">
        <f>IF($T3225="",N($X3224),IF(MATCH($T3225,$T$6:$T$6005,0)=ROW()-5,N($X3224)+1,N($X3224)))</f>
        <v/>
      </c>
      <c r="Z3225">
        <f>IF($V3225="","",IF($AA3225&gt;N($AA3224),$AA3225,""))</f>
        <v/>
      </c>
      <c r="AA3225">
        <f>IF($V3225="",N($AA3224),IF(MATCH($V3225,$V$6:$V$6005,0)=ROW()-5,N($AA3224)+1,N($AA3224)))</f>
        <v/>
      </c>
    </row>
    <row r="3226" ht="21" customHeight="1" s="66">
      <c r="A3226" s="56" t="n"/>
      <c r="B3226" s="57" t="n"/>
      <c r="C3226" s="57" t="n"/>
      <c r="D3226" s="57" t="n"/>
      <c r="E3226" s="56" t="n"/>
      <c r="F3226" s="57" t="n"/>
      <c r="G3226" s="57" t="n"/>
      <c r="H3226" s="56" t="n"/>
      <c r="I3226" s="56" t="n"/>
      <c r="J3226" s="58" t="n"/>
      <c r="K3226" s="58" t="n"/>
      <c r="L3226" s="13">
        <f>IF(OR($A3226="",AND($J3226="",$K3226="")),"",ROUND(N($J3226)-N($K3226),2))</f>
        <v/>
      </c>
      <c r="M3226" s="13">
        <f>IF(OR($A3226="",AND($J3226="",$K3226="")),"",MIN($J3226,$K3226))</f>
        <v/>
      </c>
      <c r="Q3226">
        <f>IF($A3226="","",$D3226&amp;"("&amp;SUBSTITUTE($E3226," ","")&amp;")")</f>
        <v/>
      </c>
      <c r="R3226">
        <f>IF($A3226="","",$B3226&amp;" - "&amp;$C3226)</f>
        <v/>
      </c>
      <c r="S3226">
        <f>IF($A3226="","",$R3226&amp;"|"&amp;$Q3226)</f>
        <v/>
      </c>
      <c r="T3226">
        <f>IF($A3226="","",$S3226&amp;"|"&amp;$F3226)</f>
        <v/>
      </c>
      <c r="U3226">
        <f>IF($A3226="","",$R3226&amp;"("&amp;$E3226&amp;")")</f>
        <v/>
      </c>
      <c r="V3226">
        <f>IF($A3226="","",$F3226&amp;"|"&amp;$U3226&amp;"|"&amp;$D3226)</f>
        <v/>
      </c>
      <c r="W3226">
        <f>IF($T3226="","",IF($X3226&gt;N($X3225),$X3226,""))</f>
        <v/>
      </c>
      <c r="X3226">
        <f>IF($T3226="",N($X3225),IF(MATCH($T3226,$T$6:$T$6005,0)=ROW()-5,N($X3225)+1,N($X3225)))</f>
        <v/>
      </c>
      <c r="Z3226">
        <f>IF($V3226="","",IF($AA3226&gt;N($AA3225),$AA3226,""))</f>
        <v/>
      </c>
      <c r="AA3226">
        <f>IF($V3226="",N($AA3225),IF(MATCH($V3226,$V$6:$V$6005,0)=ROW()-5,N($AA3225)+1,N($AA3225)))</f>
        <v/>
      </c>
    </row>
    <row r="3227" ht="21" customHeight="1" s="66">
      <c r="A3227" s="56" t="n"/>
      <c r="B3227" s="57" t="n"/>
      <c r="C3227" s="57" t="n"/>
      <c r="D3227" s="57" t="n"/>
      <c r="E3227" s="56" t="n"/>
      <c r="F3227" s="57" t="n"/>
      <c r="G3227" s="57" t="n"/>
      <c r="H3227" s="56" t="n"/>
      <c r="I3227" s="56" t="n"/>
      <c r="J3227" s="58" t="n"/>
      <c r="K3227" s="58" t="n"/>
      <c r="L3227" s="13">
        <f>IF(OR($A3227="",AND($J3227="",$K3227="")),"",ROUND(N($J3227)-N($K3227),2))</f>
        <v/>
      </c>
      <c r="M3227" s="13">
        <f>IF(OR($A3227="",AND($J3227="",$K3227="")),"",MIN($J3227,$K3227))</f>
        <v/>
      </c>
      <c r="Q3227">
        <f>IF($A3227="","",$D3227&amp;"("&amp;SUBSTITUTE($E3227," ","")&amp;")")</f>
        <v/>
      </c>
      <c r="R3227">
        <f>IF($A3227="","",$B3227&amp;" - "&amp;$C3227)</f>
        <v/>
      </c>
      <c r="S3227">
        <f>IF($A3227="","",$R3227&amp;"|"&amp;$Q3227)</f>
        <v/>
      </c>
      <c r="T3227">
        <f>IF($A3227="","",$S3227&amp;"|"&amp;$F3227)</f>
        <v/>
      </c>
      <c r="U3227">
        <f>IF($A3227="","",$R3227&amp;"("&amp;$E3227&amp;")")</f>
        <v/>
      </c>
      <c r="V3227">
        <f>IF($A3227="","",$F3227&amp;"|"&amp;$U3227&amp;"|"&amp;$D3227)</f>
        <v/>
      </c>
      <c r="W3227">
        <f>IF($T3227="","",IF($X3227&gt;N($X3226),$X3227,""))</f>
        <v/>
      </c>
      <c r="X3227">
        <f>IF($T3227="",N($X3226),IF(MATCH($T3227,$T$6:$T$6005,0)=ROW()-5,N($X3226)+1,N($X3226)))</f>
        <v/>
      </c>
      <c r="Z3227">
        <f>IF($V3227="","",IF($AA3227&gt;N($AA3226),$AA3227,""))</f>
        <v/>
      </c>
      <c r="AA3227">
        <f>IF($V3227="",N($AA3226),IF(MATCH($V3227,$V$6:$V$6005,0)=ROW()-5,N($AA3226)+1,N($AA3226)))</f>
        <v/>
      </c>
    </row>
    <row r="3228" ht="21" customHeight="1" s="66">
      <c r="A3228" s="56" t="n"/>
      <c r="B3228" s="57" t="n"/>
      <c r="C3228" s="57" t="n"/>
      <c r="D3228" s="57" t="n"/>
      <c r="E3228" s="56" t="n"/>
      <c r="F3228" s="57" t="n"/>
      <c r="G3228" s="57" t="n"/>
      <c r="H3228" s="56" t="n"/>
      <c r="I3228" s="56" t="n"/>
      <c r="J3228" s="58" t="n"/>
      <c r="K3228" s="58" t="n"/>
      <c r="L3228" s="13">
        <f>IF(OR($A3228="",AND($J3228="",$K3228="")),"",ROUND(N($J3228)-N($K3228),2))</f>
        <v/>
      </c>
      <c r="M3228" s="13">
        <f>IF(OR($A3228="",AND($J3228="",$K3228="")),"",MIN($J3228,$K3228))</f>
        <v/>
      </c>
      <c r="Q3228">
        <f>IF($A3228="","",$D3228&amp;"("&amp;SUBSTITUTE($E3228," ","")&amp;")")</f>
        <v/>
      </c>
      <c r="R3228">
        <f>IF($A3228="","",$B3228&amp;" - "&amp;$C3228)</f>
        <v/>
      </c>
      <c r="S3228">
        <f>IF($A3228="","",$R3228&amp;"|"&amp;$Q3228)</f>
        <v/>
      </c>
      <c r="T3228">
        <f>IF($A3228="","",$S3228&amp;"|"&amp;$F3228)</f>
        <v/>
      </c>
      <c r="U3228">
        <f>IF($A3228="","",$R3228&amp;"("&amp;$E3228&amp;")")</f>
        <v/>
      </c>
      <c r="V3228">
        <f>IF($A3228="","",$F3228&amp;"|"&amp;$U3228&amp;"|"&amp;$D3228)</f>
        <v/>
      </c>
      <c r="W3228">
        <f>IF($T3228="","",IF($X3228&gt;N($X3227),$X3228,""))</f>
        <v/>
      </c>
      <c r="X3228">
        <f>IF($T3228="",N($X3227),IF(MATCH($T3228,$T$6:$T$6005,0)=ROW()-5,N($X3227)+1,N($X3227)))</f>
        <v/>
      </c>
      <c r="Z3228">
        <f>IF($V3228="","",IF($AA3228&gt;N($AA3227),$AA3228,""))</f>
        <v/>
      </c>
      <c r="AA3228">
        <f>IF($V3228="",N($AA3227),IF(MATCH($V3228,$V$6:$V$6005,0)=ROW()-5,N($AA3227)+1,N($AA3227)))</f>
        <v/>
      </c>
    </row>
    <row r="3229" ht="21" customHeight="1" s="66">
      <c r="A3229" s="56" t="n"/>
      <c r="B3229" s="57" t="n"/>
      <c r="C3229" s="57" t="n"/>
      <c r="D3229" s="57" t="n"/>
      <c r="E3229" s="56" t="n"/>
      <c r="F3229" s="57" t="n"/>
      <c r="G3229" s="57" t="n"/>
      <c r="H3229" s="56" t="n"/>
      <c r="I3229" s="56" t="n"/>
      <c r="J3229" s="58" t="n"/>
      <c r="K3229" s="58" t="n"/>
      <c r="L3229" s="13">
        <f>IF(OR($A3229="",AND($J3229="",$K3229="")),"",ROUND(N($J3229)-N($K3229),2))</f>
        <v/>
      </c>
      <c r="M3229" s="13">
        <f>IF(OR($A3229="",AND($J3229="",$K3229="")),"",MIN($J3229,$K3229))</f>
        <v/>
      </c>
      <c r="Q3229">
        <f>IF($A3229="","",$D3229&amp;"("&amp;SUBSTITUTE($E3229," ","")&amp;")")</f>
        <v/>
      </c>
      <c r="R3229">
        <f>IF($A3229="","",$B3229&amp;" - "&amp;$C3229)</f>
        <v/>
      </c>
      <c r="S3229">
        <f>IF($A3229="","",$R3229&amp;"|"&amp;$Q3229)</f>
        <v/>
      </c>
      <c r="T3229">
        <f>IF($A3229="","",$S3229&amp;"|"&amp;$F3229)</f>
        <v/>
      </c>
      <c r="U3229">
        <f>IF($A3229="","",$R3229&amp;"("&amp;$E3229&amp;")")</f>
        <v/>
      </c>
      <c r="V3229">
        <f>IF($A3229="","",$F3229&amp;"|"&amp;$U3229&amp;"|"&amp;$D3229)</f>
        <v/>
      </c>
      <c r="W3229">
        <f>IF($T3229="","",IF($X3229&gt;N($X3228),$X3229,""))</f>
        <v/>
      </c>
      <c r="X3229">
        <f>IF($T3229="",N($X3228),IF(MATCH($T3229,$T$6:$T$6005,0)=ROW()-5,N($X3228)+1,N($X3228)))</f>
        <v/>
      </c>
      <c r="Z3229">
        <f>IF($V3229="","",IF($AA3229&gt;N($AA3228),$AA3229,""))</f>
        <v/>
      </c>
      <c r="AA3229">
        <f>IF($V3229="",N($AA3228),IF(MATCH($V3229,$V$6:$V$6005,0)=ROW()-5,N($AA3228)+1,N($AA3228)))</f>
        <v/>
      </c>
    </row>
    <row r="3230" ht="21" customHeight="1" s="66">
      <c r="A3230" s="56" t="n"/>
      <c r="B3230" s="57" t="n"/>
      <c r="C3230" s="57" t="n"/>
      <c r="D3230" s="57" t="n"/>
      <c r="E3230" s="56" t="n"/>
      <c r="F3230" s="57" t="n"/>
      <c r="G3230" s="57" t="n"/>
      <c r="H3230" s="56" t="n"/>
      <c r="I3230" s="56" t="n"/>
      <c r="J3230" s="58" t="n"/>
      <c r="K3230" s="58" t="n"/>
      <c r="L3230" s="13">
        <f>IF(OR($A3230="",AND($J3230="",$K3230="")),"",ROUND(N($J3230)-N($K3230),2))</f>
        <v/>
      </c>
      <c r="M3230" s="13">
        <f>IF(OR($A3230="",AND($J3230="",$K3230="")),"",MIN($J3230,$K3230))</f>
        <v/>
      </c>
      <c r="Q3230">
        <f>IF($A3230="","",$D3230&amp;"("&amp;SUBSTITUTE($E3230," ","")&amp;")")</f>
        <v/>
      </c>
      <c r="R3230">
        <f>IF($A3230="","",$B3230&amp;" - "&amp;$C3230)</f>
        <v/>
      </c>
      <c r="S3230">
        <f>IF($A3230="","",$R3230&amp;"|"&amp;$Q3230)</f>
        <v/>
      </c>
      <c r="T3230">
        <f>IF($A3230="","",$S3230&amp;"|"&amp;$F3230)</f>
        <v/>
      </c>
      <c r="U3230">
        <f>IF($A3230="","",$R3230&amp;"("&amp;$E3230&amp;")")</f>
        <v/>
      </c>
      <c r="V3230">
        <f>IF($A3230="","",$F3230&amp;"|"&amp;$U3230&amp;"|"&amp;$D3230)</f>
        <v/>
      </c>
      <c r="W3230">
        <f>IF($T3230="","",IF($X3230&gt;N($X3229),$X3230,""))</f>
        <v/>
      </c>
      <c r="X3230">
        <f>IF($T3230="",N($X3229),IF(MATCH($T3230,$T$6:$T$6005,0)=ROW()-5,N($X3229)+1,N($X3229)))</f>
        <v/>
      </c>
      <c r="Z3230">
        <f>IF($V3230="","",IF($AA3230&gt;N($AA3229),$AA3230,""))</f>
        <v/>
      </c>
      <c r="AA3230">
        <f>IF($V3230="",N($AA3229),IF(MATCH($V3230,$V$6:$V$6005,0)=ROW()-5,N($AA3229)+1,N($AA3229)))</f>
        <v/>
      </c>
    </row>
    <row r="3231" ht="21" customHeight="1" s="66">
      <c r="A3231" s="56" t="n"/>
      <c r="B3231" s="57" t="n"/>
      <c r="C3231" s="57" t="n"/>
      <c r="D3231" s="57" t="n"/>
      <c r="E3231" s="56" t="n"/>
      <c r="F3231" s="57" t="n"/>
      <c r="G3231" s="57" t="n"/>
      <c r="H3231" s="56" t="n"/>
      <c r="I3231" s="56" t="n"/>
      <c r="J3231" s="58" t="n"/>
      <c r="K3231" s="58" t="n"/>
      <c r="L3231" s="13">
        <f>IF(OR($A3231="",AND($J3231="",$K3231="")),"",ROUND(N($J3231)-N($K3231),2))</f>
        <v/>
      </c>
      <c r="M3231" s="13">
        <f>IF(OR($A3231="",AND($J3231="",$K3231="")),"",MIN($J3231,$K3231))</f>
        <v/>
      </c>
      <c r="Q3231">
        <f>IF($A3231="","",$D3231&amp;"("&amp;SUBSTITUTE($E3231," ","")&amp;")")</f>
        <v/>
      </c>
      <c r="R3231">
        <f>IF($A3231="","",$B3231&amp;" - "&amp;$C3231)</f>
        <v/>
      </c>
      <c r="S3231">
        <f>IF($A3231="","",$R3231&amp;"|"&amp;$Q3231)</f>
        <v/>
      </c>
      <c r="T3231">
        <f>IF($A3231="","",$S3231&amp;"|"&amp;$F3231)</f>
        <v/>
      </c>
      <c r="U3231">
        <f>IF($A3231="","",$R3231&amp;"("&amp;$E3231&amp;")")</f>
        <v/>
      </c>
      <c r="V3231">
        <f>IF($A3231="","",$F3231&amp;"|"&amp;$U3231&amp;"|"&amp;$D3231)</f>
        <v/>
      </c>
      <c r="W3231">
        <f>IF($T3231="","",IF($X3231&gt;N($X3230),$X3231,""))</f>
        <v/>
      </c>
      <c r="X3231">
        <f>IF($T3231="",N($X3230),IF(MATCH($T3231,$T$6:$T$6005,0)=ROW()-5,N($X3230)+1,N($X3230)))</f>
        <v/>
      </c>
      <c r="Z3231">
        <f>IF($V3231="","",IF($AA3231&gt;N($AA3230),$AA3231,""))</f>
        <v/>
      </c>
      <c r="AA3231">
        <f>IF($V3231="",N($AA3230),IF(MATCH($V3231,$V$6:$V$6005,0)=ROW()-5,N($AA3230)+1,N($AA3230)))</f>
        <v/>
      </c>
    </row>
    <row r="3232" ht="21" customHeight="1" s="66">
      <c r="A3232" s="56" t="n"/>
      <c r="B3232" s="57" t="n"/>
      <c r="C3232" s="57" t="n"/>
      <c r="D3232" s="57" t="n"/>
      <c r="E3232" s="56" t="n"/>
      <c r="F3232" s="57" t="n"/>
      <c r="G3232" s="57" t="n"/>
      <c r="H3232" s="56" t="n"/>
      <c r="I3232" s="56" t="n"/>
      <c r="J3232" s="58" t="n"/>
      <c r="K3232" s="58" t="n"/>
      <c r="L3232" s="13">
        <f>IF(OR($A3232="",AND($J3232="",$K3232="")),"",ROUND(N($J3232)-N($K3232),2))</f>
        <v/>
      </c>
      <c r="M3232" s="13">
        <f>IF(OR($A3232="",AND($J3232="",$K3232="")),"",MIN($J3232,$K3232))</f>
        <v/>
      </c>
      <c r="Q3232">
        <f>IF($A3232="","",$D3232&amp;"("&amp;SUBSTITUTE($E3232," ","")&amp;")")</f>
        <v/>
      </c>
      <c r="R3232">
        <f>IF($A3232="","",$B3232&amp;" - "&amp;$C3232)</f>
        <v/>
      </c>
      <c r="S3232">
        <f>IF($A3232="","",$R3232&amp;"|"&amp;$Q3232)</f>
        <v/>
      </c>
      <c r="T3232">
        <f>IF($A3232="","",$S3232&amp;"|"&amp;$F3232)</f>
        <v/>
      </c>
      <c r="U3232">
        <f>IF($A3232="","",$R3232&amp;"("&amp;$E3232&amp;")")</f>
        <v/>
      </c>
      <c r="V3232">
        <f>IF($A3232="","",$F3232&amp;"|"&amp;$U3232&amp;"|"&amp;$D3232)</f>
        <v/>
      </c>
      <c r="W3232">
        <f>IF($T3232="","",IF($X3232&gt;N($X3231),$X3232,""))</f>
        <v/>
      </c>
      <c r="X3232">
        <f>IF($T3232="",N($X3231),IF(MATCH($T3232,$T$6:$T$6005,0)=ROW()-5,N($X3231)+1,N($X3231)))</f>
        <v/>
      </c>
      <c r="Z3232">
        <f>IF($V3232="","",IF($AA3232&gt;N($AA3231),$AA3232,""))</f>
        <v/>
      </c>
      <c r="AA3232">
        <f>IF($V3232="",N($AA3231),IF(MATCH($V3232,$V$6:$V$6005,0)=ROW()-5,N($AA3231)+1,N($AA3231)))</f>
        <v/>
      </c>
    </row>
    <row r="3233" ht="21" customHeight="1" s="66">
      <c r="A3233" s="56" t="n"/>
      <c r="B3233" s="57" t="n"/>
      <c r="C3233" s="57" t="n"/>
      <c r="D3233" s="57" t="n"/>
      <c r="E3233" s="56" t="n"/>
      <c r="F3233" s="57" t="n"/>
      <c r="G3233" s="57" t="n"/>
      <c r="H3233" s="56" t="n"/>
      <c r="I3233" s="56" t="n"/>
      <c r="J3233" s="58" t="n"/>
      <c r="K3233" s="58" t="n"/>
      <c r="L3233" s="13">
        <f>IF(OR($A3233="",AND($J3233="",$K3233="")),"",ROUND(N($J3233)-N($K3233),2))</f>
        <v/>
      </c>
      <c r="M3233" s="13">
        <f>IF(OR($A3233="",AND($J3233="",$K3233="")),"",MIN($J3233,$K3233))</f>
        <v/>
      </c>
      <c r="Q3233">
        <f>IF($A3233="","",$D3233&amp;"("&amp;SUBSTITUTE($E3233," ","")&amp;")")</f>
        <v/>
      </c>
      <c r="R3233">
        <f>IF($A3233="","",$B3233&amp;" - "&amp;$C3233)</f>
        <v/>
      </c>
      <c r="S3233">
        <f>IF($A3233="","",$R3233&amp;"|"&amp;$Q3233)</f>
        <v/>
      </c>
      <c r="T3233">
        <f>IF($A3233="","",$S3233&amp;"|"&amp;$F3233)</f>
        <v/>
      </c>
      <c r="U3233">
        <f>IF($A3233="","",$R3233&amp;"("&amp;$E3233&amp;")")</f>
        <v/>
      </c>
      <c r="V3233">
        <f>IF($A3233="","",$F3233&amp;"|"&amp;$U3233&amp;"|"&amp;$D3233)</f>
        <v/>
      </c>
      <c r="W3233">
        <f>IF($T3233="","",IF($X3233&gt;N($X3232),$X3233,""))</f>
        <v/>
      </c>
      <c r="X3233">
        <f>IF($T3233="",N($X3232),IF(MATCH($T3233,$T$6:$T$6005,0)=ROW()-5,N($X3232)+1,N($X3232)))</f>
        <v/>
      </c>
      <c r="Z3233">
        <f>IF($V3233="","",IF($AA3233&gt;N($AA3232),$AA3233,""))</f>
        <v/>
      </c>
      <c r="AA3233">
        <f>IF($V3233="",N($AA3232),IF(MATCH($V3233,$V$6:$V$6005,0)=ROW()-5,N($AA3232)+1,N($AA3232)))</f>
        <v/>
      </c>
    </row>
    <row r="3234" ht="21" customHeight="1" s="66">
      <c r="A3234" s="56" t="n"/>
      <c r="B3234" s="57" t="n"/>
      <c r="C3234" s="57" t="n"/>
      <c r="D3234" s="57" t="n"/>
      <c r="E3234" s="56" t="n"/>
      <c r="F3234" s="57" t="n"/>
      <c r="G3234" s="57" t="n"/>
      <c r="H3234" s="56" t="n"/>
      <c r="I3234" s="56" t="n"/>
      <c r="J3234" s="58" t="n"/>
      <c r="K3234" s="58" t="n"/>
      <c r="L3234" s="13">
        <f>IF(OR($A3234="",AND($J3234="",$K3234="")),"",ROUND(N($J3234)-N($K3234),2))</f>
        <v/>
      </c>
      <c r="M3234" s="13">
        <f>IF(OR($A3234="",AND($J3234="",$K3234="")),"",MIN($J3234,$K3234))</f>
        <v/>
      </c>
      <c r="Q3234">
        <f>IF($A3234="","",$D3234&amp;"("&amp;SUBSTITUTE($E3234," ","")&amp;")")</f>
        <v/>
      </c>
      <c r="R3234">
        <f>IF($A3234="","",$B3234&amp;" - "&amp;$C3234)</f>
        <v/>
      </c>
      <c r="S3234">
        <f>IF($A3234="","",$R3234&amp;"|"&amp;$Q3234)</f>
        <v/>
      </c>
      <c r="T3234">
        <f>IF($A3234="","",$S3234&amp;"|"&amp;$F3234)</f>
        <v/>
      </c>
      <c r="U3234">
        <f>IF($A3234="","",$R3234&amp;"("&amp;$E3234&amp;")")</f>
        <v/>
      </c>
      <c r="V3234">
        <f>IF($A3234="","",$F3234&amp;"|"&amp;$U3234&amp;"|"&amp;$D3234)</f>
        <v/>
      </c>
      <c r="W3234">
        <f>IF($T3234="","",IF($X3234&gt;N($X3233),$X3234,""))</f>
        <v/>
      </c>
      <c r="X3234">
        <f>IF($T3234="",N($X3233),IF(MATCH($T3234,$T$6:$T$6005,0)=ROW()-5,N($X3233)+1,N($X3233)))</f>
        <v/>
      </c>
      <c r="Z3234">
        <f>IF($V3234="","",IF($AA3234&gt;N($AA3233),$AA3234,""))</f>
        <v/>
      </c>
      <c r="AA3234">
        <f>IF($V3234="",N($AA3233),IF(MATCH($V3234,$V$6:$V$6005,0)=ROW()-5,N($AA3233)+1,N($AA3233)))</f>
        <v/>
      </c>
    </row>
    <row r="3235" ht="21" customHeight="1" s="66">
      <c r="A3235" s="56" t="n"/>
      <c r="B3235" s="57" t="n"/>
      <c r="C3235" s="57" t="n"/>
      <c r="D3235" s="57" t="n"/>
      <c r="E3235" s="56" t="n"/>
      <c r="F3235" s="57" t="n"/>
      <c r="G3235" s="57" t="n"/>
      <c r="H3235" s="56" t="n"/>
      <c r="I3235" s="56" t="n"/>
      <c r="J3235" s="58" t="n"/>
      <c r="K3235" s="58" t="n"/>
      <c r="L3235" s="13">
        <f>IF(OR($A3235="",AND($J3235="",$K3235="")),"",ROUND(N($J3235)-N($K3235),2))</f>
        <v/>
      </c>
      <c r="M3235" s="13">
        <f>IF(OR($A3235="",AND($J3235="",$K3235="")),"",MIN($J3235,$K3235))</f>
        <v/>
      </c>
      <c r="Q3235">
        <f>IF($A3235="","",$D3235&amp;"("&amp;SUBSTITUTE($E3235," ","")&amp;")")</f>
        <v/>
      </c>
      <c r="R3235">
        <f>IF($A3235="","",$B3235&amp;" - "&amp;$C3235)</f>
        <v/>
      </c>
      <c r="S3235">
        <f>IF($A3235="","",$R3235&amp;"|"&amp;$Q3235)</f>
        <v/>
      </c>
      <c r="T3235">
        <f>IF($A3235="","",$S3235&amp;"|"&amp;$F3235)</f>
        <v/>
      </c>
      <c r="U3235">
        <f>IF($A3235="","",$R3235&amp;"("&amp;$E3235&amp;")")</f>
        <v/>
      </c>
      <c r="V3235">
        <f>IF($A3235="","",$F3235&amp;"|"&amp;$U3235&amp;"|"&amp;$D3235)</f>
        <v/>
      </c>
      <c r="W3235">
        <f>IF($T3235="","",IF($X3235&gt;N($X3234),$X3235,""))</f>
        <v/>
      </c>
      <c r="X3235">
        <f>IF($T3235="",N($X3234),IF(MATCH($T3235,$T$6:$T$6005,0)=ROW()-5,N($X3234)+1,N($X3234)))</f>
        <v/>
      </c>
      <c r="Z3235">
        <f>IF($V3235="","",IF($AA3235&gt;N($AA3234),$AA3235,""))</f>
        <v/>
      </c>
      <c r="AA3235">
        <f>IF($V3235="",N($AA3234),IF(MATCH($V3235,$V$6:$V$6005,0)=ROW()-5,N($AA3234)+1,N($AA3234)))</f>
        <v/>
      </c>
    </row>
    <row r="3236" ht="21" customHeight="1" s="66">
      <c r="A3236" s="56" t="n"/>
      <c r="B3236" s="57" t="n"/>
      <c r="C3236" s="57" t="n"/>
      <c r="D3236" s="57" t="n"/>
      <c r="E3236" s="56" t="n"/>
      <c r="F3236" s="57" t="n"/>
      <c r="G3236" s="57" t="n"/>
      <c r="H3236" s="56" t="n"/>
      <c r="I3236" s="56" t="n"/>
      <c r="J3236" s="58" t="n"/>
      <c r="K3236" s="58" t="n"/>
      <c r="L3236" s="13">
        <f>IF(OR($A3236="",AND($J3236="",$K3236="")),"",ROUND(N($J3236)-N($K3236),2))</f>
        <v/>
      </c>
      <c r="M3236" s="13">
        <f>IF(OR($A3236="",AND($J3236="",$K3236="")),"",MIN($J3236,$K3236))</f>
        <v/>
      </c>
      <c r="Q3236">
        <f>IF($A3236="","",$D3236&amp;"("&amp;SUBSTITUTE($E3236," ","")&amp;")")</f>
        <v/>
      </c>
      <c r="R3236">
        <f>IF($A3236="","",$B3236&amp;" - "&amp;$C3236)</f>
        <v/>
      </c>
      <c r="S3236">
        <f>IF($A3236="","",$R3236&amp;"|"&amp;$Q3236)</f>
        <v/>
      </c>
      <c r="T3236">
        <f>IF($A3236="","",$S3236&amp;"|"&amp;$F3236)</f>
        <v/>
      </c>
      <c r="U3236">
        <f>IF($A3236="","",$R3236&amp;"("&amp;$E3236&amp;")")</f>
        <v/>
      </c>
      <c r="V3236">
        <f>IF($A3236="","",$F3236&amp;"|"&amp;$U3236&amp;"|"&amp;$D3236)</f>
        <v/>
      </c>
      <c r="W3236">
        <f>IF($T3236="","",IF($X3236&gt;N($X3235),$X3236,""))</f>
        <v/>
      </c>
      <c r="X3236">
        <f>IF($T3236="",N($X3235),IF(MATCH($T3236,$T$6:$T$6005,0)=ROW()-5,N($X3235)+1,N($X3235)))</f>
        <v/>
      </c>
      <c r="Z3236">
        <f>IF($V3236="","",IF($AA3236&gt;N($AA3235),$AA3236,""))</f>
        <v/>
      </c>
      <c r="AA3236">
        <f>IF($V3236="",N($AA3235),IF(MATCH($V3236,$V$6:$V$6005,0)=ROW()-5,N($AA3235)+1,N($AA3235)))</f>
        <v/>
      </c>
    </row>
    <row r="3237" ht="21" customHeight="1" s="66">
      <c r="A3237" s="56" t="n"/>
      <c r="B3237" s="57" t="n"/>
      <c r="C3237" s="57" t="n"/>
      <c r="D3237" s="57" t="n"/>
      <c r="E3237" s="56" t="n"/>
      <c r="F3237" s="57" t="n"/>
      <c r="G3237" s="57" t="n"/>
      <c r="H3237" s="56" t="n"/>
      <c r="I3237" s="56" t="n"/>
      <c r="J3237" s="58" t="n"/>
      <c r="K3237" s="58" t="n"/>
      <c r="L3237" s="13">
        <f>IF(OR($A3237="",AND($J3237="",$K3237="")),"",ROUND(N($J3237)-N($K3237),2))</f>
        <v/>
      </c>
      <c r="M3237" s="13">
        <f>IF(OR($A3237="",AND($J3237="",$K3237="")),"",MIN($J3237,$K3237))</f>
        <v/>
      </c>
      <c r="Q3237">
        <f>IF($A3237="","",$D3237&amp;"("&amp;SUBSTITUTE($E3237," ","")&amp;")")</f>
        <v/>
      </c>
      <c r="R3237">
        <f>IF($A3237="","",$B3237&amp;" - "&amp;$C3237)</f>
        <v/>
      </c>
      <c r="S3237">
        <f>IF($A3237="","",$R3237&amp;"|"&amp;$Q3237)</f>
        <v/>
      </c>
      <c r="T3237">
        <f>IF($A3237="","",$S3237&amp;"|"&amp;$F3237)</f>
        <v/>
      </c>
      <c r="U3237">
        <f>IF($A3237="","",$R3237&amp;"("&amp;$E3237&amp;")")</f>
        <v/>
      </c>
      <c r="V3237">
        <f>IF($A3237="","",$F3237&amp;"|"&amp;$U3237&amp;"|"&amp;$D3237)</f>
        <v/>
      </c>
      <c r="W3237">
        <f>IF($T3237="","",IF($X3237&gt;N($X3236),$X3237,""))</f>
        <v/>
      </c>
      <c r="X3237">
        <f>IF($T3237="",N($X3236),IF(MATCH($T3237,$T$6:$T$6005,0)=ROW()-5,N($X3236)+1,N($X3236)))</f>
        <v/>
      </c>
      <c r="Z3237">
        <f>IF($V3237="","",IF($AA3237&gt;N($AA3236),$AA3237,""))</f>
        <v/>
      </c>
      <c r="AA3237">
        <f>IF($V3237="",N($AA3236),IF(MATCH($V3237,$V$6:$V$6005,0)=ROW()-5,N($AA3236)+1,N($AA3236)))</f>
        <v/>
      </c>
    </row>
    <row r="3238" ht="21" customHeight="1" s="66">
      <c r="A3238" s="56" t="n"/>
      <c r="B3238" s="57" t="n"/>
      <c r="C3238" s="57" t="n"/>
      <c r="D3238" s="57" t="n"/>
      <c r="E3238" s="56" t="n"/>
      <c r="F3238" s="57" t="n"/>
      <c r="G3238" s="57" t="n"/>
      <c r="H3238" s="56" t="n"/>
      <c r="I3238" s="56" t="n"/>
      <c r="J3238" s="58" t="n"/>
      <c r="K3238" s="58" t="n"/>
      <c r="L3238" s="13">
        <f>IF(OR($A3238="",AND($J3238="",$K3238="")),"",ROUND(N($J3238)-N($K3238),2))</f>
        <v/>
      </c>
      <c r="M3238" s="13">
        <f>IF(OR($A3238="",AND($J3238="",$K3238="")),"",MIN($J3238,$K3238))</f>
        <v/>
      </c>
      <c r="Q3238">
        <f>IF($A3238="","",$D3238&amp;"("&amp;SUBSTITUTE($E3238," ","")&amp;")")</f>
        <v/>
      </c>
      <c r="R3238">
        <f>IF($A3238="","",$B3238&amp;" - "&amp;$C3238)</f>
        <v/>
      </c>
      <c r="S3238">
        <f>IF($A3238="","",$R3238&amp;"|"&amp;$Q3238)</f>
        <v/>
      </c>
      <c r="T3238">
        <f>IF($A3238="","",$S3238&amp;"|"&amp;$F3238)</f>
        <v/>
      </c>
      <c r="U3238">
        <f>IF($A3238="","",$R3238&amp;"("&amp;$E3238&amp;")")</f>
        <v/>
      </c>
      <c r="V3238">
        <f>IF($A3238="","",$F3238&amp;"|"&amp;$U3238&amp;"|"&amp;$D3238)</f>
        <v/>
      </c>
      <c r="W3238">
        <f>IF($T3238="","",IF($X3238&gt;N($X3237),$X3238,""))</f>
        <v/>
      </c>
      <c r="X3238">
        <f>IF($T3238="",N($X3237),IF(MATCH($T3238,$T$6:$T$6005,0)=ROW()-5,N($X3237)+1,N($X3237)))</f>
        <v/>
      </c>
      <c r="Z3238">
        <f>IF($V3238="","",IF($AA3238&gt;N($AA3237),$AA3238,""))</f>
        <v/>
      </c>
      <c r="AA3238">
        <f>IF($V3238="",N($AA3237),IF(MATCH($V3238,$V$6:$V$6005,0)=ROW()-5,N($AA3237)+1,N($AA3237)))</f>
        <v/>
      </c>
    </row>
    <row r="3239" ht="21" customHeight="1" s="66">
      <c r="A3239" s="56" t="n"/>
      <c r="B3239" s="57" t="n"/>
      <c r="C3239" s="57" t="n"/>
      <c r="D3239" s="57" t="n"/>
      <c r="E3239" s="56" t="n"/>
      <c r="F3239" s="57" t="n"/>
      <c r="G3239" s="57" t="n"/>
      <c r="H3239" s="56" t="n"/>
      <c r="I3239" s="56" t="n"/>
      <c r="J3239" s="58" t="n"/>
      <c r="K3239" s="58" t="n"/>
      <c r="L3239" s="13">
        <f>IF(OR($A3239="",AND($J3239="",$K3239="")),"",ROUND(N($J3239)-N($K3239),2))</f>
        <v/>
      </c>
      <c r="M3239" s="13">
        <f>IF(OR($A3239="",AND($J3239="",$K3239="")),"",MIN($J3239,$K3239))</f>
        <v/>
      </c>
      <c r="Q3239">
        <f>IF($A3239="","",$D3239&amp;"("&amp;SUBSTITUTE($E3239," ","")&amp;")")</f>
        <v/>
      </c>
      <c r="R3239">
        <f>IF($A3239="","",$B3239&amp;" - "&amp;$C3239)</f>
        <v/>
      </c>
      <c r="S3239">
        <f>IF($A3239="","",$R3239&amp;"|"&amp;$Q3239)</f>
        <v/>
      </c>
      <c r="T3239">
        <f>IF($A3239="","",$S3239&amp;"|"&amp;$F3239)</f>
        <v/>
      </c>
      <c r="U3239">
        <f>IF($A3239="","",$R3239&amp;"("&amp;$E3239&amp;")")</f>
        <v/>
      </c>
      <c r="V3239">
        <f>IF($A3239="","",$F3239&amp;"|"&amp;$U3239&amp;"|"&amp;$D3239)</f>
        <v/>
      </c>
      <c r="W3239">
        <f>IF($T3239="","",IF($X3239&gt;N($X3238),$X3239,""))</f>
        <v/>
      </c>
      <c r="X3239">
        <f>IF($T3239="",N($X3238),IF(MATCH($T3239,$T$6:$T$6005,0)=ROW()-5,N($X3238)+1,N($X3238)))</f>
        <v/>
      </c>
      <c r="Z3239">
        <f>IF($V3239="","",IF($AA3239&gt;N($AA3238),$AA3239,""))</f>
        <v/>
      </c>
      <c r="AA3239">
        <f>IF($V3239="",N($AA3238),IF(MATCH($V3239,$V$6:$V$6005,0)=ROW()-5,N($AA3238)+1,N($AA3238)))</f>
        <v/>
      </c>
    </row>
    <row r="3240" ht="21" customHeight="1" s="66">
      <c r="A3240" s="56" t="n"/>
      <c r="B3240" s="57" t="n"/>
      <c r="C3240" s="57" t="n"/>
      <c r="D3240" s="57" t="n"/>
      <c r="E3240" s="56" t="n"/>
      <c r="F3240" s="57" t="n"/>
      <c r="G3240" s="57" t="n"/>
      <c r="H3240" s="56" t="n"/>
      <c r="I3240" s="56" t="n"/>
      <c r="J3240" s="58" t="n"/>
      <c r="K3240" s="58" t="n"/>
      <c r="L3240" s="13">
        <f>IF(OR($A3240="",AND($J3240="",$K3240="")),"",ROUND(N($J3240)-N($K3240),2))</f>
        <v/>
      </c>
      <c r="M3240" s="13">
        <f>IF(OR($A3240="",AND($J3240="",$K3240="")),"",MIN($J3240,$K3240))</f>
        <v/>
      </c>
      <c r="Q3240">
        <f>IF($A3240="","",$D3240&amp;"("&amp;SUBSTITUTE($E3240," ","")&amp;")")</f>
        <v/>
      </c>
      <c r="R3240">
        <f>IF($A3240="","",$B3240&amp;" - "&amp;$C3240)</f>
        <v/>
      </c>
      <c r="S3240">
        <f>IF($A3240="","",$R3240&amp;"|"&amp;$Q3240)</f>
        <v/>
      </c>
      <c r="T3240">
        <f>IF($A3240="","",$S3240&amp;"|"&amp;$F3240)</f>
        <v/>
      </c>
      <c r="U3240">
        <f>IF($A3240="","",$R3240&amp;"("&amp;$E3240&amp;")")</f>
        <v/>
      </c>
      <c r="V3240">
        <f>IF($A3240="","",$F3240&amp;"|"&amp;$U3240&amp;"|"&amp;$D3240)</f>
        <v/>
      </c>
      <c r="W3240">
        <f>IF($T3240="","",IF($X3240&gt;N($X3239),$X3240,""))</f>
        <v/>
      </c>
      <c r="X3240">
        <f>IF($T3240="",N($X3239),IF(MATCH($T3240,$T$6:$T$6005,0)=ROW()-5,N($X3239)+1,N($X3239)))</f>
        <v/>
      </c>
      <c r="Z3240">
        <f>IF($V3240="","",IF($AA3240&gt;N($AA3239),$AA3240,""))</f>
        <v/>
      </c>
      <c r="AA3240">
        <f>IF($V3240="",N($AA3239),IF(MATCH($V3240,$V$6:$V$6005,0)=ROW()-5,N($AA3239)+1,N($AA3239)))</f>
        <v/>
      </c>
    </row>
    <row r="3241" ht="21" customHeight="1" s="66">
      <c r="A3241" s="56" t="n"/>
      <c r="B3241" s="57" t="n"/>
      <c r="C3241" s="57" t="n"/>
      <c r="D3241" s="57" t="n"/>
      <c r="E3241" s="56" t="n"/>
      <c r="F3241" s="57" t="n"/>
      <c r="G3241" s="57" t="n"/>
      <c r="H3241" s="56" t="n"/>
      <c r="I3241" s="56" t="n"/>
      <c r="J3241" s="58" t="n"/>
      <c r="K3241" s="58" t="n"/>
      <c r="L3241" s="13">
        <f>IF(OR($A3241="",AND($J3241="",$K3241="")),"",ROUND(N($J3241)-N($K3241),2))</f>
        <v/>
      </c>
      <c r="M3241" s="13">
        <f>IF(OR($A3241="",AND($J3241="",$K3241="")),"",MIN($J3241,$K3241))</f>
        <v/>
      </c>
      <c r="Q3241">
        <f>IF($A3241="","",$D3241&amp;"("&amp;SUBSTITUTE($E3241," ","")&amp;")")</f>
        <v/>
      </c>
      <c r="R3241">
        <f>IF($A3241="","",$B3241&amp;" - "&amp;$C3241)</f>
        <v/>
      </c>
      <c r="S3241">
        <f>IF($A3241="","",$R3241&amp;"|"&amp;$Q3241)</f>
        <v/>
      </c>
      <c r="T3241">
        <f>IF($A3241="","",$S3241&amp;"|"&amp;$F3241)</f>
        <v/>
      </c>
      <c r="U3241">
        <f>IF($A3241="","",$R3241&amp;"("&amp;$E3241&amp;")")</f>
        <v/>
      </c>
      <c r="V3241">
        <f>IF($A3241="","",$F3241&amp;"|"&amp;$U3241&amp;"|"&amp;$D3241)</f>
        <v/>
      </c>
      <c r="W3241">
        <f>IF($T3241="","",IF($X3241&gt;N($X3240),$X3241,""))</f>
        <v/>
      </c>
      <c r="X3241">
        <f>IF($T3241="",N($X3240),IF(MATCH($T3241,$T$6:$T$6005,0)=ROW()-5,N($X3240)+1,N($X3240)))</f>
        <v/>
      </c>
      <c r="Z3241">
        <f>IF($V3241="","",IF($AA3241&gt;N($AA3240),$AA3241,""))</f>
        <v/>
      </c>
      <c r="AA3241">
        <f>IF($V3241="",N($AA3240),IF(MATCH($V3241,$V$6:$V$6005,0)=ROW()-5,N($AA3240)+1,N($AA3240)))</f>
        <v/>
      </c>
    </row>
    <row r="3242" ht="21" customHeight="1" s="66">
      <c r="A3242" s="56" t="n"/>
      <c r="B3242" s="57" t="n"/>
      <c r="C3242" s="57" t="n"/>
      <c r="D3242" s="57" t="n"/>
      <c r="E3242" s="56" t="n"/>
      <c r="F3242" s="57" t="n"/>
      <c r="G3242" s="57" t="n"/>
      <c r="H3242" s="56" t="n"/>
      <c r="I3242" s="56" t="n"/>
      <c r="J3242" s="58" t="n"/>
      <c r="K3242" s="58" t="n"/>
      <c r="L3242" s="13">
        <f>IF(OR($A3242="",AND($J3242="",$K3242="")),"",ROUND(N($J3242)-N($K3242),2))</f>
        <v/>
      </c>
      <c r="M3242" s="13">
        <f>IF(OR($A3242="",AND($J3242="",$K3242="")),"",MIN($J3242,$K3242))</f>
        <v/>
      </c>
      <c r="Q3242">
        <f>IF($A3242="","",$D3242&amp;"("&amp;SUBSTITUTE($E3242," ","")&amp;")")</f>
        <v/>
      </c>
      <c r="R3242">
        <f>IF($A3242="","",$B3242&amp;" - "&amp;$C3242)</f>
        <v/>
      </c>
      <c r="S3242">
        <f>IF($A3242="","",$R3242&amp;"|"&amp;$Q3242)</f>
        <v/>
      </c>
      <c r="T3242">
        <f>IF($A3242="","",$S3242&amp;"|"&amp;$F3242)</f>
        <v/>
      </c>
      <c r="U3242">
        <f>IF($A3242="","",$R3242&amp;"("&amp;$E3242&amp;")")</f>
        <v/>
      </c>
      <c r="V3242">
        <f>IF($A3242="","",$F3242&amp;"|"&amp;$U3242&amp;"|"&amp;$D3242)</f>
        <v/>
      </c>
      <c r="W3242">
        <f>IF($T3242="","",IF($X3242&gt;N($X3241),$X3242,""))</f>
        <v/>
      </c>
      <c r="X3242">
        <f>IF($T3242="",N($X3241),IF(MATCH($T3242,$T$6:$T$6005,0)=ROW()-5,N($X3241)+1,N($X3241)))</f>
        <v/>
      </c>
      <c r="Z3242">
        <f>IF($V3242="","",IF($AA3242&gt;N($AA3241),$AA3242,""))</f>
        <v/>
      </c>
      <c r="AA3242">
        <f>IF($V3242="",N($AA3241),IF(MATCH($V3242,$V$6:$V$6005,0)=ROW()-5,N($AA3241)+1,N($AA3241)))</f>
        <v/>
      </c>
    </row>
    <row r="3243" ht="21" customHeight="1" s="66">
      <c r="A3243" s="56" t="n"/>
      <c r="B3243" s="57" t="n"/>
      <c r="C3243" s="57" t="n"/>
      <c r="D3243" s="57" t="n"/>
      <c r="E3243" s="56" t="n"/>
      <c r="F3243" s="57" t="n"/>
      <c r="G3243" s="57" t="n"/>
      <c r="H3243" s="56" t="n"/>
      <c r="I3243" s="56" t="n"/>
      <c r="J3243" s="58" t="n"/>
      <c r="K3243" s="58" t="n"/>
      <c r="L3243" s="13">
        <f>IF(OR($A3243="",AND($J3243="",$K3243="")),"",ROUND(N($J3243)-N($K3243),2))</f>
        <v/>
      </c>
      <c r="M3243" s="13">
        <f>IF(OR($A3243="",AND($J3243="",$K3243="")),"",MIN($J3243,$K3243))</f>
        <v/>
      </c>
      <c r="Q3243">
        <f>IF($A3243="","",$D3243&amp;"("&amp;SUBSTITUTE($E3243," ","")&amp;")")</f>
        <v/>
      </c>
      <c r="R3243">
        <f>IF($A3243="","",$B3243&amp;" - "&amp;$C3243)</f>
        <v/>
      </c>
      <c r="S3243">
        <f>IF($A3243="","",$R3243&amp;"|"&amp;$Q3243)</f>
        <v/>
      </c>
      <c r="T3243">
        <f>IF($A3243="","",$S3243&amp;"|"&amp;$F3243)</f>
        <v/>
      </c>
      <c r="U3243">
        <f>IF($A3243="","",$R3243&amp;"("&amp;$E3243&amp;")")</f>
        <v/>
      </c>
      <c r="V3243">
        <f>IF($A3243="","",$F3243&amp;"|"&amp;$U3243&amp;"|"&amp;$D3243)</f>
        <v/>
      </c>
      <c r="W3243">
        <f>IF($T3243="","",IF($X3243&gt;N($X3242),$X3243,""))</f>
        <v/>
      </c>
      <c r="X3243">
        <f>IF($T3243="",N($X3242),IF(MATCH($T3243,$T$6:$T$6005,0)=ROW()-5,N($X3242)+1,N($X3242)))</f>
        <v/>
      </c>
      <c r="Z3243">
        <f>IF($V3243="","",IF($AA3243&gt;N($AA3242),$AA3243,""))</f>
        <v/>
      </c>
      <c r="AA3243">
        <f>IF($V3243="",N($AA3242),IF(MATCH($V3243,$V$6:$V$6005,0)=ROW()-5,N($AA3242)+1,N($AA3242)))</f>
        <v/>
      </c>
    </row>
    <row r="3244" ht="21" customHeight="1" s="66">
      <c r="A3244" s="56" t="n"/>
      <c r="B3244" s="57" t="n"/>
      <c r="C3244" s="57" t="n"/>
      <c r="D3244" s="57" t="n"/>
      <c r="E3244" s="56" t="n"/>
      <c r="F3244" s="57" t="n"/>
      <c r="G3244" s="57" t="n"/>
      <c r="H3244" s="56" t="n"/>
      <c r="I3244" s="56" t="n"/>
      <c r="J3244" s="58" t="n"/>
      <c r="K3244" s="58" t="n"/>
      <c r="L3244" s="13">
        <f>IF(OR($A3244="",AND($J3244="",$K3244="")),"",ROUND(N($J3244)-N($K3244),2))</f>
        <v/>
      </c>
      <c r="M3244" s="13">
        <f>IF(OR($A3244="",AND($J3244="",$K3244="")),"",MIN($J3244,$K3244))</f>
        <v/>
      </c>
      <c r="Q3244">
        <f>IF($A3244="","",$D3244&amp;"("&amp;SUBSTITUTE($E3244," ","")&amp;")")</f>
        <v/>
      </c>
      <c r="R3244">
        <f>IF($A3244="","",$B3244&amp;" - "&amp;$C3244)</f>
        <v/>
      </c>
      <c r="S3244">
        <f>IF($A3244="","",$R3244&amp;"|"&amp;$Q3244)</f>
        <v/>
      </c>
      <c r="T3244">
        <f>IF($A3244="","",$S3244&amp;"|"&amp;$F3244)</f>
        <v/>
      </c>
      <c r="U3244">
        <f>IF($A3244="","",$R3244&amp;"("&amp;$E3244&amp;")")</f>
        <v/>
      </c>
      <c r="V3244">
        <f>IF($A3244="","",$F3244&amp;"|"&amp;$U3244&amp;"|"&amp;$D3244)</f>
        <v/>
      </c>
      <c r="W3244">
        <f>IF($T3244="","",IF($X3244&gt;N($X3243),$X3244,""))</f>
        <v/>
      </c>
      <c r="X3244">
        <f>IF($T3244="",N($X3243),IF(MATCH($T3244,$T$6:$T$6005,0)=ROW()-5,N($X3243)+1,N($X3243)))</f>
        <v/>
      </c>
      <c r="Z3244">
        <f>IF($V3244="","",IF($AA3244&gt;N($AA3243),$AA3244,""))</f>
        <v/>
      </c>
      <c r="AA3244">
        <f>IF($V3244="",N($AA3243),IF(MATCH($V3244,$V$6:$V$6005,0)=ROW()-5,N($AA3243)+1,N($AA3243)))</f>
        <v/>
      </c>
    </row>
    <row r="3245" ht="21" customHeight="1" s="66">
      <c r="A3245" s="56" t="n"/>
      <c r="B3245" s="57" t="n"/>
      <c r="C3245" s="57" t="n"/>
      <c r="D3245" s="57" t="n"/>
      <c r="E3245" s="56" t="n"/>
      <c r="F3245" s="57" t="n"/>
      <c r="G3245" s="57" t="n"/>
      <c r="H3245" s="56" t="n"/>
      <c r="I3245" s="56" t="n"/>
      <c r="J3245" s="58" t="n"/>
      <c r="K3245" s="58" t="n"/>
      <c r="L3245" s="13">
        <f>IF(OR($A3245="",AND($J3245="",$K3245="")),"",ROUND(N($J3245)-N($K3245),2))</f>
        <v/>
      </c>
      <c r="M3245" s="13">
        <f>IF(OR($A3245="",AND($J3245="",$K3245="")),"",MIN($J3245,$K3245))</f>
        <v/>
      </c>
      <c r="Q3245">
        <f>IF($A3245="","",$D3245&amp;"("&amp;SUBSTITUTE($E3245," ","")&amp;")")</f>
        <v/>
      </c>
      <c r="R3245">
        <f>IF($A3245="","",$B3245&amp;" - "&amp;$C3245)</f>
        <v/>
      </c>
      <c r="S3245">
        <f>IF($A3245="","",$R3245&amp;"|"&amp;$Q3245)</f>
        <v/>
      </c>
      <c r="T3245">
        <f>IF($A3245="","",$S3245&amp;"|"&amp;$F3245)</f>
        <v/>
      </c>
      <c r="U3245">
        <f>IF($A3245="","",$R3245&amp;"("&amp;$E3245&amp;")")</f>
        <v/>
      </c>
      <c r="V3245">
        <f>IF($A3245="","",$F3245&amp;"|"&amp;$U3245&amp;"|"&amp;$D3245)</f>
        <v/>
      </c>
      <c r="W3245">
        <f>IF($T3245="","",IF($X3245&gt;N($X3244),$X3245,""))</f>
        <v/>
      </c>
      <c r="X3245">
        <f>IF($T3245="",N($X3244),IF(MATCH($T3245,$T$6:$T$6005,0)=ROW()-5,N($X3244)+1,N($X3244)))</f>
        <v/>
      </c>
      <c r="Z3245">
        <f>IF($V3245="","",IF($AA3245&gt;N($AA3244),$AA3245,""))</f>
        <v/>
      </c>
      <c r="AA3245">
        <f>IF($V3245="",N($AA3244),IF(MATCH($V3245,$V$6:$V$6005,0)=ROW()-5,N($AA3244)+1,N($AA3244)))</f>
        <v/>
      </c>
    </row>
    <row r="3246" ht="21" customHeight="1" s="66">
      <c r="A3246" s="56" t="n"/>
      <c r="B3246" s="57" t="n"/>
      <c r="C3246" s="57" t="n"/>
      <c r="D3246" s="57" t="n"/>
      <c r="E3246" s="56" t="n"/>
      <c r="F3246" s="57" t="n"/>
      <c r="G3246" s="57" t="n"/>
      <c r="H3246" s="56" t="n"/>
      <c r="I3246" s="56" t="n"/>
      <c r="J3246" s="58" t="n"/>
      <c r="K3246" s="58" t="n"/>
      <c r="L3246" s="13">
        <f>IF(OR($A3246="",AND($J3246="",$K3246="")),"",ROUND(N($J3246)-N($K3246),2))</f>
        <v/>
      </c>
      <c r="M3246" s="13">
        <f>IF(OR($A3246="",AND($J3246="",$K3246="")),"",MIN($J3246,$K3246))</f>
        <v/>
      </c>
      <c r="Q3246">
        <f>IF($A3246="","",$D3246&amp;"("&amp;SUBSTITUTE($E3246," ","")&amp;")")</f>
        <v/>
      </c>
      <c r="R3246">
        <f>IF($A3246="","",$B3246&amp;" - "&amp;$C3246)</f>
        <v/>
      </c>
      <c r="S3246">
        <f>IF($A3246="","",$R3246&amp;"|"&amp;$Q3246)</f>
        <v/>
      </c>
      <c r="T3246">
        <f>IF($A3246="","",$S3246&amp;"|"&amp;$F3246)</f>
        <v/>
      </c>
      <c r="U3246">
        <f>IF($A3246="","",$R3246&amp;"("&amp;$E3246&amp;")")</f>
        <v/>
      </c>
      <c r="V3246">
        <f>IF($A3246="","",$F3246&amp;"|"&amp;$U3246&amp;"|"&amp;$D3246)</f>
        <v/>
      </c>
      <c r="W3246">
        <f>IF($T3246="","",IF($X3246&gt;N($X3245),$X3246,""))</f>
        <v/>
      </c>
      <c r="X3246">
        <f>IF($T3246="",N($X3245),IF(MATCH($T3246,$T$6:$T$6005,0)=ROW()-5,N($X3245)+1,N($X3245)))</f>
        <v/>
      </c>
      <c r="Z3246">
        <f>IF($V3246="","",IF($AA3246&gt;N($AA3245),$AA3246,""))</f>
        <v/>
      </c>
      <c r="AA3246">
        <f>IF($V3246="",N($AA3245),IF(MATCH($V3246,$V$6:$V$6005,0)=ROW()-5,N($AA3245)+1,N($AA3245)))</f>
        <v/>
      </c>
    </row>
    <row r="3247" ht="21" customHeight="1" s="66">
      <c r="A3247" s="56" t="n"/>
      <c r="B3247" s="57" t="n"/>
      <c r="C3247" s="57" t="n"/>
      <c r="D3247" s="57" t="n"/>
      <c r="E3247" s="56" t="n"/>
      <c r="F3247" s="57" t="n"/>
      <c r="G3247" s="57" t="n"/>
      <c r="H3247" s="56" t="n"/>
      <c r="I3247" s="56" t="n"/>
      <c r="J3247" s="58" t="n"/>
      <c r="K3247" s="58" t="n"/>
      <c r="L3247" s="13">
        <f>IF(OR($A3247="",AND($J3247="",$K3247="")),"",ROUND(N($J3247)-N($K3247),2))</f>
        <v/>
      </c>
      <c r="M3247" s="13">
        <f>IF(OR($A3247="",AND($J3247="",$K3247="")),"",MIN($J3247,$K3247))</f>
        <v/>
      </c>
      <c r="Q3247">
        <f>IF($A3247="","",$D3247&amp;"("&amp;SUBSTITUTE($E3247," ","")&amp;")")</f>
        <v/>
      </c>
      <c r="R3247">
        <f>IF($A3247="","",$B3247&amp;" - "&amp;$C3247)</f>
        <v/>
      </c>
      <c r="S3247">
        <f>IF($A3247="","",$R3247&amp;"|"&amp;$Q3247)</f>
        <v/>
      </c>
      <c r="T3247">
        <f>IF($A3247="","",$S3247&amp;"|"&amp;$F3247)</f>
        <v/>
      </c>
      <c r="U3247">
        <f>IF($A3247="","",$R3247&amp;"("&amp;$E3247&amp;")")</f>
        <v/>
      </c>
      <c r="V3247">
        <f>IF($A3247="","",$F3247&amp;"|"&amp;$U3247&amp;"|"&amp;$D3247)</f>
        <v/>
      </c>
      <c r="W3247">
        <f>IF($T3247="","",IF($X3247&gt;N($X3246),$X3247,""))</f>
        <v/>
      </c>
      <c r="X3247">
        <f>IF($T3247="",N($X3246),IF(MATCH($T3247,$T$6:$T$6005,0)=ROW()-5,N($X3246)+1,N($X3246)))</f>
        <v/>
      </c>
      <c r="Z3247">
        <f>IF($V3247="","",IF($AA3247&gt;N($AA3246),$AA3247,""))</f>
        <v/>
      </c>
      <c r="AA3247">
        <f>IF($V3247="",N($AA3246),IF(MATCH($V3247,$V$6:$V$6005,0)=ROW()-5,N($AA3246)+1,N($AA3246)))</f>
        <v/>
      </c>
    </row>
    <row r="3248" ht="21" customHeight="1" s="66">
      <c r="A3248" s="56" t="n"/>
      <c r="B3248" s="57" t="n"/>
      <c r="C3248" s="57" t="n"/>
      <c r="D3248" s="57" t="n"/>
      <c r="E3248" s="56" t="n"/>
      <c r="F3248" s="57" t="n"/>
      <c r="G3248" s="57" t="n"/>
      <c r="H3248" s="56" t="n"/>
      <c r="I3248" s="56" t="n"/>
      <c r="J3248" s="58" t="n"/>
      <c r="K3248" s="58" t="n"/>
      <c r="L3248" s="13">
        <f>IF(OR($A3248="",AND($J3248="",$K3248="")),"",ROUND(N($J3248)-N($K3248),2))</f>
        <v/>
      </c>
      <c r="M3248" s="13">
        <f>IF(OR($A3248="",AND($J3248="",$K3248="")),"",MIN($J3248,$K3248))</f>
        <v/>
      </c>
      <c r="Q3248">
        <f>IF($A3248="","",$D3248&amp;"("&amp;SUBSTITUTE($E3248," ","")&amp;")")</f>
        <v/>
      </c>
      <c r="R3248">
        <f>IF($A3248="","",$B3248&amp;" - "&amp;$C3248)</f>
        <v/>
      </c>
      <c r="S3248">
        <f>IF($A3248="","",$R3248&amp;"|"&amp;$Q3248)</f>
        <v/>
      </c>
      <c r="T3248">
        <f>IF($A3248="","",$S3248&amp;"|"&amp;$F3248)</f>
        <v/>
      </c>
      <c r="U3248">
        <f>IF($A3248="","",$R3248&amp;"("&amp;$E3248&amp;")")</f>
        <v/>
      </c>
      <c r="V3248">
        <f>IF($A3248="","",$F3248&amp;"|"&amp;$U3248&amp;"|"&amp;$D3248)</f>
        <v/>
      </c>
      <c r="W3248">
        <f>IF($T3248="","",IF($X3248&gt;N($X3247),$X3248,""))</f>
        <v/>
      </c>
      <c r="X3248">
        <f>IF($T3248="",N($X3247),IF(MATCH($T3248,$T$6:$T$6005,0)=ROW()-5,N($X3247)+1,N($X3247)))</f>
        <v/>
      </c>
      <c r="Z3248">
        <f>IF($V3248="","",IF($AA3248&gt;N($AA3247),$AA3248,""))</f>
        <v/>
      </c>
      <c r="AA3248">
        <f>IF($V3248="",N($AA3247),IF(MATCH($V3248,$V$6:$V$6005,0)=ROW()-5,N($AA3247)+1,N($AA3247)))</f>
        <v/>
      </c>
    </row>
    <row r="3249" ht="21" customHeight="1" s="66">
      <c r="A3249" s="56" t="n"/>
      <c r="B3249" s="57" t="n"/>
      <c r="C3249" s="57" t="n"/>
      <c r="D3249" s="57" t="n"/>
      <c r="E3249" s="56" t="n"/>
      <c r="F3249" s="57" t="n"/>
      <c r="G3249" s="57" t="n"/>
      <c r="H3249" s="56" t="n"/>
      <c r="I3249" s="56" t="n"/>
      <c r="J3249" s="58" t="n"/>
      <c r="K3249" s="58" t="n"/>
      <c r="L3249" s="13">
        <f>IF(OR($A3249="",AND($J3249="",$K3249="")),"",ROUND(N($J3249)-N($K3249),2))</f>
        <v/>
      </c>
      <c r="M3249" s="13">
        <f>IF(OR($A3249="",AND($J3249="",$K3249="")),"",MIN($J3249,$K3249))</f>
        <v/>
      </c>
      <c r="Q3249">
        <f>IF($A3249="","",$D3249&amp;"("&amp;SUBSTITUTE($E3249," ","")&amp;")")</f>
        <v/>
      </c>
      <c r="R3249">
        <f>IF($A3249="","",$B3249&amp;" - "&amp;$C3249)</f>
        <v/>
      </c>
      <c r="S3249">
        <f>IF($A3249="","",$R3249&amp;"|"&amp;$Q3249)</f>
        <v/>
      </c>
      <c r="T3249">
        <f>IF($A3249="","",$S3249&amp;"|"&amp;$F3249)</f>
        <v/>
      </c>
      <c r="U3249">
        <f>IF($A3249="","",$R3249&amp;"("&amp;$E3249&amp;")")</f>
        <v/>
      </c>
      <c r="V3249">
        <f>IF($A3249="","",$F3249&amp;"|"&amp;$U3249&amp;"|"&amp;$D3249)</f>
        <v/>
      </c>
      <c r="W3249">
        <f>IF($T3249="","",IF($X3249&gt;N($X3248),$X3249,""))</f>
        <v/>
      </c>
      <c r="X3249">
        <f>IF($T3249="",N($X3248),IF(MATCH($T3249,$T$6:$T$6005,0)=ROW()-5,N($X3248)+1,N($X3248)))</f>
        <v/>
      </c>
      <c r="Z3249">
        <f>IF($V3249="","",IF($AA3249&gt;N($AA3248),$AA3249,""))</f>
        <v/>
      </c>
      <c r="AA3249">
        <f>IF($V3249="",N($AA3248),IF(MATCH($V3249,$V$6:$V$6005,0)=ROW()-5,N($AA3248)+1,N($AA3248)))</f>
        <v/>
      </c>
    </row>
    <row r="3250" ht="21" customHeight="1" s="66">
      <c r="A3250" s="56" t="n"/>
      <c r="B3250" s="57" t="n"/>
      <c r="C3250" s="57" t="n"/>
      <c r="D3250" s="57" t="n"/>
      <c r="E3250" s="56" t="n"/>
      <c r="F3250" s="57" t="n"/>
      <c r="G3250" s="57" t="n"/>
      <c r="H3250" s="56" t="n"/>
      <c r="I3250" s="56" t="n"/>
      <c r="J3250" s="58" t="n"/>
      <c r="K3250" s="58" t="n"/>
      <c r="L3250" s="13">
        <f>IF(OR($A3250="",AND($J3250="",$K3250="")),"",ROUND(N($J3250)-N($K3250),2))</f>
        <v/>
      </c>
      <c r="M3250" s="13">
        <f>IF(OR($A3250="",AND($J3250="",$K3250="")),"",MIN($J3250,$K3250))</f>
        <v/>
      </c>
      <c r="Q3250">
        <f>IF($A3250="","",$D3250&amp;"("&amp;SUBSTITUTE($E3250," ","")&amp;")")</f>
        <v/>
      </c>
      <c r="R3250">
        <f>IF($A3250="","",$B3250&amp;" - "&amp;$C3250)</f>
        <v/>
      </c>
      <c r="S3250">
        <f>IF($A3250="","",$R3250&amp;"|"&amp;$Q3250)</f>
        <v/>
      </c>
      <c r="T3250">
        <f>IF($A3250="","",$S3250&amp;"|"&amp;$F3250)</f>
        <v/>
      </c>
      <c r="U3250">
        <f>IF($A3250="","",$R3250&amp;"("&amp;$E3250&amp;")")</f>
        <v/>
      </c>
      <c r="V3250">
        <f>IF($A3250="","",$F3250&amp;"|"&amp;$U3250&amp;"|"&amp;$D3250)</f>
        <v/>
      </c>
      <c r="W3250">
        <f>IF($T3250="","",IF($X3250&gt;N($X3249),$X3250,""))</f>
        <v/>
      </c>
      <c r="X3250">
        <f>IF($T3250="",N($X3249),IF(MATCH($T3250,$T$6:$T$6005,0)=ROW()-5,N($X3249)+1,N($X3249)))</f>
        <v/>
      </c>
      <c r="Z3250">
        <f>IF($V3250="","",IF($AA3250&gt;N($AA3249),$AA3250,""))</f>
        <v/>
      </c>
      <c r="AA3250">
        <f>IF($V3250="",N($AA3249),IF(MATCH($V3250,$V$6:$V$6005,0)=ROW()-5,N($AA3249)+1,N($AA3249)))</f>
        <v/>
      </c>
    </row>
    <row r="3251" ht="21" customHeight="1" s="66">
      <c r="A3251" s="56" t="n"/>
      <c r="B3251" s="57" t="n"/>
      <c r="C3251" s="57" t="n"/>
      <c r="D3251" s="57" t="n"/>
      <c r="E3251" s="56" t="n"/>
      <c r="F3251" s="57" t="n"/>
      <c r="G3251" s="57" t="n"/>
      <c r="H3251" s="56" t="n"/>
      <c r="I3251" s="56" t="n"/>
      <c r="J3251" s="58" t="n"/>
      <c r="K3251" s="58" t="n"/>
      <c r="L3251" s="13">
        <f>IF(OR($A3251="",AND($J3251="",$K3251="")),"",ROUND(N($J3251)-N($K3251),2))</f>
        <v/>
      </c>
      <c r="M3251" s="13">
        <f>IF(OR($A3251="",AND($J3251="",$K3251="")),"",MIN($J3251,$K3251))</f>
        <v/>
      </c>
      <c r="Q3251">
        <f>IF($A3251="","",$D3251&amp;"("&amp;SUBSTITUTE($E3251," ","")&amp;")")</f>
        <v/>
      </c>
      <c r="R3251">
        <f>IF($A3251="","",$B3251&amp;" - "&amp;$C3251)</f>
        <v/>
      </c>
      <c r="S3251">
        <f>IF($A3251="","",$R3251&amp;"|"&amp;$Q3251)</f>
        <v/>
      </c>
      <c r="T3251">
        <f>IF($A3251="","",$S3251&amp;"|"&amp;$F3251)</f>
        <v/>
      </c>
      <c r="U3251">
        <f>IF($A3251="","",$R3251&amp;"("&amp;$E3251&amp;")")</f>
        <v/>
      </c>
      <c r="V3251">
        <f>IF($A3251="","",$F3251&amp;"|"&amp;$U3251&amp;"|"&amp;$D3251)</f>
        <v/>
      </c>
      <c r="W3251">
        <f>IF($T3251="","",IF($X3251&gt;N($X3250),$X3251,""))</f>
        <v/>
      </c>
      <c r="X3251">
        <f>IF($T3251="",N($X3250),IF(MATCH($T3251,$T$6:$T$6005,0)=ROW()-5,N($X3250)+1,N($X3250)))</f>
        <v/>
      </c>
      <c r="Z3251">
        <f>IF($V3251="","",IF($AA3251&gt;N($AA3250),$AA3251,""))</f>
        <v/>
      </c>
      <c r="AA3251">
        <f>IF($V3251="",N($AA3250),IF(MATCH($V3251,$V$6:$V$6005,0)=ROW()-5,N($AA3250)+1,N($AA3250)))</f>
        <v/>
      </c>
    </row>
    <row r="3252" ht="21" customHeight="1" s="66">
      <c r="A3252" s="56" t="n"/>
      <c r="B3252" s="57" t="n"/>
      <c r="C3252" s="57" t="n"/>
      <c r="D3252" s="57" t="n"/>
      <c r="E3252" s="56" t="n"/>
      <c r="F3252" s="57" t="n"/>
      <c r="G3252" s="57" t="n"/>
      <c r="H3252" s="56" t="n"/>
      <c r="I3252" s="56" t="n"/>
      <c r="J3252" s="58" t="n"/>
      <c r="K3252" s="58" t="n"/>
      <c r="L3252" s="13">
        <f>IF(OR($A3252="",AND($J3252="",$K3252="")),"",ROUND(N($J3252)-N($K3252),2))</f>
        <v/>
      </c>
      <c r="M3252" s="13">
        <f>IF(OR($A3252="",AND($J3252="",$K3252="")),"",MIN($J3252,$K3252))</f>
        <v/>
      </c>
      <c r="Q3252">
        <f>IF($A3252="","",$D3252&amp;"("&amp;SUBSTITUTE($E3252," ","")&amp;")")</f>
        <v/>
      </c>
      <c r="R3252">
        <f>IF($A3252="","",$B3252&amp;" - "&amp;$C3252)</f>
        <v/>
      </c>
      <c r="S3252">
        <f>IF($A3252="","",$R3252&amp;"|"&amp;$Q3252)</f>
        <v/>
      </c>
      <c r="T3252">
        <f>IF($A3252="","",$S3252&amp;"|"&amp;$F3252)</f>
        <v/>
      </c>
      <c r="U3252">
        <f>IF($A3252="","",$R3252&amp;"("&amp;$E3252&amp;")")</f>
        <v/>
      </c>
      <c r="V3252">
        <f>IF($A3252="","",$F3252&amp;"|"&amp;$U3252&amp;"|"&amp;$D3252)</f>
        <v/>
      </c>
      <c r="W3252">
        <f>IF($T3252="","",IF($X3252&gt;N($X3251),$X3252,""))</f>
        <v/>
      </c>
      <c r="X3252">
        <f>IF($T3252="",N($X3251),IF(MATCH($T3252,$T$6:$T$6005,0)=ROW()-5,N($X3251)+1,N($X3251)))</f>
        <v/>
      </c>
      <c r="Z3252">
        <f>IF($V3252="","",IF($AA3252&gt;N($AA3251),$AA3252,""))</f>
        <v/>
      </c>
      <c r="AA3252">
        <f>IF($V3252="",N($AA3251),IF(MATCH($V3252,$V$6:$V$6005,0)=ROW()-5,N($AA3251)+1,N($AA3251)))</f>
        <v/>
      </c>
    </row>
    <row r="3253" ht="21" customHeight="1" s="66">
      <c r="A3253" s="56" t="n"/>
      <c r="B3253" s="57" t="n"/>
      <c r="C3253" s="57" t="n"/>
      <c r="D3253" s="57" t="n"/>
      <c r="E3253" s="56" t="n"/>
      <c r="F3253" s="57" t="n"/>
      <c r="G3253" s="57" t="n"/>
      <c r="H3253" s="56" t="n"/>
      <c r="I3253" s="56" t="n"/>
      <c r="J3253" s="58" t="n"/>
      <c r="K3253" s="58" t="n"/>
      <c r="L3253" s="13">
        <f>IF(OR($A3253="",AND($J3253="",$K3253="")),"",ROUND(N($J3253)-N($K3253),2))</f>
        <v/>
      </c>
      <c r="M3253" s="13">
        <f>IF(OR($A3253="",AND($J3253="",$K3253="")),"",MIN($J3253,$K3253))</f>
        <v/>
      </c>
      <c r="Q3253">
        <f>IF($A3253="","",$D3253&amp;"("&amp;SUBSTITUTE($E3253," ","")&amp;")")</f>
        <v/>
      </c>
      <c r="R3253">
        <f>IF($A3253="","",$B3253&amp;" - "&amp;$C3253)</f>
        <v/>
      </c>
      <c r="S3253">
        <f>IF($A3253="","",$R3253&amp;"|"&amp;$Q3253)</f>
        <v/>
      </c>
      <c r="T3253">
        <f>IF($A3253="","",$S3253&amp;"|"&amp;$F3253)</f>
        <v/>
      </c>
      <c r="U3253">
        <f>IF($A3253="","",$R3253&amp;"("&amp;$E3253&amp;")")</f>
        <v/>
      </c>
      <c r="V3253">
        <f>IF($A3253="","",$F3253&amp;"|"&amp;$U3253&amp;"|"&amp;$D3253)</f>
        <v/>
      </c>
      <c r="W3253">
        <f>IF($T3253="","",IF($X3253&gt;N($X3252),$X3253,""))</f>
        <v/>
      </c>
      <c r="X3253">
        <f>IF($T3253="",N($X3252),IF(MATCH($T3253,$T$6:$T$6005,0)=ROW()-5,N($X3252)+1,N($X3252)))</f>
        <v/>
      </c>
      <c r="Z3253">
        <f>IF($V3253="","",IF($AA3253&gt;N($AA3252),$AA3253,""))</f>
        <v/>
      </c>
      <c r="AA3253">
        <f>IF($V3253="",N($AA3252),IF(MATCH($V3253,$V$6:$V$6005,0)=ROW()-5,N($AA3252)+1,N($AA3252)))</f>
        <v/>
      </c>
    </row>
    <row r="3254" ht="21" customHeight="1" s="66">
      <c r="A3254" s="56" t="n"/>
      <c r="B3254" s="57" t="n"/>
      <c r="C3254" s="57" t="n"/>
      <c r="D3254" s="57" t="n"/>
      <c r="E3254" s="56" t="n"/>
      <c r="F3254" s="57" t="n"/>
      <c r="G3254" s="57" t="n"/>
      <c r="H3254" s="56" t="n"/>
      <c r="I3254" s="56" t="n"/>
      <c r="J3254" s="58" t="n"/>
      <c r="K3254" s="58" t="n"/>
      <c r="L3254" s="13">
        <f>IF(OR($A3254="",AND($J3254="",$K3254="")),"",ROUND(N($J3254)-N($K3254),2))</f>
        <v/>
      </c>
      <c r="M3254" s="13">
        <f>IF(OR($A3254="",AND($J3254="",$K3254="")),"",MIN($J3254,$K3254))</f>
        <v/>
      </c>
      <c r="Q3254">
        <f>IF($A3254="","",$D3254&amp;"("&amp;SUBSTITUTE($E3254," ","")&amp;")")</f>
        <v/>
      </c>
      <c r="R3254">
        <f>IF($A3254="","",$B3254&amp;" - "&amp;$C3254)</f>
        <v/>
      </c>
      <c r="S3254">
        <f>IF($A3254="","",$R3254&amp;"|"&amp;$Q3254)</f>
        <v/>
      </c>
      <c r="T3254">
        <f>IF($A3254="","",$S3254&amp;"|"&amp;$F3254)</f>
        <v/>
      </c>
      <c r="U3254">
        <f>IF($A3254="","",$R3254&amp;"("&amp;$E3254&amp;")")</f>
        <v/>
      </c>
      <c r="V3254">
        <f>IF($A3254="","",$F3254&amp;"|"&amp;$U3254&amp;"|"&amp;$D3254)</f>
        <v/>
      </c>
      <c r="W3254">
        <f>IF($T3254="","",IF($X3254&gt;N($X3253),$X3254,""))</f>
        <v/>
      </c>
      <c r="X3254">
        <f>IF($T3254="",N($X3253),IF(MATCH($T3254,$T$6:$T$6005,0)=ROW()-5,N($X3253)+1,N($X3253)))</f>
        <v/>
      </c>
      <c r="Z3254">
        <f>IF($V3254="","",IF($AA3254&gt;N($AA3253),$AA3254,""))</f>
        <v/>
      </c>
      <c r="AA3254">
        <f>IF($V3254="",N($AA3253),IF(MATCH($V3254,$V$6:$V$6005,0)=ROW()-5,N($AA3253)+1,N($AA3253)))</f>
        <v/>
      </c>
    </row>
    <row r="3255" ht="21" customHeight="1" s="66">
      <c r="A3255" s="56" t="n"/>
      <c r="B3255" s="57" t="n"/>
      <c r="C3255" s="57" t="n"/>
      <c r="D3255" s="57" t="n"/>
      <c r="E3255" s="56" t="n"/>
      <c r="F3255" s="57" t="n"/>
      <c r="G3255" s="57" t="n"/>
      <c r="H3255" s="56" t="n"/>
      <c r="I3255" s="56" t="n"/>
      <c r="J3255" s="58" t="n"/>
      <c r="K3255" s="58" t="n"/>
      <c r="L3255" s="13">
        <f>IF(OR($A3255="",AND($J3255="",$K3255="")),"",ROUND(N($J3255)-N($K3255),2))</f>
        <v/>
      </c>
      <c r="M3255" s="13">
        <f>IF(OR($A3255="",AND($J3255="",$K3255="")),"",MIN($J3255,$K3255))</f>
        <v/>
      </c>
      <c r="Q3255">
        <f>IF($A3255="","",$D3255&amp;"("&amp;SUBSTITUTE($E3255," ","")&amp;")")</f>
        <v/>
      </c>
      <c r="R3255">
        <f>IF($A3255="","",$B3255&amp;" - "&amp;$C3255)</f>
        <v/>
      </c>
      <c r="S3255">
        <f>IF($A3255="","",$R3255&amp;"|"&amp;$Q3255)</f>
        <v/>
      </c>
      <c r="T3255">
        <f>IF($A3255="","",$S3255&amp;"|"&amp;$F3255)</f>
        <v/>
      </c>
      <c r="U3255">
        <f>IF($A3255="","",$R3255&amp;"("&amp;$E3255&amp;")")</f>
        <v/>
      </c>
      <c r="V3255">
        <f>IF($A3255="","",$F3255&amp;"|"&amp;$U3255&amp;"|"&amp;$D3255)</f>
        <v/>
      </c>
      <c r="W3255">
        <f>IF($T3255="","",IF($X3255&gt;N($X3254),$X3255,""))</f>
        <v/>
      </c>
      <c r="X3255">
        <f>IF($T3255="",N($X3254),IF(MATCH($T3255,$T$6:$T$6005,0)=ROW()-5,N($X3254)+1,N($X3254)))</f>
        <v/>
      </c>
      <c r="Z3255">
        <f>IF($V3255="","",IF($AA3255&gt;N($AA3254),$AA3255,""))</f>
        <v/>
      </c>
      <c r="AA3255">
        <f>IF($V3255="",N($AA3254),IF(MATCH($V3255,$V$6:$V$6005,0)=ROW()-5,N($AA3254)+1,N($AA3254)))</f>
        <v/>
      </c>
    </row>
    <row r="3256" ht="21" customHeight="1" s="66">
      <c r="A3256" s="56" t="n"/>
      <c r="B3256" s="57" t="n"/>
      <c r="C3256" s="57" t="n"/>
      <c r="D3256" s="57" t="n"/>
      <c r="E3256" s="56" t="n"/>
      <c r="F3256" s="57" t="n"/>
      <c r="G3256" s="57" t="n"/>
      <c r="H3256" s="56" t="n"/>
      <c r="I3256" s="56" t="n"/>
      <c r="J3256" s="58" t="n"/>
      <c r="K3256" s="58" t="n"/>
      <c r="L3256" s="13">
        <f>IF(OR($A3256="",AND($J3256="",$K3256="")),"",ROUND(N($J3256)-N($K3256),2))</f>
        <v/>
      </c>
      <c r="M3256" s="13">
        <f>IF(OR($A3256="",AND($J3256="",$K3256="")),"",MIN($J3256,$K3256))</f>
        <v/>
      </c>
      <c r="Q3256">
        <f>IF($A3256="","",$D3256&amp;"("&amp;SUBSTITUTE($E3256," ","")&amp;")")</f>
        <v/>
      </c>
      <c r="R3256">
        <f>IF($A3256="","",$B3256&amp;" - "&amp;$C3256)</f>
        <v/>
      </c>
      <c r="S3256">
        <f>IF($A3256="","",$R3256&amp;"|"&amp;$Q3256)</f>
        <v/>
      </c>
      <c r="T3256">
        <f>IF($A3256="","",$S3256&amp;"|"&amp;$F3256)</f>
        <v/>
      </c>
      <c r="U3256">
        <f>IF($A3256="","",$R3256&amp;"("&amp;$E3256&amp;")")</f>
        <v/>
      </c>
      <c r="V3256">
        <f>IF($A3256="","",$F3256&amp;"|"&amp;$U3256&amp;"|"&amp;$D3256)</f>
        <v/>
      </c>
      <c r="W3256">
        <f>IF($T3256="","",IF($X3256&gt;N($X3255),$X3256,""))</f>
        <v/>
      </c>
      <c r="X3256">
        <f>IF($T3256="",N($X3255),IF(MATCH($T3256,$T$6:$T$6005,0)=ROW()-5,N($X3255)+1,N($X3255)))</f>
        <v/>
      </c>
      <c r="Z3256">
        <f>IF($V3256="","",IF($AA3256&gt;N($AA3255),$AA3256,""))</f>
        <v/>
      </c>
      <c r="AA3256">
        <f>IF($V3256="",N($AA3255),IF(MATCH($V3256,$V$6:$V$6005,0)=ROW()-5,N($AA3255)+1,N($AA3255)))</f>
        <v/>
      </c>
    </row>
    <row r="3257" ht="21" customHeight="1" s="66">
      <c r="A3257" s="56" t="n"/>
      <c r="B3257" s="57" t="n"/>
      <c r="C3257" s="57" t="n"/>
      <c r="D3257" s="57" t="n"/>
      <c r="E3257" s="56" t="n"/>
      <c r="F3257" s="57" t="n"/>
      <c r="G3257" s="57" t="n"/>
      <c r="H3257" s="56" t="n"/>
      <c r="I3257" s="56" t="n"/>
      <c r="J3257" s="58" t="n"/>
      <c r="K3257" s="58" t="n"/>
      <c r="L3257" s="13">
        <f>IF(OR($A3257="",AND($J3257="",$K3257="")),"",ROUND(N($J3257)-N($K3257),2))</f>
        <v/>
      </c>
      <c r="M3257" s="13">
        <f>IF(OR($A3257="",AND($J3257="",$K3257="")),"",MIN($J3257,$K3257))</f>
        <v/>
      </c>
      <c r="Q3257">
        <f>IF($A3257="","",$D3257&amp;"("&amp;SUBSTITUTE($E3257," ","")&amp;")")</f>
        <v/>
      </c>
      <c r="R3257">
        <f>IF($A3257="","",$B3257&amp;" - "&amp;$C3257)</f>
        <v/>
      </c>
      <c r="S3257">
        <f>IF($A3257="","",$R3257&amp;"|"&amp;$Q3257)</f>
        <v/>
      </c>
      <c r="T3257">
        <f>IF($A3257="","",$S3257&amp;"|"&amp;$F3257)</f>
        <v/>
      </c>
      <c r="U3257">
        <f>IF($A3257="","",$R3257&amp;"("&amp;$E3257&amp;")")</f>
        <v/>
      </c>
      <c r="V3257">
        <f>IF($A3257="","",$F3257&amp;"|"&amp;$U3257&amp;"|"&amp;$D3257)</f>
        <v/>
      </c>
      <c r="W3257">
        <f>IF($T3257="","",IF($X3257&gt;N($X3256),$X3257,""))</f>
        <v/>
      </c>
      <c r="X3257">
        <f>IF($T3257="",N($X3256),IF(MATCH($T3257,$T$6:$T$6005,0)=ROW()-5,N($X3256)+1,N($X3256)))</f>
        <v/>
      </c>
      <c r="Z3257">
        <f>IF($V3257="","",IF($AA3257&gt;N($AA3256),$AA3257,""))</f>
        <v/>
      </c>
      <c r="AA3257">
        <f>IF($V3257="",N($AA3256),IF(MATCH($V3257,$V$6:$V$6005,0)=ROW()-5,N($AA3256)+1,N($AA3256)))</f>
        <v/>
      </c>
    </row>
    <row r="3258" ht="21" customHeight="1" s="66">
      <c r="A3258" s="56" t="n"/>
      <c r="B3258" s="57" t="n"/>
      <c r="C3258" s="57" t="n"/>
      <c r="D3258" s="57" t="n"/>
      <c r="E3258" s="56" t="n"/>
      <c r="F3258" s="57" t="n"/>
      <c r="G3258" s="57" t="n"/>
      <c r="H3258" s="56" t="n"/>
      <c r="I3258" s="56" t="n"/>
      <c r="J3258" s="58" t="n"/>
      <c r="K3258" s="58" t="n"/>
      <c r="L3258" s="13">
        <f>IF(OR($A3258="",AND($J3258="",$K3258="")),"",ROUND(N($J3258)-N($K3258),2))</f>
        <v/>
      </c>
      <c r="M3258" s="13">
        <f>IF(OR($A3258="",AND($J3258="",$K3258="")),"",MIN($J3258,$K3258))</f>
        <v/>
      </c>
      <c r="Q3258">
        <f>IF($A3258="","",$D3258&amp;"("&amp;SUBSTITUTE($E3258," ","")&amp;")")</f>
        <v/>
      </c>
      <c r="R3258">
        <f>IF($A3258="","",$B3258&amp;" - "&amp;$C3258)</f>
        <v/>
      </c>
      <c r="S3258">
        <f>IF($A3258="","",$R3258&amp;"|"&amp;$Q3258)</f>
        <v/>
      </c>
      <c r="T3258">
        <f>IF($A3258="","",$S3258&amp;"|"&amp;$F3258)</f>
        <v/>
      </c>
      <c r="U3258">
        <f>IF($A3258="","",$R3258&amp;"("&amp;$E3258&amp;")")</f>
        <v/>
      </c>
      <c r="V3258">
        <f>IF($A3258="","",$F3258&amp;"|"&amp;$U3258&amp;"|"&amp;$D3258)</f>
        <v/>
      </c>
      <c r="W3258">
        <f>IF($T3258="","",IF($X3258&gt;N($X3257),$X3258,""))</f>
        <v/>
      </c>
      <c r="X3258">
        <f>IF($T3258="",N($X3257),IF(MATCH($T3258,$T$6:$T$6005,0)=ROW()-5,N($X3257)+1,N($X3257)))</f>
        <v/>
      </c>
      <c r="Z3258">
        <f>IF($V3258="","",IF($AA3258&gt;N($AA3257),$AA3258,""))</f>
        <v/>
      </c>
      <c r="AA3258">
        <f>IF($V3258="",N($AA3257),IF(MATCH($V3258,$V$6:$V$6005,0)=ROW()-5,N($AA3257)+1,N($AA3257)))</f>
        <v/>
      </c>
    </row>
    <row r="3259" ht="21" customHeight="1" s="66">
      <c r="A3259" s="56" t="n"/>
      <c r="B3259" s="57" t="n"/>
      <c r="C3259" s="57" t="n"/>
      <c r="D3259" s="57" t="n"/>
      <c r="E3259" s="56" t="n"/>
      <c r="F3259" s="57" t="n"/>
      <c r="G3259" s="57" t="n"/>
      <c r="H3259" s="56" t="n"/>
      <c r="I3259" s="56" t="n"/>
      <c r="J3259" s="58" t="n"/>
      <c r="K3259" s="58" t="n"/>
      <c r="L3259" s="13">
        <f>IF(OR($A3259="",AND($J3259="",$K3259="")),"",ROUND(N($J3259)-N($K3259),2))</f>
        <v/>
      </c>
      <c r="M3259" s="13">
        <f>IF(OR($A3259="",AND($J3259="",$K3259="")),"",MIN($J3259,$K3259))</f>
        <v/>
      </c>
      <c r="Q3259">
        <f>IF($A3259="","",$D3259&amp;"("&amp;SUBSTITUTE($E3259," ","")&amp;")")</f>
        <v/>
      </c>
      <c r="R3259">
        <f>IF($A3259="","",$B3259&amp;" - "&amp;$C3259)</f>
        <v/>
      </c>
      <c r="S3259">
        <f>IF($A3259="","",$R3259&amp;"|"&amp;$Q3259)</f>
        <v/>
      </c>
      <c r="T3259">
        <f>IF($A3259="","",$S3259&amp;"|"&amp;$F3259)</f>
        <v/>
      </c>
      <c r="U3259">
        <f>IF($A3259="","",$R3259&amp;"("&amp;$E3259&amp;")")</f>
        <v/>
      </c>
      <c r="V3259">
        <f>IF($A3259="","",$F3259&amp;"|"&amp;$U3259&amp;"|"&amp;$D3259)</f>
        <v/>
      </c>
      <c r="W3259">
        <f>IF($T3259="","",IF($X3259&gt;N($X3258),$X3259,""))</f>
        <v/>
      </c>
      <c r="X3259">
        <f>IF($T3259="",N($X3258),IF(MATCH($T3259,$T$6:$T$6005,0)=ROW()-5,N($X3258)+1,N($X3258)))</f>
        <v/>
      </c>
      <c r="Z3259">
        <f>IF($V3259="","",IF($AA3259&gt;N($AA3258),$AA3259,""))</f>
        <v/>
      </c>
      <c r="AA3259">
        <f>IF($V3259="",N($AA3258),IF(MATCH($V3259,$V$6:$V$6005,0)=ROW()-5,N($AA3258)+1,N($AA3258)))</f>
        <v/>
      </c>
    </row>
    <row r="3260" ht="21" customHeight="1" s="66">
      <c r="A3260" s="56" t="n"/>
      <c r="B3260" s="57" t="n"/>
      <c r="C3260" s="57" t="n"/>
      <c r="D3260" s="57" t="n"/>
      <c r="E3260" s="56" t="n"/>
      <c r="F3260" s="57" t="n"/>
      <c r="G3260" s="57" t="n"/>
      <c r="H3260" s="56" t="n"/>
      <c r="I3260" s="56" t="n"/>
      <c r="J3260" s="58" t="n"/>
      <c r="K3260" s="58" t="n"/>
      <c r="L3260" s="13">
        <f>IF(OR($A3260="",AND($J3260="",$K3260="")),"",ROUND(N($J3260)-N($K3260),2))</f>
        <v/>
      </c>
      <c r="M3260" s="13">
        <f>IF(OR($A3260="",AND($J3260="",$K3260="")),"",MIN($J3260,$K3260))</f>
        <v/>
      </c>
      <c r="Q3260">
        <f>IF($A3260="","",$D3260&amp;"("&amp;SUBSTITUTE($E3260," ","")&amp;")")</f>
        <v/>
      </c>
      <c r="R3260">
        <f>IF($A3260="","",$B3260&amp;" - "&amp;$C3260)</f>
        <v/>
      </c>
      <c r="S3260">
        <f>IF($A3260="","",$R3260&amp;"|"&amp;$Q3260)</f>
        <v/>
      </c>
      <c r="T3260">
        <f>IF($A3260="","",$S3260&amp;"|"&amp;$F3260)</f>
        <v/>
      </c>
      <c r="U3260">
        <f>IF($A3260="","",$R3260&amp;"("&amp;$E3260&amp;")")</f>
        <v/>
      </c>
      <c r="V3260">
        <f>IF($A3260="","",$F3260&amp;"|"&amp;$U3260&amp;"|"&amp;$D3260)</f>
        <v/>
      </c>
      <c r="W3260">
        <f>IF($T3260="","",IF($X3260&gt;N($X3259),$X3260,""))</f>
        <v/>
      </c>
      <c r="X3260">
        <f>IF($T3260="",N($X3259),IF(MATCH($T3260,$T$6:$T$6005,0)=ROW()-5,N($X3259)+1,N($X3259)))</f>
        <v/>
      </c>
      <c r="Z3260">
        <f>IF($V3260="","",IF($AA3260&gt;N($AA3259),$AA3260,""))</f>
        <v/>
      </c>
      <c r="AA3260">
        <f>IF($V3260="",N($AA3259),IF(MATCH($V3260,$V$6:$V$6005,0)=ROW()-5,N($AA3259)+1,N($AA3259)))</f>
        <v/>
      </c>
    </row>
    <row r="3261" ht="21" customHeight="1" s="66">
      <c r="A3261" s="56" t="n"/>
      <c r="B3261" s="57" t="n"/>
      <c r="C3261" s="57" t="n"/>
      <c r="D3261" s="57" t="n"/>
      <c r="E3261" s="56" t="n"/>
      <c r="F3261" s="57" t="n"/>
      <c r="G3261" s="57" t="n"/>
      <c r="H3261" s="56" t="n"/>
      <c r="I3261" s="56" t="n"/>
      <c r="J3261" s="58" t="n"/>
      <c r="K3261" s="58" t="n"/>
      <c r="L3261" s="13">
        <f>IF(OR($A3261="",AND($J3261="",$K3261="")),"",ROUND(N($J3261)-N($K3261),2))</f>
        <v/>
      </c>
      <c r="M3261" s="13">
        <f>IF(OR($A3261="",AND($J3261="",$K3261="")),"",MIN($J3261,$K3261))</f>
        <v/>
      </c>
      <c r="Q3261">
        <f>IF($A3261="","",$D3261&amp;"("&amp;SUBSTITUTE($E3261," ","")&amp;")")</f>
        <v/>
      </c>
      <c r="R3261">
        <f>IF($A3261="","",$B3261&amp;" - "&amp;$C3261)</f>
        <v/>
      </c>
      <c r="S3261">
        <f>IF($A3261="","",$R3261&amp;"|"&amp;$Q3261)</f>
        <v/>
      </c>
      <c r="T3261">
        <f>IF($A3261="","",$S3261&amp;"|"&amp;$F3261)</f>
        <v/>
      </c>
      <c r="U3261">
        <f>IF($A3261="","",$R3261&amp;"("&amp;$E3261&amp;")")</f>
        <v/>
      </c>
      <c r="V3261">
        <f>IF($A3261="","",$F3261&amp;"|"&amp;$U3261&amp;"|"&amp;$D3261)</f>
        <v/>
      </c>
      <c r="W3261">
        <f>IF($T3261="","",IF($X3261&gt;N($X3260),$X3261,""))</f>
        <v/>
      </c>
      <c r="X3261">
        <f>IF($T3261="",N($X3260),IF(MATCH($T3261,$T$6:$T$6005,0)=ROW()-5,N($X3260)+1,N($X3260)))</f>
        <v/>
      </c>
      <c r="Z3261">
        <f>IF($V3261="","",IF($AA3261&gt;N($AA3260),$AA3261,""))</f>
        <v/>
      </c>
      <c r="AA3261">
        <f>IF($V3261="",N($AA3260),IF(MATCH($V3261,$V$6:$V$6005,0)=ROW()-5,N($AA3260)+1,N($AA3260)))</f>
        <v/>
      </c>
    </row>
    <row r="3262" ht="21" customHeight="1" s="66">
      <c r="A3262" s="56" t="n"/>
      <c r="B3262" s="57" t="n"/>
      <c r="C3262" s="57" t="n"/>
      <c r="D3262" s="57" t="n"/>
      <c r="E3262" s="56" t="n"/>
      <c r="F3262" s="57" t="n"/>
      <c r="G3262" s="57" t="n"/>
      <c r="H3262" s="56" t="n"/>
      <c r="I3262" s="56" t="n"/>
      <c r="J3262" s="58" t="n"/>
      <c r="K3262" s="58" t="n"/>
      <c r="L3262" s="13">
        <f>IF(OR($A3262="",AND($J3262="",$K3262="")),"",ROUND(N($J3262)-N($K3262),2))</f>
        <v/>
      </c>
      <c r="M3262" s="13">
        <f>IF(OR($A3262="",AND($J3262="",$K3262="")),"",MIN($J3262,$K3262))</f>
        <v/>
      </c>
      <c r="Q3262">
        <f>IF($A3262="","",$D3262&amp;"("&amp;SUBSTITUTE($E3262," ","")&amp;")")</f>
        <v/>
      </c>
      <c r="R3262">
        <f>IF($A3262="","",$B3262&amp;" - "&amp;$C3262)</f>
        <v/>
      </c>
      <c r="S3262">
        <f>IF($A3262="","",$R3262&amp;"|"&amp;$Q3262)</f>
        <v/>
      </c>
      <c r="T3262">
        <f>IF($A3262="","",$S3262&amp;"|"&amp;$F3262)</f>
        <v/>
      </c>
      <c r="U3262">
        <f>IF($A3262="","",$R3262&amp;"("&amp;$E3262&amp;")")</f>
        <v/>
      </c>
      <c r="V3262">
        <f>IF($A3262="","",$F3262&amp;"|"&amp;$U3262&amp;"|"&amp;$D3262)</f>
        <v/>
      </c>
      <c r="W3262">
        <f>IF($T3262="","",IF($X3262&gt;N($X3261),$X3262,""))</f>
        <v/>
      </c>
      <c r="X3262">
        <f>IF($T3262="",N($X3261),IF(MATCH($T3262,$T$6:$T$6005,0)=ROW()-5,N($X3261)+1,N($X3261)))</f>
        <v/>
      </c>
      <c r="Z3262">
        <f>IF($V3262="","",IF($AA3262&gt;N($AA3261),$AA3262,""))</f>
        <v/>
      </c>
      <c r="AA3262">
        <f>IF($V3262="",N($AA3261),IF(MATCH($V3262,$V$6:$V$6005,0)=ROW()-5,N($AA3261)+1,N($AA3261)))</f>
        <v/>
      </c>
    </row>
    <row r="3263" ht="21" customHeight="1" s="66">
      <c r="A3263" s="56" t="n"/>
      <c r="B3263" s="57" t="n"/>
      <c r="C3263" s="57" t="n"/>
      <c r="D3263" s="57" t="n"/>
      <c r="E3263" s="56" t="n"/>
      <c r="F3263" s="57" t="n"/>
      <c r="G3263" s="57" t="n"/>
      <c r="H3263" s="56" t="n"/>
      <c r="I3263" s="56" t="n"/>
      <c r="J3263" s="58" t="n"/>
      <c r="K3263" s="58" t="n"/>
      <c r="L3263" s="13">
        <f>IF(OR($A3263="",AND($J3263="",$K3263="")),"",ROUND(N($J3263)-N($K3263),2))</f>
        <v/>
      </c>
      <c r="M3263" s="13">
        <f>IF(OR($A3263="",AND($J3263="",$K3263="")),"",MIN($J3263,$K3263))</f>
        <v/>
      </c>
      <c r="Q3263">
        <f>IF($A3263="","",$D3263&amp;"("&amp;SUBSTITUTE($E3263," ","")&amp;")")</f>
        <v/>
      </c>
      <c r="R3263">
        <f>IF($A3263="","",$B3263&amp;" - "&amp;$C3263)</f>
        <v/>
      </c>
      <c r="S3263">
        <f>IF($A3263="","",$R3263&amp;"|"&amp;$Q3263)</f>
        <v/>
      </c>
      <c r="T3263">
        <f>IF($A3263="","",$S3263&amp;"|"&amp;$F3263)</f>
        <v/>
      </c>
      <c r="U3263">
        <f>IF($A3263="","",$R3263&amp;"("&amp;$E3263&amp;")")</f>
        <v/>
      </c>
      <c r="V3263">
        <f>IF($A3263="","",$F3263&amp;"|"&amp;$U3263&amp;"|"&amp;$D3263)</f>
        <v/>
      </c>
      <c r="W3263">
        <f>IF($T3263="","",IF($X3263&gt;N($X3262),$X3263,""))</f>
        <v/>
      </c>
      <c r="X3263">
        <f>IF($T3263="",N($X3262),IF(MATCH($T3263,$T$6:$T$6005,0)=ROW()-5,N($X3262)+1,N($X3262)))</f>
        <v/>
      </c>
      <c r="Z3263">
        <f>IF($V3263="","",IF($AA3263&gt;N($AA3262),$AA3263,""))</f>
        <v/>
      </c>
      <c r="AA3263">
        <f>IF($V3263="",N($AA3262),IF(MATCH($V3263,$V$6:$V$6005,0)=ROW()-5,N($AA3262)+1,N($AA3262)))</f>
        <v/>
      </c>
    </row>
    <row r="3264" ht="21" customHeight="1" s="66">
      <c r="A3264" s="56" t="n"/>
      <c r="B3264" s="57" t="n"/>
      <c r="C3264" s="57" t="n"/>
      <c r="D3264" s="57" t="n"/>
      <c r="E3264" s="56" t="n"/>
      <c r="F3264" s="57" t="n"/>
      <c r="G3264" s="57" t="n"/>
      <c r="H3264" s="56" t="n"/>
      <c r="I3264" s="56" t="n"/>
      <c r="J3264" s="58" t="n"/>
      <c r="K3264" s="58" t="n"/>
      <c r="L3264" s="13">
        <f>IF(OR($A3264="",AND($J3264="",$K3264="")),"",ROUND(N($J3264)-N($K3264),2))</f>
        <v/>
      </c>
      <c r="M3264" s="13">
        <f>IF(OR($A3264="",AND($J3264="",$K3264="")),"",MIN($J3264,$K3264))</f>
        <v/>
      </c>
      <c r="Q3264">
        <f>IF($A3264="","",$D3264&amp;"("&amp;SUBSTITUTE($E3264," ","")&amp;")")</f>
        <v/>
      </c>
      <c r="R3264">
        <f>IF($A3264="","",$B3264&amp;" - "&amp;$C3264)</f>
        <v/>
      </c>
      <c r="S3264">
        <f>IF($A3264="","",$R3264&amp;"|"&amp;$Q3264)</f>
        <v/>
      </c>
      <c r="T3264">
        <f>IF($A3264="","",$S3264&amp;"|"&amp;$F3264)</f>
        <v/>
      </c>
      <c r="U3264">
        <f>IF($A3264="","",$R3264&amp;"("&amp;$E3264&amp;")")</f>
        <v/>
      </c>
      <c r="V3264">
        <f>IF($A3264="","",$F3264&amp;"|"&amp;$U3264&amp;"|"&amp;$D3264)</f>
        <v/>
      </c>
      <c r="W3264">
        <f>IF($T3264="","",IF($X3264&gt;N($X3263),$X3264,""))</f>
        <v/>
      </c>
      <c r="X3264">
        <f>IF($T3264="",N($X3263),IF(MATCH($T3264,$T$6:$T$6005,0)=ROW()-5,N($X3263)+1,N($X3263)))</f>
        <v/>
      </c>
      <c r="Z3264">
        <f>IF($V3264="","",IF($AA3264&gt;N($AA3263),$AA3264,""))</f>
        <v/>
      </c>
      <c r="AA3264">
        <f>IF($V3264="",N($AA3263),IF(MATCH($V3264,$V$6:$V$6005,0)=ROW()-5,N($AA3263)+1,N($AA3263)))</f>
        <v/>
      </c>
    </row>
    <row r="3265" ht="21" customHeight="1" s="66">
      <c r="A3265" s="56" t="n"/>
      <c r="B3265" s="57" t="n"/>
      <c r="C3265" s="57" t="n"/>
      <c r="D3265" s="57" t="n"/>
      <c r="E3265" s="56" t="n"/>
      <c r="F3265" s="57" t="n"/>
      <c r="G3265" s="57" t="n"/>
      <c r="H3265" s="56" t="n"/>
      <c r="I3265" s="56" t="n"/>
      <c r="J3265" s="58" t="n"/>
      <c r="K3265" s="58" t="n"/>
      <c r="L3265" s="13">
        <f>IF(OR($A3265="",AND($J3265="",$K3265="")),"",ROUND(N($J3265)-N($K3265),2))</f>
        <v/>
      </c>
      <c r="M3265" s="13">
        <f>IF(OR($A3265="",AND($J3265="",$K3265="")),"",MIN($J3265,$K3265))</f>
        <v/>
      </c>
      <c r="Q3265">
        <f>IF($A3265="","",$D3265&amp;"("&amp;SUBSTITUTE($E3265," ","")&amp;")")</f>
        <v/>
      </c>
      <c r="R3265">
        <f>IF($A3265="","",$B3265&amp;" - "&amp;$C3265)</f>
        <v/>
      </c>
      <c r="S3265">
        <f>IF($A3265="","",$R3265&amp;"|"&amp;$Q3265)</f>
        <v/>
      </c>
      <c r="T3265">
        <f>IF($A3265="","",$S3265&amp;"|"&amp;$F3265)</f>
        <v/>
      </c>
      <c r="U3265">
        <f>IF($A3265="","",$R3265&amp;"("&amp;$E3265&amp;")")</f>
        <v/>
      </c>
      <c r="V3265">
        <f>IF($A3265="","",$F3265&amp;"|"&amp;$U3265&amp;"|"&amp;$D3265)</f>
        <v/>
      </c>
      <c r="W3265">
        <f>IF($T3265="","",IF($X3265&gt;N($X3264),$X3265,""))</f>
        <v/>
      </c>
      <c r="X3265">
        <f>IF($T3265="",N($X3264),IF(MATCH($T3265,$T$6:$T$6005,0)=ROW()-5,N($X3264)+1,N($X3264)))</f>
        <v/>
      </c>
      <c r="Z3265">
        <f>IF($V3265="","",IF($AA3265&gt;N($AA3264),$AA3265,""))</f>
        <v/>
      </c>
      <c r="AA3265">
        <f>IF($V3265="",N($AA3264),IF(MATCH($V3265,$V$6:$V$6005,0)=ROW()-5,N($AA3264)+1,N($AA3264)))</f>
        <v/>
      </c>
    </row>
    <row r="3266" ht="21" customHeight="1" s="66">
      <c r="A3266" s="56" t="n"/>
      <c r="B3266" s="57" t="n"/>
      <c r="C3266" s="57" t="n"/>
      <c r="D3266" s="57" t="n"/>
      <c r="E3266" s="56" t="n"/>
      <c r="F3266" s="57" t="n"/>
      <c r="G3266" s="57" t="n"/>
      <c r="H3266" s="56" t="n"/>
      <c r="I3266" s="56" t="n"/>
      <c r="J3266" s="58" t="n"/>
      <c r="K3266" s="58" t="n"/>
      <c r="L3266" s="13">
        <f>IF(OR($A3266="",AND($J3266="",$K3266="")),"",ROUND(N($J3266)-N($K3266),2))</f>
        <v/>
      </c>
      <c r="M3266" s="13">
        <f>IF(OR($A3266="",AND($J3266="",$K3266="")),"",MIN($J3266,$K3266))</f>
        <v/>
      </c>
      <c r="Q3266">
        <f>IF($A3266="","",$D3266&amp;"("&amp;SUBSTITUTE($E3266," ","")&amp;")")</f>
        <v/>
      </c>
      <c r="R3266">
        <f>IF($A3266="","",$B3266&amp;" - "&amp;$C3266)</f>
        <v/>
      </c>
      <c r="S3266">
        <f>IF($A3266="","",$R3266&amp;"|"&amp;$Q3266)</f>
        <v/>
      </c>
      <c r="T3266">
        <f>IF($A3266="","",$S3266&amp;"|"&amp;$F3266)</f>
        <v/>
      </c>
      <c r="U3266">
        <f>IF($A3266="","",$R3266&amp;"("&amp;$E3266&amp;")")</f>
        <v/>
      </c>
      <c r="V3266">
        <f>IF($A3266="","",$F3266&amp;"|"&amp;$U3266&amp;"|"&amp;$D3266)</f>
        <v/>
      </c>
      <c r="W3266">
        <f>IF($T3266="","",IF($X3266&gt;N($X3265),$X3266,""))</f>
        <v/>
      </c>
      <c r="X3266">
        <f>IF($T3266="",N($X3265),IF(MATCH($T3266,$T$6:$T$6005,0)=ROW()-5,N($X3265)+1,N($X3265)))</f>
        <v/>
      </c>
      <c r="Z3266">
        <f>IF($V3266="","",IF($AA3266&gt;N($AA3265),$AA3266,""))</f>
        <v/>
      </c>
      <c r="AA3266">
        <f>IF($V3266="",N($AA3265),IF(MATCH($V3266,$V$6:$V$6005,0)=ROW()-5,N($AA3265)+1,N($AA3265)))</f>
        <v/>
      </c>
    </row>
    <row r="3267" ht="21" customHeight="1" s="66">
      <c r="A3267" s="56" t="n"/>
      <c r="B3267" s="57" t="n"/>
      <c r="C3267" s="57" t="n"/>
      <c r="D3267" s="57" t="n"/>
      <c r="E3267" s="56" t="n"/>
      <c r="F3267" s="57" t="n"/>
      <c r="G3267" s="57" t="n"/>
      <c r="H3267" s="56" t="n"/>
      <c r="I3267" s="56" t="n"/>
      <c r="J3267" s="58" t="n"/>
      <c r="K3267" s="58" t="n"/>
      <c r="L3267" s="13">
        <f>IF(OR($A3267="",AND($J3267="",$K3267="")),"",ROUND(N($J3267)-N($K3267),2))</f>
        <v/>
      </c>
      <c r="M3267" s="13">
        <f>IF(OR($A3267="",AND($J3267="",$K3267="")),"",MIN($J3267,$K3267))</f>
        <v/>
      </c>
      <c r="Q3267">
        <f>IF($A3267="","",$D3267&amp;"("&amp;SUBSTITUTE($E3267," ","")&amp;")")</f>
        <v/>
      </c>
      <c r="R3267">
        <f>IF($A3267="","",$B3267&amp;" - "&amp;$C3267)</f>
        <v/>
      </c>
      <c r="S3267">
        <f>IF($A3267="","",$R3267&amp;"|"&amp;$Q3267)</f>
        <v/>
      </c>
      <c r="T3267">
        <f>IF($A3267="","",$S3267&amp;"|"&amp;$F3267)</f>
        <v/>
      </c>
      <c r="U3267">
        <f>IF($A3267="","",$R3267&amp;"("&amp;$E3267&amp;")")</f>
        <v/>
      </c>
      <c r="V3267">
        <f>IF($A3267="","",$F3267&amp;"|"&amp;$U3267&amp;"|"&amp;$D3267)</f>
        <v/>
      </c>
      <c r="W3267">
        <f>IF($T3267="","",IF($X3267&gt;N($X3266),$X3267,""))</f>
        <v/>
      </c>
      <c r="X3267">
        <f>IF($T3267="",N($X3266),IF(MATCH($T3267,$T$6:$T$6005,0)=ROW()-5,N($X3266)+1,N($X3266)))</f>
        <v/>
      </c>
      <c r="Z3267">
        <f>IF($V3267="","",IF($AA3267&gt;N($AA3266),$AA3267,""))</f>
        <v/>
      </c>
      <c r="AA3267">
        <f>IF($V3267="",N($AA3266),IF(MATCH($V3267,$V$6:$V$6005,0)=ROW()-5,N($AA3266)+1,N($AA3266)))</f>
        <v/>
      </c>
    </row>
    <row r="3268" ht="21" customHeight="1" s="66">
      <c r="A3268" s="56" t="n"/>
      <c r="B3268" s="57" t="n"/>
      <c r="C3268" s="57" t="n"/>
      <c r="D3268" s="57" t="n"/>
      <c r="E3268" s="56" t="n"/>
      <c r="F3268" s="57" t="n"/>
      <c r="G3268" s="57" t="n"/>
      <c r="H3268" s="56" t="n"/>
      <c r="I3268" s="56" t="n"/>
      <c r="J3268" s="58" t="n"/>
      <c r="K3268" s="58" t="n"/>
      <c r="L3268" s="13">
        <f>IF(OR($A3268="",AND($J3268="",$K3268="")),"",ROUND(N($J3268)-N($K3268),2))</f>
        <v/>
      </c>
      <c r="M3268" s="13">
        <f>IF(OR($A3268="",AND($J3268="",$K3268="")),"",MIN($J3268,$K3268))</f>
        <v/>
      </c>
      <c r="Q3268">
        <f>IF($A3268="","",$D3268&amp;"("&amp;SUBSTITUTE($E3268," ","")&amp;")")</f>
        <v/>
      </c>
      <c r="R3268">
        <f>IF($A3268="","",$B3268&amp;" - "&amp;$C3268)</f>
        <v/>
      </c>
      <c r="S3268">
        <f>IF($A3268="","",$R3268&amp;"|"&amp;$Q3268)</f>
        <v/>
      </c>
      <c r="T3268">
        <f>IF($A3268="","",$S3268&amp;"|"&amp;$F3268)</f>
        <v/>
      </c>
      <c r="U3268">
        <f>IF($A3268="","",$R3268&amp;"("&amp;$E3268&amp;")")</f>
        <v/>
      </c>
      <c r="V3268">
        <f>IF($A3268="","",$F3268&amp;"|"&amp;$U3268&amp;"|"&amp;$D3268)</f>
        <v/>
      </c>
      <c r="W3268">
        <f>IF($T3268="","",IF($X3268&gt;N($X3267),$X3268,""))</f>
        <v/>
      </c>
      <c r="X3268">
        <f>IF($T3268="",N($X3267),IF(MATCH($T3268,$T$6:$T$6005,0)=ROW()-5,N($X3267)+1,N($X3267)))</f>
        <v/>
      </c>
      <c r="Z3268">
        <f>IF($V3268="","",IF($AA3268&gt;N($AA3267),$AA3268,""))</f>
        <v/>
      </c>
      <c r="AA3268">
        <f>IF($V3268="",N($AA3267),IF(MATCH($V3268,$V$6:$V$6005,0)=ROW()-5,N($AA3267)+1,N($AA3267)))</f>
        <v/>
      </c>
    </row>
    <row r="3269" ht="21" customHeight="1" s="66">
      <c r="A3269" s="56" t="n"/>
      <c r="B3269" s="57" t="n"/>
      <c r="C3269" s="57" t="n"/>
      <c r="D3269" s="57" t="n"/>
      <c r="E3269" s="56" t="n"/>
      <c r="F3269" s="57" t="n"/>
      <c r="G3269" s="57" t="n"/>
      <c r="H3269" s="56" t="n"/>
      <c r="I3269" s="56" t="n"/>
      <c r="J3269" s="58" t="n"/>
      <c r="K3269" s="58" t="n"/>
      <c r="L3269" s="13">
        <f>IF(OR($A3269="",AND($J3269="",$K3269="")),"",ROUND(N($J3269)-N($K3269),2))</f>
        <v/>
      </c>
      <c r="M3269" s="13">
        <f>IF(OR($A3269="",AND($J3269="",$K3269="")),"",MIN($J3269,$K3269))</f>
        <v/>
      </c>
      <c r="Q3269">
        <f>IF($A3269="","",$D3269&amp;"("&amp;SUBSTITUTE($E3269," ","")&amp;")")</f>
        <v/>
      </c>
      <c r="R3269">
        <f>IF($A3269="","",$B3269&amp;" - "&amp;$C3269)</f>
        <v/>
      </c>
      <c r="S3269">
        <f>IF($A3269="","",$R3269&amp;"|"&amp;$Q3269)</f>
        <v/>
      </c>
      <c r="T3269">
        <f>IF($A3269="","",$S3269&amp;"|"&amp;$F3269)</f>
        <v/>
      </c>
      <c r="U3269">
        <f>IF($A3269="","",$R3269&amp;"("&amp;$E3269&amp;")")</f>
        <v/>
      </c>
      <c r="V3269">
        <f>IF($A3269="","",$F3269&amp;"|"&amp;$U3269&amp;"|"&amp;$D3269)</f>
        <v/>
      </c>
      <c r="W3269">
        <f>IF($T3269="","",IF($X3269&gt;N($X3268),$X3269,""))</f>
        <v/>
      </c>
      <c r="X3269">
        <f>IF($T3269="",N($X3268),IF(MATCH($T3269,$T$6:$T$6005,0)=ROW()-5,N($X3268)+1,N($X3268)))</f>
        <v/>
      </c>
      <c r="Z3269">
        <f>IF($V3269="","",IF($AA3269&gt;N($AA3268),$AA3269,""))</f>
        <v/>
      </c>
      <c r="AA3269">
        <f>IF($V3269="",N($AA3268),IF(MATCH($V3269,$V$6:$V$6005,0)=ROW()-5,N($AA3268)+1,N($AA3268)))</f>
        <v/>
      </c>
    </row>
    <row r="3270" ht="21" customHeight="1" s="66">
      <c r="A3270" s="56" t="n"/>
      <c r="B3270" s="57" t="n"/>
      <c r="C3270" s="57" t="n"/>
      <c r="D3270" s="57" t="n"/>
      <c r="E3270" s="56" t="n"/>
      <c r="F3270" s="57" t="n"/>
      <c r="G3270" s="57" t="n"/>
      <c r="H3270" s="56" t="n"/>
      <c r="I3270" s="56" t="n"/>
      <c r="J3270" s="58" t="n"/>
      <c r="K3270" s="58" t="n"/>
      <c r="L3270" s="13">
        <f>IF(OR($A3270="",AND($J3270="",$K3270="")),"",ROUND(N($J3270)-N($K3270),2))</f>
        <v/>
      </c>
      <c r="M3270" s="13">
        <f>IF(OR($A3270="",AND($J3270="",$K3270="")),"",MIN($J3270,$K3270))</f>
        <v/>
      </c>
      <c r="Q3270">
        <f>IF($A3270="","",$D3270&amp;"("&amp;SUBSTITUTE($E3270," ","")&amp;")")</f>
        <v/>
      </c>
      <c r="R3270">
        <f>IF($A3270="","",$B3270&amp;" - "&amp;$C3270)</f>
        <v/>
      </c>
      <c r="S3270">
        <f>IF($A3270="","",$R3270&amp;"|"&amp;$Q3270)</f>
        <v/>
      </c>
      <c r="T3270">
        <f>IF($A3270="","",$S3270&amp;"|"&amp;$F3270)</f>
        <v/>
      </c>
      <c r="U3270">
        <f>IF($A3270="","",$R3270&amp;"("&amp;$E3270&amp;")")</f>
        <v/>
      </c>
      <c r="V3270">
        <f>IF($A3270="","",$F3270&amp;"|"&amp;$U3270&amp;"|"&amp;$D3270)</f>
        <v/>
      </c>
      <c r="W3270">
        <f>IF($T3270="","",IF($X3270&gt;N($X3269),$X3270,""))</f>
        <v/>
      </c>
      <c r="X3270">
        <f>IF($T3270="",N($X3269),IF(MATCH($T3270,$T$6:$T$6005,0)=ROW()-5,N($X3269)+1,N($X3269)))</f>
        <v/>
      </c>
      <c r="Z3270">
        <f>IF($V3270="","",IF($AA3270&gt;N($AA3269),$AA3270,""))</f>
        <v/>
      </c>
      <c r="AA3270">
        <f>IF($V3270="",N($AA3269),IF(MATCH($V3270,$V$6:$V$6005,0)=ROW()-5,N($AA3269)+1,N($AA3269)))</f>
        <v/>
      </c>
    </row>
    <row r="3271" ht="21" customHeight="1" s="66">
      <c r="A3271" s="56" t="n"/>
      <c r="B3271" s="57" t="n"/>
      <c r="C3271" s="57" t="n"/>
      <c r="D3271" s="57" t="n"/>
      <c r="E3271" s="56" t="n"/>
      <c r="F3271" s="57" t="n"/>
      <c r="G3271" s="57" t="n"/>
      <c r="H3271" s="56" t="n"/>
      <c r="I3271" s="56" t="n"/>
      <c r="J3271" s="58" t="n"/>
      <c r="K3271" s="58" t="n"/>
      <c r="L3271" s="13">
        <f>IF(OR($A3271="",AND($J3271="",$K3271="")),"",ROUND(N($J3271)-N($K3271),2))</f>
        <v/>
      </c>
      <c r="M3271" s="13">
        <f>IF(OR($A3271="",AND($J3271="",$K3271="")),"",MIN($J3271,$K3271))</f>
        <v/>
      </c>
      <c r="Q3271">
        <f>IF($A3271="","",$D3271&amp;"("&amp;SUBSTITUTE($E3271," ","")&amp;")")</f>
        <v/>
      </c>
      <c r="R3271">
        <f>IF($A3271="","",$B3271&amp;" - "&amp;$C3271)</f>
        <v/>
      </c>
      <c r="S3271">
        <f>IF($A3271="","",$R3271&amp;"|"&amp;$Q3271)</f>
        <v/>
      </c>
      <c r="T3271">
        <f>IF($A3271="","",$S3271&amp;"|"&amp;$F3271)</f>
        <v/>
      </c>
      <c r="U3271">
        <f>IF($A3271="","",$R3271&amp;"("&amp;$E3271&amp;")")</f>
        <v/>
      </c>
      <c r="V3271">
        <f>IF($A3271="","",$F3271&amp;"|"&amp;$U3271&amp;"|"&amp;$D3271)</f>
        <v/>
      </c>
      <c r="W3271">
        <f>IF($T3271="","",IF($X3271&gt;N($X3270),$X3271,""))</f>
        <v/>
      </c>
      <c r="X3271">
        <f>IF($T3271="",N($X3270),IF(MATCH($T3271,$T$6:$T$6005,0)=ROW()-5,N($X3270)+1,N($X3270)))</f>
        <v/>
      </c>
      <c r="Z3271">
        <f>IF($V3271="","",IF($AA3271&gt;N($AA3270),$AA3271,""))</f>
        <v/>
      </c>
      <c r="AA3271">
        <f>IF($V3271="",N($AA3270),IF(MATCH($V3271,$V$6:$V$6005,0)=ROW()-5,N($AA3270)+1,N($AA3270)))</f>
        <v/>
      </c>
    </row>
    <row r="3272" ht="21" customHeight="1" s="66">
      <c r="A3272" s="56" t="n"/>
      <c r="B3272" s="57" t="n"/>
      <c r="C3272" s="57" t="n"/>
      <c r="D3272" s="57" t="n"/>
      <c r="E3272" s="56" t="n"/>
      <c r="F3272" s="57" t="n"/>
      <c r="G3272" s="57" t="n"/>
      <c r="H3272" s="56" t="n"/>
      <c r="I3272" s="56" t="n"/>
      <c r="J3272" s="58" t="n"/>
      <c r="K3272" s="58" t="n"/>
      <c r="L3272" s="13">
        <f>IF(OR($A3272="",AND($J3272="",$K3272="")),"",ROUND(N($J3272)-N($K3272),2))</f>
        <v/>
      </c>
      <c r="M3272" s="13">
        <f>IF(OR($A3272="",AND($J3272="",$K3272="")),"",MIN($J3272,$K3272))</f>
        <v/>
      </c>
      <c r="Q3272">
        <f>IF($A3272="","",$D3272&amp;"("&amp;SUBSTITUTE($E3272," ","")&amp;")")</f>
        <v/>
      </c>
      <c r="R3272">
        <f>IF($A3272="","",$B3272&amp;" - "&amp;$C3272)</f>
        <v/>
      </c>
      <c r="S3272">
        <f>IF($A3272="","",$R3272&amp;"|"&amp;$Q3272)</f>
        <v/>
      </c>
      <c r="T3272">
        <f>IF($A3272="","",$S3272&amp;"|"&amp;$F3272)</f>
        <v/>
      </c>
      <c r="U3272">
        <f>IF($A3272="","",$R3272&amp;"("&amp;$E3272&amp;")")</f>
        <v/>
      </c>
      <c r="V3272">
        <f>IF($A3272="","",$F3272&amp;"|"&amp;$U3272&amp;"|"&amp;$D3272)</f>
        <v/>
      </c>
      <c r="W3272">
        <f>IF($T3272="","",IF($X3272&gt;N($X3271),$X3272,""))</f>
        <v/>
      </c>
      <c r="X3272">
        <f>IF($T3272="",N($X3271),IF(MATCH($T3272,$T$6:$T$6005,0)=ROW()-5,N($X3271)+1,N($X3271)))</f>
        <v/>
      </c>
      <c r="Z3272">
        <f>IF($V3272="","",IF($AA3272&gt;N($AA3271),$AA3272,""))</f>
        <v/>
      </c>
      <c r="AA3272">
        <f>IF($V3272="",N($AA3271),IF(MATCH($V3272,$V$6:$V$6005,0)=ROW()-5,N($AA3271)+1,N($AA3271)))</f>
        <v/>
      </c>
    </row>
    <row r="3273" ht="21" customHeight="1" s="66">
      <c r="A3273" s="56" t="n"/>
      <c r="B3273" s="57" t="n"/>
      <c r="C3273" s="57" t="n"/>
      <c r="D3273" s="57" t="n"/>
      <c r="E3273" s="56" t="n"/>
      <c r="F3273" s="57" t="n"/>
      <c r="G3273" s="57" t="n"/>
      <c r="H3273" s="56" t="n"/>
      <c r="I3273" s="56" t="n"/>
      <c r="J3273" s="58" t="n"/>
      <c r="K3273" s="58" t="n"/>
      <c r="L3273" s="13">
        <f>IF(OR($A3273="",AND($J3273="",$K3273="")),"",ROUND(N($J3273)-N($K3273),2))</f>
        <v/>
      </c>
      <c r="M3273" s="13">
        <f>IF(OR($A3273="",AND($J3273="",$K3273="")),"",MIN($J3273,$K3273))</f>
        <v/>
      </c>
      <c r="Q3273">
        <f>IF($A3273="","",$D3273&amp;"("&amp;SUBSTITUTE($E3273," ","")&amp;")")</f>
        <v/>
      </c>
      <c r="R3273">
        <f>IF($A3273="","",$B3273&amp;" - "&amp;$C3273)</f>
        <v/>
      </c>
      <c r="S3273">
        <f>IF($A3273="","",$R3273&amp;"|"&amp;$Q3273)</f>
        <v/>
      </c>
      <c r="T3273">
        <f>IF($A3273="","",$S3273&amp;"|"&amp;$F3273)</f>
        <v/>
      </c>
      <c r="U3273">
        <f>IF($A3273="","",$R3273&amp;"("&amp;$E3273&amp;")")</f>
        <v/>
      </c>
      <c r="V3273">
        <f>IF($A3273="","",$F3273&amp;"|"&amp;$U3273&amp;"|"&amp;$D3273)</f>
        <v/>
      </c>
      <c r="W3273">
        <f>IF($T3273="","",IF($X3273&gt;N($X3272),$X3273,""))</f>
        <v/>
      </c>
      <c r="X3273">
        <f>IF($T3273="",N($X3272),IF(MATCH($T3273,$T$6:$T$6005,0)=ROW()-5,N($X3272)+1,N($X3272)))</f>
        <v/>
      </c>
      <c r="Z3273">
        <f>IF($V3273="","",IF($AA3273&gt;N($AA3272),$AA3273,""))</f>
        <v/>
      </c>
      <c r="AA3273">
        <f>IF($V3273="",N($AA3272),IF(MATCH($V3273,$V$6:$V$6005,0)=ROW()-5,N($AA3272)+1,N($AA3272)))</f>
        <v/>
      </c>
    </row>
    <row r="3274" ht="21" customHeight="1" s="66">
      <c r="A3274" s="56" t="n"/>
      <c r="B3274" s="57" t="n"/>
      <c r="C3274" s="57" t="n"/>
      <c r="D3274" s="57" t="n"/>
      <c r="E3274" s="56" t="n"/>
      <c r="F3274" s="57" t="n"/>
      <c r="G3274" s="57" t="n"/>
      <c r="H3274" s="56" t="n"/>
      <c r="I3274" s="56" t="n"/>
      <c r="J3274" s="58" t="n"/>
      <c r="K3274" s="58" t="n"/>
      <c r="L3274" s="13">
        <f>IF(OR($A3274="",AND($J3274="",$K3274="")),"",ROUND(N($J3274)-N($K3274),2))</f>
        <v/>
      </c>
      <c r="M3274" s="13">
        <f>IF(OR($A3274="",AND($J3274="",$K3274="")),"",MIN($J3274,$K3274))</f>
        <v/>
      </c>
      <c r="Q3274">
        <f>IF($A3274="","",$D3274&amp;"("&amp;SUBSTITUTE($E3274," ","")&amp;")")</f>
        <v/>
      </c>
      <c r="R3274">
        <f>IF($A3274="","",$B3274&amp;" - "&amp;$C3274)</f>
        <v/>
      </c>
      <c r="S3274">
        <f>IF($A3274="","",$R3274&amp;"|"&amp;$Q3274)</f>
        <v/>
      </c>
      <c r="T3274">
        <f>IF($A3274="","",$S3274&amp;"|"&amp;$F3274)</f>
        <v/>
      </c>
      <c r="U3274">
        <f>IF($A3274="","",$R3274&amp;"("&amp;$E3274&amp;")")</f>
        <v/>
      </c>
      <c r="V3274">
        <f>IF($A3274="","",$F3274&amp;"|"&amp;$U3274&amp;"|"&amp;$D3274)</f>
        <v/>
      </c>
      <c r="W3274">
        <f>IF($T3274="","",IF($X3274&gt;N($X3273),$X3274,""))</f>
        <v/>
      </c>
      <c r="X3274">
        <f>IF($T3274="",N($X3273),IF(MATCH($T3274,$T$6:$T$6005,0)=ROW()-5,N($X3273)+1,N($X3273)))</f>
        <v/>
      </c>
      <c r="Z3274">
        <f>IF($V3274="","",IF($AA3274&gt;N($AA3273),$AA3274,""))</f>
        <v/>
      </c>
      <c r="AA3274">
        <f>IF($V3274="",N($AA3273),IF(MATCH($V3274,$V$6:$V$6005,0)=ROW()-5,N($AA3273)+1,N($AA3273)))</f>
        <v/>
      </c>
    </row>
    <row r="3275" ht="21" customHeight="1" s="66">
      <c r="A3275" s="56" t="n"/>
      <c r="B3275" s="57" t="n"/>
      <c r="C3275" s="57" t="n"/>
      <c r="D3275" s="57" t="n"/>
      <c r="E3275" s="56" t="n"/>
      <c r="F3275" s="57" t="n"/>
      <c r="G3275" s="57" t="n"/>
      <c r="H3275" s="56" t="n"/>
      <c r="I3275" s="56" t="n"/>
      <c r="J3275" s="58" t="n"/>
      <c r="K3275" s="58" t="n"/>
      <c r="L3275" s="13">
        <f>IF(OR($A3275="",AND($J3275="",$K3275="")),"",ROUND(N($J3275)-N($K3275),2))</f>
        <v/>
      </c>
      <c r="M3275" s="13">
        <f>IF(OR($A3275="",AND($J3275="",$K3275="")),"",MIN($J3275,$K3275))</f>
        <v/>
      </c>
      <c r="Q3275">
        <f>IF($A3275="","",$D3275&amp;"("&amp;SUBSTITUTE($E3275," ","")&amp;")")</f>
        <v/>
      </c>
      <c r="R3275">
        <f>IF($A3275="","",$B3275&amp;" - "&amp;$C3275)</f>
        <v/>
      </c>
      <c r="S3275">
        <f>IF($A3275="","",$R3275&amp;"|"&amp;$Q3275)</f>
        <v/>
      </c>
      <c r="T3275">
        <f>IF($A3275="","",$S3275&amp;"|"&amp;$F3275)</f>
        <v/>
      </c>
      <c r="U3275">
        <f>IF($A3275="","",$R3275&amp;"("&amp;$E3275&amp;")")</f>
        <v/>
      </c>
      <c r="V3275">
        <f>IF($A3275="","",$F3275&amp;"|"&amp;$U3275&amp;"|"&amp;$D3275)</f>
        <v/>
      </c>
      <c r="W3275">
        <f>IF($T3275="","",IF($X3275&gt;N($X3274),$X3275,""))</f>
        <v/>
      </c>
      <c r="X3275">
        <f>IF($T3275="",N($X3274),IF(MATCH($T3275,$T$6:$T$6005,0)=ROW()-5,N($X3274)+1,N($X3274)))</f>
        <v/>
      </c>
      <c r="Z3275">
        <f>IF($V3275="","",IF($AA3275&gt;N($AA3274),$AA3275,""))</f>
        <v/>
      </c>
      <c r="AA3275">
        <f>IF($V3275="",N($AA3274),IF(MATCH($V3275,$V$6:$V$6005,0)=ROW()-5,N($AA3274)+1,N($AA3274)))</f>
        <v/>
      </c>
    </row>
    <row r="3276" ht="21" customHeight="1" s="66">
      <c r="A3276" s="56" t="n"/>
      <c r="B3276" s="57" t="n"/>
      <c r="C3276" s="57" t="n"/>
      <c r="D3276" s="57" t="n"/>
      <c r="E3276" s="56" t="n"/>
      <c r="F3276" s="57" t="n"/>
      <c r="G3276" s="57" t="n"/>
      <c r="H3276" s="56" t="n"/>
      <c r="I3276" s="56" t="n"/>
      <c r="J3276" s="58" t="n"/>
      <c r="K3276" s="58" t="n"/>
      <c r="L3276" s="13">
        <f>IF(OR($A3276="",AND($J3276="",$K3276="")),"",ROUND(N($J3276)-N($K3276),2))</f>
        <v/>
      </c>
      <c r="M3276" s="13">
        <f>IF(OR($A3276="",AND($J3276="",$K3276="")),"",MIN($J3276,$K3276))</f>
        <v/>
      </c>
      <c r="Q3276">
        <f>IF($A3276="","",$D3276&amp;"("&amp;SUBSTITUTE($E3276," ","")&amp;")")</f>
        <v/>
      </c>
      <c r="R3276">
        <f>IF($A3276="","",$B3276&amp;" - "&amp;$C3276)</f>
        <v/>
      </c>
      <c r="S3276">
        <f>IF($A3276="","",$R3276&amp;"|"&amp;$Q3276)</f>
        <v/>
      </c>
      <c r="T3276">
        <f>IF($A3276="","",$S3276&amp;"|"&amp;$F3276)</f>
        <v/>
      </c>
      <c r="U3276">
        <f>IF($A3276="","",$R3276&amp;"("&amp;$E3276&amp;")")</f>
        <v/>
      </c>
      <c r="V3276">
        <f>IF($A3276="","",$F3276&amp;"|"&amp;$U3276&amp;"|"&amp;$D3276)</f>
        <v/>
      </c>
      <c r="W3276">
        <f>IF($T3276="","",IF($X3276&gt;N($X3275),$X3276,""))</f>
        <v/>
      </c>
      <c r="X3276">
        <f>IF($T3276="",N($X3275),IF(MATCH($T3276,$T$6:$T$6005,0)=ROW()-5,N($X3275)+1,N($X3275)))</f>
        <v/>
      </c>
      <c r="Z3276">
        <f>IF($V3276="","",IF($AA3276&gt;N($AA3275),$AA3276,""))</f>
        <v/>
      </c>
      <c r="AA3276">
        <f>IF($V3276="",N($AA3275),IF(MATCH($V3276,$V$6:$V$6005,0)=ROW()-5,N($AA3275)+1,N($AA3275)))</f>
        <v/>
      </c>
    </row>
    <row r="3277" ht="21" customHeight="1" s="66">
      <c r="A3277" s="56" t="n"/>
      <c r="B3277" s="57" t="n"/>
      <c r="C3277" s="57" t="n"/>
      <c r="D3277" s="57" t="n"/>
      <c r="E3277" s="56" t="n"/>
      <c r="F3277" s="57" t="n"/>
      <c r="G3277" s="57" t="n"/>
      <c r="H3277" s="56" t="n"/>
      <c r="I3277" s="56" t="n"/>
      <c r="J3277" s="58" t="n"/>
      <c r="K3277" s="58" t="n"/>
      <c r="L3277" s="13">
        <f>IF(OR($A3277="",AND($J3277="",$K3277="")),"",ROUND(N($J3277)-N($K3277),2))</f>
        <v/>
      </c>
      <c r="M3277" s="13">
        <f>IF(OR($A3277="",AND($J3277="",$K3277="")),"",MIN($J3277,$K3277))</f>
        <v/>
      </c>
      <c r="Q3277">
        <f>IF($A3277="","",$D3277&amp;"("&amp;SUBSTITUTE($E3277," ","")&amp;")")</f>
        <v/>
      </c>
      <c r="R3277">
        <f>IF($A3277="","",$B3277&amp;" - "&amp;$C3277)</f>
        <v/>
      </c>
      <c r="S3277">
        <f>IF($A3277="","",$R3277&amp;"|"&amp;$Q3277)</f>
        <v/>
      </c>
      <c r="T3277">
        <f>IF($A3277="","",$S3277&amp;"|"&amp;$F3277)</f>
        <v/>
      </c>
      <c r="U3277">
        <f>IF($A3277="","",$R3277&amp;"("&amp;$E3277&amp;")")</f>
        <v/>
      </c>
      <c r="V3277">
        <f>IF($A3277="","",$F3277&amp;"|"&amp;$U3277&amp;"|"&amp;$D3277)</f>
        <v/>
      </c>
      <c r="W3277">
        <f>IF($T3277="","",IF($X3277&gt;N($X3276),$X3277,""))</f>
        <v/>
      </c>
      <c r="X3277">
        <f>IF($T3277="",N($X3276),IF(MATCH($T3277,$T$6:$T$6005,0)=ROW()-5,N($X3276)+1,N($X3276)))</f>
        <v/>
      </c>
      <c r="Z3277">
        <f>IF($V3277="","",IF($AA3277&gt;N($AA3276),$AA3277,""))</f>
        <v/>
      </c>
      <c r="AA3277">
        <f>IF($V3277="",N($AA3276),IF(MATCH($V3277,$V$6:$V$6005,0)=ROW()-5,N($AA3276)+1,N($AA3276)))</f>
        <v/>
      </c>
    </row>
    <row r="3278" ht="21" customHeight="1" s="66">
      <c r="A3278" s="56" t="n"/>
      <c r="B3278" s="57" t="n"/>
      <c r="C3278" s="57" t="n"/>
      <c r="D3278" s="57" t="n"/>
      <c r="E3278" s="56" t="n"/>
      <c r="F3278" s="57" t="n"/>
      <c r="G3278" s="57" t="n"/>
      <c r="H3278" s="56" t="n"/>
      <c r="I3278" s="56" t="n"/>
      <c r="J3278" s="58" t="n"/>
      <c r="K3278" s="58" t="n"/>
      <c r="L3278" s="13">
        <f>IF(OR($A3278="",AND($J3278="",$K3278="")),"",ROUND(N($J3278)-N($K3278),2))</f>
        <v/>
      </c>
      <c r="M3278" s="13">
        <f>IF(OR($A3278="",AND($J3278="",$K3278="")),"",MIN($J3278,$K3278))</f>
        <v/>
      </c>
      <c r="Q3278">
        <f>IF($A3278="","",$D3278&amp;"("&amp;SUBSTITUTE($E3278," ","")&amp;")")</f>
        <v/>
      </c>
      <c r="R3278">
        <f>IF($A3278="","",$B3278&amp;" - "&amp;$C3278)</f>
        <v/>
      </c>
      <c r="S3278">
        <f>IF($A3278="","",$R3278&amp;"|"&amp;$Q3278)</f>
        <v/>
      </c>
      <c r="T3278">
        <f>IF($A3278="","",$S3278&amp;"|"&amp;$F3278)</f>
        <v/>
      </c>
      <c r="U3278">
        <f>IF($A3278="","",$R3278&amp;"("&amp;$E3278&amp;")")</f>
        <v/>
      </c>
      <c r="V3278">
        <f>IF($A3278="","",$F3278&amp;"|"&amp;$U3278&amp;"|"&amp;$D3278)</f>
        <v/>
      </c>
      <c r="W3278">
        <f>IF($T3278="","",IF($X3278&gt;N($X3277),$X3278,""))</f>
        <v/>
      </c>
      <c r="X3278">
        <f>IF($T3278="",N($X3277),IF(MATCH($T3278,$T$6:$T$6005,0)=ROW()-5,N($X3277)+1,N($X3277)))</f>
        <v/>
      </c>
      <c r="Z3278">
        <f>IF($V3278="","",IF($AA3278&gt;N($AA3277),$AA3278,""))</f>
        <v/>
      </c>
      <c r="AA3278">
        <f>IF($V3278="",N($AA3277),IF(MATCH($V3278,$V$6:$V$6005,0)=ROW()-5,N($AA3277)+1,N($AA3277)))</f>
        <v/>
      </c>
    </row>
    <row r="3279" ht="21" customHeight="1" s="66">
      <c r="A3279" s="56" t="n"/>
      <c r="B3279" s="57" t="n"/>
      <c r="C3279" s="57" t="n"/>
      <c r="D3279" s="57" t="n"/>
      <c r="E3279" s="56" t="n"/>
      <c r="F3279" s="57" t="n"/>
      <c r="G3279" s="57" t="n"/>
      <c r="H3279" s="56" t="n"/>
      <c r="I3279" s="56" t="n"/>
      <c r="J3279" s="58" t="n"/>
      <c r="K3279" s="58" t="n"/>
      <c r="L3279" s="13">
        <f>IF(OR($A3279="",AND($J3279="",$K3279="")),"",ROUND(N($J3279)-N($K3279),2))</f>
        <v/>
      </c>
      <c r="M3279" s="13">
        <f>IF(OR($A3279="",AND($J3279="",$K3279="")),"",MIN($J3279,$K3279))</f>
        <v/>
      </c>
      <c r="Q3279">
        <f>IF($A3279="","",$D3279&amp;"("&amp;SUBSTITUTE($E3279," ","")&amp;")")</f>
        <v/>
      </c>
      <c r="R3279">
        <f>IF($A3279="","",$B3279&amp;" - "&amp;$C3279)</f>
        <v/>
      </c>
      <c r="S3279">
        <f>IF($A3279="","",$R3279&amp;"|"&amp;$Q3279)</f>
        <v/>
      </c>
      <c r="T3279">
        <f>IF($A3279="","",$S3279&amp;"|"&amp;$F3279)</f>
        <v/>
      </c>
      <c r="U3279">
        <f>IF($A3279="","",$R3279&amp;"("&amp;$E3279&amp;")")</f>
        <v/>
      </c>
      <c r="V3279">
        <f>IF($A3279="","",$F3279&amp;"|"&amp;$U3279&amp;"|"&amp;$D3279)</f>
        <v/>
      </c>
      <c r="W3279">
        <f>IF($T3279="","",IF($X3279&gt;N($X3278),$X3279,""))</f>
        <v/>
      </c>
      <c r="X3279">
        <f>IF($T3279="",N($X3278),IF(MATCH($T3279,$T$6:$T$6005,0)=ROW()-5,N($X3278)+1,N($X3278)))</f>
        <v/>
      </c>
      <c r="Z3279">
        <f>IF($V3279="","",IF($AA3279&gt;N($AA3278),$AA3279,""))</f>
        <v/>
      </c>
      <c r="AA3279">
        <f>IF($V3279="",N($AA3278),IF(MATCH($V3279,$V$6:$V$6005,0)=ROW()-5,N($AA3278)+1,N($AA3278)))</f>
        <v/>
      </c>
    </row>
    <row r="3280" ht="21" customHeight="1" s="66">
      <c r="A3280" s="56" t="n"/>
      <c r="B3280" s="57" t="n"/>
      <c r="C3280" s="57" t="n"/>
      <c r="D3280" s="57" t="n"/>
      <c r="E3280" s="56" t="n"/>
      <c r="F3280" s="57" t="n"/>
      <c r="G3280" s="57" t="n"/>
      <c r="H3280" s="56" t="n"/>
      <c r="I3280" s="56" t="n"/>
      <c r="J3280" s="58" t="n"/>
      <c r="K3280" s="58" t="n"/>
      <c r="L3280" s="13">
        <f>IF(OR($A3280="",AND($J3280="",$K3280="")),"",ROUND(N($J3280)-N($K3280),2))</f>
        <v/>
      </c>
      <c r="M3280" s="13">
        <f>IF(OR($A3280="",AND($J3280="",$K3280="")),"",MIN($J3280,$K3280))</f>
        <v/>
      </c>
      <c r="Q3280">
        <f>IF($A3280="","",$D3280&amp;"("&amp;SUBSTITUTE($E3280," ","")&amp;")")</f>
        <v/>
      </c>
      <c r="R3280">
        <f>IF($A3280="","",$B3280&amp;" - "&amp;$C3280)</f>
        <v/>
      </c>
      <c r="S3280">
        <f>IF($A3280="","",$R3280&amp;"|"&amp;$Q3280)</f>
        <v/>
      </c>
      <c r="T3280">
        <f>IF($A3280="","",$S3280&amp;"|"&amp;$F3280)</f>
        <v/>
      </c>
      <c r="U3280">
        <f>IF($A3280="","",$R3280&amp;"("&amp;$E3280&amp;")")</f>
        <v/>
      </c>
      <c r="V3280">
        <f>IF($A3280="","",$F3280&amp;"|"&amp;$U3280&amp;"|"&amp;$D3280)</f>
        <v/>
      </c>
      <c r="W3280">
        <f>IF($T3280="","",IF($X3280&gt;N($X3279),$X3280,""))</f>
        <v/>
      </c>
      <c r="X3280">
        <f>IF($T3280="",N($X3279),IF(MATCH($T3280,$T$6:$T$6005,0)=ROW()-5,N($X3279)+1,N($X3279)))</f>
        <v/>
      </c>
      <c r="Z3280">
        <f>IF($V3280="","",IF($AA3280&gt;N($AA3279),$AA3280,""))</f>
        <v/>
      </c>
      <c r="AA3280">
        <f>IF($V3280="",N($AA3279),IF(MATCH($V3280,$V$6:$V$6005,0)=ROW()-5,N($AA3279)+1,N($AA3279)))</f>
        <v/>
      </c>
    </row>
    <row r="3281" ht="21" customHeight="1" s="66">
      <c r="A3281" s="56" t="n"/>
      <c r="B3281" s="57" t="n"/>
      <c r="C3281" s="57" t="n"/>
      <c r="D3281" s="57" t="n"/>
      <c r="E3281" s="56" t="n"/>
      <c r="F3281" s="57" t="n"/>
      <c r="G3281" s="57" t="n"/>
      <c r="H3281" s="56" t="n"/>
      <c r="I3281" s="56" t="n"/>
      <c r="J3281" s="58" t="n"/>
      <c r="K3281" s="58" t="n"/>
      <c r="L3281" s="13">
        <f>IF(OR($A3281="",AND($J3281="",$K3281="")),"",ROUND(N($J3281)-N($K3281),2))</f>
        <v/>
      </c>
      <c r="M3281" s="13">
        <f>IF(OR($A3281="",AND($J3281="",$K3281="")),"",MIN($J3281,$K3281))</f>
        <v/>
      </c>
      <c r="Q3281">
        <f>IF($A3281="","",$D3281&amp;"("&amp;SUBSTITUTE($E3281," ","")&amp;")")</f>
        <v/>
      </c>
      <c r="R3281">
        <f>IF($A3281="","",$B3281&amp;" - "&amp;$C3281)</f>
        <v/>
      </c>
      <c r="S3281">
        <f>IF($A3281="","",$R3281&amp;"|"&amp;$Q3281)</f>
        <v/>
      </c>
      <c r="T3281">
        <f>IF($A3281="","",$S3281&amp;"|"&amp;$F3281)</f>
        <v/>
      </c>
      <c r="U3281">
        <f>IF($A3281="","",$R3281&amp;"("&amp;$E3281&amp;")")</f>
        <v/>
      </c>
      <c r="V3281">
        <f>IF($A3281="","",$F3281&amp;"|"&amp;$U3281&amp;"|"&amp;$D3281)</f>
        <v/>
      </c>
      <c r="W3281">
        <f>IF($T3281="","",IF($X3281&gt;N($X3280),$X3281,""))</f>
        <v/>
      </c>
      <c r="X3281">
        <f>IF($T3281="",N($X3280),IF(MATCH($T3281,$T$6:$T$6005,0)=ROW()-5,N($X3280)+1,N($X3280)))</f>
        <v/>
      </c>
      <c r="Z3281">
        <f>IF($V3281="","",IF($AA3281&gt;N($AA3280),$AA3281,""))</f>
        <v/>
      </c>
      <c r="AA3281">
        <f>IF($V3281="",N($AA3280),IF(MATCH($V3281,$V$6:$V$6005,0)=ROW()-5,N($AA3280)+1,N($AA3280)))</f>
        <v/>
      </c>
    </row>
    <row r="3282" ht="21" customHeight="1" s="66">
      <c r="A3282" s="56" t="n"/>
      <c r="B3282" s="57" t="n"/>
      <c r="C3282" s="57" t="n"/>
      <c r="D3282" s="57" t="n"/>
      <c r="E3282" s="56" t="n"/>
      <c r="F3282" s="57" t="n"/>
      <c r="G3282" s="57" t="n"/>
      <c r="H3282" s="56" t="n"/>
      <c r="I3282" s="56" t="n"/>
      <c r="J3282" s="58" t="n"/>
      <c r="K3282" s="58" t="n"/>
      <c r="L3282" s="13">
        <f>IF(OR($A3282="",AND($J3282="",$K3282="")),"",ROUND(N($J3282)-N($K3282),2))</f>
        <v/>
      </c>
      <c r="M3282" s="13">
        <f>IF(OR($A3282="",AND($J3282="",$K3282="")),"",MIN($J3282,$K3282))</f>
        <v/>
      </c>
      <c r="Q3282">
        <f>IF($A3282="","",$D3282&amp;"("&amp;SUBSTITUTE($E3282," ","")&amp;")")</f>
        <v/>
      </c>
      <c r="R3282">
        <f>IF($A3282="","",$B3282&amp;" - "&amp;$C3282)</f>
        <v/>
      </c>
      <c r="S3282">
        <f>IF($A3282="","",$R3282&amp;"|"&amp;$Q3282)</f>
        <v/>
      </c>
      <c r="T3282">
        <f>IF($A3282="","",$S3282&amp;"|"&amp;$F3282)</f>
        <v/>
      </c>
      <c r="U3282">
        <f>IF($A3282="","",$R3282&amp;"("&amp;$E3282&amp;")")</f>
        <v/>
      </c>
      <c r="V3282">
        <f>IF($A3282="","",$F3282&amp;"|"&amp;$U3282&amp;"|"&amp;$D3282)</f>
        <v/>
      </c>
      <c r="W3282">
        <f>IF($T3282="","",IF($X3282&gt;N($X3281),$X3282,""))</f>
        <v/>
      </c>
      <c r="X3282">
        <f>IF($T3282="",N($X3281),IF(MATCH($T3282,$T$6:$T$6005,0)=ROW()-5,N($X3281)+1,N($X3281)))</f>
        <v/>
      </c>
      <c r="Z3282">
        <f>IF($V3282="","",IF($AA3282&gt;N($AA3281),$AA3282,""))</f>
        <v/>
      </c>
      <c r="AA3282">
        <f>IF($V3282="",N($AA3281),IF(MATCH($V3282,$V$6:$V$6005,0)=ROW()-5,N($AA3281)+1,N($AA3281)))</f>
        <v/>
      </c>
    </row>
    <row r="3283" ht="21" customHeight="1" s="66">
      <c r="A3283" s="56" t="n"/>
      <c r="B3283" s="57" t="n"/>
      <c r="C3283" s="57" t="n"/>
      <c r="D3283" s="57" t="n"/>
      <c r="E3283" s="56" t="n"/>
      <c r="F3283" s="57" t="n"/>
      <c r="G3283" s="57" t="n"/>
      <c r="H3283" s="56" t="n"/>
      <c r="I3283" s="56" t="n"/>
      <c r="J3283" s="58" t="n"/>
      <c r="K3283" s="58" t="n"/>
      <c r="L3283" s="13">
        <f>IF(OR($A3283="",AND($J3283="",$K3283="")),"",ROUND(N($J3283)-N($K3283),2))</f>
        <v/>
      </c>
      <c r="M3283" s="13">
        <f>IF(OR($A3283="",AND($J3283="",$K3283="")),"",MIN($J3283,$K3283))</f>
        <v/>
      </c>
      <c r="Q3283">
        <f>IF($A3283="","",$D3283&amp;"("&amp;SUBSTITUTE($E3283," ","")&amp;")")</f>
        <v/>
      </c>
      <c r="R3283">
        <f>IF($A3283="","",$B3283&amp;" - "&amp;$C3283)</f>
        <v/>
      </c>
      <c r="S3283">
        <f>IF($A3283="","",$R3283&amp;"|"&amp;$Q3283)</f>
        <v/>
      </c>
      <c r="T3283">
        <f>IF($A3283="","",$S3283&amp;"|"&amp;$F3283)</f>
        <v/>
      </c>
      <c r="U3283">
        <f>IF($A3283="","",$R3283&amp;"("&amp;$E3283&amp;")")</f>
        <v/>
      </c>
      <c r="V3283">
        <f>IF($A3283="","",$F3283&amp;"|"&amp;$U3283&amp;"|"&amp;$D3283)</f>
        <v/>
      </c>
      <c r="W3283">
        <f>IF($T3283="","",IF($X3283&gt;N($X3282),$X3283,""))</f>
        <v/>
      </c>
      <c r="X3283">
        <f>IF($T3283="",N($X3282),IF(MATCH($T3283,$T$6:$T$6005,0)=ROW()-5,N($X3282)+1,N($X3282)))</f>
        <v/>
      </c>
      <c r="Z3283">
        <f>IF($V3283="","",IF($AA3283&gt;N($AA3282),$AA3283,""))</f>
        <v/>
      </c>
      <c r="AA3283">
        <f>IF($V3283="",N($AA3282),IF(MATCH($V3283,$V$6:$V$6005,0)=ROW()-5,N($AA3282)+1,N($AA3282)))</f>
        <v/>
      </c>
    </row>
    <row r="3284" ht="21" customHeight="1" s="66">
      <c r="A3284" s="56" t="n"/>
      <c r="B3284" s="57" t="n"/>
      <c r="C3284" s="57" t="n"/>
      <c r="D3284" s="57" t="n"/>
      <c r="E3284" s="56" t="n"/>
      <c r="F3284" s="57" t="n"/>
      <c r="G3284" s="57" t="n"/>
      <c r="H3284" s="56" t="n"/>
      <c r="I3284" s="56" t="n"/>
      <c r="J3284" s="58" t="n"/>
      <c r="K3284" s="58" t="n"/>
      <c r="L3284" s="13">
        <f>IF(OR($A3284="",AND($J3284="",$K3284="")),"",ROUND(N($J3284)-N($K3284),2))</f>
        <v/>
      </c>
      <c r="M3284" s="13">
        <f>IF(OR($A3284="",AND($J3284="",$K3284="")),"",MIN($J3284,$K3284))</f>
        <v/>
      </c>
      <c r="Q3284">
        <f>IF($A3284="","",$D3284&amp;"("&amp;SUBSTITUTE($E3284," ","")&amp;")")</f>
        <v/>
      </c>
      <c r="R3284">
        <f>IF($A3284="","",$B3284&amp;" - "&amp;$C3284)</f>
        <v/>
      </c>
      <c r="S3284">
        <f>IF($A3284="","",$R3284&amp;"|"&amp;$Q3284)</f>
        <v/>
      </c>
      <c r="T3284">
        <f>IF($A3284="","",$S3284&amp;"|"&amp;$F3284)</f>
        <v/>
      </c>
      <c r="U3284">
        <f>IF($A3284="","",$R3284&amp;"("&amp;$E3284&amp;")")</f>
        <v/>
      </c>
      <c r="V3284">
        <f>IF($A3284="","",$F3284&amp;"|"&amp;$U3284&amp;"|"&amp;$D3284)</f>
        <v/>
      </c>
      <c r="W3284">
        <f>IF($T3284="","",IF($X3284&gt;N($X3283),$X3284,""))</f>
        <v/>
      </c>
      <c r="X3284">
        <f>IF($T3284="",N($X3283),IF(MATCH($T3284,$T$6:$T$6005,0)=ROW()-5,N($X3283)+1,N($X3283)))</f>
        <v/>
      </c>
      <c r="Z3284">
        <f>IF($V3284="","",IF($AA3284&gt;N($AA3283),$AA3284,""))</f>
        <v/>
      </c>
      <c r="AA3284">
        <f>IF($V3284="",N($AA3283),IF(MATCH($V3284,$V$6:$V$6005,0)=ROW()-5,N($AA3283)+1,N($AA3283)))</f>
        <v/>
      </c>
    </row>
    <row r="3285" ht="21" customHeight="1" s="66">
      <c r="A3285" s="56" t="n"/>
      <c r="B3285" s="57" t="n"/>
      <c r="C3285" s="57" t="n"/>
      <c r="D3285" s="57" t="n"/>
      <c r="E3285" s="56" t="n"/>
      <c r="F3285" s="57" t="n"/>
      <c r="G3285" s="57" t="n"/>
      <c r="H3285" s="56" t="n"/>
      <c r="I3285" s="56" t="n"/>
      <c r="J3285" s="58" t="n"/>
      <c r="K3285" s="58" t="n"/>
      <c r="L3285" s="13">
        <f>IF(OR($A3285="",AND($J3285="",$K3285="")),"",ROUND(N($J3285)-N($K3285),2))</f>
        <v/>
      </c>
      <c r="M3285" s="13">
        <f>IF(OR($A3285="",AND($J3285="",$K3285="")),"",MIN($J3285,$K3285))</f>
        <v/>
      </c>
      <c r="Q3285">
        <f>IF($A3285="","",$D3285&amp;"("&amp;SUBSTITUTE($E3285," ","")&amp;")")</f>
        <v/>
      </c>
      <c r="R3285">
        <f>IF($A3285="","",$B3285&amp;" - "&amp;$C3285)</f>
        <v/>
      </c>
      <c r="S3285">
        <f>IF($A3285="","",$R3285&amp;"|"&amp;$Q3285)</f>
        <v/>
      </c>
      <c r="T3285">
        <f>IF($A3285="","",$S3285&amp;"|"&amp;$F3285)</f>
        <v/>
      </c>
      <c r="U3285">
        <f>IF($A3285="","",$R3285&amp;"("&amp;$E3285&amp;")")</f>
        <v/>
      </c>
      <c r="V3285">
        <f>IF($A3285="","",$F3285&amp;"|"&amp;$U3285&amp;"|"&amp;$D3285)</f>
        <v/>
      </c>
      <c r="W3285">
        <f>IF($T3285="","",IF($X3285&gt;N($X3284),$X3285,""))</f>
        <v/>
      </c>
      <c r="X3285">
        <f>IF($T3285="",N($X3284),IF(MATCH($T3285,$T$6:$T$6005,0)=ROW()-5,N($X3284)+1,N($X3284)))</f>
        <v/>
      </c>
      <c r="Z3285">
        <f>IF($V3285="","",IF($AA3285&gt;N($AA3284),$AA3285,""))</f>
        <v/>
      </c>
      <c r="AA3285">
        <f>IF($V3285="",N($AA3284),IF(MATCH($V3285,$V$6:$V$6005,0)=ROW()-5,N($AA3284)+1,N($AA3284)))</f>
        <v/>
      </c>
    </row>
    <row r="3286" ht="21" customHeight="1" s="66">
      <c r="A3286" s="56" t="n"/>
      <c r="B3286" s="57" t="n"/>
      <c r="C3286" s="57" t="n"/>
      <c r="D3286" s="57" t="n"/>
      <c r="E3286" s="56" t="n"/>
      <c r="F3286" s="57" t="n"/>
      <c r="G3286" s="57" t="n"/>
      <c r="H3286" s="56" t="n"/>
      <c r="I3286" s="56" t="n"/>
      <c r="J3286" s="58" t="n"/>
      <c r="K3286" s="58" t="n"/>
      <c r="L3286" s="13">
        <f>IF(OR($A3286="",AND($J3286="",$K3286="")),"",ROUND(N($J3286)-N($K3286),2))</f>
        <v/>
      </c>
      <c r="M3286" s="13">
        <f>IF(OR($A3286="",AND($J3286="",$K3286="")),"",MIN($J3286,$K3286))</f>
        <v/>
      </c>
      <c r="Q3286">
        <f>IF($A3286="","",$D3286&amp;"("&amp;SUBSTITUTE($E3286," ","")&amp;")")</f>
        <v/>
      </c>
      <c r="R3286">
        <f>IF($A3286="","",$B3286&amp;" - "&amp;$C3286)</f>
        <v/>
      </c>
      <c r="S3286">
        <f>IF($A3286="","",$R3286&amp;"|"&amp;$Q3286)</f>
        <v/>
      </c>
      <c r="T3286">
        <f>IF($A3286="","",$S3286&amp;"|"&amp;$F3286)</f>
        <v/>
      </c>
      <c r="U3286">
        <f>IF($A3286="","",$R3286&amp;"("&amp;$E3286&amp;")")</f>
        <v/>
      </c>
      <c r="V3286">
        <f>IF($A3286="","",$F3286&amp;"|"&amp;$U3286&amp;"|"&amp;$D3286)</f>
        <v/>
      </c>
      <c r="W3286">
        <f>IF($T3286="","",IF($X3286&gt;N($X3285),$X3286,""))</f>
        <v/>
      </c>
      <c r="X3286">
        <f>IF($T3286="",N($X3285),IF(MATCH($T3286,$T$6:$T$6005,0)=ROW()-5,N($X3285)+1,N($X3285)))</f>
        <v/>
      </c>
      <c r="Z3286">
        <f>IF($V3286="","",IF($AA3286&gt;N($AA3285),$AA3286,""))</f>
        <v/>
      </c>
      <c r="AA3286">
        <f>IF($V3286="",N($AA3285),IF(MATCH($V3286,$V$6:$V$6005,0)=ROW()-5,N($AA3285)+1,N($AA3285)))</f>
        <v/>
      </c>
    </row>
    <row r="3287" ht="21" customHeight="1" s="66">
      <c r="A3287" s="56" t="n"/>
      <c r="B3287" s="57" t="n"/>
      <c r="C3287" s="57" t="n"/>
      <c r="D3287" s="57" t="n"/>
      <c r="E3287" s="56" t="n"/>
      <c r="F3287" s="57" t="n"/>
      <c r="G3287" s="57" t="n"/>
      <c r="H3287" s="56" t="n"/>
      <c r="I3287" s="56" t="n"/>
      <c r="J3287" s="58" t="n"/>
      <c r="K3287" s="58" t="n"/>
      <c r="L3287" s="13">
        <f>IF(OR($A3287="",AND($J3287="",$K3287="")),"",ROUND(N($J3287)-N($K3287),2))</f>
        <v/>
      </c>
      <c r="M3287" s="13">
        <f>IF(OR($A3287="",AND($J3287="",$K3287="")),"",MIN($J3287,$K3287))</f>
        <v/>
      </c>
      <c r="Q3287">
        <f>IF($A3287="","",$D3287&amp;"("&amp;SUBSTITUTE($E3287," ","")&amp;")")</f>
        <v/>
      </c>
      <c r="R3287">
        <f>IF($A3287="","",$B3287&amp;" - "&amp;$C3287)</f>
        <v/>
      </c>
      <c r="S3287">
        <f>IF($A3287="","",$R3287&amp;"|"&amp;$Q3287)</f>
        <v/>
      </c>
      <c r="T3287">
        <f>IF($A3287="","",$S3287&amp;"|"&amp;$F3287)</f>
        <v/>
      </c>
      <c r="U3287">
        <f>IF($A3287="","",$R3287&amp;"("&amp;$E3287&amp;")")</f>
        <v/>
      </c>
      <c r="V3287">
        <f>IF($A3287="","",$F3287&amp;"|"&amp;$U3287&amp;"|"&amp;$D3287)</f>
        <v/>
      </c>
      <c r="W3287">
        <f>IF($T3287="","",IF($X3287&gt;N($X3286),$X3287,""))</f>
        <v/>
      </c>
      <c r="X3287">
        <f>IF($T3287="",N($X3286),IF(MATCH($T3287,$T$6:$T$6005,0)=ROW()-5,N($X3286)+1,N($X3286)))</f>
        <v/>
      </c>
      <c r="Z3287">
        <f>IF($V3287="","",IF($AA3287&gt;N($AA3286),$AA3287,""))</f>
        <v/>
      </c>
      <c r="AA3287">
        <f>IF($V3287="",N($AA3286),IF(MATCH($V3287,$V$6:$V$6005,0)=ROW()-5,N($AA3286)+1,N($AA3286)))</f>
        <v/>
      </c>
    </row>
    <row r="3288" ht="21" customHeight="1" s="66">
      <c r="A3288" s="56" t="n"/>
      <c r="B3288" s="57" t="n"/>
      <c r="C3288" s="57" t="n"/>
      <c r="D3288" s="57" t="n"/>
      <c r="E3288" s="56" t="n"/>
      <c r="F3288" s="57" t="n"/>
      <c r="G3288" s="57" t="n"/>
      <c r="H3288" s="56" t="n"/>
      <c r="I3288" s="56" t="n"/>
      <c r="J3288" s="58" t="n"/>
      <c r="K3288" s="58" t="n"/>
      <c r="L3288" s="13">
        <f>IF(OR($A3288="",AND($J3288="",$K3288="")),"",ROUND(N($J3288)-N($K3288),2))</f>
        <v/>
      </c>
      <c r="M3288" s="13">
        <f>IF(OR($A3288="",AND($J3288="",$K3288="")),"",MIN($J3288,$K3288))</f>
        <v/>
      </c>
      <c r="Q3288">
        <f>IF($A3288="","",$D3288&amp;"("&amp;SUBSTITUTE($E3288," ","")&amp;")")</f>
        <v/>
      </c>
      <c r="R3288">
        <f>IF($A3288="","",$B3288&amp;" - "&amp;$C3288)</f>
        <v/>
      </c>
      <c r="S3288">
        <f>IF($A3288="","",$R3288&amp;"|"&amp;$Q3288)</f>
        <v/>
      </c>
      <c r="T3288">
        <f>IF($A3288="","",$S3288&amp;"|"&amp;$F3288)</f>
        <v/>
      </c>
      <c r="U3288">
        <f>IF($A3288="","",$R3288&amp;"("&amp;$E3288&amp;")")</f>
        <v/>
      </c>
      <c r="V3288">
        <f>IF($A3288="","",$F3288&amp;"|"&amp;$U3288&amp;"|"&amp;$D3288)</f>
        <v/>
      </c>
      <c r="W3288">
        <f>IF($T3288="","",IF($X3288&gt;N($X3287),$X3288,""))</f>
        <v/>
      </c>
      <c r="X3288">
        <f>IF($T3288="",N($X3287),IF(MATCH($T3288,$T$6:$T$6005,0)=ROW()-5,N($X3287)+1,N($X3287)))</f>
        <v/>
      </c>
      <c r="Z3288">
        <f>IF($V3288="","",IF($AA3288&gt;N($AA3287),$AA3288,""))</f>
        <v/>
      </c>
      <c r="AA3288">
        <f>IF($V3288="",N($AA3287),IF(MATCH($V3288,$V$6:$V$6005,0)=ROW()-5,N($AA3287)+1,N($AA3287)))</f>
        <v/>
      </c>
    </row>
    <row r="3289" ht="21" customHeight="1" s="66">
      <c r="A3289" s="56" t="n"/>
      <c r="B3289" s="57" t="n"/>
      <c r="C3289" s="57" t="n"/>
      <c r="D3289" s="57" t="n"/>
      <c r="E3289" s="56" t="n"/>
      <c r="F3289" s="57" t="n"/>
      <c r="G3289" s="57" t="n"/>
      <c r="H3289" s="56" t="n"/>
      <c r="I3289" s="56" t="n"/>
      <c r="J3289" s="58" t="n"/>
      <c r="K3289" s="58" t="n"/>
      <c r="L3289" s="13">
        <f>IF(OR($A3289="",AND($J3289="",$K3289="")),"",ROUND(N($J3289)-N($K3289),2))</f>
        <v/>
      </c>
      <c r="M3289" s="13">
        <f>IF(OR($A3289="",AND($J3289="",$K3289="")),"",MIN($J3289,$K3289))</f>
        <v/>
      </c>
      <c r="Q3289">
        <f>IF($A3289="","",$D3289&amp;"("&amp;SUBSTITUTE($E3289," ","")&amp;")")</f>
        <v/>
      </c>
      <c r="R3289">
        <f>IF($A3289="","",$B3289&amp;" - "&amp;$C3289)</f>
        <v/>
      </c>
      <c r="S3289">
        <f>IF($A3289="","",$R3289&amp;"|"&amp;$Q3289)</f>
        <v/>
      </c>
      <c r="T3289">
        <f>IF($A3289="","",$S3289&amp;"|"&amp;$F3289)</f>
        <v/>
      </c>
      <c r="U3289">
        <f>IF($A3289="","",$R3289&amp;"("&amp;$E3289&amp;")")</f>
        <v/>
      </c>
      <c r="V3289">
        <f>IF($A3289="","",$F3289&amp;"|"&amp;$U3289&amp;"|"&amp;$D3289)</f>
        <v/>
      </c>
      <c r="W3289">
        <f>IF($T3289="","",IF($X3289&gt;N($X3288),$X3289,""))</f>
        <v/>
      </c>
      <c r="X3289">
        <f>IF($T3289="",N($X3288),IF(MATCH($T3289,$T$6:$T$6005,0)=ROW()-5,N($X3288)+1,N($X3288)))</f>
        <v/>
      </c>
      <c r="Z3289">
        <f>IF($V3289="","",IF($AA3289&gt;N($AA3288),$AA3289,""))</f>
        <v/>
      </c>
      <c r="AA3289">
        <f>IF($V3289="",N($AA3288),IF(MATCH($V3289,$V$6:$V$6005,0)=ROW()-5,N($AA3288)+1,N($AA3288)))</f>
        <v/>
      </c>
    </row>
    <row r="3290" ht="21" customHeight="1" s="66">
      <c r="A3290" s="56" t="n"/>
      <c r="B3290" s="57" t="n"/>
      <c r="C3290" s="57" t="n"/>
      <c r="D3290" s="57" t="n"/>
      <c r="E3290" s="56" t="n"/>
      <c r="F3290" s="57" t="n"/>
      <c r="G3290" s="57" t="n"/>
      <c r="H3290" s="56" t="n"/>
      <c r="I3290" s="56" t="n"/>
      <c r="J3290" s="58" t="n"/>
      <c r="K3290" s="58" t="n"/>
      <c r="L3290" s="13">
        <f>IF(OR($A3290="",AND($J3290="",$K3290="")),"",ROUND(N($J3290)-N($K3290),2))</f>
        <v/>
      </c>
      <c r="M3290" s="13">
        <f>IF(OR($A3290="",AND($J3290="",$K3290="")),"",MIN($J3290,$K3290))</f>
        <v/>
      </c>
      <c r="Q3290">
        <f>IF($A3290="","",$D3290&amp;"("&amp;SUBSTITUTE($E3290," ","")&amp;")")</f>
        <v/>
      </c>
      <c r="R3290">
        <f>IF($A3290="","",$B3290&amp;" - "&amp;$C3290)</f>
        <v/>
      </c>
      <c r="S3290">
        <f>IF($A3290="","",$R3290&amp;"|"&amp;$Q3290)</f>
        <v/>
      </c>
      <c r="T3290">
        <f>IF($A3290="","",$S3290&amp;"|"&amp;$F3290)</f>
        <v/>
      </c>
      <c r="U3290">
        <f>IF($A3290="","",$R3290&amp;"("&amp;$E3290&amp;")")</f>
        <v/>
      </c>
      <c r="V3290">
        <f>IF($A3290="","",$F3290&amp;"|"&amp;$U3290&amp;"|"&amp;$D3290)</f>
        <v/>
      </c>
      <c r="W3290">
        <f>IF($T3290="","",IF($X3290&gt;N($X3289),$X3290,""))</f>
        <v/>
      </c>
      <c r="X3290">
        <f>IF($T3290="",N($X3289),IF(MATCH($T3290,$T$6:$T$6005,0)=ROW()-5,N($X3289)+1,N($X3289)))</f>
        <v/>
      </c>
      <c r="Z3290">
        <f>IF($V3290="","",IF($AA3290&gt;N($AA3289),$AA3290,""))</f>
        <v/>
      </c>
      <c r="AA3290">
        <f>IF($V3290="",N($AA3289),IF(MATCH($V3290,$V$6:$V$6005,0)=ROW()-5,N($AA3289)+1,N($AA3289)))</f>
        <v/>
      </c>
    </row>
    <row r="3291" ht="21" customHeight="1" s="66">
      <c r="A3291" s="56" t="n"/>
      <c r="B3291" s="57" t="n"/>
      <c r="C3291" s="57" t="n"/>
      <c r="D3291" s="57" t="n"/>
      <c r="E3291" s="56" t="n"/>
      <c r="F3291" s="57" t="n"/>
      <c r="G3291" s="57" t="n"/>
      <c r="H3291" s="56" t="n"/>
      <c r="I3291" s="56" t="n"/>
      <c r="J3291" s="58" t="n"/>
      <c r="K3291" s="58" t="n"/>
      <c r="L3291" s="13">
        <f>IF(OR($A3291="",AND($J3291="",$K3291="")),"",ROUND(N($J3291)-N($K3291),2))</f>
        <v/>
      </c>
      <c r="M3291" s="13">
        <f>IF(OR($A3291="",AND($J3291="",$K3291="")),"",MIN($J3291,$K3291))</f>
        <v/>
      </c>
      <c r="Q3291">
        <f>IF($A3291="","",$D3291&amp;"("&amp;SUBSTITUTE($E3291," ","")&amp;")")</f>
        <v/>
      </c>
      <c r="R3291">
        <f>IF($A3291="","",$B3291&amp;" - "&amp;$C3291)</f>
        <v/>
      </c>
      <c r="S3291">
        <f>IF($A3291="","",$R3291&amp;"|"&amp;$Q3291)</f>
        <v/>
      </c>
      <c r="T3291">
        <f>IF($A3291="","",$S3291&amp;"|"&amp;$F3291)</f>
        <v/>
      </c>
      <c r="U3291">
        <f>IF($A3291="","",$R3291&amp;"("&amp;$E3291&amp;")")</f>
        <v/>
      </c>
      <c r="V3291">
        <f>IF($A3291="","",$F3291&amp;"|"&amp;$U3291&amp;"|"&amp;$D3291)</f>
        <v/>
      </c>
      <c r="W3291">
        <f>IF($T3291="","",IF($X3291&gt;N($X3290),$X3291,""))</f>
        <v/>
      </c>
      <c r="X3291">
        <f>IF($T3291="",N($X3290),IF(MATCH($T3291,$T$6:$T$6005,0)=ROW()-5,N($X3290)+1,N($X3290)))</f>
        <v/>
      </c>
      <c r="Z3291">
        <f>IF($V3291="","",IF($AA3291&gt;N($AA3290),$AA3291,""))</f>
        <v/>
      </c>
      <c r="AA3291">
        <f>IF($V3291="",N($AA3290),IF(MATCH($V3291,$V$6:$V$6005,0)=ROW()-5,N($AA3290)+1,N($AA3290)))</f>
        <v/>
      </c>
    </row>
    <row r="3292" ht="21" customHeight="1" s="66">
      <c r="A3292" s="56" t="n"/>
      <c r="B3292" s="57" t="n"/>
      <c r="C3292" s="57" t="n"/>
      <c r="D3292" s="57" t="n"/>
      <c r="E3292" s="56" t="n"/>
      <c r="F3292" s="57" t="n"/>
      <c r="G3292" s="57" t="n"/>
      <c r="H3292" s="56" t="n"/>
      <c r="I3292" s="56" t="n"/>
      <c r="J3292" s="58" t="n"/>
      <c r="K3292" s="58" t="n"/>
      <c r="L3292" s="13">
        <f>IF(OR($A3292="",AND($J3292="",$K3292="")),"",ROUND(N($J3292)-N($K3292),2))</f>
        <v/>
      </c>
      <c r="M3292" s="13">
        <f>IF(OR($A3292="",AND($J3292="",$K3292="")),"",MIN($J3292,$K3292))</f>
        <v/>
      </c>
      <c r="Q3292">
        <f>IF($A3292="","",$D3292&amp;"("&amp;SUBSTITUTE($E3292," ","")&amp;")")</f>
        <v/>
      </c>
      <c r="R3292">
        <f>IF($A3292="","",$B3292&amp;" - "&amp;$C3292)</f>
        <v/>
      </c>
      <c r="S3292">
        <f>IF($A3292="","",$R3292&amp;"|"&amp;$Q3292)</f>
        <v/>
      </c>
      <c r="T3292">
        <f>IF($A3292="","",$S3292&amp;"|"&amp;$F3292)</f>
        <v/>
      </c>
      <c r="U3292">
        <f>IF($A3292="","",$R3292&amp;"("&amp;$E3292&amp;")")</f>
        <v/>
      </c>
      <c r="V3292">
        <f>IF($A3292="","",$F3292&amp;"|"&amp;$U3292&amp;"|"&amp;$D3292)</f>
        <v/>
      </c>
      <c r="W3292">
        <f>IF($T3292="","",IF($X3292&gt;N($X3291),$X3292,""))</f>
        <v/>
      </c>
      <c r="X3292">
        <f>IF($T3292="",N($X3291),IF(MATCH($T3292,$T$6:$T$6005,0)=ROW()-5,N($X3291)+1,N($X3291)))</f>
        <v/>
      </c>
      <c r="Z3292">
        <f>IF($V3292="","",IF($AA3292&gt;N($AA3291),$AA3292,""))</f>
        <v/>
      </c>
      <c r="AA3292">
        <f>IF($V3292="",N($AA3291),IF(MATCH($V3292,$V$6:$V$6005,0)=ROW()-5,N($AA3291)+1,N($AA3291)))</f>
        <v/>
      </c>
    </row>
    <row r="3293" ht="21" customHeight="1" s="66">
      <c r="A3293" s="56" t="n"/>
      <c r="B3293" s="57" t="n"/>
      <c r="C3293" s="57" t="n"/>
      <c r="D3293" s="57" t="n"/>
      <c r="E3293" s="56" t="n"/>
      <c r="F3293" s="57" t="n"/>
      <c r="G3293" s="57" t="n"/>
      <c r="H3293" s="56" t="n"/>
      <c r="I3293" s="56" t="n"/>
      <c r="J3293" s="58" t="n"/>
      <c r="K3293" s="58" t="n"/>
      <c r="L3293" s="13">
        <f>IF(OR($A3293="",AND($J3293="",$K3293="")),"",ROUND(N($J3293)-N($K3293),2))</f>
        <v/>
      </c>
      <c r="M3293" s="13">
        <f>IF(OR($A3293="",AND($J3293="",$K3293="")),"",MIN($J3293,$K3293))</f>
        <v/>
      </c>
      <c r="Q3293">
        <f>IF($A3293="","",$D3293&amp;"("&amp;SUBSTITUTE($E3293," ","")&amp;")")</f>
        <v/>
      </c>
      <c r="R3293">
        <f>IF($A3293="","",$B3293&amp;" - "&amp;$C3293)</f>
        <v/>
      </c>
      <c r="S3293">
        <f>IF($A3293="","",$R3293&amp;"|"&amp;$Q3293)</f>
        <v/>
      </c>
      <c r="T3293">
        <f>IF($A3293="","",$S3293&amp;"|"&amp;$F3293)</f>
        <v/>
      </c>
      <c r="U3293">
        <f>IF($A3293="","",$R3293&amp;"("&amp;$E3293&amp;")")</f>
        <v/>
      </c>
      <c r="V3293">
        <f>IF($A3293="","",$F3293&amp;"|"&amp;$U3293&amp;"|"&amp;$D3293)</f>
        <v/>
      </c>
      <c r="W3293">
        <f>IF($T3293="","",IF($X3293&gt;N($X3292),$X3293,""))</f>
        <v/>
      </c>
      <c r="X3293">
        <f>IF($T3293="",N($X3292),IF(MATCH($T3293,$T$6:$T$6005,0)=ROW()-5,N($X3292)+1,N($X3292)))</f>
        <v/>
      </c>
      <c r="Z3293">
        <f>IF($V3293="","",IF($AA3293&gt;N($AA3292),$AA3293,""))</f>
        <v/>
      </c>
      <c r="AA3293">
        <f>IF($V3293="",N($AA3292),IF(MATCH($V3293,$V$6:$V$6005,0)=ROW()-5,N($AA3292)+1,N($AA3292)))</f>
        <v/>
      </c>
    </row>
    <row r="3294" ht="21" customHeight="1" s="66">
      <c r="A3294" s="56" t="n"/>
      <c r="B3294" s="57" t="n"/>
      <c r="C3294" s="57" t="n"/>
      <c r="D3294" s="57" t="n"/>
      <c r="E3294" s="56" t="n"/>
      <c r="F3294" s="57" t="n"/>
      <c r="G3294" s="57" t="n"/>
      <c r="H3294" s="56" t="n"/>
      <c r="I3294" s="56" t="n"/>
      <c r="J3294" s="58" t="n"/>
      <c r="K3294" s="58" t="n"/>
      <c r="L3294" s="13">
        <f>IF(OR($A3294="",AND($J3294="",$K3294="")),"",ROUND(N($J3294)-N($K3294),2))</f>
        <v/>
      </c>
      <c r="M3294" s="13">
        <f>IF(OR($A3294="",AND($J3294="",$K3294="")),"",MIN($J3294,$K3294))</f>
        <v/>
      </c>
      <c r="Q3294">
        <f>IF($A3294="","",$D3294&amp;"("&amp;SUBSTITUTE($E3294," ","")&amp;")")</f>
        <v/>
      </c>
      <c r="R3294">
        <f>IF($A3294="","",$B3294&amp;" - "&amp;$C3294)</f>
        <v/>
      </c>
      <c r="S3294">
        <f>IF($A3294="","",$R3294&amp;"|"&amp;$Q3294)</f>
        <v/>
      </c>
      <c r="T3294">
        <f>IF($A3294="","",$S3294&amp;"|"&amp;$F3294)</f>
        <v/>
      </c>
      <c r="U3294">
        <f>IF($A3294="","",$R3294&amp;"("&amp;$E3294&amp;")")</f>
        <v/>
      </c>
      <c r="V3294">
        <f>IF($A3294="","",$F3294&amp;"|"&amp;$U3294&amp;"|"&amp;$D3294)</f>
        <v/>
      </c>
      <c r="W3294">
        <f>IF($T3294="","",IF($X3294&gt;N($X3293),$X3294,""))</f>
        <v/>
      </c>
      <c r="X3294">
        <f>IF($T3294="",N($X3293),IF(MATCH($T3294,$T$6:$T$6005,0)=ROW()-5,N($X3293)+1,N($X3293)))</f>
        <v/>
      </c>
      <c r="Z3294">
        <f>IF($V3294="","",IF($AA3294&gt;N($AA3293),$AA3294,""))</f>
        <v/>
      </c>
      <c r="AA3294">
        <f>IF($V3294="",N($AA3293),IF(MATCH($V3294,$V$6:$V$6005,0)=ROW()-5,N($AA3293)+1,N($AA3293)))</f>
        <v/>
      </c>
    </row>
    <row r="3295" ht="21" customHeight="1" s="66">
      <c r="A3295" s="56" t="n"/>
      <c r="B3295" s="57" t="n"/>
      <c r="C3295" s="57" t="n"/>
      <c r="D3295" s="57" t="n"/>
      <c r="E3295" s="56" t="n"/>
      <c r="F3295" s="57" t="n"/>
      <c r="G3295" s="57" t="n"/>
      <c r="H3295" s="56" t="n"/>
      <c r="I3295" s="56" t="n"/>
      <c r="J3295" s="58" t="n"/>
      <c r="K3295" s="58" t="n"/>
      <c r="L3295" s="13">
        <f>IF(OR($A3295="",AND($J3295="",$K3295="")),"",ROUND(N($J3295)-N($K3295),2))</f>
        <v/>
      </c>
      <c r="M3295" s="13">
        <f>IF(OR($A3295="",AND($J3295="",$K3295="")),"",MIN($J3295,$K3295))</f>
        <v/>
      </c>
      <c r="Q3295">
        <f>IF($A3295="","",$D3295&amp;"("&amp;SUBSTITUTE($E3295," ","")&amp;")")</f>
        <v/>
      </c>
      <c r="R3295">
        <f>IF($A3295="","",$B3295&amp;" - "&amp;$C3295)</f>
        <v/>
      </c>
      <c r="S3295">
        <f>IF($A3295="","",$R3295&amp;"|"&amp;$Q3295)</f>
        <v/>
      </c>
      <c r="T3295">
        <f>IF($A3295="","",$S3295&amp;"|"&amp;$F3295)</f>
        <v/>
      </c>
      <c r="U3295">
        <f>IF($A3295="","",$R3295&amp;"("&amp;$E3295&amp;")")</f>
        <v/>
      </c>
      <c r="V3295">
        <f>IF($A3295="","",$F3295&amp;"|"&amp;$U3295&amp;"|"&amp;$D3295)</f>
        <v/>
      </c>
      <c r="W3295">
        <f>IF($T3295="","",IF($X3295&gt;N($X3294),$X3295,""))</f>
        <v/>
      </c>
      <c r="X3295">
        <f>IF($T3295="",N($X3294),IF(MATCH($T3295,$T$6:$T$6005,0)=ROW()-5,N($X3294)+1,N($X3294)))</f>
        <v/>
      </c>
      <c r="Z3295">
        <f>IF($V3295="","",IF($AA3295&gt;N($AA3294),$AA3295,""))</f>
        <v/>
      </c>
      <c r="AA3295">
        <f>IF($V3295="",N($AA3294),IF(MATCH($V3295,$V$6:$V$6005,0)=ROW()-5,N($AA3294)+1,N($AA3294)))</f>
        <v/>
      </c>
    </row>
    <row r="3296" ht="21" customHeight="1" s="66">
      <c r="A3296" s="56" t="n"/>
      <c r="B3296" s="57" t="n"/>
      <c r="C3296" s="57" t="n"/>
      <c r="D3296" s="57" t="n"/>
      <c r="E3296" s="56" t="n"/>
      <c r="F3296" s="57" t="n"/>
      <c r="G3296" s="57" t="n"/>
      <c r="H3296" s="56" t="n"/>
      <c r="I3296" s="56" t="n"/>
      <c r="J3296" s="58" t="n"/>
      <c r="K3296" s="58" t="n"/>
      <c r="L3296" s="13">
        <f>IF(OR($A3296="",AND($J3296="",$K3296="")),"",ROUND(N($J3296)-N($K3296),2))</f>
        <v/>
      </c>
      <c r="M3296" s="13">
        <f>IF(OR($A3296="",AND($J3296="",$K3296="")),"",MIN($J3296,$K3296))</f>
        <v/>
      </c>
      <c r="Q3296">
        <f>IF($A3296="","",$D3296&amp;"("&amp;SUBSTITUTE($E3296," ","")&amp;")")</f>
        <v/>
      </c>
      <c r="R3296">
        <f>IF($A3296="","",$B3296&amp;" - "&amp;$C3296)</f>
        <v/>
      </c>
      <c r="S3296">
        <f>IF($A3296="","",$R3296&amp;"|"&amp;$Q3296)</f>
        <v/>
      </c>
      <c r="T3296">
        <f>IF($A3296="","",$S3296&amp;"|"&amp;$F3296)</f>
        <v/>
      </c>
      <c r="U3296">
        <f>IF($A3296="","",$R3296&amp;"("&amp;$E3296&amp;")")</f>
        <v/>
      </c>
      <c r="V3296">
        <f>IF($A3296="","",$F3296&amp;"|"&amp;$U3296&amp;"|"&amp;$D3296)</f>
        <v/>
      </c>
      <c r="W3296">
        <f>IF($T3296="","",IF($X3296&gt;N($X3295),$X3296,""))</f>
        <v/>
      </c>
      <c r="X3296">
        <f>IF($T3296="",N($X3295),IF(MATCH($T3296,$T$6:$T$6005,0)=ROW()-5,N($X3295)+1,N($X3295)))</f>
        <v/>
      </c>
      <c r="Z3296">
        <f>IF($V3296="","",IF($AA3296&gt;N($AA3295),$AA3296,""))</f>
        <v/>
      </c>
      <c r="AA3296">
        <f>IF($V3296="",N($AA3295),IF(MATCH($V3296,$V$6:$V$6005,0)=ROW()-5,N($AA3295)+1,N($AA3295)))</f>
        <v/>
      </c>
    </row>
    <row r="3297" ht="21" customHeight="1" s="66">
      <c r="A3297" s="56" t="n"/>
      <c r="B3297" s="57" t="n"/>
      <c r="C3297" s="57" t="n"/>
      <c r="D3297" s="57" t="n"/>
      <c r="E3297" s="56" t="n"/>
      <c r="F3297" s="57" t="n"/>
      <c r="G3297" s="57" t="n"/>
      <c r="H3297" s="56" t="n"/>
      <c r="I3297" s="56" t="n"/>
      <c r="J3297" s="58" t="n"/>
      <c r="K3297" s="58" t="n"/>
      <c r="L3297" s="13">
        <f>IF(OR($A3297="",AND($J3297="",$K3297="")),"",ROUND(N($J3297)-N($K3297),2))</f>
        <v/>
      </c>
      <c r="M3297" s="13">
        <f>IF(OR($A3297="",AND($J3297="",$K3297="")),"",MIN($J3297,$K3297))</f>
        <v/>
      </c>
      <c r="Q3297">
        <f>IF($A3297="","",$D3297&amp;"("&amp;SUBSTITUTE($E3297," ","")&amp;")")</f>
        <v/>
      </c>
      <c r="R3297">
        <f>IF($A3297="","",$B3297&amp;" - "&amp;$C3297)</f>
        <v/>
      </c>
      <c r="S3297">
        <f>IF($A3297="","",$R3297&amp;"|"&amp;$Q3297)</f>
        <v/>
      </c>
      <c r="T3297">
        <f>IF($A3297="","",$S3297&amp;"|"&amp;$F3297)</f>
        <v/>
      </c>
      <c r="U3297">
        <f>IF($A3297="","",$R3297&amp;"("&amp;$E3297&amp;")")</f>
        <v/>
      </c>
      <c r="V3297">
        <f>IF($A3297="","",$F3297&amp;"|"&amp;$U3297&amp;"|"&amp;$D3297)</f>
        <v/>
      </c>
      <c r="W3297">
        <f>IF($T3297="","",IF($X3297&gt;N($X3296),$X3297,""))</f>
        <v/>
      </c>
      <c r="X3297">
        <f>IF($T3297="",N($X3296),IF(MATCH($T3297,$T$6:$T$6005,0)=ROW()-5,N($X3296)+1,N($X3296)))</f>
        <v/>
      </c>
      <c r="Z3297">
        <f>IF($V3297="","",IF($AA3297&gt;N($AA3296),$AA3297,""))</f>
        <v/>
      </c>
      <c r="AA3297">
        <f>IF($V3297="",N($AA3296),IF(MATCH($V3297,$V$6:$V$6005,0)=ROW()-5,N($AA3296)+1,N($AA3296)))</f>
        <v/>
      </c>
    </row>
    <row r="3298" ht="21" customHeight="1" s="66">
      <c r="A3298" s="56" t="n"/>
      <c r="B3298" s="57" t="n"/>
      <c r="C3298" s="57" t="n"/>
      <c r="D3298" s="57" t="n"/>
      <c r="E3298" s="56" t="n"/>
      <c r="F3298" s="57" t="n"/>
      <c r="G3298" s="57" t="n"/>
      <c r="H3298" s="56" t="n"/>
      <c r="I3298" s="56" t="n"/>
      <c r="J3298" s="58" t="n"/>
      <c r="K3298" s="58" t="n"/>
      <c r="L3298" s="13">
        <f>IF(OR($A3298="",AND($J3298="",$K3298="")),"",ROUND(N($J3298)-N($K3298),2))</f>
        <v/>
      </c>
      <c r="M3298" s="13">
        <f>IF(OR($A3298="",AND($J3298="",$K3298="")),"",MIN($J3298,$K3298))</f>
        <v/>
      </c>
      <c r="Q3298">
        <f>IF($A3298="","",$D3298&amp;"("&amp;SUBSTITUTE($E3298," ","")&amp;")")</f>
        <v/>
      </c>
      <c r="R3298">
        <f>IF($A3298="","",$B3298&amp;" - "&amp;$C3298)</f>
        <v/>
      </c>
      <c r="S3298">
        <f>IF($A3298="","",$R3298&amp;"|"&amp;$Q3298)</f>
        <v/>
      </c>
      <c r="T3298">
        <f>IF($A3298="","",$S3298&amp;"|"&amp;$F3298)</f>
        <v/>
      </c>
      <c r="U3298">
        <f>IF($A3298="","",$R3298&amp;"("&amp;$E3298&amp;")")</f>
        <v/>
      </c>
      <c r="V3298">
        <f>IF($A3298="","",$F3298&amp;"|"&amp;$U3298&amp;"|"&amp;$D3298)</f>
        <v/>
      </c>
      <c r="W3298">
        <f>IF($T3298="","",IF($X3298&gt;N($X3297),$X3298,""))</f>
        <v/>
      </c>
      <c r="X3298">
        <f>IF($T3298="",N($X3297),IF(MATCH($T3298,$T$6:$T$6005,0)=ROW()-5,N($X3297)+1,N($X3297)))</f>
        <v/>
      </c>
      <c r="Z3298">
        <f>IF($V3298="","",IF($AA3298&gt;N($AA3297),$AA3298,""))</f>
        <v/>
      </c>
      <c r="AA3298">
        <f>IF($V3298="",N($AA3297),IF(MATCH($V3298,$V$6:$V$6005,0)=ROW()-5,N($AA3297)+1,N($AA3297)))</f>
        <v/>
      </c>
    </row>
    <row r="3299" ht="21" customHeight="1" s="66">
      <c r="A3299" s="56" t="n"/>
      <c r="B3299" s="57" t="n"/>
      <c r="C3299" s="57" t="n"/>
      <c r="D3299" s="57" t="n"/>
      <c r="E3299" s="56" t="n"/>
      <c r="F3299" s="57" t="n"/>
      <c r="G3299" s="57" t="n"/>
      <c r="H3299" s="56" t="n"/>
      <c r="I3299" s="56" t="n"/>
      <c r="J3299" s="58" t="n"/>
      <c r="K3299" s="58" t="n"/>
      <c r="L3299" s="13">
        <f>IF(OR($A3299="",AND($J3299="",$K3299="")),"",ROUND(N($J3299)-N($K3299),2))</f>
        <v/>
      </c>
      <c r="M3299" s="13">
        <f>IF(OR($A3299="",AND($J3299="",$K3299="")),"",MIN($J3299,$K3299))</f>
        <v/>
      </c>
      <c r="Q3299">
        <f>IF($A3299="","",$D3299&amp;"("&amp;SUBSTITUTE($E3299," ","")&amp;")")</f>
        <v/>
      </c>
      <c r="R3299">
        <f>IF($A3299="","",$B3299&amp;" - "&amp;$C3299)</f>
        <v/>
      </c>
      <c r="S3299">
        <f>IF($A3299="","",$R3299&amp;"|"&amp;$Q3299)</f>
        <v/>
      </c>
      <c r="T3299">
        <f>IF($A3299="","",$S3299&amp;"|"&amp;$F3299)</f>
        <v/>
      </c>
      <c r="U3299">
        <f>IF($A3299="","",$R3299&amp;"("&amp;$E3299&amp;")")</f>
        <v/>
      </c>
      <c r="V3299">
        <f>IF($A3299="","",$F3299&amp;"|"&amp;$U3299&amp;"|"&amp;$D3299)</f>
        <v/>
      </c>
      <c r="W3299">
        <f>IF($T3299="","",IF($X3299&gt;N($X3298),$X3299,""))</f>
        <v/>
      </c>
      <c r="X3299">
        <f>IF($T3299="",N($X3298),IF(MATCH($T3299,$T$6:$T$6005,0)=ROW()-5,N($X3298)+1,N($X3298)))</f>
        <v/>
      </c>
      <c r="Z3299">
        <f>IF($V3299="","",IF($AA3299&gt;N($AA3298),$AA3299,""))</f>
        <v/>
      </c>
      <c r="AA3299">
        <f>IF($V3299="",N($AA3298),IF(MATCH($V3299,$V$6:$V$6005,0)=ROW()-5,N($AA3298)+1,N($AA3298)))</f>
        <v/>
      </c>
    </row>
    <row r="3300" ht="21" customHeight="1" s="66">
      <c r="A3300" s="56" t="n"/>
      <c r="B3300" s="57" t="n"/>
      <c r="C3300" s="57" t="n"/>
      <c r="D3300" s="57" t="n"/>
      <c r="E3300" s="56" t="n"/>
      <c r="F3300" s="57" t="n"/>
      <c r="G3300" s="57" t="n"/>
      <c r="H3300" s="56" t="n"/>
      <c r="I3300" s="56" t="n"/>
      <c r="J3300" s="58" t="n"/>
      <c r="K3300" s="58" t="n"/>
      <c r="L3300" s="13">
        <f>IF(OR($A3300="",AND($J3300="",$K3300="")),"",ROUND(N($J3300)-N($K3300),2))</f>
        <v/>
      </c>
      <c r="M3300" s="13">
        <f>IF(OR($A3300="",AND($J3300="",$K3300="")),"",MIN($J3300,$K3300))</f>
        <v/>
      </c>
      <c r="Q3300">
        <f>IF($A3300="","",$D3300&amp;"("&amp;SUBSTITUTE($E3300," ","")&amp;")")</f>
        <v/>
      </c>
      <c r="R3300">
        <f>IF($A3300="","",$B3300&amp;" - "&amp;$C3300)</f>
        <v/>
      </c>
      <c r="S3300">
        <f>IF($A3300="","",$R3300&amp;"|"&amp;$Q3300)</f>
        <v/>
      </c>
      <c r="T3300">
        <f>IF($A3300="","",$S3300&amp;"|"&amp;$F3300)</f>
        <v/>
      </c>
      <c r="U3300">
        <f>IF($A3300="","",$R3300&amp;"("&amp;$E3300&amp;")")</f>
        <v/>
      </c>
      <c r="V3300">
        <f>IF($A3300="","",$F3300&amp;"|"&amp;$U3300&amp;"|"&amp;$D3300)</f>
        <v/>
      </c>
      <c r="W3300">
        <f>IF($T3300="","",IF($X3300&gt;N($X3299),$X3300,""))</f>
        <v/>
      </c>
      <c r="X3300">
        <f>IF($T3300="",N($X3299),IF(MATCH($T3300,$T$6:$T$6005,0)=ROW()-5,N($X3299)+1,N($X3299)))</f>
        <v/>
      </c>
      <c r="Z3300">
        <f>IF($V3300="","",IF($AA3300&gt;N($AA3299),$AA3300,""))</f>
        <v/>
      </c>
      <c r="AA3300">
        <f>IF($V3300="",N($AA3299),IF(MATCH($V3300,$V$6:$V$6005,0)=ROW()-5,N($AA3299)+1,N($AA3299)))</f>
        <v/>
      </c>
    </row>
    <row r="3301" ht="21" customHeight="1" s="66">
      <c r="A3301" s="56" t="n"/>
      <c r="B3301" s="57" t="n"/>
      <c r="C3301" s="57" t="n"/>
      <c r="D3301" s="57" t="n"/>
      <c r="E3301" s="56" t="n"/>
      <c r="F3301" s="57" t="n"/>
      <c r="G3301" s="57" t="n"/>
      <c r="H3301" s="56" t="n"/>
      <c r="I3301" s="56" t="n"/>
      <c r="J3301" s="58" t="n"/>
      <c r="K3301" s="58" t="n"/>
      <c r="L3301" s="13">
        <f>IF(OR($A3301="",AND($J3301="",$K3301="")),"",ROUND(N($J3301)-N($K3301),2))</f>
        <v/>
      </c>
      <c r="M3301" s="13">
        <f>IF(OR($A3301="",AND($J3301="",$K3301="")),"",MIN($J3301,$K3301))</f>
        <v/>
      </c>
      <c r="Q3301">
        <f>IF($A3301="","",$D3301&amp;"("&amp;SUBSTITUTE($E3301," ","")&amp;")")</f>
        <v/>
      </c>
      <c r="R3301">
        <f>IF($A3301="","",$B3301&amp;" - "&amp;$C3301)</f>
        <v/>
      </c>
      <c r="S3301">
        <f>IF($A3301="","",$R3301&amp;"|"&amp;$Q3301)</f>
        <v/>
      </c>
      <c r="T3301">
        <f>IF($A3301="","",$S3301&amp;"|"&amp;$F3301)</f>
        <v/>
      </c>
      <c r="U3301">
        <f>IF($A3301="","",$R3301&amp;"("&amp;$E3301&amp;")")</f>
        <v/>
      </c>
      <c r="V3301">
        <f>IF($A3301="","",$F3301&amp;"|"&amp;$U3301&amp;"|"&amp;$D3301)</f>
        <v/>
      </c>
      <c r="W3301">
        <f>IF($T3301="","",IF($X3301&gt;N($X3300),$X3301,""))</f>
        <v/>
      </c>
      <c r="X3301">
        <f>IF($T3301="",N($X3300),IF(MATCH($T3301,$T$6:$T$6005,0)=ROW()-5,N($X3300)+1,N($X3300)))</f>
        <v/>
      </c>
      <c r="Z3301">
        <f>IF($V3301="","",IF($AA3301&gt;N($AA3300),$AA3301,""))</f>
        <v/>
      </c>
      <c r="AA3301">
        <f>IF($V3301="",N($AA3300),IF(MATCH($V3301,$V$6:$V$6005,0)=ROW()-5,N($AA3300)+1,N($AA3300)))</f>
        <v/>
      </c>
    </row>
    <row r="3302" ht="21" customHeight="1" s="66">
      <c r="A3302" s="56" t="n"/>
      <c r="B3302" s="57" t="n"/>
      <c r="C3302" s="57" t="n"/>
      <c r="D3302" s="57" t="n"/>
      <c r="E3302" s="56" t="n"/>
      <c r="F3302" s="57" t="n"/>
      <c r="G3302" s="57" t="n"/>
      <c r="H3302" s="56" t="n"/>
      <c r="I3302" s="56" t="n"/>
      <c r="J3302" s="58" t="n"/>
      <c r="K3302" s="58" t="n"/>
      <c r="L3302" s="13">
        <f>IF(OR($A3302="",AND($J3302="",$K3302="")),"",ROUND(N($J3302)-N($K3302),2))</f>
        <v/>
      </c>
      <c r="M3302" s="13">
        <f>IF(OR($A3302="",AND($J3302="",$K3302="")),"",MIN($J3302,$K3302))</f>
        <v/>
      </c>
      <c r="Q3302">
        <f>IF($A3302="","",$D3302&amp;"("&amp;SUBSTITUTE($E3302," ","")&amp;")")</f>
        <v/>
      </c>
      <c r="R3302">
        <f>IF($A3302="","",$B3302&amp;" - "&amp;$C3302)</f>
        <v/>
      </c>
      <c r="S3302">
        <f>IF($A3302="","",$R3302&amp;"|"&amp;$Q3302)</f>
        <v/>
      </c>
      <c r="T3302">
        <f>IF($A3302="","",$S3302&amp;"|"&amp;$F3302)</f>
        <v/>
      </c>
      <c r="U3302">
        <f>IF($A3302="","",$R3302&amp;"("&amp;$E3302&amp;")")</f>
        <v/>
      </c>
      <c r="V3302">
        <f>IF($A3302="","",$F3302&amp;"|"&amp;$U3302&amp;"|"&amp;$D3302)</f>
        <v/>
      </c>
      <c r="W3302">
        <f>IF($T3302="","",IF($X3302&gt;N($X3301),$X3302,""))</f>
        <v/>
      </c>
      <c r="X3302">
        <f>IF($T3302="",N($X3301),IF(MATCH($T3302,$T$6:$T$6005,0)=ROW()-5,N($X3301)+1,N($X3301)))</f>
        <v/>
      </c>
      <c r="Z3302">
        <f>IF($V3302="","",IF($AA3302&gt;N($AA3301),$AA3302,""))</f>
        <v/>
      </c>
      <c r="AA3302">
        <f>IF($V3302="",N($AA3301),IF(MATCH($V3302,$V$6:$V$6005,0)=ROW()-5,N($AA3301)+1,N($AA3301)))</f>
        <v/>
      </c>
    </row>
    <row r="3303" ht="21" customHeight="1" s="66">
      <c r="A3303" s="56" t="n"/>
      <c r="B3303" s="57" t="n"/>
      <c r="C3303" s="57" t="n"/>
      <c r="D3303" s="57" t="n"/>
      <c r="E3303" s="56" t="n"/>
      <c r="F3303" s="57" t="n"/>
      <c r="G3303" s="57" t="n"/>
      <c r="H3303" s="56" t="n"/>
      <c r="I3303" s="56" t="n"/>
      <c r="J3303" s="58" t="n"/>
      <c r="K3303" s="58" t="n"/>
      <c r="L3303" s="13">
        <f>IF(OR($A3303="",AND($J3303="",$K3303="")),"",ROUND(N($J3303)-N($K3303),2))</f>
        <v/>
      </c>
      <c r="M3303" s="13">
        <f>IF(OR($A3303="",AND($J3303="",$K3303="")),"",MIN($J3303,$K3303))</f>
        <v/>
      </c>
      <c r="Q3303">
        <f>IF($A3303="","",$D3303&amp;"("&amp;SUBSTITUTE($E3303," ","")&amp;")")</f>
        <v/>
      </c>
      <c r="R3303">
        <f>IF($A3303="","",$B3303&amp;" - "&amp;$C3303)</f>
        <v/>
      </c>
      <c r="S3303">
        <f>IF($A3303="","",$R3303&amp;"|"&amp;$Q3303)</f>
        <v/>
      </c>
      <c r="T3303">
        <f>IF($A3303="","",$S3303&amp;"|"&amp;$F3303)</f>
        <v/>
      </c>
      <c r="U3303">
        <f>IF($A3303="","",$R3303&amp;"("&amp;$E3303&amp;")")</f>
        <v/>
      </c>
      <c r="V3303">
        <f>IF($A3303="","",$F3303&amp;"|"&amp;$U3303&amp;"|"&amp;$D3303)</f>
        <v/>
      </c>
      <c r="W3303">
        <f>IF($T3303="","",IF($X3303&gt;N($X3302),$X3303,""))</f>
        <v/>
      </c>
      <c r="X3303">
        <f>IF($T3303="",N($X3302),IF(MATCH($T3303,$T$6:$T$6005,0)=ROW()-5,N($X3302)+1,N($X3302)))</f>
        <v/>
      </c>
      <c r="Z3303">
        <f>IF($V3303="","",IF($AA3303&gt;N($AA3302),$AA3303,""))</f>
        <v/>
      </c>
      <c r="AA3303">
        <f>IF($V3303="",N($AA3302),IF(MATCH($V3303,$V$6:$V$6005,0)=ROW()-5,N($AA3302)+1,N($AA3302)))</f>
        <v/>
      </c>
    </row>
    <row r="3304" ht="21" customHeight="1" s="66">
      <c r="A3304" s="56" t="n"/>
      <c r="B3304" s="57" t="n"/>
      <c r="C3304" s="57" t="n"/>
      <c r="D3304" s="57" t="n"/>
      <c r="E3304" s="56" t="n"/>
      <c r="F3304" s="57" t="n"/>
      <c r="G3304" s="57" t="n"/>
      <c r="H3304" s="56" t="n"/>
      <c r="I3304" s="56" t="n"/>
      <c r="J3304" s="58" t="n"/>
      <c r="K3304" s="58" t="n"/>
      <c r="L3304" s="13">
        <f>IF(OR($A3304="",AND($J3304="",$K3304="")),"",ROUND(N($J3304)-N($K3304),2))</f>
        <v/>
      </c>
      <c r="M3304" s="13">
        <f>IF(OR($A3304="",AND($J3304="",$K3304="")),"",MIN($J3304,$K3304))</f>
        <v/>
      </c>
      <c r="Q3304">
        <f>IF($A3304="","",$D3304&amp;"("&amp;SUBSTITUTE($E3304," ","")&amp;")")</f>
        <v/>
      </c>
      <c r="R3304">
        <f>IF($A3304="","",$B3304&amp;" - "&amp;$C3304)</f>
        <v/>
      </c>
      <c r="S3304">
        <f>IF($A3304="","",$R3304&amp;"|"&amp;$Q3304)</f>
        <v/>
      </c>
      <c r="T3304">
        <f>IF($A3304="","",$S3304&amp;"|"&amp;$F3304)</f>
        <v/>
      </c>
      <c r="U3304">
        <f>IF($A3304="","",$R3304&amp;"("&amp;$E3304&amp;")")</f>
        <v/>
      </c>
      <c r="V3304">
        <f>IF($A3304="","",$F3304&amp;"|"&amp;$U3304&amp;"|"&amp;$D3304)</f>
        <v/>
      </c>
      <c r="W3304">
        <f>IF($T3304="","",IF($X3304&gt;N($X3303),$X3304,""))</f>
        <v/>
      </c>
      <c r="X3304">
        <f>IF($T3304="",N($X3303),IF(MATCH($T3304,$T$6:$T$6005,0)=ROW()-5,N($X3303)+1,N($X3303)))</f>
        <v/>
      </c>
      <c r="Z3304">
        <f>IF($V3304="","",IF($AA3304&gt;N($AA3303),$AA3304,""))</f>
        <v/>
      </c>
      <c r="AA3304">
        <f>IF($V3304="",N($AA3303),IF(MATCH($V3304,$V$6:$V$6005,0)=ROW()-5,N($AA3303)+1,N($AA3303)))</f>
        <v/>
      </c>
    </row>
    <row r="3305" ht="21" customHeight="1" s="66">
      <c r="A3305" s="56" t="n"/>
      <c r="B3305" s="57" t="n"/>
      <c r="C3305" s="57" t="n"/>
      <c r="D3305" s="57" t="n"/>
      <c r="E3305" s="56" t="n"/>
      <c r="F3305" s="57" t="n"/>
      <c r="G3305" s="57" t="n"/>
      <c r="H3305" s="56" t="n"/>
      <c r="I3305" s="56" t="n"/>
      <c r="J3305" s="58" t="n"/>
      <c r="K3305" s="58" t="n"/>
      <c r="L3305" s="13">
        <f>IF(OR($A3305="",AND($J3305="",$K3305="")),"",ROUND(N($J3305)-N($K3305),2))</f>
        <v/>
      </c>
      <c r="M3305" s="13">
        <f>IF(OR($A3305="",AND($J3305="",$K3305="")),"",MIN($J3305,$K3305))</f>
        <v/>
      </c>
      <c r="Q3305">
        <f>IF($A3305="","",$D3305&amp;"("&amp;SUBSTITUTE($E3305," ","")&amp;")")</f>
        <v/>
      </c>
      <c r="R3305">
        <f>IF($A3305="","",$B3305&amp;" - "&amp;$C3305)</f>
        <v/>
      </c>
      <c r="S3305">
        <f>IF($A3305="","",$R3305&amp;"|"&amp;$Q3305)</f>
        <v/>
      </c>
      <c r="T3305">
        <f>IF($A3305="","",$S3305&amp;"|"&amp;$F3305)</f>
        <v/>
      </c>
      <c r="U3305">
        <f>IF($A3305="","",$R3305&amp;"("&amp;$E3305&amp;")")</f>
        <v/>
      </c>
      <c r="V3305">
        <f>IF($A3305="","",$F3305&amp;"|"&amp;$U3305&amp;"|"&amp;$D3305)</f>
        <v/>
      </c>
      <c r="W3305">
        <f>IF($T3305="","",IF($X3305&gt;N($X3304),$X3305,""))</f>
        <v/>
      </c>
      <c r="X3305">
        <f>IF($T3305="",N($X3304),IF(MATCH($T3305,$T$6:$T$6005,0)=ROW()-5,N($X3304)+1,N($X3304)))</f>
        <v/>
      </c>
      <c r="Z3305">
        <f>IF($V3305="","",IF($AA3305&gt;N($AA3304),$AA3305,""))</f>
        <v/>
      </c>
      <c r="AA3305">
        <f>IF($V3305="",N($AA3304),IF(MATCH($V3305,$V$6:$V$6005,0)=ROW()-5,N($AA3304)+1,N($AA3304)))</f>
        <v/>
      </c>
    </row>
    <row r="3306" ht="21" customHeight="1" s="66">
      <c r="A3306" s="56" t="n"/>
      <c r="B3306" s="57" t="n"/>
      <c r="C3306" s="57" t="n"/>
      <c r="D3306" s="57" t="n"/>
      <c r="E3306" s="56" t="n"/>
      <c r="F3306" s="57" t="n"/>
      <c r="G3306" s="57" t="n"/>
      <c r="H3306" s="56" t="n"/>
      <c r="I3306" s="56" t="n"/>
      <c r="J3306" s="58" t="n"/>
      <c r="K3306" s="58" t="n"/>
      <c r="L3306" s="13">
        <f>IF(OR($A3306="",AND($J3306="",$K3306="")),"",ROUND(N($J3306)-N($K3306),2))</f>
        <v/>
      </c>
      <c r="M3306" s="13">
        <f>IF(OR($A3306="",AND($J3306="",$K3306="")),"",MIN($J3306,$K3306))</f>
        <v/>
      </c>
      <c r="Q3306">
        <f>IF($A3306="","",$D3306&amp;"("&amp;SUBSTITUTE($E3306," ","")&amp;")")</f>
        <v/>
      </c>
      <c r="R3306">
        <f>IF($A3306="","",$B3306&amp;" - "&amp;$C3306)</f>
        <v/>
      </c>
      <c r="S3306">
        <f>IF($A3306="","",$R3306&amp;"|"&amp;$Q3306)</f>
        <v/>
      </c>
      <c r="T3306">
        <f>IF($A3306="","",$S3306&amp;"|"&amp;$F3306)</f>
        <v/>
      </c>
      <c r="U3306">
        <f>IF($A3306="","",$R3306&amp;"("&amp;$E3306&amp;")")</f>
        <v/>
      </c>
      <c r="V3306">
        <f>IF($A3306="","",$F3306&amp;"|"&amp;$U3306&amp;"|"&amp;$D3306)</f>
        <v/>
      </c>
      <c r="W3306">
        <f>IF($T3306="","",IF($X3306&gt;N($X3305),$X3306,""))</f>
        <v/>
      </c>
      <c r="X3306">
        <f>IF($T3306="",N($X3305),IF(MATCH($T3306,$T$6:$T$6005,0)=ROW()-5,N($X3305)+1,N($X3305)))</f>
        <v/>
      </c>
      <c r="Z3306">
        <f>IF($V3306="","",IF($AA3306&gt;N($AA3305),$AA3306,""))</f>
        <v/>
      </c>
      <c r="AA3306">
        <f>IF($V3306="",N($AA3305),IF(MATCH($V3306,$V$6:$V$6005,0)=ROW()-5,N($AA3305)+1,N($AA3305)))</f>
        <v/>
      </c>
    </row>
    <row r="3307" ht="21" customHeight="1" s="66">
      <c r="A3307" s="56" t="n"/>
      <c r="B3307" s="57" t="n"/>
      <c r="C3307" s="57" t="n"/>
      <c r="D3307" s="57" t="n"/>
      <c r="E3307" s="56" t="n"/>
      <c r="F3307" s="57" t="n"/>
      <c r="G3307" s="57" t="n"/>
      <c r="H3307" s="56" t="n"/>
      <c r="I3307" s="56" t="n"/>
      <c r="J3307" s="58" t="n"/>
      <c r="K3307" s="58" t="n"/>
      <c r="L3307" s="13">
        <f>IF(OR($A3307="",AND($J3307="",$K3307="")),"",ROUND(N($J3307)-N($K3307),2))</f>
        <v/>
      </c>
      <c r="M3307" s="13">
        <f>IF(OR($A3307="",AND($J3307="",$K3307="")),"",MIN($J3307,$K3307))</f>
        <v/>
      </c>
      <c r="Q3307">
        <f>IF($A3307="","",$D3307&amp;"("&amp;SUBSTITUTE($E3307," ","")&amp;")")</f>
        <v/>
      </c>
      <c r="R3307">
        <f>IF($A3307="","",$B3307&amp;" - "&amp;$C3307)</f>
        <v/>
      </c>
      <c r="S3307">
        <f>IF($A3307="","",$R3307&amp;"|"&amp;$Q3307)</f>
        <v/>
      </c>
      <c r="T3307">
        <f>IF($A3307="","",$S3307&amp;"|"&amp;$F3307)</f>
        <v/>
      </c>
      <c r="U3307">
        <f>IF($A3307="","",$R3307&amp;"("&amp;$E3307&amp;")")</f>
        <v/>
      </c>
      <c r="V3307">
        <f>IF($A3307="","",$F3307&amp;"|"&amp;$U3307&amp;"|"&amp;$D3307)</f>
        <v/>
      </c>
      <c r="W3307">
        <f>IF($T3307="","",IF($X3307&gt;N($X3306),$X3307,""))</f>
        <v/>
      </c>
      <c r="X3307">
        <f>IF($T3307="",N($X3306),IF(MATCH($T3307,$T$6:$T$6005,0)=ROW()-5,N($X3306)+1,N($X3306)))</f>
        <v/>
      </c>
      <c r="Z3307">
        <f>IF($V3307="","",IF($AA3307&gt;N($AA3306),$AA3307,""))</f>
        <v/>
      </c>
      <c r="AA3307">
        <f>IF($V3307="",N($AA3306),IF(MATCH($V3307,$V$6:$V$6005,0)=ROW()-5,N($AA3306)+1,N($AA3306)))</f>
        <v/>
      </c>
    </row>
    <row r="3308" ht="21" customHeight="1" s="66">
      <c r="A3308" s="56" t="n"/>
      <c r="B3308" s="57" t="n"/>
      <c r="C3308" s="57" t="n"/>
      <c r="D3308" s="57" t="n"/>
      <c r="E3308" s="56" t="n"/>
      <c r="F3308" s="57" t="n"/>
      <c r="G3308" s="57" t="n"/>
      <c r="H3308" s="56" t="n"/>
      <c r="I3308" s="56" t="n"/>
      <c r="J3308" s="58" t="n"/>
      <c r="K3308" s="58" t="n"/>
      <c r="L3308" s="13">
        <f>IF(OR($A3308="",AND($J3308="",$K3308="")),"",ROUND(N($J3308)-N($K3308),2))</f>
        <v/>
      </c>
      <c r="M3308" s="13">
        <f>IF(OR($A3308="",AND($J3308="",$K3308="")),"",MIN($J3308,$K3308))</f>
        <v/>
      </c>
      <c r="Q3308">
        <f>IF($A3308="","",$D3308&amp;"("&amp;SUBSTITUTE($E3308," ","")&amp;")")</f>
        <v/>
      </c>
      <c r="R3308">
        <f>IF($A3308="","",$B3308&amp;" - "&amp;$C3308)</f>
        <v/>
      </c>
      <c r="S3308">
        <f>IF($A3308="","",$R3308&amp;"|"&amp;$Q3308)</f>
        <v/>
      </c>
      <c r="T3308">
        <f>IF($A3308="","",$S3308&amp;"|"&amp;$F3308)</f>
        <v/>
      </c>
      <c r="U3308">
        <f>IF($A3308="","",$R3308&amp;"("&amp;$E3308&amp;")")</f>
        <v/>
      </c>
      <c r="V3308">
        <f>IF($A3308="","",$F3308&amp;"|"&amp;$U3308&amp;"|"&amp;$D3308)</f>
        <v/>
      </c>
      <c r="W3308">
        <f>IF($T3308="","",IF($X3308&gt;N($X3307),$X3308,""))</f>
        <v/>
      </c>
      <c r="X3308">
        <f>IF($T3308="",N($X3307),IF(MATCH($T3308,$T$6:$T$6005,0)=ROW()-5,N($X3307)+1,N($X3307)))</f>
        <v/>
      </c>
      <c r="Z3308">
        <f>IF($V3308="","",IF($AA3308&gt;N($AA3307),$AA3308,""))</f>
        <v/>
      </c>
      <c r="AA3308">
        <f>IF($V3308="",N($AA3307),IF(MATCH($V3308,$V$6:$V$6005,0)=ROW()-5,N($AA3307)+1,N($AA3307)))</f>
        <v/>
      </c>
    </row>
    <row r="3309" ht="21" customHeight="1" s="66">
      <c r="A3309" s="56" t="n"/>
      <c r="B3309" s="57" t="n"/>
      <c r="C3309" s="57" t="n"/>
      <c r="D3309" s="57" t="n"/>
      <c r="E3309" s="56" t="n"/>
      <c r="F3309" s="57" t="n"/>
      <c r="G3309" s="57" t="n"/>
      <c r="H3309" s="56" t="n"/>
      <c r="I3309" s="56" t="n"/>
      <c r="J3309" s="58" t="n"/>
      <c r="K3309" s="58" t="n"/>
      <c r="L3309" s="13">
        <f>IF(OR($A3309="",AND($J3309="",$K3309="")),"",ROUND(N($J3309)-N($K3309),2))</f>
        <v/>
      </c>
      <c r="M3309" s="13">
        <f>IF(OR($A3309="",AND($J3309="",$K3309="")),"",MIN($J3309,$K3309))</f>
        <v/>
      </c>
      <c r="Q3309">
        <f>IF($A3309="","",$D3309&amp;"("&amp;SUBSTITUTE($E3309," ","")&amp;")")</f>
        <v/>
      </c>
      <c r="R3309">
        <f>IF($A3309="","",$B3309&amp;" - "&amp;$C3309)</f>
        <v/>
      </c>
      <c r="S3309">
        <f>IF($A3309="","",$R3309&amp;"|"&amp;$Q3309)</f>
        <v/>
      </c>
      <c r="T3309">
        <f>IF($A3309="","",$S3309&amp;"|"&amp;$F3309)</f>
        <v/>
      </c>
      <c r="U3309">
        <f>IF($A3309="","",$R3309&amp;"("&amp;$E3309&amp;")")</f>
        <v/>
      </c>
      <c r="V3309">
        <f>IF($A3309="","",$F3309&amp;"|"&amp;$U3309&amp;"|"&amp;$D3309)</f>
        <v/>
      </c>
      <c r="W3309">
        <f>IF($T3309="","",IF($X3309&gt;N($X3308),$X3309,""))</f>
        <v/>
      </c>
      <c r="X3309">
        <f>IF($T3309="",N($X3308),IF(MATCH($T3309,$T$6:$T$6005,0)=ROW()-5,N($X3308)+1,N($X3308)))</f>
        <v/>
      </c>
      <c r="Z3309">
        <f>IF($V3309="","",IF($AA3309&gt;N($AA3308),$AA3309,""))</f>
        <v/>
      </c>
      <c r="AA3309">
        <f>IF($V3309="",N($AA3308),IF(MATCH($V3309,$V$6:$V$6005,0)=ROW()-5,N($AA3308)+1,N($AA3308)))</f>
        <v/>
      </c>
    </row>
    <row r="3310" ht="21" customHeight="1" s="66">
      <c r="A3310" s="56" t="n"/>
      <c r="B3310" s="57" t="n"/>
      <c r="C3310" s="57" t="n"/>
      <c r="D3310" s="57" t="n"/>
      <c r="E3310" s="56" t="n"/>
      <c r="F3310" s="57" t="n"/>
      <c r="G3310" s="57" t="n"/>
      <c r="H3310" s="56" t="n"/>
      <c r="I3310" s="56" t="n"/>
      <c r="J3310" s="58" t="n"/>
      <c r="K3310" s="58" t="n"/>
      <c r="L3310" s="13">
        <f>IF(OR($A3310="",AND($J3310="",$K3310="")),"",ROUND(N($J3310)-N($K3310),2))</f>
        <v/>
      </c>
      <c r="M3310" s="13">
        <f>IF(OR($A3310="",AND($J3310="",$K3310="")),"",MIN($J3310,$K3310))</f>
        <v/>
      </c>
      <c r="Q3310">
        <f>IF($A3310="","",$D3310&amp;"("&amp;SUBSTITUTE($E3310," ","")&amp;")")</f>
        <v/>
      </c>
      <c r="R3310">
        <f>IF($A3310="","",$B3310&amp;" - "&amp;$C3310)</f>
        <v/>
      </c>
      <c r="S3310">
        <f>IF($A3310="","",$R3310&amp;"|"&amp;$Q3310)</f>
        <v/>
      </c>
      <c r="T3310">
        <f>IF($A3310="","",$S3310&amp;"|"&amp;$F3310)</f>
        <v/>
      </c>
      <c r="U3310">
        <f>IF($A3310="","",$R3310&amp;"("&amp;$E3310&amp;")")</f>
        <v/>
      </c>
      <c r="V3310">
        <f>IF($A3310="","",$F3310&amp;"|"&amp;$U3310&amp;"|"&amp;$D3310)</f>
        <v/>
      </c>
      <c r="W3310">
        <f>IF($T3310="","",IF($X3310&gt;N($X3309),$X3310,""))</f>
        <v/>
      </c>
      <c r="X3310">
        <f>IF($T3310="",N($X3309),IF(MATCH($T3310,$T$6:$T$6005,0)=ROW()-5,N($X3309)+1,N($X3309)))</f>
        <v/>
      </c>
      <c r="Z3310">
        <f>IF($V3310="","",IF($AA3310&gt;N($AA3309),$AA3310,""))</f>
        <v/>
      </c>
      <c r="AA3310">
        <f>IF($V3310="",N($AA3309),IF(MATCH($V3310,$V$6:$V$6005,0)=ROW()-5,N($AA3309)+1,N($AA3309)))</f>
        <v/>
      </c>
    </row>
    <row r="3311" ht="21" customHeight="1" s="66">
      <c r="A3311" s="56" t="n"/>
      <c r="B3311" s="57" t="n"/>
      <c r="C3311" s="57" t="n"/>
      <c r="D3311" s="57" t="n"/>
      <c r="E3311" s="56" t="n"/>
      <c r="F3311" s="57" t="n"/>
      <c r="G3311" s="57" t="n"/>
      <c r="H3311" s="56" t="n"/>
      <c r="I3311" s="56" t="n"/>
      <c r="J3311" s="58" t="n"/>
      <c r="K3311" s="58" t="n"/>
      <c r="L3311" s="13">
        <f>IF(OR($A3311="",AND($J3311="",$K3311="")),"",ROUND(N($J3311)-N($K3311),2))</f>
        <v/>
      </c>
      <c r="M3311" s="13">
        <f>IF(OR($A3311="",AND($J3311="",$K3311="")),"",MIN($J3311,$K3311))</f>
        <v/>
      </c>
      <c r="Q3311">
        <f>IF($A3311="","",$D3311&amp;"("&amp;SUBSTITUTE($E3311," ","")&amp;")")</f>
        <v/>
      </c>
      <c r="R3311">
        <f>IF($A3311="","",$B3311&amp;" - "&amp;$C3311)</f>
        <v/>
      </c>
      <c r="S3311">
        <f>IF($A3311="","",$R3311&amp;"|"&amp;$Q3311)</f>
        <v/>
      </c>
      <c r="T3311">
        <f>IF($A3311="","",$S3311&amp;"|"&amp;$F3311)</f>
        <v/>
      </c>
      <c r="U3311">
        <f>IF($A3311="","",$R3311&amp;"("&amp;$E3311&amp;")")</f>
        <v/>
      </c>
      <c r="V3311">
        <f>IF($A3311="","",$F3311&amp;"|"&amp;$U3311&amp;"|"&amp;$D3311)</f>
        <v/>
      </c>
      <c r="W3311">
        <f>IF($T3311="","",IF($X3311&gt;N($X3310),$X3311,""))</f>
        <v/>
      </c>
      <c r="X3311">
        <f>IF($T3311="",N($X3310),IF(MATCH($T3311,$T$6:$T$6005,0)=ROW()-5,N($X3310)+1,N($X3310)))</f>
        <v/>
      </c>
      <c r="Z3311">
        <f>IF($V3311="","",IF($AA3311&gt;N($AA3310),$AA3311,""))</f>
        <v/>
      </c>
      <c r="AA3311">
        <f>IF($V3311="",N($AA3310),IF(MATCH($V3311,$V$6:$V$6005,0)=ROW()-5,N($AA3310)+1,N($AA3310)))</f>
        <v/>
      </c>
    </row>
    <row r="3312" ht="21" customHeight="1" s="66">
      <c r="A3312" s="56" t="n"/>
      <c r="B3312" s="57" t="n"/>
      <c r="C3312" s="57" t="n"/>
      <c r="D3312" s="57" t="n"/>
      <c r="E3312" s="56" t="n"/>
      <c r="F3312" s="57" t="n"/>
      <c r="G3312" s="57" t="n"/>
      <c r="H3312" s="56" t="n"/>
      <c r="I3312" s="56" t="n"/>
      <c r="J3312" s="58" t="n"/>
      <c r="K3312" s="58" t="n"/>
      <c r="L3312" s="13">
        <f>IF(OR($A3312="",AND($J3312="",$K3312="")),"",ROUND(N($J3312)-N($K3312),2))</f>
        <v/>
      </c>
      <c r="M3312" s="13">
        <f>IF(OR($A3312="",AND($J3312="",$K3312="")),"",MIN($J3312,$K3312))</f>
        <v/>
      </c>
      <c r="Q3312">
        <f>IF($A3312="","",$D3312&amp;"("&amp;SUBSTITUTE($E3312," ","")&amp;")")</f>
        <v/>
      </c>
      <c r="R3312">
        <f>IF($A3312="","",$B3312&amp;" - "&amp;$C3312)</f>
        <v/>
      </c>
      <c r="S3312">
        <f>IF($A3312="","",$R3312&amp;"|"&amp;$Q3312)</f>
        <v/>
      </c>
      <c r="T3312">
        <f>IF($A3312="","",$S3312&amp;"|"&amp;$F3312)</f>
        <v/>
      </c>
      <c r="U3312">
        <f>IF($A3312="","",$R3312&amp;"("&amp;$E3312&amp;")")</f>
        <v/>
      </c>
      <c r="V3312">
        <f>IF($A3312="","",$F3312&amp;"|"&amp;$U3312&amp;"|"&amp;$D3312)</f>
        <v/>
      </c>
      <c r="W3312">
        <f>IF($T3312="","",IF($X3312&gt;N($X3311),$X3312,""))</f>
        <v/>
      </c>
      <c r="X3312">
        <f>IF($T3312="",N($X3311),IF(MATCH($T3312,$T$6:$T$6005,0)=ROW()-5,N($X3311)+1,N($X3311)))</f>
        <v/>
      </c>
      <c r="Z3312">
        <f>IF($V3312="","",IF($AA3312&gt;N($AA3311),$AA3312,""))</f>
        <v/>
      </c>
      <c r="AA3312">
        <f>IF($V3312="",N($AA3311),IF(MATCH($V3312,$V$6:$V$6005,0)=ROW()-5,N($AA3311)+1,N($AA3311)))</f>
        <v/>
      </c>
    </row>
    <row r="3313" ht="21" customHeight="1" s="66">
      <c r="A3313" s="56" t="n"/>
      <c r="B3313" s="57" t="n"/>
      <c r="C3313" s="57" t="n"/>
      <c r="D3313" s="57" t="n"/>
      <c r="E3313" s="56" t="n"/>
      <c r="F3313" s="57" t="n"/>
      <c r="G3313" s="57" t="n"/>
      <c r="H3313" s="56" t="n"/>
      <c r="I3313" s="56" t="n"/>
      <c r="J3313" s="58" t="n"/>
      <c r="K3313" s="58" t="n"/>
      <c r="L3313" s="13">
        <f>IF(OR($A3313="",AND($J3313="",$K3313="")),"",ROUND(N($J3313)-N($K3313),2))</f>
        <v/>
      </c>
      <c r="M3313" s="13">
        <f>IF(OR($A3313="",AND($J3313="",$K3313="")),"",MIN($J3313,$K3313))</f>
        <v/>
      </c>
      <c r="Q3313">
        <f>IF($A3313="","",$D3313&amp;"("&amp;SUBSTITUTE($E3313," ","")&amp;")")</f>
        <v/>
      </c>
      <c r="R3313">
        <f>IF($A3313="","",$B3313&amp;" - "&amp;$C3313)</f>
        <v/>
      </c>
      <c r="S3313">
        <f>IF($A3313="","",$R3313&amp;"|"&amp;$Q3313)</f>
        <v/>
      </c>
      <c r="T3313">
        <f>IF($A3313="","",$S3313&amp;"|"&amp;$F3313)</f>
        <v/>
      </c>
      <c r="U3313">
        <f>IF($A3313="","",$R3313&amp;"("&amp;$E3313&amp;")")</f>
        <v/>
      </c>
      <c r="V3313">
        <f>IF($A3313="","",$F3313&amp;"|"&amp;$U3313&amp;"|"&amp;$D3313)</f>
        <v/>
      </c>
      <c r="W3313">
        <f>IF($T3313="","",IF($X3313&gt;N($X3312),$X3313,""))</f>
        <v/>
      </c>
      <c r="X3313">
        <f>IF($T3313="",N($X3312),IF(MATCH($T3313,$T$6:$T$6005,0)=ROW()-5,N($X3312)+1,N($X3312)))</f>
        <v/>
      </c>
      <c r="Z3313">
        <f>IF($V3313="","",IF($AA3313&gt;N($AA3312),$AA3313,""))</f>
        <v/>
      </c>
      <c r="AA3313">
        <f>IF($V3313="",N($AA3312),IF(MATCH($V3313,$V$6:$V$6005,0)=ROW()-5,N($AA3312)+1,N($AA3312)))</f>
        <v/>
      </c>
    </row>
    <row r="3314" ht="21" customHeight="1" s="66">
      <c r="A3314" s="56" t="n"/>
      <c r="B3314" s="57" t="n"/>
      <c r="C3314" s="57" t="n"/>
      <c r="D3314" s="57" t="n"/>
      <c r="E3314" s="56" t="n"/>
      <c r="F3314" s="57" t="n"/>
      <c r="G3314" s="57" t="n"/>
      <c r="H3314" s="56" t="n"/>
      <c r="I3314" s="56" t="n"/>
      <c r="J3314" s="58" t="n"/>
      <c r="K3314" s="58" t="n"/>
      <c r="L3314" s="13">
        <f>IF(OR($A3314="",AND($J3314="",$K3314="")),"",ROUND(N($J3314)-N($K3314),2))</f>
        <v/>
      </c>
      <c r="M3314" s="13">
        <f>IF(OR($A3314="",AND($J3314="",$K3314="")),"",MIN($J3314,$K3314))</f>
        <v/>
      </c>
      <c r="Q3314">
        <f>IF($A3314="","",$D3314&amp;"("&amp;SUBSTITUTE($E3314," ","")&amp;")")</f>
        <v/>
      </c>
      <c r="R3314">
        <f>IF($A3314="","",$B3314&amp;" - "&amp;$C3314)</f>
        <v/>
      </c>
      <c r="S3314">
        <f>IF($A3314="","",$R3314&amp;"|"&amp;$Q3314)</f>
        <v/>
      </c>
      <c r="T3314">
        <f>IF($A3314="","",$S3314&amp;"|"&amp;$F3314)</f>
        <v/>
      </c>
      <c r="U3314">
        <f>IF($A3314="","",$R3314&amp;"("&amp;$E3314&amp;")")</f>
        <v/>
      </c>
      <c r="V3314">
        <f>IF($A3314="","",$F3314&amp;"|"&amp;$U3314&amp;"|"&amp;$D3314)</f>
        <v/>
      </c>
      <c r="W3314">
        <f>IF($T3314="","",IF($X3314&gt;N($X3313),$X3314,""))</f>
        <v/>
      </c>
      <c r="X3314">
        <f>IF($T3314="",N($X3313),IF(MATCH($T3314,$T$6:$T$6005,0)=ROW()-5,N($X3313)+1,N($X3313)))</f>
        <v/>
      </c>
      <c r="Z3314">
        <f>IF($V3314="","",IF($AA3314&gt;N($AA3313),$AA3314,""))</f>
        <v/>
      </c>
      <c r="AA3314">
        <f>IF($V3314="",N($AA3313),IF(MATCH($V3314,$V$6:$V$6005,0)=ROW()-5,N($AA3313)+1,N($AA3313)))</f>
        <v/>
      </c>
    </row>
    <row r="3315" ht="21" customHeight="1" s="66">
      <c r="A3315" s="56" t="n"/>
      <c r="B3315" s="57" t="n"/>
      <c r="C3315" s="57" t="n"/>
      <c r="D3315" s="57" t="n"/>
      <c r="E3315" s="56" t="n"/>
      <c r="F3315" s="57" t="n"/>
      <c r="G3315" s="57" t="n"/>
      <c r="H3315" s="56" t="n"/>
      <c r="I3315" s="56" t="n"/>
      <c r="J3315" s="58" t="n"/>
      <c r="K3315" s="58" t="n"/>
      <c r="L3315" s="13">
        <f>IF(OR($A3315="",AND($J3315="",$K3315="")),"",ROUND(N($J3315)-N($K3315),2))</f>
        <v/>
      </c>
      <c r="M3315" s="13">
        <f>IF(OR($A3315="",AND($J3315="",$K3315="")),"",MIN($J3315,$K3315))</f>
        <v/>
      </c>
      <c r="Q3315">
        <f>IF($A3315="","",$D3315&amp;"("&amp;SUBSTITUTE($E3315," ","")&amp;")")</f>
        <v/>
      </c>
      <c r="R3315">
        <f>IF($A3315="","",$B3315&amp;" - "&amp;$C3315)</f>
        <v/>
      </c>
      <c r="S3315">
        <f>IF($A3315="","",$R3315&amp;"|"&amp;$Q3315)</f>
        <v/>
      </c>
      <c r="T3315">
        <f>IF($A3315="","",$S3315&amp;"|"&amp;$F3315)</f>
        <v/>
      </c>
      <c r="U3315">
        <f>IF($A3315="","",$R3315&amp;"("&amp;$E3315&amp;")")</f>
        <v/>
      </c>
      <c r="V3315">
        <f>IF($A3315="","",$F3315&amp;"|"&amp;$U3315&amp;"|"&amp;$D3315)</f>
        <v/>
      </c>
      <c r="W3315">
        <f>IF($T3315="","",IF($X3315&gt;N($X3314),$X3315,""))</f>
        <v/>
      </c>
      <c r="X3315">
        <f>IF($T3315="",N($X3314),IF(MATCH($T3315,$T$6:$T$6005,0)=ROW()-5,N($X3314)+1,N($X3314)))</f>
        <v/>
      </c>
      <c r="Z3315">
        <f>IF($V3315="","",IF($AA3315&gt;N($AA3314),$AA3315,""))</f>
        <v/>
      </c>
      <c r="AA3315">
        <f>IF($V3315="",N($AA3314),IF(MATCH($V3315,$V$6:$V$6005,0)=ROW()-5,N($AA3314)+1,N($AA3314)))</f>
        <v/>
      </c>
    </row>
    <row r="3316" ht="21" customHeight="1" s="66">
      <c r="A3316" s="56" t="n"/>
      <c r="B3316" s="57" t="n"/>
      <c r="C3316" s="57" t="n"/>
      <c r="D3316" s="57" t="n"/>
      <c r="E3316" s="56" t="n"/>
      <c r="F3316" s="57" t="n"/>
      <c r="G3316" s="57" t="n"/>
      <c r="H3316" s="56" t="n"/>
      <c r="I3316" s="56" t="n"/>
      <c r="J3316" s="58" t="n"/>
      <c r="K3316" s="58" t="n"/>
      <c r="L3316" s="13">
        <f>IF(OR($A3316="",AND($J3316="",$K3316="")),"",ROUND(N($J3316)-N($K3316),2))</f>
        <v/>
      </c>
      <c r="M3316" s="13">
        <f>IF(OR($A3316="",AND($J3316="",$K3316="")),"",MIN($J3316,$K3316))</f>
        <v/>
      </c>
      <c r="Q3316">
        <f>IF($A3316="","",$D3316&amp;"("&amp;SUBSTITUTE($E3316," ","")&amp;")")</f>
        <v/>
      </c>
      <c r="R3316">
        <f>IF($A3316="","",$B3316&amp;" - "&amp;$C3316)</f>
        <v/>
      </c>
      <c r="S3316">
        <f>IF($A3316="","",$R3316&amp;"|"&amp;$Q3316)</f>
        <v/>
      </c>
      <c r="T3316">
        <f>IF($A3316="","",$S3316&amp;"|"&amp;$F3316)</f>
        <v/>
      </c>
      <c r="U3316">
        <f>IF($A3316="","",$R3316&amp;"("&amp;$E3316&amp;")")</f>
        <v/>
      </c>
      <c r="V3316">
        <f>IF($A3316="","",$F3316&amp;"|"&amp;$U3316&amp;"|"&amp;$D3316)</f>
        <v/>
      </c>
      <c r="W3316">
        <f>IF($T3316="","",IF($X3316&gt;N($X3315),$X3316,""))</f>
        <v/>
      </c>
      <c r="X3316">
        <f>IF($T3316="",N($X3315),IF(MATCH($T3316,$T$6:$T$6005,0)=ROW()-5,N($X3315)+1,N($X3315)))</f>
        <v/>
      </c>
      <c r="Z3316">
        <f>IF($V3316="","",IF($AA3316&gt;N($AA3315),$AA3316,""))</f>
        <v/>
      </c>
      <c r="AA3316">
        <f>IF($V3316="",N($AA3315),IF(MATCH($V3316,$V$6:$V$6005,0)=ROW()-5,N($AA3315)+1,N($AA3315)))</f>
        <v/>
      </c>
    </row>
    <row r="3317" ht="21" customHeight="1" s="66">
      <c r="A3317" s="56" t="n"/>
      <c r="B3317" s="57" t="n"/>
      <c r="C3317" s="57" t="n"/>
      <c r="D3317" s="57" t="n"/>
      <c r="E3317" s="56" t="n"/>
      <c r="F3317" s="57" t="n"/>
      <c r="G3317" s="57" t="n"/>
      <c r="H3317" s="56" t="n"/>
      <c r="I3317" s="56" t="n"/>
      <c r="J3317" s="58" t="n"/>
      <c r="K3317" s="58" t="n"/>
      <c r="L3317" s="13">
        <f>IF(OR($A3317="",AND($J3317="",$K3317="")),"",ROUND(N($J3317)-N($K3317),2))</f>
        <v/>
      </c>
      <c r="M3317" s="13">
        <f>IF(OR($A3317="",AND($J3317="",$K3317="")),"",MIN($J3317,$K3317))</f>
        <v/>
      </c>
      <c r="Q3317">
        <f>IF($A3317="","",$D3317&amp;"("&amp;SUBSTITUTE($E3317," ","")&amp;")")</f>
        <v/>
      </c>
      <c r="R3317">
        <f>IF($A3317="","",$B3317&amp;" - "&amp;$C3317)</f>
        <v/>
      </c>
      <c r="S3317">
        <f>IF($A3317="","",$R3317&amp;"|"&amp;$Q3317)</f>
        <v/>
      </c>
      <c r="T3317">
        <f>IF($A3317="","",$S3317&amp;"|"&amp;$F3317)</f>
        <v/>
      </c>
      <c r="U3317">
        <f>IF($A3317="","",$R3317&amp;"("&amp;$E3317&amp;")")</f>
        <v/>
      </c>
      <c r="V3317">
        <f>IF($A3317="","",$F3317&amp;"|"&amp;$U3317&amp;"|"&amp;$D3317)</f>
        <v/>
      </c>
      <c r="W3317">
        <f>IF($T3317="","",IF($X3317&gt;N($X3316),$X3317,""))</f>
        <v/>
      </c>
      <c r="X3317">
        <f>IF($T3317="",N($X3316),IF(MATCH($T3317,$T$6:$T$6005,0)=ROW()-5,N($X3316)+1,N($X3316)))</f>
        <v/>
      </c>
      <c r="Z3317">
        <f>IF($V3317="","",IF($AA3317&gt;N($AA3316),$AA3317,""))</f>
        <v/>
      </c>
      <c r="AA3317">
        <f>IF($V3317="",N($AA3316),IF(MATCH($V3317,$V$6:$V$6005,0)=ROW()-5,N($AA3316)+1,N($AA3316)))</f>
        <v/>
      </c>
    </row>
    <row r="3318" ht="21" customHeight="1" s="66">
      <c r="A3318" s="56" t="n"/>
      <c r="B3318" s="57" t="n"/>
      <c r="C3318" s="57" t="n"/>
      <c r="D3318" s="57" t="n"/>
      <c r="E3318" s="56" t="n"/>
      <c r="F3318" s="57" t="n"/>
      <c r="G3318" s="57" t="n"/>
      <c r="H3318" s="56" t="n"/>
      <c r="I3318" s="56" t="n"/>
      <c r="J3318" s="58" t="n"/>
      <c r="K3318" s="58" t="n"/>
      <c r="L3318" s="13">
        <f>IF(OR($A3318="",AND($J3318="",$K3318="")),"",ROUND(N($J3318)-N($K3318),2))</f>
        <v/>
      </c>
      <c r="M3318" s="13">
        <f>IF(OR($A3318="",AND($J3318="",$K3318="")),"",MIN($J3318,$K3318))</f>
        <v/>
      </c>
      <c r="Q3318">
        <f>IF($A3318="","",$D3318&amp;"("&amp;SUBSTITUTE($E3318," ","")&amp;")")</f>
        <v/>
      </c>
      <c r="R3318">
        <f>IF($A3318="","",$B3318&amp;" - "&amp;$C3318)</f>
        <v/>
      </c>
      <c r="S3318">
        <f>IF($A3318="","",$R3318&amp;"|"&amp;$Q3318)</f>
        <v/>
      </c>
      <c r="T3318">
        <f>IF($A3318="","",$S3318&amp;"|"&amp;$F3318)</f>
        <v/>
      </c>
      <c r="U3318">
        <f>IF($A3318="","",$R3318&amp;"("&amp;$E3318&amp;")")</f>
        <v/>
      </c>
      <c r="V3318">
        <f>IF($A3318="","",$F3318&amp;"|"&amp;$U3318&amp;"|"&amp;$D3318)</f>
        <v/>
      </c>
      <c r="W3318">
        <f>IF($T3318="","",IF($X3318&gt;N($X3317),$X3318,""))</f>
        <v/>
      </c>
      <c r="X3318">
        <f>IF($T3318="",N($X3317),IF(MATCH($T3318,$T$6:$T$6005,0)=ROW()-5,N($X3317)+1,N($X3317)))</f>
        <v/>
      </c>
      <c r="Z3318">
        <f>IF($V3318="","",IF($AA3318&gt;N($AA3317),$AA3318,""))</f>
        <v/>
      </c>
      <c r="AA3318">
        <f>IF($V3318="",N($AA3317),IF(MATCH($V3318,$V$6:$V$6005,0)=ROW()-5,N($AA3317)+1,N($AA3317)))</f>
        <v/>
      </c>
    </row>
    <row r="3319" ht="21" customHeight="1" s="66">
      <c r="A3319" s="56" t="n"/>
      <c r="B3319" s="57" t="n"/>
      <c r="C3319" s="57" t="n"/>
      <c r="D3319" s="57" t="n"/>
      <c r="E3319" s="56" t="n"/>
      <c r="F3319" s="57" t="n"/>
      <c r="G3319" s="57" t="n"/>
      <c r="H3319" s="56" t="n"/>
      <c r="I3319" s="56" t="n"/>
      <c r="J3319" s="58" t="n"/>
      <c r="K3319" s="58" t="n"/>
      <c r="L3319" s="13">
        <f>IF(OR($A3319="",AND($J3319="",$K3319="")),"",ROUND(N($J3319)-N($K3319),2))</f>
        <v/>
      </c>
      <c r="M3319" s="13">
        <f>IF(OR($A3319="",AND($J3319="",$K3319="")),"",MIN($J3319,$K3319))</f>
        <v/>
      </c>
      <c r="Q3319">
        <f>IF($A3319="","",$D3319&amp;"("&amp;SUBSTITUTE($E3319," ","")&amp;")")</f>
        <v/>
      </c>
      <c r="R3319">
        <f>IF($A3319="","",$B3319&amp;" - "&amp;$C3319)</f>
        <v/>
      </c>
      <c r="S3319">
        <f>IF($A3319="","",$R3319&amp;"|"&amp;$Q3319)</f>
        <v/>
      </c>
      <c r="T3319">
        <f>IF($A3319="","",$S3319&amp;"|"&amp;$F3319)</f>
        <v/>
      </c>
      <c r="U3319">
        <f>IF($A3319="","",$R3319&amp;"("&amp;$E3319&amp;")")</f>
        <v/>
      </c>
      <c r="V3319">
        <f>IF($A3319="","",$F3319&amp;"|"&amp;$U3319&amp;"|"&amp;$D3319)</f>
        <v/>
      </c>
      <c r="W3319">
        <f>IF($T3319="","",IF($X3319&gt;N($X3318),$X3319,""))</f>
        <v/>
      </c>
      <c r="X3319">
        <f>IF($T3319="",N($X3318),IF(MATCH($T3319,$T$6:$T$6005,0)=ROW()-5,N($X3318)+1,N($X3318)))</f>
        <v/>
      </c>
      <c r="Z3319">
        <f>IF($V3319="","",IF($AA3319&gt;N($AA3318),$AA3319,""))</f>
        <v/>
      </c>
      <c r="AA3319">
        <f>IF($V3319="",N($AA3318),IF(MATCH($V3319,$V$6:$V$6005,0)=ROW()-5,N($AA3318)+1,N($AA3318)))</f>
        <v/>
      </c>
    </row>
    <row r="3320" ht="21" customHeight="1" s="66">
      <c r="A3320" s="56" t="n"/>
      <c r="B3320" s="57" t="n"/>
      <c r="C3320" s="57" t="n"/>
      <c r="D3320" s="57" t="n"/>
      <c r="E3320" s="56" t="n"/>
      <c r="F3320" s="57" t="n"/>
      <c r="G3320" s="57" t="n"/>
      <c r="H3320" s="56" t="n"/>
      <c r="I3320" s="56" t="n"/>
      <c r="J3320" s="58" t="n"/>
      <c r="K3320" s="58" t="n"/>
      <c r="L3320" s="13">
        <f>IF(OR($A3320="",AND($J3320="",$K3320="")),"",ROUND(N($J3320)-N($K3320),2))</f>
        <v/>
      </c>
      <c r="M3320" s="13">
        <f>IF(OR($A3320="",AND($J3320="",$K3320="")),"",MIN($J3320,$K3320))</f>
        <v/>
      </c>
      <c r="Q3320">
        <f>IF($A3320="","",$D3320&amp;"("&amp;SUBSTITUTE($E3320," ","")&amp;")")</f>
        <v/>
      </c>
      <c r="R3320">
        <f>IF($A3320="","",$B3320&amp;" - "&amp;$C3320)</f>
        <v/>
      </c>
      <c r="S3320">
        <f>IF($A3320="","",$R3320&amp;"|"&amp;$Q3320)</f>
        <v/>
      </c>
      <c r="T3320">
        <f>IF($A3320="","",$S3320&amp;"|"&amp;$F3320)</f>
        <v/>
      </c>
      <c r="U3320">
        <f>IF($A3320="","",$R3320&amp;"("&amp;$E3320&amp;")")</f>
        <v/>
      </c>
      <c r="V3320">
        <f>IF($A3320="","",$F3320&amp;"|"&amp;$U3320&amp;"|"&amp;$D3320)</f>
        <v/>
      </c>
      <c r="W3320">
        <f>IF($T3320="","",IF($X3320&gt;N($X3319),$X3320,""))</f>
        <v/>
      </c>
      <c r="X3320">
        <f>IF($T3320="",N($X3319),IF(MATCH($T3320,$T$6:$T$6005,0)=ROW()-5,N($X3319)+1,N($X3319)))</f>
        <v/>
      </c>
      <c r="Z3320">
        <f>IF($V3320="","",IF($AA3320&gt;N($AA3319),$AA3320,""))</f>
        <v/>
      </c>
      <c r="AA3320">
        <f>IF($V3320="",N($AA3319),IF(MATCH($V3320,$V$6:$V$6005,0)=ROW()-5,N($AA3319)+1,N($AA3319)))</f>
        <v/>
      </c>
    </row>
    <row r="3321" ht="21" customHeight="1" s="66">
      <c r="A3321" s="56" t="n"/>
      <c r="B3321" s="57" t="n"/>
      <c r="C3321" s="57" t="n"/>
      <c r="D3321" s="57" t="n"/>
      <c r="E3321" s="56" t="n"/>
      <c r="F3321" s="57" t="n"/>
      <c r="G3321" s="57" t="n"/>
      <c r="H3321" s="56" t="n"/>
      <c r="I3321" s="56" t="n"/>
      <c r="J3321" s="58" t="n"/>
      <c r="K3321" s="58" t="n"/>
      <c r="L3321" s="13">
        <f>IF(OR($A3321="",AND($J3321="",$K3321="")),"",ROUND(N($J3321)-N($K3321),2))</f>
        <v/>
      </c>
      <c r="M3321" s="13">
        <f>IF(OR($A3321="",AND($J3321="",$K3321="")),"",MIN($J3321,$K3321))</f>
        <v/>
      </c>
      <c r="Q3321">
        <f>IF($A3321="","",$D3321&amp;"("&amp;SUBSTITUTE($E3321," ","")&amp;")")</f>
        <v/>
      </c>
      <c r="R3321">
        <f>IF($A3321="","",$B3321&amp;" - "&amp;$C3321)</f>
        <v/>
      </c>
      <c r="S3321">
        <f>IF($A3321="","",$R3321&amp;"|"&amp;$Q3321)</f>
        <v/>
      </c>
      <c r="T3321">
        <f>IF($A3321="","",$S3321&amp;"|"&amp;$F3321)</f>
        <v/>
      </c>
      <c r="U3321">
        <f>IF($A3321="","",$R3321&amp;"("&amp;$E3321&amp;")")</f>
        <v/>
      </c>
      <c r="V3321">
        <f>IF($A3321="","",$F3321&amp;"|"&amp;$U3321&amp;"|"&amp;$D3321)</f>
        <v/>
      </c>
      <c r="W3321">
        <f>IF($T3321="","",IF($X3321&gt;N($X3320),$X3321,""))</f>
        <v/>
      </c>
      <c r="X3321">
        <f>IF($T3321="",N($X3320),IF(MATCH($T3321,$T$6:$T$6005,0)=ROW()-5,N($X3320)+1,N($X3320)))</f>
        <v/>
      </c>
      <c r="Z3321">
        <f>IF($V3321="","",IF($AA3321&gt;N($AA3320),$AA3321,""))</f>
        <v/>
      </c>
      <c r="AA3321">
        <f>IF($V3321="",N($AA3320),IF(MATCH($V3321,$V$6:$V$6005,0)=ROW()-5,N($AA3320)+1,N($AA3320)))</f>
        <v/>
      </c>
    </row>
    <row r="3322" ht="21" customHeight="1" s="66">
      <c r="A3322" s="56" t="n"/>
      <c r="B3322" s="57" t="n"/>
      <c r="C3322" s="57" t="n"/>
      <c r="D3322" s="57" t="n"/>
      <c r="E3322" s="56" t="n"/>
      <c r="F3322" s="57" t="n"/>
      <c r="G3322" s="57" t="n"/>
      <c r="H3322" s="56" t="n"/>
      <c r="I3322" s="56" t="n"/>
      <c r="J3322" s="58" t="n"/>
      <c r="K3322" s="58" t="n"/>
      <c r="L3322" s="13">
        <f>IF(OR($A3322="",AND($J3322="",$K3322="")),"",ROUND(N($J3322)-N($K3322),2))</f>
        <v/>
      </c>
      <c r="M3322" s="13">
        <f>IF(OR($A3322="",AND($J3322="",$K3322="")),"",MIN($J3322,$K3322))</f>
        <v/>
      </c>
      <c r="Q3322">
        <f>IF($A3322="","",$D3322&amp;"("&amp;SUBSTITUTE($E3322," ","")&amp;")")</f>
        <v/>
      </c>
      <c r="R3322">
        <f>IF($A3322="","",$B3322&amp;" - "&amp;$C3322)</f>
        <v/>
      </c>
      <c r="S3322">
        <f>IF($A3322="","",$R3322&amp;"|"&amp;$Q3322)</f>
        <v/>
      </c>
      <c r="T3322">
        <f>IF($A3322="","",$S3322&amp;"|"&amp;$F3322)</f>
        <v/>
      </c>
      <c r="U3322">
        <f>IF($A3322="","",$R3322&amp;"("&amp;$E3322&amp;")")</f>
        <v/>
      </c>
      <c r="V3322">
        <f>IF($A3322="","",$F3322&amp;"|"&amp;$U3322&amp;"|"&amp;$D3322)</f>
        <v/>
      </c>
      <c r="W3322">
        <f>IF($T3322="","",IF($X3322&gt;N($X3321),$X3322,""))</f>
        <v/>
      </c>
      <c r="X3322">
        <f>IF($T3322="",N($X3321),IF(MATCH($T3322,$T$6:$T$6005,0)=ROW()-5,N($X3321)+1,N($X3321)))</f>
        <v/>
      </c>
      <c r="Z3322">
        <f>IF($V3322="","",IF($AA3322&gt;N($AA3321),$AA3322,""))</f>
        <v/>
      </c>
      <c r="AA3322">
        <f>IF($V3322="",N($AA3321),IF(MATCH($V3322,$V$6:$V$6005,0)=ROW()-5,N($AA3321)+1,N($AA3321)))</f>
        <v/>
      </c>
    </row>
    <row r="3323" ht="21" customHeight="1" s="66">
      <c r="A3323" s="56" t="n"/>
      <c r="B3323" s="57" t="n"/>
      <c r="C3323" s="57" t="n"/>
      <c r="D3323" s="57" t="n"/>
      <c r="E3323" s="56" t="n"/>
      <c r="F3323" s="57" t="n"/>
      <c r="G3323" s="57" t="n"/>
      <c r="H3323" s="56" t="n"/>
      <c r="I3323" s="56" t="n"/>
      <c r="J3323" s="58" t="n"/>
      <c r="K3323" s="58" t="n"/>
      <c r="L3323" s="13">
        <f>IF(OR($A3323="",AND($J3323="",$K3323="")),"",ROUND(N($J3323)-N($K3323),2))</f>
        <v/>
      </c>
      <c r="M3323" s="13">
        <f>IF(OR($A3323="",AND($J3323="",$K3323="")),"",MIN($J3323,$K3323))</f>
        <v/>
      </c>
      <c r="Q3323">
        <f>IF($A3323="","",$D3323&amp;"("&amp;SUBSTITUTE($E3323," ","")&amp;")")</f>
        <v/>
      </c>
      <c r="R3323">
        <f>IF($A3323="","",$B3323&amp;" - "&amp;$C3323)</f>
        <v/>
      </c>
      <c r="S3323">
        <f>IF($A3323="","",$R3323&amp;"|"&amp;$Q3323)</f>
        <v/>
      </c>
      <c r="T3323">
        <f>IF($A3323="","",$S3323&amp;"|"&amp;$F3323)</f>
        <v/>
      </c>
      <c r="U3323">
        <f>IF($A3323="","",$R3323&amp;"("&amp;$E3323&amp;")")</f>
        <v/>
      </c>
      <c r="V3323">
        <f>IF($A3323="","",$F3323&amp;"|"&amp;$U3323&amp;"|"&amp;$D3323)</f>
        <v/>
      </c>
      <c r="W3323">
        <f>IF($T3323="","",IF($X3323&gt;N($X3322),$X3323,""))</f>
        <v/>
      </c>
      <c r="X3323">
        <f>IF($T3323="",N($X3322),IF(MATCH($T3323,$T$6:$T$6005,0)=ROW()-5,N($X3322)+1,N($X3322)))</f>
        <v/>
      </c>
      <c r="Z3323">
        <f>IF($V3323="","",IF($AA3323&gt;N($AA3322),$AA3323,""))</f>
        <v/>
      </c>
      <c r="AA3323">
        <f>IF($V3323="",N($AA3322),IF(MATCH($V3323,$V$6:$V$6005,0)=ROW()-5,N($AA3322)+1,N($AA3322)))</f>
        <v/>
      </c>
    </row>
    <row r="3324" ht="21" customHeight="1" s="66">
      <c r="A3324" s="56" t="n"/>
      <c r="B3324" s="57" t="n"/>
      <c r="C3324" s="57" t="n"/>
      <c r="D3324" s="57" t="n"/>
      <c r="E3324" s="56" t="n"/>
      <c r="F3324" s="57" t="n"/>
      <c r="G3324" s="57" t="n"/>
      <c r="H3324" s="56" t="n"/>
      <c r="I3324" s="56" t="n"/>
      <c r="J3324" s="58" t="n"/>
      <c r="K3324" s="58" t="n"/>
      <c r="L3324" s="13">
        <f>IF(OR($A3324="",AND($J3324="",$K3324="")),"",ROUND(N($J3324)-N($K3324),2))</f>
        <v/>
      </c>
      <c r="M3324" s="13">
        <f>IF(OR($A3324="",AND($J3324="",$K3324="")),"",MIN($J3324,$K3324))</f>
        <v/>
      </c>
      <c r="Q3324">
        <f>IF($A3324="","",$D3324&amp;"("&amp;SUBSTITUTE($E3324," ","")&amp;")")</f>
        <v/>
      </c>
      <c r="R3324">
        <f>IF($A3324="","",$B3324&amp;" - "&amp;$C3324)</f>
        <v/>
      </c>
      <c r="S3324">
        <f>IF($A3324="","",$R3324&amp;"|"&amp;$Q3324)</f>
        <v/>
      </c>
      <c r="T3324">
        <f>IF($A3324="","",$S3324&amp;"|"&amp;$F3324)</f>
        <v/>
      </c>
      <c r="U3324">
        <f>IF($A3324="","",$R3324&amp;"("&amp;$E3324&amp;")")</f>
        <v/>
      </c>
      <c r="V3324">
        <f>IF($A3324="","",$F3324&amp;"|"&amp;$U3324&amp;"|"&amp;$D3324)</f>
        <v/>
      </c>
      <c r="W3324">
        <f>IF($T3324="","",IF($X3324&gt;N($X3323),$X3324,""))</f>
        <v/>
      </c>
      <c r="X3324">
        <f>IF($T3324="",N($X3323),IF(MATCH($T3324,$T$6:$T$6005,0)=ROW()-5,N($X3323)+1,N($X3323)))</f>
        <v/>
      </c>
      <c r="Z3324">
        <f>IF($V3324="","",IF($AA3324&gt;N($AA3323),$AA3324,""))</f>
        <v/>
      </c>
      <c r="AA3324">
        <f>IF($V3324="",N($AA3323),IF(MATCH($V3324,$V$6:$V$6005,0)=ROW()-5,N($AA3323)+1,N($AA3323)))</f>
        <v/>
      </c>
    </row>
    <row r="3325" ht="21" customHeight="1" s="66">
      <c r="A3325" s="56" t="n"/>
      <c r="B3325" s="57" t="n"/>
      <c r="C3325" s="57" t="n"/>
      <c r="D3325" s="57" t="n"/>
      <c r="E3325" s="56" t="n"/>
      <c r="F3325" s="57" t="n"/>
      <c r="G3325" s="57" t="n"/>
      <c r="H3325" s="56" t="n"/>
      <c r="I3325" s="56" t="n"/>
      <c r="J3325" s="58" t="n"/>
      <c r="K3325" s="58" t="n"/>
      <c r="L3325" s="13">
        <f>IF(OR($A3325="",AND($J3325="",$K3325="")),"",ROUND(N($J3325)-N($K3325),2))</f>
        <v/>
      </c>
      <c r="M3325" s="13">
        <f>IF(OR($A3325="",AND($J3325="",$K3325="")),"",MIN($J3325,$K3325))</f>
        <v/>
      </c>
      <c r="Q3325">
        <f>IF($A3325="","",$D3325&amp;"("&amp;SUBSTITUTE($E3325," ","")&amp;")")</f>
        <v/>
      </c>
      <c r="R3325">
        <f>IF($A3325="","",$B3325&amp;" - "&amp;$C3325)</f>
        <v/>
      </c>
      <c r="S3325">
        <f>IF($A3325="","",$R3325&amp;"|"&amp;$Q3325)</f>
        <v/>
      </c>
      <c r="T3325">
        <f>IF($A3325="","",$S3325&amp;"|"&amp;$F3325)</f>
        <v/>
      </c>
      <c r="U3325">
        <f>IF($A3325="","",$R3325&amp;"("&amp;$E3325&amp;")")</f>
        <v/>
      </c>
      <c r="V3325">
        <f>IF($A3325="","",$F3325&amp;"|"&amp;$U3325&amp;"|"&amp;$D3325)</f>
        <v/>
      </c>
      <c r="W3325">
        <f>IF($T3325="","",IF($X3325&gt;N($X3324),$X3325,""))</f>
        <v/>
      </c>
      <c r="X3325">
        <f>IF($T3325="",N($X3324),IF(MATCH($T3325,$T$6:$T$6005,0)=ROW()-5,N($X3324)+1,N($X3324)))</f>
        <v/>
      </c>
      <c r="Z3325">
        <f>IF($V3325="","",IF($AA3325&gt;N($AA3324),$AA3325,""))</f>
        <v/>
      </c>
      <c r="AA3325">
        <f>IF($V3325="",N($AA3324),IF(MATCH($V3325,$V$6:$V$6005,0)=ROW()-5,N($AA3324)+1,N($AA3324)))</f>
        <v/>
      </c>
    </row>
    <row r="3326" ht="21" customHeight="1" s="66">
      <c r="A3326" s="56" t="n"/>
      <c r="B3326" s="57" t="n"/>
      <c r="C3326" s="57" t="n"/>
      <c r="D3326" s="57" t="n"/>
      <c r="E3326" s="56" t="n"/>
      <c r="F3326" s="57" t="n"/>
      <c r="G3326" s="57" t="n"/>
      <c r="H3326" s="56" t="n"/>
      <c r="I3326" s="56" t="n"/>
      <c r="J3326" s="58" t="n"/>
      <c r="K3326" s="58" t="n"/>
      <c r="L3326" s="13">
        <f>IF(OR($A3326="",AND($J3326="",$K3326="")),"",ROUND(N($J3326)-N($K3326),2))</f>
        <v/>
      </c>
      <c r="M3326" s="13">
        <f>IF(OR($A3326="",AND($J3326="",$K3326="")),"",MIN($J3326,$K3326))</f>
        <v/>
      </c>
      <c r="Q3326">
        <f>IF($A3326="","",$D3326&amp;"("&amp;SUBSTITUTE($E3326," ","")&amp;")")</f>
        <v/>
      </c>
      <c r="R3326">
        <f>IF($A3326="","",$B3326&amp;" - "&amp;$C3326)</f>
        <v/>
      </c>
      <c r="S3326">
        <f>IF($A3326="","",$R3326&amp;"|"&amp;$Q3326)</f>
        <v/>
      </c>
      <c r="T3326">
        <f>IF($A3326="","",$S3326&amp;"|"&amp;$F3326)</f>
        <v/>
      </c>
      <c r="U3326">
        <f>IF($A3326="","",$R3326&amp;"("&amp;$E3326&amp;")")</f>
        <v/>
      </c>
      <c r="V3326">
        <f>IF($A3326="","",$F3326&amp;"|"&amp;$U3326&amp;"|"&amp;$D3326)</f>
        <v/>
      </c>
      <c r="W3326">
        <f>IF($T3326="","",IF($X3326&gt;N($X3325),$X3326,""))</f>
        <v/>
      </c>
      <c r="X3326">
        <f>IF($T3326="",N($X3325),IF(MATCH($T3326,$T$6:$T$6005,0)=ROW()-5,N($X3325)+1,N($X3325)))</f>
        <v/>
      </c>
      <c r="Z3326">
        <f>IF($V3326="","",IF($AA3326&gt;N($AA3325),$AA3326,""))</f>
        <v/>
      </c>
      <c r="AA3326">
        <f>IF($V3326="",N($AA3325),IF(MATCH($V3326,$V$6:$V$6005,0)=ROW()-5,N($AA3325)+1,N($AA3325)))</f>
        <v/>
      </c>
    </row>
    <row r="3327" ht="21" customHeight="1" s="66">
      <c r="A3327" s="56" t="n"/>
      <c r="B3327" s="57" t="n"/>
      <c r="C3327" s="57" t="n"/>
      <c r="D3327" s="57" t="n"/>
      <c r="E3327" s="56" t="n"/>
      <c r="F3327" s="57" t="n"/>
      <c r="G3327" s="57" t="n"/>
      <c r="H3327" s="56" t="n"/>
      <c r="I3327" s="56" t="n"/>
      <c r="J3327" s="58" t="n"/>
      <c r="K3327" s="58" t="n"/>
      <c r="L3327" s="13">
        <f>IF(OR($A3327="",AND($J3327="",$K3327="")),"",ROUND(N($J3327)-N($K3327),2))</f>
        <v/>
      </c>
      <c r="M3327" s="13">
        <f>IF(OR($A3327="",AND($J3327="",$K3327="")),"",MIN($J3327,$K3327))</f>
        <v/>
      </c>
      <c r="Q3327">
        <f>IF($A3327="","",$D3327&amp;"("&amp;SUBSTITUTE($E3327," ","")&amp;")")</f>
        <v/>
      </c>
      <c r="R3327">
        <f>IF($A3327="","",$B3327&amp;" - "&amp;$C3327)</f>
        <v/>
      </c>
      <c r="S3327">
        <f>IF($A3327="","",$R3327&amp;"|"&amp;$Q3327)</f>
        <v/>
      </c>
      <c r="T3327">
        <f>IF($A3327="","",$S3327&amp;"|"&amp;$F3327)</f>
        <v/>
      </c>
      <c r="U3327">
        <f>IF($A3327="","",$R3327&amp;"("&amp;$E3327&amp;")")</f>
        <v/>
      </c>
      <c r="V3327">
        <f>IF($A3327="","",$F3327&amp;"|"&amp;$U3327&amp;"|"&amp;$D3327)</f>
        <v/>
      </c>
      <c r="W3327">
        <f>IF($T3327="","",IF($X3327&gt;N($X3326),$X3327,""))</f>
        <v/>
      </c>
      <c r="X3327">
        <f>IF($T3327="",N($X3326),IF(MATCH($T3327,$T$6:$T$6005,0)=ROW()-5,N($X3326)+1,N($X3326)))</f>
        <v/>
      </c>
      <c r="Z3327">
        <f>IF($V3327="","",IF($AA3327&gt;N($AA3326),$AA3327,""))</f>
        <v/>
      </c>
      <c r="AA3327">
        <f>IF($V3327="",N($AA3326),IF(MATCH($V3327,$V$6:$V$6005,0)=ROW()-5,N($AA3326)+1,N($AA3326)))</f>
        <v/>
      </c>
    </row>
    <row r="3328" ht="21" customHeight="1" s="66">
      <c r="A3328" s="56" t="n"/>
      <c r="B3328" s="57" t="n"/>
      <c r="C3328" s="57" t="n"/>
      <c r="D3328" s="57" t="n"/>
      <c r="E3328" s="56" t="n"/>
      <c r="F3328" s="57" t="n"/>
      <c r="G3328" s="57" t="n"/>
      <c r="H3328" s="56" t="n"/>
      <c r="I3328" s="56" t="n"/>
      <c r="J3328" s="58" t="n"/>
      <c r="K3328" s="58" t="n"/>
      <c r="L3328" s="13">
        <f>IF(OR($A3328="",AND($J3328="",$K3328="")),"",ROUND(N($J3328)-N($K3328),2))</f>
        <v/>
      </c>
      <c r="M3328" s="13">
        <f>IF(OR($A3328="",AND($J3328="",$K3328="")),"",MIN($J3328,$K3328))</f>
        <v/>
      </c>
      <c r="Q3328">
        <f>IF($A3328="","",$D3328&amp;"("&amp;SUBSTITUTE($E3328," ","")&amp;")")</f>
        <v/>
      </c>
      <c r="R3328">
        <f>IF($A3328="","",$B3328&amp;" - "&amp;$C3328)</f>
        <v/>
      </c>
      <c r="S3328">
        <f>IF($A3328="","",$R3328&amp;"|"&amp;$Q3328)</f>
        <v/>
      </c>
      <c r="T3328">
        <f>IF($A3328="","",$S3328&amp;"|"&amp;$F3328)</f>
        <v/>
      </c>
      <c r="U3328">
        <f>IF($A3328="","",$R3328&amp;"("&amp;$E3328&amp;")")</f>
        <v/>
      </c>
      <c r="V3328">
        <f>IF($A3328="","",$F3328&amp;"|"&amp;$U3328&amp;"|"&amp;$D3328)</f>
        <v/>
      </c>
      <c r="W3328">
        <f>IF($T3328="","",IF($X3328&gt;N($X3327),$X3328,""))</f>
        <v/>
      </c>
      <c r="X3328">
        <f>IF($T3328="",N($X3327),IF(MATCH($T3328,$T$6:$T$6005,0)=ROW()-5,N($X3327)+1,N($X3327)))</f>
        <v/>
      </c>
      <c r="Z3328">
        <f>IF($V3328="","",IF($AA3328&gt;N($AA3327),$AA3328,""))</f>
        <v/>
      </c>
      <c r="AA3328">
        <f>IF($V3328="",N($AA3327),IF(MATCH($V3328,$V$6:$V$6005,0)=ROW()-5,N($AA3327)+1,N($AA3327)))</f>
        <v/>
      </c>
    </row>
    <row r="3329" ht="21" customHeight="1" s="66">
      <c r="A3329" s="56" t="n"/>
      <c r="B3329" s="57" t="n"/>
      <c r="C3329" s="57" t="n"/>
      <c r="D3329" s="57" t="n"/>
      <c r="E3329" s="56" t="n"/>
      <c r="F3329" s="57" t="n"/>
      <c r="G3329" s="57" t="n"/>
      <c r="H3329" s="56" t="n"/>
      <c r="I3329" s="56" t="n"/>
      <c r="J3329" s="58" t="n"/>
      <c r="K3329" s="58" t="n"/>
      <c r="L3329" s="13">
        <f>IF(OR($A3329="",AND($J3329="",$K3329="")),"",ROUND(N($J3329)-N($K3329),2))</f>
        <v/>
      </c>
      <c r="M3329" s="13">
        <f>IF(OR($A3329="",AND($J3329="",$K3329="")),"",MIN($J3329,$K3329))</f>
        <v/>
      </c>
      <c r="Q3329">
        <f>IF($A3329="","",$D3329&amp;"("&amp;SUBSTITUTE($E3329," ","")&amp;")")</f>
        <v/>
      </c>
      <c r="R3329">
        <f>IF($A3329="","",$B3329&amp;" - "&amp;$C3329)</f>
        <v/>
      </c>
      <c r="S3329">
        <f>IF($A3329="","",$R3329&amp;"|"&amp;$Q3329)</f>
        <v/>
      </c>
      <c r="T3329">
        <f>IF($A3329="","",$S3329&amp;"|"&amp;$F3329)</f>
        <v/>
      </c>
      <c r="U3329">
        <f>IF($A3329="","",$R3329&amp;"("&amp;$E3329&amp;")")</f>
        <v/>
      </c>
      <c r="V3329">
        <f>IF($A3329="","",$F3329&amp;"|"&amp;$U3329&amp;"|"&amp;$D3329)</f>
        <v/>
      </c>
      <c r="W3329">
        <f>IF($T3329="","",IF($X3329&gt;N($X3328),$X3329,""))</f>
        <v/>
      </c>
      <c r="X3329">
        <f>IF($T3329="",N($X3328),IF(MATCH($T3329,$T$6:$T$6005,0)=ROW()-5,N($X3328)+1,N($X3328)))</f>
        <v/>
      </c>
      <c r="Z3329">
        <f>IF($V3329="","",IF($AA3329&gt;N($AA3328),$AA3329,""))</f>
        <v/>
      </c>
      <c r="AA3329">
        <f>IF($V3329="",N($AA3328),IF(MATCH($V3329,$V$6:$V$6005,0)=ROW()-5,N($AA3328)+1,N($AA3328)))</f>
        <v/>
      </c>
    </row>
    <row r="3330" ht="21" customHeight="1" s="66">
      <c r="A3330" s="56" t="n"/>
      <c r="B3330" s="57" t="n"/>
      <c r="C3330" s="57" t="n"/>
      <c r="D3330" s="57" t="n"/>
      <c r="E3330" s="56" t="n"/>
      <c r="F3330" s="57" t="n"/>
      <c r="G3330" s="57" t="n"/>
      <c r="H3330" s="56" t="n"/>
      <c r="I3330" s="56" t="n"/>
      <c r="J3330" s="58" t="n"/>
      <c r="K3330" s="58" t="n"/>
      <c r="L3330" s="13">
        <f>IF(OR($A3330="",AND($J3330="",$K3330="")),"",ROUND(N($J3330)-N($K3330),2))</f>
        <v/>
      </c>
      <c r="M3330" s="13">
        <f>IF(OR($A3330="",AND($J3330="",$K3330="")),"",MIN($J3330,$K3330))</f>
        <v/>
      </c>
      <c r="Q3330">
        <f>IF($A3330="","",$D3330&amp;"("&amp;SUBSTITUTE($E3330," ","")&amp;")")</f>
        <v/>
      </c>
      <c r="R3330">
        <f>IF($A3330="","",$B3330&amp;" - "&amp;$C3330)</f>
        <v/>
      </c>
      <c r="S3330">
        <f>IF($A3330="","",$R3330&amp;"|"&amp;$Q3330)</f>
        <v/>
      </c>
      <c r="T3330">
        <f>IF($A3330="","",$S3330&amp;"|"&amp;$F3330)</f>
        <v/>
      </c>
      <c r="U3330">
        <f>IF($A3330="","",$R3330&amp;"("&amp;$E3330&amp;")")</f>
        <v/>
      </c>
      <c r="V3330">
        <f>IF($A3330="","",$F3330&amp;"|"&amp;$U3330&amp;"|"&amp;$D3330)</f>
        <v/>
      </c>
      <c r="W3330">
        <f>IF($T3330="","",IF($X3330&gt;N($X3329),$X3330,""))</f>
        <v/>
      </c>
      <c r="X3330">
        <f>IF($T3330="",N($X3329),IF(MATCH($T3330,$T$6:$T$6005,0)=ROW()-5,N($X3329)+1,N($X3329)))</f>
        <v/>
      </c>
      <c r="Z3330">
        <f>IF($V3330="","",IF($AA3330&gt;N($AA3329),$AA3330,""))</f>
        <v/>
      </c>
      <c r="AA3330">
        <f>IF($V3330="",N($AA3329),IF(MATCH($V3330,$V$6:$V$6005,0)=ROW()-5,N($AA3329)+1,N($AA3329)))</f>
        <v/>
      </c>
    </row>
    <row r="3331" ht="21" customHeight="1" s="66">
      <c r="A3331" s="56" t="n"/>
      <c r="B3331" s="57" t="n"/>
      <c r="C3331" s="57" t="n"/>
      <c r="D3331" s="57" t="n"/>
      <c r="E3331" s="56" t="n"/>
      <c r="F3331" s="57" t="n"/>
      <c r="G3331" s="57" t="n"/>
      <c r="H3331" s="56" t="n"/>
      <c r="I3331" s="56" t="n"/>
      <c r="J3331" s="58" t="n"/>
      <c r="K3331" s="58" t="n"/>
      <c r="L3331" s="13">
        <f>IF(OR($A3331="",AND($J3331="",$K3331="")),"",ROUND(N($J3331)-N($K3331),2))</f>
        <v/>
      </c>
      <c r="M3331" s="13">
        <f>IF(OR($A3331="",AND($J3331="",$K3331="")),"",MIN($J3331,$K3331))</f>
        <v/>
      </c>
      <c r="Q3331">
        <f>IF($A3331="","",$D3331&amp;"("&amp;SUBSTITUTE($E3331," ","")&amp;")")</f>
        <v/>
      </c>
      <c r="R3331">
        <f>IF($A3331="","",$B3331&amp;" - "&amp;$C3331)</f>
        <v/>
      </c>
      <c r="S3331">
        <f>IF($A3331="","",$R3331&amp;"|"&amp;$Q3331)</f>
        <v/>
      </c>
      <c r="T3331">
        <f>IF($A3331="","",$S3331&amp;"|"&amp;$F3331)</f>
        <v/>
      </c>
      <c r="U3331">
        <f>IF($A3331="","",$R3331&amp;"("&amp;$E3331&amp;")")</f>
        <v/>
      </c>
      <c r="V3331">
        <f>IF($A3331="","",$F3331&amp;"|"&amp;$U3331&amp;"|"&amp;$D3331)</f>
        <v/>
      </c>
      <c r="W3331">
        <f>IF($T3331="","",IF($X3331&gt;N($X3330),$X3331,""))</f>
        <v/>
      </c>
      <c r="X3331">
        <f>IF($T3331="",N($X3330),IF(MATCH($T3331,$T$6:$T$6005,0)=ROW()-5,N($X3330)+1,N($X3330)))</f>
        <v/>
      </c>
      <c r="Z3331">
        <f>IF($V3331="","",IF($AA3331&gt;N($AA3330),$AA3331,""))</f>
        <v/>
      </c>
      <c r="AA3331">
        <f>IF($V3331="",N($AA3330),IF(MATCH($V3331,$V$6:$V$6005,0)=ROW()-5,N($AA3330)+1,N($AA3330)))</f>
        <v/>
      </c>
    </row>
    <row r="3332" ht="21" customHeight="1" s="66">
      <c r="A3332" s="56" t="n"/>
      <c r="B3332" s="57" t="n"/>
      <c r="C3332" s="57" t="n"/>
      <c r="D3332" s="57" t="n"/>
      <c r="E3332" s="56" t="n"/>
      <c r="F3332" s="57" t="n"/>
      <c r="G3332" s="57" t="n"/>
      <c r="H3332" s="56" t="n"/>
      <c r="I3332" s="56" t="n"/>
      <c r="J3332" s="58" t="n"/>
      <c r="K3332" s="58" t="n"/>
      <c r="L3332" s="13">
        <f>IF(OR($A3332="",AND($J3332="",$K3332="")),"",ROUND(N($J3332)-N($K3332),2))</f>
        <v/>
      </c>
      <c r="M3332" s="13">
        <f>IF(OR($A3332="",AND($J3332="",$K3332="")),"",MIN($J3332,$K3332))</f>
        <v/>
      </c>
      <c r="Q3332">
        <f>IF($A3332="","",$D3332&amp;"("&amp;SUBSTITUTE($E3332," ","")&amp;")")</f>
        <v/>
      </c>
      <c r="R3332">
        <f>IF($A3332="","",$B3332&amp;" - "&amp;$C3332)</f>
        <v/>
      </c>
      <c r="S3332">
        <f>IF($A3332="","",$R3332&amp;"|"&amp;$Q3332)</f>
        <v/>
      </c>
      <c r="T3332">
        <f>IF($A3332="","",$S3332&amp;"|"&amp;$F3332)</f>
        <v/>
      </c>
      <c r="U3332">
        <f>IF($A3332="","",$R3332&amp;"("&amp;$E3332&amp;")")</f>
        <v/>
      </c>
      <c r="V3332">
        <f>IF($A3332="","",$F3332&amp;"|"&amp;$U3332&amp;"|"&amp;$D3332)</f>
        <v/>
      </c>
      <c r="W3332">
        <f>IF($T3332="","",IF($X3332&gt;N($X3331),$X3332,""))</f>
        <v/>
      </c>
      <c r="X3332">
        <f>IF($T3332="",N($X3331),IF(MATCH($T3332,$T$6:$T$6005,0)=ROW()-5,N($X3331)+1,N($X3331)))</f>
        <v/>
      </c>
      <c r="Z3332">
        <f>IF($V3332="","",IF($AA3332&gt;N($AA3331),$AA3332,""))</f>
        <v/>
      </c>
      <c r="AA3332">
        <f>IF($V3332="",N($AA3331),IF(MATCH($V3332,$V$6:$V$6005,0)=ROW()-5,N($AA3331)+1,N($AA3331)))</f>
        <v/>
      </c>
    </row>
    <row r="3333" ht="21" customHeight="1" s="66">
      <c r="A3333" s="56" t="n"/>
      <c r="B3333" s="57" t="n"/>
      <c r="C3333" s="57" t="n"/>
      <c r="D3333" s="57" t="n"/>
      <c r="E3333" s="56" t="n"/>
      <c r="F3333" s="57" t="n"/>
      <c r="G3333" s="57" t="n"/>
      <c r="H3333" s="56" t="n"/>
      <c r="I3333" s="56" t="n"/>
      <c r="J3333" s="58" t="n"/>
      <c r="K3333" s="58" t="n"/>
      <c r="L3333" s="13">
        <f>IF(OR($A3333="",AND($J3333="",$K3333="")),"",ROUND(N($J3333)-N($K3333),2))</f>
        <v/>
      </c>
      <c r="M3333" s="13">
        <f>IF(OR($A3333="",AND($J3333="",$K3333="")),"",MIN($J3333,$K3333))</f>
        <v/>
      </c>
      <c r="Q3333">
        <f>IF($A3333="","",$D3333&amp;"("&amp;SUBSTITUTE($E3333," ","")&amp;")")</f>
        <v/>
      </c>
      <c r="R3333">
        <f>IF($A3333="","",$B3333&amp;" - "&amp;$C3333)</f>
        <v/>
      </c>
      <c r="S3333">
        <f>IF($A3333="","",$R3333&amp;"|"&amp;$Q3333)</f>
        <v/>
      </c>
      <c r="T3333">
        <f>IF($A3333="","",$S3333&amp;"|"&amp;$F3333)</f>
        <v/>
      </c>
      <c r="U3333">
        <f>IF($A3333="","",$R3333&amp;"("&amp;$E3333&amp;")")</f>
        <v/>
      </c>
      <c r="V3333">
        <f>IF($A3333="","",$F3333&amp;"|"&amp;$U3333&amp;"|"&amp;$D3333)</f>
        <v/>
      </c>
      <c r="W3333">
        <f>IF($T3333="","",IF($X3333&gt;N($X3332),$X3333,""))</f>
        <v/>
      </c>
      <c r="X3333">
        <f>IF($T3333="",N($X3332),IF(MATCH($T3333,$T$6:$T$6005,0)=ROW()-5,N($X3332)+1,N($X3332)))</f>
        <v/>
      </c>
      <c r="Z3333">
        <f>IF($V3333="","",IF($AA3333&gt;N($AA3332),$AA3333,""))</f>
        <v/>
      </c>
      <c r="AA3333">
        <f>IF($V3333="",N($AA3332),IF(MATCH($V3333,$V$6:$V$6005,0)=ROW()-5,N($AA3332)+1,N($AA3332)))</f>
        <v/>
      </c>
    </row>
    <row r="3334" ht="21" customHeight="1" s="66">
      <c r="A3334" s="56" t="n"/>
      <c r="B3334" s="57" t="n"/>
      <c r="C3334" s="57" t="n"/>
      <c r="D3334" s="57" t="n"/>
      <c r="E3334" s="56" t="n"/>
      <c r="F3334" s="57" t="n"/>
      <c r="G3334" s="57" t="n"/>
      <c r="H3334" s="56" t="n"/>
      <c r="I3334" s="56" t="n"/>
      <c r="J3334" s="58" t="n"/>
      <c r="K3334" s="58" t="n"/>
      <c r="L3334" s="13">
        <f>IF(OR($A3334="",AND($J3334="",$K3334="")),"",ROUND(N($J3334)-N($K3334),2))</f>
        <v/>
      </c>
      <c r="M3334" s="13">
        <f>IF(OR($A3334="",AND($J3334="",$K3334="")),"",MIN($J3334,$K3334))</f>
        <v/>
      </c>
      <c r="Q3334">
        <f>IF($A3334="","",$D3334&amp;"("&amp;SUBSTITUTE($E3334," ","")&amp;")")</f>
        <v/>
      </c>
      <c r="R3334">
        <f>IF($A3334="","",$B3334&amp;" - "&amp;$C3334)</f>
        <v/>
      </c>
      <c r="S3334">
        <f>IF($A3334="","",$R3334&amp;"|"&amp;$Q3334)</f>
        <v/>
      </c>
      <c r="T3334">
        <f>IF($A3334="","",$S3334&amp;"|"&amp;$F3334)</f>
        <v/>
      </c>
      <c r="U3334">
        <f>IF($A3334="","",$R3334&amp;"("&amp;$E3334&amp;")")</f>
        <v/>
      </c>
      <c r="V3334">
        <f>IF($A3334="","",$F3334&amp;"|"&amp;$U3334&amp;"|"&amp;$D3334)</f>
        <v/>
      </c>
      <c r="W3334">
        <f>IF($T3334="","",IF($X3334&gt;N($X3333),$X3334,""))</f>
        <v/>
      </c>
      <c r="X3334">
        <f>IF($T3334="",N($X3333),IF(MATCH($T3334,$T$6:$T$6005,0)=ROW()-5,N($X3333)+1,N($X3333)))</f>
        <v/>
      </c>
      <c r="Z3334">
        <f>IF($V3334="","",IF($AA3334&gt;N($AA3333),$AA3334,""))</f>
        <v/>
      </c>
      <c r="AA3334">
        <f>IF($V3334="",N($AA3333),IF(MATCH($V3334,$V$6:$V$6005,0)=ROW()-5,N($AA3333)+1,N($AA3333)))</f>
        <v/>
      </c>
    </row>
    <row r="3335" ht="21" customHeight="1" s="66">
      <c r="A3335" s="56" t="n"/>
      <c r="B3335" s="57" t="n"/>
      <c r="C3335" s="57" t="n"/>
      <c r="D3335" s="57" t="n"/>
      <c r="E3335" s="56" t="n"/>
      <c r="F3335" s="57" t="n"/>
      <c r="G3335" s="57" t="n"/>
      <c r="H3335" s="56" t="n"/>
      <c r="I3335" s="56" t="n"/>
      <c r="J3335" s="58" t="n"/>
      <c r="K3335" s="58" t="n"/>
      <c r="L3335" s="13">
        <f>IF(OR($A3335="",AND($J3335="",$K3335="")),"",ROUND(N($J3335)-N($K3335),2))</f>
        <v/>
      </c>
      <c r="M3335" s="13">
        <f>IF(OR($A3335="",AND($J3335="",$K3335="")),"",MIN($J3335,$K3335))</f>
        <v/>
      </c>
      <c r="Q3335">
        <f>IF($A3335="","",$D3335&amp;"("&amp;SUBSTITUTE($E3335," ","")&amp;")")</f>
        <v/>
      </c>
      <c r="R3335">
        <f>IF($A3335="","",$B3335&amp;" - "&amp;$C3335)</f>
        <v/>
      </c>
      <c r="S3335">
        <f>IF($A3335="","",$R3335&amp;"|"&amp;$Q3335)</f>
        <v/>
      </c>
      <c r="T3335">
        <f>IF($A3335="","",$S3335&amp;"|"&amp;$F3335)</f>
        <v/>
      </c>
      <c r="U3335">
        <f>IF($A3335="","",$R3335&amp;"("&amp;$E3335&amp;")")</f>
        <v/>
      </c>
      <c r="V3335">
        <f>IF($A3335="","",$F3335&amp;"|"&amp;$U3335&amp;"|"&amp;$D3335)</f>
        <v/>
      </c>
      <c r="W3335">
        <f>IF($T3335="","",IF($X3335&gt;N($X3334),$X3335,""))</f>
        <v/>
      </c>
      <c r="X3335">
        <f>IF($T3335="",N($X3334),IF(MATCH($T3335,$T$6:$T$6005,0)=ROW()-5,N($X3334)+1,N($X3334)))</f>
        <v/>
      </c>
      <c r="Z3335">
        <f>IF($V3335="","",IF($AA3335&gt;N($AA3334),$AA3335,""))</f>
        <v/>
      </c>
      <c r="AA3335">
        <f>IF($V3335="",N($AA3334),IF(MATCH($V3335,$V$6:$V$6005,0)=ROW()-5,N($AA3334)+1,N($AA3334)))</f>
        <v/>
      </c>
    </row>
    <row r="3336" ht="21" customHeight="1" s="66">
      <c r="A3336" s="56" t="n"/>
      <c r="B3336" s="57" t="n"/>
      <c r="C3336" s="57" t="n"/>
      <c r="D3336" s="57" t="n"/>
      <c r="E3336" s="56" t="n"/>
      <c r="F3336" s="57" t="n"/>
      <c r="G3336" s="57" t="n"/>
      <c r="H3336" s="56" t="n"/>
      <c r="I3336" s="56" t="n"/>
      <c r="J3336" s="58" t="n"/>
      <c r="K3336" s="58" t="n"/>
      <c r="L3336" s="13">
        <f>IF(OR($A3336="",AND($J3336="",$K3336="")),"",ROUND(N($J3336)-N($K3336),2))</f>
        <v/>
      </c>
      <c r="M3336" s="13">
        <f>IF(OR($A3336="",AND($J3336="",$K3336="")),"",MIN($J3336,$K3336))</f>
        <v/>
      </c>
      <c r="Q3336">
        <f>IF($A3336="","",$D3336&amp;"("&amp;SUBSTITUTE($E3336," ","")&amp;")")</f>
        <v/>
      </c>
      <c r="R3336">
        <f>IF($A3336="","",$B3336&amp;" - "&amp;$C3336)</f>
        <v/>
      </c>
      <c r="S3336">
        <f>IF($A3336="","",$R3336&amp;"|"&amp;$Q3336)</f>
        <v/>
      </c>
      <c r="T3336">
        <f>IF($A3336="","",$S3336&amp;"|"&amp;$F3336)</f>
        <v/>
      </c>
      <c r="U3336">
        <f>IF($A3336="","",$R3336&amp;"("&amp;$E3336&amp;")")</f>
        <v/>
      </c>
      <c r="V3336">
        <f>IF($A3336="","",$F3336&amp;"|"&amp;$U3336&amp;"|"&amp;$D3336)</f>
        <v/>
      </c>
      <c r="W3336">
        <f>IF($T3336="","",IF($X3336&gt;N($X3335),$X3336,""))</f>
        <v/>
      </c>
      <c r="X3336">
        <f>IF($T3336="",N($X3335),IF(MATCH($T3336,$T$6:$T$6005,0)=ROW()-5,N($X3335)+1,N($X3335)))</f>
        <v/>
      </c>
      <c r="Z3336">
        <f>IF($V3336="","",IF($AA3336&gt;N($AA3335),$AA3336,""))</f>
        <v/>
      </c>
      <c r="AA3336">
        <f>IF($V3336="",N($AA3335),IF(MATCH($V3336,$V$6:$V$6005,0)=ROW()-5,N($AA3335)+1,N($AA3335)))</f>
        <v/>
      </c>
    </row>
    <row r="3337" ht="21" customHeight="1" s="66">
      <c r="A3337" s="56" t="n"/>
      <c r="B3337" s="57" t="n"/>
      <c r="C3337" s="57" t="n"/>
      <c r="D3337" s="57" t="n"/>
      <c r="E3337" s="56" t="n"/>
      <c r="F3337" s="57" t="n"/>
      <c r="G3337" s="57" t="n"/>
      <c r="H3337" s="56" t="n"/>
      <c r="I3337" s="56" t="n"/>
      <c r="J3337" s="58" t="n"/>
      <c r="K3337" s="58" t="n"/>
      <c r="L3337" s="13">
        <f>IF(OR($A3337="",AND($J3337="",$K3337="")),"",ROUND(N($J3337)-N($K3337),2))</f>
        <v/>
      </c>
      <c r="M3337" s="13">
        <f>IF(OR($A3337="",AND($J3337="",$K3337="")),"",MIN($J3337,$K3337))</f>
        <v/>
      </c>
      <c r="Q3337">
        <f>IF($A3337="","",$D3337&amp;"("&amp;SUBSTITUTE($E3337," ","")&amp;")")</f>
        <v/>
      </c>
      <c r="R3337">
        <f>IF($A3337="","",$B3337&amp;" - "&amp;$C3337)</f>
        <v/>
      </c>
      <c r="S3337">
        <f>IF($A3337="","",$R3337&amp;"|"&amp;$Q3337)</f>
        <v/>
      </c>
      <c r="T3337">
        <f>IF($A3337="","",$S3337&amp;"|"&amp;$F3337)</f>
        <v/>
      </c>
      <c r="U3337">
        <f>IF($A3337="","",$R3337&amp;"("&amp;$E3337&amp;")")</f>
        <v/>
      </c>
      <c r="V3337">
        <f>IF($A3337="","",$F3337&amp;"|"&amp;$U3337&amp;"|"&amp;$D3337)</f>
        <v/>
      </c>
      <c r="W3337">
        <f>IF($T3337="","",IF($X3337&gt;N($X3336),$X3337,""))</f>
        <v/>
      </c>
      <c r="X3337">
        <f>IF($T3337="",N($X3336),IF(MATCH($T3337,$T$6:$T$6005,0)=ROW()-5,N($X3336)+1,N($X3336)))</f>
        <v/>
      </c>
      <c r="Z3337">
        <f>IF($V3337="","",IF($AA3337&gt;N($AA3336),$AA3337,""))</f>
        <v/>
      </c>
      <c r="AA3337">
        <f>IF($V3337="",N($AA3336),IF(MATCH($V3337,$V$6:$V$6005,0)=ROW()-5,N($AA3336)+1,N($AA3336)))</f>
        <v/>
      </c>
    </row>
    <row r="3338" ht="21" customHeight="1" s="66">
      <c r="A3338" s="56" t="n"/>
      <c r="B3338" s="57" t="n"/>
      <c r="C3338" s="57" t="n"/>
      <c r="D3338" s="57" t="n"/>
      <c r="E3338" s="56" t="n"/>
      <c r="F3338" s="57" t="n"/>
      <c r="G3338" s="57" t="n"/>
      <c r="H3338" s="56" t="n"/>
      <c r="I3338" s="56" t="n"/>
      <c r="J3338" s="58" t="n"/>
      <c r="K3338" s="58" t="n"/>
      <c r="L3338" s="13">
        <f>IF(OR($A3338="",AND($J3338="",$K3338="")),"",ROUND(N($J3338)-N($K3338),2))</f>
        <v/>
      </c>
      <c r="M3338" s="13">
        <f>IF(OR($A3338="",AND($J3338="",$K3338="")),"",MIN($J3338,$K3338))</f>
        <v/>
      </c>
      <c r="Q3338">
        <f>IF($A3338="","",$D3338&amp;"("&amp;SUBSTITUTE($E3338," ","")&amp;")")</f>
        <v/>
      </c>
      <c r="R3338">
        <f>IF($A3338="","",$B3338&amp;" - "&amp;$C3338)</f>
        <v/>
      </c>
      <c r="S3338">
        <f>IF($A3338="","",$R3338&amp;"|"&amp;$Q3338)</f>
        <v/>
      </c>
      <c r="T3338">
        <f>IF($A3338="","",$S3338&amp;"|"&amp;$F3338)</f>
        <v/>
      </c>
      <c r="U3338">
        <f>IF($A3338="","",$R3338&amp;"("&amp;$E3338&amp;")")</f>
        <v/>
      </c>
      <c r="V3338">
        <f>IF($A3338="","",$F3338&amp;"|"&amp;$U3338&amp;"|"&amp;$D3338)</f>
        <v/>
      </c>
      <c r="W3338">
        <f>IF($T3338="","",IF($X3338&gt;N($X3337),$X3338,""))</f>
        <v/>
      </c>
      <c r="X3338">
        <f>IF($T3338="",N($X3337),IF(MATCH($T3338,$T$6:$T$6005,0)=ROW()-5,N($X3337)+1,N($X3337)))</f>
        <v/>
      </c>
      <c r="Z3338">
        <f>IF($V3338="","",IF($AA3338&gt;N($AA3337),$AA3338,""))</f>
        <v/>
      </c>
      <c r="AA3338">
        <f>IF($V3338="",N($AA3337),IF(MATCH($V3338,$V$6:$V$6005,0)=ROW()-5,N($AA3337)+1,N($AA3337)))</f>
        <v/>
      </c>
    </row>
    <row r="3339" ht="21" customHeight="1" s="66">
      <c r="A3339" s="56" t="n"/>
      <c r="B3339" s="57" t="n"/>
      <c r="C3339" s="57" t="n"/>
      <c r="D3339" s="57" t="n"/>
      <c r="E3339" s="56" t="n"/>
      <c r="F3339" s="57" t="n"/>
      <c r="G3339" s="57" t="n"/>
      <c r="H3339" s="56" t="n"/>
      <c r="I3339" s="56" t="n"/>
      <c r="J3339" s="58" t="n"/>
      <c r="K3339" s="58" t="n"/>
      <c r="L3339" s="13">
        <f>IF(OR($A3339="",AND($J3339="",$K3339="")),"",ROUND(N($J3339)-N($K3339),2))</f>
        <v/>
      </c>
      <c r="M3339" s="13">
        <f>IF(OR($A3339="",AND($J3339="",$K3339="")),"",MIN($J3339,$K3339))</f>
        <v/>
      </c>
      <c r="Q3339">
        <f>IF($A3339="","",$D3339&amp;"("&amp;SUBSTITUTE($E3339," ","")&amp;")")</f>
        <v/>
      </c>
      <c r="R3339">
        <f>IF($A3339="","",$B3339&amp;" - "&amp;$C3339)</f>
        <v/>
      </c>
      <c r="S3339">
        <f>IF($A3339="","",$R3339&amp;"|"&amp;$Q3339)</f>
        <v/>
      </c>
      <c r="T3339">
        <f>IF($A3339="","",$S3339&amp;"|"&amp;$F3339)</f>
        <v/>
      </c>
      <c r="U3339">
        <f>IF($A3339="","",$R3339&amp;"("&amp;$E3339&amp;")")</f>
        <v/>
      </c>
      <c r="V3339">
        <f>IF($A3339="","",$F3339&amp;"|"&amp;$U3339&amp;"|"&amp;$D3339)</f>
        <v/>
      </c>
      <c r="W3339">
        <f>IF($T3339="","",IF($X3339&gt;N($X3338),$X3339,""))</f>
        <v/>
      </c>
      <c r="X3339">
        <f>IF($T3339="",N($X3338),IF(MATCH($T3339,$T$6:$T$6005,0)=ROW()-5,N($X3338)+1,N($X3338)))</f>
        <v/>
      </c>
      <c r="Z3339">
        <f>IF($V3339="","",IF($AA3339&gt;N($AA3338),$AA3339,""))</f>
        <v/>
      </c>
      <c r="AA3339">
        <f>IF($V3339="",N($AA3338),IF(MATCH($V3339,$V$6:$V$6005,0)=ROW()-5,N($AA3338)+1,N($AA3338)))</f>
        <v/>
      </c>
    </row>
    <row r="3340" ht="21" customHeight="1" s="66">
      <c r="A3340" s="56" t="n"/>
      <c r="B3340" s="57" t="n"/>
      <c r="C3340" s="57" t="n"/>
      <c r="D3340" s="57" t="n"/>
      <c r="E3340" s="56" t="n"/>
      <c r="F3340" s="57" t="n"/>
      <c r="G3340" s="57" t="n"/>
      <c r="H3340" s="56" t="n"/>
      <c r="I3340" s="56" t="n"/>
      <c r="J3340" s="58" t="n"/>
      <c r="K3340" s="58" t="n"/>
      <c r="L3340" s="13">
        <f>IF(OR($A3340="",AND($J3340="",$K3340="")),"",ROUND(N($J3340)-N($K3340),2))</f>
        <v/>
      </c>
      <c r="M3340" s="13">
        <f>IF(OR($A3340="",AND($J3340="",$K3340="")),"",MIN($J3340,$K3340))</f>
        <v/>
      </c>
      <c r="Q3340">
        <f>IF($A3340="","",$D3340&amp;"("&amp;SUBSTITUTE($E3340," ","")&amp;")")</f>
        <v/>
      </c>
      <c r="R3340">
        <f>IF($A3340="","",$B3340&amp;" - "&amp;$C3340)</f>
        <v/>
      </c>
      <c r="S3340">
        <f>IF($A3340="","",$R3340&amp;"|"&amp;$Q3340)</f>
        <v/>
      </c>
      <c r="T3340">
        <f>IF($A3340="","",$S3340&amp;"|"&amp;$F3340)</f>
        <v/>
      </c>
      <c r="U3340">
        <f>IF($A3340="","",$R3340&amp;"("&amp;$E3340&amp;")")</f>
        <v/>
      </c>
      <c r="V3340">
        <f>IF($A3340="","",$F3340&amp;"|"&amp;$U3340&amp;"|"&amp;$D3340)</f>
        <v/>
      </c>
      <c r="W3340">
        <f>IF($T3340="","",IF($X3340&gt;N($X3339),$X3340,""))</f>
        <v/>
      </c>
      <c r="X3340">
        <f>IF($T3340="",N($X3339),IF(MATCH($T3340,$T$6:$T$6005,0)=ROW()-5,N($X3339)+1,N($X3339)))</f>
        <v/>
      </c>
      <c r="Z3340">
        <f>IF($V3340="","",IF($AA3340&gt;N($AA3339),$AA3340,""))</f>
        <v/>
      </c>
      <c r="AA3340">
        <f>IF($V3340="",N($AA3339),IF(MATCH($V3340,$V$6:$V$6005,0)=ROW()-5,N($AA3339)+1,N($AA3339)))</f>
        <v/>
      </c>
    </row>
    <row r="3341" ht="21" customHeight="1" s="66">
      <c r="A3341" s="56" t="n"/>
      <c r="B3341" s="57" t="n"/>
      <c r="C3341" s="57" t="n"/>
      <c r="D3341" s="57" t="n"/>
      <c r="E3341" s="56" t="n"/>
      <c r="F3341" s="57" t="n"/>
      <c r="G3341" s="57" t="n"/>
      <c r="H3341" s="56" t="n"/>
      <c r="I3341" s="56" t="n"/>
      <c r="J3341" s="58" t="n"/>
      <c r="K3341" s="58" t="n"/>
      <c r="L3341" s="13">
        <f>IF(OR($A3341="",AND($J3341="",$K3341="")),"",ROUND(N($J3341)-N($K3341),2))</f>
        <v/>
      </c>
      <c r="M3341" s="13">
        <f>IF(OR($A3341="",AND($J3341="",$K3341="")),"",MIN($J3341,$K3341))</f>
        <v/>
      </c>
      <c r="Q3341">
        <f>IF($A3341="","",$D3341&amp;"("&amp;SUBSTITUTE($E3341," ","")&amp;")")</f>
        <v/>
      </c>
      <c r="R3341">
        <f>IF($A3341="","",$B3341&amp;" - "&amp;$C3341)</f>
        <v/>
      </c>
      <c r="S3341">
        <f>IF($A3341="","",$R3341&amp;"|"&amp;$Q3341)</f>
        <v/>
      </c>
      <c r="T3341">
        <f>IF($A3341="","",$S3341&amp;"|"&amp;$F3341)</f>
        <v/>
      </c>
      <c r="U3341">
        <f>IF($A3341="","",$R3341&amp;"("&amp;$E3341&amp;")")</f>
        <v/>
      </c>
      <c r="V3341">
        <f>IF($A3341="","",$F3341&amp;"|"&amp;$U3341&amp;"|"&amp;$D3341)</f>
        <v/>
      </c>
      <c r="W3341">
        <f>IF($T3341="","",IF($X3341&gt;N($X3340),$X3341,""))</f>
        <v/>
      </c>
      <c r="X3341">
        <f>IF($T3341="",N($X3340),IF(MATCH($T3341,$T$6:$T$6005,0)=ROW()-5,N($X3340)+1,N($X3340)))</f>
        <v/>
      </c>
      <c r="Z3341">
        <f>IF($V3341="","",IF($AA3341&gt;N($AA3340),$AA3341,""))</f>
        <v/>
      </c>
      <c r="AA3341">
        <f>IF($V3341="",N($AA3340),IF(MATCH($V3341,$V$6:$V$6005,0)=ROW()-5,N($AA3340)+1,N($AA3340)))</f>
        <v/>
      </c>
    </row>
    <row r="3342" ht="21" customHeight="1" s="66">
      <c r="A3342" s="56" t="n"/>
      <c r="B3342" s="57" t="n"/>
      <c r="C3342" s="57" t="n"/>
      <c r="D3342" s="57" t="n"/>
      <c r="E3342" s="56" t="n"/>
      <c r="F3342" s="57" t="n"/>
      <c r="G3342" s="57" t="n"/>
      <c r="H3342" s="56" t="n"/>
      <c r="I3342" s="56" t="n"/>
      <c r="J3342" s="58" t="n"/>
      <c r="K3342" s="58" t="n"/>
      <c r="L3342" s="13">
        <f>IF(OR($A3342="",AND($J3342="",$K3342="")),"",ROUND(N($J3342)-N($K3342),2))</f>
        <v/>
      </c>
      <c r="M3342" s="13">
        <f>IF(OR($A3342="",AND($J3342="",$K3342="")),"",MIN($J3342,$K3342))</f>
        <v/>
      </c>
      <c r="Q3342">
        <f>IF($A3342="","",$D3342&amp;"("&amp;SUBSTITUTE($E3342," ","")&amp;")")</f>
        <v/>
      </c>
      <c r="R3342">
        <f>IF($A3342="","",$B3342&amp;" - "&amp;$C3342)</f>
        <v/>
      </c>
      <c r="S3342">
        <f>IF($A3342="","",$R3342&amp;"|"&amp;$Q3342)</f>
        <v/>
      </c>
      <c r="T3342">
        <f>IF($A3342="","",$S3342&amp;"|"&amp;$F3342)</f>
        <v/>
      </c>
      <c r="U3342">
        <f>IF($A3342="","",$R3342&amp;"("&amp;$E3342&amp;")")</f>
        <v/>
      </c>
      <c r="V3342">
        <f>IF($A3342="","",$F3342&amp;"|"&amp;$U3342&amp;"|"&amp;$D3342)</f>
        <v/>
      </c>
      <c r="W3342">
        <f>IF($T3342="","",IF($X3342&gt;N($X3341),$X3342,""))</f>
        <v/>
      </c>
      <c r="X3342">
        <f>IF($T3342="",N($X3341),IF(MATCH($T3342,$T$6:$T$6005,0)=ROW()-5,N($X3341)+1,N($X3341)))</f>
        <v/>
      </c>
      <c r="Z3342">
        <f>IF($V3342="","",IF($AA3342&gt;N($AA3341),$AA3342,""))</f>
        <v/>
      </c>
      <c r="AA3342">
        <f>IF($V3342="",N($AA3341),IF(MATCH($V3342,$V$6:$V$6005,0)=ROW()-5,N($AA3341)+1,N($AA3341)))</f>
        <v/>
      </c>
    </row>
    <row r="3343" ht="21" customHeight="1" s="66">
      <c r="A3343" s="56" t="n"/>
      <c r="B3343" s="57" t="n"/>
      <c r="C3343" s="57" t="n"/>
      <c r="D3343" s="57" t="n"/>
      <c r="E3343" s="56" t="n"/>
      <c r="F3343" s="57" t="n"/>
      <c r="G3343" s="57" t="n"/>
      <c r="H3343" s="56" t="n"/>
      <c r="I3343" s="56" t="n"/>
      <c r="J3343" s="58" t="n"/>
      <c r="K3343" s="58" t="n"/>
      <c r="L3343" s="13">
        <f>IF(OR($A3343="",AND($J3343="",$K3343="")),"",ROUND(N($J3343)-N($K3343),2))</f>
        <v/>
      </c>
      <c r="M3343" s="13">
        <f>IF(OR($A3343="",AND($J3343="",$K3343="")),"",MIN($J3343,$K3343))</f>
        <v/>
      </c>
      <c r="Q3343">
        <f>IF($A3343="","",$D3343&amp;"("&amp;SUBSTITUTE($E3343," ","")&amp;")")</f>
        <v/>
      </c>
      <c r="R3343">
        <f>IF($A3343="","",$B3343&amp;" - "&amp;$C3343)</f>
        <v/>
      </c>
      <c r="S3343">
        <f>IF($A3343="","",$R3343&amp;"|"&amp;$Q3343)</f>
        <v/>
      </c>
      <c r="T3343">
        <f>IF($A3343="","",$S3343&amp;"|"&amp;$F3343)</f>
        <v/>
      </c>
      <c r="U3343">
        <f>IF($A3343="","",$R3343&amp;"("&amp;$E3343&amp;")")</f>
        <v/>
      </c>
      <c r="V3343">
        <f>IF($A3343="","",$F3343&amp;"|"&amp;$U3343&amp;"|"&amp;$D3343)</f>
        <v/>
      </c>
      <c r="W3343">
        <f>IF($T3343="","",IF($X3343&gt;N($X3342),$X3343,""))</f>
        <v/>
      </c>
      <c r="X3343">
        <f>IF($T3343="",N($X3342),IF(MATCH($T3343,$T$6:$T$6005,0)=ROW()-5,N($X3342)+1,N($X3342)))</f>
        <v/>
      </c>
      <c r="Z3343">
        <f>IF($V3343="","",IF($AA3343&gt;N($AA3342),$AA3343,""))</f>
        <v/>
      </c>
      <c r="AA3343">
        <f>IF($V3343="",N($AA3342),IF(MATCH($V3343,$V$6:$V$6005,0)=ROW()-5,N($AA3342)+1,N($AA3342)))</f>
        <v/>
      </c>
    </row>
    <row r="3344" ht="21" customHeight="1" s="66">
      <c r="A3344" s="56" t="n"/>
      <c r="B3344" s="57" t="n"/>
      <c r="C3344" s="57" t="n"/>
      <c r="D3344" s="57" t="n"/>
      <c r="E3344" s="56" t="n"/>
      <c r="F3344" s="57" t="n"/>
      <c r="G3344" s="57" t="n"/>
      <c r="H3344" s="56" t="n"/>
      <c r="I3344" s="56" t="n"/>
      <c r="J3344" s="58" t="n"/>
      <c r="K3344" s="58" t="n"/>
      <c r="L3344" s="13">
        <f>IF(OR($A3344="",AND($J3344="",$K3344="")),"",ROUND(N($J3344)-N($K3344),2))</f>
        <v/>
      </c>
      <c r="M3344" s="13">
        <f>IF(OR($A3344="",AND($J3344="",$K3344="")),"",MIN($J3344,$K3344))</f>
        <v/>
      </c>
      <c r="Q3344">
        <f>IF($A3344="","",$D3344&amp;"("&amp;SUBSTITUTE($E3344," ","")&amp;")")</f>
        <v/>
      </c>
      <c r="R3344">
        <f>IF($A3344="","",$B3344&amp;" - "&amp;$C3344)</f>
        <v/>
      </c>
      <c r="S3344">
        <f>IF($A3344="","",$R3344&amp;"|"&amp;$Q3344)</f>
        <v/>
      </c>
      <c r="T3344">
        <f>IF($A3344="","",$S3344&amp;"|"&amp;$F3344)</f>
        <v/>
      </c>
      <c r="U3344">
        <f>IF($A3344="","",$R3344&amp;"("&amp;$E3344&amp;")")</f>
        <v/>
      </c>
      <c r="V3344">
        <f>IF($A3344="","",$F3344&amp;"|"&amp;$U3344&amp;"|"&amp;$D3344)</f>
        <v/>
      </c>
      <c r="W3344">
        <f>IF($T3344="","",IF($X3344&gt;N($X3343),$X3344,""))</f>
        <v/>
      </c>
      <c r="X3344">
        <f>IF($T3344="",N($X3343),IF(MATCH($T3344,$T$6:$T$6005,0)=ROW()-5,N($X3343)+1,N($X3343)))</f>
        <v/>
      </c>
      <c r="Z3344">
        <f>IF($V3344="","",IF($AA3344&gt;N($AA3343),$AA3344,""))</f>
        <v/>
      </c>
      <c r="AA3344">
        <f>IF($V3344="",N($AA3343),IF(MATCH($V3344,$V$6:$V$6005,0)=ROW()-5,N($AA3343)+1,N($AA3343)))</f>
        <v/>
      </c>
    </row>
    <row r="3345" ht="21" customHeight="1" s="66">
      <c r="A3345" s="56" t="n"/>
      <c r="B3345" s="57" t="n"/>
      <c r="C3345" s="57" t="n"/>
      <c r="D3345" s="57" t="n"/>
      <c r="E3345" s="56" t="n"/>
      <c r="F3345" s="57" t="n"/>
      <c r="G3345" s="57" t="n"/>
      <c r="H3345" s="56" t="n"/>
      <c r="I3345" s="56" t="n"/>
      <c r="J3345" s="58" t="n"/>
      <c r="K3345" s="58" t="n"/>
      <c r="L3345" s="13">
        <f>IF(OR($A3345="",AND($J3345="",$K3345="")),"",ROUND(N($J3345)-N($K3345),2))</f>
        <v/>
      </c>
      <c r="M3345" s="13">
        <f>IF(OR($A3345="",AND($J3345="",$K3345="")),"",MIN($J3345,$K3345))</f>
        <v/>
      </c>
      <c r="Q3345">
        <f>IF($A3345="","",$D3345&amp;"("&amp;SUBSTITUTE($E3345," ","")&amp;")")</f>
        <v/>
      </c>
      <c r="R3345">
        <f>IF($A3345="","",$B3345&amp;" - "&amp;$C3345)</f>
        <v/>
      </c>
      <c r="S3345">
        <f>IF($A3345="","",$R3345&amp;"|"&amp;$Q3345)</f>
        <v/>
      </c>
      <c r="T3345">
        <f>IF($A3345="","",$S3345&amp;"|"&amp;$F3345)</f>
        <v/>
      </c>
      <c r="U3345">
        <f>IF($A3345="","",$R3345&amp;"("&amp;$E3345&amp;")")</f>
        <v/>
      </c>
      <c r="V3345">
        <f>IF($A3345="","",$F3345&amp;"|"&amp;$U3345&amp;"|"&amp;$D3345)</f>
        <v/>
      </c>
      <c r="W3345">
        <f>IF($T3345="","",IF($X3345&gt;N($X3344),$X3345,""))</f>
        <v/>
      </c>
      <c r="X3345">
        <f>IF($T3345="",N($X3344),IF(MATCH($T3345,$T$6:$T$6005,0)=ROW()-5,N($X3344)+1,N($X3344)))</f>
        <v/>
      </c>
      <c r="Z3345">
        <f>IF($V3345="","",IF($AA3345&gt;N($AA3344),$AA3345,""))</f>
        <v/>
      </c>
      <c r="AA3345">
        <f>IF($V3345="",N($AA3344),IF(MATCH($V3345,$V$6:$V$6005,0)=ROW()-5,N($AA3344)+1,N($AA3344)))</f>
        <v/>
      </c>
    </row>
    <row r="3346" ht="21" customHeight="1" s="66">
      <c r="A3346" s="56" t="n"/>
      <c r="B3346" s="57" t="n"/>
      <c r="C3346" s="57" t="n"/>
      <c r="D3346" s="57" t="n"/>
      <c r="E3346" s="56" t="n"/>
      <c r="F3346" s="57" t="n"/>
      <c r="G3346" s="57" t="n"/>
      <c r="H3346" s="56" t="n"/>
      <c r="I3346" s="56" t="n"/>
      <c r="J3346" s="58" t="n"/>
      <c r="K3346" s="58" t="n"/>
      <c r="L3346" s="13">
        <f>IF(OR($A3346="",AND($J3346="",$K3346="")),"",ROUND(N($J3346)-N($K3346),2))</f>
        <v/>
      </c>
      <c r="M3346" s="13">
        <f>IF(OR($A3346="",AND($J3346="",$K3346="")),"",MIN($J3346,$K3346))</f>
        <v/>
      </c>
      <c r="Q3346">
        <f>IF($A3346="","",$D3346&amp;"("&amp;SUBSTITUTE($E3346," ","")&amp;")")</f>
        <v/>
      </c>
      <c r="R3346">
        <f>IF($A3346="","",$B3346&amp;" - "&amp;$C3346)</f>
        <v/>
      </c>
      <c r="S3346">
        <f>IF($A3346="","",$R3346&amp;"|"&amp;$Q3346)</f>
        <v/>
      </c>
      <c r="T3346">
        <f>IF($A3346="","",$S3346&amp;"|"&amp;$F3346)</f>
        <v/>
      </c>
      <c r="U3346">
        <f>IF($A3346="","",$R3346&amp;"("&amp;$E3346&amp;")")</f>
        <v/>
      </c>
      <c r="V3346">
        <f>IF($A3346="","",$F3346&amp;"|"&amp;$U3346&amp;"|"&amp;$D3346)</f>
        <v/>
      </c>
      <c r="W3346">
        <f>IF($T3346="","",IF($X3346&gt;N($X3345),$X3346,""))</f>
        <v/>
      </c>
      <c r="X3346">
        <f>IF($T3346="",N($X3345),IF(MATCH($T3346,$T$6:$T$6005,0)=ROW()-5,N($X3345)+1,N($X3345)))</f>
        <v/>
      </c>
      <c r="Z3346">
        <f>IF($V3346="","",IF($AA3346&gt;N($AA3345),$AA3346,""))</f>
        <v/>
      </c>
      <c r="AA3346">
        <f>IF($V3346="",N($AA3345),IF(MATCH($V3346,$V$6:$V$6005,0)=ROW()-5,N($AA3345)+1,N($AA3345)))</f>
        <v/>
      </c>
    </row>
    <row r="3347" ht="21" customHeight="1" s="66">
      <c r="A3347" s="56" t="n"/>
      <c r="B3347" s="57" t="n"/>
      <c r="C3347" s="57" t="n"/>
      <c r="D3347" s="57" t="n"/>
      <c r="E3347" s="56" t="n"/>
      <c r="F3347" s="57" t="n"/>
      <c r="G3347" s="57" t="n"/>
      <c r="H3347" s="56" t="n"/>
      <c r="I3347" s="56" t="n"/>
      <c r="J3347" s="58" t="n"/>
      <c r="K3347" s="58" t="n"/>
      <c r="L3347" s="13">
        <f>IF(OR($A3347="",AND($J3347="",$K3347="")),"",ROUND(N($J3347)-N($K3347),2))</f>
        <v/>
      </c>
      <c r="M3347" s="13">
        <f>IF(OR($A3347="",AND($J3347="",$K3347="")),"",MIN($J3347,$K3347))</f>
        <v/>
      </c>
      <c r="Q3347">
        <f>IF($A3347="","",$D3347&amp;"("&amp;SUBSTITUTE($E3347," ","")&amp;")")</f>
        <v/>
      </c>
      <c r="R3347">
        <f>IF($A3347="","",$B3347&amp;" - "&amp;$C3347)</f>
        <v/>
      </c>
      <c r="S3347">
        <f>IF($A3347="","",$R3347&amp;"|"&amp;$Q3347)</f>
        <v/>
      </c>
      <c r="T3347">
        <f>IF($A3347="","",$S3347&amp;"|"&amp;$F3347)</f>
        <v/>
      </c>
      <c r="U3347">
        <f>IF($A3347="","",$R3347&amp;"("&amp;$E3347&amp;")")</f>
        <v/>
      </c>
      <c r="V3347">
        <f>IF($A3347="","",$F3347&amp;"|"&amp;$U3347&amp;"|"&amp;$D3347)</f>
        <v/>
      </c>
      <c r="W3347">
        <f>IF($T3347="","",IF($X3347&gt;N($X3346),$X3347,""))</f>
        <v/>
      </c>
      <c r="X3347">
        <f>IF($T3347="",N($X3346),IF(MATCH($T3347,$T$6:$T$6005,0)=ROW()-5,N($X3346)+1,N($X3346)))</f>
        <v/>
      </c>
      <c r="Z3347">
        <f>IF($V3347="","",IF($AA3347&gt;N($AA3346),$AA3347,""))</f>
        <v/>
      </c>
      <c r="AA3347">
        <f>IF($V3347="",N($AA3346),IF(MATCH($V3347,$V$6:$V$6005,0)=ROW()-5,N($AA3346)+1,N($AA3346)))</f>
        <v/>
      </c>
    </row>
    <row r="3348" ht="21" customHeight="1" s="66">
      <c r="A3348" s="56" t="n"/>
      <c r="B3348" s="57" t="n"/>
      <c r="C3348" s="57" t="n"/>
      <c r="D3348" s="57" t="n"/>
      <c r="E3348" s="56" t="n"/>
      <c r="F3348" s="57" t="n"/>
      <c r="G3348" s="57" t="n"/>
      <c r="H3348" s="56" t="n"/>
      <c r="I3348" s="56" t="n"/>
      <c r="J3348" s="58" t="n"/>
      <c r="K3348" s="58" t="n"/>
      <c r="L3348" s="13">
        <f>IF(OR($A3348="",AND($J3348="",$K3348="")),"",ROUND(N($J3348)-N($K3348),2))</f>
        <v/>
      </c>
      <c r="M3348" s="13">
        <f>IF(OR($A3348="",AND($J3348="",$K3348="")),"",MIN($J3348,$K3348))</f>
        <v/>
      </c>
      <c r="Q3348">
        <f>IF($A3348="","",$D3348&amp;"("&amp;SUBSTITUTE($E3348," ","")&amp;")")</f>
        <v/>
      </c>
      <c r="R3348">
        <f>IF($A3348="","",$B3348&amp;" - "&amp;$C3348)</f>
        <v/>
      </c>
      <c r="S3348">
        <f>IF($A3348="","",$R3348&amp;"|"&amp;$Q3348)</f>
        <v/>
      </c>
      <c r="T3348">
        <f>IF($A3348="","",$S3348&amp;"|"&amp;$F3348)</f>
        <v/>
      </c>
      <c r="U3348">
        <f>IF($A3348="","",$R3348&amp;"("&amp;$E3348&amp;")")</f>
        <v/>
      </c>
      <c r="V3348">
        <f>IF($A3348="","",$F3348&amp;"|"&amp;$U3348&amp;"|"&amp;$D3348)</f>
        <v/>
      </c>
      <c r="W3348">
        <f>IF($T3348="","",IF($X3348&gt;N($X3347),$X3348,""))</f>
        <v/>
      </c>
      <c r="X3348">
        <f>IF($T3348="",N($X3347),IF(MATCH($T3348,$T$6:$T$6005,0)=ROW()-5,N($X3347)+1,N($X3347)))</f>
        <v/>
      </c>
      <c r="Z3348">
        <f>IF($V3348="","",IF($AA3348&gt;N($AA3347),$AA3348,""))</f>
        <v/>
      </c>
      <c r="AA3348">
        <f>IF($V3348="",N($AA3347),IF(MATCH($V3348,$V$6:$V$6005,0)=ROW()-5,N($AA3347)+1,N($AA3347)))</f>
        <v/>
      </c>
    </row>
    <row r="3349" ht="21" customHeight="1" s="66">
      <c r="A3349" s="56" t="n"/>
      <c r="B3349" s="57" t="n"/>
      <c r="C3349" s="57" t="n"/>
      <c r="D3349" s="57" t="n"/>
      <c r="E3349" s="56" t="n"/>
      <c r="F3349" s="57" t="n"/>
      <c r="G3349" s="57" t="n"/>
      <c r="H3349" s="56" t="n"/>
      <c r="I3349" s="56" t="n"/>
      <c r="J3349" s="58" t="n"/>
      <c r="K3349" s="58" t="n"/>
      <c r="L3349" s="13">
        <f>IF(OR($A3349="",AND($J3349="",$K3349="")),"",ROUND(N($J3349)-N($K3349),2))</f>
        <v/>
      </c>
      <c r="M3349" s="13">
        <f>IF(OR($A3349="",AND($J3349="",$K3349="")),"",MIN($J3349,$K3349))</f>
        <v/>
      </c>
      <c r="Q3349">
        <f>IF($A3349="","",$D3349&amp;"("&amp;SUBSTITUTE($E3349," ","")&amp;")")</f>
        <v/>
      </c>
      <c r="R3349">
        <f>IF($A3349="","",$B3349&amp;" - "&amp;$C3349)</f>
        <v/>
      </c>
      <c r="S3349">
        <f>IF($A3349="","",$R3349&amp;"|"&amp;$Q3349)</f>
        <v/>
      </c>
      <c r="T3349">
        <f>IF($A3349="","",$S3349&amp;"|"&amp;$F3349)</f>
        <v/>
      </c>
      <c r="U3349">
        <f>IF($A3349="","",$R3349&amp;"("&amp;$E3349&amp;")")</f>
        <v/>
      </c>
      <c r="V3349">
        <f>IF($A3349="","",$F3349&amp;"|"&amp;$U3349&amp;"|"&amp;$D3349)</f>
        <v/>
      </c>
      <c r="W3349">
        <f>IF($T3349="","",IF($X3349&gt;N($X3348),$X3349,""))</f>
        <v/>
      </c>
      <c r="X3349">
        <f>IF($T3349="",N($X3348),IF(MATCH($T3349,$T$6:$T$6005,0)=ROW()-5,N($X3348)+1,N($X3348)))</f>
        <v/>
      </c>
      <c r="Z3349">
        <f>IF($V3349="","",IF($AA3349&gt;N($AA3348),$AA3349,""))</f>
        <v/>
      </c>
      <c r="AA3349">
        <f>IF($V3349="",N($AA3348),IF(MATCH($V3349,$V$6:$V$6005,0)=ROW()-5,N($AA3348)+1,N($AA3348)))</f>
        <v/>
      </c>
    </row>
    <row r="3350" ht="21" customHeight="1" s="66">
      <c r="A3350" s="56" t="n"/>
      <c r="B3350" s="57" t="n"/>
      <c r="C3350" s="57" t="n"/>
      <c r="D3350" s="57" t="n"/>
      <c r="E3350" s="56" t="n"/>
      <c r="F3350" s="57" t="n"/>
      <c r="G3350" s="57" t="n"/>
      <c r="H3350" s="56" t="n"/>
      <c r="I3350" s="56" t="n"/>
      <c r="J3350" s="58" t="n"/>
      <c r="K3350" s="58" t="n"/>
      <c r="L3350" s="13">
        <f>IF(OR($A3350="",AND($J3350="",$K3350="")),"",ROUND(N($J3350)-N($K3350),2))</f>
        <v/>
      </c>
      <c r="M3350" s="13">
        <f>IF(OR($A3350="",AND($J3350="",$K3350="")),"",MIN($J3350,$K3350))</f>
        <v/>
      </c>
      <c r="Q3350">
        <f>IF($A3350="","",$D3350&amp;"("&amp;SUBSTITUTE($E3350," ","")&amp;")")</f>
        <v/>
      </c>
      <c r="R3350">
        <f>IF($A3350="","",$B3350&amp;" - "&amp;$C3350)</f>
        <v/>
      </c>
      <c r="S3350">
        <f>IF($A3350="","",$R3350&amp;"|"&amp;$Q3350)</f>
        <v/>
      </c>
      <c r="T3350">
        <f>IF($A3350="","",$S3350&amp;"|"&amp;$F3350)</f>
        <v/>
      </c>
      <c r="U3350">
        <f>IF($A3350="","",$R3350&amp;"("&amp;$E3350&amp;")")</f>
        <v/>
      </c>
      <c r="V3350">
        <f>IF($A3350="","",$F3350&amp;"|"&amp;$U3350&amp;"|"&amp;$D3350)</f>
        <v/>
      </c>
      <c r="W3350">
        <f>IF($T3350="","",IF($X3350&gt;N($X3349),$X3350,""))</f>
        <v/>
      </c>
      <c r="X3350">
        <f>IF($T3350="",N($X3349),IF(MATCH($T3350,$T$6:$T$6005,0)=ROW()-5,N($X3349)+1,N($X3349)))</f>
        <v/>
      </c>
      <c r="Z3350">
        <f>IF($V3350="","",IF($AA3350&gt;N($AA3349),$AA3350,""))</f>
        <v/>
      </c>
      <c r="AA3350">
        <f>IF($V3350="",N($AA3349),IF(MATCH($V3350,$V$6:$V$6005,0)=ROW()-5,N($AA3349)+1,N($AA3349)))</f>
        <v/>
      </c>
    </row>
    <row r="3351" ht="21" customHeight="1" s="66">
      <c r="A3351" s="56" t="n"/>
      <c r="B3351" s="57" t="n"/>
      <c r="C3351" s="57" t="n"/>
      <c r="D3351" s="57" t="n"/>
      <c r="E3351" s="56" t="n"/>
      <c r="F3351" s="57" t="n"/>
      <c r="G3351" s="57" t="n"/>
      <c r="H3351" s="56" t="n"/>
      <c r="I3351" s="56" t="n"/>
      <c r="J3351" s="58" t="n"/>
      <c r="K3351" s="58" t="n"/>
      <c r="L3351" s="13">
        <f>IF(OR($A3351="",AND($J3351="",$K3351="")),"",ROUND(N($J3351)-N($K3351),2))</f>
        <v/>
      </c>
      <c r="M3351" s="13">
        <f>IF(OR($A3351="",AND($J3351="",$K3351="")),"",MIN($J3351,$K3351))</f>
        <v/>
      </c>
      <c r="Q3351">
        <f>IF($A3351="","",$D3351&amp;"("&amp;SUBSTITUTE($E3351," ","")&amp;")")</f>
        <v/>
      </c>
      <c r="R3351">
        <f>IF($A3351="","",$B3351&amp;" - "&amp;$C3351)</f>
        <v/>
      </c>
      <c r="S3351">
        <f>IF($A3351="","",$R3351&amp;"|"&amp;$Q3351)</f>
        <v/>
      </c>
      <c r="T3351">
        <f>IF($A3351="","",$S3351&amp;"|"&amp;$F3351)</f>
        <v/>
      </c>
      <c r="U3351">
        <f>IF($A3351="","",$R3351&amp;"("&amp;$E3351&amp;")")</f>
        <v/>
      </c>
      <c r="V3351">
        <f>IF($A3351="","",$F3351&amp;"|"&amp;$U3351&amp;"|"&amp;$D3351)</f>
        <v/>
      </c>
      <c r="W3351">
        <f>IF($T3351="","",IF($X3351&gt;N($X3350),$X3351,""))</f>
        <v/>
      </c>
      <c r="X3351">
        <f>IF($T3351="",N($X3350),IF(MATCH($T3351,$T$6:$T$6005,0)=ROW()-5,N($X3350)+1,N($X3350)))</f>
        <v/>
      </c>
      <c r="Z3351">
        <f>IF($V3351="","",IF($AA3351&gt;N($AA3350),$AA3351,""))</f>
        <v/>
      </c>
      <c r="AA3351">
        <f>IF($V3351="",N($AA3350),IF(MATCH($V3351,$V$6:$V$6005,0)=ROW()-5,N($AA3350)+1,N($AA3350)))</f>
        <v/>
      </c>
    </row>
    <row r="3352" ht="21" customHeight="1" s="66">
      <c r="A3352" s="56" t="n"/>
      <c r="B3352" s="57" t="n"/>
      <c r="C3352" s="57" t="n"/>
      <c r="D3352" s="57" t="n"/>
      <c r="E3352" s="56" t="n"/>
      <c r="F3352" s="57" t="n"/>
      <c r="G3352" s="57" t="n"/>
      <c r="H3352" s="56" t="n"/>
      <c r="I3352" s="56" t="n"/>
      <c r="J3352" s="58" t="n"/>
      <c r="K3352" s="58" t="n"/>
      <c r="L3352" s="13">
        <f>IF(OR($A3352="",AND($J3352="",$K3352="")),"",ROUND(N($J3352)-N($K3352),2))</f>
        <v/>
      </c>
      <c r="M3352" s="13">
        <f>IF(OR($A3352="",AND($J3352="",$K3352="")),"",MIN($J3352,$K3352))</f>
        <v/>
      </c>
      <c r="Q3352">
        <f>IF($A3352="","",$D3352&amp;"("&amp;SUBSTITUTE($E3352," ","")&amp;")")</f>
        <v/>
      </c>
      <c r="R3352">
        <f>IF($A3352="","",$B3352&amp;" - "&amp;$C3352)</f>
        <v/>
      </c>
      <c r="S3352">
        <f>IF($A3352="","",$R3352&amp;"|"&amp;$Q3352)</f>
        <v/>
      </c>
      <c r="T3352">
        <f>IF($A3352="","",$S3352&amp;"|"&amp;$F3352)</f>
        <v/>
      </c>
      <c r="U3352">
        <f>IF($A3352="","",$R3352&amp;"("&amp;$E3352&amp;")")</f>
        <v/>
      </c>
      <c r="V3352">
        <f>IF($A3352="","",$F3352&amp;"|"&amp;$U3352&amp;"|"&amp;$D3352)</f>
        <v/>
      </c>
      <c r="W3352">
        <f>IF($T3352="","",IF($X3352&gt;N($X3351),$X3352,""))</f>
        <v/>
      </c>
      <c r="X3352">
        <f>IF($T3352="",N($X3351),IF(MATCH($T3352,$T$6:$T$6005,0)=ROW()-5,N($X3351)+1,N($X3351)))</f>
        <v/>
      </c>
      <c r="Z3352">
        <f>IF($V3352="","",IF($AA3352&gt;N($AA3351),$AA3352,""))</f>
        <v/>
      </c>
      <c r="AA3352">
        <f>IF($V3352="",N($AA3351),IF(MATCH($V3352,$V$6:$V$6005,0)=ROW()-5,N($AA3351)+1,N($AA3351)))</f>
        <v/>
      </c>
    </row>
    <row r="3353" ht="21" customHeight="1" s="66">
      <c r="A3353" s="56" t="n"/>
      <c r="B3353" s="57" t="n"/>
      <c r="C3353" s="57" t="n"/>
      <c r="D3353" s="57" t="n"/>
      <c r="E3353" s="56" t="n"/>
      <c r="F3353" s="57" t="n"/>
      <c r="G3353" s="57" t="n"/>
      <c r="H3353" s="56" t="n"/>
      <c r="I3353" s="56" t="n"/>
      <c r="J3353" s="58" t="n"/>
      <c r="K3353" s="58" t="n"/>
      <c r="L3353" s="13">
        <f>IF(OR($A3353="",AND($J3353="",$K3353="")),"",ROUND(N($J3353)-N($K3353),2))</f>
        <v/>
      </c>
      <c r="M3353" s="13">
        <f>IF(OR($A3353="",AND($J3353="",$K3353="")),"",MIN($J3353,$K3353))</f>
        <v/>
      </c>
      <c r="Q3353">
        <f>IF($A3353="","",$D3353&amp;"("&amp;SUBSTITUTE($E3353," ","")&amp;")")</f>
        <v/>
      </c>
      <c r="R3353">
        <f>IF($A3353="","",$B3353&amp;" - "&amp;$C3353)</f>
        <v/>
      </c>
      <c r="S3353">
        <f>IF($A3353="","",$R3353&amp;"|"&amp;$Q3353)</f>
        <v/>
      </c>
      <c r="T3353">
        <f>IF($A3353="","",$S3353&amp;"|"&amp;$F3353)</f>
        <v/>
      </c>
      <c r="U3353">
        <f>IF($A3353="","",$R3353&amp;"("&amp;$E3353&amp;")")</f>
        <v/>
      </c>
      <c r="V3353">
        <f>IF($A3353="","",$F3353&amp;"|"&amp;$U3353&amp;"|"&amp;$D3353)</f>
        <v/>
      </c>
      <c r="W3353">
        <f>IF($T3353="","",IF($X3353&gt;N($X3352),$X3353,""))</f>
        <v/>
      </c>
      <c r="X3353">
        <f>IF($T3353="",N($X3352),IF(MATCH($T3353,$T$6:$T$6005,0)=ROW()-5,N($X3352)+1,N($X3352)))</f>
        <v/>
      </c>
      <c r="Z3353">
        <f>IF($V3353="","",IF($AA3353&gt;N($AA3352),$AA3353,""))</f>
        <v/>
      </c>
      <c r="AA3353">
        <f>IF($V3353="",N($AA3352),IF(MATCH($V3353,$V$6:$V$6005,0)=ROW()-5,N($AA3352)+1,N($AA3352)))</f>
        <v/>
      </c>
    </row>
    <row r="3354" ht="21" customHeight="1" s="66">
      <c r="A3354" s="56" t="n"/>
      <c r="B3354" s="57" t="n"/>
      <c r="C3354" s="57" t="n"/>
      <c r="D3354" s="57" t="n"/>
      <c r="E3354" s="56" t="n"/>
      <c r="F3354" s="57" t="n"/>
      <c r="G3354" s="57" t="n"/>
      <c r="H3354" s="56" t="n"/>
      <c r="I3354" s="56" t="n"/>
      <c r="J3354" s="58" t="n"/>
      <c r="K3354" s="58" t="n"/>
      <c r="L3354" s="13">
        <f>IF(OR($A3354="",AND($J3354="",$K3354="")),"",ROUND(N($J3354)-N($K3354),2))</f>
        <v/>
      </c>
      <c r="M3354" s="13">
        <f>IF(OR($A3354="",AND($J3354="",$K3354="")),"",MIN($J3354,$K3354))</f>
        <v/>
      </c>
      <c r="Q3354">
        <f>IF($A3354="","",$D3354&amp;"("&amp;SUBSTITUTE($E3354," ","")&amp;")")</f>
        <v/>
      </c>
      <c r="R3354">
        <f>IF($A3354="","",$B3354&amp;" - "&amp;$C3354)</f>
        <v/>
      </c>
      <c r="S3354">
        <f>IF($A3354="","",$R3354&amp;"|"&amp;$Q3354)</f>
        <v/>
      </c>
      <c r="T3354">
        <f>IF($A3354="","",$S3354&amp;"|"&amp;$F3354)</f>
        <v/>
      </c>
      <c r="U3354">
        <f>IF($A3354="","",$R3354&amp;"("&amp;$E3354&amp;")")</f>
        <v/>
      </c>
      <c r="V3354">
        <f>IF($A3354="","",$F3354&amp;"|"&amp;$U3354&amp;"|"&amp;$D3354)</f>
        <v/>
      </c>
      <c r="W3354">
        <f>IF($T3354="","",IF($X3354&gt;N($X3353),$X3354,""))</f>
        <v/>
      </c>
      <c r="X3354">
        <f>IF($T3354="",N($X3353),IF(MATCH($T3354,$T$6:$T$6005,0)=ROW()-5,N($X3353)+1,N($X3353)))</f>
        <v/>
      </c>
      <c r="Z3354">
        <f>IF($V3354="","",IF($AA3354&gt;N($AA3353),$AA3354,""))</f>
        <v/>
      </c>
      <c r="AA3354">
        <f>IF($V3354="",N($AA3353),IF(MATCH($V3354,$V$6:$V$6005,0)=ROW()-5,N($AA3353)+1,N($AA3353)))</f>
        <v/>
      </c>
    </row>
    <row r="3355" ht="21" customHeight="1" s="66">
      <c r="A3355" s="56" t="n"/>
      <c r="B3355" s="57" t="n"/>
      <c r="C3355" s="57" t="n"/>
      <c r="D3355" s="57" t="n"/>
      <c r="E3355" s="56" t="n"/>
      <c r="F3355" s="57" t="n"/>
      <c r="G3355" s="57" t="n"/>
      <c r="H3355" s="56" t="n"/>
      <c r="I3355" s="56" t="n"/>
      <c r="J3355" s="58" t="n"/>
      <c r="K3355" s="58" t="n"/>
      <c r="L3355" s="13">
        <f>IF(OR($A3355="",AND($J3355="",$K3355="")),"",ROUND(N($J3355)-N($K3355),2))</f>
        <v/>
      </c>
      <c r="M3355" s="13">
        <f>IF(OR($A3355="",AND($J3355="",$K3355="")),"",MIN($J3355,$K3355))</f>
        <v/>
      </c>
      <c r="Q3355">
        <f>IF($A3355="","",$D3355&amp;"("&amp;SUBSTITUTE($E3355," ","")&amp;")")</f>
        <v/>
      </c>
      <c r="R3355">
        <f>IF($A3355="","",$B3355&amp;" - "&amp;$C3355)</f>
        <v/>
      </c>
      <c r="S3355">
        <f>IF($A3355="","",$R3355&amp;"|"&amp;$Q3355)</f>
        <v/>
      </c>
      <c r="T3355">
        <f>IF($A3355="","",$S3355&amp;"|"&amp;$F3355)</f>
        <v/>
      </c>
      <c r="U3355">
        <f>IF($A3355="","",$R3355&amp;"("&amp;$E3355&amp;")")</f>
        <v/>
      </c>
      <c r="V3355">
        <f>IF($A3355="","",$F3355&amp;"|"&amp;$U3355&amp;"|"&amp;$D3355)</f>
        <v/>
      </c>
      <c r="W3355">
        <f>IF($T3355="","",IF($X3355&gt;N($X3354),$X3355,""))</f>
        <v/>
      </c>
      <c r="X3355">
        <f>IF($T3355="",N($X3354),IF(MATCH($T3355,$T$6:$T$6005,0)=ROW()-5,N($X3354)+1,N($X3354)))</f>
        <v/>
      </c>
      <c r="Z3355">
        <f>IF($V3355="","",IF($AA3355&gt;N($AA3354),$AA3355,""))</f>
        <v/>
      </c>
      <c r="AA3355">
        <f>IF($V3355="",N($AA3354),IF(MATCH($V3355,$V$6:$V$6005,0)=ROW()-5,N($AA3354)+1,N($AA3354)))</f>
        <v/>
      </c>
    </row>
    <row r="3356" ht="21" customHeight="1" s="66">
      <c r="A3356" s="56" t="n"/>
      <c r="B3356" s="57" t="n"/>
      <c r="C3356" s="57" t="n"/>
      <c r="D3356" s="57" t="n"/>
      <c r="E3356" s="56" t="n"/>
      <c r="F3356" s="57" t="n"/>
      <c r="G3356" s="57" t="n"/>
      <c r="H3356" s="56" t="n"/>
      <c r="I3356" s="56" t="n"/>
      <c r="J3356" s="58" t="n"/>
      <c r="K3356" s="58" t="n"/>
      <c r="L3356" s="13">
        <f>IF(OR($A3356="",AND($J3356="",$K3356="")),"",ROUND(N($J3356)-N($K3356),2))</f>
        <v/>
      </c>
      <c r="M3356" s="13">
        <f>IF(OR($A3356="",AND($J3356="",$K3356="")),"",MIN($J3356,$K3356))</f>
        <v/>
      </c>
      <c r="Q3356">
        <f>IF($A3356="","",$D3356&amp;"("&amp;SUBSTITUTE($E3356," ","")&amp;")")</f>
        <v/>
      </c>
      <c r="R3356">
        <f>IF($A3356="","",$B3356&amp;" - "&amp;$C3356)</f>
        <v/>
      </c>
      <c r="S3356">
        <f>IF($A3356="","",$R3356&amp;"|"&amp;$Q3356)</f>
        <v/>
      </c>
      <c r="T3356">
        <f>IF($A3356="","",$S3356&amp;"|"&amp;$F3356)</f>
        <v/>
      </c>
      <c r="U3356">
        <f>IF($A3356="","",$R3356&amp;"("&amp;$E3356&amp;")")</f>
        <v/>
      </c>
      <c r="V3356">
        <f>IF($A3356="","",$F3356&amp;"|"&amp;$U3356&amp;"|"&amp;$D3356)</f>
        <v/>
      </c>
      <c r="W3356">
        <f>IF($T3356="","",IF($X3356&gt;N($X3355),$X3356,""))</f>
        <v/>
      </c>
      <c r="X3356">
        <f>IF($T3356="",N($X3355),IF(MATCH($T3356,$T$6:$T$6005,0)=ROW()-5,N($X3355)+1,N($X3355)))</f>
        <v/>
      </c>
      <c r="Z3356">
        <f>IF($V3356="","",IF($AA3356&gt;N($AA3355),$AA3356,""))</f>
        <v/>
      </c>
      <c r="AA3356">
        <f>IF($V3356="",N($AA3355),IF(MATCH($V3356,$V$6:$V$6005,0)=ROW()-5,N($AA3355)+1,N($AA3355)))</f>
        <v/>
      </c>
    </row>
    <row r="3357" ht="21" customHeight="1" s="66">
      <c r="A3357" s="56" t="n"/>
      <c r="B3357" s="57" t="n"/>
      <c r="C3357" s="57" t="n"/>
      <c r="D3357" s="57" t="n"/>
      <c r="E3357" s="56" t="n"/>
      <c r="F3357" s="57" t="n"/>
      <c r="G3357" s="57" t="n"/>
      <c r="H3357" s="56" t="n"/>
      <c r="I3357" s="56" t="n"/>
      <c r="J3357" s="58" t="n"/>
      <c r="K3357" s="58" t="n"/>
      <c r="L3357" s="13">
        <f>IF(OR($A3357="",AND($J3357="",$K3357="")),"",ROUND(N($J3357)-N($K3357),2))</f>
        <v/>
      </c>
      <c r="M3357" s="13">
        <f>IF(OR($A3357="",AND($J3357="",$K3357="")),"",MIN($J3357,$K3357))</f>
        <v/>
      </c>
      <c r="Q3357">
        <f>IF($A3357="","",$D3357&amp;"("&amp;SUBSTITUTE($E3357," ","")&amp;")")</f>
        <v/>
      </c>
      <c r="R3357">
        <f>IF($A3357="","",$B3357&amp;" - "&amp;$C3357)</f>
        <v/>
      </c>
      <c r="S3357">
        <f>IF($A3357="","",$R3357&amp;"|"&amp;$Q3357)</f>
        <v/>
      </c>
      <c r="T3357">
        <f>IF($A3357="","",$S3357&amp;"|"&amp;$F3357)</f>
        <v/>
      </c>
      <c r="U3357">
        <f>IF($A3357="","",$R3357&amp;"("&amp;$E3357&amp;")")</f>
        <v/>
      </c>
      <c r="V3357">
        <f>IF($A3357="","",$F3357&amp;"|"&amp;$U3357&amp;"|"&amp;$D3357)</f>
        <v/>
      </c>
      <c r="W3357">
        <f>IF($T3357="","",IF($X3357&gt;N($X3356),$X3357,""))</f>
        <v/>
      </c>
      <c r="X3357">
        <f>IF($T3357="",N($X3356),IF(MATCH($T3357,$T$6:$T$6005,0)=ROW()-5,N($X3356)+1,N($X3356)))</f>
        <v/>
      </c>
      <c r="Z3357">
        <f>IF($V3357="","",IF($AA3357&gt;N($AA3356),$AA3357,""))</f>
        <v/>
      </c>
      <c r="AA3357">
        <f>IF($V3357="",N($AA3356),IF(MATCH($V3357,$V$6:$V$6005,0)=ROW()-5,N($AA3356)+1,N($AA3356)))</f>
        <v/>
      </c>
    </row>
    <row r="3358" ht="21" customHeight="1" s="66">
      <c r="A3358" s="56" t="n"/>
      <c r="B3358" s="57" t="n"/>
      <c r="C3358" s="57" t="n"/>
      <c r="D3358" s="57" t="n"/>
      <c r="E3358" s="56" t="n"/>
      <c r="F3358" s="57" t="n"/>
      <c r="G3358" s="57" t="n"/>
      <c r="H3358" s="56" t="n"/>
      <c r="I3358" s="56" t="n"/>
      <c r="J3358" s="58" t="n"/>
      <c r="K3358" s="58" t="n"/>
      <c r="L3358" s="13">
        <f>IF(OR($A3358="",AND($J3358="",$K3358="")),"",ROUND(N($J3358)-N($K3358),2))</f>
        <v/>
      </c>
      <c r="M3358" s="13">
        <f>IF(OR($A3358="",AND($J3358="",$K3358="")),"",MIN($J3358,$K3358))</f>
        <v/>
      </c>
      <c r="Q3358">
        <f>IF($A3358="","",$D3358&amp;"("&amp;SUBSTITUTE($E3358," ","")&amp;")")</f>
        <v/>
      </c>
      <c r="R3358">
        <f>IF($A3358="","",$B3358&amp;" - "&amp;$C3358)</f>
        <v/>
      </c>
      <c r="S3358">
        <f>IF($A3358="","",$R3358&amp;"|"&amp;$Q3358)</f>
        <v/>
      </c>
      <c r="T3358">
        <f>IF($A3358="","",$S3358&amp;"|"&amp;$F3358)</f>
        <v/>
      </c>
      <c r="U3358">
        <f>IF($A3358="","",$R3358&amp;"("&amp;$E3358&amp;")")</f>
        <v/>
      </c>
      <c r="V3358">
        <f>IF($A3358="","",$F3358&amp;"|"&amp;$U3358&amp;"|"&amp;$D3358)</f>
        <v/>
      </c>
      <c r="W3358">
        <f>IF($T3358="","",IF($X3358&gt;N($X3357),$X3358,""))</f>
        <v/>
      </c>
      <c r="X3358">
        <f>IF($T3358="",N($X3357),IF(MATCH($T3358,$T$6:$T$6005,0)=ROW()-5,N($X3357)+1,N($X3357)))</f>
        <v/>
      </c>
      <c r="Z3358">
        <f>IF($V3358="","",IF($AA3358&gt;N($AA3357),$AA3358,""))</f>
        <v/>
      </c>
      <c r="AA3358">
        <f>IF($V3358="",N($AA3357),IF(MATCH($V3358,$V$6:$V$6005,0)=ROW()-5,N($AA3357)+1,N($AA3357)))</f>
        <v/>
      </c>
    </row>
    <row r="3359" ht="21" customHeight="1" s="66">
      <c r="A3359" s="56" t="n"/>
      <c r="B3359" s="57" t="n"/>
      <c r="C3359" s="57" t="n"/>
      <c r="D3359" s="57" t="n"/>
      <c r="E3359" s="56" t="n"/>
      <c r="F3359" s="57" t="n"/>
      <c r="G3359" s="57" t="n"/>
      <c r="H3359" s="56" t="n"/>
      <c r="I3359" s="56" t="n"/>
      <c r="J3359" s="58" t="n"/>
      <c r="K3359" s="58" t="n"/>
      <c r="L3359" s="13">
        <f>IF(OR($A3359="",AND($J3359="",$K3359="")),"",ROUND(N($J3359)-N($K3359),2))</f>
        <v/>
      </c>
      <c r="M3359" s="13">
        <f>IF(OR($A3359="",AND($J3359="",$K3359="")),"",MIN($J3359,$K3359))</f>
        <v/>
      </c>
      <c r="Q3359">
        <f>IF($A3359="","",$D3359&amp;"("&amp;SUBSTITUTE($E3359," ","")&amp;")")</f>
        <v/>
      </c>
      <c r="R3359">
        <f>IF($A3359="","",$B3359&amp;" - "&amp;$C3359)</f>
        <v/>
      </c>
      <c r="S3359">
        <f>IF($A3359="","",$R3359&amp;"|"&amp;$Q3359)</f>
        <v/>
      </c>
      <c r="T3359">
        <f>IF($A3359="","",$S3359&amp;"|"&amp;$F3359)</f>
        <v/>
      </c>
      <c r="U3359">
        <f>IF($A3359="","",$R3359&amp;"("&amp;$E3359&amp;")")</f>
        <v/>
      </c>
      <c r="V3359">
        <f>IF($A3359="","",$F3359&amp;"|"&amp;$U3359&amp;"|"&amp;$D3359)</f>
        <v/>
      </c>
      <c r="W3359">
        <f>IF($T3359="","",IF($X3359&gt;N($X3358),$X3359,""))</f>
        <v/>
      </c>
      <c r="X3359">
        <f>IF($T3359="",N($X3358),IF(MATCH($T3359,$T$6:$T$6005,0)=ROW()-5,N($X3358)+1,N($X3358)))</f>
        <v/>
      </c>
      <c r="Z3359">
        <f>IF($V3359="","",IF($AA3359&gt;N($AA3358),$AA3359,""))</f>
        <v/>
      </c>
      <c r="AA3359">
        <f>IF($V3359="",N($AA3358),IF(MATCH($V3359,$V$6:$V$6005,0)=ROW()-5,N($AA3358)+1,N($AA3358)))</f>
        <v/>
      </c>
    </row>
    <row r="3360" ht="21" customHeight="1" s="66">
      <c r="A3360" s="56" t="n"/>
      <c r="B3360" s="57" t="n"/>
      <c r="C3360" s="57" t="n"/>
      <c r="D3360" s="57" t="n"/>
      <c r="E3360" s="56" t="n"/>
      <c r="F3360" s="57" t="n"/>
      <c r="G3360" s="57" t="n"/>
      <c r="H3360" s="56" t="n"/>
      <c r="I3360" s="56" t="n"/>
      <c r="J3360" s="58" t="n"/>
      <c r="K3360" s="58" t="n"/>
      <c r="L3360" s="13">
        <f>IF(OR($A3360="",AND($J3360="",$K3360="")),"",ROUND(N($J3360)-N($K3360),2))</f>
        <v/>
      </c>
      <c r="M3360" s="13">
        <f>IF(OR($A3360="",AND($J3360="",$K3360="")),"",MIN($J3360,$K3360))</f>
        <v/>
      </c>
      <c r="Q3360">
        <f>IF($A3360="","",$D3360&amp;"("&amp;SUBSTITUTE($E3360," ","")&amp;")")</f>
        <v/>
      </c>
      <c r="R3360">
        <f>IF($A3360="","",$B3360&amp;" - "&amp;$C3360)</f>
        <v/>
      </c>
      <c r="S3360">
        <f>IF($A3360="","",$R3360&amp;"|"&amp;$Q3360)</f>
        <v/>
      </c>
      <c r="T3360">
        <f>IF($A3360="","",$S3360&amp;"|"&amp;$F3360)</f>
        <v/>
      </c>
      <c r="U3360">
        <f>IF($A3360="","",$R3360&amp;"("&amp;$E3360&amp;")")</f>
        <v/>
      </c>
      <c r="V3360">
        <f>IF($A3360="","",$F3360&amp;"|"&amp;$U3360&amp;"|"&amp;$D3360)</f>
        <v/>
      </c>
      <c r="W3360">
        <f>IF($T3360="","",IF($X3360&gt;N($X3359),$X3360,""))</f>
        <v/>
      </c>
      <c r="X3360">
        <f>IF($T3360="",N($X3359),IF(MATCH($T3360,$T$6:$T$6005,0)=ROW()-5,N($X3359)+1,N($X3359)))</f>
        <v/>
      </c>
      <c r="Z3360">
        <f>IF($V3360="","",IF($AA3360&gt;N($AA3359),$AA3360,""))</f>
        <v/>
      </c>
      <c r="AA3360">
        <f>IF($V3360="",N($AA3359),IF(MATCH($V3360,$V$6:$V$6005,0)=ROW()-5,N($AA3359)+1,N($AA3359)))</f>
        <v/>
      </c>
    </row>
    <row r="3361" ht="21" customHeight="1" s="66">
      <c r="A3361" s="56" t="n"/>
      <c r="B3361" s="57" t="n"/>
      <c r="C3361" s="57" t="n"/>
      <c r="D3361" s="57" t="n"/>
      <c r="E3361" s="56" t="n"/>
      <c r="F3361" s="57" t="n"/>
      <c r="G3361" s="57" t="n"/>
      <c r="H3361" s="56" t="n"/>
      <c r="I3361" s="56" t="n"/>
      <c r="J3361" s="58" t="n"/>
      <c r="K3361" s="58" t="n"/>
      <c r="L3361" s="13">
        <f>IF(OR($A3361="",AND($J3361="",$K3361="")),"",ROUND(N($J3361)-N($K3361),2))</f>
        <v/>
      </c>
      <c r="M3361" s="13">
        <f>IF(OR($A3361="",AND($J3361="",$K3361="")),"",MIN($J3361,$K3361))</f>
        <v/>
      </c>
      <c r="Q3361">
        <f>IF($A3361="","",$D3361&amp;"("&amp;SUBSTITUTE($E3361," ","")&amp;")")</f>
        <v/>
      </c>
      <c r="R3361">
        <f>IF($A3361="","",$B3361&amp;" - "&amp;$C3361)</f>
        <v/>
      </c>
      <c r="S3361">
        <f>IF($A3361="","",$R3361&amp;"|"&amp;$Q3361)</f>
        <v/>
      </c>
      <c r="T3361">
        <f>IF($A3361="","",$S3361&amp;"|"&amp;$F3361)</f>
        <v/>
      </c>
      <c r="U3361">
        <f>IF($A3361="","",$R3361&amp;"("&amp;$E3361&amp;")")</f>
        <v/>
      </c>
      <c r="V3361">
        <f>IF($A3361="","",$F3361&amp;"|"&amp;$U3361&amp;"|"&amp;$D3361)</f>
        <v/>
      </c>
      <c r="W3361">
        <f>IF($T3361="","",IF($X3361&gt;N($X3360),$X3361,""))</f>
        <v/>
      </c>
      <c r="X3361">
        <f>IF($T3361="",N($X3360),IF(MATCH($T3361,$T$6:$T$6005,0)=ROW()-5,N($X3360)+1,N($X3360)))</f>
        <v/>
      </c>
      <c r="Z3361">
        <f>IF($V3361="","",IF($AA3361&gt;N($AA3360),$AA3361,""))</f>
        <v/>
      </c>
      <c r="AA3361">
        <f>IF($V3361="",N($AA3360),IF(MATCH($V3361,$V$6:$V$6005,0)=ROW()-5,N($AA3360)+1,N($AA3360)))</f>
        <v/>
      </c>
    </row>
    <row r="3362" ht="21" customHeight="1" s="66">
      <c r="A3362" s="56" t="n"/>
      <c r="B3362" s="57" t="n"/>
      <c r="C3362" s="57" t="n"/>
      <c r="D3362" s="57" t="n"/>
      <c r="E3362" s="56" t="n"/>
      <c r="F3362" s="57" t="n"/>
      <c r="G3362" s="57" t="n"/>
      <c r="H3362" s="56" t="n"/>
      <c r="I3362" s="56" t="n"/>
      <c r="J3362" s="58" t="n"/>
      <c r="K3362" s="58" t="n"/>
      <c r="L3362" s="13">
        <f>IF(OR($A3362="",AND($J3362="",$K3362="")),"",ROUND(N($J3362)-N($K3362),2))</f>
        <v/>
      </c>
      <c r="M3362" s="13">
        <f>IF(OR($A3362="",AND($J3362="",$K3362="")),"",MIN($J3362,$K3362))</f>
        <v/>
      </c>
      <c r="Q3362">
        <f>IF($A3362="","",$D3362&amp;"("&amp;SUBSTITUTE($E3362," ","")&amp;")")</f>
        <v/>
      </c>
      <c r="R3362">
        <f>IF($A3362="","",$B3362&amp;" - "&amp;$C3362)</f>
        <v/>
      </c>
      <c r="S3362">
        <f>IF($A3362="","",$R3362&amp;"|"&amp;$Q3362)</f>
        <v/>
      </c>
      <c r="T3362">
        <f>IF($A3362="","",$S3362&amp;"|"&amp;$F3362)</f>
        <v/>
      </c>
      <c r="U3362">
        <f>IF($A3362="","",$R3362&amp;"("&amp;$E3362&amp;")")</f>
        <v/>
      </c>
      <c r="V3362">
        <f>IF($A3362="","",$F3362&amp;"|"&amp;$U3362&amp;"|"&amp;$D3362)</f>
        <v/>
      </c>
      <c r="W3362">
        <f>IF($T3362="","",IF($X3362&gt;N($X3361),$X3362,""))</f>
        <v/>
      </c>
      <c r="X3362">
        <f>IF($T3362="",N($X3361),IF(MATCH($T3362,$T$6:$T$6005,0)=ROW()-5,N($X3361)+1,N($X3361)))</f>
        <v/>
      </c>
      <c r="Z3362">
        <f>IF($V3362="","",IF($AA3362&gt;N($AA3361),$AA3362,""))</f>
        <v/>
      </c>
      <c r="AA3362">
        <f>IF($V3362="",N($AA3361),IF(MATCH($V3362,$V$6:$V$6005,0)=ROW()-5,N($AA3361)+1,N($AA3361)))</f>
        <v/>
      </c>
    </row>
    <row r="3363" ht="21" customHeight="1" s="66">
      <c r="A3363" s="56" t="n"/>
      <c r="B3363" s="57" t="n"/>
      <c r="C3363" s="57" t="n"/>
      <c r="D3363" s="57" t="n"/>
      <c r="E3363" s="56" t="n"/>
      <c r="F3363" s="57" t="n"/>
      <c r="G3363" s="57" t="n"/>
      <c r="H3363" s="56" t="n"/>
      <c r="I3363" s="56" t="n"/>
      <c r="J3363" s="58" t="n"/>
      <c r="K3363" s="58" t="n"/>
      <c r="L3363" s="13">
        <f>IF(OR($A3363="",AND($J3363="",$K3363="")),"",ROUND(N($J3363)-N($K3363),2))</f>
        <v/>
      </c>
      <c r="M3363" s="13">
        <f>IF(OR($A3363="",AND($J3363="",$K3363="")),"",MIN($J3363,$K3363))</f>
        <v/>
      </c>
      <c r="Q3363">
        <f>IF($A3363="","",$D3363&amp;"("&amp;SUBSTITUTE($E3363," ","")&amp;")")</f>
        <v/>
      </c>
      <c r="R3363">
        <f>IF($A3363="","",$B3363&amp;" - "&amp;$C3363)</f>
        <v/>
      </c>
      <c r="S3363">
        <f>IF($A3363="","",$R3363&amp;"|"&amp;$Q3363)</f>
        <v/>
      </c>
      <c r="T3363">
        <f>IF($A3363="","",$S3363&amp;"|"&amp;$F3363)</f>
        <v/>
      </c>
      <c r="U3363">
        <f>IF($A3363="","",$R3363&amp;"("&amp;$E3363&amp;")")</f>
        <v/>
      </c>
      <c r="V3363">
        <f>IF($A3363="","",$F3363&amp;"|"&amp;$U3363&amp;"|"&amp;$D3363)</f>
        <v/>
      </c>
      <c r="W3363">
        <f>IF($T3363="","",IF($X3363&gt;N($X3362),$X3363,""))</f>
        <v/>
      </c>
      <c r="X3363">
        <f>IF($T3363="",N($X3362),IF(MATCH($T3363,$T$6:$T$6005,0)=ROW()-5,N($X3362)+1,N($X3362)))</f>
        <v/>
      </c>
      <c r="Z3363">
        <f>IF($V3363="","",IF($AA3363&gt;N($AA3362),$AA3363,""))</f>
        <v/>
      </c>
      <c r="AA3363">
        <f>IF($V3363="",N($AA3362),IF(MATCH($V3363,$V$6:$V$6005,0)=ROW()-5,N($AA3362)+1,N($AA3362)))</f>
        <v/>
      </c>
    </row>
    <row r="3364" ht="21" customHeight="1" s="66">
      <c r="A3364" s="56" t="n"/>
      <c r="B3364" s="57" t="n"/>
      <c r="C3364" s="57" t="n"/>
      <c r="D3364" s="57" t="n"/>
      <c r="E3364" s="56" t="n"/>
      <c r="F3364" s="57" t="n"/>
      <c r="G3364" s="57" t="n"/>
      <c r="H3364" s="56" t="n"/>
      <c r="I3364" s="56" t="n"/>
      <c r="J3364" s="58" t="n"/>
      <c r="K3364" s="58" t="n"/>
      <c r="L3364" s="13">
        <f>IF(OR($A3364="",AND($J3364="",$K3364="")),"",ROUND(N($J3364)-N($K3364),2))</f>
        <v/>
      </c>
      <c r="M3364" s="13">
        <f>IF(OR($A3364="",AND($J3364="",$K3364="")),"",MIN($J3364,$K3364))</f>
        <v/>
      </c>
      <c r="Q3364">
        <f>IF($A3364="","",$D3364&amp;"("&amp;SUBSTITUTE($E3364," ","")&amp;")")</f>
        <v/>
      </c>
      <c r="R3364">
        <f>IF($A3364="","",$B3364&amp;" - "&amp;$C3364)</f>
        <v/>
      </c>
      <c r="S3364">
        <f>IF($A3364="","",$R3364&amp;"|"&amp;$Q3364)</f>
        <v/>
      </c>
      <c r="T3364">
        <f>IF($A3364="","",$S3364&amp;"|"&amp;$F3364)</f>
        <v/>
      </c>
      <c r="U3364">
        <f>IF($A3364="","",$R3364&amp;"("&amp;$E3364&amp;")")</f>
        <v/>
      </c>
      <c r="V3364">
        <f>IF($A3364="","",$F3364&amp;"|"&amp;$U3364&amp;"|"&amp;$D3364)</f>
        <v/>
      </c>
      <c r="W3364">
        <f>IF($T3364="","",IF($X3364&gt;N($X3363),$X3364,""))</f>
        <v/>
      </c>
      <c r="X3364">
        <f>IF($T3364="",N($X3363),IF(MATCH($T3364,$T$6:$T$6005,0)=ROW()-5,N($X3363)+1,N($X3363)))</f>
        <v/>
      </c>
      <c r="Z3364">
        <f>IF($V3364="","",IF($AA3364&gt;N($AA3363),$AA3364,""))</f>
        <v/>
      </c>
      <c r="AA3364">
        <f>IF($V3364="",N($AA3363),IF(MATCH($V3364,$V$6:$V$6005,0)=ROW()-5,N($AA3363)+1,N($AA3363)))</f>
        <v/>
      </c>
    </row>
    <row r="3365" ht="21" customHeight="1" s="66">
      <c r="A3365" s="56" t="n"/>
      <c r="B3365" s="57" t="n"/>
      <c r="C3365" s="57" t="n"/>
      <c r="D3365" s="57" t="n"/>
      <c r="E3365" s="56" t="n"/>
      <c r="F3365" s="57" t="n"/>
      <c r="G3365" s="57" t="n"/>
      <c r="H3365" s="56" t="n"/>
      <c r="I3365" s="56" t="n"/>
      <c r="J3365" s="58" t="n"/>
      <c r="K3365" s="58" t="n"/>
      <c r="L3365" s="13">
        <f>IF(OR($A3365="",AND($J3365="",$K3365="")),"",ROUND(N($J3365)-N($K3365),2))</f>
        <v/>
      </c>
      <c r="M3365" s="13">
        <f>IF(OR($A3365="",AND($J3365="",$K3365="")),"",MIN($J3365,$K3365))</f>
        <v/>
      </c>
      <c r="Q3365">
        <f>IF($A3365="","",$D3365&amp;"("&amp;SUBSTITUTE($E3365," ","")&amp;")")</f>
        <v/>
      </c>
      <c r="R3365">
        <f>IF($A3365="","",$B3365&amp;" - "&amp;$C3365)</f>
        <v/>
      </c>
      <c r="S3365">
        <f>IF($A3365="","",$R3365&amp;"|"&amp;$Q3365)</f>
        <v/>
      </c>
      <c r="T3365">
        <f>IF($A3365="","",$S3365&amp;"|"&amp;$F3365)</f>
        <v/>
      </c>
      <c r="U3365">
        <f>IF($A3365="","",$R3365&amp;"("&amp;$E3365&amp;")")</f>
        <v/>
      </c>
      <c r="V3365">
        <f>IF($A3365="","",$F3365&amp;"|"&amp;$U3365&amp;"|"&amp;$D3365)</f>
        <v/>
      </c>
      <c r="W3365">
        <f>IF($T3365="","",IF($X3365&gt;N($X3364),$X3365,""))</f>
        <v/>
      </c>
      <c r="X3365">
        <f>IF($T3365="",N($X3364),IF(MATCH($T3365,$T$6:$T$6005,0)=ROW()-5,N($X3364)+1,N($X3364)))</f>
        <v/>
      </c>
      <c r="Z3365">
        <f>IF($V3365="","",IF($AA3365&gt;N($AA3364),$AA3365,""))</f>
        <v/>
      </c>
      <c r="AA3365">
        <f>IF($V3365="",N($AA3364),IF(MATCH($V3365,$V$6:$V$6005,0)=ROW()-5,N($AA3364)+1,N($AA3364)))</f>
        <v/>
      </c>
    </row>
    <row r="3366" ht="21" customHeight="1" s="66">
      <c r="A3366" s="56" t="n"/>
      <c r="B3366" s="57" t="n"/>
      <c r="C3366" s="57" t="n"/>
      <c r="D3366" s="57" t="n"/>
      <c r="E3366" s="56" t="n"/>
      <c r="F3366" s="57" t="n"/>
      <c r="G3366" s="57" t="n"/>
      <c r="H3366" s="56" t="n"/>
      <c r="I3366" s="56" t="n"/>
      <c r="J3366" s="58" t="n"/>
      <c r="K3366" s="58" t="n"/>
      <c r="L3366" s="13">
        <f>IF(OR($A3366="",AND($J3366="",$K3366="")),"",ROUND(N($J3366)-N($K3366),2))</f>
        <v/>
      </c>
      <c r="M3366" s="13">
        <f>IF(OR($A3366="",AND($J3366="",$K3366="")),"",MIN($J3366,$K3366))</f>
        <v/>
      </c>
      <c r="Q3366">
        <f>IF($A3366="","",$D3366&amp;"("&amp;SUBSTITUTE($E3366," ","")&amp;")")</f>
        <v/>
      </c>
      <c r="R3366">
        <f>IF($A3366="","",$B3366&amp;" - "&amp;$C3366)</f>
        <v/>
      </c>
      <c r="S3366">
        <f>IF($A3366="","",$R3366&amp;"|"&amp;$Q3366)</f>
        <v/>
      </c>
      <c r="T3366">
        <f>IF($A3366="","",$S3366&amp;"|"&amp;$F3366)</f>
        <v/>
      </c>
      <c r="U3366">
        <f>IF($A3366="","",$R3366&amp;"("&amp;$E3366&amp;")")</f>
        <v/>
      </c>
      <c r="V3366">
        <f>IF($A3366="","",$F3366&amp;"|"&amp;$U3366&amp;"|"&amp;$D3366)</f>
        <v/>
      </c>
      <c r="W3366">
        <f>IF($T3366="","",IF($X3366&gt;N($X3365),$X3366,""))</f>
        <v/>
      </c>
      <c r="X3366">
        <f>IF($T3366="",N($X3365),IF(MATCH($T3366,$T$6:$T$6005,0)=ROW()-5,N($X3365)+1,N($X3365)))</f>
        <v/>
      </c>
      <c r="Z3366">
        <f>IF($V3366="","",IF($AA3366&gt;N($AA3365),$AA3366,""))</f>
        <v/>
      </c>
      <c r="AA3366">
        <f>IF($V3366="",N($AA3365),IF(MATCH($V3366,$V$6:$V$6005,0)=ROW()-5,N($AA3365)+1,N($AA3365)))</f>
        <v/>
      </c>
    </row>
    <row r="3367" ht="21" customHeight="1" s="66">
      <c r="A3367" s="56" t="n"/>
      <c r="B3367" s="57" t="n"/>
      <c r="C3367" s="57" t="n"/>
      <c r="D3367" s="57" t="n"/>
      <c r="E3367" s="56" t="n"/>
      <c r="F3367" s="57" t="n"/>
      <c r="G3367" s="57" t="n"/>
      <c r="H3367" s="56" t="n"/>
      <c r="I3367" s="56" t="n"/>
      <c r="J3367" s="58" t="n"/>
      <c r="K3367" s="58" t="n"/>
      <c r="L3367" s="13">
        <f>IF(OR($A3367="",AND($J3367="",$K3367="")),"",ROUND(N($J3367)-N($K3367),2))</f>
        <v/>
      </c>
      <c r="M3367" s="13">
        <f>IF(OR($A3367="",AND($J3367="",$K3367="")),"",MIN($J3367,$K3367))</f>
        <v/>
      </c>
      <c r="Q3367">
        <f>IF($A3367="","",$D3367&amp;"("&amp;SUBSTITUTE($E3367," ","")&amp;")")</f>
        <v/>
      </c>
      <c r="R3367">
        <f>IF($A3367="","",$B3367&amp;" - "&amp;$C3367)</f>
        <v/>
      </c>
      <c r="S3367">
        <f>IF($A3367="","",$R3367&amp;"|"&amp;$Q3367)</f>
        <v/>
      </c>
      <c r="T3367">
        <f>IF($A3367="","",$S3367&amp;"|"&amp;$F3367)</f>
        <v/>
      </c>
      <c r="U3367">
        <f>IF($A3367="","",$R3367&amp;"("&amp;$E3367&amp;")")</f>
        <v/>
      </c>
      <c r="V3367">
        <f>IF($A3367="","",$F3367&amp;"|"&amp;$U3367&amp;"|"&amp;$D3367)</f>
        <v/>
      </c>
      <c r="W3367">
        <f>IF($T3367="","",IF($X3367&gt;N($X3366),$X3367,""))</f>
        <v/>
      </c>
      <c r="X3367">
        <f>IF($T3367="",N($X3366),IF(MATCH($T3367,$T$6:$T$6005,0)=ROW()-5,N($X3366)+1,N($X3366)))</f>
        <v/>
      </c>
      <c r="Z3367">
        <f>IF($V3367="","",IF($AA3367&gt;N($AA3366),$AA3367,""))</f>
        <v/>
      </c>
      <c r="AA3367">
        <f>IF($V3367="",N($AA3366),IF(MATCH($V3367,$V$6:$V$6005,0)=ROW()-5,N($AA3366)+1,N($AA3366)))</f>
        <v/>
      </c>
    </row>
    <row r="3368" ht="21" customHeight="1" s="66">
      <c r="A3368" s="56" t="n"/>
      <c r="B3368" s="57" t="n"/>
      <c r="C3368" s="57" t="n"/>
      <c r="D3368" s="57" t="n"/>
      <c r="E3368" s="56" t="n"/>
      <c r="F3368" s="57" t="n"/>
      <c r="G3368" s="57" t="n"/>
      <c r="H3368" s="56" t="n"/>
      <c r="I3368" s="56" t="n"/>
      <c r="J3368" s="58" t="n"/>
      <c r="K3368" s="58" t="n"/>
      <c r="L3368" s="13">
        <f>IF(OR($A3368="",AND($J3368="",$K3368="")),"",ROUND(N($J3368)-N($K3368),2))</f>
        <v/>
      </c>
      <c r="M3368" s="13">
        <f>IF(OR($A3368="",AND($J3368="",$K3368="")),"",MIN($J3368,$K3368))</f>
        <v/>
      </c>
      <c r="Q3368">
        <f>IF($A3368="","",$D3368&amp;"("&amp;SUBSTITUTE($E3368," ","")&amp;")")</f>
        <v/>
      </c>
      <c r="R3368">
        <f>IF($A3368="","",$B3368&amp;" - "&amp;$C3368)</f>
        <v/>
      </c>
      <c r="S3368">
        <f>IF($A3368="","",$R3368&amp;"|"&amp;$Q3368)</f>
        <v/>
      </c>
      <c r="T3368">
        <f>IF($A3368="","",$S3368&amp;"|"&amp;$F3368)</f>
        <v/>
      </c>
      <c r="U3368">
        <f>IF($A3368="","",$R3368&amp;"("&amp;$E3368&amp;")")</f>
        <v/>
      </c>
      <c r="V3368">
        <f>IF($A3368="","",$F3368&amp;"|"&amp;$U3368&amp;"|"&amp;$D3368)</f>
        <v/>
      </c>
      <c r="W3368">
        <f>IF($T3368="","",IF($X3368&gt;N($X3367),$X3368,""))</f>
        <v/>
      </c>
      <c r="X3368">
        <f>IF($T3368="",N($X3367),IF(MATCH($T3368,$T$6:$T$6005,0)=ROW()-5,N($X3367)+1,N($X3367)))</f>
        <v/>
      </c>
      <c r="Z3368">
        <f>IF($V3368="","",IF($AA3368&gt;N($AA3367),$AA3368,""))</f>
        <v/>
      </c>
      <c r="AA3368">
        <f>IF($V3368="",N($AA3367),IF(MATCH($V3368,$V$6:$V$6005,0)=ROW()-5,N($AA3367)+1,N($AA3367)))</f>
        <v/>
      </c>
    </row>
    <row r="3369" ht="21" customHeight="1" s="66">
      <c r="A3369" s="56" t="n"/>
      <c r="B3369" s="57" t="n"/>
      <c r="C3369" s="57" t="n"/>
      <c r="D3369" s="57" t="n"/>
      <c r="E3369" s="56" t="n"/>
      <c r="F3369" s="57" t="n"/>
      <c r="G3369" s="57" t="n"/>
      <c r="H3369" s="56" t="n"/>
      <c r="I3369" s="56" t="n"/>
      <c r="J3369" s="58" t="n"/>
      <c r="K3369" s="58" t="n"/>
      <c r="L3369" s="13">
        <f>IF(OR($A3369="",AND($J3369="",$K3369="")),"",ROUND(N($J3369)-N($K3369),2))</f>
        <v/>
      </c>
      <c r="M3369" s="13">
        <f>IF(OR($A3369="",AND($J3369="",$K3369="")),"",MIN($J3369,$K3369))</f>
        <v/>
      </c>
      <c r="Q3369">
        <f>IF($A3369="","",$D3369&amp;"("&amp;SUBSTITUTE($E3369," ","")&amp;")")</f>
        <v/>
      </c>
      <c r="R3369">
        <f>IF($A3369="","",$B3369&amp;" - "&amp;$C3369)</f>
        <v/>
      </c>
      <c r="S3369">
        <f>IF($A3369="","",$R3369&amp;"|"&amp;$Q3369)</f>
        <v/>
      </c>
      <c r="T3369">
        <f>IF($A3369="","",$S3369&amp;"|"&amp;$F3369)</f>
        <v/>
      </c>
      <c r="U3369">
        <f>IF($A3369="","",$R3369&amp;"("&amp;$E3369&amp;")")</f>
        <v/>
      </c>
      <c r="V3369">
        <f>IF($A3369="","",$F3369&amp;"|"&amp;$U3369&amp;"|"&amp;$D3369)</f>
        <v/>
      </c>
      <c r="W3369">
        <f>IF($T3369="","",IF($X3369&gt;N($X3368),$X3369,""))</f>
        <v/>
      </c>
      <c r="X3369">
        <f>IF($T3369="",N($X3368),IF(MATCH($T3369,$T$6:$T$6005,0)=ROW()-5,N($X3368)+1,N($X3368)))</f>
        <v/>
      </c>
      <c r="Z3369">
        <f>IF($V3369="","",IF($AA3369&gt;N($AA3368),$AA3369,""))</f>
        <v/>
      </c>
      <c r="AA3369">
        <f>IF($V3369="",N($AA3368),IF(MATCH($V3369,$V$6:$V$6005,0)=ROW()-5,N($AA3368)+1,N($AA3368)))</f>
        <v/>
      </c>
    </row>
    <row r="3370" ht="21" customHeight="1" s="66">
      <c r="A3370" s="56" t="n"/>
      <c r="B3370" s="57" t="n"/>
      <c r="C3370" s="57" t="n"/>
      <c r="D3370" s="57" t="n"/>
      <c r="E3370" s="56" t="n"/>
      <c r="F3370" s="57" t="n"/>
      <c r="G3370" s="57" t="n"/>
      <c r="H3370" s="56" t="n"/>
      <c r="I3370" s="56" t="n"/>
      <c r="J3370" s="58" t="n"/>
      <c r="K3370" s="58" t="n"/>
      <c r="L3370" s="13">
        <f>IF(OR($A3370="",AND($J3370="",$K3370="")),"",ROUND(N($J3370)-N($K3370),2))</f>
        <v/>
      </c>
      <c r="M3370" s="13">
        <f>IF(OR($A3370="",AND($J3370="",$K3370="")),"",MIN($J3370,$K3370))</f>
        <v/>
      </c>
      <c r="Q3370">
        <f>IF($A3370="","",$D3370&amp;"("&amp;SUBSTITUTE($E3370," ","")&amp;")")</f>
        <v/>
      </c>
      <c r="R3370">
        <f>IF($A3370="","",$B3370&amp;" - "&amp;$C3370)</f>
        <v/>
      </c>
      <c r="S3370">
        <f>IF($A3370="","",$R3370&amp;"|"&amp;$Q3370)</f>
        <v/>
      </c>
      <c r="T3370">
        <f>IF($A3370="","",$S3370&amp;"|"&amp;$F3370)</f>
        <v/>
      </c>
      <c r="U3370">
        <f>IF($A3370="","",$R3370&amp;"("&amp;$E3370&amp;")")</f>
        <v/>
      </c>
      <c r="V3370">
        <f>IF($A3370="","",$F3370&amp;"|"&amp;$U3370&amp;"|"&amp;$D3370)</f>
        <v/>
      </c>
      <c r="W3370">
        <f>IF($T3370="","",IF($X3370&gt;N($X3369),$X3370,""))</f>
        <v/>
      </c>
      <c r="X3370">
        <f>IF($T3370="",N($X3369),IF(MATCH($T3370,$T$6:$T$6005,0)=ROW()-5,N($X3369)+1,N($X3369)))</f>
        <v/>
      </c>
      <c r="Z3370">
        <f>IF($V3370="","",IF($AA3370&gt;N($AA3369),$AA3370,""))</f>
        <v/>
      </c>
      <c r="AA3370">
        <f>IF($V3370="",N($AA3369),IF(MATCH($V3370,$V$6:$V$6005,0)=ROW()-5,N($AA3369)+1,N($AA3369)))</f>
        <v/>
      </c>
    </row>
    <row r="3371" ht="21" customHeight="1" s="66">
      <c r="A3371" s="56" t="n"/>
      <c r="B3371" s="57" t="n"/>
      <c r="C3371" s="57" t="n"/>
      <c r="D3371" s="57" t="n"/>
      <c r="E3371" s="56" t="n"/>
      <c r="F3371" s="57" t="n"/>
      <c r="G3371" s="57" t="n"/>
      <c r="H3371" s="56" t="n"/>
      <c r="I3371" s="56" t="n"/>
      <c r="J3371" s="58" t="n"/>
      <c r="K3371" s="58" t="n"/>
      <c r="L3371" s="13">
        <f>IF(OR($A3371="",AND($J3371="",$K3371="")),"",ROUND(N($J3371)-N($K3371),2))</f>
        <v/>
      </c>
      <c r="M3371" s="13">
        <f>IF(OR($A3371="",AND($J3371="",$K3371="")),"",MIN($J3371,$K3371))</f>
        <v/>
      </c>
      <c r="Q3371">
        <f>IF($A3371="","",$D3371&amp;"("&amp;SUBSTITUTE($E3371," ","")&amp;")")</f>
        <v/>
      </c>
      <c r="R3371">
        <f>IF($A3371="","",$B3371&amp;" - "&amp;$C3371)</f>
        <v/>
      </c>
      <c r="S3371">
        <f>IF($A3371="","",$R3371&amp;"|"&amp;$Q3371)</f>
        <v/>
      </c>
      <c r="T3371">
        <f>IF($A3371="","",$S3371&amp;"|"&amp;$F3371)</f>
        <v/>
      </c>
      <c r="U3371">
        <f>IF($A3371="","",$R3371&amp;"("&amp;$E3371&amp;")")</f>
        <v/>
      </c>
      <c r="V3371">
        <f>IF($A3371="","",$F3371&amp;"|"&amp;$U3371&amp;"|"&amp;$D3371)</f>
        <v/>
      </c>
      <c r="W3371">
        <f>IF($T3371="","",IF($X3371&gt;N($X3370),$X3371,""))</f>
        <v/>
      </c>
      <c r="X3371">
        <f>IF($T3371="",N($X3370),IF(MATCH($T3371,$T$6:$T$6005,0)=ROW()-5,N($X3370)+1,N($X3370)))</f>
        <v/>
      </c>
      <c r="Z3371">
        <f>IF($V3371="","",IF($AA3371&gt;N($AA3370),$AA3371,""))</f>
        <v/>
      </c>
      <c r="AA3371">
        <f>IF($V3371="",N($AA3370),IF(MATCH($V3371,$V$6:$V$6005,0)=ROW()-5,N($AA3370)+1,N($AA3370)))</f>
        <v/>
      </c>
    </row>
    <row r="3372" ht="21" customHeight="1" s="66">
      <c r="A3372" s="56" t="n"/>
      <c r="B3372" s="57" t="n"/>
      <c r="C3372" s="57" t="n"/>
      <c r="D3372" s="57" t="n"/>
      <c r="E3372" s="56" t="n"/>
      <c r="F3372" s="57" t="n"/>
      <c r="G3372" s="57" t="n"/>
      <c r="H3372" s="56" t="n"/>
      <c r="I3372" s="56" t="n"/>
      <c r="J3372" s="58" t="n"/>
      <c r="K3372" s="58" t="n"/>
      <c r="L3372" s="13">
        <f>IF(OR($A3372="",AND($J3372="",$K3372="")),"",ROUND(N($J3372)-N($K3372),2))</f>
        <v/>
      </c>
      <c r="M3372" s="13">
        <f>IF(OR($A3372="",AND($J3372="",$K3372="")),"",MIN($J3372,$K3372))</f>
        <v/>
      </c>
      <c r="Q3372">
        <f>IF($A3372="","",$D3372&amp;"("&amp;SUBSTITUTE($E3372," ","")&amp;")")</f>
        <v/>
      </c>
      <c r="R3372">
        <f>IF($A3372="","",$B3372&amp;" - "&amp;$C3372)</f>
        <v/>
      </c>
      <c r="S3372">
        <f>IF($A3372="","",$R3372&amp;"|"&amp;$Q3372)</f>
        <v/>
      </c>
      <c r="T3372">
        <f>IF($A3372="","",$S3372&amp;"|"&amp;$F3372)</f>
        <v/>
      </c>
      <c r="U3372">
        <f>IF($A3372="","",$R3372&amp;"("&amp;$E3372&amp;")")</f>
        <v/>
      </c>
      <c r="V3372">
        <f>IF($A3372="","",$F3372&amp;"|"&amp;$U3372&amp;"|"&amp;$D3372)</f>
        <v/>
      </c>
      <c r="W3372">
        <f>IF($T3372="","",IF($X3372&gt;N($X3371),$X3372,""))</f>
        <v/>
      </c>
      <c r="X3372">
        <f>IF($T3372="",N($X3371),IF(MATCH($T3372,$T$6:$T$6005,0)=ROW()-5,N($X3371)+1,N($X3371)))</f>
        <v/>
      </c>
      <c r="Z3372">
        <f>IF($V3372="","",IF($AA3372&gt;N($AA3371),$AA3372,""))</f>
        <v/>
      </c>
      <c r="AA3372">
        <f>IF($V3372="",N($AA3371),IF(MATCH($V3372,$V$6:$V$6005,0)=ROW()-5,N($AA3371)+1,N($AA3371)))</f>
        <v/>
      </c>
    </row>
    <row r="3373" ht="21" customHeight="1" s="66">
      <c r="A3373" s="56" t="n"/>
      <c r="B3373" s="57" t="n"/>
      <c r="C3373" s="57" t="n"/>
      <c r="D3373" s="57" t="n"/>
      <c r="E3373" s="56" t="n"/>
      <c r="F3373" s="57" t="n"/>
      <c r="G3373" s="57" t="n"/>
      <c r="H3373" s="56" t="n"/>
      <c r="I3373" s="56" t="n"/>
      <c r="J3373" s="58" t="n"/>
      <c r="K3373" s="58" t="n"/>
      <c r="L3373" s="13">
        <f>IF(OR($A3373="",AND($J3373="",$K3373="")),"",ROUND(N($J3373)-N($K3373),2))</f>
        <v/>
      </c>
      <c r="M3373" s="13">
        <f>IF(OR($A3373="",AND($J3373="",$K3373="")),"",MIN($J3373,$K3373))</f>
        <v/>
      </c>
      <c r="Q3373">
        <f>IF($A3373="","",$D3373&amp;"("&amp;SUBSTITUTE($E3373," ","")&amp;")")</f>
        <v/>
      </c>
      <c r="R3373">
        <f>IF($A3373="","",$B3373&amp;" - "&amp;$C3373)</f>
        <v/>
      </c>
      <c r="S3373">
        <f>IF($A3373="","",$R3373&amp;"|"&amp;$Q3373)</f>
        <v/>
      </c>
      <c r="T3373">
        <f>IF($A3373="","",$S3373&amp;"|"&amp;$F3373)</f>
        <v/>
      </c>
      <c r="U3373">
        <f>IF($A3373="","",$R3373&amp;"("&amp;$E3373&amp;")")</f>
        <v/>
      </c>
      <c r="V3373">
        <f>IF($A3373="","",$F3373&amp;"|"&amp;$U3373&amp;"|"&amp;$D3373)</f>
        <v/>
      </c>
      <c r="W3373">
        <f>IF($T3373="","",IF($X3373&gt;N($X3372),$X3373,""))</f>
        <v/>
      </c>
      <c r="X3373">
        <f>IF($T3373="",N($X3372),IF(MATCH($T3373,$T$6:$T$6005,0)=ROW()-5,N($X3372)+1,N($X3372)))</f>
        <v/>
      </c>
      <c r="Z3373">
        <f>IF($V3373="","",IF($AA3373&gt;N($AA3372),$AA3373,""))</f>
        <v/>
      </c>
      <c r="AA3373">
        <f>IF($V3373="",N($AA3372),IF(MATCH($V3373,$V$6:$V$6005,0)=ROW()-5,N($AA3372)+1,N($AA3372)))</f>
        <v/>
      </c>
    </row>
    <row r="3374" ht="21" customHeight="1" s="66">
      <c r="A3374" s="56" t="n"/>
      <c r="B3374" s="57" t="n"/>
      <c r="C3374" s="57" t="n"/>
      <c r="D3374" s="57" t="n"/>
      <c r="E3374" s="56" t="n"/>
      <c r="F3374" s="57" t="n"/>
      <c r="G3374" s="57" t="n"/>
      <c r="H3374" s="56" t="n"/>
      <c r="I3374" s="56" t="n"/>
      <c r="J3374" s="58" t="n"/>
      <c r="K3374" s="58" t="n"/>
      <c r="L3374" s="13">
        <f>IF(OR($A3374="",AND($J3374="",$K3374="")),"",ROUND(N($J3374)-N($K3374),2))</f>
        <v/>
      </c>
      <c r="M3374" s="13">
        <f>IF(OR($A3374="",AND($J3374="",$K3374="")),"",MIN($J3374,$K3374))</f>
        <v/>
      </c>
      <c r="Q3374">
        <f>IF($A3374="","",$D3374&amp;"("&amp;SUBSTITUTE($E3374," ","")&amp;")")</f>
        <v/>
      </c>
      <c r="R3374">
        <f>IF($A3374="","",$B3374&amp;" - "&amp;$C3374)</f>
        <v/>
      </c>
      <c r="S3374">
        <f>IF($A3374="","",$R3374&amp;"|"&amp;$Q3374)</f>
        <v/>
      </c>
      <c r="T3374">
        <f>IF($A3374="","",$S3374&amp;"|"&amp;$F3374)</f>
        <v/>
      </c>
      <c r="U3374">
        <f>IF($A3374="","",$R3374&amp;"("&amp;$E3374&amp;")")</f>
        <v/>
      </c>
      <c r="V3374">
        <f>IF($A3374="","",$F3374&amp;"|"&amp;$U3374&amp;"|"&amp;$D3374)</f>
        <v/>
      </c>
      <c r="W3374">
        <f>IF($T3374="","",IF($X3374&gt;N($X3373),$X3374,""))</f>
        <v/>
      </c>
      <c r="X3374">
        <f>IF($T3374="",N($X3373),IF(MATCH($T3374,$T$6:$T$6005,0)=ROW()-5,N($X3373)+1,N($X3373)))</f>
        <v/>
      </c>
      <c r="Z3374">
        <f>IF($V3374="","",IF($AA3374&gt;N($AA3373),$AA3374,""))</f>
        <v/>
      </c>
      <c r="AA3374">
        <f>IF($V3374="",N($AA3373),IF(MATCH($V3374,$V$6:$V$6005,0)=ROW()-5,N($AA3373)+1,N($AA3373)))</f>
        <v/>
      </c>
    </row>
    <row r="3375" ht="21" customHeight="1" s="66">
      <c r="A3375" s="56" t="n"/>
      <c r="B3375" s="57" t="n"/>
      <c r="C3375" s="57" t="n"/>
      <c r="D3375" s="57" t="n"/>
      <c r="E3375" s="56" t="n"/>
      <c r="F3375" s="57" t="n"/>
      <c r="G3375" s="57" t="n"/>
      <c r="H3375" s="56" t="n"/>
      <c r="I3375" s="56" t="n"/>
      <c r="J3375" s="58" t="n"/>
      <c r="K3375" s="58" t="n"/>
      <c r="L3375" s="13">
        <f>IF(OR($A3375="",AND($J3375="",$K3375="")),"",ROUND(N($J3375)-N($K3375),2))</f>
        <v/>
      </c>
      <c r="M3375" s="13">
        <f>IF(OR($A3375="",AND($J3375="",$K3375="")),"",MIN($J3375,$K3375))</f>
        <v/>
      </c>
      <c r="Q3375">
        <f>IF($A3375="","",$D3375&amp;"("&amp;SUBSTITUTE($E3375," ","")&amp;")")</f>
        <v/>
      </c>
      <c r="R3375">
        <f>IF($A3375="","",$B3375&amp;" - "&amp;$C3375)</f>
        <v/>
      </c>
      <c r="S3375">
        <f>IF($A3375="","",$R3375&amp;"|"&amp;$Q3375)</f>
        <v/>
      </c>
      <c r="T3375">
        <f>IF($A3375="","",$S3375&amp;"|"&amp;$F3375)</f>
        <v/>
      </c>
      <c r="U3375">
        <f>IF($A3375="","",$R3375&amp;"("&amp;$E3375&amp;")")</f>
        <v/>
      </c>
      <c r="V3375">
        <f>IF($A3375="","",$F3375&amp;"|"&amp;$U3375&amp;"|"&amp;$D3375)</f>
        <v/>
      </c>
      <c r="W3375">
        <f>IF($T3375="","",IF($X3375&gt;N($X3374),$X3375,""))</f>
        <v/>
      </c>
      <c r="X3375">
        <f>IF($T3375="",N($X3374),IF(MATCH($T3375,$T$6:$T$6005,0)=ROW()-5,N($X3374)+1,N($X3374)))</f>
        <v/>
      </c>
      <c r="Z3375">
        <f>IF($V3375="","",IF($AA3375&gt;N($AA3374),$AA3375,""))</f>
        <v/>
      </c>
      <c r="AA3375">
        <f>IF($V3375="",N($AA3374),IF(MATCH($V3375,$V$6:$V$6005,0)=ROW()-5,N($AA3374)+1,N($AA3374)))</f>
        <v/>
      </c>
    </row>
    <row r="3376" ht="21" customHeight="1" s="66">
      <c r="A3376" s="56" t="n"/>
      <c r="B3376" s="57" t="n"/>
      <c r="C3376" s="57" t="n"/>
      <c r="D3376" s="57" t="n"/>
      <c r="E3376" s="56" t="n"/>
      <c r="F3376" s="57" t="n"/>
      <c r="G3376" s="57" t="n"/>
      <c r="H3376" s="56" t="n"/>
      <c r="I3376" s="56" t="n"/>
      <c r="J3376" s="58" t="n"/>
      <c r="K3376" s="58" t="n"/>
      <c r="L3376" s="13">
        <f>IF(OR($A3376="",AND($J3376="",$K3376="")),"",ROUND(N($J3376)-N($K3376),2))</f>
        <v/>
      </c>
      <c r="M3376" s="13">
        <f>IF(OR($A3376="",AND($J3376="",$K3376="")),"",MIN($J3376,$K3376))</f>
        <v/>
      </c>
      <c r="Q3376">
        <f>IF($A3376="","",$D3376&amp;"("&amp;SUBSTITUTE($E3376," ","")&amp;")")</f>
        <v/>
      </c>
      <c r="R3376">
        <f>IF($A3376="","",$B3376&amp;" - "&amp;$C3376)</f>
        <v/>
      </c>
      <c r="S3376">
        <f>IF($A3376="","",$R3376&amp;"|"&amp;$Q3376)</f>
        <v/>
      </c>
      <c r="T3376">
        <f>IF($A3376="","",$S3376&amp;"|"&amp;$F3376)</f>
        <v/>
      </c>
      <c r="U3376">
        <f>IF($A3376="","",$R3376&amp;"("&amp;$E3376&amp;")")</f>
        <v/>
      </c>
      <c r="V3376">
        <f>IF($A3376="","",$F3376&amp;"|"&amp;$U3376&amp;"|"&amp;$D3376)</f>
        <v/>
      </c>
      <c r="W3376">
        <f>IF($T3376="","",IF($X3376&gt;N($X3375),$X3376,""))</f>
        <v/>
      </c>
      <c r="X3376">
        <f>IF($T3376="",N($X3375),IF(MATCH($T3376,$T$6:$T$6005,0)=ROW()-5,N($X3375)+1,N($X3375)))</f>
        <v/>
      </c>
      <c r="Z3376">
        <f>IF($V3376="","",IF($AA3376&gt;N($AA3375),$AA3376,""))</f>
        <v/>
      </c>
      <c r="AA3376">
        <f>IF($V3376="",N($AA3375),IF(MATCH($V3376,$V$6:$V$6005,0)=ROW()-5,N($AA3375)+1,N($AA3375)))</f>
        <v/>
      </c>
    </row>
    <row r="3377" ht="21" customHeight="1" s="66">
      <c r="A3377" s="56" t="n"/>
      <c r="B3377" s="57" t="n"/>
      <c r="C3377" s="57" t="n"/>
      <c r="D3377" s="57" t="n"/>
      <c r="E3377" s="56" t="n"/>
      <c r="F3377" s="57" t="n"/>
      <c r="G3377" s="57" t="n"/>
      <c r="H3377" s="56" t="n"/>
      <c r="I3377" s="56" t="n"/>
      <c r="J3377" s="58" t="n"/>
      <c r="K3377" s="58" t="n"/>
      <c r="L3377" s="13">
        <f>IF(OR($A3377="",AND($J3377="",$K3377="")),"",ROUND(N($J3377)-N($K3377),2))</f>
        <v/>
      </c>
      <c r="M3377" s="13">
        <f>IF(OR($A3377="",AND($J3377="",$K3377="")),"",MIN($J3377,$K3377))</f>
        <v/>
      </c>
      <c r="Q3377">
        <f>IF($A3377="","",$D3377&amp;"("&amp;SUBSTITUTE($E3377," ","")&amp;")")</f>
        <v/>
      </c>
      <c r="R3377">
        <f>IF($A3377="","",$B3377&amp;" - "&amp;$C3377)</f>
        <v/>
      </c>
      <c r="S3377">
        <f>IF($A3377="","",$R3377&amp;"|"&amp;$Q3377)</f>
        <v/>
      </c>
      <c r="T3377">
        <f>IF($A3377="","",$S3377&amp;"|"&amp;$F3377)</f>
        <v/>
      </c>
      <c r="U3377">
        <f>IF($A3377="","",$R3377&amp;"("&amp;$E3377&amp;")")</f>
        <v/>
      </c>
      <c r="V3377">
        <f>IF($A3377="","",$F3377&amp;"|"&amp;$U3377&amp;"|"&amp;$D3377)</f>
        <v/>
      </c>
      <c r="W3377">
        <f>IF($T3377="","",IF($X3377&gt;N($X3376),$X3377,""))</f>
        <v/>
      </c>
      <c r="X3377">
        <f>IF($T3377="",N($X3376),IF(MATCH($T3377,$T$6:$T$6005,0)=ROW()-5,N($X3376)+1,N($X3376)))</f>
        <v/>
      </c>
      <c r="Z3377">
        <f>IF($V3377="","",IF($AA3377&gt;N($AA3376),$AA3377,""))</f>
        <v/>
      </c>
      <c r="AA3377">
        <f>IF($V3377="",N($AA3376),IF(MATCH($V3377,$V$6:$V$6005,0)=ROW()-5,N($AA3376)+1,N($AA3376)))</f>
        <v/>
      </c>
    </row>
    <row r="3378" ht="21" customHeight="1" s="66">
      <c r="A3378" s="56" t="n"/>
      <c r="B3378" s="57" t="n"/>
      <c r="C3378" s="57" t="n"/>
      <c r="D3378" s="57" t="n"/>
      <c r="E3378" s="56" t="n"/>
      <c r="F3378" s="57" t="n"/>
      <c r="G3378" s="57" t="n"/>
      <c r="H3378" s="56" t="n"/>
      <c r="I3378" s="56" t="n"/>
      <c r="J3378" s="58" t="n"/>
      <c r="K3378" s="58" t="n"/>
      <c r="L3378" s="13">
        <f>IF(OR($A3378="",AND($J3378="",$K3378="")),"",ROUND(N($J3378)-N($K3378),2))</f>
        <v/>
      </c>
      <c r="M3378" s="13">
        <f>IF(OR($A3378="",AND($J3378="",$K3378="")),"",MIN($J3378,$K3378))</f>
        <v/>
      </c>
      <c r="Q3378">
        <f>IF($A3378="","",$D3378&amp;"("&amp;SUBSTITUTE($E3378," ","")&amp;")")</f>
        <v/>
      </c>
      <c r="R3378">
        <f>IF($A3378="","",$B3378&amp;" - "&amp;$C3378)</f>
        <v/>
      </c>
      <c r="S3378">
        <f>IF($A3378="","",$R3378&amp;"|"&amp;$Q3378)</f>
        <v/>
      </c>
      <c r="T3378">
        <f>IF($A3378="","",$S3378&amp;"|"&amp;$F3378)</f>
        <v/>
      </c>
      <c r="U3378">
        <f>IF($A3378="","",$R3378&amp;"("&amp;$E3378&amp;")")</f>
        <v/>
      </c>
      <c r="V3378">
        <f>IF($A3378="","",$F3378&amp;"|"&amp;$U3378&amp;"|"&amp;$D3378)</f>
        <v/>
      </c>
      <c r="W3378">
        <f>IF($T3378="","",IF($X3378&gt;N($X3377),$X3378,""))</f>
        <v/>
      </c>
      <c r="X3378">
        <f>IF($T3378="",N($X3377),IF(MATCH($T3378,$T$6:$T$6005,0)=ROW()-5,N($X3377)+1,N($X3377)))</f>
        <v/>
      </c>
      <c r="Z3378">
        <f>IF($V3378="","",IF($AA3378&gt;N($AA3377),$AA3378,""))</f>
        <v/>
      </c>
      <c r="AA3378">
        <f>IF($V3378="",N($AA3377),IF(MATCH($V3378,$V$6:$V$6005,0)=ROW()-5,N($AA3377)+1,N($AA3377)))</f>
        <v/>
      </c>
    </row>
    <row r="3379" ht="21" customHeight="1" s="66">
      <c r="A3379" s="56" t="n"/>
      <c r="B3379" s="57" t="n"/>
      <c r="C3379" s="57" t="n"/>
      <c r="D3379" s="57" t="n"/>
      <c r="E3379" s="56" t="n"/>
      <c r="F3379" s="57" t="n"/>
      <c r="G3379" s="57" t="n"/>
      <c r="H3379" s="56" t="n"/>
      <c r="I3379" s="56" t="n"/>
      <c r="J3379" s="58" t="n"/>
      <c r="K3379" s="58" t="n"/>
      <c r="L3379" s="13">
        <f>IF(OR($A3379="",AND($J3379="",$K3379="")),"",ROUND(N($J3379)-N($K3379),2))</f>
        <v/>
      </c>
      <c r="M3379" s="13">
        <f>IF(OR($A3379="",AND($J3379="",$K3379="")),"",MIN($J3379,$K3379))</f>
        <v/>
      </c>
      <c r="Q3379">
        <f>IF($A3379="","",$D3379&amp;"("&amp;SUBSTITUTE($E3379," ","")&amp;")")</f>
        <v/>
      </c>
      <c r="R3379">
        <f>IF($A3379="","",$B3379&amp;" - "&amp;$C3379)</f>
        <v/>
      </c>
      <c r="S3379">
        <f>IF($A3379="","",$R3379&amp;"|"&amp;$Q3379)</f>
        <v/>
      </c>
      <c r="T3379">
        <f>IF($A3379="","",$S3379&amp;"|"&amp;$F3379)</f>
        <v/>
      </c>
      <c r="U3379">
        <f>IF($A3379="","",$R3379&amp;"("&amp;$E3379&amp;")")</f>
        <v/>
      </c>
      <c r="V3379">
        <f>IF($A3379="","",$F3379&amp;"|"&amp;$U3379&amp;"|"&amp;$D3379)</f>
        <v/>
      </c>
      <c r="W3379">
        <f>IF($T3379="","",IF($X3379&gt;N($X3378),$X3379,""))</f>
        <v/>
      </c>
      <c r="X3379">
        <f>IF($T3379="",N($X3378),IF(MATCH($T3379,$T$6:$T$6005,0)=ROW()-5,N($X3378)+1,N($X3378)))</f>
        <v/>
      </c>
      <c r="Z3379">
        <f>IF($V3379="","",IF($AA3379&gt;N($AA3378),$AA3379,""))</f>
        <v/>
      </c>
      <c r="AA3379">
        <f>IF($V3379="",N($AA3378),IF(MATCH($V3379,$V$6:$V$6005,0)=ROW()-5,N($AA3378)+1,N($AA3378)))</f>
        <v/>
      </c>
    </row>
    <row r="3380" ht="21" customHeight="1" s="66">
      <c r="A3380" s="56" t="n"/>
      <c r="B3380" s="57" t="n"/>
      <c r="C3380" s="57" t="n"/>
      <c r="D3380" s="57" t="n"/>
      <c r="E3380" s="56" t="n"/>
      <c r="F3380" s="57" t="n"/>
      <c r="G3380" s="57" t="n"/>
      <c r="H3380" s="56" t="n"/>
      <c r="I3380" s="56" t="n"/>
      <c r="J3380" s="58" t="n"/>
      <c r="K3380" s="58" t="n"/>
      <c r="L3380" s="13">
        <f>IF(OR($A3380="",AND($J3380="",$K3380="")),"",ROUND(N($J3380)-N($K3380),2))</f>
        <v/>
      </c>
      <c r="M3380" s="13">
        <f>IF(OR($A3380="",AND($J3380="",$K3380="")),"",MIN($J3380,$K3380))</f>
        <v/>
      </c>
      <c r="Q3380">
        <f>IF($A3380="","",$D3380&amp;"("&amp;SUBSTITUTE($E3380," ","")&amp;")")</f>
        <v/>
      </c>
      <c r="R3380">
        <f>IF($A3380="","",$B3380&amp;" - "&amp;$C3380)</f>
        <v/>
      </c>
      <c r="S3380">
        <f>IF($A3380="","",$R3380&amp;"|"&amp;$Q3380)</f>
        <v/>
      </c>
      <c r="T3380">
        <f>IF($A3380="","",$S3380&amp;"|"&amp;$F3380)</f>
        <v/>
      </c>
      <c r="U3380">
        <f>IF($A3380="","",$R3380&amp;"("&amp;$E3380&amp;")")</f>
        <v/>
      </c>
      <c r="V3380">
        <f>IF($A3380="","",$F3380&amp;"|"&amp;$U3380&amp;"|"&amp;$D3380)</f>
        <v/>
      </c>
      <c r="W3380">
        <f>IF($T3380="","",IF($X3380&gt;N($X3379),$X3380,""))</f>
        <v/>
      </c>
      <c r="X3380">
        <f>IF($T3380="",N($X3379),IF(MATCH($T3380,$T$6:$T$6005,0)=ROW()-5,N($X3379)+1,N($X3379)))</f>
        <v/>
      </c>
      <c r="Z3380">
        <f>IF($V3380="","",IF($AA3380&gt;N($AA3379),$AA3380,""))</f>
        <v/>
      </c>
      <c r="AA3380">
        <f>IF($V3380="",N($AA3379),IF(MATCH($V3380,$V$6:$V$6005,0)=ROW()-5,N($AA3379)+1,N($AA3379)))</f>
        <v/>
      </c>
    </row>
    <row r="3381" ht="21" customHeight="1" s="66">
      <c r="A3381" s="56" t="n"/>
      <c r="B3381" s="57" t="n"/>
      <c r="C3381" s="57" t="n"/>
      <c r="D3381" s="57" t="n"/>
      <c r="E3381" s="56" t="n"/>
      <c r="F3381" s="57" t="n"/>
      <c r="G3381" s="57" t="n"/>
      <c r="H3381" s="56" t="n"/>
      <c r="I3381" s="56" t="n"/>
      <c r="J3381" s="58" t="n"/>
      <c r="K3381" s="58" t="n"/>
      <c r="L3381" s="13">
        <f>IF(OR($A3381="",AND($J3381="",$K3381="")),"",ROUND(N($J3381)-N($K3381),2))</f>
        <v/>
      </c>
      <c r="M3381" s="13">
        <f>IF(OR($A3381="",AND($J3381="",$K3381="")),"",MIN($J3381,$K3381))</f>
        <v/>
      </c>
      <c r="Q3381">
        <f>IF($A3381="","",$D3381&amp;"("&amp;SUBSTITUTE($E3381," ","")&amp;")")</f>
        <v/>
      </c>
      <c r="R3381">
        <f>IF($A3381="","",$B3381&amp;" - "&amp;$C3381)</f>
        <v/>
      </c>
      <c r="S3381">
        <f>IF($A3381="","",$R3381&amp;"|"&amp;$Q3381)</f>
        <v/>
      </c>
      <c r="T3381">
        <f>IF($A3381="","",$S3381&amp;"|"&amp;$F3381)</f>
        <v/>
      </c>
      <c r="U3381">
        <f>IF($A3381="","",$R3381&amp;"("&amp;$E3381&amp;")")</f>
        <v/>
      </c>
      <c r="V3381">
        <f>IF($A3381="","",$F3381&amp;"|"&amp;$U3381&amp;"|"&amp;$D3381)</f>
        <v/>
      </c>
      <c r="W3381">
        <f>IF($T3381="","",IF($X3381&gt;N($X3380),$X3381,""))</f>
        <v/>
      </c>
      <c r="X3381">
        <f>IF($T3381="",N($X3380),IF(MATCH($T3381,$T$6:$T$6005,0)=ROW()-5,N($X3380)+1,N($X3380)))</f>
        <v/>
      </c>
      <c r="Z3381">
        <f>IF($V3381="","",IF($AA3381&gt;N($AA3380),$AA3381,""))</f>
        <v/>
      </c>
      <c r="AA3381">
        <f>IF($V3381="",N($AA3380),IF(MATCH($V3381,$V$6:$V$6005,0)=ROW()-5,N($AA3380)+1,N($AA3380)))</f>
        <v/>
      </c>
    </row>
    <row r="3382" ht="21" customHeight="1" s="66">
      <c r="A3382" s="56" t="n"/>
      <c r="B3382" s="57" t="n"/>
      <c r="C3382" s="57" t="n"/>
      <c r="D3382" s="57" t="n"/>
      <c r="E3382" s="56" t="n"/>
      <c r="F3382" s="57" t="n"/>
      <c r="G3382" s="57" t="n"/>
      <c r="H3382" s="56" t="n"/>
      <c r="I3382" s="56" t="n"/>
      <c r="J3382" s="58" t="n"/>
      <c r="K3382" s="58" t="n"/>
      <c r="L3382" s="13">
        <f>IF(OR($A3382="",AND($J3382="",$K3382="")),"",ROUND(N($J3382)-N($K3382),2))</f>
        <v/>
      </c>
      <c r="M3382" s="13">
        <f>IF(OR($A3382="",AND($J3382="",$K3382="")),"",MIN($J3382,$K3382))</f>
        <v/>
      </c>
      <c r="Q3382">
        <f>IF($A3382="","",$D3382&amp;"("&amp;SUBSTITUTE($E3382," ","")&amp;")")</f>
        <v/>
      </c>
      <c r="R3382">
        <f>IF($A3382="","",$B3382&amp;" - "&amp;$C3382)</f>
        <v/>
      </c>
      <c r="S3382">
        <f>IF($A3382="","",$R3382&amp;"|"&amp;$Q3382)</f>
        <v/>
      </c>
      <c r="T3382">
        <f>IF($A3382="","",$S3382&amp;"|"&amp;$F3382)</f>
        <v/>
      </c>
      <c r="U3382">
        <f>IF($A3382="","",$R3382&amp;"("&amp;$E3382&amp;")")</f>
        <v/>
      </c>
      <c r="V3382">
        <f>IF($A3382="","",$F3382&amp;"|"&amp;$U3382&amp;"|"&amp;$D3382)</f>
        <v/>
      </c>
      <c r="W3382">
        <f>IF($T3382="","",IF($X3382&gt;N($X3381),$X3382,""))</f>
        <v/>
      </c>
      <c r="X3382">
        <f>IF($T3382="",N($X3381),IF(MATCH($T3382,$T$6:$T$6005,0)=ROW()-5,N($X3381)+1,N($X3381)))</f>
        <v/>
      </c>
      <c r="Z3382">
        <f>IF($V3382="","",IF($AA3382&gt;N($AA3381),$AA3382,""))</f>
        <v/>
      </c>
      <c r="AA3382">
        <f>IF($V3382="",N($AA3381),IF(MATCH($V3382,$V$6:$V$6005,0)=ROW()-5,N($AA3381)+1,N($AA3381)))</f>
        <v/>
      </c>
    </row>
    <row r="3383" ht="21" customHeight="1" s="66">
      <c r="A3383" s="56" t="n"/>
      <c r="B3383" s="57" t="n"/>
      <c r="C3383" s="57" t="n"/>
      <c r="D3383" s="57" t="n"/>
      <c r="E3383" s="56" t="n"/>
      <c r="F3383" s="57" t="n"/>
      <c r="G3383" s="57" t="n"/>
      <c r="H3383" s="56" t="n"/>
      <c r="I3383" s="56" t="n"/>
      <c r="J3383" s="58" t="n"/>
      <c r="K3383" s="58" t="n"/>
      <c r="L3383" s="13">
        <f>IF(OR($A3383="",AND($J3383="",$K3383="")),"",ROUND(N($J3383)-N($K3383),2))</f>
        <v/>
      </c>
      <c r="M3383" s="13">
        <f>IF(OR($A3383="",AND($J3383="",$K3383="")),"",MIN($J3383,$K3383))</f>
        <v/>
      </c>
      <c r="Q3383">
        <f>IF($A3383="","",$D3383&amp;"("&amp;SUBSTITUTE($E3383," ","")&amp;")")</f>
        <v/>
      </c>
      <c r="R3383">
        <f>IF($A3383="","",$B3383&amp;" - "&amp;$C3383)</f>
        <v/>
      </c>
      <c r="S3383">
        <f>IF($A3383="","",$R3383&amp;"|"&amp;$Q3383)</f>
        <v/>
      </c>
      <c r="T3383">
        <f>IF($A3383="","",$S3383&amp;"|"&amp;$F3383)</f>
        <v/>
      </c>
      <c r="U3383">
        <f>IF($A3383="","",$R3383&amp;"("&amp;$E3383&amp;")")</f>
        <v/>
      </c>
      <c r="V3383">
        <f>IF($A3383="","",$F3383&amp;"|"&amp;$U3383&amp;"|"&amp;$D3383)</f>
        <v/>
      </c>
      <c r="W3383">
        <f>IF($T3383="","",IF($X3383&gt;N($X3382),$X3383,""))</f>
        <v/>
      </c>
      <c r="X3383">
        <f>IF($T3383="",N($X3382),IF(MATCH($T3383,$T$6:$T$6005,0)=ROW()-5,N($X3382)+1,N($X3382)))</f>
        <v/>
      </c>
      <c r="Z3383">
        <f>IF($V3383="","",IF($AA3383&gt;N($AA3382),$AA3383,""))</f>
        <v/>
      </c>
      <c r="AA3383">
        <f>IF($V3383="",N($AA3382),IF(MATCH($V3383,$V$6:$V$6005,0)=ROW()-5,N($AA3382)+1,N($AA3382)))</f>
        <v/>
      </c>
    </row>
    <row r="3384" ht="21" customHeight="1" s="66">
      <c r="A3384" s="56" t="n"/>
      <c r="B3384" s="57" t="n"/>
      <c r="C3384" s="57" t="n"/>
      <c r="D3384" s="57" t="n"/>
      <c r="E3384" s="56" t="n"/>
      <c r="F3384" s="57" t="n"/>
      <c r="G3384" s="57" t="n"/>
      <c r="H3384" s="56" t="n"/>
      <c r="I3384" s="56" t="n"/>
      <c r="J3384" s="58" t="n"/>
      <c r="K3384" s="58" t="n"/>
      <c r="L3384" s="13">
        <f>IF(OR($A3384="",AND($J3384="",$K3384="")),"",ROUND(N($J3384)-N($K3384),2))</f>
        <v/>
      </c>
      <c r="M3384" s="13">
        <f>IF(OR($A3384="",AND($J3384="",$K3384="")),"",MIN($J3384,$K3384))</f>
        <v/>
      </c>
      <c r="Q3384">
        <f>IF($A3384="","",$D3384&amp;"("&amp;SUBSTITUTE($E3384," ","")&amp;")")</f>
        <v/>
      </c>
      <c r="R3384">
        <f>IF($A3384="","",$B3384&amp;" - "&amp;$C3384)</f>
        <v/>
      </c>
      <c r="S3384">
        <f>IF($A3384="","",$R3384&amp;"|"&amp;$Q3384)</f>
        <v/>
      </c>
      <c r="T3384">
        <f>IF($A3384="","",$S3384&amp;"|"&amp;$F3384)</f>
        <v/>
      </c>
      <c r="U3384">
        <f>IF($A3384="","",$R3384&amp;"("&amp;$E3384&amp;")")</f>
        <v/>
      </c>
      <c r="V3384">
        <f>IF($A3384="","",$F3384&amp;"|"&amp;$U3384&amp;"|"&amp;$D3384)</f>
        <v/>
      </c>
      <c r="W3384">
        <f>IF($T3384="","",IF($X3384&gt;N($X3383),$X3384,""))</f>
        <v/>
      </c>
      <c r="X3384">
        <f>IF($T3384="",N($X3383),IF(MATCH($T3384,$T$6:$T$6005,0)=ROW()-5,N($X3383)+1,N($X3383)))</f>
        <v/>
      </c>
      <c r="Z3384">
        <f>IF($V3384="","",IF($AA3384&gt;N($AA3383),$AA3384,""))</f>
        <v/>
      </c>
      <c r="AA3384">
        <f>IF($V3384="",N($AA3383),IF(MATCH($V3384,$V$6:$V$6005,0)=ROW()-5,N($AA3383)+1,N($AA3383)))</f>
        <v/>
      </c>
    </row>
    <row r="3385" ht="21" customHeight="1" s="66">
      <c r="A3385" s="56" t="n"/>
      <c r="B3385" s="57" t="n"/>
      <c r="C3385" s="57" t="n"/>
      <c r="D3385" s="57" t="n"/>
      <c r="E3385" s="56" t="n"/>
      <c r="F3385" s="57" t="n"/>
      <c r="G3385" s="57" t="n"/>
      <c r="H3385" s="56" t="n"/>
      <c r="I3385" s="56" t="n"/>
      <c r="J3385" s="58" t="n"/>
      <c r="K3385" s="58" t="n"/>
      <c r="L3385" s="13">
        <f>IF(OR($A3385="",AND($J3385="",$K3385="")),"",ROUND(N($J3385)-N($K3385),2))</f>
        <v/>
      </c>
      <c r="M3385" s="13">
        <f>IF(OR($A3385="",AND($J3385="",$K3385="")),"",MIN($J3385,$K3385))</f>
        <v/>
      </c>
      <c r="Q3385">
        <f>IF($A3385="","",$D3385&amp;"("&amp;SUBSTITUTE($E3385," ","")&amp;")")</f>
        <v/>
      </c>
      <c r="R3385">
        <f>IF($A3385="","",$B3385&amp;" - "&amp;$C3385)</f>
        <v/>
      </c>
      <c r="S3385">
        <f>IF($A3385="","",$R3385&amp;"|"&amp;$Q3385)</f>
        <v/>
      </c>
      <c r="T3385">
        <f>IF($A3385="","",$S3385&amp;"|"&amp;$F3385)</f>
        <v/>
      </c>
      <c r="U3385">
        <f>IF($A3385="","",$R3385&amp;"("&amp;$E3385&amp;")")</f>
        <v/>
      </c>
      <c r="V3385">
        <f>IF($A3385="","",$F3385&amp;"|"&amp;$U3385&amp;"|"&amp;$D3385)</f>
        <v/>
      </c>
      <c r="W3385">
        <f>IF($T3385="","",IF($X3385&gt;N($X3384),$X3385,""))</f>
        <v/>
      </c>
      <c r="X3385">
        <f>IF($T3385="",N($X3384),IF(MATCH($T3385,$T$6:$T$6005,0)=ROW()-5,N($X3384)+1,N($X3384)))</f>
        <v/>
      </c>
      <c r="Z3385">
        <f>IF($V3385="","",IF($AA3385&gt;N($AA3384),$AA3385,""))</f>
        <v/>
      </c>
      <c r="AA3385">
        <f>IF($V3385="",N($AA3384),IF(MATCH($V3385,$V$6:$V$6005,0)=ROW()-5,N($AA3384)+1,N($AA3384)))</f>
        <v/>
      </c>
    </row>
    <row r="3386" ht="21" customHeight="1" s="66">
      <c r="A3386" s="56" t="n"/>
      <c r="B3386" s="57" t="n"/>
      <c r="C3386" s="57" t="n"/>
      <c r="D3386" s="57" t="n"/>
      <c r="E3386" s="56" t="n"/>
      <c r="F3386" s="57" t="n"/>
      <c r="G3386" s="57" t="n"/>
      <c r="H3386" s="56" t="n"/>
      <c r="I3386" s="56" t="n"/>
      <c r="J3386" s="58" t="n"/>
      <c r="K3386" s="58" t="n"/>
      <c r="L3386" s="13">
        <f>IF(OR($A3386="",AND($J3386="",$K3386="")),"",ROUND(N($J3386)-N($K3386),2))</f>
        <v/>
      </c>
      <c r="M3386" s="13">
        <f>IF(OR($A3386="",AND($J3386="",$K3386="")),"",MIN($J3386,$K3386))</f>
        <v/>
      </c>
      <c r="Q3386">
        <f>IF($A3386="","",$D3386&amp;"("&amp;SUBSTITUTE($E3386," ","")&amp;")")</f>
        <v/>
      </c>
      <c r="R3386">
        <f>IF($A3386="","",$B3386&amp;" - "&amp;$C3386)</f>
        <v/>
      </c>
      <c r="S3386">
        <f>IF($A3386="","",$R3386&amp;"|"&amp;$Q3386)</f>
        <v/>
      </c>
      <c r="T3386">
        <f>IF($A3386="","",$S3386&amp;"|"&amp;$F3386)</f>
        <v/>
      </c>
      <c r="U3386">
        <f>IF($A3386="","",$R3386&amp;"("&amp;$E3386&amp;")")</f>
        <v/>
      </c>
      <c r="V3386">
        <f>IF($A3386="","",$F3386&amp;"|"&amp;$U3386&amp;"|"&amp;$D3386)</f>
        <v/>
      </c>
      <c r="W3386">
        <f>IF($T3386="","",IF($X3386&gt;N($X3385),$X3386,""))</f>
        <v/>
      </c>
      <c r="X3386">
        <f>IF($T3386="",N($X3385),IF(MATCH($T3386,$T$6:$T$6005,0)=ROW()-5,N($X3385)+1,N($X3385)))</f>
        <v/>
      </c>
      <c r="Z3386">
        <f>IF($V3386="","",IF($AA3386&gt;N($AA3385),$AA3386,""))</f>
        <v/>
      </c>
      <c r="AA3386">
        <f>IF($V3386="",N($AA3385),IF(MATCH($V3386,$V$6:$V$6005,0)=ROW()-5,N($AA3385)+1,N($AA3385)))</f>
        <v/>
      </c>
    </row>
    <row r="3387" ht="21" customHeight="1" s="66">
      <c r="A3387" s="56" t="n"/>
      <c r="B3387" s="57" t="n"/>
      <c r="C3387" s="57" t="n"/>
      <c r="D3387" s="57" t="n"/>
      <c r="E3387" s="56" t="n"/>
      <c r="F3387" s="57" t="n"/>
      <c r="G3387" s="57" t="n"/>
      <c r="H3387" s="56" t="n"/>
      <c r="I3387" s="56" t="n"/>
      <c r="J3387" s="58" t="n"/>
      <c r="K3387" s="58" t="n"/>
      <c r="L3387" s="13">
        <f>IF(OR($A3387="",AND($J3387="",$K3387="")),"",ROUND(N($J3387)-N($K3387),2))</f>
        <v/>
      </c>
      <c r="M3387" s="13">
        <f>IF(OR($A3387="",AND($J3387="",$K3387="")),"",MIN($J3387,$K3387))</f>
        <v/>
      </c>
      <c r="Q3387">
        <f>IF($A3387="","",$D3387&amp;"("&amp;SUBSTITUTE($E3387," ","")&amp;")")</f>
        <v/>
      </c>
      <c r="R3387">
        <f>IF($A3387="","",$B3387&amp;" - "&amp;$C3387)</f>
        <v/>
      </c>
      <c r="S3387">
        <f>IF($A3387="","",$R3387&amp;"|"&amp;$Q3387)</f>
        <v/>
      </c>
      <c r="T3387">
        <f>IF($A3387="","",$S3387&amp;"|"&amp;$F3387)</f>
        <v/>
      </c>
      <c r="U3387">
        <f>IF($A3387="","",$R3387&amp;"("&amp;$E3387&amp;")")</f>
        <v/>
      </c>
      <c r="V3387">
        <f>IF($A3387="","",$F3387&amp;"|"&amp;$U3387&amp;"|"&amp;$D3387)</f>
        <v/>
      </c>
      <c r="W3387">
        <f>IF($T3387="","",IF($X3387&gt;N($X3386),$X3387,""))</f>
        <v/>
      </c>
      <c r="X3387">
        <f>IF($T3387="",N($X3386),IF(MATCH($T3387,$T$6:$T$6005,0)=ROW()-5,N($X3386)+1,N($X3386)))</f>
        <v/>
      </c>
      <c r="Z3387">
        <f>IF($V3387="","",IF($AA3387&gt;N($AA3386),$AA3387,""))</f>
        <v/>
      </c>
      <c r="AA3387">
        <f>IF($V3387="",N($AA3386),IF(MATCH($V3387,$V$6:$V$6005,0)=ROW()-5,N($AA3386)+1,N($AA3386)))</f>
        <v/>
      </c>
    </row>
    <row r="3388" ht="21" customHeight="1" s="66">
      <c r="A3388" s="56" t="n"/>
      <c r="B3388" s="57" t="n"/>
      <c r="C3388" s="57" t="n"/>
      <c r="D3388" s="57" t="n"/>
      <c r="E3388" s="56" t="n"/>
      <c r="F3388" s="57" t="n"/>
      <c r="G3388" s="57" t="n"/>
      <c r="H3388" s="56" t="n"/>
      <c r="I3388" s="56" t="n"/>
      <c r="J3388" s="58" t="n"/>
      <c r="K3388" s="58" t="n"/>
      <c r="L3388" s="13">
        <f>IF(OR($A3388="",AND($J3388="",$K3388="")),"",ROUND(N($J3388)-N($K3388),2))</f>
        <v/>
      </c>
      <c r="M3388" s="13">
        <f>IF(OR($A3388="",AND($J3388="",$K3388="")),"",MIN($J3388,$K3388))</f>
        <v/>
      </c>
      <c r="Q3388">
        <f>IF($A3388="","",$D3388&amp;"("&amp;SUBSTITUTE($E3388," ","")&amp;")")</f>
        <v/>
      </c>
      <c r="R3388">
        <f>IF($A3388="","",$B3388&amp;" - "&amp;$C3388)</f>
        <v/>
      </c>
      <c r="S3388">
        <f>IF($A3388="","",$R3388&amp;"|"&amp;$Q3388)</f>
        <v/>
      </c>
      <c r="T3388">
        <f>IF($A3388="","",$S3388&amp;"|"&amp;$F3388)</f>
        <v/>
      </c>
      <c r="U3388">
        <f>IF($A3388="","",$R3388&amp;"("&amp;$E3388&amp;")")</f>
        <v/>
      </c>
      <c r="V3388">
        <f>IF($A3388="","",$F3388&amp;"|"&amp;$U3388&amp;"|"&amp;$D3388)</f>
        <v/>
      </c>
      <c r="W3388">
        <f>IF($T3388="","",IF($X3388&gt;N($X3387),$X3388,""))</f>
        <v/>
      </c>
      <c r="X3388">
        <f>IF($T3388="",N($X3387),IF(MATCH($T3388,$T$6:$T$6005,0)=ROW()-5,N($X3387)+1,N($X3387)))</f>
        <v/>
      </c>
      <c r="Z3388">
        <f>IF($V3388="","",IF($AA3388&gt;N($AA3387),$AA3388,""))</f>
        <v/>
      </c>
      <c r="AA3388">
        <f>IF($V3388="",N($AA3387),IF(MATCH($V3388,$V$6:$V$6005,0)=ROW()-5,N($AA3387)+1,N($AA3387)))</f>
        <v/>
      </c>
    </row>
    <row r="3389" ht="21" customHeight="1" s="66">
      <c r="A3389" s="56" t="n"/>
      <c r="B3389" s="57" t="n"/>
      <c r="C3389" s="57" t="n"/>
      <c r="D3389" s="57" t="n"/>
      <c r="E3389" s="56" t="n"/>
      <c r="F3389" s="57" t="n"/>
      <c r="G3389" s="57" t="n"/>
      <c r="H3389" s="56" t="n"/>
      <c r="I3389" s="56" t="n"/>
      <c r="J3389" s="58" t="n"/>
      <c r="K3389" s="58" t="n"/>
      <c r="L3389" s="13">
        <f>IF(OR($A3389="",AND($J3389="",$K3389="")),"",ROUND(N($J3389)-N($K3389),2))</f>
        <v/>
      </c>
      <c r="M3389" s="13">
        <f>IF(OR($A3389="",AND($J3389="",$K3389="")),"",MIN($J3389,$K3389))</f>
        <v/>
      </c>
      <c r="Q3389">
        <f>IF($A3389="","",$D3389&amp;"("&amp;SUBSTITUTE($E3389," ","")&amp;")")</f>
        <v/>
      </c>
      <c r="R3389">
        <f>IF($A3389="","",$B3389&amp;" - "&amp;$C3389)</f>
        <v/>
      </c>
      <c r="S3389">
        <f>IF($A3389="","",$R3389&amp;"|"&amp;$Q3389)</f>
        <v/>
      </c>
      <c r="T3389">
        <f>IF($A3389="","",$S3389&amp;"|"&amp;$F3389)</f>
        <v/>
      </c>
      <c r="U3389">
        <f>IF($A3389="","",$R3389&amp;"("&amp;$E3389&amp;")")</f>
        <v/>
      </c>
      <c r="V3389">
        <f>IF($A3389="","",$F3389&amp;"|"&amp;$U3389&amp;"|"&amp;$D3389)</f>
        <v/>
      </c>
      <c r="W3389">
        <f>IF($T3389="","",IF($X3389&gt;N($X3388),$X3389,""))</f>
        <v/>
      </c>
      <c r="X3389">
        <f>IF($T3389="",N($X3388),IF(MATCH($T3389,$T$6:$T$6005,0)=ROW()-5,N($X3388)+1,N($X3388)))</f>
        <v/>
      </c>
      <c r="Z3389">
        <f>IF($V3389="","",IF($AA3389&gt;N($AA3388),$AA3389,""))</f>
        <v/>
      </c>
      <c r="AA3389">
        <f>IF($V3389="",N($AA3388),IF(MATCH($V3389,$V$6:$V$6005,0)=ROW()-5,N($AA3388)+1,N($AA3388)))</f>
        <v/>
      </c>
    </row>
    <row r="3390" ht="21" customHeight="1" s="66">
      <c r="A3390" s="56" t="n"/>
      <c r="B3390" s="57" t="n"/>
      <c r="C3390" s="57" t="n"/>
      <c r="D3390" s="57" t="n"/>
      <c r="E3390" s="56" t="n"/>
      <c r="F3390" s="57" t="n"/>
      <c r="G3390" s="57" t="n"/>
      <c r="H3390" s="56" t="n"/>
      <c r="I3390" s="56" t="n"/>
      <c r="J3390" s="58" t="n"/>
      <c r="K3390" s="58" t="n"/>
      <c r="L3390" s="13">
        <f>IF(OR($A3390="",AND($J3390="",$K3390="")),"",ROUND(N($J3390)-N($K3390),2))</f>
        <v/>
      </c>
      <c r="M3390" s="13">
        <f>IF(OR($A3390="",AND($J3390="",$K3390="")),"",MIN($J3390,$K3390))</f>
        <v/>
      </c>
      <c r="Q3390">
        <f>IF($A3390="","",$D3390&amp;"("&amp;SUBSTITUTE($E3390," ","")&amp;")")</f>
        <v/>
      </c>
      <c r="R3390">
        <f>IF($A3390="","",$B3390&amp;" - "&amp;$C3390)</f>
        <v/>
      </c>
      <c r="S3390">
        <f>IF($A3390="","",$R3390&amp;"|"&amp;$Q3390)</f>
        <v/>
      </c>
      <c r="T3390">
        <f>IF($A3390="","",$S3390&amp;"|"&amp;$F3390)</f>
        <v/>
      </c>
      <c r="U3390">
        <f>IF($A3390="","",$R3390&amp;"("&amp;$E3390&amp;")")</f>
        <v/>
      </c>
      <c r="V3390">
        <f>IF($A3390="","",$F3390&amp;"|"&amp;$U3390&amp;"|"&amp;$D3390)</f>
        <v/>
      </c>
      <c r="W3390">
        <f>IF($T3390="","",IF($X3390&gt;N($X3389),$X3390,""))</f>
        <v/>
      </c>
      <c r="X3390">
        <f>IF($T3390="",N($X3389),IF(MATCH($T3390,$T$6:$T$6005,0)=ROW()-5,N($X3389)+1,N($X3389)))</f>
        <v/>
      </c>
      <c r="Z3390">
        <f>IF($V3390="","",IF($AA3390&gt;N($AA3389),$AA3390,""))</f>
        <v/>
      </c>
      <c r="AA3390">
        <f>IF($V3390="",N($AA3389),IF(MATCH($V3390,$V$6:$V$6005,0)=ROW()-5,N($AA3389)+1,N($AA3389)))</f>
        <v/>
      </c>
    </row>
    <row r="3391" ht="21" customHeight="1" s="66">
      <c r="A3391" s="56" t="n"/>
      <c r="B3391" s="57" t="n"/>
      <c r="C3391" s="57" t="n"/>
      <c r="D3391" s="57" t="n"/>
      <c r="E3391" s="56" t="n"/>
      <c r="F3391" s="57" t="n"/>
      <c r="G3391" s="57" t="n"/>
      <c r="H3391" s="56" t="n"/>
      <c r="I3391" s="56" t="n"/>
      <c r="J3391" s="58" t="n"/>
      <c r="K3391" s="58" t="n"/>
      <c r="L3391" s="13">
        <f>IF(OR($A3391="",AND($J3391="",$K3391="")),"",ROUND(N($J3391)-N($K3391),2))</f>
        <v/>
      </c>
      <c r="M3391" s="13">
        <f>IF(OR($A3391="",AND($J3391="",$K3391="")),"",MIN($J3391,$K3391))</f>
        <v/>
      </c>
      <c r="Q3391">
        <f>IF($A3391="","",$D3391&amp;"("&amp;SUBSTITUTE($E3391," ","")&amp;")")</f>
        <v/>
      </c>
      <c r="R3391">
        <f>IF($A3391="","",$B3391&amp;" - "&amp;$C3391)</f>
        <v/>
      </c>
      <c r="S3391">
        <f>IF($A3391="","",$R3391&amp;"|"&amp;$Q3391)</f>
        <v/>
      </c>
      <c r="T3391">
        <f>IF($A3391="","",$S3391&amp;"|"&amp;$F3391)</f>
        <v/>
      </c>
      <c r="U3391">
        <f>IF($A3391="","",$R3391&amp;"("&amp;$E3391&amp;")")</f>
        <v/>
      </c>
      <c r="V3391">
        <f>IF($A3391="","",$F3391&amp;"|"&amp;$U3391&amp;"|"&amp;$D3391)</f>
        <v/>
      </c>
      <c r="W3391">
        <f>IF($T3391="","",IF($X3391&gt;N($X3390),$X3391,""))</f>
        <v/>
      </c>
      <c r="X3391">
        <f>IF($T3391="",N($X3390),IF(MATCH($T3391,$T$6:$T$6005,0)=ROW()-5,N($X3390)+1,N($X3390)))</f>
        <v/>
      </c>
      <c r="Z3391">
        <f>IF($V3391="","",IF($AA3391&gt;N($AA3390),$AA3391,""))</f>
        <v/>
      </c>
      <c r="AA3391">
        <f>IF($V3391="",N($AA3390),IF(MATCH($V3391,$V$6:$V$6005,0)=ROW()-5,N($AA3390)+1,N($AA3390)))</f>
        <v/>
      </c>
    </row>
    <row r="3392" ht="21" customHeight="1" s="66">
      <c r="A3392" s="56" t="n"/>
      <c r="B3392" s="57" t="n"/>
      <c r="C3392" s="57" t="n"/>
      <c r="D3392" s="57" t="n"/>
      <c r="E3392" s="56" t="n"/>
      <c r="F3392" s="57" t="n"/>
      <c r="G3392" s="57" t="n"/>
      <c r="H3392" s="56" t="n"/>
      <c r="I3392" s="56" t="n"/>
      <c r="J3392" s="58" t="n"/>
      <c r="K3392" s="58" t="n"/>
      <c r="L3392" s="13">
        <f>IF(OR($A3392="",AND($J3392="",$K3392="")),"",ROUND(N($J3392)-N($K3392),2))</f>
        <v/>
      </c>
      <c r="M3392" s="13">
        <f>IF(OR($A3392="",AND($J3392="",$K3392="")),"",MIN($J3392,$K3392))</f>
        <v/>
      </c>
      <c r="Q3392">
        <f>IF($A3392="","",$D3392&amp;"("&amp;SUBSTITUTE($E3392," ","")&amp;")")</f>
        <v/>
      </c>
      <c r="R3392">
        <f>IF($A3392="","",$B3392&amp;" - "&amp;$C3392)</f>
        <v/>
      </c>
      <c r="S3392">
        <f>IF($A3392="","",$R3392&amp;"|"&amp;$Q3392)</f>
        <v/>
      </c>
      <c r="T3392">
        <f>IF($A3392="","",$S3392&amp;"|"&amp;$F3392)</f>
        <v/>
      </c>
      <c r="U3392">
        <f>IF($A3392="","",$R3392&amp;"("&amp;$E3392&amp;")")</f>
        <v/>
      </c>
      <c r="V3392">
        <f>IF($A3392="","",$F3392&amp;"|"&amp;$U3392&amp;"|"&amp;$D3392)</f>
        <v/>
      </c>
      <c r="W3392">
        <f>IF($T3392="","",IF($X3392&gt;N($X3391),$X3392,""))</f>
        <v/>
      </c>
      <c r="X3392">
        <f>IF($T3392="",N($X3391),IF(MATCH($T3392,$T$6:$T$6005,0)=ROW()-5,N($X3391)+1,N($X3391)))</f>
        <v/>
      </c>
      <c r="Z3392">
        <f>IF($V3392="","",IF($AA3392&gt;N($AA3391),$AA3392,""))</f>
        <v/>
      </c>
      <c r="AA3392">
        <f>IF($V3392="",N($AA3391),IF(MATCH($V3392,$V$6:$V$6005,0)=ROW()-5,N($AA3391)+1,N($AA3391)))</f>
        <v/>
      </c>
    </row>
    <row r="3393" ht="21" customHeight="1" s="66">
      <c r="A3393" s="56" t="n"/>
      <c r="B3393" s="57" t="n"/>
      <c r="C3393" s="57" t="n"/>
      <c r="D3393" s="57" t="n"/>
      <c r="E3393" s="56" t="n"/>
      <c r="F3393" s="57" t="n"/>
      <c r="G3393" s="57" t="n"/>
      <c r="H3393" s="56" t="n"/>
      <c r="I3393" s="56" t="n"/>
      <c r="J3393" s="58" t="n"/>
      <c r="K3393" s="58" t="n"/>
      <c r="L3393" s="13">
        <f>IF(OR($A3393="",AND($J3393="",$K3393="")),"",ROUND(N($J3393)-N($K3393),2))</f>
        <v/>
      </c>
      <c r="M3393" s="13">
        <f>IF(OR($A3393="",AND($J3393="",$K3393="")),"",MIN($J3393,$K3393))</f>
        <v/>
      </c>
      <c r="Q3393">
        <f>IF($A3393="","",$D3393&amp;"("&amp;SUBSTITUTE($E3393," ","")&amp;")")</f>
        <v/>
      </c>
      <c r="R3393">
        <f>IF($A3393="","",$B3393&amp;" - "&amp;$C3393)</f>
        <v/>
      </c>
      <c r="S3393">
        <f>IF($A3393="","",$R3393&amp;"|"&amp;$Q3393)</f>
        <v/>
      </c>
      <c r="T3393">
        <f>IF($A3393="","",$S3393&amp;"|"&amp;$F3393)</f>
        <v/>
      </c>
      <c r="U3393">
        <f>IF($A3393="","",$R3393&amp;"("&amp;$E3393&amp;")")</f>
        <v/>
      </c>
      <c r="V3393">
        <f>IF($A3393="","",$F3393&amp;"|"&amp;$U3393&amp;"|"&amp;$D3393)</f>
        <v/>
      </c>
      <c r="W3393">
        <f>IF($T3393="","",IF($X3393&gt;N($X3392),$X3393,""))</f>
        <v/>
      </c>
      <c r="X3393">
        <f>IF($T3393="",N($X3392),IF(MATCH($T3393,$T$6:$T$6005,0)=ROW()-5,N($X3392)+1,N($X3392)))</f>
        <v/>
      </c>
      <c r="Z3393">
        <f>IF($V3393="","",IF($AA3393&gt;N($AA3392),$AA3393,""))</f>
        <v/>
      </c>
      <c r="AA3393">
        <f>IF($V3393="",N($AA3392),IF(MATCH($V3393,$V$6:$V$6005,0)=ROW()-5,N($AA3392)+1,N($AA3392)))</f>
        <v/>
      </c>
    </row>
    <row r="3394" ht="21" customHeight="1" s="66">
      <c r="A3394" s="56" t="n"/>
      <c r="B3394" s="57" t="n"/>
      <c r="C3394" s="57" t="n"/>
      <c r="D3394" s="57" t="n"/>
      <c r="E3394" s="56" t="n"/>
      <c r="F3394" s="57" t="n"/>
      <c r="G3394" s="57" t="n"/>
      <c r="H3394" s="56" t="n"/>
      <c r="I3394" s="56" t="n"/>
      <c r="J3394" s="58" t="n"/>
      <c r="K3394" s="58" t="n"/>
      <c r="L3394" s="13">
        <f>IF(OR($A3394="",AND($J3394="",$K3394="")),"",ROUND(N($J3394)-N($K3394),2))</f>
        <v/>
      </c>
      <c r="M3394" s="13">
        <f>IF(OR($A3394="",AND($J3394="",$K3394="")),"",MIN($J3394,$K3394))</f>
        <v/>
      </c>
      <c r="Q3394">
        <f>IF($A3394="","",$D3394&amp;"("&amp;SUBSTITUTE($E3394," ","")&amp;")")</f>
        <v/>
      </c>
      <c r="R3394">
        <f>IF($A3394="","",$B3394&amp;" - "&amp;$C3394)</f>
        <v/>
      </c>
      <c r="S3394">
        <f>IF($A3394="","",$R3394&amp;"|"&amp;$Q3394)</f>
        <v/>
      </c>
      <c r="T3394">
        <f>IF($A3394="","",$S3394&amp;"|"&amp;$F3394)</f>
        <v/>
      </c>
      <c r="U3394">
        <f>IF($A3394="","",$R3394&amp;"("&amp;$E3394&amp;")")</f>
        <v/>
      </c>
      <c r="V3394">
        <f>IF($A3394="","",$F3394&amp;"|"&amp;$U3394&amp;"|"&amp;$D3394)</f>
        <v/>
      </c>
      <c r="W3394">
        <f>IF($T3394="","",IF($X3394&gt;N($X3393),$X3394,""))</f>
        <v/>
      </c>
      <c r="X3394">
        <f>IF($T3394="",N($X3393),IF(MATCH($T3394,$T$6:$T$6005,0)=ROW()-5,N($X3393)+1,N($X3393)))</f>
        <v/>
      </c>
      <c r="Z3394">
        <f>IF($V3394="","",IF($AA3394&gt;N($AA3393),$AA3394,""))</f>
        <v/>
      </c>
      <c r="AA3394">
        <f>IF($V3394="",N($AA3393),IF(MATCH($V3394,$V$6:$V$6005,0)=ROW()-5,N($AA3393)+1,N($AA3393)))</f>
        <v/>
      </c>
    </row>
    <row r="3395" ht="21" customHeight="1" s="66">
      <c r="A3395" s="56" t="n"/>
      <c r="B3395" s="57" t="n"/>
      <c r="C3395" s="57" t="n"/>
      <c r="D3395" s="57" t="n"/>
      <c r="E3395" s="56" t="n"/>
      <c r="F3395" s="57" t="n"/>
      <c r="G3395" s="57" t="n"/>
      <c r="H3395" s="56" t="n"/>
      <c r="I3395" s="56" t="n"/>
      <c r="J3395" s="58" t="n"/>
      <c r="K3395" s="58" t="n"/>
      <c r="L3395" s="13">
        <f>IF(OR($A3395="",AND($J3395="",$K3395="")),"",ROUND(N($J3395)-N($K3395),2))</f>
        <v/>
      </c>
      <c r="M3395" s="13">
        <f>IF(OR($A3395="",AND($J3395="",$K3395="")),"",MIN($J3395,$K3395))</f>
        <v/>
      </c>
      <c r="Q3395">
        <f>IF($A3395="","",$D3395&amp;"("&amp;SUBSTITUTE($E3395," ","")&amp;")")</f>
        <v/>
      </c>
      <c r="R3395">
        <f>IF($A3395="","",$B3395&amp;" - "&amp;$C3395)</f>
        <v/>
      </c>
      <c r="S3395">
        <f>IF($A3395="","",$R3395&amp;"|"&amp;$Q3395)</f>
        <v/>
      </c>
      <c r="T3395">
        <f>IF($A3395="","",$S3395&amp;"|"&amp;$F3395)</f>
        <v/>
      </c>
      <c r="U3395">
        <f>IF($A3395="","",$R3395&amp;"("&amp;$E3395&amp;")")</f>
        <v/>
      </c>
      <c r="V3395">
        <f>IF($A3395="","",$F3395&amp;"|"&amp;$U3395&amp;"|"&amp;$D3395)</f>
        <v/>
      </c>
      <c r="W3395">
        <f>IF($T3395="","",IF($X3395&gt;N($X3394),$X3395,""))</f>
        <v/>
      </c>
      <c r="X3395">
        <f>IF($T3395="",N($X3394),IF(MATCH($T3395,$T$6:$T$6005,0)=ROW()-5,N($X3394)+1,N($X3394)))</f>
        <v/>
      </c>
      <c r="Z3395">
        <f>IF($V3395="","",IF($AA3395&gt;N($AA3394),$AA3395,""))</f>
        <v/>
      </c>
      <c r="AA3395">
        <f>IF($V3395="",N($AA3394),IF(MATCH($V3395,$V$6:$V$6005,0)=ROW()-5,N($AA3394)+1,N($AA3394)))</f>
        <v/>
      </c>
    </row>
    <row r="3396" ht="21" customHeight="1" s="66">
      <c r="A3396" s="56" t="n"/>
      <c r="B3396" s="57" t="n"/>
      <c r="C3396" s="57" t="n"/>
      <c r="D3396" s="57" t="n"/>
      <c r="E3396" s="56" t="n"/>
      <c r="F3396" s="57" t="n"/>
      <c r="G3396" s="57" t="n"/>
      <c r="H3396" s="56" t="n"/>
      <c r="I3396" s="56" t="n"/>
      <c r="J3396" s="58" t="n"/>
      <c r="K3396" s="58" t="n"/>
      <c r="L3396" s="13">
        <f>IF(OR($A3396="",AND($J3396="",$K3396="")),"",ROUND(N($J3396)-N($K3396),2))</f>
        <v/>
      </c>
      <c r="M3396" s="13">
        <f>IF(OR($A3396="",AND($J3396="",$K3396="")),"",MIN($J3396,$K3396))</f>
        <v/>
      </c>
      <c r="Q3396">
        <f>IF($A3396="","",$D3396&amp;"("&amp;SUBSTITUTE($E3396," ","")&amp;")")</f>
        <v/>
      </c>
      <c r="R3396">
        <f>IF($A3396="","",$B3396&amp;" - "&amp;$C3396)</f>
        <v/>
      </c>
      <c r="S3396">
        <f>IF($A3396="","",$R3396&amp;"|"&amp;$Q3396)</f>
        <v/>
      </c>
      <c r="T3396">
        <f>IF($A3396="","",$S3396&amp;"|"&amp;$F3396)</f>
        <v/>
      </c>
      <c r="U3396">
        <f>IF($A3396="","",$R3396&amp;"("&amp;$E3396&amp;")")</f>
        <v/>
      </c>
      <c r="V3396">
        <f>IF($A3396="","",$F3396&amp;"|"&amp;$U3396&amp;"|"&amp;$D3396)</f>
        <v/>
      </c>
      <c r="W3396">
        <f>IF($T3396="","",IF($X3396&gt;N($X3395),$X3396,""))</f>
        <v/>
      </c>
      <c r="X3396">
        <f>IF($T3396="",N($X3395),IF(MATCH($T3396,$T$6:$T$6005,0)=ROW()-5,N($X3395)+1,N($X3395)))</f>
        <v/>
      </c>
      <c r="Z3396">
        <f>IF($V3396="","",IF($AA3396&gt;N($AA3395),$AA3396,""))</f>
        <v/>
      </c>
      <c r="AA3396">
        <f>IF($V3396="",N($AA3395),IF(MATCH($V3396,$V$6:$V$6005,0)=ROW()-5,N($AA3395)+1,N($AA3395)))</f>
        <v/>
      </c>
    </row>
    <row r="3397" ht="21" customHeight="1" s="66">
      <c r="A3397" s="56" t="n"/>
      <c r="B3397" s="57" t="n"/>
      <c r="C3397" s="57" t="n"/>
      <c r="D3397" s="57" t="n"/>
      <c r="E3397" s="56" t="n"/>
      <c r="F3397" s="57" t="n"/>
      <c r="G3397" s="57" t="n"/>
      <c r="H3397" s="56" t="n"/>
      <c r="I3397" s="56" t="n"/>
      <c r="J3397" s="58" t="n"/>
      <c r="K3397" s="58" t="n"/>
      <c r="L3397" s="13">
        <f>IF(OR($A3397="",AND($J3397="",$K3397="")),"",ROUND(N($J3397)-N($K3397),2))</f>
        <v/>
      </c>
      <c r="M3397" s="13">
        <f>IF(OR($A3397="",AND($J3397="",$K3397="")),"",MIN($J3397,$K3397))</f>
        <v/>
      </c>
      <c r="Q3397">
        <f>IF($A3397="","",$D3397&amp;"("&amp;SUBSTITUTE($E3397," ","")&amp;")")</f>
        <v/>
      </c>
      <c r="R3397">
        <f>IF($A3397="","",$B3397&amp;" - "&amp;$C3397)</f>
        <v/>
      </c>
      <c r="S3397">
        <f>IF($A3397="","",$R3397&amp;"|"&amp;$Q3397)</f>
        <v/>
      </c>
      <c r="T3397">
        <f>IF($A3397="","",$S3397&amp;"|"&amp;$F3397)</f>
        <v/>
      </c>
      <c r="U3397">
        <f>IF($A3397="","",$R3397&amp;"("&amp;$E3397&amp;")")</f>
        <v/>
      </c>
      <c r="V3397">
        <f>IF($A3397="","",$F3397&amp;"|"&amp;$U3397&amp;"|"&amp;$D3397)</f>
        <v/>
      </c>
      <c r="W3397">
        <f>IF($T3397="","",IF($X3397&gt;N($X3396),$X3397,""))</f>
        <v/>
      </c>
      <c r="X3397">
        <f>IF($T3397="",N($X3396),IF(MATCH($T3397,$T$6:$T$6005,0)=ROW()-5,N($X3396)+1,N($X3396)))</f>
        <v/>
      </c>
      <c r="Z3397">
        <f>IF($V3397="","",IF($AA3397&gt;N($AA3396),$AA3397,""))</f>
        <v/>
      </c>
      <c r="AA3397">
        <f>IF($V3397="",N($AA3396),IF(MATCH($V3397,$V$6:$V$6005,0)=ROW()-5,N($AA3396)+1,N($AA3396)))</f>
        <v/>
      </c>
    </row>
    <row r="3398" ht="21" customHeight="1" s="66">
      <c r="A3398" s="56" t="n"/>
      <c r="B3398" s="57" t="n"/>
      <c r="C3398" s="57" t="n"/>
      <c r="D3398" s="57" t="n"/>
      <c r="E3398" s="56" t="n"/>
      <c r="F3398" s="57" t="n"/>
      <c r="G3398" s="57" t="n"/>
      <c r="H3398" s="56" t="n"/>
      <c r="I3398" s="56" t="n"/>
      <c r="J3398" s="58" t="n"/>
      <c r="K3398" s="58" t="n"/>
      <c r="L3398" s="13">
        <f>IF(OR($A3398="",AND($J3398="",$K3398="")),"",ROUND(N($J3398)-N($K3398),2))</f>
        <v/>
      </c>
      <c r="M3398" s="13">
        <f>IF(OR($A3398="",AND($J3398="",$K3398="")),"",MIN($J3398,$K3398))</f>
        <v/>
      </c>
      <c r="Q3398">
        <f>IF($A3398="","",$D3398&amp;"("&amp;SUBSTITUTE($E3398," ","")&amp;")")</f>
        <v/>
      </c>
      <c r="R3398">
        <f>IF($A3398="","",$B3398&amp;" - "&amp;$C3398)</f>
        <v/>
      </c>
      <c r="S3398">
        <f>IF($A3398="","",$R3398&amp;"|"&amp;$Q3398)</f>
        <v/>
      </c>
      <c r="T3398">
        <f>IF($A3398="","",$S3398&amp;"|"&amp;$F3398)</f>
        <v/>
      </c>
      <c r="U3398">
        <f>IF($A3398="","",$R3398&amp;"("&amp;$E3398&amp;")")</f>
        <v/>
      </c>
      <c r="V3398">
        <f>IF($A3398="","",$F3398&amp;"|"&amp;$U3398&amp;"|"&amp;$D3398)</f>
        <v/>
      </c>
      <c r="W3398">
        <f>IF($T3398="","",IF($X3398&gt;N($X3397),$X3398,""))</f>
        <v/>
      </c>
      <c r="X3398">
        <f>IF($T3398="",N($X3397),IF(MATCH($T3398,$T$6:$T$6005,0)=ROW()-5,N($X3397)+1,N($X3397)))</f>
        <v/>
      </c>
      <c r="Z3398">
        <f>IF($V3398="","",IF($AA3398&gt;N($AA3397),$AA3398,""))</f>
        <v/>
      </c>
      <c r="AA3398">
        <f>IF($V3398="",N($AA3397),IF(MATCH($V3398,$V$6:$V$6005,0)=ROW()-5,N($AA3397)+1,N($AA3397)))</f>
        <v/>
      </c>
    </row>
    <row r="3399" ht="21" customHeight="1" s="66">
      <c r="A3399" s="56" t="n"/>
      <c r="B3399" s="57" t="n"/>
      <c r="C3399" s="57" t="n"/>
      <c r="D3399" s="57" t="n"/>
      <c r="E3399" s="56" t="n"/>
      <c r="F3399" s="57" t="n"/>
      <c r="G3399" s="57" t="n"/>
      <c r="H3399" s="56" t="n"/>
      <c r="I3399" s="56" t="n"/>
      <c r="J3399" s="58" t="n"/>
      <c r="K3399" s="58" t="n"/>
      <c r="L3399" s="13">
        <f>IF(OR($A3399="",AND($J3399="",$K3399="")),"",ROUND(N($J3399)-N($K3399),2))</f>
        <v/>
      </c>
      <c r="M3399" s="13">
        <f>IF(OR($A3399="",AND($J3399="",$K3399="")),"",MIN($J3399,$K3399))</f>
        <v/>
      </c>
      <c r="Q3399">
        <f>IF($A3399="","",$D3399&amp;"("&amp;SUBSTITUTE($E3399," ","")&amp;")")</f>
        <v/>
      </c>
      <c r="R3399">
        <f>IF($A3399="","",$B3399&amp;" - "&amp;$C3399)</f>
        <v/>
      </c>
      <c r="S3399">
        <f>IF($A3399="","",$R3399&amp;"|"&amp;$Q3399)</f>
        <v/>
      </c>
      <c r="T3399">
        <f>IF($A3399="","",$S3399&amp;"|"&amp;$F3399)</f>
        <v/>
      </c>
      <c r="U3399">
        <f>IF($A3399="","",$R3399&amp;"("&amp;$E3399&amp;")")</f>
        <v/>
      </c>
      <c r="V3399">
        <f>IF($A3399="","",$F3399&amp;"|"&amp;$U3399&amp;"|"&amp;$D3399)</f>
        <v/>
      </c>
      <c r="W3399">
        <f>IF($T3399="","",IF($X3399&gt;N($X3398),$X3399,""))</f>
        <v/>
      </c>
      <c r="X3399">
        <f>IF($T3399="",N($X3398),IF(MATCH($T3399,$T$6:$T$6005,0)=ROW()-5,N($X3398)+1,N($X3398)))</f>
        <v/>
      </c>
      <c r="Z3399">
        <f>IF($V3399="","",IF($AA3399&gt;N($AA3398),$AA3399,""))</f>
        <v/>
      </c>
      <c r="AA3399">
        <f>IF($V3399="",N($AA3398),IF(MATCH($V3399,$V$6:$V$6005,0)=ROW()-5,N($AA3398)+1,N($AA3398)))</f>
        <v/>
      </c>
    </row>
    <row r="3400" ht="21" customHeight="1" s="66">
      <c r="A3400" s="56" t="n"/>
      <c r="B3400" s="57" t="n"/>
      <c r="C3400" s="57" t="n"/>
      <c r="D3400" s="57" t="n"/>
      <c r="E3400" s="56" t="n"/>
      <c r="F3400" s="57" t="n"/>
      <c r="G3400" s="57" t="n"/>
      <c r="H3400" s="56" t="n"/>
      <c r="I3400" s="56" t="n"/>
      <c r="J3400" s="58" t="n"/>
      <c r="K3400" s="58" t="n"/>
      <c r="L3400" s="13">
        <f>IF(OR($A3400="",AND($J3400="",$K3400="")),"",ROUND(N($J3400)-N($K3400),2))</f>
        <v/>
      </c>
      <c r="M3400" s="13">
        <f>IF(OR($A3400="",AND($J3400="",$K3400="")),"",MIN($J3400,$K3400))</f>
        <v/>
      </c>
      <c r="Q3400">
        <f>IF($A3400="","",$D3400&amp;"("&amp;SUBSTITUTE($E3400," ","")&amp;")")</f>
        <v/>
      </c>
      <c r="R3400">
        <f>IF($A3400="","",$B3400&amp;" - "&amp;$C3400)</f>
        <v/>
      </c>
      <c r="S3400">
        <f>IF($A3400="","",$R3400&amp;"|"&amp;$Q3400)</f>
        <v/>
      </c>
      <c r="T3400">
        <f>IF($A3400="","",$S3400&amp;"|"&amp;$F3400)</f>
        <v/>
      </c>
      <c r="U3400">
        <f>IF($A3400="","",$R3400&amp;"("&amp;$E3400&amp;")")</f>
        <v/>
      </c>
      <c r="V3400">
        <f>IF($A3400="","",$F3400&amp;"|"&amp;$U3400&amp;"|"&amp;$D3400)</f>
        <v/>
      </c>
      <c r="W3400">
        <f>IF($T3400="","",IF($X3400&gt;N($X3399),$X3400,""))</f>
        <v/>
      </c>
      <c r="X3400">
        <f>IF($T3400="",N($X3399),IF(MATCH($T3400,$T$6:$T$6005,0)=ROW()-5,N($X3399)+1,N($X3399)))</f>
        <v/>
      </c>
      <c r="Z3400">
        <f>IF($V3400="","",IF($AA3400&gt;N($AA3399),$AA3400,""))</f>
        <v/>
      </c>
      <c r="AA3400">
        <f>IF($V3400="",N($AA3399),IF(MATCH($V3400,$V$6:$V$6005,0)=ROW()-5,N($AA3399)+1,N($AA3399)))</f>
        <v/>
      </c>
    </row>
    <row r="3401" ht="21" customHeight="1" s="66">
      <c r="A3401" s="56" t="n"/>
      <c r="B3401" s="57" t="n"/>
      <c r="C3401" s="57" t="n"/>
      <c r="D3401" s="57" t="n"/>
      <c r="E3401" s="56" t="n"/>
      <c r="F3401" s="57" t="n"/>
      <c r="G3401" s="57" t="n"/>
      <c r="H3401" s="56" t="n"/>
      <c r="I3401" s="56" t="n"/>
      <c r="J3401" s="58" t="n"/>
      <c r="K3401" s="58" t="n"/>
      <c r="L3401" s="13">
        <f>IF(OR($A3401="",AND($J3401="",$K3401="")),"",ROUND(N($J3401)-N($K3401),2))</f>
        <v/>
      </c>
      <c r="M3401" s="13">
        <f>IF(OR($A3401="",AND($J3401="",$K3401="")),"",MIN($J3401,$K3401))</f>
        <v/>
      </c>
      <c r="Q3401">
        <f>IF($A3401="","",$D3401&amp;"("&amp;SUBSTITUTE($E3401," ","")&amp;")")</f>
        <v/>
      </c>
      <c r="R3401">
        <f>IF($A3401="","",$B3401&amp;" - "&amp;$C3401)</f>
        <v/>
      </c>
      <c r="S3401">
        <f>IF($A3401="","",$R3401&amp;"|"&amp;$Q3401)</f>
        <v/>
      </c>
      <c r="T3401">
        <f>IF($A3401="","",$S3401&amp;"|"&amp;$F3401)</f>
        <v/>
      </c>
      <c r="U3401">
        <f>IF($A3401="","",$R3401&amp;"("&amp;$E3401&amp;")")</f>
        <v/>
      </c>
      <c r="V3401">
        <f>IF($A3401="","",$F3401&amp;"|"&amp;$U3401&amp;"|"&amp;$D3401)</f>
        <v/>
      </c>
      <c r="W3401">
        <f>IF($T3401="","",IF($X3401&gt;N($X3400),$X3401,""))</f>
        <v/>
      </c>
      <c r="X3401">
        <f>IF($T3401="",N($X3400),IF(MATCH($T3401,$T$6:$T$6005,0)=ROW()-5,N($X3400)+1,N($X3400)))</f>
        <v/>
      </c>
      <c r="Z3401">
        <f>IF($V3401="","",IF($AA3401&gt;N($AA3400),$AA3401,""))</f>
        <v/>
      </c>
      <c r="AA3401">
        <f>IF($V3401="",N($AA3400),IF(MATCH($V3401,$V$6:$V$6005,0)=ROW()-5,N($AA3400)+1,N($AA3400)))</f>
        <v/>
      </c>
    </row>
    <row r="3402" ht="21" customHeight="1" s="66">
      <c r="A3402" s="56" t="n"/>
      <c r="B3402" s="57" t="n"/>
      <c r="C3402" s="57" t="n"/>
      <c r="D3402" s="57" t="n"/>
      <c r="E3402" s="56" t="n"/>
      <c r="F3402" s="57" t="n"/>
      <c r="G3402" s="57" t="n"/>
      <c r="H3402" s="56" t="n"/>
      <c r="I3402" s="56" t="n"/>
      <c r="J3402" s="58" t="n"/>
      <c r="K3402" s="58" t="n"/>
      <c r="L3402" s="13">
        <f>IF(OR($A3402="",AND($J3402="",$K3402="")),"",ROUND(N($J3402)-N($K3402),2))</f>
        <v/>
      </c>
      <c r="M3402" s="13">
        <f>IF(OR($A3402="",AND($J3402="",$K3402="")),"",MIN($J3402,$K3402))</f>
        <v/>
      </c>
      <c r="Q3402">
        <f>IF($A3402="","",$D3402&amp;"("&amp;SUBSTITUTE($E3402," ","")&amp;")")</f>
        <v/>
      </c>
      <c r="R3402">
        <f>IF($A3402="","",$B3402&amp;" - "&amp;$C3402)</f>
        <v/>
      </c>
      <c r="S3402">
        <f>IF($A3402="","",$R3402&amp;"|"&amp;$Q3402)</f>
        <v/>
      </c>
      <c r="T3402">
        <f>IF($A3402="","",$S3402&amp;"|"&amp;$F3402)</f>
        <v/>
      </c>
      <c r="U3402">
        <f>IF($A3402="","",$R3402&amp;"("&amp;$E3402&amp;")")</f>
        <v/>
      </c>
      <c r="V3402">
        <f>IF($A3402="","",$F3402&amp;"|"&amp;$U3402&amp;"|"&amp;$D3402)</f>
        <v/>
      </c>
      <c r="W3402">
        <f>IF($T3402="","",IF($X3402&gt;N($X3401),$X3402,""))</f>
        <v/>
      </c>
      <c r="X3402">
        <f>IF($T3402="",N($X3401),IF(MATCH($T3402,$T$6:$T$6005,0)=ROW()-5,N($X3401)+1,N($X3401)))</f>
        <v/>
      </c>
      <c r="Z3402">
        <f>IF($V3402="","",IF($AA3402&gt;N($AA3401),$AA3402,""))</f>
        <v/>
      </c>
      <c r="AA3402">
        <f>IF($V3402="",N($AA3401),IF(MATCH($V3402,$V$6:$V$6005,0)=ROW()-5,N($AA3401)+1,N($AA3401)))</f>
        <v/>
      </c>
    </row>
    <row r="3403" ht="21" customHeight="1" s="66">
      <c r="A3403" s="56" t="n"/>
      <c r="B3403" s="57" t="n"/>
      <c r="C3403" s="57" t="n"/>
      <c r="D3403" s="57" t="n"/>
      <c r="E3403" s="56" t="n"/>
      <c r="F3403" s="57" t="n"/>
      <c r="G3403" s="57" t="n"/>
      <c r="H3403" s="56" t="n"/>
      <c r="I3403" s="56" t="n"/>
      <c r="J3403" s="58" t="n"/>
      <c r="K3403" s="58" t="n"/>
      <c r="L3403" s="13">
        <f>IF(OR($A3403="",AND($J3403="",$K3403="")),"",ROUND(N($J3403)-N($K3403),2))</f>
        <v/>
      </c>
      <c r="M3403" s="13">
        <f>IF(OR($A3403="",AND($J3403="",$K3403="")),"",MIN($J3403,$K3403))</f>
        <v/>
      </c>
      <c r="Q3403">
        <f>IF($A3403="","",$D3403&amp;"("&amp;SUBSTITUTE($E3403," ","")&amp;")")</f>
        <v/>
      </c>
      <c r="R3403">
        <f>IF($A3403="","",$B3403&amp;" - "&amp;$C3403)</f>
        <v/>
      </c>
      <c r="S3403">
        <f>IF($A3403="","",$R3403&amp;"|"&amp;$Q3403)</f>
        <v/>
      </c>
      <c r="T3403">
        <f>IF($A3403="","",$S3403&amp;"|"&amp;$F3403)</f>
        <v/>
      </c>
      <c r="U3403">
        <f>IF($A3403="","",$R3403&amp;"("&amp;$E3403&amp;")")</f>
        <v/>
      </c>
      <c r="V3403">
        <f>IF($A3403="","",$F3403&amp;"|"&amp;$U3403&amp;"|"&amp;$D3403)</f>
        <v/>
      </c>
      <c r="W3403">
        <f>IF($T3403="","",IF($X3403&gt;N($X3402),$X3403,""))</f>
        <v/>
      </c>
      <c r="X3403">
        <f>IF($T3403="",N($X3402),IF(MATCH($T3403,$T$6:$T$6005,0)=ROW()-5,N($X3402)+1,N($X3402)))</f>
        <v/>
      </c>
      <c r="Z3403">
        <f>IF($V3403="","",IF($AA3403&gt;N($AA3402),$AA3403,""))</f>
        <v/>
      </c>
      <c r="AA3403">
        <f>IF($V3403="",N($AA3402),IF(MATCH($V3403,$V$6:$V$6005,0)=ROW()-5,N($AA3402)+1,N($AA3402)))</f>
        <v/>
      </c>
    </row>
    <row r="3404" ht="21" customHeight="1" s="66">
      <c r="A3404" s="56" t="n"/>
      <c r="B3404" s="57" t="n"/>
      <c r="C3404" s="57" t="n"/>
      <c r="D3404" s="57" t="n"/>
      <c r="E3404" s="56" t="n"/>
      <c r="F3404" s="57" t="n"/>
      <c r="G3404" s="57" t="n"/>
      <c r="H3404" s="56" t="n"/>
      <c r="I3404" s="56" t="n"/>
      <c r="J3404" s="58" t="n"/>
      <c r="K3404" s="58" t="n"/>
      <c r="L3404" s="13">
        <f>IF(OR($A3404="",AND($J3404="",$K3404="")),"",ROUND(N($J3404)-N($K3404),2))</f>
        <v/>
      </c>
      <c r="M3404" s="13">
        <f>IF(OR($A3404="",AND($J3404="",$K3404="")),"",MIN($J3404,$K3404))</f>
        <v/>
      </c>
      <c r="Q3404">
        <f>IF($A3404="","",$D3404&amp;"("&amp;SUBSTITUTE($E3404," ","")&amp;")")</f>
        <v/>
      </c>
      <c r="R3404">
        <f>IF($A3404="","",$B3404&amp;" - "&amp;$C3404)</f>
        <v/>
      </c>
      <c r="S3404">
        <f>IF($A3404="","",$R3404&amp;"|"&amp;$Q3404)</f>
        <v/>
      </c>
      <c r="T3404">
        <f>IF($A3404="","",$S3404&amp;"|"&amp;$F3404)</f>
        <v/>
      </c>
      <c r="U3404">
        <f>IF($A3404="","",$R3404&amp;"("&amp;$E3404&amp;")")</f>
        <v/>
      </c>
      <c r="V3404">
        <f>IF($A3404="","",$F3404&amp;"|"&amp;$U3404&amp;"|"&amp;$D3404)</f>
        <v/>
      </c>
      <c r="W3404">
        <f>IF($T3404="","",IF($X3404&gt;N($X3403),$X3404,""))</f>
        <v/>
      </c>
      <c r="X3404">
        <f>IF($T3404="",N($X3403),IF(MATCH($T3404,$T$6:$T$6005,0)=ROW()-5,N($X3403)+1,N($X3403)))</f>
        <v/>
      </c>
      <c r="Z3404">
        <f>IF($V3404="","",IF($AA3404&gt;N($AA3403),$AA3404,""))</f>
        <v/>
      </c>
      <c r="AA3404">
        <f>IF($V3404="",N($AA3403),IF(MATCH($V3404,$V$6:$V$6005,0)=ROW()-5,N($AA3403)+1,N($AA3403)))</f>
        <v/>
      </c>
    </row>
    <row r="3405" ht="21" customHeight="1" s="66">
      <c r="A3405" s="56" t="n"/>
      <c r="B3405" s="57" t="n"/>
      <c r="C3405" s="57" t="n"/>
      <c r="D3405" s="57" t="n"/>
      <c r="E3405" s="56" t="n"/>
      <c r="F3405" s="57" t="n"/>
      <c r="G3405" s="57" t="n"/>
      <c r="H3405" s="56" t="n"/>
      <c r="I3405" s="56" t="n"/>
      <c r="J3405" s="58" t="n"/>
      <c r="K3405" s="58" t="n"/>
      <c r="L3405" s="13">
        <f>IF(OR($A3405="",AND($J3405="",$K3405="")),"",ROUND(N($J3405)-N($K3405),2))</f>
        <v/>
      </c>
      <c r="M3405" s="13">
        <f>IF(OR($A3405="",AND($J3405="",$K3405="")),"",MIN($J3405,$K3405))</f>
        <v/>
      </c>
      <c r="Q3405">
        <f>IF($A3405="","",$D3405&amp;"("&amp;SUBSTITUTE($E3405," ","")&amp;")")</f>
        <v/>
      </c>
      <c r="R3405">
        <f>IF($A3405="","",$B3405&amp;" - "&amp;$C3405)</f>
        <v/>
      </c>
      <c r="S3405">
        <f>IF($A3405="","",$R3405&amp;"|"&amp;$Q3405)</f>
        <v/>
      </c>
      <c r="T3405">
        <f>IF($A3405="","",$S3405&amp;"|"&amp;$F3405)</f>
        <v/>
      </c>
      <c r="U3405">
        <f>IF($A3405="","",$R3405&amp;"("&amp;$E3405&amp;")")</f>
        <v/>
      </c>
      <c r="V3405">
        <f>IF($A3405="","",$F3405&amp;"|"&amp;$U3405&amp;"|"&amp;$D3405)</f>
        <v/>
      </c>
      <c r="W3405">
        <f>IF($T3405="","",IF($X3405&gt;N($X3404),$X3405,""))</f>
        <v/>
      </c>
      <c r="X3405">
        <f>IF($T3405="",N($X3404),IF(MATCH($T3405,$T$6:$T$6005,0)=ROW()-5,N($X3404)+1,N($X3404)))</f>
        <v/>
      </c>
      <c r="Z3405">
        <f>IF($V3405="","",IF($AA3405&gt;N($AA3404),$AA3405,""))</f>
        <v/>
      </c>
      <c r="AA3405">
        <f>IF($V3405="",N($AA3404),IF(MATCH($V3405,$V$6:$V$6005,0)=ROW()-5,N($AA3404)+1,N($AA3404)))</f>
        <v/>
      </c>
    </row>
    <row r="3406" ht="21" customHeight="1" s="66">
      <c r="A3406" s="56" t="n"/>
      <c r="B3406" s="57" t="n"/>
      <c r="C3406" s="57" t="n"/>
      <c r="D3406" s="57" t="n"/>
      <c r="E3406" s="56" t="n"/>
      <c r="F3406" s="57" t="n"/>
      <c r="G3406" s="57" t="n"/>
      <c r="H3406" s="56" t="n"/>
      <c r="I3406" s="56" t="n"/>
      <c r="J3406" s="58" t="n"/>
      <c r="K3406" s="58" t="n"/>
      <c r="L3406" s="13">
        <f>IF(OR($A3406="",AND($J3406="",$K3406="")),"",ROUND(N($J3406)-N($K3406),2))</f>
        <v/>
      </c>
      <c r="M3406" s="13">
        <f>IF(OR($A3406="",AND($J3406="",$K3406="")),"",MIN($J3406,$K3406))</f>
        <v/>
      </c>
      <c r="Q3406">
        <f>IF($A3406="","",$D3406&amp;"("&amp;SUBSTITUTE($E3406," ","")&amp;")")</f>
        <v/>
      </c>
      <c r="R3406">
        <f>IF($A3406="","",$B3406&amp;" - "&amp;$C3406)</f>
        <v/>
      </c>
      <c r="S3406">
        <f>IF($A3406="","",$R3406&amp;"|"&amp;$Q3406)</f>
        <v/>
      </c>
      <c r="T3406">
        <f>IF($A3406="","",$S3406&amp;"|"&amp;$F3406)</f>
        <v/>
      </c>
      <c r="U3406">
        <f>IF($A3406="","",$R3406&amp;"("&amp;$E3406&amp;")")</f>
        <v/>
      </c>
      <c r="V3406">
        <f>IF($A3406="","",$F3406&amp;"|"&amp;$U3406&amp;"|"&amp;$D3406)</f>
        <v/>
      </c>
      <c r="W3406">
        <f>IF($T3406="","",IF($X3406&gt;N($X3405),$X3406,""))</f>
        <v/>
      </c>
      <c r="X3406">
        <f>IF($T3406="",N($X3405),IF(MATCH($T3406,$T$6:$T$6005,0)=ROW()-5,N($X3405)+1,N($X3405)))</f>
        <v/>
      </c>
      <c r="Z3406">
        <f>IF($V3406="","",IF($AA3406&gt;N($AA3405),$AA3406,""))</f>
        <v/>
      </c>
      <c r="AA3406">
        <f>IF($V3406="",N($AA3405),IF(MATCH($V3406,$V$6:$V$6005,0)=ROW()-5,N($AA3405)+1,N($AA3405)))</f>
        <v/>
      </c>
    </row>
    <row r="3407" ht="21" customHeight="1" s="66">
      <c r="A3407" s="56" t="n"/>
      <c r="B3407" s="57" t="n"/>
      <c r="C3407" s="57" t="n"/>
      <c r="D3407" s="57" t="n"/>
      <c r="E3407" s="56" t="n"/>
      <c r="F3407" s="57" t="n"/>
      <c r="G3407" s="57" t="n"/>
      <c r="H3407" s="56" t="n"/>
      <c r="I3407" s="56" t="n"/>
      <c r="J3407" s="58" t="n"/>
      <c r="K3407" s="58" t="n"/>
      <c r="L3407" s="13">
        <f>IF(OR($A3407="",AND($J3407="",$K3407="")),"",ROUND(N($J3407)-N($K3407),2))</f>
        <v/>
      </c>
      <c r="M3407" s="13">
        <f>IF(OR($A3407="",AND($J3407="",$K3407="")),"",MIN($J3407,$K3407))</f>
        <v/>
      </c>
      <c r="Q3407">
        <f>IF($A3407="","",$D3407&amp;"("&amp;SUBSTITUTE($E3407," ","")&amp;")")</f>
        <v/>
      </c>
      <c r="R3407">
        <f>IF($A3407="","",$B3407&amp;" - "&amp;$C3407)</f>
        <v/>
      </c>
      <c r="S3407">
        <f>IF($A3407="","",$R3407&amp;"|"&amp;$Q3407)</f>
        <v/>
      </c>
      <c r="T3407">
        <f>IF($A3407="","",$S3407&amp;"|"&amp;$F3407)</f>
        <v/>
      </c>
      <c r="U3407">
        <f>IF($A3407="","",$R3407&amp;"("&amp;$E3407&amp;")")</f>
        <v/>
      </c>
      <c r="V3407">
        <f>IF($A3407="","",$F3407&amp;"|"&amp;$U3407&amp;"|"&amp;$D3407)</f>
        <v/>
      </c>
      <c r="W3407">
        <f>IF($T3407="","",IF($X3407&gt;N($X3406),$X3407,""))</f>
        <v/>
      </c>
      <c r="X3407">
        <f>IF($T3407="",N($X3406),IF(MATCH($T3407,$T$6:$T$6005,0)=ROW()-5,N($X3406)+1,N($X3406)))</f>
        <v/>
      </c>
      <c r="Z3407">
        <f>IF($V3407="","",IF($AA3407&gt;N($AA3406),$AA3407,""))</f>
        <v/>
      </c>
      <c r="AA3407">
        <f>IF($V3407="",N($AA3406),IF(MATCH($V3407,$V$6:$V$6005,0)=ROW()-5,N($AA3406)+1,N($AA3406)))</f>
        <v/>
      </c>
    </row>
    <row r="3408" ht="21" customHeight="1" s="66">
      <c r="A3408" s="56" t="n"/>
      <c r="B3408" s="57" t="n"/>
      <c r="C3408" s="57" t="n"/>
      <c r="D3408" s="57" t="n"/>
      <c r="E3408" s="56" t="n"/>
      <c r="F3408" s="57" t="n"/>
      <c r="G3408" s="57" t="n"/>
      <c r="H3408" s="56" t="n"/>
      <c r="I3408" s="56" t="n"/>
      <c r="J3408" s="58" t="n"/>
      <c r="K3408" s="58" t="n"/>
      <c r="L3408" s="13">
        <f>IF(OR($A3408="",AND($J3408="",$K3408="")),"",ROUND(N($J3408)-N($K3408),2))</f>
        <v/>
      </c>
      <c r="M3408" s="13">
        <f>IF(OR($A3408="",AND($J3408="",$K3408="")),"",MIN($J3408,$K3408))</f>
        <v/>
      </c>
      <c r="Q3408">
        <f>IF($A3408="","",$D3408&amp;"("&amp;SUBSTITUTE($E3408," ","")&amp;")")</f>
        <v/>
      </c>
      <c r="R3408">
        <f>IF($A3408="","",$B3408&amp;" - "&amp;$C3408)</f>
        <v/>
      </c>
      <c r="S3408">
        <f>IF($A3408="","",$R3408&amp;"|"&amp;$Q3408)</f>
        <v/>
      </c>
      <c r="T3408">
        <f>IF($A3408="","",$S3408&amp;"|"&amp;$F3408)</f>
        <v/>
      </c>
      <c r="U3408">
        <f>IF($A3408="","",$R3408&amp;"("&amp;$E3408&amp;")")</f>
        <v/>
      </c>
      <c r="V3408">
        <f>IF($A3408="","",$F3408&amp;"|"&amp;$U3408&amp;"|"&amp;$D3408)</f>
        <v/>
      </c>
      <c r="W3408">
        <f>IF($T3408="","",IF($X3408&gt;N($X3407),$X3408,""))</f>
        <v/>
      </c>
      <c r="X3408">
        <f>IF($T3408="",N($X3407),IF(MATCH($T3408,$T$6:$T$6005,0)=ROW()-5,N($X3407)+1,N($X3407)))</f>
        <v/>
      </c>
      <c r="Z3408">
        <f>IF($V3408="","",IF($AA3408&gt;N($AA3407),$AA3408,""))</f>
        <v/>
      </c>
      <c r="AA3408">
        <f>IF($V3408="",N($AA3407),IF(MATCH($V3408,$V$6:$V$6005,0)=ROW()-5,N($AA3407)+1,N($AA3407)))</f>
        <v/>
      </c>
    </row>
    <row r="3409" ht="21" customHeight="1" s="66">
      <c r="A3409" s="56" t="n"/>
      <c r="B3409" s="57" t="n"/>
      <c r="C3409" s="57" t="n"/>
      <c r="D3409" s="57" t="n"/>
      <c r="E3409" s="56" t="n"/>
      <c r="F3409" s="57" t="n"/>
      <c r="G3409" s="57" t="n"/>
      <c r="H3409" s="56" t="n"/>
      <c r="I3409" s="56" t="n"/>
      <c r="J3409" s="58" t="n"/>
      <c r="K3409" s="58" t="n"/>
      <c r="L3409" s="13">
        <f>IF(OR($A3409="",AND($J3409="",$K3409="")),"",ROUND(N($J3409)-N($K3409),2))</f>
        <v/>
      </c>
      <c r="M3409" s="13">
        <f>IF(OR($A3409="",AND($J3409="",$K3409="")),"",MIN($J3409,$K3409))</f>
        <v/>
      </c>
      <c r="Q3409">
        <f>IF($A3409="","",$D3409&amp;"("&amp;SUBSTITUTE($E3409," ","")&amp;")")</f>
        <v/>
      </c>
      <c r="R3409">
        <f>IF($A3409="","",$B3409&amp;" - "&amp;$C3409)</f>
        <v/>
      </c>
      <c r="S3409">
        <f>IF($A3409="","",$R3409&amp;"|"&amp;$Q3409)</f>
        <v/>
      </c>
      <c r="T3409">
        <f>IF($A3409="","",$S3409&amp;"|"&amp;$F3409)</f>
        <v/>
      </c>
      <c r="U3409">
        <f>IF($A3409="","",$R3409&amp;"("&amp;$E3409&amp;")")</f>
        <v/>
      </c>
      <c r="V3409">
        <f>IF($A3409="","",$F3409&amp;"|"&amp;$U3409&amp;"|"&amp;$D3409)</f>
        <v/>
      </c>
      <c r="W3409">
        <f>IF($T3409="","",IF($X3409&gt;N($X3408),$X3409,""))</f>
        <v/>
      </c>
      <c r="X3409">
        <f>IF($T3409="",N($X3408),IF(MATCH($T3409,$T$6:$T$6005,0)=ROW()-5,N($X3408)+1,N($X3408)))</f>
        <v/>
      </c>
      <c r="Z3409">
        <f>IF($V3409="","",IF($AA3409&gt;N($AA3408),$AA3409,""))</f>
        <v/>
      </c>
      <c r="AA3409">
        <f>IF($V3409="",N($AA3408),IF(MATCH($V3409,$V$6:$V$6005,0)=ROW()-5,N($AA3408)+1,N($AA3408)))</f>
        <v/>
      </c>
    </row>
    <row r="3410" ht="21" customHeight="1" s="66">
      <c r="A3410" s="56" t="n"/>
      <c r="B3410" s="57" t="n"/>
      <c r="C3410" s="57" t="n"/>
      <c r="D3410" s="57" t="n"/>
      <c r="E3410" s="56" t="n"/>
      <c r="F3410" s="57" t="n"/>
      <c r="G3410" s="57" t="n"/>
      <c r="H3410" s="56" t="n"/>
      <c r="I3410" s="56" t="n"/>
      <c r="J3410" s="58" t="n"/>
      <c r="K3410" s="58" t="n"/>
      <c r="L3410" s="13">
        <f>IF(OR($A3410="",AND($J3410="",$K3410="")),"",ROUND(N($J3410)-N($K3410),2))</f>
        <v/>
      </c>
      <c r="M3410" s="13">
        <f>IF(OR($A3410="",AND($J3410="",$K3410="")),"",MIN($J3410,$K3410))</f>
        <v/>
      </c>
      <c r="Q3410">
        <f>IF($A3410="","",$D3410&amp;"("&amp;SUBSTITUTE($E3410," ","")&amp;")")</f>
        <v/>
      </c>
      <c r="R3410">
        <f>IF($A3410="","",$B3410&amp;" - "&amp;$C3410)</f>
        <v/>
      </c>
      <c r="S3410">
        <f>IF($A3410="","",$R3410&amp;"|"&amp;$Q3410)</f>
        <v/>
      </c>
      <c r="T3410">
        <f>IF($A3410="","",$S3410&amp;"|"&amp;$F3410)</f>
        <v/>
      </c>
      <c r="U3410">
        <f>IF($A3410="","",$R3410&amp;"("&amp;$E3410&amp;")")</f>
        <v/>
      </c>
      <c r="V3410">
        <f>IF($A3410="","",$F3410&amp;"|"&amp;$U3410&amp;"|"&amp;$D3410)</f>
        <v/>
      </c>
      <c r="W3410">
        <f>IF($T3410="","",IF($X3410&gt;N($X3409),$X3410,""))</f>
        <v/>
      </c>
      <c r="X3410">
        <f>IF($T3410="",N($X3409),IF(MATCH($T3410,$T$6:$T$6005,0)=ROW()-5,N($X3409)+1,N($X3409)))</f>
        <v/>
      </c>
      <c r="Z3410">
        <f>IF($V3410="","",IF($AA3410&gt;N($AA3409),$AA3410,""))</f>
        <v/>
      </c>
      <c r="AA3410">
        <f>IF($V3410="",N($AA3409),IF(MATCH($V3410,$V$6:$V$6005,0)=ROW()-5,N($AA3409)+1,N($AA3409)))</f>
        <v/>
      </c>
    </row>
    <row r="3411" ht="21" customHeight="1" s="66">
      <c r="A3411" s="56" t="n"/>
      <c r="B3411" s="57" t="n"/>
      <c r="C3411" s="57" t="n"/>
      <c r="D3411" s="57" t="n"/>
      <c r="E3411" s="56" t="n"/>
      <c r="F3411" s="57" t="n"/>
      <c r="G3411" s="57" t="n"/>
      <c r="H3411" s="56" t="n"/>
      <c r="I3411" s="56" t="n"/>
      <c r="J3411" s="58" t="n"/>
      <c r="K3411" s="58" t="n"/>
      <c r="L3411" s="13">
        <f>IF(OR($A3411="",AND($J3411="",$K3411="")),"",ROUND(N($J3411)-N($K3411),2))</f>
        <v/>
      </c>
      <c r="M3411" s="13">
        <f>IF(OR($A3411="",AND($J3411="",$K3411="")),"",MIN($J3411,$K3411))</f>
        <v/>
      </c>
      <c r="Q3411">
        <f>IF($A3411="","",$D3411&amp;"("&amp;SUBSTITUTE($E3411," ","")&amp;")")</f>
        <v/>
      </c>
      <c r="R3411">
        <f>IF($A3411="","",$B3411&amp;" - "&amp;$C3411)</f>
        <v/>
      </c>
      <c r="S3411">
        <f>IF($A3411="","",$R3411&amp;"|"&amp;$Q3411)</f>
        <v/>
      </c>
      <c r="T3411">
        <f>IF($A3411="","",$S3411&amp;"|"&amp;$F3411)</f>
        <v/>
      </c>
      <c r="U3411">
        <f>IF($A3411="","",$R3411&amp;"("&amp;$E3411&amp;")")</f>
        <v/>
      </c>
      <c r="V3411">
        <f>IF($A3411="","",$F3411&amp;"|"&amp;$U3411&amp;"|"&amp;$D3411)</f>
        <v/>
      </c>
      <c r="W3411">
        <f>IF($T3411="","",IF($X3411&gt;N($X3410),$X3411,""))</f>
        <v/>
      </c>
      <c r="X3411">
        <f>IF($T3411="",N($X3410),IF(MATCH($T3411,$T$6:$T$6005,0)=ROW()-5,N($X3410)+1,N($X3410)))</f>
        <v/>
      </c>
      <c r="Z3411">
        <f>IF($V3411="","",IF($AA3411&gt;N($AA3410),$AA3411,""))</f>
        <v/>
      </c>
      <c r="AA3411">
        <f>IF($V3411="",N($AA3410),IF(MATCH($V3411,$V$6:$V$6005,0)=ROW()-5,N($AA3410)+1,N($AA3410)))</f>
        <v/>
      </c>
    </row>
    <row r="3412" ht="21" customHeight="1" s="66">
      <c r="A3412" s="56" t="n"/>
      <c r="B3412" s="57" t="n"/>
      <c r="C3412" s="57" t="n"/>
      <c r="D3412" s="57" t="n"/>
      <c r="E3412" s="56" t="n"/>
      <c r="F3412" s="57" t="n"/>
      <c r="G3412" s="57" t="n"/>
      <c r="H3412" s="56" t="n"/>
      <c r="I3412" s="56" t="n"/>
      <c r="J3412" s="58" t="n"/>
      <c r="K3412" s="58" t="n"/>
      <c r="L3412" s="13">
        <f>IF(OR($A3412="",AND($J3412="",$K3412="")),"",ROUND(N($J3412)-N($K3412),2))</f>
        <v/>
      </c>
      <c r="M3412" s="13">
        <f>IF(OR($A3412="",AND($J3412="",$K3412="")),"",MIN($J3412,$K3412))</f>
        <v/>
      </c>
      <c r="Q3412">
        <f>IF($A3412="","",$D3412&amp;"("&amp;SUBSTITUTE($E3412," ","")&amp;")")</f>
        <v/>
      </c>
      <c r="R3412">
        <f>IF($A3412="","",$B3412&amp;" - "&amp;$C3412)</f>
        <v/>
      </c>
      <c r="S3412">
        <f>IF($A3412="","",$R3412&amp;"|"&amp;$Q3412)</f>
        <v/>
      </c>
      <c r="T3412">
        <f>IF($A3412="","",$S3412&amp;"|"&amp;$F3412)</f>
        <v/>
      </c>
      <c r="U3412">
        <f>IF($A3412="","",$R3412&amp;"("&amp;$E3412&amp;")")</f>
        <v/>
      </c>
      <c r="V3412">
        <f>IF($A3412="","",$F3412&amp;"|"&amp;$U3412&amp;"|"&amp;$D3412)</f>
        <v/>
      </c>
      <c r="W3412">
        <f>IF($T3412="","",IF($X3412&gt;N($X3411),$X3412,""))</f>
        <v/>
      </c>
      <c r="X3412">
        <f>IF($T3412="",N($X3411),IF(MATCH($T3412,$T$6:$T$6005,0)=ROW()-5,N($X3411)+1,N($X3411)))</f>
        <v/>
      </c>
      <c r="Z3412">
        <f>IF($V3412="","",IF($AA3412&gt;N($AA3411),$AA3412,""))</f>
        <v/>
      </c>
      <c r="AA3412">
        <f>IF($V3412="",N($AA3411),IF(MATCH($V3412,$V$6:$V$6005,0)=ROW()-5,N($AA3411)+1,N($AA3411)))</f>
        <v/>
      </c>
    </row>
    <row r="3413" ht="21" customHeight="1" s="66">
      <c r="A3413" s="56" t="n"/>
      <c r="B3413" s="57" t="n"/>
      <c r="C3413" s="57" t="n"/>
      <c r="D3413" s="57" t="n"/>
      <c r="E3413" s="56" t="n"/>
      <c r="F3413" s="57" t="n"/>
      <c r="G3413" s="57" t="n"/>
      <c r="H3413" s="56" t="n"/>
      <c r="I3413" s="56" t="n"/>
      <c r="J3413" s="58" t="n"/>
      <c r="K3413" s="58" t="n"/>
      <c r="L3413" s="13">
        <f>IF(OR($A3413="",AND($J3413="",$K3413="")),"",ROUND(N($J3413)-N($K3413),2))</f>
        <v/>
      </c>
      <c r="M3413" s="13">
        <f>IF(OR($A3413="",AND($J3413="",$K3413="")),"",MIN($J3413,$K3413))</f>
        <v/>
      </c>
      <c r="Q3413">
        <f>IF($A3413="","",$D3413&amp;"("&amp;SUBSTITUTE($E3413," ","")&amp;")")</f>
        <v/>
      </c>
      <c r="R3413">
        <f>IF($A3413="","",$B3413&amp;" - "&amp;$C3413)</f>
        <v/>
      </c>
      <c r="S3413">
        <f>IF($A3413="","",$R3413&amp;"|"&amp;$Q3413)</f>
        <v/>
      </c>
      <c r="T3413">
        <f>IF($A3413="","",$S3413&amp;"|"&amp;$F3413)</f>
        <v/>
      </c>
      <c r="U3413">
        <f>IF($A3413="","",$R3413&amp;"("&amp;$E3413&amp;")")</f>
        <v/>
      </c>
      <c r="V3413">
        <f>IF($A3413="","",$F3413&amp;"|"&amp;$U3413&amp;"|"&amp;$D3413)</f>
        <v/>
      </c>
      <c r="W3413">
        <f>IF($T3413="","",IF($X3413&gt;N($X3412),$X3413,""))</f>
        <v/>
      </c>
      <c r="X3413">
        <f>IF($T3413="",N($X3412),IF(MATCH($T3413,$T$6:$T$6005,0)=ROW()-5,N($X3412)+1,N($X3412)))</f>
        <v/>
      </c>
      <c r="Z3413">
        <f>IF($V3413="","",IF($AA3413&gt;N($AA3412),$AA3413,""))</f>
        <v/>
      </c>
      <c r="AA3413">
        <f>IF($V3413="",N($AA3412),IF(MATCH($V3413,$V$6:$V$6005,0)=ROW()-5,N($AA3412)+1,N($AA3412)))</f>
        <v/>
      </c>
    </row>
    <row r="3414" ht="21" customHeight="1" s="66">
      <c r="A3414" s="56" t="n"/>
      <c r="B3414" s="57" t="n"/>
      <c r="C3414" s="57" t="n"/>
      <c r="D3414" s="57" t="n"/>
      <c r="E3414" s="56" t="n"/>
      <c r="F3414" s="57" t="n"/>
      <c r="G3414" s="57" t="n"/>
      <c r="H3414" s="56" t="n"/>
      <c r="I3414" s="56" t="n"/>
      <c r="J3414" s="58" t="n"/>
      <c r="K3414" s="58" t="n"/>
      <c r="L3414" s="13">
        <f>IF(OR($A3414="",AND($J3414="",$K3414="")),"",ROUND(N($J3414)-N($K3414),2))</f>
        <v/>
      </c>
      <c r="M3414" s="13">
        <f>IF(OR($A3414="",AND($J3414="",$K3414="")),"",MIN($J3414,$K3414))</f>
        <v/>
      </c>
      <c r="Q3414">
        <f>IF($A3414="","",$D3414&amp;"("&amp;SUBSTITUTE($E3414," ","")&amp;")")</f>
        <v/>
      </c>
      <c r="R3414">
        <f>IF($A3414="","",$B3414&amp;" - "&amp;$C3414)</f>
        <v/>
      </c>
      <c r="S3414">
        <f>IF($A3414="","",$R3414&amp;"|"&amp;$Q3414)</f>
        <v/>
      </c>
      <c r="T3414">
        <f>IF($A3414="","",$S3414&amp;"|"&amp;$F3414)</f>
        <v/>
      </c>
      <c r="U3414">
        <f>IF($A3414="","",$R3414&amp;"("&amp;$E3414&amp;")")</f>
        <v/>
      </c>
      <c r="V3414">
        <f>IF($A3414="","",$F3414&amp;"|"&amp;$U3414&amp;"|"&amp;$D3414)</f>
        <v/>
      </c>
      <c r="W3414">
        <f>IF($T3414="","",IF($X3414&gt;N($X3413),$X3414,""))</f>
        <v/>
      </c>
      <c r="X3414">
        <f>IF($T3414="",N($X3413),IF(MATCH($T3414,$T$6:$T$6005,0)=ROW()-5,N($X3413)+1,N($X3413)))</f>
        <v/>
      </c>
      <c r="Z3414">
        <f>IF($V3414="","",IF($AA3414&gt;N($AA3413),$AA3414,""))</f>
        <v/>
      </c>
      <c r="AA3414">
        <f>IF($V3414="",N($AA3413),IF(MATCH($V3414,$V$6:$V$6005,0)=ROW()-5,N($AA3413)+1,N($AA3413)))</f>
        <v/>
      </c>
    </row>
    <row r="3415" ht="21" customHeight="1" s="66">
      <c r="A3415" s="56" t="n"/>
      <c r="B3415" s="57" t="n"/>
      <c r="C3415" s="57" t="n"/>
      <c r="D3415" s="57" t="n"/>
      <c r="E3415" s="56" t="n"/>
      <c r="F3415" s="57" t="n"/>
      <c r="G3415" s="57" t="n"/>
      <c r="H3415" s="56" t="n"/>
      <c r="I3415" s="56" t="n"/>
      <c r="J3415" s="58" t="n"/>
      <c r="K3415" s="58" t="n"/>
      <c r="L3415" s="13">
        <f>IF(OR($A3415="",AND($J3415="",$K3415="")),"",ROUND(N($J3415)-N($K3415),2))</f>
        <v/>
      </c>
      <c r="M3415" s="13">
        <f>IF(OR($A3415="",AND($J3415="",$K3415="")),"",MIN($J3415,$K3415))</f>
        <v/>
      </c>
      <c r="Q3415">
        <f>IF($A3415="","",$D3415&amp;"("&amp;SUBSTITUTE($E3415," ","")&amp;")")</f>
        <v/>
      </c>
      <c r="R3415">
        <f>IF($A3415="","",$B3415&amp;" - "&amp;$C3415)</f>
        <v/>
      </c>
      <c r="S3415">
        <f>IF($A3415="","",$R3415&amp;"|"&amp;$Q3415)</f>
        <v/>
      </c>
      <c r="T3415">
        <f>IF($A3415="","",$S3415&amp;"|"&amp;$F3415)</f>
        <v/>
      </c>
      <c r="U3415">
        <f>IF($A3415="","",$R3415&amp;"("&amp;$E3415&amp;")")</f>
        <v/>
      </c>
      <c r="V3415">
        <f>IF($A3415="","",$F3415&amp;"|"&amp;$U3415&amp;"|"&amp;$D3415)</f>
        <v/>
      </c>
      <c r="W3415">
        <f>IF($T3415="","",IF($X3415&gt;N($X3414),$X3415,""))</f>
        <v/>
      </c>
      <c r="X3415">
        <f>IF($T3415="",N($X3414),IF(MATCH($T3415,$T$6:$T$6005,0)=ROW()-5,N($X3414)+1,N($X3414)))</f>
        <v/>
      </c>
      <c r="Z3415">
        <f>IF($V3415="","",IF($AA3415&gt;N($AA3414),$AA3415,""))</f>
        <v/>
      </c>
      <c r="AA3415">
        <f>IF($V3415="",N($AA3414),IF(MATCH($V3415,$V$6:$V$6005,0)=ROW()-5,N($AA3414)+1,N($AA3414)))</f>
        <v/>
      </c>
    </row>
    <row r="3416" ht="21" customHeight="1" s="66">
      <c r="A3416" s="56" t="n"/>
      <c r="B3416" s="57" t="n"/>
      <c r="C3416" s="57" t="n"/>
      <c r="D3416" s="57" t="n"/>
      <c r="E3416" s="56" t="n"/>
      <c r="F3416" s="57" t="n"/>
      <c r="G3416" s="57" t="n"/>
      <c r="H3416" s="56" t="n"/>
      <c r="I3416" s="56" t="n"/>
      <c r="J3416" s="58" t="n"/>
      <c r="K3416" s="58" t="n"/>
      <c r="L3416" s="13">
        <f>IF(OR($A3416="",AND($J3416="",$K3416="")),"",ROUND(N($J3416)-N($K3416),2))</f>
        <v/>
      </c>
      <c r="M3416" s="13">
        <f>IF(OR($A3416="",AND($J3416="",$K3416="")),"",MIN($J3416,$K3416))</f>
        <v/>
      </c>
      <c r="Q3416">
        <f>IF($A3416="","",$D3416&amp;"("&amp;SUBSTITUTE($E3416," ","")&amp;")")</f>
        <v/>
      </c>
      <c r="R3416">
        <f>IF($A3416="","",$B3416&amp;" - "&amp;$C3416)</f>
        <v/>
      </c>
      <c r="S3416">
        <f>IF($A3416="","",$R3416&amp;"|"&amp;$Q3416)</f>
        <v/>
      </c>
      <c r="T3416">
        <f>IF($A3416="","",$S3416&amp;"|"&amp;$F3416)</f>
        <v/>
      </c>
      <c r="U3416">
        <f>IF($A3416="","",$R3416&amp;"("&amp;$E3416&amp;")")</f>
        <v/>
      </c>
      <c r="V3416">
        <f>IF($A3416="","",$F3416&amp;"|"&amp;$U3416&amp;"|"&amp;$D3416)</f>
        <v/>
      </c>
      <c r="W3416">
        <f>IF($T3416="","",IF($X3416&gt;N($X3415),$X3416,""))</f>
        <v/>
      </c>
      <c r="X3416">
        <f>IF($T3416="",N($X3415),IF(MATCH($T3416,$T$6:$T$6005,0)=ROW()-5,N($X3415)+1,N($X3415)))</f>
        <v/>
      </c>
      <c r="Z3416">
        <f>IF($V3416="","",IF($AA3416&gt;N($AA3415),$AA3416,""))</f>
        <v/>
      </c>
      <c r="AA3416">
        <f>IF($V3416="",N($AA3415),IF(MATCH($V3416,$V$6:$V$6005,0)=ROW()-5,N($AA3415)+1,N($AA3415)))</f>
        <v/>
      </c>
    </row>
    <row r="3417" ht="21" customHeight="1" s="66">
      <c r="A3417" s="56" t="n"/>
      <c r="B3417" s="57" t="n"/>
      <c r="C3417" s="57" t="n"/>
      <c r="D3417" s="57" t="n"/>
      <c r="E3417" s="56" t="n"/>
      <c r="F3417" s="57" t="n"/>
      <c r="G3417" s="57" t="n"/>
      <c r="H3417" s="56" t="n"/>
      <c r="I3417" s="56" t="n"/>
      <c r="J3417" s="58" t="n"/>
      <c r="K3417" s="58" t="n"/>
      <c r="L3417" s="13">
        <f>IF(OR($A3417="",AND($J3417="",$K3417="")),"",ROUND(N($J3417)-N($K3417),2))</f>
        <v/>
      </c>
      <c r="M3417" s="13">
        <f>IF(OR($A3417="",AND($J3417="",$K3417="")),"",MIN($J3417,$K3417))</f>
        <v/>
      </c>
      <c r="Q3417">
        <f>IF($A3417="","",$D3417&amp;"("&amp;SUBSTITUTE($E3417," ","")&amp;")")</f>
        <v/>
      </c>
      <c r="R3417">
        <f>IF($A3417="","",$B3417&amp;" - "&amp;$C3417)</f>
        <v/>
      </c>
      <c r="S3417">
        <f>IF($A3417="","",$R3417&amp;"|"&amp;$Q3417)</f>
        <v/>
      </c>
      <c r="T3417">
        <f>IF($A3417="","",$S3417&amp;"|"&amp;$F3417)</f>
        <v/>
      </c>
      <c r="U3417">
        <f>IF($A3417="","",$R3417&amp;"("&amp;$E3417&amp;")")</f>
        <v/>
      </c>
      <c r="V3417">
        <f>IF($A3417="","",$F3417&amp;"|"&amp;$U3417&amp;"|"&amp;$D3417)</f>
        <v/>
      </c>
      <c r="W3417">
        <f>IF($T3417="","",IF($X3417&gt;N($X3416),$X3417,""))</f>
        <v/>
      </c>
      <c r="X3417">
        <f>IF($T3417="",N($X3416),IF(MATCH($T3417,$T$6:$T$6005,0)=ROW()-5,N($X3416)+1,N($X3416)))</f>
        <v/>
      </c>
      <c r="Z3417">
        <f>IF($V3417="","",IF($AA3417&gt;N($AA3416),$AA3417,""))</f>
        <v/>
      </c>
      <c r="AA3417">
        <f>IF($V3417="",N($AA3416),IF(MATCH($V3417,$V$6:$V$6005,0)=ROW()-5,N($AA3416)+1,N($AA3416)))</f>
        <v/>
      </c>
    </row>
    <row r="3418" ht="21" customHeight="1" s="66">
      <c r="A3418" s="56" t="n"/>
      <c r="B3418" s="57" t="n"/>
      <c r="C3418" s="57" t="n"/>
      <c r="D3418" s="57" t="n"/>
      <c r="E3418" s="56" t="n"/>
      <c r="F3418" s="57" t="n"/>
      <c r="G3418" s="57" t="n"/>
      <c r="H3418" s="56" t="n"/>
      <c r="I3418" s="56" t="n"/>
      <c r="J3418" s="58" t="n"/>
      <c r="K3418" s="58" t="n"/>
      <c r="L3418" s="13">
        <f>IF(OR($A3418="",AND($J3418="",$K3418="")),"",ROUND(N($J3418)-N($K3418),2))</f>
        <v/>
      </c>
      <c r="M3418" s="13">
        <f>IF(OR($A3418="",AND($J3418="",$K3418="")),"",MIN($J3418,$K3418))</f>
        <v/>
      </c>
      <c r="Q3418">
        <f>IF($A3418="","",$D3418&amp;"("&amp;SUBSTITUTE($E3418," ","")&amp;")")</f>
        <v/>
      </c>
      <c r="R3418">
        <f>IF($A3418="","",$B3418&amp;" - "&amp;$C3418)</f>
        <v/>
      </c>
      <c r="S3418">
        <f>IF($A3418="","",$R3418&amp;"|"&amp;$Q3418)</f>
        <v/>
      </c>
      <c r="T3418">
        <f>IF($A3418="","",$S3418&amp;"|"&amp;$F3418)</f>
        <v/>
      </c>
      <c r="U3418">
        <f>IF($A3418="","",$R3418&amp;"("&amp;$E3418&amp;")")</f>
        <v/>
      </c>
      <c r="V3418">
        <f>IF($A3418="","",$F3418&amp;"|"&amp;$U3418&amp;"|"&amp;$D3418)</f>
        <v/>
      </c>
      <c r="W3418">
        <f>IF($T3418="","",IF($X3418&gt;N($X3417),$X3418,""))</f>
        <v/>
      </c>
      <c r="X3418">
        <f>IF($T3418="",N($X3417),IF(MATCH($T3418,$T$6:$T$6005,0)=ROW()-5,N($X3417)+1,N($X3417)))</f>
        <v/>
      </c>
      <c r="Z3418">
        <f>IF($V3418="","",IF($AA3418&gt;N($AA3417),$AA3418,""))</f>
        <v/>
      </c>
      <c r="AA3418">
        <f>IF($V3418="",N($AA3417),IF(MATCH($V3418,$V$6:$V$6005,0)=ROW()-5,N($AA3417)+1,N($AA3417)))</f>
        <v/>
      </c>
    </row>
    <row r="3419" ht="21" customHeight="1" s="66">
      <c r="A3419" s="56" t="n"/>
      <c r="B3419" s="57" t="n"/>
      <c r="C3419" s="57" t="n"/>
      <c r="D3419" s="57" t="n"/>
      <c r="E3419" s="56" t="n"/>
      <c r="F3419" s="57" t="n"/>
      <c r="G3419" s="57" t="n"/>
      <c r="H3419" s="56" t="n"/>
      <c r="I3419" s="56" t="n"/>
      <c r="J3419" s="58" t="n"/>
      <c r="K3419" s="58" t="n"/>
      <c r="L3419" s="13">
        <f>IF(OR($A3419="",AND($J3419="",$K3419="")),"",ROUND(N($J3419)-N($K3419),2))</f>
        <v/>
      </c>
      <c r="M3419" s="13">
        <f>IF(OR($A3419="",AND($J3419="",$K3419="")),"",MIN($J3419,$K3419))</f>
        <v/>
      </c>
      <c r="Q3419">
        <f>IF($A3419="","",$D3419&amp;"("&amp;SUBSTITUTE($E3419," ","")&amp;")")</f>
        <v/>
      </c>
      <c r="R3419">
        <f>IF($A3419="","",$B3419&amp;" - "&amp;$C3419)</f>
        <v/>
      </c>
      <c r="S3419">
        <f>IF($A3419="","",$R3419&amp;"|"&amp;$Q3419)</f>
        <v/>
      </c>
      <c r="T3419">
        <f>IF($A3419="","",$S3419&amp;"|"&amp;$F3419)</f>
        <v/>
      </c>
      <c r="U3419">
        <f>IF($A3419="","",$R3419&amp;"("&amp;$E3419&amp;")")</f>
        <v/>
      </c>
      <c r="V3419">
        <f>IF($A3419="","",$F3419&amp;"|"&amp;$U3419&amp;"|"&amp;$D3419)</f>
        <v/>
      </c>
      <c r="W3419">
        <f>IF($T3419="","",IF($X3419&gt;N($X3418),$X3419,""))</f>
        <v/>
      </c>
      <c r="X3419">
        <f>IF($T3419="",N($X3418),IF(MATCH($T3419,$T$6:$T$6005,0)=ROW()-5,N($X3418)+1,N($X3418)))</f>
        <v/>
      </c>
      <c r="Z3419">
        <f>IF($V3419="","",IF($AA3419&gt;N($AA3418),$AA3419,""))</f>
        <v/>
      </c>
      <c r="AA3419">
        <f>IF($V3419="",N($AA3418),IF(MATCH($V3419,$V$6:$V$6005,0)=ROW()-5,N($AA3418)+1,N($AA3418)))</f>
        <v/>
      </c>
    </row>
    <row r="3420" ht="21" customHeight="1" s="66">
      <c r="A3420" s="56" t="n"/>
      <c r="B3420" s="57" t="n"/>
      <c r="C3420" s="57" t="n"/>
      <c r="D3420" s="57" t="n"/>
      <c r="E3420" s="56" t="n"/>
      <c r="F3420" s="57" t="n"/>
      <c r="G3420" s="57" t="n"/>
      <c r="H3420" s="56" t="n"/>
      <c r="I3420" s="56" t="n"/>
      <c r="J3420" s="58" t="n"/>
      <c r="K3420" s="58" t="n"/>
      <c r="L3420" s="13">
        <f>IF(OR($A3420="",AND($J3420="",$K3420="")),"",ROUND(N($J3420)-N($K3420),2))</f>
        <v/>
      </c>
      <c r="M3420" s="13">
        <f>IF(OR($A3420="",AND($J3420="",$K3420="")),"",MIN($J3420,$K3420))</f>
        <v/>
      </c>
      <c r="Q3420">
        <f>IF($A3420="","",$D3420&amp;"("&amp;SUBSTITUTE($E3420," ","")&amp;")")</f>
        <v/>
      </c>
      <c r="R3420">
        <f>IF($A3420="","",$B3420&amp;" - "&amp;$C3420)</f>
        <v/>
      </c>
      <c r="S3420">
        <f>IF($A3420="","",$R3420&amp;"|"&amp;$Q3420)</f>
        <v/>
      </c>
      <c r="T3420">
        <f>IF($A3420="","",$S3420&amp;"|"&amp;$F3420)</f>
        <v/>
      </c>
      <c r="U3420">
        <f>IF($A3420="","",$R3420&amp;"("&amp;$E3420&amp;")")</f>
        <v/>
      </c>
      <c r="V3420">
        <f>IF($A3420="","",$F3420&amp;"|"&amp;$U3420&amp;"|"&amp;$D3420)</f>
        <v/>
      </c>
      <c r="W3420">
        <f>IF($T3420="","",IF($X3420&gt;N($X3419),$X3420,""))</f>
        <v/>
      </c>
      <c r="X3420">
        <f>IF($T3420="",N($X3419),IF(MATCH($T3420,$T$6:$T$6005,0)=ROW()-5,N($X3419)+1,N($X3419)))</f>
        <v/>
      </c>
      <c r="Z3420">
        <f>IF($V3420="","",IF($AA3420&gt;N($AA3419),$AA3420,""))</f>
        <v/>
      </c>
      <c r="AA3420">
        <f>IF($V3420="",N($AA3419),IF(MATCH($V3420,$V$6:$V$6005,0)=ROW()-5,N($AA3419)+1,N($AA3419)))</f>
        <v/>
      </c>
    </row>
    <row r="3421" ht="21" customHeight="1" s="66">
      <c r="A3421" s="56" t="n"/>
      <c r="B3421" s="57" t="n"/>
      <c r="C3421" s="57" t="n"/>
      <c r="D3421" s="57" t="n"/>
      <c r="E3421" s="56" t="n"/>
      <c r="F3421" s="57" t="n"/>
      <c r="G3421" s="57" t="n"/>
      <c r="H3421" s="56" t="n"/>
      <c r="I3421" s="56" t="n"/>
      <c r="J3421" s="58" t="n"/>
      <c r="K3421" s="58" t="n"/>
      <c r="L3421" s="13">
        <f>IF(OR($A3421="",AND($J3421="",$K3421="")),"",ROUND(N($J3421)-N($K3421),2))</f>
        <v/>
      </c>
      <c r="M3421" s="13">
        <f>IF(OR($A3421="",AND($J3421="",$K3421="")),"",MIN($J3421,$K3421))</f>
        <v/>
      </c>
      <c r="Q3421">
        <f>IF($A3421="","",$D3421&amp;"("&amp;SUBSTITUTE($E3421," ","")&amp;")")</f>
        <v/>
      </c>
      <c r="R3421">
        <f>IF($A3421="","",$B3421&amp;" - "&amp;$C3421)</f>
        <v/>
      </c>
      <c r="S3421">
        <f>IF($A3421="","",$R3421&amp;"|"&amp;$Q3421)</f>
        <v/>
      </c>
      <c r="T3421">
        <f>IF($A3421="","",$S3421&amp;"|"&amp;$F3421)</f>
        <v/>
      </c>
      <c r="U3421">
        <f>IF($A3421="","",$R3421&amp;"("&amp;$E3421&amp;")")</f>
        <v/>
      </c>
      <c r="V3421">
        <f>IF($A3421="","",$F3421&amp;"|"&amp;$U3421&amp;"|"&amp;$D3421)</f>
        <v/>
      </c>
      <c r="W3421">
        <f>IF($T3421="","",IF($X3421&gt;N($X3420),$X3421,""))</f>
        <v/>
      </c>
      <c r="X3421">
        <f>IF($T3421="",N($X3420),IF(MATCH($T3421,$T$6:$T$6005,0)=ROW()-5,N($X3420)+1,N($X3420)))</f>
        <v/>
      </c>
      <c r="Z3421">
        <f>IF($V3421="","",IF($AA3421&gt;N($AA3420),$AA3421,""))</f>
        <v/>
      </c>
      <c r="AA3421">
        <f>IF($V3421="",N($AA3420),IF(MATCH($V3421,$V$6:$V$6005,0)=ROW()-5,N($AA3420)+1,N($AA3420)))</f>
        <v/>
      </c>
    </row>
    <row r="3422" ht="21" customHeight="1" s="66">
      <c r="A3422" s="56" t="n"/>
      <c r="B3422" s="57" t="n"/>
      <c r="C3422" s="57" t="n"/>
      <c r="D3422" s="57" t="n"/>
      <c r="E3422" s="56" t="n"/>
      <c r="F3422" s="57" t="n"/>
      <c r="G3422" s="57" t="n"/>
      <c r="H3422" s="56" t="n"/>
      <c r="I3422" s="56" t="n"/>
      <c r="J3422" s="58" t="n"/>
      <c r="K3422" s="58" t="n"/>
      <c r="L3422" s="13">
        <f>IF(OR($A3422="",AND($J3422="",$K3422="")),"",ROUND(N($J3422)-N($K3422),2))</f>
        <v/>
      </c>
      <c r="M3422" s="13">
        <f>IF(OR($A3422="",AND($J3422="",$K3422="")),"",MIN($J3422,$K3422))</f>
        <v/>
      </c>
      <c r="Q3422">
        <f>IF($A3422="","",$D3422&amp;"("&amp;SUBSTITUTE($E3422," ","")&amp;")")</f>
        <v/>
      </c>
      <c r="R3422">
        <f>IF($A3422="","",$B3422&amp;" - "&amp;$C3422)</f>
        <v/>
      </c>
      <c r="S3422">
        <f>IF($A3422="","",$R3422&amp;"|"&amp;$Q3422)</f>
        <v/>
      </c>
      <c r="T3422">
        <f>IF($A3422="","",$S3422&amp;"|"&amp;$F3422)</f>
        <v/>
      </c>
      <c r="U3422">
        <f>IF($A3422="","",$R3422&amp;"("&amp;$E3422&amp;")")</f>
        <v/>
      </c>
      <c r="V3422">
        <f>IF($A3422="","",$F3422&amp;"|"&amp;$U3422&amp;"|"&amp;$D3422)</f>
        <v/>
      </c>
      <c r="W3422">
        <f>IF($T3422="","",IF($X3422&gt;N($X3421),$X3422,""))</f>
        <v/>
      </c>
      <c r="X3422">
        <f>IF($T3422="",N($X3421),IF(MATCH($T3422,$T$6:$T$6005,0)=ROW()-5,N($X3421)+1,N($X3421)))</f>
        <v/>
      </c>
      <c r="Z3422">
        <f>IF($V3422="","",IF($AA3422&gt;N($AA3421),$AA3422,""))</f>
        <v/>
      </c>
      <c r="AA3422">
        <f>IF($V3422="",N($AA3421),IF(MATCH($V3422,$V$6:$V$6005,0)=ROW()-5,N($AA3421)+1,N($AA3421)))</f>
        <v/>
      </c>
    </row>
    <row r="3423" ht="21" customHeight="1" s="66">
      <c r="A3423" s="56" t="n"/>
      <c r="B3423" s="57" t="n"/>
      <c r="C3423" s="57" t="n"/>
      <c r="D3423" s="57" t="n"/>
      <c r="E3423" s="56" t="n"/>
      <c r="F3423" s="57" t="n"/>
      <c r="G3423" s="57" t="n"/>
      <c r="H3423" s="56" t="n"/>
      <c r="I3423" s="56" t="n"/>
      <c r="J3423" s="58" t="n"/>
      <c r="K3423" s="58" t="n"/>
      <c r="L3423" s="13">
        <f>IF(OR($A3423="",AND($J3423="",$K3423="")),"",ROUND(N($J3423)-N($K3423),2))</f>
        <v/>
      </c>
      <c r="M3423" s="13">
        <f>IF(OR($A3423="",AND($J3423="",$K3423="")),"",MIN($J3423,$K3423))</f>
        <v/>
      </c>
      <c r="Q3423">
        <f>IF($A3423="","",$D3423&amp;"("&amp;SUBSTITUTE($E3423," ","")&amp;")")</f>
        <v/>
      </c>
      <c r="R3423">
        <f>IF($A3423="","",$B3423&amp;" - "&amp;$C3423)</f>
        <v/>
      </c>
      <c r="S3423">
        <f>IF($A3423="","",$R3423&amp;"|"&amp;$Q3423)</f>
        <v/>
      </c>
      <c r="T3423">
        <f>IF($A3423="","",$S3423&amp;"|"&amp;$F3423)</f>
        <v/>
      </c>
      <c r="U3423">
        <f>IF($A3423="","",$R3423&amp;"("&amp;$E3423&amp;")")</f>
        <v/>
      </c>
      <c r="V3423">
        <f>IF($A3423="","",$F3423&amp;"|"&amp;$U3423&amp;"|"&amp;$D3423)</f>
        <v/>
      </c>
      <c r="W3423">
        <f>IF($T3423="","",IF($X3423&gt;N($X3422),$X3423,""))</f>
        <v/>
      </c>
      <c r="X3423">
        <f>IF($T3423="",N($X3422),IF(MATCH($T3423,$T$6:$T$6005,0)=ROW()-5,N($X3422)+1,N($X3422)))</f>
        <v/>
      </c>
      <c r="Z3423">
        <f>IF($V3423="","",IF($AA3423&gt;N($AA3422),$AA3423,""))</f>
        <v/>
      </c>
      <c r="AA3423">
        <f>IF($V3423="",N($AA3422),IF(MATCH($V3423,$V$6:$V$6005,0)=ROW()-5,N($AA3422)+1,N($AA3422)))</f>
        <v/>
      </c>
    </row>
    <row r="3424" ht="21" customHeight="1" s="66">
      <c r="A3424" s="56" t="n"/>
      <c r="B3424" s="57" t="n"/>
      <c r="C3424" s="57" t="n"/>
      <c r="D3424" s="57" t="n"/>
      <c r="E3424" s="56" t="n"/>
      <c r="F3424" s="57" t="n"/>
      <c r="G3424" s="57" t="n"/>
      <c r="H3424" s="56" t="n"/>
      <c r="I3424" s="56" t="n"/>
      <c r="J3424" s="58" t="n"/>
      <c r="K3424" s="58" t="n"/>
      <c r="L3424" s="13">
        <f>IF(OR($A3424="",AND($J3424="",$K3424="")),"",ROUND(N($J3424)-N($K3424),2))</f>
        <v/>
      </c>
      <c r="M3424" s="13">
        <f>IF(OR($A3424="",AND($J3424="",$K3424="")),"",MIN($J3424,$K3424))</f>
        <v/>
      </c>
      <c r="Q3424">
        <f>IF($A3424="","",$D3424&amp;"("&amp;SUBSTITUTE($E3424," ","")&amp;")")</f>
        <v/>
      </c>
      <c r="R3424">
        <f>IF($A3424="","",$B3424&amp;" - "&amp;$C3424)</f>
        <v/>
      </c>
      <c r="S3424">
        <f>IF($A3424="","",$R3424&amp;"|"&amp;$Q3424)</f>
        <v/>
      </c>
      <c r="T3424">
        <f>IF($A3424="","",$S3424&amp;"|"&amp;$F3424)</f>
        <v/>
      </c>
      <c r="U3424">
        <f>IF($A3424="","",$R3424&amp;"("&amp;$E3424&amp;")")</f>
        <v/>
      </c>
      <c r="V3424">
        <f>IF($A3424="","",$F3424&amp;"|"&amp;$U3424&amp;"|"&amp;$D3424)</f>
        <v/>
      </c>
      <c r="W3424">
        <f>IF($T3424="","",IF($X3424&gt;N($X3423),$X3424,""))</f>
        <v/>
      </c>
      <c r="X3424">
        <f>IF($T3424="",N($X3423),IF(MATCH($T3424,$T$6:$T$6005,0)=ROW()-5,N($X3423)+1,N($X3423)))</f>
        <v/>
      </c>
      <c r="Z3424">
        <f>IF($V3424="","",IF($AA3424&gt;N($AA3423),$AA3424,""))</f>
        <v/>
      </c>
      <c r="AA3424">
        <f>IF($V3424="",N($AA3423),IF(MATCH($V3424,$V$6:$V$6005,0)=ROW()-5,N($AA3423)+1,N($AA3423)))</f>
        <v/>
      </c>
    </row>
    <row r="3425" ht="21" customHeight="1" s="66">
      <c r="A3425" s="56" t="n"/>
      <c r="B3425" s="57" t="n"/>
      <c r="C3425" s="57" t="n"/>
      <c r="D3425" s="57" t="n"/>
      <c r="E3425" s="56" t="n"/>
      <c r="F3425" s="57" t="n"/>
      <c r="G3425" s="57" t="n"/>
      <c r="H3425" s="56" t="n"/>
      <c r="I3425" s="56" t="n"/>
      <c r="J3425" s="58" t="n"/>
      <c r="K3425" s="58" t="n"/>
      <c r="L3425" s="13">
        <f>IF(OR($A3425="",AND($J3425="",$K3425="")),"",ROUND(N($J3425)-N($K3425),2))</f>
        <v/>
      </c>
      <c r="M3425" s="13">
        <f>IF(OR($A3425="",AND($J3425="",$K3425="")),"",MIN($J3425,$K3425))</f>
        <v/>
      </c>
      <c r="Q3425">
        <f>IF($A3425="","",$D3425&amp;"("&amp;SUBSTITUTE($E3425," ","")&amp;")")</f>
        <v/>
      </c>
      <c r="R3425">
        <f>IF($A3425="","",$B3425&amp;" - "&amp;$C3425)</f>
        <v/>
      </c>
      <c r="S3425">
        <f>IF($A3425="","",$R3425&amp;"|"&amp;$Q3425)</f>
        <v/>
      </c>
      <c r="T3425">
        <f>IF($A3425="","",$S3425&amp;"|"&amp;$F3425)</f>
        <v/>
      </c>
      <c r="U3425">
        <f>IF($A3425="","",$R3425&amp;"("&amp;$E3425&amp;")")</f>
        <v/>
      </c>
      <c r="V3425">
        <f>IF($A3425="","",$F3425&amp;"|"&amp;$U3425&amp;"|"&amp;$D3425)</f>
        <v/>
      </c>
      <c r="W3425">
        <f>IF($T3425="","",IF($X3425&gt;N($X3424),$X3425,""))</f>
        <v/>
      </c>
      <c r="X3425">
        <f>IF($T3425="",N($X3424),IF(MATCH($T3425,$T$6:$T$6005,0)=ROW()-5,N($X3424)+1,N($X3424)))</f>
        <v/>
      </c>
      <c r="Z3425">
        <f>IF($V3425="","",IF($AA3425&gt;N($AA3424),$AA3425,""))</f>
        <v/>
      </c>
      <c r="AA3425">
        <f>IF($V3425="",N($AA3424),IF(MATCH($V3425,$V$6:$V$6005,0)=ROW()-5,N($AA3424)+1,N($AA3424)))</f>
        <v/>
      </c>
    </row>
    <row r="3426" ht="21" customHeight="1" s="66">
      <c r="A3426" s="56" t="n"/>
      <c r="B3426" s="57" t="n"/>
      <c r="C3426" s="57" t="n"/>
      <c r="D3426" s="57" t="n"/>
      <c r="E3426" s="56" t="n"/>
      <c r="F3426" s="57" t="n"/>
      <c r="G3426" s="57" t="n"/>
      <c r="H3426" s="56" t="n"/>
      <c r="I3426" s="56" t="n"/>
      <c r="J3426" s="58" t="n"/>
      <c r="K3426" s="58" t="n"/>
      <c r="L3426" s="13">
        <f>IF(OR($A3426="",AND($J3426="",$K3426="")),"",ROUND(N($J3426)-N($K3426),2))</f>
        <v/>
      </c>
      <c r="M3426" s="13">
        <f>IF(OR($A3426="",AND($J3426="",$K3426="")),"",MIN($J3426,$K3426))</f>
        <v/>
      </c>
      <c r="Q3426">
        <f>IF($A3426="","",$D3426&amp;"("&amp;SUBSTITUTE($E3426," ","")&amp;")")</f>
        <v/>
      </c>
      <c r="R3426">
        <f>IF($A3426="","",$B3426&amp;" - "&amp;$C3426)</f>
        <v/>
      </c>
      <c r="S3426">
        <f>IF($A3426="","",$R3426&amp;"|"&amp;$Q3426)</f>
        <v/>
      </c>
      <c r="T3426">
        <f>IF($A3426="","",$S3426&amp;"|"&amp;$F3426)</f>
        <v/>
      </c>
      <c r="U3426">
        <f>IF($A3426="","",$R3426&amp;"("&amp;$E3426&amp;")")</f>
        <v/>
      </c>
      <c r="V3426">
        <f>IF($A3426="","",$F3426&amp;"|"&amp;$U3426&amp;"|"&amp;$D3426)</f>
        <v/>
      </c>
      <c r="W3426">
        <f>IF($T3426="","",IF($X3426&gt;N($X3425),$X3426,""))</f>
        <v/>
      </c>
      <c r="X3426">
        <f>IF($T3426="",N($X3425),IF(MATCH($T3426,$T$6:$T$6005,0)=ROW()-5,N($X3425)+1,N($X3425)))</f>
        <v/>
      </c>
      <c r="Z3426">
        <f>IF($V3426="","",IF($AA3426&gt;N($AA3425),$AA3426,""))</f>
        <v/>
      </c>
      <c r="AA3426">
        <f>IF($V3426="",N($AA3425),IF(MATCH($V3426,$V$6:$V$6005,0)=ROW()-5,N($AA3425)+1,N($AA3425)))</f>
        <v/>
      </c>
    </row>
    <row r="3427" ht="21" customHeight="1" s="66">
      <c r="A3427" s="56" t="n"/>
      <c r="B3427" s="57" t="n"/>
      <c r="C3427" s="57" t="n"/>
      <c r="D3427" s="57" t="n"/>
      <c r="E3427" s="56" t="n"/>
      <c r="F3427" s="57" t="n"/>
      <c r="G3427" s="57" t="n"/>
      <c r="H3427" s="56" t="n"/>
      <c r="I3427" s="56" t="n"/>
      <c r="J3427" s="58" t="n"/>
      <c r="K3427" s="58" t="n"/>
      <c r="L3427" s="13">
        <f>IF(OR($A3427="",AND($J3427="",$K3427="")),"",ROUND(N($J3427)-N($K3427),2))</f>
        <v/>
      </c>
      <c r="M3427" s="13">
        <f>IF(OR($A3427="",AND($J3427="",$K3427="")),"",MIN($J3427,$K3427))</f>
        <v/>
      </c>
      <c r="Q3427">
        <f>IF($A3427="","",$D3427&amp;"("&amp;SUBSTITUTE($E3427," ","")&amp;")")</f>
        <v/>
      </c>
      <c r="R3427">
        <f>IF($A3427="","",$B3427&amp;" - "&amp;$C3427)</f>
        <v/>
      </c>
      <c r="S3427">
        <f>IF($A3427="","",$R3427&amp;"|"&amp;$Q3427)</f>
        <v/>
      </c>
      <c r="T3427">
        <f>IF($A3427="","",$S3427&amp;"|"&amp;$F3427)</f>
        <v/>
      </c>
      <c r="U3427">
        <f>IF($A3427="","",$R3427&amp;"("&amp;$E3427&amp;")")</f>
        <v/>
      </c>
      <c r="V3427">
        <f>IF($A3427="","",$F3427&amp;"|"&amp;$U3427&amp;"|"&amp;$D3427)</f>
        <v/>
      </c>
      <c r="W3427">
        <f>IF($T3427="","",IF($X3427&gt;N($X3426),$X3427,""))</f>
        <v/>
      </c>
      <c r="X3427">
        <f>IF($T3427="",N($X3426),IF(MATCH($T3427,$T$6:$T$6005,0)=ROW()-5,N($X3426)+1,N($X3426)))</f>
        <v/>
      </c>
      <c r="Z3427">
        <f>IF($V3427="","",IF($AA3427&gt;N($AA3426),$AA3427,""))</f>
        <v/>
      </c>
      <c r="AA3427">
        <f>IF($V3427="",N($AA3426),IF(MATCH($V3427,$V$6:$V$6005,0)=ROW()-5,N($AA3426)+1,N($AA3426)))</f>
        <v/>
      </c>
    </row>
    <row r="3428" ht="21" customHeight="1" s="66">
      <c r="A3428" s="56" t="n"/>
      <c r="B3428" s="57" t="n"/>
      <c r="C3428" s="57" t="n"/>
      <c r="D3428" s="57" t="n"/>
      <c r="E3428" s="56" t="n"/>
      <c r="F3428" s="57" t="n"/>
      <c r="G3428" s="57" t="n"/>
      <c r="H3428" s="56" t="n"/>
      <c r="I3428" s="56" t="n"/>
      <c r="J3428" s="58" t="n"/>
      <c r="K3428" s="58" t="n"/>
      <c r="L3428" s="13">
        <f>IF(OR($A3428="",AND($J3428="",$K3428="")),"",ROUND(N($J3428)-N($K3428),2))</f>
        <v/>
      </c>
      <c r="M3428" s="13">
        <f>IF(OR($A3428="",AND($J3428="",$K3428="")),"",MIN($J3428,$K3428))</f>
        <v/>
      </c>
      <c r="Q3428">
        <f>IF($A3428="","",$D3428&amp;"("&amp;SUBSTITUTE($E3428," ","")&amp;")")</f>
        <v/>
      </c>
      <c r="R3428">
        <f>IF($A3428="","",$B3428&amp;" - "&amp;$C3428)</f>
        <v/>
      </c>
      <c r="S3428">
        <f>IF($A3428="","",$R3428&amp;"|"&amp;$Q3428)</f>
        <v/>
      </c>
      <c r="T3428">
        <f>IF($A3428="","",$S3428&amp;"|"&amp;$F3428)</f>
        <v/>
      </c>
      <c r="U3428">
        <f>IF($A3428="","",$R3428&amp;"("&amp;$E3428&amp;")")</f>
        <v/>
      </c>
      <c r="V3428">
        <f>IF($A3428="","",$F3428&amp;"|"&amp;$U3428&amp;"|"&amp;$D3428)</f>
        <v/>
      </c>
      <c r="W3428">
        <f>IF($T3428="","",IF($X3428&gt;N($X3427),$X3428,""))</f>
        <v/>
      </c>
      <c r="X3428">
        <f>IF($T3428="",N($X3427),IF(MATCH($T3428,$T$6:$T$6005,0)=ROW()-5,N($X3427)+1,N($X3427)))</f>
        <v/>
      </c>
      <c r="Z3428">
        <f>IF($V3428="","",IF($AA3428&gt;N($AA3427),$AA3428,""))</f>
        <v/>
      </c>
      <c r="AA3428">
        <f>IF($V3428="",N($AA3427),IF(MATCH($V3428,$V$6:$V$6005,0)=ROW()-5,N($AA3427)+1,N($AA3427)))</f>
        <v/>
      </c>
    </row>
    <row r="3429" ht="21" customHeight="1" s="66">
      <c r="A3429" s="56" t="n"/>
      <c r="B3429" s="57" t="n"/>
      <c r="C3429" s="57" t="n"/>
      <c r="D3429" s="57" t="n"/>
      <c r="E3429" s="56" t="n"/>
      <c r="F3429" s="57" t="n"/>
      <c r="G3429" s="57" t="n"/>
      <c r="H3429" s="56" t="n"/>
      <c r="I3429" s="56" t="n"/>
      <c r="J3429" s="58" t="n"/>
      <c r="K3429" s="58" t="n"/>
      <c r="L3429" s="13">
        <f>IF(OR($A3429="",AND($J3429="",$K3429="")),"",ROUND(N($J3429)-N($K3429),2))</f>
        <v/>
      </c>
      <c r="M3429" s="13">
        <f>IF(OR($A3429="",AND($J3429="",$K3429="")),"",MIN($J3429,$K3429))</f>
        <v/>
      </c>
      <c r="Q3429">
        <f>IF($A3429="","",$D3429&amp;"("&amp;SUBSTITUTE($E3429," ","")&amp;")")</f>
        <v/>
      </c>
      <c r="R3429">
        <f>IF($A3429="","",$B3429&amp;" - "&amp;$C3429)</f>
        <v/>
      </c>
      <c r="S3429">
        <f>IF($A3429="","",$R3429&amp;"|"&amp;$Q3429)</f>
        <v/>
      </c>
      <c r="T3429">
        <f>IF($A3429="","",$S3429&amp;"|"&amp;$F3429)</f>
        <v/>
      </c>
      <c r="U3429">
        <f>IF($A3429="","",$R3429&amp;"("&amp;$E3429&amp;")")</f>
        <v/>
      </c>
      <c r="V3429">
        <f>IF($A3429="","",$F3429&amp;"|"&amp;$U3429&amp;"|"&amp;$D3429)</f>
        <v/>
      </c>
      <c r="W3429">
        <f>IF($T3429="","",IF($X3429&gt;N($X3428),$X3429,""))</f>
        <v/>
      </c>
      <c r="X3429">
        <f>IF($T3429="",N($X3428),IF(MATCH($T3429,$T$6:$T$6005,0)=ROW()-5,N($X3428)+1,N($X3428)))</f>
        <v/>
      </c>
      <c r="Z3429">
        <f>IF($V3429="","",IF($AA3429&gt;N($AA3428),$AA3429,""))</f>
        <v/>
      </c>
      <c r="AA3429">
        <f>IF($V3429="",N($AA3428),IF(MATCH($V3429,$V$6:$V$6005,0)=ROW()-5,N($AA3428)+1,N($AA3428)))</f>
        <v/>
      </c>
    </row>
    <row r="3430" ht="21" customHeight="1" s="66">
      <c r="A3430" s="56" t="n"/>
      <c r="B3430" s="57" t="n"/>
      <c r="C3430" s="57" t="n"/>
      <c r="D3430" s="57" t="n"/>
      <c r="E3430" s="56" t="n"/>
      <c r="F3430" s="57" t="n"/>
      <c r="G3430" s="57" t="n"/>
      <c r="H3430" s="56" t="n"/>
      <c r="I3430" s="56" t="n"/>
      <c r="J3430" s="58" t="n"/>
      <c r="K3430" s="58" t="n"/>
      <c r="L3430" s="13">
        <f>IF(OR($A3430="",AND($J3430="",$K3430="")),"",ROUND(N($J3430)-N($K3430),2))</f>
        <v/>
      </c>
      <c r="M3430" s="13">
        <f>IF(OR($A3430="",AND($J3430="",$K3430="")),"",MIN($J3430,$K3430))</f>
        <v/>
      </c>
      <c r="Q3430">
        <f>IF($A3430="","",$D3430&amp;"("&amp;SUBSTITUTE($E3430," ","")&amp;")")</f>
        <v/>
      </c>
      <c r="R3430">
        <f>IF($A3430="","",$B3430&amp;" - "&amp;$C3430)</f>
        <v/>
      </c>
      <c r="S3430">
        <f>IF($A3430="","",$R3430&amp;"|"&amp;$Q3430)</f>
        <v/>
      </c>
      <c r="T3430">
        <f>IF($A3430="","",$S3430&amp;"|"&amp;$F3430)</f>
        <v/>
      </c>
      <c r="U3430">
        <f>IF($A3430="","",$R3430&amp;"("&amp;$E3430&amp;")")</f>
        <v/>
      </c>
      <c r="V3430">
        <f>IF($A3430="","",$F3430&amp;"|"&amp;$U3430&amp;"|"&amp;$D3430)</f>
        <v/>
      </c>
      <c r="W3430">
        <f>IF($T3430="","",IF($X3430&gt;N($X3429),$X3430,""))</f>
        <v/>
      </c>
      <c r="X3430">
        <f>IF($T3430="",N($X3429),IF(MATCH($T3430,$T$6:$T$6005,0)=ROW()-5,N($X3429)+1,N($X3429)))</f>
        <v/>
      </c>
      <c r="Z3430">
        <f>IF($V3430="","",IF($AA3430&gt;N($AA3429),$AA3430,""))</f>
        <v/>
      </c>
      <c r="AA3430">
        <f>IF($V3430="",N($AA3429),IF(MATCH($V3430,$V$6:$V$6005,0)=ROW()-5,N($AA3429)+1,N($AA3429)))</f>
        <v/>
      </c>
    </row>
    <row r="3431" ht="21" customHeight="1" s="66">
      <c r="A3431" s="56" t="n"/>
      <c r="B3431" s="57" t="n"/>
      <c r="C3431" s="57" t="n"/>
      <c r="D3431" s="57" t="n"/>
      <c r="E3431" s="56" t="n"/>
      <c r="F3431" s="57" t="n"/>
      <c r="G3431" s="57" t="n"/>
      <c r="H3431" s="56" t="n"/>
      <c r="I3431" s="56" t="n"/>
      <c r="J3431" s="58" t="n"/>
      <c r="K3431" s="58" t="n"/>
      <c r="L3431" s="13">
        <f>IF(OR($A3431="",AND($J3431="",$K3431="")),"",ROUND(N($J3431)-N($K3431),2))</f>
        <v/>
      </c>
      <c r="M3431" s="13">
        <f>IF(OR($A3431="",AND($J3431="",$K3431="")),"",MIN($J3431,$K3431))</f>
        <v/>
      </c>
      <c r="Q3431">
        <f>IF($A3431="","",$D3431&amp;"("&amp;SUBSTITUTE($E3431," ","")&amp;")")</f>
        <v/>
      </c>
      <c r="R3431">
        <f>IF($A3431="","",$B3431&amp;" - "&amp;$C3431)</f>
        <v/>
      </c>
      <c r="S3431">
        <f>IF($A3431="","",$R3431&amp;"|"&amp;$Q3431)</f>
        <v/>
      </c>
      <c r="T3431">
        <f>IF($A3431="","",$S3431&amp;"|"&amp;$F3431)</f>
        <v/>
      </c>
      <c r="U3431">
        <f>IF($A3431="","",$R3431&amp;"("&amp;$E3431&amp;")")</f>
        <v/>
      </c>
      <c r="V3431">
        <f>IF($A3431="","",$F3431&amp;"|"&amp;$U3431&amp;"|"&amp;$D3431)</f>
        <v/>
      </c>
      <c r="W3431">
        <f>IF($T3431="","",IF($X3431&gt;N($X3430),$X3431,""))</f>
        <v/>
      </c>
      <c r="X3431">
        <f>IF($T3431="",N($X3430),IF(MATCH($T3431,$T$6:$T$6005,0)=ROW()-5,N($X3430)+1,N($X3430)))</f>
        <v/>
      </c>
      <c r="Z3431">
        <f>IF($V3431="","",IF($AA3431&gt;N($AA3430),$AA3431,""))</f>
        <v/>
      </c>
      <c r="AA3431">
        <f>IF($V3431="",N($AA3430),IF(MATCH($V3431,$V$6:$V$6005,0)=ROW()-5,N($AA3430)+1,N($AA3430)))</f>
        <v/>
      </c>
    </row>
    <row r="3432" ht="21" customHeight="1" s="66">
      <c r="A3432" s="56" t="n"/>
      <c r="B3432" s="57" t="n"/>
      <c r="C3432" s="57" t="n"/>
      <c r="D3432" s="57" t="n"/>
      <c r="E3432" s="56" t="n"/>
      <c r="F3432" s="57" t="n"/>
      <c r="G3432" s="57" t="n"/>
      <c r="H3432" s="56" t="n"/>
      <c r="I3432" s="56" t="n"/>
      <c r="J3432" s="58" t="n"/>
      <c r="K3432" s="58" t="n"/>
      <c r="L3432" s="13">
        <f>IF(OR($A3432="",AND($J3432="",$K3432="")),"",ROUND(N($J3432)-N($K3432),2))</f>
        <v/>
      </c>
      <c r="M3432" s="13">
        <f>IF(OR($A3432="",AND($J3432="",$K3432="")),"",MIN($J3432,$K3432))</f>
        <v/>
      </c>
      <c r="Q3432">
        <f>IF($A3432="","",$D3432&amp;"("&amp;SUBSTITUTE($E3432," ","")&amp;")")</f>
        <v/>
      </c>
      <c r="R3432">
        <f>IF($A3432="","",$B3432&amp;" - "&amp;$C3432)</f>
        <v/>
      </c>
      <c r="S3432">
        <f>IF($A3432="","",$R3432&amp;"|"&amp;$Q3432)</f>
        <v/>
      </c>
      <c r="T3432">
        <f>IF($A3432="","",$S3432&amp;"|"&amp;$F3432)</f>
        <v/>
      </c>
      <c r="U3432">
        <f>IF($A3432="","",$R3432&amp;"("&amp;$E3432&amp;")")</f>
        <v/>
      </c>
      <c r="V3432">
        <f>IF($A3432="","",$F3432&amp;"|"&amp;$U3432&amp;"|"&amp;$D3432)</f>
        <v/>
      </c>
      <c r="W3432">
        <f>IF($T3432="","",IF($X3432&gt;N($X3431),$X3432,""))</f>
        <v/>
      </c>
      <c r="X3432">
        <f>IF($T3432="",N($X3431),IF(MATCH($T3432,$T$6:$T$6005,0)=ROW()-5,N($X3431)+1,N($X3431)))</f>
        <v/>
      </c>
      <c r="Z3432">
        <f>IF($V3432="","",IF($AA3432&gt;N($AA3431),$AA3432,""))</f>
        <v/>
      </c>
      <c r="AA3432">
        <f>IF($V3432="",N($AA3431),IF(MATCH($V3432,$V$6:$V$6005,0)=ROW()-5,N($AA3431)+1,N($AA3431)))</f>
        <v/>
      </c>
    </row>
    <row r="3433" ht="21" customHeight="1" s="66">
      <c r="A3433" s="56" t="n"/>
      <c r="B3433" s="57" t="n"/>
      <c r="C3433" s="57" t="n"/>
      <c r="D3433" s="57" t="n"/>
      <c r="E3433" s="56" t="n"/>
      <c r="F3433" s="57" t="n"/>
      <c r="G3433" s="57" t="n"/>
      <c r="H3433" s="56" t="n"/>
      <c r="I3433" s="56" t="n"/>
      <c r="J3433" s="58" t="n"/>
      <c r="K3433" s="58" t="n"/>
      <c r="L3433" s="13">
        <f>IF(OR($A3433="",AND($J3433="",$K3433="")),"",ROUND(N($J3433)-N($K3433),2))</f>
        <v/>
      </c>
      <c r="M3433" s="13">
        <f>IF(OR($A3433="",AND($J3433="",$K3433="")),"",MIN($J3433,$K3433))</f>
        <v/>
      </c>
      <c r="Q3433">
        <f>IF($A3433="","",$D3433&amp;"("&amp;SUBSTITUTE($E3433," ","")&amp;")")</f>
        <v/>
      </c>
      <c r="R3433">
        <f>IF($A3433="","",$B3433&amp;" - "&amp;$C3433)</f>
        <v/>
      </c>
      <c r="S3433">
        <f>IF($A3433="","",$R3433&amp;"|"&amp;$Q3433)</f>
        <v/>
      </c>
      <c r="T3433">
        <f>IF($A3433="","",$S3433&amp;"|"&amp;$F3433)</f>
        <v/>
      </c>
      <c r="U3433">
        <f>IF($A3433="","",$R3433&amp;"("&amp;$E3433&amp;")")</f>
        <v/>
      </c>
      <c r="V3433">
        <f>IF($A3433="","",$F3433&amp;"|"&amp;$U3433&amp;"|"&amp;$D3433)</f>
        <v/>
      </c>
      <c r="W3433">
        <f>IF($T3433="","",IF($X3433&gt;N($X3432),$X3433,""))</f>
        <v/>
      </c>
      <c r="X3433">
        <f>IF($T3433="",N($X3432),IF(MATCH($T3433,$T$6:$T$6005,0)=ROW()-5,N($X3432)+1,N($X3432)))</f>
        <v/>
      </c>
      <c r="Z3433">
        <f>IF($V3433="","",IF($AA3433&gt;N($AA3432),$AA3433,""))</f>
        <v/>
      </c>
      <c r="AA3433">
        <f>IF($V3433="",N($AA3432),IF(MATCH($V3433,$V$6:$V$6005,0)=ROW()-5,N($AA3432)+1,N($AA3432)))</f>
        <v/>
      </c>
    </row>
    <row r="3434" ht="21" customHeight="1" s="66">
      <c r="A3434" s="56" t="n"/>
      <c r="B3434" s="57" t="n"/>
      <c r="C3434" s="57" t="n"/>
      <c r="D3434" s="57" t="n"/>
      <c r="E3434" s="56" t="n"/>
      <c r="F3434" s="57" t="n"/>
      <c r="G3434" s="57" t="n"/>
      <c r="H3434" s="56" t="n"/>
      <c r="I3434" s="56" t="n"/>
      <c r="J3434" s="58" t="n"/>
      <c r="K3434" s="58" t="n"/>
      <c r="L3434" s="13">
        <f>IF(OR($A3434="",AND($J3434="",$K3434="")),"",ROUND(N($J3434)-N($K3434),2))</f>
        <v/>
      </c>
      <c r="M3434" s="13">
        <f>IF(OR($A3434="",AND($J3434="",$K3434="")),"",MIN($J3434,$K3434))</f>
        <v/>
      </c>
      <c r="Q3434">
        <f>IF($A3434="","",$D3434&amp;"("&amp;SUBSTITUTE($E3434," ","")&amp;")")</f>
        <v/>
      </c>
      <c r="R3434">
        <f>IF($A3434="","",$B3434&amp;" - "&amp;$C3434)</f>
        <v/>
      </c>
      <c r="S3434">
        <f>IF($A3434="","",$R3434&amp;"|"&amp;$Q3434)</f>
        <v/>
      </c>
      <c r="T3434">
        <f>IF($A3434="","",$S3434&amp;"|"&amp;$F3434)</f>
        <v/>
      </c>
      <c r="U3434">
        <f>IF($A3434="","",$R3434&amp;"("&amp;$E3434&amp;")")</f>
        <v/>
      </c>
      <c r="V3434">
        <f>IF($A3434="","",$F3434&amp;"|"&amp;$U3434&amp;"|"&amp;$D3434)</f>
        <v/>
      </c>
      <c r="W3434">
        <f>IF($T3434="","",IF($X3434&gt;N($X3433),$X3434,""))</f>
        <v/>
      </c>
      <c r="X3434">
        <f>IF($T3434="",N($X3433),IF(MATCH($T3434,$T$6:$T$6005,0)=ROW()-5,N($X3433)+1,N($X3433)))</f>
        <v/>
      </c>
      <c r="Z3434">
        <f>IF($V3434="","",IF($AA3434&gt;N($AA3433),$AA3434,""))</f>
        <v/>
      </c>
      <c r="AA3434">
        <f>IF($V3434="",N($AA3433),IF(MATCH($V3434,$V$6:$V$6005,0)=ROW()-5,N($AA3433)+1,N($AA3433)))</f>
        <v/>
      </c>
    </row>
    <row r="3435" ht="21" customHeight="1" s="66">
      <c r="A3435" s="56" t="n"/>
      <c r="B3435" s="57" t="n"/>
      <c r="C3435" s="57" t="n"/>
      <c r="D3435" s="57" t="n"/>
      <c r="E3435" s="56" t="n"/>
      <c r="F3435" s="57" t="n"/>
      <c r="G3435" s="57" t="n"/>
      <c r="H3435" s="56" t="n"/>
      <c r="I3435" s="56" t="n"/>
      <c r="J3435" s="58" t="n"/>
      <c r="K3435" s="58" t="n"/>
      <c r="L3435" s="13">
        <f>IF(OR($A3435="",AND($J3435="",$K3435="")),"",ROUND(N($J3435)-N($K3435),2))</f>
        <v/>
      </c>
      <c r="M3435" s="13">
        <f>IF(OR($A3435="",AND($J3435="",$K3435="")),"",MIN($J3435,$K3435))</f>
        <v/>
      </c>
      <c r="Q3435">
        <f>IF($A3435="","",$D3435&amp;"("&amp;SUBSTITUTE($E3435," ","")&amp;")")</f>
        <v/>
      </c>
      <c r="R3435">
        <f>IF($A3435="","",$B3435&amp;" - "&amp;$C3435)</f>
        <v/>
      </c>
      <c r="S3435">
        <f>IF($A3435="","",$R3435&amp;"|"&amp;$Q3435)</f>
        <v/>
      </c>
      <c r="T3435">
        <f>IF($A3435="","",$S3435&amp;"|"&amp;$F3435)</f>
        <v/>
      </c>
      <c r="U3435">
        <f>IF($A3435="","",$R3435&amp;"("&amp;$E3435&amp;")")</f>
        <v/>
      </c>
      <c r="V3435">
        <f>IF($A3435="","",$F3435&amp;"|"&amp;$U3435&amp;"|"&amp;$D3435)</f>
        <v/>
      </c>
      <c r="W3435">
        <f>IF($T3435="","",IF($X3435&gt;N($X3434),$X3435,""))</f>
        <v/>
      </c>
      <c r="X3435">
        <f>IF($T3435="",N($X3434),IF(MATCH($T3435,$T$6:$T$6005,0)=ROW()-5,N($X3434)+1,N($X3434)))</f>
        <v/>
      </c>
      <c r="Z3435">
        <f>IF($V3435="","",IF($AA3435&gt;N($AA3434),$AA3435,""))</f>
        <v/>
      </c>
      <c r="AA3435">
        <f>IF($V3435="",N($AA3434),IF(MATCH($V3435,$V$6:$V$6005,0)=ROW()-5,N($AA3434)+1,N($AA3434)))</f>
        <v/>
      </c>
    </row>
    <row r="3436" ht="21" customHeight="1" s="66">
      <c r="A3436" s="56" t="n"/>
      <c r="B3436" s="57" t="n"/>
      <c r="C3436" s="57" t="n"/>
      <c r="D3436" s="57" t="n"/>
      <c r="E3436" s="56" t="n"/>
      <c r="F3436" s="57" t="n"/>
      <c r="G3436" s="57" t="n"/>
      <c r="H3436" s="56" t="n"/>
      <c r="I3436" s="56" t="n"/>
      <c r="J3436" s="58" t="n"/>
      <c r="K3436" s="58" t="n"/>
      <c r="L3436" s="13">
        <f>IF(OR($A3436="",AND($J3436="",$K3436="")),"",ROUND(N($J3436)-N($K3436),2))</f>
        <v/>
      </c>
      <c r="M3436" s="13">
        <f>IF(OR($A3436="",AND($J3436="",$K3436="")),"",MIN($J3436,$K3436))</f>
        <v/>
      </c>
      <c r="Q3436">
        <f>IF($A3436="","",$D3436&amp;"("&amp;SUBSTITUTE($E3436," ","")&amp;")")</f>
        <v/>
      </c>
      <c r="R3436">
        <f>IF($A3436="","",$B3436&amp;" - "&amp;$C3436)</f>
        <v/>
      </c>
      <c r="S3436">
        <f>IF($A3436="","",$R3436&amp;"|"&amp;$Q3436)</f>
        <v/>
      </c>
      <c r="T3436">
        <f>IF($A3436="","",$S3436&amp;"|"&amp;$F3436)</f>
        <v/>
      </c>
      <c r="U3436">
        <f>IF($A3436="","",$R3436&amp;"("&amp;$E3436&amp;")")</f>
        <v/>
      </c>
      <c r="V3436">
        <f>IF($A3436="","",$F3436&amp;"|"&amp;$U3436&amp;"|"&amp;$D3436)</f>
        <v/>
      </c>
      <c r="W3436">
        <f>IF($T3436="","",IF($X3436&gt;N($X3435),$X3436,""))</f>
        <v/>
      </c>
      <c r="X3436">
        <f>IF($T3436="",N($X3435),IF(MATCH($T3436,$T$6:$T$6005,0)=ROW()-5,N($X3435)+1,N($X3435)))</f>
        <v/>
      </c>
      <c r="Z3436">
        <f>IF($V3436="","",IF($AA3436&gt;N($AA3435),$AA3436,""))</f>
        <v/>
      </c>
      <c r="AA3436">
        <f>IF($V3436="",N($AA3435),IF(MATCH($V3436,$V$6:$V$6005,0)=ROW()-5,N($AA3435)+1,N($AA3435)))</f>
        <v/>
      </c>
    </row>
    <row r="3437" ht="21" customHeight="1" s="66">
      <c r="A3437" s="56" t="n"/>
      <c r="B3437" s="57" t="n"/>
      <c r="C3437" s="57" t="n"/>
      <c r="D3437" s="57" t="n"/>
      <c r="E3437" s="56" t="n"/>
      <c r="F3437" s="57" t="n"/>
      <c r="G3437" s="57" t="n"/>
      <c r="H3437" s="56" t="n"/>
      <c r="I3437" s="56" t="n"/>
      <c r="J3437" s="58" t="n"/>
      <c r="K3437" s="58" t="n"/>
      <c r="L3437" s="13">
        <f>IF(OR($A3437="",AND($J3437="",$K3437="")),"",ROUND(N($J3437)-N($K3437),2))</f>
        <v/>
      </c>
      <c r="M3437" s="13">
        <f>IF(OR($A3437="",AND($J3437="",$K3437="")),"",MIN($J3437,$K3437))</f>
        <v/>
      </c>
      <c r="Q3437">
        <f>IF($A3437="","",$D3437&amp;"("&amp;SUBSTITUTE($E3437," ","")&amp;")")</f>
        <v/>
      </c>
      <c r="R3437">
        <f>IF($A3437="","",$B3437&amp;" - "&amp;$C3437)</f>
        <v/>
      </c>
      <c r="S3437">
        <f>IF($A3437="","",$R3437&amp;"|"&amp;$Q3437)</f>
        <v/>
      </c>
      <c r="T3437">
        <f>IF($A3437="","",$S3437&amp;"|"&amp;$F3437)</f>
        <v/>
      </c>
      <c r="U3437">
        <f>IF($A3437="","",$R3437&amp;"("&amp;$E3437&amp;")")</f>
        <v/>
      </c>
      <c r="V3437">
        <f>IF($A3437="","",$F3437&amp;"|"&amp;$U3437&amp;"|"&amp;$D3437)</f>
        <v/>
      </c>
      <c r="W3437">
        <f>IF($T3437="","",IF($X3437&gt;N($X3436),$X3437,""))</f>
        <v/>
      </c>
      <c r="X3437">
        <f>IF($T3437="",N($X3436),IF(MATCH($T3437,$T$6:$T$6005,0)=ROW()-5,N($X3436)+1,N($X3436)))</f>
        <v/>
      </c>
      <c r="Z3437">
        <f>IF($V3437="","",IF($AA3437&gt;N($AA3436),$AA3437,""))</f>
        <v/>
      </c>
      <c r="AA3437">
        <f>IF($V3437="",N($AA3436),IF(MATCH($V3437,$V$6:$V$6005,0)=ROW()-5,N($AA3436)+1,N($AA3436)))</f>
        <v/>
      </c>
    </row>
    <row r="3438" ht="21" customHeight="1" s="66">
      <c r="A3438" s="56" t="n"/>
      <c r="B3438" s="57" t="n"/>
      <c r="C3438" s="57" t="n"/>
      <c r="D3438" s="57" t="n"/>
      <c r="E3438" s="56" t="n"/>
      <c r="F3438" s="57" t="n"/>
      <c r="G3438" s="57" t="n"/>
      <c r="H3438" s="56" t="n"/>
      <c r="I3438" s="56" t="n"/>
      <c r="J3438" s="58" t="n"/>
      <c r="K3438" s="58" t="n"/>
      <c r="L3438" s="13">
        <f>IF(OR($A3438="",AND($J3438="",$K3438="")),"",ROUND(N($J3438)-N($K3438),2))</f>
        <v/>
      </c>
      <c r="M3438" s="13">
        <f>IF(OR($A3438="",AND($J3438="",$K3438="")),"",MIN($J3438,$K3438))</f>
        <v/>
      </c>
      <c r="Q3438">
        <f>IF($A3438="","",$D3438&amp;"("&amp;SUBSTITUTE($E3438," ","")&amp;")")</f>
        <v/>
      </c>
      <c r="R3438">
        <f>IF($A3438="","",$B3438&amp;" - "&amp;$C3438)</f>
        <v/>
      </c>
      <c r="S3438">
        <f>IF($A3438="","",$R3438&amp;"|"&amp;$Q3438)</f>
        <v/>
      </c>
      <c r="T3438">
        <f>IF($A3438="","",$S3438&amp;"|"&amp;$F3438)</f>
        <v/>
      </c>
      <c r="U3438">
        <f>IF($A3438="","",$R3438&amp;"("&amp;$E3438&amp;")")</f>
        <v/>
      </c>
      <c r="V3438">
        <f>IF($A3438="","",$F3438&amp;"|"&amp;$U3438&amp;"|"&amp;$D3438)</f>
        <v/>
      </c>
      <c r="W3438">
        <f>IF($T3438="","",IF($X3438&gt;N($X3437),$X3438,""))</f>
        <v/>
      </c>
      <c r="X3438">
        <f>IF($T3438="",N($X3437),IF(MATCH($T3438,$T$6:$T$6005,0)=ROW()-5,N($X3437)+1,N($X3437)))</f>
        <v/>
      </c>
      <c r="Z3438">
        <f>IF($V3438="","",IF($AA3438&gt;N($AA3437),$AA3438,""))</f>
        <v/>
      </c>
      <c r="AA3438">
        <f>IF($V3438="",N($AA3437),IF(MATCH($V3438,$V$6:$V$6005,0)=ROW()-5,N($AA3437)+1,N($AA3437)))</f>
        <v/>
      </c>
    </row>
    <row r="3439" ht="21" customHeight="1" s="66">
      <c r="A3439" s="56" t="n"/>
      <c r="B3439" s="57" t="n"/>
      <c r="C3439" s="57" t="n"/>
      <c r="D3439" s="57" t="n"/>
      <c r="E3439" s="56" t="n"/>
      <c r="F3439" s="57" t="n"/>
      <c r="G3439" s="57" t="n"/>
      <c r="H3439" s="56" t="n"/>
      <c r="I3439" s="56" t="n"/>
      <c r="J3439" s="58" t="n"/>
      <c r="K3439" s="58" t="n"/>
      <c r="L3439" s="13">
        <f>IF(OR($A3439="",AND($J3439="",$K3439="")),"",ROUND(N($J3439)-N($K3439),2))</f>
        <v/>
      </c>
      <c r="M3439" s="13">
        <f>IF(OR($A3439="",AND($J3439="",$K3439="")),"",MIN($J3439,$K3439))</f>
        <v/>
      </c>
      <c r="Q3439">
        <f>IF($A3439="","",$D3439&amp;"("&amp;SUBSTITUTE($E3439," ","")&amp;")")</f>
        <v/>
      </c>
      <c r="R3439">
        <f>IF($A3439="","",$B3439&amp;" - "&amp;$C3439)</f>
        <v/>
      </c>
      <c r="S3439">
        <f>IF($A3439="","",$R3439&amp;"|"&amp;$Q3439)</f>
        <v/>
      </c>
      <c r="T3439">
        <f>IF($A3439="","",$S3439&amp;"|"&amp;$F3439)</f>
        <v/>
      </c>
      <c r="U3439">
        <f>IF($A3439="","",$R3439&amp;"("&amp;$E3439&amp;")")</f>
        <v/>
      </c>
      <c r="V3439">
        <f>IF($A3439="","",$F3439&amp;"|"&amp;$U3439&amp;"|"&amp;$D3439)</f>
        <v/>
      </c>
      <c r="W3439">
        <f>IF($T3439="","",IF($X3439&gt;N($X3438),$X3439,""))</f>
        <v/>
      </c>
      <c r="X3439">
        <f>IF($T3439="",N($X3438),IF(MATCH($T3439,$T$6:$T$6005,0)=ROW()-5,N($X3438)+1,N($X3438)))</f>
        <v/>
      </c>
      <c r="Z3439">
        <f>IF($V3439="","",IF($AA3439&gt;N($AA3438),$AA3439,""))</f>
        <v/>
      </c>
      <c r="AA3439">
        <f>IF($V3439="",N($AA3438),IF(MATCH($V3439,$V$6:$V$6005,0)=ROW()-5,N($AA3438)+1,N($AA3438)))</f>
        <v/>
      </c>
    </row>
    <row r="3440" ht="21" customHeight="1" s="66">
      <c r="A3440" s="56" t="n"/>
      <c r="B3440" s="57" t="n"/>
      <c r="C3440" s="57" t="n"/>
      <c r="D3440" s="57" t="n"/>
      <c r="E3440" s="56" t="n"/>
      <c r="F3440" s="57" t="n"/>
      <c r="G3440" s="57" t="n"/>
      <c r="H3440" s="56" t="n"/>
      <c r="I3440" s="56" t="n"/>
      <c r="J3440" s="58" t="n"/>
      <c r="K3440" s="58" t="n"/>
      <c r="L3440" s="13">
        <f>IF(OR($A3440="",AND($J3440="",$K3440="")),"",ROUND(N($J3440)-N($K3440),2))</f>
        <v/>
      </c>
      <c r="M3440" s="13">
        <f>IF(OR($A3440="",AND($J3440="",$K3440="")),"",MIN($J3440,$K3440))</f>
        <v/>
      </c>
      <c r="Q3440">
        <f>IF($A3440="","",$D3440&amp;"("&amp;SUBSTITUTE($E3440," ","")&amp;")")</f>
        <v/>
      </c>
      <c r="R3440">
        <f>IF($A3440="","",$B3440&amp;" - "&amp;$C3440)</f>
        <v/>
      </c>
      <c r="S3440">
        <f>IF($A3440="","",$R3440&amp;"|"&amp;$Q3440)</f>
        <v/>
      </c>
      <c r="T3440">
        <f>IF($A3440="","",$S3440&amp;"|"&amp;$F3440)</f>
        <v/>
      </c>
      <c r="U3440">
        <f>IF($A3440="","",$R3440&amp;"("&amp;$E3440&amp;")")</f>
        <v/>
      </c>
      <c r="V3440">
        <f>IF($A3440="","",$F3440&amp;"|"&amp;$U3440&amp;"|"&amp;$D3440)</f>
        <v/>
      </c>
      <c r="W3440">
        <f>IF($T3440="","",IF($X3440&gt;N($X3439),$X3440,""))</f>
        <v/>
      </c>
      <c r="X3440">
        <f>IF($T3440="",N($X3439),IF(MATCH($T3440,$T$6:$T$6005,0)=ROW()-5,N($X3439)+1,N($X3439)))</f>
        <v/>
      </c>
      <c r="Z3440">
        <f>IF($V3440="","",IF($AA3440&gt;N($AA3439),$AA3440,""))</f>
        <v/>
      </c>
      <c r="AA3440">
        <f>IF($V3440="",N($AA3439),IF(MATCH($V3440,$V$6:$V$6005,0)=ROW()-5,N($AA3439)+1,N($AA3439)))</f>
        <v/>
      </c>
    </row>
    <row r="3441" ht="21" customHeight="1" s="66">
      <c r="A3441" s="56" t="n"/>
      <c r="B3441" s="57" t="n"/>
      <c r="C3441" s="57" t="n"/>
      <c r="D3441" s="57" t="n"/>
      <c r="E3441" s="56" t="n"/>
      <c r="F3441" s="57" t="n"/>
      <c r="G3441" s="57" t="n"/>
      <c r="H3441" s="56" t="n"/>
      <c r="I3441" s="56" t="n"/>
      <c r="J3441" s="58" t="n"/>
      <c r="K3441" s="58" t="n"/>
      <c r="L3441" s="13">
        <f>IF(OR($A3441="",AND($J3441="",$K3441="")),"",ROUND(N($J3441)-N($K3441),2))</f>
        <v/>
      </c>
      <c r="M3441" s="13">
        <f>IF(OR($A3441="",AND($J3441="",$K3441="")),"",MIN($J3441,$K3441))</f>
        <v/>
      </c>
      <c r="Q3441">
        <f>IF($A3441="","",$D3441&amp;"("&amp;SUBSTITUTE($E3441," ","")&amp;")")</f>
        <v/>
      </c>
      <c r="R3441">
        <f>IF($A3441="","",$B3441&amp;" - "&amp;$C3441)</f>
        <v/>
      </c>
      <c r="S3441">
        <f>IF($A3441="","",$R3441&amp;"|"&amp;$Q3441)</f>
        <v/>
      </c>
      <c r="T3441">
        <f>IF($A3441="","",$S3441&amp;"|"&amp;$F3441)</f>
        <v/>
      </c>
      <c r="U3441">
        <f>IF($A3441="","",$R3441&amp;"("&amp;$E3441&amp;")")</f>
        <v/>
      </c>
      <c r="V3441">
        <f>IF($A3441="","",$F3441&amp;"|"&amp;$U3441&amp;"|"&amp;$D3441)</f>
        <v/>
      </c>
      <c r="W3441">
        <f>IF($T3441="","",IF($X3441&gt;N($X3440),$X3441,""))</f>
        <v/>
      </c>
      <c r="X3441">
        <f>IF($T3441="",N($X3440),IF(MATCH($T3441,$T$6:$T$6005,0)=ROW()-5,N($X3440)+1,N($X3440)))</f>
        <v/>
      </c>
      <c r="Z3441">
        <f>IF($V3441="","",IF($AA3441&gt;N($AA3440),$AA3441,""))</f>
        <v/>
      </c>
      <c r="AA3441">
        <f>IF($V3441="",N($AA3440),IF(MATCH($V3441,$V$6:$V$6005,0)=ROW()-5,N($AA3440)+1,N($AA3440)))</f>
        <v/>
      </c>
    </row>
    <row r="3442" ht="21" customHeight="1" s="66">
      <c r="A3442" s="56" t="n"/>
      <c r="B3442" s="57" t="n"/>
      <c r="C3442" s="57" t="n"/>
      <c r="D3442" s="57" t="n"/>
      <c r="E3442" s="56" t="n"/>
      <c r="F3442" s="57" t="n"/>
      <c r="G3442" s="57" t="n"/>
      <c r="H3442" s="56" t="n"/>
      <c r="I3442" s="56" t="n"/>
      <c r="J3442" s="58" t="n"/>
      <c r="K3442" s="58" t="n"/>
      <c r="L3442" s="13">
        <f>IF(OR($A3442="",AND($J3442="",$K3442="")),"",ROUND(N($J3442)-N($K3442),2))</f>
        <v/>
      </c>
      <c r="M3442" s="13">
        <f>IF(OR($A3442="",AND($J3442="",$K3442="")),"",MIN($J3442,$K3442))</f>
        <v/>
      </c>
      <c r="Q3442">
        <f>IF($A3442="","",$D3442&amp;"("&amp;SUBSTITUTE($E3442," ","")&amp;")")</f>
        <v/>
      </c>
      <c r="R3442">
        <f>IF($A3442="","",$B3442&amp;" - "&amp;$C3442)</f>
        <v/>
      </c>
      <c r="S3442">
        <f>IF($A3442="","",$R3442&amp;"|"&amp;$Q3442)</f>
        <v/>
      </c>
      <c r="T3442">
        <f>IF($A3442="","",$S3442&amp;"|"&amp;$F3442)</f>
        <v/>
      </c>
      <c r="U3442">
        <f>IF($A3442="","",$R3442&amp;"("&amp;$E3442&amp;")")</f>
        <v/>
      </c>
      <c r="V3442">
        <f>IF($A3442="","",$F3442&amp;"|"&amp;$U3442&amp;"|"&amp;$D3442)</f>
        <v/>
      </c>
      <c r="W3442">
        <f>IF($T3442="","",IF($X3442&gt;N($X3441),$X3442,""))</f>
        <v/>
      </c>
      <c r="X3442">
        <f>IF($T3442="",N($X3441),IF(MATCH($T3442,$T$6:$T$6005,0)=ROW()-5,N($X3441)+1,N($X3441)))</f>
        <v/>
      </c>
      <c r="Z3442">
        <f>IF($V3442="","",IF($AA3442&gt;N($AA3441),$AA3442,""))</f>
        <v/>
      </c>
      <c r="AA3442">
        <f>IF($V3442="",N($AA3441),IF(MATCH($V3442,$V$6:$V$6005,0)=ROW()-5,N($AA3441)+1,N($AA3441)))</f>
        <v/>
      </c>
    </row>
    <row r="3443" ht="21" customHeight="1" s="66">
      <c r="A3443" s="56" t="n"/>
      <c r="B3443" s="57" t="n"/>
      <c r="C3443" s="57" t="n"/>
      <c r="D3443" s="57" t="n"/>
      <c r="E3443" s="56" t="n"/>
      <c r="F3443" s="57" t="n"/>
      <c r="G3443" s="57" t="n"/>
      <c r="H3443" s="56" t="n"/>
      <c r="I3443" s="56" t="n"/>
      <c r="J3443" s="58" t="n"/>
      <c r="K3443" s="58" t="n"/>
      <c r="L3443" s="13">
        <f>IF(OR($A3443="",AND($J3443="",$K3443="")),"",ROUND(N($J3443)-N($K3443),2))</f>
        <v/>
      </c>
      <c r="M3443" s="13">
        <f>IF(OR($A3443="",AND($J3443="",$K3443="")),"",MIN($J3443,$K3443))</f>
        <v/>
      </c>
      <c r="Q3443">
        <f>IF($A3443="","",$D3443&amp;"("&amp;SUBSTITUTE($E3443," ","")&amp;")")</f>
        <v/>
      </c>
      <c r="R3443">
        <f>IF($A3443="","",$B3443&amp;" - "&amp;$C3443)</f>
        <v/>
      </c>
      <c r="S3443">
        <f>IF($A3443="","",$R3443&amp;"|"&amp;$Q3443)</f>
        <v/>
      </c>
      <c r="T3443">
        <f>IF($A3443="","",$S3443&amp;"|"&amp;$F3443)</f>
        <v/>
      </c>
      <c r="U3443">
        <f>IF($A3443="","",$R3443&amp;"("&amp;$E3443&amp;")")</f>
        <v/>
      </c>
      <c r="V3443">
        <f>IF($A3443="","",$F3443&amp;"|"&amp;$U3443&amp;"|"&amp;$D3443)</f>
        <v/>
      </c>
      <c r="W3443">
        <f>IF($T3443="","",IF($X3443&gt;N($X3442),$X3443,""))</f>
        <v/>
      </c>
      <c r="X3443">
        <f>IF($T3443="",N($X3442),IF(MATCH($T3443,$T$6:$T$6005,0)=ROW()-5,N($X3442)+1,N($X3442)))</f>
        <v/>
      </c>
      <c r="Z3443">
        <f>IF($V3443="","",IF($AA3443&gt;N($AA3442),$AA3443,""))</f>
        <v/>
      </c>
      <c r="AA3443">
        <f>IF($V3443="",N($AA3442),IF(MATCH($V3443,$V$6:$V$6005,0)=ROW()-5,N($AA3442)+1,N($AA3442)))</f>
        <v/>
      </c>
    </row>
    <row r="3444" ht="21" customHeight="1" s="66">
      <c r="A3444" s="56" t="n"/>
      <c r="B3444" s="57" t="n"/>
      <c r="C3444" s="57" t="n"/>
      <c r="D3444" s="57" t="n"/>
      <c r="E3444" s="56" t="n"/>
      <c r="F3444" s="57" t="n"/>
      <c r="G3444" s="57" t="n"/>
      <c r="H3444" s="56" t="n"/>
      <c r="I3444" s="56" t="n"/>
      <c r="J3444" s="58" t="n"/>
      <c r="K3444" s="58" t="n"/>
      <c r="L3444" s="13">
        <f>IF(OR($A3444="",AND($J3444="",$K3444="")),"",ROUND(N($J3444)-N($K3444),2))</f>
        <v/>
      </c>
      <c r="M3444" s="13">
        <f>IF(OR($A3444="",AND($J3444="",$K3444="")),"",MIN($J3444,$K3444))</f>
        <v/>
      </c>
      <c r="Q3444">
        <f>IF($A3444="","",$D3444&amp;"("&amp;SUBSTITUTE($E3444," ","")&amp;")")</f>
        <v/>
      </c>
      <c r="R3444">
        <f>IF($A3444="","",$B3444&amp;" - "&amp;$C3444)</f>
        <v/>
      </c>
      <c r="S3444">
        <f>IF($A3444="","",$R3444&amp;"|"&amp;$Q3444)</f>
        <v/>
      </c>
      <c r="T3444">
        <f>IF($A3444="","",$S3444&amp;"|"&amp;$F3444)</f>
        <v/>
      </c>
      <c r="U3444">
        <f>IF($A3444="","",$R3444&amp;"("&amp;$E3444&amp;")")</f>
        <v/>
      </c>
      <c r="V3444">
        <f>IF($A3444="","",$F3444&amp;"|"&amp;$U3444&amp;"|"&amp;$D3444)</f>
        <v/>
      </c>
      <c r="W3444">
        <f>IF($T3444="","",IF($X3444&gt;N($X3443),$X3444,""))</f>
        <v/>
      </c>
      <c r="X3444">
        <f>IF($T3444="",N($X3443),IF(MATCH($T3444,$T$6:$T$6005,0)=ROW()-5,N($X3443)+1,N($X3443)))</f>
        <v/>
      </c>
      <c r="Z3444">
        <f>IF($V3444="","",IF($AA3444&gt;N($AA3443),$AA3444,""))</f>
        <v/>
      </c>
      <c r="AA3444">
        <f>IF($V3444="",N($AA3443),IF(MATCH($V3444,$V$6:$V$6005,0)=ROW()-5,N($AA3443)+1,N($AA3443)))</f>
        <v/>
      </c>
    </row>
    <row r="3445" ht="21" customHeight="1" s="66">
      <c r="A3445" s="56" t="n"/>
      <c r="B3445" s="57" t="n"/>
      <c r="C3445" s="57" t="n"/>
      <c r="D3445" s="57" t="n"/>
      <c r="E3445" s="56" t="n"/>
      <c r="F3445" s="57" t="n"/>
      <c r="G3445" s="57" t="n"/>
      <c r="H3445" s="56" t="n"/>
      <c r="I3445" s="56" t="n"/>
      <c r="J3445" s="58" t="n"/>
      <c r="K3445" s="58" t="n"/>
      <c r="L3445" s="13">
        <f>IF(OR($A3445="",AND($J3445="",$K3445="")),"",ROUND(N($J3445)-N($K3445),2))</f>
        <v/>
      </c>
      <c r="M3445" s="13">
        <f>IF(OR($A3445="",AND($J3445="",$K3445="")),"",MIN($J3445,$K3445))</f>
        <v/>
      </c>
      <c r="Q3445">
        <f>IF($A3445="","",$D3445&amp;"("&amp;SUBSTITUTE($E3445," ","")&amp;")")</f>
        <v/>
      </c>
      <c r="R3445">
        <f>IF($A3445="","",$B3445&amp;" - "&amp;$C3445)</f>
        <v/>
      </c>
      <c r="S3445">
        <f>IF($A3445="","",$R3445&amp;"|"&amp;$Q3445)</f>
        <v/>
      </c>
      <c r="T3445">
        <f>IF($A3445="","",$S3445&amp;"|"&amp;$F3445)</f>
        <v/>
      </c>
      <c r="U3445">
        <f>IF($A3445="","",$R3445&amp;"("&amp;$E3445&amp;")")</f>
        <v/>
      </c>
      <c r="V3445">
        <f>IF($A3445="","",$F3445&amp;"|"&amp;$U3445&amp;"|"&amp;$D3445)</f>
        <v/>
      </c>
      <c r="W3445">
        <f>IF($T3445="","",IF($X3445&gt;N($X3444),$X3445,""))</f>
        <v/>
      </c>
      <c r="X3445">
        <f>IF($T3445="",N($X3444),IF(MATCH($T3445,$T$6:$T$6005,0)=ROW()-5,N($X3444)+1,N($X3444)))</f>
        <v/>
      </c>
      <c r="Z3445">
        <f>IF($V3445="","",IF($AA3445&gt;N($AA3444),$AA3445,""))</f>
        <v/>
      </c>
      <c r="AA3445">
        <f>IF($V3445="",N($AA3444),IF(MATCH($V3445,$V$6:$V$6005,0)=ROW()-5,N($AA3444)+1,N($AA3444)))</f>
        <v/>
      </c>
    </row>
    <row r="3446" ht="21" customHeight="1" s="66">
      <c r="A3446" s="56" t="n"/>
      <c r="B3446" s="57" t="n"/>
      <c r="C3446" s="57" t="n"/>
      <c r="D3446" s="57" t="n"/>
      <c r="E3446" s="56" t="n"/>
      <c r="F3446" s="57" t="n"/>
      <c r="G3446" s="57" t="n"/>
      <c r="H3446" s="56" t="n"/>
      <c r="I3446" s="56" t="n"/>
      <c r="J3446" s="58" t="n"/>
      <c r="K3446" s="58" t="n"/>
      <c r="L3446" s="13">
        <f>IF(OR($A3446="",AND($J3446="",$K3446="")),"",ROUND(N($J3446)-N($K3446),2))</f>
        <v/>
      </c>
      <c r="M3446" s="13">
        <f>IF(OR($A3446="",AND($J3446="",$K3446="")),"",MIN($J3446,$K3446))</f>
        <v/>
      </c>
      <c r="Q3446">
        <f>IF($A3446="","",$D3446&amp;"("&amp;SUBSTITUTE($E3446," ","")&amp;")")</f>
        <v/>
      </c>
      <c r="R3446">
        <f>IF($A3446="","",$B3446&amp;" - "&amp;$C3446)</f>
        <v/>
      </c>
      <c r="S3446">
        <f>IF($A3446="","",$R3446&amp;"|"&amp;$Q3446)</f>
        <v/>
      </c>
      <c r="T3446">
        <f>IF($A3446="","",$S3446&amp;"|"&amp;$F3446)</f>
        <v/>
      </c>
      <c r="U3446">
        <f>IF($A3446="","",$R3446&amp;"("&amp;$E3446&amp;")")</f>
        <v/>
      </c>
      <c r="V3446">
        <f>IF($A3446="","",$F3446&amp;"|"&amp;$U3446&amp;"|"&amp;$D3446)</f>
        <v/>
      </c>
      <c r="W3446">
        <f>IF($T3446="","",IF($X3446&gt;N($X3445),$X3446,""))</f>
        <v/>
      </c>
      <c r="X3446">
        <f>IF($T3446="",N($X3445),IF(MATCH($T3446,$T$6:$T$6005,0)=ROW()-5,N($X3445)+1,N($X3445)))</f>
        <v/>
      </c>
      <c r="Z3446">
        <f>IF($V3446="","",IF($AA3446&gt;N($AA3445),$AA3446,""))</f>
        <v/>
      </c>
      <c r="AA3446">
        <f>IF($V3446="",N($AA3445),IF(MATCH($V3446,$V$6:$V$6005,0)=ROW()-5,N($AA3445)+1,N($AA3445)))</f>
        <v/>
      </c>
    </row>
    <row r="3447" ht="21" customHeight="1" s="66">
      <c r="A3447" s="56" t="n"/>
      <c r="B3447" s="57" t="n"/>
      <c r="C3447" s="57" t="n"/>
      <c r="D3447" s="57" t="n"/>
      <c r="E3447" s="56" t="n"/>
      <c r="F3447" s="57" t="n"/>
      <c r="G3447" s="57" t="n"/>
      <c r="H3447" s="56" t="n"/>
      <c r="I3447" s="56" t="n"/>
      <c r="J3447" s="58" t="n"/>
      <c r="K3447" s="58" t="n"/>
      <c r="L3447" s="13">
        <f>IF(OR($A3447="",AND($J3447="",$K3447="")),"",ROUND(N($J3447)-N($K3447),2))</f>
        <v/>
      </c>
      <c r="M3447" s="13">
        <f>IF(OR($A3447="",AND($J3447="",$K3447="")),"",MIN($J3447,$K3447))</f>
        <v/>
      </c>
      <c r="Q3447">
        <f>IF($A3447="","",$D3447&amp;"("&amp;SUBSTITUTE($E3447," ","")&amp;")")</f>
        <v/>
      </c>
      <c r="R3447">
        <f>IF($A3447="","",$B3447&amp;" - "&amp;$C3447)</f>
        <v/>
      </c>
      <c r="S3447">
        <f>IF($A3447="","",$R3447&amp;"|"&amp;$Q3447)</f>
        <v/>
      </c>
      <c r="T3447">
        <f>IF($A3447="","",$S3447&amp;"|"&amp;$F3447)</f>
        <v/>
      </c>
      <c r="U3447">
        <f>IF($A3447="","",$R3447&amp;"("&amp;$E3447&amp;")")</f>
        <v/>
      </c>
      <c r="V3447">
        <f>IF($A3447="","",$F3447&amp;"|"&amp;$U3447&amp;"|"&amp;$D3447)</f>
        <v/>
      </c>
      <c r="W3447">
        <f>IF($T3447="","",IF($X3447&gt;N($X3446),$X3447,""))</f>
        <v/>
      </c>
      <c r="X3447">
        <f>IF($T3447="",N($X3446),IF(MATCH($T3447,$T$6:$T$6005,0)=ROW()-5,N($X3446)+1,N($X3446)))</f>
        <v/>
      </c>
      <c r="Z3447">
        <f>IF($V3447="","",IF($AA3447&gt;N($AA3446),$AA3447,""))</f>
        <v/>
      </c>
      <c r="AA3447">
        <f>IF($V3447="",N($AA3446),IF(MATCH($V3447,$V$6:$V$6005,0)=ROW()-5,N($AA3446)+1,N($AA3446)))</f>
        <v/>
      </c>
    </row>
    <row r="3448" ht="21" customHeight="1" s="66">
      <c r="A3448" s="56" t="n"/>
      <c r="B3448" s="57" t="n"/>
      <c r="C3448" s="57" t="n"/>
      <c r="D3448" s="57" t="n"/>
      <c r="E3448" s="56" t="n"/>
      <c r="F3448" s="57" t="n"/>
      <c r="G3448" s="57" t="n"/>
      <c r="H3448" s="56" t="n"/>
      <c r="I3448" s="56" t="n"/>
      <c r="J3448" s="58" t="n"/>
      <c r="K3448" s="58" t="n"/>
      <c r="L3448" s="13">
        <f>IF(OR($A3448="",AND($J3448="",$K3448="")),"",ROUND(N($J3448)-N($K3448),2))</f>
        <v/>
      </c>
      <c r="M3448" s="13">
        <f>IF(OR($A3448="",AND($J3448="",$K3448="")),"",MIN($J3448,$K3448))</f>
        <v/>
      </c>
      <c r="Q3448">
        <f>IF($A3448="","",$D3448&amp;"("&amp;SUBSTITUTE($E3448," ","")&amp;")")</f>
        <v/>
      </c>
      <c r="R3448">
        <f>IF($A3448="","",$B3448&amp;" - "&amp;$C3448)</f>
        <v/>
      </c>
      <c r="S3448">
        <f>IF($A3448="","",$R3448&amp;"|"&amp;$Q3448)</f>
        <v/>
      </c>
      <c r="T3448">
        <f>IF($A3448="","",$S3448&amp;"|"&amp;$F3448)</f>
        <v/>
      </c>
      <c r="U3448">
        <f>IF($A3448="","",$R3448&amp;"("&amp;$E3448&amp;")")</f>
        <v/>
      </c>
      <c r="V3448">
        <f>IF($A3448="","",$F3448&amp;"|"&amp;$U3448&amp;"|"&amp;$D3448)</f>
        <v/>
      </c>
      <c r="W3448">
        <f>IF($T3448="","",IF($X3448&gt;N($X3447),$X3448,""))</f>
        <v/>
      </c>
      <c r="X3448">
        <f>IF($T3448="",N($X3447),IF(MATCH($T3448,$T$6:$T$6005,0)=ROW()-5,N($X3447)+1,N($X3447)))</f>
        <v/>
      </c>
      <c r="Z3448">
        <f>IF($V3448="","",IF($AA3448&gt;N($AA3447),$AA3448,""))</f>
        <v/>
      </c>
      <c r="AA3448">
        <f>IF($V3448="",N($AA3447),IF(MATCH($V3448,$V$6:$V$6005,0)=ROW()-5,N($AA3447)+1,N($AA3447)))</f>
        <v/>
      </c>
    </row>
    <row r="3449" ht="21" customHeight="1" s="66">
      <c r="A3449" s="56" t="n"/>
      <c r="B3449" s="57" t="n"/>
      <c r="C3449" s="57" t="n"/>
      <c r="D3449" s="57" t="n"/>
      <c r="E3449" s="56" t="n"/>
      <c r="F3449" s="57" t="n"/>
      <c r="G3449" s="57" t="n"/>
      <c r="H3449" s="56" t="n"/>
      <c r="I3449" s="56" t="n"/>
      <c r="J3449" s="58" t="n"/>
      <c r="K3449" s="58" t="n"/>
      <c r="L3449" s="13">
        <f>IF(OR($A3449="",AND($J3449="",$K3449="")),"",ROUND(N($J3449)-N($K3449),2))</f>
        <v/>
      </c>
      <c r="M3449" s="13">
        <f>IF(OR($A3449="",AND($J3449="",$K3449="")),"",MIN($J3449,$K3449))</f>
        <v/>
      </c>
      <c r="Q3449">
        <f>IF($A3449="","",$D3449&amp;"("&amp;SUBSTITUTE($E3449," ","")&amp;")")</f>
        <v/>
      </c>
      <c r="R3449">
        <f>IF($A3449="","",$B3449&amp;" - "&amp;$C3449)</f>
        <v/>
      </c>
      <c r="S3449">
        <f>IF($A3449="","",$R3449&amp;"|"&amp;$Q3449)</f>
        <v/>
      </c>
      <c r="T3449">
        <f>IF($A3449="","",$S3449&amp;"|"&amp;$F3449)</f>
        <v/>
      </c>
      <c r="U3449">
        <f>IF($A3449="","",$R3449&amp;"("&amp;$E3449&amp;")")</f>
        <v/>
      </c>
      <c r="V3449">
        <f>IF($A3449="","",$F3449&amp;"|"&amp;$U3449&amp;"|"&amp;$D3449)</f>
        <v/>
      </c>
      <c r="W3449">
        <f>IF($T3449="","",IF($X3449&gt;N($X3448),$X3449,""))</f>
        <v/>
      </c>
      <c r="X3449">
        <f>IF($T3449="",N($X3448),IF(MATCH($T3449,$T$6:$T$6005,0)=ROW()-5,N($X3448)+1,N($X3448)))</f>
        <v/>
      </c>
      <c r="Z3449">
        <f>IF($V3449="","",IF($AA3449&gt;N($AA3448),$AA3449,""))</f>
        <v/>
      </c>
      <c r="AA3449">
        <f>IF($V3449="",N($AA3448),IF(MATCH($V3449,$V$6:$V$6005,0)=ROW()-5,N($AA3448)+1,N($AA3448)))</f>
        <v/>
      </c>
    </row>
    <row r="3450" ht="21" customHeight="1" s="66">
      <c r="A3450" s="56" t="n"/>
      <c r="B3450" s="57" t="n"/>
      <c r="C3450" s="57" t="n"/>
      <c r="D3450" s="57" t="n"/>
      <c r="E3450" s="56" t="n"/>
      <c r="F3450" s="57" t="n"/>
      <c r="G3450" s="57" t="n"/>
      <c r="H3450" s="56" t="n"/>
      <c r="I3450" s="56" t="n"/>
      <c r="J3450" s="58" t="n"/>
      <c r="K3450" s="58" t="n"/>
      <c r="L3450" s="13">
        <f>IF(OR($A3450="",AND($J3450="",$K3450="")),"",ROUND(N($J3450)-N($K3450),2))</f>
        <v/>
      </c>
      <c r="M3450" s="13">
        <f>IF(OR($A3450="",AND($J3450="",$K3450="")),"",MIN($J3450,$K3450))</f>
        <v/>
      </c>
      <c r="Q3450">
        <f>IF($A3450="","",$D3450&amp;"("&amp;SUBSTITUTE($E3450," ","")&amp;")")</f>
        <v/>
      </c>
      <c r="R3450">
        <f>IF($A3450="","",$B3450&amp;" - "&amp;$C3450)</f>
        <v/>
      </c>
      <c r="S3450">
        <f>IF($A3450="","",$R3450&amp;"|"&amp;$Q3450)</f>
        <v/>
      </c>
      <c r="T3450">
        <f>IF($A3450="","",$S3450&amp;"|"&amp;$F3450)</f>
        <v/>
      </c>
      <c r="U3450">
        <f>IF($A3450="","",$R3450&amp;"("&amp;$E3450&amp;")")</f>
        <v/>
      </c>
      <c r="V3450">
        <f>IF($A3450="","",$F3450&amp;"|"&amp;$U3450&amp;"|"&amp;$D3450)</f>
        <v/>
      </c>
      <c r="W3450">
        <f>IF($T3450="","",IF($X3450&gt;N($X3449),$X3450,""))</f>
        <v/>
      </c>
      <c r="X3450">
        <f>IF($T3450="",N($X3449),IF(MATCH($T3450,$T$6:$T$6005,0)=ROW()-5,N($X3449)+1,N($X3449)))</f>
        <v/>
      </c>
      <c r="Z3450">
        <f>IF($V3450="","",IF($AA3450&gt;N($AA3449),$AA3450,""))</f>
        <v/>
      </c>
      <c r="AA3450">
        <f>IF($V3450="",N($AA3449),IF(MATCH($V3450,$V$6:$V$6005,0)=ROW()-5,N($AA3449)+1,N($AA3449)))</f>
        <v/>
      </c>
    </row>
    <row r="3451" ht="21" customHeight="1" s="66">
      <c r="A3451" s="56" t="n"/>
      <c r="B3451" s="57" t="n"/>
      <c r="C3451" s="57" t="n"/>
      <c r="D3451" s="57" t="n"/>
      <c r="E3451" s="56" t="n"/>
      <c r="F3451" s="57" t="n"/>
      <c r="G3451" s="57" t="n"/>
      <c r="H3451" s="56" t="n"/>
      <c r="I3451" s="56" t="n"/>
      <c r="J3451" s="58" t="n"/>
      <c r="K3451" s="58" t="n"/>
      <c r="L3451" s="13">
        <f>IF(OR($A3451="",AND($J3451="",$K3451="")),"",ROUND(N($J3451)-N($K3451),2))</f>
        <v/>
      </c>
      <c r="M3451" s="13">
        <f>IF(OR($A3451="",AND($J3451="",$K3451="")),"",MIN($J3451,$K3451))</f>
        <v/>
      </c>
      <c r="Q3451">
        <f>IF($A3451="","",$D3451&amp;"("&amp;SUBSTITUTE($E3451," ","")&amp;")")</f>
        <v/>
      </c>
      <c r="R3451">
        <f>IF($A3451="","",$B3451&amp;" - "&amp;$C3451)</f>
        <v/>
      </c>
      <c r="S3451">
        <f>IF($A3451="","",$R3451&amp;"|"&amp;$Q3451)</f>
        <v/>
      </c>
      <c r="T3451">
        <f>IF($A3451="","",$S3451&amp;"|"&amp;$F3451)</f>
        <v/>
      </c>
      <c r="U3451">
        <f>IF($A3451="","",$R3451&amp;"("&amp;$E3451&amp;")")</f>
        <v/>
      </c>
      <c r="V3451">
        <f>IF($A3451="","",$F3451&amp;"|"&amp;$U3451&amp;"|"&amp;$D3451)</f>
        <v/>
      </c>
      <c r="W3451">
        <f>IF($T3451="","",IF($X3451&gt;N($X3450),$X3451,""))</f>
        <v/>
      </c>
      <c r="X3451">
        <f>IF($T3451="",N($X3450),IF(MATCH($T3451,$T$6:$T$6005,0)=ROW()-5,N($X3450)+1,N($X3450)))</f>
        <v/>
      </c>
      <c r="Z3451">
        <f>IF($V3451="","",IF($AA3451&gt;N($AA3450),$AA3451,""))</f>
        <v/>
      </c>
      <c r="AA3451">
        <f>IF($V3451="",N($AA3450),IF(MATCH($V3451,$V$6:$V$6005,0)=ROW()-5,N($AA3450)+1,N($AA3450)))</f>
        <v/>
      </c>
    </row>
    <row r="3452" ht="21" customHeight="1" s="66">
      <c r="A3452" s="56" t="n"/>
      <c r="B3452" s="57" t="n"/>
      <c r="C3452" s="57" t="n"/>
      <c r="D3452" s="57" t="n"/>
      <c r="E3452" s="56" t="n"/>
      <c r="F3452" s="57" t="n"/>
      <c r="G3452" s="57" t="n"/>
      <c r="H3452" s="56" t="n"/>
      <c r="I3452" s="56" t="n"/>
      <c r="J3452" s="58" t="n"/>
      <c r="K3452" s="58" t="n"/>
      <c r="L3452" s="13">
        <f>IF(OR($A3452="",AND($J3452="",$K3452="")),"",ROUND(N($J3452)-N($K3452),2))</f>
        <v/>
      </c>
      <c r="M3452" s="13">
        <f>IF(OR($A3452="",AND($J3452="",$K3452="")),"",MIN($J3452,$K3452))</f>
        <v/>
      </c>
      <c r="Q3452">
        <f>IF($A3452="","",$D3452&amp;"("&amp;SUBSTITUTE($E3452," ","")&amp;")")</f>
        <v/>
      </c>
      <c r="R3452">
        <f>IF($A3452="","",$B3452&amp;" - "&amp;$C3452)</f>
        <v/>
      </c>
      <c r="S3452">
        <f>IF($A3452="","",$R3452&amp;"|"&amp;$Q3452)</f>
        <v/>
      </c>
      <c r="T3452">
        <f>IF($A3452="","",$S3452&amp;"|"&amp;$F3452)</f>
        <v/>
      </c>
      <c r="U3452">
        <f>IF($A3452="","",$R3452&amp;"("&amp;$E3452&amp;")")</f>
        <v/>
      </c>
      <c r="V3452">
        <f>IF($A3452="","",$F3452&amp;"|"&amp;$U3452&amp;"|"&amp;$D3452)</f>
        <v/>
      </c>
      <c r="W3452">
        <f>IF($T3452="","",IF($X3452&gt;N($X3451),$X3452,""))</f>
        <v/>
      </c>
      <c r="X3452">
        <f>IF($T3452="",N($X3451),IF(MATCH($T3452,$T$6:$T$6005,0)=ROW()-5,N($X3451)+1,N($X3451)))</f>
        <v/>
      </c>
      <c r="Z3452">
        <f>IF($V3452="","",IF($AA3452&gt;N($AA3451),$AA3452,""))</f>
        <v/>
      </c>
      <c r="AA3452">
        <f>IF($V3452="",N($AA3451),IF(MATCH($V3452,$V$6:$V$6005,0)=ROW()-5,N($AA3451)+1,N($AA3451)))</f>
        <v/>
      </c>
    </row>
    <row r="3453" ht="21" customHeight="1" s="66">
      <c r="A3453" s="56" t="n"/>
      <c r="B3453" s="57" t="n"/>
      <c r="C3453" s="57" t="n"/>
      <c r="D3453" s="57" t="n"/>
      <c r="E3453" s="56" t="n"/>
      <c r="F3453" s="57" t="n"/>
      <c r="G3453" s="57" t="n"/>
      <c r="H3453" s="56" t="n"/>
      <c r="I3453" s="56" t="n"/>
      <c r="J3453" s="58" t="n"/>
      <c r="K3453" s="58" t="n"/>
      <c r="L3453" s="13">
        <f>IF(OR($A3453="",AND($J3453="",$K3453="")),"",ROUND(N($J3453)-N($K3453),2))</f>
        <v/>
      </c>
      <c r="M3453" s="13">
        <f>IF(OR($A3453="",AND($J3453="",$K3453="")),"",MIN($J3453,$K3453))</f>
        <v/>
      </c>
      <c r="Q3453">
        <f>IF($A3453="","",$D3453&amp;"("&amp;SUBSTITUTE($E3453," ","")&amp;")")</f>
        <v/>
      </c>
      <c r="R3453">
        <f>IF($A3453="","",$B3453&amp;" - "&amp;$C3453)</f>
        <v/>
      </c>
      <c r="S3453">
        <f>IF($A3453="","",$R3453&amp;"|"&amp;$Q3453)</f>
        <v/>
      </c>
      <c r="T3453">
        <f>IF($A3453="","",$S3453&amp;"|"&amp;$F3453)</f>
        <v/>
      </c>
      <c r="U3453">
        <f>IF($A3453="","",$R3453&amp;"("&amp;$E3453&amp;")")</f>
        <v/>
      </c>
      <c r="V3453">
        <f>IF($A3453="","",$F3453&amp;"|"&amp;$U3453&amp;"|"&amp;$D3453)</f>
        <v/>
      </c>
      <c r="W3453">
        <f>IF($T3453="","",IF($X3453&gt;N($X3452),$X3453,""))</f>
        <v/>
      </c>
      <c r="X3453">
        <f>IF($T3453="",N($X3452),IF(MATCH($T3453,$T$6:$T$6005,0)=ROW()-5,N($X3452)+1,N($X3452)))</f>
        <v/>
      </c>
      <c r="Z3453">
        <f>IF($V3453="","",IF($AA3453&gt;N($AA3452),$AA3453,""))</f>
        <v/>
      </c>
      <c r="AA3453">
        <f>IF($V3453="",N($AA3452),IF(MATCH($V3453,$V$6:$V$6005,0)=ROW()-5,N($AA3452)+1,N($AA3452)))</f>
        <v/>
      </c>
    </row>
    <row r="3454" ht="21" customHeight="1" s="66">
      <c r="A3454" s="56" t="n"/>
      <c r="B3454" s="57" t="n"/>
      <c r="C3454" s="57" t="n"/>
      <c r="D3454" s="57" t="n"/>
      <c r="E3454" s="56" t="n"/>
      <c r="F3454" s="57" t="n"/>
      <c r="G3454" s="57" t="n"/>
      <c r="H3454" s="56" t="n"/>
      <c r="I3454" s="56" t="n"/>
      <c r="J3454" s="58" t="n"/>
      <c r="K3454" s="58" t="n"/>
      <c r="L3454" s="13">
        <f>IF(OR($A3454="",AND($J3454="",$K3454="")),"",ROUND(N($J3454)-N($K3454),2))</f>
        <v/>
      </c>
      <c r="M3454" s="13">
        <f>IF(OR($A3454="",AND($J3454="",$K3454="")),"",MIN($J3454,$K3454))</f>
        <v/>
      </c>
      <c r="Q3454">
        <f>IF($A3454="","",$D3454&amp;"("&amp;SUBSTITUTE($E3454," ","")&amp;")")</f>
        <v/>
      </c>
      <c r="R3454">
        <f>IF($A3454="","",$B3454&amp;" - "&amp;$C3454)</f>
        <v/>
      </c>
      <c r="S3454">
        <f>IF($A3454="","",$R3454&amp;"|"&amp;$Q3454)</f>
        <v/>
      </c>
      <c r="T3454">
        <f>IF($A3454="","",$S3454&amp;"|"&amp;$F3454)</f>
        <v/>
      </c>
      <c r="U3454">
        <f>IF($A3454="","",$R3454&amp;"("&amp;$E3454&amp;")")</f>
        <v/>
      </c>
      <c r="V3454">
        <f>IF($A3454="","",$F3454&amp;"|"&amp;$U3454&amp;"|"&amp;$D3454)</f>
        <v/>
      </c>
      <c r="W3454">
        <f>IF($T3454="","",IF($X3454&gt;N($X3453),$X3454,""))</f>
        <v/>
      </c>
      <c r="X3454">
        <f>IF($T3454="",N($X3453),IF(MATCH($T3454,$T$6:$T$6005,0)=ROW()-5,N($X3453)+1,N($X3453)))</f>
        <v/>
      </c>
      <c r="Z3454">
        <f>IF($V3454="","",IF($AA3454&gt;N($AA3453),$AA3454,""))</f>
        <v/>
      </c>
      <c r="AA3454">
        <f>IF($V3454="",N($AA3453),IF(MATCH($V3454,$V$6:$V$6005,0)=ROW()-5,N($AA3453)+1,N($AA3453)))</f>
        <v/>
      </c>
    </row>
    <row r="3455" ht="21" customHeight="1" s="66">
      <c r="A3455" s="56" t="n"/>
      <c r="B3455" s="57" t="n"/>
      <c r="C3455" s="57" t="n"/>
      <c r="D3455" s="57" t="n"/>
      <c r="E3455" s="56" t="n"/>
      <c r="F3455" s="57" t="n"/>
      <c r="G3455" s="57" t="n"/>
      <c r="H3455" s="56" t="n"/>
      <c r="I3455" s="56" t="n"/>
      <c r="J3455" s="58" t="n"/>
      <c r="K3455" s="58" t="n"/>
      <c r="L3455" s="13">
        <f>IF(OR($A3455="",AND($J3455="",$K3455="")),"",ROUND(N($J3455)-N($K3455),2))</f>
        <v/>
      </c>
      <c r="M3455" s="13">
        <f>IF(OR($A3455="",AND($J3455="",$K3455="")),"",MIN($J3455,$K3455))</f>
        <v/>
      </c>
      <c r="Q3455">
        <f>IF($A3455="","",$D3455&amp;"("&amp;SUBSTITUTE($E3455," ","")&amp;")")</f>
        <v/>
      </c>
      <c r="R3455">
        <f>IF($A3455="","",$B3455&amp;" - "&amp;$C3455)</f>
        <v/>
      </c>
      <c r="S3455">
        <f>IF($A3455="","",$R3455&amp;"|"&amp;$Q3455)</f>
        <v/>
      </c>
      <c r="T3455">
        <f>IF($A3455="","",$S3455&amp;"|"&amp;$F3455)</f>
        <v/>
      </c>
      <c r="U3455">
        <f>IF($A3455="","",$R3455&amp;"("&amp;$E3455&amp;")")</f>
        <v/>
      </c>
      <c r="V3455">
        <f>IF($A3455="","",$F3455&amp;"|"&amp;$U3455&amp;"|"&amp;$D3455)</f>
        <v/>
      </c>
      <c r="W3455">
        <f>IF($T3455="","",IF($X3455&gt;N($X3454),$X3455,""))</f>
        <v/>
      </c>
      <c r="X3455">
        <f>IF($T3455="",N($X3454),IF(MATCH($T3455,$T$6:$T$6005,0)=ROW()-5,N($X3454)+1,N($X3454)))</f>
        <v/>
      </c>
      <c r="Z3455">
        <f>IF($V3455="","",IF($AA3455&gt;N($AA3454),$AA3455,""))</f>
        <v/>
      </c>
      <c r="AA3455">
        <f>IF($V3455="",N($AA3454),IF(MATCH($V3455,$V$6:$V$6005,0)=ROW()-5,N($AA3454)+1,N($AA3454)))</f>
        <v/>
      </c>
    </row>
    <row r="3456" ht="21" customHeight="1" s="66">
      <c r="A3456" s="56" t="n"/>
      <c r="B3456" s="57" t="n"/>
      <c r="C3456" s="57" t="n"/>
      <c r="D3456" s="57" t="n"/>
      <c r="E3456" s="56" t="n"/>
      <c r="F3456" s="57" t="n"/>
      <c r="G3456" s="57" t="n"/>
      <c r="H3456" s="56" t="n"/>
      <c r="I3456" s="56" t="n"/>
      <c r="J3456" s="58" t="n"/>
      <c r="K3456" s="58" t="n"/>
      <c r="L3456" s="13">
        <f>IF(OR($A3456="",AND($J3456="",$K3456="")),"",ROUND(N($J3456)-N($K3456),2))</f>
        <v/>
      </c>
      <c r="M3456" s="13">
        <f>IF(OR($A3456="",AND($J3456="",$K3456="")),"",MIN($J3456,$K3456))</f>
        <v/>
      </c>
      <c r="Q3456">
        <f>IF($A3456="","",$D3456&amp;"("&amp;SUBSTITUTE($E3456," ","")&amp;")")</f>
        <v/>
      </c>
      <c r="R3456">
        <f>IF($A3456="","",$B3456&amp;" - "&amp;$C3456)</f>
        <v/>
      </c>
      <c r="S3456">
        <f>IF($A3456="","",$R3456&amp;"|"&amp;$Q3456)</f>
        <v/>
      </c>
      <c r="T3456">
        <f>IF($A3456="","",$S3456&amp;"|"&amp;$F3456)</f>
        <v/>
      </c>
      <c r="U3456">
        <f>IF($A3456="","",$R3456&amp;"("&amp;$E3456&amp;")")</f>
        <v/>
      </c>
      <c r="V3456">
        <f>IF($A3456="","",$F3456&amp;"|"&amp;$U3456&amp;"|"&amp;$D3456)</f>
        <v/>
      </c>
      <c r="W3456">
        <f>IF($T3456="","",IF($X3456&gt;N($X3455),$X3456,""))</f>
        <v/>
      </c>
      <c r="X3456">
        <f>IF($T3456="",N($X3455),IF(MATCH($T3456,$T$6:$T$6005,0)=ROW()-5,N($X3455)+1,N($X3455)))</f>
        <v/>
      </c>
      <c r="Z3456">
        <f>IF($V3456="","",IF($AA3456&gt;N($AA3455),$AA3456,""))</f>
        <v/>
      </c>
      <c r="AA3456">
        <f>IF($V3456="",N($AA3455),IF(MATCH($V3456,$V$6:$V$6005,0)=ROW()-5,N($AA3455)+1,N($AA3455)))</f>
        <v/>
      </c>
    </row>
    <row r="3457" ht="21" customHeight="1" s="66">
      <c r="A3457" s="56" t="n"/>
      <c r="B3457" s="57" t="n"/>
      <c r="C3457" s="57" t="n"/>
      <c r="D3457" s="57" t="n"/>
      <c r="E3457" s="56" t="n"/>
      <c r="F3457" s="57" t="n"/>
      <c r="G3457" s="57" t="n"/>
      <c r="H3457" s="56" t="n"/>
      <c r="I3457" s="56" t="n"/>
      <c r="J3457" s="58" t="n"/>
      <c r="K3457" s="58" t="n"/>
      <c r="L3457" s="13">
        <f>IF(OR($A3457="",AND($J3457="",$K3457="")),"",ROUND(N($J3457)-N($K3457),2))</f>
        <v/>
      </c>
      <c r="M3457" s="13">
        <f>IF(OR($A3457="",AND($J3457="",$K3457="")),"",MIN($J3457,$K3457))</f>
        <v/>
      </c>
      <c r="Q3457">
        <f>IF($A3457="","",$D3457&amp;"("&amp;SUBSTITUTE($E3457," ","")&amp;")")</f>
        <v/>
      </c>
      <c r="R3457">
        <f>IF($A3457="","",$B3457&amp;" - "&amp;$C3457)</f>
        <v/>
      </c>
      <c r="S3457">
        <f>IF($A3457="","",$R3457&amp;"|"&amp;$Q3457)</f>
        <v/>
      </c>
      <c r="T3457">
        <f>IF($A3457="","",$S3457&amp;"|"&amp;$F3457)</f>
        <v/>
      </c>
      <c r="U3457">
        <f>IF($A3457="","",$R3457&amp;"("&amp;$E3457&amp;")")</f>
        <v/>
      </c>
      <c r="V3457">
        <f>IF($A3457="","",$F3457&amp;"|"&amp;$U3457&amp;"|"&amp;$D3457)</f>
        <v/>
      </c>
      <c r="W3457">
        <f>IF($T3457="","",IF($X3457&gt;N($X3456),$X3457,""))</f>
        <v/>
      </c>
      <c r="X3457">
        <f>IF($T3457="",N($X3456),IF(MATCH($T3457,$T$6:$T$6005,0)=ROW()-5,N($X3456)+1,N($X3456)))</f>
        <v/>
      </c>
      <c r="Z3457">
        <f>IF($V3457="","",IF($AA3457&gt;N($AA3456),$AA3457,""))</f>
        <v/>
      </c>
      <c r="AA3457">
        <f>IF($V3457="",N($AA3456),IF(MATCH($V3457,$V$6:$V$6005,0)=ROW()-5,N($AA3456)+1,N($AA3456)))</f>
        <v/>
      </c>
    </row>
    <row r="3458" ht="21" customHeight="1" s="66">
      <c r="A3458" s="56" t="n"/>
      <c r="B3458" s="57" t="n"/>
      <c r="C3458" s="57" t="n"/>
      <c r="D3458" s="57" t="n"/>
      <c r="E3458" s="56" t="n"/>
      <c r="F3458" s="57" t="n"/>
      <c r="G3458" s="57" t="n"/>
      <c r="H3458" s="56" t="n"/>
      <c r="I3458" s="56" t="n"/>
      <c r="J3458" s="58" t="n"/>
      <c r="K3458" s="58" t="n"/>
      <c r="L3458" s="13">
        <f>IF(OR($A3458="",AND($J3458="",$K3458="")),"",ROUND(N($J3458)-N($K3458),2))</f>
        <v/>
      </c>
      <c r="M3458" s="13">
        <f>IF(OR($A3458="",AND($J3458="",$K3458="")),"",MIN($J3458,$K3458))</f>
        <v/>
      </c>
      <c r="Q3458">
        <f>IF($A3458="","",$D3458&amp;"("&amp;SUBSTITUTE($E3458," ","")&amp;")")</f>
        <v/>
      </c>
      <c r="R3458">
        <f>IF($A3458="","",$B3458&amp;" - "&amp;$C3458)</f>
        <v/>
      </c>
      <c r="S3458">
        <f>IF($A3458="","",$R3458&amp;"|"&amp;$Q3458)</f>
        <v/>
      </c>
      <c r="T3458">
        <f>IF($A3458="","",$S3458&amp;"|"&amp;$F3458)</f>
        <v/>
      </c>
      <c r="U3458">
        <f>IF($A3458="","",$R3458&amp;"("&amp;$E3458&amp;")")</f>
        <v/>
      </c>
      <c r="V3458">
        <f>IF($A3458="","",$F3458&amp;"|"&amp;$U3458&amp;"|"&amp;$D3458)</f>
        <v/>
      </c>
      <c r="W3458">
        <f>IF($T3458="","",IF($X3458&gt;N($X3457),$X3458,""))</f>
        <v/>
      </c>
      <c r="X3458">
        <f>IF($T3458="",N($X3457),IF(MATCH($T3458,$T$6:$T$6005,0)=ROW()-5,N($X3457)+1,N($X3457)))</f>
        <v/>
      </c>
      <c r="Z3458">
        <f>IF($V3458="","",IF($AA3458&gt;N($AA3457),$AA3458,""))</f>
        <v/>
      </c>
      <c r="AA3458">
        <f>IF($V3458="",N($AA3457),IF(MATCH($V3458,$V$6:$V$6005,0)=ROW()-5,N($AA3457)+1,N($AA3457)))</f>
        <v/>
      </c>
    </row>
    <row r="3459" ht="21" customHeight="1" s="66">
      <c r="A3459" s="56" t="n"/>
      <c r="B3459" s="57" t="n"/>
      <c r="C3459" s="57" t="n"/>
      <c r="D3459" s="57" t="n"/>
      <c r="E3459" s="56" t="n"/>
      <c r="F3459" s="57" t="n"/>
      <c r="G3459" s="57" t="n"/>
      <c r="H3459" s="56" t="n"/>
      <c r="I3459" s="56" t="n"/>
      <c r="J3459" s="58" t="n"/>
      <c r="K3459" s="58" t="n"/>
      <c r="L3459" s="13">
        <f>IF(OR($A3459="",AND($J3459="",$K3459="")),"",ROUND(N($J3459)-N($K3459),2))</f>
        <v/>
      </c>
      <c r="M3459" s="13">
        <f>IF(OR($A3459="",AND($J3459="",$K3459="")),"",MIN($J3459,$K3459))</f>
        <v/>
      </c>
      <c r="Q3459">
        <f>IF($A3459="","",$D3459&amp;"("&amp;SUBSTITUTE($E3459," ","")&amp;")")</f>
        <v/>
      </c>
      <c r="R3459">
        <f>IF($A3459="","",$B3459&amp;" - "&amp;$C3459)</f>
        <v/>
      </c>
      <c r="S3459">
        <f>IF($A3459="","",$R3459&amp;"|"&amp;$Q3459)</f>
        <v/>
      </c>
      <c r="T3459">
        <f>IF($A3459="","",$S3459&amp;"|"&amp;$F3459)</f>
        <v/>
      </c>
      <c r="U3459">
        <f>IF($A3459="","",$R3459&amp;"("&amp;$E3459&amp;")")</f>
        <v/>
      </c>
      <c r="V3459">
        <f>IF($A3459="","",$F3459&amp;"|"&amp;$U3459&amp;"|"&amp;$D3459)</f>
        <v/>
      </c>
      <c r="W3459">
        <f>IF($T3459="","",IF($X3459&gt;N($X3458),$X3459,""))</f>
        <v/>
      </c>
      <c r="X3459">
        <f>IF($T3459="",N($X3458),IF(MATCH($T3459,$T$6:$T$6005,0)=ROW()-5,N($X3458)+1,N($X3458)))</f>
        <v/>
      </c>
      <c r="Z3459">
        <f>IF($V3459="","",IF($AA3459&gt;N($AA3458),$AA3459,""))</f>
        <v/>
      </c>
      <c r="AA3459">
        <f>IF($V3459="",N($AA3458),IF(MATCH($V3459,$V$6:$V$6005,0)=ROW()-5,N($AA3458)+1,N($AA3458)))</f>
        <v/>
      </c>
    </row>
    <row r="3460" ht="21" customHeight="1" s="66">
      <c r="A3460" s="56" t="n"/>
      <c r="B3460" s="57" t="n"/>
      <c r="C3460" s="57" t="n"/>
      <c r="D3460" s="57" t="n"/>
      <c r="E3460" s="56" t="n"/>
      <c r="F3460" s="57" t="n"/>
      <c r="G3460" s="57" t="n"/>
      <c r="H3460" s="56" t="n"/>
      <c r="I3460" s="56" t="n"/>
      <c r="J3460" s="58" t="n"/>
      <c r="K3460" s="58" t="n"/>
      <c r="L3460" s="13">
        <f>IF(OR($A3460="",AND($J3460="",$K3460="")),"",ROUND(N($J3460)-N($K3460),2))</f>
        <v/>
      </c>
      <c r="M3460" s="13">
        <f>IF(OR($A3460="",AND($J3460="",$K3460="")),"",MIN($J3460,$K3460))</f>
        <v/>
      </c>
      <c r="Q3460">
        <f>IF($A3460="","",$D3460&amp;"("&amp;SUBSTITUTE($E3460," ","")&amp;")")</f>
        <v/>
      </c>
      <c r="R3460">
        <f>IF($A3460="","",$B3460&amp;" - "&amp;$C3460)</f>
        <v/>
      </c>
      <c r="S3460">
        <f>IF($A3460="","",$R3460&amp;"|"&amp;$Q3460)</f>
        <v/>
      </c>
      <c r="T3460">
        <f>IF($A3460="","",$S3460&amp;"|"&amp;$F3460)</f>
        <v/>
      </c>
      <c r="U3460">
        <f>IF($A3460="","",$R3460&amp;"("&amp;$E3460&amp;")")</f>
        <v/>
      </c>
      <c r="V3460">
        <f>IF($A3460="","",$F3460&amp;"|"&amp;$U3460&amp;"|"&amp;$D3460)</f>
        <v/>
      </c>
      <c r="W3460">
        <f>IF($T3460="","",IF($X3460&gt;N($X3459),$X3460,""))</f>
        <v/>
      </c>
      <c r="X3460">
        <f>IF($T3460="",N($X3459),IF(MATCH($T3460,$T$6:$T$6005,0)=ROW()-5,N($X3459)+1,N($X3459)))</f>
        <v/>
      </c>
      <c r="Z3460">
        <f>IF($V3460="","",IF($AA3460&gt;N($AA3459),$AA3460,""))</f>
        <v/>
      </c>
      <c r="AA3460">
        <f>IF($V3460="",N($AA3459),IF(MATCH($V3460,$V$6:$V$6005,0)=ROW()-5,N($AA3459)+1,N($AA3459)))</f>
        <v/>
      </c>
    </row>
    <row r="3461" ht="21" customHeight="1" s="66">
      <c r="A3461" s="56" t="n"/>
      <c r="B3461" s="57" t="n"/>
      <c r="C3461" s="57" t="n"/>
      <c r="D3461" s="57" t="n"/>
      <c r="E3461" s="56" t="n"/>
      <c r="F3461" s="57" t="n"/>
      <c r="G3461" s="57" t="n"/>
      <c r="H3461" s="56" t="n"/>
      <c r="I3461" s="56" t="n"/>
      <c r="J3461" s="58" t="n"/>
      <c r="K3461" s="58" t="n"/>
      <c r="L3461" s="13">
        <f>IF(OR($A3461="",AND($J3461="",$K3461="")),"",ROUND(N($J3461)-N($K3461),2))</f>
        <v/>
      </c>
      <c r="M3461" s="13">
        <f>IF(OR($A3461="",AND($J3461="",$K3461="")),"",MIN($J3461,$K3461))</f>
        <v/>
      </c>
      <c r="Q3461">
        <f>IF($A3461="","",$D3461&amp;"("&amp;SUBSTITUTE($E3461," ","")&amp;")")</f>
        <v/>
      </c>
      <c r="R3461">
        <f>IF($A3461="","",$B3461&amp;" - "&amp;$C3461)</f>
        <v/>
      </c>
      <c r="S3461">
        <f>IF($A3461="","",$R3461&amp;"|"&amp;$Q3461)</f>
        <v/>
      </c>
      <c r="T3461">
        <f>IF($A3461="","",$S3461&amp;"|"&amp;$F3461)</f>
        <v/>
      </c>
      <c r="U3461">
        <f>IF($A3461="","",$R3461&amp;"("&amp;$E3461&amp;")")</f>
        <v/>
      </c>
      <c r="V3461">
        <f>IF($A3461="","",$F3461&amp;"|"&amp;$U3461&amp;"|"&amp;$D3461)</f>
        <v/>
      </c>
      <c r="W3461">
        <f>IF($T3461="","",IF($X3461&gt;N($X3460),$X3461,""))</f>
        <v/>
      </c>
      <c r="X3461">
        <f>IF($T3461="",N($X3460),IF(MATCH($T3461,$T$6:$T$6005,0)=ROW()-5,N($X3460)+1,N($X3460)))</f>
        <v/>
      </c>
      <c r="Z3461">
        <f>IF($V3461="","",IF($AA3461&gt;N($AA3460),$AA3461,""))</f>
        <v/>
      </c>
      <c r="AA3461">
        <f>IF($V3461="",N($AA3460),IF(MATCH($V3461,$V$6:$V$6005,0)=ROW()-5,N($AA3460)+1,N($AA3460)))</f>
        <v/>
      </c>
    </row>
    <row r="3462" ht="21" customHeight="1" s="66">
      <c r="A3462" s="56" t="n"/>
      <c r="B3462" s="57" t="n"/>
      <c r="C3462" s="57" t="n"/>
      <c r="D3462" s="57" t="n"/>
      <c r="E3462" s="56" t="n"/>
      <c r="F3462" s="57" t="n"/>
      <c r="G3462" s="57" t="n"/>
      <c r="H3462" s="56" t="n"/>
      <c r="I3462" s="56" t="n"/>
      <c r="J3462" s="58" t="n"/>
      <c r="K3462" s="58" t="n"/>
      <c r="L3462" s="13">
        <f>IF(OR($A3462="",AND($J3462="",$K3462="")),"",ROUND(N($J3462)-N($K3462),2))</f>
        <v/>
      </c>
      <c r="M3462" s="13">
        <f>IF(OR($A3462="",AND($J3462="",$K3462="")),"",MIN($J3462,$K3462))</f>
        <v/>
      </c>
      <c r="Q3462">
        <f>IF($A3462="","",$D3462&amp;"("&amp;SUBSTITUTE($E3462," ","")&amp;")")</f>
        <v/>
      </c>
      <c r="R3462">
        <f>IF($A3462="","",$B3462&amp;" - "&amp;$C3462)</f>
        <v/>
      </c>
      <c r="S3462">
        <f>IF($A3462="","",$R3462&amp;"|"&amp;$Q3462)</f>
        <v/>
      </c>
      <c r="T3462">
        <f>IF($A3462="","",$S3462&amp;"|"&amp;$F3462)</f>
        <v/>
      </c>
      <c r="U3462">
        <f>IF($A3462="","",$R3462&amp;"("&amp;$E3462&amp;")")</f>
        <v/>
      </c>
      <c r="V3462">
        <f>IF($A3462="","",$F3462&amp;"|"&amp;$U3462&amp;"|"&amp;$D3462)</f>
        <v/>
      </c>
      <c r="W3462">
        <f>IF($T3462="","",IF($X3462&gt;N($X3461),$X3462,""))</f>
        <v/>
      </c>
      <c r="X3462">
        <f>IF($T3462="",N($X3461),IF(MATCH($T3462,$T$6:$T$6005,0)=ROW()-5,N($X3461)+1,N($X3461)))</f>
        <v/>
      </c>
      <c r="Z3462">
        <f>IF($V3462="","",IF($AA3462&gt;N($AA3461),$AA3462,""))</f>
        <v/>
      </c>
      <c r="AA3462">
        <f>IF($V3462="",N($AA3461),IF(MATCH($V3462,$V$6:$V$6005,0)=ROW()-5,N($AA3461)+1,N($AA3461)))</f>
        <v/>
      </c>
    </row>
    <row r="3463" ht="21" customHeight="1" s="66">
      <c r="A3463" s="56" t="n"/>
      <c r="B3463" s="57" t="n"/>
      <c r="C3463" s="57" t="n"/>
      <c r="D3463" s="57" t="n"/>
      <c r="E3463" s="56" t="n"/>
      <c r="F3463" s="57" t="n"/>
      <c r="G3463" s="57" t="n"/>
      <c r="H3463" s="56" t="n"/>
      <c r="I3463" s="56" t="n"/>
      <c r="J3463" s="58" t="n"/>
      <c r="K3463" s="58" t="n"/>
      <c r="L3463" s="13">
        <f>IF(OR($A3463="",AND($J3463="",$K3463="")),"",ROUND(N($J3463)-N($K3463),2))</f>
        <v/>
      </c>
      <c r="M3463" s="13">
        <f>IF(OR($A3463="",AND($J3463="",$K3463="")),"",MIN($J3463,$K3463))</f>
        <v/>
      </c>
      <c r="Q3463">
        <f>IF($A3463="","",$D3463&amp;"("&amp;SUBSTITUTE($E3463," ","")&amp;")")</f>
        <v/>
      </c>
      <c r="R3463">
        <f>IF($A3463="","",$B3463&amp;" - "&amp;$C3463)</f>
        <v/>
      </c>
      <c r="S3463">
        <f>IF($A3463="","",$R3463&amp;"|"&amp;$Q3463)</f>
        <v/>
      </c>
      <c r="T3463">
        <f>IF($A3463="","",$S3463&amp;"|"&amp;$F3463)</f>
        <v/>
      </c>
      <c r="U3463">
        <f>IF($A3463="","",$R3463&amp;"("&amp;$E3463&amp;")")</f>
        <v/>
      </c>
      <c r="V3463">
        <f>IF($A3463="","",$F3463&amp;"|"&amp;$U3463&amp;"|"&amp;$D3463)</f>
        <v/>
      </c>
      <c r="W3463">
        <f>IF($T3463="","",IF($X3463&gt;N($X3462),$X3463,""))</f>
        <v/>
      </c>
      <c r="X3463">
        <f>IF($T3463="",N($X3462),IF(MATCH($T3463,$T$6:$T$6005,0)=ROW()-5,N($X3462)+1,N($X3462)))</f>
        <v/>
      </c>
      <c r="Z3463">
        <f>IF($V3463="","",IF($AA3463&gt;N($AA3462),$AA3463,""))</f>
        <v/>
      </c>
      <c r="AA3463">
        <f>IF($V3463="",N($AA3462),IF(MATCH($V3463,$V$6:$V$6005,0)=ROW()-5,N($AA3462)+1,N($AA3462)))</f>
        <v/>
      </c>
    </row>
    <row r="3464" ht="21" customHeight="1" s="66">
      <c r="A3464" s="56" t="n"/>
      <c r="B3464" s="57" t="n"/>
      <c r="C3464" s="57" t="n"/>
      <c r="D3464" s="57" t="n"/>
      <c r="E3464" s="56" t="n"/>
      <c r="F3464" s="57" t="n"/>
      <c r="G3464" s="57" t="n"/>
      <c r="H3464" s="56" t="n"/>
      <c r="I3464" s="56" t="n"/>
      <c r="J3464" s="58" t="n"/>
      <c r="K3464" s="58" t="n"/>
      <c r="L3464" s="13">
        <f>IF(OR($A3464="",AND($J3464="",$K3464="")),"",ROUND(N($J3464)-N($K3464),2))</f>
        <v/>
      </c>
      <c r="M3464" s="13">
        <f>IF(OR($A3464="",AND($J3464="",$K3464="")),"",MIN($J3464,$K3464))</f>
        <v/>
      </c>
      <c r="Q3464">
        <f>IF($A3464="","",$D3464&amp;"("&amp;SUBSTITUTE($E3464," ","")&amp;")")</f>
        <v/>
      </c>
      <c r="R3464">
        <f>IF($A3464="","",$B3464&amp;" - "&amp;$C3464)</f>
        <v/>
      </c>
      <c r="S3464">
        <f>IF($A3464="","",$R3464&amp;"|"&amp;$Q3464)</f>
        <v/>
      </c>
      <c r="T3464">
        <f>IF($A3464="","",$S3464&amp;"|"&amp;$F3464)</f>
        <v/>
      </c>
      <c r="U3464">
        <f>IF($A3464="","",$R3464&amp;"("&amp;$E3464&amp;")")</f>
        <v/>
      </c>
      <c r="V3464">
        <f>IF($A3464="","",$F3464&amp;"|"&amp;$U3464&amp;"|"&amp;$D3464)</f>
        <v/>
      </c>
      <c r="W3464">
        <f>IF($T3464="","",IF($X3464&gt;N($X3463),$X3464,""))</f>
        <v/>
      </c>
      <c r="X3464">
        <f>IF($T3464="",N($X3463),IF(MATCH($T3464,$T$6:$T$6005,0)=ROW()-5,N($X3463)+1,N($X3463)))</f>
        <v/>
      </c>
      <c r="Z3464">
        <f>IF($V3464="","",IF($AA3464&gt;N($AA3463),$AA3464,""))</f>
        <v/>
      </c>
      <c r="AA3464">
        <f>IF($V3464="",N($AA3463),IF(MATCH($V3464,$V$6:$V$6005,0)=ROW()-5,N($AA3463)+1,N($AA3463)))</f>
        <v/>
      </c>
    </row>
    <row r="3465" ht="21" customHeight="1" s="66">
      <c r="A3465" s="56" t="n"/>
      <c r="B3465" s="57" t="n"/>
      <c r="C3465" s="57" t="n"/>
      <c r="D3465" s="57" t="n"/>
      <c r="E3465" s="56" t="n"/>
      <c r="F3465" s="57" t="n"/>
      <c r="G3465" s="57" t="n"/>
      <c r="H3465" s="56" t="n"/>
      <c r="I3465" s="56" t="n"/>
      <c r="J3465" s="58" t="n"/>
      <c r="K3465" s="58" t="n"/>
      <c r="L3465" s="13">
        <f>IF(OR($A3465="",AND($J3465="",$K3465="")),"",ROUND(N($J3465)-N($K3465),2))</f>
        <v/>
      </c>
      <c r="M3465" s="13">
        <f>IF(OR($A3465="",AND($J3465="",$K3465="")),"",MIN($J3465,$K3465))</f>
        <v/>
      </c>
      <c r="Q3465">
        <f>IF($A3465="","",$D3465&amp;"("&amp;SUBSTITUTE($E3465," ","")&amp;")")</f>
        <v/>
      </c>
      <c r="R3465">
        <f>IF($A3465="","",$B3465&amp;" - "&amp;$C3465)</f>
        <v/>
      </c>
      <c r="S3465">
        <f>IF($A3465="","",$R3465&amp;"|"&amp;$Q3465)</f>
        <v/>
      </c>
      <c r="T3465">
        <f>IF($A3465="","",$S3465&amp;"|"&amp;$F3465)</f>
        <v/>
      </c>
      <c r="U3465">
        <f>IF($A3465="","",$R3465&amp;"("&amp;$E3465&amp;")")</f>
        <v/>
      </c>
      <c r="V3465">
        <f>IF($A3465="","",$F3465&amp;"|"&amp;$U3465&amp;"|"&amp;$D3465)</f>
        <v/>
      </c>
      <c r="W3465">
        <f>IF($T3465="","",IF($X3465&gt;N($X3464),$X3465,""))</f>
        <v/>
      </c>
      <c r="X3465">
        <f>IF($T3465="",N($X3464),IF(MATCH($T3465,$T$6:$T$6005,0)=ROW()-5,N($X3464)+1,N($X3464)))</f>
        <v/>
      </c>
      <c r="Z3465">
        <f>IF($V3465="","",IF($AA3465&gt;N($AA3464),$AA3465,""))</f>
        <v/>
      </c>
      <c r="AA3465">
        <f>IF($V3465="",N($AA3464),IF(MATCH($V3465,$V$6:$V$6005,0)=ROW()-5,N($AA3464)+1,N($AA3464)))</f>
        <v/>
      </c>
    </row>
    <row r="3466" ht="21" customHeight="1" s="66">
      <c r="A3466" s="56" t="n"/>
      <c r="B3466" s="57" t="n"/>
      <c r="C3466" s="57" t="n"/>
      <c r="D3466" s="57" t="n"/>
      <c r="E3466" s="56" t="n"/>
      <c r="F3466" s="57" t="n"/>
      <c r="G3466" s="57" t="n"/>
      <c r="H3466" s="56" t="n"/>
      <c r="I3466" s="56" t="n"/>
      <c r="J3466" s="58" t="n"/>
      <c r="K3466" s="58" t="n"/>
      <c r="L3466" s="13">
        <f>IF(OR($A3466="",AND($J3466="",$K3466="")),"",ROUND(N($J3466)-N($K3466),2))</f>
        <v/>
      </c>
      <c r="M3466" s="13">
        <f>IF(OR($A3466="",AND($J3466="",$K3466="")),"",MIN($J3466,$K3466))</f>
        <v/>
      </c>
      <c r="Q3466">
        <f>IF($A3466="","",$D3466&amp;"("&amp;SUBSTITUTE($E3466," ","")&amp;")")</f>
        <v/>
      </c>
      <c r="R3466">
        <f>IF($A3466="","",$B3466&amp;" - "&amp;$C3466)</f>
        <v/>
      </c>
      <c r="S3466">
        <f>IF($A3466="","",$R3466&amp;"|"&amp;$Q3466)</f>
        <v/>
      </c>
      <c r="T3466">
        <f>IF($A3466="","",$S3466&amp;"|"&amp;$F3466)</f>
        <v/>
      </c>
      <c r="U3466">
        <f>IF($A3466="","",$R3466&amp;"("&amp;$E3466&amp;")")</f>
        <v/>
      </c>
      <c r="V3466">
        <f>IF($A3466="","",$F3466&amp;"|"&amp;$U3466&amp;"|"&amp;$D3466)</f>
        <v/>
      </c>
      <c r="W3466">
        <f>IF($T3466="","",IF($X3466&gt;N($X3465),$X3466,""))</f>
        <v/>
      </c>
      <c r="X3466">
        <f>IF($T3466="",N($X3465),IF(MATCH($T3466,$T$6:$T$6005,0)=ROW()-5,N($X3465)+1,N($X3465)))</f>
        <v/>
      </c>
      <c r="Z3466">
        <f>IF($V3466="","",IF($AA3466&gt;N($AA3465),$AA3466,""))</f>
        <v/>
      </c>
      <c r="AA3466">
        <f>IF($V3466="",N($AA3465),IF(MATCH($V3466,$V$6:$V$6005,0)=ROW()-5,N($AA3465)+1,N($AA3465)))</f>
        <v/>
      </c>
    </row>
    <row r="3467" ht="21" customHeight="1" s="66">
      <c r="A3467" s="56" t="n"/>
      <c r="B3467" s="57" t="n"/>
      <c r="C3467" s="57" t="n"/>
      <c r="D3467" s="57" t="n"/>
      <c r="E3467" s="56" t="n"/>
      <c r="F3467" s="57" t="n"/>
      <c r="G3467" s="57" t="n"/>
      <c r="H3467" s="56" t="n"/>
      <c r="I3467" s="56" t="n"/>
      <c r="J3467" s="58" t="n"/>
      <c r="K3467" s="58" t="n"/>
      <c r="L3467" s="13">
        <f>IF(OR($A3467="",AND($J3467="",$K3467="")),"",ROUND(N($J3467)-N($K3467),2))</f>
        <v/>
      </c>
      <c r="M3467" s="13">
        <f>IF(OR($A3467="",AND($J3467="",$K3467="")),"",MIN($J3467,$K3467))</f>
        <v/>
      </c>
      <c r="Q3467">
        <f>IF($A3467="","",$D3467&amp;"("&amp;SUBSTITUTE($E3467," ","")&amp;")")</f>
        <v/>
      </c>
      <c r="R3467">
        <f>IF($A3467="","",$B3467&amp;" - "&amp;$C3467)</f>
        <v/>
      </c>
      <c r="S3467">
        <f>IF($A3467="","",$R3467&amp;"|"&amp;$Q3467)</f>
        <v/>
      </c>
      <c r="T3467">
        <f>IF($A3467="","",$S3467&amp;"|"&amp;$F3467)</f>
        <v/>
      </c>
      <c r="U3467">
        <f>IF($A3467="","",$R3467&amp;"("&amp;$E3467&amp;")")</f>
        <v/>
      </c>
      <c r="V3467">
        <f>IF($A3467="","",$F3467&amp;"|"&amp;$U3467&amp;"|"&amp;$D3467)</f>
        <v/>
      </c>
      <c r="W3467">
        <f>IF($T3467="","",IF($X3467&gt;N($X3466),$X3467,""))</f>
        <v/>
      </c>
      <c r="X3467">
        <f>IF($T3467="",N($X3466),IF(MATCH($T3467,$T$6:$T$6005,0)=ROW()-5,N($X3466)+1,N($X3466)))</f>
        <v/>
      </c>
      <c r="Z3467">
        <f>IF($V3467="","",IF($AA3467&gt;N($AA3466),$AA3467,""))</f>
        <v/>
      </c>
      <c r="AA3467">
        <f>IF($V3467="",N($AA3466),IF(MATCH($V3467,$V$6:$V$6005,0)=ROW()-5,N($AA3466)+1,N($AA3466)))</f>
        <v/>
      </c>
    </row>
    <row r="3468" ht="21" customHeight="1" s="66">
      <c r="A3468" s="56" t="n"/>
      <c r="B3468" s="57" t="n"/>
      <c r="C3468" s="57" t="n"/>
      <c r="D3468" s="57" t="n"/>
      <c r="E3468" s="56" t="n"/>
      <c r="F3468" s="57" t="n"/>
      <c r="G3468" s="57" t="n"/>
      <c r="H3468" s="56" t="n"/>
      <c r="I3468" s="56" t="n"/>
      <c r="J3468" s="58" t="n"/>
      <c r="K3468" s="58" t="n"/>
      <c r="L3468" s="13">
        <f>IF(OR($A3468="",AND($J3468="",$K3468="")),"",ROUND(N($J3468)-N($K3468),2))</f>
        <v/>
      </c>
      <c r="M3468" s="13">
        <f>IF(OR($A3468="",AND($J3468="",$K3468="")),"",MIN($J3468,$K3468))</f>
        <v/>
      </c>
      <c r="Q3468">
        <f>IF($A3468="","",$D3468&amp;"("&amp;SUBSTITUTE($E3468," ","")&amp;")")</f>
        <v/>
      </c>
      <c r="R3468">
        <f>IF($A3468="","",$B3468&amp;" - "&amp;$C3468)</f>
        <v/>
      </c>
      <c r="S3468">
        <f>IF($A3468="","",$R3468&amp;"|"&amp;$Q3468)</f>
        <v/>
      </c>
      <c r="T3468">
        <f>IF($A3468="","",$S3468&amp;"|"&amp;$F3468)</f>
        <v/>
      </c>
      <c r="U3468">
        <f>IF($A3468="","",$R3468&amp;"("&amp;$E3468&amp;")")</f>
        <v/>
      </c>
      <c r="V3468">
        <f>IF($A3468="","",$F3468&amp;"|"&amp;$U3468&amp;"|"&amp;$D3468)</f>
        <v/>
      </c>
      <c r="W3468">
        <f>IF($T3468="","",IF($X3468&gt;N($X3467),$X3468,""))</f>
        <v/>
      </c>
      <c r="X3468">
        <f>IF($T3468="",N($X3467),IF(MATCH($T3468,$T$6:$T$6005,0)=ROW()-5,N($X3467)+1,N($X3467)))</f>
        <v/>
      </c>
      <c r="Z3468">
        <f>IF($V3468="","",IF($AA3468&gt;N($AA3467),$AA3468,""))</f>
        <v/>
      </c>
      <c r="AA3468">
        <f>IF($V3468="",N($AA3467),IF(MATCH($V3468,$V$6:$V$6005,0)=ROW()-5,N($AA3467)+1,N($AA3467)))</f>
        <v/>
      </c>
    </row>
    <row r="3469" ht="21" customHeight="1" s="66">
      <c r="A3469" s="56" t="n"/>
      <c r="B3469" s="57" t="n"/>
      <c r="C3469" s="57" t="n"/>
      <c r="D3469" s="57" t="n"/>
      <c r="E3469" s="56" t="n"/>
      <c r="F3469" s="57" t="n"/>
      <c r="G3469" s="57" t="n"/>
      <c r="H3469" s="56" t="n"/>
      <c r="I3469" s="56" t="n"/>
      <c r="J3469" s="58" t="n"/>
      <c r="K3469" s="58" t="n"/>
      <c r="L3469" s="13">
        <f>IF(OR($A3469="",AND($J3469="",$K3469="")),"",ROUND(N($J3469)-N($K3469),2))</f>
        <v/>
      </c>
      <c r="M3469" s="13">
        <f>IF(OR($A3469="",AND($J3469="",$K3469="")),"",MIN($J3469,$K3469))</f>
        <v/>
      </c>
      <c r="Q3469">
        <f>IF($A3469="","",$D3469&amp;"("&amp;SUBSTITUTE($E3469," ","")&amp;")")</f>
        <v/>
      </c>
      <c r="R3469">
        <f>IF($A3469="","",$B3469&amp;" - "&amp;$C3469)</f>
        <v/>
      </c>
      <c r="S3469">
        <f>IF($A3469="","",$R3469&amp;"|"&amp;$Q3469)</f>
        <v/>
      </c>
      <c r="T3469">
        <f>IF($A3469="","",$S3469&amp;"|"&amp;$F3469)</f>
        <v/>
      </c>
      <c r="U3469">
        <f>IF($A3469="","",$R3469&amp;"("&amp;$E3469&amp;")")</f>
        <v/>
      </c>
      <c r="V3469">
        <f>IF($A3469="","",$F3469&amp;"|"&amp;$U3469&amp;"|"&amp;$D3469)</f>
        <v/>
      </c>
      <c r="W3469">
        <f>IF($T3469="","",IF($X3469&gt;N($X3468),$X3469,""))</f>
        <v/>
      </c>
      <c r="X3469">
        <f>IF($T3469="",N($X3468),IF(MATCH($T3469,$T$6:$T$6005,0)=ROW()-5,N($X3468)+1,N($X3468)))</f>
        <v/>
      </c>
      <c r="Z3469">
        <f>IF($V3469="","",IF($AA3469&gt;N($AA3468),$AA3469,""))</f>
        <v/>
      </c>
      <c r="AA3469">
        <f>IF($V3469="",N($AA3468),IF(MATCH($V3469,$V$6:$V$6005,0)=ROW()-5,N($AA3468)+1,N($AA3468)))</f>
        <v/>
      </c>
    </row>
    <row r="3470" ht="21" customHeight="1" s="66">
      <c r="A3470" s="56" t="n"/>
      <c r="B3470" s="57" t="n"/>
      <c r="C3470" s="57" t="n"/>
      <c r="D3470" s="57" t="n"/>
      <c r="E3470" s="56" t="n"/>
      <c r="F3470" s="57" t="n"/>
      <c r="G3470" s="57" t="n"/>
      <c r="H3470" s="56" t="n"/>
      <c r="I3470" s="56" t="n"/>
      <c r="J3470" s="58" t="n"/>
      <c r="K3470" s="58" t="n"/>
      <c r="L3470" s="13">
        <f>IF(OR($A3470="",AND($J3470="",$K3470="")),"",ROUND(N($J3470)-N($K3470),2))</f>
        <v/>
      </c>
      <c r="M3470" s="13">
        <f>IF(OR($A3470="",AND($J3470="",$K3470="")),"",MIN($J3470,$K3470))</f>
        <v/>
      </c>
      <c r="Q3470">
        <f>IF($A3470="","",$D3470&amp;"("&amp;SUBSTITUTE($E3470," ","")&amp;")")</f>
        <v/>
      </c>
      <c r="R3470">
        <f>IF($A3470="","",$B3470&amp;" - "&amp;$C3470)</f>
        <v/>
      </c>
      <c r="S3470">
        <f>IF($A3470="","",$R3470&amp;"|"&amp;$Q3470)</f>
        <v/>
      </c>
      <c r="T3470">
        <f>IF($A3470="","",$S3470&amp;"|"&amp;$F3470)</f>
        <v/>
      </c>
      <c r="U3470">
        <f>IF($A3470="","",$R3470&amp;"("&amp;$E3470&amp;")")</f>
        <v/>
      </c>
      <c r="V3470">
        <f>IF($A3470="","",$F3470&amp;"|"&amp;$U3470&amp;"|"&amp;$D3470)</f>
        <v/>
      </c>
      <c r="W3470">
        <f>IF($T3470="","",IF($X3470&gt;N($X3469),$X3470,""))</f>
        <v/>
      </c>
      <c r="X3470">
        <f>IF($T3470="",N($X3469),IF(MATCH($T3470,$T$6:$T$6005,0)=ROW()-5,N($X3469)+1,N($X3469)))</f>
        <v/>
      </c>
      <c r="Z3470">
        <f>IF($V3470="","",IF($AA3470&gt;N($AA3469),$AA3470,""))</f>
        <v/>
      </c>
      <c r="AA3470">
        <f>IF($V3470="",N($AA3469),IF(MATCH($V3470,$V$6:$V$6005,0)=ROW()-5,N($AA3469)+1,N($AA3469)))</f>
        <v/>
      </c>
    </row>
    <row r="3471" ht="21" customHeight="1" s="66">
      <c r="A3471" s="56" t="n"/>
      <c r="B3471" s="57" t="n"/>
      <c r="C3471" s="57" t="n"/>
      <c r="D3471" s="57" t="n"/>
      <c r="E3471" s="56" t="n"/>
      <c r="F3471" s="57" t="n"/>
      <c r="G3471" s="57" t="n"/>
      <c r="H3471" s="56" t="n"/>
      <c r="I3471" s="56" t="n"/>
      <c r="J3471" s="58" t="n"/>
      <c r="K3471" s="58" t="n"/>
      <c r="L3471" s="13">
        <f>IF(OR($A3471="",AND($J3471="",$K3471="")),"",ROUND(N($J3471)-N($K3471),2))</f>
        <v/>
      </c>
      <c r="M3471" s="13">
        <f>IF(OR($A3471="",AND($J3471="",$K3471="")),"",MIN($J3471,$K3471))</f>
        <v/>
      </c>
      <c r="Q3471">
        <f>IF($A3471="","",$D3471&amp;"("&amp;SUBSTITUTE($E3471," ","")&amp;")")</f>
        <v/>
      </c>
      <c r="R3471">
        <f>IF($A3471="","",$B3471&amp;" - "&amp;$C3471)</f>
        <v/>
      </c>
      <c r="S3471">
        <f>IF($A3471="","",$R3471&amp;"|"&amp;$Q3471)</f>
        <v/>
      </c>
      <c r="T3471">
        <f>IF($A3471="","",$S3471&amp;"|"&amp;$F3471)</f>
        <v/>
      </c>
      <c r="U3471">
        <f>IF($A3471="","",$R3471&amp;"("&amp;$E3471&amp;")")</f>
        <v/>
      </c>
      <c r="V3471">
        <f>IF($A3471="","",$F3471&amp;"|"&amp;$U3471&amp;"|"&amp;$D3471)</f>
        <v/>
      </c>
      <c r="W3471">
        <f>IF($T3471="","",IF($X3471&gt;N($X3470),$X3471,""))</f>
        <v/>
      </c>
      <c r="X3471">
        <f>IF($T3471="",N($X3470),IF(MATCH($T3471,$T$6:$T$6005,0)=ROW()-5,N($X3470)+1,N($X3470)))</f>
        <v/>
      </c>
      <c r="Z3471">
        <f>IF($V3471="","",IF($AA3471&gt;N($AA3470),$AA3471,""))</f>
        <v/>
      </c>
      <c r="AA3471">
        <f>IF($V3471="",N($AA3470),IF(MATCH($V3471,$V$6:$V$6005,0)=ROW()-5,N($AA3470)+1,N($AA3470)))</f>
        <v/>
      </c>
    </row>
    <row r="3472" ht="21" customHeight="1" s="66">
      <c r="A3472" s="56" t="n"/>
      <c r="B3472" s="57" t="n"/>
      <c r="C3472" s="57" t="n"/>
      <c r="D3472" s="57" t="n"/>
      <c r="E3472" s="56" t="n"/>
      <c r="F3472" s="57" t="n"/>
      <c r="G3472" s="57" t="n"/>
      <c r="H3472" s="56" t="n"/>
      <c r="I3472" s="56" t="n"/>
      <c r="J3472" s="58" t="n"/>
      <c r="K3472" s="58" t="n"/>
      <c r="L3472" s="13">
        <f>IF(OR($A3472="",AND($J3472="",$K3472="")),"",ROUND(N($J3472)-N($K3472),2))</f>
        <v/>
      </c>
      <c r="M3472" s="13">
        <f>IF(OR($A3472="",AND($J3472="",$K3472="")),"",MIN($J3472,$K3472))</f>
        <v/>
      </c>
      <c r="Q3472">
        <f>IF($A3472="","",$D3472&amp;"("&amp;SUBSTITUTE($E3472," ","")&amp;")")</f>
        <v/>
      </c>
      <c r="R3472">
        <f>IF($A3472="","",$B3472&amp;" - "&amp;$C3472)</f>
        <v/>
      </c>
      <c r="S3472">
        <f>IF($A3472="","",$R3472&amp;"|"&amp;$Q3472)</f>
        <v/>
      </c>
      <c r="T3472">
        <f>IF($A3472="","",$S3472&amp;"|"&amp;$F3472)</f>
        <v/>
      </c>
      <c r="U3472">
        <f>IF($A3472="","",$R3472&amp;"("&amp;$E3472&amp;")")</f>
        <v/>
      </c>
      <c r="V3472">
        <f>IF($A3472="","",$F3472&amp;"|"&amp;$U3472&amp;"|"&amp;$D3472)</f>
        <v/>
      </c>
      <c r="W3472">
        <f>IF($T3472="","",IF($X3472&gt;N($X3471),$X3472,""))</f>
        <v/>
      </c>
      <c r="X3472">
        <f>IF($T3472="",N($X3471),IF(MATCH($T3472,$T$6:$T$6005,0)=ROW()-5,N($X3471)+1,N($X3471)))</f>
        <v/>
      </c>
      <c r="Z3472">
        <f>IF($V3472="","",IF($AA3472&gt;N($AA3471),$AA3472,""))</f>
        <v/>
      </c>
      <c r="AA3472">
        <f>IF($V3472="",N($AA3471),IF(MATCH($V3472,$V$6:$V$6005,0)=ROW()-5,N($AA3471)+1,N($AA3471)))</f>
        <v/>
      </c>
    </row>
    <row r="3473" ht="21" customHeight="1" s="66">
      <c r="A3473" s="56" t="n"/>
      <c r="B3473" s="57" t="n"/>
      <c r="C3473" s="57" t="n"/>
      <c r="D3473" s="57" t="n"/>
      <c r="E3473" s="56" t="n"/>
      <c r="F3473" s="57" t="n"/>
      <c r="G3473" s="57" t="n"/>
      <c r="H3473" s="56" t="n"/>
      <c r="I3473" s="56" t="n"/>
      <c r="J3473" s="58" t="n"/>
      <c r="K3473" s="58" t="n"/>
      <c r="L3473" s="13">
        <f>IF(OR($A3473="",AND($J3473="",$K3473="")),"",ROUND(N($J3473)-N($K3473),2))</f>
        <v/>
      </c>
      <c r="M3473" s="13">
        <f>IF(OR($A3473="",AND($J3473="",$K3473="")),"",MIN($J3473,$K3473))</f>
        <v/>
      </c>
      <c r="Q3473">
        <f>IF($A3473="","",$D3473&amp;"("&amp;SUBSTITUTE($E3473," ","")&amp;")")</f>
        <v/>
      </c>
      <c r="R3473">
        <f>IF($A3473="","",$B3473&amp;" - "&amp;$C3473)</f>
        <v/>
      </c>
      <c r="S3473">
        <f>IF($A3473="","",$R3473&amp;"|"&amp;$Q3473)</f>
        <v/>
      </c>
      <c r="T3473">
        <f>IF($A3473="","",$S3473&amp;"|"&amp;$F3473)</f>
        <v/>
      </c>
      <c r="U3473">
        <f>IF($A3473="","",$R3473&amp;"("&amp;$E3473&amp;")")</f>
        <v/>
      </c>
      <c r="V3473">
        <f>IF($A3473="","",$F3473&amp;"|"&amp;$U3473&amp;"|"&amp;$D3473)</f>
        <v/>
      </c>
      <c r="W3473">
        <f>IF($T3473="","",IF($X3473&gt;N($X3472),$X3473,""))</f>
        <v/>
      </c>
      <c r="X3473">
        <f>IF($T3473="",N($X3472),IF(MATCH($T3473,$T$6:$T$6005,0)=ROW()-5,N($X3472)+1,N($X3472)))</f>
        <v/>
      </c>
      <c r="Z3473">
        <f>IF($V3473="","",IF($AA3473&gt;N($AA3472),$AA3473,""))</f>
        <v/>
      </c>
      <c r="AA3473">
        <f>IF($V3473="",N($AA3472),IF(MATCH($V3473,$V$6:$V$6005,0)=ROW()-5,N($AA3472)+1,N($AA3472)))</f>
        <v/>
      </c>
    </row>
    <row r="3474" ht="21" customHeight="1" s="66">
      <c r="A3474" s="56" t="n"/>
      <c r="B3474" s="57" t="n"/>
      <c r="C3474" s="57" t="n"/>
      <c r="D3474" s="57" t="n"/>
      <c r="E3474" s="56" t="n"/>
      <c r="F3474" s="57" t="n"/>
      <c r="G3474" s="57" t="n"/>
      <c r="H3474" s="56" t="n"/>
      <c r="I3474" s="56" t="n"/>
      <c r="J3474" s="58" t="n"/>
      <c r="K3474" s="58" t="n"/>
      <c r="L3474" s="13">
        <f>IF(OR($A3474="",AND($J3474="",$K3474="")),"",ROUND(N($J3474)-N($K3474),2))</f>
        <v/>
      </c>
      <c r="M3474" s="13">
        <f>IF(OR($A3474="",AND($J3474="",$K3474="")),"",MIN($J3474,$K3474))</f>
        <v/>
      </c>
      <c r="Q3474">
        <f>IF($A3474="","",$D3474&amp;"("&amp;SUBSTITUTE($E3474," ","")&amp;")")</f>
        <v/>
      </c>
      <c r="R3474">
        <f>IF($A3474="","",$B3474&amp;" - "&amp;$C3474)</f>
        <v/>
      </c>
      <c r="S3474">
        <f>IF($A3474="","",$R3474&amp;"|"&amp;$Q3474)</f>
        <v/>
      </c>
      <c r="T3474">
        <f>IF($A3474="","",$S3474&amp;"|"&amp;$F3474)</f>
        <v/>
      </c>
      <c r="U3474">
        <f>IF($A3474="","",$R3474&amp;"("&amp;$E3474&amp;")")</f>
        <v/>
      </c>
      <c r="V3474">
        <f>IF($A3474="","",$F3474&amp;"|"&amp;$U3474&amp;"|"&amp;$D3474)</f>
        <v/>
      </c>
      <c r="W3474">
        <f>IF($T3474="","",IF($X3474&gt;N($X3473),$X3474,""))</f>
        <v/>
      </c>
      <c r="X3474">
        <f>IF($T3474="",N($X3473),IF(MATCH($T3474,$T$6:$T$6005,0)=ROW()-5,N($X3473)+1,N($X3473)))</f>
        <v/>
      </c>
      <c r="Z3474">
        <f>IF($V3474="","",IF($AA3474&gt;N($AA3473),$AA3474,""))</f>
        <v/>
      </c>
      <c r="AA3474">
        <f>IF($V3474="",N($AA3473),IF(MATCH($V3474,$V$6:$V$6005,0)=ROW()-5,N($AA3473)+1,N($AA3473)))</f>
        <v/>
      </c>
    </row>
    <row r="3475" ht="21" customHeight="1" s="66">
      <c r="A3475" s="56" t="n"/>
      <c r="B3475" s="57" t="n"/>
      <c r="C3475" s="57" t="n"/>
      <c r="D3475" s="57" t="n"/>
      <c r="E3475" s="56" t="n"/>
      <c r="F3475" s="57" t="n"/>
      <c r="G3475" s="57" t="n"/>
      <c r="H3475" s="56" t="n"/>
      <c r="I3475" s="56" t="n"/>
      <c r="J3475" s="58" t="n"/>
      <c r="K3475" s="58" t="n"/>
      <c r="L3475" s="13">
        <f>IF(OR($A3475="",AND($J3475="",$K3475="")),"",ROUND(N($J3475)-N($K3475),2))</f>
        <v/>
      </c>
      <c r="M3475" s="13">
        <f>IF(OR($A3475="",AND($J3475="",$K3475="")),"",MIN($J3475,$K3475))</f>
        <v/>
      </c>
      <c r="Q3475">
        <f>IF($A3475="","",$D3475&amp;"("&amp;SUBSTITUTE($E3475," ","")&amp;")")</f>
        <v/>
      </c>
      <c r="R3475">
        <f>IF($A3475="","",$B3475&amp;" - "&amp;$C3475)</f>
        <v/>
      </c>
      <c r="S3475">
        <f>IF($A3475="","",$R3475&amp;"|"&amp;$Q3475)</f>
        <v/>
      </c>
      <c r="T3475">
        <f>IF($A3475="","",$S3475&amp;"|"&amp;$F3475)</f>
        <v/>
      </c>
      <c r="U3475">
        <f>IF($A3475="","",$R3475&amp;"("&amp;$E3475&amp;")")</f>
        <v/>
      </c>
      <c r="V3475">
        <f>IF($A3475="","",$F3475&amp;"|"&amp;$U3475&amp;"|"&amp;$D3475)</f>
        <v/>
      </c>
      <c r="W3475">
        <f>IF($T3475="","",IF($X3475&gt;N($X3474),$X3475,""))</f>
        <v/>
      </c>
      <c r="X3475">
        <f>IF($T3475="",N($X3474),IF(MATCH($T3475,$T$6:$T$6005,0)=ROW()-5,N($X3474)+1,N($X3474)))</f>
        <v/>
      </c>
      <c r="Z3475">
        <f>IF($V3475="","",IF($AA3475&gt;N($AA3474),$AA3475,""))</f>
        <v/>
      </c>
      <c r="AA3475">
        <f>IF($V3475="",N($AA3474),IF(MATCH($V3475,$V$6:$V$6005,0)=ROW()-5,N($AA3474)+1,N($AA3474)))</f>
        <v/>
      </c>
    </row>
    <row r="3476" ht="21" customHeight="1" s="66">
      <c r="A3476" s="56" t="n"/>
      <c r="B3476" s="57" t="n"/>
      <c r="C3476" s="57" t="n"/>
      <c r="D3476" s="57" t="n"/>
      <c r="E3476" s="56" t="n"/>
      <c r="F3476" s="57" t="n"/>
      <c r="G3476" s="57" t="n"/>
      <c r="H3476" s="56" t="n"/>
      <c r="I3476" s="56" t="n"/>
      <c r="J3476" s="58" t="n"/>
      <c r="K3476" s="58" t="n"/>
      <c r="L3476" s="13">
        <f>IF(OR($A3476="",AND($J3476="",$K3476="")),"",ROUND(N($J3476)-N($K3476),2))</f>
        <v/>
      </c>
      <c r="M3476" s="13">
        <f>IF(OR($A3476="",AND($J3476="",$K3476="")),"",MIN($J3476,$K3476))</f>
        <v/>
      </c>
      <c r="Q3476">
        <f>IF($A3476="","",$D3476&amp;"("&amp;SUBSTITUTE($E3476," ","")&amp;")")</f>
        <v/>
      </c>
      <c r="R3476">
        <f>IF($A3476="","",$B3476&amp;" - "&amp;$C3476)</f>
        <v/>
      </c>
      <c r="S3476">
        <f>IF($A3476="","",$R3476&amp;"|"&amp;$Q3476)</f>
        <v/>
      </c>
      <c r="T3476">
        <f>IF($A3476="","",$S3476&amp;"|"&amp;$F3476)</f>
        <v/>
      </c>
      <c r="U3476">
        <f>IF($A3476="","",$R3476&amp;"("&amp;$E3476&amp;")")</f>
        <v/>
      </c>
      <c r="V3476">
        <f>IF($A3476="","",$F3476&amp;"|"&amp;$U3476&amp;"|"&amp;$D3476)</f>
        <v/>
      </c>
      <c r="W3476">
        <f>IF($T3476="","",IF($X3476&gt;N($X3475),$X3476,""))</f>
        <v/>
      </c>
      <c r="X3476">
        <f>IF($T3476="",N($X3475),IF(MATCH($T3476,$T$6:$T$6005,0)=ROW()-5,N($X3475)+1,N($X3475)))</f>
        <v/>
      </c>
      <c r="Z3476">
        <f>IF($V3476="","",IF($AA3476&gt;N($AA3475),$AA3476,""))</f>
        <v/>
      </c>
      <c r="AA3476">
        <f>IF($V3476="",N($AA3475),IF(MATCH($V3476,$V$6:$V$6005,0)=ROW()-5,N($AA3475)+1,N($AA3475)))</f>
        <v/>
      </c>
    </row>
    <row r="3477" ht="21" customHeight="1" s="66">
      <c r="A3477" s="56" t="n"/>
      <c r="B3477" s="57" t="n"/>
      <c r="C3477" s="57" t="n"/>
      <c r="D3477" s="57" t="n"/>
      <c r="E3477" s="56" t="n"/>
      <c r="F3477" s="57" t="n"/>
      <c r="G3477" s="57" t="n"/>
      <c r="H3477" s="56" t="n"/>
      <c r="I3477" s="56" t="n"/>
      <c r="J3477" s="58" t="n"/>
      <c r="K3477" s="58" t="n"/>
      <c r="L3477" s="13">
        <f>IF(OR($A3477="",AND($J3477="",$K3477="")),"",ROUND(N($J3477)-N($K3477),2))</f>
        <v/>
      </c>
      <c r="M3477" s="13">
        <f>IF(OR($A3477="",AND($J3477="",$K3477="")),"",MIN($J3477,$K3477))</f>
        <v/>
      </c>
      <c r="Q3477">
        <f>IF($A3477="","",$D3477&amp;"("&amp;SUBSTITUTE($E3477," ","")&amp;")")</f>
        <v/>
      </c>
      <c r="R3477">
        <f>IF($A3477="","",$B3477&amp;" - "&amp;$C3477)</f>
        <v/>
      </c>
      <c r="S3477">
        <f>IF($A3477="","",$R3477&amp;"|"&amp;$Q3477)</f>
        <v/>
      </c>
      <c r="T3477">
        <f>IF($A3477="","",$S3477&amp;"|"&amp;$F3477)</f>
        <v/>
      </c>
      <c r="U3477">
        <f>IF($A3477="","",$R3477&amp;"("&amp;$E3477&amp;")")</f>
        <v/>
      </c>
      <c r="V3477">
        <f>IF($A3477="","",$F3477&amp;"|"&amp;$U3477&amp;"|"&amp;$D3477)</f>
        <v/>
      </c>
      <c r="W3477">
        <f>IF($T3477="","",IF($X3477&gt;N($X3476),$X3477,""))</f>
        <v/>
      </c>
      <c r="X3477">
        <f>IF($T3477="",N($X3476),IF(MATCH($T3477,$T$6:$T$6005,0)=ROW()-5,N($X3476)+1,N($X3476)))</f>
        <v/>
      </c>
      <c r="Z3477">
        <f>IF($V3477="","",IF($AA3477&gt;N($AA3476),$AA3477,""))</f>
        <v/>
      </c>
      <c r="AA3477">
        <f>IF($V3477="",N($AA3476),IF(MATCH($V3477,$V$6:$V$6005,0)=ROW()-5,N($AA3476)+1,N($AA3476)))</f>
        <v/>
      </c>
    </row>
    <row r="3478" ht="21" customHeight="1" s="66">
      <c r="A3478" s="56" t="n"/>
      <c r="B3478" s="57" t="n"/>
      <c r="C3478" s="57" t="n"/>
      <c r="D3478" s="57" t="n"/>
      <c r="E3478" s="56" t="n"/>
      <c r="F3478" s="57" t="n"/>
      <c r="G3478" s="57" t="n"/>
      <c r="H3478" s="56" t="n"/>
      <c r="I3478" s="56" t="n"/>
      <c r="J3478" s="58" t="n"/>
      <c r="K3478" s="58" t="n"/>
      <c r="L3478" s="13">
        <f>IF(OR($A3478="",AND($J3478="",$K3478="")),"",ROUND(N($J3478)-N($K3478),2))</f>
        <v/>
      </c>
      <c r="M3478" s="13">
        <f>IF(OR($A3478="",AND($J3478="",$K3478="")),"",MIN($J3478,$K3478))</f>
        <v/>
      </c>
      <c r="Q3478">
        <f>IF($A3478="","",$D3478&amp;"("&amp;SUBSTITUTE($E3478," ","")&amp;")")</f>
        <v/>
      </c>
      <c r="R3478">
        <f>IF($A3478="","",$B3478&amp;" - "&amp;$C3478)</f>
        <v/>
      </c>
      <c r="S3478">
        <f>IF($A3478="","",$R3478&amp;"|"&amp;$Q3478)</f>
        <v/>
      </c>
      <c r="T3478">
        <f>IF($A3478="","",$S3478&amp;"|"&amp;$F3478)</f>
        <v/>
      </c>
      <c r="U3478">
        <f>IF($A3478="","",$R3478&amp;"("&amp;$E3478&amp;")")</f>
        <v/>
      </c>
      <c r="V3478">
        <f>IF($A3478="","",$F3478&amp;"|"&amp;$U3478&amp;"|"&amp;$D3478)</f>
        <v/>
      </c>
      <c r="W3478">
        <f>IF($T3478="","",IF($X3478&gt;N($X3477),$X3478,""))</f>
        <v/>
      </c>
      <c r="X3478">
        <f>IF($T3478="",N($X3477),IF(MATCH($T3478,$T$6:$T$6005,0)=ROW()-5,N($X3477)+1,N($X3477)))</f>
        <v/>
      </c>
      <c r="Z3478">
        <f>IF($V3478="","",IF($AA3478&gt;N($AA3477),$AA3478,""))</f>
        <v/>
      </c>
      <c r="AA3478">
        <f>IF($V3478="",N($AA3477),IF(MATCH($V3478,$V$6:$V$6005,0)=ROW()-5,N($AA3477)+1,N($AA3477)))</f>
        <v/>
      </c>
    </row>
    <row r="3479" ht="21" customHeight="1" s="66">
      <c r="A3479" s="56" t="n"/>
      <c r="B3479" s="57" t="n"/>
      <c r="C3479" s="57" t="n"/>
      <c r="D3479" s="57" t="n"/>
      <c r="E3479" s="56" t="n"/>
      <c r="F3479" s="57" t="n"/>
      <c r="G3479" s="57" t="n"/>
      <c r="H3479" s="56" t="n"/>
      <c r="I3479" s="56" t="n"/>
      <c r="J3479" s="58" t="n"/>
      <c r="K3479" s="58" t="n"/>
      <c r="L3479" s="13">
        <f>IF(OR($A3479="",AND($J3479="",$K3479="")),"",ROUND(N($J3479)-N($K3479),2))</f>
        <v/>
      </c>
      <c r="M3479" s="13">
        <f>IF(OR($A3479="",AND($J3479="",$K3479="")),"",MIN($J3479,$K3479))</f>
        <v/>
      </c>
      <c r="Q3479">
        <f>IF($A3479="","",$D3479&amp;"("&amp;SUBSTITUTE($E3479," ","")&amp;")")</f>
        <v/>
      </c>
      <c r="R3479">
        <f>IF($A3479="","",$B3479&amp;" - "&amp;$C3479)</f>
        <v/>
      </c>
      <c r="S3479">
        <f>IF($A3479="","",$R3479&amp;"|"&amp;$Q3479)</f>
        <v/>
      </c>
      <c r="T3479">
        <f>IF($A3479="","",$S3479&amp;"|"&amp;$F3479)</f>
        <v/>
      </c>
      <c r="U3479">
        <f>IF($A3479="","",$R3479&amp;"("&amp;$E3479&amp;")")</f>
        <v/>
      </c>
      <c r="V3479">
        <f>IF($A3479="","",$F3479&amp;"|"&amp;$U3479&amp;"|"&amp;$D3479)</f>
        <v/>
      </c>
      <c r="W3479">
        <f>IF($T3479="","",IF($X3479&gt;N($X3478),$X3479,""))</f>
        <v/>
      </c>
      <c r="X3479">
        <f>IF($T3479="",N($X3478),IF(MATCH($T3479,$T$6:$T$6005,0)=ROW()-5,N($X3478)+1,N($X3478)))</f>
        <v/>
      </c>
      <c r="Z3479">
        <f>IF($V3479="","",IF($AA3479&gt;N($AA3478),$AA3479,""))</f>
        <v/>
      </c>
      <c r="AA3479">
        <f>IF($V3479="",N($AA3478),IF(MATCH($V3479,$V$6:$V$6005,0)=ROW()-5,N($AA3478)+1,N($AA3478)))</f>
        <v/>
      </c>
    </row>
    <row r="3480" ht="21" customHeight="1" s="66">
      <c r="A3480" s="56" t="n"/>
      <c r="B3480" s="57" t="n"/>
      <c r="C3480" s="57" t="n"/>
      <c r="D3480" s="57" t="n"/>
      <c r="E3480" s="56" t="n"/>
      <c r="F3480" s="57" t="n"/>
      <c r="G3480" s="57" t="n"/>
      <c r="H3480" s="56" t="n"/>
      <c r="I3480" s="56" t="n"/>
      <c r="J3480" s="58" t="n"/>
      <c r="K3480" s="58" t="n"/>
      <c r="L3480" s="13">
        <f>IF(OR($A3480="",AND($J3480="",$K3480="")),"",ROUND(N($J3480)-N($K3480),2))</f>
        <v/>
      </c>
      <c r="M3480" s="13">
        <f>IF(OR($A3480="",AND($J3480="",$K3480="")),"",MIN($J3480,$K3480))</f>
        <v/>
      </c>
      <c r="Q3480">
        <f>IF($A3480="","",$D3480&amp;"("&amp;SUBSTITUTE($E3480," ","")&amp;")")</f>
        <v/>
      </c>
      <c r="R3480">
        <f>IF($A3480="","",$B3480&amp;" - "&amp;$C3480)</f>
        <v/>
      </c>
      <c r="S3480">
        <f>IF($A3480="","",$R3480&amp;"|"&amp;$Q3480)</f>
        <v/>
      </c>
      <c r="T3480">
        <f>IF($A3480="","",$S3480&amp;"|"&amp;$F3480)</f>
        <v/>
      </c>
      <c r="U3480">
        <f>IF($A3480="","",$R3480&amp;"("&amp;$E3480&amp;")")</f>
        <v/>
      </c>
      <c r="V3480">
        <f>IF($A3480="","",$F3480&amp;"|"&amp;$U3480&amp;"|"&amp;$D3480)</f>
        <v/>
      </c>
      <c r="W3480">
        <f>IF($T3480="","",IF($X3480&gt;N($X3479),$X3480,""))</f>
        <v/>
      </c>
      <c r="X3480">
        <f>IF($T3480="",N($X3479),IF(MATCH($T3480,$T$6:$T$6005,0)=ROW()-5,N($X3479)+1,N($X3479)))</f>
        <v/>
      </c>
      <c r="Z3480">
        <f>IF($V3480="","",IF($AA3480&gt;N($AA3479),$AA3480,""))</f>
        <v/>
      </c>
      <c r="AA3480">
        <f>IF($V3480="",N($AA3479),IF(MATCH($V3480,$V$6:$V$6005,0)=ROW()-5,N($AA3479)+1,N($AA3479)))</f>
        <v/>
      </c>
    </row>
    <row r="3481" ht="21" customHeight="1" s="66">
      <c r="A3481" s="56" t="n"/>
      <c r="B3481" s="57" t="n"/>
      <c r="C3481" s="57" t="n"/>
      <c r="D3481" s="57" t="n"/>
      <c r="E3481" s="56" t="n"/>
      <c r="F3481" s="57" t="n"/>
      <c r="G3481" s="57" t="n"/>
      <c r="H3481" s="56" t="n"/>
      <c r="I3481" s="56" t="n"/>
      <c r="J3481" s="58" t="n"/>
      <c r="K3481" s="58" t="n"/>
      <c r="L3481" s="13">
        <f>IF(OR($A3481="",AND($J3481="",$K3481="")),"",ROUND(N($J3481)-N($K3481),2))</f>
        <v/>
      </c>
      <c r="M3481" s="13">
        <f>IF(OR($A3481="",AND($J3481="",$K3481="")),"",MIN($J3481,$K3481))</f>
        <v/>
      </c>
      <c r="Q3481">
        <f>IF($A3481="","",$D3481&amp;"("&amp;SUBSTITUTE($E3481," ","")&amp;")")</f>
        <v/>
      </c>
      <c r="R3481">
        <f>IF($A3481="","",$B3481&amp;" - "&amp;$C3481)</f>
        <v/>
      </c>
      <c r="S3481">
        <f>IF($A3481="","",$R3481&amp;"|"&amp;$Q3481)</f>
        <v/>
      </c>
      <c r="T3481">
        <f>IF($A3481="","",$S3481&amp;"|"&amp;$F3481)</f>
        <v/>
      </c>
      <c r="U3481">
        <f>IF($A3481="","",$R3481&amp;"("&amp;$E3481&amp;")")</f>
        <v/>
      </c>
      <c r="V3481">
        <f>IF($A3481="","",$F3481&amp;"|"&amp;$U3481&amp;"|"&amp;$D3481)</f>
        <v/>
      </c>
      <c r="W3481">
        <f>IF($T3481="","",IF($X3481&gt;N($X3480),$X3481,""))</f>
        <v/>
      </c>
      <c r="X3481">
        <f>IF($T3481="",N($X3480),IF(MATCH($T3481,$T$6:$T$6005,0)=ROW()-5,N($X3480)+1,N($X3480)))</f>
        <v/>
      </c>
      <c r="Z3481">
        <f>IF($V3481="","",IF($AA3481&gt;N($AA3480),$AA3481,""))</f>
        <v/>
      </c>
      <c r="AA3481">
        <f>IF($V3481="",N($AA3480),IF(MATCH($V3481,$V$6:$V$6005,0)=ROW()-5,N($AA3480)+1,N($AA3480)))</f>
        <v/>
      </c>
    </row>
    <row r="3482" ht="21" customHeight="1" s="66">
      <c r="A3482" s="56" t="n"/>
      <c r="B3482" s="57" t="n"/>
      <c r="C3482" s="57" t="n"/>
      <c r="D3482" s="57" t="n"/>
      <c r="E3482" s="56" t="n"/>
      <c r="F3482" s="57" t="n"/>
      <c r="G3482" s="57" t="n"/>
      <c r="H3482" s="56" t="n"/>
      <c r="I3482" s="56" t="n"/>
      <c r="J3482" s="58" t="n"/>
      <c r="K3482" s="58" t="n"/>
      <c r="L3482" s="13">
        <f>IF(OR($A3482="",AND($J3482="",$K3482="")),"",ROUND(N($J3482)-N($K3482),2))</f>
        <v/>
      </c>
      <c r="M3482" s="13">
        <f>IF(OR($A3482="",AND($J3482="",$K3482="")),"",MIN($J3482,$K3482))</f>
        <v/>
      </c>
      <c r="Q3482">
        <f>IF($A3482="","",$D3482&amp;"("&amp;SUBSTITUTE($E3482," ","")&amp;")")</f>
        <v/>
      </c>
      <c r="R3482">
        <f>IF($A3482="","",$B3482&amp;" - "&amp;$C3482)</f>
        <v/>
      </c>
      <c r="S3482">
        <f>IF($A3482="","",$R3482&amp;"|"&amp;$Q3482)</f>
        <v/>
      </c>
      <c r="T3482">
        <f>IF($A3482="","",$S3482&amp;"|"&amp;$F3482)</f>
        <v/>
      </c>
      <c r="U3482">
        <f>IF($A3482="","",$R3482&amp;"("&amp;$E3482&amp;")")</f>
        <v/>
      </c>
      <c r="V3482">
        <f>IF($A3482="","",$F3482&amp;"|"&amp;$U3482&amp;"|"&amp;$D3482)</f>
        <v/>
      </c>
      <c r="W3482">
        <f>IF($T3482="","",IF($X3482&gt;N($X3481),$X3482,""))</f>
        <v/>
      </c>
      <c r="X3482">
        <f>IF($T3482="",N($X3481),IF(MATCH($T3482,$T$6:$T$6005,0)=ROW()-5,N($X3481)+1,N($X3481)))</f>
        <v/>
      </c>
      <c r="Z3482">
        <f>IF($V3482="","",IF($AA3482&gt;N($AA3481),$AA3482,""))</f>
        <v/>
      </c>
      <c r="AA3482">
        <f>IF($V3482="",N($AA3481),IF(MATCH($V3482,$V$6:$V$6005,0)=ROW()-5,N($AA3481)+1,N($AA3481)))</f>
        <v/>
      </c>
    </row>
    <row r="3483" ht="21" customHeight="1" s="66">
      <c r="A3483" s="56" t="n"/>
      <c r="B3483" s="57" t="n"/>
      <c r="C3483" s="57" t="n"/>
      <c r="D3483" s="57" t="n"/>
      <c r="E3483" s="56" t="n"/>
      <c r="F3483" s="57" t="n"/>
      <c r="G3483" s="57" t="n"/>
      <c r="H3483" s="56" t="n"/>
      <c r="I3483" s="56" t="n"/>
      <c r="J3483" s="58" t="n"/>
      <c r="K3483" s="58" t="n"/>
      <c r="L3483" s="13">
        <f>IF(OR($A3483="",AND($J3483="",$K3483="")),"",ROUND(N($J3483)-N($K3483),2))</f>
        <v/>
      </c>
      <c r="M3483" s="13">
        <f>IF(OR($A3483="",AND($J3483="",$K3483="")),"",MIN($J3483,$K3483))</f>
        <v/>
      </c>
      <c r="Q3483">
        <f>IF($A3483="","",$D3483&amp;"("&amp;SUBSTITUTE($E3483," ","")&amp;")")</f>
        <v/>
      </c>
      <c r="R3483">
        <f>IF($A3483="","",$B3483&amp;" - "&amp;$C3483)</f>
        <v/>
      </c>
      <c r="S3483">
        <f>IF($A3483="","",$R3483&amp;"|"&amp;$Q3483)</f>
        <v/>
      </c>
      <c r="T3483">
        <f>IF($A3483="","",$S3483&amp;"|"&amp;$F3483)</f>
        <v/>
      </c>
      <c r="U3483">
        <f>IF($A3483="","",$R3483&amp;"("&amp;$E3483&amp;")")</f>
        <v/>
      </c>
      <c r="V3483">
        <f>IF($A3483="","",$F3483&amp;"|"&amp;$U3483&amp;"|"&amp;$D3483)</f>
        <v/>
      </c>
      <c r="W3483">
        <f>IF($T3483="","",IF($X3483&gt;N($X3482),$X3483,""))</f>
        <v/>
      </c>
      <c r="X3483">
        <f>IF($T3483="",N($X3482),IF(MATCH($T3483,$T$6:$T$6005,0)=ROW()-5,N($X3482)+1,N($X3482)))</f>
        <v/>
      </c>
      <c r="Z3483">
        <f>IF($V3483="","",IF($AA3483&gt;N($AA3482),$AA3483,""))</f>
        <v/>
      </c>
      <c r="AA3483">
        <f>IF($V3483="",N($AA3482),IF(MATCH($V3483,$V$6:$V$6005,0)=ROW()-5,N($AA3482)+1,N($AA3482)))</f>
        <v/>
      </c>
    </row>
    <row r="3484" ht="21" customHeight="1" s="66">
      <c r="A3484" s="56" t="n"/>
      <c r="B3484" s="57" t="n"/>
      <c r="C3484" s="57" t="n"/>
      <c r="D3484" s="57" t="n"/>
      <c r="E3484" s="56" t="n"/>
      <c r="F3484" s="57" t="n"/>
      <c r="G3484" s="57" t="n"/>
      <c r="H3484" s="56" t="n"/>
      <c r="I3484" s="56" t="n"/>
      <c r="J3484" s="58" t="n"/>
      <c r="K3484" s="58" t="n"/>
      <c r="L3484" s="13">
        <f>IF(OR($A3484="",AND($J3484="",$K3484="")),"",ROUND(N($J3484)-N($K3484),2))</f>
        <v/>
      </c>
      <c r="M3484" s="13">
        <f>IF(OR($A3484="",AND($J3484="",$K3484="")),"",MIN($J3484,$K3484))</f>
        <v/>
      </c>
      <c r="Q3484">
        <f>IF($A3484="","",$D3484&amp;"("&amp;SUBSTITUTE($E3484," ","")&amp;")")</f>
        <v/>
      </c>
      <c r="R3484">
        <f>IF($A3484="","",$B3484&amp;" - "&amp;$C3484)</f>
        <v/>
      </c>
      <c r="S3484">
        <f>IF($A3484="","",$R3484&amp;"|"&amp;$Q3484)</f>
        <v/>
      </c>
      <c r="T3484">
        <f>IF($A3484="","",$S3484&amp;"|"&amp;$F3484)</f>
        <v/>
      </c>
      <c r="U3484">
        <f>IF($A3484="","",$R3484&amp;"("&amp;$E3484&amp;")")</f>
        <v/>
      </c>
      <c r="V3484">
        <f>IF($A3484="","",$F3484&amp;"|"&amp;$U3484&amp;"|"&amp;$D3484)</f>
        <v/>
      </c>
      <c r="W3484">
        <f>IF($T3484="","",IF($X3484&gt;N($X3483),$X3484,""))</f>
        <v/>
      </c>
      <c r="X3484">
        <f>IF($T3484="",N($X3483),IF(MATCH($T3484,$T$6:$T$6005,0)=ROW()-5,N($X3483)+1,N($X3483)))</f>
        <v/>
      </c>
      <c r="Z3484">
        <f>IF($V3484="","",IF($AA3484&gt;N($AA3483),$AA3484,""))</f>
        <v/>
      </c>
      <c r="AA3484">
        <f>IF($V3484="",N($AA3483),IF(MATCH($V3484,$V$6:$V$6005,0)=ROW()-5,N($AA3483)+1,N($AA3483)))</f>
        <v/>
      </c>
    </row>
    <row r="3485" ht="21" customHeight="1" s="66">
      <c r="A3485" s="56" t="n"/>
      <c r="B3485" s="57" t="n"/>
      <c r="C3485" s="57" t="n"/>
      <c r="D3485" s="57" t="n"/>
      <c r="E3485" s="56" t="n"/>
      <c r="F3485" s="57" t="n"/>
      <c r="G3485" s="57" t="n"/>
      <c r="H3485" s="56" t="n"/>
      <c r="I3485" s="56" t="n"/>
      <c r="J3485" s="58" t="n"/>
      <c r="K3485" s="58" t="n"/>
      <c r="L3485" s="13">
        <f>IF(OR($A3485="",AND($J3485="",$K3485="")),"",ROUND(N($J3485)-N($K3485),2))</f>
        <v/>
      </c>
      <c r="M3485" s="13">
        <f>IF(OR($A3485="",AND($J3485="",$K3485="")),"",MIN($J3485,$K3485))</f>
        <v/>
      </c>
      <c r="Q3485">
        <f>IF($A3485="","",$D3485&amp;"("&amp;SUBSTITUTE($E3485," ","")&amp;")")</f>
        <v/>
      </c>
      <c r="R3485">
        <f>IF($A3485="","",$B3485&amp;" - "&amp;$C3485)</f>
        <v/>
      </c>
      <c r="S3485">
        <f>IF($A3485="","",$R3485&amp;"|"&amp;$Q3485)</f>
        <v/>
      </c>
      <c r="T3485">
        <f>IF($A3485="","",$S3485&amp;"|"&amp;$F3485)</f>
        <v/>
      </c>
      <c r="U3485">
        <f>IF($A3485="","",$R3485&amp;"("&amp;$E3485&amp;")")</f>
        <v/>
      </c>
      <c r="V3485">
        <f>IF($A3485="","",$F3485&amp;"|"&amp;$U3485&amp;"|"&amp;$D3485)</f>
        <v/>
      </c>
      <c r="W3485">
        <f>IF($T3485="","",IF($X3485&gt;N($X3484),$X3485,""))</f>
        <v/>
      </c>
      <c r="X3485">
        <f>IF($T3485="",N($X3484),IF(MATCH($T3485,$T$6:$T$6005,0)=ROW()-5,N($X3484)+1,N($X3484)))</f>
        <v/>
      </c>
      <c r="Z3485">
        <f>IF($V3485="","",IF($AA3485&gt;N($AA3484),$AA3485,""))</f>
        <v/>
      </c>
      <c r="AA3485">
        <f>IF($V3485="",N($AA3484),IF(MATCH($V3485,$V$6:$V$6005,0)=ROW()-5,N($AA3484)+1,N($AA3484)))</f>
        <v/>
      </c>
    </row>
    <row r="3486" ht="21" customHeight="1" s="66">
      <c r="A3486" s="56" t="n"/>
      <c r="B3486" s="57" t="n"/>
      <c r="C3486" s="57" t="n"/>
      <c r="D3486" s="57" t="n"/>
      <c r="E3486" s="56" t="n"/>
      <c r="F3486" s="57" t="n"/>
      <c r="G3486" s="57" t="n"/>
      <c r="H3486" s="56" t="n"/>
      <c r="I3486" s="56" t="n"/>
      <c r="J3486" s="58" t="n"/>
      <c r="K3486" s="58" t="n"/>
      <c r="L3486" s="13">
        <f>IF(OR($A3486="",AND($J3486="",$K3486="")),"",ROUND(N($J3486)-N($K3486),2))</f>
        <v/>
      </c>
      <c r="M3486" s="13">
        <f>IF(OR($A3486="",AND($J3486="",$K3486="")),"",MIN($J3486,$K3486))</f>
        <v/>
      </c>
      <c r="Q3486">
        <f>IF($A3486="","",$D3486&amp;"("&amp;SUBSTITUTE($E3486," ","")&amp;")")</f>
        <v/>
      </c>
      <c r="R3486">
        <f>IF($A3486="","",$B3486&amp;" - "&amp;$C3486)</f>
        <v/>
      </c>
      <c r="S3486">
        <f>IF($A3486="","",$R3486&amp;"|"&amp;$Q3486)</f>
        <v/>
      </c>
      <c r="T3486">
        <f>IF($A3486="","",$S3486&amp;"|"&amp;$F3486)</f>
        <v/>
      </c>
      <c r="U3486">
        <f>IF($A3486="","",$R3486&amp;"("&amp;$E3486&amp;")")</f>
        <v/>
      </c>
      <c r="V3486">
        <f>IF($A3486="","",$F3486&amp;"|"&amp;$U3486&amp;"|"&amp;$D3486)</f>
        <v/>
      </c>
      <c r="W3486">
        <f>IF($T3486="","",IF($X3486&gt;N($X3485),$X3486,""))</f>
        <v/>
      </c>
      <c r="X3486">
        <f>IF($T3486="",N($X3485),IF(MATCH($T3486,$T$6:$T$6005,0)=ROW()-5,N($X3485)+1,N($X3485)))</f>
        <v/>
      </c>
      <c r="Z3486">
        <f>IF($V3486="","",IF($AA3486&gt;N($AA3485),$AA3486,""))</f>
        <v/>
      </c>
      <c r="AA3486">
        <f>IF($V3486="",N($AA3485),IF(MATCH($V3486,$V$6:$V$6005,0)=ROW()-5,N($AA3485)+1,N($AA3485)))</f>
        <v/>
      </c>
    </row>
    <row r="3487" ht="21" customHeight="1" s="66">
      <c r="A3487" s="56" t="n"/>
      <c r="B3487" s="57" t="n"/>
      <c r="C3487" s="57" t="n"/>
      <c r="D3487" s="57" t="n"/>
      <c r="E3487" s="56" t="n"/>
      <c r="F3487" s="57" t="n"/>
      <c r="G3487" s="57" t="n"/>
      <c r="H3487" s="56" t="n"/>
      <c r="I3487" s="56" t="n"/>
      <c r="J3487" s="58" t="n"/>
      <c r="K3487" s="58" t="n"/>
      <c r="L3487" s="13">
        <f>IF(OR($A3487="",AND($J3487="",$K3487="")),"",ROUND(N($J3487)-N($K3487),2))</f>
        <v/>
      </c>
      <c r="M3487" s="13">
        <f>IF(OR($A3487="",AND($J3487="",$K3487="")),"",MIN($J3487,$K3487))</f>
        <v/>
      </c>
      <c r="Q3487">
        <f>IF($A3487="","",$D3487&amp;"("&amp;SUBSTITUTE($E3487," ","")&amp;")")</f>
        <v/>
      </c>
      <c r="R3487">
        <f>IF($A3487="","",$B3487&amp;" - "&amp;$C3487)</f>
        <v/>
      </c>
      <c r="S3487">
        <f>IF($A3487="","",$R3487&amp;"|"&amp;$Q3487)</f>
        <v/>
      </c>
      <c r="T3487">
        <f>IF($A3487="","",$S3487&amp;"|"&amp;$F3487)</f>
        <v/>
      </c>
      <c r="U3487">
        <f>IF($A3487="","",$R3487&amp;"("&amp;$E3487&amp;")")</f>
        <v/>
      </c>
      <c r="V3487">
        <f>IF($A3487="","",$F3487&amp;"|"&amp;$U3487&amp;"|"&amp;$D3487)</f>
        <v/>
      </c>
      <c r="W3487">
        <f>IF($T3487="","",IF($X3487&gt;N($X3486),$X3487,""))</f>
        <v/>
      </c>
      <c r="X3487">
        <f>IF($T3487="",N($X3486),IF(MATCH($T3487,$T$6:$T$6005,0)=ROW()-5,N($X3486)+1,N($X3486)))</f>
        <v/>
      </c>
      <c r="Z3487">
        <f>IF($V3487="","",IF($AA3487&gt;N($AA3486),$AA3487,""))</f>
        <v/>
      </c>
      <c r="AA3487">
        <f>IF($V3487="",N($AA3486),IF(MATCH($V3487,$V$6:$V$6005,0)=ROW()-5,N($AA3486)+1,N($AA3486)))</f>
        <v/>
      </c>
    </row>
    <row r="3488" ht="21" customHeight="1" s="66">
      <c r="A3488" s="56" t="n"/>
      <c r="B3488" s="57" t="n"/>
      <c r="C3488" s="57" t="n"/>
      <c r="D3488" s="57" t="n"/>
      <c r="E3488" s="56" t="n"/>
      <c r="F3488" s="57" t="n"/>
      <c r="G3488" s="57" t="n"/>
      <c r="H3488" s="56" t="n"/>
      <c r="I3488" s="56" t="n"/>
      <c r="J3488" s="58" t="n"/>
      <c r="K3488" s="58" t="n"/>
      <c r="L3488" s="13">
        <f>IF(OR($A3488="",AND($J3488="",$K3488="")),"",ROUND(N($J3488)-N($K3488),2))</f>
        <v/>
      </c>
      <c r="M3488" s="13">
        <f>IF(OR($A3488="",AND($J3488="",$K3488="")),"",MIN($J3488,$K3488))</f>
        <v/>
      </c>
      <c r="Q3488">
        <f>IF($A3488="","",$D3488&amp;"("&amp;SUBSTITUTE($E3488," ","")&amp;")")</f>
        <v/>
      </c>
      <c r="R3488">
        <f>IF($A3488="","",$B3488&amp;" - "&amp;$C3488)</f>
        <v/>
      </c>
      <c r="S3488">
        <f>IF($A3488="","",$R3488&amp;"|"&amp;$Q3488)</f>
        <v/>
      </c>
      <c r="T3488">
        <f>IF($A3488="","",$S3488&amp;"|"&amp;$F3488)</f>
        <v/>
      </c>
      <c r="U3488">
        <f>IF($A3488="","",$R3488&amp;"("&amp;$E3488&amp;")")</f>
        <v/>
      </c>
      <c r="V3488">
        <f>IF($A3488="","",$F3488&amp;"|"&amp;$U3488&amp;"|"&amp;$D3488)</f>
        <v/>
      </c>
      <c r="W3488">
        <f>IF($T3488="","",IF($X3488&gt;N($X3487),$X3488,""))</f>
        <v/>
      </c>
      <c r="X3488">
        <f>IF($T3488="",N($X3487),IF(MATCH($T3488,$T$6:$T$6005,0)=ROW()-5,N($X3487)+1,N($X3487)))</f>
        <v/>
      </c>
      <c r="Z3488">
        <f>IF($V3488="","",IF($AA3488&gt;N($AA3487),$AA3488,""))</f>
        <v/>
      </c>
      <c r="AA3488">
        <f>IF($V3488="",N($AA3487),IF(MATCH($V3488,$V$6:$V$6005,0)=ROW()-5,N($AA3487)+1,N($AA3487)))</f>
        <v/>
      </c>
    </row>
    <row r="3489" ht="21" customHeight="1" s="66">
      <c r="A3489" s="56" t="n"/>
      <c r="B3489" s="57" t="n"/>
      <c r="C3489" s="57" t="n"/>
      <c r="D3489" s="57" t="n"/>
      <c r="E3489" s="56" t="n"/>
      <c r="F3489" s="57" t="n"/>
      <c r="G3489" s="57" t="n"/>
      <c r="H3489" s="56" t="n"/>
      <c r="I3489" s="56" t="n"/>
      <c r="J3489" s="58" t="n"/>
      <c r="K3489" s="58" t="n"/>
      <c r="L3489" s="13">
        <f>IF(OR($A3489="",AND($J3489="",$K3489="")),"",ROUND(N($J3489)-N($K3489),2))</f>
        <v/>
      </c>
      <c r="M3489" s="13">
        <f>IF(OR($A3489="",AND($J3489="",$K3489="")),"",MIN($J3489,$K3489))</f>
        <v/>
      </c>
      <c r="Q3489">
        <f>IF($A3489="","",$D3489&amp;"("&amp;SUBSTITUTE($E3489," ","")&amp;")")</f>
        <v/>
      </c>
      <c r="R3489">
        <f>IF($A3489="","",$B3489&amp;" - "&amp;$C3489)</f>
        <v/>
      </c>
      <c r="S3489">
        <f>IF($A3489="","",$R3489&amp;"|"&amp;$Q3489)</f>
        <v/>
      </c>
      <c r="T3489">
        <f>IF($A3489="","",$S3489&amp;"|"&amp;$F3489)</f>
        <v/>
      </c>
      <c r="U3489">
        <f>IF($A3489="","",$R3489&amp;"("&amp;$E3489&amp;")")</f>
        <v/>
      </c>
      <c r="V3489">
        <f>IF($A3489="","",$F3489&amp;"|"&amp;$U3489&amp;"|"&amp;$D3489)</f>
        <v/>
      </c>
      <c r="W3489">
        <f>IF($T3489="","",IF($X3489&gt;N($X3488),$X3489,""))</f>
        <v/>
      </c>
      <c r="X3489">
        <f>IF($T3489="",N($X3488),IF(MATCH($T3489,$T$6:$T$6005,0)=ROW()-5,N($X3488)+1,N($X3488)))</f>
        <v/>
      </c>
      <c r="Z3489">
        <f>IF($V3489="","",IF($AA3489&gt;N($AA3488),$AA3489,""))</f>
        <v/>
      </c>
      <c r="AA3489">
        <f>IF($V3489="",N($AA3488),IF(MATCH($V3489,$V$6:$V$6005,0)=ROW()-5,N($AA3488)+1,N($AA3488)))</f>
        <v/>
      </c>
    </row>
    <row r="3490" ht="21" customHeight="1" s="66">
      <c r="A3490" s="56" t="n"/>
      <c r="B3490" s="57" t="n"/>
      <c r="C3490" s="57" t="n"/>
      <c r="D3490" s="57" t="n"/>
      <c r="E3490" s="56" t="n"/>
      <c r="F3490" s="57" t="n"/>
      <c r="G3490" s="57" t="n"/>
      <c r="H3490" s="56" t="n"/>
      <c r="I3490" s="56" t="n"/>
      <c r="J3490" s="58" t="n"/>
      <c r="K3490" s="58" t="n"/>
      <c r="L3490" s="13">
        <f>IF(OR($A3490="",AND($J3490="",$K3490="")),"",ROUND(N($J3490)-N($K3490),2))</f>
        <v/>
      </c>
      <c r="M3490" s="13">
        <f>IF(OR($A3490="",AND($J3490="",$K3490="")),"",MIN($J3490,$K3490))</f>
        <v/>
      </c>
      <c r="Q3490">
        <f>IF($A3490="","",$D3490&amp;"("&amp;SUBSTITUTE($E3490," ","")&amp;")")</f>
        <v/>
      </c>
      <c r="R3490">
        <f>IF($A3490="","",$B3490&amp;" - "&amp;$C3490)</f>
        <v/>
      </c>
      <c r="S3490">
        <f>IF($A3490="","",$R3490&amp;"|"&amp;$Q3490)</f>
        <v/>
      </c>
      <c r="T3490">
        <f>IF($A3490="","",$S3490&amp;"|"&amp;$F3490)</f>
        <v/>
      </c>
      <c r="U3490">
        <f>IF($A3490="","",$R3490&amp;"("&amp;$E3490&amp;")")</f>
        <v/>
      </c>
      <c r="V3490">
        <f>IF($A3490="","",$F3490&amp;"|"&amp;$U3490&amp;"|"&amp;$D3490)</f>
        <v/>
      </c>
      <c r="W3490">
        <f>IF($T3490="","",IF($X3490&gt;N($X3489),$X3490,""))</f>
        <v/>
      </c>
      <c r="X3490">
        <f>IF($T3490="",N($X3489),IF(MATCH($T3490,$T$6:$T$6005,0)=ROW()-5,N($X3489)+1,N($X3489)))</f>
        <v/>
      </c>
      <c r="Z3490">
        <f>IF($V3490="","",IF($AA3490&gt;N($AA3489),$AA3490,""))</f>
        <v/>
      </c>
      <c r="AA3490">
        <f>IF($V3490="",N($AA3489),IF(MATCH($V3490,$V$6:$V$6005,0)=ROW()-5,N($AA3489)+1,N($AA3489)))</f>
        <v/>
      </c>
    </row>
    <row r="3491" ht="21" customHeight="1" s="66">
      <c r="A3491" s="56" t="n"/>
      <c r="B3491" s="57" t="n"/>
      <c r="C3491" s="57" t="n"/>
      <c r="D3491" s="57" t="n"/>
      <c r="E3491" s="56" t="n"/>
      <c r="F3491" s="57" t="n"/>
      <c r="G3491" s="57" t="n"/>
      <c r="H3491" s="56" t="n"/>
      <c r="I3491" s="56" t="n"/>
      <c r="J3491" s="58" t="n"/>
      <c r="K3491" s="58" t="n"/>
      <c r="L3491" s="13">
        <f>IF(OR($A3491="",AND($J3491="",$K3491="")),"",ROUND(N($J3491)-N($K3491),2))</f>
        <v/>
      </c>
      <c r="M3491" s="13">
        <f>IF(OR($A3491="",AND($J3491="",$K3491="")),"",MIN($J3491,$K3491))</f>
        <v/>
      </c>
      <c r="Q3491">
        <f>IF($A3491="","",$D3491&amp;"("&amp;SUBSTITUTE($E3491," ","")&amp;")")</f>
        <v/>
      </c>
      <c r="R3491">
        <f>IF($A3491="","",$B3491&amp;" - "&amp;$C3491)</f>
        <v/>
      </c>
      <c r="S3491">
        <f>IF($A3491="","",$R3491&amp;"|"&amp;$Q3491)</f>
        <v/>
      </c>
      <c r="T3491">
        <f>IF($A3491="","",$S3491&amp;"|"&amp;$F3491)</f>
        <v/>
      </c>
      <c r="U3491">
        <f>IF($A3491="","",$R3491&amp;"("&amp;$E3491&amp;")")</f>
        <v/>
      </c>
      <c r="V3491">
        <f>IF($A3491="","",$F3491&amp;"|"&amp;$U3491&amp;"|"&amp;$D3491)</f>
        <v/>
      </c>
      <c r="W3491">
        <f>IF($T3491="","",IF($X3491&gt;N($X3490),$X3491,""))</f>
        <v/>
      </c>
      <c r="X3491">
        <f>IF($T3491="",N($X3490),IF(MATCH($T3491,$T$6:$T$6005,0)=ROW()-5,N($X3490)+1,N($X3490)))</f>
        <v/>
      </c>
      <c r="Z3491">
        <f>IF($V3491="","",IF($AA3491&gt;N($AA3490),$AA3491,""))</f>
        <v/>
      </c>
      <c r="AA3491">
        <f>IF($V3491="",N($AA3490),IF(MATCH($V3491,$V$6:$V$6005,0)=ROW()-5,N($AA3490)+1,N($AA3490)))</f>
        <v/>
      </c>
    </row>
    <row r="3492" ht="21" customHeight="1" s="66">
      <c r="A3492" s="56" t="n"/>
      <c r="B3492" s="57" t="n"/>
      <c r="C3492" s="57" t="n"/>
      <c r="D3492" s="57" t="n"/>
      <c r="E3492" s="56" t="n"/>
      <c r="F3492" s="57" t="n"/>
      <c r="G3492" s="57" t="n"/>
      <c r="H3492" s="56" t="n"/>
      <c r="I3492" s="56" t="n"/>
      <c r="J3492" s="58" t="n"/>
      <c r="K3492" s="58" t="n"/>
      <c r="L3492" s="13">
        <f>IF(OR($A3492="",AND($J3492="",$K3492="")),"",ROUND(N($J3492)-N($K3492),2))</f>
        <v/>
      </c>
      <c r="M3492" s="13">
        <f>IF(OR($A3492="",AND($J3492="",$K3492="")),"",MIN($J3492,$K3492))</f>
        <v/>
      </c>
      <c r="Q3492">
        <f>IF($A3492="","",$D3492&amp;"("&amp;SUBSTITUTE($E3492," ","")&amp;")")</f>
        <v/>
      </c>
      <c r="R3492">
        <f>IF($A3492="","",$B3492&amp;" - "&amp;$C3492)</f>
        <v/>
      </c>
      <c r="S3492">
        <f>IF($A3492="","",$R3492&amp;"|"&amp;$Q3492)</f>
        <v/>
      </c>
      <c r="T3492">
        <f>IF($A3492="","",$S3492&amp;"|"&amp;$F3492)</f>
        <v/>
      </c>
      <c r="U3492">
        <f>IF($A3492="","",$R3492&amp;"("&amp;$E3492&amp;")")</f>
        <v/>
      </c>
      <c r="V3492">
        <f>IF($A3492="","",$F3492&amp;"|"&amp;$U3492&amp;"|"&amp;$D3492)</f>
        <v/>
      </c>
      <c r="W3492">
        <f>IF($T3492="","",IF($X3492&gt;N($X3491),$X3492,""))</f>
        <v/>
      </c>
      <c r="X3492">
        <f>IF($T3492="",N($X3491),IF(MATCH($T3492,$T$6:$T$6005,0)=ROW()-5,N($X3491)+1,N($X3491)))</f>
        <v/>
      </c>
      <c r="Z3492">
        <f>IF($V3492="","",IF($AA3492&gt;N($AA3491),$AA3492,""))</f>
        <v/>
      </c>
      <c r="AA3492">
        <f>IF($V3492="",N($AA3491),IF(MATCH($V3492,$V$6:$V$6005,0)=ROW()-5,N($AA3491)+1,N($AA3491)))</f>
        <v/>
      </c>
    </row>
    <row r="3493" ht="21" customHeight="1" s="66">
      <c r="A3493" s="56" t="n"/>
      <c r="B3493" s="57" t="n"/>
      <c r="C3493" s="57" t="n"/>
      <c r="D3493" s="57" t="n"/>
      <c r="E3493" s="56" t="n"/>
      <c r="F3493" s="57" t="n"/>
      <c r="G3493" s="57" t="n"/>
      <c r="H3493" s="56" t="n"/>
      <c r="I3493" s="56" t="n"/>
      <c r="J3493" s="58" t="n"/>
      <c r="K3493" s="58" t="n"/>
      <c r="L3493" s="13">
        <f>IF(OR($A3493="",AND($J3493="",$K3493="")),"",ROUND(N($J3493)-N($K3493),2))</f>
        <v/>
      </c>
      <c r="M3493" s="13">
        <f>IF(OR($A3493="",AND($J3493="",$K3493="")),"",MIN($J3493,$K3493))</f>
        <v/>
      </c>
      <c r="Q3493">
        <f>IF($A3493="","",$D3493&amp;"("&amp;SUBSTITUTE($E3493," ","")&amp;")")</f>
        <v/>
      </c>
      <c r="R3493">
        <f>IF($A3493="","",$B3493&amp;" - "&amp;$C3493)</f>
        <v/>
      </c>
      <c r="S3493">
        <f>IF($A3493="","",$R3493&amp;"|"&amp;$Q3493)</f>
        <v/>
      </c>
      <c r="T3493">
        <f>IF($A3493="","",$S3493&amp;"|"&amp;$F3493)</f>
        <v/>
      </c>
      <c r="U3493">
        <f>IF($A3493="","",$R3493&amp;"("&amp;$E3493&amp;")")</f>
        <v/>
      </c>
      <c r="V3493">
        <f>IF($A3493="","",$F3493&amp;"|"&amp;$U3493&amp;"|"&amp;$D3493)</f>
        <v/>
      </c>
      <c r="W3493">
        <f>IF($T3493="","",IF($X3493&gt;N($X3492),$X3493,""))</f>
        <v/>
      </c>
      <c r="X3493">
        <f>IF($T3493="",N($X3492),IF(MATCH($T3493,$T$6:$T$6005,0)=ROW()-5,N($X3492)+1,N($X3492)))</f>
        <v/>
      </c>
      <c r="Z3493">
        <f>IF($V3493="","",IF($AA3493&gt;N($AA3492),$AA3493,""))</f>
        <v/>
      </c>
      <c r="AA3493">
        <f>IF($V3493="",N($AA3492),IF(MATCH($V3493,$V$6:$V$6005,0)=ROW()-5,N($AA3492)+1,N($AA3492)))</f>
        <v/>
      </c>
    </row>
    <row r="3494" ht="21" customHeight="1" s="66">
      <c r="A3494" s="56" t="n"/>
      <c r="B3494" s="57" t="n"/>
      <c r="C3494" s="57" t="n"/>
      <c r="D3494" s="57" t="n"/>
      <c r="E3494" s="56" t="n"/>
      <c r="F3494" s="57" t="n"/>
      <c r="G3494" s="57" t="n"/>
      <c r="H3494" s="56" t="n"/>
      <c r="I3494" s="56" t="n"/>
      <c r="J3494" s="58" t="n"/>
      <c r="K3494" s="58" t="n"/>
      <c r="L3494" s="13">
        <f>IF(OR($A3494="",AND($J3494="",$K3494="")),"",ROUND(N($J3494)-N($K3494),2))</f>
        <v/>
      </c>
      <c r="M3494" s="13">
        <f>IF(OR($A3494="",AND($J3494="",$K3494="")),"",MIN($J3494,$K3494))</f>
        <v/>
      </c>
      <c r="Q3494">
        <f>IF($A3494="","",$D3494&amp;"("&amp;SUBSTITUTE($E3494," ","")&amp;")")</f>
        <v/>
      </c>
      <c r="R3494">
        <f>IF($A3494="","",$B3494&amp;" - "&amp;$C3494)</f>
        <v/>
      </c>
      <c r="S3494">
        <f>IF($A3494="","",$R3494&amp;"|"&amp;$Q3494)</f>
        <v/>
      </c>
      <c r="T3494">
        <f>IF($A3494="","",$S3494&amp;"|"&amp;$F3494)</f>
        <v/>
      </c>
      <c r="U3494">
        <f>IF($A3494="","",$R3494&amp;"("&amp;$E3494&amp;")")</f>
        <v/>
      </c>
      <c r="V3494">
        <f>IF($A3494="","",$F3494&amp;"|"&amp;$U3494&amp;"|"&amp;$D3494)</f>
        <v/>
      </c>
      <c r="W3494">
        <f>IF($T3494="","",IF($X3494&gt;N($X3493),$X3494,""))</f>
        <v/>
      </c>
      <c r="X3494">
        <f>IF($T3494="",N($X3493),IF(MATCH($T3494,$T$6:$T$6005,0)=ROW()-5,N($X3493)+1,N($X3493)))</f>
        <v/>
      </c>
      <c r="Z3494">
        <f>IF($V3494="","",IF($AA3494&gt;N($AA3493),$AA3494,""))</f>
        <v/>
      </c>
      <c r="AA3494">
        <f>IF($V3494="",N($AA3493),IF(MATCH($V3494,$V$6:$V$6005,0)=ROW()-5,N($AA3493)+1,N($AA3493)))</f>
        <v/>
      </c>
    </row>
    <row r="3495" ht="21" customHeight="1" s="66">
      <c r="A3495" s="56" t="n"/>
      <c r="B3495" s="57" t="n"/>
      <c r="C3495" s="57" t="n"/>
      <c r="D3495" s="57" t="n"/>
      <c r="E3495" s="56" t="n"/>
      <c r="F3495" s="57" t="n"/>
      <c r="G3495" s="57" t="n"/>
      <c r="H3495" s="56" t="n"/>
      <c r="I3495" s="56" t="n"/>
      <c r="J3495" s="58" t="n"/>
      <c r="K3495" s="58" t="n"/>
      <c r="L3495" s="13">
        <f>IF(OR($A3495="",AND($J3495="",$K3495="")),"",ROUND(N($J3495)-N($K3495),2))</f>
        <v/>
      </c>
      <c r="M3495" s="13">
        <f>IF(OR($A3495="",AND($J3495="",$K3495="")),"",MIN($J3495,$K3495))</f>
        <v/>
      </c>
      <c r="Q3495">
        <f>IF($A3495="","",$D3495&amp;"("&amp;SUBSTITUTE($E3495," ","")&amp;")")</f>
        <v/>
      </c>
      <c r="R3495">
        <f>IF($A3495="","",$B3495&amp;" - "&amp;$C3495)</f>
        <v/>
      </c>
      <c r="S3495">
        <f>IF($A3495="","",$R3495&amp;"|"&amp;$Q3495)</f>
        <v/>
      </c>
      <c r="T3495">
        <f>IF($A3495="","",$S3495&amp;"|"&amp;$F3495)</f>
        <v/>
      </c>
      <c r="U3495">
        <f>IF($A3495="","",$R3495&amp;"("&amp;$E3495&amp;")")</f>
        <v/>
      </c>
      <c r="V3495">
        <f>IF($A3495="","",$F3495&amp;"|"&amp;$U3495&amp;"|"&amp;$D3495)</f>
        <v/>
      </c>
      <c r="W3495">
        <f>IF($T3495="","",IF($X3495&gt;N($X3494),$X3495,""))</f>
        <v/>
      </c>
      <c r="X3495">
        <f>IF($T3495="",N($X3494),IF(MATCH($T3495,$T$6:$T$6005,0)=ROW()-5,N($X3494)+1,N($X3494)))</f>
        <v/>
      </c>
      <c r="Z3495">
        <f>IF($V3495="","",IF($AA3495&gt;N($AA3494),$AA3495,""))</f>
        <v/>
      </c>
      <c r="AA3495">
        <f>IF($V3495="",N($AA3494),IF(MATCH($V3495,$V$6:$V$6005,0)=ROW()-5,N($AA3494)+1,N($AA3494)))</f>
        <v/>
      </c>
    </row>
    <row r="3496" ht="21" customHeight="1" s="66">
      <c r="A3496" s="56" t="n"/>
      <c r="B3496" s="57" t="n"/>
      <c r="C3496" s="57" t="n"/>
      <c r="D3496" s="57" t="n"/>
      <c r="E3496" s="56" t="n"/>
      <c r="F3496" s="57" t="n"/>
      <c r="G3496" s="57" t="n"/>
      <c r="H3496" s="56" t="n"/>
      <c r="I3496" s="56" t="n"/>
      <c r="J3496" s="58" t="n"/>
      <c r="K3496" s="58" t="n"/>
      <c r="L3496" s="13">
        <f>IF(OR($A3496="",AND($J3496="",$K3496="")),"",ROUND(N($J3496)-N($K3496),2))</f>
        <v/>
      </c>
      <c r="M3496" s="13">
        <f>IF(OR($A3496="",AND($J3496="",$K3496="")),"",MIN($J3496,$K3496))</f>
        <v/>
      </c>
      <c r="Q3496">
        <f>IF($A3496="","",$D3496&amp;"("&amp;SUBSTITUTE($E3496," ","")&amp;")")</f>
        <v/>
      </c>
      <c r="R3496">
        <f>IF($A3496="","",$B3496&amp;" - "&amp;$C3496)</f>
        <v/>
      </c>
      <c r="S3496">
        <f>IF($A3496="","",$R3496&amp;"|"&amp;$Q3496)</f>
        <v/>
      </c>
      <c r="T3496">
        <f>IF($A3496="","",$S3496&amp;"|"&amp;$F3496)</f>
        <v/>
      </c>
      <c r="U3496">
        <f>IF($A3496="","",$R3496&amp;"("&amp;$E3496&amp;")")</f>
        <v/>
      </c>
      <c r="V3496">
        <f>IF($A3496="","",$F3496&amp;"|"&amp;$U3496&amp;"|"&amp;$D3496)</f>
        <v/>
      </c>
      <c r="W3496">
        <f>IF($T3496="","",IF($X3496&gt;N($X3495),$X3496,""))</f>
        <v/>
      </c>
      <c r="X3496">
        <f>IF($T3496="",N($X3495),IF(MATCH($T3496,$T$6:$T$6005,0)=ROW()-5,N($X3495)+1,N($X3495)))</f>
        <v/>
      </c>
      <c r="Z3496">
        <f>IF($V3496="","",IF($AA3496&gt;N($AA3495),$AA3496,""))</f>
        <v/>
      </c>
      <c r="AA3496">
        <f>IF($V3496="",N($AA3495),IF(MATCH($V3496,$V$6:$V$6005,0)=ROW()-5,N($AA3495)+1,N($AA3495)))</f>
        <v/>
      </c>
    </row>
    <row r="3497" ht="21" customHeight="1" s="66">
      <c r="A3497" s="56" t="n"/>
      <c r="B3497" s="57" t="n"/>
      <c r="C3497" s="57" t="n"/>
      <c r="D3497" s="57" t="n"/>
      <c r="E3497" s="56" t="n"/>
      <c r="F3497" s="57" t="n"/>
      <c r="G3497" s="57" t="n"/>
      <c r="H3497" s="56" t="n"/>
      <c r="I3497" s="56" t="n"/>
      <c r="J3497" s="58" t="n"/>
      <c r="K3497" s="58" t="n"/>
      <c r="L3497" s="13">
        <f>IF(OR($A3497="",AND($J3497="",$K3497="")),"",ROUND(N($J3497)-N($K3497),2))</f>
        <v/>
      </c>
      <c r="M3497" s="13">
        <f>IF(OR($A3497="",AND($J3497="",$K3497="")),"",MIN($J3497,$K3497))</f>
        <v/>
      </c>
      <c r="Q3497">
        <f>IF($A3497="","",$D3497&amp;"("&amp;SUBSTITUTE($E3497," ","")&amp;")")</f>
        <v/>
      </c>
      <c r="R3497">
        <f>IF($A3497="","",$B3497&amp;" - "&amp;$C3497)</f>
        <v/>
      </c>
      <c r="S3497">
        <f>IF($A3497="","",$R3497&amp;"|"&amp;$Q3497)</f>
        <v/>
      </c>
      <c r="T3497">
        <f>IF($A3497="","",$S3497&amp;"|"&amp;$F3497)</f>
        <v/>
      </c>
      <c r="U3497">
        <f>IF($A3497="","",$R3497&amp;"("&amp;$E3497&amp;")")</f>
        <v/>
      </c>
      <c r="V3497">
        <f>IF($A3497="","",$F3497&amp;"|"&amp;$U3497&amp;"|"&amp;$D3497)</f>
        <v/>
      </c>
      <c r="W3497">
        <f>IF($T3497="","",IF($X3497&gt;N($X3496),$X3497,""))</f>
        <v/>
      </c>
      <c r="X3497">
        <f>IF($T3497="",N($X3496),IF(MATCH($T3497,$T$6:$T$6005,0)=ROW()-5,N($X3496)+1,N($X3496)))</f>
        <v/>
      </c>
      <c r="Z3497">
        <f>IF($V3497="","",IF($AA3497&gt;N($AA3496),$AA3497,""))</f>
        <v/>
      </c>
      <c r="AA3497">
        <f>IF($V3497="",N($AA3496),IF(MATCH($V3497,$V$6:$V$6005,0)=ROW()-5,N($AA3496)+1,N($AA3496)))</f>
        <v/>
      </c>
    </row>
    <row r="3498" ht="21" customHeight="1" s="66">
      <c r="A3498" s="56" t="n"/>
      <c r="B3498" s="57" t="n"/>
      <c r="C3498" s="57" t="n"/>
      <c r="D3498" s="57" t="n"/>
      <c r="E3498" s="56" t="n"/>
      <c r="F3498" s="57" t="n"/>
      <c r="G3498" s="57" t="n"/>
      <c r="H3498" s="56" t="n"/>
      <c r="I3498" s="56" t="n"/>
      <c r="J3498" s="58" t="n"/>
      <c r="K3498" s="58" t="n"/>
      <c r="L3498" s="13">
        <f>IF(OR($A3498="",AND($J3498="",$K3498="")),"",ROUND(N($J3498)-N($K3498),2))</f>
        <v/>
      </c>
      <c r="M3498" s="13">
        <f>IF(OR($A3498="",AND($J3498="",$K3498="")),"",MIN($J3498,$K3498))</f>
        <v/>
      </c>
      <c r="Q3498">
        <f>IF($A3498="","",$D3498&amp;"("&amp;SUBSTITUTE($E3498," ","")&amp;")")</f>
        <v/>
      </c>
      <c r="R3498">
        <f>IF($A3498="","",$B3498&amp;" - "&amp;$C3498)</f>
        <v/>
      </c>
      <c r="S3498">
        <f>IF($A3498="","",$R3498&amp;"|"&amp;$Q3498)</f>
        <v/>
      </c>
      <c r="T3498">
        <f>IF($A3498="","",$S3498&amp;"|"&amp;$F3498)</f>
        <v/>
      </c>
      <c r="U3498">
        <f>IF($A3498="","",$R3498&amp;"("&amp;$E3498&amp;")")</f>
        <v/>
      </c>
      <c r="V3498">
        <f>IF($A3498="","",$F3498&amp;"|"&amp;$U3498&amp;"|"&amp;$D3498)</f>
        <v/>
      </c>
      <c r="W3498">
        <f>IF($T3498="","",IF($X3498&gt;N($X3497),$X3498,""))</f>
        <v/>
      </c>
      <c r="X3498">
        <f>IF($T3498="",N($X3497),IF(MATCH($T3498,$T$6:$T$6005,0)=ROW()-5,N($X3497)+1,N($X3497)))</f>
        <v/>
      </c>
      <c r="Z3498">
        <f>IF($V3498="","",IF($AA3498&gt;N($AA3497),$AA3498,""))</f>
        <v/>
      </c>
      <c r="AA3498">
        <f>IF($V3498="",N($AA3497),IF(MATCH($V3498,$V$6:$V$6005,0)=ROW()-5,N($AA3497)+1,N($AA3497)))</f>
        <v/>
      </c>
    </row>
    <row r="3499" ht="21" customHeight="1" s="66">
      <c r="A3499" s="56" t="n"/>
      <c r="B3499" s="57" t="n"/>
      <c r="C3499" s="57" t="n"/>
      <c r="D3499" s="57" t="n"/>
      <c r="E3499" s="56" t="n"/>
      <c r="F3499" s="57" t="n"/>
      <c r="G3499" s="57" t="n"/>
      <c r="H3499" s="56" t="n"/>
      <c r="I3499" s="56" t="n"/>
      <c r="J3499" s="58" t="n"/>
      <c r="K3499" s="58" t="n"/>
      <c r="L3499" s="13">
        <f>IF(OR($A3499="",AND($J3499="",$K3499="")),"",ROUND(N($J3499)-N($K3499),2))</f>
        <v/>
      </c>
      <c r="M3499" s="13">
        <f>IF(OR($A3499="",AND($J3499="",$K3499="")),"",MIN($J3499,$K3499))</f>
        <v/>
      </c>
      <c r="Q3499">
        <f>IF($A3499="","",$D3499&amp;"("&amp;SUBSTITUTE($E3499," ","")&amp;")")</f>
        <v/>
      </c>
      <c r="R3499">
        <f>IF($A3499="","",$B3499&amp;" - "&amp;$C3499)</f>
        <v/>
      </c>
      <c r="S3499">
        <f>IF($A3499="","",$R3499&amp;"|"&amp;$Q3499)</f>
        <v/>
      </c>
      <c r="T3499">
        <f>IF($A3499="","",$S3499&amp;"|"&amp;$F3499)</f>
        <v/>
      </c>
      <c r="U3499">
        <f>IF($A3499="","",$R3499&amp;"("&amp;$E3499&amp;")")</f>
        <v/>
      </c>
      <c r="V3499">
        <f>IF($A3499="","",$F3499&amp;"|"&amp;$U3499&amp;"|"&amp;$D3499)</f>
        <v/>
      </c>
      <c r="W3499">
        <f>IF($T3499="","",IF($X3499&gt;N($X3498),$X3499,""))</f>
        <v/>
      </c>
      <c r="X3499">
        <f>IF($T3499="",N($X3498),IF(MATCH($T3499,$T$6:$T$6005,0)=ROW()-5,N($X3498)+1,N($X3498)))</f>
        <v/>
      </c>
      <c r="Z3499">
        <f>IF($V3499="","",IF($AA3499&gt;N($AA3498),$AA3499,""))</f>
        <v/>
      </c>
      <c r="AA3499">
        <f>IF($V3499="",N($AA3498),IF(MATCH($V3499,$V$6:$V$6005,0)=ROW()-5,N($AA3498)+1,N($AA3498)))</f>
        <v/>
      </c>
    </row>
    <row r="3500" ht="21" customHeight="1" s="66">
      <c r="A3500" s="56" t="n"/>
      <c r="B3500" s="57" t="n"/>
      <c r="C3500" s="57" t="n"/>
      <c r="D3500" s="57" t="n"/>
      <c r="E3500" s="56" t="n"/>
      <c r="F3500" s="57" t="n"/>
      <c r="G3500" s="57" t="n"/>
      <c r="H3500" s="56" t="n"/>
      <c r="I3500" s="56" t="n"/>
      <c r="J3500" s="58" t="n"/>
      <c r="K3500" s="58" t="n"/>
      <c r="L3500" s="13">
        <f>IF(OR($A3500="",AND($J3500="",$K3500="")),"",ROUND(N($J3500)-N($K3500),2))</f>
        <v/>
      </c>
      <c r="M3500" s="13">
        <f>IF(OR($A3500="",AND($J3500="",$K3500="")),"",MIN($J3500,$K3500))</f>
        <v/>
      </c>
      <c r="Q3500">
        <f>IF($A3500="","",$D3500&amp;"("&amp;SUBSTITUTE($E3500," ","")&amp;")")</f>
        <v/>
      </c>
      <c r="R3500">
        <f>IF($A3500="","",$B3500&amp;" - "&amp;$C3500)</f>
        <v/>
      </c>
      <c r="S3500">
        <f>IF($A3500="","",$R3500&amp;"|"&amp;$Q3500)</f>
        <v/>
      </c>
      <c r="T3500">
        <f>IF($A3500="","",$S3500&amp;"|"&amp;$F3500)</f>
        <v/>
      </c>
      <c r="U3500">
        <f>IF($A3500="","",$R3500&amp;"("&amp;$E3500&amp;")")</f>
        <v/>
      </c>
      <c r="V3500">
        <f>IF($A3500="","",$F3500&amp;"|"&amp;$U3500&amp;"|"&amp;$D3500)</f>
        <v/>
      </c>
      <c r="W3500">
        <f>IF($T3500="","",IF($X3500&gt;N($X3499),$X3500,""))</f>
        <v/>
      </c>
      <c r="X3500">
        <f>IF($T3500="",N($X3499),IF(MATCH($T3500,$T$6:$T$6005,0)=ROW()-5,N($X3499)+1,N($X3499)))</f>
        <v/>
      </c>
      <c r="Z3500">
        <f>IF($V3500="","",IF($AA3500&gt;N($AA3499),$AA3500,""))</f>
        <v/>
      </c>
      <c r="AA3500">
        <f>IF($V3500="",N($AA3499),IF(MATCH($V3500,$V$6:$V$6005,0)=ROW()-5,N($AA3499)+1,N($AA3499)))</f>
        <v/>
      </c>
    </row>
    <row r="3501" ht="21" customHeight="1" s="66">
      <c r="A3501" s="56" t="n"/>
      <c r="B3501" s="57" t="n"/>
      <c r="C3501" s="57" t="n"/>
      <c r="D3501" s="57" t="n"/>
      <c r="E3501" s="56" t="n"/>
      <c r="F3501" s="57" t="n"/>
      <c r="G3501" s="57" t="n"/>
      <c r="H3501" s="56" t="n"/>
      <c r="I3501" s="56" t="n"/>
      <c r="J3501" s="58" t="n"/>
      <c r="K3501" s="58" t="n"/>
      <c r="L3501" s="13">
        <f>IF(OR($A3501="",AND($J3501="",$K3501="")),"",ROUND(N($J3501)-N($K3501),2))</f>
        <v/>
      </c>
      <c r="M3501" s="13">
        <f>IF(OR($A3501="",AND($J3501="",$K3501="")),"",MIN($J3501,$K3501))</f>
        <v/>
      </c>
      <c r="Q3501">
        <f>IF($A3501="","",$D3501&amp;"("&amp;SUBSTITUTE($E3501," ","")&amp;")")</f>
        <v/>
      </c>
      <c r="R3501">
        <f>IF($A3501="","",$B3501&amp;" - "&amp;$C3501)</f>
        <v/>
      </c>
      <c r="S3501">
        <f>IF($A3501="","",$R3501&amp;"|"&amp;$Q3501)</f>
        <v/>
      </c>
      <c r="T3501">
        <f>IF($A3501="","",$S3501&amp;"|"&amp;$F3501)</f>
        <v/>
      </c>
      <c r="U3501">
        <f>IF($A3501="","",$R3501&amp;"("&amp;$E3501&amp;")")</f>
        <v/>
      </c>
      <c r="V3501">
        <f>IF($A3501="","",$F3501&amp;"|"&amp;$U3501&amp;"|"&amp;$D3501)</f>
        <v/>
      </c>
      <c r="W3501">
        <f>IF($T3501="","",IF($X3501&gt;N($X3500),$X3501,""))</f>
        <v/>
      </c>
      <c r="X3501">
        <f>IF($T3501="",N($X3500),IF(MATCH($T3501,$T$6:$T$6005,0)=ROW()-5,N($X3500)+1,N($X3500)))</f>
        <v/>
      </c>
      <c r="Z3501">
        <f>IF($V3501="","",IF($AA3501&gt;N($AA3500),$AA3501,""))</f>
        <v/>
      </c>
      <c r="AA3501">
        <f>IF($V3501="",N($AA3500),IF(MATCH($V3501,$V$6:$V$6005,0)=ROW()-5,N($AA3500)+1,N($AA3500)))</f>
        <v/>
      </c>
    </row>
    <row r="3502" ht="21" customHeight="1" s="66">
      <c r="A3502" s="56" t="n"/>
      <c r="B3502" s="57" t="n"/>
      <c r="C3502" s="57" t="n"/>
      <c r="D3502" s="57" t="n"/>
      <c r="E3502" s="56" t="n"/>
      <c r="F3502" s="57" t="n"/>
      <c r="G3502" s="57" t="n"/>
      <c r="H3502" s="56" t="n"/>
      <c r="I3502" s="56" t="n"/>
      <c r="J3502" s="58" t="n"/>
      <c r="K3502" s="58" t="n"/>
      <c r="L3502" s="13">
        <f>IF(OR($A3502="",AND($J3502="",$K3502="")),"",ROUND(N($J3502)-N($K3502),2))</f>
        <v/>
      </c>
      <c r="M3502" s="13">
        <f>IF(OR($A3502="",AND($J3502="",$K3502="")),"",MIN($J3502,$K3502))</f>
        <v/>
      </c>
      <c r="Q3502">
        <f>IF($A3502="","",$D3502&amp;"("&amp;SUBSTITUTE($E3502," ","")&amp;")")</f>
        <v/>
      </c>
      <c r="R3502">
        <f>IF($A3502="","",$B3502&amp;" - "&amp;$C3502)</f>
        <v/>
      </c>
      <c r="S3502">
        <f>IF($A3502="","",$R3502&amp;"|"&amp;$Q3502)</f>
        <v/>
      </c>
      <c r="T3502">
        <f>IF($A3502="","",$S3502&amp;"|"&amp;$F3502)</f>
        <v/>
      </c>
      <c r="U3502">
        <f>IF($A3502="","",$R3502&amp;"("&amp;$E3502&amp;")")</f>
        <v/>
      </c>
      <c r="V3502">
        <f>IF($A3502="","",$F3502&amp;"|"&amp;$U3502&amp;"|"&amp;$D3502)</f>
        <v/>
      </c>
      <c r="W3502">
        <f>IF($T3502="","",IF($X3502&gt;N($X3501),$X3502,""))</f>
        <v/>
      </c>
      <c r="X3502">
        <f>IF($T3502="",N($X3501),IF(MATCH($T3502,$T$6:$T$6005,0)=ROW()-5,N($X3501)+1,N($X3501)))</f>
        <v/>
      </c>
      <c r="Z3502">
        <f>IF($V3502="","",IF($AA3502&gt;N($AA3501),$AA3502,""))</f>
        <v/>
      </c>
      <c r="AA3502">
        <f>IF($V3502="",N($AA3501),IF(MATCH($V3502,$V$6:$V$6005,0)=ROW()-5,N($AA3501)+1,N($AA3501)))</f>
        <v/>
      </c>
    </row>
    <row r="3503" ht="21" customHeight="1" s="66">
      <c r="A3503" s="56" t="n"/>
      <c r="B3503" s="57" t="n"/>
      <c r="C3503" s="57" t="n"/>
      <c r="D3503" s="57" t="n"/>
      <c r="E3503" s="56" t="n"/>
      <c r="F3503" s="57" t="n"/>
      <c r="G3503" s="57" t="n"/>
      <c r="H3503" s="56" t="n"/>
      <c r="I3503" s="56" t="n"/>
      <c r="J3503" s="58" t="n"/>
      <c r="K3503" s="58" t="n"/>
      <c r="L3503" s="13">
        <f>IF(OR($A3503="",AND($J3503="",$K3503="")),"",ROUND(N($J3503)-N($K3503),2))</f>
        <v/>
      </c>
      <c r="M3503" s="13">
        <f>IF(OR($A3503="",AND($J3503="",$K3503="")),"",MIN($J3503,$K3503))</f>
        <v/>
      </c>
      <c r="Q3503">
        <f>IF($A3503="","",$D3503&amp;"("&amp;SUBSTITUTE($E3503," ","")&amp;")")</f>
        <v/>
      </c>
      <c r="R3503">
        <f>IF($A3503="","",$B3503&amp;" - "&amp;$C3503)</f>
        <v/>
      </c>
      <c r="S3503">
        <f>IF($A3503="","",$R3503&amp;"|"&amp;$Q3503)</f>
        <v/>
      </c>
      <c r="T3503">
        <f>IF($A3503="","",$S3503&amp;"|"&amp;$F3503)</f>
        <v/>
      </c>
      <c r="U3503">
        <f>IF($A3503="","",$R3503&amp;"("&amp;$E3503&amp;")")</f>
        <v/>
      </c>
      <c r="V3503">
        <f>IF($A3503="","",$F3503&amp;"|"&amp;$U3503&amp;"|"&amp;$D3503)</f>
        <v/>
      </c>
      <c r="W3503">
        <f>IF($T3503="","",IF($X3503&gt;N($X3502),$X3503,""))</f>
        <v/>
      </c>
      <c r="X3503">
        <f>IF($T3503="",N($X3502),IF(MATCH($T3503,$T$6:$T$6005,0)=ROW()-5,N($X3502)+1,N($X3502)))</f>
        <v/>
      </c>
      <c r="Z3503">
        <f>IF($V3503="","",IF($AA3503&gt;N($AA3502),$AA3503,""))</f>
        <v/>
      </c>
      <c r="AA3503">
        <f>IF($V3503="",N($AA3502),IF(MATCH($V3503,$V$6:$V$6005,0)=ROW()-5,N($AA3502)+1,N($AA3502)))</f>
        <v/>
      </c>
    </row>
    <row r="3504" ht="21" customHeight="1" s="66">
      <c r="A3504" s="56" t="n"/>
      <c r="B3504" s="57" t="n"/>
      <c r="C3504" s="57" t="n"/>
      <c r="D3504" s="57" t="n"/>
      <c r="E3504" s="56" t="n"/>
      <c r="F3504" s="57" t="n"/>
      <c r="G3504" s="57" t="n"/>
      <c r="H3504" s="56" t="n"/>
      <c r="I3504" s="56" t="n"/>
      <c r="J3504" s="58" t="n"/>
      <c r="K3504" s="58" t="n"/>
      <c r="L3504" s="13">
        <f>IF(OR($A3504="",AND($J3504="",$K3504="")),"",ROUND(N($J3504)-N($K3504),2))</f>
        <v/>
      </c>
      <c r="M3504" s="13">
        <f>IF(OR($A3504="",AND($J3504="",$K3504="")),"",MIN($J3504,$K3504))</f>
        <v/>
      </c>
      <c r="Q3504">
        <f>IF($A3504="","",$D3504&amp;"("&amp;SUBSTITUTE($E3504," ","")&amp;")")</f>
        <v/>
      </c>
      <c r="R3504">
        <f>IF($A3504="","",$B3504&amp;" - "&amp;$C3504)</f>
        <v/>
      </c>
      <c r="S3504">
        <f>IF($A3504="","",$R3504&amp;"|"&amp;$Q3504)</f>
        <v/>
      </c>
      <c r="T3504">
        <f>IF($A3504="","",$S3504&amp;"|"&amp;$F3504)</f>
        <v/>
      </c>
      <c r="U3504">
        <f>IF($A3504="","",$R3504&amp;"("&amp;$E3504&amp;")")</f>
        <v/>
      </c>
      <c r="V3504">
        <f>IF($A3504="","",$F3504&amp;"|"&amp;$U3504&amp;"|"&amp;$D3504)</f>
        <v/>
      </c>
      <c r="W3504">
        <f>IF($T3504="","",IF($X3504&gt;N($X3503),$X3504,""))</f>
        <v/>
      </c>
      <c r="X3504">
        <f>IF($T3504="",N($X3503),IF(MATCH($T3504,$T$6:$T$6005,0)=ROW()-5,N($X3503)+1,N($X3503)))</f>
        <v/>
      </c>
      <c r="Z3504">
        <f>IF($V3504="","",IF($AA3504&gt;N($AA3503),$AA3504,""))</f>
        <v/>
      </c>
      <c r="AA3504">
        <f>IF($V3504="",N($AA3503),IF(MATCH($V3504,$V$6:$V$6005,0)=ROW()-5,N($AA3503)+1,N($AA3503)))</f>
        <v/>
      </c>
    </row>
    <row r="3505" ht="21" customHeight="1" s="66">
      <c r="A3505" s="56" t="n"/>
      <c r="B3505" s="57" t="n"/>
      <c r="C3505" s="57" t="n"/>
      <c r="D3505" s="57" t="n"/>
      <c r="E3505" s="56" t="n"/>
      <c r="F3505" s="57" t="n"/>
      <c r="G3505" s="57" t="n"/>
      <c r="H3505" s="56" t="n"/>
      <c r="I3505" s="56" t="n"/>
      <c r="J3505" s="58" t="n"/>
      <c r="K3505" s="58" t="n"/>
      <c r="L3505" s="13">
        <f>IF(OR($A3505="",AND($J3505="",$K3505="")),"",ROUND(N($J3505)-N($K3505),2))</f>
        <v/>
      </c>
      <c r="M3505" s="13">
        <f>IF(OR($A3505="",AND($J3505="",$K3505="")),"",MIN($J3505,$K3505))</f>
        <v/>
      </c>
      <c r="Q3505">
        <f>IF($A3505="","",$D3505&amp;"("&amp;SUBSTITUTE($E3505," ","")&amp;")")</f>
        <v/>
      </c>
      <c r="R3505">
        <f>IF($A3505="","",$B3505&amp;" - "&amp;$C3505)</f>
        <v/>
      </c>
      <c r="S3505">
        <f>IF($A3505="","",$R3505&amp;"|"&amp;$Q3505)</f>
        <v/>
      </c>
      <c r="T3505">
        <f>IF($A3505="","",$S3505&amp;"|"&amp;$F3505)</f>
        <v/>
      </c>
      <c r="U3505">
        <f>IF($A3505="","",$R3505&amp;"("&amp;$E3505&amp;")")</f>
        <v/>
      </c>
      <c r="V3505">
        <f>IF($A3505="","",$F3505&amp;"|"&amp;$U3505&amp;"|"&amp;$D3505)</f>
        <v/>
      </c>
      <c r="W3505">
        <f>IF($T3505="","",IF($X3505&gt;N($X3504),$X3505,""))</f>
        <v/>
      </c>
      <c r="X3505">
        <f>IF($T3505="",N($X3504),IF(MATCH($T3505,$T$6:$T$6005,0)=ROW()-5,N($X3504)+1,N($X3504)))</f>
        <v/>
      </c>
      <c r="Z3505">
        <f>IF($V3505="","",IF($AA3505&gt;N($AA3504),$AA3505,""))</f>
        <v/>
      </c>
      <c r="AA3505">
        <f>IF($V3505="",N($AA3504),IF(MATCH($V3505,$V$6:$V$6005,0)=ROW()-5,N($AA3504)+1,N($AA3504)))</f>
        <v/>
      </c>
    </row>
    <row r="3506" ht="21" customHeight="1" s="66">
      <c r="A3506" s="56" t="n"/>
      <c r="B3506" s="57" t="n"/>
      <c r="C3506" s="57" t="n"/>
      <c r="D3506" s="57" t="n"/>
      <c r="E3506" s="56" t="n"/>
      <c r="F3506" s="57" t="n"/>
      <c r="G3506" s="57" t="n"/>
      <c r="H3506" s="56" t="n"/>
      <c r="I3506" s="56" t="n"/>
      <c r="J3506" s="58" t="n"/>
      <c r="K3506" s="58" t="n"/>
      <c r="L3506" s="13">
        <f>IF(OR($A3506="",AND($J3506="",$K3506="")),"",ROUND(N($J3506)-N($K3506),2))</f>
        <v/>
      </c>
      <c r="M3506" s="13">
        <f>IF(OR($A3506="",AND($J3506="",$K3506="")),"",MIN($J3506,$K3506))</f>
        <v/>
      </c>
      <c r="Q3506">
        <f>IF($A3506="","",$D3506&amp;"("&amp;SUBSTITUTE($E3506," ","")&amp;")")</f>
        <v/>
      </c>
      <c r="R3506">
        <f>IF($A3506="","",$B3506&amp;" - "&amp;$C3506)</f>
        <v/>
      </c>
      <c r="S3506">
        <f>IF($A3506="","",$R3506&amp;"|"&amp;$Q3506)</f>
        <v/>
      </c>
      <c r="T3506">
        <f>IF($A3506="","",$S3506&amp;"|"&amp;$F3506)</f>
        <v/>
      </c>
      <c r="U3506">
        <f>IF($A3506="","",$R3506&amp;"("&amp;$E3506&amp;")")</f>
        <v/>
      </c>
      <c r="V3506">
        <f>IF($A3506="","",$F3506&amp;"|"&amp;$U3506&amp;"|"&amp;$D3506)</f>
        <v/>
      </c>
      <c r="W3506">
        <f>IF($T3506="","",IF($X3506&gt;N($X3505),$X3506,""))</f>
        <v/>
      </c>
      <c r="X3506">
        <f>IF($T3506="",N($X3505),IF(MATCH($T3506,$T$6:$T$6005,0)=ROW()-5,N($X3505)+1,N($X3505)))</f>
        <v/>
      </c>
      <c r="Z3506">
        <f>IF($V3506="","",IF($AA3506&gt;N($AA3505),$AA3506,""))</f>
        <v/>
      </c>
      <c r="AA3506">
        <f>IF($V3506="",N($AA3505),IF(MATCH($V3506,$V$6:$V$6005,0)=ROW()-5,N($AA3505)+1,N($AA3505)))</f>
        <v/>
      </c>
    </row>
    <row r="3507" ht="21" customHeight="1" s="66">
      <c r="A3507" s="56" t="n"/>
      <c r="B3507" s="57" t="n"/>
      <c r="C3507" s="57" t="n"/>
      <c r="D3507" s="57" t="n"/>
      <c r="E3507" s="56" t="n"/>
      <c r="F3507" s="57" t="n"/>
      <c r="G3507" s="57" t="n"/>
      <c r="H3507" s="56" t="n"/>
      <c r="I3507" s="56" t="n"/>
      <c r="J3507" s="58" t="n"/>
      <c r="K3507" s="58" t="n"/>
      <c r="L3507" s="13">
        <f>IF(OR($A3507="",AND($J3507="",$K3507="")),"",ROUND(N($J3507)-N($K3507),2))</f>
        <v/>
      </c>
      <c r="M3507" s="13">
        <f>IF(OR($A3507="",AND($J3507="",$K3507="")),"",MIN($J3507,$K3507))</f>
        <v/>
      </c>
      <c r="Q3507">
        <f>IF($A3507="","",$D3507&amp;"("&amp;SUBSTITUTE($E3507," ","")&amp;")")</f>
        <v/>
      </c>
      <c r="R3507">
        <f>IF($A3507="","",$B3507&amp;" - "&amp;$C3507)</f>
        <v/>
      </c>
      <c r="S3507">
        <f>IF($A3507="","",$R3507&amp;"|"&amp;$Q3507)</f>
        <v/>
      </c>
      <c r="T3507">
        <f>IF($A3507="","",$S3507&amp;"|"&amp;$F3507)</f>
        <v/>
      </c>
      <c r="U3507">
        <f>IF($A3507="","",$R3507&amp;"("&amp;$E3507&amp;")")</f>
        <v/>
      </c>
      <c r="V3507">
        <f>IF($A3507="","",$F3507&amp;"|"&amp;$U3507&amp;"|"&amp;$D3507)</f>
        <v/>
      </c>
      <c r="W3507">
        <f>IF($T3507="","",IF($X3507&gt;N($X3506),$X3507,""))</f>
        <v/>
      </c>
      <c r="X3507">
        <f>IF($T3507="",N($X3506),IF(MATCH($T3507,$T$6:$T$6005,0)=ROW()-5,N($X3506)+1,N($X3506)))</f>
        <v/>
      </c>
      <c r="Z3507">
        <f>IF($V3507="","",IF($AA3507&gt;N($AA3506),$AA3507,""))</f>
        <v/>
      </c>
      <c r="AA3507">
        <f>IF($V3507="",N($AA3506),IF(MATCH($V3507,$V$6:$V$6005,0)=ROW()-5,N($AA3506)+1,N($AA3506)))</f>
        <v/>
      </c>
    </row>
    <row r="3508" ht="21" customHeight="1" s="66">
      <c r="A3508" s="56" t="n"/>
      <c r="B3508" s="57" t="n"/>
      <c r="C3508" s="57" t="n"/>
      <c r="D3508" s="57" t="n"/>
      <c r="E3508" s="56" t="n"/>
      <c r="F3508" s="57" t="n"/>
      <c r="G3508" s="57" t="n"/>
      <c r="H3508" s="56" t="n"/>
      <c r="I3508" s="56" t="n"/>
      <c r="J3508" s="58" t="n"/>
      <c r="K3508" s="58" t="n"/>
      <c r="L3508" s="13">
        <f>IF(OR($A3508="",AND($J3508="",$K3508="")),"",ROUND(N($J3508)-N($K3508),2))</f>
        <v/>
      </c>
      <c r="M3508" s="13">
        <f>IF(OR($A3508="",AND($J3508="",$K3508="")),"",MIN($J3508,$K3508))</f>
        <v/>
      </c>
      <c r="Q3508">
        <f>IF($A3508="","",$D3508&amp;"("&amp;SUBSTITUTE($E3508," ","")&amp;")")</f>
        <v/>
      </c>
      <c r="R3508">
        <f>IF($A3508="","",$B3508&amp;" - "&amp;$C3508)</f>
        <v/>
      </c>
      <c r="S3508">
        <f>IF($A3508="","",$R3508&amp;"|"&amp;$Q3508)</f>
        <v/>
      </c>
      <c r="T3508">
        <f>IF($A3508="","",$S3508&amp;"|"&amp;$F3508)</f>
        <v/>
      </c>
      <c r="U3508">
        <f>IF($A3508="","",$R3508&amp;"("&amp;$E3508&amp;")")</f>
        <v/>
      </c>
      <c r="V3508">
        <f>IF($A3508="","",$F3508&amp;"|"&amp;$U3508&amp;"|"&amp;$D3508)</f>
        <v/>
      </c>
      <c r="W3508">
        <f>IF($T3508="","",IF($X3508&gt;N($X3507),$X3508,""))</f>
        <v/>
      </c>
      <c r="X3508">
        <f>IF($T3508="",N($X3507),IF(MATCH($T3508,$T$6:$T$6005,0)=ROW()-5,N($X3507)+1,N($X3507)))</f>
        <v/>
      </c>
      <c r="Z3508">
        <f>IF($V3508="","",IF($AA3508&gt;N($AA3507),$AA3508,""))</f>
        <v/>
      </c>
      <c r="AA3508">
        <f>IF($V3508="",N($AA3507),IF(MATCH($V3508,$V$6:$V$6005,0)=ROW()-5,N($AA3507)+1,N($AA3507)))</f>
        <v/>
      </c>
    </row>
    <row r="3509" ht="21" customHeight="1" s="66">
      <c r="A3509" s="56" t="n"/>
      <c r="B3509" s="57" t="n"/>
      <c r="C3509" s="57" t="n"/>
      <c r="D3509" s="57" t="n"/>
      <c r="E3509" s="56" t="n"/>
      <c r="F3509" s="57" t="n"/>
      <c r="G3509" s="57" t="n"/>
      <c r="H3509" s="56" t="n"/>
      <c r="I3509" s="56" t="n"/>
      <c r="J3509" s="58" t="n"/>
      <c r="K3509" s="58" t="n"/>
      <c r="L3509" s="13">
        <f>IF(OR($A3509="",AND($J3509="",$K3509="")),"",ROUND(N($J3509)-N($K3509),2))</f>
        <v/>
      </c>
      <c r="M3509" s="13">
        <f>IF(OR($A3509="",AND($J3509="",$K3509="")),"",MIN($J3509,$K3509))</f>
        <v/>
      </c>
      <c r="Q3509">
        <f>IF($A3509="","",$D3509&amp;"("&amp;SUBSTITUTE($E3509," ","")&amp;")")</f>
        <v/>
      </c>
      <c r="R3509">
        <f>IF($A3509="","",$B3509&amp;" - "&amp;$C3509)</f>
        <v/>
      </c>
      <c r="S3509">
        <f>IF($A3509="","",$R3509&amp;"|"&amp;$Q3509)</f>
        <v/>
      </c>
      <c r="T3509">
        <f>IF($A3509="","",$S3509&amp;"|"&amp;$F3509)</f>
        <v/>
      </c>
      <c r="U3509">
        <f>IF($A3509="","",$R3509&amp;"("&amp;$E3509&amp;")")</f>
        <v/>
      </c>
      <c r="V3509">
        <f>IF($A3509="","",$F3509&amp;"|"&amp;$U3509&amp;"|"&amp;$D3509)</f>
        <v/>
      </c>
      <c r="W3509">
        <f>IF($T3509="","",IF($X3509&gt;N($X3508),$X3509,""))</f>
        <v/>
      </c>
      <c r="X3509">
        <f>IF($T3509="",N($X3508),IF(MATCH($T3509,$T$6:$T$6005,0)=ROW()-5,N($X3508)+1,N($X3508)))</f>
        <v/>
      </c>
      <c r="Z3509">
        <f>IF($V3509="","",IF($AA3509&gt;N($AA3508),$AA3509,""))</f>
        <v/>
      </c>
      <c r="AA3509">
        <f>IF($V3509="",N($AA3508),IF(MATCH($V3509,$V$6:$V$6005,0)=ROW()-5,N($AA3508)+1,N($AA3508)))</f>
        <v/>
      </c>
    </row>
    <row r="3510" ht="21" customHeight="1" s="66">
      <c r="A3510" s="56" t="n"/>
      <c r="B3510" s="57" t="n"/>
      <c r="C3510" s="57" t="n"/>
      <c r="D3510" s="57" t="n"/>
      <c r="E3510" s="56" t="n"/>
      <c r="F3510" s="57" t="n"/>
      <c r="G3510" s="57" t="n"/>
      <c r="H3510" s="56" t="n"/>
      <c r="I3510" s="56" t="n"/>
      <c r="J3510" s="58" t="n"/>
      <c r="K3510" s="58" t="n"/>
      <c r="L3510" s="13">
        <f>IF(OR($A3510="",AND($J3510="",$K3510="")),"",ROUND(N($J3510)-N($K3510),2))</f>
        <v/>
      </c>
      <c r="M3510" s="13">
        <f>IF(OR($A3510="",AND($J3510="",$K3510="")),"",MIN($J3510,$K3510))</f>
        <v/>
      </c>
      <c r="Q3510">
        <f>IF($A3510="","",$D3510&amp;"("&amp;SUBSTITUTE($E3510," ","")&amp;")")</f>
        <v/>
      </c>
      <c r="R3510">
        <f>IF($A3510="","",$B3510&amp;" - "&amp;$C3510)</f>
        <v/>
      </c>
      <c r="S3510">
        <f>IF($A3510="","",$R3510&amp;"|"&amp;$Q3510)</f>
        <v/>
      </c>
      <c r="T3510">
        <f>IF($A3510="","",$S3510&amp;"|"&amp;$F3510)</f>
        <v/>
      </c>
      <c r="U3510">
        <f>IF($A3510="","",$R3510&amp;"("&amp;$E3510&amp;")")</f>
        <v/>
      </c>
      <c r="V3510">
        <f>IF($A3510="","",$F3510&amp;"|"&amp;$U3510&amp;"|"&amp;$D3510)</f>
        <v/>
      </c>
      <c r="W3510">
        <f>IF($T3510="","",IF($X3510&gt;N($X3509),$X3510,""))</f>
        <v/>
      </c>
      <c r="X3510">
        <f>IF($T3510="",N($X3509),IF(MATCH($T3510,$T$6:$T$6005,0)=ROW()-5,N($X3509)+1,N($X3509)))</f>
        <v/>
      </c>
      <c r="Z3510">
        <f>IF($V3510="","",IF($AA3510&gt;N($AA3509),$AA3510,""))</f>
        <v/>
      </c>
      <c r="AA3510">
        <f>IF($V3510="",N($AA3509),IF(MATCH($V3510,$V$6:$V$6005,0)=ROW()-5,N($AA3509)+1,N($AA3509)))</f>
        <v/>
      </c>
    </row>
    <row r="3511" ht="21" customHeight="1" s="66">
      <c r="A3511" s="56" t="n"/>
      <c r="B3511" s="57" t="n"/>
      <c r="C3511" s="57" t="n"/>
      <c r="D3511" s="57" t="n"/>
      <c r="E3511" s="56" t="n"/>
      <c r="F3511" s="57" t="n"/>
      <c r="G3511" s="57" t="n"/>
      <c r="H3511" s="56" t="n"/>
      <c r="I3511" s="56" t="n"/>
      <c r="J3511" s="58" t="n"/>
      <c r="K3511" s="58" t="n"/>
      <c r="L3511" s="13">
        <f>IF(OR($A3511="",AND($J3511="",$K3511="")),"",ROUND(N($J3511)-N($K3511),2))</f>
        <v/>
      </c>
      <c r="M3511" s="13">
        <f>IF(OR($A3511="",AND($J3511="",$K3511="")),"",MIN($J3511,$K3511))</f>
        <v/>
      </c>
      <c r="Q3511">
        <f>IF($A3511="","",$D3511&amp;"("&amp;SUBSTITUTE($E3511," ","")&amp;")")</f>
        <v/>
      </c>
      <c r="R3511">
        <f>IF($A3511="","",$B3511&amp;" - "&amp;$C3511)</f>
        <v/>
      </c>
      <c r="S3511">
        <f>IF($A3511="","",$R3511&amp;"|"&amp;$Q3511)</f>
        <v/>
      </c>
      <c r="T3511">
        <f>IF($A3511="","",$S3511&amp;"|"&amp;$F3511)</f>
        <v/>
      </c>
      <c r="U3511">
        <f>IF($A3511="","",$R3511&amp;"("&amp;$E3511&amp;")")</f>
        <v/>
      </c>
      <c r="V3511">
        <f>IF($A3511="","",$F3511&amp;"|"&amp;$U3511&amp;"|"&amp;$D3511)</f>
        <v/>
      </c>
      <c r="W3511">
        <f>IF($T3511="","",IF($X3511&gt;N($X3510),$X3511,""))</f>
        <v/>
      </c>
      <c r="X3511">
        <f>IF($T3511="",N($X3510),IF(MATCH($T3511,$T$6:$T$6005,0)=ROW()-5,N($X3510)+1,N($X3510)))</f>
        <v/>
      </c>
      <c r="Z3511">
        <f>IF($V3511="","",IF($AA3511&gt;N($AA3510),$AA3511,""))</f>
        <v/>
      </c>
      <c r="AA3511">
        <f>IF($V3511="",N($AA3510),IF(MATCH($V3511,$V$6:$V$6005,0)=ROW()-5,N($AA3510)+1,N($AA3510)))</f>
        <v/>
      </c>
    </row>
    <row r="3512" ht="21" customHeight="1" s="66">
      <c r="A3512" s="56" t="n"/>
      <c r="B3512" s="57" t="n"/>
      <c r="C3512" s="57" t="n"/>
      <c r="D3512" s="57" t="n"/>
      <c r="E3512" s="56" t="n"/>
      <c r="F3512" s="57" t="n"/>
      <c r="G3512" s="57" t="n"/>
      <c r="H3512" s="56" t="n"/>
      <c r="I3512" s="56" t="n"/>
      <c r="J3512" s="58" t="n"/>
      <c r="K3512" s="58" t="n"/>
      <c r="L3512" s="13">
        <f>IF(OR($A3512="",AND($J3512="",$K3512="")),"",ROUND(N($J3512)-N($K3512),2))</f>
        <v/>
      </c>
      <c r="M3512" s="13">
        <f>IF(OR($A3512="",AND($J3512="",$K3512="")),"",MIN($J3512,$K3512))</f>
        <v/>
      </c>
      <c r="Q3512">
        <f>IF($A3512="","",$D3512&amp;"("&amp;SUBSTITUTE($E3512," ","")&amp;")")</f>
        <v/>
      </c>
      <c r="R3512">
        <f>IF($A3512="","",$B3512&amp;" - "&amp;$C3512)</f>
        <v/>
      </c>
      <c r="S3512">
        <f>IF($A3512="","",$R3512&amp;"|"&amp;$Q3512)</f>
        <v/>
      </c>
      <c r="T3512">
        <f>IF($A3512="","",$S3512&amp;"|"&amp;$F3512)</f>
        <v/>
      </c>
      <c r="U3512">
        <f>IF($A3512="","",$R3512&amp;"("&amp;$E3512&amp;")")</f>
        <v/>
      </c>
      <c r="V3512">
        <f>IF($A3512="","",$F3512&amp;"|"&amp;$U3512&amp;"|"&amp;$D3512)</f>
        <v/>
      </c>
      <c r="W3512">
        <f>IF($T3512="","",IF($X3512&gt;N($X3511),$X3512,""))</f>
        <v/>
      </c>
      <c r="X3512">
        <f>IF($T3512="",N($X3511),IF(MATCH($T3512,$T$6:$T$6005,0)=ROW()-5,N($X3511)+1,N($X3511)))</f>
        <v/>
      </c>
      <c r="Z3512">
        <f>IF($V3512="","",IF($AA3512&gt;N($AA3511),$AA3512,""))</f>
        <v/>
      </c>
      <c r="AA3512">
        <f>IF($V3512="",N($AA3511),IF(MATCH($V3512,$V$6:$V$6005,0)=ROW()-5,N($AA3511)+1,N($AA3511)))</f>
        <v/>
      </c>
    </row>
    <row r="3513" ht="21" customHeight="1" s="66">
      <c r="A3513" s="56" t="n"/>
      <c r="B3513" s="57" t="n"/>
      <c r="C3513" s="57" t="n"/>
      <c r="D3513" s="57" t="n"/>
      <c r="E3513" s="56" t="n"/>
      <c r="F3513" s="57" t="n"/>
      <c r="G3513" s="57" t="n"/>
      <c r="H3513" s="56" t="n"/>
      <c r="I3513" s="56" t="n"/>
      <c r="J3513" s="58" t="n"/>
      <c r="K3513" s="58" t="n"/>
      <c r="L3513" s="13">
        <f>IF(OR($A3513="",AND($J3513="",$K3513="")),"",ROUND(N($J3513)-N($K3513),2))</f>
        <v/>
      </c>
      <c r="M3513" s="13">
        <f>IF(OR($A3513="",AND($J3513="",$K3513="")),"",MIN($J3513,$K3513))</f>
        <v/>
      </c>
      <c r="Q3513">
        <f>IF($A3513="","",$D3513&amp;"("&amp;SUBSTITUTE($E3513," ","")&amp;")")</f>
        <v/>
      </c>
      <c r="R3513">
        <f>IF($A3513="","",$B3513&amp;" - "&amp;$C3513)</f>
        <v/>
      </c>
      <c r="S3513">
        <f>IF($A3513="","",$R3513&amp;"|"&amp;$Q3513)</f>
        <v/>
      </c>
      <c r="T3513">
        <f>IF($A3513="","",$S3513&amp;"|"&amp;$F3513)</f>
        <v/>
      </c>
      <c r="U3513">
        <f>IF($A3513="","",$R3513&amp;"("&amp;$E3513&amp;")")</f>
        <v/>
      </c>
      <c r="V3513">
        <f>IF($A3513="","",$F3513&amp;"|"&amp;$U3513&amp;"|"&amp;$D3513)</f>
        <v/>
      </c>
      <c r="W3513">
        <f>IF($T3513="","",IF($X3513&gt;N($X3512),$X3513,""))</f>
        <v/>
      </c>
      <c r="X3513">
        <f>IF($T3513="",N($X3512),IF(MATCH($T3513,$T$6:$T$6005,0)=ROW()-5,N($X3512)+1,N($X3512)))</f>
        <v/>
      </c>
      <c r="Z3513">
        <f>IF($V3513="","",IF($AA3513&gt;N($AA3512),$AA3513,""))</f>
        <v/>
      </c>
      <c r="AA3513">
        <f>IF($V3513="",N($AA3512),IF(MATCH($V3513,$V$6:$V$6005,0)=ROW()-5,N($AA3512)+1,N($AA3512)))</f>
        <v/>
      </c>
    </row>
    <row r="3514" ht="21" customHeight="1" s="66">
      <c r="A3514" s="56" t="n"/>
      <c r="B3514" s="57" t="n"/>
      <c r="C3514" s="57" t="n"/>
      <c r="D3514" s="57" t="n"/>
      <c r="E3514" s="56" t="n"/>
      <c r="F3514" s="57" t="n"/>
      <c r="G3514" s="57" t="n"/>
      <c r="H3514" s="56" t="n"/>
      <c r="I3514" s="56" t="n"/>
      <c r="J3514" s="58" t="n"/>
      <c r="K3514" s="58" t="n"/>
      <c r="L3514" s="13">
        <f>IF(OR($A3514="",AND($J3514="",$K3514="")),"",ROUND(N($J3514)-N($K3514),2))</f>
        <v/>
      </c>
      <c r="M3514" s="13">
        <f>IF(OR($A3514="",AND($J3514="",$K3514="")),"",MIN($J3514,$K3514))</f>
        <v/>
      </c>
      <c r="Q3514">
        <f>IF($A3514="","",$D3514&amp;"("&amp;SUBSTITUTE($E3514," ","")&amp;")")</f>
        <v/>
      </c>
      <c r="R3514">
        <f>IF($A3514="","",$B3514&amp;" - "&amp;$C3514)</f>
        <v/>
      </c>
      <c r="S3514">
        <f>IF($A3514="","",$R3514&amp;"|"&amp;$Q3514)</f>
        <v/>
      </c>
      <c r="T3514">
        <f>IF($A3514="","",$S3514&amp;"|"&amp;$F3514)</f>
        <v/>
      </c>
      <c r="U3514">
        <f>IF($A3514="","",$R3514&amp;"("&amp;$E3514&amp;")")</f>
        <v/>
      </c>
      <c r="V3514">
        <f>IF($A3514="","",$F3514&amp;"|"&amp;$U3514&amp;"|"&amp;$D3514)</f>
        <v/>
      </c>
      <c r="W3514">
        <f>IF($T3514="","",IF($X3514&gt;N($X3513),$X3514,""))</f>
        <v/>
      </c>
      <c r="X3514">
        <f>IF($T3514="",N($X3513),IF(MATCH($T3514,$T$6:$T$6005,0)=ROW()-5,N($X3513)+1,N($X3513)))</f>
        <v/>
      </c>
      <c r="Z3514">
        <f>IF($V3514="","",IF($AA3514&gt;N($AA3513),$AA3514,""))</f>
        <v/>
      </c>
      <c r="AA3514">
        <f>IF($V3514="",N($AA3513),IF(MATCH($V3514,$V$6:$V$6005,0)=ROW()-5,N($AA3513)+1,N($AA3513)))</f>
        <v/>
      </c>
    </row>
    <row r="3515" ht="21" customHeight="1" s="66">
      <c r="A3515" s="56" t="n"/>
      <c r="B3515" s="57" t="n"/>
      <c r="C3515" s="57" t="n"/>
      <c r="D3515" s="57" t="n"/>
      <c r="E3515" s="56" t="n"/>
      <c r="F3515" s="57" t="n"/>
      <c r="G3515" s="57" t="n"/>
      <c r="H3515" s="56" t="n"/>
      <c r="I3515" s="56" t="n"/>
      <c r="J3515" s="58" t="n"/>
      <c r="K3515" s="58" t="n"/>
      <c r="L3515" s="13">
        <f>IF(OR($A3515="",AND($J3515="",$K3515="")),"",ROUND(N($J3515)-N($K3515),2))</f>
        <v/>
      </c>
      <c r="M3515" s="13">
        <f>IF(OR($A3515="",AND($J3515="",$K3515="")),"",MIN($J3515,$K3515))</f>
        <v/>
      </c>
      <c r="Q3515">
        <f>IF($A3515="","",$D3515&amp;"("&amp;SUBSTITUTE($E3515," ","")&amp;")")</f>
        <v/>
      </c>
      <c r="R3515">
        <f>IF($A3515="","",$B3515&amp;" - "&amp;$C3515)</f>
        <v/>
      </c>
      <c r="S3515">
        <f>IF($A3515="","",$R3515&amp;"|"&amp;$Q3515)</f>
        <v/>
      </c>
      <c r="T3515">
        <f>IF($A3515="","",$S3515&amp;"|"&amp;$F3515)</f>
        <v/>
      </c>
      <c r="U3515">
        <f>IF($A3515="","",$R3515&amp;"("&amp;$E3515&amp;")")</f>
        <v/>
      </c>
      <c r="V3515">
        <f>IF($A3515="","",$F3515&amp;"|"&amp;$U3515&amp;"|"&amp;$D3515)</f>
        <v/>
      </c>
      <c r="W3515">
        <f>IF($T3515="","",IF($X3515&gt;N($X3514),$X3515,""))</f>
        <v/>
      </c>
      <c r="X3515">
        <f>IF($T3515="",N($X3514),IF(MATCH($T3515,$T$6:$T$6005,0)=ROW()-5,N($X3514)+1,N($X3514)))</f>
        <v/>
      </c>
      <c r="Z3515">
        <f>IF($V3515="","",IF($AA3515&gt;N($AA3514),$AA3515,""))</f>
        <v/>
      </c>
      <c r="AA3515">
        <f>IF($V3515="",N($AA3514),IF(MATCH($V3515,$V$6:$V$6005,0)=ROW()-5,N($AA3514)+1,N($AA3514)))</f>
        <v/>
      </c>
    </row>
    <row r="3516" ht="21" customHeight="1" s="66">
      <c r="A3516" s="56" t="n"/>
      <c r="B3516" s="57" t="n"/>
      <c r="C3516" s="57" t="n"/>
      <c r="D3516" s="57" t="n"/>
      <c r="E3516" s="56" t="n"/>
      <c r="F3516" s="57" t="n"/>
      <c r="G3516" s="57" t="n"/>
      <c r="H3516" s="56" t="n"/>
      <c r="I3516" s="56" t="n"/>
      <c r="J3516" s="58" t="n"/>
      <c r="K3516" s="58" t="n"/>
      <c r="L3516" s="13">
        <f>IF(OR($A3516="",AND($J3516="",$K3516="")),"",ROUND(N($J3516)-N($K3516),2))</f>
        <v/>
      </c>
      <c r="M3516" s="13">
        <f>IF(OR($A3516="",AND($J3516="",$K3516="")),"",MIN($J3516,$K3516))</f>
        <v/>
      </c>
      <c r="Q3516">
        <f>IF($A3516="","",$D3516&amp;"("&amp;SUBSTITUTE($E3516," ","")&amp;")")</f>
        <v/>
      </c>
      <c r="R3516">
        <f>IF($A3516="","",$B3516&amp;" - "&amp;$C3516)</f>
        <v/>
      </c>
      <c r="S3516">
        <f>IF($A3516="","",$R3516&amp;"|"&amp;$Q3516)</f>
        <v/>
      </c>
      <c r="T3516">
        <f>IF($A3516="","",$S3516&amp;"|"&amp;$F3516)</f>
        <v/>
      </c>
      <c r="U3516">
        <f>IF($A3516="","",$R3516&amp;"("&amp;$E3516&amp;")")</f>
        <v/>
      </c>
      <c r="V3516">
        <f>IF($A3516="","",$F3516&amp;"|"&amp;$U3516&amp;"|"&amp;$D3516)</f>
        <v/>
      </c>
      <c r="W3516">
        <f>IF($T3516="","",IF($X3516&gt;N($X3515),$X3516,""))</f>
        <v/>
      </c>
      <c r="X3516">
        <f>IF($T3516="",N($X3515),IF(MATCH($T3516,$T$6:$T$6005,0)=ROW()-5,N($X3515)+1,N($X3515)))</f>
        <v/>
      </c>
      <c r="Z3516">
        <f>IF($V3516="","",IF($AA3516&gt;N($AA3515),$AA3516,""))</f>
        <v/>
      </c>
      <c r="AA3516">
        <f>IF($V3516="",N($AA3515),IF(MATCH($V3516,$V$6:$V$6005,0)=ROW()-5,N($AA3515)+1,N($AA3515)))</f>
        <v/>
      </c>
    </row>
    <row r="3517" ht="21" customHeight="1" s="66">
      <c r="A3517" s="56" t="n"/>
      <c r="B3517" s="57" t="n"/>
      <c r="C3517" s="57" t="n"/>
      <c r="D3517" s="57" t="n"/>
      <c r="E3517" s="56" t="n"/>
      <c r="F3517" s="57" t="n"/>
      <c r="G3517" s="57" t="n"/>
      <c r="H3517" s="56" t="n"/>
      <c r="I3517" s="56" t="n"/>
      <c r="J3517" s="58" t="n"/>
      <c r="K3517" s="58" t="n"/>
      <c r="L3517" s="13">
        <f>IF(OR($A3517="",AND($J3517="",$K3517="")),"",ROUND(N($J3517)-N($K3517),2))</f>
        <v/>
      </c>
      <c r="M3517" s="13">
        <f>IF(OR($A3517="",AND($J3517="",$K3517="")),"",MIN($J3517,$K3517))</f>
        <v/>
      </c>
      <c r="Q3517">
        <f>IF($A3517="","",$D3517&amp;"("&amp;SUBSTITUTE($E3517," ","")&amp;")")</f>
        <v/>
      </c>
      <c r="R3517">
        <f>IF($A3517="","",$B3517&amp;" - "&amp;$C3517)</f>
        <v/>
      </c>
      <c r="S3517">
        <f>IF($A3517="","",$R3517&amp;"|"&amp;$Q3517)</f>
        <v/>
      </c>
      <c r="T3517">
        <f>IF($A3517="","",$S3517&amp;"|"&amp;$F3517)</f>
        <v/>
      </c>
      <c r="U3517">
        <f>IF($A3517="","",$R3517&amp;"("&amp;$E3517&amp;")")</f>
        <v/>
      </c>
      <c r="V3517">
        <f>IF($A3517="","",$F3517&amp;"|"&amp;$U3517&amp;"|"&amp;$D3517)</f>
        <v/>
      </c>
      <c r="W3517">
        <f>IF($T3517="","",IF($X3517&gt;N($X3516),$X3517,""))</f>
        <v/>
      </c>
      <c r="X3517">
        <f>IF($T3517="",N($X3516),IF(MATCH($T3517,$T$6:$T$6005,0)=ROW()-5,N($X3516)+1,N($X3516)))</f>
        <v/>
      </c>
      <c r="Z3517">
        <f>IF($V3517="","",IF($AA3517&gt;N($AA3516),$AA3517,""))</f>
        <v/>
      </c>
      <c r="AA3517">
        <f>IF($V3517="",N($AA3516),IF(MATCH($V3517,$V$6:$V$6005,0)=ROW()-5,N($AA3516)+1,N($AA3516)))</f>
        <v/>
      </c>
    </row>
    <row r="3518" ht="21" customHeight="1" s="66">
      <c r="A3518" s="56" t="n"/>
      <c r="B3518" s="57" t="n"/>
      <c r="C3518" s="57" t="n"/>
      <c r="D3518" s="57" t="n"/>
      <c r="E3518" s="56" t="n"/>
      <c r="F3518" s="57" t="n"/>
      <c r="G3518" s="57" t="n"/>
      <c r="H3518" s="56" t="n"/>
      <c r="I3518" s="56" t="n"/>
      <c r="J3518" s="58" t="n"/>
      <c r="K3518" s="58" t="n"/>
      <c r="L3518" s="13">
        <f>IF(OR($A3518="",AND($J3518="",$K3518="")),"",ROUND(N($J3518)-N($K3518),2))</f>
        <v/>
      </c>
      <c r="M3518" s="13">
        <f>IF(OR($A3518="",AND($J3518="",$K3518="")),"",MIN($J3518,$K3518))</f>
        <v/>
      </c>
      <c r="Q3518">
        <f>IF($A3518="","",$D3518&amp;"("&amp;SUBSTITUTE($E3518," ","")&amp;")")</f>
        <v/>
      </c>
      <c r="R3518">
        <f>IF($A3518="","",$B3518&amp;" - "&amp;$C3518)</f>
        <v/>
      </c>
      <c r="S3518">
        <f>IF($A3518="","",$R3518&amp;"|"&amp;$Q3518)</f>
        <v/>
      </c>
      <c r="T3518">
        <f>IF($A3518="","",$S3518&amp;"|"&amp;$F3518)</f>
        <v/>
      </c>
      <c r="U3518">
        <f>IF($A3518="","",$R3518&amp;"("&amp;$E3518&amp;")")</f>
        <v/>
      </c>
      <c r="V3518">
        <f>IF($A3518="","",$F3518&amp;"|"&amp;$U3518&amp;"|"&amp;$D3518)</f>
        <v/>
      </c>
      <c r="W3518">
        <f>IF($T3518="","",IF($X3518&gt;N($X3517),$X3518,""))</f>
        <v/>
      </c>
      <c r="X3518">
        <f>IF($T3518="",N($X3517),IF(MATCH($T3518,$T$6:$T$6005,0)=ROW()-5,N($X3517)+1,N($X3517)))</f>
        <v/>
      </c>
      <c r="Z3518">
        <f>IF($V3518="","",IF($AA3518&gt;N($AA3517),$AA3518,""))</f>
        <v/>
      </c>
      <c r="AA3518">
        <f>IF($V3518="",N($AA3517),IF(MATCH($V3518,$V$6:$V$6005,0)=ROW()-5,N($AA3517)+1,N($AA3517)))</f>
        <v/>
      </c>
    </row>
    <row r="3519" ht="21" customHeight="1" s="66">
      <c r="A3519" s="56" t="n"/>
      <c r="B3519" s="57" t="n"/>
      <c r="C3519" s="57" t="n"/>
      <c r="D3519" s="57" t="n"/>
      <c r="E3519" s="56" t="n"/>
      <c r="F3519" s="57" t="n"/>
      <c r="G3519" s="57" t="n"/>
      <c r="H3519" s="56" t="n"/>
      <c r="I3519" s="56" t="n"/>
      <c r="J3519" s="58" t="n"/>
      <c r="K3519" s="58" t="n"/>
      <c r="L3519" s="13">
        <f>IF(OR($A3519="",AND($J3519="",$K3519="")),"",ROUND(N($J3519)-N($K3519),2))</f>
        <v/>
      </c>
      <c r="M3519" s="13">
        <f>IF(OR($A3519="",AND($J3519="",$K3519="")),"",MIN($J3519,$K3519))</f>
        <v/>
      </c>
      <c r="Q3519">
        <f>IF($A3519="","",$D3519&amp;"("&amp;SUBSTITUTE($E3519," ","")&amp;")")</f>
        <v/>
      </c>
      <c r="R3519">
        <f>IF($A3519="","",$B3519&amp;" - "&amp;$C3519)</f>
        <v/>
      </c>
      <c r="S3519">
        <f>IF($A3519="","",$R3519&amp;"|"&amp;$Q3519)</f>
        <v/>
      </c>
      <c r="T3519">
        <f>IF($A3519="","",$S3519&amp;"|"&amp;$F3519)</f>
        <v/>
      </c>
      <c r="U3519">
        <f>IF($A3519="","",$R3519&amp;"("&amp;$E3519&amp;")")</f>
        <v/>
      </c>
      <c r="V3519">
        <f>IF($A3519="","",$F3519&amp;"|"&amp;$U3519&amp;"|"&amp;$D3519)</f>
        <v/>
      </c>
      <c r="W3519">
        <f>IF($T3519="","",IF($X3519&gt;N($X3518),$X3519,""))</f>
        <v/>
      </c>
      <c r="X3519">
        <f>IF($T3519="",N($X3518),IF(MATCH($T3519,$T$6:$T$6005,0)=ROW()-5,N($X3518)+1,N($X3518)))</f>
        <v/>
      </c>
      <c r="Z3519">
        <f>IF($V3519="","",IF($AA3519&gt;N($AA3518),$AA3519,""))</f>
        <v/>
      </c>
      <c r="AA3519">
        <f>IF($V3519="",N($AA3518),IF(MATCH($V3519,$V$6:$V$6005,0)=ROW()-5,N($AA3518)+1,N($AA3518)))</f>
        <v/>
      </c>
    </row>
    <row r="3520" ht="21" customHeight="1" s="66">
      <c r="A3520" s="56" t="n"/>
      <c r="B3520" s="57" t="n"/>
      <c r="C3520" s="57" t="n"/>
      <c r="D3520" s="57" t="n"/>
      <c r="E3520" s="56" t="n"/>
      <c r="F3520" s="57" t="n"/>
      <c r="G3520" s="57" t="n"/>
      <c r="H3520" s="56" t="n"/>
      <c r="I3520" s="56" t="n"/>
      <c r="J3520" s="58" t="n"/>
      <c r="K3520" s="58" t="n"/>
      <c r="L3520" s="13">
        <f>IF(OR($A3520="",AND($J3520="",$K3520="")),"",ROUND(N($J3520)-N($K3520),2))</f>
        <v/>
      </c>
      <c r="M3520" s="13">
        <f>IF(OR($A3520="",AND($J3520="",$K3520="")),"",MIN($J3520,$K3520))</f>
        <v/>
      </c>
      <c r="Q3520">
        <f>IF($A3520="","",$D3520&amp;"("&amp;SUBSTITUTE($E3520," ","")&amp;")")</f>
        <v/>
      </c>
      <c r="R3520">
        <f>IF($A3520="","",$B3520&amp;" - "&amp;$C3520)</f>
        <v/>
      </c>
      <c r="S3520">
        <f>IF($A3520="","",$R3520&amp;"|"&amp;$Q3520)</f>
        <v/>
      </c>
      <c r="T3520">
        <f>IF($A3520="","",$S3520&amp;"|"&amp;$F3520)</f>
        <v/>
      </c>
      <c r="U3520">
        <f>IF($A3520="","",$R3520&amp;"("&amp;$E3520&amp;")")</f>
        <v/>
      </c>
      <c r="V3520">
        <f>IF($A3520="","",$F3520&amp;"|"&amp;$U3520&amp;"|"&amp;$D3520)</f>
        <v/>
      </c>
      <c r="W3520">
        <f>IF($T3520="","",IF($X3520&gt;N($X3519),$X3520,""))</f>
        <v/>
      </c>
      <c r="X3520">
        <f>IF($T3520="",N($X3519),IF(MATCH($T3520,$T$6:$T$6005,0)=ROW()-5,N($X3519)+1,N($X3519)))</f>
        <v/>
      </c>
      <c r="Z3520">
        <f>IF($V3520="","",IF($AA3520&gt;N($AA3519),$AA3520,""))</f>
        <v/>
      </c>
      <c r="AA3520">
        <f>IF($V3520="",N($AA3519),IF(MATCH($V3520,$V$6:$V$6005,0)=ROW()-5,N($AA3519)+1,N($AA3519)))</f>
        <v/>
      </c>
    </row>
    <row r="3521" ht="21" customHeight="1" s="66">
      <c r="A3521" s="56" t="n"/>
      <c r="B3521" s="57" t="n"/>
      <c r="C3521" s="57" t="n"/>
      <c r="D3521" s="57" t="n"/>
      <c r="E3521" s="56" t="n"/>
      <c r="F3521" s="57" t="n"/>
      <c r="G3521" s="57" t="n"/>
      <c r="H3521" s="56" t="n"/>
      <c r="I3521" s="56" t="n"/>
      <c r="J3521" s="58" t="n"/>
      <c r="K3521" s="58" t="n"/>
      <c r="L3521" s="13">
        <f>IF(OR($A3521="",AND($J3521="",$K3521="")),"",ROUND(N($J3521)-N($K3521),2))</f>
        <v/>
      </c>
      <c r="M3521" s="13">
        <f>IF(OR($A3521="",AND($J3521="",$K3521="")),"",MIN($J3521,$K3521))</f>
        <v/>
      </c>
      <c r="Q3521">
        <f>IF($A3521="","",$D3521&amp;"("&amp;SUBSTITUTE($E3521," ","")&amp;")")</f>
        <v/>
      </c>
      <c r="R3521">
        <f>IF($A3521="","",$B3521&amp;" - "&amp;$C3521)</f>
        <v/>
      </c>
      <c r="S3521">
        <f>IF($A3521="","",$R3521&amp;"|"&amp;$Q3521)</f>
        <v/>
      </c>
      <c r="T3521">
        <f>IF($A3521="","",$S3521&amp;"|"&amp;$F3521)</f>
        <v/>
      </c>
      <c r="U3521">
        <f>IF($A3521="","",$R3521&amp;"("&amp;$E3521&amp;")")</f>
        <v/>
      </c>
      <c r="V3521">
        <f>IF($A3521="","",$F3521&amp;"|"&amp;$U3521&amp;"|"&amp;$D3521)</f>
        <v/>
      </c>
      <c r="W3521">
        <f>IF($T3521="","",IF($X3521&gt;N($X3520),$X3521,""))</f>
        <v/>
      </c>
      <c r="X3521">
        <f>IF($T3521="",N($X3520),IF(MATCH($T3521,$T$6:$T$6005,0)=ROW()-5,N($X3520)+1,N($X3520)))</f>
        <v/>
      </c>
      <c r="Z3521">
        <f>IF($V3521="","",IF($AA3521&gt;N($AA3520),$AA3521,""))</f>
        <v/>
      </c>
      <c r="AA3521">
        <f>IF($V3521="",N($AA3520),IF(MATCH($V3521,$V$6:$V$6005,0)=ROW()-5,N($AA3520)+1,N($AA3520)))</f>
        <v/>
      </c>
    </row>
    <row r="3522" ht="21" customHeight="1" s="66">
      <c r="A3522" s="56" t="n"/>
      <c r="B3522" s="57" t="n"/>
      <c r="C3522" s="57" t="n"/>
      <c r="D3522" s="57" t="n"/>
      <c r="E3522" s="56" t="n"/>
      <c r="F3522" s="57" t="n"/>
      <c r="G3522" s="57" t="n"/>
      <c r="H3522" s="56" t="n"/>
      <c r="I3522" s="56" t="n"/>
      <c r="J3522" s="58" t="n"/>
      <c r="K3522" s="58" t="n"/>
      <c r="L3522" s="13">
        <f>IF(OR($A3522="",AND($J3522="",$K3522="")),"",ROUND(N($J3522)-N($K3522),2))</f>
        <v/>
      </c>
      <c r="M3522" s="13">
        <f>IF(OR($A3522="",AND($J3522="",$K3522="")),"",MIN($J3522,$K3522))</f>
        <v/>
      </c>
      <c r="Q3522">
        <f>IF($A3522="","",$D3522&amp;"("&amp;SUBSTITUTE($E3522," ","")&amp;")")</f>
        <v/>
      </c>
      <c r="R3522">
        <f>IF($A3522="","",$B3522&amp;" - "&amp;$C3522)</f>
        <v/>
      </c>
      <c r="S3522">
        <f>IF($A3522="","",$R3522&amp;"|"&amp;$Q3522)</f>
        <v/>
      </c>
      <c r="T3522">
        <f>IF($A3522="","",$S3522&amp;"|"&amp;$F3522)</f>
        <v/>
      </c>
      <c r="U3522">
        <f>IF($A3522="","",$R3522&amp;"("&amp;$E3522&amp;")")</f>
        <v/>
      </c>
      <c r="V3522">
        <f>IF($A3522="","",$F3522&amp;"|"&amp;$U3522&amp;"|"&amp;$D3522)</f>
        <v/>
      </c>
      <c r="W3522">
        <f>IF($T3522="","",IF($X3522&gt;N($X3521),$X3522,""))</f>
        <v/>
      </c>
      <c r="X3522">
        <f>IF($T3522="",N($X3521),IF(MATCH($T3522,$T$6:$T$6005,0)=ROW()-5,N($X3521)+1,N($X3521)))</f>
        <v/>
      </c>
      <c r="Z3522">
        <f>IF($V3522="","",IF($AA3522&gt;N($AA3521),$AA3522,""))</f>
        <v/>
      </c>
      <c r="AA3522">
        <f>IF($V3522="",N($AA3521),IF(MATCH($V3522,$V$6:$V$6005,0)=ROW()-5,N($AA3521)+1,N($AA3521)))</f>
        <v/>
      </c>
    </row>
    <row r="3523" ht="21" customHeight="1" s="66">
      <c r="A3523" s="56" t="n"/>
      <c r="B3523" s="57" t="n"/>
      <c r="C3523" s="57" t="n"/>
      <c r="D3523" s="57" t="n"/>
      <c r="E3523" s="56" t="n"/>
      <c r="F3523" s="57" t="n"/>
      <c r="G3523" s="57" t="n"/>
      <c r="H3523" s="56" t="n"/>
      <c r="I3523" s="56" t="n"/>
      <c r="J3523" s="58" t="n"/>
      <c r="K3523" s="58" t="n"/>
      <c r="L3523" s="13">
        <f>IF(OR($A3523="",AND($J3523="",$K3523="")),"",ROUND(N($J3523)-N($K3523),2))</f>
        <v/>
      </c>
      <c r="M3523" s="13">
        <f>IF(OR($A3523="",AND($J3523="",$K3523="")),"",MIN($J3523,$K3523))</f>
        <v/>
      </c>
      <c r="Q3523">
        <f>IF($A3523="","",$D3523&amp;"("&amp;SUBSTITUTE($E3523," ","")&amp;")")</f>
        <v/>
      </c>
      <c r="R3523">
        <f>IF($A3523="","",$B3523&amp;" - "&amp;$C3523)</f>
        <v/>
      </c>
      <c r="S3523">
        <f>IF($A3523="","",$R3523&amp;"|"&amp;$Q3523)</f>
        <v/>
      </c>
      <c r="T3523">
        <f>IF($A3523="","",$S3523&amp;"|"&amp;$F3523)</f>
        <v/>
      </c>
      <c r="U3523">
        <f>IF($A3523="","",$R3523&amp;"("&amp;$E3523&amp;")")</f>
        <v/>
      </c>
      <c r="V3523">
        <f>IF($A3523="","",$F3523&amp;"|"&amp;$U3523&amp;"|"&amp;$D3523)</f>
        <v/>
      </c>
      <c r="W3523">
        <f>IF($T3523="","",IF($X3523&gt;N($X3522),$X3523,""))</f>
        <v/>
      </c>
      <c r="X3523">
        <f>IF($T3523="",N($X3522),IF(MATCH($T3523,$T$6:$T$6005,0)=ROW()-5,N($X3522)+1,N($X3522)))</f>
        <v/>
      </c>
      <c r="Z3523">
        <f>IF($V3523="","",IF($AA3523&gt;N($AA3522),$AA3523,""))</f>
        <v/>
      </c>
      <c r="AA3523">
        <f>IF($V3523="",N($AA3522),IF(MATCH($V3523,$V$6:$V$6005,0)=ROW()-5,N($AA3522)+1,N($AA3522)))</f>
        <v/>
      </c>
    </row>
    <row r="3524" ht="21" customHeight="1" s="66">
      <c r="A3524" s="56" t="n"/>
      <c r="B3524" s="57" t="n"/>
      <c r="C3524" s="57" t="n"/>
      <c r="D3524" s="57" t="n"/>
      <c r="E3524" s="56" t="n"/>
      <c r="F3524" s="57" t="n"/>
      <c r="G3524" s="57" t="n"/>
      <c r="H3524" s="56" t="n"/>
      <c r="I3524" s="56" t="n"/>
      <c r="J3524" s="58" t="n"/>
      <c r="K3524" s="58" t="n"/>
      <c r="L3524" s="13">
        <f>IF(OR($A3524="",AND($J3524="",$K3524="")),"",ROUND(N($J3524)-N($K3524),2))</f>
        <v/>
      </c>
      <c r="M3524" s="13">
        <f>IF(OR($A3524="",AND($J3524="",$K3524="")),"",MIN($J3524,$K3524))</f>
        <v/>
      </c>
      <c r="Q3524">
        <f>IF($A3524="","",$D3524&amp;"("&amp;SUBSTITUTE($E3524," ","")&amp;")")</f>
        <v/>
      </c>
      <c r="R3524">
        <f>IF($A3524="","",$B3524&amp;" - "&amp;$C3524)</f>
        <v/>
      </c>
      <c r="S3524">
        <f>IF($A3524="","",$R3524&amp;"|"&amp;$Q3524)</f>
        <v/>
      </c>
      <c r="T3524">
        <f>IF($A3524="","",$S3524&amp;"|"&amp;$F3524)</f>
        <v/>
      </c>
      <c r="U3524">
        <f>IF($A3524="","",$R3524&amp;"("&amp;$E3524&amp;")")</f>
        <v/>
      </c>
      <c r="V3524">
        <f>IF($A3524="","",$F3524&amp;"|"&amp;$U3524&amp;"|"&amp;$D3524)</f>
        <v/>
      </c>
      <c r="W3524">
        <f>IF($T3524="","",IF($X3524&gt;N($X3523),$X3524,""))</f>
        <v/>
      </c>
      <c r="X3524">
        <f>IF($T3524="",N($X3523),IF(MATCH($T3524,$T$6:$T$6005,0)=ROW()-5,N($X3523)+1,N($X3523)))</f>
        <v/>
      </c>
      <c r="Z3524">
        <f>IF($V3524="","",IF($AA3524&gt;N($AA3523),$AA3524,""))</f>
        <v/>
      </c>
      <c r="AA3524">
        <f>IF($V3524="",N($AA3523),IF(MATCH($V3524,$V$6:$V$6005,0)=ROW()-5,N($AA3523)+1,N($AA3523)))</f>
        <v/>
      </c>
    </row>
    <row r="3525" ht="21" customHeight="1" s="66">
      <c r="A3525" s="56" t="n"/>
      <c r="B3525" s="57" t="n"/>
      <c r="C3525" s="57" t="n"/>
      <c r="D3525" s="57" t="n"/>
      <c r="E3525" s="56" t="n"/>
      <c r="F3525" s="57" t="n"/>
      <c r="G3525" s="57" t="n"/>
      <c r="H3525" s="56" t="n"/>
      <c r="I3525" s="56" t="n"/>
      <c r="J3525" s="58" t="n"/>
      <c r="K3525" s="58" t="n"/>
      <c r="L3525" s="13">
        <f>IF(OR($A3525="",AND($J3525="",$K3525="")),"",ROUND(N($J3525)-N($K3525),2))</f>
        <v/>
      </c>
      <c r="M3525" s="13">
        <f>IF(OR($A3525="",AND($J3525="",$K3525="")),"",MIN($J3525,$K3525))</f>
        <v/>
      </c>
      <c r="Q3525">
        <f>IF($A3525="","",$D3525&amp;"("&amp;SUBSTITUTE($E3525," ","")&amp;")")</f>
        <v/>
      </c>
      <c r="R3525">
        <f>IF($A3525="","",$B3525&amp;" - "&amp;$C3525)</f>
        <v/>
      </c>
      <c r="S3525">
        <f>IF($A3525="","",$R3525&amp;"|"&amp;$Q3525)</f>
        <v/>
      </c>
      <c r="T3525">
        <f>IF($A3525="","",$S3525&amp;"|"&amp;$F3525)</f>
        <v/>
      </c>
      <c r="U3525">
        <f>IF($A3525="","",$R3525&amp;"("&amp;$E3525&amp;")")</f>
        <v/>
      </c>
      <c r="V3525">
        <f>IF($A3525="","",$F3525&amp;"|"&amp;$U3525&amp;"|"&amp;$D3525)</f>
        <v/>
      </c>
      <c r="W3525">
        <f>IF($T3525="","",IF($X3525&gt;N($X3524),$X3525,""))</f>
        <v/>
      </c>
      <c r="X3525">
        <f>IF($T3525="",N($X3524),IF(MATCH($T3525,$T$6:$T$6005,0)=ROW()-5,N($X3524)+1,N($X3524)))</f>
        <v/>
      </c>
      <c r="Z3525">
        <f>IF($V3525="","",IF($AA3525&gt;N($AA3524),$AA3525,""))</f>
        <v/>
      </c>
      <c r="AA3525">
        <f>IF($V3525="",N($AA3524),IF(MATCH($V3525,$V$6:$V$6005,0)=ROW()-5,N($AA3524)+1,N($AA3524)))</f>
        <v/>
      </c>
    </row>
    <row r="3526" ht="21" customHeight="1" s="66">
      <c r="A3526" s="56" t="n"/>
      <c r="B3526" s="57" t="n"/>
      <c r="C3526" s="57" t="n"/>
      <c r="D3526" s="57" t="n"/>
      <c r="E3526" s="56" t="n"/>
      <c r="F3526" s="57" t="n"/>
      <c r="G3526" s="57" t="n"/>
      <c r="H3526" s="56" t="n"/>
      <c r="I3526" s="56" t="n"/>
      <c r="J3526" s="58" t="n"/>
      <c r="K3526" s="58" t="n"/>
      <c r="L3526" s="13">
        <f>IF(OR($A3526="",AND($J3526="",$K3526="")),"",ROUND(N($J3526)-N($K3526),2))</f>
        <v/>
      </c>
      <c r="M3526" s="13">
        <f>IF(OR($A3526="",AND($J3526="",$K3526="")),"",MIN($J3526,$K3526))</f>
        <v/>
      </c>
      <c r="Q3526">
        <f>IF($A3526="","",$D3526&amp;"("&amp;SUBSTITUTE($E3526," ","")&amp;")")</f>
        <v/>
      </c>
      <c r="R3526">
        <f>IF($A3526="","",$B3526&amp;" - "&amp;$C3526)</f>
        <v/>
      </c>
      <c r="S3526">
        <f>IF($A3526="","",$R3526&amp;"|"&amp;$Q3526)</f>
        <v/>
      </c>
      <c r="T3526">
        <f>IF($A3526="","",$S3526&amp;"|"&amp;$F3526)</f>
        <v/>
      </c>
      <c r="U3526">
        <f>IF($A3526="","",$R3526&amp;"("&amp;$E3526&amp;")")</f>
        <v/>
      </c>
      <c r="V3526">
        <f>IF($A3526="","",$F3526&amp;"|"&amp;$U3526&amp;"|"&amp;$D3526)</f>
        <v/>
      </c>
      <c r="W3526">
        <f>IF($T3526="","",IF($X3526&gt;N($X3525),$X3526,""))</f>
        <v/>
      </c>
      <c r="X3526">
        <f>IF($T3526="",N($X3525),IF(MATCH($T3526,$T$6:$T$6005,0)=ROW()-5,N($X3525)+1,N($X3525)))</f>
        <v/>
      </c>
      <c r="Z3526">
        <f>IF($V3526="","",IF($AA3526&gt;N($AA3525),$AA3526,""))</f>
        <v/>
      </c>
      <c r="AA3526">
        <f>IF($V3526="",N($AA3525),IF(MATCH($V3526,$V$6:$V$6005,0)=ROW()-5,N($AA3525)+1,N($AA3525)))</f>
        <v/>
      </c>
    </row>
    <row r="3527" ht="21" customHeight="1" s="66">
      <c r="A3527" s="56" t="n"/>
      <c r="B3527" s="57" t="n"/>
      <c r="C3527" s="57" t="n"/>
      <c r="D3527" s="57" t="n"/>
      <c r="E3527" s="56" t="n"/>
      <c r="F3527" s="57" t="n"/>
      <c r="G3527" s="57" t="n"/>
      <c r="H3527" s="56" t="n"/>
      <c r="I3527" s="56" t="n"/>
      <c r="J3527" s="58" t="n"/>
      <c r="K3527" s="58" t="n"/>
      <c r="L3527" s="13">
        <f>IF(OR($A3527="",AND($J3527="",$K3527="")),"",ROUND(N($J3527)-N($K3527),2))</f>
        <v/>
      </c>
      <c r="M3527" s="13">
        <f>IF(OR($A3527="",AND($J3527="",$K3527="")),"",MIN($J3527,$K3527))</f>
        <v/>
      </c>
      <c r="Q3527">
        <f>IF($A3527="","",$D3527&amp;"("&amp;SUBSTITUTE($E3527," ","")&amp;")")</f>
        <v/>
      </c>
      <c r="R3527">
        <f>IF($A3527="","",$B3527&amp;" - "&amp;$C3527)</f>
        <v/>
      </c>
      <c r="S3527">
        <f>IF($A3527="","",$R3527&amp;"|"&amp;$Q3527)</f>
        <v/>
      </c>
      <c r="T3527">
        <f>IF($A3527="","",$S3527&amp;"|"&amp;$F3527)</f>
        <v/>
      </c>
      <c r="U3527">
        <f>IF($A3527="","",$R3527&amp;"("&amp;$E3527&amp;")")</f>
        <v/>
      </c>
      <c r="V3527">
        <f>IF($A3527="","",$F3527&amp;"|"&amp;$U3527&amp;"|"&amp;$D3527)</f>
        <v/>
      </c>
      <c r="W3527">
        <f>IF($T3527="","",IF($X3527&gt;N($X3526),$X3527,""))</f>
        <v/>
      </c>
      <c r="X3527">
        <f>IF($T3527="",N($X3526),IF(MATCH($T3527,$T$6:$T$6005,0)=ROW()-5,N($X3526)+1,N($X3526)))</f>
        <v/>
      </c>
      <c r="Z3527">
        <f>IF($V3527="","",IF($AA3527&gt;N($AA3526),$AA3527,""))</f>
        <v/>
      </c>
      <c r="AA3527">
        <f>IF($V3527="",N($AA3526),IF(MATCH($V3527,$V$6:$V$6005,0)=ROW()-5,N($AA3526)+1,N($AA3526)))</f>
        <v/>
      </c>
    </row>
    <row r="3528" ht="21" customHeight="1" s="66">
      <c r="A3528" s="56" t="n"/>
      <c r="B3528" s="57" t="n"/>
      <c r="C3528" s="57" t="n"/>
      <c r="D3528" s="57" t="n"/>
      <c r="E3528" s="56" t="n"/>
      <c r="F3528" s="57" t="n"/>
      <c r="G3528" s="57" t="n"/>
      <c r="H3528" s="56" t="n"/>
      <c r="I3528" s="56" t="n"/>
      <c r="J3528" s="58" t="n"/>
      <c r="K3528" s="58" t="n"/>
      <c r="L3528" s="13">
        <f>IF(OR($A3528="",AND($J3528="",$K3528="")),"",ROUND(N($J3528)-N($K3528),2))</f>
        <v/>
      </c>
      <c r="M3528" s="13">
        <f>IF(OR($A3528="",AND($J3528="",$K3528="")),"",MIN($J3528,$K3528))</f>
        <v/>
      </c>
      <c r="Q3528">
        <f>IF($A3528="","",$D3528&amp;"("&amp;SUBSTITUTE($E3528," ","")&amp;")")</f>
        <v/>
      </c>
      <c r="R3528">
        <f>IF($A3528="","",$B3528&amp;" - "&amp;$C3528)</f>
        <v/>
      </c>
      <c r="S3528">
        <f>IF($A3528="","",$R3528&amp;"|"&amp;$Q3528)</f>
        <v/>
      </c>
      <c r="T3528">
        <f>IF($A3528="","",$S3528&amp;"|"&amp;$F3528)</f>
        <v/>
      </c>
      <c r="U3528">
        <f>IF($A3528="","",$R3528&amp;"("&amp;$E3528&amp;")")</f>
        <v/>
      </c>
      <c r="V3528">
        <f>IF($A3528="","",$F3528&amp;"|"&amp;$U3528&amp;"|"&amp;$D3528)</f>
        <v/>
      </c>
      <c r="W3528">
        <f>IF($T3528="","",IF($X3528&gt;N($X3527),$X3528,""))</f>
        <v/>
      </c>
      <c r="X3528">
        <f>IF($T3528="",N($X3527),IF(MATCH($T3528,$T$6:$T$6005,0)=ROW()-5,N($X3527)+1,N($X3527)))</f>
        <v/>
      </c>
      <c r="Z3528">
        <f>IF($V3528="","",IF($AA3528&gt;N($AA3527),$AA3528,""))</f>
        <v/>
      </c>
      <c r="AA3528">
        <f>IF($V3528="",N($AA3527),IF(MATCH($V3528,$V$6:$V$6005,0)=ROW()-5,N($AA3527)+1,N($AA3527)))</f>
        <v/>
      </c>
    </row>
    <row r="3529" ht="21" customHeight="1" s="66">
      <c r="A3529" s="56" t="n"/>
      <c r="B3529" s="57" t="n"/>
      <c r="C3529" s="57" t="n"/>
      <c r="D3529" s="57" t="n"/>
      <c r="E3529" s="56" t="n"/>
      <c r="F3529" s="57" t="n"/>
      <c r="G3529" s="57" t="n"/>
      <c r="H3529" s="56" t="n"/>
      <c r="I3529" s="56" t="n"/>
      <c r="J3529" s="58" t="n"/>
      <c r="K3529" s="58" t="n"/>
      <c r="L3529" s="13">
        <f>IF(OR($A3529="",AND($J3529="",$K3529="")),"",ROUND(N($J3529)-N($K3529),2))</f>
        <v/>
      </c>
      <c r="M3529" s="13">
        <f>IF(OR($A3529="",AND($J3529="",$K3529="")),"",MIN($J3529,$K3529))</f>
        <v/>
      </c>
      <c r="Q3529">
        <f>IF($A3529="","",$D3529&amp;"("&amp;SUBSTITUTE($E3529," ","")&amp;")")</f>
        <v/>
      </c>
      <c r="R3529">
        <f>IF($A3529="","",$B3529&amp;" - "&amp;$C3529)</f>
        <v/>
      </c>
      <c r="S3529">
        <f>IF($A3529="","",$R3529&amp;"|"&amp;$Q3529)</f>
        <v/>
      </c>
      <c r="T3529">
        <f>IF($A3529="","",$S3529&amp;"|"&amp;$F3529)</f>
        <v/>
      </c>
      <c r="U3529">
        <f>IF($A3529="","",$R3529&amp;"("&amp;$E3529&amp;")")</f>
        <v/>
      </c>
      <c r="V3529">
        <f>IF($A3529="","",$F3529&amp;"|"&amp;$U3529&amp;"|"&amp;$D3529)</f>
        <v/>
      </c>
      <c r="W3529">
        <f>IF($T3529="","",IF($X3529&gt;N($X3528),$X3529,""))</f>
        <v/>
      </c>
      <c r="X3529">
        <f>IF($T3529="",N($X3528),IF(MATCH($T3529,$T$6:$T$6005,0)=ROW()-5,N($X3528)+1,N($X3528)))</f>
        <v/>
      </c>
      <c r="Z3529">
        <f>IF($V3529="","",IF($AA3529&gt;N($AA3528),$AA3529,""))</f>
        <v/>
      </c>
      <c r="AA3529">
        <f>IF($V3529="",N($AA3528),IF(MATCH($V3529,$V$6:$V$6005,0)=ROW()-5,N($AA3528)+1,N($AA3528)))</f>
        <v/>
      </c>
    </row>
    <row r="3530" ht="21" customHeight="1" s="66">
      <c r="A3530" s="56" t="n"/>
      <c r="B3530" s="57" t="n"/>
      <c r="C3530" s="57" t="n"/>
      <c r="D3530" s="57" t="n"/>
      <c r="E3530" s="56" t="n"/>
      <c r="F3530" s="57" t="n"/>
      <c r="G3530" s="57" t="n"/>
      <c r="H3530" s="56" t="n"/>
      <c r="I3530" s="56" t="n"/>
      <c r="J3530" s="58" t="n"/>
      <c r="K3530" s="58" t="n"/>
      <c r="L3530" s="13">
        <f>IF(OR($A3530="",AND($J3530="",$K3530="")),"",ROUND(N($J3530)-N($K3530),2))</f>
        <v/>
      </c>
      <c r="M3530" s="13">
        <f>IF(OR($A3530="",AND($J3530="",$K3530="")),"",MIN($J3530,$K3530))</f>
        <v/>
      </c>
      <c r="Q3530">
        <f>IF($A3530="","",$D3530&amp;"("&amp;SUBSTITUTE($E3530," ","")&amp;")")</f>
        <v/>
      </c>
      <c r="R3530">
        <f>IF($A3530="","",$B3530&amp;" - "&amp;$C3530)</f>
        <v/>
      </c>
      <c r="S3530">
        <f>IF($A3530="","",$R3530&amp;"|"&amp;$Q3530)</f>
        <v/>
      </c>
      <c r="T3530">
        <f>IF($A3530="","",$S3530&amp;"|"&amp;$F3530)</f>
        <v/>
      </c>
      <c r="U3530">
        <f>IF($A3530="","",$R3530&amp;"("&amp;$E3530&amp;")")</f>
        <v/>
      </c>
      <c r="V3530">
        <f>IF($A3530="","",$F3530&amp;"|"&amp;$U3530&amp;"|"&amp;$D3530)</f>
        <v/>
      </c>
      <c r="W3530">
        <f>IF($T3530="","",IF($X3530&gt;N($X3529),$X3530,""))</f>
        <v/>
      </c>
      <c r="X3530">
        <f>IF($T3530="",N($X3529),IF(MATCH($T3530,$T$6:$T$6005,0)=ROW()-5,N($X3529)+1,N($X3529)))</f>
        <v/>
      </c>
      <c r="Z3530">
        <f>IF($V3530="","",IF($AA3530&gt;N($AA3529),$AA3530,""))</f>
        <v/>
      </c>
      <c r="AA3530">
        <f>IF($V3530="",N($AA3529),IF(MATCH($V3530,$V$6:$V$6005,0)=ROW()-5,N($AA3529)+1,N($AA3529)))</f>
        <v/>
      </c>
    </row>
    <row r="3531" ht="21" customHeight="1" s="66">
      <c r="A3531" s="56" t="n"/>
      <c r="B3531" s="57" t="n"/>
      <c r="C3531" s="57" t="n"/>
      <c r="D3531" s="57" t="n"/>
      <c r="E3531" s="56" t="n"/>
      <c r="F3531" s="57" t="n"/>
      <c r="G3531" s="57" t="n"/>
      <c r="H3531" s="56" t="n"/>
      <c r="I3531" s="56" t="n"/>
      <c r="J3531" s="58" t="n"/>
      <c r="K3531" s="58" t="n"/>
      <c r="L3531" s="13">
        <f>IF(OR($A3531="",AND($J3531="",$K3531="")),"",ROUND(N($J3531)-N($K3531),2))</f>
        <v/>
      </c>
      <c r="M3531" s="13">
        <f>IF(OR($A3531="",AND($J3531="",$K3531="")),"",MIN($J3531,$K3531))</f>
        <v/>
      </c>
      <c r="Q3531">
        <f>IF($A3531="","",$D3531&amp;"("&amp;SUBSTITUTE($E3531," ","")&amp;")")</f>
        <v/>
      </c>
      <c r="R3531">
        <f>IF($A3531="","",$B3531&amp;" - "&amp;$C3531)</f>
        <v/>
      </c>
      <c r="S3531">
        <f>IF($A3531="","",$R3531&amp;"|"&amp;$Q3531)</f>
        <v/>
      </c>
      <c r="T3531">
        <f>IF($A3531="","",$S3531&amp;"|"&amp;$F3531)</f>
        <v/>
      </c>
      <c r="U3531">
        <f>IF($A3531="","",$R3531&amp;"("&amp;$E3531&amp;")")</f>
        <v/>
      </c>
      <c r="V3531">
        <f>IF($A3531="","",$F3531&amp;"|"&amp;$U3531&amp;"|"&amp;$D3531)</f>
        <v/>
      </c>
      <c r="W3531">
        <f>IF($T3531="","",IF($X3531&gt;N($X3530),$X3531,""))</f>
        <v/>
      </c>
      <c r="X3531">
        <f>IF($T3531="",N($X3530),IF(MATCH($T3531,$T$6:$T$6005,0)=ROW()-5,N($X3530)+1,N($X3530)))</f>
        <v/>
      </c>
      <c r="Z3531">
        <f>IF($V3531="","",IF($AA3531&gt;N($AA3530),$AA3531,""))</f>
        <v/>
      </c>
      <c r="AA3531">
        <f>IF($V3531="",N($AA3530),IF(MATCH($V3531,$V$6:$V$6005,0)=ROW()-5,N($AA3530)+1,N($AA3530)))</f>
        <v/>
      </c>
    </row>
    <row r="3532" ht="21" customHeight="1" s="66">
      <c r="A3532" s="56" t="n"/>
      <c r="B3532" s="57" t="n"/>
      <c r="C3532" s="57" t="n"/>
      <c r="D3532" s="57" t="n"/>
      <c r="E3532" s="56" t="n"/>
      <c r="F3532" s="57" t="n"/>
      <c r="G3532" s="57" t="n"/>
      <c r="H3532" s="56" t="n"/>
      <c r="I3532" s="56" t="n"/>
      <c r="J3532" s="58" t="n"/>
      <c r="K3532" s="58" t="n"/>
      <c r="L3532" s="13">
        <f>IF(OR($A3532="",AND($J3532="",$K3532="")),"",ROUND(N($J3532)-N($K3532),2))</f>
        <v/>
      </c>
      <c r="M3532" s="13">
        <f>IF(OR($A3532="",AND($J3532="",$K3532="")),"",MIN($J3532,$K3532))</f>
        <v/>
      </c>
      <c r="Q3532">
        <f>IF($A3532="","",$D3532&amp;"("&amp;SUBSTITUTE($E3532," ","")&amp;")")</f>
        <v/>
      </c>
      <c r="R3532">
        <f>IF($A3532="","",$B3532&amp;" - "&amp;$C3532)</f>
        <v/>
      </c>
      <c r="S3532">
        <f>IF($A3532="","",$R3532&amp;"|"&amp;$Q3532)</f>
        <v/>
      </c>
      <c r="T3532">
        <f>IF($A3532="","",$S3532&amp;"|"&amp;$F3532)</f>
        <v/>
      </c>
      <c r="U3532">
        <f>IF($A3532="","",$R3532&amp;"("&amp;$E3532&amp;")")</f>
        <v/>
      </c>
      <c r="V3532">
        <f>IF($A3532="","",$F3532&amp;"|"&amp;$U3532&amp;"|"&amp;$D3532)</f>
        <v/>
      </c>
      <c r="W3532">
        <f>IF($T3532="","",IF($X3532&gt;N($X3531),$X3532,""))</f>
        <v/>
      </c>
      <c r="X3532">
        <f>IF($T3532="",N($X3531),IF(MATCH($T3532,$T$6:$T$6005,0)=ROW()-5,N($X3531)+1,N($X3531)))</f>
        <v/>
      </c>
      <c r="Z3532">
        <f>IF($V3532="","",IF($AA3532&gt;N($AA3531),$AA3532,""))</f>
        <v/>
      </c>
      <c r="AA3532">
        <f>IF($V3532="",N($AA3531),IF(MATCH($V3532,$V$6:$V$6005,0)=ROW()-5,N($AA3531)+1,N($AA3531)))</f>
        <v/>
      </c>
    </row>
    <row r="3533" ht="21" customHeight="1" s="66">
      <c r="A3533" s="56" t="n"/>
      <c r="B3533" s="57" t="n"/>
      <c r="C3533" s="57" t="n"/>
      <c r="D3533" s="57" t="n"/>
      <c r="E3533" s="56" t="n"/>
      <c r="F3533" s="57" t="n"/>
      <c r="G3533" s="57" t="n"/>
      <c r="H3533" s="56" t="n"/>
      <c r="I3533" s="56" t="n"/>
      <c r="J3533" s="58" t="n"/>
      <c r="K3533" s="58" t="n"/>
      <c r="L3533" s="13">
        <f>IF(OR($A3533="",AND($J3533="",$K3533="")),"",ROUND(N($J3533)-N($K3533),2))</f>
        <v/>
      </c>
      <c r="M3533" s="13">
        <f>IF(OR($A3533="",AND($J3533="",$K3533="")),"",MIN($J3533,$K3533))</f>
        <v/>
      </c>
      <c r="Q3533">
        <f>IF($A3533="","",$D3533&amp;"("&amp;SUBSTITUTE($E3533," ","")&amp;")")</f>
        <v/>
      </c>
      <c r="R3533">
        <f>IF($A3533="","",$B3533&amp;" - "&amp;$C3533)</f>
        <v/>
      </c>
      <c r="S3533">
        <f>IF($A3533="","",$R3533&amp;"|"&amp;$Q3533)</f>
        <v/>
      </c>
      <c r="T3533">
        <f>IF($A3533="","",$S3533&amp;"|"&amp;$F3533)</f>
        <v/>
      </c>
      <c r="U3533">
        <f>IF($A3533="","",$R3533&amp;"("&amp;$E3533&amp;")")</f>
        <v/>
      </c>
      <c r="V3533">
        <f>IF($A3533="","",$F3533&amp;"|"&amp;$U3533&amp;"|"&amp;$D3533)</f>
        <v/>
      </c>
      <c r="W3533">
        <f>IF($T3533="","",IF($X3533&gt;N($X3532),$X3533,""))</f>
        <v/>
      </c>
      <c r="X3533">
        <f>IF($T3533="",N($X3532),IF(MATCH($T3533,$T$6:$T$6005,0)=ROW()-5,N($X3532)+1,N($X3532)))</f>
        <v/>
      </c>
      <c r="Z3533">
        <f>IF($V3533="","",IF($AA3533&gt;N($AA3532),$AA3533,""))</f>
        <v/>
      </c>
      <c r="AA3533">
        <f>IF($V3533="",N($AA3532),IF(MATCH($V3533,$V$6:$V$6005,0)=ROW()-5,N($AA3532)+1,N($AA3532)))</f>
        <v/>
      </c>
    </row>
    <row r="3534" ht="21" customHeight="1" s="66">
      <c r="A3534" s="56" t="n"/>
      <c r="B3534" s="57" t="n"/>
      <c r="C3534" s="57" t="n"/>
      <c r="D3534" s="57" t="n"/>
      <c r="E3534" s="56" t="n"/>
      <c r="F3534" s="57" t="n"/>
      <c r="G3534" s="57" t="n"/>
      <c r="H3534" s="56" t="n"/>
      <c r="I3534" s="56" t="n"/>
      <c r="J3534" s="58" t="n"/>
      <c r="K3534" s="58" t="n"/>
      <c r="L3534" s="13">
        <f>IF(OR($A3534="",AND($J3534="",$K3534="")),"",ROUND(N($J3534)-N($K3534),2))</f>
        <v/>
      </c>
      <c r="M3534" s="13">
        <f>IF(OR($A3534="",AND($J3534="",$K3534="")),"",MIN($J3534,$K3534))</f>
        <v/>
      </c>
      <c r="Q3534">
        <f>IF($A3534="","",$D3534&amp;"("&amp;SUBSTITUTE($E3534," ","")&amp;")")</f>
        <v/>
      </c>
      <c r="R3534">
        <f>IF($A3534="","",$B3534&amp;" - "&amp;$C3534)</f>
        <v/>
      </c>
      <c r="S3534">
        <f>IF($A3534="","",$R3534&amp;"|"&amp;$Q3534)</f>
        <v/>
      </c>
      <c r="T3534">
        <f>IF($A3534="","",$S3534&amp;"|"&amp;$F3534)</f>
        <v/>
      </c>
      <c r="U3534">
        <f>IF($A3534="","",$R3534&amp;"("&amp;$E3534&amp;")")</f>
        <v/>
      </c>
      <c r="V3534">
        <f>IF($A3534="","",$F3534&amp;"|"&amp;$U3534&amp;"|"&amp;$D3534)</f>
        <v/>
      </c>
      <c r="W3534">
        <f>IF($T3534="","",IF($X3534&gt;N($X3533),$X3534,""))</f>
        <v/>
      </c>
      <c r="X3534">
        <f>IF($T3534="",N($X3533),IF(MATCH($T3534,$T$6:$T$6005,0)=ROW()-5,N($X3533)+1,N($X3533)))</f>
        <v/>
      </c>
      <c r="Z3534">
        <f>IF($V3534="","",IF($AA3534&gt;N($AA3533),$AA3534,""))</f>
        <v/>
      </c>
      <c r="AA3534">
        <f>IF($V3534="",N($AA3533),IF(MATCH($V3534,$V$6:$V$6005,0)=ROW()-5,N($AA3533)+1,N($AA3533)))</f>
        <v/>
      </c>
    </row>
    <row r="3535" ht="21" customHeight="1" s="66">
      <c r="A3535" s="56" t="n"/>
      <c r="B3535" s="57" t="n"/>
      <c r="C3535" s="57" t="n"/>
      <c r="D3535" s="57" t="n"/>
      <c r="E3535" s="56" t="n"/>
      <c r="F3535" s="57" t="n"/>
      <c r="G3535" s="57" t="n"/>
      <c r="H3535" s="56" t="n"/>
      <c r="I3535" s="56" t="n"/>
      <c r="J3535" s="58" t="n"/>
      <c r="K3535" s="58" t="n"/>
      <c r="L3535" s="13">
        <f>IF(OR($A3535="",AND($J3535="",$K3535="")),"",ROUND(N($J3535)-N($K3535),2))</f>
        <v/>
      </c>
      <c r="M3535" s="13">
        <f>IF(OR($A3535="",AND($J3535="",$K3535="")),"",MIN($J3535,$K3535))</f>
        <v/>
      </c>
      <c r="Q3535">
        <f>IF($A3535="","",$D3535&amp;"("&amp;SUBSTITUTE($E3535," ","")&amp;")")</f>
        <v/>
      </c>
      <c r="R3535">
        <f>IF($A3535="","",$B3535&amp;" - "&amp;$C3535)</f>
        <v/>
      </c>
      <c r="S3535">
        <f>IF($A3535="","",$R3535&amp;"|"&amp;$Q3535)</f>
        <v/>
      </c>
      <c r="T3535">
        <f>IF($A3535="","",$S3535&amp;"|"&amp;$F3535)</f>
        <v/>
      </c>
      <c r="U3535">
        <f>IF($A3535="","",$R3535&amp;"("&amp;$E3535&amp;")")</f>
        <v/>
      </c>
      <c r="V3535">
        <f>IF($A3535="","",$F3535&amp;"|"&amp;$U3535&amp;"|"&amp;$D3535)</f>
        <v/>
      </c>
      <c r="W3535">
        <f>IF($T3535="","",IF($X3535&gt;N($X3534),$X3535,""))</f>
        <v/>
      </c>
      <c r="X3535">
        <f>IF($T3535="",N($X3534),IF(MATCH($T3535,$T$6:$T$6005,0)=ROW()-5,N($X3534)+1,N($X3534)))</f>
        <v/>
      </c>
      <c r="Z3535">
        <f>IF($V3535="","",IF($AA3535&gt;N($AA3534),$AA3535,""))</f>
        <v/>
      </c>
      <c r="AA3535">
        <f>IF($V3535="",N($AA3534),IF(MATCH($V3535,$V$6:$V$6005,0)=ROW()-5,N($AA3534)+1,N($AA3534)))</f>
        <v/>
      </c>
    </row>
    <row r="3536" ht="21" customHeight="1" s="66">
      <c r="A3536" s="56" t="n"/>
      <c r="B3536" s="57" t="n"/>
      <c r="C3536" s="57" t="n"/>
      <c r="D3536" s="57" t="n"/>
      <c r="E3536" s="56" t="n"/>
      <c r="F3536" s="57" t="n"/>
      <c r="G3536" s="57" t="n"/>
      <c r="H3536" s="56" t="n"/>
      <c r="I3536" s="56" t="n"/>
      <c r="J3536" s="58" t="n"/>
      <c r="K3536" s="58" t="n"/>
      <c r="L3536" s="13">
        <f>IF(OR($A3536="",AND($J3536="",$K3536="")),"",ROUND(N($J3536)-N($K3536),2))</f>
        <v/>
      </c>
      <c r="M3536" s="13">
        <f>IF(OR($A3536="",AND($J3536="",$K3536="")),"",MIN($J3536,$K3536))</f>
        <v/>
      </c>
      <c r="Q3536">
        <f>IF($A3536="","",$D3536&amp;"("&amp;SUBSTITUTE($E3536," ","")&amp;")")</f>
        <v/>
      </c>
      <c r="R3536">
        <f>IF($A3536="","",$B3536&amp;" - "&amp;$C3536)</f>
        <v/>
      </c>
      <c r="S3536">
        <f>IF($A3536="","",$R3536&amp;"|"&amp;$Q3536)</f>
        <v/>
      </c>
      <c r="T3536">
        <f>IF($A3536="","",$S3536&amp;"|"&amp;$F3536)</f>
        <v/>
      </c>
      <c r="U3536">
        <f>IF($A3536="","",$R3536&amp;"("&amp;$E3536&amp;")")</f>
        <v/>
      </c>
      <c r="V3536">
        <f>IF($A3536="","",$F3536&amp;"|"&amp;$U3536&amp;"|"&amp;$D3536)</f>
        <v/>
      </c>
      <c r="W3536">
        <f>IF($T3536="","",IF($X3536&gt;N($X3535),$X3536,""))</f>
        <v/>
      </c>
      <c r="X3536">
        <f>IF($T3536="",N($X3535),IF(MATCH($T3536,$T$6:$T$6005,0)=ROW()-5,N($X3535)+1,N($X3535)))</f>
        <v/>
      </c>
      <c r="Z3536">
        <f>IF($V3536="","",IF($AA3536&gt;N($AA3535),$AA3536,""))</f>
        <v/>
      </c>
      <c r="AA3536">
        <f>IF($V3536="",N($AA3535),IF(MATCH($V3536,$V$6:$V$6005,0)=ROW()-5,N($AA3535)+1,N($AA3535)))</f>
        <v/>
      </c>
    </row>
    <row r="3537" ht="21" customHeight="1" s="66">
      <c r="A3537" s="56" t="n"/>
      <c r="B3537" s="57" t="n"/>
      <c r="C3537" s="57" t="n"/>
      <c r="D3537" s="57" t="n"/>
      <c r="E3537" s="56" t="n"/>
      <c r="F3537" s="57" t="n"/>
      <c r="G3537" s="57" t="n"/>
      <c r="H3537" s="56" t="n"/>
      <c r="I3537" s="56" t="n"/>
      <c r="J3537" s="58" t="n"/>
      <c r="K3537" s="58" t="n"/>
      <c r="L3537" s="13">
        <f>IF(OR($A3537="",AND($J3537="",$K3537="")),"",ROUND(N($J3537)-N($K3537),2))</f>
        <v/>
      </c>
      <c r="M3537" s="13">
        <f>IF(OR($A3537="",AND($J3537="",$K3537="")),"",MIN($J3537,$K3537))</f>
        <v/>
      </c>
      <c r="Q3537">
        <f>IF($A3537="","",$D3537&amp;"("&amp;SUBSTITUTE($E3537," ","")&amp;")")</f>
        <v/>
      </c>
      <c r="R3537">
        <f>IF($A3537="","",$B3537&amp;" - "&amp;$C3537)</f>
        <v/>
      </c>
      <c r="S3537">
        <f>IF($A3537="","",$R3537&amp;"|"&amp;$Q3537)</f>
        <v/>
      </c>
      <c r="T3537">
        <f>IF($A3537="","",$S3537&amp;"|"&amp;$F3537)</f>
        <v/>
      </c>
      <c r="U3537">
        <f>IF($A3537="","",$R3537&amp;"("&amp;$E3537&amp;")")</f>
        <v/>
      </c>
      <c r="V3537">
        <f>IF($A3537="","",$F3537&amp;"|"&amp;$U3537&amp;"|"&amp;$D3537)</f>
        <v/>
      </c>
      <c r="W3537">
        <f>IF($T3537="","",IF($X3537&gt;N($X3536),$X3537,""))</f>
        <v/>
      </c>
      <c r="X3537">
        <f>IF($T3537="",N($X3536),IF(MATCH($T3537,$T$6:$T$6005,0)=ROW()-5,N($X3536)+1,N($X3536)))</f>
        <v/>
      </c>
      <c r="Z3537">
        <f>IF($V3537="","",IF($AA3537&gt;N($AA3536),$AA3537,""))</f>
        <v/>
      </c>
      <c r="AA3537">
        <f>IF($V3537="",N($AA3536),IF(MATCH($V3537,$V$6:$V$6005,0)=ROW()-5,N($AA3536)+1,N($AA3536)))</f>
        <v/>
      </c>
    </row>
    <row r="3538" ht="21" customHeight="1" s="66">
      <c r="A3538" s="56" t="n"/>
      <c r="B3538" s="57" t="n"/>
      <c r="C3538" s="57" t="n"/>
      <c r="D3538" s="57" t="n"/>
      <c r="E3538" s="56" t="n"/>
      <c r="F3538" s="57" t="n"/>
      <c r="G3538" s="57" t="n"/>
      <c r="H3538" s="56" t="n"/>
      <c r="I3538" s="56" t="n"/>
      <c r="J3538" s="58" t="n"/>
      <c r="K3538" s="58" t="n"/>
      <c r="L3538" s="13">
        <f>IF(OR($A3538="",AND($J3538="",$K3538="")),"",ROUND(N($J3538)-N($K3538),2))</f>
        <v/>
      </c>
      <c r="M3538" s="13">
        <f>IF(OR($A3538="",AND($J3538="",$K3538="")),"",MIN($J3538,$K3538))</f>
        <v/>
      </c>
      <c r="Q3538">
        <f>IF($A3538="","",$D3538&amp;"("&amp;SUBSTITUTE($E3538," ","")&amp;")")</f>
        <v/>
      </c>
      <c r="R3538">
        <f>IF($A3538="","",$B3538&amp;" - "&amp;$C3538)</f>
        <v/>
      </c>
      <c r="S3538">
        <f>IF($A3538="","",$R3538&amp;"|"&amp;$Q3538)</f>
        <v/>
      </c>
      <c r="T3538">
        <f>IF($A3538="","",$S3538&amp;"|"&amp;$F3538)</f>
        <v/>
      </c>
      <c r="U3538">
        <f>IF($A3538="","",$R3538&amp;"("&amp;$E3538&amp;")")</f>
        <v/>
      </c>
      <c r="V3538">
        <f>IF($A3538="","",$F3538&amp;"|"&amp;$U3538&amp;"|"&amp;$D3538)</f>
        <v/>
      </c>
      <c r="W3538">
        <f>IF($T3538="","",IF($X3538&gt;N($X3537),$X3538,""))</f>
        <v/>
      </c>
      <c r="X3538">
        <f>IF($T3538="",N($X3537),IF(MATCH($T3538,$T$6:$T$6005,0)=ROW()-5,N($X3537)+1,N($X3537)))</f>
        <v/>
      </c>
      <c r="Z3538">
        <f>IF($V3538="","",IF($AA3538&gt;N($AA3537),$AA3538,""))</f>
        <v/>
      </c>
      <c r="AA3538">
        <f>IF($V3538="",N($AA3537),IF(MATCH($V3538,$V$6:$V$6005,0)=ROW()-5,N($AA3537)+1,N($AA3537)))</f>
        <v/>
      </c>
    </row>
    <row r="3539" ht="21" customHeight="1" s="66">
      <c r="A3539" s="56" t="n"/>
      <c r="B3539" s="57" t="n"/>
      <c r="C3539" s="57" t="n"/>
      <c r="D3539" s="57" t="n"/>
      <c r="E3539" s="56" t="n"/>
      <c r="F3539" s="57" t="n"/>
      <c r="G3539" s="57" t="n"/>
      <c r="H3539" s="56" t="n"/>
      <c r="I3539" s="56" t="n"/>
      <c r="J3539" s="58" t="n"/>
      <c r="K3539" s="58" t="n"/>
      <c r="L3539" s="13">
        <f>IF(OR($A3539="",AND($J3539="",$K3539="")),"",ROUND(N($J3539)-N($K3539),2))</f>
        <v/>
      </c>
      <c r="M3539" s="13">
        <f>IF(OR($A3539="",AND($J3539="",$K3539="")),"",MIN($J3539,$K3539))</f>
        <v/>
      </c>
      <c r="Q3539">
        <f>IF($A3539="","",$D3539&amp;"("&amp;SUBSTITUTE($E3539," ","")&amp;")")</f>
        <v/>
      </c>
      <c r="R3539">
        <f>IF($A3539="","",$B3539&amp;" - "&amp;$C3539)</f>
        <v/>
      </c>
      <c r="S3539">
        <f>IF($A3539="","",$R3539&amp;"|"&amp;$Q3539)</f>
        <v/>
      </c>
      <c r="T3539">
        <f>IF($A3539="","",$S3539&amp;"|"&amp;$F3539)</f>
        <v/>
      </c>
      <c r="U3539">
        <f>IF($A3539="","",$R3539&amp;"("&amp;$E3539&amp;")")</f>
        <v/>
      </c>
      <c r="V3539">
        <f>IF($A3539="","",$F3539&amp;"|"&amp;$U3539&amp;"|"&amp;$D3539)</f>
        <v/>
      </c>
      <c r="W3539">
        <f>IF($T3539="","",IF($X3539&gt;N($X3538),$X3539,""))</f>
        <v/>
      </c>
      <c r="X3539">
        <f>IF($T3539="",N($X3538),IF(MATCH($T3539,$T$6:$T$6005,0)=ROW()-5,N($X3538)+1,N($X3538)))</f>
        <v/>
      </c>
      <c r="Z3539">
        <f>IF($V3539="","",IF($AA3539&gt;N($AA3538),$AA3539,""))</f>
        <v/>
      </c>
      <c r="AA3539">
        <f>IF($V3539="",N($AA3538),IF(MATCH($V3539,$V$6:$V$6005,0)=ROW()-5,N($AA3538)+1,N($AA3538)))</f>
        <v/>
      </c>
    </row>
    <row r="3540" ht="21" customHeight="1" s="66">
      <c r="A3540" s="56" t="n"/>
      <c r="B3540" s="57" t="n"/>
      <c r="C3540" s="57" t="n"/>
      <c r="D3540" s="57" t="n"/>
      <c r="E3540" s="56" t="n"/>
      <c r="F3540" s="57" t="n"/>
      <c r="G3540" s="57" t="n"/>
      <c r="H3540" s="56" t="n"/>
      <c r="I3540" s="56" t="n"/>
      <c r="J3540" s="58" t="n"/>
      <c r="K3540" s="58" t="n"/>
      <c r="L3540" s="13">
        <f>IF(OR($A3540="",AND($J3540="",$K3540="")),"",ROUND(N($J3540)-N($K3540),2))</f>
        <v/>
      </c>
      <c r="M3540" s="13">
        <f>IF(OR($A3540="",AND($J3540="",$K3540="")),"",MIN($J3540,$K3540))</f>
        <v/>
      </c>
      <c r="Q3540">
        <f>IF($A3540="","",$D3540&amp;"("&amp;SUBSTITUTE($E3540," ","")&amp;")")</f>
        <v/>
      </c>
      <c r="R3540">
        <f>IF($A3540="","",$B3540&amp;" - "&amp;$C3540)</f>
        <v/>
      </c>
      <c r="S3540">
        <f>IF($A3540="","",$R3540&amp;"|"&amp;$Q3540)</f>
        <v/>
      </c>
      <c r="T3540">
        <f>IF($A3540="","",$S3540&amp;"|"&amp;$F3540)</f>
        <v/>
      </c>
      <c r="U3540">
        <f>IF($A3540="","",$R3540&amp;"("&amp;$E3540&amp;")")</f>
        <v/>
      </c>
      <c r="V3540">
        <f>IF($A3540="","",$F3540&amp;"|"&amp;$U3540&amp;"|"&amp;$D3540)</f>
        <v/>
      </c>
      <c r="W3540">
        <f>IF($T3540="","",IF($X3540&gt;N($X3539),$X3540,""))</f>
        <v/>
      </c>
      <c r="X3540">
        <f>IF($T3540="",N($X3539),IF(MATCH($T3540,$T$6:$T$6005,0)=ROW()-5,N($X3539)+1,N($X3539)))</f>
        <v/>
      </c>
      <c r="Z3540">
        <f>IF($V3540="","",IF($AA3540&gt;N($AA3539),$AA3540,""))</f>
        <v/>
      </c>
      <c r="AA3540">
        <f>IF($V3540="",N($AA3539),IF(MATCH($V3540,$V$6:$V$6005,0)=ROW()-5,N($AA3539)+1,N($AA3539)))</f>
        <v/>
      </c>
    </row>
    <row r="3541" ht="21" customHeight="1" s="66">
      <c r="A3541" s="56" t="n"/>
      <c r="B3541" s="57" t="n"/>
      <c r="C3541" s="57" t="n"/>
      <c r="D3541" s="57" t="n"/>
      <c r="E3541" s="56" t="n"/>
      <c r="F3541" s="57" t="n"/>
      <c r="G3541" s="57" t="n"/>
      <c r="H3541" s="56" t="n"/>
      <c r="I3541" s="56" t="n"/>
      <c r="J3541" s="58" t="n"/>
      <c r="K3541" s="58" t="n"/>
      <c r="L3541" s="13">
        <f>IF(OR($A3541="",AND($J3541="",$K3541="")),"",ROUND(N($J3541)-N($K3541),2))</f>
        <v/>
      </c>
      <c r="M3541" s="13">
        <f>IF(OR($A3541="",AND($J3541="",$K3541="")),"",MIN($J3541,$K3541))</f>
        <v/>
      </c>
      <c r="Q3541">
        <f>IF($A3541="","",$D3541&amp;"("&amp;SUBSTITUTE($E3541," ","")&amp;")")</f>
        <v/>
      </c>
      <c r="R3541">
        <f>IF($A3541="","",$B3541&amp;" - "&amp;$C3541)</f>
        <v/>
      </c>
      <c r="S3541">
        <f>IF($A3541="","",$R3541&amp;"|"&amp;$Q3541)</f>
        <v/>
      </c>
      <c r="T3541">
        <f>IF($A3541="","",$S3541&amp;"|"&amp;$F3541)</f>
        <v/>
      </c>
      <c r="U3541">
        <f>IF($A3541="","",$R3541&amp;"("&amp;$E3541&amp;")")</f>
        <v/>
      </c>
      <c r="V3541">
        <f>IF($A3541="","",$F3541&amp;"|"&amp;$U3541&amp;"|"&amp;$D3541)</f>
        <v/>
      </c>
      <c r="W3541">
        <f>IF($T3541="","",IF($X3541&gt;N($X3540),$X3541,""))</f>
        <v/>
      </c>
      <c r="X3541">
        <f>IF($T3541="",N($X3540),IF(MATCH($T3541,$T$6:$T$6005,0)=ROW()-5,N($X3540)+1,N($X3540)))</f>
        <v/>
      </c>
      <c r="Z3541">
        <f>IF($V3541="","",IF($AA3541&gt;N($AA3540),$AA3541,""))</f>
        <v/>
      </c>
      <c r="AA3541">
        <f>IF($V3541="",N($AA3540),IF(MATCH($V3541,$V$6:$V$6005,0)=ROW()-5,N($AA3540)+1,N($AA3540)))</f>
        <v/>
      </c>
    </row>
    <row r="3542" ht="21" customHeight="1" s="66">
      <c r="A3542" s="56" t="n"/>
      <c r="B3542" s="57" t="n"/>
      <c r="C3542" s="57" t="n"/>
      <c r="D3542" s="57" t="n"/>
      <c r="E3542" s="56" t="n"/>
      <c r="F3542" s="57" t="n"/>
      <c r="G3542" s="57" t="n"/>
      <c r="H3542" s="56" t="n"/>
      <c r="I3542" s="56" t="n"/>
      <c r="J3542" s="58" t="n"/>
      <c r="K3542" s="58" t="n"/>
      <c r="L3542" s="13">
        <f>IF(OR($A3542="",AND($J3542="",$K3542="")),"",ROUND(N($J3542)-N($K3542),2))</f>
        <v/>
      </c>
      <c r="M3542" s="13">
        <f>IF(OR($A3542="",AND($J3542="",$K3542="")),"",MIN($J3542,$K3542))</f>
        <v/>
      </c>
      <c r="Q3542">
        <f>IF($A3542="","",$D3542&amp;"("&amp;SUBSTITUTE($E3542," ","")&amp;")")</f>
        <v/>
      </c>
      <c r="R3542">
        <f>IF($A3542="","",$B3542&amp;" - "&amp;$C3542)</f>
        <v/>
      </c>
      <c r="S3542">
        <f>IF($A3542="","",$R3542&amp;"|"&amp;$Q3542)</f>
        <v/>
      </c>
      <c r="T3542">
        <f>IF($A3542="","",$S3542&amp;"|"&amp;$F3542)</f>
        <v/>
      </c>
      <c r="U3542">
        <f>IF($A3542="","",$R3542&amp;"("&amp;$E3542&amp;")")</f>
        <v/>
      </c>
      <c r="V3542">
        <f>IF($A3542="","",$F3542&amp;"|"&amp;$U3542&amp;"|"&amp;$D3542)</f>
        <v/>
      </c>
      <c r="W3542">
        <f>IF($T3542="","",IF($X3542&gt;N($X3541),$X3542,""))</f>
        <v/>
      </c>
      <c r="X3542">
        <f>IF($T3542="",N($X3541),IF(MATCH($T3542,$T$6:$T$6005,0)=ROW()-5,N($X3541)+1,N($X3541)))</f>
        <v/>
      </c>
      <c r="Z3542">
        <f>IF($V3542="","",IF($AA3542&gt;N($AA3541),$AA3542,""))</f>
        <v/>
      </c>
      <c r="AA3542">
        <f>IF($V3542="",N($AA3541),IF(MATCH($V3542,$V$6:$V$6005,0)=ROW()-5,N($AA3541)+1,N($AA3541)))</f>
        <v/>
      </c>
    </row>
    <row r="3543" ht="21" customHeight="1" s="66">
      <c r="A3543" s="56" t="n"/>
      <c r="B3543" s="57" t="n"/>
      <c r="C3543" s="57" t="n"/>
      <c r="D3543" s="57" t="n"/>
      <c r="E3543" s="56" t="n"/>
      <c r="F3543" s="57" t="n"/>
      <c r="G3543" s="57" t="n"/>
      <c r="H3543" s="56" t="n"/>
      <c r="I3543" s="56" t="n"/>
      <c r="J3543" s="58" t="n"/>
      <c r="K3543" s="58" t="n"/>
      <c r="L3543" s="13">
        <f>IF(OR($A3543="",AND($J3543="",$K3543="")),"",ROUND(N($J3543)-N($K3543),2))</f>
        <v/>
      </c>
      <c r="M3543" s="13">
        <f>IF(OR($A3543="",AND($J3543="",$K3543="")),"",MIN($J3543,$K3543))</f>
        <v/>
      </c>
      <c r="Q3543">
        <f>IF($A3543="","",$D3543&amp;"("&amp;SUBSTITUTE($E3543," ","")&amp;")")</f>
        <v/>
      </c>
      <c r="R3543">
        <f>IF($A3543="","",$B3543&amp;" - "&amp;$C3543)</f>
        <v/>
      </c>
      <c r="S3543">
        <f>IF($A3543="","",$R3543&amp;"|"&amp;$Q3543)</f>
        <v/>
      </c>
      <c r="T3543">
        <f>IF($A3543="","",$S3543&amp;"|"&amp;$F3543)</f>
        <v/>
      </c>
      <c r="U3543">
        <f>IF($A3543="","",$R3543&amp;"("&amp;$E3543&amp;")")</f>
        <v/>
      </c>
      <c r="V3543">
        <f>IF($A3543="","",$F3543&amp;"|"&amp;$U3543&amp;"|"&amp;$D3543)</f>
        <v/>
      </c>
      <c r="W3543">
        <f>IF($T3543="","",IF($X3543&gt;N($X3542),$X3543,""))</f>
        <v/>
      </c>
      <c r="X3543">
        <f>IF($T3543="",N($X3542),IF(MATCH($T3543,$T$6:$T$6005,0)=ROW()-5,N($X3542)+1,N($X3542)))</f>
        <v/>
      </c>
      <c r="Z3543">
        <f>IF($V3543="","",IF($AA3543&gt;N($AA3542),$AA3543,""))</f>
        <v/>
      </c>
      <c r="AA3543">
        <f>IF($V3543="",N($AA3542),IF(MATCH($V3543,$V$6:$V$6005,0)=ROW()-5,N($AA3542)+1,N($AA3542)))</f>
        <v/>
      </c>
    </row>
    <row r="3544" ht="21" customHeight="1" s="66">
      <c r="A3544" s="56" t="n"/>
      <c r="B3544" s="57" t="n"/>
      <c r="C3544" s="57" t="n"/>
      <c r="D3544" s="57" t="n"/>
      <c r="E3544" s="56" t="n"/>
      <c r="F3544" s="57" t="n"/>
      <c r="G3544" s="57" t="n"/>
      <c r="H3544" s="56" t="n"/>
      <c r="I3544" s="56" t="n"/>
      <c r="J3544" s="58" t="n"/>
      <c r="K3544" s="58" t="n"/>
      <c r="L3544" s="13">
        <f>IF(OR($A3544="",AND($J3544="",$K3544="")),"",ROUND(N($J3544)-N($K3544),2))</f>
        <v/>
      </c>
      <c r="M3544" s="13">
        <f>IF(OR($A3544="",AND($J3544="",$K3544="")),"",MIN($J3544,$K3544))</f>
        <v/>
      </c>
      <c r="Q3544">
        <f>IF($A3544="","",$D3544&amp;"("&amp;SUBSTITUTE($E3544," ","")&amp;")")</f>
        <v/>
      </c>
      <c r="R3544">
        <f>IF($A3544="","",$B3544&amp;" - "&amp;$C3544)</f>
        <v/>
      </c>
      <c r="S3544">
        <f>IF($A3544="","",$R3544&amp;"|"&amp;$Q3544)</f>
        <v/>
      </c>
      <c r="T3544">
        <f>IF($A3544="","",$S3544&amp;"|"&amp;$F3544)</f>
        <v/>
      </c>
      <c r="U3544">
        <f>IF($A3544="","",$R3544&amp;"("&amp;$E3544&amp;")")</f>
        <v/>
      </c>
      <c r="V3544">
        <f>IF($A3544="","",$F3544&amp;"|"&amp;$U3544&amp;"|"&amp;$D3544)</f>
        <v/>
      </c>
      <c r="W3544">
        <f>IF($T3544="","",IF($X3544&gt;N($X3543),$X3544,""))</f>
        <v/>
      </c>
      <c r="X3544">
        <f>IF($T3544="",N($X3543),IF(MATCH($T3544,$T$6:$T$6005,0)=ROW()-5,N($X3543)+1,N($X3543)))</f>
        <v/>
      </c>
      <c r="Z3544">
        <f>IF($V3544="","",IF($AA3544&gt;N($AA3543),$AA3544,""))</f>
        <v/>
      </c>
      <c r="AA3544">
        <f>IF($V3544="",N($AA3543),IF(MATCH($V3544,$V$6:$V$6005,0)=ROW()-5,N($AA3543)+1,N($AA3543)))</f>
        <v/>
      </c>
    </row>
    <row r="3545" ht="21" customHeight="1" s="66">
      <c r="A3545" s="56" t="n"/>
      <c r="B3545" s="57" t="n"/>
      <c r="C3545" s="57" t="n"/>
      <c r="D3545" s="57" t="n"/>
      <c r="E3545" s="56" t="n"/>
      <c r="F3545" s="57" t="n"/>
      <c r="G3545" s="57" t="n"/>
      <c r="H3545" s="56" t="n"/>
      <c r="I3545" s="56" t="n"/>
      <c r="J3545" s="58" t="n"/>
      <c r="K3545" s="58" t="n"/>
      <c r="L3545" s="13">
        <f>IF(OR($A3545="",AND($J3545="",$K3545="")),"",ROUND(N($J3545)-N($K3545),2))</f>
        <v/>
      </c>
      <c r="M3545" s="13">
        <f>IF(OR($A3545="",AND($J3545="",$K3545="")),"",MIN($J3545,$K3545))</f>
        <v/>
      </c>
      <c r="Q3545">
        <f>IF($A3545="","",$D3545&amp;"("&amp;SUBSTITUTE($E3545," ","")&amp;")")</f>
        <v/>
      </c>
      <c r="R3545">
        <f>IF($A3545="","",$B3545&amp;" - "&amp;$C3545)</f>
        <v/>
      </c>
      <c r="S3545">
        <f>IF($A3545="","",$R3545&amp;"|"&amp;$Q3545)</f>
        <v/>
      </c>
      <c r="T3545">
        <f>IF($A3545="","",$S3545&amp;"|"&amp;$F3545)</f>
        <v/>
      </c>
      <c r="U3545">
        <f>IF($A3545="","",$R3545&amp;"("&amp;$E3545&amp;")")</f>
        <v/>
      </c>
      <c r="V3545">
        <f>IF($A3545="","",$F3545&amp;"|"&amp;$U3545&amp;"|"&amp;$D3545)</f>
        <v/>
      </c>
      <c r="W3545">
        <f>IF($T3545="","",IF($X3545&gt;N($X3544),$X3545,""))</f>
        <v/>
      </c>
      <c r="X3545">
        <f>IF($T3545="",N($X3544),IF(MATCH($T3545,$T$6:$T$6005,0)=ROW()-5,N($X3544)+1,N($X3544)))</f>
        <v/>
      </c>
      <c r="Z3545">
        <f>IF($V3545="","",IF($AA3545&gt;N($AA3544),$AA3545,""))</f>
        <v/>
      </c>
      <c r="AA3545">
        <f>IF($V3545="",N($AA3544),IF(MATCH($V3545,$V$6:$V$6005,0)=ROW()-5,N($AA3544)+1,N($AA3544)))</f>
        <v/>
      </c>
    </row>
    <row r="3546" ht="21" customHeight="1" s="66">
      <c r="A3546" s="56" t="n"/>
      <c r="B3546" s="57" t="n"/>
      <c r="C3546" s="57" t="n"/>
      <c r="D3546" s="57" t="n"/>
      <c r="E3546" s="56" t="n"/>
      <c r="F3546" s="57" t="n"/>
      <c r="G3546" s="57" t="n"/>
      <c r="H3546" s="56" t="n"/>
      <c r="I3546" s="56" t="n"/>
      <c r="J3546" s="58" t="n"/>
      <c r="K3546" s="58" t="n"/>
      <c r="L3546" s="13">
        <f>IF(OR($A3546="",AND($J3546="",$K3546="")),"",ROUND(N($J3546)-N($K3546),2))</f>
        <v/>
      </c>
      <c r="M3546" s="13">
        <f>IF(OR($A3546="",AND($J3546="",$K3546="")),"",MIN($J3546,$K3546))</f>
        <v/>
      </c>
      <c r="Q3546">
        <f>IF($A3546="","",$D3546&amp;"("&amp;SUBSTITUTE($E3546," ","")&amp;")")</f>
        <v/>
      </c>
      <c r="R3546">
        <f>IF($A3546="","",$B3546&amp;" - "&amp;$C3546)</f>
        <v/>
      </c>
      <c r="S3546">
        <f>IF($A3546="","",$R3546&amp;"|"&amp;$Q3546)</f>
        <v/>
      </c>
      <c r="T3546">
        <f>IF($A3546="","",$S3546&amp;"|"&amp;$F3546)</f>
        <v/>
      </c>
      <c r="U3546">
        <f>IF($A3546="","",$R3546&amp;"("&amp;$E3546&amp;")")</f>
        <v/>
      </c>
      <c r="V3546">
        <f>IF($A3546="","",$F3546&amp;"|"&amp;$U3546&amp;"|"&amp;$D3546)</f>
        <v/>
      </c>
      <c r="W3546">
        <f>IF($T3546="","",IF($X3546&gt;N($X3545),$X3546,""))</f>
        <v/>
      </c>
      <c r="X3546">
        <f>IF($T3546="",N($X3545),IF(MATCH($T3546,$T$6:$T$6005,0)=ROW()-5,N($X3545)+1,N($X3545)))</f>
        <v/>
      </c>
      <c r="Z3546">
        <f>IF($V3546="","",IF($AA3546&gt;N($AA3545),$AA3546,""))</f>
        <v/>
      </c>
      <c r="AA3546">
        <f>IF($V3546="",N($AA3545),IF(MATCH($V3546,$V$6:$V$6005,0)=ROW()-5,N($AA3545)+1,N($AA3545)))</f>
        <v/>
      </c>
    </row>
    <row r="3547" ht="21" customHeight="1" s="66">
      <c r="A3547" s="56" t="n"/>
      <c r="B3547" s="57" t="n"/>
      <c r="C3547" s="57" t="n"/>
      <c r="D3547" s="57" t="n"/>
      <c r="E3547" s="56" t="n"/>
      <c r="F3547" s="57" t="n"/>
      <c r="G3547" s="57" t="n"/>
      <c r="H3547" s="56" t="n"/>
      <c r="I3547" s="56" t="n"/>
      <c r="J3547" s="58" t="n"/>
      <c r="K3547" s="58" t="n"/>
      <c r="L3547" s="13">
        <f>IF(OR($A3547="",AND($J3547="",$K3547="")),"",ROUND(N($J3547)-N($K3547),2))</f>
        <v/>
      </c>
      <c r="M3547" s="13">
        <f>IF(OR($A3547="",AND($J3547="",$K3547="")),"",MIN($J3547,$K3547))</f>
        <v/>
      </c>
      <c r="Q3547">
        <f>IF($A3547="","",$D3547&amp;"("&amp;SUBSTITUTE($E3547," ","")&amp;")")</f>
        <v/>
      </c>
      <c r="R3547">
        <f>IF($A3547="","",$B3547&amp;" - "&amp;$C3547)</f>
        <v/>
      </c>
      <c r="S3547">
        <f>IF($A3547="","",$R3547&amp;"|"&amp;$Q3547)</f>
        <v/>
      </c>
      <c r="T3547">
        <f>IF($A3547="","",$S3547&amp;"|"&amp;$F3547)</f>
        <v/>
      </c>
      <c r="U3547">
        <f>IF($A3547="","",$R3547&amp;"("&amp;$E3547&amp;")")</f>
        <v/>
      </c>
      <c r="V3547">
        <f>IF($A3547="","",$F3547&amp;"|"&amp;$U3547&amp;"|"&amp;$D3547)</f>
        <v/>
      </c>
      <c r="W3547">
        <f>IF($T3547="","",IF($X3547&gt;N($X3546),$X3547,""))</f>
        <v/>
      </c>
      <c r="X3547">
        <f>IF($T3547="",N($X3546),IF(MATCH($T3547,$T$6:$T$6005,0)=ROW()-5,N($X3546)+1,N($X3546)))</f>
        <v/>
      </c>
      <c r="Z3547">
        <f>IF($V3547="","",IF($AA3547&gt;N($AA3546),$AA3547,""))</f>
        <v/>
      </c>
      <c r="AA3547">
        <f>IF($V3547="",N($AA3546),IF(MATCH($V3547,$V$6:$V$6005,0)=ROW()-5,N($AA3546)+1,N($AA3546)))</f>
        <v/>
      </c>
    </row>
    <row r="3548" ht="21" customHeight="1" s="66">
      <c r="A3548" s="56" t="n"/>
      <c r="B3548" s="57" t="n"/>
      <c r="C3548" s="57" t="n"/>
      <c r="D3548" s="57" t="n"/>
      <c r="E3548" s="56" t="n"/>
      <c r="F3548" s="57" t="n"/>
      <c r="G3548" s="57" t="n"/>
      <c r="H3548" s="56" t="n"/>
      <c r="I3548" s="56" t="n"/>
      <c r="J3548" s="58" t="n"/>
      <c r="K3548" s="58" t="n"/>
      <c r="L3548" s="13">
        <f>IF(OR($A3548="",AND($J3548="",$K3548="")),"",ROUND(N($J3548)-N($K3548),2))</f>
        <v/>
      </c>
      <c r="M3548" s="13">
        <f>IF(OR($A3548="",AND($J3548="",$K3548="")),"",MIN($J3548,$K3548))</f>
        <v/>
      </c>
      <c r="Q3548">
        <f>IF($A3548="","",$D3548&amp;"("&amp;SUBSTITUTE($E3548," ","")&amp;")")</f>
        <v/>
      </c>
      <c r="R3548">
        <f>IF($A3548="","",$B3548&amp;" - "&amp;$C3548)</f>
        <v/>
      </c>
      <c r="S3548">
        <f>IF($A3548="","",$R3548&amp;"|"&amp;$Q3548)</f>
        <v/>
      </c>
      <c r="T3548">
        <f>IF($A3548="","",$S3548&amp;"|"&amp;$F3548)</f>
        <v/>
      </c>
      <c r="U3548">
        <f>IF($A3548="","",$R3548&amp;"("&amp;$E3548&amp;")")</f>
        <v/>
      </c>
      <c r="V3548">
        <f>IF($A3548="","",$F3548&amp;"|"&amp;$U3548&amp;"|"&amp;$D3548)</f>
        <v/>
      </c>
      <c r="W3548">
        <f>IF($T3548="","",IF($X3548&gt;N($X3547),$X3548,""))</f>
        <v/>
      </c>
      <c r="X3548">
        <f>IF($T3548="",N($X3547),IF(MATCH($T3548,$T$6:$T$6005,0)=ROW()-5,N($X3547)+1,N($X3547)))</f>
        <v/>
      </c>
      <c r="Z3548">
        <f>IF($V3548="","",IF($AA3548&gt;N($AA3547),$AA3548,""))</f>
        <v/>
      </c>
      <c r="AA3548">
        <f>IF($V3548="",N($AA3547),IF(MATCH($V3548,$V$6:$V$6005,0)=ROW()-5,N($AA3547)+1,N($AA3547)))</f>
        <v/>
      </c>
    </row>
    <row r="3549" ht="21" customHeight="1" s="66">
      <c r="A3549" s="56" t="n"/>
      <c r="B3549" s="57" t="n"/>
      <c r="C3549" s="57" t="n"/>
      <c r="D3549" s="57" t="n"/>
      <c r="E3549" s="56" t="n"/>
      <c r="F3549" s="57" t="n"/>
      <c r="G3549" s="57" t="n"/>
      <c r="H3549" s="56" t="n"/>
      <c r="I3549" s="56" t="n"/>
      <c r="J3549" s="58" t="n"/>
      <c r="K3549" s="58" t="n"/>
      <c r="L3549" s="13">
        <f>IF(OR($A3549="",AND($J3549="",$K3549="")),"",ROUND(N($J3549)-N($K3549),2))</f>
        <v/>
      </c>
      <c r="M3549" s="13">
        <f>IF(OR($A3549="",AND($J3549="",$K3549="")),"",MIN($J3549,$K3549))</f>
        <v/>
      </c>
      <c r="Q3549">
        <f>IF($A3549="","",$D3549&amp;"("&amp;SUBSTITUTE($E3549," ","")&amp;")")</f>
        <v/>
      </c>
      <c r="R3549">
        <f>IF($A3549="","",$B3549&amp;" - "&amp;$C3549)</f>
        <v/>
      </c>
      <c r="S3549">
        <f>IF($A3549="","",$R3549&amp;"|"&amp;$Q3549)</f>
        <v/>
      </c>
      <c r="T3549">
        <f>IF($A3549="","",$S3549&amp;"|"&amp;$F3549)</f>
        <v/>
      </c>
      <c r="U3549">
        <f>IF($A3549="","",$R3549&amp;"("&amp;$E3549&amp;")")</f>
        <v/>
      </c>
      <c r="V3549">
        <f>IF($A3549="","",$F3549&amp;"|"&amp;$U3549&amp;"|"&amp;$D3549)</f>
        <v/>
      </c>
      <c r="W3549">
        <f>IF($T3549="","",IF($X3549&gt;N($X3548),$X3549,""))</f>
        <v/>
      </c>
      <c r="X3549">
        <f>IF($T3549="",N($X3548),IF(MATCH($T3549,$T$6:$T$6005,0)=ROW()-5,N($X3548)+1,N($X3548)))</f>
        <v/>
      </c>
      <c r="Z3549">
        <f>IF($V3549="","",IF($AA3549&gt;N($AA3548),$AA3549,""))</f>
        <v/>
      </c>
      <c r="AA3549">
        <f>IF($V3549="",N($AA3548),IF(MATCH($V3549,$V$6:$V$6005,0)=ROW()-5,N($AA3548)+1,N($AA3548)))</f>
        <v/>
      </c>
    </row>
    <row r="3550" ht="21" customHeight="1" s="66">
      <c r="A3550" s="56" t="n"/>
      <c r="B3550" s="57" t="n"/>
      <c r="C3550" s="57" t="n"/>
      <c r="D3550" s="57" t="n"/>
      <c r="E3550" s="56" t="n"/>
      <c r="F3550" s="57" t="n"/>
      <c r="G3550" s="57" t="n"/>
      <c r="H3550" s="56" t="n"/>
      <c r="I3550" s="56" t="n"/>
      <c r="J3550" s="58" t="n"/>
      <c r="K3550" s="58" t="n"/>
      <c r="L3550" s="13">
        <f>IF(OR($A3550="",AND($J3550="",$K3550="")),"",ROUND(N($J3550)-N($K3550),2))</f>
        <v/>
      </c>
      <c r="M3550" s="13">
        <f>IF(OR($A3550="",AND($J3550="",$K3550="")),"",MIN($J3550,$K3550))</f>
        <v/>
      </c>
      <c r="Q3550">
        <f>IF($A3550="","",$D3550&amp;"("&amp;SUBSTITUTE($E3550," ","")&amp;")")</f>
        <v/>
      </c>
      <c r="R3550">
        <f>IF($A3550="","",$B3550&amp;" - "&amp;$C3550)</f>
        <v/>
      </c>
      <c r="S3550">
        <f>IF($A3550="","",$R3550&amp;"|"&amp;$Q3550)</f>
        <v/>
      </c>
      <c r="T3550">
        <f>IF($A3550="","",$S3550&amp;"|"&amp;$F3550)</f>
        <v/>
      </c>
      <c r="U3550">
        <f>IF($A3550="","",$R3550&amp;"("&amp;$E3550&amp;")")</f>
        <v/>
      </c>
      <c r="V3550">
        <f>IF($A3550="","",$F3550&amp;"|"&amp;$U3550&amp;"|"&amp;$D3550)</f>
        <v/>
      </c>
      <c r="W3550">
        <f>IF($T3550="","",IF($X3550&gt;N($X3549),$X3550,""))</f>
        <v/>
      </c>
      <c r="X3550">
        <f>IF($T3550="",N($X3549),IF(MATCH($T3550,$T$6:$T$6005,0)=ROW()-5,N($X3549)+1,N($X3549)))</f>
        <v/>
      </c>
      <c r="Z3550">
        <f>IF($V3550="","",IF($AA3550&gt;N($AA3549),$AA3550,""))</f>
        <v/>
      </c>
      <c r="AA3550">
        <f>IF($V3550="",N($AA3549),IF(MATCH($V3550,$V$6:$V$6005,0)=ROW()-5,N($AA3549)+1,N($AA3549)))</f>
        <v/>
      </c>
    </row>
    <row r="3551" ht="21" customHeight="1" s="66">
      <c r="A3551" s="56" t="n"/>
      <c r="B3551" s="57" t="n"/>
      <c r="C3551" s="57" t="n"/>
      <c r="D3551" s="57" t="n"/>
      <c r="E3551" s="56" t="n"/>
      <c r="F3551" s="57" t="n"/>
      <c r="G3551" s="57" t="n"/>
      <c r="H3551" s="56" t="n"/>
      <c r="I3551" s="56" t="n"/>
      <c r="J3551" s="58" t="n"/>
      <c r="K3551" s="58" t="n"/>
      <c r="L3551" s="13">
        <f>IF(OR($A3551="",AND($J3551="",$K3551="")),"",ROUND(N($J3551)-N($K3551),2))</f>
        <v/>
      </c>
      <c r="M3551" s="13">
        <f>IF(OR($A3551="",AND($J3551="",$K3551="")),"",MIN($J3551,$K3551))</f>
        <v/>
      </c>
      <c r="Q3551">
        <f>IF($A3551="","",$D3551&amp;"("&amp;SUBSTITUTE($E3551," ","")&amp;")")</f>
        <v/>
      </c>
      <c r="R3551">
        <f>IF($A3551="","",$B3551&amp;" - "&amp;$C3551)</f>
        <v/>
      </c>
      <c r="S3551">
        <f>IF($A3551="","",$R3551&amp;"|"&amp;$Q3551)</f>
        <v/>
      </c>
      <c r="T3551">
        <f>IF($A3551="","",$S3551&amp;"|"&amp;$F3551)</f>
        <v/>
      </c>
      <c r="U3551">
        <f>IF($A3551="","",$R3551&amp;"("&amp;$E3551&amp;")")</f>
        <v/>
      </c>
      <c r="V3551">
        <f>IF($A3551="","",$F3551&amp;"|"&amp;$U3551&amp;"|"&amp;$D3551)</f>
        <v/>
      </c>
      <c r="W3551">
        <f>IF($T3551="","",IF($X3551&gt;N($X3550),$X3551,""))</f>
        <v/>
      </c>
      <c r="X3551">
        <f>IF($T3551="",N($X3550),IF(MATCH($T3551,$T$6:$T$6005,0)=ROW()-5,N($X3550)+1,N($X3550)))</f>
        <v/>
      </c>
      <c r="Z3551">
        <f>IF($V3551="","",IF($AA3551&gt;N($AA3550),$AA3551,""))</f>
        <v/>
      </c>
      <c r="AA3551">
        <f>IF($V3551="",N($AA3550),IF(MATCH($V3551,$V$6:$V$6005,0)=ROW()-5,N($AA3550)+1,N($AA3550)))</f>
        <v/>
      </c>
    </row>
    <row r="3552" ht="21" customHeight="1" s="66">
      <c r="A3552" s="56" t="n"/>
      <c r="B3552" s="57" t="n"/>
      <c r="C3552" s="57" t="n"/>
      <c r="D3552" s="57" t="n"/>
      <c r="E3552" s="56" t="n"/>
      <c r="F3552" s="57" t="n"/>
      <c r="G3552" s="57" t="n"/>
      <c r="H3552" s="56" t="n"/>
      <c r="I3552" s="56" t="n"/>
      <c r="J3552" s="58" t="n"/>
      <c r="K3552" s="58" t="n"/>
      <c r="L3552" s="13">
        <f>IF(OR($A3552="",AND($J3552="",$K3552="")),"",ROUND(N($J3552)-N($K3552),2))</f>
        <v/>
      </c>
      <c r="M3552" s="13">
        <f>IF(OR($A3552="",AND($J3552="",$K3552="")),"",MIN($J3552,$K3552))</f>
        <v/>
      </c>
      <c r="Q3552">
        <f>IF($A3552="","",$D3552&amp;"("&amp;SUBSTITUTE($E3552," ","")&amp;")")</f>
        <v/>
      </c>
      <c r="R3552">
        <f>IF($A3552="","",$B3552&amp;" - "&amp;$C3552)</f>
        <v/>
      </c>
      <c r="S3552">
        <f>IF($A3552="","",$R3552&amp;"|"&amp;$Q3552)</f>
        <v/>
      </c>
      <c r="T3552">
        <f>IF($A3552="","",$S3552&amp;"|"&amp;$F3552)</f>
        <v/>
      </c>
      <c r="U3552">
        <f>IF($A3552="","",$R3552&amp;"("&amp;$E3552&amp;")")</f>
        <v/>
      </c>
      <c r="V3552">
        <f>IF($A3552="","",$F3552&amp;"|"&amp;$U3552&amp;"|"&amp;$D3552)</f>
        <v/>
      </c>
      <c r="W3552">
        <f>IF($T3552="","",IF($X3552&gt;N($X3551),$X3552,""))</f>
        <v/>
      </c>
      <c r="X3552">
        <f>IF($T3552="",N($X3551),IF(MATCH($T3552,$T$6:$T$6005,0)=ROW()-5,N($X3551)+1,N($X3551)))</f>
        <v/>
      </c>
      <c r="Z3552">
        <f>IF($V3552="","",IF($AA3552&gt;N($AA3551),$AA3552,""))</f>
        <v/>
      </c>
      <c r="AA3552">
        <f>IF($V3552="",N($AA3551),IF(MATCH($V3552,$V$6:$V$6005,0)=ROW()-5,N($AA3551)+1,N($AA3551)))</f>
        <v/>
      </c>
    </row>
    <row r="3553" ht="21" customHeight="1" s="66">
      <c r="A3553" s="56" t="n"/>
      <c r="B3553" s="57" t="n"/>
      <c r="C3553" s="57" t="n"/>
      <c r="D3553" s="57" t="n"/>
      <c r="E3553" s="56" t="n"/>
      <c r="F3553" s="57" t="n"/>
      <c r="G3553" s="57" t="n"/>
      <c r="H3553" s="56" t="n"/>
      <c r="I3553" s="56" t="n"/>
      <c r="J3553" s="58" t="n"/>
      <c r="K3553" s="58" t="n"/>
      <c r="L3553" s="13">
        <f>IF(OR($A3553="",AND($J3553="",$K3553="")),"",ROUND(N($J3553)-N($K3553),2))</f>
        <v/>
      </c>
      <c r="M3553" s="13">
        <f>IF(OR($A3553="",AND($J3553="",$K3553="")),"",MIN($J3553,$K3553))</f>
        <v/>
      </c>
      <c r="Q3553">
        <f>IF($A3553="","",$D3553&amp;"("&amp;SUBSTITUTE($E3553," ","")&amp;")")</f>
        <v/>
      </c>
      <c r="R3553">
        <f>IF($A3553="","",$B3553&amp;" - "&amp;$C3553)</f>
        <v/>
      </c>
      <c r="S3553">
        <f>IF($A3553="","",$R3553&amp;"|"&amp;$Q3553)</f>
        <v/>
      </c>
      <c r="T3553">
        <f>IF($A3553="","",$S3553&amp;"|"&amp;$F3553)</f>
        <v/>
      </c>
      <c r="U3553">
        <f>IF($A3553="","",$R3553&amp;"("&amp;$E3553&amp;")")</f>
        <v/>
      </c>
      <c r="V3553">
        <f>IF($A3553="","",$F3553&amp;"|"&amp;$U3553&amp;"|"&amp;$D3553)</f>
        <v/>
      </c>
      <c r="W3553">
        <f>IF($T3553="","",IF($X3553&gt;N($X3552),$X3553,""))</f>
        <v/>
      </c>
      <c r="X3553">
        <f>IF($T3553="",N($X3552),IF(MATCH($T3553,$T$6:$T$6005,0)=ROW()-5,N($X3552)+1,N($X3552)))</f>
        <v/>
      </c>
      <c r="Z3553">
        <f>IF($V3553="","",IF($AA3553&gt;N($AA3552),$AA3553,""))</f>
        <v/>
      </c>
      <c r="AA3553">
        <f>IF($V3553="",N($AA3552),IF(MATCH($V3553,$V$6:$V$6005,0)=ROW()-5,N($AA3552)+1,N($AA3552)))</f>
        <v/>
      </c>
    </row>
    <row r="3554" ht="21" customHeight="1" s="66">
      <c r="A3554" s="56" t="n"/>
      <c r="B3554" s="57" t="n"/>
      <c r="C3554" s="57" t="n"/>
      <c r="D3554" s="57" t="n"/>
      <c r="E3554" s="56" t="n"/>
      <c r="F3554" s="57" t="n"/>
      <c r="G3554" s="57" t="n"/>
      <c r="H3554" s="56" t="n"/>
      <c r="I3554" s="56" t="n"/>
      <c r="J3554" s="58" t="n"/>
      <c r="K3554" s="58" t="n"/>
      <c r="L3554" s="13">
        <f>IF(OR($A3554="",AND($J3554="",$K3554="")),"",ROUND(N($J3554)-N($K3554),2))</f>
        <v/>
      </c>
      <c r="M3554" s="13">
        <f>IF(OR($A3554="",AND($J3554="",$K3554="")),"",MIN($J3554,$K3554))</f>
        <v/>
      </c>
      <c r="Q3554">
        <f>IF($A3554="","",$D3554&amp;"("&amp;SUBSTITUTE($E3554," ","")&amp;")")</f>
        <v/>
      </c>
      <c r="R3554">
        <f>IF($A3554="","",$B3554&amp;" - "&amp;$C3554)</f>
        <v/>
      </c>
      <c r="S3554">
        <f>IF($A3554="","",$R3554&amp;"|"&amp;$Q3554)</f>
        <v/>
      </c>
      <c r="T3554">
        <f>IF($A3554="","",$S3554&amp;"|"&amp;$F3554)</f>
        <v/>
      </c>
      <c r="U3554">
        <f>IF($A3554="","",$R3554&amp;"("&amp;$E3554&amp;")")</f>
        <v/>
      </c>
      <c r="V3554">
        <f>IF($A3554="","",$F3554&amp;"|"&amp;$U3554&amp;"|"&amp;$D3554)</f>
        <v/>
      </c>
      <c r="W3554">
        <f>IF($T3554="","",IF($X3554&gt;N($X3553),$X3554,""))</f>
        <v/>
      </c>
      <c r="X3554">
        <f>IF($T3554="",N($X3553),IF(MATCH($T3554,$T$6:$T$6005,0)=ROW()-5,N($X3553)+1,N($X3553)))</f>
        <v/>
      </c>
      <c r="Z3554">
        <f>IF($V3554="","",IF($AA3554&gt;N($AA3553),$AA3554,""))</f>
        <v/>
      </c>
      <c r="AA3554">
        <f>IF($V3554="",N($AA3553),IF(MATCH($V3554,$V$6:$V$6005,0)=ROW()-5,N($AA3553)+1,N($AA3553)))</f>
        <v/>
      </c>
    </row>
    <row r="3555" ht="21" customHeight="1" s="66">
      <c r="A3555" s="56" t="n"/>
      <c r="B3555" s="57" t="n"/>
      <c r="C3555" s="57" t="n"/>
      <c r="D3555" s="57" t="n"/>
      <c r="E3555" s="56" t="n"/>
      <c r="F3555" s="57" t="n"/>
      <c r="G3555" s="57" t="n"/>
      <c r="H3555" s="56" t="n"/>
      <c r="I3555" s="56" t="n"/>
      <c r="J3555" s="58" t="n"/>
      <c r="K3555" s="58" t="n"/>
      <c r="L3555" s="13">
        <f>IF(OR($A3555="",AND($J3555="",$K3555="")),"",ROUND(N($J3555)-N($K3555),2))</f>
        <v/>
      </c>
      <c r="M3555" s="13">
        <f>IF(OR($A3555="",AND($J3555="",$K3555="")),"",MIN($J3555,$K3555))</f>
        <v/>
      </c>
      <c r="Q3555">
        <f>IF($A3555="","",$D3555&amp;"("&amp;SUBSTITUTE($E3555," ","")&amp;")")</f>
        <v/>
      </c>
      <c r="R3555">
        <f>IF($A3555="","",$B3555&amp;" - "&amp;$C3555)</f>
        <v/>
      </c>
      <c r="S3555">
        <f>IF($A3555="","",$R3555&amp;"|"&amp;$Q3555)</f>
        <v/>
      </c>
      <c r="T3555">
        <f>IF($A3555="","",$S3555&amp;"|"&amp;$F3555)</f>
        <v/>
      </c>
      <c r="U3555">
        <f>IF($A3555="","",$R3555&amp;"("&amp;$E3555&amp;")")</f>
        <v/>
      </c>
      <c r="V3555">
        <f>IF($A3555="","",$F3555&amp;"|"&amp;$U3555&amp;"|"&amp;$D3555)</f>
        <v/>
      </c>
      <c r="W3555">
        <f>IF($T3555="","",IF($X3555&gt;N($X3554),$X3555,""))</f>
        <v/>
      </c>
      <c r="X3555">
        <f>IF($T3555="",N($X3554),IF(MATCH($T3555,$T$6:$T$6005,0)=ROW()-5,N($X3554)+1,N($X3554)))</f>
        <v/>
      </c>
      <c r="Z3555">
        <f>IF($V3555="","",IF($AA3555&gt;N($AA3554),$AA3555,""))</f>
        <v/>
      </c>
      <c r="AA3555">
        <f>IF($V3555="",N($AA3554),IF(MATCH($V3555,$V$6:$V$6005,0)=ROW()-5,N($AA3554)+1,N($AA3554)))</f>
        <v/>
      </c>
    </row>
    <row r="3556" ht="21" customHeight="1" s="66">
      <c r="A3556" s="56" t="n"/>
      <c r="B3556" s="57" t="n"/>
      <c r="C3556" s="57" t="n"/>
      <c r="D3556" s="57" t="n"/>
      <c r="E3556" s="56" t="n"/>
      <c r="F3556" s="57" t="n"/>
      <c r="G3556" s="57" t="n"/>
      <c r="H3556" s="56" t="n"/>
      <c r="I3556" s="56" t="n"/>
      <c r="J3556" s="58" t="n"/>
      <c r="K3556" s="58" t="n"/>
      <c r="L3556" s="13">
        <f>IF(OR($A3556="",AND($J3556="",$K3556="")),"",ROUND(N($J3556)-N($K3556),2))</f>
        <v/>
      </c>
      <c r="M3556" s="13">
        <f>IF(OR($A3556="",AND($J3556="",$K3556="")),"",MIN($J3556,$K3556))</f>
        <v/>
      </c>
      <c r="Q3556">
        <f>IF($A3556="","",$D3556&amp;"("&amp;SUBSTITUTE($E3556," ","")&amp;")")</f>
        <v/>
      </c>
      <c r="R3556">
        <f>IF($A3556="","",$B3556&amp;" - "&amp;$C3556)</f>
        <v/>
      </c>
      <c r="S3556">
        <f>IF($A3556="","",$R3556&amp;"|"&amp;$Q3556)</f>
        <v/>
      </c>
      <c r="T3556">
        <f>IF($A3556="","",$S3556&amp;"|"&amp;$F3556)</f>
        <v/>
      </c>
      <c r="U3556">
        <f>IF($A3556="","",$R3556&amp;"("&amp;$E3556&amp;")")</f>
        <v/>
      </c>
      <c r="V3556">
        <f>IF($A3556="","",$F3556&amp;"|"&amp;$U3556&amp;"|"&amp;$D3556)</f>
        <v/>
      </c>
      <c r="W3556">
        <f>IF($T3556="","",IF($X3556&gt;N($X3555),$X3556,""))</f>
        <v/>
      </c>
      <c r="X3556">
        <f>IF($T3556="",N($X3555),IF(MATCH($T3556,$T$6:$T$6005,0)=ROW()-5,N($X3555)+1,N($X3555)))</f>
        <v/>
      </c>
      <c r="Z3556">
        <f>IF($V3556="","",IF($AA3556&gt;N($AA3555),$AA3556,""))</f>
        <v/>
      </c>
      <c r="AA3556">
        <f>IF($V3556="",N($AA3555),IF(MATCH($V3556,$V$6:$V$6005,0)=ROW()-5,N($AA3555)+1,N($AA3555)))</f>
        <v/>
      </c>
    </row>
    <row r="3557" ht="21" customHeight="1" s="66">
      <c r="A3557" s="56" t="n"/>
      <c r="B3557" s="57" t="n"/>
      <c r="C3557" s="57" t="n"/>
      <c r="D3557" s="57" t="n"/>
      <c r="E3557" s="56" t="n"/>
      <c r="F3557" s="57" t="n"/>
      <c r="G3557" s="57" t="n"/>
      <c r="H3557" s="56" t="n"/>
      <c r="I3557" s="56" t="n"/>
      <c r="J3557" s="58" t="n"/>
      <c r="K3557" s="58" t="n"/>
      <c r="L3557" s="13">
        <f>IF(OR($A3557="",AND($J3557="",$K3557="")),"",ROUND(N($J3557)-N($K3557),2))</f>
        <v/>
      </c>
      <c r="M3557" s="13">
        <f>IF(OR($A3557="",AND($J3557="",$K3557="")),"",MIN($J3557,$K3557))</f>
        <v/>
      </c>
      <c r="Q3557">
        <f>IF($A3557="","",$D3557&amp;"("&amp;SUBSTITUTE($E3557," ","")&amp;")")</f>
        <v/>
      </c>
      <c r="R3557">
        <f>IF($A3557="","",$B3557&amp;" - "&amp;$C3557)</f>
        <v/>
      </c>
      <c r="S3557">
        <f>IF($A3557="","",$R3557&amp;"|"&amp;$Q3557)</f>
        <v/>
      </c>
      <c r="T3557">
        <f>IF($A3557="","",$S3557&amp;"|"&amp;$F3557)</f>
        <v/>
      </c>
      <c r="U3557">
        <f>IF($A3557="","",$R3557&amp;"("&amp;$E3557&amp;")")</f>
        <v/>
      </c>
      <c r="V3557">
        <f>IF($A3557="","",$F3557&amp;"|"&amp;$U3557&amp;"|"&amp;$D3557)</f>
        <v/>
      </c>
      <c r="W3557">
        <f>IF($T3557="","",IF($X3557&gt;N($X3556),$X3557,""))</f>
        <v/>
      </c>
      <c r="X3557">
        <f>IF($T3557="",N($X3556),IF(MATCH($T3557,$T$6:$T$6005,0)=ROW()-5,N($X3556)+1,N($X3556)))</f>
        <v/>
      </c>
      <c r="Z3557">
        <f>IF($V3557="","",IF($AA3557&gt;N($AA3556),$AA3557,""))</f>
        <v/>
      </c>
      <c r="AA3557">
        <f>IF($V3557="",N($AA3556),IF(MATCH($V3557,$V$6:$V$6005,0)=ROW()-5,N($AA3556)+1,N($AA3556)))</f>
        <v/>
      </c>
    </row>
    <row r="3558" ht="21" customHeight="1" s="66">
      <c r="A3558" s="56" t="n"/>
      <c r="B3558" s="57" t="n"/>
      <c r="C3558" s="57" t="n"/>
      <c r="D3558" s="57" t="n"/>
      <c r="E3558" s="56" t="n"/>
      <c r="F3558" s="57" t="n"/>
      <c r="G3558" s="57" t="n"/>
      <c r="H3558" s="56" t="n"/>
      <c r="I3558" s="56" t="n"/>
      <c r="J3558" s="58" t="n"/>
      <c r="K3558" s="58" t="n"/>
      <c r="L3558" s="13">
        <f>IF(OR($A3558="",AND($J3558="",$K3558="")),"",ROUND(N($J3558)-N($K3558),2))</f>
        <v/>
      </c>
      <c r="M3558" s="13">
        <f>IF(OR($A3558="",AND($J3558="",$K3558="")),"",MIN($J3558,$K3558))</f>
        <v/>
      </c>
      <c r="Q3558">
        <f>IF($A3558="","",$D3558&amp;"("&amp;SUBSTITUTE($E3558," ","")&amp;")")</f>
        <v/>
      </c>
      <c r="R3558">
        <f>IF($A3558="","",$B3558&amp;" - "&amp;$C3558)</f>
        <v/>
      </c>
      <c r="S3558">
        <f>IF($A3558="","",$R3558&amp;"|"&amp;$Q3558)</f>
        <v/>
      </c>
      <c r="T3558">
        <f>IF($A3558="","",$S3558&amp;"|"&amp;$F3558)</f>
        <v/>
      </c>
      <c r="U3558">
        <f>IF($A3558="","",$R3558&amp;"("&amp;$E3558&amp;")")</f>
        <v/>
      </c>
      <c r="V3558">
        <f>IF($A3558="","",$F3558&amp;"|"&amp;$U3558&amp;"|"&amp;$D3558)</f>
        <v/>
      </c>
      <c r="W3558">
        <f>IF($T3558="","",IF($X3558&gt;N($X3557),$X3558,""))</f>
        <v/>
      </c>
      <c r="X3558">
        <f>IF($T3558="",N($X3557),IF(MATCH($T3558,$T$6:$T$6005,0)=ROW()-5,N($X3557)+1,N($X3557)))</f>
        <v/>
      </c>
      <c r="Z3558">
        <f>IF($V3558="","",IF($AA3558&gt;N($AA3557),$AA3558,""))</f>
        <v/>
      </c>
      <c r="AA3558">
        <f>IF($V3558="",N($AA3557),IF(MATCH($V3558,$V$6:$V$6005,0)=ROW()-5,N($AA3557)+1,N($AA3557)))</f>
        <v/>
      </c>
    </row>
    <row r="3559" ht="21" customHeight="1" s="66">
      <c r="A3559" s="56" t="n"/>
      <c r="B3559" s="57" t="n"/>
      <c r="C3559" s="57" t="n"/>
      <c r="D3559" s="57" t="n"/>
      <c r="E3559" s="56" t="n"/>
      <c r="F3559" s="57" t="n"/>
      <c r="G3559" s="57" t="n"/>
      <c r="H3559" s="56" t="n"/>
      <c r="I3559" s="56" t="n"/>
      <c r="J3559" s="58" t="n"/>
      <c r="K3559" s="58" t="n"/>
      <c r="L3559" s="13">
        <f>IF(OR($A3559="",AND($J3559="",$K3559="")),"",ROUND(N($J3559)-N($K3559),2))</f>
        <v/>
      </c>
      <c r="M3559" s="13">
        <f>IF(OR($A3559="",AND($J3559="",$K3559="")),"",MIN($J3559,$K3559))</f>
        <v/>
      </c>
      <c r="Q3559">
        <f>IF($A3559="","",$D3559&amp;"("&amp;SUBSTITUTE($E3559," ","")&amp;")")</f>
        <v/>
      </c>
      <c r="R3559">
        <f>IF($A3559="","",$B3559&amp;" - "&amp;$C3559)</f>
        <v/>
      </c>
      <c r="S3559">
        <f>IF($A3559="","",$R3559&amp;"|"&amp;$Q3559)</f>
        <v/>
      </c>
      <c r="T3559">
        <f>IF($A3559="","",$S3559&amp;"|"&amp;$F3559)</f>
        <v/>
      </c>
      <c r="U3559">
        <f>IF($A3559="","",$R3559&amp;"("&amp;$E3559&amp;")")</f>
        <v/>
      </c>
      <c r="V3559">
        <f>IF($A3559="","",$F3559&amp;"|"&amp;$U3559&amp;"|"&amp;$D3559)</f>
        <v/>
      </c>
      <c r="W3559">
        <f>IF($T3559="","",IF($X3559&gt;N($X3558),$X3559,""))</f>
        <v/>
      </c>
      <c r="X3559">
        <f>IF($T3559="",N($X3558),IF(MATCH($T3559,$T$6:$T$6005,0)=ROW()-5,N($X3558)+1,N($X3558)))</f>
        <v/>
      </c>
      <c r="Z3559">
        <f>IF($V3559="","",IF($AA3559&gt;N($AA3558),$AA3559,""))</f>
        <v/>
      </c>
      <c r="AA3559">
        <f>IF($V3559="",N($AA3558),IF(MATCH($V3559,$V$6:$V$6005,0)=ROW()-5,N($AA3558)+1,N($AA3558)))</f>
        <v/>
      </c>
    </row>
    <row r="3560" ht="21" customHeight="1" s="66">
      <c r="A3560" s="56" t="n"/>
      <c r="B3560" s="57" t="n"/>
      <c r="C3560" s="57" t="n"/>
      <c r="D3560" s="57" t="n"/>
      <c r="E3560" s="56" t="n"/>
      <c r="F3560" s="57" t="n"/>
      <c r="G3560" s="57" t="n"/>
      <c r="H3560" s="56" t="n"/>
      <c r="I3560" s="56" t="n"/>
      <c r="J3560" s="58" t="n"/>
      <c r="K3560" s="58" t="n"/>
      <c r="L3560" s="13">
        <f>IF(OR($A3560="",AND($J3560="",$K3560="")),"",ROUND(N($J3560)-N($K3560),2))</f>
        <v/>
      </c>
      <c r="M3560" s="13">
        <f>IF(OR($A3560="",AND($J3560="",$K3560="")),"",MIN($J3560,$K3560))</f>
        <v/>
      </c>
      <c r="Q3560">
        <f>IF($A3560="","",$D3560&amp;"("&amp;SUBSTITUTE($E3560," ","")&amp;")")</f>
        <v/>
      </c>
      <c r="R3560">
        <f>IF($A3560="","",$B3560&amp;" - "&amp;$C3560)</f>
        <v/>
      </c>
      <c r="S3560">
        <f>IF($A3560="","",$R3560&amp;"|"&amp;$Q3560)</f>
        <v/>
      </c>
      <c r="T3560">
        <f>IF($A3560="","",$S3560&amp;"|"&amp;$F3560)</f>
        <v/>
      </c>
      <c r="U3560">
        <f>IF($A3560="","",$R3560&amp;"("&amp;$E3560&amp;")")</f>
        <v/>
      </c>
      <c r="V3560">
        <f>IF($A3560="","",$F3560&amp;"|"&amp;$U3560&amp;"|"&amp;$D3560)</f>
        <v/>
      </c>
      <c r="W3560">
        <f>IF($T3560="","",IF($X3560&gt;N($X3559),$X3560,""))</f>
        <v/>
      </c>
      <c r="X3560">
        <f>IF($T3560="",N($X3559),IF(MATCH($T3560,$T$6:$T$6005,0)=ROW()-5,N($X3559)+1,N($X3559)))</f>
        <v/>
      </c>
      <c r="Z3560">
        <f>IF($V3560="","",IF($AA3560&gt;N($AA3559),$AA3560,""))</f>
        <v/>
      </c>
      <c r="AA3560">
        <f>IF($V3560="",N($AA3559),IF(MATCH($V3560,$V$6:$V$6005,0)=ROW()-5,N($AA3559)+1,N($AA3559)))</f>
        <v/>
      </c>
    </row>
    <row r="3561" ht="21" customHeight="1" s="66">
      <c r="A3561" s="56" t="n"/>
      <c r="B3561" s="57" t="n"/>
      <c r="C3561" s="57" t="n"/>
      <c r="D3561" s="57" t="n"/>
      <c r="E3561" s="56" t="n"/>
      <c r="F3561" s="57" t="n"/>
      <c r="G3561" s="57" t="n"/>
      <c r="H3561" s="56" t="n"/>
      <c r="I3561" s="56" t="n"/>
      <c r="J3561" s="58" t="n"/>
      <c r="K3561" s="58" t="n"/>
      <c r="L3561" s="13">
        <f>IF(OR($A3561="",AND($J3561="",$K3561="")),"",ROUND(N($J3561)-N($K3561),2))</f>
        <v/>
      </c>
      <c r="M3561" s="13">
        <f>IF(OR($A3561="",AND($J3561="",$K3561="")),"",MIN($J3561,$K3561))</f>
        <v/>
      </c>
      <c r="Q3561">
        <f>IF($A3561="","",$D3561&amp;"("&amp;SUBSTITUTE($E3561," ","")&amp;")")</f>
        <v/>
      </c>
      <c r="R3561">
        <f>IF($A3561="","",$B3561&amp;" - "&amp;$C3561)</f>
        <v/>
      </c>
      <c r="S3561">
        <f>IF($A3561="","",$R3561&amp;"|"&amp;$Q3561)</f>
        <v/>
      </c>
      <c r="T3561">
        <f>IF($A3561="","",$S3561&amp;"|"&amp;$F3561)</f>
        <v/>
      </c>
      <c r="U3561">
        <f>IF($A3561="","",$R3561&amp;"("&amp;$E3561&amp;")")</f>
        <v/>
      </c>
      <c r="V3561">
        <f>IF($A3561="","",$F3561&amp;"|"&amp;$U3561&amp;"|"&amp;$D3561)</f>
        <v/>
      </c>
      <c r="W3561">
        <f>IF($T3561="","",IF($X3561&gt;N($X3560),$X3561,""))</f>
        <v/>
      </c>
      <c r="X3561">
        <f>IF($T3561="",N($X3560),IF(MATCH($T3561,$T$6:$T$6005,0)=ROW()-5,N($X3560)+1,N($X3560)))</f>
        <v/>
      </c>
      <c r="Z3561">
        <f>IF($V3561="","",IF($AA3561&gt;N($AA3560),$AA3561,""))</f>
        <v/>
      </c>
      <c r="AA3561">
        <f>IF($V3561="",N($AA3560),IF(MATCH($V3561,$V$6:$V$6005,0)=ROW()-5,N($AA3560)+1,N($AA3560)))</f>
        <v/>
      </c>
    </row>
    <row r="3562" ht="21" customHeight="1" s="66">
      <c r="A3562" s="56" t="n"/>
      <c r="B3562" s="57" t="n"/>
      <c r="C3562" s="57" t="n"/>
      <c r="D3562" s="57" t="n"/>
      <c r="E3562" s="56" t="n"/>
      <c r="F3562" s="57" t="n"/>
      <c r="G3562" s="57" t="n"/>
      <c r="H3562" s="56" t="n"/>
      <c r="I3562" s="56" t="n"/>
      <c r="J3562" s="58" t="n"/>
      <c r="K3562" s="58" t="n"/>
      <c r="L3562" s="13">
        <f>IF(OR($A3562="",AND($J3562="",$K3562="")),"",ROUND(N($J3562)-N($K3562),2))</f>
        <v/>
      </c>
      <c r="M3562" s="13">
        <f>IF(OR($A3562="",AND($J3562="",$K3562="")),"",MIN($J3562,$K3562))</f>
        <v/>
      </c>
      <c r="Q3562">
        <f>IF($A3562="","",$D3562&amp;"("&amp;SUBSTITUTE($E3562," ","")&amp;")")</f>
        <v/>
      </c>
      <c r="R3562">
        <f>IF($A3562="","",$B3562&amp;" - "&amp;$C3562)</f>
        <v/>
      </c>
      <c r="S3562">
        <f>IF($A3562="","",$R3562&amp;"|"&amp;$Q3562)</f>
        <v/>
      </c>
      <c r="T3562">
        <f>IF($A3562="","",$S3562&amp;"|"&amp;$F3562)</f>
        <v/>
      </c>
      <c r="U3562">
        <f>IF($A3562="","",$R3562&amp;"("&amp;$E3562&amp;")")</f>
        <v/>
      </c>
      <c r="V3562">
        <f>IF($A3562="","",$F3562&amp;"|"&amp;$U3562&amp;"|"&amp;$D3562)</f>
        <v/>
      </c>
      <c r="W3562">
        <f>IF($T3562="","",IF($X3562&gt;N($X3561),$X3562,""))</f>
        <v/>
      </c>
      <c r="X3562">
        <f>IF($T3562="",N($X3561),IF(MATCH($T3562,$T$6:$T$6005,0)=ROW()-5,N($X3561)+1,N($X3561)))</f>
        <v/>
      </c>
      <c r="Z3562">
        <f>IF($V3562="","",IF($AA3562&gt;N($AA3561),$AA3562,""))</f>
        <v/>
      </c>
      <c r="AA3562">
        <f>IF($V3562="",N($AA3561),IF(MATCH($V3562,$V$6:$V$6005,0)=ROW()-5,N($AA3561)+1,N($AA3561)))</f>
        <v/>
      </c>
    </row>
    <row r="3563" ht="21" customHeight="1" s="66">
      <c r="A3563" s="56" t="n"/>
      <c r="B3563" s="57" t="n"/>
      <c r="C3563" s="57" t="n"/>
      <c r="D3563" s="57" t="n"/>
      <c r="E3563" s="56" t="n"/>
      <c r="F3563" s="57" t="n"/>
      <c r="G3563" s="57" t="n"/>
      <c r="H3563" s="56" t="n"/>
      <c r="I3563" s="56" t="n"/>
      <c r="J3563" s="58" t="n"/>
      <c r="K3563" s="58" t="n"/>
      <c r="L3563" s="13">
        <f>IF(OR($A3563="",AND($J3563="",$K3563="")),"",ROUND(N($J3563)-N($K3563),2))</f>
        <v/>
      </c>
      <c r="M3563" s="13">
        <f>IF(OR($A3563="",AND($J3563="",$K3563="")),"",MIN($J3563,$K3563))</f>
        <v/>
      </c>
      <c r="Q3563">
        <f>IF($A3563="","",$D3563&amp;"("&amp;SUBSTITUTE($E3563," ","")&amp;")")</f>
        <v/>
      </c>
      <c r="R3563">
        <f>IF($A3563="","",$B3563&amp;" - "&amp;$C3563)</f>
        <v/>
      </c>
      <c r="S3563">
        <f>IF($A3563="","",$R3563&amp;"|"&amp;$Q3563)</f>
        <v/>
      </c>
      <c r="T3563">
        <f>IF($A3563="","",$S3563&amp;"|"&amp;$F3563)</f>
        <v/>
      </c>
      <c r="U3563">
        <f>IF($A3563="","",$R3563&amp;"("&amp;$E3563&amp;")")</f>
        <v/>
      </c>
      <c r="V3563">
        <f>IF($A3563="","",$F3563&amp;"|"&amp;$U3563&amp;"|"&amp;$D3563)</f>
        <v/>
      </c>
      <c r="W3563">
        <f>IF($T3563="","",IF($X3563&gt;N($X3562),$X3563,""))</f>
        <v/>
      </c>
      <c r="X3563">
        <f>IF($T3563="",N($X3562),IF(MATCH($T3563,$T$6:$T$6005,0)=ROW()-5,N($X3562)+1,N($X3562)))</f>
        <v/>
      </c>
      <c r="Z3563">
        <f>IF($V3563="","",IF($AA3563&gt;N($AA3562),$AA3563,""))</f>
        <v/>
      </c>
      <c r="AA3563">
        <f>IF($V3563="",N($AA3562),IF(MATCH($V3563,$V$6:$V$6005,0)=ROW()-5,N($AA3562)+1,N($AA3562)))</f>
        <v/>
      </c>
    </row>
    <row r="3564" ht="21" customHeight="1" s="66">
      <c r="A3564" s="56" t="n"/>
      <c r="B3564" s="57" t="n"/>
      <c r="C3564" s="57" t="n"/>
      <c r="D3564" s="57" t="n"/>
      <c r="E3564" s="56" t="n"/>
      <c r="F3564" s="57" t="n"/>
      <c r="G3564" s="57" t="n"/>
      <c r="H3564" s="56" t="n"/>
      <c r="I3564" s="56" t="n"/>
      <c r="J3564" s="58" t="n"/>
      <c r="K3564" s="58" t="n"/>
      <c r="L3564" s="13">
        <f>IF(OR($A3564="",AND($J3564="",$K3564="")),"",ROUND(N($J3564)-N($K3564),2))</f>
        <v/>
      </c>
      <c r="M3564" s="13">
        <f>IF(OR($A3564="",AND($J3564="",$K3564="")),"",MIN($J3564,$K3564))</f>
        <v/>
      </c>
      <c r="Q3564">
        <f>IF($A3564="","",$D3564&amp;"("&amp;SUBSTITUTE($E3564," ","")&amp;")")</f>
        <v/>
      </c>
      <c r="R3564">
        <f>IF($A3564="","",$B3564&amp;" - "&amp;$C3564)</f>
        <v/>
      </c>
      <c r="S3564">
        <f>IF($A3564="","",$R3564&amp;"|"&amp;$Q3564)</f>
        <v/>
      </c>
      <c r="T3564">
        <f>IF($A3564="","",$S3564&amp;"|"&amp;$F3564)</f>
        <v/>
      </c>
      <c r="U3564">
        <f>IF($A3564="","",$R3564&amp;"("&amp;$E3564&amp;")")</f>
        <v/>
      </c>
      <c r="V3564">
        <f>IF($A3564="","",$F3564&amp;"|"&amp;$U3564&amp;"|"&amp;$D3564)</f>
        <v/>
      </c>
      <c r="W3564">
        <f>IF($T3564="","",IF($X3564&gt;N($X3563),$X3564,""))</f>
        <v/>
      </c>
      <c r="X3564">
        <f>IF($T3564="",N($X3563),IF(MATCH($T3564,$T$6:$T$6005,0)=ROW()-5,N($X3563)+1,N($X3563)))</f>
        <v/>
      </c>
      <c r="Z3564">
        <f>IF($V3564="","",IF($AA3564&gt;N($AA3563),$AA3564,""))</f>
        <v/>
      </c>
      <c r="AA3564">
        <f>IF($V3564="",N($AA3563),IF(MATCH($V3564,$V$6:$V$6005,0)=ROW()-5,N($AA3563)+1,N($AA3563)))</f>
        <v/>
      </c>
    </row>
    <row r="3565" ht="21" customHeight="1" s="66">
      <c r="A3565" s="56" t="n"/>
      <c r="B3565" s="57" t="n"/>
      <c r="C3565" s="57" t="n"/>
      <c r="D3565" s="57" t="n"/>
      <c r="E3565" s="56" t="n"/>
      <c r="F3565" s="57" t="n"/>
      <c r="G3565" s="57" t="n"/>
      <c r="H3565" s="56" t="n"/>
      <c r="I3565" s="56" t="n"/>
      <c r="J3565" s="58" t="n"/>
      <c r="K3565" s="58" t="n"/>
      <c r="L3565" s="13">
        <f>IF(OR($A3565="",AND($J3565="",$K3565="")),"",ROUND(N($J3565)-N($K3565),2))</f>
        <v/>
      </c>
      <c r="M3565" s="13">
        <f>IF(OR($A3565="",AND($J3565="",$K3565="")),"",MIN($J3565,$K3565))</f>
        <v/>
      </c>
      <c r="Q3565">
        <f>IF($A3565="","",$D3565&amp;"("&amp;SUBSTITUTE($E3565," ","")&amp;")")</f>
        <v/>
      </c>
      <c r="R3565">
        <f>IF($A3565="","",$B3565&amp;" - "&amp;$C3565)</f>
        <v/>
      </c>
      <c r="S3565">
        <f>IF($A3565="","",$R3565&amp;"|"&amp;$Q3565)</f>
        <v/>
      </c>
      <c r="T3565">
        <f>IF($A3565="","",$S3565&amp;"|"&amp;$F3565)</f>
        <v/>
      </c>
      <c r="U3565">
        <f>IF($A3565="","",$R3565&amp;"("&amp;$E3565&amp;")")</f>
        <v/>
      </c>
      <c r="V3565">
        <f>IF($A3565="","",$F3565&amp;"|"&amp;$U3565&amp;"|"&amp;$D3565)</f>
        <v/>
      </c>
      <c r="W3565">
        <f>IF($T3565="","",IF($X3565&gt;N($X3564),$X3565,""))</f>
        <v/>
      </c>
      <c r="X3565">
        <f>IF($T3565="",N($X3564),IF(MATCH($T3565,$T$6:$T$6005,0)=ROW()-5,N($X3564)+1,N($X3564)))</f>
        <v/>
      </c>
      <c r="Z3565">
        <f>IF($V3565="","",IF($AA3565&gt;N($AA3564),$AA3565,""))</f>
        <v/>
      </c>
      <c r="AA3565">
        <f>IF($V3565="",N($AA3564),IF(MATCH($V3565,$V$6:$V$6005,0)=ROW()-5,N($AA3564)+1,N($AA3564)))</f>
        <v/>
      </c>
    </row>
    <row r="3566" ht="21" customHeight="1" s="66">
      <c r="A3566" s="56" t="n"/>
      <c r="B3566" s="57" t="n"/>
      <c r="C3566" s="57" t="n"/>
      <c r="D3566" s="57" t="n"/>
      <c r="E3566" s="56" t="n"/>
      <c r="F3566" s="57" t="n"/>
      <c r="G3566" s="57" t="n"/>
      <c r="H3566" s="56" t="n"/>
      <c r="I3566" s="56" t="n"/>
      <c r="J3566" s="58" t="n"/>
      <c r="K3566" s="58" t="n"/>
      <c r="L3566" s="13">
        <f>IF(OR($A3566="",AND($J3566="",$K3566="")),"",ROUND(N($J3566)-N($K3566),2))</f>
        <v/>
      </c>
      <c r="M3566" s="13">
        <f>IF(OR($A3566="",AND($J3566="",$K3566="")),"",MIN($J3566,$K3566))</f>
        <v/>
      </c>
      <c r="Q3566">
        <f>IF($A3566="","",$D3566&amp;"("&amp;SUBSTITUTE($E3566," ","")&amp;")")</f>
        <v/>
      </c>
      <c r="R3566">
        <f>IF($A3566="","",$B3566&amp;" - "&amp;$C3566)</f>
        <v/>
      </c>
      <c r="S3566">
        <f>IF($A3566="","",$R3566&amp;"|"&amp;$Q3566)</f>
        <v/>
      </c>
      <c r="T3566">
        <f>IF($A3566="","",$S3566&amp;"|"&amp;$F3566)</f>
        <v/>
      </c>
      <c r="U3566">
        <f>IF($A3566="","",$R3566&amp;"("&amp;$E3566&amp;")")</f>
        <v/>
      </c>
      <c r="V3566">
        <f>IF($A3566="","",$F3566&amp;"|"&amp;$U3566&amp;"|"&amp;$D3566)</f>
        <v/>
      </c>
      <c r="W3566">
        <f>IF($T3566="","",IF($X3566&gt;N($X3565),$X3566,""))</f>
        <v/>
      </c>
      <c r="X3566">
        <f>IF($T3566="",N($X3565),IF(MATCH($T3566,$T$6:$T$6005,0)=ROW()-5,N($X3565)+1,N($X3565)))</f>
        <v/>
      </c>
      <c r="Z3566">
        <f>IF($V3566="","",IF($AA3566&gt;N($AA3565),$AA3566,""))</f>
        <v/>
      </c>
      <c r="AA3566">
        <f>IF($V3566="",N($AA3565),IF(MATCH($V3566,$V$6:$V$6005,0)=ROW()-5,N($AA3565)+1,N($AA3565)))</f>
        <v/>
      </c>
    </row>
    <row r="3567" ht="21" customHeight="1" s="66">
      <c r="A3567" s="56" t="n"/>
      <c r="B3567" s="57" t="n"/>
      <c r="C3567" s="57" t="n"/>
      <c r="D3567" s="57" t="n"/>
      <c r="E3567" s="56" t="n"/>
      <c r="F3567" s="57" t="n"/>
      <c r="G3567" s="57" t="n"/>
      <c r="H3567" s="56" t="n"/>
      <c r="I3567" s="56" t="n"/>
      <c r="J3567" s="58" t="n"/>
      <c r="K3567" s="58" t="n"/>
      <c r="L3567" s="13">
        <f>IF(OR($A3567="",AND($J3567="",$K3567="")),"",ROUND(N($J3567)-N($K3567),2))</f>
        <v/>
      </c>
      <c r="M3567" s="13">
        <f>IF(OR($A3567="",AND($J3567="",$K3567="")),"",MIN($J3567,$K3567))</f>
        <v/>
      </c>
      <c r="Q3567">
        <f>IF($A3567="","",$D3567&amp;"("&amp;SUBSTITUTE($E3567," ","")&amp;")")</f>
        <v/>
      </c>
      <c r="R3567">
        <f>IF($A3567="","",$B3567&amp;" - "&amp;$C3567)</f>
        <v/>
      </c>
      <c r="S3567">
        <f>IF($A3567="","",$R3567&amp;"|"&amp;$Q3567)</f>
        <v/>
      </c>
      <c r="T3567">
        <f>IF($A3567="","",$S3567&amp;"|"&amp;$F3567)</f>
        <v/>
      </c>
      <c r="U3567">
        <f>IF($A3567="","",$R3567&amp;"("&amp;$E3567&amp;")")</f>
        <v/>
      </c>
      <c r="V3567">
        <f>IF($A3567="","",$F3567&amp;"|"&amp;$U3567&amp;"|"&amp;$D3567)</f>
        <v/>
      </c>
      <c r="W3567">
        <f>IF($T3567="","",IF($X3567&gt;N($X3566),$X3567,""))</f>
        <v/>
      </c>
      <c r="X3567">
        <f>IF($T3567="",N($X3566),IF(MATCH($T3567,$T$6:$T$6005,0)=ROW()-5,N($X3566)+1,N($X3566)))</f>
        <v/>
      </c>
      <c r="Z3567">
        <f>IF($V3567="","",IF($AA3567&gt;N($AA3566),$AA3567,""))</f>
        <v/>
      </c>
      <c r="AA3567">
        <f>IF($V3567="",N($AA3566),IF(MATCH($V3567,$V$6:$V$6005,0)=ROW()-5,N($AA3566)+1,N($AA3566)))</f>
        <v/>
      </c>
    </row>
    <row r="3568" ht="21" customHeight="1" s="66">
      <c r="A3568" s="56" t="n"/>
      <c r="B3568" s="57" t="n"/>
      <c r="C3568" s="57" t="n"/>
      <c r="D3568" s="57" t="n"/>
      <c r="E3568" s="56" t="n"/>
      <c r="F3568" s="57" t="n"/>
      <c r="G3568" s="57" t="n"/>
      <c r="H3568" s="56" t="n"/>
      <c r="I3568" s="56" t="n"/>
      <c r="J3568" s="58" t="n"/>
      <c r="K3568" s="58" t="n"/>
      <c r="L3568" s="13">
        <f>IF(OR($A3568="",AND($J3568="",$K3568="")),"",ROUND(N($J3568)-N($K3568),2))</f>
        <v/>
      </c>
      <c r="M3568" s="13">
        <f>IF(OR($A3568="",AND($J3568="",$K3568="")),"",MIN($J3568,$K3568))</f>
        <v/>
      </c>
      <c r="Q3568">
        <f>IF($A3568="","",$D3568&amp;"("&amp;SUBSTITUTE($E3568," ","")&amp;")")</f>
        <v/>
      </c>
      <c r="R3568">
        <f>IF($A3568="","",$B3568&amp;" - "&amp;$C3568)</f>
        <v/>
      </c>
      <c r="S3568">
        <f>IF($A3568="","",$R3568&amp;"|"&amp;$Q3568)</f>
        <v/>
      </c>
      <c r="T3568">
        <f>IF($A3568="","",$S3568&amp;"|"&amp;$F3568)</f>
        <v/>
      </c>
      <c r="U3568">
        <f>IF($A3568="","",$R3568&amp;"("&amp;$E3568&amp;")")</f>
        <v/>
      </c>
      <c r="V3568">
        <f>IF($A3568="","",$F3568&amp;"|"&amp;$U3568&amp;"|"&amp;$D3568)</f>
        <v/>
      </c>
      <c r="W3568">
        <f>IF($T3568="","",IF($X3568&gt;N($X3567),$X3568,""))</f>
        <v/>
      </c>
      <c r="X3568">
        <f>IF($T3568="",N($X3567),IF(MATCH($T3568,$T$6:$T$6005,0)=ROW()-5,N($X3567)+1,N($X3567)))</f>
        <v/>
      </c>
      <c r="Z3568">
        <f>IF($V3568="","",IF($AA3568&gt;N($AA3567),$AA3568,""))</f>
        <v/>
      </c>
      <c r="AA3568">
        <f>IF($V3568="",N($AA3567),IF(MATCH($V3568,$V$6:$V$6005,0)=ROW()-5,N($AA3567)+1,N($AA3567)))</f>
        <v/>
      </c>
    </row>
    <row r="3569" ht="21" customHeight="1" s="66">
      <c r="A3569" s="56" t="n"/>
      <c r="B3569" s="57" t="n"/>
      <c r="C3569" s="57" t="n"/>
      <c r="D3569" s="57" t="n"/>
      <c r="E3569" s="56" t="n"/>
      <c r="F3569" s="57" t="n"/>
      <c r="G3569" s="57" t="n"/>
      <c r="H3569" s="56" t="n"/>
      <c r="I3569" s="56" t="n"/>
      <c r="J3569" s="58" t="n"/>
      <c r="K3569" s="58" t="n"/>
      <c r="L3569" s="13">
        <f>IF(OR($A3569="",AND($J3569="",$K3569="")),"",ROUND(N($J3569)-N($K3569),2))</f>
        <v/>
      </c>
      <c r="M3569" s="13">
        <f>IF(OR($A3569="",AND($J3569="",$K3569="")),"",MIN($J3569,$K3569))</f>
        <v/>
      </c>
      <c r="Q3569">
        <f>IF($A3569="","",$D3569&amp;"("&amp;SUBSTITUTE($E3569," ","")&amp;")")</f>
        <v/>
      </c>
      <c r="R3569">
        <f>IF($A3569="","",$B3569&amp;" - "&amp;$C3569)</f>
        <v/>
      </c>
      <c r="S3569">
        <f>IF($A3569="","",$R3569&amp;"|"&amp;$Q3569)</f>
        <v/>
      </c>
      <c r="T3569">
        <f>IF($A3569="","",$S3569&amp;"|"&amp;$F3569)</f>
        <v/>
      </c>
      <c r="U3569">
        <f>IF($A3569="","",$R3569&amp;"("&amp;$E3569&amp;")")</f>
        <v/>
      </c>
      <c r="V3569">
        <f>IF($A3569="","",$F3569&amp;"|"&amp;$U3569&amp;"|"&amp;$D3569)</f>
        <v/>
      </c>
      <c r="W3569">
        <f>IF($T3569="","",IF($X3569&gt;N($X3568),$X3569,""))</f>
        <v/>
      </c>
      <c r="X3569">
        <f>IF($T3569="",N($X3568),IF(MATCH($T3569,$T$6:$T$6005,0)=ROW()-5,N($X3568)+1,N($X3568)))</f>
        <v/>
      </c>
      <c r="Z3569">
        <f>IF($V3569="","",IF($AA3569&gt;N($AA3568),$AA3569,""))</f>
        <v/>
      </c>
      <c r="AA3569">
        <f>IF($V3569="",N($AA3568),IF(MATCH($V3569,$V$6:$V$6005,0)=ROW()-5,N($AA3568)+1,N($AA3568)))</f>
        <v/>
      </c>
    </row>
    <row r="3570" ht="21" customHeight="1" s="66">
      <c r="A3570" s="56" t="n"/>
      <c r="B3570" s="57" t="n"/>
      <c r="C3570" s="57" t="n"/>
      <c r="D3570" s="57" t="n"/>
      <c r="E3570" s="56" t="n"/>
      <c r="F3570" s="57" t="n"/>
      <c r="G3570" s="57" t="n"/>
      <c r="H3570" s="56" t="n"/>
      <c r="I3570" s="56" t="n"/>
      <c r="J3570" s="58" t="n"/>
      <c r="K3570" s="58" t="n"/>
      <c r="L3570" s="13">
        <f>IF(OR($A3570="",AND($J3570="",$K3570="")),"",ROUND(N($J3570)-N($K3570),2))</f>
        <v/>
      </c>
      <c r="M3570" s="13">
        <f>IF(OR($A3570="",AND($J3570="",$K3570="")),"",MIN($J3570,$K3570))</f>
        <v/>
      </c>
      <c r="Q3570">
        <f>IF($A3570="","",$D3570&amp;"("&amp;SUBSTITUTE($E3570," ","")&amp;")")</f>
        <v/>
      </c>
      <c r="R3570">
        <f>IF($A3570="","",$B3570&amp;" - "&amp;$C3570)</f>
        <v/>
      </c>
      <c r="S3570">
        <f>IF($A3570="","",$R3570&amp;"|"&amp;$Q3570)</f>
        <v/>
      </c>
      <c r="T3570">
        <f>IF($A3570="","",$S3570&amp;"|"&amp;$F3570)</f>
        <v/>
      </c>
      <c r="U3570">
        <f>IF($A3570="","",$R3570&amp;"("&amp;$E3570&amp;")")</f>
        <v/>
      </c>
      <c r="V3570">
        <f>IF($A3570="","",$F3570&amp;"|"&amp;$U3570&amp;"|"&amp;$D3570)</f>
        <v/>
      </c>
      <c r="W3570">
        <f>IF($T3570="","",IF($X3570&gt;N($X3569),$X3570,""))</f>
        <v/>
      </c>
      <c r="X3570">
        <f>IF($T3570="",N($X3569),IF(MATCH($T3570,$T$6:$T$6005,0)=ROW()-5,N($X3569)+1,N($X3569)))</f>
        <v/>
      </c>
      <c r="Z3570">
        <f>IF($V3570="","",IF($AA3570&gt;N($AA3569),$AA3570,""))</f>
        <v/>
      </c>
      <c r="AA3570">
        <f>IF($V3570="",N($AA3569),IF(MATCH($V3570,$V$6:$V$6005,0)=ROW()-5,N($AA3569)+1,N($AA3569)))</f>
        <v/>
      </c>
    </row>
    <row r="3571" ht="21" customHeight="1" s="66">
      <c r="A3571" s="56" t="n"/>
      <c r="B3571" s="57" t="n"/>
      <c r="C3571" s="57" t="n"/>
      <c r="D3571" s="57" t="n"/>
      <c r="E3571" s="56" t="n"/>
      <c r="F3571" s="57" t="n"/>
      <c r="G3571" s="57" t="n"/>
      <c r="H3571" s="56" t="n"/>
      <c r="I3571" s="56" t="n"/>
      <c r="J3571" s="58" t="n"/>
      <c r="K3571" s="58" t="n"/>
      <c r="L3571" s="13">
        <f>IF(OR($A3571="",AND($J3571="",$K3571="")),"",ROUND(N($J3571)-N($K3571),2))</f>
        <v/>
      </c>
      <c r="M3571" s="13">
        <f>IF(OR($A3571="",AND($J3571="",$K3571="")),"",MIN($J3571,$K3571))</f>
        <v/>
      </c>
      <c r="Q3571">
        <f>IF($A3571="","",$D3571&amp;"("&amp;SUBSTITUTE($E3571," ","")&amp;")")</f>
        <v/>
      </c>
      <c r="R3571">
        <f>IF($A3571="","",$B3571&amp;" - "&amp;$C3571)</f>
        <v/>
      </c>
      <c r="S3571">
        <f>IF($A3571="","",$R3571&amp;"|"&amp;$Q3571)</f>
        <v/>
      </c>
      <c r="T3571">
        <f>IF($A3571="","",$S3571&amp;"|"&amp;$F3571)</f>
        <v/>
      </c>
      <c r="U3571">
        <f>IF($A3571="","",$R3571&amp;"("&amp;$E3571&amp;")")</f>
        <v/>
      </c>
      <c r="V3571">
        <f>IF($A3571="","",$F3571&amp;"|"&amp;$U3571&amp;"|"&amp;$D3571)</f>
        <v/>
      </c>
      <c r="W3571">
        <f>IF($T3571="","",IF($X3571&gt;N($X3570),$X3571,""))</f>
        <v/>
      </c>
      <c r="X3571">
        <f>IF($T3571="",N($X3570),IF(MATCH($T3571,$T$6:$T$6005,0)=ROW()-5,N($X3570)+1,N($X3570)))</f>
        <v/>
      </c>
      <c r="Z3571">
        <f>IF($V3571="","",IF($AA3571&gt;N($AA3570),$AA3571,""))</f>
        <v/>
      </c>
      <c r="AA3571">
        <f>IF($V3571="",N($AA3570),IF(MATCH($V3571,$V$6:$V$6005,0)=ROW()-5,N($AA3570)+1,N($AA3570)))</f>
        <v/>
      </c>
    </row>
    <row r="3572" ht="21" customHeight="1" s="66">
      <c r="A3572" s="56" t="n"/>
      <c r="B3572" s="57" t="n"/>
      <c r="C3572" s="57" t="n"/>
      <c r="D3572" s="57" t="n"/>
      <c r="E3572" s="56" t="n"/>
      <c r="F3572" s="57" t="n"/>
      <c r="G3572" s="57" t="n"/>
      <c r="H3572" s="56" t="n"/>
      <c r="I3572" s="56" t="n"/>
      <c r="J3572" s="58" t="n"/>
      <c r="K3572" s="58" t="n"/>
      <c r="L3572" s="13">
        <f>IF(OR($A3572="",AND($J3572="",$K3572="")),"",ROUND(N($J3572)-N($K3572),2))</f>
        <v/>
      </c>
      <c r="M3572" s="13">
        <f>IF(OR($A3572="",AND($J3572="",$K3572="")),"",MIN($J3572,$K3572))</f>
        <v/>
      </c>
      <c r="Q3572">
        <f>IF($A3572="","",$D3572&amp;"("&amp;SUBSTITUTE($E3572," ","")&amp;")")</f>
        <v/>
      </c>
      <c r="R3572">
        <f>IF($A3572="","",$B3572&amp;" - "&amp;$C3572)</f>
        <v/>
      </c>
      <c r="S3572">
        <f>IF($A3572="","",$R3572&amp;"|"&amp;$Q3572)</f>
        <v/>
      </c>
      <c r="T3572">
        <f>IF($A3572="","",$S3572&amp;"|"&amp;$F3572)</f>
        <v/>
      </c>
      <c r="U3572">
        <f>IF($A3572="","",$R3572&amp;"("&amp;$E3572&amp;")")</f>
        <v/>
      </c>
      <c r="V3572">
        <f>IF($A3572="","",$F3572&amp;"|"&amp;$U3572&amp;"|"&amp;$D3572)</f>
        <v/>
      </c>
      <c r="W3572">
        <f>IF($T3572="","",IF($X3572&gt;N($X3571),$X3572,""))</f>
        <v/>
      </c>
      <c r="X3572">
        <f>IF($T3572="",N($X3571),IF(MATCH($T3572,$T$6:$T$6005,0)=ROW()-5,N($X3571)+1,N($X3571)))</f>
        <v/>
      </c>
      <c r="Z3572">
        <f>IF($V3572="","",IF($AA3572&gt;N($AA3571),$AA3572,""))</f>
        <v/>
      </c>
      <c r="AA3572">
        <f>IF($V3572="",N($AA3571),IF(MATCH($V3572,$V$6:$V$6005,0)=ROW()-5,N($AA3571)+1,N($AA3571)))</f>
        <v/>
      </c>
    </row>
    <row r="3573" ht="21" customHeight="1" s="66">
      <c r="A3573" s="56" t="n"/>
      <c r="B3573" s="57" t="n"/>
      <c r="C3573" s="57" t="n"/>
      <c r="D3573" s="57" t="n"/>
      <c r="E3573" s="56" t="n"/>
      <c r="F3573" s="57" t="n"/>
      <c r="G3573" s="57" t="n"/>
      <c r="H3573" s="56" t="n"/>
      <c r="I3573" s="56" t="n"/>
      <c r="J3573" s="58" t="n"/>
      <c r="K3573" s="58" t="n"/>
      <c r="L3573" s="13">
        <f>IF(OR($A3573="",AND($J3573="",$K3573="")),"",ROUND(N($J3573)-N($K3573),2))</f>
        <v/>
      </c>
      <c r="M3573" s="13">
        <f>IF(OR($A3573="",AND($J3573="",$K3573="")),"",MIN($J3573,$K3573))</f>
        <v/>
      </c>
      <c r="Q3573">
        <f>IF($A3573="","",$D3573&amp;"("&amp;SUBSTITUTE($E3573," ","")&amp;")")</f>
        <v/>
      </c>
      <c r="R3573">
        <f>IF($A3573="","",$B3573&amp;" - "&amp;$C3573)</f>
        <v/>
      </c>
      <c r="S3573">
        <f>IF($A3573="","",$R3573&amp;"|"&amp;$Q3573)</f>
        <v/>
      </c>
      <c r="T3573">
        <f>IF($A3573="","",$S3573&amp;"|"&amp;$F3573)</f>
        <v/>
      </c>
      <c r="U3573">
        <f>IF($A3573="","",$R3573&amp;"("&amp;$E3573&amp;")")</f>
        <v/>
      </c>
      <c r="V3573">
        <f>IF($A3573="","",$F3573&amp;"|"&amp;$U3573&amp;"|"&amp;$D3573)</f>
        <v/>
      </c>
      <c r="W3573">
        <f>IF($T3573="","",IF($X3573&gt;N($X3572),$X3573,""))</f>
        <v/>
      </c>
      <c r="X3573">
        <f>IF($T3573="",N($X3572),IF(MATCH($T3573,$T$6:$T$6005,0)=ROW()-5,N($X3572)+1,N($X3572)))</f>
        <v/>
      </c>
      <c r="Z3573">
        <f>IF($V3573="","",IF($AA3573&gt;N($AA3572),$AA3573,""))</f>
        <v/>
      </c>
      <c r="AA3573">
        <f>IF($V3573="",N($AA3572),IF(MATCH($V3573,$V$6:$V$6005,0)=ROW()-5,N($AA3572)+1,N($AA3572)))</f>
        <v/>
      </c>
    </row>
    <row r="3574" ht="21" customHeight="1" s="66">
      <c r="A3574" s="56" t="n"/>
      <c r="B3574" s="57" t="n"/>
      <c r="C3574" s="57" t="n"/>
      <c r="D3574" s="57" t="n"/>
      <c r="E3574" s="56" t="n"/>
      <c r="F3574" s="57" t="n"/>
      <c r="G3574" s="57" t="n"/>
      <c r="H3574" s="56" t="n"/>
      <c r="I3574" s="56" t="n"/>
      <c r="J3574" s="58" t="n"/>
      <c r="K3574" s="58" t="n"/>
      <c r="L3574" s="13">
        <f>IF(OR($A3574="",AND($J3574="",$K3574="")),"",ROUND(N($J3574)-N($K3574),2))</f>
        <v/>
      </c>
      <c r="M3574" s="13">
        <f>IF(OR($A3574="",AND($J3574="",$K3574="")),"",MIN($J3574,$K3574))</f>
        <v/>
      </c>
      <c r="Q3574">
        <f>IF($A3574="","",$D3574&amp;"("&amp;SUBSTITUTE($E3574," ","")&amp;")")</f>
        <v/>
      </c>
      <c r="R3574">
        <f>IF($A3574="","",$B3574&amp;" - "&amp;$C3574)</f>
        <v/>
      </c>
      <c r="S3574">
        <f>IF($A3574="","",$R3574&amp;"|"&amp;$Q3574)</f>
        <v/>
      </c>
      <c r="T3574">
        <f>IF($A3574="","",$S3574&amp;"|"&amp;$F3574)</f>
        <v/>
      </c>
      <c r="U3574">
        <f>IF($A3574="","",$R3574&amp;"("&amp;$E3574&amp;")")</f>
        <v/>
      </c>
      <c r="V3574">
        <f>IF($A3574="","",$F3574&amp;"|"&amp;$U3574&amp;"|"&amp;$D3574)</f>
        <v/>
      </c>
      <c r="W3574">
        <f>IF($T3574="","",IF($X3574&gt;N($X3573),$X3574,""))</f>
        <v/>
      </c>
      <c r="X3574">
        <f>IF($T3574="",N($X3573),IF(MATCH($T3574,$T$6:$T$6005,0)=ROW()-5,N($X3573)+1,N($X3573)))</f>
        <v/>
      </c>
      <c r="Z3574">
        <f>IF($V3574="","",IF($AA3574&gt;N($AA3573),$AA3574,""))</f>
        <v/>
      </c>
      <c r="AA3574">
        <f>IF($V3574="",N($AA3573),IF(MATCH($V3574,$V$6:$V$6005,0)=ROW()-5,N($AA3573)+1,N($AA3573)))</f>
        <v/>
      </c>
    </row>
    <row r="3575" ht="21" customHeight="1" s="66">
      <c r="A3575" s="56" t="n"/>
      <c r="B3575" s="57" t="n"/>
      <c r="C3575" s="57" t="n"/>
      <c r="D3575" s="57" t="n"/>
      <c r="E3575" s="56" t="n"/>
      <c r="F3575" s="57" t="n"/>
      <c r="G3575" s="57" t="n"/>
      <c r="H3575" s="56" t="n"/>
      <c r="I3575" s="56" t="n"/>
      <c r="J3575" s="58" t="n"/>
      <c r="K3575" s="58" t="n"/>
      <c r="L3575" s="13">
        <f>IF(OR($A3575="",AND($J3575="",$K3575="")),"",ROUND(N($J3575)-N($K3575),2))</f>
        <v/>
      </c>
      <c r="M3575" s="13">
        <f>IF(OR($A3575="",AND($J3575="",$K3575="")),"",MIN($J3575,$K3575))</f>
        <v/>
      </c>
      <c r="Q3575">
        <f>IF($A3575="","",$D3575&amp;"("&amp;SUBSTITUTE($E3575," ","")&amp;")")</f>
        <v/>
      </c>
      <c r="R3575">
        <f>IF($A3575="","",$B3575&amp;" - "&amp;$C3575)</f>
        <v/>
      </c>
      <c r="S3575">
        <f>IF($A3575="","",$R3575&amp;"|"&amp;$Q3575)</f>
        <v/>
      </c>
      <c r="T3575">
        <f>IF($A3575="","",$S3575&amp;"|"&amp;$F3575)</f>
        <v/>
      </c>
      <c r="U3575">
        <f>IF($A3575="","",$R3575&amp;"("&amp;$E3575&amp;")")</f>
        <v/>
      </c>
      <c r="V3575">
        <f>IF($A3575="","",$F3575&amp;"|"&amp;$U3575&amp;"|"&amp;$D3575)</f>
        <v/>
      </c>
      <c r="W3575">
        <f>IF($T3575="","",IF($X3575&gt;N($X3574),$X3575,""))</f>
        <v/>
      </c>
      <c r="X3575">
        <f>IF($T3575="",N($X3574),IF(MATCH($T3575,$T$6:$T$6005,0)=ROW()-5,N($X3574)+1,N($X3574)))</f>
        <v/>
      </c>
      <c r="Z3575">
        <f>IF($V3575="","",IF($AA3575&gt;N($AA3574),$AA3575,""))</f>
        <v/>
      </c>
      <c r="AA3575">
        <f>IF($V3575="",N($AA3574),IF(MATCH($V3575,$V$6:$V$6005,0)=ROW()-5,N($AA3574)+1,N($AA3574)))</f>
        <v/>
      </c>
    </row>
    <row r="3576" ht="21" customHeight="1" s="66">
      <c r="A3576" s="56" t="n"/>
      <c r="B3576" s="57" t="n"/>
      <c r="C3576" s="57" t="n"/>
      <c r="D3576" s="57" t="n"/>
      <c r="E3576" s="56" t="n"/>
      <c r="F3576" s="57" t="n"/>
      <c r="G3576" s="57" t="n"/>
      <c r="H3576" s="56" t="n"/>
      <c r="I3576" s="56" t="n"/>
      <c r="J3576" s="58" t="n"/>
      <c r="K3576" s="58" t="n"/>
      <c r="L3576" s="13">
        <f>IF(OR($A3576="",AND($J3576="",$K3576="")),"",ROUND(N($J3576)-N($K3576),2))</f>
        <v/>
      </c>
      <c r="M3576" s="13">
        <f>IF(OR($A3576="",AND($J3576="",$K3576="")),"",MIN($J3576,$K3576))</f>
        <v/>
      </c>
      <c r="Q3576">
        <f>IF($A3576="","",$D3576&amp;"("&amp;SUBSTITUTE($E3576," ","")&amp;")")</f>
        <v/>
      </c>
      <c r="R3576">
        <f>IF($A3576="","",$B3576&amp;" - "&amp;$C3576)</f>
        <v/>
      </c>
      <c r="S3576">
        <f>IF($A3576="","",$R3576&amp;"|"&amp;$Q3576)</f>
        <v/>
      </c>
      <c r="T3576">
        <f>IF($A3576="","",$S3576&amp;"|"&amp;$F3576)</f>
        <v/>
      </c>
      <c r="U3576">
        <f>IF($A3576="","",$R3576&amp;"("&amp;$E3576&amp;")")</f>
        <v/>
      </c>
      <c r="V3576">
        <f>IF($A3576="","",$F3576&amp;"|"&amp;$U3576&amp;"|"&amp;$D3576)</f>
        <v/>
      </c>
      <c r="W3576">
        <f>IF($T3576="","",IF($X3576&gt;N($X3575),$X3576,""))</f>
        <v/>
      </c>
      <c r="X3576">
        <f>IF($T3576="",N($X3575),IF(MATCH($T3576,$T$6:$T$6005,0)=ROW()-5,N($X3575)+1,N($X3575)))</f>
        <v/>
      </c>
      <c r="Z3576">
        <f>IF($V3576="","",IF($AA3576&gt;N($AA3575),$AA3576,""))</f>
        <v/>
      </c>
      <c r="AA3576">
        <f>IF($V3576="",N($AA3575),IF(MATCH($V3576,$V$6:$V$6005,0)=ROW()-5,N($AA3575)+1,N($AA3575)))</f>
        <v/>
      </c>
    </row>
    <row r="3577" ht="21" customHeight="1" s="66">
      <c r="A3577" s="56" t="n"/>
      <c r="B3577" s="57" t="n"/>
      <c r="C3577" s="57" t="n"/>
      <c r="D3577" s="57" t="n"/>
      <c r="E3577" s="56" t="n"/>
      <c r="F3577" s="57" t="n"/>
      <c r="G3577" s="57" t="n"/>
      <c r="H3577" s="56" t="n"/>
      <c r="I3577" s="56" t="n"/>
      <c r="J3577" s="58" t="n"/>
      <c r="K3577" s="58" t="n"/>
      <c r="L3577" s="13">
        <f>IF(OR($A3577="",AND($J3577="",$K3577="")),"",ROUND(N($J3577)-N($K3577),2))</f>
        <v/>
      </c>
      <c r="M3577" s="13">
        <f>IF(OR($A3577="",AND($J3577="",$K3577="")),"",MIN($J3577,$K3577))</f>
        <v/>
      </c>
      <c r="Q3577">
        <f>IF($A3577="","",$D3577&amp;"("&amp;SUBSTITUTE($E3577," ","")&amp;")")</f>
        <v/>
      </c>
      <c r="R3577">
        <f>IF($A3577="","",$B3577&amp;" - "&amp;$C3577)</f>
        <v/>
      </c>
      <c r="S3577">
        <f>IF($A3577="","",$R3577&amp;"|"&amp;$Q3577)</f>
        <v/>
      </c>
      <c r="T3577">
        <f>IF($A3577="","",$S3577&amp;"|"&amp;$F3577)</f>
        <v/>
      </c>
      <c r="U3577">
        <f>IF($A3577="","",$R3577&amp;"("&amp;$E3577&amp;")")</f>
        <v/>
      </c>
      <c r="V3577">
        <f>IF($A3577="","",$F3577&amp;"|"&amp;$U3577&amp;"|"&amp;$D3577)</f>
        <v/>
      </c>
      <c r="W3577">
        <f>IF($T3577="","",IF($X3577&gt;N($X3576),$X3577,""))</f>
        <v/>
      </c>
      <c r="X3577">
        <f>IF($T3577="",N($X3576),IF(MATCH($T3577,$T$6:$T$6005,0)=ROW()-5,N($X3576)+1,N($X3576)))</f>
        <v/>
      </c>
      <c r="Z3577">
        <f>IF($V3577="","",IF($AA3577&gt;N($AA3576),$AA3577,""))</f>
        <v/>
      </c>
      <c r="AA3577">
        <f>IF($V3577="",N($AA3576),IF(MATCH($V3577,$V$6:$V$6005,0)=ROW()-5,N($AA3576)+1,N($AA3576)))</f>
        <v/>
      </c>
    </row>
    <row r="3578" ht="21" customHeight="1" s="66">
      <c r="A3578" s="56" t="n"/>
      <c r="B3578" s="57" t="n"/>
      <c r="C3578" s="57" t="n"/>
      <c r="D3578" s="57" t="n"/>
      <c r="E3578" s="56" t="n"/>
      <c r="F3578" s="57" t="n"/>
      <c r="G3578" s="57" t="n"/>
      <c r="H3578" s="56" t="n"/>
      <c r="I3578" s="56" t="n"/>
      <c r="J3578" s="58" t="n"/>
      <c r="K3578" s="58" t="n"/>
      <c r="L3578" s="13">
        <f>IF(OR($A3578="",AND($J3578="",$K3578="")),"",ROUND(N($J3578)-N($K3578),2))</f>
        <v/>
      </c>
      <c r="M3578" s="13">
        <f>IF(OR($A3578="",AND($J3578="",$K3578="")),"",MIN($J3578,$K3578))</f>
        <v/>
      </c>
      <c r="Q3578">
        <f>IF($A3578="","",$D3578&amp;"("&amp;SUBSTITUTE($E3578," ","")&amp;")")</f>
        <v/>
      </c>
      <c r="R3578">
        <f>IF($A3578="","",$B3578&amp;" - "&amp;$C3578)</f>
        <v/>
      </c>
      <c r="S3578">
        <f>IF($A3578="","",$R3578&amp;"|"&amp;$Q3578)</f>
        <v/>
      </c>
      <c r="T3578">
        <f>IF($A3578="","",$S3578&amp;"|"&amp;$F3578)</f>
        <v/>
      </c>
      <c r="U3578">
        <f>IF($A3578="","",$R3578&amp;"("&amp;$E3578&amp;")")</f>
        <v/>
      </c>
      <c r="V3578">
        <f>IF($A3578="","",$F3578&amp;"|"&amp;$U3578&amp;"|"&amp;$D3578)</f>
        <v/>
      </c>
      <c r="W3578">
        <f>IF($T3578="","",IF($X3578&gt;N($X3577),$X3578,""))</f>
        <v/>
      </c>
      <c r="X3578">
        <f>IF($T3578="",N($X3577),IF(MATCH($T3578,$T$6:$T$6005,0)=ROW()-5,N($X3577)+1,N($X3577)))</f>
        <v/>
      </c>
      <c r="Z3578">
        <f>IF($V3578="","",IF($AA3578&gt;N($AA3577),$AA3578,""))</f>
        <v/>
      </c>
      <c r="AA3578">
        <f>IF($V3578="",N($AA3577),IF(MATCH($V3578,$V$6:$V$6005,0)=ROW()-5,N($AA3577)+1,N($AA3577)))</f>
        <v/>
      </c>
    </row>
    <row r="3579" ht="21" customHeight="1" s="66">
      <c r="A3579" s="56" t="n"/>
      <c r="B3579" s="57" t="n"/>
      <c r="C3579" s="57" t="n"/>
      <c r="D3579" s="57" t="n"/>
      <c r="E3579" s="56" t="n"/>
      <c r="F3579" s="57" t="n"/>
      <c r="G3579" s="57" t="n"/>
      <c r="H3579" s="56" t="n"/>
      <c r="I3579" s="56" t="n"/>
      <c r="J3579" s="58" t="n"/>
      <c r="K3579" s="58" t="n"/>
      <c r="L3579" s="13">
        <f>IF(OR($A3579="",AND($J3579="",$K3579="")),"",ROUND(N($J3579)-N($K3579),2))</f>
        <v/>
      </c>
      <c r="M3579" s="13">
        <f>IF(OR($A3579="",AND($J3579="",$K3579="")),"",MIN($J3579,$K3579))</f>
        <v/>
      </c>
      <c r="Q3579">
        <f>IF($A3579="","",$D3579&amp;"("&amp;SUBSTITUTE($E3579," ","")&amp;")")</f>
        <v/>
      </c>
      <c r="R3579">
        <f>IF($A3579="","",$B3579&amp;" - "&amp;$C3579)</f>
        <v/>
      </c>
      <c r="S3579">
        <f>IF($A3579="","",$R3579&amp;"|"&amp;$Q3579)</f>
        <v/>
      </c>
      <c r="T3579">
        <f>IF($A3579="","",$S3579&amp;"|"&amp;$F3579)</f>
        <v/>
      </c>
      <c r="U3579">
        <f>IF($A3579="","",$R3579&amp;"("&amp;$E3579&amp;")")</f>
        <v/>
      </c>
      <c r="V3579">
        <f>IF($A3579="","",$F3579&amp;"|"&amp;$U3579&amp;"|"&amp;$D3579)</f>
        <v/>
      </c>
      <c r="W3579">
        <f>IF($T3579="","",IF($X3579&gt;N($X3578),$X3579,""))</f>
        <v/>
      </c>
      <c r="X3579">
        <f>IF($T3579="",N($X3578),IF(MATCH($T3579,$T$6:$T$6005,0)=ROW()-5,N($X3578)+1,N($X3578)))</f>
        <v/>
      </c>
      <c r="Z3579">
        <f>IF($V3579="","",IF($AA3579&gt;N($AA3578),$AA3579,""))</f>
        <v/>
      </c>
      <c r="AA3579">
        <f>IF($V3579="",N($AA3578),IF(MATCH($V3579,$V$6:$V$6005,0)=ROW()-5,N($AA3578)+1,N($AA3578)))</f>
        <v/>
      </c>
    </row>
    <row r="3580" ht="21" customHeight="1" s="66">
      <c r="A3580" s="56" t="n"/>
      <c r="B3580" s="57" t="n"/>
      <c r="C3580" s="57" t="n"/>
      <c r="D3580" s="57" t="n"/>
      <c r="E3580" s="56" t="n"/>
      <c r="F3580" s="57" t="n"/>
      <c r="G3580" s="57" t="n"/>
      <c r="H3580" s="56" t="n"/>
      <c r="I3580" s="56" t="n"/>
      <c r="J3580" s="58" t="n"/>
      <c r="K3580" s="58" t="n"/>
      <c r="L3580" s="13">
        <f>IF(OR($A3580="",AND($J3580="",$K3580="")),"",ROUND(N($J3580)-N($K3580),2))</f>
        <v/>
      </c>
      <c r="M3580" s="13">
        <f>IF(OR($A3580="",AND($J3580="",$K3580="")),"",MIN($J3580,$K3580))</f>
        <v/>
      </c>
      <c r="Q3580">
        <f>IF($A3580="","",$D3580&amp;"("&amp;SUBSTITUTE($E3580," ","")&amp;")")</f>
        <v/>
      </c>
      <c r="R3580">
        <f>IF($A3580="","",$B3580&amp;" - "&amp;$C3580)</f>
        <v/>
      </c>
      <c r="S3580">
        <f>IF($A3580="","",$R3580&amp;"|"&amp;$Q3580)</f>
        <v/>
      </c>
      <c r="T3580">
        <f>IF($A3580="","",$S3580&amp;"|"&amp;$F3580)</f>
        <v/>
      </c>
      <c r="U3580">
        <f>IF($A3580="","",$R3580&amp;"("&amp;$E3580&amp;")")</f>
        <v/>
      </c>
      <c r="V3580">
        <f>IF($A3580="","",$F3580&amp;"|"&amp;$U3580&amp;"|"&amp;$D3580)</f>
        <v/>
      </c>
      <c r="W3580">
        <f>IF($T3580="","",IF($X3580&gt;N($X3579),$X3580,""))</f>
        <v/>
      </c>
      <c r="X3580">
        <f>IF($T3580="",N($X3579),IF(MATCH($T3580,$T$6:$T$6005,0)=ROW()-5,N($X3579)+1,N($X3579)))</f>
        <v/>
      </c>
      <c r="Z3580">
        <f>IF($V3580="","",IF($AA3580&gt;N($AA3579),$AA3580,""))</f>
        <v/>
      </c>
      <c r="AA3580">
        <f>IF($V3580="",N($AA3579),IF(MATCH($V3580,$V$6:$V$6005,0)=ROW()-5,N($AA3579)+1,N($AA3579)))</f>
        <v/>
      </c>
    </row>
    <row r="3581" ht="21" customHeight="1" s="66">
      <c r="A3581" s="56" t="n"/>
      <c r="B3581" s="57" t="n"/>
      <c r="C3581" s="57" t="n"/>
      <c r="D3581" s="57" t="n"/>
      <c r="E3581" s="56" t="n"/>
      <c r="F3581" s="57" t="n"/>
      <c r="G3581" s="57" t="n"/>
      <c r="H3581" s="56" t="n"/>
      <c r="I3581" s="56" t="n"/>
      <c r="J3581" s="58" t="n"/>
      <c r="K3581" s="58" t="n"/>
      <c r="L3581" s="13">
        <f>IF(OR($A3581="",AND($J3581="",$K3581="")),"",ROUND(N($J3581)-N($K3581),2))</f>
        <v/>
      </c>
      <c r="M3581" s="13">
        <f>IF(OR($A3581="",AND($J3581="",$K3581="")),"",MIN($J3581,$K3581))</f>
        <v/>
      </c>
      <c r="Q3581">
        <f>IF($A3581="","",$D3581&amp;"("&amp;SUBSTITUTE($E3581," ","")&amp;")")</f>
        <v/>
      </c>
      <c r="R3581">
        <f>IF($A3581="","",$B3581&amp;" - "&amp;$C3581)</f>
        <v/>
      </c>
      <c r="S3581">
        <f>IF($A3581="","",$R3581&amp;"|"&amp;$Q3581)</f>
        <v/>
      </c>
      <c r="T3581">
        <f>IF($A3581="","",$S3581&amp;"|"&amp;$F3581)</f>
        <v/>
      </c>
      <c r="U3581">
        <f>IF($A3581="","",$R3581&amp;"("&amp;$E3581&amp;")")</f>
        <v/>
      </c>
      <c r="V3581">
        <f>IF($A3581="","",$F3581&amp;"|"&amp;$U3581&amp;"|"&amp;$D3581)</f>
        <v/>
      </c>
      <c r="W3581">
        <f>IF($T3581="","",IF($X3581&gt;N($X3580),$X3581,""))</f>
        <v/>
      </c>
      <c r="X3581">
        <f>IF($T3581="",N($X3580),IF(MATCH($T3581,$T$6:$T$6005,0)=ROW()-5,N($X3580)+1,N($X3580)))</f>
        <v/>
      </c>
      <c r="Z3581">
        <f>IF($V3581="","",IF($AA3581&gt;N($AA3580),$AA3581,""))</f>
        <v/>
      </c>
      <c r="AA3581">
        <f>IF($V3581="",N($AA3580),IF(MATCH($V3581,$V$6:$V$6005,0)=ROW()-5,N($AA3580)+1,N($AA3580)))</f>
        <v/>
      </c>
    </row>
    <row r="3582" ht="21" customHeight="1" s="66">
      <c r="A3582" s="56" t="n"/>
      <c r="B3582" s="57" t="n"/>
      <c r="C3582" s="57" t="n"/>
      <c r="D3582" s="57" t="n"/>
      <c r="E3582" s="56" t="n"/>
      <c r="F3582" s="57" t="n"/>
      <c r="G3582" s="57" t="n"/>
      <c r="H3582" s="56" t="n"/>
      <c r="I3582" s="56" t="n"/>
      <c r="J3582" s="58" t="n"/>
      <c r="K3582" s="58" t="n"/>
      <c r="L3582" s="13">
        <f>IF(OR($A3582="",AND($J3582="",$K3582="")),"",ROUND(N($J3582)-N($K3582),2))</f>
        <v/>
      </c>
      <c r="M3582" s="13">
        <f>IF(OR($A3582="",AND($J3582="",$K3582="")),"",MIN($J3582,$K3582))</f>
        <v/>
      </c>
      <c r="Q3582">
        <f>IF($A3582="","",$D3582&amp;"("&amp;SUBSTITUTE($E3582," ","")&amp;")")</f>
        <v/>
      </c>
      <c r="R3582">
        <f>IF($A3582="","",$B3582&amp;" - "&amp;$C3582)</f>
        <v/>
      </c>
      <c r="S3582">
        <f>IF($A3582="","",$R3582&amp;"|"&amp;$Q3582)</f>
        <v/>
      </c>
      <c r="T3582">
        <f>IF($A3582="","",$S3582&amp;"|"&amp;$F3582)</f>
        <v/>
      </c>
      <c r="U3582">
        <f>IF($A3582="","",$R3582&amp;"("&amp;$E3582&amp;")")</f>
        <v/>
      </c>
      <c r="V3582">
        <f>IF($A3582="","",$F3582&amp;"|"&amp;$U3582&amp;"|"&amp;$D3582)</f>
        <v/>
      </c>
      <c r="W3582">
        <f>IF($T3582="","",IF($X3582&gt;N($X3581),$X3582,""))</f>
        <v/>
      </c>
      <c r="X3582">
        <f>IF($T3582="",N($X3581),IF(MATCH($T3582,$T$6:$T$6005,0)=ROW()-5,N($X3581)+1,N($X3581)))</f>
        <v/>
      </c>
      <c r="Z3582">
        <f>IF($V3582="","",IF($AA3582&gt;N($AA3581),$AA3582,""))</f>
        <v/>
      </c>
      <c r="AA3582">
        <f>IF($V3582="",N($AA3581),IF(MATCH($V3582,$V$6:$V$6005,0)=ROW()-5,N($AA3581)+1,N($AA3581)))</f>
        <v/>
      </c>
    </row>
    <row r="3583" ht="21" customHeight="1" s="66">
      <c r="A3583" s="56" t="n"/>
      <c r="B3583" s="57" t="n"/>
      <c r="C3583" s="57" t="n"/>
      <c r="D3583" s="57" t="n"/>
      <c r="E3583" s="56" t="n"/>
      <c r="F3583" s="57" t="n"/>
      <c r="G3583" s="57" t="n"/>
      <c r="H3583" s="56" t="n"/>
      <c r="I3583" s="56" t="n"/>
      <c r="J3583" s="58" t="n"/>
      <c r="K3583" s="58" t="n"/>
      <c r="L3583" s="13">
        <f>IF(OR($A3583="",AND($J3583="",$K3583="")),"",ROUND(N($J3583)-N($K3583),2))</f>
        <v/>
      </c>
      <c r="M3583" s="13">
        <f>IF(OR($A3583="",AND($J3583="",$K3583="")),"",MIN($J3583,$K3583))</f>
        <v/>
      </c>
      <c r="Q3583">
        <f>IF($A3583="","",$D3583&amp;"("&amp;SUBSTITUTE($E3583," ","")&amp;")")</f>
        <v/>
      </c>
      <c r="R3583">
        <f>IF($A3583="","",$B3583&amp;" - "&amp;$C3583)</f>
        <v/>
      </c>
      <c r="S3583">
        <f>IF($A3583="","",$R3583&amp;"|"&amp;$Q3583)</f>
        <v/>
      </c>
      <c r="T3583">
        <f>IF($A3583="","",$S3583&amp;"|"&amp;$F3583)</f>
        <v/>
      </c>
      <c r="U3583">
        <f>IF($A3583="","",$R3583&amp;"("&amp;$E3583&amp;")")</f>
        <v/>
      </c>
      <c r="V3583">
        <f>IF($A3583="","",$F3583&amp;"|"&amp;$U3583&amp;"|"&amp;$D3583)</f>
        <v/>
      </c>
      <c r="W3583">
        <f>IF($T3583="","",IF($X3583&gt;N($X3582),$X3583,""))</f>
        <v/>
      </c>
      <c r="X3583">
        <f>IF($T3583="",N($X3582),IF(MATCH($T3583,$T$6:$T$6005,0)=ROW()-5,N($X3582)+1,N($X3582)))</f>
        <v/>
      </c>
      <c r="Z3583">
        <f>IF($V3583="","",IF($AA3583&gt;N($AA3582),$AA3583,""))</f>
        <v/>
      </c>
      <c r="AA3583">
        <f>IF($V3583="",N($AA3582),IF(MATCH($V3583,$V$6:$V$6005,0)=ROW()-5,N($AA3582)+1,N($AA3582)))</f>
        <v/>
      </c>
    </row>
    <row r="3584" ht="21" customHeight="1" s="66">
      <c r="A3584" s="56" t="n"/>
      <c r="B3584" s="57" t="n"/>
      <c r="C3584" s="57" t="n"/>
      <c r="D3584" s="57" t="n"/>
      <c r="E3584" s="56" t="n"/>
      <c r="F3584" s="57" t="n"/>
      <c r="G3584" s="57" t="n"/>
      <c r="H3584" s="56" t="n"/>
      <c r="I3584" s="56" t="n"/>
      <c r="J3584" s="58" t="n"/>
      <c r="K3584" s="58" t="n"/>
      <c r="L3584" s="13">
        <f>IF(OR($A3584="",AND($J3584="",$K3584="")),"",ROUND(N($J3584)-N($K3584),2))</f>
        <v/>
      </c>
      <c r="M3584" s="13">
        <f>IF(OR($A3584="",AND($J3584="",$K3584="")),"",MIN($J3584,$K3584))</f>
        <v/>
      </c>
      <c r="Q3584">
        <f>IF($A3584="","",$D3584&amp;"("&amp;SUBSTITUTE($E3584," ","")&amp;")")</f>
        <v/>
      </c>
      <c r="R3584">
        <f>IF($A3584="","",$B3584&amp;" - "&amp;$C3584)</f>
        <v/>
      </c>
      <c r="S3584">
        <f>IF($A3584="","",$R3584&amp;"|"&amp;$Q3584)</f>
        <v/>
      </c>
      <c r="T3584">
        <f>IF($A3584="","",$S3584&amp;"|"&amp;$F3584)</f>
        <v/>
      </c>
      <c r="U3584">
        <f>IF($A3584="","",$R3584&amp;"("&amp;$E3584&amp;")")</f>
        <v/>
      </c>
      <c r="V3584">
        <f>IF($A3584="","",$F3584&amp;"|"&amp;$U3584&amp;"|"&amp;$D3584)</f>
        <v/>
      </c>
      <c r="W3584">
        <f>IF($T3584="","",IF($X3584&gt;N($X3583),$X3584,""))</f>
        <v/>
      </c>
      <c r="X3584">
        <f>IF($T3584="",N($X3583),IF(MATCH($T3584,$T$6:$T$6005,0)=ROW()-5,N($X3583)+1,N($X3583)))</f>
        <v/>
      </c>
      <c r="Z3584">
        <f>IF($V3584="","",IF($AA3584&gt;N($AA3583),$AA3584,""))</f>
        <v/>
      </c>
      <c r="AA3584">
        <f>IF($V3584="",N($AA3583),IF(MATCH($V3584,$V$6:$V$6005,0)=ROW()-5,N($AA3583)+1,N($AA3583)))</f>
        <v/>
      </c>
    </row>
    <row r="3585" ht="21" customHeight="1" s="66">
      <c r="A3585" s="56" t="n"/>
      <c r="B3585" s="57" t="n"/>
      <c r="C3585" s="57" t="n"/>
      <c r="D3585" s="57" t="n"/>
      <c r="E3585" s="56" t="n"/>
      <c r="F3585" s="57" t="n"/>
      <c r="G3585" s="57" t="n"/>
      <c r="H3585" s="56" t="n"/>
      <c r="I3585" s="56" t="n"/>
      <c r="J3585" s="58" t="n"/>
      <c r="K3585" s="58" t="n"/>
      <c r="L3585" s="13">
        <f>IF(OR($A3585="",AND($J3585="",$K3585="")),"",ROUND(N($J3585)-N($K3585),2))</f>
        <v/>
      </c>
      <c r="M3585" s="13">
        <f>IF(OR($A3585="",AND($J3585="",$K3585="")),"",MIN($J3585,$K3585))</f>
        <v/>
      </c>
      <c r="Q3585">
        <f>IF($A3585="","",$D3585&amp;"("&amp;SUBSTITUTE($E3585," ","")&amp;")")</f>
        <v/>
      </c>
      <c r="R3585">
        <f>IF($A3585="","",$B3585&amp;" - "&amp;$C3585)</f>
        <v/>
      </c>
      <c r="S3585">
        <f>IF($A3585="","",$R3585&amp;"|"&amp;$Q3585)</f>
        <v/>
      </c>
      <c r="T3585">
        <f>IF($A3585="","",$S3585&amp;"|"&amp;$F3585)</f>
        <v/>
      </c>
      <c r="U3585">
        <f>IF($A3585="","",$R3585&amp;"("&amp;$E3585&amp;")")</f>
        <v/>
      </c>
      <c r="V3585">
        <f>IF($A3585="","",$F3585&amp;"|"&amp;$U3585&amp;"|"&amp;$D3585)</f>
        <v/>
      </c>
      <c r="W3585">
        <f>IF($T3585="","",IF($X3585&gt;N($X3584),$X3585,""))</f>
        <v/>
      </c>
      <c r="X3585">
        <f>IF($T3585="",N($X3584),IF(MATCH($T3585,$T$6:$T$6005,0)=ROW()-5,N($X3584)+1,N($X3584)))</f>
        <v/>
      </c>
      <c r="Z3585">
        <f>IF($V3585="","",IF($AA3585&gt;N($AA3584),$AA3585,""))</f>
        <v/>
      </c>
      <c r="AA3585">
        <f>IF($V3585="",N($AA3584),IF(MATCH($V3585,$V$6:$V$6005,0)=ROW()-5,N($AA3584)+1,N($AA3584)))</f>
        <v/>
      </c>
    </row>
    <row r="3586" ht="21" customHeight="1" s="66">
      <c r="A3586" s="56" t="n"/>
      <c r="B3586" s="57" t="n"/>
      <c r="C3586" s="57" t="n"/>
      <c r="D3586" s="57" t="n"/>
      <c r="E3586" s="56" t="n"/>
      <c r="F3586" s="57" t="n"/>
      <c r="G3586" s="57" t="n"/>
      <c r="H3586" s="56" t="n"/>
      <c r="I3586" s="56" t="n"/>
      <c r="J3586" s="58" t="n"/>
      <c r="K3586" s="58" t="n"/>
      <c r="L3586" s="13">
        <f>IF(OR($A3586="",AND($J3586="",$K3586="")),"",ROUND(N($J3586)-N($K3586),2))</f>
        <v/>
      </c>
      <c r="M3586" s="13">
        <f>IF(OR($A3586="",AND($J3586="",$K3586="")),"",MIN($J3586,$K3586))</f>
        <v/>
      </c>
      <c r="Q3586">
        <f>IF($A3586="","",$D3586&amp;"("&amp;SUBSTITUTE($E3586," ","")&amp;")")</f>
        <v/>
      </c>
      <c r="R3586">
        <f>IF($A3586="","",$B3586&amp;" - "&amp;$C3586)</f>
        <v/>
      </c>
      <c r="S3586">
        <f>IF($A3586="","",$R3586&amp;"|"&amp;$Q3586)</f>
        <v/>
      </c>
      <c r="T3586">
        <f>IF($A3586="","",$S3586&amp;"|"&amp;$F3586)</f>
        <v/>
      </c>
      <c r="U3586">
        <f>IF($A3586="","",$R3586&amp;"("&amp;$E3586&amp;")")</f>
        <v/>
      </c>
      <c r="V3586">
        <f>IF($A3586="","",$F3586&amp;"|"&amp;$U3586&amp;"|"&amp;$D3586)</f>
        <v/>
      </c>
      <c r="W3586">
        <f>IF($T3586="","",IF($X3586&gt;N($X3585),$X3586,""))</f>
        <v/>
      </c>
      <c r="X3586">
        <f>IF($T3586="",N($X3585),IF(MATCH($T3586,$T$6:$T$6005,0)=ROW()-5,N($X3585)+1,N($X3585)))</f>
        <v/>
      </c>
      <c r="Z3586">
        <f>IF($V3586="","",IF($AA3586&gt;N($AA3585),$AA3586,""))</f>
        <v/>
      </c>
      <c r="AA3586">
        <f>IF($V3586="",N($AA3585),IF(MATCH($V3586,$V$6:$V$6005,0)=ROW()-5,N($AA3585)+1,N($AA3585)))</f>
        <v/>
      </c>
    </row>
    <row r="3587" ht="21" customHeight="1" s="66">
      <c r="A3587" s="56" t="n"/>
      <c r="B3587" s="57" t="n"/>
      <c r="C3587" s="57" t="n"/>
      <c r="D3587" s="57" t="n"/>
      <c r="E3587" s="56" t="n"/>
      <c r="F3587" s="57" t="n"/>
      <c r="G3587" s="57" t="n"/>
      <c r="H3587" s="56" t="n"/>
      <c r="I3587" s="56" t="n"/>
      <c r="J3587" s="58" t="n"/>
      <c r="K3587" s="58" t="n"/>
      <c r="L3587" s="13">
        <f>IF(OR($A3587="",AND($J3587="",$K3587="")),"",ROUND(N($J3587)-N($K3587),2))</f>
        <v/>
      </c>
      <c r="M3587" s="13">
        <f>IF(OR($A3587="",AND($J3587="",$K3587="")),"",MIN($J3587,$K3587))</f>
        <v/>
      </c>
      <c r="Q3587">
        <f>IF($A3587="","",$D3587&amp;"("&amp;SUBSTITUTE($E3587," ","")&amp;")")</f>
        <v/>
      </c>
      <c r="R3587">
        <f>IF($A3587="","",$B3587&amp;" - "&amp;$C3587)</f>
        <v/>
      </c>
      <c r="S3587">
        <f>IF($A3587="","",$R3587&amp;"|"&amp;$Q3587)</f>
        <v/>
      </c>
      <c r="T3587">
        <f>IF($A3587="","",$S3587&amp;"|"&amp;$F3587)</f>
        <v/>
      </c>
      <c r="U3587">
        <f>IF($A3587="","",$R3587&amp;"("&amp;$E3587&amp;")")</f>
        <v/>
      </c>
      <c r="V3587">
        <f>IF($A3587="","",$F3587&amp;"|"&amp;$U3587&amp;"|"&amp;$D3587)</f>
        <v/>
      </c>
      <c r="W3587">
        <f>IF($T3587="","",IF($X3587&gt;N($X3586),$X3587,""))</f>
        <v/>
      </c>
      <c r="X3587">
        <f>IF($T3587="",N($X3586),IF(MATCH($T3587,$T$6:$T$6005,0)=ROW()-5,N($X3586)+1,N($X3586)))</f>
        <v/>
      </c>
      <c r="Z3587">
        <f>IF($V3587="","",IF($AA3587&gt;N($AA3586),$AA3587,""))</f>
        <v/>
      </c>
      <c r="AA3587">
        <f>IF($V3587="",N($AA3586),IF(MATCH($V3587,$V$6:$V$6005,0)=ROW()-5,N($AA3586)+1,N($AA3586)))</f>
        <v/>
      </c>
    </row>
    <row r="3588" ht="21" customHeight="1" s="66">
      <c r="A3588" s="56" t="n"/>
      <c r="B3588" s="57" t="n"/>
      <c r="C3588" s="57" t="n"/>
      <c r="D3588" s="57" t="n"/>
      <c r="E3588" s="56" t="n"/>
      <c r="F3588" s="57" t="n"/>
      <c r="G3588" s="57" t="n"/>
      <c r="H3588" s="56" t="n"/>
      <c r="I3588" s="56" t="n"/>
      <c r="J3588" s="58" t="n"/>
      <c r="K3588" s="58" t="n"/>
      <c r="L3588" s="13">
        <f>IF(OR($A3588="",AND($J3588="",$K3588="")),"",ROUND(N($J3588)-N($K3588),2))</f>
        <v/>
      </c>
      <c r="M3588" s="13">
        <f>IF(OR($A3588="",AND($J3588="",$K3588="")),"",MIN($J3588,$K3588))</f>
        <v/>
      </c>
      <c r="Q3588">
        <f>IF($A3588="","",$D3588&amp;"("&amp;SUBSTITUTE($E3588," ","")&amp;")")</f>
        <v/>
      </c>
      <c r="R3588">
        <f>IF($A3588="","",$B3588&amp;" - "&amp;$C3588)</f>
        <v/>
      </c>
      <c r="S3588">
        <f>IF($A3588="","",$R3588&amp;"|"&amp;$Q3588)</f>
        <v/>
      </c>
      <c r="T3588">
        <f>IF($A3588="","",$S3588&amp;"|"&amp;$F3588)</f>
        <v/>
      </c>
      <c r="U3588">
        <f>IF($A3588="","",$R3588&amp;"("&amp;$E3588&amp;")")</f>
        <v/>
      </c>
      <c r="V3588">
        <f>IF($A3588="","",$F3588&amp;"|"&amp;$U3588&amp;"|"&amp;$D3588)</f>
        <v/>
      </c>
      <c r="W3588">
        <f>IF($T3588="","",IF($X3588&gt;N($X3587),$X3588,""))</f>
        <v/>
      </c>
      <c r="X3588">
        <f>IF($T3588="",N($X3587),IF(MATCH($T3588,$T$6:$T$6005,0)=ROW()-5,N($X3587)+1,N($X3587)))</f>
        <v/>
      </c>
      <c r="Z3588">
        <f>IF($V3588="","",IF($AA3588&gt;N($AA3587),$AA3588,""))</f>
        <v/>
      </c>
      <c r="AA3588">
        <f>IF($V3588="",N($AA3587),IF(MATCH($V3588,$V$6:$V$6005,0)=ROW()-5,N($AA3587)+1,N($AA3587)))</f>
        <v/>
      </c>
    </row>
    <row r="3589" ht="21" customHeight="1" s="66">
      <c r="A3589" s="56" t="n"/>
      <c r="B3589" s="57" t="n"/>
      <c r="C3589" s="57" t="n"/>
      <c r="D3589" s="57" t="n"/>
      <c r="E3589" s="56" t="n"/>
      <c r="F3589" s="57" t="n"/>
      <c r="G3589" s="57" t="n"/>
      <c r="H3589" s="56" t="n"/>
      <c r="I3589" s="56" t="n"/>
      <c r="J3589" s="58" t="n"/>
      <c r="K3589" s="58" t="n"/>
      <c r="L3589" s="13">
        <f>IF(OR($A3589="",AND($J3589="",$K3589="")),"",ROUND(N($J3589)-N($K3589),2))</f>
        <v/>
      </c>
      <c r="M3589" s="13">
        <f>IF(OR($A3589="",AND($J3589="",$K3589="")),"",MIN($J3589,$K3589))</f>
        <v/>
      </c>
      <c r="Q3589">
        <f>IF($A3589="","",$D3589&amp;"("&amp;SUBSTITUTE($E3589," ","")&amp;")")</f>
        <v/>
      </c>
      <c r="R3589">
        <f>IF($A3589="","",$B3589&amp;" - "&amp;$C3589)</f>
        <v/>
      </c>
      <c r="S3589">
        <f>IF($A3589="","",$R3589&amp;"|"&amp;$Q3589)</f>
        <v/>
      </c>
      <c r="T3589">
        <f>IF($A3589="","",$S3589&amp;"|"&amp;$F3589)</f>
        <v/>
      </c>
      <c r="U3589">
        <f>IF($A3589="","",$R3589&amp;"("&amp;$E3589&amp;")")</f>
        <v/>
      </c>
      <c r="V3589">
        <f>IF($A3589="","",$F3589&amp;"|"&amp;$U3589&amp;"|"&amp;$D3589)</f>
        <v/>
      </c>
      <c r="W3589">
        <f>IF($T3589="","",IF($X3589&gt;N($X3588),$X3589,""))</f>
        <v/>
      </c>
      <c r="X3589">
        <f>IF($T3589="",N($X3588),IF(MATCH($T3589,$T$6:$T$6005,0)=ROW()-5,N($X3588)+1,N($X3588)))</f>
        <v/>
      </c>
      <c r="Z3589">
        <f>IF($V3589="","",IF($AA3589&gt;N($AA3588),$AA3589,""))</f>
        <v/>
      </c>
      <c r="AA3589">
        <f>IF($V3589="",N($AA3588),IF(MATCH($V3589,$V$6:$V$6005,0)=ROW()-5,N($AA3588)+1,N($AA3588)))</f>
        <v/>
      </c>
    </row>
    <row r="3590" ht="21" customHeight="1" s="66">
      <c r="A3590" s="56" t="n"/>
      <c r="B3590" s="57" t="n"/>
      <c r="C3590" s="57" t="n"/>
      <c r="D3590" s="57" t="n"/>
      <c r="E3590" s="56" t="n"/>
      <c r="F3590" s="57" t="n"/>
      <c r="G3590" s="57" t="n"/>
      <c r="H3590" s="56" t="n"/>
      <c r="I3590" s="56" t="n"/>
      <c r="J3590" s="58" t="n"/>
      <c r="K3590" s="58" t="n"/>
      <c r="L3590" s="13">
        <f>IF(OR($A3590="",AND($J3590="",$K3590="")),"",ROUND(N($J3590)-N($K3590),2))</f>
        <v/>
      </c>
      <c r="M3590" s="13">
        <f>IF(OR($A3590="",AND($J3590="",$K3590="")),"",MIN($J3590,$K3590))</f>
        <v/>
      </c>
      <c r="Q3590">
        <f>IF($A3590="","",$D3590&amp;"("&amp;SUBSTITUTE($E3590," ","")&amp;")")</f>
        <v/>
      </c>
      <c r="R3590">
        <f>IF($A3590="","",$B3590&amp;" - "&amp;$C3590)</f>
        <v/>
      </c>
      <c r="S3590">
        <f>IF($A3590="","",$R3590&amp;"|"&amp;$Q3590)</f>
        <v/>
      </c>
      <c r="T3590">
        <f>IF($A3590="","",$S3590&amp;"|"&amp;$F3590)</f>
        <v/>
      </c>
      <c r="U3590">
        <f>IF($A3590="","",$R3590&amp;"("&amp;$E3590&amp;")")</f>
        <v/>
      </c>
      <c r="V3590">
        <f>IF($A3590="","",$F3590&amp;"|"&amp;$U3590&amp;"|"&amp;$D3590)</f>
        <v/>
      </c>
      <c r="W3590">
        <f>IF($T3590="","",IF($X3590&gt;N($X3589),$X3590,""))</f>
        <v/>
      </c>
      <c r="X3590">
        <f>IF($T3590="",N($X3589),IF(MATCH($T3590,$T$6:$T$6005,0)=ROW()-5,N($X3589)+1,N($X3589)))</f>
        <v/>
      </c>
      <c r="Z3590">
        <f>IF($V3590="","",IF($AA3590&gt;N($AA3589),$AA3590,""))</f>
        <v/>
      </c>
      <c r="AA3590">
        <f>IF($V3590="",N($AA3589),IF(MATCH($V3590,$V$6:$V$6005,0)=ROW()-5,N($AA3589)+1,N($AA3589)))</f>
        <v/>
      </c>
    </row>
    <row r="3591" ht="21" customHeight="1" s="66">
      <c r="A3591" s="56" t="n"/>
      <c r="B3591" s="57" t="n"/>
      <c r="C3591" s="57" t="n"/>
      <c r="D3591" s="57" t="n"/>
      <c r="E3591" s="56" t="n"/>
      <c r="F3591" s="57" t="n"/>
      <c r="G3591" s="57" t="n"/>
      <c r="H3591" s="56" t="n"/>
      <c r="I3591" s="56" t="n"/>
      <c r="J3591" s="58" t="n"/>
      <c r="K3591" s="58" t="n"/>
      <c r="L3591" s="13">
        <f>IF(OR($A3591="",AND($J3591="",$K3591="")),"",ROUND(N($J3591)-N($K3591),2))</f>
        <v/>
      </c>
      <c r="M3591" s="13">
        <f>IF(OR($A3591="",AND($J3591="",$K3591="")),"",MIN($J3591,$K3591))</f>
        <v/>
      </c>
      <c r="Q3591">
        <f>IF($A3591="","",$D3591&amp;"("&amp;SUBSTITUTE($E3591," ","")&amp;")")</f>
        <v/>
      </c>
      <c r="R3591">
        <f>IF($A3591="","",$B3591&amp;" - "&amp;$C3591)</f>
        <v/>
      </c>
      <c r="S3591">
        <f>IF($A3591="","",$R3591&amp;"|"&amp;$Q3591)</f>
        <v/>
      </c>
      <c r="T3591">
        <f>IF($A3591="","",$S3591&amp;"|"&amp;$F3591)</f>
        <v/>
      </c>
      <c r="U3591">
        <f>IF($A3591="","",$R3591&amp;"("&amp;$E3591&amp;")")</f>
        <v/>
      </c>
      <c r="V3591">
        <f>IF($A3591="","",$F3591&amp;"|"&amp;$U3591&amp;"|"&amp;$D3591)</f>
        <v/>
      </c>
      <c r="W3591">
        <f>IF($T3591="","",IF($X3591&gt;N($X3590),$X3591,""))</f>
        <v/>
      </c>
      <c r="X3591">
        <f>IF($T3591="",N($X3590),IF(MATCH($T3591,$T$6:$T$6005,0)=ROW()-5,N($X3590)+1,N($X3590)))</f>
        <v/>
      </c>
      <c r="Z3591">
        <f>IF($V3591="","",IF($AA3591&gt;N($AA3590),$AA3591,""))</f>
        <v/>
      </c>
      <c r="AA3591">
        <f>IF($V3591="",N($AA3590),IF(MATCH($V3591,$V$6:$V$6005,0)=ROW()-5,N($AA3590)+1,N($AA3590)))</f>
        <v/>
      </c>
    </row>
    <row r="3592" ht="21" customHeight="1" s="66">
      <c r="A3592" s="56" t="n"/>
      <c r="B3592" s="57" t="n"/>
      <c r="C3592" s="57" t="n"/>
      <c r="D3592" s="57" t="n"/>
      <c r="E3592" s="56" t="n"/>
      <c r="F3592" s="57" t="n"/>
      <c r="G3592" s="57" t="n"/>
      <c r="H3592" s="56" t="n"/>
      <c r="I3592" s="56" t="n"/>
      <c r="J3592" s="58" t="n"/>
      <c r="K3592" s="58" t="n"/>
      <c r="L3592" s="13">
        <f>IF(OR($A3592="",AND($J3592="",$K3592="")),"",ROUND(N($J3592)-N($K3592),2))</f>
        <v/>
      </c>
      <c r="M3592" s="13">
        <f>IF(OR($A3592="",AND($J3592="",$K3592="")),"",MIN($J3592,$K3592))</f>
        <v/>
      </c>
      <c r="Q3592">
        <f>IF($A3592="","",$D3592&amp;"("&amp;SUBSTITUTE($E3592," ","")&amp;")")</f>
        <v/>
      </c>
      <c r="R3592">
        <f>IF($A3592="","",$B3592&amp;" - "&amp;$C3592)</f>
        <v/>
      </c>
      <c r="S3592">
        <f>IF($A3592="","",$R3592&amp;"|"&amp;$Q3592)</f>
        <v/>
      </c>
      <c r="T3592">
        <f>IF($A3592="","",$S3592&amp;"|"&amp;$F3592)</f>
        <v/>
      </c>
      <c r="U3592">
        <f>IF($A3592="","",$R3592&amp;"("&amp;$E3592&amp;")")</f>
        <v/>
      </c>
      <c r="V3592">
        <f>IF($A3592="","",$F3592&amp;"|"&amp;$U3592&amp;"|"&amp;$D3592)</f>
        <v/>
      </c>
      <c r="W3592">
        <f>IF($T3592="","",IF($X3592&gt;N($X3591),$X3592,""))</f>
        <v/>
      </c>
      <c r="X3592">
        <f>IF($T3592="",N($X3591),IF(MATCH($T3592,$T$6:$T$6005,0)=ROW()-5,N($X3591)+1,N($X3591)))</f>
        <v/>
      </c>
      <c r="Z3592">
        <f>IF($V3592="","",IF($AA3592&gt;N($AA3591),$AA3592,""))</f>
        <v/>
      </c>
      <c r="AA3592">
        <f>IF($V3592="",N($AA3591),IF(MATCH($V3592,$V$6:$V$6005,0)=ROW()-5,N($AA3591)+1,N($AA3591)))</f>
        <v/>
      </c>
    </row>
    <row r="3593" ht="21" customHeight="1" s="66">
      <c r="A3593" s="56" t="n"/>
      <c r="B3593" s="57" t="n"/>
      <c r="C3593" s="57" t="n"/>
      <c r="D3593" s="57" t="n"/>
      <c r="E3593" s="56" t="n"/>
      <c r="F3593" s="57" t="n"/>
      <c r="G3593" s="57" t="n"/>
      <c r="H3593" s="56" t="n"/>
      <c r="I3593" s="56" t="n"/>
      <c r="J3593" s="58" t="n"/>
      <c r="K3593" s="58" t="n"/>
      <c r="L3593" s="13">
        <f>IF(OR($A3593="",AND($J3593="",$K3593="")),"",ROUND(N($J3593)-N($K3593),2))</f>
        <v/>
      </c>
      <c r="M3593" s="13">
        <f>IF(OR($A3593="",AND($J3593="",$K3593="")),"",MIN($J3593,$K3593))</f>
        <v/>
      </c>
      <c r="Q3593">
        <f>IF($A3593="","",$D3593&amp;"("&amp;SUBSTITUTE($E3593," ","")&amp;")")</f>
        <v/>
      </c>
      <c r="R3593">
        <f>IF($A3593="","",$B3593&amp;" - "&amp;$C3593)</f>
        <v/>
      </c>
      <c r="S3593">
        <f>IF($A3593="","",$R3593&amp;"|"&amp;$Q3593)</f>
        <v/>
      </c>
      <c r="T3593">
        <f>IF($A3593="","",$S3593&amp;"|"&amp;$F3593)</f>
        <v/>
      </c>
      <c r="U3593">
        <f>IF($A3593="","",$R3593&amp;"("&amp;$E3593&amp;")")</f>
        <v/>
      </c>
      <c r="V3593">
        <f>IF($A3593="","",$F3593&amp;"|"&amp;$U3593&amp;"|"&amp;$D3593)</f>
        <v/>
      </c>
      <c r="W3593">
        <f>IF($T3593="","",IF($X3593&gt;N($X3592),$X3593,""))</f>
        <v/>
      </c>
      <c r="X3593">
        <f>IF($T3593="",N($X3592),IF(MATCH($T3593,$T$6:$T$6005,0)=ROW()-5,N($X3592)+1,N($X3592)))</f>
        <v/>
      </c>
      <c r="Z3593">
        <f>IF($V3593="","",IF($AA3593&gt;N($AA3592),$AA3593,""))</f>
        <v/>
      </c>
      <c r="AA3593">
        <f>IF($V3593="",N($AA3592),IF(MATCH($V3593,$V$6:$V$6005,0)=ROW()-5,N($AA3592)+1,N($AA3592)))</f>
        <v/>
      </c>
    </row>
    <row r="3594" ht="21" customHeight="1" s="66">
      <c r="A3594" s="56" t="n"/>
      <c r="B3594" s="57" t="n"/>
      <c r="C3594" s="57" t="n"/>
      <c r="D3594" s="57" t="n"/>
      <c r="E3594" s="56" t="n"/>
      <c r="F3594" s="57" t="n"/>
      <c r="G3594" s="57" t="n"/>
      <c r="H3594" s="56" t="n"/>
      <c r="I3594" s="56" t="n"/>
      <c r="J3594" s="58" t="n"/>
      <c r="K3594" s="58" t="n"/>
      <c r="L3594" s="13">
        <f>IF(OR($A3594="",AND($J3594="",$K3594="")),"",ROUND(N($J3594)-N($K3594),2))</f>
        <v/>
      </c>
      <c r="M3594" s="13">
        <f>IF(OR($A3594="",AND($J3594="",$K3594="")),"",MIN($J3594,$K3594))</f>
        <v/>
      </c>
      <c r="Q3594">
        <f>IF($A3594="","",$D3594&amp;"("&amp;SUBSTITUTE($E3594," ","")&amp;")")</f>
        <v/>
      </c>
      <c r="R3594">
        <f>IF($A3594="","",$B3594&amp;" - "&amp;$C3594)</f>
        <v/>
      </c>
      <c r="S3594">
        <f>IF($A3594="","",$R3594&amp;"|"&amp;$Q3594)</f>
        <v/>
      </c>
      <c r="T3594">
        <f>IF($A3594="","",$S3594&amp;"|"&amp;$F3594)</f>
        <v/>
      </c>
      <c r="U3594">
        <f>IF($A3594="","",$R3594&amp;"("&amp;$E3594&amp;")")</f>
        <v/>
      </c>
      <c r="V3594">
        <f>IF($A3594="","",$F3594&amp;"|"&amp;$U3594&amp;"|"&amp;$D3594)</f>
        <v/>
      </c>
      <c r="W3594">
        <f>IF($T3594="","",IF($X3594&gt;N($X3593),$X3594,""))</f>
        <v/>
      </c>
      <c r="X3594">
        <f>IF($T3594="",N($X3593),IF(MATCH($T3594,$T$6:$T$6005,0)=ROW()-5,N($X3593)+1,N($X3593)))</f>
        <v/>
      </c>
      <c r="Z3594">
        <f>IF($V3594="","",IF($AA3594&gt;N($AA3593),$AA3594,""))</f>
        <v/>
      </c>
      <c r="AA3594">
        <f>IF($V3594="",N($AA3593),IF(MATCH($V3594,$V$6:$V$6005,0)=ROW()-5,N($AA3593)+1,N($AA3593)))</f>
        <v/>
      </c>
    </row>
    <row r="3595" ht="21" customHeight="1" s="66">
      <c r="A3595" s="56" t="n"/>
      <c r="B3595" s="57" t="n"/>
      <c r="C3595" s="57" t="n"/>
      <c r="D3595" s="57" t="n"/>
      <c r="E3595" s="56" t="n"/>
      <c r="F3595" s="57" t="n"/>
      <c r="G3595" s="57" t="n"/>
      <c r="H3595" s="56" t="n"/>
      <c r="I3595" s="56" t="n"/>
      <c r="J3595" s="58" t="n"/>
      <c r="K3595" s="58" t="n"/>
      <c r="L3595" s="13">
        <f>IF(OR($A3595="",AND($J3595="",$K3595="")),"",ROUND(N($J3595)-N($K3595),2))</f>
        <v/>
      </c>
      <c r="M3595" s="13">
        <f>IF(OR($A3595="",AND($J3595="",$K3595="")),"",MIN($J3595,$K3595))</f>
        <v/>
      </c>
      <c r="Q3595">
        <f>IF($A3595="","",$D3595&amp;"("&amp;SUBSTITUTE($E3595," ","")&amp;")")</f>
        <v/>
      </c>
      <c r="R3595">
        <f>IF($A3595="","",$B3595&amp;" - "&amp;$C3595)</f>
        <v/>
      </c>
      <c r="S3595">
        <f>IF($A3595="","",$R3595&amp;"|"&amp;$Q3595)</f>
        <v/>
      </c>
      <c r="T3595">
        <f>IF($A3595="","",$S3595&amp;"|"&amp;$F3595)</f>
        <v/>
      </c>
      <c r="U3595">
        <f>IF($A3595="","",$R3595&amp;"("&amp;$E3595&amp;")")</f>
        <v/>
      </c>
      <c r="V3595">
        <f>IF($A3595="","",$F3595&amp;"|"&amp;$U3595&amp;"|"&amp;$D3595)</f>
        <v/>
      </c>
      <c r="W3595">
        <f>IF($T3595="","",IF($X3595&gt;N($X3594),$X3595,""))</f>
        <v/>
      </c>
      <c r="X3595">
        <f>IF($T3595="",N($X3594),IF(MATCH($T3595,$T$6:$T$6005,0)=ROW()-5,N($X3594)+1,N($X3594)))</f>
        <v/>
      </c>
      <c r="Z3595">
        <f>IF($V3595="","",IF($AA3595&gt;N($AA3594),$AA3595,""))</f>
        <v/>
      </c>
      <c r="AA3595">
        <f>IF($V3595="",N($AA3594),IF(MATCH($V3595,$V$6:$V$6005,0)=ROW()-5,N($AA3594)+1,N($AA3594)))</f>
        <v/>
      </c>
    </row>
    <row r="3596" ht="21" customHeight="1" s="66">
      <c r="A3596" s="56" t="n"/>
      <c r="B3596" s="57" t="n"/>
      <c r="C3596" s="57" t="n"/>
      <c r="D3596" s="57" t="n"/>
      <c r="E3596" s="56" t="n"/>
      <c r="F3596" s="57" t="n"/>
      <c r="G3596" s="57" t="n"/>
      <c r="H3596" s="56" t="n"/>
      <c r="I3596" s="56" t="n"/>
      <c r="J3596" s="58" t="n"/>
      <c r="K3596" s="58" t="n"/>
      <c r="L3596" s="13">
        <f>IF(OR($A3596="",AND($J3596="",$K3596="")),"",ROUND(N($J3596)-N($K3596),2))</f>
        <v/>
      </c>
      <c r="M3596" s="13">
        <f>IF(OR($A3596="",AND($J3596="",$K3596="")),"",MIN($J3596,$K3596))</f>
        <v/>
      </c>
      <c r="Q3596">
        <f>IF($A3596="","",$D3596&amp;"("&amp;SUBSTITUTE($E3596," ","")&amp;")")</f>
        <v/>
      </c>
      <c r="R3596">
        <f>IF($A3596="","",$B3596&amp;" - "&amp;$C3596)</f>
        <v/>
      </c>
      <c r="S3596">
        <f>IF($A3596="","",$R3596&amp;"|"&amp;$Q3596)</f>
        <v/>
      </c>
      <c r="T3596">
        <f>IF($A3596="","",$S3596&amp;"|"&amp;$F3596)</f>
        <v/>
      </c>
      <c r="U3596">
        <f>IF($A3596="","",$R3596&amp;"("&amp;$E3596&amp;")")</f>
        <v/>
      </c>
      <c r="V3596">
        <f>IF($A3596="","",$F3596&amp;"|"&amp;$U3596&amp;"|"&amp;$D3596)</f>
        <v/>
      </c>
      <c r="W3596">
        <f>IF($T3596="","",IF($X3596&gt;N($X3595),$X3596,""))</f>
        <v/>
      </c>
      <c r="X3596">
        <f>IF($T3596="",N($X3595),IF(MATCH($T3596,$T$6:$T$6005,0)=ROW()-5,N($X3595)+1,N($X3595)))</f>
        <v/>
      </c>
      <c r="Z3596">
        <f>IF($V3596="","",IF($AA3596&gt;N($AA3595),$AA3596,""))</f>
        <v/>
      </c>
      <c r="AA3596">
        <f>IF($V3596="",N($AA3595),IF(MATCH($V3596,$V$6:$V$6005,0)=ROW()-5,N($AA3595)+1,N($AA3595)))</f>
        <v/>
      </c>
    </row>
    <row r="3597" ht="21" customHeight="1" s="66">
      <c r="A3597" s="56" t="n"/>
      <c r="B3597" s="57" t="n"/>
      <c r="C3597" s="57" t="n"/>
      <c r="D3597" s="57" t="n"/>
      <c r="E3597" s="56" t="n"/>
      <c r="F3597" s="57" t="n"/>
      <c r="G3597" s="57" t="n"/>
      <c r="H3597" s="56" t="n"/>
      <c r="I3597" s="56" t="n"/>
      <c r="J3597" s="58" t="n"/>
      <c r="K3597" s="58" t="n"/>
      <c r="L3597" s="13">
        <f>IF(OR($A3597="",AND($J3597="",$K3597="")),"",ROUND(N($J3597)-N($K3597),2))</f>
        <v/>
      </c>
      <c r="M3597" s="13">
        <f>IF(OR($A3597="",AND($J3597="",$K3597="")),"",MIN($J3597,$K3597))</f>
        <v/>
      </c>
      <c r="Q3597">
        <f>IF($A3597="","",$D3597&amp;"("&amp;SUBSTITUTE($E3597," ","")&amp;")")</f>
        <v/>
      </c>
      <c r="R3597">
        <f>IF($A3597="","",$B3597&amp;" - "&amp;$C3597)</f>
        <v/>
      </c>
      <c r="S3597">
        <f>IF($A3597="","",$R3597&amp;"|"&amp;$Q3597)</f>
        <v/>
      </c>
      <c r="T3597">
        <f>IF($A3597="","",$S3597&amp;"|"&amp;$F3597)</f>
        <v/>
      </c>
      <c r="U3597">
        <f>IF($A3597="","",$R3597&amp;"("&amp;$E3597&amp;")")</f>
        <v/>
      </c>
      <c r="V3597">
        <f>IF($A3597="","",$F3597&amp;"|"&amp;$U3597&amp;"|"&amp;$D3597)</f>
        <v/>
      </c>
      <c r="W3597">
        <f>IF($T3597="","",IF($X3597&gt;N($X3596),$X3597,""))</f>
        <v/>
      </c>
      <c r="X3597">
        <f>IF($T3597="",N($X3596),IF(MATCH($T3597,$T$6:$T$6005,0)=ROW()-5,N($X3596)+1,N($X3596)))</f>
        <v/>
      </c>
      <c r="Z3597">
        <f>IF($V3597="","",IF($AA3597&gt;N($AA3596),$AA3597,""))</f>
        <v/>
      </c>
      <c r="AA3597">
        <f>IF($V3597="",N($AA3596),IF(MATCH($V3597,$V$6:$V$6005,0)=ROW()-5,N($AA3596)+1,N($AA3596)))</f>
        <v/>
      </c>
    </row>
    <row r="3598" ht="21" customHeight="1" s="66">
      <c r="A3598" s="56" t="n"/>
      <c r="B3598" s="57" t="n"/>
      <c r="C3598" s="57" t="n"/>
      <c r="D3598" s="57" t="n"/>
      <c r="E3598" s="56" t="n"/>
      <c r="F3598" s="57" t="n"/>
      <c r="G3598" s="57" t="n"/>
      <c r="H3598" s="56" t="n"/>
      <c r="I3598" s="56" t="n"/>
      <c r="J3598" s="58" t="n"/>
      <c r="K3598" s="58" t="n"/>
      <c r="L3598" s="13">
        <f>IF(OR($A3598="",AND($J3598="",$K3598="")),"",ROUND(N($J3598)-N($K3598),2))</f>
        <v/>
      </c>
      <c r="M3598" s="13">
        <f>IF(OR($A3598="",AND($J3598="",$K3598="")),"",MIN($J3598,$K3598))</f>
        <v/>
      </c>
      <c r="Q3598">
        <f>IF($A3598="","",$D3598&amp;"("&amp;SUBSTITUTE($E3598," ","")&amp;")")</f>
        <v/>
      </c>
      <c r="R3598">
        <f>IF($A3598="","",$B3598&amp;" - "&amp;$C3598)</f>
        <v/>
      </c>
      <c r="S3598">
        <f>IF($A3598="","",$R3598&amp;"|"&amp;$Q3598)</f>
        <v/>
      </c>
      <c r="T3598">
        <f>IF($A3598="","",$S3598&amp;"|"&amp;$F3598)</f>
        <v/>
      </c>
      <c r="U3598">
        <f>IF($A3598="","",$R3598&amp;"("&amp;$E3598&amp;")")</f>
        <v/>
      </c>
      <c r="V3598">
        <f>IF($A3598="","",$F3598&amp;"|"&amp;$U3598&amp;"|"&amp;$D3598)</f>
        <v/>
      </c>
      <c r="W3598">
        <f>IF($T3598="","",IF($X3598&gt;N($X3597),$X3598,""))</f>
        <v/>
      </c>
      <c r="X3598">
        <f>IF($T3598="",N($X3597),IF(MATCH($T3598,$T$6:$T$6005,0)=ROW()-5,N($X3597)+1,N($X3597)))</f>
        <v/>
      </c>
      <c r="Z3598">
        <f>IF($V3598="","",IF($AA3598&gt;N($AA3597),$AA3598,""))</f>
        <v/>
      </c>
      <c r="AA3598">
        <f>IF($V3598="",N($AA3597),IF(MATCH($V3598,$V$6:$V$6005,0)=ROW()-5,N($AA3597)+1,N($AA3597)))</f>
        <v/>
      </c>
    </row>
    <row r="3599" ht="21" customHeight="1" s="66">
      <c r="A3599" s="56" t="n"/>
      <c r="B3599" s="57" t="n"/>
      <c r="C3599" s="57" t="n"/>
      <c r="D3599" s="57" t="n"/>
      <c r="E3599" s="56" t="n"/>
      <c r="F3599" s="57" t="n"/>
      <c r="G3599" s="57" t="n"/>
      <c r="H3599" s="56" t="n"/>
      <c r="I3599" s="56" t="n"/>
      <c r="J3599" s="58" t="n"/>
      <c r="K3599" s="58" t="n"/>
      <c r="L3599" s="13">
        <f>IF(OR($A3599="",AND($J3599="",$K3599="")),"",ROUND(N($J3599)-N($K3599),2))</f>
        <v/>
      </c>
      <c r="M3599" s="13">
        <f>IF(OR($A3599="",AND($J3599="",$K3599="")),"",MIN($J3599,$K3599))</f>
        <v/>
      </c>
      <c r="Q3599">
        <f>IF($A3599="","",$D3599&amp;"("&amp;SUBSTITUTE($E3599," ","")&amp;")")</f>
        <v/>
      </c>
      <c r="R3599">
        <f>IF($A3599="","",$B3599&amp;" - "&amp;$C3599)</f>
        <v/>
      </c>
      <c r="S3599">
        <f>IF($A3599="","",$R3599&amp;"|"&amp;$Q3599)</f>
        <v/>
      </c>
      <c r="T3599">
        <f>IF($A3599="","",$S3599&amp;"|"&amp;$F3599)</f>
        <v/>
      </c>
      <c r="U3599">
        <f>IF($A3599="","",$R3599&amp;"("&amp;$E3599&amp;")")</f>
        <v/>
      </c>
      <c r="V3599">
        <f>IF($A3599="","",$F3599&amp;"|"&amp;$U3599&amp;"|"&amp;$D3599)</f>
        <v/>
      </c>
      <c r="W3599">
        <f>IF($T3599="","",IF($X3599&gt;N($X3598),$X3599,""))</f>
        <v/>
      </c>
      <c r="X3599">
        <f>IF($T3599="",N($X3598),IF(MATCH($T3599,$T$6:$T$6005,0)=ROW()-5,N($X3598)+1,N($X3598)))</f>
        <v/>
      </c>
      <c r="Z3599">
        <f>IF($V3599="","",IF($AA3599&gt;N($AA3598),$AA3599,""))</f>
        <v/>
      </c>
      <c r="AA3599">
        <f>IF($V3599="",N($AA3598),IF(MATCH($V3599,$V$6:$V$6005,0)=ROW()-5,N($AA3598)+1,N($AA3598)))</f>
        <v/>
      </c>
    </row>
    <row r="3600" ht="21" customHeight="1" s="66">
      <c r="A3600" s="56" t="n"/>
      <c r="B3600" s="57" t="n"/>
      <c r="C3600" s="57" t="n"/>
      <c r="D3600" s="57" t="n"/>
      <c r="E3600" s="56" t="n"/>
      <c r="F3600" s="57" t="n"/>
      <c r="G3600" s="57" t="n"/>
      <c r="H3600" s="56" t="n"/>
      <c r="I3600" s="56" t="n"/>
      <c r="J3600" s="58" t="n"/>
      <c r="K3600" s="58" t="n"/>
      <c r="L3600" s="13">
        <f>IF(OR($A3600="",AND($J3600="",$K3600="")),"",ROUND(N($J3600)-N($K3600),2))</f>
        <v/>
      </c>
      <c r="M3600" s="13">
        <f>IF(OR($A3600="",AND($J3600="",$K3600="")),"",MIN($J3600,$K3600))</f>
        <v/>
      </c>
      <c r="Q3600">
        <f>IF($A3600="","",$D3600&amp;"("&amp;SUBSTITUTE($E3600," ","")&amp;")")</f>
        <v/>
      </c>
      <c r="R3600">
        <f>IF($A3600="","",$B3600&amp;" - "&amp;$C3600)</f>
        <v/>
      </c>
      <c r="S3600">
        <f>IF($A3600="","",$R3600&amp;"|"&amp;$Q3600)</f>
        <v/>
      </c>
      <c r="T3600">
        <f>IF($A3600="","",$S3600&amp;"|"&amp;$F3600)</f>
        <v/>
      </c>
      <c r="U3600">
        <f>IF($A3600="","",$R3600&amp;"("&amp;$E3600&amp;")")</f>
        <v/>
      </c>
      <c r="V3600">
        <f>IF($A3600="","",$F3600&amp;"|"&amp;$U3600&amp;"|"&amp;$D3600)</f>
        <v/>
      </c>
      <c r="W3600">
        <f>IF($T3600="","",IF($X3600&gt;N($X3599),$X3600,""))</f>
        <v/>
      </c>
      <c r="X3600">
        <f>IF($T3600="",N($X3599),IF(MATCH($T3600,$T$6:$T$6005,0)=ROW()-5,N($X3599)+1,N($X3599)))</f>
        <v/>
      </c>
      <c r="Z3600">
        <f>IF($V3600="","",IF($AA3600&gt;N($AA3599),$AA3600,""))</f>
        <v/>
      </c>
      <c r="AA3600">
        <f>IF($V3600="",N($AA3599),IF(MATCH($V3600,$V$6:$V$6005,0)=ROW()-5,N($AA3599)+1,N($AA3599)))</f>
        <v/>
      </c>
    </row>
    <row r="3601" ht="21" customHeight="1" s="66">
      <c r="A3601" s="56" t="n"/>
      <c r="B3601" s="57" t="n"/>
      <c r="C3601" s="57" t="n"/>
      <c r="D3601" s="57" t="n"/>
      <c r="E3601" s="56" t="n"/>
      <c r="F3601" s="57" t="n"/>
      <c r="G3601" s="57" t="n"/>
      <c r="H3601" s="56" t="n"/>
      <c r="I3601" s="56" t="n"/>
      <c r="J3601" s="58" t="n"/>
      <c r="K3601" s="58" t="n"/>
      <c r="L3601" s="13">
        <f>IF(OR($A3601="",AND($J3601="",$K3601="")),"",ROUND(N($J3601)-N($K3601),2))</f>
        <v/>
      </c>
      <c r="M3601" s="13">
        <f>IF(OR($A3601="",AND($J3601="",$K3601="")),"",MIN($J3601,$K3601))</f>
        <v/>
      </c>
      <c r="Q3601">
        <f>IF($A3601="","",$D3601&amp;"("&amp;SUBSTITUTE($E3601," ","")&amp;")")</f>
        <v/>
      </c>
      <c r="R3601">
        <f>IF($A3601="","",$B3601&amp;" - "&amp;$C3601)</f>
        <v/>
      </c>
      <c r="S3601">
        <f>IF($A3601="","",$R3601&amp;"|"&amp;$Q3601)</f>
        <v/>
      </c>
      <c r="T3601">
        <f>IF($A3601="","",$S3601&amp;"|"&amp;$F3601)</f>
        <v/>
      </c>
      <c r="U3601">
        <f>IF($A3601="","",$R3601&amp;"("&amp;$E3601&amp;")")</f>
        <v/>
      </c>
      <c r="V3601">
        <f>IF($A3601="","",$F3601&amp;"|"&amp;$U3601&amp;"|"&amp;$D3601)</f>
        <v/>
      </c>
      <c r="W3601">
        <f>IF($T3601="","",IF($X3601&gt;N($X3600),$X3601,""))</f>
        <v/>
      </c>
      <c r="X3601">
        <f>IF($T3601="",N($X3600),IF(MATCH($T3601,$T$6:$T$6005,0)=ROW()-5,N($X3600)+1,N($X3600)))</f>
        <v/>
      </c>
      <c r="Z3601">
        <f>IF($V3601="","",IF($AA3601&gt;N($AA3600),$AA3601,""))</f>
        <v/>
      </c>
      <c r="AA3601">
        <f>IF($V3601="",N($AA3600),IF(MATCH($V3601,$V$6:$V$6005,0)=ROW()-5,N($AA3600)+1,N($AA3600)))</f>
        <v/>
      </c>
    </row>
    <row r="3602" ht="21" customHeight="1" s="66">
      <c r="A3602" s="56" t="n"/>
      <c r="B3602" s="57" t="n"/>
      <c r="C3602" s="57" t="n"/>
      <c r="D3602" s="57" t="n"/>
      <c r="E3602" s="56" t="n"/>
      <c r="F3602" s="57" t="n"/>
      <c r="G3602" s="57" t="n"/>
      <c r="H3602" s="56" t="n"/>
      <c r="I3602" s="56" t="n"/>
      <c r="J3602" s="58" t="n"/>
      <c r="K3602" s="58" t="n"/>
      <c r="L3602" s="13">
        <f>IF(OR($A3602="",AND($J3602="",$K3602="")),"",ROUND(N($J3602)-N($K3602),2))</f>
        <v/>
      </c>
      <c r="M3602" s="13">
        <f>IF(OR($A3602="",AND($J3602="",$K3602="")),"",MIN($J3602,$K3602))</f>
        <v/>
      </c>
      <c r="Q3602">
        <f>IF($A3602="","",$D3602&amp;"("&amp;SUBSTITUTE($E3602," ","")&amp;")")</f>
        <v/>
      </c>
      <c r="R3602">
        <f>IF($A3602="","",$B3602&amp;" - "&amp;$C3602)</f>
        <v/>
      </c>
      <c r="S3602">
        <f>IF($A3602="","",$R3602&amp;"|"&amp;$Q3602)</f>
        <v/>
      </c>
      <c r="T3602">
        <f>IF($A3602="","",$S3602&amp;"|"&amp;$F3602)</f>
        <v/>
      </c>
      <c r="U3602">
        <f>IF($A3602="","",$R3602&amp;"("&amp;$E3602&amp;")")</f>
        <v/>
      </c>
      <c r="V3602">
        <f>IF($A3602="","",$F3602&amp;"|"&amp;$U3602&amp;"|"&amp;$D3602)</f>
        <v/>
      </c>
      <c r="W3602">
        <f>IF($T3602="","",IF($X3602&gt;N($X3601),$X3602,""))</f>
        <v/>
      </c>
      <c r="X3602">
        <f>IF($T3602="",N($X3601),IF(MATCH($T3602,$T$6:$T$6005,0)=ROW()-5,N($X3601)+1,N($X3601)))</f>
        <v/>
      </c>
      <c r="Z3602">
        <f>IF($V3602="","",IF($AA3602&gt;N($AA3601),$AA3602,""))</f>
        <v/>
      </c>
      <c r="AA3602">
        <f>IF($V3602="",N($AA3601),IF(MATCH($V3602,$V$6:$V$6005,0)=ROW()-5,N($AA3601)+1,N($AA3601)))</f>
        <v/>
      </c>
    </row>
    <row r="3603" ht="21" customHeight="1" s="66">
      <c r="A3603" s="56" t="n"/>
      <c r="B3603" s="57" t="n"/>
      <c r="C3603" s="57" t="n"/>
      <c r="D3603" s="57" t="n"/>
      <c r="E3603" s="56" t="n"/>
      <c r="F3603" s="57" t="n"/>
      <c r="G3603" s="57" t="n"/>
      <c r="H3603" s="56" t="n"/>
      <c r="I3603" s="56" t="n"/>
      <c r="J3603" s="58" t="n"/>
      <c r="K3603" s="58" t="n"/>
      <c r="L3603" s="13">
        <f>IF(OR($A3603="",AND($J3603="",$K3603="")),"",ROUND(N($J3603)-N($K3603),2))</f>
        <v/>
      </c>
      <c r="M3603" s="13">
        <f>IF(OR($A3603="",AND($J3603="",$K3603="")),"",MIN($J3603,$K3603))</f>
        <v/>
      </c>
      <c r="Q3603">
        <f>IF($A3603="","",$D3603&amp;"("&amp;SUBSTITUTE($E3603," ","")&amp;")")</f>
        <v/>
      </c>
      <c r="R3603">
        <f>IF($A3603="","",$B3603&amp;" - "&amp;$C3603)</f>
        <v/>
      </c>
      <c r="S3603">
        <f>IF($A3603="","",$R3603&amp;"|"&amp;$Q3603)</f>
        <v/>
      </c>
      <c r="T3603">
        <f>IF($A3603="","",$S3603&amp;"|"&amp;$F3603)</f>
        <v/>
      </c>
      <c r="U3603">
        <f>IF($A3603="","",$R3603&amp;"("&amp;$E3603&amp;")")</f>
        <v/>
      </c>
      <c r="V3603">
        <f>IF($A3603="","",$F3603&amp;"|"&amp;$U3603&amp;"|"&amp;$D3603)</f>
        <v/>
      </c>
      <c r="W3603">
        <f>IF($T3603="","",IF($X3603&gt;N($X3602),$X3603,""))</f>
        <v/>
      </c>
      <c r="X3603">
        <f>IF($T3603="",N($X3602),IF(MATCH($T3603,$T$6:$T$6005,0)=ROW()-5,N($X3602)+1,N($X3602)))</f>
        <v/>
      </c>
      <c r="Z3603">
        <f>IF($V3603="","",IF($AA3603&gt;N($AA3602),$AA3603,""))</f>
        <v/>
      </c>
      <c r="AA3603">
        <f>IF($V3603="",N($AA3602),IF(MATCH($V3603,$V$6:$V$6005,0)=ROW()-5,N($AA3602)+1,N($AA3602)))</f>
        <v/>
      </c>
    </row>
    <row r="3604" ht="21" customHeight="1" s="66">
      <c r="A3604" s="56" t="n"/>
      <c r="B3604" s="57" t="n"/>
      <c r="C3604" s="57" t="n"/>
      <c r="D3604" s="57" t="n"/>
      <c r="E3604" s="56" t="n"/>
      <c r="F3604" s="57" t="n"/>
      <c r="G3604" s="57" t="n"/>
      <c r="H3604" s="56" t="n"/>
      <c r="I3604" s="56" t="n"/>
      <c r="J3604" s="58" t="n"/>
      <c r="K3604" s="58" t="n"/>
      <c r="L3604" s="13">
        <f>IF(OR($A3604="",AND($J3604="",$K3604="")),"",ROUND(N($J3604)-N($K3604),2))</f>
        <v/>
      </c>
      <c r="M3604" s="13">
        <f>IF(OR($A3604="",AND($J3604="",$K3604="")),"",MIN($J3604,$K3604))</f>
        <v/>
      </c>
      <c r="Q3604">
        <f>IF($A3604="","",$D3604&amp;"("&amp;SUBSTITUTE($E3604," ","")&amp;")")</f>
        <v/>
      </c>
      <c r="R3604">
        <f>IF($A3604="","",$B3604&amp;" - "&amp;$C3604)</f>
        <v/>
      </c>
      <c r="S3604">
        <f>IF($A3604="","",$R3604&amp;"|"&amp;$Q3604)</f>
        <v/>
      </c>
      <c r="T3604">
        <f>IF($A3604="","",$S3604&amp;"|"&amp;$F3604)</f>
        <v/>
      </c>
      <c r="U3604">
        <f>IF($A3604="","",$R3604&amp;"("&amp;$E3604&amp;")")</f>
        <v/>
      </c>
      <c r="V3604">
        <f>IF($A3604="","",$F3604&amp;"|"&amp;$U3604&amp;"|"&amp;$D3604)</f>
        <v/>
      </c>
      <c r="W3604">
        <f>IF($T3604="","",IF($X3604&gt;N($X3603),$X3604,""))</f>
        <v/>
      </c>
      <c r="X3604">
        <f>IF($T3604="",N($X3603),IF(MATCH($T3604,$T$6:$T$6005,0)=ROW()-5,N($X3603)+1,N($X3603)))</f>
        <v/>
      </c>
      <c r="Z3604">
        <f>IF($V3604="","",IF($AA3604&gt;N($AA3603),$AA3604,""))</f>
        <v/>
      </c>
      <c r="AA3604">
        <f>IF($V3604="",N($AA3603),IF(MATCH($V3604,$V$6:$V$6005,0)=ROW()-5,N($AA3603)+1,N($AA3603)))</f>
        <v/>
      </c>
    </row>
    <row r="3605" ht="21" customHeight="1" s="66">
      <c r="A3605" s="56" t="n"/>
      <c r="B3605" s="57" t="n"/>
      <c r="C3605" s="57" t="n"/>
      <c r="D3605" s="57" t="n"/>
      <c r="E3605" s="56" t="n"/>
      <c r="F3605" s="57" t="n"/>
      <c r="G3605" s="57" t="n"/>
      <c r="H3605" s="56" t="n"/>
      <c r="I3605" s="56" t="n"/>
      <c r="J3605" s="58" t="n"/>
      <c r="K3605" s="58" t="n"/>
      <c r="L3605" s="13">
        <f>IF(OR($A3605="",AND($J3605="",$K3605="")),"",ROUND(N($J3605)-N($K3605),2))</f>
        <v/>
      </c>
      <c r="M3605" s="13">
        <f>IF(OR($A3605="",AND($J3605="",$K3605="")),"",MIN($J3605,$K3605))</f>
        <v/>
      </c>
      <c r="Q3605">
        <f>IF($A3605="","",$D3605&amp;"("&amp;SUBSTITUTE($E3605," ","")&amp;")")</f>
        <v/>
      </c>
      <c r="R3605">
        <f>IF($A3605="","",$B3605&amp;" - "&amp;$C3605)</f>
        <v/>
      </c>
      <c r="S3605">
        <f>IF($A3605="","",$R3605&amp;"|"&amp;$Q3605)</f>
        <v/>
      </c>
      <c r="T3605">
        <f>IF($A3605="","",$S3605&amp;"|"&amp;$F3605)</f>
        <v/>
      </c>
      <c r="U3605">
        <f>IF($A3605="","",$R3605&amp;"("&amp;$E3605&amp;")")</f>
        <v/>
      </c>
      <c r="V3605">
        <f>IF($A3605="","",$F3605&amp;"|"&amp;$U3605&amp;"|"&amp;$D3605)</f>
        <v/>
      </c>
      <c r="W3605">
        <f>IF($T3605="","",IF($X3605&gt;N($X3604),$X3605,""))</f>
        <v/>
      </c>
      <c r="X3605">
        <f>IF($T3605="",N($X3604),IF(MATCH($T3605,$T$6:$T$6005,0)=ROW()-5,N($X3604)+1,N($X3604)))</f>
        <v/>
      </c>
      <c r="Z3605">
        <f>IF($V3605="","",IF($AA3605&gt;N($AA3604),$AA3605,""))</f>
        <v/>
      </c>
      <c r="AA3605">
        <f>IF($V3605="",N($AA3604),IF(MATCH($V3605,$V$6:$V$6005,0)=ROW()-5,N($AA3604)+1,N($AA3604)))</f>
        <v/>
      </c>
    </row>
    <row r="3606" ht="21" customHeight="1" s="66">
      <c r="A3606" s="56" t="n"/>
      <c r="B3606" s="57" t="n"/>
      <c r="C3606" s="57" t="n"/>
      <c r="D3606" s="57" t="n"/>
      <c r="E3606" s="56" t="n"/>
      <c r="F3606" s="57" t="n"/>
      <c r="G3606" s="57" t="n"/>
      <c r="H3606" s="56" t="n"/>
      <c r="I3606" s="56" t="n"/>
      <c r="J3606" s="58" t="n"/>
      <c r="K3606" s="58" t="n"/>
      <c r="L3606" s="13">
        <f>IF(OR($A3606="",AND($J3606="",$K3606="")),"",ROUND(N($J3606)-N($K3606),2))</f>
        <v/>
      </c>
      <c r="M3606" s="13">
        <f>IF(OR($A3606="",AND($J3606="",$K3606="")),"",MIN($J3606,$K3606))</f>
        <v/>
      </c>
      <c r="Q3606">
        <f>IF($A3606="","",$D3606&amp;"("&amp;SUBSTITUTE($E3606," ","")&amp;")")</f>
        <v/>
      </c>
      <c r="R3606">
        <f>IF($A3606="","",$B3606&amp;" - "&amp;$C3606)</f>
        <v/>
      </c>
      <c r="S3606">
        <f>IF($A3606="","",$R3606&amp;"|"&amp;$Q3606)</f>
        <v/>
      </c>
      <c r="T3606">
        <f>IF($A3606="","",$S3606&amp;"|"&amp;$F3606)</f>
        <v/>
      </c>
      <c r="U3606">
        <f>IF($A3606="","",$R3606&amp;"("&amp;$E3606&amp;")")</f>
        <v/>
      </c>
      <c r="V3606">
        <f>IF($A3606="","",$F3606&amp;"|"&amp;$U3606&amp;"|"&amp;$D3606)</f>
        <v/>
      </c>
      <c r="W3606">
        <f>IF($T3606="","",IF($X3606&gt;N($X3605),$X3606,""))</f>
        <v/>
      </c>
      <c r="X3606">
        <f>IF($T3606="",N($X3605),IF(MATCH($T3606,$T$6:$T$6005,0)=ROW()-5,N($X3605)+1,N($X3605)))</f>
        <v/>
      </c>
      <c r="Z3606">
        <f>IF($V3606="","",IF($AA3606&gt;N($AA3605),$AA3606,""))</f>
        <v/>
      </c>
      <c r="AA3606">
        <f>IF($V3606="",N($AA3605),IF(MATCH($V3606,$V$6:$V$6005,0)=ROW()-5,N($AA3605)+1,N($AA3605)))</f>
        <v/>
      </c>
    </row>
    <row r="3607" ht="21" customHeight="1" s="66">
      <c r="A3607" s="56" t="n"/>
      <c r="B3607" s="57" t="n"/>
      <c r="C3607" s="57" t="n"/>
      <c r="D3607" s="57" t="n"/>
      <c r="E3607" s="56" t="n"/>
      <c r="F3607" s="57" t="n"/>
      <c r="G3607" s="57" t="n"/>
      <c r="H3607" s="56" t="n"/>
      <c r="I3607" s="56" t="n"/>
      <c r="J3607" s="58" t="n"/>
      <c r="K3607" s="58" t="n"/>
      <c r="L3607" s="13">
        <f>IF(OR($A3607="",AND($J3607="",$K3607="")),"",ROUND(N($J3607)-N($K3607),2))</f>
        <v/>
      </c>
      <c r="M3607" s="13">
        <f>IF(OR($A3607="",AND($J3607="",$K3607="")),"",MIN($J3607,$K3607))</f>
        <v/>
      </c>
      <c r="Q3607">
        <f>IF($A3607="","",$D3607&amp;"("&amp;SUBSTITUTE($E3607," ","")&amp;")")</f>
        <v/>
      </c>
      <c r="R3607">
        <f>IF($A3607="","",$B3607&amp;" - "&amp;$C3607)</f>
        <v/>
      </c>
      <c r="S3607">
        <f>IF($A3607="","",$R3607&amp;"|"&amp;$Q3607)</f>
        <v/>
      </c>
      <c r="T3607">
        <f>IF($A3607="","",$S3607&amp;"|"&amp;$F3607)</f>
        <v/>
      </c>
      <c r="U3607">
        <f>IF($A3607="","",$R3607&amp;"("&amp;$E3607&amp;")")</f>
        <v/>
      </c>
      <c r="V3607">
        <f>IF($A3607="","",$F3607&amp;"|"&amp;$U3607&amp;"|"&amp;$D3607)</f>
        <v/>
      </c>
      <c r="W3607">
        <f>IF($T3607="","",IF($X3607&gt;N($X3606),$X3607,""))</f>
        <v/>
      </c>
      <c r="X3607">
        <f>IF($T3607="",N($X3606),IF(MATCH($T3607,$T$6:$T$6005,0)=ROW()-5,N($X3606)+1,N($X3606)))</f>
        <v/>
      </c>
      <c r="Z3607">
        <f>IF($V3607="","",IF($AA3607&gt;N($AA3606),$AA3607,""))</f>
        <v/>
      </c>
      <c r="AA3607">
        <f>IF($V3607="",N($AA3606),IF(MATCH($V3607,$V$6:$V$6005,0)=ROW()-5,N($AA3606)+1,N($AA3606)))</f>
        <v/>
      </c>
    </row>
    <row r="3608" ht="21" customHeight="1" s="66">
      <c r="A3608" s="56" t="n"/>
      <c r="B3608" s="57" t="n"/>
      <c r="C3608" s="57" t="n"/>
      <c r="D3608" s="57" t="n"/>
      <c r="E3608" s="56" t="n"/>
      <c r="F3608" s="57" t="n"/>
      <c r="G3608" s="57" t="n"/>
      <c r="H3608" s="56" t="n"/>
      <c r="I3608" s="56" t="n"/>
      <c r="J3608" s="58" t="n"/>
      <c r="K3608" s="58" t="n"/>
      <c r="L3608" s="13">
        <f>IF(OR($A3608="",AND($J3608="",$K3608="")),"",ROUND(N($J3608)-N($K3608),2))</f>
        <v/>
      </c>
      <c r="M3608" s="13">
        <f>IF(OR($A3608="",AND($J3608="",$K3608="")),"",MIN($J3608,$K3608))</f>
        <v/>
      </c>
      <c r="Q3608">
        <f>IF($A3608="","",$D3608&amp;"("&amp;SUBSTITUTE($E3608," ","")&amp;")")</f>
        <v/>
      </c>
      <c r="R3608">
        <f>IF($A3608="","",$B3608&amp;" - "&amp;$C3608)</f>
        <v/>
      </c>
      <c r="S3608">
        <f>IF($A3608="","",$R3608&amp;"|"&amp;$Q3608)</f>
        <v/>
      </c>
      <c r="T3608">
        <f>IF($A3608="","",$S3608&amp;"|"&amp;$F3608)</f>
        <v/>
      </c>
      <c r="U3608">
        <f>IF($A3608="","",$R3608&amp;"("&amp;$E3608&amp;")")</f>
        <v/>
      </c>
      <c r="V3608">
        <f>IF($A3608="","",$F3608&amp;"|"&amp;$U3608&amp;"|"&amp;$D3608)</f>
        <v/>
      </c>
      <c r="W3608">
        <f>IF($T3608="","",IF($X3608&gt;N($X3607),$X3608,""))</f>
        <v/>
      </c>
      <c r="X3608">
        <f>IF($T3608="",N($X3607),IF(MATCH($T3608,$T$6:$T$6005,0)=ROW()-5,N($X3607)+1,N($X3607)))</f>
        <v/>
      </c>
      <c r="Z3608">
        <f>IF($V3608="","",IF($AA3608&gt;N($AA3607),$AA3608,""))</f>
        <v/>
      </c>
      <c r="AA3608">
        <f>IF($V3608="",N($AA3607),IF(MATCH($V3608,$V$6:$V$6005,0)=ROW()-5,N($AA3607)+1,N($AA3607)))</f>
        <v/>
      </c>
    </row>
    <row r="3609" ht="21" customHeight="1" s="66">
      <c r="A3609" s="56" t="n"/>
      <c r="B3609" s="57" t="n"/>
      <c r="C3609" s="57" t="n"/>
      <c r="D3609" s="57" t="n"/>
      <c r="E3609" s="56" t="n"/>
      <c r="F3609" s="57" t="n"/>
      <c r="G3609" s="57" t="n"/>
      <c r="H3609" s="56" t="n"/>
      <c r="I3609" s="56" t="n"/>
      <c r="J3609" s="58" t="n"/>
      <c r="K3609" s="58" t="n"/>
      <c r="L3609" s="13">
        <f>IF(OR($A3609="",AND($J3609="",$K3609="")),"",ROUND(N($J3609)-N($K3609),2))</f>
        <v/>
      </c>
      <c r="M3609" s="13">
        <f>IF(OR($A3609="",AND($J3609="",$K3609="")),"",MIN($J3609,$K3609))</f>
        <v/>
      </c>
      <c r="Q3609">
        <f>IF($A3609="","",$D3609&amp;"("&amp;SUBSTITUTE($E3609," ","")&amp;")")</f>
        <v/>
      </c>
      <c r="R3609">
        <f>IF($A3609="","",$B3609&amp;" - "&amp;$C3609)</f>
        <v/>
      </c>
      <c r="S3609">
        <f>IF($A3609="","",$R3609&amp;"|"&amp;$Q3609)</f>
        <v/>
      </c>
      <c r="T3609">
        <f>IF($A3609="","",$S3609&amp;"|"&amp;$F3609)</f>
        <v/>
      </c>
      <c r="U3609">
        <f>IF($A3609="","",$R3609&amp;"("&amp;$E3609&amp;")")</f>
        <v/>
      </c>
      <c r="V3609">
        <f>IF($A3609="","",$F3609&amp;"|"&amp;$U3609&amp;"|"&amp;$D3609)</f>
        <v/>
      </c>
      <c r="W3609">
        <f>IF($T3609="","",IF($X3609&gt;N($X3608),$X3609,""))</f>
        <v/>
      </c>
      <c r="X3609">
        <f>IF($T3609="",N($X3608),IF(MATCH($T3609,$T$6:$T$6005,0)=ROW()-5,N($X3608)+1,N($X3608)))</f>
        <v/>
      </c>
      <c r="Z3609">
        <f>IF($V3609="","",IF($AA3609&gt;N($AA3608),$AA3609,""))</f>
        <v/>
      </c>
      <c r="AA3609">
        <f>IF($V3609="",N($AA3608),IF(MATCH($V3609,$V$6:$V$6005,0)=ROW()-5,N($AA3608)+1,N($AA3608)))</f>
        <v/>
      </c>
    </row>
    <row r="3610" ht="21" customHeight="1" s="66">
      <c r="A3610" s="56" t="n"/>
      <c r="B3610" s="57" t="n"/>
      <c r="C3610" s="57" t="n"/>
      <c r="D3610" s="57" t="n"/>
      <c r="E3610" s="56" t="n"/>
      <c r="F3610" s="57" t="n"/>
      <c r="G3610" s="57" t="n"/>
      <c r="H3610" s="56" t="n"/>
      <c r="I3610" s="56" t="n"/>
      <c r="J3610" s="58" t="n"/>
      <c r="K3610" s="58" t="n"/>
      <c r="L3610" s="13">
        <f>IF(OR($A3610="",AND($J3610="",$K3610="")),"",ROUND(N($J3610)-N($K3610),2))</f>
        <v/>
      </c>
      <c r="M3610" s="13">
        <f>IF(OR($A3610="",AND($J3610="",$K3610="")),"",MIN($J3610,$K3610))</f>
        <v/>
      </c>
      <c r="Q3610">
        <f>IF($A3610="","",$D3610&amp;"("&amp;SUBSTITUTE($E3610," ","")&amp;")")</f>
        <v/>
      </c>
      <c r="R3610">
        <f>IF($A3610="","",$B3610&amp;" - "&amp;$C3610)</f>
        <v/>
      </c>
      <c r="S3610">
        <f>IF($A3610="","",$R3610&amp;"|"&amp;$Q3610)</f>
        <v/>
      </c>
      <c r="T3610">
        <f>IF($A3610="","",$S3610&amp;"|"&amp;$F3610)</f>
        <v/>
      </c>
      <c r="U3610">
        <f>IF($A3610="","",$R3610&amp;"("&amp;$E3610&amp;")")</f>
        <v/>
      </c>
      <c r="V3610">
        <f>IF($A3610="","",$F3610&amp;"|"&amp;$U3610&amp;"|"&amp;$D3610)</f>
        <v/>
      </c>
      <c r="W3610">
        <f>IF($T3610="","",IF($X3610&gt;N($X3609),$X3610,""))</f>
        <v/>
      </c>
      <c r="X3610">
        <f>IF($T3610="",N($X3609),IF(MATCH($T3610,$T$6:$T$6005,0)=ROW()-5,N($X3609)+1,N($X3609)))</f>
        <v/>
      </c>
      <c r="Z3610">
        <f>IF($V3610="","",IF($AA3610&gt;N($AA3609),$AA3610,""))</f>
        <v/>
      </c>
      <c r="AA3610">
        <f>IF($V3610="",N($AA3609),IF(MATCH($V3610,$V$6:$V$6005,0)=ROW()-5,N($AA3609)+1,N($AA3609)))</f>
        <v/>
      </c>
    </row>
    <row r="3611" ht="21" customHeight="1" s="66">
      <c r="A3611" s="56" t="n"/>
      <c r="B3611" s="57" t="n"/>
      <c r="C3611" s="57" t="n"/>
      <c r="D3611" s="57" t="n"/>
      <c r="E3611" s="56" t="n"/>
      <c r="F3611" s="57" t="n"/>
      <c r="G3611" s="57" t="n"/>
      <c r="H3611" s="56" t="n"/>
      <c r="I3611" s="56" t="n"/>
      <c r="J3611" s="58" t="n"/>
      <c r="K3611" s="58" t="n"/>
      <c r="L3611" s="13">
        <f>IF(OR($A3611="",AND($J3611="",$K3611="")),"",ROUND(N($J3611)-N($K3611),2))</f>
        <v/>
      </c>
      <c r="M3611" s="13">
        <f>IF(OR($A3611="",AND($J3611="",$K3611="")),"",MIN($J3611,$K3611))</f>
        <v/>
      </c>
      <c r="Q3611">
        <f>IF($A3611="","",$D3611&amp;"("&amp;SUBSTITUTE($E3611," ","")&amp;")")</f>
        <v/>
      </c>
      <c r="R3611">
        <f>IF($A3611="","",$B3611&amp;" - "&amp;$C3611)</f>
        <v/>
      </c>
      <c r="S3611">
        <f>IF($A3611="","",$R3611&amp;"|"&amp;$Q3611)</f>
        <v/>
      </c>
      <c r="T3611">
        <f>IF($A3611="","",$S3611&amp;"|"&amp;$F3611)</f>
        <v/>
      </c>
      <c r="U3611">
        <f>IF($A3611="","",$R3611&amp;"("&amp;$E3611&amp;")")</f>
        <v/>
      </c>
      <c r="V3611">
        <f>IF($A3611="","",$F3611&amp;"|"&amp;$U3611&amp;"|"&amp;$D3611)</f>
        <v/>
      </c>
      <c r="W3611">
        <f>IF($T3611="","",IF($X3611&gt;N($X3610),$X3611,""))</f>
        <v/>
      </c>
      <c r="X3611">
        <f>IF($T3611="",N($X3610),IF(MATCH($T3611,$T$6:$T$6005,0)=ROW()-5,N($X3610)+1,N($X3610)))</f>
        <v/>
      </c>
      <c r="Z3611">
        <f>IF($V3611="","",IF($AA3611&gt;N($AA3610),$AA3611,""))</f>
        <v/>
      </c>
      <c r="AA3611">
        <f>IF($V3611="",N($AA3610),IF(MATCH($V3611,$V$6:$V$6005,0)=ROW()-5,N($AA3610)+1,N($AA3610)))</f>
        <v/>
      </c>
    </row>
    <row r="3612" ht="21" customHeight="1" s="66">
      <c r="A3612" s="56" t="n"/>
      <c r="B3612" s="57" t="n"/>
      <c r="C3612" s="57" t="n"/>
      <c r="D3612" s="57" t="n"/>
      <c r="E3612" s="56" t="n"/>
      <c r="F3612" s="57" t="n"/>
      <c r="G3612" s="57" t="n"/>
      <c r="H3612" s="56" t="n"/>
      <c r="I3612" s="56" t="n"/>
      <c r="J3612" s="58" t="n"/>
      <c r="K3612" s="58" t="n"/>
      <c r="L3612" s="13">
        <f>IF(OR($A3612="",AND($J3612="",$K3612="")),"",ROUND(N($J3612)-N($K3612),2))</f>
        <v/>
      </c>
      <c r="M3612" s="13">
        <f>IF(OR($A3612="",AND($J3612="",$K3612="")),"",MIN($J3612,$K3612))</f>
        <v/>
      </c>
      <c r="Q3612">
        <f>IF($A3612="","",$D3612&amp;"("&amp;SUBSTITUTE($E3612," ","")&amp;")")</f>
        <v/>
      </c>
      <c r="R3612">
        <f>IF($A3612="","",$B3612&amp;" - "&amp;$C3612)</f>
        <v/>
      </c>
      <c r="S3612">
        <f>IF($A3612="","",$R3612&amp;"|"&amp;$Q3612)</f>
        <v/>
      </c>
      <c r="T3612">
        <f>IF($A3612="","",$S3612&amp;"|"&amp;$F3612)</f>
        <v/>
      </c>
      <c r="U3612">
        <f>IF($A3612="","",$R3612&amp;"("&amp;$E3612&amp;")")</f>
        <v/>
      </c>
      <c r="V3612">
        <f>IF($A3612="","",$F3612&amp;"|"&amp;$U3612&amp;"|"&amp;$D3612)</f>
        <v/>
      </c>
      <c r="W3612">
        <f>IF($T3612="","",IF($X3612&gt;N($X3611),$X3612,""))</f>
        <v/>
      </c>
      <c r="X3612">
        <f>IF($T3612="",N($X3611),IF(MATCH($T3612,$T$6:$T$6005,0)=ROW()-5,N($X3611)+1,N($X3611)))</f>
        <v/>
      </c>
      <c r="Z3612">
        <f>IF($V3612="","",IF($AA3612&gt;N($AA3611),$AA3612,""))</f>
        <v/>
      </c>
      <c r="AA3612">
        <f>IF($V3612="",N($AA3611),IF(MATCH($V3612,$V$6:$V$6005,0)=ROW()-5,N($AA3611)+1,N($AA3611)))</f>
        <v/>
      </c>
    </row>
    <row r="3613" ht="21" customHeight="1" s="66">
      <c r="A3613" s="56" t="n"/>
      <c r="B3613" s="57" t="n"/>
      <c r="C3613" s="57" t="n"/>
      <c r="D3613" s="57" t="n"/>
      <c r="E3613" s="56" t="n"/>
      <c r="F3613" s="57" t="n"/>
      <c r="G3613" s="57" t="n"/>
      <c r="H3613" s="56" t="n"/>
      <c r="I3613" s="56" t="n"/>
      <c r="J3613" s="58" t="n"/>
      <c r="K3613" s="58" t="n"/>
      <c r="L3613" s="13">
        <f>IF(OR($A3613="",AND($J3613="",$K3613="")),"",ROUND(N($J3613)-N($K3613),2))</f>
        <v/>
      </c>
      <c r="M3613" s="13">
        <f>IF(OR($A3613="",AND($J3613="",$K3613="")),"",MIN($J3613,$K3613))</f>
        <v/>
      </c>
      <c r="Q3613">
        <f>IF($A3613="","",$D3613&amp;"("&amp;SUBSTITUTE($E3613," ","")&amp;")")</f>
        <v/>
      </c>
      <c r="R3613">
        <f>IF($A3613="","",$B3613&amp;" - "&amp;$C3613)</f>
        <v/>
      </c>
      <c r="S3613">
        <f>IF($A3613="","",$R3613&amp;"|"&amp;$Q3613)</f>
        <v/>
      </c>
      <c r="T3613">
        <f>IF($A3613="","",$S3613&amp;"|"&amp;$F3613)</f>
        <v/>
      </c>
      <c r="U3613">
        <f>IF($A3613="","",$R3613&amp;"("&amp;$E3613&amp;")")</f>
        <v/>
      </c>
      <c r="V3613">
        <f>IF($A3613="","",$F3613&amp;"|"&amp;$U3613&amp;"|"&amp;$D3613)</f>
        <v/>
      </c>
      <c r="W3613">
        <f>IF($T3613="","",IF($X3613&gt;N($X3612),$X3613,""))</f>
        <v/>
      </c>
      <c r="X3613">
        <f>IF($T3613="",N($X3612),IF(MATCH($T3613,$T$6:$T$6005,0)=ROW()-5,N($X3612)+1,N($X3612)))</f>
        <v/>
      </c>
      <c r="Z3613">
        <f>IF($V3613="","",IF($AA3613&gt;N($AA3612),$AA3613,""))</f>
        <v/>
      </c>
      <c r="AA3613">
        <f>IF($V3613="",N($AA3612),IF(MATCH($V3613,$V$6:$V$6005,0)=ROW()-5,N($AA3612)+1,N($AA3612)))</f>
        <v/>
      </c>
    </row>
    <row r="3614" ht="21" customHeight="1" s="66">
      <c r="A3614" s="56" t="n"/>
      <c r="B3614" s="57" t="n"/>
      <c r="C3614" s="57" t="n"/>
      <c r="D3614" s="57" t="n"/>
      <c r="E3614" s="56" t="n"/>
      <c r="F3614" s="57" t="n"/>
      <c r="G3614" s="57" t="n"/>
      <c r="H3614" s="56" t="n"/>
      <c r="I3614" s="56" t="n"/>
      <c r="J3614" s="58" t="n"/>
      <c r="K3614" s="58" t="n"/>
      <c r="L3614" s="13">
        <f>IF(OR($A3614="",AND($J3614="",$K3614="")),"",ROUND(N($J3614)-N($K3614),2))</f>
        <v/>
      </c>
      <c r="M3614" s="13">
        <f>IF(OR($A3614="",AND($J3614="",$K3614="")),"",MIN($J3614,$K3614))</f>
        <v/>
      </c>
      <c r="Q3614">
        <f>IF($A3614="","",$D3614&amp;"("&amp;SUBSTITUTE($E3614," ","")&amp;")")</f>
        <v/>
      </c>
      <c r="R3614">
        <f>IF($A3614="","",$B3614&amp;" - "&amp;$C3614)</f>
        <v/>
      </c>
      <c r="S3614">
        <f>IF($A3614="","",$R3614&amp;"|"&amp;$Q3614)</f>
        <v/>
      </c>
      <c r="T3614">
        <f>IF($A3614="","",$S3614&amp;"|"&amp;$F3614)</f>
        <v/>
      </c>
      <c r="U3614">
        <f>IF($A3614="","",$R3614&amp;"("&amp;$E3614&amp;")")</f>
        <v/>
      </c>
      <c r="V3614">
        <f>IF($A3614="","",$F3614&amp;"|"&amp;$U3614&amp;"|"&amp;$D3614)</f>
        <v/>
      </c>
      <c r="W3614">
        <f>IF($T3614="","",IF($X3614&gt;N($X3613),$X3614,""))</f>
        <v/>
      </c>
      <c r="X3614">
        <f>IF($T3614="",N($X3613),IF(MATCH($T3614,$T$6:$T$6005,0)=ROW()-5,N($X3613)+1,N($X3613)))</f>
        <v/>
      </c>
      <c r="Z3614">
        <f>IF($V3614="","",IF($AA3614&gt;N($AA3613),$AA3614,""))</f>
        <v/>
      </c>
      <c r="AA3614">
        <f>IF($V3614="",N($AA3613),IF(MATCH($V3614,$V$6:$V$6005,0)=ROW()-5,N($AA3613)+1,N($AA3613)))</f>
        <v/>
      </c>
    </row>
    <row r="3615" ht="21" customHeight="1" s="66">
      <c r="A3615" s="56" t="n"/>
      <c r="B3615" s="57" t="n"/>
      <c r="C3615" s="57" t="n"/>
      <c r="D3615" s="57" t="n"/>
      <c r="E3615" s="56" t="n"/>
      <c r="F3615" s="57" t="n"/>
      <c r="G3615" s="57" t="n"/>
      <c r="H3615" s="56" t="n"/>
      <c r="I3615" s="56" t="n"/>
      <c r="J3615" s="58" t="n"/>
      <c r="K3615" s="58" t="n"/>
      <c r="L3615" s="13">
        <f>IF(OR($A3615="",AND($J3615="",$K3615="")),"",ROUND(N($J3615)-N($K3615),2))</f>
        <v/>
      </c>
      <c r="M3615" s="13">
        <f>IF(OR($A3615="",AND($J3615="",$K3615="")),"",MIN($J3615,$K3615))</f>
        <v/>
      </c>
      <c r="Q3615">
        <f>IF($A3615="","",$D3615&amp;"("&amp;SUBSTITUTE($E3615," ","")&amp;")")</f>
        <v/>
      </c>
      <c r="R3615">
        <f>IF($A3615="","",$B3615&amp;" - "&amp;$C3615)</f>
        <v/>
      </c>
      <c r="S3615">
        <f>IF($A3615="","",$R3615&amp;"|"&amp;$Q3615)</f>
        <v/>
      </c>
      <c r="T3615">
        <f>IF($A3615="","",$S3615&amp;"|"&amp;$F3615)</f>
        <v/>
      </c>
      <c r="U3615">
        <f>IF($A3615="","",$R3615&amp;"("&amp;$E3615&amp;")")</f>
        <v/>
      </c>
      <c r="V3615">
        <f>IF($A3615="","",$F3615&amp;"|"&amp;$U3615&amp;"|"&amp;$D3615)</f>
        <v/>
      </c>
      <c r="W3615">
        <f>IF($T3615="","",IF($X3615&gt;N($X3614),$X3615,""))</f>
        <v/>
      </c>
      <c r="X3615">
        <f>IF($T3615="",N($X3614),IF(MATCH($T3615,$T$6:$T$6005,0)=ROW()-5,N($X3614)+1,N($X3614)))</f>
        <v/>
      </c>
      <c r="Z3615">
        <f>IF($V3615="","",IF($AA3615&gt;N($AA3614),$AA3615,""))</f>
        <v/>
      </c>
      <c r="AA3615">
        <f>IF($V3615="",N($AA3614),IF(MATCH($V3615,$V$6:$V$6005,0)=ROW()-5,N($AA3614)+1,N($AA3614)))</f>
        <v/>
      </c>
    </row>
    <row r="3616" ht="21" customHeight="1" s="66">
      <c r="A3616" s="56" t="n"/>
      <c r="B3616" s="57" t="n"/>
      <c r="C3616" s="57" t="n"/>
      <c r="D3616" s="57" t="n"/>
      <c r="E3616" s="56" t="n"/>
      <c r="F3616" s="57" t="n"/>
      <c r="G3616" s="57" t="n"/>
      <c r="H3616" s="56" t="n"/>
      <c r="I3616" s="56" t="n"/>
      <c r="J3616" s="58" t="n"/>
      <c r="K3616" s="58" t="n"/>
      <c r="L3616" s="13">
        <f>IF(OR($A3616="",AND($J3616="",$K3616="")),"",ROUND(N($J3616)-N($K3616),2))</f>
        <v/>
      </c>
      <c r="M3616" s="13">
        <f>IF(OR($A3616="",AND($J3616="",$K3616="")),"",MIN($J3616,$K3616))</f>
        <v/>
      </c>
      <c r="Q3616">
        <f>IF($A3616="","",$D3616&amp;"("&amp;SUBSTITUTE($E3616," ","")&amp;")")</f>
        <v/>
      </c>
      <c r="R3616">
        <f>IF($A3616="","",$B3616&amp;" - "&amp;$C3616)</f>
        <v/>
      </c>
      <c r="S3616">
        <f>IF($A3616="","",$R3616&amp;"|"&amp;$Q3616)</f>
        <v/>
      </c>
      <c r="T3616">
        <f>IF($A3616="","",$S3616&amp;"|"&amp;$F3616)</f>
        <v/>
      </c>
      <c r="U3616">
        <f>IF($A3616="","",$R3616&amp;"("&amp;$E3616&amp;")")</f>
        <v/>
      </c>
      <c r="V3616">
        <f>IF($A3616="","",$F3616&amp;"|"&amp;$U3616&amp;"|"&amp;$D3616)</f>
        <v/>
      </c>
      <c r="W3616">
        <f>IF($T3616="","",IF($X3616&gt;N($X3615),$X3616,""))</f>
        <v/>
      </c>
      <c r="X3616">
        <f>IF($T3616="",N($X3615),IF(MATCH($T3616,$T$6:$T$6005,0)=ROW()-5,N($X3615)+1,N($X3615)))</f>
        <v/>
      </c>
      <c r="Z3616">
        <f>IF($V3616="","",IF($AA3616&gt;N($AA3615),$AA3616,""))</f>
        <v/>
      </c>
      <c r="AA3616">
        <f>IF($V3616="",N($AA3615),IF(MATCH($V3616,$V$6:$V$6005,0)=ROW()-5,N($AA3615)+1,N($AA3615)))</f>
        <v/>
      </c>
    </row>
    <row r="3617" ht="21" customHeight="1" s="66">
      <c r="A3617" s="56" t="n"/>
      <c r="B3617" s="57" t="n"/>
      <c r="C3617" s="57" t="n"/>
      <c r="D3617" s="57" t="n"/>
      <c r="E3617" s="56" t="n"/>
      <c r="F3617" s="57" t="n"/>
      <c r="G3617" s="57" t="n"/>
      <c r="H3617" s="56" t="n"/>
      <c r="I3617" s="56" t="n"/>
      <c r="J3617" s="58" t="n"/>
      <c r="K3617" s="58" t="n"/>
      <c r="L3617" s="13">
        <f>IF(OR($A3617="",AND($J3617="",$K3617="")),"",ROUND(N($J3617)-N($K3617),2))</f>
        <v/>
      </c>
      <c r="M3617" s="13">
        <f>IF(OR($A3617="",AND($J3617="",$K3617="")),"",MIN($J3617,$K3617))</f>
        <v/>
      </c>
      <c r="Q3617">
        <f>IF($A3617="","",$D3617&amp;"("&amp;SUBSTITUTE($E3617," ","")&amp;")")</f>
        <v/>
      </c>
      <c r="R3617">
        <f>IF($A3617="","",$B3617&amp;" - "&amp;$C3617)</f>
        <v/>
      </c>
      <c r="S3617">
        <f>IF($A3617="","",$R3617&amp;"|"&amp;$Q3617)</f>
        <v/>
      </c>
      <c r="T3617">
        <f>IF($A3617="","",$S3617&amp;"|"&amp;$F3617)</f>
        <v/>
      </c>
      <c r="U3617">
        <f>IF($A3617="","",$R3617&amp;"("&amp;$E3617&amp;")")</f>
        <v/>
      </c>
      <c r="V3617">
        <f>IF($A3617="","",$F3617&amp;"|"&amp;$U3617&amp;"|"&amp;$D3617)</f>
        <v/>
      </c>
      <c r="W3617">
        <f>IF($T3617="","",IF($X3617&gt;N($X3616),$X3617,""))</f>
        <v/>
      </c>
      <c r="X3617">
        <f>IF($T3617="",N($X3616),IF(MATCH($T3617,$T$6:$T$6005,0)=ROW()-5,N($X3616)+1,N($X3616)))</f>
        <v/>
      </c>
      <c r="Z3617">
        <f>IF($V3617="","",IF($AA3617&gt;N($AA3616),$AA3617,""))</f>
        <v/>
      </c>
      <c r="AA3617">
        <f>IF($V3617="",N($AA3616),IF(MATCH($V3617,$V$6:$V$6005,0)=ROW()-5,N($AA3616)+1,N($AA3616)))</f>
        <v/>
      </c>
    </row>
    <row r="3618" ht="21" customHeight="1" s="66">
      <c r="A3618" s="56" t="n"/>
      <c r="B3618" s="57" t="n"/>
      <c r="C3618" s="57" t="n"/>
      <c r="D3618" s="57" t="n"/>
      <c r="E3618" s="56" t="n"/>
      <c r="F3618" s="57" t="n"/>
      <c r="G3618" s="57" t="n"/>
      <c r="H3618" s="56" t="n"/>
      <c r="I3618" s="56" t="n"/>
      <c r="J3618" s="58" t="n"/>
      <c r="K3618" s="58" t="n"/>
      <c r="L3618" s="13">
        <f>IF(OR($A3618="",AND($J3618="",$K3618="")),"",ROUND(N($J3618)-N($K3618),2))</f>
        <v/>
      </c>
      <c r="M3618" s="13">
        <f>IF(OR($A3618="",AND($J3618="",$K3618="")),"",MIN($J3618,$K3618))</f>
        <v/>
      </c>
      <c r="Q3618">
        <f>IF($A3618="","",$D3618&amp;"("&amp;SUBSTITUTE($E3618," ","")&amp;")")</f>
        <v/>
      </c>
      <c r="R3618">
        <f>IF($A3618="","",$B3618&amp;" - "&amp;$C3618)</f>
        <v/>
      </c>
      <c r="S3618">
        <f>IF($A3618="","",$R3618&amp;"|"&amp;$Q3618)</f>
        <v/>
      </c>
      <c r="T3618">
        <f>IF($A3618="","",$S3618&amp;"|"&amp;$F3618)</f>
        <v/>
      </c>
      <c r="U3618">
        <f>IF($A3618="","",$R3618&amp;"("&amp;$E3618&amp;")")</f>
        <v/>
      </c>
      <c r="V3618">
        <f>IF($A3618="","",$F3618&amp;"|"&amp;$U3618&amp;"|"&amp;$D3618)</f>
        <v/>
      </c>
      <c r="W3618">
        <f>IF($T3618="","",IF($X3618&gt;N($X3617),$X3618,""))</f>
        <v/>
      </c>
      <c r="X3618">
        <f>IF($T3618="",N($X3617),IF(MATCH($T3618,$T$6:$T$6005,0)=ROW()-5,N($X3617)+1,N($X3617)))</f>
        <v/>
      </c>
      <c r="Z3618">
        <f>IF($V3618="","",IF($AA3618&gt;N($AA3617),$AA3618,""))</f>
        <v/>
      </c>
      <c r="AA3618">
        <f>IF($V3618="",N($AA3617),IF(MATCH($V3618,$V$6:$V$6005,0)=ROW()-5,N($AA3617)+1,N($AA3617)))</f>
        <v/>
      </c>
    </row>
    <row r="3619" ht="21" customHeight="1" s="66">
      <c r="A3619" s="56" t="n"/>
      <c r="B3619" s="57" t="n"/>
      <c r="C3619" s="57" t="n"/>
      <c r="D3619" s="57" t="n"/>
      <c r="E3619" s="56" t="n"/>
      <c r="F3619" s="57" t="n"/>
      <c r="G3619" s="57" t="n"/>
      <c r="H3619" s="56" t="n"/>
      <c r="I3619" s="56" t="n"/>
      <c r="J3619" s="58" t="n"/>
      <c r="K3619" s="58" t="n"/>
      <c r="L3619" s="13">
        <f>IF(OR($A3619="",AND($J3619="",$K3619="")),"",ROUND(N($J3619)-N($K3619),2))</f>
        <v/>
      </c>
      <c r="M3619" s="13">
        <f>IF(OR($A3619="",AND($J3619="",$K3619="")),"",MIN($J3619,$K3619))</f>
        <v/>
      </c>
      <c r="Q3619">
        <f>IF($A3619="","",$D3619&amp;"("&amp;SUBSTITUTE($E3619," ","")&amp;")")</f>
        <v/>
      </c>
      <c r="R3619">
        <f>IF($A3619="","",$B3619&amp;" - "&amp;$C3619)</f>
        <v/>
      </c>
      <c r="S3619">
        <f>IF($A3619="","",$R3619&amp;"|"&amp;$Q3619)</f>
        <v/>
      </c>
      <c r="T3619">
        <f>IF($A3619="","",$S3619&amp;"|"&amp;$F3619)</f>
        <v/>
      </c>
      <c r="U3619">
        <f>IF($A3619="","",$R3619&amp;"("&amp;$E3619&amp;")")</f>
        <v/>
      </c>
      <c r="V3619">
        <f>IF($A3619="","",$F3619&amp;"|"&amp;$U3619&amp;"|"&amp;$D3619)</f>
        <v/>
      </c>
      <c r="W3619">
        <f>IF($T3619="","",IF($X3619&gt;N($X3618),$X3619,""))</f>
        <v/>
      </c>
      <c r="X3619">
        <f>IF($T3619="",N($X3618),IF(MATCH($T3619,$T$6:$T$6005,0)=ROW()-5,N($X3618)+1,N($X3618)))</f>
        <v/>
      </c>
      <c r="Z3619">
        <f>IF($V3619="","",IF($AA3619&gt;N($AA3618),$AA3619,""))</f>
        <v/>
      </c>
      <c r="AA3619">
        <f>IF($V3619="",N($AA3618),IF(MATCH($V3619,$V$6:$V$6005,0)=ROW()-5,N($AA3618)+1,N($AA3618)))</f>
        <v/>
      </c>
    </row>
    <row r="3620" ht="21" customHeight="1" s="66">
      <c r="A3620" s="56" t="n"/>
      <c r="B3620" s="57" t="n"/>
      <c r="C3620" s="57" t="n"/>
      <c r="D3620" s="57" t="n"/>
      <c r="E3620" s="56" t="n"/>
      <c r="F3620" s="57" t="n"/>
      <c r="G3620" s="57" t="n"/>
      <c r="H3620" s="56" t="n"/>
      <c r="I3620" s="56" t="n"/>
      <c r="J3620" s="58" t="n"/>
      <c r="K3620" s="58" t="n"/>
      <c r="L3620" s="13">
        <f>IF(OR($A3620="",AND($J3620="",$K3620="")),"",ROUND(N($J3620)-N($K3620),2))</f>
        <v/>
      </c>
      <c r="M3620" s="13">
        <f>IF(OR($A3620="",AND($J3620="",$K3620="")),"",MIN($J3620,$K3620))</f>
        <v/>
      </c>
      <c r="Q3620">
        <f>IF($A3620="","",$D3620&amp;"("&amp;SUBSTITUTE($E3620," ","")&amp;")")</f>
        <v/>
      </c>
      <c r="R3620">
        <f>IF($A3620="","",$B3620&amp;" - "&amp;$C3620)</f>
        <v/>
      </c>
      <c r="S3620">
        <f>IF($A3620="","",$R3620&amp;"|"&amp;$Q3620)</f>
        <v/>
      </c>
      <c r="T3620">
        <f>IF($A3620="","",$S3620&amp;"|"&amp;$F3620)</f>
        <v/>
      </c>
      <c r="U3620">
        <f>IF($A3620="","",$R3620&amp;"("&amp;$E3620&amp;")")</f>
        <v/>
      </c>
      <c r="V3620">
        <f>IF($A3620="","",$F3620&amp;"|"&amp;$U3620&amp;"|"&amp;$D3620)</f>
        <v/>
      </c>
      <c r="W3620">
        <f>IF($T3620="","",IF($X3620&gt;N($X3619),$X3620,""))</f>
        <v/>
      </c>
      <c r="X3620">
        <f>IF($T3620="",N($X3619),IF(MATCH($T3620,$T$6:$T$6005,0)=ROW()-5,N($X3619)+1,N($X3619)))</f>
        <v/>
      </c>
      <c r="Z3620">
        <f>IF($V3620="","",IF($AA3620&gt;N($AA3619),$AA3620,""))</f>
        <v/>
      </c>
      <c r="AA3620">
        <f>IF($V3620="",N($AA3619),IF(MATCH($V3620,$V$6:$V$6005,0)=ROW()-5,N($AA3619)+1,N($AA3619)))</f>
        <v/>
      </c>
    </row>
    <row r="3621" ht="21" customHeight="1" s="66">
      <c r="A3621" s="56" t="n"/>
      <c r="B3621" s="57" t="n"/>
      <c r="C3621" s="57" t="n"/>
      <c r="D3621" s="57" t="n"/>
      <c r="E3621" s="56" t="n"/>
      <c r="F3621" s="57" t="n"/>
      <c r="G3621" s="57" t="n"/>
      <c r="H3621" s="56" t="n"/>
      <c r="I3621" s="56" t="n"/>
      <c r="J3621" s="58" t="n"/>
      <c r="K3621" s="58" t="n"/>
      <c r="L3621" s="13">
        <f>IF(OR($A3621="",AND($J3621="",$K3621="")),"",ROUND(N($J3621)-N($K3621),2))</f>
        <v/>
      </c>
      <c r="M3621" s="13">
        <f>IF(OR($A3621="",AND($J3621="",$K3621="")),"",MIN($J3621,$K3621))</f>
        <v/>
      </c>
      <c r="Q3621">
        <f>IF($A3621="","",$D3621&amp;"("&amp;SUBSTITUTE($E3621," ","")&amp;")")</f>
        <v/>
      </c>
      <c r="R3621">
        <f>IF($A3621="","",$B3621&amp;" - "&amp;$C3621)</f>
        <v/>
      </c>
      <c r="S3621">
        <f>IF($A3621="","",$R3621&amp;"|"&amp;$Q3621)</f>
        <v/>
      </c>
      <c r="T3621">
        <f>IF($A3621="","",$S3621&amp;"|"&amp;$F3621)</f>
        <v/>
      </c>
      <c r="U3621">
        <f>IF($A3621="","",$R3621&amp;"("&amp;$E3621&amp;")")</f>
        <v/>
      </c>
      <c r="V3621">
        <f>IF($A3621="","",$F3621&amp;"|"&amp;$U3621&amp;"|"&amp;$D3621)</f>
        <v/>
      </c>
      <c r="W3621">
        <f>IF($T3621="","",IF($X3621&gt;N($X3620),$X3621,""))</f>
        <v/>
      </c>
      <c r="X3621">
        <f>IF($T3621="",N($X3620),IF(MATCH($T3621,$T$6:$T$6005,0)=ROW()-5,N($X3620)+1,N($X3620)))</f>
        <v/>
      </c>
      <c r="Z3621">
        <f>IF($V3621="","",IF($AA3621&gt;N($AA3620),$AA3621,""))</f>
        <v/>
      </c>
      <c r="AA3621">
        <f>IF($V3621="",N($AA3620),IF(MATCH($V3621,$V$6:$V$6005,0)=ROW()-5,N($AA3620)+1,N($AA3620)))</f>
        <v/>
      </c>
    </row>
    <row r="3622" ht="21" customHeight="1" s="66">
      <c r="A3622" s="56" t="n"/>
      <c r="B3622" s="57" t="n"/>
      <c r="C3622" s="57" t="n"/>
      <c r="D3622" s="57" t="n"/>
      <c r="E3622" s="56" t="n"/>
      <c r="F3622" s="57" t="n"/>
      <c r="G3622" s="57" t="n"/>
      <c r="H3622" s="56" t="n"/>
      <c r="I3622" s="56" t="n"/>
      <c r="J3622" s="58" t="n"/>
      <c r="K3622" s="58" t="n"/>
      <c r="L3622" s="13">
        <f>IF(OR($A3622="",AND($J3622="",$K3622="")),"",ROUND(N($J3622)-N($K3622),2))</f>
        <v/>
      </c>
      <c r="M3622" s="13">
        <f>IF(OR($A3622="",AND($J3622="",$K3622="")),"",MIN($J3622,$K3622))</f>
        <v/>
      </c>
      <c r="Q3622">
        <f>IF($A3622="","",$D3622&amp;"("&amp;SUBSTITUTE($E3622," ","")&amp;")")</f>
        <v/>
      </c>
      <c r="R3622">
        <f>IF($A3622="","",$B3622&amp;" - "&amp;$C3622)</f>
        <v/>
      </c>
      <c r="S3622">
        <f>IF($A3622="","",$R3622&amp;"|"&amp;$Q3622)</f>
        <v/>
      </c>
      <c r="T3622">
        <f>IF($A3622="","",$S3622&amp;"|"&amp;$F3622)</f>
        <v/>
      </c>
      <c r="U3622">
        <f>IF($A3622="","",$R3622&amp;"("&amp;$E3622&amp;")")</f>
        <v/>
      </c>
      <c r="V3622">
        <f>IF($A3622="","",$F3622&amp;"|"&amp;$U3622&amp;"|"&amp;$D3622)</f>
        <v/>
      </c>
      <c r="W3622">
        <f>IF($T3622="","",IF($X3622&gt;N($X3621),$X3622,""))</f>
        <v/>
      </c>
      <c r="X3622">
        <f>IF($T3622="",N($X3621),IF(MATCH($T3622,$T$6:$T$6005,0)=ROW()-5,N($X3621)+1,N($X3621)))</f>
        <v/>
      </c>
      <c r="Z3622">
        <f>IF($V3622="","",IF($AA3622&gt;N($AA3621),$AA3622,""))</f>
        <v/>
      </c>
      <c r="AA3622">
        <f>IF($V3622="",N($AA3621),IF(MATCH($V3622,$V$6:$V$6005,0)=ROW()-5,N($AA3621)+1,N($AA3621)))</f>
        <v/>
      </c>
    </row>
    <row r="3623" ht="21" customHeight="1" s="66">
      <c r="A3623" s="56" t="n"/>
      <c r="B3623" s="57" t="n"/>
      <c r="C3623" s="57" t="n"/>
      <c r="D3623" s="57" t="n"/>
      <c r="E3623" s="56" t="n"/>
      <c r="F3623" s="57" t="n"/>
      <c r="G3623" s="57" t="n"/>
      <c r="H3623" s="56" t="n"/>
      <c r="I3623" s="56" t="n"/>
      <c r="J3623" s="58" t="n"/>
      <c r="K3623" s="58" t="n"/>
      <c r="L3623" s="13">
        <f>IF(OR($A3623="",AND($J3623="",$K3623="")),"",ROUND(N($J3623)-N($K3623),2))</f>
        <v/>
      </c>
      <c r="M3623" s="13">
        <f>IF(OR($A3623="",AND($J3623="",$K3623="")),"",MIN($J3623,$K3623))</f>
        <v/>
      </c>
      <c r="Q3623">
        <f>IF($A3623="","",$D3623&amp;"("&amp;SUBSTITUTE($E3623," ","")&amp;")")</f>
        <v/>
      </c>
      <c r="R3623">
        <f>IF($A3623="","",$B3623&amp;" - "&amp;$C3623)</f>
        <v/>
      </c>
      <c r="S3623">
        <f>IF($A3623="","",$R3623&amp;"|"&amp;$Q3623)</f>
        <v/>
      </c>
      <c r="T3623">
        <f>IF($A3623="","",$S3623&amp;"|"&amp;$F3623)</f>
        <v/>
      </c>
      <c r="U3623">
        <f>IF($A3623="","",$R3623&amp;"("&amp;$E3623&amp;")")</f>
        <v/>
      </c>
      <c r="V3623">
        <f>IF($A3623="","",$F3623&amp;"|"&amp;$U3623&amp;"|"&amp;$D3623)</f>
        <v/>
      </c>
      <c r="W3623">
        <f>IF($T3623="","",IF($X3623&gt;N($X3622),$X3623,""))</f>
        <v/>
      </c>
      <c r="X3623">
        <f>IF($T3623="",N($X3622),IF(MATCH($T3623,$T$6:$T$6005,0)=ROW()-5,N($X3622)+1,N($X3622)))</f>
        <v/>
      </c>
      <c r="Z3623">
        <f>IF($V3623="","",IF($AA3623&gt;N($AA3622),$AA3623,""))</f>
        <v/>
      </c>
      <c r="AA3623">
        <f>IF($V3623="",N($AA3622),IF(MATCH($V3623,$V$6:$V$6005,0)=ROW()-5,N($AA3622)+1,N($AA3622)))</f>
        <v/>
      </c>
    </row>
    <row r="3624" ht="21" customHeight="1" s="66">
      <c r="A3624" s="56" t="n"/>
      <c r="B3624" s="57" t="n"/>
      <c r="C3624" s="57" t="n"/>
      <c r="D3624" s="57" t="n"/>
      <c r="E3624" s="56" t="n"/>
      <c r="F3624" s="57" t="n"/>
      <c r="G3624" s="57" t="n"/>
      <c r="H3624" s="56" t="n"/>
      <c r="I3624" s="56" t="n"/>
      <c r="J3624" s="58" t="n"/>
      <c r="K3624" s="58" t="n"/>
      <c r="L3624" s="13">
        <f>IF(OR($A3624="",AND($J3624="",$K3624="")),"",ROUND(N($J3624)-N($K3624),2))</f>
        <v/>
      </c>
      <c r="M3624" s="13">
        <f>IF(OR($A3624="",AND($J3624="",$K3624="")),"",MIN($J3624,$K3624))</f>
        <v/>
      </c>
      <c r="Q3624">
        <f>IF($A3624="","",$D3624&amp;"("&amp;SUBSTITUTE($E3624," ","")&amp;")")</f>
        <v/>
      </c>
      <c r="R3624">
        <f>IF($A3624="","",$B3624&amp;" - "&amp;$C3624)</f>
        <v/>
      </c>
      <c r="S3624">
        <f>IF($A3624="","",$R3624&amp;"|"&amp;$Q3624)</f>
        <v/>
      </c>
      <c r="T3624">
        <f>IF($A3624="","",$S3624&amp;"|"&amp;$F3624)</f>
        <v/>
      </c>
      <c r="U3624">
        <f>IF($A3624="","",$R3624&amp;"("&amp;$E3624&amp;")")</f>
        <v/>
      </c>
      <c r="V3624">
        <f>IF($A3624="","",$F3624&amp;"|"&amp;$U3624&amp;"|"&amp;$D3624)</f>
        <v/>
      </c>
      <c r="W3624">
        <f>IF($T3624="","",IF($X3624&gt;N($X3623),$X3624,""))</f>
        <v/>
      </c>
      <c r="X3624">
        <f>IF($T3624="",N($X3623),IF(MATCH($T3624,$T$6:$T$6005,0)=ROW()-5,N($X3623)+1,N($X3623)))</f>
        <v/>
      </c>
      <c r="Z3624">
        <f>IF($V3624="","",IF($AA3624&gt;N($AA3623),$AA3624,""))</f>
        <v/>
      </c>
      <c r="AA3624">
        <f>IF($V3624="",N($AA3623),IF(MATCH($V3624,$V$6:$V$6005,0)=ROW()-5,N($AA3623)+1,N($AA3623)))</f>
        <v/>
      </c>
    </row>
    <row r="3625" ht="21" customHeight="1" s="66">
      <c r="A3625" s="56" t="n"/>
      <c r="B3625" s="57" t="n"/>
      <c r="C3625" s="57" t="n"/>
      <c r="D3625" s="57" t="n"/>
      <c r="E3625" s="56" t="n"/>
      <c r="F3625" s="57" t="n"/>
      <c r="G3625" s="57" t="n"/>
      <c r="H3625" s="56" t="n"/>
      <c r="I3625" s="56" t="n"/>
      <c r="J3625" s="58" t="n"/>
      <c r="K3625" s="58" t="n"/>
      <c r="L3625" s="13">
        <f>IF(OR($A3625="",AND($J3625="",$K3625="")),"",ROUND(N($J3625)-N($K3625),2))</f>
        <v/>
      </c>
      <c r="M3625" s="13">
        <f>IF(OR($A3625="",AND($J3625="",$K3625="")),"",MIN($J3625,$K3625))</f>
        <v/>
      </c>
      <c r="Q3625">
        <f>IF($A3625="","",$D3625&amp;"("&amp;SUBSTITUTE($E3625," ","")&amp;")")</f>
        <v/>
      </c>
      <c r="R3625">
        <f>IF($A3625="","",$B3625&amp;" - "&amp;$C3625)</f>
        <v/>
      </c>
      <c r="S3625">
        <f>IF($A3625="","",$R3625&amp;"|"&amp;$Q3625)</f>
        <v/>
      </c>
      <c r="T3625">
        <f>IF($A3625="","",$S3625&amp;"|"&amp;$F3625)</f>
        <v/>
      </c>
      <c r="U3625">
        <f>IF($A3625="","",$R3625&amp;"("&amp;$E3625&amp;")")</f>
        <v/>
      </c>
      <c r="V3625">
        <f>IF($A3625="","",$F3625&amp;"|"&amp;$U3625&amp;"|"&amp;$D3625)</f>
        <v/>
      </c>
      <c r="W3625">
        <f>IF($T3625="","",IF($X3625&gt;N($X3624),$X3625,""))</f>
        <v/>
      </c>
      <c r="X3625">
        <f>IF($T3625="",N($X3624),IF(MATCH($T3625,$T$6:$T$6005,0)=ROW()-5,N($X3624)+1,N($X3624)))</f>
        <v/>
      </c>
      <c r="Z3625">
        <f>IF($V3625="","",IF($AA3625&gt;N($AA3624),$AA3625,""))</f>
        <v/>
      </c>
      <c r="AA3625">
        <f>IF($V3625="",N($AA3624),IF(MATCH($V3625,$V$6:$V$6005,0)=ROW()-5,N($AA3624)+1,N($AA3624)))</f>
        <v/>
      </c>
    </row>
    <row r="3626" ht="21" customHeight="1" s="66">
      <c r="A3626" s="56" t="n"/>
      <c r="B3626" s="57" t="n"/>
      <c r="C3626" s="57" t="n"/>
      <c r="D3626" s="57" t="n"/>
      <c r="E3626" s="56" t="n"/>
      <c r="F3626" s="57" t="n"/>
      <c r="G3626" s="57" t="n"/>
      <c r="H3626" s="56" t="n"/>
      <c r="I3626" s="56" t="n"/>
      <c r="J3626" s="58" t="n"/>
      <c r="K3626" s="58" t="n"/>
      <c r="L3626" s="13">
        <f>IF(OR($A3626="",AND($J3626="",$K3626="")),"",ROUND(N($J3626)-N($K3626),2))</f>
        <v/>
      </c>
      <c r="M3626" s="13">
        <f>IF(OR($A3626="",AND($J3626="",$K3626="")),"",MIN($J3626,$K3626))</f>
        <v/>
      </c>
      <c r="Q3626">
        <f>IF($A3626="","",$D3626&amp;"("&amp;SUBSTITUTE($E3626," ","")&amp;")")</f>
        <v/>
      </c>
      <c r="R3626">
        <f>IF($A3626="","",$B3626&amp;" - "&amp;$C3626)</f>
        <v/>
      </c>
      <c r="S3626">
        <f>IF($A3626="","",$R3626&amp;"|"&amp;$Q3626)</f>
        <v/>
      </c>
      <c r="T3626">
        <f>IF($A3626="","",$S3626&amp;"|"&amp;$F3626)</f>
        <v/>
      </c>
      <c r="U3626">
        <f>IF($A3626="","",$R3626&amp;"("&amp;$E3626&amp;")")</f>
        <v/>
      </c>
      <c r="V3626">
        <f>IF($A3626="","",$F3626&amp;"|"&amp;$U3626&amp;"|"&amp;$D3626)</f>
        <v/>
      </c>
      <c r="W3626">
        <f>IF($T3626="","",IF($X3626&gt;N($X3625),$X3626,""))</f>
        <v/>
      </c>
      <c r="X3626">
        <f>IF($T3626="",N($X3625),IF(MATCH($T3626,$T$6:$T$6005,0)=ROW()-5,N($X3625)+1,N($X3625)))</f>
        <v/>
      </c>
      <c r="Z3626">
        <f>IF($V3626="","",IF($AA3626&gt;N($AA3625),$AA3626,""))</f>
        <v/>
      </c>
      <c r="AA3626">
        <f>IF($V3626="",N($AA3625),IF(MATCH($V3626,$V$6:$V$6005,0)=ROW()-5,N($AA3625)+1,N($AA3625)))</f>
        <v/>
      </c>
    </row>
    <row r="3627" ht="21" customHeight="1" s="66">
      <c r="A3627" s="56" t="n"/>
      <c r="B3627" s="57" t="n"/>
      <c r="C3627" s="57" t="n"/>
      <c r="D3627" s="57" t="n"/>
      <c r="E3627" s="56" t="n"/>
      <c r="F3627" s="57" t="n"/>
      <c r="G3627" s="57" t="n"/>
      <c r="H3627" s="56" t="n"/>
      <c r="I3627" s="56" t="n"/>
      <c r="J3627" s="58" t="n"/>
      <c r="K3627" s="58" t="n"/>
      <c r="L3627" s="13">
        <f>IF(OR($A3627="",AND($J3627="",$K3627="")),"",ROUND(N($J3627)-N($K3627),2))</f>
        <v/>
      </c>
      <c r="M3627" s="13">
        <f>IF(OR($A3627="",AND($J3627="",$K3627="")),"",MIN($J3627,$K3627))</f>
        <v/>
      </c>
      <c r="Q3627">
        <f>IF($A3627="","",$D3627&amp;"("&amp;SUBSTITUTE($E3627," ","")&amp;")")</f>
        <v/>
      </c>
      <c r="R3627">
        <f>IF($A3627="","",$B3627&amp;" - "&amp;$C3627)</f>
        <v/>
      </c>
      <c r="S3627">
        <f>IF($A3627="","",$R3627&amp;"|"&amp;$Q3627)</f>
        <v/>
      </c>
      <c r="T3627">
        <f>IF($A3627="","",$S3627&amp;"|"&amp;$F3627)</f>
        <v/>
      </c>
      <c r="U3627">
        <f>IF($A3627="","",$R3627&amp;"("&amp;$E3627&amp;")")</f>
        <v/>
      </c>
      <c r="V3627">
        <f>IF($A3627="","",$F3627&amp;"|"&amp;$U3627&amp;"|"&amp;$D3627)</f>
        <v/>
      </c>
      <c r="W3627">
        <f>IF($T3627="","",IF($X3627&gt;N($X3626),$X3627,""))</f>
        <v/>
      </c>
      <c r="X3627">
        <f>IF($T3627="",N($X3626),IF(MATCH($T3627,$T$6:$T$6005,0)=ROW()-5,N($X3626)+1,N($X3626)))</f>
        <v/>
      </c>
      <c r="Z3627">
        <f>IF($V3627="","",IF($AA3627&gt;N($AA3626),$AA3627,""))</f>
        <v/>
      </c>
      <c r="AA3627">
        <f>IF($V3627="",N($AA3626),IF(MATCH($V3627,$V$6:$V$6005,0)=ROW()-5,N($AA3626)+1,N($AA3626)))</f>
        <v/>
      </c>
    </row>
    <row r="3628" ht="21" customHeight="1" s="66">
      <c r="A3628" s="56" t="n"/>
      <c r="B3628" s="57" t="n"/>
      <c r="C3628" s="57" t="n"/>
      <c r="D3628" s="57" t="n"/>
      <c r="E3628" s="56" t="n"/>
      <c r="F3628" s="57" t="n"/>
      <c r="G3628" s="57" t="n"/>
      <c r="H3628" s="56" t="n"/>
      <c r="I3628" s="56" t="n"/>
      <c r="J3628" s="58" t="n"/>
      <c r="K3628" s="58" t="n"/>
      <c r="L3628" s="13">
        <f>IF(OR($A3628="",AND($J3628="",$K3628="")),"",ROUND(N($J3628)-N($K3628),2))</f>
        <v/>
      </c>
      <c r="M3628" s="13">
        <f>IF(OR($A3628="",AND($J3628="",$K3628="")),"",MIN($J3628,$K3628))</f>
        <v/>
      </c>
      <c r="Q3628">
        <f>IF($A3628="","",$D3628&amp;"("&amp;SUBSTITUTE($E3628," ","")&amp;")")</f>
        <v/>
      </c>
      <c r="R3628">
        <f>IF($A3628="","",$B3628&amp;" - "&amp;$C3628)</f>
        <v/>
      </c>
      <c r="S3628">
        <f>IF($A3628="","",$R3628&amp;"|"&amp;$Q3628)</f>
        <v/>
      </c>
      <c r="T3628">
        <f>IF($A3628="","",$S3628&amp;"|"&amp;$F3628)</f>
        <v/>
      </c>
      <c r="U3628">
        <f>IF($A3628="","",$R3628&amp;"("&amp;$E3628&amp;")")</f>
        <v/>
      </c>
      <c r="V3628">
        <f>IF($A3628="","",$F3628&amp;"|"&amp;$U3628&amp;"|"&amp;$D3628)</f>
        <v/>
      </c>
      <c r="W3628">
        <f>IF($T3628="","",IF($X3628&gt;N($X3627),$X3628,""))</f>
        <v/>
      </c>
      <c r="X3628">
        <f>IF($T3628="",N($X3627),IF(MATCH($T3628,$T$6:$T$6005,0)=ROW()-5,N($X3627)+1,N($X3627)))</f>
        <v/>
      </c>
      <c r="Z3628">
        <f>IF($V3628="","",IF($AA3628&gt;N($AA3627),$AA3628,""))</f>
        <v/>
      </c>
      <c r="AA3628">
        <f>IF($V3628="",N($AA3627),IF(MATCH($V3628,$V$6:$V$6005,0)=ROW()-5,N($AA3627)+1,N($AA3627)))</f>
        <v/>
      </c>
    </row>
    <row r="3629" ht="21" customHeight="1" s="66">
      <c r="A3629" s="56" t="n"/>
      <c r="B3629" s="57" t="n"/>
      <c r="C3629" s="57" t="n"/>
      <c r="D3629" s="57" t="n"/>
      <c r="E3629" s="56" t="n"/>
      <c r="F3629" s="57" t="n"/>
      <c r="G3629" s="57" t="n"/>
      <c r="H3629" s="56" t="n"/>
      <c r="I3629" s="56" t="n"/>
      <c r="J3629" s="58" t="n"/>
      <c r="K3629" s="58" t="n"/>
      <c r="L3629" s="13">
        <f>IF(OR($A3629="",AND($J3629="",$K3629="")),"",ROUND(N($J3629)-N($K3629),2))</f>
        <v/>
      </c>
      <c r="M3629" s="13">
        <f>IF(OR($A3629="",AND($J3629="",$K3629="")),"",MIN($J3629,$K3629))</f>
        <v/>
      </c>
      <c r="Q3629">
        <f>IF($A3629="","",$D3629&amp;"("&amp;SUBSTITUTE($E3629," ","")&amp;")")</f>
        <v/>
      </c>
      <c r="R3629">
        <f>IF($A3629="","",$B3629&amp;" - "&amp;$C3629)</f>
        <v/>
      </c>
      <c r="S3629">
        <f>IF($A3629="","",$R3629&amp;"|"&amp;$Q3629)</f>
        <v/>
      </c>
      <c r="T3629">
        <f>IF($A3629="","",$S3629&amp;"|"&amp;$F3629)</f>
        <v/>
      </c>
      <c r="U3629">
        <f>IF($A3629="","",$R3629&amp;"("&amp;$E3629&amp;")")</f>
        <v/>
      </c>
      <c r="V3629">
        <f>IF($A3629="","",$F3629&amp;"|"&amp;$U3629&amp;"|"&amp;$D3629)</f>
        <v/>
      </c>
      <c r="W3629">
        <f>IF($T3629="","",IF($X3629&gt;N($X3628),$X3629,""))</f>
        <v/>
      </c>
      <c r="X3629">
        <f>IF($T3629="",N($X3628),IF(MATCH($T3629,$T$6:$T$6005,0)=ROW()-5,N($X3628)+1,N($X3628)))</f>
        <v/>
      </c>
      <c r="Z3629">
        <f>IF($V3629="","",IF($AA3629&gt;N($AA3628),$AA3629,""))</f>
        <v/>
      </c>
      <c r="AA3629">
        <f>IF($V3629="",N($AA3628),IF(MATCH($V3629,$V$6:$V$6005,0)=ROW()-5,N($AA3628)+1,N($AA3628)))</f>
        <v/>
      </c>
    </row>
    <row r="3630" ht="21" customHeight="1" s="66">
      <c r="A3630" s="56" t="n"/>
      <c r="B3630" s="57" t="n"/>
      <c r="C3630" s="57" t="n"/>
      <c r="D3630" s="57" t="n"/>
      <c r="E3630" s="56" t="n"/>
      <c r="F3630" s="57" t="n"/>
      <c r="G3630" s="57" t="n"/>
      <c r="H3630" s="56" t="n"/>
      <c r="I3630" s="56" t="n"/>
      <c r="J3630" s="58" t="n"/>
      <c r="K3630" s="58" t="n"/>
      <c r="L3630" s="13">
        <f>IF(OR($A3630="",AND($J3630="",$K3630="")),"",ROUND(N($J3630)-N($K3630),2))</f>
        <v/>
      </c>
      <c r="M3630" s="13">
        <f>IF(OR($A3630="",AND($J3630="",$K3630="")),"",MIN($J3630,$K3630))</f>
        <v/>
      </c>
      <c r="Q3630">
        <f>IF($A3630="","",$D3630&amp;"("&amp;SUBSTITUTE($E3630," ","")&amp;")")</f>
        <v/>
      </c>
      <c r="R3630">
        <f>IF($A3630="","",$B3630&amp;" - "&amp;$C3630)</f>
        <v/>
      </c>
      <c r="S3630">
        <f>IF($A3630="","",$R3630&amp;"|"&amp;$Q3630)</f>
        <v/>
      </c>
      <c r="T3630">
        <f>IF($A3630="","",$S3630&amp;"|"&amp;$F3630)</f>
        <v/>
      </c>
      <c r="U3630">
        <f>IF($A3630="","",$R3630&amp;"("&amp;$E3630&amp;")")</f>
        <v/>
      </c>
      <c r="V3630">
        <f>IF($A3630="","",$F3630&amp;"|"&amp;$U3630&amp;"|"&amp;$D3630)</f>
        <v/>
      </c>
      <c r="W3630">
        <f>IF($T3630="","",IF($X3630&gt;N($X3629),$X3630,""))</f>
        <v/>
      </c>
      <c r="X3630">
        <f>IF($T3630="",N($X3629),IF(MATCH($T3630,$T$6:$T$6005,0)=ROW()-5,N($X3629)+1,N($X3629)))</f>
        <v/>
      </c>
      <c r="Z3630">
        <f>IF($V3630="","",IF($AA3630&gt;N($AA3629),$AA3630,""))</f>
        <v/>
      </c>
      <c r="AA3630">
        <f>IF($V3630="",N($AA3629),IF(MATCH($V3630,$V$6:$V$6005,0)=ROW()-5,N($AA3629)+1,N($AA3629)))</f>
        <v/>
      </c>
    </row>
    <row r="3631" ht="21" customHeight="1" s="66">
      <c r="A3631" s="56" t="n"/>
      <c r="B3631" s="57" t="n"/>
      <c r="C3631" s="57" t="n"/>
      <c r="D3631" s="57" t="n"/>
      <c r="E3631" s="56" t="n"/>
      <c r="F3631" s="57" t="n"/>
      <c r="G3631" s="57" t="n"/>
      <c r="H3631" s="56" t="n"/>
      <c r="I3631" s="56" t="n"/>
      <c r="J3631" s="58" t="n"/>
      <c r="K3631" s="58" t="n"/>
      <c r="L3631" s="13">
        <f>IF(OR($A3631="",AND($J3631="",$K3631="")),"",ROUND(N($J3631)-N($K3631),2))</f>
        <v/>
      </c>
      <c r="M3631" s="13">
        <f>IF(OR($A3631="",AND($J3631="",$K3631="")),"",MIN($J3631,$K3631))</f>
        <v/>
      </c>
      <c r="Q3631">
        <f>IF($A3631="","",$D3631&amp;"("&amp;SUBSTITUTE($E3631," ","")&amp;")")</f>
        <v/>
      </c>
      <c r="R3631">
        <f>IF($A3631="","",$B3631&amp;" - "&amp;$C3631)</f>
        <v/>
      </c>
      <c r="S3631">
        <f>IF($A3631="","",$R3631&amp;"|"&amp;$Q3631)</f>
        <v/>
      </c>
      <c r="T3631">
        <f>IF($A3631="","",$S3631&amp;"|"&amp;$F3631)</f>
        <v/>
      </c>
      <c r="U3631">
        <f>IF($A3631="","",$R3631&amp;"("&amp;$E3631&amp;")")</f>
        <v/>
      </c>
      <c r="V3631">
        <f>IF($A3631="","",$F3631&amp;"|"&amp;$U3631&amp;"|"&amp;$D3631)</f>
        <v/>
      </c>
      <c r="W3631">
        <f>IF($T3631="","",IF($X3631&gt;N($X3630),$X3631,""))</f>
        <v/>
      </c>
      <c r="X3631">
        <f>IF($T3631="",N($X3630),IF(MATCH($T3631,$T$6:$T$6005,0)=ROW()-5,N($X3630)+1,N($X3630)))</f>
        <v/>
      </c>
      <c r="Z3631">
        <f>IF($V3631="","",IF($AA3631&gt;N($AA3630),$AA3631,""))</f>
        <v/>
      </c>
      <c r="AA3631">
        <f>IF($V3631="",N($AA3630),IF(MATCH($V3631,$V$6:$V$6005,0)=ROW()-5,N($AA3630)+1,N($AA3630)))</f>
        <v/>
      </c>
    </row>
    <row r="3632" ht="21" customHeight="1" s="66">
      <c r="A3632" s="56" t="n"/>
      <c r="B3632" s="57" t="n"/>
      <c r="C3632" s="57" t="n"/>
      <c r="D3632" s="57" t="n"/>
      <c r="E3632" s="56" t="n"/>
      <c r="F3632" s="57" t="n"/>
      <c r="G3632" s="57" t="n"/>
      <c r="H3632" s="56" t="n"/>
      <c r="I3632" s="56" t="n"/>
      <c r="J3632" s="58" t="n"/>
      <c r="K3632" s="58" t="n"/>
      <c r="L3632" s="13">
        <f>IF(OR($A3632="",AND($J3632="",$K3632="")),"",ROUND(N($J3632)-N($K3632),2))</f>
        <v/>
      </c>
      <c r="M3632" s="13">
        <f>IF(OR($A3632="",AND($J3632="",$K3632="")),"",MIN($J3632,$K3632))</f>
        <v/>
      </c>
      <c r="Q3632">
        <f>IF($A3632="","",$D3632&amp;"("&amp;SUBSTITUTE($E3632," ","")&amp;")")</f>
        <v/>
      </c>
      <c r="R3632">
        <f>IF($A3632="","",$B3632&amp;" - "&amp;$C3632)</f>
        <v/>
      </c>
      <c r="S3632">
        <f>IF($A3632="","",$R3632&amp;"|"&amp;$Q3632)</f>
        <v/>
      </c>
      <c r="T3632">
        <f>IF($A3632="","",$S3632&amp;"|"&amp;$F3632)</f>
        <v/>
      </c>
      <c r="U3632">
        <f>IF($A3632="","",$R3632&amp;"("&amp;$E3632&amp;")")</f>
        <v/>
      </c>
      <c r="V3632">
        <f>IF($A3632="","",$F3632&amp;"|"&amp;$U3632&amp;"|"&amp;$D3632)</f>
        <v/>
      </c>
      <c r="W3632">
        <f>IF($T3632="","",IF($X3632&gt;N($X3631),$X3632,""))</f>
        <v/>
      </c>
      <c r="X3632">
        <f>IF($T3632="",N($X3631),IF(MATCH($T3632,$T$6:$T$6005,0)=ROW()-5,N($X3631)+1,N($X3631)))</f>
        <v/>
      </c>
      <c r="Z3632">
        <f>IF($V3632="","",IF($AA3632&gt;N($AA3631),$AA3632,""))</f>
        <v/>
      </c>
      <c r="AA3632">
        <f>IF($V3632="",N($AA3631),IF(MATCH($V3632,$V$6:$V$6005,0)=ROW()-5,N($AA3631)+1,N($AA3631)))</f>
        <v/>
      </c>
    </row>
    <row r="3633" ht="21" customHeight="1" s="66">
      <c r="A3633" s="56" t="n"/>
      <c r="B3633" s="57" t="n"/>
      <c r="C3633" s="57" t="n"/>
      <c r="D3633" s="57" t="n"/>
      <c r="E3633" s="56" t="n"/>
      <c r="F3633" s="57" t="n"/>
      <c r="G3633" s="57" t="n"/>
      <c r="H3633" s="56" t="n"/>
      <c r="I3633" s="56" t="n"/>
      <c r="J3633" s="58" t="n"/>
      <c r="K3633" s="58" t="n"/>
      <c r="L3633" s="13">
        <f>IF(OR($A3633="",AND($J3633="",$K3633="")),"",ROUND(N($J3633)-N($K3633),2))</f>
        <v/>
      </c>
      <c r="M3633" s="13">
        <f>IF(OR($A3633="",AND($J3633="",$K3633="")),"",MIN($J3633,$K3633))</f>
        <v/>
      </c>
      <c r="Q3633">
        <f>IF($A3633="","",$D3633&amp;"("&amp;SUBSTITUTE($E3633," ","")&amp;")")</f>
        <v/>
      </c>
      <c r="R3633">
        <f>IF($A3633="","",$B3633&amp;" - "&amp;$C3633)</f>
        <v/>
      </c>
      <c r="S3633">
        <f>IF($A3633="","",$R3633&amp;"|"&amp;$Q3633)</f>
        <v/>
      </c>
      <c r="T3633">
        <f>IF($A3633="","",$S3633&amp;"|"&amp;$F3633)</f>
        <v/>
      </c>
      <c r="U3633">
        <f>IF($A3633="","",$R3633&amp;"("&amp;$E3633&amp;")")</f>
        <v/>
      </c>
      <c r="V3633">
        <f>IF($A3633="","",$F3633&amp;"|"&amp;$U3633&amp;"|"&amp;$D3633)</f>
        <v/>
      </c>
      <c r="W3633">
        <f>IF($T3633="","",IF($X3633&gt;N($X3632),$X3633,""))</f>
        <v/>
      </c>
      <c r="X3633">
        <f>IF($T3633="",N($X3632),IF(MATCH($T3633,$T$6:$T$6005,0)=ROW()-5,N($X3632)+1,N($X3632)))</f>
        <v/>
      </c>
      <c r="Z3633">
        <f>IF($V3633="","",IF($AA3633&gt;N($AA3632),$AA3633,""))</f>
        <v/>
      </c>
      <c r="AA3633">
        <f>IF($V3633="",N($AA3632),IF(MATCH($V3633,$V$6:$V$6005,0)=ROW()-5,N($AA3632)+1,N($AA3632)))</f>
        <v/>
      </c>
    </row>
    <row r="3634" ht="21" customHeight="1" s="66">
      <c r="A3634" s="56" t="n"/>
      <c r="B3634" s="57" t="n"/>
      <c r="C3634" s="57" t="n"/>
      <c r="D3634" s="57" t="n"/>
      <c r="E3634" s="56" t="n"/>
      <c r="F3634" s="57" t="n"/>
      <c r="G3634" s="57" t="n"/>
      <c r="H3634" s="56" t="n"/>
      <c r="I3634" s="56" t="n"/>
      <c r="J3634" s="58" t="n"/>
      <c r="K3634" s="58" t="n"/>
      <c r="L3634" s="13">
        <f>IF(OR($A3634="",AND($J3634="",$K3634="")),"",ROUND(N($J3634)-N($K3634),2))</f>
        <v/>
      </c>
      <c r="M3634" s="13">
        <f>IF(OR($A3634="",AND($J3634="",$K3634="")),"",MIN($J3634,$K3634))</f>
        <v/>
      </c>
      <c r="Q3634">
        <f>IF($A3634="","",$D3634&amp;"("&amp;SUBSTITUTE($E3634," ","")&amp;")")</f>
        <v/>
      </c>
      <c r="R3634">
        <f>IF($A3634="","",$B3634&amp;" - "&amp;$C3634)</f>
        <v/>
      </c>
      <c r="S3634">
        <f>IF($A3634="","",$R3634&amp;"|"&amp;$Q3634)</f>
        <v/>
      </c>
      <c r="T3634">
        <f>IF($A3634="","",$S3634&amp;"|"&amp;$F3634)</f>
        <v/>
      </c>
      <c r="U3634">
        <f>IF($A3634="","",$R3634&amp;"("&amp;$E3634&amp;")")</f>
        <v/>
      </c>
      <c r="V3634">
        <f>IF($A3634="","",$F3634&amp;"|"&amp;$U3634&amp;"|"&amp;$D3634)</f>
        <v/>
      </c>
      <c r="W3634">
        <f>IF($T3634="","",IF($X3634&gt;N($X3633),$X3634,""))</f>
        <v/>
      </c>
      <c r="X3634">
        <f>IF($T3634="",N($X3633),IF(MATCH($T3634,$T$6:$T$6005,0)=ROW()-5,N($X3633)+1,N($X3633)))</f>
        <v/>
      </c>
      <c r="Z3634">
        <f>IF($V3634="","",IF($AA3634&gt;N($AA3633),$AA3634,""))</f>
        <v/>
      </c>
      <c r="AA3634">
        <f>IF($V3634="",N($AA3633),IF(MATCH($V3634,$V$6:$V$6005,0)=ROW()-5,N($AA3633)+1,N($AA3633)))</f>
        <v/>
      </c>
    </row>
    <row r="3635" ht="21" customHeight="1" s="66">
      <c r="A3635" s="56" t="n"/>
      <c r="B3635" s="57" t="n"/>
      <c r="C3635" s="57" t="n"/>
      <c r="D3635" s="57" t="n"/>
      <c r="E3635" s="56" t="n"/>
      <c r="F3635" s="57" t="n"/>
      <c r="G3635" s="57" t="n"/>
      <c r="H3635" s="56" t="n"/>
      <c r="I3635" s="56" t="n"/>
      <c r="J3635" s="58" t="n"/>
      <c r="K3635" s="58" t="n"/>
      <c r="L3635" s="13">
        <f>IF(OR($A3635="",AND($J3635="",$K3635="")),"",ROUND(N($J3635)-N($K3635),2))</f>
        <v/>
      </c>
      <c r="M3635" s="13">
        <f>IF(OR($A3635="",AND($J3635="",$K3635="")),"",MIN($J3635,$K3635))</f>
        <v/>
      </c>
      <c r="Q3635">
        <f>IF($A3635="","",$D3635&amp;"("&amp;SUBSTITUTE($E3635," ","")&amp;")")</f>
        <v/>
      </c>
      <c r="R3635">
        <f>IF($A3635="","",$B3635&amp;" - "&amp;$C3635)</f>
        <v/>
      </c>
      <c r="S3635">
        <f>IF($A3635="","",$R3635&amp;"|"&amp;$Q3635)</f>
        <v/>
      </c>
      <c r="T3635">
        <f>IF($A3635="","",$S3635&amp;"|"&amp;$F3635)</f>
        <v/>
      </c>
      <c r="U3635">
        <f>IF($A3635="","",$R3635&amp;"("&amp;$E3635&amp;")")</f>
        <v/>
      </c>
      <c r="V3635">
        <f>IF($A3635="","",$F3635&amp;"|"&amp;$U3635&amp;"|"&amp;$D3635)</f>
        <v/>
      </c>
      <c r="W3635">
        <f>IF($T3635="","",IF($X3635&gt;N($X3634),$X3635,""))</f>
        <v/>
      </c>
      <c r="X3635">
        <f>IF($T3635="",N($X3634),IF(MATCH($T3635,$T$6:$T$6005,0)=ROW()-5,N($X3634)+1,N($X3634)))</f>
        <v/>
      </c>
      <c r="Z3635">
        <f>IF($V3635="","",IF($AA3635&gt;N($AA3634),$AA3635,""))</f>
        <v/>
      </c>
      <c r="AA3635">
        <f>IF($V3635="",N($AA3634),IF(MATCH($V3635,$V$6:$V$6005,0)=ROW()-5,N($AA3634)+1,N($AA3634)))</f>
        <v/>
      </c>
    </row>
    <row r="3636" ht="21" customHeight="1" s="66">
      <c r="A3636" s="56" t="n"/>
      <c r="B3636" s="57" t="n"/>
      <c r="C3636" s="57" t="n"/>
      <c r="D3636" s="57" t="n"/>
      <c r="E3636" s="56" t="n"/>
      <c r="F3636" s="57" t="n"/>
      <c r="G3636" s="57" t="n"/>
      <c r="H3636" s="56" t="n"/>
      <c r="I3636" s="56" t="n"/>
      <c r="J3636" s="58" t="n"/>
      <c r="K3636" s="58" t="n"/>
      <c r="L3636" s="13">
        <f>IF(OR($A3636="",AND($J3636="",$K3636="")),"",ROUND(N($J3636)-N($K3636),2))</f>
        <v/>
      </c>
      <c r="M3636" s="13">
        <f>IF(OR($A3636="",AND($J3636="",$K3636="")),"",MIN($J3636,$K3636))</f>
        <v/>
      </c>
      <c r="Q3636">
        <f>IF($A3636="","",$D3636&amp;"("&amp;SUBSTITUTE($E3636," ","")&amp;")")</f>
        <v/>
      </c>
      <c r="R3636">
        <f>IF($A3636="","",$B3636&amp;" - "&amp;$C3636)</f>
        <v/>
      </c>
      <c r="S3636">
        <f>IF($A3636="","",$R3636&amp;"|"&amp;$Q3636)</f>
        <v/>
      </c>
      <c r="T3636">
        <f>IF($A3636="","",$S3636&amp;"|"&amp;$F3636)</f>
        <v/>
      </c>
      <c r="U3636">
        <f>IF($A3636="","",$R3636&amp;"("&amp;$E3636&amp;")")</f>
        <v/>
      </c>
      <c r="V3636">
        <f>IF($A3636="","",$F3636&amp;"|"&amp;$U3636&amp;"|"&amp;$D3636)</f>
        <v/>
      </c>
      <c r="W3636">
        <f>IF($T3636="","",IF($X3636&gt;N($X3635),$X3636,""))</f>
        <v/>
      </c>
      <c r="X3636">
        <f>IF($T3636="",N($X3635),IF(MATCH($T3636,$T$6:$T$6005,0)=ROW()-5,N($X3635)+1,N($X3635)))</f>
        <v/>
      </c>
      <c r="Z3636">
        <f>IF($V3636="","",IF($AA3636&gt;N($AA3635),$AA3636,""))</f>
        <v/>
      </c>
      <c r="AA3636">
        <f>IF($V3636="",N($AA3635),IF(MATCH($V3636,$V$6:$V$6005,0)=ROW()-5,N($AA3635)+1,N($AA3635)))</f>
        <v/>
      </c>
    </row>
    <row r="3637" ht="21" customHeight="1" s="66">
      <c r="A3637" s="56" t="n"/>
      <c r="B3637" s="57" t="n"/>
      <c r="C3637" s="57" t="n"/>
      <c r="D3637" s="57" t="n"/>
      <c r="E3637" s="56" t="n"/>
      <c r="F3637" s="57" t="n"/>
      <c r="G3637" s="57" t="n"/>
      <c r="H3637" s="56" t="n"/>
      <c r="I3637" s="56" t="n"/>
      <c r="J3637" s="58" t="n"/>
      <c r="K3637" s="58" t="n"/>
      <c r="L3637" s="13">
        <f>IF(OR($A3637="",AND($J3637="",$K3637="")),"",ROUND(N($J3637)-N($K3637),2))</f>
        <v/>
      </c>
      <c r="M3637" s="13">
        <f>IF(OR($A3637="",AND($J3637="",$K3637="")),"",MIN($J3637,$K3637))</f>
        <v/>
      </c>
      <c r="Q3637">
        <f>IF($A3637="","",$D3637&amp;"("&amp;SUBSTITUTE($E3637," ","")&amp;")")</f>
        <v/>
      </c>
      <c r="R3637">
        <f>IF($A3637="","",$B3637&amp;" - "&amp;$C3637)</f>
        <v/>
      </c>
      <c r="S3637">
        <f>IF($A3637="","",$R3637&amp;"|"&amp;$Q3637)</f>
        <v/>
      </c>
      <c r="T3637">
        <f>IF($A3637="","",$S3637&amp;"|"&amp;$F3637)</f>
        <v/>
      </c>
      <c r="U3637">
        <f>IF($A3637="","",$R3637&amp;"("&amp;$E3637&amp;")")</f>
        <v/>
      </c>
      <c r="V3637">
        <f>IF($A3637="","",$F3637&amp;"|"&amp;$U3637&amp;"|"&amp;$D3637)</f>
        <v/>
      </c>
      <c r="W3637">
        <f>IF($T3637="","",IF($X3637&gt;N($X3636),$X3637,""))</f>
        <v/>
      </c>
      <c r="X3637">
        <f>IF($T3637="",N($X3636),IF(MATCH($T3637,$T$6:$T$6005,0)=ROW()-5,N($X3636)+1,N($X3636)))</f>
        <v/>
      </c>
      <c r="Z3637">
        <f>IF($V3637="","",IF($AA3637&gt;N($AA3636),$AA3637,""))</f>
        <v/>
      </c>
      <c r="AA3637">
        <f>IF($V3637="",N($AA3636),IF(MATCH($V3637,$V$6:$V$6005,0)=ROW()-5,N($AA3636)+1,N($AA3636)))</f>
        <v/>
      </c>
    </row>
    <row r="3638" ht="21" customHeight="1" s="66">
      <c r="A3638" s="56" t="n"/>
      <c r="B3638" s="57" t="n"/>
      <c r="C3638" s="57" t="n"/>
      <c r="D3638" s="57" t="n"/>
      <c r="E3638" s="56" t="n"/>
      <c r="F3638" s="57" t="n"/>
      <c r="G3638" s="57" t="n"/>
      <c r="H3638" s="56" t="n"/>
      <c r="I3638" s="56" t="n"/>
      <c r="J3638" s="58" t="n"/>
      <c r="K3638" s="58" t="n"/>
      <c r="L3638" s="13">
        <f>IF(OR($A3638="",AND($J3638="",$K3638="")),"",ROUND(N($J3638)-N($K3638),2))</f>
        <v/>
      </c>
      <c r="M3638" s="13">
        <f>IF(OR($A3638="",AND($J3638="",$K3638="")),"",MIN($J3638,$K3638))</f>
        <v/>
      </c>
      <c r="Q3638">
        <f>IF($A3638="","",$D3638&amp;"("&amp;SUBSTITUTE($E3638," ","")&amp;")")</f>
        <v/>
      </c>
      <c r="R3638">
        <f>IF($A3638="","",$B3638&amp;" - "&amp;$C3638)</f>
        <v/>
      </c>
      <c r="S3638">
        <f>IF($A3638="","",$R3638&amp;"|"&amp;$Q3638)</f>
        <v/>
      </c>
      <c r="T3638">
        <f>IF($A3638="","",$S3638&amp;"|"&amp;$F3638)</f>
        <v/>
      </c>
      <c r="U3638">
        <f>IF($A3638="","",$R3638&amp;"("&amp;$E3638&amp;")")</f>
        <v/>
      </c>
      <c r="V3638">
        <f>IF($A3638="","",$F3638&amp;"|"&amp;$U3638&amp;"|"&amp;$D3638)</f>
        <v/>
      </c>
      <c r="W3638">
        <f>IF($T3638="","",IF($X3638&gt;N($X3637),$X3638,""))</f>
        <v/>
      </c>
      <c r="X3638">
        <f>IF($T3638="",N($X3637),IF(MATCH($T3638,$T$6:$T$6005,0)=ROW()-5,N($X3637)+1,N($X3637)))</f>
        <v/>
      </c>
      <c r="Z3638">
        <f>IF($V3638="","",IF($AA3638&gt;N($AA3637),$AA3638,""))</f>
        <v/>
      </c>
      <c r="AA3638">
        <f>IF($V3638="",N($AA3637),IF(MATCH($V3638,$V$6:$V$6005,0)=ROW()-5,N($AA3637)+1,N($AA3637)))</f>
        <v/>
      </c>
    </row>
    <row r="3639" ht="21" customHeight="1" s="66">
      <c r="A3639" s="56" t="n"/>
      <c r="B3639" s="57" t="n"/>
      <c r="C3639" s="57" t="n"/>
      <c r="D3639" s="57" t="n"/>
      <c r="E3639" s="56" t="n"/>
      <c r="F3639" s="57" t="n"/>
      <c r="G3639" s="57" t="n"/>
      <c r="H3639" s="56" t="n"/>
      <c r="I3639" s="56" t="n"/>
      <c r="J3639" s="58" t="n"/>
      <c r="K3639" s="58" t="n"/>
      <c r="L3639" s="13">
        <f>IF(OR($A3639="",AND($J3639="",$K3639="")),"",ROUND(N($J3639)-N($K3639),2))</f>
        <v/>
      </c>
      <c r="M3639" s="13">
        <f>IF(OR($A3639="",AND($J3639="",$K3639="")),"",MIN($J3639,$K3639))</f>
        <v/>
      </c>
      <c r="Q3639">
        <f>IF($A3639="","",$D3639&amp;"("&amp;SUBSTITUTE($E3639," ","")&amp;")")</f>
        <v/>
      </c>
      <c r="R3639">
        <f>IF($A3639="","",$B3639&amp;" - "&amp;$C3639)</f>
        <v/>
      </c>
      <c r="S3639">
        <f>IF($A3639="","",$R3639&amp;"|"&amp;$Q3639)</f>
        <v/>
      </c>
      <c r="T3639">
        <f>IF($A3639="","",$S3639&amp;"|"&amp;$F3639)</f>
        <v/>
      </c>
      <c r="U3639">
        <f>IF($A3639="","",$R3639&amp;"("&amp;$E3639&amp;")")</f>
        <v/>
      </c>
      <c r="V3639">
        <f>IF($A3639="","",$F3639&amp;"|"&amp;$U3639&amp;"|"&amp;$D3639)</f>
        <v/>
      </c>
      <c r="W3639">
        <f>IF($T3639="","",IF($X3639&gt;N($X3638),$X3639,""))</f>
        <v/>
      </c>
      <c r="X3639">
        <f>IF($T3639="",N($X3638),IF(MATCH($T3639,$T$6:$T$6005,0)=ROW()-5,N($X3638)+1,N($X3638)))</f>
        <v/>
      </c>
      <c r="Z3639">
        <f>IF($V3639="","",IF($AA3639&gt;N($AA3638),$AA3639,""))</f>
        <v/>
      </c>
      <c r="AA3639">
        <f>IF($V3639="",N($AA3638),IF(MATCH($V3639,$V$6:$V$6005,0)=ROW()-5,N($AA3638)+1,N($AA3638)))</f>
        <v/>
      </c>
    </row>
    <row r="3640" ht="21" customHeight="1" s="66">
      <c r="A3640" s="56" t="n"/>
      <c r="B3640" s="57" t="n"/>
      <c r="C3640" s="57" t="n"/>
      <c r="D3640" s="57" t="n"/>
      <c r="E3640" s="56" t="n"/>
      <c r="F3640" s="57" t="n"/>
      <c r="G3640" s="57" t="n"/>
      <c r="H3640" s="56" t="n"/>
      <c r="I3640" s="56" t="n"/>
      <c r="J3640" s="58" t="n"/>
      <c r="K3640" s="58" t="n"/>
      <c r="L3640" s="13">
        <f>IF(OR($A3640="",AND($J3640="",$K3640="")),"",ROUND(N($J3640)-N($K3640),2))</f>
        <v/>
      </c>
      <c r="M3640" s="13">
        <f>IF(OR($A3640="",AND($J3640="",$K3640="")),"",MIN($J3640,$K3640))</f>
        <v/>
      </c>
      <c r="Q3640">
        <f>IF($A3640="","",$D3640&amp;"("&amp;SUBSTITUTE($E3640," ","")&amp;")")</f>
        <v/>
      </c>
      <c r="R3640">
        <f>IF($A3640="","",$B3640&amp;" - "&amp;$C3640)</f>
        <v/>
      </c>
      <c r="S3640">
        <f>IF($A3640="","",$R3640&amp;"|"&amp;$Q3640)</f>
        <v/>
      </c>
      <c r="T3640">
        <f>IF($A3640="","",$S3640&amp;"|"&amp;$F3640)</f>
        <v/>
      </c>
      <c r="U3640">
        <f>IF($A3640="","",$R3640&amp;"("&amp;$E3640&amp;")")</f>
        <v/>
      </c>
      <c r="V3640">
        <f>IF($A3640="","",$F3640&amp;"|"&amp;$U3640&amp;"|"&amp;$D3640)</f>
        <v/>
      </c>
      <c r="W3640">
        <f>IF($T3640="","",IF($X3640&gt;N($X3639),$X3640,""))</f>
        <v/>
      </c>
      <c r="X3640">
        <f>IF($T3640="",N($X3639),IF(MATCH($T3640,$T$6:$T$6005,0)=ROW()-5,N($X3639)+1,N($X3639)))</f>
        <v/>
      </c>
      <c r="Z3640">
        <f>IF($V3640="","",IF($AA3640&gt;N($AA3639),$AA3640,""))</f>
        <v/>
      </c>
      <c r="AA3640">
        <f>IF($V3640="",N($AA3639),IF(MATCH($V3640,$V$6:$V$6005,0)=ROW()-5,N($AA3639)+1,N($AA3639)))</f>
        <v/>
      </c>
    </row>
    <row r="3641" ht="21" customHeight="1" s="66">
      <c r="A3641" s="56" t="n"/>
      <c r="B3641" s="57" t="n"/>
      <c r="C3641" s="57" t="n"/>
      <c r="D3641" s="57" t="n"/>
      <c r="E3641" s="56" t="n"/>
      <c r="F3641" s="57" t="n"/>
      <c r="G3641" s="57" t="n"/>
      <c r="H3641" s="56" t="n"/>
      <c r="I3641" s="56" t="n"/>
      <c r="J3641" s="58" t="n"/>
      <c r="K3641" s="58" t="n"/>
      <c r="L3641" s="13">
        <f>IF(OR($A3641="",AND($J3641="",$K3641="")),"",ROUND(N($J3641)-N($K3641),2))</f>
        <v/>
      </c>
      <c r="M3641" s="13">
        <f>IF(OR($A3641="",AND($J3641="",$K3641="")),"",MIN($J3641,$K3641))</f>
        <v/>
      </c>
      <c r="Q3641">
        <f>IF($A3641="","",$D3641&amp;"("&amp;SUBSTITUTE($E3641," ","")&amp;")")</f>
        <v/>
      </c>
      <c r="R3641">
        <f>IF($A3641="","",$B3641&amp;" - "&amp;$C3641)</f>
        <v/>
      </c>
      <c r="S3641">
        <f>IF($A3641="","",$R3641&amp;"|"&amp;$Q3641)</f>
        <v/>
      </c>
      <c r="T3641">
        <f>IF($A3641="","",$S3641&amp;"|"&amp;$F3641)</f>
        <v/>
      </c>
      <c r="U3641">
        <f>IF($A3641="","",$R3641&amp;"("&amp;$E3641&amp;")")</f>
        <v/>
      </c>
      <c r="V3641">
        <f>IF($A3641="","",$F3641&amp;"|"&amp;$U3641&amp;"|"&amp;$D3641)</f>
        <v/>
      </c>
      <c r="W3641">
        <f>IF($T3641="","",IF($X3641&gt;N($X3640),$X3641,""))</f>
        <v/>
      </c>
      <c r="X3641">
        <f>IF($T3641="",N($X3640),IF(MATCH($T3641,$T$6:$T$6005,0)=ROW()-5,N($X3640)+1,N($X3640)))</f>
        <v/>
      </c>
      <c r="Z3641">
        <f>IF($V3641="","",IF($AA3641&gt;N($AA3640),$AA3641,""))</f>
        <v/>
      </c>
      <c r="AA3641">
        <f>IF($V3641="",N($AA3640),IF(MATCH($V3641,$V$6:$V$6005,0)=ROW()-5,N($AA3640)+1,N($AA3640)))</f>
        <v/>
      </c>
    </row>
    <row r="3642" ht="21" customHeight="1" s="66">
      <c r="A3642" s="56" t="n"/>
      <c r="B3642" s="57" t="n"/>
      <c r="C3642" s="57" t="n"/>
      <c r="D3642" s="57" t="n"/>
      <c r="E3642" s="56" t="n"/>
      <c r="F3642" s="57" t="n"/>
      <c r="G3642" s="57" t="n"/>
      <c r="H3642" s="56" t="n"/>
      <c r="I3642" s="56" t="n"/>
      <c r="J3642" s="58" t="n"/>
      <c r="K3642" s="58" t="n"/>
      <c r="L3642" s="13">
        <f>IF(OR($A3642="",AND($J3642="",$K3642="")),"",ROUND(N($J3642)-N($K3642),2))</f>
        <v/>
      </c>
      <c r="M3642" s="13">
        <f>IF(OR($A3642="",AND($J3642="",$K3642="")),"",MIN($J3642,$K3642))</f>
        <v/>
      </c>
      <c r="Q3642">
        <f>IF($A3642="","",$D3642&amp;"("&amp;SUBSTITUTE($E3642," ","")&amp;")")</f>
        <v/>
      </c>
      <c r="R3642">
        <f>IF($A3642="","",$B3642&amp;" - "&amp;$C3642)</f>
        <v/>
      </c>
      <c r="S3642">
        <f>IF($A3642="","",$R3642&amp;"|"&amp;$Q3642)</f>
        <v/>
      </c>
      <c r="T3642">
        <f>IF($A3642="","",$S3642&amp;"|"&amp;$F3642)</f>
        <v/>
      </c>
      <c r="U3642">
        <f>IF($A3642="","",$R3642&amp;"("&amp;$E3642&amp;")")</f>
        <v/>
      </c>
      <c r="V3642">
        <f>IF($A3642="","",$F3642&amp;"|"&amp;$U3642&amp;"|"&amp;$D3642)</f>
        <v/>
      </c>
      <c r="W3642">
        <f>IF($T3642="","",IF($X3642&gt;N($X3641),$X3642,""))</f>
        <v/>
      </c>
      <c r="X3642">
        <f>IF($T3642="",N($X3641),IF(MATCH($T3642,$T$6:$T$6005,0)=ROW()-5,N($X3641)+1,N($X3641)))</f>
        <v/>
      </c>
      <c r="Z3642">
        <f>IF($V3642="","",IF($AA3642&gt;N($AA3641),$AA3642,""))</f>
        <v/>
      </c>
      <c r="AA3642">
        <f>IF($V3642="",N($AA3641),IF(MATCH($V3642,$V$6:$V$6005,0)=ROW()-5,N($AA3641)+1,N($AA3641)))</f>
        <v/>
      </c>
    </row>
    <row r="3643" ht="21" customHeight="1" s="66">
      <c r="A3643" s="56" t="n"/>
      <c r="B3643" s="57" t="n"/>
      <c r="C3643" s="57" t="n"/>
      <c r="D3643" s="57" t="n"/>
      <c r="E3643" s="56" t="n"/>
      <c r="F3643" s="57" t="n"/>
      <c r="G3643" s="57" t="n"/>
      <c r="H3643" s="56" t="n"/>
      <c r="I3643" s="56" t="n"/>
      <c r="J3643" s="58" t="n"/>
      <c r="K3643" s="58" t="n"/>
      <c r="L3643" s="13">
        <f>IF(OR($A3643="",AND($J3643="",$K3643="")),"",ROUND(N($J3643)-N($K3643),2))</f>
        <v/>
      </c>
      <c r="M3643" s="13">
        <f>IF(OR($A3643="",AND($J3643="",$K3643="")),"",MIN($J3643,$K3643))</f>
        <v/>
      </c>
      <c r="Q3643">
        <f>IF($A3643="","",$D3643&amp;"("&amp;SUBSTITUTE($E3643," ","")&amp;")")</f>
        <v/>
      </c>
      <c r="R3643">
        <f>IF($A3643="","",$B3643&amp;" - "&amp;$C3643)</f>
        <v/>
      </c>
      <c r="S3643">
        <f>IF($A3643="","",$R3643&amp;"|"&amp;$Q3643)</f>
        <v/>
      </c>
      <c r="T3643">
        <f>IF($A3643="","",$S3643&amp;"|"&amp;$F3643)</f>
        <v/>
      </c>
      <c r="U3643">
        <f>IF($A3643="","",$R3643&amp;"("&amp;$E3643&amp;")")</f>
        <v/>
      </c>
      <c r="V3643">
        <f>IF($A3643="","",$F3643&amp;"|"&amp;$U3643&amp;"|"&amp;$D3643)</f>
        <v/>
      </c>
      <c r="W3643">
        <f>IF($T3643="","",IF($X3643&gt;N($X3642),$X3643,""))</f>
        <v/>
      </c>
      <c r="X3643">
        <f>IF($T3643="",N($X3642),IF(MATCH($T3643,$T$6:$T$6005,0)=ROW()-5,N($X3642)+1,N($X3642)))</f>
        <v/>
      </c>
      <c r="Z3643">
        <f>IF($V3643="","",IF($AA3643&gt;N($AA3642),$AA3643,""))</f>
        <v/>
      </c>
      <c r="AA3643">
        <f>IF($V3643="",N($AA3642),IF(MATCH($V3643,$V$6:$V$6005,0)=ROW()-5,N($AA3642)+1,N($AA3642)))</f>
        <v/>
      </c>
    </row>
    <row r="3644" ht="21" customHeight="1" s="66">
      <c r="A3644" s="56" t="n"/>
      <c r="B3644" s="57" t="n"/>
      <c r="C3644" s="57" t="n"/>
      <c r="D3644" s="57" t="n"/>
      <c r="E3644" s="56" t="n"/>
      <c r="F3644" s="57" t="n"/>
      <c r="G3644" s="57" t="n"/>
      <c r="H3644" s="56" t="n"/>
      <c r="I3644" s="56" t="n"/>
      <c r="J3644" s="58" t="n"/>
      <c r="K3644" s="58" t="n"/>
      <c r="L3644" s="13">
        <f>IF(OR($A3644="",AND($J3644="",$K3644="")),"",ROUND(N($J3644)-N($K3644),2))</f>
        <v/>
      </c>
      <c r="M3644" s="13">
        <f>IF(OR($A3644="",AND($J3644="",$K3644="")),"",MIN($J3644,$K3644))</f>
        <v/>
      </c>
      <c r="Q3644">
        <f>IF($A3644="","",$D3644&amp;"("&amp;SUBSTITUTE($E3644," ","")&amp;")")</f>
        <v/>
      </c>
      <c r="R3644">
        <f>IF($A3644="","",$B3644&amp;" - "&amp;$C3644)</f>
        <v/>
      </c>
      <c r="S3644">
        <f>IF($A3644="","",$R3644&amp;"|"&amp;$Q3644)</f>
        <v/>
      </c>
      <c r="T3644">
        <f>IF($A3644="","",$S3644&amp;"|"&amp;$F3644)</f>
        <v/>
      </c>
      <c r="U3644">
        <f>IF($A3644="","",$R3644&amp;"("&amp;$E3644&amp;")")</f>
        <v/>
      </c>
      <c r="V3644">
        <f>IF($A3644="","",$F3644&amp;"|"&amp;$U3644&amp;"|"&amp;$D3644)</f>
        <v/>
      </c>
      <c r="W3644">
        <f>IF($T3644="","",IF($X3644&gt;N($X3643),$X3644,""))</f>
        <v/>
      </c>
      <c r="X3644">
        <f>IF($T3644="",N($X3643),IF(MATCH($T3644,$T$6:$T$6005,0)=ROW()-5,N($X3643)+1,N($X3643)))</f>
        <v/>
      </c>
      <c r="Z3644">
        <f>IF($V3644="","",IF($AA3644&gt;N($AA3643),$AA3644,""))</f>
        <v/>
      </c>
      <c r="AA3644">
        <f>IF($V3644="",N($AA3643),IF(MATCH($V3644,$V$6:$V$6005,0)=ROW()-5,N($AA3643)+1,N($AA3643)))</f>
        <v/>
      </c>
    </row>
    <row r="3645" ht="21" customHeight="1" s="66">
      <c r="A3645" s="56" t="n"/>
      <c r="B3645" s="57" t="n"/>
      <c r="C3645" s="57" t="n"/>
      <c r="D3645" s="57" t="n"/>
      <c r="E3645" s="56" t="n"/>
      <c r="F3645" s="57" t="n"/>
      <c r="G3645" s="57" t="n"/>
      <c r="H3645" s="56" t="n"/>
      <c r="I3645" s="56" t="n"/>
      <c r="J3645" s="58" t="n"/>
      <c r="K3645" s="58" t="n"/>
      <c r="L3645" s="13">
        <f>IF(OR($A3645="",AND($J3645="",$K3645="")),"",ROUND(N($J3645)-N($K3645),2))</f>
        <v/>
      </c>
      <c r="M3645" s="13">
        <f>IF(OR($A3645="",AND($J3645="",$K3645="")),"",MIN($J3645,$K3645))</f>
        <v/>
      </c>
      <c r="Q3645">
        <f>IF($A3645="","",$D3645&amp;"("&amp;SUBSTITUTE($E3645," ","")&amp;")")</f>
        <v/>
      </c>
      <c r="R3645">
        <f>IF($A3645="","",$B3645&amp;" - "&amp;$C3645)</f>
        <v/>
      </c>
      <c r="S3645">
        <f>IF($A3645="","",$R3645&amp;"|"&amp;$Q3645)</f>
        <v/>
      </c>
      <c r="T3645">
        <f>IF($A3645="","",$S3645&amp;"|"&amp;$F3645)</f>
        <v/>
      </c>
      <c r="U3645">
        <f>IF($A3645="","",$R3645&amp;"("&amp;$E3645&amp;")")</f>
        <v/>
      </c>
      <c r="V3645">
        <f>IF($A3645="","",$F3645&amp;"|"&amp;$U3645&amp;"|"&amp;$D3645)</f>
        <v/>
      </c>
      <c r="W3645">
        <f>IF($T3645="","",IF($X3645&gt;N($X3644),$X3645,""))</f>
        <v/>
      </c>
      <c r="X3645">
        <f>IF($T3645="",N($X3644),IF(MATCH($T3645,$T$6:$T$6005,0)=ROW()-5,N($X3644)+1,N($X3644)))</f>
        <v/>
      </c>
      <c r="Z3645">
        <f>IF($V3645="","",IF($AA3645&gt;N($AA3644),$AA3645,""))</f>
        <v/>
      </c>
      <c r="AA3645">
        <f>IF($V3645="",N($AA3644),IF(MATCH($V3645,$V$6:$V$6005,0)=ROW()-5,N($AA3644)+1,N($AA3644)))</f>
        <v/>
      </c>
    </row>
    <row r="3646" ht="21" customHeight="1" s="66">
      <c r="A3646" s="56" t="n"/>
      <c r="B3646" s="57" t="n"/>
      <c r="C3646" s="57" t="n"/>
      <c r="D3646" s="57" t="n"/>
      <c r="E3646" s="56" t="n"/>
      <c r="F3646" s="57" t="n"/>
      <c r="G3646" s="57" t="n"/>
      <c r="H3646" s="56" t="n"/>
      <c r="I3646" s="56" t="n"/>
      <c r="J3646" s="58" t="n"/>
      <c r="K3646" s="58" t="n"/>
      <c r="L3646" s="13">
        <f>IF(OR($A3646="",AND($J3646="",$K3646="")),"",ROUND(N($J3646)-N($K3646),2))</f>
        <v/>
      </c>
      <c r="M3646" s="13">
        <f>IF(OR($A3646="",AND($J3646="",$K3646="")),"",MIN($J3646,$K3646))</f>
        <v/>
      </c>
      <c r="Q3646">
        <f>IF($A3646="","",$D3646&amp;"("&amp;SUBSTITUTE($E3646," ","")&amp;")")</f>
        <v/>
      </c>
      <c r="R3646">
        <f>IF($A3646="","",$B3646&amp;" - "&amp;$C3646)</f>
        <v/>
      </c>
      <c r="S3646">
        <f>IF($A3646="","",$R3646&amp;"|"&amp;$Q3646)</f>
        <v/>
      </c>
      <c r="T3646">
        <f>IF($A3646="","",$S3646&amp;"|"&amp;$F3646)</f>
        <v/>
      </c>
      <c r="U3646">
        <f>IF($A3646="","",$R3646&amp;"("&amp;$E3646&amp;")")</f>
        <v/>
      </c>
      <c r="V3646">
        <f>IF($A3646="","",$F3646&amp;"|"&amp;$U3646&amp;"|"&amp;$D3646)</f>
        <v/>
      </c>
      <c r="W3646">
        <f>IF($T3646="","",IF($X3646&gt;N($X3645),$X3646,""))</f>
        <v/>
      </c>
      <c r="X3646">
        <f>IF($T3646="",N($X3645),IF(MATCH($T3646,$T$6:$T$6005,0)=ROW()-5,N($X3645)+1,N($X3645)))</f>
        <v/>
      </c>
      <c r="Z3646">
        <f>IF($V3646="","",IF($AA3646&gt;N($AA3645),$AA3646,""))</f>
        <v/>
      </c>
      <c r="AA3646">
        <f>IF($V3646="",N($AA3645),IF(MATCH($V3646,$V$6:$V$6005,0)=ROW()-5,N($AA3645)+1,N($AA3645)))</f>
        <v/>
      </c>
    </row>
    <row r="3647" ht="21" customHeight="1" s="66">
      <c r="A3647" s="56" t="n"/>
      <c r="B3647" s="57" t="n"/>
      <c r="C3647" s="57" t="n"/>
      <c r="D3647" s="57" t="n"/>
      <c r="E3647" s="56" t="n"/>
      <c r="F3647" s="57" t="n"/>
      <c r="G3647" s="57" t="n"/>
      <c r="H3647" s="56" t="n"/>
      <c r="I3647" s="56" t="n"/>
      <c r="J3647" s="58" t="n"/>
      <c r="K3647" s="58" t="n"/>
      <c r="L3647" s="13">
        <f>IF(OR($A3647="",AND($J3647="",$K3647="")),"",ROUND(N($J3647)-N($K3647),2))</f>
        <v/>
      </c>
      <c r="M3647" s="13">
        <f>IF(OR($A3647="",AND($J3647="",$K3647="")),"",MIN($J3647,$K3647))</f>
        <v/>
      </c>
      <c r="Q3647">
        <f>IF($A3647="","",$D3647&amp;"("&amp;SUBSTITUTE($E3647," ","")&amp;")")</f>
        <v/>
      </c>
      <c r="R3647">
        <f>IF($A3647="","",$B3647&amp;" - "&amp;$C3647)</f>
        <v/>
      </c>
      <c r="S3647">
        <f>IF($A3647="","",$R3647&amp;"|"&amp;$Q3647)</f>
        <v/>
      </c>
      <c r="T3647">
        <f>IF($A3647="","",$S3647&amp;"|"&amp;$F3647)</f>
        <v/>
      </c>
      <c r="U3647">
        <f>IF($A3647="","",$R3647&amp;"("&amp;$E3647&amp;")")</f>
        <v/>
      </c>
      <c r="V3647">
        <f>IF($A3647="","",$F3647&amp;"|"&amp;$U3647&amp;"|"&amp;$D3647)</f>
        <v/>
      </c>
      <c r="W3647">
        <f>IF($T3647="","",IF($X3647&gt;N($X3646),$X3647,""))</f>
        <v/>
      </c>
      <c r="X3647">
        <f>IF($T3647="",N($X3646),IF(MATCH($T3647,$T$6:$T$6005,0)=ROW()-5,N($X3646)+1,N($X3646)))</f>
        <v/>
      </c>
      <c r="Z3647">
        <f>IF($V3647="","",IF($AA3647&gt;N($AA3646),$AA3647,""))</f>
        <v/>
      </c>
      <c r="AA3647">
        <f>IF($V3647="",N($AA3646),IF(MATCH($V3647,$V$6:$V$6005,0)=ROW()-5,N($AA3646)+1,N($AA3646)))</f>
        <v/>
      </c>
    </row>
    <row r="3648" ht="21" customHeight="1" s="66">
      <c r="A3648" s="56" t="n"/>
      <c r="B3648" s="57" t="n"/>
      <c r="C3648" s="57" t="n"/>
      <c r="D3648" s="57" t="n"/>
      <c r="E3648" s="56" t="n"/>
      <c r="F3648" s="57" t="n"/>
      <c r="G3648" s="57" t="n"/>
      <c r="H3648" s="56" t="n"/>
      <c r="I3648" s="56" t="n"/>
      <c r="J3648" s="58" t="n"/>
      <c r="K3648" s="58" t="n"/>
      <c r="L3648" s="13">
        <f>IF(OR($A3648="",AND($J3648="",$K3648="")),"",ROUND(N($J3648)-N($K3648),2))</f>
        <v/>
      </c>
      <c r="M3648" s="13">
        <f>IF(OR($A3648="",AND($J3648="",$K3648="")),"",MIN($J3648,$K3648))</f>
        <v/>
      </c>
      <c r="Q3648">
        <f>IF($A3648="","",$D3648&amp;"("&amp;SUBSTITUTE($E3648," ","")&amp;")")</f>
        <v/>
      </c>
      <c r="R3648">
        <f>IF($A3648="","",$B3648&amp;" - "&amp;$C3648)</f>
        <v/>
      </c>
      <c r="S3648">
        <f>IF($A3648="","",$R3648&amp;"|"&amp;$Q3648)</f>
        <v/>
      </c>
      <c r="T3648">
        <f>IF($A3648="","",$S3648&amp;"|"&amp;$F3648)</f>
        <v/>
      </c>
      <c r="U3648">
        <f>IF($A3648="","",$R3648&amp;"("&amp;$E3648&amp;")")</f>
        <v/>
      </c>
      <c r="V3648">
        <f>IF($A3648="","",$F3648&amp;"|"&amp;$U3648&amp;"|"&amp;$D3648)</f>
        <v/>
      </c>
      <c r="W3648">
        <f>IF($T3648="","",IF($X3648&gt;N($X3647),$X3648,""))</f>
        <v/>
      </c>
      <c r="X3648">
        <f>IF($T3648="",N($X3647),IF(MATCH($T3648,$T$6:$T$6005,0)=ROW()-5,N($X3647)+1,N($X3647)))</f>
        <v/>
      </c>
      <c r="Z3648">
        <f>IF($V3648="","",IF($AA3648&gt;N($AA3647),$AA3648,""))</f>
        <v/>
      </c>
      <c r="AA3648">
        <f>IF($V3648="",N($AA3647),IF(MATCH($V3648,$V$6:$V$6005,0)=ROW()-5,N($AA3647)+1,N($AA3647)))</f>
        <v/>
      </c>
    </row>
    <row r="3649" ht="21" customHeight="1" s="66">
      <c r="A3649" s="56" t="n"/>
      <c r="B3649" s="57" t="n"/>
      <c r="C3649" s="57" t="n"/>
      <c r="D3649" s="57" t="n"/>
      <c r="E3649" s="56" t="n"/>
      <c r="F3649" s="57" t="n"/>
      <c r="G3649" s="57" t="n"/>
      <c r="H3649" s="56" t="n"/>
      <c r="I3649" s="56" t="n"/>
      <c r="J3649" s="58" t="n"/>
      <c r="K3649" s="58" t="n"/>
      <c r="L3649" s="13">
        <f>IF(OR($A3649="",AND($J3649="",$K3649="")),"",ROUND(N($J3649)-N($K3649),2))</f>
        <v/>
      </c>
      <c r="M3649" s="13">
        <f>IF(OR($A3649="",AND($J3649="",$K3649="")),"",MIN($J3649,$K3649))</f>
        <v/>
      </c>
      <c r="Q3649">
        <f>IF($A3649="","",$D3649&amp;"("&amp;SUBSTITUTE($E3649," ","")&amp;")")</f>
        <v/>
      </c>
      <c r="R3649">
        <f>IF($A3649="","",$B3649&amp;" - "&amp;$C3649)</f>
        <v/>
      </c>
      <c r="S3649">
        <f>IF($A3649="","",$R3649&amp;"|"&amp;$Q3649)</f>
        <v/>
      </c>
      <c r="T3649">
        <f>IF($A3649="","",$S3649&amp;"|"&amp;$F3649)</f>
        <v/>
      </c>
      <c r="U3649">
        <f>IF($A3649="","",$R3649&amp;"("&amp;$E3649&amp;")")</f>
        <v/>
      </c>
      <c r="V3649">
        <f>IF($A3649="","",$F3649&amp;"|"&amp;$U3649&amp;"|"&amp;$D3649)</f>
        <v/>
      </c>
      <c r="W3649">
        <f>IF($T3649="","",IF($X3649&gt;N($X3648),$X3649,""))</f>
        <v/>
      </c>
      <c r="X3649">
        <f>IF($T3649="",N($X3648),IF(MATCH($T3649,$T$6:$T$6005,0)=ROW()-5,N($X3648)+1,N($X3648)))</f>
        <v/>
      </c>
      <c r="Z3649">
        <f>IF($V3649="","",IF($AA3649&gt;N($AA3648),$AA3649,""))</f>
        <v/>
      </c>
      <c r="AA3649">
        <f>IF($V3649="",N($AA3648),IF(MATCH($V3649,$V$6:$V$6005,0)=ROW()-5,N($AA3648)+1,N($AA3648)))</f>
        <v/>
      </c>
    </row>
    <row r="3650" ht="21" customHeight="1" s="66">
      <c r="A3650" s="56" t="n"/>
      <c r="B3650" s="57" t="n"/>
      <c r="C3650" s="57" t="n"/>
      <c r="D3650" s="57" t="n"/>
      <c r="E3650" s="56" t="n"/>
      <c r="F3650" s="57" t="n"/>
      <c r="G3650" s="57" t="n"/>
      <c r="H3650" s="56" t="n"/>
      <c r="I3650" s="56" t="n"/>
      <c r="J3650" s="58" t="n"/>
      <c r="K3650" s="58" t="n"/>
      <c r="L3650" s="13">
        <f>IF(OR($A3650="",AND($J3650="",$K3650="")),"",ROUND(N($J3650)-N($K3650),2))</f>
        <v/>
      </c>
      <c r="M3650" s="13">
        <f>IF(OR($A3650="",AND($J3650="",$K3650="")),"",MIN($J3650,$K3650))</f>
        <v/>
      </c>
      <c r="Q3650">
        <f>IF($A3650="","",$D3650&amp;"("&amp;SUBSTITUTE($E3650," ","")&amp;")")</f>
        <v/>
      </c>
      <c r="R3650">
        <f>IF($A3650="","",$B3650&amp;" - "&amp;$C3650)</f>
        <v/>
      </c>
      <c r="S3650">
        <f>IF($A3650="","",$R3650&amp;"|"&amp;$Q3650)</f>
        <v/>
      </c>
      <c r="T3650">
        <f>IF($A3650="","",$S3650&amp;"|"&amp;$F3650)</f>
        <v/>
      </c>
      <c r="U3650">
        <f>IF($A3650="","",$R3650&amp;"("&amp;$E3650&amp;")")</f>
        <v/>
      </c>
      <c r="V3650">
        <f>IF($A3650="","",$F3650&amp;"|"&amp;$U3650&amp;"|"&amp;$D3650)</f>
        <v/>
      </c>
      <c r="W3650">
        <f>IF($T3650="","",IF($X3650&gt;N($X3649),$X3650,""))</f>
        <v/>
      </c>
      <c r="X3650">
        <f>IF($T3650="",N($X3649),IF(MATCH($T3650,$T$6:$T$6005,0)=ROW()-5,N($X3649)+1,N($X3649)))</f>
        <v/>
      </c>
      <c r="Z3650">
        <f>IF($V3650="","",IF($AA3650&gt;N($AA3649),$AA3650,""))</f>
        <v/>
      </c>
      <c r="AA3650">
        <f>IF($V3650="",N($AA3649),IF(MATCH($V3650,$V$6:$V$6005,0)=ROW()-5,N($AA3649)+1,N($AA3649)))</f>
        <v/>
      </c>
    </row>
    <row r="3651" ht="21" customHeight="1" s="66">
      <c r="A3651" s="56" t="n"/>
      <c r="B3651" s="57" t="n"/>
      <c r="C3651" s="57" t="n"/>
      <c r="D3651" s="57" t="n"/>
      <c r="E3651" s="56" t="n"/>
      <c r="F3651" s="57" t="n"/>
      <c r="G3651" s="57" t="n"/>
      <c r="H3651" s="56" t="n"/>
      <c r="I3651" s="56" t="n"/>
      <c r="J3651" s="58" t="n"/>
      <c r="K3651" s="58" t="n"/>
      <c r="L3651" s="13">
        <f>IF(OR($A3651="",AND($J3651="",$K3651="")),"",ROUND(N($J3651)-N($K3651),2))</f>
        <v/>
      </c>
      <c r="M3651" s="13">
        <f>IF(OR($A3651="",AND($J3651="",$K3651="")),"",MIN($J3651,$K3651))</f>
        <v/>
      </c>
      <c r="Q3651">
        <f>IF($A3651="","",$D3651&amp;"("&amp;SUBSTITUTE($E3651," ","")&amp;")")</f>
        <v/>
      </c>
      <c r="R3651">
        <f>IF($A3651="","",$B3651&amp;" - "&amp;$C3651)</f>
        <v/>
      </c>
      <c r="S3651">
        <f>IF($A3651="","",$R3651&amp;"|"&amp;$Q3651)</f>
        <v/>
      </c>
      <c r="T3651">
        <f>IF($A3651="","",$S3651&amp;"|"&amp;$F3651)</f>
        <v/>
      </c>
      <c r="U3651">
        <f>IF($A3651="","",$R3651&amp;"("&amp;$E3651&amp;")")</f>
        <v/>
      </c>
      <c r="V3651">
        <f>IF($A3651="","",$F3651&amp;"|"&amp;$U3651&amp;"|"&amp;$D3651)</f>
        <v/>
      </c>
      <c r="W3651">
        <f>IF($T3651="","",IF($X3651&gt;N($X3650),$X3651,""))</f>
        <v/>
      </c>
      <c r="X3651">
        <f>IF($T3651="",N($X3650),IF(MATCH($T3651,$T$6:$T$6005,0)=ROW()-5,N($X3650)+1,N($X3650)))</f>
        <v/>
      </c>
      <c r="Z3651">
        <f>IF($V3651="","",IF($AA3651&gt;N($AA3650),$AA3651,""))</f>
        <v/>
      </c>
      <c r="AA3651">
        <f>IF($V3651="",N($AA3650),IF(MATCH($V3651,$V$6:$V$6005,0)=ROW()-5,N($AA3650)+1,N($AA3650)))</f>
        <v/>
      </c>
    </row>
    <row r="3652" ht="21" customHeight="1" s="66">
      <c r="A3652" s="56" t="n"/>
      <c r="B3652" s="57" t="n"/>
      <c r="C3652" s="57" t="n"/>
      <c r="D3652" s="57" t="n"/>
      <c r="E3652" s="56" t="n"/>
      <c r="F3652" s="57" t="n"/>
      <c r="G3652" s="57" t="n"/>
      <c r="H3652" s="56" t="n"/>
      <c r="I3652" s="56" t="n"/>
      <c r="J3652" s="58" t="n"/>
      <c r="K3652" s="58" t="n"/>
      <c r="L3652" s="13">
        <f>IF(OR($A3652="",AND($J3652="",$K3652="")),"",ROUND(N($J3652)-N($K3652),2))</f>
        <v/>
      </c>
      <c r="M3652" s="13">
        <f>IF(OR($A3652="",AND($J3652="",$K3652="")),"",MIN($J3652,$K3652))</f>
        <v/>
      </c>
      <c r="Q3652">
        <f>IF($A3652="","",$D3652&amp;"("&amp;SUBSTITUTE($E3652," ","")&amp;")")</f>
        <v/>
      </c>
      <c r="R3652">
        <f>IF($A3652="","",$B3652&amp;" - "&amp;$C3652)</f>
        <v/>
      </c>
      <c r="S3652">
        <f>IF($A3652="","",$R3652&amp;"|"&amp;$Q3652)</f>
        <v/>
      </c>
      <c r="T3652">
        <f>IF($A3652="","",$S3652&amp;"|"&amp;$F3652)</f>
        <v/>
      </c>
      <c r="U3652">
        <f>IF($A3652="","",$R3652&amp;"("&amp;$E3652&amp;")")</f>
        <v/>
      </c>
      <c r="V3652">
        <f>IF($A3652="","",$F3652&amp;"|"&amp;$U3652&amp;"|"&amp;$D3652)</f>
        <v/>
      </c>
      <c r="W3652">
        <f>IF($T3652="","",IF($X3652&gt;N($X3651),$X3652,""))</f>
        <v/>
      </c>
      <c r="X3652">
        <f>IF($T3652="",N($X3651),IF(MATCH($T3652,$T$6:$T$6005,0)=ROW()-5,N($X3651)+1,N($X3651)))</f>
        <v/>
      </c>
      <c r="Z3652">
        <f>IF($V3652="","",IF($AA3652&gt;N($AA3651),$AA3652,""))</f>
        <v/>
      </c>
      <c r="AA3652">
        <f>IF($V3652="",N($AA3651),IF(MATCH($V3652,$V$6:$V$6005,0)=ROW()-5,N($AA3651)+1,N($AA3651)))</f>
        <v/>
      </c>
    </row>
    <row r="3653" ht="21" customHeight="1" s="66">
      <c r="A3653" s="56" t="n"/>
      <c r="B3653" s="57" t="n"/>
      <c r="C3653" s="57" t="n"/>
      <c r="D3653" s="57" t="n"/>
      <c r="E3653" s="56" t="n"/>
      <c r="F3653" s="57" t="n"/>
      <c r="G3653" s="57" t="n"/>
      <c r="H3653" s="56" t="n"/>
      <c r="I3653" s="56" t="n"/>
      <c r="J3653" s="58" t="n"/>
      <c r="K3653" s="58" t="n"/>
      <c r="L3653" s="13">
        <f>IF(OR($A3653="",AND($J3653="",$K3653="")),"",ROUND(N($J3653)-N($K3653),2))</f>
        <v/>
      </c>
      <c r="M3653" s="13">
        <f>IF(OR($A3653="",AND($J3653="",$K3653="")),"",MIN($J3653,$K3653))</f>
        <v/>
      </c>
      <c r="Q3653">
        <f>IF($A3653="","",$D3653&amp;"("&amp;SUBSTITUTE($E3653," ","")&amp;")")</f>
        <v/>
      </c>
      <c r="R3653">
        <f>IF($A3653="","",$B3653&amp;" - "&amp;$C3653)</f>
        <v/>
      </c>
      <c r="S3653">
        <f>IF($A3653="","",$R3653&amp;"|"&amp;$Q3653)</f>
        <v/>
      </c>
      <c r="T3653">
        <f>IF($A3653="","",$S3653&amp;"|"&amp;$F3653)</f>
        <v/>
      </c>
      <c r="U3653">
        <f>IF($A3653="","",$R3653&amp;"("&amp;$E3653&amp;")")</f>
        <v/>
      </c>
      <c r="V3653">
        <f>IF($A3653="","",$F3653&amp;"|"&amp;$U3653&amp;"|"&amp;$D3653)</f>
        <v/>
      </c>
      <c r="W3653">
        <f>IF($T3653="","",IF($X3653&gt;N($X3652),$X3653,""))</f>
        <v/>
      </c>
      <c r="X3653">
        <f>IF($T3653="",N($X3652),IF(MATCH($T3653,$T$6:$T$6005,0)=ROW()-5,N($X3652)+1,N($X3652)))</f>
        <v/>
      </c>
      <c r="Z3653">
        <f>IF($V3653="","",IF($AA3653&gt;N($AA3652),$AA3653,""))</f>
        <v/>
      </c>
      <c r="AA3653">
        <f>IF($V3653="",N($AA3652),IF(MATCH($V3653,$V$6:$V$6005,0)=ROW()-5,N($AA3652)+1,N($AA3652)))</f>
        <v/>
      </c>
    </row>
    <row r="3654" ht="21" customHeight="1" s="66">
      <c r="A3654" s="56" t="n"/>
      <c r="B3654" s="57" t="n"/>
      <c r="C3654" s="57" t="n"/>
      <c r="D3654" s="57" t="n"/>
      <c r="E3654" s="56" t="n"/>
      <c r="F3654" s="57" t="n"/>
      <c r="G3654" s="57" t="n"/>
      <c r="H3654" s="56" t="n"/>
      <c r="I3654" s="56" t="n"/>
      <c r="J3654" s="58" t="n"/>
      <c r="K3654" s="58" t="n"/>
      <c r="L3654" s="13">
        <f>IF(OR($A3654="",AND($J3654="",$K3654="")),"",ROUND(N($J3654)-N($K3654),2))</f>
        <v/>
      </c>
      <c r="M3654" s="13">
        <f>IF(OR($A3654="",AND($J3654="",$K3654="")),"",MIN($J3654,$K3654))</f>
        <v/>
      </c>
      <c r="Q3654">
        <f>IF($A3654="","",$D3654&amp;"("&amp;SUBSTITUTE($E3654," ","")&amp;")")</f>
        <v/>
      </c>
      <c r="R3654">
        <f>IF($A3654="","",$B3654&amp;" - "&amp;$C3654)</f>
        <v/>
      </c>
      <c r="S3654">
        <f>IF($A3654="","",$R3654&amp;"|"&amp;$Q3654)</f>
        <v/>
      </c>
      <c r="T3654">
        <f>IF($A3654="","",$S3654&amp;"|"&amp;$F3654)</f>
        <v/>
      </c>
      <c r="U3654">
        <f>IF($A3654="","",$R3654&amp;"("&amp;$E3654&amp;")")</f>
        <v/>
      </c>
      <c r="V3654">
        <f>IF($A3654="","",$F3654&amp;"|"&amp;$U3654&amp;"|"&amp;$D3654)</f>
        <v/>
      </c>
      <c r="W3654">
        <f>IF($T3654="","",IF($X3654&gt;N($X3653),$X3654,""))</f>
        <v/>
      </c>
      <c r="X3654">
        <f>IF($T3654="",N($X3653),IF(MATCH($T3654,$T$6:$T$6005,0)=ROW()-5,N($X3653)+1,N($X3653)))</f>
        <v/>
      </c>
      <c r="Z3654">
        <f>IF($V3654="","",IF($AA3654&gt;N($AA3653),$AA3654,""))</f>
        <v/>
      </c>
      <c r="AA3654">
        <f>IF($V3654="",N($AA3653),IF(MATCH($V3654,$V$6:$V$6005,0)=ROW()-5,N($AA3653)+1,N($AA3653)))</f>
        <v/>
      </c>
    </row>
    <row r="3655" ht="21" customHeight="1" s="66">
      <c r="A3655" s="56" t="n"/>
      <c r="B3655" s="57" t="n"/>
      <c r="C3655" s="57" t="n"/>
      <c r="D3655" s="57" t="n"/>
      <c r="E3655" s="56" t="n"/>
      <c r="F3655" s="57" t="n"/>
      <c r="G3655" s="57" t="n"/>
      <c r="H3655" s="56" t="n"/>
      <c r="I3655" s="56" t="n"/>
      <c r="J3655" s="58" t="n"/>
      <c r="K3655" s="58" t="n"/>
      <c r="L3655" s="13">
        <f>IF(OR($A3655="",AND($J3655="",$K3655="")),"",ROUND(N($J3655)-N($K3655),2))</f>
        <v/>
      </c>
      <c r="M3655" s="13">
        <f>IF(OR($A3655="",AND($J3655="",$K3655="")),"",MIN($J3655,$K3655))</f>
        <v/>
      </c>
      <c r="Q3655">
        <f>IF($A3655="","",$D3655&amp;"("&amp;SUBSTITUTE($E3655," ","")&amp;")")</f>
        <v/>
      </c>
      <c r="R3655">
        <f>IF($A3655="","",$B3655&amp;" - "&amp;$C3655)</f>
        <v/>
      </c>
      <c r="S3655">
        <f>IF($A3655="","",$R3655&amp;"|"&amp;$Q3655)</f>
        <v/>
      </c>
      <c r="T3655">
        <f>IF($A3655="","",$S3655&amp;"|"&amp;$F3655)</f>
        <v/>
      </c>
      <c r="U3655">
        <f>IF($A3655="","",$R3655&amp;"("&amp;$E3655&amp;")")</f>
        <v/>
      </c>
      <c r="V3655">
        <f>IF($A3655="","",$F3655&amp;"|"&amp;$U3655&amp;"|"&amp;$D3655)</f>
        <v/>
      </c>
      <c r="W3655">
        <f>IF($T3655="","",IF($X3655&gt;N($X3654),$X3655,""))</f>
        <v/>
      </c>
      <c r="X3655">
        <f>IF($T3655="",N($X3654),IF(MATCH($T3655,$T$6:$T$6005,0)=ROW()-5,N($X3654)+1,N($X3654)))</f>
        <v/>
      </c>
      <c r="Z3655">
        <f>IF($V3655="","",IF($AA3655&gt;N($AA3654),$AA3655,""))</f>
        <v/>
      </c>
      <c r="AA3655">
        <f>IF($V3655="",N($AA3654),IF(MATCH($V3655,$V$6:$V$6005,0)=ROW()-5,N($AA3654)+1,N($AA3654)))</f>
        <v/>
      </c>
    </row>
    <row r="3656" ht="21" customHeight="1" s="66">
      <c r="A3656" s="56" t="n"/>
      <c r="B3656" s="57" t="n"/>
      <c r="C3656" s="57" t="n"/>
      <c r="D3656" s="57" t="n"/>
      <c r="E3656" s="56" t="n"/>
      <c r="F3656" s="57" t="n"/>
      <c r="G3656" s="57" t="n"/>
      <c r="H3656" s="56" t="n"/>
      <c r="I3656" s="56" t="n"/>
      <c r="J3656" s="58" t="n"/>
      <c r="K3656" s="58" t="n"/>
      <c r="L3656" s="13">
        <f>IF(OR($A3656="",AND($J3656="",$K3656="")),"",ROUND(N($J3656)-N($K3656),2))</f>
        <v/>
      </c>
      <c r="M3656" s="13">
        <f>IF(OR($A3656="",AND($J3656="",$K3656="")),"",MIN($J3656,$K3656))</f>
        <v/>
      </c>
      <c r="Q3656">
        <f>IF($A3656="","",$D3656&amp;"("&amp;SUBSTITUTE($E3656," ","")&amp;")")</f>
        <v/>
      </c>
      <c r="R3656">
        <f>IF($A3656="","",$B3656&amp;" - "&amp;$C3656)</f>
        <v/>
      </c>
      <c r="S3656">
        <f>IF($A3656="","",$R3656&amp;"|"&amp;$Q3656)</f>
        <v/>
      </c>
      <c r="T3656">
        <f>IF($A3656="","",$S3656&amp;"|"&amp;$F3656)</f>
        <v/>
      </c>
      <c r="U3656">
        <f>IF($A3656="","",$R3656&amp;"("&amp;$E3656&amp;")")</f>
        <v/>
      </c>
      <c r="V3656">
        <f>IF($A3656="","",$F3656&amp;"|"&amp;$U3656&amp;"|"&amp;$D3656)</f>
        <v/>
      </c>
      <c r="W3656">
        <f>IF($T3656="","",IF($X3656&gt;N($X3655),$X3656,""))</f>
        <v/>
      </c>
      <c r="X3656">
        <f>IF($T3656="",N($X3655),IF(MATCH($T3656,$T$6:$T$6005,0)=ROW()-5,N($X3655)+1,N($X3655)))</f>
        <v/>
      </c>
      <c r="Z3656">
        <f>IF($V3656="","",IF($AA3656&gt;N($AA3655),$AA3656,""))</f>
        <v/>
      </c>
      <c r="AA3656">
        <f>IF($V3656="",N($AA3655),IF(MATCH($V3656,$V$6:$V$6005,0)=ROW()-5,N($AA3655)+1,N($AA3655)))</f>
        <v/>
      </c>
    </row>
    <row r="3657" ht="21" customHeight="1" s="66">
      <c r="A3657" s="56" t="n"/>
      <c r="B3657" s="57" t="n"/>
      <c r="C3657" s="57" t="n"/>
      <c r="D3657" s="57" t="n"/>
      <c r="E3657" s="56" t="n"/>
      <c r="F3657" s="57" t="n"/>
      <c r="G3657" s="57" t="n"/>
      <c r="H3657" s="56" t="n"/>
      <c r="I3657" s="56" t="n"/>
      <c r="J3657" s="58" t="n"/>
      <c r="K3657" s="58" t="n"/>
      <c r="L3657" s="13">
        <f>IF(OR($A3657="",AND($J3657="",$K3657="")),"",ROUND(N($J3657)-N($K3657),2))</f>
        <v/>
      </c>
      <c r="M3657" s="13">
        <f>IF(OR($A3657="",AND($J3657="",$K3657="")),"",MIN($J3657,$K3657))</f>
        <v/>
      </c>
      <c r="Q3657">
        <f>IF($A3657="","",$D3657&amp;"("&amp;SUBSTITUTE($E3657," ","")&amp;")")</f>
        <v/>
      </c>
      <c r="R3657">
        <f>IF($A3657="","",$B3657&amp;" - "&amp;$C3657)</f>
        <v/>
      </c>
      <c r="S3657">
        <f>IF($A3657="","",$R3657&amp;"|"&amp;$Q3657)</f>
        <v/>
      </c>
      <c r="T3657">
        <f>IF($A3657="","",$S3657&amp;"|"&amp;$F3657)</f>
        <v/>
      </c>
      <c r="U3657">
        <f>IF($A3657="","",$R3657&amp;"("&amp;$E3657&amp;")")</f>
        <v/>
      </c>
      <c r="V3657">
        <f>IF($A3657="","",$F3657&amp;"|"&amp;$U3657&amp;"|"&amp;$D3657)</f>
        <v/>
      </c>
      <c r="W3657">
        <f>IF($T3657="","",IF($X3657&gt;N($X3656),$X3657,""))</f>
        <v/>
      </c>
      <c r="X3657">
        <f>IF($T3657="",N($X3656),IF(MATCH($T3657,$T$6:$T$6005,0)=ROW()-5,N($X3656)+1,N($X3656)))</f>
        <v/>
      </c>
      <c r="Z3657">
        <f>IF($V3657="","",IF($AA3657&gt;N($AA3656),$AA3657,""))</f>
        <v/>
      </c>
      <c r="AA3657">
        <f>IF($V3657="",N($AA3656),IF(MATCH($V3657,$V$6:$V$6005,0)=ROW()-5,N($AA3656)+1,N($AA3656)))</f>
        <v/>
      </c>
    </row>
    <row r="3658" ht="21" customHeight="1" s="66">
      <c r="A3658" s="56" t="n"/>
      <c r="B3658" s="57" t="n"/>
      <c r="C3658" s="57" t="n"/>
      <c r="D3658" s="57" t="n"/>
      <c r="E3658" s="56" t="n"/>
      <c r="F3658" s="57" t="n"/>
      <c r="G3658" s="57" t="n"/>
      <c r="H3658" s="56" t="n"/>
      <c r="I3658" s="56" t="n"/>
      <c r="J3658" s="58" t="n"/>
      <c r="K3658" s="58" t="n"/>
      <c r="L3658" s="13">
        <f>IF(OR($A3658="",AND($J3658="",$K3658="")),"",ROUND(N($J3658)-N($K3658),2))</f>
        <v/>
      </c>
      <c r="M3658" s="13">
        <f>IF(OR($A3658="",AND($J3658="",$K3658="")),"",MIN($J3658,$K3658))</f>
        <v/>
      </c>
      <c r="Q3658">
        <f>IF($A3658="","",$D3658&amp;"("&amp;SUBSTITUTE($E3658," ","")&amp;")")</f>
        <v/>
      </c>
      <c r="R3658">
        <f>IF($A3658="","",$B3658&amp;" - "&amp;$C3658)</f>
        <v/>
      </c>
      <c r="S3658">
        <f>IF($A3658="","",$R3658&amp;"|"&amp;$Q3658)</f>
        <v/>
      </c>
      <c r="T3658">
        <f>IF($A3658="","",$S3658&amp;"|"&amp;$F3658)</f>
        <v/>
      </c>
      <c r="U3658">
        <f>IF($A3658="","",$R3658&amp;"("&amp;$E3658&amp;")")</f>
        <v/>
      </c>
      <c r="V3658">
        <f>IF($A3658="","",$F3658&amp;"|"&amp;$U3658&amp;"|"&amp;$D3658)</f>
        <v/>
      </c>
      <c r="W3658">
        <f>IF($T3658="","",IF($X3658&gt;N($X3657),$X3658,""))</f>
        <v/>
      </c>
      <c r="X3658">
        <f>IF($T3658="",N($X3657),IF(MATCH($T3658,$T$6:$T$6005,0)=ROW()-5,N($X3657)+1,N($X3657)))</f>
        <v/>
      </c>
      <c r="Z3658">
        <f>IF($V3658="","",IF($AA3658&gt;N($AA3657),$AA3658,""))</f>
        <v/>
      </c>
      <c r="AA3658">
        <f>IF($V3658="",N($AA3657),IF(MATCH($V3658,$V$6:$V$6005,0)=ROW()-5,N($AA3657)+1,N($AA3657)))</f>
        <v/>
      </c>
    </row>
    <row r="3659" ht="21" customHeight="1" s="66">
      <c r="A3659" s="56" t="n"/>
      <c r="B3659" s="57" t="n"/>
      <c r="C3659" s="57" t="n"/>
      <c r="D3659" s="57" t="n"/>
      <c r="E3659" s="56" t="n"/>
      <c r="F3659" s="57" t="n"/>
      <c r="G3659" s="57" t="n"/>
      <c r="H3659" s="56" t="n"/>
      <c r="I3659" s="56" t="n"/>
      <c r="J3659" s="58" t="n"/>
      <c r="K3659" s="58" t="n"/>
      <c r="L3659" s="13">
        <f>IF(OR($A3659="",AND($J3659="",$K3659="")),"",ROUND(N($J3659)-N($K3659),2))</f>
        <v/>
      </c>
      <c r="M3659" s="13">
        <f>IF(OR($A3659="",AND($J3659="",$K3659="")),"",MIN($J3659,$K3659))</f>
        <v/>
      </c>
      <c r="Q3659">
        <f>IF($A3659="","",$D3659&amp;"("&amp;SUBSTITUTE($E3659," ","")&amp;")")</f>
        <v/>
      </c>
      <c r="R3659">
        <f>IF($A3659="","",$B3659&amp;" - "&amp;$C3659)</f>
        <v/>
      </c>
      <c r="S3659">
        <f>IF($A3659="","",$R3659&amp;"|"&amp;$Q3659)</f>
        <v/>
      </c>
      <c r="T3659">
        <f>IF($A3659="","",$S3659&amp;"|"&amp;$F3659)</f>
        <v/>
      </c>
      <c r="U3659">
        <f>IF($A3659="","",$R3659&amp;"("&amp;$E3659&amp;")")</f>
        <v/>
      </c>
      <c r="V3659">
        <f>IF($A3659="","",$F3659&amp;"|"&amp;$U3659&amp;"|"&amp;$D3659)</f>
        <v/>
      </c>
      <c r="W3659">
        <f>IF($T3659="","",IF($X3659&gt;N($X3658),$X3659,""))</f>
        <v/>
      </c>
      <c r="X3659">
        <f>IF($T3659="",N($X3658),IF(MATCH($T3659,$T$6:$T$6005,0)=ROW()-5,N($X3658)+1,N($X3658)))</f>
        <v/>
      </c>
      <c r="Z3659">
        <f>IF($V3659="","",IF($AA3659&gt;N($AA3658),$AA3659,""))</f>
        <v/>
      </c>
      <c r="AA3659">
        <f>IF($V3659="",N($AA3658),IF(MATCH($V3659,$V$6:$V$6005,0)=ROW()-5,N($AA3658)+1,N($AA3658)))</f>
        <v/>
      </c>
    </row>
    <row r="3660" ht="21" customHeight="1" s="66">
      <c r="A3660" s="56" t="n"/>
      <c r="B3660" s="57" t="n"/>
      <c r="C3660" s="57" t="n"/>
      <c r="D3660" s="57" t="n"/>
      <c r="E3660" s="56" t="n"/>
      <c r="F3660" s="57" t="n"/>
      <c r="G3660" s="57" t="n"/>
      <c r="H3660" s="56" t="n"/>
      <c r="I3660" s="56" t="n"/>
      <c r="J3660" s="58" t="n"/>
      <c r="K3660" s="58" t="n"/>
      <c r="L3660" s="13">
        <f>IF(OR($A3660="",AND($J3660="",$K3660="")),"",ROUND(N($J3660)-N($K3660),2))</f>
        <v/>
      </c>
      <c r="M3660" s="13">
        <f>IF(OR($A3660="",AND($J3660="",$K3660="")),"",MIN($J3660,$K3660))</f>
        <v/>
      </c>
      <c r="Q3660">
        <f>IF($A3660="","",$D3660&amp;"("&amp;SUBSTITUTE($E3660," ","")&amp;")")</f>
        <v/>
      </c>
      <c r="R3660">
        <f>IF($A3660="","",$B3660&amp;" - "&amp;$C3660)</f>
        <v/>
      </c>
      <c r="S3660">
        <f>IF($A3660="","",$R3660&amp;"|"&amp;$Q3660)</f>
        <v/>
      </c>
      <c r="T3660">
        <f>IF($A3660="","",$S3660&amp;"|"&amp;$F3660)</f>
        <v/>
      </c>
      <c r="U3660">
        <f>IF($A3660="","",$R3660&amp;"("&amp;$E3660&amp;")")</f>
        <v/>
      </c>
      <c r="V3660">
        <f>IF($A3660="","",$F3660&amp;"|"&amp;$U3660&amp;"|"&amp;$D3660)</f>
        <v/>
      </c>
      <c r="W3660">
        <f>IF($T3660="","",IF($X3660&gt;N($X3659),$X3660,""))</f>
        <v/>
      </c>
      <c r="X3660">
        <f>IF($T3660="",N($X3659),IF(MATCH($T3660,$T$6:$T$6005,0)=ROW()-5,N($X3659)+1,N($X3659)))</f>
        <v/>
      </c>
      <c r="Z3660">
        <f>IF($V3660="","",IF($AA3660&gt;N($AA3659),$AA3660,""))</f>
        <v/>
      </c>
      <c r="AA3660">
        <f>IF($V3660="",N($AA3659),IF(MATCH($V3660,$V$6:$V$6005,0)=ROW()-5,N($AA3659)+1,N($AA3659)))</f>
        <v/>
      </c>
    </row>
    <row r="3661" ht="21" customHeight="1" s="66">
      <c r="A3661" s="56" t="n"/>
      <c r="B3661" s="57" t="n"/>
      <c r="C3661" s="57" t="n"/>
      <c r="D3661" s="57" t="n"/>
      <c r="E3661" s="56" t="n"/>
      <c r="F3661" s="57" t="n"/>
      <c r="G3661" s="57" t="n"/>
      <c r="H3661" s="56" t="n"/>
      <c r="I3661" s="56" t="n"/>
      <c r="J3661" s="58" t="n"/>
      <c r="K3661" s="58" t="n"/>
      <c r="L3661" s="13">
        <f>IF(OR($A3661="",AND($J3661="",$K3661="")),"",ROUND(N($J3661)-N($K3661),2))</f>
        <v/>
      </c>
      <c r="M3661" s="13">
        <f>IF(OR($A3661="",AND($J3661="",$K3661="")),"",MIN($J3661,$K3661))</f>
        <v/>
      </c>
      <c r="Q3661">
        <f>IF($A3661="","",$D3661&amp;"("&amp;SUBSTITUTE($E3661," ","")&amp;")")</f>
        <v/>
      </c>
      <c r="R3661">
        <f>IF($A3661="","",$B3661&amp;" - "&amp;$C3661)</f>
        <v/>
      </c>
      <c r="S3661">
        <f>IF($A3661="","",$R3661&amp;"|"&amp;$Q3661)</f>
        <v/>
      </c>
      <c r="T3661">
        <f>IF($A3661="","",$S3661&amp;"|"&amp;$F3661)</f>
        <v/>
      </c>
      <c r="U3661">
        <f>IF($A3661="","",$R3661&amp;"("&amp;$E3661&amp;")")</f>
        <v/>
      </c>
      <c r="V3661">
        <f>IF($A3661="","",$F3661&amp;"|"&amp;$U3661&amp;"|"&amp;$D3661)</f>
        <v/>
      </c>
      <c r="W3661">
        <f>IF($T3661="","",IF($X3661&gt;N($X3660),$X3661,""))</f>
        <v/>
      </c>
      <c r="X3661">
        <f>IF($T3661="",N($X3660),IF(MATCH($T3661,$T$6:$T$6005,0)=ROW()-5,N($X3660)+1,N($X3660)))</f>
        <v/>
      </c>
      <c r="Z3661">
        <f>IF($V3661="","",IF($AA3661&gt;N($AA3660),$AA3661,""))</f>
        <v/>
      </c>
      <c r="AA3661">
        <f>IF($V3661="",N($AA3660),IF(MATCH($V3661,$V$6:$V$6005,0)=ROW()-5,N($AA3660)+1,N($AA3660)))</f>
        <v/>
      </c>
    </row>
    <row r="3662" ht="21" customHeight="1" s="66">
      <c r="A3662" s="56" t="n"/>
      <c r="B3662" s="57" t="n"/>
      <c r="C3662" s="57" t="n"/>
      <c r="D3662" s="57" t="n"/>
      <c r="E3662" s="56" t="n"/>
      <c r="F3662" s="57" t="n"/>
      <c r="G3662" s="57" t="n"/>
      <c r="H3662" s="56" t="n"/>
      <c r="I3662" s="56" t="n"/>
      <c r="J3662" s="58" t="n"/>
      <c r="K3662" s="58" t="n"/>
      <c r="L3662" s="13">
        <f>IF(OR($A3662="",AND($J3662="",$K3662="")),"",ROUND(N($J3662)-N($K3662),2))</f>
        <v/>
      </c>
      <c r="M3662" s="13">
        <f>IF(OR($A3662="",AND($J3662="",$K3662="")),"",MIN($J3662,$K3662))</f>
        <v/>
      </c>
      <c r="Q3662">
        <f>IF($A3662="","",$D3662&amp;"("&amp;SUBSTITUTE($E3662," ","")&amp;")")</f>
        <v/>
      </c>
      <c r="R3662">
        <f>IF($A3662="","",$B3662&amp;" - "&amp;$C3662)</f>
        <v/>
      </c>
      <c r="S3662">
        <f>IF($A3662="","",$R3662&amp;"|"&amp;$Q3662)</f>
        <v/>
      </c>
      <c r="T3662">
        <f>IF($A3662="","",$S3662&amp;"|"&amp;$F3662)</f>
        <v/>
      </c>
      <c r="U3662">
        <f>IF($A3662="","",$R3662&amp;"("&amp;$E3662&amp;")")</f>
        <v/>
      </c>
      <c r="V3662">
        <f>IF($A3662="","",$F3662&amp;"|"&amp;$U3662&amp;"|"&amp;$D3662)</f>
        <v/>
      </c>
      <c r="W3662">
        <f>IF($T3662="","",IF($X3662&gt;N($X3661),$X3662,""))</f>
        <v/>
      </c>
      <c r="X3662">
        <f>IF($T3662="",N($X3661),IF(MATCH($T3662,$T$6:$T$6005,0)=ROW()-5,N($X3661)+1,N($X3661)))</f>
        <v/>
      </c>
      <c r="Z3662">
        <f>IF($V3662="","",IF($AA3662&gt;N($AA3661),$AA3662,""))</f>
        <v/>
      </c>
      <c r="AA3662">
        <f>IF($V3662="",N($AA3661),IF(MATCH($V3662,$V$6:$V$6005,0)=ROW()-5,N($AA3661)+1,N($AA3661)))</f>
        <v/>
      </c>
    </row>
    <row r="3663" ht="21" customHeight="1" s="66">
      <c r="A3663" s="56" t="n"/>
      <c r="B3663" s="57" t="n"/>
      <c r="C3663" s="57" t="n"/>
      <c r="D3663" s="57" t="n"/>
      <c r="E3663" s="56" t="n"/>
      <c r="F3663" s="57" t="n"/>
      <c r="G3663" s="57" t="n"/>
      <c r="H3663" s="56" t="n"/>
      <c r="I3663" s="56" t="n"/>
      <c r="J3663" s="58" t="n"/>
      <c r="K3663" s="58" t="n"/>
      <c r="L3663" s="13">
        <f>IF(OR($A3663="",AND($J3663="",$K3663="")),"",ROUND(N($J3663)-N($K3663),2))</f>
        <v/>
      </c>
      <c r="M3663" s="13">
        <f>IF(OR($A3663="",AND($J3663="",$K3663="")),"",MIN($J3663,$K3663))</f>
        <v/>
      </c>
      <c r="Q3663">
        <f>IF($A3663="","",$D3663&amp;"("&amp;SUBSTITUTE($E3663," ","")&amp;")")</f>
        <v/>
      </c>
      <c r="R3663">
        <f>IF($A3663="","",$B3663&amp;" - "&amp;$C3663)</f>
        <v/>
      </c>
      <c r="S3663">
        <f>IF($A3663="","",$R3663&amp;"|"&amp;$Q3663)</f>
        <v/>
      </c>
      <c r="T3663">
        <f>IF($A3663="","",$S3663&amp;"|"&amp;$F3663)</f>
        <v/>
      </c>
      <c r="U3663">
        <f>IF($A3663="","",$R3663&amp;"("&amp;$E3663&amp;")")</f>
        <v/>
      </c>
      <c r="V3663">
        <f>IF($A3663="","",$F3663&amp;"|"&amp;$U3663&amp;"|"&amp;$D3663)</f>
        <v/>
      </c>
      <c r="W3663">
        <f>IF($T3663="","",IF($X3663&gt;N($X3662),$X3663,""))</f>
        <v/>
      </c>
      <c r="X3663">
        <f>IF($T3663="",N($X3662),IF(MATCH($T3663,$T$6:$T$6005,0)=ROW()-5,N($X3662)+1,N($X3662)))</f>
        <v/>
      </c>
      <c r="Z3663">
        <f>IF($V3663="","",IF($AA3663&gt;N($AA3662),$AA3663,""))</f>
        <v/>
      </c>
      <c r="AA3663">
        <f>IF($V3663="",N($AA3662),IF(MATCH($V3663,$V$6:$V$6005,0)=ROW()-5,N($AA3662)+1,N($AA3662)))</f>
        <v/>
      </c>
    </row>
    <row r="3664" ht="21" customHeight="1" s="66">
      <c r="A3664" s="56" t="n"/>
      <c r="B3664" s="57" t="n"/>
      <c r="C3664" s="57" t="n"/>
      <c r="D3664" s="57" t="n"/>
      <c r="E3664" s="56" t="n"/>
      <c r="F3664" s="57" t="n"/>
      <c r="G3664" s="57" t="n"/>
      <c r="H3664" s="56" t="n"/>
      <c r="I3664" s="56" t="n"/>
      <c r="J3664" s="58" t="n"/>
      <c r="K3664" s="58" t="n"/>
      <c r="L3664" s="13">
        <f>IF(OR($A3664="",AND($J3664="",$K3664="")),"",ROUND(N($J3664)-N($K3664),2))</f>
        <v/>
      </c>
      <c r="M3664" s="13">
        <f>IF(OR($A3664="",AND($J3664="",$K3664="")),"",MIN($J3664,$K3664))</f>
        <v/>
      </c>
      <c r="Q3664">
        <f>IF($A3664="","",$D3664&amp;"("&amp;SUBSTITUTE($E3664," ","")&amp;")")</f>
        <v/>
      </c>
      <c r="R3664">
        <f>IF($A3664="","",$B3664&amp;" - "&amp;$C3664)</f>
        <v/>
      </c>
      <c r="S3664">
        <f>IF($A3664="","",$R3664&amp;"|"&amp;$Q3664)</f>
        <v/>
      </c>
      <c r="T3664">
        <f>IF($A3664="","",$S3664&amp;"|"&amp;$F3664)</f>
        <v/>
      </c>
      <c r="U3664">
        <f>IF($A3664="","",$R3664&amp;"("&amp;$E3664&amp;")")</f>
        <v/>
      </c>
      <c r="V3664">
        <f>IF($A3664="","",$F3664&amp;"|"&amp;$U3664&amp;"|"&amp;$D3664)</f>
        <v/>
      </c>
      <c r="W3664">
        <f>IF($T3664="","",IF($X3664&gt;N($X3663),$X3664,""))</f>
        <v/>
      </c>
      <c r="X3664">
        <f>IF($T3664="",N($X3663),IF(MATCH($T3664,$T$6:$T$6005,0)=ROW()-5,N($X3663)+1,N($X3663)))</f>
        <v/>
      </c>
      <c r="Z3664">
        <f>IF($V3664="","",IF($AA3664&gt;N($AA3663),$AA3664,""))</f>
        <v/>
      </c>
      <c r="AA3664">
        <f>IF($V3664="",N($AA3663),IF(MATCH($V3664,$V$6:$V$6005,0)=ROW()-5,N($AA3663)+1,N($AA3663)))</f>
        <v/>
      </c>
    </row>
    <row r="3665" ht="21" customHeight="1" s="66">
      <c r="A3665" s="56" t="n"/>
      <c r="B3665" s="57" t="n"/>
      <c r="C3665" s="57" t="n"/>
      <c r="D3665" s="57" t="n"/>
      <c r="E3665" s="56" t="n"/>
      <c r="F3665" s="57" t="n"/>
      <c r="G3665" s="57" t="n"/>
      <c r="H3665" s="56" t="n"/>
      <c r="I3665" s="56" t="n"/>
      <c r="J3665" s="58" t="n"/>
      <c r="K3665" s="58" t="n"/>
      <c r="L3665" s="13">
        <f>IF(OR($A3665="",AND($J3665="",$K3665="")),"",ROUND(N($J3665)-N($K3665),2))</f>
        <v/>
      </c>
      <c r="M3665" s="13">
        <f>IF(OR($A3665="",AND($J3665="",$K3665="")),"",MIN($J3665,$K3665))</f>
        <v/>
      </c>
      <c r="Q3665">
        <f>IF($A3665="","",$D3665&amp;"("&amp;SUBSTITUTE($E3665," ","")&amp;")")</f>
        <v/>
      </c>
      <c r="R3665">
        <f>IF($A3665="","",$B3665&amp;" - "&amp;$C3665)</f>
        <v/>
      </c>
      <c r="S3665">
        <f>IF($A3665="","",$R3665&amp;"|"&amp;$Q3665)</f>
        <v/>
      </c>
      <c r="T3665">
        <f>IF($A3665="","",$S3665&amp;"|"&amp;$F3665)</f>
        <v/>
      </c>
      <c r="U3665">
        <f>IF($A3665="","",$R3665&amp;"("&amp;$E3665&amp;")")</f>
        <v/>
      </c>
      <c r="V3665">
        <f>IF($A3665="","",$F3665&amp;"|"&amp;$U3665&amp;"|"&amp;$D3665)</f>
        <v/>
      </c>
      <c r="W3665">
        <f>IF($T3665="","",IF($X3665&gt;N($X3664),$X3665,""))</f>
        <v/>
      </c>
      <c r="X3665">
        <f>IF($T3665="",N($X3664),IF(MATCH($T3665,$T$6:$T$6005,0)=ROW()-5,N($X3664)+1,N($X3664)))</f>
        <v/>
      </c>
      <c r="Z3665">
        <f>IF($V3665="","",IF($AA3665&gt;N($AA3664),$AA3665,""))</f>
        <v/>
      </c>
      <c r="AA3665">
        <f>IF($V3665="",N($AA3664),IF(MATCH($V3665,$V$6:$V$6005,0)=ROW()-5,N($AA3664)+1,N($AA3664)))</f>
        <v/>
      </c>
    </row>
    <row r="3666" ht="21" customHeight="1" s="66">
      <c r="A3666" s="56" t="n"/>
      <c r="B3666" s="57" t="n"/>
      <c r="C3666" s="57" t="n"/>
      <c r="D3666" s="57" t="n"/>
      <c r="E3666" s="56" t="n"/>
      <c r="F3666" s="57" t="n"/>
      <c r="G3666" s="57" t="n"/>
      <c r="H3666" s="56" t="n"/>
      <c r="I3666" s="56" t="n"/>
      <c r="J3666" s="58" t="n"/>
      <c r="K3666" s="58" t="n"/>
      <c r="L3666" s="13">
        <f>IF(OR($A3666="",AND($J3666="",$K3666="")),"",ROUND(N($J3666)-N($K3666),2))</f>
        <v/>
      </c>
      <c r="M3666" s="13">
        <f>IF(OR($A3666="",AND($J3666="",$K3666="")),"",MIN($J3666,$K3666))</f>
        <v/>
      </c>
      <c r="Q3666">
        <f>IF($A3666="","",$D3666&amp;"("&amp;SUBSTITUTE($E3666," ","")&amp;")")</f>
        <v/>
      </c>
      <c r="R3666">
        <f>IF($A3666="","",$B3666&amp;" - "&amp;$C3666)</f>
        <v/>
      </c>
      <c r="S3666">
        <f>IF($A3666="","",$R3666&amp;"|"&amp;$Q3666)</f>
        <v/>
      </c>
      <c r="T3666">
        <f>IF($A3666="","",$S3666&amp;"|"&amp;$F3666)</f>
        <v/>
      </c>
      <c r="U3666">
        <f>IF($A3666="","",$R3666&amp;"("&amp;$E3666&amp;")")</f>
        <v/>
      </c>
      <c r="V3666">
        <f>IF($A3666="","",$F3666&amp;"|"&amp;$U3666&amp;"|"&amp;$D3666)</f>
        <v/>
      </c>
      <c r="W3666">
        <f>IF($T3666="","",IF($X3666&gt;N($X3665),$X3666,""))</f>
        <v/>
      </c>
      <c r="X3666">
        <f>IF($T3666="",N($X3665),IF(MATCH($T3666,$T$6:$T$6005,0)=ROW()-5,N($X3665)+1,N($X3665)))</f>
        <v/>
      </c>
      <c r="Z3666">
        <f>IF($V3666="","",IF($AA3666&gt;N($AA3665),$AA3666,""))</f>
        <v/>
      </c>
      <c r="AA3666">
        <f>IF($V3666="",N($AA3665),IF(MATCH($V3666,$V$6:$V$6005,0)=ROW()-5,N($AA3665)+1,N($AA3665)))</f>
        <v/>
      </c>
    </row>
    <row r="3667" ht="21" customHeight="1" s="66">
      <c r="A3667" s="56" t="n"/>
      <c r="B3667" s="57" t="n"/>
      <c r="C3667" s="57" t="n"/>
      <c r="D3667" s="57" t="n"/>
      <c r="E3667" s="56" t="n"/>
      <c r="F3667" s="57" t="n"/>
      <c r="G3667" s="57" t="n"/>
      <c r="H3667" s="56" t="n"/>
      <c r="I3667" s="56" t="n"/>
      <c r="J3667" s="58" t="n"/>
      <c r="K3667" s="58" t="n"/>
      <c r="L3667" s="13">
        <f>IF(OR($A3667="",AND($J3667="",$K3667="")),"",ROUND(N($J3667)-N($K3667),2))</f>
        <v/>
      </c>
      <c r="M3667" s="13">
        <f>IF(OR($A3667="",AND($J3667="",$K3667="")),"",MIN($J3667,$K3667))</f>
        <v/>
      </c>
      <c r="Q3667">
        <f>IF($A3667="","",$D3667&amp;"("&amp;SUBSTITUTE($E3667," ","")&amp;")")</f>
        <v/>
      </c>
      <c r="R3667">
        <f>IF($A3667="","",$B3667&amp;" - "&amp;$C3667)</f>
        <v/>
      </c>
      <c r="S3667">
        <f>IF($A3667="","",$R3667&amp;"|"&amp;$Q3667)</f>
        <v/>
      </c>
      <c r="T3667">
        <f>IF($A3667="","",$S3667&amp;"|"&amp;$F3667)</f>
        <v/>
      </c>
      <c r="U3667">
        <f>IF($A3667="","",$R3667&amp;"("&amp;$E3667&amp;")")</f>
        <v/>
      </c>
      <c r="V3667">
        <f>IF($A3667="","",$F3667&amp;"|"&amp;$U3667&amp;"|"&amp;$D3667)</f>
        <v/>
      </c>
      <c r="W3667">
        <f>IF($T3667="","",IF($X3667&gt;N($X3666),$X3667,""))</f>
        <v/>
      </c>
      <c r="X3667">
        <f>IF($T3667="",N($X3666),IF(MATCH($T3667,$T$6:$T$6005,0)=ROW()-5,N($X3666)+1,N($X3666)))</f>
        <v/>
      </c>
      <c r="Z3667">
        <f>IF($V3667="","",IF($AA3667&gt;N($AA3666),$AA3667,""))</f>
        <v/>
      </c>
      <c r="AA3667">
        <f>IF($V3667="",N($AA3666),IF(MATCH($V3667,$V$6:$V$6005,0)=ROW()-5,N($AA3666)+1,N($AA3666)))</f>
        <v/>
      </c>
    </row>
    <row r="3668" ht="21" customHeight="1" s="66">
      <c r="A3668" s="56" t="n"/>
      <c r="B3668" s="57" t="n"/>
      <c r="C3668" s="57" t="n"/>
      <c r="D3668" s="57" t="n"/>
      <c r="E3668" s="56" t="n"/>
      <c r="F3668" s="57" t="n"/>
      <c r="G3668" s="57" t="n"/>
      <c r="H3668" s="56" t="n"/>
      <c r="I3668" s="56" t="n"/>
      <c r="J3668" s="58" t="n"/>
      <c r="K3668" s="58" t="n"/>
      <c r="L3668" s="13">
        <f>IF(OR($A3668="",AND($J3668="",$K3668="")),"",ROUND(N($J3668)-N($K3668),2))</f>
        <v/>
      </c>
      <c r="M3668" s="13">
        <f>IF(OR($A3668="",AND($J3668="",$K3668="")),"",MIN($J3668,$K3668))</f>
        <v/>
      </c>
      <c r="Q3668">
        <f>IF($A3668="","",$D3668&amp;"("&amp;SUBSTITUTE($E3668," ","")&amp;")")</f>
        <v/>
      </c>
      <c r="R3668">
        <f>IF($A3668="","",$B3668&amp;" - "&amp;$C3668)</f>
        <v/>
      </c>
      <c r="S3668">
        <f>IF($A3668="","",$R3668&amp;"|"&amp;$Q3668)</f>
        <v/>
      </c>
      <c r="T3668">
        <f>IF($A3668="","",$S3668&amp;"|"&amp;$F3668)</f>
        <v/>
      </c>
      <c r="U3668">
        <f>IF($A3668="","",$R3668&amp;"("&amp;$E3668&amp;")")</f>
        <v/>
      </c>
      <c r="V3668">
        <f>IF($A3668="","",$F3668&amp;"|"&amp;$U3668&amp;"|"&amp;$D3668)</f>
        <v/>
      </c>
      <c r="W3668">
        <f>IF($T3668="","",IF($X3668&gt;N($X3667),$X3668,""))</f>
        <v/>
      </c>
      <c r="X3668">
        <f>IF($T3668="",N($X3667),IF(MATCH($T3668,$T$6:$T$6005,0)=ROW()-5,N($X3667)+1,N($X3667)))</f>
        <v/>
      </c>
      <c r="Z3668">
        <f>IF($V3668="","",IF($AA3668&gt;N($AA3667),$AA3668,""))</f>
        <v/>
      </c>
      <c r="AA3668">
        <f>IF($V3668="",N($AA3667),IF(MATCH($V3668,$V$6:$V$6005,0)=ROW()-5,N($AA3667)+1,N($AA3667)))</f>
        <v/>
      </c>
    </row>
    <row r="3669" ht="21" customHeight="1" s="66">
      <c r="A3669" s="56" t="n"/>
      <c r="B3669" s="57" t="n"/>
      <c r="C3669" s="57" t="n"/>
      <c r="D3669" s="57" t="n"/>
      <c r="E3669" s="56" t="n"/>
      <c r="F3669" s="57" t="n"/>
      <c r="G3669" s="57" t="n"/>
      <c r="H3669" s="56" t="n"/>
      <c r="I3669" s="56" t="n"/>
      <c r="J3669" s="58" t="n"/>
      <c r="K3669" s="58" t="n"/>
      <c r="L3669" s="13">
        <f>IF(OR($A3669="",AND($J3669="",$K3669="")),"",ROUND(N($J3669)-N($K3669),2))</f>
        <v/>
      </c>
      <c r="M3669" s="13">
        <f>IF(OR($A3669="",AND($J3669="",$K3669="")),"",MIN($J3669,$K3669))</f>
        <v/>
      </c>
      <c r="Q3669">
        <f>IF($A3669="","",$D3669&amp;"("&amp;SUBSTITUTE($E3669," ","")&amp;")")</f>
        <v/>
      </c>
      <c r="R3669">
        <f>IF($A3669="","",$B3669&amp;" - "&amp;$C3669)</f>
        <v/>
      </c>
      <c r="S3669">
        <f>IF($A3669="","",$R3669&amp;"|"&amp;$Q3669)</f>
        <v/>
      </c>
      <c r="T3669">
        <f>IF($A3669="","",$S3669&amp;"|"&amp;$F3669)</f>
        <v/>
      </c>
      <c r="U3669">
        <f>IF($A3669="","",$R3669&amp;"("&amp;$E3669&amp;")")</f>
        <v/>
      </c>
      <c r="V3669">
        <f>IF($A3669="","",$F3669&amp;"|"&amp;$U3669&amp;"|"&amp;$D3669)</f>
        <v/>
      </c>
      <c r="W3669">
        <f>IF($T3669="","",IF($X3669&gt;N($X3668),$X3669,""))</f>
        <v/>
      </c>
      <c r="X3669">
        <f>IF($T3669="",N($X3668),IF(MATCH($T3669,$T$6:$T$6005,0)=ROW()-5,N($X3668)+1,N($X3668)))</f>
        <v/>
      </c>
      <c r="Z3669">
        <f>IF($V3669="","",IF($AA3669&gt;N($AA3668),$AA3669,""))</f>
        <v/>
      </c>
      <c r="AA3669">
        <f>IF($V3669="",N($AA3668),IF(MATCH($V3669,$V$6:$V$6005,0)=ROW()-5,N($AA3668)+1,N($AA3668)))</f>
        <v/>
      </c>
    </row>
    <row r="3670" ht="21" customHeight="1" s="66">
      <c r="A3670" s="56" t="n"/>
      <c r="B3670" s="57" t="n"/>
      <c r="C3670" s="57" t="n"/>
      <c r="D3670" s="57" t="n"/>
      <c r="E3670" s="56" t="n"/>
      <c r="F3670" s="57" t="n"/>
      <c r="G3670" s="57" t="n"/>
      <c r="H3670" s="56" t="n"/>
      <c r="I3670" s="56" t="n"/>
      <c r="J3670" s="58" t="n"/>
      <c r="K3670" s="58" t="n"/>
      <c r="L3670" s="13">
        <f>IF(OR($A3670="",AND($J3670="",$K3670="")),"",ROUND(N($J3670)-N($K3670),2))</f>
        <v/>
      </c>
      <c r="M3670" s="13">
        <f>IF(OR($A3670="",AND($J3670="",$K3670="")),"",MIN($J3670,$K3670))</f>
        <v/>
      </c>
      <c r="Q3670">
        <f>IF($A3670="","",$D3670&amp;"("&amp;SUBSTITUTE($E3670," ","")&amp;")")</f>
        <v/>
      </c>
      <c r="R3670">
        <f>IF($A3670="","",$B3670&amp;" - "&amp;$C3670)</f>
        <v/>
      </c>
      <c r="S3670">
        <f>IF($A3670="","",$R3670&amp;"|"&amp;$Q3670)</f>
        <v/>
      </c>
      <c r="T3670">
        <f>IF($A3670="","",$S3670&amp;"|"&amp;$F3670)</f>
        <v/>
      </c>
      <c r="U3670">
        <f>IF($A3670="","",$R3670&amp;"("&amp;$E3670&amp;")")</f>
        <v/>
      </c>
      <c r="V3670">
        <f>IF($A3670="","",$F3670&amp;"|"&amp;$U3670&amp;"|"&amp;$D3670)</f>
        <v/>
      </c>
      <c r="W3670">
        <f>IF($T3670="","",IF($X3670&gt;N($X3669),$X3670,""))</f>
        <v/>
      </c>
      <c r="X3670">
        <f>IF($T3670="",N($X3669),IF(MATCH($T3670,$T$6:$T$6005,0)=ROW()-5,N($X3669)+1,N($X3669)))</f>
        <v/>
      </c>
      <c r="Z3670">
        <f>IF($V3670="","",IF($AA3670&gt;N($AA3669),$AA3670,""))</f>
        <v/>
      </c>
      <c r="AA3670">
        <f>IF($V3670="",N($AA3669),IF(MATCH($V3670,$V$6:$V$6005,0)=ROW()-5,N($AA3669)+1,N($AA3669)))</f>
        <v/>
      </c>
    </row>
    <row r="3671" ht="21" customHeight="1" s="66">
      <c r="A3671" s="56" t="n"/>
      <c r="B3671" s="57" t="n"/>
      <c r="C3671" s="57" t="n"/>
      <c r="D3671" s="57" t="n"/>
      <c r="E3671" s="56" t="n"/>
      <c r="F3671" s="57" t="n"/>
      <c r="G3671" s="57" t="n"/>
      <c r="H3671" s="56" t="n"/>
      <c r="I3671" s="56" t="n"/>
      <c r="J3671" s="58" t="n"/>
      <c r="K3671" s="58" t="n"/>
      <c r="L3671" s="13">
        <f>IF(OR($A3671="",AND($J3671="",$K3671="")),"",ROUND(N($J3671)-N($K3671),2))</f>
        <v/>
      </c>
      <c r="M3671" s="13">
        <f>IF(OR($A3671="",AND($J3671="",$K3671="")),"",MIN($J3671,$K3671))</f>
        <v/>
      </c>
      <c r="Q3671">
        <f>IF($A3671="","",$D3671&amp;"("&amp;SUBSTITUTE($E3671," ","")&amp;")")</f>
        <v/>
      </c>
      <c r="R3671">
        <f>IF($A3671="","",$B3671&amp;" - "&amp;$C3671)</f>
        <v/>
      </c>
      <c r="S3671">
        <f>IF($A3671="","",$R3671&amp;"|"&amp;$Q3671)</f>
        <v/>
      </c>
      <c r="T3671">
        <f>IF($A3671="","",$S3671&amp;"|"&amp;$F3671)</f>
        <v/>
      </c>
      <c r="U3671">
        <f>IF($A3671="","",$R3671&amp;"("&amp;$E3671&amp;")")</f>
        <v/>
      </c>
      <c r="V3671">
        <f>IF($A3671="","",$F3671&amp;"|"&amp;$U3671&amp;"|"&amp;$D3671)</f>
        <v/>
      </c>
      <c r="W3671">
        <f>IF($T3671="","",IF($X3671&gt;N($X3670),$X3671,""))</f>
        <v/>
      </c>
      <c r="X3671">
        <f>IF($T3671="",N($X3670),IF(MATCH($T3671,$T$6:$T$6005,0)=ROW()-5,N($X3670)+1,N($X3670)))</f>
        <v/>
      </c>
      <c r="Z3671">
        <f>IF($V3671="","",IF($AA3671&gt;N($AA3670),$AA3671,""))</f>
        <v/>
      </c>
      <c r="AA3671">
        <f>IF($V3671="",N($AA3670),IF(MATCH($V3671,$V$6:$V$6005,0)=ROW()-5,N($AA3670)+1,N($AA3670)))</f>
        <v/>
      </c>
    </row>
    <row r="3672" ht="21" customHeight="1" s="66">
      <c r="A3672" s="56" t="n"/>
      <c r="B3672" s="57" t="n"/>
      <c r="C3672" s="57" t="n"/>
      <c r="D3672" s="57" t="n"/>
      <c r="E3672" s="56" t="n"/>
      <c r="F3672" s="57" t="n"/>
      <c r="G3672" s="57" t="n"/>
      <c r="H3672" s="56" t="n"/>
      <c r="I3672" s="56" t="n"/>
      <c r="J3672" s="58" t="n"/>
      <c r="K3672" s="58" t="n"/>
      <c r="L3672" s="13">
        <f>IF(OR($A3672="",AND($J3672="",$K3672="")),"",ROUND(N($J3672)-N($K3672),2))</f>
        <v/>
      </c>
      <c r="M3672" s="13">
        <f>IF(OR($A3672="",AND($J3672="",$K3672="")),"",MIN($J3672,$K3672))</f>
        <v/>
      </c>
      <c r="Q3672">
        <f>IF($A3672="","",$D3672&amp;"("&amp;SUBSTITUTE($E3672," ","")&amp;")")</f>
        <v/>
      </c>
      <c r="R3672">
        <f>IF($A3672="","",$B3672&amp;" - "&amp;$C3672)</f>
        <v/>
      </c>
      <c r="S3672">
        <f>IF($A3672="","",$R3672&amp;"|"&amp;$Q3672)</f>
        <v/>
      </c>
      <c r="T3672">
        <f>IF($A3672="","",$S3672&amp;"|"&amp;$F3672)</f>
        <v/>
      </c>
      <c r="U3672">
        <f>IF($A3672="","",$R3672&amp;"("&amp;$E3672&amp;")")</f>
        <v/>
      </c>
      <c r="V3672">
        <f>IF($A3672="","",$F3672&amp;"|"&amp;$U3672&amp;"|"&amp;$D3672)</f>
        <v/>
      </c>
      <c r="W3672">
        <f>IF($T3672="","",IF($X3672&gt;N($X3671),$X3672,""))</f>
        <v/>
      </c>
      <c r="X3672">
        <f>IF($T3672="",N($X3671),IF(MATCH($T3672,$T$6:$T$6005,0)=ROW()-5,N($X3671)+1,N($X3671)))</f>
        <v/>
      </c>
      <c r="Z3672">
        <f>IF($V3672="","",IF($AA3672&gt;N($AA3671),$AA3672,""))</f>
        <v/>
      </c>
      <c r="AA3672">
        <f>IF($V3672="",N($AA3671),IF(MATCH($V3672,$V$6:$V$6005,0)=ROW()-5,N($AA3671)+1,N($AA3671)))</f>
        <v/>
      </c>
    </row>
    <row r="3673" ht="21" customHeight="1" s="66">
      <c r="A3673" s="56" t="n"/>
      <c r="B3673" s="57" t="n"/>
      <c r="C3673" s="57" t="n"/>
      <c r="D3673" s="57" t="n"/>
      <c r="E3673" s="56" t="n"/>
      <c r="F3673" s="57" t="n"/>
      <c r="G3673" s="57" t="n"/>
      <c r="H3673" s="56" t="n"/>
      <c r="I3673" s="56" t="n"/>
      <c r="J3673" s="58" t="n"/>
      <c r="K3673" s="58" t="n"/>
      <c r="L3673" s="13">
        <f>IF(OR($A3673="",AND($J3673="",$K3673="")),"",ROUND(N($J3673)-N($K3673),2))</f>
        <v/>
      </c>
      <c r="M3673" s="13">
        <f>IF(OR($A3673="",AND($J3673="",$K3673="")),"",MIN($J3673,$K3673))</f>
        <v/>
      </c>
      <c r="Q3673">
        <f>IF($A3673="","",$D3673&amp;"("&amp;SUBSTITUTE($E3673," ","")&amp;")")</f>
        <v/>
      </c>
      <c r="R3673">
        <f>IF($A3673="","",$B3673&amp;" - "&amp;$C3673)</f>
        <v/>
      </c>
      <c r="S3673">
        <f>IF($A3673="","",$R3673&amp;"|"&amp;$Q3673)</f>
        <v/>
      </c>
      <c r="T3673">
        <f>IF($A3673="","",$S3673&amp;"|"&amp;$F3673)</f>
        <v/>
      </c>
      <c r="U3673">
        <f>IF($A3673="","",$R3673&amp;"("&amp;$E3673&amp;")")</f>
        <v/>
      </c>
      <c r="V3673">
        <f>IF($A3673="","",$F3673&amp;"|"&amp;$U3673&amp;"|"&amp;$D3673)</f>
        <v/>
      </c>
      <c r="W3673">
        <f>IF($T3673="","",IF($X3673&gt;N($X3672),$X3673,""))</f>
        <v/>
      </c>
      <c r="X3673">
        <f>IF($T3673="",N($X3672),IF(MATCH($T3673,$T$6:$T$6005,0)=ROW()-5,N($X3672)+1,N($X3672)))</f>
        <v/>
      </c>
      <c r="Z3673">
        <f>IF($V3673="","",IF($AA3673&gt;N($AA3672),$AA3673,""))</f>
        <v/>
      </c>
      <c r="AA3673">
        <f>IF($V3673="",N($AA3672),IF(MATCH($V3673,$V$6:$V$6005,0)=ROW()-5,N($AA3672)+1,N($AA3672)))</f>
        <v/>
      </c>
    </row>
    <row r="3674" ht="21" customHeight="1" s="66">
      <c r="A3674" s="56" t="n"/>
      <c r="B3674" s="57" t="n"/>
      <c r="C3674" s="57" t="n"/>
      <c r="D3674" s="57" t="n"/>
      <c r="E3674" s="56" t="n"/>
      <c r="F3674" s="57" t="n"/>
      <c r="G3674" s="57" t="n"/>
      <c r="H3674" s="56" t="n"/>
      <c r="I3674" s="56" t="n"/>
      <c r="J3674" s="58" t="n"/>
      <c r="K3674" s="58" t="n"/>
      <c r="L3674" s="13">
        <f>IF(OR($A3674="",AND($J3674="",$K3674="")),"",ROUND(N($J3674)-N($K3674),2))</f>
        <v/>
      </c>
      <c r="M3674" s="13">
        <f>IF(OR($A3674="",AND($J3674="",$K3674="")),"",MIN($J3674,$K3674))</f>
        <v/>
      </c>
      <c r="Q3674">
        <f>IF($A3674="","",$D3674&amp;"("&amp;SUBSTITUTE($E3674," ","")&amp;")")</f>
        <v/>
      </c>
      <c r="R3674">
        <f>IF($A3674="","",$B3674&amp;" - "&amp;$C3674)</f>
        <v/>
      </c>
      <c r="S3674">
        <f>IF($A3674="","",$R3674&amp;"|"&amp;$Q3674)</f>
        <v/>
      </c>
      <c r="T3674">
        <f>IF($A3674="","",$S3674&amp;"|"&amp;$F3674)</f>
        <v/>
      </c>
      <c r="U3674">
        <f>IF($A3674="","",$R3674&amp;"("&amp;$E3674&amp;")")</f>
        <v/>
      </c>
      <c r="V3674">
        <f>IF($A3674="","",$F3674&amp;"|"&amp;$U3674&amp;"|"&amp;$D3674)</f>
        <v/>
      </c>
      <c r="W3674">
        <f>IF($T3674="","",IF($X3674&gt;N($X3673),$X3674,""))</f>
        <v/>
      </c>
      <c r="X3674">
        <f>IF($T3674="",N($X3673),IF(MATCH($T3674,$T$6:$T$6005,0)=ROW()-5,N($X3673)+1,N($X3673)))</f>
        <v/>
      </c>
      <c r="Z3674">
        <f>IF($V3674="","",IF($AA3674&gt;N($AA3673),$AA3674,""))</f>
        <v/>
      </c>
      <c r="AA3674">
        <f>IF($V3674="",N($AA3673),IF(MATCH($V3674,$V$6:$V$6005,0)=ROW()-5,N($AA3673)+1,N($AA3673)))</f>
        <v/>
      </c>
    </row>
    <row r="3675" ht="21" customHeight="1" s="66">
      <c r="A3675" s="56" t="n"/>
      <c r="B3675" s="57" t="n"/>
      <c r="C3675" s="57" t="n"/>
      <c r="D3675" s="57" t="n"/>
      <c r="E3675" s="56" t="n"/>
      <c r="F3675" s="57" t="n"/>
      <c r="G3675" s="57" t="n"/>
      <c r="H3675" s="56" t="n"/>
      <c r="I3675" s="56" t="n"/>
      <c r="J3675" s="58" t="n"/>
      <c r="K3675" s="58" t="n"/>
      <c r="L3675" s="13">
        <f>IF(OR($A3675="",AND($J3675="",$K3675="")),"",ROUND(N($J3675)-N($K3675),2))</f>
        <v/>
      </c>
      <c r="M3675" s="13">
        <f>IF(OR($A3675="",AND($J3675="",$K3675="")),"",MIN($J3675,$K3675))</f>
        <v/>
      </c>
      <c r="Q3675">
        <f>IF($A3675="","",$D3675&amp;"("&amp;SUBSTITUTE($E3675," ","")&amp;")")</f>
        <v/>
      </c>
      <c r="R3675">
        <f>IF($A3675="","",$B3675&amp;" - "&amp;$C3675)</f>
        <v/>
      </c>
      <c r="S3675">
        <f>IF($A3675="","",$R3675&amp;"|"&amp;$Q3675)</f>
        <v/>
      </c>
      <c r="T3675">
        <f>IF($A3675="","",$S3675&amp;"|"&amp;$F3675)</f>
        <v/>
      </c>
      <c r="U3675">
        <f>IF($A3675="","",$R3675&amp;"("&amp;$E3675&amp;")")</f>
        <v/>
      </c>
      <c r="V3675">
        <f>IF($A3675="","",$F3675&amp;"|"&amp;$U3675&amp;"|"&amp;$D3675)</f>
        <v/>
      </c>
      <c r="W3675">
        <f>IF($T3675="","",IF($X3675&gt;N($X3674),$X3675,""))</f>
        <v/>
      </c>
      <c r="X3675">
        <f>IF($T3675="",N($X3674),IF(MATCH($T3675,$T$6:$T$6005,0)=ROW()-5,N($X3674)+1,N($X3674)))</f>
        <v/>
      </c>
      <c r="Z3675">
        <f>IF($V3675="","",IF($AA3675&gt;N($AA3674),$AA3675,""))</f>
        <v/>
      </c>
      <c r="AA3675">
        <f>IF($V3675="",N($AA3674),IF(MATCH($V3675,$V$6:$V$6005,0)=ROW()-5,N($AA3674)+1,N($AA3674)))</f>
        <v/>
      </c>
    </row>
    <row r="3676" ht="21" customHeight="1" s="66">
      <c r="A3676" s="56" t="n"/>
      <c r="B3676" s="57" t="n"/>
      <c r="C3676" s="57" t="n"/>
      <c r="D3676" s="57" t="n"/>
      <c r="E3676" s="56" t="n"/>
      <c r="F3676" s="57" t="n"/>
      <c r="G3676" s="57" t="n"/>
      <c r="H3676" s="56" t="n"/>
      <c r="I3676" s="56" t="n"/>
      <c r="J3676" s="58" t="n"/>
      <c r="K3676" s="58" t="n"/>
      <c r="L3676" s="13">
        <f>IF(OR($A3676="",AND($J3676="",$K3676="")),"",ROUND(N($J3676)-N($K3676),2))</f>
        <v/>
      </c>
      <c r="M3676" s="13">
        <f>IF(OR($A3676="",AND($J3676="",$K3676="")),"",MIN($J3676,$K3676))</f>
        <v/>
      </c>
      <c r="Q3676">
        <f>IF($A3676="","",$D3676&amp;"("&amp;SUBSTITUTE($E3676," ","")&amp;")")</f>
        <v/>
      </c>
      <c r="R3676">
        <f>IF($A3676="","",$B3676&amp;" - "&amp;$C3676)</f>
        <v/>
      </c>
      <c r="S3676">
        <f>IF($A3676="","",$R3676&amp;"|"&amp;$Q3676)</f>
        <v/>
      </c>
      <c r="T3676">
        <f>IF($A3676="","",$S3676&amp;"|"&amp;$F3676)</f>
        <v/>
      </c>
      <c r="U3676">
        <f>IF($A3676="","",$R3676&amp;"("&amp;$E3676&amp;")")</f>
        <v/>
      </c>
      <c r="V3676">
        <f>IF($A3676="","",$F3676&amp;"|"&amp;$U3676&amp;"|"&amp;$D3676)</f>
        <v/>
      </c>
      <c r="W3676">
        <f>IF($T3676="","",IF($X3676&gt;N($X3675),$X3676,""))</f>
        <v/>
      </c>
      <c r="X3676">
        <f>IF($T3676="",N($X3675),IF(MATCH($T3676,$T$6:$T$6005,0)=ROW()-5,N($X3675)+1,N($X3675)))</f>
        <v/>
      </c>
      <c r="Z3676">
        <f>IF($V3676="","",IF($AA3676&gt;N($AA3675),$AA3676,""))</f>
        <v/>
      </c>
      <c r="AA3676">
        <f>IF($V3676="",N($AA3675),IF(MATCH($V3676,$V$6:$V$6005,0)=ROW()-5,N($AA3675)+1,N($AA3675)))</f>
        <v/>
      </c>
    </row>
    <row r="3677" ht="21" customHeight="1" s="66">
      <c r="A3677" s="56" t="n"/>
      <c r="B3677" s="57" t="n"/>
      <c r="C3677" s="57" t="n"/>
      <c r="D3677" s="57" t="n"/>
      <c r="E3677" s="56" t="n"/>
      <c r="F3677" s="57" t="n"/>
      <c r="G3677" s="57" t="n"/>
      <c r="H3677" s="56" t="n"/>
      <c r="I3677" s="56" t="n"/>
      <c r="J3677" s="58" t="n"/>
      <c r="K3677" s="58" t="n"/>
      <c r="L3677" s="13">
        <f>IF(OR($A3677="",AND($J3677="",$K3677="")),"",ROUND(N($J3677)-N($K3677),2))</f>
        <v/>
      </c>
      <c r="M3677" s="13">
        <f>IF(OR($A3677="",AND($J3677="",$K3677="")),"",MIN($J3677,$K3677))</f>
        <v/>
      </c>
      <c r="Q3677">
        <f>IF($A3677="","",$D3677&amp;"("&amp;SUBSTITUTE($E3677," ","")&amp;")")</f>
        <v/>
      </c>
      <c r="R3677">
        <f>IF($A3677="","",$B3677&amp;" - "&amp;$C3677)</f>
        <v/>
      </c>
      <c r="S3677">
        <f>IF($A3677="","",$R3677&amp;"|"&amp;$Q3677)</f>
        <v/>
      </c>
      <c r="T3677">
        <f>IF($A3677="","",$S3677&amp;"|"&amp;$F3677)</f>
        <v/>
      </c>
      <c r="U3677">
        <f>IF($A3677="","",$R3677&amp;"("&amp;$E3677&amp;")")</f>
        <v/>
      </c>
      <c r="V3677">
        <f>IF($A3677="","",$F3677&amp;"|"&amp;$U3677&amp;"|"&amp;$D3677)</f>
        <v/>
      </c>
      <c r="W3677">
        <f>IF($T3677="","",IF($X3677&gt;N($X3676),$X3677,""))</f>
        <v/>
      </c>
      <c r="X3677">
        <f>IF($T3677="",N($X3676),IF(MATCH($T3677,$T$6:$T$6005,0)=ROW()-5,N($X3676)+1,N($X3676)))</f>
        <v/>
      </c>
      <c r="Z3677">
        <f>IF($V3677="","",IF($AA3677&gt;N($AA3676),$AA3677,""))</f>
        <v/>
      </c>
      <c r="AA3677">
        <f>IF($V3677="",N($AA3676),IF(MATCH($V3677,$V$6:$V$6005,0)=ROW()-5,N($AA3676)+1,N($AA3676)))</f>
        <v/>
      </c>
    </row>
    <row r="3678" ht="21" customHeight="1" s="66">
      <c r="A3678" s="56" t="n"/>
      <c r="B3678" s="57" t="n"/>
      <c r="C3678" s="57" t="n"/>
      <c r="D3678" s="57" t="n"/>
      <c r="E3678" s="56" t="n"/>
      <c r="F3678" s="57" t="n"/>
      <c r="G3678" s="57" t="n"/>
      <c r="H3678" s="56" t="n"/>
      <c r="I3678" s="56" t="n"/>
      <c r="J3678" s="58" t="n"/>
      <c r="K3678" s="58" t="n"/>
      <c r="L3678" s="13">
        <f>IF(OR($A3678="",AND($J3678="",$K3678="")),"",ROUND(N($J3678)-N($K3678),2))</f>
        <v/>
      </c>
      <c r="M3678" s="13">
        <f>IF(OR($A3678="",AND($J3678="",$K3678="")),"",MIN($J3678,$K3678))</f>
        <v/>
      </c>
      <c r="Q3678">
        <f>IF($A3678="","",$D3678&amp;"("&amp;SUBSTITUTE($E3678," ","")&amp;")")</f>
        <v/>
      </c>
      <c r="R3678">
        <f>IF($A3678="","",$B3678&amp;" - "&amp;$C3678)</f>
        <v/>
      </c>
      <c r="S3678">
        <f>IF($A3678="","",$R3678&amp;"|"&amp;$Q3678)</f>
        <v/>
      </c>
      <c r="T3678">
        <f>IF($A3678="","",$S3678&amp;"|"&amp;$F3678)</f>
        <v/>
      </c>
      <c r="U3678">
        <f>IF($A3678="","",$R3678&amp;"("&amp;$E3678&amp;")")</f>
        <v/>
      </c>
      <c r="V3678">
        <f>IF($A3678="","",$F3678&amp;"|"&amp;$U3678&amp;"|"&amp;$D3678)</f>
        <v/>
      </c>
      <c r="W3678">
        <f>IF($T3678="","",IF($X3678&gt;N($X3677),$X3678,""))</f>
        <v/>
      </c>
      <c r="X3678">
        <f>IF($T3678="",N($X3677),IF(MATCH($T3678,$T$6:$T$6005,0)=ROW()-5,N($X3677)+1,N($X3677)))</f>
        <v/>
      </c>
      <c r="Z3678">
        <f>IF($V3678="","",IF($AA3678&gt;N($AA3677),$AA3678,""))</f>
        <v/>
      </c>
      <c r="AA3678">
        <f>IF($V3678="",N($AA3677),IF(MATCH($V3678,$V$6:$V$6005,0)=ROW()-5,N($AA3677)+1,N($AA3677)))</f>
        <v/>
      </c>
    </row>
    <row r="3679" ht="21" customHeight="1" s="66">
      <c r="A3679" s="56" t="n"/>
      <c r="B3679" s="57" t="n"/>
      <c r="C3679" s="57" t="n"/>
      <c r="D3679" s="57" t="n"/>
      <c r="E3679" s="56" t="n"/>
      <c r="F3679" s="57" t="n"/>
      <c r="G3679" s="57" t="n"/>
      <c r="H3679" s="56" t="n"/>
      <c r="I3679" s="56" t="n"/>
      <c r="J3679" s="58" t="n"/>
      <c r="K3679" s="58" t="n"/>
      <c r="L3679" s="13">
        <f>IF(OR($A3679="",AND($J3679="",$K3679="")),"",ROUND(N($J3679)-N($K3679),2))</f>
        <v/>
      </c>
      <c r="M3679" s="13">
        <f>IF(OR($A3679="",AND($J3679="",$K3679="")),"",MIN($J3679,$K3679))</f>
        <v/>
      </c>
      <c r="Q3679">
        <f>IF($A3679="","",$D3679&amp;"("&amp;SUBSTITUTE($E3679," ","")&amp;")")</f>
        <v/>
      </c>
      <c r="R3679">
        <f>IF($A3679="","",$B3679&amp;" - "&amp;$C3679)</f>
        <v/>
      </c>
      <c r="S3679">
        <f>IF($A3679="","",$R3679&amp;"|"&amp;$Q3679)</f>
        <v/>
      </c>
      <c r="T3679">
        <f>IF($A3679="","",$S3679&amp;"|"&amp;$F3679)</f>
        <v/>
      </c>
      <c r="U3679">
        <f>IF($A3679="","",$R3679&amp;"("&amp;$E3679&amp;")")</f>
        <v/>
      </c>
      <c r="V3679">
        <f>IF($A3679="","",$F3679&amp;"|"&amp;$U3679&amp;"|"&amp;$D3679)</f>
        <v/>
      </c>
      <c r="W3679">
        <f>IF($T3679="","",IF($X3679&gt;N($X3678),$X3679,""))</f>
        <v/>
      </c>
      <c r="X3679">
        <f>IF($T3679="",N($X3678),IF(MATCH($T3679,$T$6:$T$6005,0)=ROW()-5,N($X3678)+1,N($X3678)))</f>
        <v/>
      </c>
      <c r="Z3679">
        <f>IF($V3679="","",IF($AA3679&gt;N($AA3678),$AA3679,""))</f>
        <v/>
      </c>
      <c r="AA3679">
        <f>IF($V3679="",N($AA3678),IF(MATCH($V3679,$V$6:$V$6005,0)=ROW()-5,N($AA3678)+1,N($AA3678)))</f>
        <v/>
      </c>
    </row>
    <row r="3680" ht="21" customHeight="1" s="66">
      <c r="A3680" s="56" t="n"/>
      <c r="B3680" s="57" t="n"/>
      <c r="C3680" s="57" t="n"/>
      <c r="D3680" s="57" t="n"/>
      <c r="E3680" s="56" t="n"/>
      <c r="F3680" s="57" t="n"/>
      <c r="G3680" s="57" t="n"/>
      <c r="H3680" s="56" t="n"/>
      <c r="I3680" s="56" t="n"/>
      <c r="J3680" s="58" t="n"/>
      <c r="K3680" s="58" t="n"/>
      <c r="L3680" s="13">
        <f>IF(OR($A3680="",AND($J3680="",$K3680="")),"",ROUND(N($J3680)-N($K3680),2))</f>
        <v/>
      </c>
      <c r="M3680" s="13">
        <f>IF(OR($A3680="",AND($J3680="",$K3680="")),"",MIN($J3680,$K3680))</f>
        <v/>
      </c>
      <c r="Q3680">
        <f>IF($A3680="","",$D3680&amp;"("&amp;SUBSTITUTE($E3680," ","")&amp;")")</f>
        <v/>
      </c>
      <c r="R3680">
        <f>IF($A3680="","",$B3680&amp;" - "&amp;$C3680)</f>
        <v/>
      </c>
      <c r="S3680">
        <f>IF($A3680="","",$R3680&amp;"|"&amp;$Q3680)</f>
        <v/>
      </c>
      <c r="T3680">
        <f>IF($A3680="","",$S3680&amp;"|"&amp;$F3680)</f>
        <v/>
      </c>
      <c r="U3680">
        <f>IF($A3680="","",$R3680&amp;"("&amp;$E3680&amp;")")</f>
        <v/>
      </c>
      <c r="V3680">
        <f>IF($A3680="","",$F3680&amp;"|"&amp;$U3680&amp;"|"&amp;$D3680)</f>
        <v/>
      </c>
      <c r="W3680">
        <f>IF($T3680="","",IF($X3680&gt;N($X3679),$X3680,""))</f>
        <v/>
      </c>
      <c r="X3680">
        <f>IF($T3680="",N($X3679),IF(MATCH($T3680,$T$6:$T$6005,0)=ROW()-5,N($X3679)+1,N($X3679)))</f>
        <v/>
      </c>
      <c r="Z3680">
        <f>IF($V3680="","",IF($AA3680&gt;N($AA3679),$AA3680,""))</f>
        <v/>
      </c>
      <c r="AA3680">
        <f>IF($V3680="",N($AA3679),IF(MATCH($V3680,$V$6:$V$6005,0)=ROW()-5,N($AA3679)+1,N($AA3679)))</f>
        <v/>
      </c>
    </row>
    <row r="3681" ht="21" customHeight="1" s="66">
      <c r="A3681" s="56" t="n"/>
      <c r="B3681" s="57" t="n"/>
      <c r="C3681" s="57" t="n"/>
      <c r="D3681" s="57" t="n"/>
      <c r="E3681" s="56" t="n"/>
      <c r="F3681" s="57" t="n"/>
      <c r="G3681" s="57" t="n"/>
      <c r="H3681" s="56" t="n"/>
      <c r="I3681" s="56" t="n"/>
      <c r="J3681" s="58" t="n"/>
      <c r="K3681" s="58" t="n"/>
      <c r="L3681" s="13">
        <f>IF(OR($A3681="",AND($J3681="",$K3681="")),"",ROUND(N($J3681)-N($K3681),2))</f>
        <v/>
      </c>
      <c r="M3681" s="13">
        <f>IF(OR($A3681="",AND($J3681="",$K3681="")),"",MIN($J3681,$K3681))</f>
        <v/>
      </c>
      <c r="Q3681">
        <f>IF($A3681="","",$D3681&amp;"("&amp;SUBSTITUTE($E3681," ","")&amp;")")</f>
        <v/>
      </c>
      <c r="R3681">
        <f>IF($A3681="","",$B3681&amp;" - "&amp;$C3681)</f>
        <v/>
      </c>
      <c r="S3681">
        <f>IF($A3681="","",$R3681&amp;"|"&amp;$Q3681)</f>
        <v/>
      </c>
      <c r="T3681">
        <f>IF($A3681="","",$S3681&amp;"|"&amp;$F3681)</f>
        <v/>
      </c>
      <c r="U3681">
        <f>IF($A3681="","",$R3681&amp;"("&amp;$E3681&amp;")")</f>
        <v/>
      </c>
      <c r="V3681">
        <f>IF($A3681="","",$F3681&amp;"|"&amp;$U3681&amp;"|"&amp;$D3681)</f>
        <v/>
      </c>
      <c r="W3681">
        <f>IF($T3681="","",IF($X3681&gt;N($X3680),$X3681,""))</f>
        <v/>
      </c>
      <c r="X3681">
        <f>IF($T3681="",N($X3680),IF(MATCH($T3681,$T$6:$T$6005,0)=ROW()-5,N($X3680)+1,N($X3680)))</f>
        <v/>
      </c>
      <c r="Z3681">
        <f>IF($V3681="","",IF($AA3681&gt;N($AA3680),$AA3681,""))</f>
        <v/>
      </c>
      <c r="AA3681">
        <f>IF($V3681="",N($AA3680),IF(MATCH($V3681,$V$6:$V$6005,0)=ROW()-5,N($AA3680)+1,N($AA3680)))</f>
        <v/>
      </c>
    </row>
    <row r="3682" ht="21" customHeight="1" s="66">
      <c r="A3682" s="56" t="n"/>
      <c r="B3682" s="57" t="n"/>
      <c r="C3682" s="57" t="n"/>
      <c r="D3682" s="57" t="n"/>
      <c r="E3682" s="56" t="n"/>
      <c r="F3682" s="57" t="n"/>
      <c r="G3682" s="57" t="n"/>
      <c r="H3682" s="56" t="n"/>
      <c r="I3682" s="56" t="n"/>
      <c r="J3682" s="58" t="n"/>
      <c r="K3682" s="58" t="n"/>
      <c r="L3682" s="13">
        <f>IF(OR($A3682="",AND($J3682="",$K3682="")),"",ROUND(N($J3682)-N($K3682),2))</f>
        <v/>
      </c>
      <c r="M3682" s="13">
        <f>IF(OR($A3682="",AND($J3682="",$K3682="")),"",MIN($J3682,$K3682))</f>
        <v/>
      </c>
      <c r="Q3682">
        <f>IF($A3682="","",$D3682&amp;"("&amp;SUBSTITUTE($E3682," ","")&amp;")")</f>
        <v/>
      </c>
      <c r="R3682">
        <f>IF($A3682="","",$B3682&amp;" - "&amp;$C3682)</f>
        <v/>
      </c>
      <c r="S3682">
        <f>IF($A3682="","",$R3682&amp;"|"&amp;$Q3682)</f>
        <v/>
      </c>
      <c r="T3682">
        <f>IF($A3682="","",$S3682&amp;"|"&amp;$F3682)</f>
        <v/>
      </c>
      <c r="U3682">
        <f>IF($A3682="","",$R3682&amp;"("&amp;$E3682&amp;")")</f>
        <v/>
      </c>
      <c r="V3682">
        <f>IF($A3682="","",$F3682&amp;"|"&amp;$U3682&amp;"|"&amp;$D3682)</f>
        <v/>
      </c>
      <c r="W3682">
        <f>IF($T3682="","",IF($X3682&gt;N($X3681),$X3682,""))</f>
        <v/>
      </c>
      <c r="X3682">
        <f>IF($T3682="",N($X3681),IF(MATCH($T3682,$T$6:$T$6005,0)=ROW()-5,N($X3681)+1,N($X3681)))</f>
        <v/>
      </c>
      <c r="Z3682">
        <f>IF($V3682="","",IF($AA3682&gt;N($AA3681),$AA3682,""))</f>
        <v/>
      </c>
      <c r="AA3682">
        <f>IF($V3682="",N($AA3681),IF(MATCH($V3682,$V$6:$V$6005,0)=ROW()-5,N($AA3681)+1,N($AA3681)))</f>
        <v/>
      </c>
    </row>
    <row r="3683" ht="21" customHeight="1" s="66">
      <c r="A3683" s="56" t="n"/>
      <c r="B3683" s="57" t="n"/>
      <c r="C3683" s="57" t="n"/>
      <c r="D3683" s="57" t="n"/>
      <c r="E3683" s="56" t="n"/>
      <c r="F3683" s="57" t="n"/>
      <c r="G3683" s="57" t="n"/>
      <c r="H3683" s="56" t="n"/>
      <c r="I3683" s="56" t="n"/>
      <c r="J3683" s="58" t="n"/>
      <c r="K3683" s="58" t="n"/>
      <c r="L3683" s="13">
        <f>IF(OR($A3683="",AND($J3683="",$K3683="")),"",ROUND(N($J3683)-N($K3683),2))</f>
        <v/>
      </c>
      <c r="M3683" s="13">
        <f>IF(OR($A3683="",AND($J3683="",$K3683="")),"",MIN($J3683,$K3683))</f>
        <v/>
      </c>
      <c r="Q3683">
        <f>IF($A3683="","",$D3683&amp;"("&amp;SUBSTITUTE($E3683," ","")&amp;")")</f>
        <v/>
      </c>
      <c r="R3683">
        <f>IF($A3683="","",$B3683&amp;" - "&amp;$C3683)</f>
        <v/>
      </c>
      <c r="S3683">
        <f>IF($A3683="","",$R3683&amp;"|"&amp;$Q3683)</f>
        <v/>
      </c>
      <c r="T3683">
        <f>IF($A3683="","",$S3683&amp;"|"&amp;$F3683)</f>
        <v/>
      </c>
      <c r="U3683">
        <f>IF($A3683="","",$R3683&amp;"("&amp;$E3683&amp;")")</f>
        <v/>
      </c>
      <c r="V3683">
        <f>IF($A3683="","",$F3683&amp;"|"&amp;$U3683&amp;"|"&amp;$D3683)</f>
        <v/>
      </c>
      <c r="W3683">
        <f>IF($T3683="","",IF($X3683&gt;N($X3682),$X3683,""))</f>
        <v/>
      </c>
      <c r="X3683">
        <f>IF($T3683="",N($X3682),IF(MATCH($T3683,$T$6:$T$6005,0)=ROW()-5,N($X3682)+1,N($X3682)))</f>
        <v/>
      </c>
      <c r="Z3683">
        <f>IF($V3683="","",IF($AA3683&gt;N($AA3682),$AA3683,""))</f>
        <v/>
      </c>
      <c r="AA3683">
        <f>IF($V3683="",N($AA3682),IF(MATCH($V3683,$V$6:$V$6005,0)=ROW()-5,N($AA3682)+1,N($AA3682)))</f>
        <v/>
      </c>
    </row>
    <row r="3684" ht="21" customHeight="1" s="66">
      <c r="A3684" s="56" t="n"/>
      <c r="B3684" s="57" t="n"/>
      <c r="C3684" s="57" t="n"/>
      <c r="D3684" s="57" t="n"/>
      <c r="E3684" s="56" t="n"/>
      <c r="F3684" s="57" t="n"/>
      <c r="G3684" s="57" t="n"/>
      <c r="H3684" s="56" t="n"/>
      <c r="I3684" s="56" t="n"/>
      <c r="J3684" s="58" t="n"/>
      <c r="K3684" s="58" t="n"/>
      <c r="L3684" s="13">
        <f>IF(OR($A3684="",AND($J3684="",$K3684="")),"",ROUND(N($J3684)-N($K3684),2))</f>
        <v/>
      </c>
      <c r="M3684" s="13">
        <f>IF(OR($A3684="",AND($J3684="",$K3684="")),"",MIN($J3684,$K3684))</f>
        <v/>
      </c>
      <c r="Q3684">
        <f>IF($A3684="","",$D3684&amp;"("&amp;SUBSTITUTE($E3684," ","")&amp;")")</f>
        <v/>
      </c>
      <c r="R3684">
        <f>IF($A3684="","",$B3684&amp;" - "&amp;$C3684)</f>
        <v/>
      </c>
      <c r="S3684">
        <f>IF($A3684="","",$R3684&amp;"|"&amp;$Q3684)</f>
        <v/>
      </c>
      <c r="T3684">
        <f>IF($A3684="","",$S3684&amp;"|"&amp;$F3684)</f>
        <v/>
      </c>
      <c r="U3684">
        <f>IF($A3684="","",$R3684&amp;"("&amp;$E3684&amp;")")</f>
        <v/>
      </c>
      <c r="V3684">
        <f>IF($A3684="","",$F3684&amp;"|"&amp;$U3684&amp;"|"&amp;$D3684)</f>
        <v/>
      </c>
      <c r="W3684">
        <f>IF($T3684="","",IF($X3684&gt;N($X3683),$X3684,""))</f>
        <v/>
      </c>
      <c r="X3684">
        <f>IF($T3684="",N($X3683),IF(MATCH($T3684,$T$6:$T$6005,0)=ROW()-5,N($X3683)+1,N($X3683)))</f>
        <v/>
      </c>
      <c r="Z3684">
        <f>IF($V3684="","",IF($AA3684&gt;N($AA3683),$AA3684,""))</f>
        <v/>
      </c>
      <c r="AA3684">
        <f>IF($V3684="",N($AA3683),IF(MATCH($V3684,$V$6:$V$6005,0)=ROW()-5,N($AA3683)+1,N($AA3683)))</f>
        <v/>
      </c>
    </row>
    <row r="3685" ht="21" customHeight="1" s="66">
      <c r="A3685" s="56" t="n"/>
      <c r="B3685" s="57" t="n"/>
      <c r="C3685" s="57" t="n"/>
      <c r="D3685" s="57" t="n"/>
      <c r="E3685" s="56" t="n"/>
      <c r="F3685" s="57" t="n"/>
      <c r="G3685" s="57" t="n"/>
      <c r="H3685" s="56" t="n"/>
      <c r="I3685" s="56" t="n"/>
      <c r="J3685" s="58" t="n"/>
      <c r="K3685" s="58" t="n"/>
      <c r="L3685" s="13">
        <f>IF(OR($A3685="",AND($J3685="",$K3685="")),"",ROUND(N($J3685)-N($K3685),2))</f>
        <v/>
      </c>
      <c r="M3685" s="13">
        <f>IF(OR($A3685="",AND($J3685="",$K3685="")),"",MIN($J3685,$K3685))</f>
        <v/>
      </c>
      <c r="Q3685">
        <f>IF($A3685="","",$D3685&amp;"("&amp;SUBSTITUTE($E3685," ","")&amp;")")</f>
        <v/>
      </c>
      <c r="R3685">
        <f>IF($A3685="","",$B3685&amp;" - "&amp;$C3685)</f>
        <v/>
      </c>
      <c r="S3685">
        <f>IF($A3685="","",$R3685&amp;"|"&amp;$Q3685)</f>
        <v/>
      </c>
      <c r="T3685">
        <f>IF($A3685="","",$S3685&amp;"|"&amp;$F3685)</f>
        <v/>
      </c>
      <c r="U3685">
        <f>IF($A3685="","",$R3685&amp;"("&amp;$E3685&amp;")")</f>
        <v/>
      </c>
      <c r="V3685">
        <f>IF($A3685="","",$F3685&amp;"|"&amp;$U3685&amp;"|"&amp;$D3685)</f>
        <v/>
      </c>
      <c r="W3685">
        <f>IF($T3685="","",IF($X3685&gt;N($X3684),$X3685,""))</f>
        <v/>
      </c>
      <c r="X3685">
        <f>IF($T3685="",N($X3684),IF(MATCH($T3685,$T$6:$T$6005,0)=ROW()-5,N($X3684)+1,N($X3684)))</f>
        <v/>
      </c>
      <c r="Z3685">
        <f>IF($V3685="","",IF($AA3685&gt;N($AA3684),$AA3685,""))</f>
        <v/>
      </c>
      <c r="AA3685">
        <f>IF($V3685="",N($AA3684),IF(MATCH($V3685,$V$6:$V$6005,0)=ROW()-5,N($AA3684)+1,N($AA3684)))</f>
        <v/>
      </c>
    </row>
    <row r="3686" ht="21" customHeight="1" s="66">
      <c r="A3686" s="56" t="n"/>
      <c r="B3686" s="57" t="n"/>
      <c r="C3686" s="57" t="n"/>
      <c r="D3686" s="57" t="n"/>
      <c r="E3686" s="56" t="n"/>
      <c r="F3686" s="57" t="n"/>
      <c r="G3686" s="57" t="n"/>
      <c r="H3686" s="56" t="n"/>
      <c r="I3686" s="56" t="n"/>
      <c r="J3686" s="58" t="n"/>
      <c r="K3686" s="58" t="n"/>
      <c r="L3686" s="13">
        <f>IF(OR($A3686="",AND($J3686="",$K3686="")),"",ROUND(N($J3686)-N($K3686),2))</f>
        <v/>
      </c>
      <c r="M3686" s="13">
        <f>IF(OR($A3686="",AND($J3686="",$K3686="")),"",MIN($J3686,$K3686))</f>
        <v/>
      </c>
      <c r="Q3686">
        <f>IF($A3686="","",$D3686&amp;"("&amp;SUBSTITUTE($E3686," ","")&amp;")")</f>
        <v/>
      </c>
      <c r="R3686">
        <f>IF($A3686="","",$B3686&amp;" - "&amp;$C3686)</f>
        <v/>
      </c>
      <c r="S3686">
        <f>IF($A3686="","",$R3686&amp;"|"&amp;$Q3686)</f>
        <v/>
      </c>
      <c r="T3686">
        <f>IF($A3686="","",$S3686&amp;"|"&amp;$F3686)</f>
        <v/>
      </c>
      <c r="U3686">
        <f>IF($A3686="","",$R3686&amp;"("&amp;$E3686&amp;")")</f>
        <v/>
      </c>
      <c r="V3686">
        <f>IF($A3686="","",$F3686&amp;"|"&amp;$U3686&amp;"|"&amp;$D3686)</f>
        <v/>
      </c>
      <c r="W3686">
        <f>IF($T3686="","",IF($X3686&gt;N($X3685),$X3686,""))</f>
        <v/>
      </c>
      <c r="X3686">
        <f>IF($T3686="",N($X3685),IF(MATCH($T3686,$T$6:$T$6005,0)=ROW()-5,N($X3685)+1,N($X3685)))</f>
        <v/>
      </c>
      <c r="Z3686">
        <f>IF($V3686="","",IF($AA3686&gt;N($AA3685),$AA3686,""))</f>
        <v/>
      </c>
      <c r="AA3686">
        <f>IF($V3686="",N($AA3685),IF(MATCH($V3686,$V$6:$V$6005,0)=ROW()-5,N($AA3685)+1,N($AA3685)))</f>
        <v/>
      </c>
    </row>
    <row r="3687" ht="21" customHeight="1" s="66">
      <c r="A3687" s="56" t="n"/>
      <c r="B3687" s="57" t="n"/>
      <c r="C3687" s="57" t="n"/>
      <c r="D3687" s="57" t="n"/>
      <c r="E3687" s="56" t="n"/>
      <c r="F3687" s="57" t="n"/>
      <c r="G3687" s="57" t="n"/>
      <c r="H3687" s="56" t="n"/>
      <c r="I3687" s="56" t="n"/>
      <c r="J3687" s="58" t="n"/>
      <c r="K3687" s="58" t="n"/>
      <c r="L3687" s="13">
        <f>IF(OR($A3687="",AND($J3687="",$K3687="")),"",ROUND(N($J3687)-N($K3687),2))</f>
        <v/>
      </c>
      <c r="M3687" s="13">
        <f>IF(OR($A3687="",AND($J3687="",$K3687="")),"",MIN($J3687,$K3687))</f>
        <v/>
      </c>
      <c r="Q3687">
        <f>IF($A3687="","",$D3687&amp;"("&amp;SUBSTITUTE($E3687," ","")&amp;")")</f>
        <v/>
      </c>
      <c r="R3687">
        <f>IF($A3687="","",$B3687&amp;" - "&amp;$C3687)</f>
        <v/>
      </c>
      <c r="S3687">
        <f>IF($A3687="","",$R3687&amp;"|"&amp;$Q3687)</f>
        <v/>
      </c>
      <c r="T3687">
        <f>IF($A3687="","",$S3687&amp;"|"&amp;$F3687)</f>
        <v/>
      </c>
      <c r="U3687">
        <f>IF($A3687="","",$R3687&amp;"("&amp;$E3687&amp;")")</f>
        <v/>
      </c>
      <c r="V3687">
        <f>IF($A3687="","",$F3687&amp;"|"&amp;$U3687&amp;"|"&amp;$D3687)</f>
        <v/>
      </c>
      <c r="W3687">
        <f>IF($T3687="","",IF($X3687&gt;N($X3686),$X3687,""))</f>
        <v/>
      </c>
      <c r="X3687">
        <f>IF($T3687="",N($X3686),IF(MATCH($T3687,$T$6:$T$6005,0)=ROW()-5,N($X3686)+1,N($X3686)))</f>
        <v/>
      </c>
      <c r="Z3687">
        <f>IF($V3687="","",IF($AA3687&gt;N($AA3686),$AA3687,""))</f>
        <v/>
      </c>
      <c r="AA3687">
        <f>IF($V3687="",N($AA3686),IF(MATCH($V3687,$V$6:$V$6005,0)=ROW()-5,N($AA3686)+1,N($AA3686)))</f>
        <v/>
      </c>
    </row>
    <row r="3688" ht="21" customHeight="1" s="66">
      <c r="A3688" s="56" t="n"/>
      <c r="B3688" s="57" t="n"/>
      <c r="C3688" s="57" t="n"/>
      <c r="D3688" s="57" t="n"/>
      <c r="E3688" s="56" t="n"/>
      <c r="F3688" s="57" t="n"/>
      <c r="G3688" s="57" t="n"/>
      <c r="H3688" s="56" t="n"/>
      <c r="I3688" s="56" t="n"/>
      <c r="J3688" s="58" t="n"/>
      <c r="K3688" s="58" t="n"/>
      <c r="L3688" s="13">
        <f>IF(OR($A3688="",AND($J3688="",$K3688="")),"",ROUND(N($J3688)-N($K3688),2))</f>
        <v/>
      </c>
      <c r="M3688" s="13">
        <f>IF(OR($A3688="",AND($J3688="",$K3688="")),"",MIN($J3688,$K3688))</f>
        <v/>
      </c>
      <c r="Q3688">
        <f>IF($A3688="","",$D3688&amp;"("&amp;SUBSTITUTE($E3688," ","")&amp;")")</f>
        <v/>
      </c>
      <c r="R3688">
        <f>IF($A3688="","",$B3688&amp;" - "&amp;$C3688)</f>
        <v/>
      </c>
      <c r="S3688">
        <f>IF($A3688="","",$R3688&amp;"|"&amp;$Q3688)</f>
        <v/>
      </c>
      <c r="T3688">
        <f>IF($A3688="","",$S3688&amp;"|"&amp;$F3688)</f>
        <v/>
      </c>
      <c r="U3688">
        <f>IF($A3688="","",$R3688&amp;"("&amp;$E3688&amp;")")</f>
        <v/>
      </c>
      <c r="V3688">
        <f>IF($A3688="","",$F3688&amp;"|"&amp;$U3688&amp;"|"&amp;$D3688)</f>
        <v/>
      </c>
      <c r="W3688">
        <f>IF($T3688="","",IF($X3688&gt;N($X3687),$X3688,""))</f>
        <v/>
      </c>
      <c r="X3688">
        <f>IF($T3688="",N($X3687),IF(MATCH($T3688,$T$6:$T$6005,0)=ROW()-5,N($X3687)+1,N($X3687)))</f>
        <v/>
      </c>
      <c r="Z3688">
        <f>IF($V3688="","",IF($AA3688&gt;N($AA3687),$AA3688,""))</f>
        <v/>
      </c>
      <c r="AA3688">
        <f>IF($V3688="",N($AA3687),IF(MATCH($V3688,$V$6:$V$6005,0)=ROW()-5,N($AA3687)+1,N($AA3687)))</f>
        <v/>
      </c>
    </row>
    <row r="3689" ht="21" customHeight="1" s="66">
      <c r="A3689" s="56" t="n"/>
      <c r="B3689" s="57" t="n"/>
      <c r="C3689" s="57" t="n"/>
      <c r="D3689" s="57" t="n"/>
      <c r="E3689" s="56" t="n"/>
      <c r="F3689" s="57" t="n"/>
      <c r="G3689" s="57" t="n"/>
      <c r="H3689" s="56" t="n"/>
      <c r="I3689" s="56" t="n"/>
      <c r="J3689" s="58" t="n"/>
      <c r="K3689" s="58" t="n"/>
      <c r="L3689" s="13">
        <f>IF(OR($A3689="",AND($J3689="",$K3689="")),"",ROUND(N($J3689)-N($K3689),2))</f>
        <v/>
      </c>
      <c r="M3689" s="13">
        <f>IF(OR($A3689="",AND($J3689="",$K3689="")),"",MIN($J3689,$K3689))</f>
        <v/>
      </c>
      <c r="Q3689">
        <f>IF($A3689="","",$D3689&amp;"("&amp;SUBSTITUTE($E3689," ","")&amp;")")</f>
        <v/>
      </c>
      <c r="R3689">
        <f>IF($A3689="","",$B3689&amp;" - "&amp;$C3689)</f>
        <v/>
      </c>
      <c r="S3689">
        <f>IF($A3689="","",$R3689&amp;"|"&amp;$Q3689)</f>
        <v/>
      </c>
      <c r="T3689">
        <f>IF($A3689="","",$S3689&amp;"|"&amp;$F3689)</f>
        <v/>
      </c>
      <c r="U3689">
        <f>IF($A3689="","",$R3689&amp;"("&amp;$E3689&amp;")")</f>
        <v/>
      </c>
      <c r="V3689">
        <f>IF($A3689="","",$F3689&amp;"|"&amp;$U3689&amp;"|"&amp;$D3689)</f>
        <v/>
      </c>
      <c r="W3689">
        <f>IF($T3689="","",IF($X3689&gt;N($X3688),$X3689,""))</f>
        <v/>
      </c>
      <c r="X3689">
        <f>IF($T3689="",N($X3688),IF(MATCH($T3689,$T$6:$T$6005,0)=ROW()-5,N($X3688)+1,N($X3688)))</f>
        <v/>
      </c>
      <c r="Z3689">
        <f>IF($V3689="","",IF($AA3689&gt;N($AA3688),$AA3689,""))</f>
        <v/>
      </c>
      <c r="AA3689">
        <f>IF($V3689="",N($AA3688),IF(MATCH($V3689,$V$6:$V$6005,0)=ROW()-5,N($AA3688)+1,N($AA3688)))</f>
        <v/>
      </c>
    </row>
    <row r="3690" ht="21" customHeight="1" s="66">
      <c r="A3690" s="56" t="n"/>
      <c r="B3690" s="57" t="n"/>
      <c r="C3690" s="57" t="n"/>
      <c r="D3690" s="57" t="n"/>
      <c r="E3690" s="56" t="n"/>
      <c r="F3690" s="57" t="n"/>
      <c r="G3690" s="57" t="n"/>
      <c r="H3690" s="56" t="n"/>
      <c r="I3690" s="56" t="n"/>
      <c r="J3690" s="58" t="n"/>
      <c r="K3690" s="58" t="n"/>
      <c r="L3690" s="13">
        <f>IF(OR($A3690="",AND($J3690="",$K3690="")),"",ROUND(N($J3690)-N($K3690),2))</f>
        <v/>
      </c>
      <c r="M3690" s="13">
        <f>IF(OR($A3690="",AND($J3690="",$K3690="")),"",MIN($J3690,$K3690))</f>
        <v/>
      </c>
      <c r="Q3690">
        <f>IF($A3690="","",$D3690&amp;"("&amp;SUBSTITUTE($E3690," ","")&amp;")")</f>
        <v/>
      </c>
      <c r="R3690">
        <f>IF($A3690="","",$B3690&amp;" - "&amp;$C3690)</f>
        <v/>
      </c>
      <c r="S3690">
        <f>IF($A3690="","",$R3690&amp;"|"&amp;$Q3690)</f>
        <v/>
      </c>
      <c r="T3690">
        <f>IF($A3690="","",$S3690&amp;"|"&amp;$F3690)</f>
        <v/>
      </c>
      <c r="U3690">
        <f>IF($A3690="","",$R3690&amp;"("&amp;$E3690&amp;")")</f>
        <v/>
      </c>
      <c r="V3690">
        <f>IF($A3690="","",$F3690&amp;"|"&amp;$U3690&amp;"|"&amp;$D3690)</f>
        <v/>
      </c>
      <c r="W3690">
        <f>IF($T3690="","",IF($X3690&gt;N($X3689),$X3690,""))</f>
        <v/>
      </c>
      <c r="X3690">
        <f>IF($T3690="",N($X3689),IF(MATCH($T3690,$T$6:$T$6005,0)=ROW()-5,N($X3689)+1,N($X3689)))</f>
        <v/>
      </c>
      <c r="Z3690">
        <f>IF($V3690="","",IF($AA3690&gt;N($AA3689),$AA3690,""))</f>
        <v/>
      </c>
      <c r="AA3690">
        <f>IF($V3690="",N($AA3689),IF(MATCH($V3690,$V$6:$V$6005,0)=ROW()-5,N($AA3689)+1,N($AA3689)))</f>
        <v/>
      </c>
    </row>
    <row r="3691" ht="21" customHeight="1" s="66">
      <c r="A3691" s="56" t="n"/>
      <c r="B3691" s="57" t="n"/>
      <c r="C3691" s="57" t="n"/>
      <c r="D3691" s="57" t="n"/>
      <c r="E3691" s="56" t="n"/>
      <c r="F3691" s="57" t="n"/>
      <c r="G3691" s="57" t="n"/>
      <c r="H3691" s="56" t="n"/>
      <c r="I3691" s="56" t="n"/>
      <c r="J3691" s="58" t="n"/>
      <c r="K3691" s="58" t="n"/>
      <c r="L3691" s="13">
        <f>IF(OR($A3691="",AND($J3691="",$K3691="")),"",ROUND(N($J3691)-N($K3691),2))</f>
        <v/>
      </c>
      <c r="M3691" s="13">
        <f>IF(OR($A3691="",AND($J3691="",$K3691="")),"",MIN($J3691,$K3691))</f>
        <v/>
      </c>
      <c r="Q3691">
        <f>IF($A3691="","",$D3691&amp;"("&amp;SUBSTITUTE($E3691," ","")&amp;")")</f>
        <v/>
      </c>
      <c r="R3691">
        <f>IF($A3691="","",$B3691&amp;" - "&amp;$C3691)</f>
        <v/>
      </c>
      <c r="S3691">
        <f>IF($A3691="","",$R3691&amp;"|"&amp;$Q3691)</f>
        <v/>
      </c>
      <c r="T3691">
        <f>IF($A3691="","",$S3691&amp;"|"&amp;$F3691)</f>
        <v/>
      </c>
      <c r="U3691">
        <f>IF($A3691="","",$R3691&amp;"("&amp;$E3691&amp;")")</f>
        <v/>
      </c>
      <c r="V3691">
        <f>IF($A3691="","",$F3691&amp;"|"&amp;$U3691&amp;"|"&amp;$D3691)</f>
        <v/>
      </c>
      <c r="W3691">
        <f>IF($T3691="","",IF($X3691&gt;N($X3690),$X3691,""))</f>
        <v/>
      </c>
      <c r="X3691">
        <f>IF($T3691="",N($X3690),IF(MATCH($T3691,$T$6:$T$6005,0)=ROW()-5,N($X3690)+1,N($X3690)))</f>
        <v/>
      </c>
      <c r="Z3691">
        <f>IF($V3691="","",IF($AA3691&gt;N($AA3690),$AA3691,""))</f>
        <v/>
      </c>
      <c r="AA3691">
        <f>IF($V3691="",N($AA3690),IF(MATCH($V3691,$V$6:$V$6005,0)=ROW()-5,N($AA3690)+1,N($AA3690)))</f>
        <v/>
      </c>
    </row>
    <row r="3692" ht="21" customHeight="1" s="66">
      <c r="A3692" s="56" t="n"/>
      <c r="B3692" s="57" t="n"/>
      <c r="C3692" s="57" t="n"/>
      <c r="D3692" s="57" t="n"/>
      <c r="E3692" s="56" t="n"/>
      <c r="F3692" s="57" t="n"/>
      <c r="G3692" s="57" t="n"/>
      <c r="H3692" s="56" t="n"/>
      <c r="I3692" s="56" t="n"/>
      <c r="J3692" s="58" t="n"/>
      <c r="K3692" s="58" t="n"/>
      <c r="L3692" s="13">
        <f>IF(OR($A3692="",AND($J3692="",$K3692="")),"",ROUND(N($J3692)-N($K3692),2))</f>
        <v/>
      </c>
      <c r="M3692" s="13">
        <f>IF(OR($A3692="",AND($J3692="",$K3692="")),"",MIN($J3692,$K3692))</f>
        <v/>
      </c>
      <c r="Q3692">
        <f>IF($A3692="","",$D3692&amp;"("&amp;SUBSTITUTE($E3692," ","")&amp;")")</f>
        <v/>
      </c>
      <c r="R3692">
        <f>IF($A3692="","",$B3692&amp;" - "&amp;$C3692)</f>
        <v/>
      </c>
      <c r="S3692">
        <f>IF($A3692="","",$R3692&amp;"|"&amp;$Q3692)</f>
        <v/>
      </c>
      <c r="T3692">
        <f>IF($A3692="","",$S3692&amp;"|"&amp;$F3692)</f>
        <v/>
      </c>
      <c r="U3692">
        <f>IF($A3692="","",$R3692&amp;"("&amp;$E3692&amp;")")</f>
        <v/>
      </c>
      <c r="V3692">
        <f>IF($A3692="","",$F3692&amp;"|"&amp;$U3692&amp;"|"&amp;$D3692)</f>
        <v/>
      </c>
      <c r="W3692">
        <f>IF($T3692="","",IF($X3692&gt;N($X3691),$X3692,""))</f>
        <v/>
      </c>
      <c r="X3692">
        <f>IF($T3692="",N($X3691),IF(MATCH($T3692,$T$6:$T$6005,0)=ROW()-5,N($X3691)+1,N($X3691)))</f>
        <v/>
      </c>
      <c r="Z3692">
        <f>IF($V3692="","",IF($AA3692&gt;N($AA3691),$AA3692,""))</f>
        <v/>
      </c>
      <c r="AA3692">
        <f>IF($V3692="",N($AA3691),IF(MATCH($V3692,$V$6:$V$6005,0)=ROW()-5,N($AA3691)+1,N($AA3691)))</f>
        <v/>
      </c>
    </row>
    <row r="3693" ht="21" customHeight="1" s="66">
      <c r="A3693" s="56" t="n"/>
      <c r="B3693" s="57" t="n"/>
      <c r="C3693" s="57" t="n"/>
      <c r="D3693" s="57" t="n"/>
      <c r="E3693" s="56" t="n"/>
      <c r="F3693" s="57" t="n"/>
      <c r="G3693" s="57" t="n"/>
      <c r="H3693" s="56" t="n"/>
      <c r="I3693" s="56" t="n"/>
      <c r="J3693" s="58" t="n"/>
      <c r="K3693" s="58" t="n"/>
      <c r="L3693" s="13">
        <f>IF(OR($A3693="",AND($J3693="",$K3693="")),"",ROUND(N($J3693)-N($K3693),2))</f>
        <v/>
      </c>
      <c r="M3693" s="13">
        <f>IF(OR($A3693="",AND($J3693="",$K3693="")),"",MIN($J3693,$K3693))</f>
        <v/>
      </c>
      <c r="Q3693">
        <f>IF($A3693="","",$D3693&amp;"("&amp;SUBSTITUTE($E3693," ","")&amp;")")</f>
        <v/>
      </c>
      <c r="R3693">
        <f>IF($A3693="","",$B3693&amp;" - "&amp;$C3693)</f>
        <v/>
      </c>
      <c r="S3693">
        <f>IF($A3693="","",$R3693&amp;"|"&amp;$Q3693)</f>
        <v/>
      </c>
      <c r="T3693">
        <f>IF($A3693="","",$S3693&amp;"|"&amp;$F3693)</f>
        <v/>
      </c>
      <c r="U3693">
        <f>IF($A3693="","",$R3693&amp;"("&amp;$E3693&amp;")")</f>
        <v/>
      </c>
      <c r="V3693">
        <f>IF($A3693="","",$F3693&amp;"|"&amp;$U3693&amp;"|"&amp;$D3693)</f>
        <v/>
      </c>
      <c r="W3693">
        <f>IF($T3693="","",IF($X3693&gt;N($X3692),$X3693,""))</f>
        <v/>
      </c>
      <c r="X3693">
        <f>IF($T3693="",N($X3692),IF(MATCH($T3693,$T$6:$T$6005,0)=ROW()-5,N($X3692)+1,N($X3692)))</f>
        <v/>
      </c>
      <c r="Z3693">
        <f>IF($V3693="","",IF($AA3693&gt;N($AA3692),$AA3693,""))</f>
        <v/>
      </c>
      <c r="AA3693">
        <f>IF($V3693="",N($AA3692),IF(MATCH($V3693,$V$6:$V$6005,0)=ROW()-5,N($AA3692)+1,N($AA3692)))</f>
        <v/>
      </c>
    </row>
    <row r="3694" ht="21" customHeight="1" s="66">
      <c r="A3694" s="56" t="n"/>
      <c r="B3694" s="57" t="n"/>
      <c r="C3694" s="57" t="n"/>
      <c r="D3694" s="57" t="n"/>
      <c r="E3694" s="56" t="n"/>
      <c r="F3694" s="57" t="n"/>
      <c r="G3694" s="57" t="n"/>
      <c r="H3694" s="56" t="n"/>
      <c r="I3694" s="56" t="n"/>
      <c r="J3694" s="58" t="n"/>
      <c r="K3694" s="58" t="n"/>
      <c r="L3694" s="13">
        <f>IF(OR($A3694="",AND($J3694="",$K3694="")),"",ROUND(N($J3694)-N($K3694),2))</f>
        <v/>
      </c>
      <c r="M3694" s="13">
        <f>IF(OR($A3694="",AND($J3694="",$K3694="")),"",MIN($J3694,$K3694))</f>
        <v/>
      </c>
      <c r="Q3694">
        <f>IF($A3694="","",$D3694&amp;"("&amp;SUBSTITUTE($E3694," ","")&amp;")")</f>
        <v/>
      </c>
      <c r="R3694">
        <f>IF($A3694="","",$B3694&amp;" - "&amp;$C3694)</f>
        <v/>
      </c>
      <c r="S3694">
        <f>IF($A3694="","",$R3694&amp;"|"&amp;$Q3694)</f>
        <v/>
      </c>
      <c r="T3694">
        <f>IF($A3694="","",$S3694&amp;"|"&amp;$F3694)</f>
        <v/>
      </c>
      <c r="U3694">
        <f>IF($A3694="","",$R3694&amp;"("&amp;$E3694&amp;")")</f>
        <v/>
      </c>
      <c r="V3694">
        <f>IF($A3694="","",$F3694&amp;"|"&amp;$U3694&amp;"|"&amp;$D3694)</f>
        <v/>
      </c>
      <c r="W3694">
        <f>IF($T3694="","",IF($X3694&gt;N($X3693),$X3694,""))</f>
        <v/>
      </c>
      <c r="X3694">
        <f>IF($T3694="",N($X3693),IF(MATCH($T3694,$T$6:$T$6005,0)=ROW()-5,N($X3693)+1,N($X3693)))</f>
        <v/>
      </c>
      <c r="Z3694">
        <f>IF($V3694="","",IF($AA3694&gt;N($AA3693),$AA3694,""))</f>
        <v/>
      </c>
      <c r="AA3694">
        <f>IF($V3694="",N($AA3693),IF(MATCH($V3694,$V$6:$V$6005,0)=ROW()-5,N($AA3693)+1,N($AA3693)))</f>
        <v/>
      </c>
    </row>
    <row r="3695" ht="21" customHeight="1" s="66">
      <c r="A3695" s="56" t="n"/>
      <c r="B3695" s="57" t="n"/>
      <c r="C3695" s="57" t="n"/>
      <c r="D3695" s="57" t="n"/>
      <c r="E3695" s="56" t="n"/>
      <c r="F3695" s="57" t="n"/>
      <c r="G3695" s="57" t="n"/>
      <c r="H3695" s="56" t="n"/>
      <c r="I3695" s="56" t="n"/>
      <c r="J3695" s="58" t="n"/>
      <c r="K3695" s="58" t="n"/>
      <c r="L3695" s="13">
        <f>IF(OR($A3695="",AND($J3695="",$K3695="")),"",ROUND(N($J3695)-N($K3695),2))</f>
        <v/>
      </c>
      <c r="M3695" s="13">
        <f>IF(OR($A3695="",AND($J3695="",$K3695="")),"",MIN($J3695,$K3695))</f>
        <v/>
      </c>
      <c r="Q3695">
        <f>IF($A3695="","",$D3695&amp;"("&amp;SUBSTITUTE($E3695," ","")&amp;")")</f>
        <v/>
      </c>
      <c r="R3695">
        <f>IF($A3695="","",$B3695&amp;" - "&amp;$C3695)</f>
        <v/>
      </c>
      <c r="S3695">
        <f>IF($A3695="","",$R3695&amp;"|"&amp;$Q3695)</f>
        <v/>
      </c>
      <c r="T3695">
        <f>IF($A3695="","",$S3695&amp;"|"&amp;$F3695)</f>
        <v/>
      </c>
      <c r="U3695">
        <f>IF($A3695="","",$R3695&amp;"("&amp;$E3695&amp;")")</f>
        <v/>
      </c>
      <c r="V3695">
        <f>IF($A3695="","",$F3695&amp;"|"&amp;$U3695&amp;"|"&amp;$D3695)</f>
        <v/>
      </c>
      <c r="W3695">
        <f>IF($T3695="","",IF($X3695&gt;N($X3694),$X3695,""))</f>
        <v/>
      </c>
      <c r="X3695">
        <f>IF($T3695="",N($X3694),IF(MATCH($T3695,$T$6:$T$6005,0)=ROW()-5,N($X3694)+1,N($X3694)))</f>
        <v/>
      </c>
      <c r="Z3695">
        <f>IF($V3695="","",IF($AA3695&gt;N($AA3694),$AA3695,""))</f>
        <v/>
      </c>
      <c r="AA3695">
        <f>IF($V3695="",N($AA3694),IF(MATCH($V3695,$V$6:$V$6005,0)=ROW()-5,N($AA3694)+1,N($AA3694)))</f>
        <v/>
      </c>
    </row>
    <row r="3696" ht="21" customHeight="1" s="66">
      <c r="A3696" s="56" t="n"/>
      <c r="B3696" s="57" t="n"/>
      <c r="C3696" s="57" t="n"/>
      <c r="D3696" s="57" t="n"/>
      <c r="E3696" s="56" t="n"/>
      <c r="F3696" s="57" t="n"/>
      <c r="G3696" s="57" t="n"/>
      <c r="H3696" s="56" t="n"/>
      <c r="I3696" s="56" t="n"/>
      <c r="J3696" s="58" t="n"/>
      <c r="K3696" s="58" t="n"/>
      <c r="L3696" s="13">
        <f>IF(OR($A3696="",AND($J3696="",$K3696="")),"",ROUND(N($J3696)-N($K3696),2))</f>
        <v/>
      </c>
      <c r="M3696" s="13">
        <f>IF(OR($A3696="",AND($J3696="",$K3696="")),"",MIN($J3696,$K3696))</f>
        <v/>
      </c>
      <c r="Q3696">
        <f>IF($A3696="","",$D3696&amp;"("&amp;SUBSTITUTE($E3696," ","")&amp;")")</f>
        <v/>
      </c>
      <c r="R3696">
        <f>IF($A3696="","",$B3696&amp;" - "&amp;$C3696)</f>
        <v/>
      </c>
      <c r="S3696">
        <f>IF($A3696="","",$R3696&amp;"|"&amp;$Q3696)</f>
        <v/>
      </c>
      <c r="T3696">
        <f>IF($A3696="","",$S3696&amp;"|"&amp;$F3696)</f>
        <v/>
      </c>
      <c r="U3696">
        <f>IF($A3696="","",$R3696&amp;"("&amp;$E3696&amp;")")</f>
        <v/>
      </c>
      <c r="V3696">
        <f>IF($A3696="","",$F3696&amp;"|"&amp;$U3696&amp;"|"&amp;$D3696)</f>
        <v/>
      </c>
      <c r="W3696">
        <f>IF($T3696="","",IF($X3696&gt;N($X3695),$X3696,""))</f>
        <v/>
      </c>
      <c r="X3696">
        <f>IF($T3696="",N($X3695),IF(MATCH($T3696,$T$6:$T$6005,0)=ROW()-5,N($X3695)+1,N($X3695)))</f>
        <v/>
      </c>
      <c r="Z3696">
        <f>IF($V3696="","",IF($AA3696&gt;N($AA3695),$AA3696,""))</f>
        <v/>
      </c>
      <c r="AA3696">
        <f>IF($V3696="",N($AA3695),IF(MATCH($V3696,$V$6:$V$6005,0)=ROW()-5,N($AA3695)+1,N($AA3695)))</f>
        <v/>
      </c>
    </row>
    <row r="3697" ht="21" customHeight="1" s="66">
      <c r="A3697" s="56" t="n"/>
      <c r="B3697" s="57" t="n"/>
      <c r="C3697" s="57" t="n"/>
      <c r="D3697" s="57" t="n"/>
      <c r="E3697" s="56" t="n"/>
      <c r="F3697" s="57" t="n"/>
      <c r="G3697" s="57" t="n"/>
      <c r="H3697" s="56" t="n"/>
      <c r="I3697" s="56" t="n"/>
      <c r="J3697" s="58" t="n"/>
      <c r="K3697" s="58" t="n"/>
      <c r="L3697" s="13">
        <f>IF(OR($A3697="",AND($J3697="",$K3697="")),"",ROUND(N($J3697)-N($K3697),2))</f>
        <v/>
      </c>
      <c r="M3697" s="13">
        <f>IF(OR($A3697="",AND($J3697="",$K3697="")),"",MIN($J3697,$K3697))</f>
        <v/>
      </c>
      <c r="Q3697">
        <f>IF($A3697="","",$D3697&amp;"("&amp;SUBSTITUTE($E3697," ","")&amp;")")</f>
        <v/>
      </c>
      <c r="R3697">
        <f>IF($A3697="","",$B3697&amp;" - "&amp;$C3697)</f>
        <v/>
      </c>
      <c r="S3697">
        <f>IF($A3697="","",$R3697&amp;"|"&amp;$Q3697)</f>
        <v/>
      </c>
      <c r="T3697">
        <f>IF($A3697="","",$S3697&amp;"|"&amp;$F3697)</f>
        <v/>
      </c>
      <c r="U3697">
        <f>IF($A3697="","",$R3697&amp;"("&amp;$E3697&amp;")")</f>
        <v/>
      </c>
      <c r="V3697">
        <f>IF($A3697="","",$F3697&amp;"|"&amp;$U3697&amp;"|"&amp;$D3697)</f>
        <v/>
      </c>
      <c r="W3697">
        <f>IF($T3697="","",IF($X3697&gt;N($X3696),$X3697,""))</f>
        <v/>
      </c>
      <c r="X3697">
        <f>IF($T3697="",N($X3696),IF(MATCH($T3697,$T$6:$T$6005,0)=ROW()-5,N($X3696)+1,N($X3696)))</f>
        <v/>
      </c>
      <c r="Z3697">
        <f>IF($V3697="","",IF($AA3697&gt;N($AA3696),$AA3697,""))</f>
        <v/>
      </c>
      <c r="AA3697">
        <f>IF($V3697="",N($AA3696),IF(MATCH($V3697,$V$6:$V$6005,0)=ROW()-5,N($AA3696)+1,N($AA3696)))</f>
        <v/>
      </c>
    </row>
    <row r="3698" ht="21" customHeight="1" s="66">
      <c r="A3698" s="56" t="n"/>
      <c r="B3698" s="57" t="n"/>
      <c r="C3698" s="57" t="n"/>
      <c r="D3698" s="57" t="n"/>
      <c r="E3698" s="56" t="n"/>
      <c r="F3698" s="57" t="n"/>
      <c r="G3698" s="57" t="n"/>
      <c r="H3698" s="56" t="n"/>
      <c r="I3698" s="56" t="n"/>
      <c r="J3698" s="58" t="n"/>
      <c r="K3698" s="58" t="n"/>
      <c r="L3698" s="13">
        <f>IF(OR($A3698="",AND($J3698="",$K3698="")),"",ROUND(N($J3698)-N($K3698),2))</f>
        <v/>
      </c>
      <c r="M3698" s="13">
        <f>IF(OR($A3698="",AND($J3698="",$K3698="")),"",MIN($J3698,$K3698))</f>
        <v/>
      </c>
      <c r="Q3698">
        <f>IF($A3698="","",$D3698&amp;"("&amp;SUBSTITUTE($E3698," ","")&amp;")")</f>
        <v/>
      </c>
      <c r="R3698">
        <f>IF($A3698="","",$B3698&amp;" - "&amp;$C3698)</f>
        <v/>
      </c>
      <c r="S3698">
        <f>IF($A3698="","",$R3698&amp;"|"&amp;$Q3698)</f>
        <v/>
      </c>
      <c r="T3698">
        <f>IF($A3698="","",$S3698&amp;"|"&amp;$F3698)</f>
        <v/>
      </c>
      <c r="U3698">
        <f>IF($A3698="","",$R3698&amp;"("&amp;$E3698&amp;")")</f>
        <v/>
      </c>
      <c r="V3698">
        <f>IF($A3698="","",$F3698&amp;"|"&amp;$U3698&amp;"|"&amp;$D3698)</f>
        <v/>
      </c>
      <c r="W3698">
        <f>IF($T3698="","",IF($X3698&gt;N($X3697),$X3698,""))</f>
        <v/>
      </c>
      <c r="X3698">
        <f>IF($T3698="",N($X3697),IF(MATCH($T3698,$T$6:$T$6005,0)=ROW()-5,N($X3697)+1,N($X3697)))</f>
        <v/>
      </c>
      <c r="Z3698">
        <f>IF($V3698="","",IF($AA3698&gt;N($AA3697),$AA3698,""))</f>
        <v/>
      </c>
      <c r="AA3698">
        <f>IF($V3698="",N($AA3697),IF(MATCH($V3698,$V$6:$V$6005,0)=ROW()-5,N($AA3697)+1,N($AA3697)))</f>
        <v/>
      </c>
    </row>
    <row r="3699" ht="21" customHeight="1" s="66">
      <c r="A3699" s="56" t="n"/>
      <c r="B3699" s="57" t="n"/>
      <c r="C3699" s="57" t="n"/>
      <c r="D3699" s="57" t="n"/>
      <c r="E3699" s="56" t="n"/>
      <c r="F3699" s="57" t="n"/>
      <c r="G3699" s="57" t="n"/>
      <c r="H3699" s="56" t="n"/>
      <c r="I3699" s="56" t="n"/>
      <c r="J3699" s="58" t="n"/>
      <c r="K3699" s="58" t="n"/>
      <c r="L3699" s="13">
        <f>IF(OR($A3699="",AND($J3699="",$K3699="")),"",ROUND(N($J3699)-N($K3699),2))</f>
        <v/>
      </c>
      <c r="M3699" s="13">
        <f>IF(OR($A3699="",AND($J3699="",$K3699="")),"",MIN($J3699,$K3699))</f>
        <v/>
      </c>
      <c r="Q3699">
        <f>IF($A3699="","",$D3699&amp;"("&amp;SUBSTITUTE($E3699," ","")&amp;")")</f>
        <v/>
      </c>
      <c r="R3699">
        <f>IF($A3699="","",$B3699&amp;" - "&amp;$C3699)</f>
        <v/>
      </c>
      <c r="S3699">
        <f>IF($A3699="","",$R3699&amp;"|"&amp;$Q3699)</f>
        <v/>
      </c>
      <c r="T3699">
        <f>IF($A3699="","",$S3699&amp;"|"&amp;$F3699)</f>
        <v/>
      </c>
      <c r="U3699">
        <f>IF($A3699="","",$R3699&amp;"("&amp;$E3699&amp;")")</f>
        <v/>
      </c>
      <c r="V3699">
        <f>IF($A3699="","",$F3699&amp;"|"&amp;$U3699&amp;"|"&amp;$D3699)</f>
        <v/>
      </c>
      <c r="W3699">
        <f>IF($T3699="","",IF($X3699&gt;N($X3698),$X3699,""))</f>
        <v/>
      </c>
      <c r="X3699">
        <f>IF($T3699="",N($X3698),IF(MATCH($T3699,$T$6:$T$6005,0)=ROW()-5,N($X3698)+1,N($X3698)))</f>
        <v/>
      </c>
      <c r="Z3699">
        <f>IF($V3699="","",IF($AA3699&gt;N($AA3698),$AA3699,""))</f>
        <v/>
      </c>
      <c r="AA3699">
        <f>IF($V3699="",N($AA3698),IF(MATCH($V3699,$V$6:$V$6005,0)=ROW()-5,N($AA3698)+1,N($AA3698)))</f>
        <v/>
      </c>
    </row>
    <row r="3700" ht="21" customHeight="1" s="66">
      <c r="A3700" s="56" t="n"/>
      <c r="B3700" s="57" t="n"/>
      <c r="C3700" s="57" t="n"/>
      <c r="D3700" s="57" t="n"/>
      <c r="E3700" s="56" t="n"/>
      <c r="F3700" s="57" t="n"/>
      <c r="G3700" s="57" t="n"/>
      <c r="H3700" s="56" t="n"/>
      <c r="I3700" s="56" t="n"/>
      <c r="J3700" s="58" t="n"/>
      <c r="K3700" s="58" t="n"/>
      <c r="L3700" s="13">
        <f>IF(OR($A3700="",AND($J3700="",$K3700="")),"",ROUND(N($J3700)-N($K3700),2))</f>
        <v/>
      </c>
      <c r="M3700" s="13">
        <f>IF(OR($A3700="",AND($J3700="",$K3700="")),"",MIN($J3700,$K3700))</f>
        <v/>
      </c>
      <c r="Q3700">
        <f>IF($A3700="","",$D3700&amp;"("&amp;SUBSTITUTE($E3700," ","")&amp;")")</f>
        <v/>
      </c>
      <c r="R3700">
        <f>IF($A3700="","",$B3700&amp;" - "&amp;$C3700)</f>
        <v/>
      </c>
      <c r="S3700">
        <f>IF($A3700="","",$R3700&amp;"|"&amp;$Q3700)</f>
        <v/>
      </c>
      <c r="T3700">
        <f>IF($A3700="","",$S3700&amp;"|"&amp;$F3700)</f>
        <v/>
      </c>
      <c r="U3700">
        <f>IF($A3700="","",$R3700&amp;"("&amp;$E3700&amp;")")</f>
        <v/>
      </c>
      <c r="V3700">
        <f>IF($A3700="","",$F3700&amp;"|"&amp;$U3700&amp;"|"&amp;$D3700)</f>
        <v/>
      </c>
      <c r="W3700">
        <f>IF($T3700="","",IF($X3700&gt;N($X3699),$X3700,""))</f>
        <v/>
      </c>
      <c r="X3700">
        <f>IF($T3700="",N($X3699),IF(MATCH($T3700,$T$6:$T$6005,0)=ROW()-5,N($X3699)+1,N($X3699)))</f>
        <v/>
      </c>
      <c r="Z3700">
        <f>IF($V3700="","",IF($AA3700&gt;N($AA3699),$AA3700,""))</f>
        <v/>
      </c>
      <c r="AA3700">
        <f>IF($V3700="",N($AA3699),IF(MATCH($V3700,$V$6:$V$6005,0)=ROW()-5,N($AA3699)+1,N($AA3699)))</f>
        <v/>
      </c>
    </row>
    <row r="3701" ht="21" customHeight="1" s="66">
      <c r="A3701" s="56" t="n"/>
      <c r="B3701" s="57" t="n"/>
      <c r="C3701" s="57" t="n"/>
      <c r="D3701" s="57" t="n"/>
      <c r="E3701" s="56" t="n"/>
      <c r="F3701" s="57" t="n"/>
      <c r="G3701" s="57" t="n"/>
      <c r="H3701" s="56" t="n"/>
      <c r="I3701" s="56" t="n"/>
      <c r="J3701" s="58" t="n"/>
      <c r="K3701" s="58" t="n"/>
      <c r="L3701" s="13">
        <f>IF(OR($A3701="",AND($J3701="",$K3701="")),"",ROUND(N($J3701)-N($K3701),2))</f>
        <v/>
      </c>
      <c r="M3701" s="13">
        <f>IF(OR($A3701="",AND($J3701="",$K3701="")),"",MIN($J3701,$K3701))</f>
        <v/>
      </c>
      <c r="Q3701">
        <f>IF($A3701="","",$D3701&amp;"("&amp;SUBSTITUTE($E3701," ","")&amp;")")</f>
        <v/>
      </c>
      <c r="R3701">
        <f>IF($A3701="","",$B3701&amp;" - "&amp;$C3701)</f>
        <v/>
      </c>
      <c r="S3701">
        <f>IF($A3701="","",$R3701&amp;"|"&amp;$Q3701)</f>
        <v/>
      </c>
      <c r="T3701">
        <f>IF($A3701="","",$S3701&amp;"|"&amp;$F3701)</f>
        <v/>
      </c>
      <c r="U3701">
        <f>IF($A3701="","",$R3701&amp;"("&amp;$E3701&amp;")")</f>
        <v/>
      </c>
      <c r="V3701">
        <f>IF($A3701="","",$F3701&amp;"|"&amp;$U3701&amp;"|"&amp;$D3701)</f>
        <v/>
      </c>
      <c r="W3701">
        <f>IF($T3701="","",IF($X3701&gt;N($X3700),$X3701,""))</f>
        <v/>
      </c>
      <c r="X3701">
        <f>IF($T3701="",N($X3700),IF(MATCH($T3701,$T$6:$T$6005,0)=ROW()-5,N($X3700)+1,N($X3700)))</f>
        <v/>
      </c>
      <c r="Z3701">
        <f>IF($V3701="","",IF($AA3701&gt;N($AA3700),$AA3701,""))</f>
        <v/>
      </c>
      <c r="AA3701">
        <f>IF($V3701="",N($AA3700),IF(MATCH($V3701,$V$6:$V$6005,0)=ROW()-5,N($AA3700)+1,N($AA3700)))</f>
        <v/>
      </c>
    </row>
    <row r="3702" ht="21" customHeight="1" s="66">
      <c r="A3702" s="56" t="n"/>
      <c r="B3702" s="57" t="n"/>
      <c r="C3702" s="57" t="n"/>
      <c r="D3702" s="57" t="n"/>
      <c r="E3702" s="56" t="n"/>
      <c r="F3702" s="57" t="n"/>
      <c r="G3702" s="57" t="n"/>
      <c r="H3702" s="56" t="n"/>
      <c r="I3702" s="56" t="n"/>
      <c r="J3702" s="58" t="n"/>
      <c r="K3702" s="58" t="n"/>
      <c r="L3702" s="13">
        <f>IF(OR($A3702="",AND($J3702="",$K3702="")),"",ROUND(N($J3702)-N($K3702),2))</f>
        <v/>
      </c>
      <c r="M3702" s="13">
        <f>IF(OR($A3702="",AND($J3702="",$K3702="")),"",MIN($J3702,$K3702))</f>
        <v/>
      </c>
      <c r="Q3702">
        <f>IF($A3702="","",$D3702&amp;"("&amp;SUBSTITUTE($E3702," ","")&amp;")")</f>
        <v/>
      </c>
      <c r="R3702">
        <f>IF($A3702="","",$B3702&amp;" - "&amp;$C3702)</f>
        <v/>
      </c>
      <c r="S3702">
        <f>IF($A3702="","",$R3702&amp;"|"&amp;$Q3702)</f>
        <v/>
      </c>
      <c r="T3702">
        <f>IF($A3702="","",$S3702&amp;"|"&amp;$F3702)</f>
        <v/>
      </c>
      <c r="U3702">
        <f>IF($A3702="","",$R3702&amp;"("&amp;$E3702&amp;")")</f>
        <v/>
      </c>
      <c r="V3702">
        <f>IF($A3702="","",$F3702&amp;"|"&amp;$U3702&amp;"|"&amp;$D3702)</f>
        <v/>
      </c>
      <c r="W3702">
        <f>IF($T3702="","",IF($X3702&gt;N($X3701),$X3702,""))</f>
        <v/>
      </c>
      <c r="X3702">
        <f>IF($T3702="",N($X3701),IF(MATCH($T3702,$T$6:$T$6005,0)=ROW()-5,N($X3701)+1,N($X3701)))</f>
        <v/>
      </c>
      <c r="Z3702">
        <f>IF($V3702="","",IF($AA3702&gt;N($AA3701),$AA3702,""))</f>
        <v/>
      </c>
      <c r="AA3702">
        <f>IF($V3702="",N($AA3701),IF(MATCH($V3702,$V$6:$V$6005,0)=ROW()-5,N($AA3701)+1,N($AA3701)))</f>
        <v/>
      </c>
    </row>
    <row r="3703" ht="21" customHeight="1" s="66">
      <c r="A3703" s="56" t="n"/>
      <c r="B3703" s="57" t="n"/>
      <c r="C3703" s="57" t="n"/>
      <c r="D3703" s="57" t="n"/>
      <c r="E3703" s="56" t="n"/>
      <c r="F3703" s="57" t="n"/>
      <c r="G3703" s="57" t="n"/>
      <c r="H3703" s="56" t="n"/>
      <c r="I3703" s="56" t="n"/>
      <c r="J3703" s="58" t="n"/>
      <c r="K3703" s="58" t="n"/>
      <c r="L3703" s="13">
        <f>IF(OR($A3703="",AND($J3703="",$K3703="")),"",ROUND(N($J3703)-N($K3703),2))</f>
        <v/>
      </c>
      <c r="M3703" s="13">
        <f>IF(OR($A3703="",AND($J3703="",$K3703="")),"",MIN($J3703,$K3703))</f>
        <v/>
      </c>
      <c r="Q3703">
        <f>IF($A3703="","",$D3703&amp;"("&amp;SUBSTITUTE($E3703," ","")&amp;")")</f>
        <v/>
      </c>
      <c r="R3703">
        <f>IF($A3703="","",$B3703&amp;" - "&amp;$C3703)</f>
        <v/>
      </c>
      <c r="S3703">
        <f>IF($A3703="","",$R3703&amp;"|"&amp;$Q3703)</f>
        <v/>
      </c>
      <c r="T3703">
        <f>IF($A3703="","",$S3703&amp;"|"&amp;$F3703)</f>
        <v/>
      </c>
      <c r="U3703">
        <f>IF($A3703="","",$R3703&amp;"("&amp;$E3703&amp;")")</f>
        <v/>
      </c>
      <c r="V3703">
        <f>IF($A3703="","",$F3703&amp;"|"&amp;$U3703&amp;"|"&amp;$D3703)</f>
        <v/>
      </c>
      <c r="W3703">
        <f>IF($T3703="","",IF($X3703&gt;N($X3702),$X3703,""))</f>
        <v/>
      </c>
      <c r="X3703">
        <f>IF($T3703="",N($X3702),IF(MATCH($T3703,$T$6:$T$6005,0)=ROW()-5,N($X3702)+1,N($X3702)))</f>
        <v/>
      </c>
      <c r="Z3703">
        <f>IF($V3703="","",IF($AA3703&gt;N($AA3702),$AA3703,""))</f>
        <v/>
      </c>
      <c r="AA3703">
        <f>IF($V3703="",N($AA3702),IF(MATCH($V3703,$V$6:$V$6005,0)=ROW()-5,N($AA3702)+1,N($AA3702)))</f>
        <v/>
      </c>
    </row>
    <row r="3704" ht="21" customHeight="1" s="66">
      <c r="A3704" s="56" t="n"/>
      <c r="B3704" s="57" t="n"/>
      <c r="C3704" s="57" t="n"/>
      <c r="D3704" s="57" t="n"/>
      <c r="E3704" s="56" t="n"/>
      <c r="F3704" s="57" t="n"/>
      <c r="G3704" s="57" t="n"/>
      <c r="H3704" s="56" t="n"/>
      <c r="I3704" s="56" t="n"/>
      <c r="J3704" s="58" t="n"/>
      <c r="K3704" s="58" t="n"/>
      <c r="L3704" s="13">
        <f>IF(OR($A3704="",AND($J3704="",$K3704="")),"",ROUND(N($J3704)-N($K3704),2))</f>
        <v/>
      </c>
      <c r="M3704" s="13">
        <f>IF(OR($A3704="",AND($J3704="",$K3704="")),"",MIN($J3704,$K3704))</f>
        <v/>
      </c>
      <c r="Q3704">
        <f>IF($A3704="","",$D3704&amp;"("&amp;SUBSTITUTE($E3704," ","")&amp;")")</f>
        <v/>
      </c>
      <c r="R3704">
        <f>IF($A3704="","",$B3704&amp;" - "&amp;$C3704)</f>
        <v/>
      </c>
      <c r="S3704">
        <f>IF($A3704="","",$R3704&amp;"|"&amp;$Q3704)</f>
        <v/>
      </c>
      <c r="T3704">
        <f>IF($A3704="","",$S3704&amp;"|"&amp;$F3704)</f>
        <v/>
      </c>
      <c r="U3704">
        <f>IF($A3704="","",$R3704&amp;"("&amp;$E3704&amp;")")</f>
        <v/>
      </c>
      <c r="V3704">
        <f>IF($A3704="","",$F3704&amp;"|"&amp;$U3704&amp;"|"&amp;$D3704)</f>
        <v/>
      </c>
      <c r="W3704">
        <f>IF($T3704="","",IF($X3704&gt;N($X3703),$X3704,""))</f>
        <v/>
      </c>
      <c r="X3704">
        <f>IF($T3704="",N($X3703),IF(MATCH($T3704,$T$6:$T$6005,0)=ROW()-5,N($X3703)+1,N($X3703)))</f>
        <v/>
      </c>
      <c r="Z3704">
        <f>IF($V3704="","",IF($AA3704&gt;N($AA3703),$AA3704,""))</f>
        <v/>
      </c>
      <c r="AA3704">
        <f>IF($V3704="",N($AA3703),IF(MATCH($V3704,$V$6:$V$6005,0)=ROW()-5,N($AA3703)+1,N($AA3703)))</f>
        <v/>
      </c>
    </row>
    <row r="3705" ht="21" customHeight="1" s="66">
      <c r="A3705" s="56" t="n"/>
      <c r="B3705" s="57" t="n"/>
      <c r="C3705" s="57" t="n"/>
      <c r="D3705" s="57" t="n"/>
      <c r="E3705" s="56" t="n"/>
      <c r="F3705" s="57" t="n"/>
      <c r="G3705" s="57" t="n"/>
      <c r="H3705" s="56" t="n"/>
      <c r="I3705" s="56" t="n"/>
      <c r="J3705" s="58" t="n"/>
      <c r="K3705" s="58" t="n"/>
      <c r="L3705" s="13">
        <f>IF(OR($A3705="",AND($J3705="",$K3705="")),"",ROUND(N($J3705)-N($K3705),2))</f>
        <v/>
      </c>
      <c r="M3705" s="13">
        <f>IF(OR($A3705="",AND($J3705="",$K3705="")),"",MIN($J3705,$K3705))</f>
        <v/>
      </c>
      <c r="Q3705">
        <f>IF($A3705="","",$D3705&amp;"("&amp;SUBSTITUTE($E3705," ","")&amp;")")</f>
        <v/>
      </c>
      <c r="R3705">
        <f>IF($A3705="","",$B3705&amp;" - "&amp;$C3705)</f>
        <v/>
      </c>
      <c r="S3705">
        <f>IF($A3705="","",$R3705&amp;"|"&amp;$Q3705)</f>
        <v/>
      </c>
      <c r="T3705">
        <f>IF($A3705="","",$S3705&amp;"|"&amp;$F3705)</f>
        <v/>
      </c>
      <c r="U3705">
        <f>IF($A3705="","",$R3705&amp;"("&amp;$E3705&amp;")")</f>
        <v/>
      </c>
      <c r="V3705">
        <f>IF($A3705="","",$F3705&amp;"|"&amp;$U3705&amp;"|"&amp;$D3705)</f>
        <v/>
      </c>
      <c r="W3705">
        <f>IF($T3705="","",IF($X3705&gt;N($X3704),$X3705,""))</f>
        <v/>
      </c>
      <c r="X3705">
        <f>IF($T3705="",N($X3704),IF(MATCH($T3705,$T$6:$T$6005,0)=ROW()-5,N($X3704)+1,N($X3704)))</f>
        <v/>
      </c>
      <c r="Z3705">
        <f>IF($V3705="","",IF($AA3705&gt;N($AA3704),$AA3705,""))</f>
        <v/>
      </c>
      <c r="AA3705">
        <f>IF($V3705="",N($AA3704),IF(MATCH($V3705,$V$6:$V$6005,0)=ROW()-5,N($AA3704)+1,N($AA3704)))</f>
        <v/>
      </c>
    </row>
    <row r="3706" ht="21" customHeight="1" s="66">
      <c r="A3706" s="56" t="n"/>
      <c r="B3706" s="57" t="n"/>
      <c r="C3706" s="57" t="n"/>
      <c r="D3706" s="57" t="n"/>
      <c r="E3706" s="56" t="n"/>
      <c r="F3706" s="57" t="n"/>
      <c r="G3706" s="57" t="n"/>
      <c r="H3706" s="56" t="n"/>
      <c r="I3706" s="56" t="n"/>
      <c r="J3706" s="58" t="n"/>
      <c r="K3706" s="58" t="n"/>
      <c r="L3706" s="13">
        <f>IF(OR($A3706="",AND($J3706="",$K3706="")),"",ROUND(N($J3706)-N($K3706),2))</f>
        <v/>
      </c>
      <c r="M3706" s="13">
        <f>IF(OR($A3706="",AND($J3706="",$K3706="")),"",MIN($J3706,$K3706))</f>
        <v/>
      </c>
      <c r="Q3706">
        <f>IF($A3706="","",$D3706&amp;"("&amp;SUBSTITUTE($E3706," ","")&amp;")")</f>
        <v/>
      </c>
      <c r="R3706">
        <f>IF($A3706="","",$B3706&amp;" - "&amp;$C3706)</f>
        <v/>
      </c>
      <c r="S3706">
        <f>IF($A3706="","",$R3706&amp;"|"&amp;$Q3706)</f>
        <v/>
      </c>
      <c r="T3706">
        <f>IF($A3706="","",$S3706&amp;"|"&amp;$F3706)</f>
        <v/>
      </c>
      <c r="U3706">
        <f>IF($A3706="","",$R3706&amp;"("&amp;$E3706&amp;")")</f>
        <v/>
      </c>
      <c r="V3706">
        <f>IF($A3706="","",$F3706&amp;"|"&amp;$U3706&amp;"|"&amp;$D3706)</f>
        <v/>
      </c>
      <c r="W3706">
        <f>IF($T3706="","",IF($X3706&gt;N($X3705),$X3706,""))</f>
        <v/>
      </c>
      <c r="X3706">
        <f>IF($T3706="",N($X3705),IF(MATCH($T3706,$T$6:$T$6005,0)=ROW()-5,N($X3705)+1,N($X3705)))</f>
        <v/>
      </c>
      <c r="Z3706">
        <f>IF($V3706="","",IF($AA3706&gt;N($AA3705),$AA3706,""))</f>
        <v/>
      </c>
      <c r="AA3706">
        <f>IF($V3706="",N($AA3705),IF(MATCH($V3706,$V$6:$V$6005,0)=ROW()-5,N($AA3705)+1,N($AA3705)))</f>
        <v/>
      </c>
    </row>
    <row r="3707" ht="21" customHeight="1" s="66">
      <c r="A3707" s="56" t="n"/>
      <c r="B3707" s="57" t="n"/>
      <c r="C3707" s="57" t="n"/>
      <c r="D3707" s="57" t="n"/>
      <c r="E3707" s="56" t="n"/>
      <c r="F3707" s="57" t="n"/>
      <c r="G3707" s="57" t="n"/>
      <c r="H3707" s="56" t="n"/>
      <c r="I3707" s="56" t="n"/>
      <c r="J3707" s="58" t="n"/>
      <c r="K3707" s="58" t="n"/>
      <c r="L3707" s="13">
        <f>IF(OR($A3707="",AND($J3707="",$K3707="")),"",ROUND(N($J3707)-N($K3707),2))</f>
        <v/>
      </c>
      <c r="M3707" s="13">
        <f>IF(OR($A3707="",AND($J3707="",$K3707="")),"",MIN($J3707,$K3707))</f>
        <v/>
      </c>
      <c r="Q3707">
        <f>IF($A3707="","",$D3707&amp;"("&amp;SUBSTITUTE($E3707," ","")&amp;")")</f>
        <v/>
      </c>
      <c r="R3707">
        <f>IF($A3707="","",$B3707&amp;" - "&amp;$C3707)</f>
        <v/>
      </c>
      <c r="S3707">
        <f>IF($A3707="","",$R3707&amp;"|"&amp;$Q3707)</f>
        <v/>
      </c>
      <c r="T3707">
        <f>IF($A3707="","",$S3707&amp;"|"&amp;$F3707)</f>
        <v/>
      </c>
      <c r="U3707">
        <f>IF($A3707="","",$R3707&amp;"("&amp;$E3707&amp;")")</f>
        <v/>
      </c>
      <c r="V3707">
        <f>IF($A3707="","",$F3707&amp;"|"&amp;$U3707&amp;"|"&amp;$D3707)</f>
        <v/>
      </c>
      <c r="W3707">
        <f>IF($T3707="","",IF($X3707&gt;N($X3706),$X3707,""))</f>
        <v/>
      </c>
      <c r="X3707">
        <f>IF($T3707="",N($X3706),IF(MATCH($T3707,$T$6:$T$6005,0)=ROW()-5,N($X3706)+1,N($X3706)))</f>
        <v/>
      </c>
      <c r="Z3707">
        <f>IF($V3707="","",IF($AA3707&gt;N($AA3706),$AA3707,""))</f>
        <v/>
      </c>
      <c r="AA3707">
        <f>IF($V3707="",N($AA3706),IF(MATCH($V3707,$V$6:$V$6005,0)=ROW()-5,N($AA3706)+1,N($AA3706)))</f>
        <v/>
      </c>
    </row>
    <row r="3708" ht="21" customHeight="1" s="66">
      <c r="A3708" s="56" t="n"/>
      <c r="B3708" s="57" t="n"/>
      <c r="C3708" s="57" t="n"/>
      <c r="D3708" s="57" t="n"/>
      <c r="E3708" s="56" t="n"/>
      <c r="F3708" s="57" t="n"/>
      <c r="G3708" s="57" t="n"/>
      <c r="H3708" s="56" t="n"/>
      <c r="I3708" s="56" t="n"/>
      <c r="J3708" s="58" t="n"/>
      <c r="K3708" s="58" t="n"/>
      <c r="L3708" s="13">
        <f>IF(OR($A3708="",AND($J3708="",$K3708="")),"",ROUND(N($J3708)-N($K3708),2))</f>
        <v/>
      </c>
      <c r="M3708" s="13">
        <f>IF(OR($A3708="",AND($J3708="",$K3708="")),"",MIN($J3708,$K3708))</f>
        <v/>
      </c>
      <c r="Q3708">
        <f>IF($A3708="","",$D3708&amp;"("&amp;SUBSTITUTE($E3708," ","")&amp;")")</f>
        <v/>
      </c>
      <c r="R3708">
        <f>IF($A3708="","",$B3708&amp;" - "&amp;$C3708)</f>
        <v/>
      </c>
      <c r="S3708">
        <f>IF($A3708="","",$R3708&amp;"|"&amp;$Q3708)</f>
        <v/>
      </c>
      <c r="T3708">
        <f>IF($A3708="","",$S3708&amp;"|"&amp;$F3708)</f>
        <v/>
      </c>
      <c r="U3708">
        <f>IF($A3708="","",$R3708&amp;"("&amp;$E3708&amp;")")</f>
        <v/>
      </c>
      <c r="V3708">
        <f>IF($A3708="","",$F3708&amp;"|"&amp;$U3708&amp;"|"&amp;$D3708)</f>
        <v/>
      </c>
      <c r="W3708">
        <f>IF($T3708="","",IF($X3708&gt;N($X3707),$X3708,""))</f>
        <v/>
      </c>
      <c r="X3708">
        <f>IF($T3708="",N($X3707),IF(MATCH($T3708,$T$6:$T$6005,0)=ROW()-5,N($X3707)+1,N($X3707)))</f>
        <v/>
      </c>
      <c r="Z3708">
        <f>IF($V3708="","",IF($AA3708&gt;N($AA3707),$AA3708,""))</f>
        <v/>
      </c>
      <c r="AA3708">
        <f>IF($V3708="",N($AA3707),IF(MATCH($V3708,$V$6:$V$6005,0)=ROW()-5,N($AA3707)+1,N($AA3707)))</f>
        <v/>
      </c>
    </row>
    <row r="3709" ht="21" customHeight="1" s="66">
      <c r="A3709" s="56" t="n"/>
      <c r="B3709" s="57" t="n"/>
      <c r="C3709" s="57" t="n"/>
      <c r="D3709" s="57" t="n"/>
      <c r="E3709" s="56" t="n"/>
      <c r="F3709" s="57" t="n"/>
      <c r="G3709" s="57" t="n"/>
      <c r="H3709" s="56" t="n"/>
      <c r="I3709" s="56" t="n"/>
      <c r="J3709" s="58" t="n"/>
      <c r="K3709" s="58" t="n"/>
      <c r="L3709" s="13">
        <f>IF(OR($A3709="",AND($J3709="",$K3709="")),"",ROUND(N($J3709)-N($K3709),2))</f>
        <v/>
      </c>
      <c r="M3709" s="13">
        <f>IF(OR($A3709="",AND($J3709="",$K3709="")),"",MIN($J3709,$K3709))</f>
        <v/>
      </c>
      <c r="Q3709">
        <f>IF($A3709="","",$D3709&amp;"("&amp;SUBSTITUTE($E3709," ","")&amp;")")</f>
        <v/>
      </c>
      <c r="R3709">
        <f>IF($A3709="","",$B3709&amp;" - "&amp;$C3709)</f>
        <v/>
      </c>
      <c r="S3709">
        <f>IF($A3709="","",$R3709&amp;"|"&amp;$Q3709)</f>
        <v/>
      </c>
      <c r="T3709">
        <f>IF($A3709="","",$S3709&amp;"|"&amp;$F3709)</f>
        <v/>
      </c>
      <c r="U3709">
        <f>IF($A3709="","",$R3709&amp;"("&amp;$E3709&amp;")")</f>
        <v/>
      </c>
      <c r="V3709">
        <f>IF($A3709="","",$F3709&amp;"|"&amp;$U3709&amp;"|"&amp;$D3709)</f>
        <v/>
      </c>
      <c r="W3709">
        <f>IF($T3709="","",IF($X3709&gt;N($X3708),$X3709,""))</f>
        <v/>
      </c>
      <c r="X3709">
        <f>IF($T3709="",N($X3708),IF(MATCH($T3709,$T$6:$T$6005,0)=ROW()-5,N($X3708)+1,N($X3708)))</f>
        <v/>
      </c>
      <c r="Z3709">
        <f>IF($V3709="","",IF($AA3709&gt;N($AA3708),$AA3709,""))</f>
        <v/>
      </c>
      <c r="AA3709">
        <f>IF($V3709="",N($AA3708),IF(MATCH($V3709,$V$6:$V$6005,0)=ROW()-5,N($AA3708)+1,N($AA3708)))</f>
        <v/>
      </c>
    </row>
    <row r="3710" ht="21" customHeight="1" s="66">
      <c r="A3710" s="56" t="n"/>
      <c r="B3710" s="57" t="n"/>
      <c r="C3710" s="57" t="n"/>
      <c r="D3710" s="57" t="n"/>
      <c r="E3710" s="56" t="n"/>
      <c r="F3710" s="57" t="n"/>
      <c r="G3710" s="57" t="n"/>
      <c r="H3710" s="56" t="n"/>
      <c r="I3710" s="56" t="n"/>
      <c r="J3710" s="58" t="n"/>
      <c r="K3710" s="58" t="n"/>
      <c r="L3710" s="13">
        <f>IF(OR($A3710="",AND($J3710="",$K3710="")),"",ROUND(N($J3710)-N($K3710),2))</f>
        <v/>
      </c>
      <c r="M3710" s="13">
        <f>IF(OR($A3710="",AND($J3710="",$K3710="")),"",MIN($J3710,$K3710))</f>
        <v/>
      </c>
      <c r="Q3710">
        <f>IF($A3710="","",$D3710&amp;"("&amp;SUBSTITUTE($E3710," ","")&amp;")")</f>
        <v/>
      </c>
      <c r="R3710">
        <f>IF($A3710="","",$B3710&amp;" - "&amp;$C3710)</f>
        <v/>
      </c>
      <c r="S3710">
        <f>IF($A3710="","",$R3710&amp;"|"&amp;$Q3710)</f>
        <v/>
      </c>
      <c r="T3710">
        <f>IF($A3710="","",$S3710&amp;"|"&amp;$F3710)</f>
        <v/>
      </c>
      <c r="U3710">
        <f>IF($A3710="","",$R3710&amp;"("&amp;$E3710&amp;")")</f>
        <v/>
      </c>
      <c r="V3710">
        <f>IF($A3710="","",$F3710&amp;"|"&amp;$U3710&amp;"|"&amp;$D3710)</f>
        <v/>
      </c>
      <c r="W3710">
        <f>IF($T3710="","",IF($X3710&gt;N($X3709),$X3710,""))</f>
        <v/>
      </c>
      <c r="X3710">
        <f>IF($T3710="",N($X3709),IF(MATCH($T3710,$T$6:$T$6005,0)=ROW()-5,N($X3709)+1,N($X3709)))</f>
        <v/>
      </c>
      <c r="Z3710">
        <f>IF($V3710="","",IF($AA3710&gt;N($AA3709),$AA3710,""))</f>
        <v/>
      </c>
      <c r="AA3710">
        <f>IF($V3710="",N($AA3709),IF(MATCH($V3710,$V$6:$V$6005,0)=ROW()-5,N($AA3709)+1,N($AA3709)))</f>
        <v/>
      </c>
    </row>
    <row r="3711" ht="21" customHeight="1" s="66">
      <c r="A3711" s="56" t="n"/>
      <c r="B3711" s="57" t="n"/>
      <c r="C3711" s="57" t="n"/>
      <c r="D3711" s="57" t="n"/>
      <c r="E3711" s="56" t="n"/>
      <c r="F3711" s="57" t="n"/>
      <c r="G3711" s="57" t="n"/>
      <c r="H3711" s="56" t="n"/>
      <c r="I3711" s="56" t="n"/>
      <c r="J3711" s="58" t="n"/>
      <c r="K3711" s="58" t="n"/>
      <c r="L3711" s="13">
        <f>IF(OR($A3711="",AND($J3711="",$K3711="")),"",ROUND(N($J3711)-N($K3711),2))</f>
        <v/>
      </c>
      <c r="M3711" s="13">
        <f>IF(OR($A3711="",AND($J3711="",$K3711="")),"",MIN($J3711,$K3711))</f>
        <v/>
      </c>
      <c r="Q3711">
        <f>IF($A3711="","",$D3711&amp;"("&amp;SUBSTITUTE($E3711," ","")&amp;")")</f>
        <v/>
      </c>
      <c r="R3711">
        <f>IF($A3711="","",$B3711&amp;" - "&amp;$C3711)</f>
        <v/>
      </c>
      <c r="S3711">
        <f>IF($A3711="","",$R3711&amp;"|"&amp;$Q3711)</f>
        <v/>
      </c>
      <c r="T3711">
        <f>IF($A3711="","",$S3711&amp;"|"&amp;$F3711)</f>
        <v/>
      </c>
      <c r="U3711">
        <f>IF($A3711="","",$R3711&amp;"("&amp;$E3711&amp;")")</f>
        <v/>
      </c>
      <c r="V3711">
        <f>IF($A3711="","",$F3711&amp;"|"&amp;$U3711&amp;"|"&amp;$D3711)</f>
        <v/>
      </c>
      <c r="W3711">
        <f>IF($T3711="","",IF($X3711&gt;N($X3710),$X3711,""))</f>
        <v/>
      </c>
      <c r="X3711">
        <f>IF($T3711="",N($X3710),IF(MATCH($T3711,$T$6:$T$6005,0)=ROW()-5,N($X3710)+1,N($X3710)))</f>
        <v/>
      </c>
      <c r="Z3711">
        <f>IF($V3711="","",IF($AA3711&gt;N($AA3710),$AA3711,""))</f>
        <v/>
      </c>
      <c r="AA3711">
        <f>IF($V3711="",N($AA3710),IF(MATCH($V3711,$V$6:$V$6005,0)=ROW()-5,N($AA3710)+1,N($AA3710)))</f>
        <v/>
      </c>
    </row>
    <row r="3712" ht="21" customHeight="1" s="66">
      <c r="A3712" s="56" t="n"/>
      <c r="B3712" s="57" t="n"/>
      <c r="C3712" s="57" t="n"/>
      <c r="D3712" s="57" t="n"/>
      <c r="E3712" s="56" t="n"/>
      <c r="F3712" s="57" t="n"/>
      <c r="G3712" s="57" t="n"/>
      <c r="H3712" s="56" t="n"/>
      <c r="I3712" s="56" t="n"/>
      <c r="J3712" s="58" t="n"/>
      <c r="K3712" s="58" t="n"/>
      <c r="L3712" s="13">
        <f>IF(OR($A3712="",AND($J3712="",$K3712="")),"",ROUND(N($J3712)-N($K3712),2))</f>
        <v/>
      </c>
      <c r="M3712" s="13">
        <f>IF(OR($A3712="",AND($J3712="",$K3712="")),"",MIN($J3712,$K3712))</f>
        <v/>
      </c>
      <c r="Q3712">
        <f>IF($A3712="","",$D3712&amp;"("&amp;SUBSTITUTE($E3712," ","")&amp;")")</f>
        <v/>
      </c>
      <c r="R3712">
        <f>IF($A3712="","",$B3712&amp;" - "&amp;$C3712)</f>
        <v/>
      </c>
      <c r="S3712">
        <f>IF($A3712="","",$R3712&amp;"|"&amp;$Q3712)</f>
        <v/>
      </c>
      <c r="T3712">
        <f>IF($A3712="","",$S3712&amp;"|"&amp;$F3712)</f>
        <v/>
      </c>
      <c r="U3712">
        <f>IF($A3712="","",$R3712&amp;"("&amp;$E3712&amp;")")</f>
        <v/>
      </c>
      <c r="V3712">
        <f>IF($A3712="","",$F3712&amp;"|"&amp;$U3712&amp;"|"&amp;$D3712)</f>
        <v/>
      </c>
      <c r="W3712">
        <f>IF($T3712="","",IF($X3712&gt;N($X3711),$X3712,""))</f>
        <v/>
      </c>
      <c r="X3712">
        <f>IF($T3712="",N($X3711),IF(MATCH($T3712,$T$6:$T$6005,0)=ROW()-5,N($X3711)+1,N($X3711)))</f>
        <v/>
      </c>
      <c r="Z3712">
        <f>IF($V3712="","",IF($AA3712&gt;N($AA3711),$AA3712,""))</f>
        <v/>
      </c>
      <c r="AA3712">
        <f>IF($V3712="",N($AA3711),IF(MATCH($V3712,$V$6:$V$6005,0)=ROW()-5,N($AA3711)+1,N($AA3711)))</f>
        <v/>
      </c>
    </row>
    <row r="3713" ht="21" customHeight="1" s="66">
      <c r="A3713" s="56" t="n"/>
      <c r="B3713" s="57" t="n"/>
      <c r="C3713" s="57" t="n"/>
      <c r="D3713" s="57" t="n"/>
      <c r="E3713" s="56" t="n"/>
      <c r="F3713" s="57" t="n"/>
      <c r="G3713" s="57" t="n"/>
      <c r="H3713" s="56" t="n"/>
      <c r="I3713" s="56" t="n"/>
      <c r="J3713" s="58" t="n"/>
      <c r="K3713" s="58" t="n"/>
      <c r="L3713" s="13">
        <f>IF(OR($A3713="",AND($J3713="",$K3713="")),"",ROUND(N($J3713)-N($K3713),2))</f>
        <v/>
      </c>
      <c r="M3713" s="13">
        <f>IF(OR($A3713="",AND($J3713="",$K3713="")),"",MIN($J3713,$K3713))</f>
        <v/>
      </c>
      <c r="Q3713">
        <f>IF($A3713="","",$D3713&amp;"("&amp;SUBSTITUTE($E3713," ","")&amp;")")</f>
        <v/>
      </c>
      <c r="R3713">
        <f>IF($A3713="","",$B3713&amp;" - "&amp;$C3713)</f>
        <v/>
      </c>
      <c r="S3713">
        <f>IF($A3713="","",$R3713&amp;"|"&amp;$Q3713)</f>
        <v/>
      </c>
      <c r="T3713">
        <f>IF($A3713="","",$S3713&amp;"|"&amp;$F3713)</f>
        <v/>
      </c>
      <c r="U3713">
        <f>IF($A3713="","",$R3713&amp;"("&amp;$E3713&amp;")")</f>
        <v/>
      </c>
      <c r="V3713">
        <f>IF($A3713="","",$F3713&amp;"|"&amp;$U3713&amp;"|"&amp;$D3713)</f>
        <v/>
      </c>
      <c r="W3713">
        <f>IF($T3713="","",IF($X3713&gt;N($X3712),$X3713,""))</f>
        <v/>
      </c>
      <c r="X3713">
        <f>IF($T3713="",N($X3712),IF(MATCH($T3713,$T$6:$T$6005,0)=ROW()-5,N($X3712)+1,N($X3712)))</f>
        <v/>
      </c>
      <c r="Z3713">
        <f>IF($V3713="","",IF($AA3713&gt;N($AA3712),$AA3713,""))</f>
        <v/>
      </c>
      <c r="AA3713">
        <f>IF($V3713="",N($AA3712),IF(MATCH($V3713,$V$6:$V$6005,0)=ROW()-5,N($AA3712)+1,N($AA3712)))</f>
        <v/>
      </c>
    </row>
    <row r="3714" ht="21" customHeight="1" s="66">
      <c r="A3714" s="56" t="n"/>
      <c r="B3714" s="57" t="n"/>
      <c r="C3714" s="57" t="n"/>
      <c r="D3714" s="57" t="n"/>
      <c r="E3714" s="56" t="n"/>
      <c r="F3714" s="57" t="n"/>
      <c r="G3714" s="57" t="n"/>
      <c r="H3714" s="56" t="n"/>
      <c r="I3714" s="56" t="n"/>
      <c r="J3714" s="58" t="n"/>
      <c r="K3714" s="58" t="n"/>
      <c r="L3714" s="13">
        <f>IF(OR($A3714="",AND($J3714="",$K3714="")),"",ROUND(N($J3714)-N($K3714),2))</f>
        <v/>
      </c>
      <c r="M3714" s="13">
        <f>IF(OR($A3714="",AND($J3714="",$K3714="")),"",MIN($J3714,$K3714))</f>
        <v/>
      </c>
      <c r="Q3714">
        <f>IF($A3714="","",$D3714&amp;"("&amp;SUBSTITUTE($E3714," ","")&amp;")")</f>
        <v/>
      </c>
      <c r="R3714">
        <f>IF($A3714="","",$B3714&amp;" - "&amp;$C3714)</f>
        <v/>
      </c>
      <c r="S3714">
        <f>IF($A3714="","",$R3714&amp;"|"&amp;$Q3714)</f>
        <v/>
      </c>
      <c r="T3714">
        <f>IF($A3714="","",$S3714&amp;"|"&amp;$F3714)</f>
        <v/>
      </c>
      <c r="U3714">
        <f>IF($A3714="","",$R3714&amp;"("&amp;$E3714&amp;")")</f>
        <v/>
      </c>
      <c r="V3714">
        <f>IF($A3714="","",$F3714&amp;"|"&amp;$U3714&amp;"|"&amp;$D3714)</f>
        <v/>
      </c>
      <c r="W3714">
        <f>IF($T3714="","",IF($X3714&gt;N($X3713),$X3714,""))</f>
        <v/>
      </c>
      <c r="X3714">
        <f>IF($T3714="",N($X3713),IF(MATCH($T3714,$T$6:$T$6005,0)=ROW()-5,N($X3713)+1,N($X3713)))</f>
        <v/>
      </c>
      <c r="Z3714">
        <f>IF($V3714="","",IF($AA3714&gt;N($AA3713),$AA3714,""))</f>
        <v/>
      </c>
      <c r="AA3714">
        <f>IF($V3714="",N($AA3713),IF(MATCH($V3714,$V$6:$V$6005,0)=ROW()-5,N($AA3713)+1,N($AA3713)))</f>
        <v/>
      </c>
    </row>
    <row r="3715" ht="21" customHeight="1" s="66">
      <c r="A3715" s="56" t="n"/>
      <c r="B3715" s="57" t="n"/>
      <c r="C3715" s="57" t="n"/>
      <c r="D3715" s="57" t="n"/>
      <c r="E3715" s="56" t="n"/>
      <c r="F3715" s="57" t="n"/>
      <c r="G3715" s="57" t="n"/>
      <c r="H3715" s="56" t="n"/>
      <c r="I3715" s="56" t="n"/>
      <c r="J3715" s="58" t="n"/>
      <c r="K3715" s="58" t="n"/>
      <c r="L3715" s="13">
        <f>IF(OR($A3715="",AND($J3715="",$K3715="")),"",ROUND(N($J3715)-N($K3715),2))</f>
        <v/>
      </c>
      <c r="M3715" s="13">
        <f>IF(OR($A3715="",AND($J3715="",$K3715="")),"",MIN($J3715,$K3715))</f>
        <v/>
      </c>
      <c r="Q3715">
        <f>IF($A3715="","",$D3715&amp;"("&amp;SUBSTITUTE($E3715," ","")&amp;")")</f>
        <v/>
      </c>
      <c r="R3715">
        <f>IF($A3715="","",$B3715&amp;" - "&amp;$C3715)</f>
        <v/>
      </c>
      <c r="S3715">
        <f>IF($A3715="","",$R3715&amp;"|"&amp;$Q3715)</f>
        <v/>
      </c>
      <c r="T3715">
        <f>IF($A3715="","",$S3715&amp;"|"&amp;$F3715)</f>
        <v/>
      </c>
      <c r="U3715">
        <f>IF($A3715="","",$R3715&amp;"("&amp;$E3715&amp;")")</f>
        <v/>
      </c>
      <c r="V3715">
        <f>IF($A3715="","",$F3715&amp;"|"&amp;$U3715&amp;"|"&amp;$D3715)</f>
        <v/>
      </c>
      <c r="W3715">
        <f>IF($T3715="","",IF($X3715&gt;N($X3714),$X3715,""))</f>
        <v/>
      </c>
      <c r="X3715">
        <f>IF($T3715="",N($X3714),IF(MATCH($T3715,$T$6:$T$6005,0)=ROW()-5,N($X3714)+1,N($X3714)))</f>
        <v/>
      </c>
      <c r="Z3715">
        <f>IF($V3715="","",IF($AA3715&gt;N($AA3714),$AA3715,""))</f>
        <v/>
      </c>
      <c r="AA3715">
        <f>IF($V3715="",N($AA3714),IF(MATCH($V3715,$V$6:$V$6005,0)=ROW()-5,N($AA3714)+1,N($AA3714)))</f>
        <v/>
      </c>
    </row>
    <row r="3716" ht="21" customHeight="1" s="66">
      <c r="A3716" s="56" t="n"/>
      <c r="B3716" s="57" t="n"/>
      <c r="C3716" s="57" t="n"/>
      <c r="D3716" s="57" t="n"/>
      <c r="E3716" s="56" t="n"/>
      <c r="F3716" s="57" t="n"/>
      <c r="G3716" s="57" t="n"/>
      <c r="H3716" s="56" t="n"/>
      <c r="I3716" s="56" t="n"/>
      <c r="J3716" s="58" t="n"/>
      <c r="K3716" s="58" t="n"/>
      <c r="L3716" s="13">
        <f>IF(OR($A3716="",AND($J3716="",$K3716="")),"",ROUND(N($J3716)-N($K3716),2))</f>
        <v/>
      </c>
      <c r="M3716" s="13">
        <f>IF(OR($A3716="",AND($J3716="",$K3716="")),"",MIN($J3716,$K3716))</f>
        <v/>
      </c>
      <c r="Q3716">
        <f>IF($A3716="","",$D3716&amp;"("&amp;SUBSTITUTE($E3716," ","")&amp;")")</f>
        <v/>
      </c>
      <c r="R3716">
        <f>IF($A3716="","",$B3716&amp;" - "&amp;$C3716)</f>
        <v/>
      </c>
      <c r="S3716">
        <f>IF($A3716="","",$R3716&amp;"|"&amp;$Q3716)</f>
        <v/>
      </c>
      <c r="T3716">
        <f>IF($A3716="","",$S3716&amp;"|"&amp;$F3716)</f>
        <v/>
      </c>
      <c r="U3716">
        <f>IF($A3716="","",$R3716&amp;"("&amp;$E3716&amp;")")</f>
        <v/>
      </c>
      <c r="V3716">
        <f>IF($A3716="","",$F3716&amp;"|"&amp;$U3716&amp;"|"&amp;$D3716)</f>
        <v/>
      </c>
      <c r="W3716">
        <f>IF($T3716="","",IF($X3716&gt;N($X3715),$X3716,""))</f>
        <v/>
      </c>
      <c r="X3716">
        <f>IF($T3716="",N($X3715),IF(MATCH($T3716,$T$6:$T$6005,0)=ROW()-5,N($X3715)+1,N($X3715)))</f>
        <v/>
      </c>
      <c r="Z3716">
        <f>IF($V3716="","",IF($AA3716&gt;N($AA3715),$AA3716,""))</f>
        <v/>
      </c>
      <c r="AA3716">
        <f>IF($V3716="",N($AA3715),IF(MATCH($V3716,$V$6:$V$6005,0)=ROW()-5,N($AA3715)+1,N($AA3715)))</f>
        <v/>
      </c>
    </row>
    <row r="3717" ht="21" customHeight="1" s="66">
      <c r="A3717" s="56" t="n"/>
      <c r="B3717" s="57" t="n"/>
      <c r="C3717" s="57" t="n"/>
      <c r="D3717" s="57" t="n"/>
      <c r="E3717" s="56" t="n"/>
      <c r="F3717" s="57" t="n"/>
      <c r="G3717" s="57" t="n"/>
      <c r="H3717" s="56" t="n"/>
      <c r="I3717" s="56" t="n"/>
      <c r="J3717" s="58" t="n"/>
      <c r="K3717" s="58" t="n"/>
      <c r="L3717" s="13">
        <f>IF(OR($A3717="",AND($J3717="",$K3717="")),"",ROUND(N($J3717)-N($K3717),2))</f>
        <v/>
      </c>
      <c r="M3717" s="13">
        <f>IF(OR($A3717="",AND($J3717="",$K3717="")),"",MIN($J3717,$K3717))</f>
        <v/>
      </c>
      <c r="Q3717">
        <f>IF($A3717="","",$D3717&amp;"("&amp;SUBSTITUTE($E3717," ","")&amp;")")</f>
        <v/>
      </c>
      <c r="R3717">
        <f>IF($A3717="","",$B3717&amp;" - "&amp;$C3717)</f>
        <v/>
      </c>
      <c r="S3717">
        <f>IF($A3717="","",$R3717&amp;"|"&amp;$Q3717)</f>
        <v/>
      </c>
      <c r="T3717">
        <f>IF($A3717="","",$S3717&amp;"|"&amp;$F3717)</f>
        <v/>
      </c>
      <c r="U3717">
        <f>IF($A3717="","",$R3717&amp;"("&amp;$E3717&amp;")")</f>
        <v/>
      </c>
      <c r="V3717">
        <f>IF($A3717="","",$F3717&amp;"|"&amp;$U3717&amp;"|"&amp;$D3717)</f>
        <v/>
      </c>
      <c r="W3717">
        <f>IF($T3717="","",IF($X3717&gt;N($X3716),$X3717,""))</f>
        <v/>
      </c>
      <c r="X3717">
        <f>IF($T3717="",N($X3716),IF(MATCH($T3717,$T$6:$T$6005,0)=ROW()-5,N($X3716)+1,N($X3716)))</f>
        <v/>
      </c>
      <c r="Z3717">
        <f>IF($V3717="","",IF($AA3717&gt;N($AA3716),$AA3717,""))</f>
        <v/>
      </c>
      <c r="AA3717">
        <f>IF($V3717="",N($AA3716),IF(MATCH($V3717,$V$6:$V$6005,0)=ROW()-5,N($AA3716)+1,N($AA3716)))</f>
        <v/>
      </c>
    </row>
    <row r="3718" ht="21" customHeight="1" s="66">
      <c r="A3718" s="56" t="n"/>
      <c r="B3718" s="57" t="n"/>
      <c r="C3718" s="57" t="n"/>
      <c r="D3718" s="57" t="n"/>
      <c r="E3718" s="56" t="n"/>
      <c r="F3718" s="57" t="n"/>
      <c r="G3718" s="57" t="n"/>
      <c r="H3718" s="56" t="n"/>
      <c r="I3718" s="56" t="n"/>
      <c r="J3718" s="58" t="n"/>
      <c r="K3718" s="58" t="n"/>
      <c r="L3718" s="13">
        <f>IF(OR($A3718="",AND($J3718="",$K3718="")),"",ROUND(N($J3718)-N($K3718),2))</f>
        <v/>
      </c>
      <c r="M3718" s="13">
        <f>IF(OR($A3718="",AND($J3718="",$K3718="")),"",MIN($J3718,$K3718))</f>
        <v/>
      </c>
      <c r="Q3718">
        <f>IF($A3718="","",$D3718&amp;"("&amp;SUBSTITUTE($E3718," ","")&amp;")")</f>
        <v/>
      </c>
      <c r="R3718">
        <f>IF($A3718="","",$B3718&amp;" - "&amp;$C3718)</f>
        <v/>
      </c>
      <c r="S3718">
        <f>IF($A3718="","",$R3718&amp;"|"&amp;$Q3718)</f>
        <v/>
      </c>
      <c r="T3718">
        <f>IF($A3718="","",$S3718&amp;"|"&amp;$F3718)</f>
        <v/>
      </c>
      <c r="U3718">
        <f>IF($A3718="","",$R3718&amp;"("&amp;$E3718&amp;")")</f>
        <v/>
      </c>
      <c r="V3718">
        <f>IF($A3718="","",$F3718&amp;"|"&amp;$U3718&amp;"|"&amp;$D3718)</f>
        <v/>
      </c>
      <c r="W3718">
        <f>IF($T3718="","",IF($X3718&gt;N($X3717),$X3718,""))</f>
        <v/>
      </c>
      <c r="X3718">
        <f>IF($T3718="",N($X3717),IF(MATCH($T3718,$T$6:$T$6005,0)=ROW()-5,N($X3717)+1,N($X3717)))</f>
        <v/>
      </c>
      <c r="Z3718">
        <f>IF($V3718="","",IF($AA3718&gt;N($AA3717),$AA3718,""))</f>
        <v/>
      </c>
      <c r="AA3718">
        <f>IF($V3718="",N($AA3717),IF(MATCH($V3718,$V$6:$V$6005,0)=ROW()-5,N($AA3717)+1,N($AA3717)))</f>
        <v/>
      </c>
    </row>
    <row r="3719" ht="21" customHeight="1" s="66">
      <c r="A3719" s="56" t="n"/>
      <c r="B3719" s="57" t="n"/>
      <c r="C3719" s="57" t="n"/>
      <c r="D3719" s="57" t="n"/>
      <c r="E3719" s="56" t="n"/>
      <c r="F3719" s="57" t="n"/>
      <c r="G3719" s="57" t="n"/>
      <c r="H3719" s="56" t="n"/>
      <c r="I3719" s="56" t="n"/>
      <c r="J3719" s="58" t="n"/>
      <c r="K3719" s="58" t="n"/>
      <c r="L3719" s="13">
        <f>IF(OR($A3719="",AND($J3719="",$K3719="")),"",ROUND(N($J3719)-N($K3719),2))</f>
        <v/>
      </c>
      <c r="M3719" s="13">
        <f>IF(OR($A3719="",AND($J3719="",$K3719="")),"",MIN($J3719,$K3719))</f>
        <v/>
      </c>
      <c r="Q3719">
        <f>IF($A3719="","",$D3719&amp;"("&amp;SUBSTITUTE($E3719," ","")&amp;")")</f>
        <v/>
      </c>
      <c r="R3719">
        <f>IF($A3719="","",$B3719&amp;" - "&amp;$C3719)</f>
        <v/>
      </c>
      <c r="S3719">
        <f>IF($A3719="","",$R3719&amp;"|"&amp;$Q3719)</f>
        <v/>
      </c>
      <c r="T3719">
        <f>IF($A3719="","",$S3719&amp;"|"&amp;$F3719)</f>
        <v/>
      </c>
      <c r="U3719">
        <f>IF($A3719="","",$R3719&amp;"("&amp;$E3719&amp;")")</f>
        <v/>
      </c>
      <c r="V3719">
        <f>IF($A3719="","",$F3719&amp;"|"&amp;$U3719&amp;"|"&amp;$D3719)</f>
        <v/>
      </c>
      <c r="W3719">
        <f>IF($T3719="","",IF($X3719&gt;N($X3718),$X3719,""))</f>
        <v/>
      </c>
      <c r="X3719">
        <f>IF($T3719="",N($X3718),IF(MATCH($T3719,$T$6:$T$6005,0)=ROW()-5,N($X3718)+1,N($X3718)))</f>
        <v/>
      </c>
      <c r="Z3719">
        <f>IF($V3719="","",IF($AA3719&gt;N($AA3718),$AA3719,""))</f>
        <v/>
      </c>
      <c r="AA3719">
        <f>IF($V3719="",N($AA3718),IF(MATCH($V3719,$V$6:$V$6005,0)=ROW()-5,N($AA3718)+1,N($AA3718)))</f>
        <v/>
      </c>
    </row>
    <row r="3720" ht="21" customHeight="1" s="66">
      <c r="A3720" s="56" t="n"/>
      <c r="B3720" s="57" t="n"/>
      <c r="C3720" s="57" t="n"/>
      <c r="D3720" s="57" t="n"/>
      <c r="E3720" s="56" t="n"/>
      <c r="F3720" s="57" t="n"/>
      <c r="G3720" s="57" t="n"/>
      <c r="H3720" s="56" t="n"/>
      <c r="I3720" s="56" t="n"/>
      <c r="J3720" s="58" t="n"/>
      <c r="K3720" s="58" t="n"/>
      <c r="L3720" s="13">
        <f>IF(OR($A3720="",AND($J3720="",$K3720="")),"",ROUND(N($J3720)-N($K3720),2))</f>
        <v/>
      </c>
      <c r="M3720" s="13">
        <f>IF(OR($A3720="",AND($J3720="",$K3720="")),"",MIN($J3720,$K3720))</f>
        <v/>
      </c>
      <c r="Q3720">
        <f>IF($A3720="","",$D3720&amp;"("&amp;SUBSTITUTE($E3720," ","")&amp;")")</f>
        <v/>
      </c>
      <c r="R3720">
        <f>IF($A3720="","",$B3720&amp;" - "&amp;$C3720)</f>
        <v/>
      </c>
      <c r="S3720">
        <f>IF($A3720="","",$R3720&amp;"|"&amp;$Q3720)</f>
        <v/>
      </c>
      <c r="T3720">
        <f>IF($A3720="","",$S3720&amp;"|"&amp;$F3720)</f>
        <v/>
      </c>
      <c r="U3720">
        <f>IF($A3720="","",$R3720&amp;"("&amp;$E3720&amp;")")</f>
        <v/>
      </c>
      <c r="V3720">
        <f>IF($A3720="","",$F3720&amp;"|"&amp;$U3720&amp;"|"&amp;$D3720)</f>
        <v/>
      </c>
      <c r="W3720">
        <f>IF($T3720="","",IF($X3720&gt;N($X3719),$X3720,""))</f>
        <v/>
      </c>
      <c r="X3720">
        <f>IF($T3720="",N($X3719),IF(MATCH($T3720,$T$6:$T$6005,0)=ROW()-5,N($X3719)+1,N($X3719)))</f>
        <v/>
      </c>
      <c r="Z3720">
        <f>IF($V3720="","",IF($AA3720&gt;N($AA3719),$AA3720,""))</f>
        <v/>
      </c>
      <c r="AA3720">
        <f>IF($V3720="",N($AA3719),IF(MATCH($V3720,$V$6:$V$6005,0)=ROW()-5,N($AA3719)+1,N($AA3719)))</f>
        <v/>
      </c>
    </row>
    <row r="3721" ht="21" customHeight="1" s="66">
      <c r="A3721" s="56" t="n"/>
      <c r="B3721" s="57" t="n"/>
      <c r="C3721" s="57" t="n"/>
      <c r="D3721" s="57" t="n"/>
      <c r="E3721" s="56" t="n"/>
      <c r="F3721" s="57" t="n"/>
      <c r="G3721" s="57" t="n"/>
      <c r="H3721" s="56" t="n"/>
      <c r="I3721" s="56" t="n"/>
      <c r="J3721" s="58" t="n"/>
      <c r="K3721" s="58" t="n"/>
      <c r="L3721" s="13">
        <f>IF(OR($A3721="",AND($J3721="",$K3721="")),"",ROUND(N($J3721)-N($K3721),2))</f>
        <v/>
      </c>
      <c r="M3721" s="13">
        <f>IF(OR($A3721="",AND($J3721="",$K3721="")),"",MIN($J3721,$K3721))</f>
        <v/>
      </c>
      <c r="Q3721">
        <f>IF($A3721="","",$D3721&amp;"("&amp;SUBSTITUTE($E3721," ","")&amp;")")</f>
        <v/>
      </c>
      <c r="R3721">
        <f>IF($A3721="","",$B3721&amp;" - "&amp;$C3721)</f>
        <v/>
      </c>
      <c r="S3721">
        <f>IF($A3721="","",$R3721&amp;"|"&amp;$Q3721)</f>
        <v/>
      </c>
      <c r="T3721">
        <f>IF($A3721="","",$S3721&amp;"|"&amp;$F3721)</f>
        <v/>
      </c>
      <c r="U3721">
        <f>IF($A3721="","",$R3721&amp;"("&amp;$E3721&amp;")")</f>
        <v/>
      </c>
      <c r="V3721">
        <f>IF($A3721="","",$F3721&amp;"|"&amp;$U3721&amp;"|"&amp;$D3721)</f>
        <v/>
      </c>
      <c r="W3721">
        <f>IF($T3721="","",IF($X3721&gt;N($X3720),$X3721,""))</f>
        <v/>
      </c>
      <c r="X3721">
        <f>IF($T3721="",N($X3720),IF(MATCH($T3721,$T$6:$T$6005,0)=ROW()-5,N($X3720)+1,N($X3720)))</f>
        <v/>
      </c>
      <c r="Z3721">
        <f>IF($V3721="","",IF($AA3721&gt;N($AA3720),$AA3721,""))</f>
        <v/>
      </c>
      <c r="AA3721">
        <f>IF($V3721="",N($AA3720),IF(MATCH($V3721,$V$6:$V$6005,0)=ROW()-5,N($AA3720)+1,N($AA3720)))</f>
        <v/>
      </c>
    </row>
    <row r="3722" ht="21" customHeight="1" s="66">
      <c r="A3722" s="56" t="n"/>
      <c r="B3722" s="57" t="n"/>
      <c r="C3722" s="57" t="n"/>
      <c r="D3722" s="57" t="n"/>
      <c r="E3722" s="56" t="n"/>
      <c r="F3722" s="57" t="n"/>
      <c r="G3722" s="57" t="n"/>
      <c r="H3722" s="56" t="n"/>
      <c r="I3722" s="56" t="n"/>
      <c r="J3722" s="58" t="n"/>
      <c r="K3722" s="58" t="n"/>
      <c r="L3722" s="13">
        <f>IF(OR($A3722="",AND($J3722="",$K3722="")),"",ROUND(N($J3722)-N($K3722),2))</f>
        <v/>
      </c>
      <c r="M3722" s="13">
        <f>IF(OR($A3722="",AND($J3722="",$K3722="")),"",MIN($J3722,$K3722))</f>
        <v/>
      </c>
      <c r="Q3722">
        <f>IF($A3722="","",$D3722&amp;"("&amp;SUBSTITUTE($E3722," ","")&amp;")")</f>
        <v/>
      </c>
      <c r="R3722">
        <f>IF($A3722="","",$B3722&amp;" - "&amp;$C3722)</f>
        <v/>
      </c>
      <c r="S3722">
        <f>IF($A3722="","",$R3722&amp;"|"&amp;$Q3722)</f>
        <v/>
      </c>
      <c r="T3722">
        <f>IF($A3722="","",$S3722&amp;"|"&amp;$F3722)</f>
        <v/>
      </c>
      <c r="U3722">
        <f>IF($A3722="","",$R3722&amp;"("&amp;$E3722&amp;")")</f>
        <v/>
      </c>
      <c r="V3722">
        <f>IF($A3722="","",$F3722&amp;"|"&amp;$U3722&amp;"|"&amp;$D3722)</f>
        <v/>
      </c>
      <c r="W3722">
        <f>IF($T3722="","",IF($X3722&gt;N($X3721),$X3722,""))</f>
        <v/>
      </c>
      <c r="X3722">
        <f>IF($T3722="",N($X3721),IF(MATCH($T3722,$T$6:$T$6005,0)=ROW()-5,N($X3721)+1,N($X3721)))</f>
        <v/>
      </c>
      <c r="Z3722">
        <f>IF($V3722="","",IF($AA3722&gt;N($AA3721),$AA3722,""))</f>
        <v/>
      </c>
      <c r="AA3722">
        <f>IF($V3722="",N($AA3721),IF(MATCH($V3722,$V$6:$V$6005,0)=ROW()-5,N($AA3721)+1,N($AA3721)))</f>
        <v/>
      </c>
    </row>
    <row r="3723" ht="21" customHeight="1" s="66">
      <c r="A3723" s="56" t="n"/>
      <c r="B3723" s="57" t="n"/>
      <c r="C3723" s="57" t="n"/>
      <c r="D3723" s="57" t="n"/>
      <c r="E3723" s="56" t="n"/>
      <c r="F3723" s="57" t="n"/>
      <c r="G3723" s="57" t="n"/>
      <c r="H3723" s="56" t="n"/>
      <c r="I3723" s="56" t="n"/>
      <c r="J3723" s="58" t="n"/>
      <c r="K3723" s="58" t="n"/>
      <c r="L3723" s="13">
        <f>IF(OR($A3723="",AND($J3723="",$K3723="")),"",ROUND(N($J3723)-N($K3723),2))</f>
        <v/>
      </c>
      <c r="M3723" s="13">
        <f>IF(OR($A3723="",AND($J3723="",$K3723="")),"",MIN($J3723,$K3723))</f>
        <v/>
      </c>
      <c r="Q3723">
        <f>IF($A3723="","",$D3723&amp;"("&amp;SUBSTITUTE($E3723," ","")&amp;")")</f>
        <v/>
      </c>
      <c r="R3723">
        <f>IF($A3723="","",$B3723&amp;" - "&amp;$C3723)</f>
        <v/>
      </c>
      <c r="S3723">
        <f>IF($A3723="","",$R3723&amp;"|"&amp;$Q3723)</f>
        <v/>
      </c>
      <c r="T3723">
        <f>IF($A3723="","",$S3723&amp;"|"&amp;$F3723)</f>
        <v/>
      </c>
      <c r="U3723">
        <f>IF($A3723="","",$R3723&amp;"("&amp;$E3723&amp;")")</f>
        <v/>
      </c>
      <c r="V3723">
        <f>IF($A3723="","",$F3723&amp;"|"&amp;$U3723&amp;"|"&amp;$D3723)</f>
        <v/>
      </c>
      <c r="W3723">
        <f>IF($T3723="","",IF($X3723&gt;N($X3722),$X3723,""))</f>
        <v/>
      </c>
      <c r="X3723">
        <f>IF($T3723="",N($X3722),IF(MATCH($T3723,$T$6:$T$6005,0)=ROW()-5,N($X3722)+1,N($X3722)))</f>
        <v/>
      </c>
      <c r="Z3723">
        <f>IF($V3723="","",IF($AA3723&gt;N($AA3722),$AA3723,""))</f>
        <v/>
      </c>
      <c r="AA3723">
        <f>IF($V3723="",N($AA3722),IF(MATCH($V3723,$V$6:$V$6005,0)=ROW()-5,N($AA3722)+1,N($AA3722)))</f>
        <v/>
      </c>
    </row>
    <row r="3724" ht="21" customHeight="1" s="66">
      <c r="A3724" s="56" t="n"/>
      <c r="B3724" s="57" t="n"/>
      <c r="C3724" s="57" t="n"/>
      <c r="D3724" s="57" t="n"/>
      <c r="E3724" s="56" t="n"/>
      <c r="F3724" s="57" t="n"/>
      <c r="G3724" s="57" t="n"/>
      <c r="H3724" s="56" t="n"/>
      <c r="I3724" s="56" t="n"/>
      <c r="J3724" s="58" t="n"/>
      <c r="K3724" s="58" t="n"/>
      <c r="L3724" s="13">
        <f>IF(OR($A3724="",AND($J3724="",$K3724="")),"",ROUND(N($J3724)-N($K3724),2))</f>
        <v/>
      </c>
      <c r="M3724" s="13">
        <f>IF(OR($A3724="",AND($J3724="",$K3724="")),"",MIN($J3724,$K3724))</f>
        <v/>
      </c>
      <c r="Q3724">
        <f>IF($A3724="","",$D3724&amp;"("&amp;SUBSTITUTE($E3724," ","")&amp;")")</f>
        <v/>
      </c>
      <c r="R3724">
        <f>IF($A3724="","",$B3724&amp;" - "&amp;$C3724)</f>
        <v/>
      </c>
      <c r="S3724">
        <f>IF($A3724="","",$R3724&amp;"|"&amp;$Q3724)</f>
        <v/>
      </c>
      <c r="T3724">
        <f>IF($A3724="","",$S3724&amp;"|"&amp;$F3724)</f>
        <v/>
      </c>
      <c r="U3724">
        <f>IF($A3724="","",$R3724&amp;"("&amp;$E3724&amp;")")</f>
        <v/>
      </c>
      <c r="V3724">
        <f>IF($A3724="","",$F3724&amp;"|"&amp;$U3724&amp;"|"&amp;$D3724)</f>
        <v/>
      </c>
      <c r="W3724">
        <f>IF($T3724="","",IF($X3724&gt;N($X3723),$X3724,""))</f>
        <v/>
      </c>
      <c r="X3724">
        <f>IF($T3724="",N($X3723),IF(MATCH($T3724,$T$6:$T$6005,0)=ROW()-5,N($X3723)+1,N($X3723)))</f>
        <v/>
      </c>
      <c r="Z3724">
        <f>IF($V3724="","",IF($AA3724&gt;N($AA3723),$AA3724,""))</f>
        <v/>
      </c>
      <c r="AA3724">
        <f>IF($V3724="",N($AA3723),IF(MATCH($V3724,$V$6:$V$6005,0)=ROW()-5,N($AA3723)+1,N($AA3723)))</f>
        <v/>
      </c>
    </row>
    <row r="3725" ht="21" customHeight="1" s="66">
      <c r="A3725" s="56" t="n"/>
      <c r="B3725" s="57" t="n"/>
      <c r="C3725" s="57" t="n"/>
      <c r="D3725" s="57" t="n"/>
      <c r="E3725" s="56" t="n"/>
      <c r="F3725" s="57" t="n"/>
      <c r="G3725" s="57" t="n"/>
      <c r="H3725" s="56" t="n"/>
      <c r="I3725" s="56" t="n"/>
      <c r="J3725" s="58" t="n"/>
      <c r="K3725" s="58" t="n"/>
      <c r="L3725" s="13">
        <f>IF(OR($A3725="",AND($J3725="",$K3725="")),"",ROUND(N($J3725)-N($K3725),2))</f>
        <v/>
      </c>
      <c r="M3725" s="13">
        <f>IF(OR($A3725="",AND($J3725="",$K3725="")),"",MIN($J3725,$K3725))</f>
        <v/>
      </c>
      <c r="Q3725">
        <f>IF($A3725="","",$D3725&amp;"("&amp;SUBSTITUTE($E3725," ","")&amp;")")</f>
        <v/>
      </c>
      <c r="R3725">
        <f>IF($A3725="","",$B3725&amp;" - "&amp;$C3725)</f>
        <v/>
      </c>
      <c r="S3725">
        <f>IF($A3725="","",$R3725&amp;"|"&amp;$Q3725)</f>
        <v/>
      </c>
      <c r="T3725">
        <f>IF($A3725="","",$S3725&amp;"|"&amp;$F3725)</f>
        <v/>
      </c>
      <c r="U3725">
        <f>IF($A3725="","",$R3725&amp;"("&amp;$E3725&amp;")")</f>
        <v/>
      </c>
      <c r="V3725">
        <f>IF($A3725="","",$F3725&amp;"|"&amp;$U3725&amp;"|"&amp;$D3725)</f>
        <v/>
      </c>
      <c r="W3725">
        <f>IF($T3725="","",IF($X3725&gt;N($X3724),$X3725,""))</f>
        <v/>
      </c>
      <c r="X3725">
        <f>IF($T3725="",N($X3724),IF(MATCH($T3725,$T$6:$T$6005,0)=ROW()-5,N($X3724)+1,N($X3724)))</f>
        <v/>
      </c>
      <c r="Z3725">
        <f>IF($V3725="","",IF($AA3725&gt;N($AA3724),$AA3725,""))</f>
        <v/>
      </c>
      <c r="AA3725">
        <f>IF($V3725="",N($AA3724),IF(MATCH($V3725,$V$6:$V$6005,0)=ROW()-5,N($AA3724)+1,N($AA3724)))</f>
        <v/>
      </c>
    </row>
    <row r="3726" ht="21" customHeight="1" s="66">
      <c r="A3726" s="56" t="n"/>
      <c r="B3726" s="57" t="n"/>
      <c r="C3726" s="57" t="n"/>
      <c r="D3726" s="57" t="n"/>
      <c r="E3726" s="56" t="n"/>
      <c r="F3726" s="57" t="n"/>
      <c r="G3726" s="57" t="n"/>
      <c r="H3726" s="56" t="n"/>
      <c r="I3726" s="56" t="n"/>
      <c r="J3726" s="58" t="n"/>
      <c r="K3726" s="58" t="n"/>
      <c r="L3726" s="13">
        <f>IF(OR($A3726="",AND($J3726="",$K3726="")),"",ROUND(N($J3726)-N($K3726),2))</f>
        <v/>
      </c>
      <c r="M3726" s="13">
        <f>IF(OR($A3726="",AND($J3726="",$K3726="")),"",MIN($J3726,$K3726))</f>
        <v/>
      </c>
      <c r="Q3726">
        <f>IF($A3726="","",$D3726&amp;"("&amp;SUBSTITUTE($E3726," ","")&amp;")")</f>
        <v/>
      </c>
      <c r="R3726">
        <f>IF($A3726="","",$B3726&amp;" - "&amp;$C3726)</f>
        <v/>
      </c>
      <c r="S3726">
        <f>IF($A3726="","",$R3726&amp;"|"&amp;$Q3726)</f>
        <v/>
      </c>
      <c r="T3726">
        <f>IF($A3726="","",$S3726&amp;"|"&amp;$F3726)</f>
        <v/>
      </c>
      <c r="U3726">
        <f>IF($A3726="","",$R3726&amp;"("&amp;$E3726&amp;")")</f>
        <v/>
      </c>
      <c r="V3726">
        <f>IF($A3726="","",$F3726&amp;"|"&amp;$U3726&amp;"|"&amp;$D3726)</f>
        <v/>
      </c>
      <c r="W3726">
        <f>IF($T3726="","",IF($X3726&gt;N($X3725),$X3726,""))</f>
        <v/>
      </c>
      <c r="X3726">
        <f>IF($T3726="",N($X3725),IF(MATCH($T3726,$T$6:$T$6005,0)=ROW()-5,N($X3725)+1,N($X3725)))</f>
        <v/>
      </c>
      <c r="Z3726">
        <f>IF($V3726="","",IF($AA3726&gt;N($AA3725),$AA3726,""))</f>
        <v/>
      </c>
      <c r="AA3726">
        <f>IF($V3726="",N($AA3725),IF(MATCH($V3726,$V$6:$V$6005,0)=ROW()-5,N($AA3725)+1,N($AA3725)))</f>
        <v/>
      </c>
    </row>
    <row r="3727" ht="21" customHeight="1" s="66">
      <c r="A3727" s="56" t="n"/>
      <c r="B3727" s="57" t="n"/>
      <c r="C3727" s="57" t="n"/>
      <c r="D3727" s="57" t="n"/>
      <c r="E3727" s="56" t="n"/>
      <c r="F3727" s="57" t="n"/>
      <c r="G3727" s="57" t="n"/>
      <c r="H3727" s="56" t="n"/>
      <c r="I3727" s="56" t="n"/>
      <c r="J3727" s="58" t="n"/>
      <c r="K3727" s="58" t="n"/>
      <c r="L3727" s="13">
        <f>IF(OR($A3727="",AND($J3727="",$K3727="")),"",ROUND(N($J3727)-N($K3727),2))</f>
        <v/>
      </c>
      <c r="M3727" s="13">
        <f>IF(OR($A3727="",AND($J3727="",$K3727="")),"",MIN($J3727,$K3727))</f>
        <v/>
      </c>
      <c r="Q3727">
        <f>IF($A3727="","",$D3727&amp;"("&amp;SUBSTITUTE($E3727," ","")&amp;")")</f>
        <v/>
      </c>
      <c r="R3727">
        <f>IF($A3727="","",$B3727&amp;" - "&amp;$C3727)</f>
        <v/>
      </c>
      <c r="S3727">
        <f>IF($A3727="","",$R3727&amp;"|"&amp;$Q3727)</f>
        <v/>
      </c>
      <c r="T3727">
        <f>IF($A3727="","",$S3727&amp;"|"&amp;$F3727)</f>
        <v/>
      </c>
      <c r="U3727">
        <f>IF($A3727="","",$R3727&amp;"("&amp;$E3727&amp;")")</f>
        <v/>
      </c>
      <c r="V3727">
        <f>IF($A3727="","",$F3727&amp;"|"&amp;$U3727&amp;"|"&amp;$D3727)</f>
        <v/>
      </c>
      <c r="W3727">
        <f>IF($T3727="","",IF($X3727&gt;N($X3726),$X3727,""))</f>
        <v/>
      </c>
      <c r="X3727">
        <f>IF($T3727="",N($X3726),IF(MATCH($T3727,$T$6:$T$6005,0)=ROW()-5,N($X3726)+1,N($X3726)))</f>
        <v/>
      </c>
      <c r="Z3727">
        <f>IF($V3727="","",IF($AA3727&gt;N($AA3726),$AA3727,""))</f>
        <v/>
      </c>
      <c r="AA3727">
        <f>IF($V3727="",N($AA3726),IF(MATCH($V3727,$V$6:$V$6005,0)=ROW()-5,N($AA3726)+1,N($AA3726)))</f>
        <v/>
      </c>
    </row>
    <row r="3728" ht="21" customHeight="1" s="66">
      <c r="A3728" s="56" t="n"/>
      <c r="B3728" s="57" t="n"/>
      <c r="C3728" s="57" t="n"/>
      <c r="D3728" s="57" t="n"/>
      <c r="E3728" s="56" t="n"/>
      <c r="F3728" s="57" t="n"/>
      <c r="G3728" s="57" t="n"/>
      <c r="H3728" s="56" t="n"/>
      <c r="I3728" s="56" t="n"/>
      <c r="J3728" s="58" t="n"/>
      <c r="K3728" s="58" t="n"/>
      <c r="L3728" s="13">
        <f>IF(OR($A3728="",AND($J3728="",$K3728="")),"",ROUND(N($J3728)-N($K3728),2))</f>
        <v/>
      </c>
      <c r="M3728" s="13">
        <f>IF(OR($A3728="",AND($J3728="",$K3728="")),"",MIN($J3728,$K3728))</f>
        <v/>
      </c>
      <c r="Q3728">
        <f>IF($A3728="","",$D3728&amp;"("&amp;SUBSTITUTE($E3728," ","")&amp;")")</f>
        <v/>
      </c>
      <c r="R3728">
        <f>IF($A3728="","",$B3728&amp;" - "&amp;$C3728)</f>
        <v/>
      </c>
      <c r="S3728">
        <f>IF($A3728="","",$R3728&amp;"|"&amp;$Q3728)</f>
        <v/>
      </c>
      <c r="T3728">
        <f>IF($A3728="","",$S3728&amp;"|"&amp;$F3728)</f>
        <v/>
      </c>
      <c r="U3728">
        <f>IF($A3728="","",$R3728&amp;"("&amp;$E3728&amp;")")</f>
        <v/>
      </c>
      <c r="V3728">
        <f>IF($A3728="","",$F3728&amp;"|"&amp;$U3728&amp;"|"&amp;$D3728)</f>
        <v/>
      </c>
      <c r="W3728">
        <f>IF($T3728="","",IF($X3728&gt;N($X3727),$X3728,""))</f>
        <v/>
      </c>
      <c r="X3728">
        <f>IF($T3728="",N($X3727),IF(MATCH($T3728,$T$6:$T$6005,0)=ROW()-5,N($X3727)+1,N($X3727)))</f>
        <v/>
      </c>
      <c r="Z3728">
        <f>IF($V3728="","",IF($AA3728&gt;N($AA3727),$AA3728,""))</f>
        <v/>
      </c>
      <c r="AA3728">
        <f>IF($V3728="",N($AA3727),IF(MATCH($V3728,$V$6:$V$6005,0)=ROW()-5,N($AA3727)+1,N($AA3727)))</f>
        <v/>
      </c>
    </row>
    <row r="3729" ht="21" customHeight="1" s="66">
      <c r="A3729" s="56" t="n"/>
      <c r="B3729" s="57" t="n"/>
      <c r="C3729" s="57" t="n"/>
      <c r="D3729" s="57" t="n"/>
      <c r="E3729" s="56" t="n"/>
      <c r="F3729" s="57" t="n"/>
      <c r="G3729" s="57" t="n"/>
      <c r="H3729" s="56" t="n"/>
      <c r="I3729" s="56" t="n"/>
      <c r="J3729" s="58" t="n"/>
      <c r="K3729" s="58" t="n"/>
      <c r="L3729" s="13">
        <f>IF(OR($A3729="",AND($J3729="",$K3729="")),"",ROUND(N($J3729)-N($K3729),2))</f>
        <v/>
      </c>
      <c r="M3729" s="13">
        <f>IF(OR($A3729="",AND($J3729="",$K3729="")),"",MIN($J3729,$K3729))</f>
        <v/>
      </c>
      <c r="Q3729">
        <f>IF($A3729="","",$D3729&amp;"("&amp;SUBSTITUTE($E3729," ","")&amp;")")</f>
        <v/>
      </c>
      <c r="R3729">
        <f>IF($A3729="","",$B3729&amp;" - "&amp;$C3729)</f>
        <v/>
      </c>
      <c r="S3729">
        <f>IF($A3729="","",$R3729&amp;"|"&amp;$Q3729)</f>
        <v/>
      </c>
      <c r="T3729">
        <f>IF($A3729="","",$S3729&amp;"|"&amp;$F3729)</f>
        <v/>
      </c>
      <c r="U3729">
        <f>IF($A3729="","",$R3729&amp;"("&amp;$E3729&amp;")")</f>
        <v/>
      </c>
      <c r="V3729">
        <f>IF($A3729="","",$F3729&amp;"|"&amp;$U3729&amp;"|"&amp;$D3729)</f>
        <v/>
      </c>
      <c r="W3729">
        <f>IF($T3729="","",IF($X3729&gt;N($X3728),$X3729,""))</f>
        <v/>
      </c>
      <c r="X3729">
        <f>IF($T3729="",N($X3728),IF(MATCH($T3729,$T$6:$T$6005,0)=ROW()-5,N($X3728)+1,N($X3728)))</f>
        <v/>
      </c>
      <c r="Z3729">
        <f>IF($V3729="","",IF($AA3729&gt;N($AA3728),$AA3729,""))</f>
        <v/>
      </c>
      <c r="AA3729">
        <f>IF($V3729="",N($AA3728),IF(MATCH($V3729,$V$6:$V$6005,0)=ROW()-5,N($AA3728)+1,N($AA3728)))</f>
        <v/>
      </c>
    </row>
    <row r="3730" ht="21" customHeight="1" s="66">
      <c r="A3730" s="56" t="n"/>
      <c r="B3730" s="57" t="n"/>
      <c r="C3730" s="57" t="n"/>
      <c r="D3730" s="57" t="n"/>
      <c r="E3730" s="56" t="n"/>
      <c r="F3730" s="57" t="n"/>
      <c r="G3730" s="57" t="n"/>
      <c r="H3730" s="56" t="n"/>
      <c r="I3730" s="56" t="n"/>
      <c r="J3730" s="58" t="n"/>
      <c r="K3730" s="58" t="n"/>
      <c r="L3730" s="13">
        <f>IF(OR($A3730="",AND($J3730="",$K3730="")),"",ROUND(N($J3730)-N($K3730),2))</f>
        <v/>
      </c>
      <c r="M3730" s="13">
        <f>IF(OR($A3730="",AND($J3730="",$K3730="")),"",MIN($J3730,$K3730))</f>
        <v/>
      </c>
      <c r="Q3730">
        <f>IF($A3730="","",$D3730&amp;"("&amp;SUBSTITUTE($E3730," ","")&amp;")")</f>
        <v/>
      </c>
      <c r="R3730">
        <f>IF($A3730="","",$B3730&amp;" - "&amp;$C3730)</f>
        <v/>
      </c>
      <c r="S3730">
        <f>IF($A3730="","",$R3730&amp;"|"&amp;$Q3730)</f>
        <v/>
      </c>
      <c r="T3730">
        <f>IF($A3730="","",$S3730&amp;"|"&amp;$F3730)</f>
        <v/>
      </c>
      <c r="U3730">
        <f>IF($A3730="","",$R3730&amp;"("&amp;$E3730&amp;")")</f>
        <v/>
      </c>
      <c r="V3730">
        <f>IF($A3730="","",$F3730&amp;"|"&amp;$U3730&amp;"|"&amp;$D3730)</f>
        <v/>
      </c>
      <c r="W3730">
        <f>IF($T3730="","",IF($X3730&gt;N($X3729),$X3730,""))</f>
        <v/>
      </c>
      <c r="X3730">
        <f>IF($T3730="",N($X3729),IF(MATCH($T3730,$T$6:$T$6005,0)=ROW()-5,N($X3729)+1,N($X3729)))</f>
        <v/>
      </c>
      <c r="Z3730">
        <f>IF($V3730="","",IF($AA3730&gt;N($AA3729),$AA3730,""))</f>
        <v/>
      </c>
      <c r="AA3730">
        <f>IF($V3730="",N($AA3729),IF(MATCH($V3730,$V$6:$V$6005,0)=ROW()-5,N($AA3729)+1,N($AA3729)))</f>
        <v/>
      </c>
    </row>
    <row r="3731" ht="21" customHeight="1" s="66">
      <c r="A3731" s="56" t="n"/>
      <c r="B3731" s="57" t="n"/>
      <c r="C3731" s="57" t="n"/>
      <c r="D3731" s="57" t="n"/>
      <c r="E3731" s="56" t="n"/>
      <c r="F3731" s="57" t="n"/>
      <c r="G3731" s="57" t="n"/>
      <c r="H3731" s="56" t="n"/>
      <c r="I3731" s="56" t="n"/>
      <c r="J3731" s="58" t="n"/>
      <c r="K3731" s="58" t="n"/>
      <c r="L3731" s="13">
        <f>IF(OR($A3731="",AND($J3731="",$K3731="")),"",ROUND(N($J3731)-N($K3731),2))</f>
        <v/>
      </c>
      <c r="M3731" s="13">
        <f>IF(OR($A3731="",AND($J3731="",$K3731="")),"",MIN($J3731,$K3731))</f>
        <v/>
      </c>
      <c r="Q3731">
        <f>IF($A3731="","",$D3731&amp;"("&amp;SUBSTITUTE($E3731," ","")&amp;")")</f>
        <v/>
      </c>
      <c r="R3731">
        <f>IF($A3731="","",$B3731&amp;" - "&amp;$C3731)</f>
        <v/>
      </c>
      <c r="S3731">
        <f>IF($A3731="","",$R3731&amp;"|"&amp;$Q3731)</f>
        <v/>
      </c>
      <c r="T3731">
        <f>IF($A3731="","",$S3731&amp;"|"&amp;$F3731)</f>
        <v/>
      </c>
      <c r="U3731">
        <f>IF($A3731="","",$R3731&amp;"("&amp;$E3731&amp;")")</f>
        <v/>
      </c>
      <c r="V3731">
        <f>IF($A3731="","",$F3731&amp;"|"&amp;$U3731&amp;"|"&amp;$D3731)</f>
        <v/>
      </c>
      <c r="W3731">
        <f>IF($T3731="","",IF($X3731&gt;N($X3730),$X3731,""))</f>
        <v/>
      </c>
      <c r="X3731">
        <f>IF($T3731="",N($X3730),IF(MATCH($T3731,$T$6:$T$6005,0)=ROW()-5,N($X3730)+1,N($X3730)))</f>
        <v/>
      </c>
      <c r="Z3731">
        <f>IF($V3731="","",IF($AA3731&gt;N($AA3730),$AA3731,""))</f>
        <v/>
      </c>
      <c r="AA3731">
        <f>IF($V3731="",N($AA3730),IF(MATCH($V3731,$V$6:$V$6005,0)=ROW()-5,N($AA3730)+1,N($AA3730)))</f>
        <v/>
      </c>
    </row>
    <row r="3732" ht="21" customHeight="1" s="66">
      <c r="A3732" s="56" t="n"/>
      <c r="B3732" s="57" t="n"/>
      <c r="C3732" s="57" t="n"/>
      <c r="D3732" s="57" t="n"/>
      <c r="E3732" s="56" t="n"/>
      <c r="F3732" s="57" t="n"/>
      <c r="G3732" s="57" t="n"/>
      <c r="H3732" s="56" t="n"/>
      <c r="I3732" s="56" t="n"/>
      <c r="J3732" s="58" t="n"/>
      <c r="K3732" s="58" t="n"/>
      <c r="L3732" s="13">
        <f>IF(OR($A3732="",AND($J3732="",$K3732="")),"",ROUND(N($J3732)-N($K3732),2))</f>
        <v/>
      </c>
      <c r="M3732" s="13">
        <f>IF(OR($A3732="",AND($J3732="",$K3732="")),"",MIN($J3732,$K3732))</f>
        <v/>
      </c>
      <c r="Q3732">
        <f>IF($A3732="","",$D3732&amp;"("&amp;SUBSTITUTE($E3732," ","")&amp;")")</f>
        <v/>
      </c>
      <c r="R3732">
        <f>IF($A3732="","",$B3732&amp;" - "&amp;$C3732)</f>
        <v/>
      </c>
      <c r="S3732">
        <f>IF($A3732="","",$R3732&amp;"|"&amp;$Q3732)</f>
        <v/>
      </c>
      <c r="T3732">
        <f>IF($A3732="","",$S3732&amp;"|"&amp;$F3732)</f>
        <v/>
      </c>
      <c r="U3732">
        <f>IF($A3732="","",$R3732&amp;"("&amp;$E3732&amp;")")</f>
        <v/>
      </c>
      <c r="V3732">
        <f>IF($A3732="","",$F3732&amp;"|"&amp;$U3732&amp;"|"&amp;$D3732)</f>
        <v/>
      </c>
      <c r="W3732">
        <f>IF($T3732="","",IF($X3732&gt;N($X3731),$X3732,""))</f>
        <v/>
      </c>
      <c r="X3732">
        <f>IF($T3732="",N($X3731),IF(MATCH($T3732,$T$6:$T$6005,0)=ROW()-5,N($X3731)+1,N($X3731)))</f>
        <v/>
      </c>
      <c r="Z3732">
        <f>IF($V3732="","",IF($AA3732&gt;N($AA3731),$AA3732,""))</f>
        <v/>
      </c>
      <c r="AA3732">
        <f>IF($V3732="",N($AA3731),IF(MATCH($V3732,$V$6:$V$6005,0)=ROW()-5,N($AA3731)+1,N($AA3731)))</f>
        <v/>
      </c>
    </row>
    <row r="3733" ht="21" customHeight="1" s="66">
      <c r="A3733" s="56" t="n"/>
      <c r="B3733" s="57" t="n"/>
      <c r="C3733" s="57" t="n"/>
      <c r="D3733" s="57" t="n"/>
      <c r="E3733" s="56" t="n"/>
      <c r="F3733" s="57" t="n"/>
      <c r="G3733" s="57" t="n"/>
      <c r="H3733" s="56" t="n"/>
      <c r="I3733" s="56" t="n"/>
      <c r="J3733" s="58" t="n"/>
      <c r="K3733" s="58" t="n"/>
      <c r="L3733" s="13">
        <f>IF(OR($A3733="",AND($J3733="",$K3733="")),"",ROUND(N($J3733)-N($K3733),2))</f>
        <v/>
      </c>
      <c r="M3733" s="13">
        <f>IF(OR($A3733="",AND($J3733="",$K3733="")),"",MIN($J3733,$K3733))</f>
        <v/>
      </c>
      <c r="Q3733">
        <f>IF($A3733="","",$D3733&amp;"("&amp;SUBSTITUTE($E3733," ","")&amp;")")</f>
        <v/>
      </c>
      <c r="R3733">
        <f>IF($A3733="","",$B3733&amp;" - "&amp;$C3733)</f>
        <v/>
      </c>
      <c r="S3733">
        <f>IF($A3733="","",$R3733&amp;"|"&amp;$Q3733)</f>
        <v/>
      </c>
      <c r="T3733">
        <f>IF($A3733="","",$S3733&amp;"|"&amp;$F3733)</f>
        <v/>
      </c>
      <c r="U3733">
        <f>IF($A3733="","",$R3733&amp;"("&amp;$E3733&amp;")")</f>
        <v/>
      </c>
      <c r="V3733">
        <f>IF($A3733="","",$F3733&amp;"|"&amp;$U3733&amp;"|"&amp;$D3733)</f>
        <v/>
      </c>
      <c r="W3733">
        <f>IF($T3733="","",IF($X3733&gt;N($X3732),$X3733,""))</f>
        <v/>
      </c>
      <c r="X3733">
        <f>IF($T3733="",N($X3732),IF(MATCH($T3733,$T$6:$T$6005,0)=ROW()-5,N($X3732)+1,N($X3732)))</f>
        <v/>
      </c>
      <c r="Z3733">
        <f>IF($V3733="","",IF($AA3733&gt;N($AA3732),$AA3733,""))</f>
        <v/>
      </c>
      <c r="AA3733">
        <f>IF($V3733="",N($AA3732),IF(MATCH($V3733,$V$6:$V$6005,0)=ROW()-5,N($AA3732)+1,N($AA3732)))</f>
        <v/>
      </c>
    </row>
    <row r="3734" ht="21" customHeight="1" s="66">
      <c r="A3734" s="56" t="n"/>
      <c r="B3734" s="57" t="n"/>
      <c r="C3734" s="57" t="n"/>
      <c r="D3734" s="57" t="n"/>
      <c r="E3734" s="56" t="n"/>
      <c r="F3734" s="57" t="n"/>
      <c r="G3734" s="57" t="n"/>
      <c r="H3734" s="56" t="n"/>
      <c r="I3734" s="56" t="n"/>
      <c r="J3734" s="58" t="n"/>
      <c r="K3734" s="58" t="n"/>
      <c r="L3734" s="13">
        <f>IF(OR($A3734="",AND($J3734="",$K3734="")),"",ROUND(N($J3734)-N($K3734),2))</f>
        <v/>
      </c>
      <c r="M3734" s="13">
        <f>IF(OR($A3734="",AND($J3734="",$K3734="")),"",MIN($J3734,$K3734))</f>
        <v/>
      </c>
      <c r="Q3734">
        <f>IF($A3734="","",$D3734&amp;"("&amp;SUBSTITUTE($E3734," ","")&amp;")")</f>
        <v/>
      </c>
      <c r="R3734">
        <f>IF($A3734="","",$B3734&amp;" - "&amp;$C3734)</f>
        <v/>
      </c>
      <c r="S3734">
        <f>IF($A3734="","",$R3734&amp;"|"&amp;$Q3734)</f>
        <v/>
      </c>
      <c r="T3734">
        <f>IF($A3734="","",$S3734&amp;"|"&amp;$F3734)</f>
        <v/>
      </c>
      <c r="U3734">
        <f>IF($A3734="","",$R3734&amp;"("&amp;$E3734&amp;")")</f>
        <v/>
      </c>
      <c r="V3734">
        <f>IF($A3734="","",$F3734&amp;"|"&amp;$U3734&amp;"|"&amp;$D3734)</f>
        <v/>
      </c>
      <c r="W3734">
        <f>IF($T3734="","",IF($X3734&gt;N($X3733),$X3734,""))</f>
        <v/>
      </c>
      <c r="X3734">
        <f>IF($T3734="",N($X3733),IF(MATCH($T3734,$T$6:$T$6005,0)=ROW()-5,N($X3733)+1,N($X3733)))</f>
        <v/>
      </c>
      <c r="Z3734">
        <f>IF($V3734="","",IF($AA3734&gt;N($AA3733),$AA3734,""))</f>
        <v/>
      </c>
      <c r="AA3734">
        <f>IF($V3734="",N($AA3733),IF(MATCH($V3734,$V$6:$V$6005,0)=ROW()-5,N($AA3733)+1,N($AA3733)))</f>
        <v/>
      </c>
    </row>
    <row r="3735" ht="21" customHeight="1" s="66">
      <c r="A3735" s="56" t="n"/>
      <c r="B3735" s="57" t="n"/>
      <c r="C3735" s="57" t="n"/>
      <c r="D3735" s="57" t="n"/>
      <c r="E3735" s="56" t="n"/>
      <c r="F3735" s="57" t="n"/>
      <c r="G3735" s="57" t="n"/>
      <c r="H3735" s="56" t="n"/>
      <c r="I3735" s="56" t="n"/>
      <c r="J3735" s="58" t="n"/>
      <c r="K3735" s="58" t="n"/>
      <c r="L3735" s="13">
        <f>IF(OR($A3735="",AND($J3735="",$K3735="")),"",ROUND(N($J3735)-N($K3735),2))</f>
        <v/>
      </c>
      <c r="M3735" s="13">
        <f>IF(OR($A3735="",AND($J3735="",$K3735="")),"",MIN($J3735,$K3735))</f>
        <v/>
      </c>
      <c r="Q3735">
        <f>IF($A3735="","",$D3735&amp;"("&amp;SUBSTITUTE($E3735," ","")&amp;")")</f>
        <v/>
      </c>
      <c r="R3735">
        <f>IF($A3735="","",$B3735&amp;" - "&amp;$C3735)</f>
        <v/>
      </c>
      <c r="S3735">
        <f>IF($A3735="","",$R3735&amp;"|"&amp;$Q3735)</f>
        <v/>
      </c>
      <c r="T3735">
        <f>IF($A3735="","",$S3735&amp;"|"&amp;$F3735)</f>
        <v/>
      </c>
      <c r="U3735">
        <f>IF($A3735="","",$R3735&amp;"("&amp;$E3735&amp;")")</f>
        <v/>
      </c>
      <c r="V3735">
        <f>IF($A3735="","",$F3735&amp;"|"&amp;$U3735&amp;"|"&amp;$D3735)</f>
        <v/>
      </c>
      <c r="W3735">
        <f>IF($T3735="","",IF($X3735&gt;N($X3734),$X3735,""))</f>
        <v/>
      </c>
      <c r="X3735">
        <f>IF($T3735="",N($X3734),IF(MATCH($T3735,$T$6:$T$6005,0)=ROW()-5,N($X3734)+1,N($X3734)))</f>
        <v/>
      </c>
      <c r="Z3735">
        <f>IF($V3735="","",IF($AA3735&gt;N($AA3734),$AA3735,""))</f>
        <v/>
      </c>
      <c r="AA3735">
        <f>IF($V3735="",N($AA3734),IF(MATCH($V3735,$V$6:$V$6005,0)=ROW()-5,N($AA3734)+1,N($AA3734)))</f>
        <v/>
      </c>
    </row>
    <row r="3736" ht="21" customHeight="1" s="66">
      <c r="A3736" s="56" t="n"/>
      <c r="B3736" s="57" t="n"/>
      <c r="C3736" s="57" t="n"/>
      <c r="D3736" s="57" t="n"/>
      <c r="E3736" s="56" t="n"/>
      <c r="F3736" s="57" t="n"/>
      <c r="G3736" s="57" t="n"/>
      <c r="H3736" s="56" t="n"/>
      <c r="I3736" s="56" t="n"/>
      <c r="J3736" s="58" t="n"/>
      <c r="K3736" s="58" t="n"/>
      <c r="L3736" s="13">
        <f>IF(OR($A3736="",AND($J3736="",$K3736="")),"",ROUND(N($J3736)-N($K3736),2))</f>
        <v/>
      </c>
      <c r="M3736" s="13">
        <f>IF(OR($A3736="",AND($J3736="",$K3736="")),"",MIN($J3736,$K3736))</f>
        <v/>
      </c>
      <c r="Q3736">
        <f>IF($A3736="","",$D3736&amp;"("&amp;SUBSTITUTE($E3736," ","")&amp;")")</f>
        <v/>
      </c>
      <c r="R3736">
        <f>IF($A3736="","",$B3736&amp;" - "&amp;$C3736)</f>
        <v/>
      </c>
      <c r="S3736">
        <f>IF($A3736="","",$R3736&amp;"|"&amp;$Q3736)</f>
        <v/>
      </c>
      <c r="T3736">
        <f>IF($A3736="","",$S3736&amp;"|"&amp;$F3736)</f>
        <v/>
      </c>
      <c r="U3736">
        <f>IF($A3736="","",$R3736&amp;"("&amp;$E3736&amp;")")</f>
        <v/>
      </c>
      <c r="V3736">
        <f>IF($A3736="","",$F3736&amp;"|"&amp;$U3736&amp;"|"&amp;$D3736)</f>
        <v/>
      </c>
      <c r="W3736">
        <f>IF($T3736="","",IF($X3736&gt;N($X3735),$X3736,""))</f>
        <v/>
      </c>
      <c r="X3736">
        <f>IF($T3736="",N($X3735),IF(MATCH($T3736,$T$6:$T$6005,0)=ROW()-5,N($X3735)+1,N($X3735)))</f>
        <v/>
      </c>
      <c r="Z3736">
        <f>IF($V3736="","",IF($AA3736&gt;N($AA3735),$AA3736,""))</f>
        <v/>
      </c>
      <c r="AA3736">
        <f>IF($V3736="",N($AA3735),IF(MATCH($V3736,$V$6:$V$6005,0)=ROW()-5,N($AA3735)+1,N($AA3735)))</f>
        <v/>
      </c>
    </row>
    <row r="3737" ht="21" customHeight="1" s="66">
      <c r="A3737" s="56" t="n"/>
      <c r="B3737" s="57" t="n"/>
      <c r="C3737" s="57" t="n"/>
      <c r="D3737" s="57" t="n"/>
      <c r="E3737" s="56" t="n"/>
      <c r="F3737" s="57" t="n"/>
      <c r="G3737" s="57" t="n"/>
      <c r="H3737" s="56" t="n"/>
      <c r="I3737" s="56" t="n"/>
      <c r="J3737" s="58" t="n"/>
      <c r="K3737" s="58" t="n"/>
      <c r="L3737" s="13">
        <f>IF(OR($A3737="",AND($J3737="",$K3737="")),"",ROUND(N($J3737)-N($K3737),2))</f>
        <v/>
      </c>
      <c r="M3737" s="13">
        <f>IF(OR($A3737="",AND($J3737="",$K3737="")),"",MIN($J3737,$K3737))</f>
        <v/>
      </c>
      <c r="Q3737">
        <f>IF($A3737="","",$D3737&amp;"("&amp;SUBSTITUTE($E3737," ","")&amp;")")</f>
        <v/>
      </c>
      <c r="R3737">
        <f>IF($A3737="","",$B3737&amp;" - "&amp;$C3737)</f>
        <v/>
      </c>
      <c r="S3737">
        <f>IF($A3737="","",$R3737&amp;"|"&amp;$Q3737)</f>
        <v/>
      </c>
      <c r="T3737">
        <f>IF($A3737="","",$S3737&amp;"|"&amp;$F3737)</f>
        <v/>
      </c>
      <c r="U3737">
        <f>IF($A3737="","",$R3737&amp;"("&amp;$E3737&amp;")")</f>
        <v/>
      </c>
      <c r="V3737">
        <f>IF($A3737="","",$F3737&amp;"|"&amp;$U3737&amp;"|"&amp;$D3737)</f>
        <v/>
      </c>
      <c r="W3737">
        <f>IF($T3737="","",IF($X3737&gt;N($X3736),$X3737,""))</f>
        <v/>
      </c>
      <c r="X3737">
        <f>IF($T3737="",N($X3736),IF(MATCH($T3737,$T$6:$T$6005,0)=ROW()-5,N($X3736)+1,N($X3736)))</f>
        <v/>
      </c>
      <c r="Z3737">
        <f>IF($V3737="","",IF($AA3737&gt;N($AA3736),$AA3737,""))</f>
        <v/>
      </c>
      <c r="AA3737">
        <f>IF($V3737="",N($AA3736),IF(MATCH($V3737,$V$6:$V$6005,0)=ROW()-5,N($AA3736)+1,N($AA3736)))</f>
        <v/>
      </c>
    </row>
    <row r="3738" ht="21" customHeight="1" s="66">
      <c r="A3738" s="56" t="n"/>
      <c r="B3738" s="57" t="n"/>
      <c r="C3738" s="57" t="n"/>
      <c r="D3738" s="57" t="n"/>
      <c r="E3738" s="56" t="n"/>
      <c r="F3738" s="57" t="n"/>
      <c r="G3738" s="57" t="n"/>
      <c r="H3738" s="56" t="n"/>
      <c r="I3738" s="56" t="n"/>
      <c r="J3738" s="58" t="n"/>
      <c r="K3738" s="58" t="n"/>
      <c r="L3738" s="13">
        <f>IF(OR($A3738="",AND($J3738="",$K3738="")),"",ROUND(N($J3738)-N($K3738),2))</f>
        <v/>
      </c>
      <c r="M3738" s="13">
        <f>IF(OR($A3738="",AND($J3738="",$K3738="")),"",MIN($J3738,$K3738))</f>
        <v/>
      </c>
      <c r="Q3738">
        <f>IF($A3738="","",$D3738&amp;"("&amp;SUBSTITUTE($E3738," ","")&amp;")")</f>
        <v/>
      </c>
      <c r="R3738">
        <f>IF($A3738="","",$B3738&amp;" - "&amp;$C3738)</f>
        <v/>
      </c>
      <c r="S3738">
        <f>IF($A3738="","",$R3738&amp;"|"&amp;$Q3738)</f>
        <v/>
      </c>
      <c r="T3738">
        <f>IF($A3738="","",$S3738&amp;"|"&amp;$F3738)</f>
        <v/>
      </c>
      <c r="U3738">
        <f>IF($A3738="","",$R3738&amp;"("&amp;$E3738&amp;")")</f>
        <v/>
      </c>
      <c r="V3738">
        <f>IF($A3738="","",$F3738&amp;"|"&amp;$U3738&amp;"|"&amp;$D3738)</f>
        <v/>
      </c>
      <c r="W3738">
        <f>IF($T3738="","",IF($X3738&gt;N($X3737),$X3738,""))</f>
        <v/>
      </c>
      <c r="X3738">
        <f>IF($T3738="",N($X3737),IF(MATCH($T3738,$T$6:$T$6005,0)=ROW()-5,N($X3737)+1,N($X3737)))</f>
        <v/>
      </c>
      <c r="Z3738">
        <f>IF($V3738="","",IF($AA3738&gt;N($AA3737),$AA3738,""))</f>
        <v/>
      </c>
      <c r="AA3738">
        <f>IF($V3738="",N($AA3737),IF(MATCH($V3738,$V$6:$V$6005,0)=ROW()-5,N($AA3737)+1,N($AA3737)))</f>
        <v/>
      </c>
    </row>
    <row r="3739" ht="21" customHeight="1" s="66">
      <c r="A3739" s="56" t="n"/>
      <c r="B3739" s="57" t="n"/>
      <c r="C3739" s="57" t="n"/>
      <c r="D3739" s="57" t="n"/>
      <c r="E3739" s="56" t="n"/>
      <c r="F3739" s="57" t="n"/>
      <c r="G3739" s="57" t="n"/>
      <c r="H3739" s="56" t="n"/>
      <c r="I3739" s="56" t="n"/>
      <c r="J3739" s="58" t="n"/>
      <c r="K3739" s="58" t="n"/>
      <c r="L3739" s="13">
        <f>IF(OR($A3739="",AND($J3739="",$K3739="")),"",ROUND(N($J3739)-N($K3739),2))</f>
        <v/>
      </c>
      <c r="M3739" s="13">
        <f>IF(OR($A3739="",AND($J3739="",$K3739="")),"",MIN($J3739,$K3739))</f>
        <v/>
      </c>
      <c r="Q3739">
        <f>IF($A3739="","",$D3739&amp;"("&amp;SUBSTITUTE($E3739," ","")&amp;")")</f>
        <v/>
      </c>
      <c r="R3739">
        <f>IF($A3739="","",$B3739&amp;" - "&amp;$C3739)</f>
        <v/>
      </c>
      <c r="S3739">
        <f>IF($A3739="","",$R3739&amp;"|"&amp;$Q3739)</f>
        <v/>
      </c>
      <c r="T3739">
        <f>IF($A3739="","",$S3739&amp;"|"&amp;$F3739)</f>
        <v/>
      </c>
      <c r="U3739">
        <f>IF($A3739="","",$R3739&amp;"("&amp;$E3739&amp;")")</f>
        <v/>
      </c>
      <c r="V3739">
        <f>IF($A3739="","",$F3739&amp;"|"&amp;$U3739&amp;"|"&amp;$D3739)</f>
        <v/>
      </c>
      <c r="W3739">
        <f>IF($T3739="","",IF($X3739&gt;N($X3738),$X3739,""))</f>
        <v/>
      </c>
      <c r="X3739">
        <f>IF($T3739="",N($X3738),IF(MATCH($T3739,$T$6:$T$6005,0)=ROW()-5,N($X3738)+1,N($X3738)))</f>
        <v/>
      </c>
      <c r="Z3739">
        <f>IF($V3739="","",IF($AA3739&gt;N($AA3738),$AA3739,""))</f>
        <v/>
      </c>
      <c r="AA3739">
        <f>IF($V3739="",N($AA3738),IF(MATCH($V3739,$V$6:$V$6005,0)=ROW()-5,N($AA3738)+1,N($AA3738)))</f>
        <v/>
      </c>
    </row>
    <row r="3740" ht="21" customHeight="1" s="66">
      <c r="A3740" s="56" t="n"/>
      <c r="B3740" s="57" t="n"/>
      <c r="C3740" s="57" t="n"/>
      <c r="D3740" s="57" t="n"/>
      <c r="E3740" s="56" t="n"/>
      <c r="F3740" s="57" t="n"/>
      <c r="G3740" s="57" t="n"/>
      <c r="H3740" s="56" t="n"/>
      <c r="I3740" s="56" t="n"/>
      <c r="J3740" s="58" t="n"/>
      <c r="K3740" s="58" t="n"/>
      <c r="L3740" s="13">
        <f>IF(OR($A3740="",AND($J3740="",$K3740="")),"",ROUND(N($J3740)-N($K3740),2))</f>
        <v/>
      </c>
      <c r="M3740" s="13">
        <f>IF(OR($A3740="",AND($J3740="",$K3740="")),"",MIN($J3740,$K3740))</f>
        <v/>
      </c>
      <c r="Q3740">
        <f>IF($A3740="","",$D3740&amp;"("&amp;SUBSTITUTE($E3740," ","")&amp;")")</f>
        <v/>
      </c>
      <c r="R3740">
        <f>IF($A3740="","",$B3740&amp;" - "&amp;$C3740)</f>
        <v/>
      </c>
      <c r="S3740">
        <f>IF($A3740="","",$R3740&amp;"|"&amp;$Q3740)</f>
        <v/>
      </c>
      <c r="T3740">
        <f>IF($A3740="","",$S3740&amp;"|"&amp;$F3740)</f>
        <v/>
      </c>
      <c r="U3740">
        <f>IF($A3740="","",$R3740&amp;"("&amp;$E3740&amp;")")</f>
        <v/>
      </c>
      <c r="V3740">
        <f>IF($A3740="","",$F3740&amp;"|"&amp;$U3740&amp;"|"&amp;$D3740)</f>
        <v/>
      </c>
      <c r="W3740">
        <f>IF($T3740="","",IF($X3740&gt;N($X3739),$X3740,""))</f>
        <v/>
      </c>
      <c r="X3740">
        <f>IF($T3740="",N($X3739),IF(MATCH($T3740,$T$6:$T$6005,0)=ROW()-5,N($X3739)+1,N($X3739)))</f>
        <v/>
      </c>
      <c r="Z3740">
        <f>IF($V3740="","",IF($AA3740&gt;N($AA3739),$AA3740,""))</f>
        <v/>
      </c>
      <c r="AA3740">
        <f>IF($V3740="",N($AA3739),IF(MATCH($V3740,$V$6:$V$6005,0)=ROW()-5,N($AA3739)+1,N($AA3739)))</f>
        <v/>
      </c>
    </row>
    <row r="3741" ht="21" customHeight="1" s="66">
      <c r="A3741" s="56" t="n"/>
      <c r="B3741" s="57" t="n"/>
      <c r="C3741" s="57" t="n"/>
      <c r="D3741" s="57" t="n"/>
      <c r="E3741" s="56" t="n"/>
      <c r="F3741" s="57" t="n"/>
      <c r="G3741" s="57" t="n"/>
      <c r="H3741" s="56" t="n"/>
      <c r="I3741" s="56" t="n"/>
      <c r="J3741" s="58" t="n"/>
      <c r="K3741" s="58" t="n"/>
      <c r="L3741" s="13">
        <f>IF(OR($A3741="",AND($J3741="",$K3741="")),"",ROUND(N($J3741)-N($K3741),2))</f>
        <v/>
      </c>
      <c r="M3741" s="13">
        <f>IF(OR($A3741="",AND($J3741="",$K3741="")),"",MIN($J3741,$K3741))</f>
        <v/>
      </c>
      <c r="Q3741">
        <f>IF($A3741="","",$D3741&amp;"("&amp;SUBSTITUTE($E3741," ","")&amp;")")</f>
        <v/>
      </c>
      <c r="R3741">
        <f>IF($A3741="","",$B3741&amp;" - "&amp;$C3741)</f>
        <v/>
      </c>
      <c r="S3741">
        <f>IF($A3741="","",$R3741&amp;"|"&amp;$Q3741)</f>
        <v/>
      </c>
      <c r="T3741">
        <f>IF($A3741="","",$S3741&amp;"|"&amp;$F3741)</f>
        <v/>
      </c>
      <c r="U3741">
        <f>IF($A3741="","",$R3741&amp;"("&amp;$E3741&amp;")")</f>
        <v/>
      </c>
      <c r="V3741">
        <f>IF($A3741="","",$F3741&amp;"|"&amp;$U3741&amp;"|"&amp;$D3741)</f>
        <v/>
      </c>
      <c r="W3741">
        <f>IF($T3741="","",IF($X3741&gt;N($X3740),$X3741,""))</f>
        <v/>
      </c>
      <c r="X3741">
        <f>IF($T3741="",N($X3740),IF(MATCH($T3741,$T$6:$T$6005,0)=ROW()-5,N($X3740)+1,N($X3740)))</f>
        <v/>
      </c>
      <c r="Z3741">
        <f>IF($V3741="","",IF($AA3741&gt;N($AA3740),$AA3741,""))</f>
        <v/>
      </c>
      <c r="AA3741">
        <f>IF($V3741="",N($AA3740),IF(MATCH($V3741,$V$6:$V$6005,0)=ROW()-5,N($AA3740)+1,N($AA3740)))</f>
        <v/>
      </c>
    </row>
    <row r="3742" ht="21" customHeight="1" s="66">
      <c r="A3742" s="56" t="n"/>
      <c r="B3742" s="57" t="n"/>
      <c r="C3742" s="57" t="n"/>
      <c r="D3742" s="57" t="n"/>
      <c r="E3742" s="56" t="n"/>
      <c r="F3742" s="57" t="n"/>
      <c r="G3742" s="57" t="n"/>
      <c r="H3742" s="56" t="n"/>
      <c r="I3742" s="56" t="n"/>
      <c r="J3742" s="58" t="n"/>
      <c r="K3742" s="58" t="n"/>
      <c r="L3742" s="13">
        <f>IF(OR($A3742="",AND($J3742="",$K3742="")),"",ROUND(N($J3742)-N($K3742),2))</f>
        <v/>
      </c>
      <c r="M3742" s="13">
        <f>IF(OR($A3742="",AND($J3742="",$K3742="")),"",MIN($J3742,$K3742))</f>
        <v/>
      </c>
      <c r="Q3742">
        <f>IF($A3742="","",$D3742&amp;"("&amp;SUBSTITUTE($E3742," ","")&amp;")")</f>
        <v/>
      </c>
      <c r="R3742">
        <f>IF($A3742="","",$B3742&amp;" - "&amp;$C3742)</f>
        <v/>
      </c>
      <c r="S3742">
        <f>IF($A3742="","",$R3742&amp;"|"&amp;$Q3742)</f>
        <v/>
      </c>
      <c r="T3742">
        <f>IF($A3742="","",$S3742&amp;"|"&amp;$F3742)</f>
        <v/>
      </c>
      <c r="U3742">
        <f>IF($A3742="","",$R3742&amp;"("&amp;$E3742&amp;")")</f>
        <v/>
      </c>
      <c r="V3742">
        <f>IF($A3742="","",$F3742&amp;"|"&amp;$U3742&amp;"|"&amp;$D3742)</f>
        <v/>
      </c>
      <c r="W3742">
        <f>IF($T3742="","",IF($X3742&gt;N($X3741),$X3742,""))</f>
        <v/>
      </c>
      <c r="X3742">
        <f>IF($T3742="",N($X3741),IF(MATCH($T3742,$T$6:$T$6005,0)=ROW()-5,N($X3741)+1,N($X3741)))</f>
        <v/>
      </c>
      <c r="Z3742">
        <f>IF($V3742="","",IF($AA3742&gt;N($AA3741),$AA3742,""))</f>
        <v/>
      </c>
      <c r="AA3742">
        <f>IF($V3742="",N($AA3741),IF(MATCH($V3742,$V$6:$V$6005,0)=ROW()-5,N($AA3741)+1,N($AA3741)))</f>
        <v/>
      </c>
    </row>
    <row r="3743" ht="21" customHeight="1" s="66">
      <c r="A3743" s="56" t="n"/>
      <c r="B3743" s="57" t="n"/>
      <c r="C3743" s="57" t="n"/>
      <c r="D3743" s="57" t="n"/>
      <c r="E3743" s="56" t="n"/>
      <c r="F3743" s="57" t="n"/>
      <c r="G3743" s="57" t="n"/>
      <c r="H3743" s="56" t="n"/>
      <c r="I3743" s="56" t="n"/>
      <c r="J3743" s="58" t="n"/>
      <c r="K3743" s="58" t="n"/>
      <c r="L3743" s="13">
        <f>IF(OR($A3743="",AND($J3743="",$K3743="")),"",ROUND(N($J3743)-N($K3743),2))</f>
        <v/>
      </c>
      <c r="M3743" s="13">
        <f>IF(OR($A3743="",AND($J3743="",$K3743="")),"",MIN($J3743,$K3743))</f>
        <v/>
      </c>
      <c r="Q3743">
        <f>IF($A3743="","",$D3743&amp;"("&amp;SUBSTITUTE($E3743," ","")&amp;")")</f>
        <v/>
      </c>
      <c r="R3743">
        <f>IF($A3743="","",$B3743&amp;" - "&amp;$C3743)</f>
        <v/>
      </c>
      <c r="S3743">
        <f>IF($A3743="","",$R3743&amp;"|"&amp;$Q3743)</f>
        <v/>
      </c>
      <c r="T3743">
        <f>IF($A3743="","",$S3743&amp;"|"&amp;$F3743)</f>
        <v/>
      </c>
      <c r="U3743">
        <f>IF($A3743="","",$R3743&amp;"("&amp;$E3743&amp;")")</f>
        <v/>
      </c>
      <c r="V3743">
        <f>IF($A3743="","",$F3743&amp;"|"&amp;$U3743&amp;"|"&amp;$D3743)</f>
        <v/>
      </c>
      <c r="W3743">
        <f>IF($T3743="","",IF($X3743&gt;N($X3742),$X3743,""))</f>
        <v/>
      </c>
      <c r="X3743">
        <f>IF($T3743="",N($X3742),IF(MATCH($T3743,$T$6:$T$6005,0)=ROW()-5,N($X3742)+1,N($X3742)))</f>
        <v/>
      </c>
      <c r="Z3743">
        <f>IF($V3743="","",IF($AA3743&gt;N($AA3742),$AA3743,""))</f>
        <v/>
      </c>
      <c r="AA3743">
        <f>IF($V3743="",N($AA3742),IF(MATCH($V3743,$V$6:$V$6005,0)=ROW()-5,N($AA3742)+1,N($AA3742)))</f>
        <v/>
      </c>
    </row>
    <row r="3744" ht="21" customHeight="1" s="66">
      <c r="A3744" s="56" t="n"/>
      <c r="B3744" s="57" t="n"/>
      <c r="C3744" s="57" t="n"/>
      <c r="D3744" s="57" t="n"/>
      <c r="E3744" s="56" t="n"/>
      <c r="F3744" s="57" t="n"/>
      <c r="G3744" s="57" t="n"/>
      <c r="H3744" s="56" t="n"/>
      <c r="I3744" s="56" t="n"/>
      <c r="J3744" s="58" t="n"/>
      <c r="K3744" s="58" t="n"/>
      <c r="L3744" s="13">
        <f>IF(OR($A3744="",AND($J3744="",$K3744="")),"",ROUND(N($J3744)-N($K3744),2))</f>
        <v/>
      </c>
      <c r="M3744" s="13">
        <f>IF(OR($A3744="",AND($J3744="",$K3744="")),"",MIN($J3744,$K3744))</f>
        <v/>
      </c>
      <c r="Q3744">
        <f>IF($A3744="","",$D3744&amp;"("&amp;SUBSTITUTE($E3744," ","")&amp;")")</f>
        <v/>
      </c>
      <c r="R3744">
        <f>IF($A3744="","",$B3744&amp;" - "&amp;$C3744)</f>
        <v/>
      </c>
      <c r="S3744">
        <f>IF($A3744="","",$R3744&amp;"|"&amp;$Q3744)</f>
        <v/>
      </c>
      <c r="T3744">
        <f>IF($A3744="","",$S3744&amp;"|"&amp;$F3744)</f>
        <v/>
      </c>
      <c r="U3744">
        <f>IF($A3744="","",$R3744&amp;"("&amp;$E3744&amp;")")</f>
        <v/>
      </c>
      <c r="V3744">
        <f>IF($A3744="","",$F3744&amp;"|"&amp;$U3744&amp;"|"&amp;$D3744)</f>
        <v/>
      </c>
      <c r="W3744">
        <f>IF($T3744="","",IF($X3744&gt;N($X3743),$X3744,""))</f>
        <v/>
      </c>
      <c r="X3744">
        <f>IF($T3744="",N($X3743),IF(MATCH($T3744,$T$6:$T$6005,0)=ROW()-5,N($X3743)+1,N($X3743)))</f>
        <v/>
      </c>
      <c r="Z3744">
        <f>IF($V3744="","",IF($AA3744&gt;N($AA3743),$AA3744,""))</f>
        <v/>
      </c>
      <c r="AA3744">
        <f>IF($V3744="",N($AA3743),IF(MATCH($V3744,$V$6:$V$6005,0)=ROW()-5,N($AA3743)+1,N($AA3743)))</f>
        <v/>
      </c>
    </row>
    <row r="3745" ht="21" customHeight="1" s="66">
      <c r="A3745" s="56" t="n"/>
      <c r="B3745" s="57" t="n"/>
      <c r="C3745" s="57" t="n"/>
      <c r="D3745" s="57" t="n"/>
      <c r="E3745" s="56" t="n"/>
      <c r="F3745" s="57" t="n"/>
      <c r="G3745" s="57" t="n"/>
      <c r="H3745" s="56" t="n"/>
      <c r="I3745" s="56" t="n"/>
      <c r="J3745" s="58" t="n"/>
      <c r="K3745" s="58" t="n"/>
      <c r="L3745" s="13">
        <f>IF(OR($A3745="",AND($J3745="",$K3745="")),"",ROUND(N($J3745)-N($K3745),2))</f>
        <v/>
      </c>
      <c r="M3745" s="13">
        <f>IF(OR($A3745="",AND($J3745="",$K3745="")),"",MIN($J3745,$K3745))</f>
        <v/>
      </c>
      <c r="Q3745">
        <f>IF($A3745="","",$D3745&amp;"("&amp;SUBSTITUTE($E3745," ","")&amp;")")</f>
        <v/>
      </c>
      <c r="R3745">
        <f>IF($A3745="","",$B3745&amp;" - "&amp;$C3745)</f>
        <v/>
      </c>
      <c r="S3745">
        <f>IF($A3745="","",$R3745&amp;"|"&amp;$Q3745)</f>
        <v/>
      </c>
      <c r="T3745">
        <f>IF($A3745="","",$S3745&amp;"|"&amp;$F3745)</f>
        <v/>
      </c>
      <c r="U3745">
        <f>IF($A3745="","",$R3745&amp;"("&amp;$E3745&amp;")")</f>
        <v/>
      </c>
      <c r="V3745">
        <f>IF($A3745="","",$F3745&amp;"|"&amp;$U3745&amp;"|"&amp;$D3745)</f>
        <v/>
      </c>
      <c r="W3745">
        <f>IF($T3745="","",IF($X3745&gt;N($X3744),$X3745,""))</f>
        <v/>
      </c>
      <c r="X3745">
        <f>IF($T3745="",N($X3744),IF(MATCH($T3745,$T$6:$T$6005,0)=ROW()-5,N($X3744)+1,N($X3744)))</f>
        <v/>
      </c>
      <c r="Z3745">
        <f>IF($V3745="","",IF($AA3745&gt;N($AA3744),$AA3745,""))</f>
        <v/>
      </c>
      <c r="AA3745">
        <f>IF($V3745="",N($AA3744),IF(MATCH($V3745,$V$6:$V$6005,0)=ROW()-5,N($AA3744)+1,N($AA3744)))</f>
        <v/>
      </c>
    </row>
    <row r="3746" ht="21" customHeight="1" s="66">
      <c r="A3746" s="56" t="n"/>
      <c r="B3746" s="57" t="n"/>
      <c r="C3746" s="57" t="n"/>
      <c r="D3746" s="57" t="n"/>
      <c r="E3746" s="56" t="n"/>
      <c r="F3746" s="57" t="n"/>
      <c r="G3746" s="57" t="n"/>
      <c r="H3746" s="56" t="n"/>
      <c r="I3746" s="56" t="n"/>
      <c r="J3746" s="58" t="n"/>
      <c r="K3746" s="58" t="n"/>
      <c r="L3746" s="13">
        <f>IF(OR($A3746="",AND($J3746="",$K3746="")),"",ROUND(N($J3746)-N($K3746),2))</f>
        <v/>
      </c>
      <c r="M3746" s="13">
        <f>IF(OR($A3746="",AND($J3746="",$K3746="")),"",MIN($J3746,$K3746))</f>
        <v/>
      </c>
      <c r="Q3746">
        <f>IF($A3746="","",$D3746&amp;"("&amp;SUBSTITUTE($E3746," ","")&amp;")")</f>
        <v/>
      </c>
      <c r="R3746">
        <f>IF($A3746="","",$B3746&amp;" - "&amp;$C3746)</f>
        <v/>
      </c>
      <c r="S3746">
        <f>IF($A3746="","",$R3746&amp;"|"&amp;$Q3746)</f>
        <v/>
      </c>
      <c r="T3746">
        <f>IF($A3746="","",$S3746&amp;"|"&amp;$F3746)</f>
        <v/>
      </c>
      <c r="U3746">
        <f>IF($A3746="","",$R3746&amp;"("&amp;$E3746&amp;")")</f>
        <v/>
      </c>
      <c r="V3746">
        <f>IF($A3746="","",$F3746&amp;"|"&amp;$U3746&amp;"|"&amp;$D3746)</f>
        <v/>
      </c>
      <c r="W3746">
        <f>IF($T3746="","",IF($X3746&gt;N($X3745),$X3746,""))</f>
        <v/>
      </c>
      <c r="X3746">
        <f>IF($T3746="",N($X3745),IF(MATCH($T3746,$T$6:$T$6005,0)=ROW()-5,N($X3745)+1,N($X3745)))</f>
        <v/>
      </c>
      <c r="Z3746">
        <f>IF($V3746="","",IF($AA3746&gt;N($AA3745),$AA3746,""))</f>
        <v/>
      </c>
      <c r="AA3746">
        <f>IF($V3746="",N($AA3745),IF(MATCH($V3746,$V$6:$V$6005,0)=ROW()-5,N($AA3745)+1,N($AA3745)))</f>
        <v/>
      </c>
    </row>
    <row r="3747" ht="21" customHeight="1" s="66">
      <c r="A3747" s="56" t="n"/>
      <c r="B3747" s="57" t="n"/>
      <c r="C3747" s="57" t="n"/>
      <c r="D3747" s="57" t="n"/>
      <c r="E3747" s="56" t="n"/>
      <c r="F3747" s="57" t="n"/>
      <c r="G3747" s="57" t="n"/>
      <c r="H3747" s="56" t="n"/>
      <c r="I3747" s="56" t="n"/>
      <c r="J3747" s="58" t="n"/>
      <c r="K3747" s="58" t="n"/>
      <c r="L3747" s="13">
        <f>IF(OR($A3747="",AND($J3747="",$K3747="")),"",ROUND(N($J3747)-N($K3747),2))</f>
        <v/>
      </c>
      <c r="M3747" s="13">
        <f>IF(OR($A3747="",AND($J3747="",$K3747="")),"",MIN($J3747,$K3747))</f>
        <v/>
      </c>
      <c r="Q3747">
        <f>IF($A3747="","",$D3747&amp;"("&amp;SUBSTITUTE($E3747," ","")&amp;")")</f>
        <v/>
      </c>
      <c r="R3747">
        <f>IF($A3747="","",$B3747&amp;" - "&amp;$C3747)</f>
        <v/>
      </c>
      <c r="S3747">
        <f>IF($A3747="","",$R3747&amp;"|"&amp;$Q3747)</f>
        <v/>
      </c>
      <c r="T3747">
        <f>IF($A3747="","",$S3747&amp;"|"&amp;$F3747)</f>
        <v/>
      </c>
      <c r="U3747">
        <f>IF($A3747="","",$R3747&amp;"("&amp;$E3747&amp;")")</f>
        <v/>
      </c>
      <c r="V3747">
        <f>IF($A3747="","",$F3747&amp;"|"&amp;$U3747&amp;"|"&amp;$D3747)</f>
        <v/>
      </c>
      <c r="W3747">
        <f>IF($T3747="","",IF($X3747&gt;N($X3746),$X3747,""))</f>
        <v/>
      </c>
      <c r="X3747">
        <f>IF($T3747="",N($X3746),IF(MATCH($T3747,$T$6:$T$6005,0)=ROW()-5,N($X3746)+1,N($X3746)))</f>
        <v/>
      </c>
      <c r="Z3747">
        <f>IF($V3747="","",IF($AA3747&gt;N($AA3746),$AA3747,""))</f>
        <v/>
      </c>
      <c r="AA3747">
        <f>IF($V3747="",N($AA3746),IF(MATCH($V3747,$V$6:$V$6005,0)=ROW()-5,N($AA3746)+1,N($AA3746)))</f>
        <v/>
      </c>
    </row>
    <row r="3748" ht="21" customHeight="1" s="66">
      <c r="A3748" s="56" t="n"/>
      <c r="B3748" s="57" t="n"/>
      <c r="C3748" s="57" t="n"/>
      <c r="D3748" s="57" t="n"/>
      <c r="E3748" s="56" t="n"/>
      <c r="F3748" s="57" t="n"/>
      <c r="G3748" s="57" t="n"/>
      <c r="H3748" s="56" t="n"/>
      <c r="I3748" s="56" t="n"/>
      <c r="J3748" s="58" t="n"/>
      <c r="K3748" s="58" t="n"/>
      <c r="L3748" s="13">
        <f>IF(OR($A3748="",AND($J3748="",$K3748="")),"",ROUND(N($J3748)-N($K3748),2))</f>
        <v/>
      </c>
      <c r="M3748" s="13">
        <f>IF(OR($A3748="",AND($J3748="",$K3748="")),"",MIN($J3748,$K3748))</f>
        <v/>
      </c>
      <c r="Q3748">
        <f>IF($A3748="","",$D3748&amp;"("&amp;SUBSTITUTE($E3748," ","")&amp;")")</f>
        <v/>
      </c>
      <c r="R3748">
        <f>IF($A3748="","",$B3748&amp;" - "&amp;$C3748)</f>
        <v/>
      </c>
      <c r="S3748">
        <f>IF($A3748="","",$R3748&amp;"|"&amp;$Q3748)</f>
        <v/>
      </c>
      <c r="T3748">
        <f>IF($A3748="","",$S3748&amp;"|"&amp;$F3748)</f>
        <v/>
      </c>
      <c r="U3748">
        <f>IF($A3748="","",$R3748&amp;"("&amp;$E3748&amp;")")</f>
        <v/>
      </c>
      <c r="V3748">
        <f>IF($A3748="","",$F3748&amp;"|"&amp;$U3748&amp;"|"&amp;$D3748)</f>
        <v/>
      </c>
      <c r="W3748">
        <f>IF($T3748="","",IF($X3748&gt;N($X3747),$X3748,""))</f>
        <v/>
      </c>
      <c r="X3748">
        <f>IF($T3748="",N($X3747),IF(MATCH($T3748,$T$6:$T$6005,0)=ROW()-5,N($X3747)+1,N($X3747)))</f>
        <v/>
      </c>
      <c r="Z3748">
        <f>IF($V3748="","",IF($AA3748&gt;N($AA3747),$AA3748,""))</f>
        <v/>
      </c>
      <c r="AA3748">
        <f>IF($V3748="",N($AA3747),IF(MATCH($V3748,$V$6:$V$6005,0)=ROW()-5,N($AA3747)+1,N($AA3747)))</f>
        <v/>
      </c>
    </row>
    <row r="3749" ht="21" customHeight="1" s="66">
      <c r="A3749" s="56" t="n"/>
      <c r="B3749" s="57" t="n"/>
      <c r="C3749" s="57" t="n"/>
      <c r="D3749" s="57" t="n"/>
      <c r="E3749" s="56" t="n"/>
      <c r="F3749" s="57" t="n"/>
      <c r="G3749" s="57" t="n"/>
      <c r="H3749" s="56" t="n"/>
      <c r="I3749" s="56" t="n"/>
      <c r="J3749" s="58" t="n"/>
      <c r="K3749" s="58" t="n"/>
      <c r="L3749" s="13">
        <f>IF(OR($A3749="",AND($J3749="",$K3749="")),"",ROUND(N($J3749)-N($K3749),2))</f>
        <v/>
      </c>
      <c r="M3749" s="13">
        <f>IF(OR($A3749="",AND($J3749="",$K3749="")),"",MIN($J3749,$K3749))</f>
        <v/>
      </c>
      <c r="Q3749">
        <f>IF($A3749="","",$D3749&amp;"("&amp;SUBSTITUTE($E3749," ","")&amp;")")</f>
        <v/>
      </c>
      <c r="R3749">
        <f>IF($A3749="","",$B3749&amp;" - "&amp;$C3749)</f>
        <v/>
      </c>
      <c r="S3749">
        <f>IF($A3749="","",$R3749&amp;"|"&amp;$Q3749)</f>
        <v/>
      </c>
      <c r="T3749">
        <f>IF($A3749="","",$S3749&amp;"|"&amp;$F3749)</f>
        <v/>
      </c>
      <c r="U3749">
        <f>IF($A3749="","",$R3749&amp;"("&amp;$E3749&amp;")")</f>
        <v/>
      </c>
      <c r="V3749">
        <f>IF($A3749="","",$F3749&amp;"|"&amp;$U3749&amp;"|"&amp;$D3749)</f>
        <v/>
      </c>
      <c r="W3749">
        <f>IF($T3749="","",IF($X3749&gt;N($X3748),$X3749,""))</f>
        <v/>
      </c>
      <c r="X3749">
        <f>IF($T3749="",N($X3748),IF(MATCH($T3749,$T$6:$T$6005,0)=ROW()-5,N($X3748)+1,N($X3748)))</f>
        <v/>
      </c>
      <c r="Z3749">
        <f>IF($V3749="","",IF($AA3749&gt;N($AA3748),$AA3749,""))</f>
        <v/>
      </c>
      <c r="AA3749">
        <f>IF($V3749="",N($AA3748),IF(MATCH($V3749,$V$6:$V$6005,0)=ROW()-5,N($AA3748)+1,N($AA3748)))</f>
        <v/>
      </c>
    </row>
    <row r="3750" ht="21" customHeight="1" s="66">
      <c r="A3750" s="56" t="n"/>
      <c r="B3750" s="57" t="n"/>
      <c r="C3750" s="57" t="n"/>
      <c r="D3750" s="57" t="n"/>
      <c r="E3750" s="56" t="n"/>
      <c r="F3750" s="57" t="n"/>
      <c r="G3750" s="57" t="n"/>
      <c r="H3750" s="56" t="n"/>
      <c r="I3750" s="56" t="n"/>
      <c r="J3750" s="58" t="n"/>
      <c r="K3750" s="58" t="n"/>
      <c r="L3750" s="13">
        <f>IF(OR($A3750="",AND($J3750="",$K3750="")),"",ROUND(N($J3750)-N($K3750),2))</f>
        <v/>
      </c>
      <c r="M3750" s="13">
        <f>IF(OR($A3750="",AND($J3750="",$K3750="")),"",MIN($J3750,$K3750))</f>
        <v/>
      </c>
      <c r="Q3750">
        <f>IF($A3750="","",$D3750&amp;"("&amp;SUBSTITUTE($E3750," ","")&amp;")")</f>
        <v/>
      </c>
      <c r="R3750">
        <f>IF($A3750="","",$B3750&amp;" - "&amp;$C3750)</f>
        <v/>
      </c>
      <c r="S3750">
        <f>IF($A3750="","",$R3750&amp;"|"&amp;$Q3750)</f>
        <v/>
      </c>
      <c r="T3750">
        <f>IF($A3750="","",$S3750&amp;"|"&amp;$F3750)</f>
        <v/>
      </c>
      <c r="U3750">
        <f>IF($A3750="","",$R3750&amp;"("&amp;$E3750&amp;")")</f>
        <v/>
      </c>
      <c r="V3750">
        <f>IF($A3750="","",$F3750&amp;"|"&amp;$U3750&amp;"|"&amp;$D3750)</f>
        <v/>
      </c>
      <c r="W3750">
        <f>IF($T3750="","",IF($X3750&gt;N($X3749),$X3750,""))</f>
        <v/>
      </c>
      <c r="X3750">
        <f>IF($T3750="",N($X3749),IF(MATCH($T3750,$T$6:$T$6005,0)=ROW()-5,N($X3749)+1,N($X3749)))</f>
        <v/>
      </c>
      <c r="Z3750">
        <f>IF($V3750="","",IF($AA3750&gt;N($AA3749),$AA3750,""))</f>
        <v/>
      </c>
      <c r="AA3750">
        <f>IF($V3750="",N($AA3749),IF(MATCH($V3750,$V$6:$V$6005,0)=ROW()-5,N($AA3749)+1,N($AA3749)))</f>
        <v/>
      </c>
    </row>
    <row r="3751" ht="21" customHeight="1" s="66">
      <c r="A3751" s="56" t="n"/>
      <c r="B3751" s="57" t="n"/>
      <c r="C3751" s="57" t="n"/>
      <c r="D3751" s="57" t="n"/>
      <c r="E3751" s="56" t="n"/>
      <c r="F3751" s="57" t="n"/>
      <c r="G3751" s="57" t="n"/>
      <c r="H3751" s="56" t="n"/>
      <c r="I3751" s="56" t="n"/>
      <c r="J3751" s="58" t="n"/>
      <c r="K3751" s="58" t="n"/>
      <c r="L3751" s="13">
        <f>IF(OR($A3751="",AND($J3751="",$K3751="")),"",ROUND(N($J3751)-N($K3751),2))</f>
        <v/>
      </c>
      <c r="M3751" s="13">
        <f>IF(OR($A3751="",AND($J3751="",$K3751="")),"",MIN($J3751,$K3751))</f>
        <v/>
      </c>
      <c r="Q3751">
        <f>IF($A3751="","",$D3751&amp;"("&amp;SUBSTITUTE($E3751," ","")&amp;")")</f>
        <v/>
      </c>
      <c r="R3751">
        <f>IF($A3751="","",$B3751&amp;" - "&amp;$C3751)</f>
        <v/>
      </c>
      <c r="S3751">
        <f>IF($A3751="","",$R3751&amp;"|"&amp;$Q3751)</f>
        <v/>
      </c>
      <c r="T3751">
        <f>IF($A3751="","",$S3751&amp;"|"&amp;$F3751)</f>
        <v/>
      </c>
      <c r="U3751">
        <f>IF($A3751="","",$R3751&amp;"("&amp;$E3751&amp;")")</f>
        <v/>
      </c>
      <c r="V3751">
        <f>IF($A3751="","",$F3751&amp;"|"&amp;$U3751&amp;"|"&amp;$D3751)</f>
        <v/>
      </c>
      <c r="W3751">
        <f>IF($T3751="","",IF($X3751&gt;N($X3750),$X3751,""))</f>
        <v/>
      </c>
      <c r="X3751">
        <f>IF($T3751="",N($X3750),IF(MATCH($T3751,$T$6:$T$6005,0)=ROW()-5,N($X3750)+1,N($X3750)))</f>
        <v/>
      </c>
      <c r="Z3751">
        <f>IF($V3751="","",IF($AA3751&gt;N($AA3750),$AA3751,""))</f>
        <v/>
      </c>
      <c r="AA3751">
        <f>IF($V3751="",N($AA3750),IF(MATCH($V3751,$V$6:$V$6005,0)=ROW()-5,N($AA3750)+1,N($AA3750)))</f>
        <v/>
      </c>
    </row>
    <row r="3752" ht="21" customHeight="1" s="66">
      <c r="A3752" s="56" t="n"/>
      <c r="B3752" s="57" t="n"/>
      <c r="C3752" s="57" t="n"/>
      <c r="D3752" s="57" t="n"/>
      <c r="E3752" s="56" t="n"/>
      <c r="F3752" s="57" t="n"/>
      <c r="G3752" s="57" t="n"/>
      <c r="H3752" s="56" t="n"/>
      <c r="I3752" s="56" t="n"/>
      <c r="J3752" s="58" t="n"/>
      <c r="K3752" s="58" t="n"/>
      <c r="L3752" s="13">
        <f>IF(OR($A3752="",AND($J3752="",$K3752="")),"",ROUND(N($J3752)-N($K3752),2))</f>
        <v/>
      </c>
      <c r="M3752" s="13">
        <f>IF(OR($A3752="",AND($J3752="",$K3752="")),"",MIN($J3752,$K3752))</f>
        <v/>
      </c>
      <c r="Q3752">
        <f>IF($A3752="","",$D3752&amp;"("&amp;SUBSTITUTE($E3752," ","")&amp;")")</f>
        <v/>
      </c>
      <c r="R3752">
        <f>IF($A3752="","",$B3752&amp;" - "&amp;$C3752)</f>
        <v/>
      </c>
      <c r="S3752">
        <f>IF($A3752="","",$R3752&amp;"|"&amp;$Q3752)</f>
        <v/>
      </c>
      <c r="T3752">
        <f>IF($A3752="","",$S3752&amp;"|"&amp;$F3752)</f>
        <v/>
      </c>
      <c r="U3752">
        <f>IF($A3752="","",$R3752&amp;"("&amp;$E3752&amp;")")</f>
        <v/>
      </c>
      <c r="V3752">
        <f>IF($A3752="","",$F3752&amp;"|"&amp;$U3752&amp;"|"&amp;$D3752)</f>
        <v/>
      </c>
      <c r="W3752">
        <f>IF($T3752="","",IF($X3752&gt;N($X3751),$X3752,""))</f>
        <v/>
      </c>
      <c r="X3752">
        <f>IF($T3752="",N($X3751),IF(MATCH($T3752,$T$6:$T$6005,0)=ROW()-5,N($X3751)+1,N($X3751)))</f>
        <v/>
      </c>
      <c r="Z3752">
        <f>IF($V3752="","",IF($AA3752&gt;N($AA3751),$AA3752,""))</f>
        <v/>
      </c>
      <c r="AA3752">
        <f>IF($V3752="",N($AA3751),IF(MATCH($V3752,$V$6:$V$6005,0)=ROW()-5,N($AA3751)+1,N($AA3751)))</f>
        <v/>
      </c>
    </row>
    <row r="3753" ht="21" customHeight="1" s="66">
      <c r="A3753" s="56" t="n"/>
      <c r="B3753" s="57" t="n"/>
      <c r="C3753" s="57" t="n"/>
      <c r="D3753" s="57" t="n"/>
      <c r="E3753" s="56" t="n"/>
      <c r="F3753" s="57" t="n"/>
      <c r="G3753" s="57" t="n"/>
      <c r="H3753" s="56" t="n"/>
      <c r="I3753" s="56" t="n"/>
      <c r="J3753" s="58" t="n"/>
      <c r="K3753" s="58" t="n"/>
      <c r="L3753" s="13">
        <f>IF(OR($A3753="",AND($J3753="",$K3753="")),"",ROUND(N($J3753)-N($K3753),2))</f>
        <v/>
      </c>
      <c r="M3753" s="13">
        <f>IF(OR($A3753="",AND($J3753="",$K3753="")),"",MIN($J3753,$K3753))</f>
        <v/>
      </c>
      <c r="Q3753">
        <f>IF($A3753="","",$D3753&amp;"("&amp;SUBSTITUTE($E3753," ","")&amp;")")</f>
        <v/>
      </c>
      <c r="R3753">
        <f>IF($A3753="","",$B3753&amp;" - "&amp;$C3753)</f>
        <v/>
      </c>
      <c r="S3753">
        <f>IF($A3753="","",$R3753&amp;"|"&amp;$Q3753)</f>
        <v/>
      </c>
      <c r="T3753">
        <f>IF($A3753="","",$S3753&amp;"|"&amp;$F3753)</f>
        <v/>
      </c>
      <c r="U3753">
        <f>IF($A3753="","",$R3753&amp;"("&amp;$E3753&amp;")")</f>
        <v/>
      </c>
      <c r="V3753">
        <f>IF($A3753="","",$F3753&amp;"|"&amp;$U3753&amp;"|"&amp;$D3753)</f>
        <v/>
      </c>
      <c r="W3753">
        <f>IF($T3753="","",IF($X3753&gt;N($X3752),$X3753,""))</f>
        <v/>
      </c>
      <c r="X3753">
        <f>IF($T3753="",N($X3752),IF(MATCH($T3753,$T$6:$T$6005,0)=ROW()-5,N($X3752)+1,N($X3752)))</f>
        <v/>
      </c>
      <c r="Z3753">
        <f>IF($V3753="","",IF($AA3753&gt;N($AA3752),$AA3753,""))</f>
        <v/>
      </c>
      <c r="AA3753">
        <f>IF($V3753="",N($AA3752),IF(MATCH($V3753,$V$6:$V$6005,0)=ROW()-5,N($AA3752)+1,N($AA3752)))</f>
        <v/>
      </c>
    </row>
    <row r="3754" ht="21" customHeight="1" s="66">
      <c r="A3754" s="56" t="n"/>
      <c r="B3754" s="57" t="n"/>
      <c r="C3754" s="57" t="n"/>
      <c r="D3754" s="57" t="n"/>
      <c r="E3754" s="56" t="n"/>
      <c r="F3754" s="57" t="n"/>
      <c r="G3754" s="57" t="n"/>
      <c r="H3754" s="56" t="n"/>
      <c r="I3754" s="56" t="n"/>
      <c r="J3754" s="58" t="n"/>
      <c r="K3754" s="58" t="n"/>
      <c r="L3754" s="13">
        <f>IF(OR($A3754="",AND($J3754="",$K3754="")),"",ROUND(N($J3754)-N($K3754),2))</f>
        <v/>
      </c>
      <c r="M3754" s="13">
        <f>IF(OR($A3754="",AND($J3754="",$K3754="")),"",MIN($J3754,$K3754))</f>
        <v/>
      </c>
      <c r="Q3754">
        <f>IF($A3754="","",$D3754&amp;"("&amp;SUBSTITUTE($E3754," ","")&amp;")")</f>
        <v/>
      </c>
      <c r="R3754">
        <f>IF($A3754="","",$B3754&amp;" - "&amp;$C3754)</f>
        <v/>
      </c>
      <c r="S3754">
        <f>IF($A3754="","",$R3754&amp;"|"&amp;$Q3754)</f>
        <v/>
      </c>
      <c r="T3754">
        <f>IF($A3754="","",$S3754&amp;"|"&amp;$F3754)</f>
        <v/>
      </c>
      <c r="U3754">
        <f>IF($A3754="","",$R3754&amp;"("&amp;$E3754&amp;")")</f>
        <v/>
      </c>
      <c r="V3754">
        <f>IF($A3754="","",$F3754&amp;"|"&amp;$U3754&amp;"|"&amp;$D3754)</f>
        <v/>
      </c>
      <c r="W3754">
        <f>IF($T3754="","",IF($X3754&gt;N($X3753),$X3754,""))</f>
        <v/>
      </c>
      <c r="X3754">
        <f>IF($T3754="",N($X3753),IF(MATCH($T3754,$T$6:$T$6005,0)=ROW()-5,N($X3753)+1,N($X3753)))</f>
        <v/>
      </c>
      <c r="Z3754">
        <f>IF($V3754="","",IF($AA3754&gt;N($AA3753),$AA3754,""))</f>
        <v/>
      </c>
      <c r="AA3754">
        <f>IF($V3754="",N($AA3753),IF(MATCH($V3754,$V$6:$V$6005,0)=ROW()-5,N($AA3753)+1,N($AA3753)))</f>
        <v/>
      </c>
    </row>
    <row r="3755" ht="21" customHeight="1" s="66">
      <c r="A3755" s="56" t="n"/>
      <c r="B3755" s="57" t="n"/>
      <c r="C3755" s="57" t="n"/>
      <c r="D3755" s="57" t="n"/>
      <c r="E3755" s="56" t="n"/>
      <c r="F3755" s="57" t="n"/>
      <c r="G3755" s="57" t="n"/>
      <c r="H3755" s="56" t="n"/>
      <c r="I3755" s="56" t="n"/>
      <c r="J3755" s="58" t="n"/>
      <c r="K3755" s="58" t="n"/>
      <c r="L3755" s="13">
        <f>IF(OR($A3755="",AND($J3755="",$K3755="")),"",ROUND(N($J3755)-N($K3755),2))</f>
        <v/>
      </c>
      <c r="M3755" s="13">
        <f>IF(OR($A3755="",AND($J3755="",$K3755="")),"",MIN($J3755,$K3755))</f>
        <v/>
      </c>
      <c r="Q3755">
        <f>IF($A3755="","",$D3755&amp;"("&amp;SUBSTITUTE($E3755," ","")&amp;")")</f>
        <v/>
      </c>
      <c r="R3755">
        <f>IF($A3755="","",$B3755&amp;" - "&amp;$C3755)</f>
        <v/>
      </c>
      <c r="S3755">
        <f>IF($A3755="","",$R3755&amp;"|"&amp;$Q3755)</f>
        <v/>
      </c>
      <c r="T3755">
        <f>IF($A3755="","",$S3755&amp;"|"&amp;$F3755)</f>
        <v/>
      </c>
      <c r="U3755">
        <f>IF($A3755="","",$R3755&amp;"("&amp;$E3755&amp;")")</f>
        <v/>
      </c>
      <c r="V3755">
        <f>IF($A3755="","",$F3755&amp;"|"&amp;$U3755&amp;"|"&amp;$D3755)</f>
        <v/>
      </c>
      <c r="W3755">
        <f>IF($T3755="","",IF($X3755&gt;N($X3754),$X3755,""))</f>
        <v/>
      </c>
      <c r="X3755">
        <f>IF($T3755="",N($X3754),IF(MATCH($T3755,$T$6:$T$6005,0)=ROW()-5,N($X3754)+1,N($X3754)))</f>
        <v/>
      </c>
      <c r="Z3755">
        <f>IF($V3755="","",IF($AA3755&gt;N($AA3754),$AA3755,""))</f>
        <v/>
      </c>
      <c r="AA3755">
        <f>IF($V3755="",N($AA3754),IF(MATCH($V3755,$V$6:$V$6005,0)=ROW()-5,N($AA3754)+1,N($AA3754)))</f>
        <v/>
      </c>
    </row>
    <row r="3756" ht="21" customHeight="1" s="66">
      <c r="A3756" s="56" t="n"/>
      <c r="B3756" s="57" t="n"/>
      <c r="C3756" s="57" t="n"/>
      <c r="D3756" s="57" t="n"/>
      <c r="E3756" s="56" t="n"/>
      <c r="F3756" s="57" t="n"/>
      <c r="G3756" s="57" t="n"/>
      <c r="H3756" s="56" t="n"/>
      <c r="I3756" s="56" t="n"/>
      <c r="J3756" s="58" t="n"/>
      <c r="K3756" s="58" t="n"/>
      <c r="L3756" s="13">
        <f>IF(OR($A3756="",AND($J3756="",$K3756="")),"",ROUND(N($J3756)-N($K3756),2))</f>
        <v/>
      </c>
      <c r="M3756" s="13">
        <f>IF(OR($A3756="",AND($J3756="",$K3756="")),"",MIN($J3756,$K3756))</f>
        <v/>
      </c>
      <c r="Q3756">
        <f>IF($A3756="","",$D3756&amp;"("&amp;SUBSTITUTE($E3756," ","")&amp;")")</f>
        <v/>
      </c>
      <c r="R3756">
        <f>IF($A3756="","",$B3756&amp;" - "&amp;$C3756)</f>
        <v/>
      </c>
      <c r="S3756">
        <f>IF($A3756="","",$R3756&amp;"|"&amp;$Q3756)</f>
        <v/>
      </c>
      <c r="T3756">
        <f>IF($A3756="","",$S3756&amp;"|"&amp;$F3756)</f>
        <v/>
      </c>
      <c r="U3756">
        <f>IF($A3756="","",$R3756&amp;"("&amp;$E3756&amp;")")</f>
        <v/>
      </c>
      <c r="V3756">
        <f>IF($A3756="","",$F3756&amp;"|"&amp;$U3756&amp;"|"&amp;$D3756)</f>
        <v/>
      </c>
      <c r="W3756">
        <f>IF($T3756="","",IF($X3756&gt;N($X3755),$X3756,""))</f>
        <v/>
      </c>
      <c r="X3756">
        <f>IF($T3756="",N($X3755),IF(MATCH($T3756,$T$6:$T$6005,0)=ROW()-5,N($X3755)+1,N($X3755)))</f>
        <v/>
      </c>
      <c r="Z3756">
        <f>IF($V3756="","",IF($AA3756&gt;N($AA3755),$AA3756,""))</f>
        <v/>
      </c>
      <c r="AA3756">
        <f>IF($V3756="",N($AA3755),IF(MATCH($V3756,$V$6:$V$6005,0)=ROW()-5,N($AA3755)+1,N($AA3755)))</f>
        <v/>
      </c>
    </row>
    <row r="3757" ht="21" customHeight="1" s="66">
      <c r="A3757" s="56" t="n"/>
      <c r="B3757" s="57" t="n"/>
      <c r="C3757" s="57" t="n"/>
      <c r="D3757" s="57" t="n"/>
      <c r="E3757" s="56" t="n"/>
      <c r="F3757" s="57" t="n"/>
      <c r="G3757" s="57" t="n"/>
      <c r="H3757" s="56" t="n"/>
      <c r="I3757" s="56" t="n"/>
      <c r="J3757" s="58" t="n"/>
      <c r="K3757" s="58" t="n"/>
      <c r="L3757" s="13">
        <f>IF(OR($A3757="",AND($J3757="",$K3757="")),"",ROUND(N($J3757)-N($K3757),2))</f>
        <v/>
      </c>
      <c r="M3757" s="13">
        <f>IF(OR($A3757="",AND($J3757="",$K3757="")),"",MIN($J3757,$K3757))</f>
        <v/>
      </c>
      <c r="Q3757">
        <f>IF($A3757="","",$D3757&amp;"("&amp;SUBSTITUTE($E3757," ","")&amp;")")</f>
        <v/>
      </c>
      <c r="R3757">
        <f>IF($A3757="","",$B3757&amp;" - "&amp;$C3757)</f>
        <v/>
      </c>
      <c r="S3757">
        <f>IF($A3757="","",$R3757&amp;"|"&amp;$Q3757)</f>
        <v/>
      </c>
      <c r="T3757">
        <f>IF($A3757="","",$S3757&amp;"|"&amp;$F3757)</f>
        <v/>
      </c>
      <c r="U3757">
        <f>IF($A3757="","",$R3757&amp;"("&amp;$E3757&amp;")")</f>
        <v/>
      </c>
      <c r="V3757">
        <f>IF($A3757="","",$F3757&amp;"|"&amp;$U3757&amp;"|"&amp;$D3757)</f>
        <v/>
      </c>
      <c r="W3757">
        <f>IF($T3757="","",IF($X3757&gt;N($X3756),$X3757,""))</f>
        <v/>
      </c>
      <c r="X3757">
        <f>IF($T3757="",N($X3756),IF(MATCH($T3757,$T$6:$T$6005,0)=ROW()-5,N($X3756)+1,N($X3756)))</f>
        <v/>
      </c>
      <c r="Z3757">
        <f>IF($V3757="","",IF($AA3757&gt;N($AA3756),$AA3757,""))</f>
        <v/>
      </c>
      <c r="AA3757">
        <f>IF($V3757="",N($AA3756),IF(MATCH($V3757,$V$6:$V$6005,0)=ROW()-5,N($AA3756)+1,N($AA3756)))</f>
        <v/>
      </c>
    </row>
    <row r="3758" ht="21" customHeight="1" s="66">
      <c r="A3758" s="56" t="n"/>
      <c r="B3758" s="57" t="n"/>
      <c r="C3758" s="57" t="n"/>
      <c r="D3758" s="57" t="n"/>
      <c r="E3758" s="56" t="n"/>
      <c r="F3758" s="57" t="n"/>
      <c r="G3758" s="57" t="n"/>
      <c r="H3758" s="56" t="n"/>
      <c r="I3758" s="56" t="n"/>
      <c r="J3758" s="58" t="n"/>
      <c r="K3758" s="58" t="n"/>
      <c r="L3758" s="13">
        <f>IF(OR($A3758="",AND($J3758="",$K3758="")),"",ROUND(N($J3758)-N($K3758),2))</f>
        <v/>
      </c>
      <c r="M3758" s="13">
        <f>IF(OR($A3758="",AND($J3758="",$K3758="")),"",MIN($J3758,$K3758))</f>
        <v/>
      </c>
      <c r="Q3758">
        <f>IF($A3758="","",$D3758&amp;"("&amp;SUBSTITUTE($E3758," ","")&amp;")")</f>
        <v/>
      </c>
      <c r="R3758">
        <f>IF($A3758="","",$B3758&amp;" - "&amp;$C3758)</f>
        <v/>
      </c>
      <c r="S3758">
        <f>IF($A3758="","",$R3758&amp;"|"&amp;$Q3758)</f>
        <v/>
      </c>
      <c r="T3758">
        <f>IF($A3758="","",$S3758&amp;"|"&amp;$F3758)</f>
        <v/>
      </c>
      <c r="U3758">
        <f>IF($A3758="","",$R3758&amp;"("&amp;$E3758&amp;")")</f>
        <v/>
      </c>
      <c r="V3758">
        <f>IF($A3758="","",$F3758&amp;"|"&amp;$U3758&amp;"|"&amp;$D3758)</f>
        <v/>
      </c>
      <c r="W3758">
        <f>IF($T3758="","",IF($X3758&gt;N($X3757),$X3758,""))</f>
        <v/>
      </c>
      <c r="X3758">
        <f>IF($T3758="",N($X3757),IF(MATCH($T3758,$T$6:$T$6005,0)=ROW()-5,N($X3757)+1,N($X3757)))</f>
        <v/>
      </c>
      <c r="Z3758">
        <f>IF($V3758="","",IF($AA3758&gt;N($AA3757),$AA3758,""))</f>
        <v/>
      </c>
      <c r="AA3758">
        <f>IF($V3758="",N($AA3757),IF(MATCH($V3758,$V$6:$V$6005,0)=ROW()-5,N($AA3757)+1,N($AA3757)))</f>
        <v/>
      </c>
    </row>
    <row r="3759" ht="21" customHeight="1" s="66">
      <c r="A3759" s="56" t="n"/>
      <c r="B3759" s="57" t="n"/>
      <c r="C3759" s="57" t="n"/>
      <c r="D3759" s="57" t="n"/>
      <c r="E3759" s="56" t="n"/>
      <c r="F3759" s="57" t="n"/>
      <c r="G3759" s="57" t="n"/>
      <c r="H3759" s="56" t="n"/>
      <c r="I3759" s="56" t="n"/>
      <c r="J3759" s="58" t="n"/>
      <c r="K3759" s="58" t="n"/>
      <c r="L3759" s="13">
        <f>IF(OR($A3759="",AND($J3759="",$K3759="")),"",ROUND(N($J3759)-N($K3759),2))</f>
        <v/>
      </c>
      <c r="M3759" s="13">
        <f>IF(OR($A3759="",AND($J3759="",$K3759="")),"",MIN($J3759,$K3759))</f>
        <v/>
      </c>
      <c r="Q3759">
        <f>IF($A3759="","",$D3759&amp;"("&amp;SUBSTITUTE($E3759," ","")&amp;")")</f>
        <v/>
      </c>
      <c r="R3759">
        <f>IF($A3759="","",$B3759&amp;" - "&amp;$C3759)</f>
        <v/>
      </c>
      <c r="S3759">
        <f>IF($A3759="","",$R3759&amp;"|"&amp;$Q3759)</f>
        <v/>
      </c>
      <c r="T3759">
        <f>IF($A3759="","",$S3759&amp;"|"&amp;$F3759)</f>
        <v/>
      </c>
      <c r="U3759">
        <f>IF($A3759="","",$R3759&amp;"("&amp;$E3759&amp;")")</f>
        <v/>
      </c>
      <c r="V3759">
        <f>IF($A3759="","",$F3759&amp;"|"&amp;$U3759&amp;"|"&amp;$D3759)</f>
        <v/>
      </c>
      <c r="W3759">
        <f>IF($T3759="","",IF($X3759&gt;N($X3758),$X3759,""))</f>
        <v/>
      </c>
      <c r="X3759">
        <f>IF($T3759="",N($X3758),IF(MATCH($T3759,$T$6:$T$6005,0)=ROW()-5,N($X3758)+1,N($X3758)))</f>
        <v/>
      </c>
      <c r="Z3759">
        <f>IF($V3759="","",IF($AA3759&gt;N($AA3758),$AA3759,""))</f>
        <v/>
      </c>
      <c r="AA3759">
        <f>IF($V3759="",N($AA3758),IF(MATCH($V3759,$V$6:$V$6005,0)=ROW()-5,N($AA3758)+1,N($AA3758)))</f>
        <v/>
      </c>
    </row>
    <row r="3760" ht="21" customHeight="1" s="66">
      <c r="A3760" s="56" t="n"/>
      <c r="B3760" s="57" t="n"/>
      <c r="C3760" s="57" t="n"/>
      <c r="D3760" s="57" t="n"/>
      <c r="E3760" s="56" t="n"/>
      <c r="F3760" s="57" t="n"/>
      <c r="G3760" s="57" t="n"/>
      <c r="H3760" s="56" t="n"/>
      <c r="I3760" s="56" t="n"/>
      <c r="J3760" s="58" t="n"/>
      <c r="K3760" s="58" t="n"/>
      <c r="L3760" s="13">
        <f>IF(OR($A3760="",AND($J3760="",$K3760="")),"",ROUND(N($J3760)-N($K3760),2))</f>
        <v/>
      </c>
      <c r="M3760" s="13">
        <f>IF(OR($A3760="",AND($J3760="",$K3760="")),"",MIN($J3760,$K3760))</f>
        <v/>
      </c>
      <c r="Q3760">
        <f>IF($A3760="","",$D3760&amp;"("&amp;SUBSTITUTE($E3760," ","")&amp;")")</f>
        <v/>
      </c>
      <c r="R3760">
        <f>IF($A3760="","",$B3760&amp;" - "&amp;$C3760)</f>
        <v/>
      </c>
      <c r="S3760">
        <f>IF($A3760="","",$R3760&amp;"|"&amp;$Q3760)</f>
        <v/>
      </c>
      <c r="T3760">
        <f>IF($A3760="","",$S3760&amp;"|"&amp;$F3760)</f>
        <v/>
      </c>
      <c r="U3760">
        <f>IF($A3760="","",$R3760&amp;"("&amp;$E3760&amp;")")</f>
        <v/>
      </c>
      <c r="V3760">
        <f>IF($A3760="","",$F3760&amp;"|"&amp;$U3760&amp;"|"&amp;$D3760)</f>
        <v/>
      </c>
      <c r="W3760">
        <f>IF($T3760="","",IF($X3760&gt;N($X3759),$X3760,""))</f>
        <v/>
      </c>
      <c r="X3760">
        <f>IF($T3760="",N($X3759),IF(MATCH($T3760,$T$6:$T$6005,0)=ROW()-5,N($X3759)+1,N($X3759)))</f>
        <v/>
      </c>
      <c r="Z3760">
        <f>IF($V3760="","",IF($AA3760&gt;N($AA3759),$AA3760,""))</f>
        <v/>
      </c>
      <c r="AA3760">
        <f>IF($V3760="",N($AA3759),IF(MATCH($V3760,$V$6:$V$6005,0)=ROW()-5,N($AA3759)+1,N($AA3759)))</f>
        <v/>
      </c>
    </row>
    <row r="3761" ht="21" customHeight="1" s="66">
      <c r="A3761" s="56" t="n"/>
      <c r="B3761" s="57" t="n"/>
      <c r="C3761" s="57" t="n"/>
      <c r="D3761" s="57" t="n"/>
      <c r="E3761" s="56" t="n"/>
      <c r="F3761" s="57" t="n"/>
      <c r="G3761" s="57" t="n"/>
      <c r="H3761" s="56" t="n"/>
      <c r="I3761" s="56" t="n"/>
      <c r="J3761" s="58" t="n"/>
      <c r="K3761" s="58" t="n"/>
      <c r="L3761" s="13">
        <f>IF(OR($A3761="",AND($J3761="",$K3761="")),"",ROUND(N($J3761)-N($K3761),2))</f>
        <v/>
      </c>
      <c r="M3761" s="13">
        <f>IF(OR($A3761="",AND($J3761="",$K3761="")),"",MIN($J3761,$K3761))</f>
        <v/>
      </c>
      <c r="Q3761">
        <f>IF($A3761="","",$D3761&amp;"("&amp;SUBSTITUTE($E3761," ","")&amp;")")</f>
        <v/>
      </c>
      <c r="R3761">
        <f>IF($A3761="","",$B3761&amp;" - "&amp;$C3761)</f>
        <v/>
      </c>
      <c r="S3761">
        <f>IF($A3761="","",$R3761&amp;"|"&amp;$Q3761)</f>
        <v/>
      </c>
      <c r="T3761">
        <f>IF($A3761="","",$S3761&amp;"|"&amp;$F3761)</f>
        <v/>
      </c>
      <c r="U3761">
        <f>IF($A3761="","",$R3761&amp;"("&amp;$E3761&amp;")")</f>
        <v/>
      </c>
      <c r="V3761">
        <f>IF($A3761="","",$F3761&amp;"|"&amp;$U3761&amp;"|"&amp;$D3761)</f>
        <v/>
      </c>
      <c r="W3761">
        <f>IF($T3761="","",IF($X3761&gt;N($X3760),$X3761,""))</f>
        <v/>
      </c>
      <c r="X3761">
        <f>IF($T3761="",N($X3760),IF(MATCH($T3761,$T$6:$T$6005,0)=ROW()-5,N($X3760)+1,N($X3760)))</f>
        <v/>
      </c>
      <c r="Z3761">
        <f>IF($V3761="","",IF($AA3761&gt;N($AA3760),$AA3761,""))</f>
        <v/>
      </c>
      <c r="AA3761">
        <f>IF($V3761="",N($AA3760),IF(MATCH($V3761,$V$6:$V$6005,0)=ROW()-5,N($AA3760)+1,N($AA3760)))</f>
        <v/>
      </c>
    </row>
    <row r="3762" ht="21" customHeight="1" s="66">
      <c r="A3762" s="56" t="n"/>
      <c r="B3762" s="57" t="n"/>
      <c r="C3762" s="57" t="n"/>
      <c r="D3762" s="57" t="n"/>
      <c r="E3762" s="56" t="n"/>
      <c r="F3762" s="57" t="n"/>
      <c r="G3762" s="57" t="n"/>
      <c r="H3762" s="56" t="n"/>
      <c r="I3762" s="56" t="n"/>
      <c r="J3762" s="58" t="n"/>
      <c r="K3762" s="58" t="n"/>
      <c r="L3762" s="13">
        <f>IF(OR($A3762="",AND($J3762="",$K3762="")),"",ROUND(N($J3762)-N($K3762),2))</f>
        <v/>
      </c>
      <c r="M3762" s="13">
        <f>IF(OR($A3762="",AND($J3762="",$K3762="")),"",MIN($J3762,$K3762))</f>
        <v/>
      </c>
      <c r="Q3762">
        <f>IF($A3762="","",$D3762&amp;"("&amp;SUBSTITUTE($E3762," ","")&amp;")")</f>
        <v/>
      </c>
      <c r="R3762">
        <f>IF($A3762="","",$B3762&amp;" - "&amp;$C3762)</f>
        <v/>
      </c>
      <c r="S3762">
        <f>IF($A3762="","",$R3762&amp;"|"&amp;$Q3762)</f>
        <v/>
      </c>
      <c r="T3762">
        <f>IF($A3762="","",$S3762&amp;"|"&amp;$F3762)</f>
        <v/>
      </c>
      <c r="U3762">
        <f>IF($A3762="","",$R3762&amp;"("&amp;$E3762&amp;")")</f>
        <v/>
      </c>
      <c r="V3762">
        <f>IF($A3762="","",$F3762&amp;"|"&amp;$U3762&amp;"|"&amp;$D3762)</f>
        <v/>
      </c>
      <c r="W3762">
        <f>IF($T3762="","",IF($X3762&gt;N($X3761),$X3762,""))</f>
        <v/>
      </c>
      <c r="X3762">
        <f>IF($T3762="",N($X3761),IF(MATCH($T3762,$T$6:$T$6005,0)=ROW()-5,N($X3761)+1,N($X3761)))</f>
        <v/>
      </c>
      <c r="Z3762">
        <f>IF($V3762="","",IF($AA3762&gt;N($AA3761),$AA3762,""))</f>
        <v/>
      </c>
      <c r="AA3762">
        <f>IF($V3762="",N($AA3761),IF(MATCH($V3762,$V$6:$V$6005,0)=ROW()-5,N($AA3761)+1,N($AA3761)))</f>
        <v/>
      </c>
    </row>
    <row r="3763" ht="21" customHeight="1" s="66">
      <c r="A3763" s="56" t="n"/>
      <c r="B3763" s="57" t="n"/>
      <c r="C3763" s="57" t="n"/>
      <c r="D3763" s="57" t="n"/>
      <c r="E3763" s="56" t="n"/>
      <c r="F3763" s="57" t="n"/>
      <c r="G3763" s="57" t="n"/>
      <c r="H3763" s="56" t="n"/>
      <c r="I3763" s="56" t="n"/>
      <c r="J3763" s="58" t="n"/>
      <c r="K3763" s="58" t="n"/>
      <c r="L3763" s="13">
        <f>IF(OR($A3763="",AND($J3763="",$K3763="")),"",ROUND(N($J3763)-N($K3763),2))</f>
        <v/>
      </c>
      <c r="M3763" s="13">
        <f>IF(OR($A3763="",AND($J3763="",$K3763="")),"",MIN($J3763,$K3763))</f>
        <v/>
      </c>
      <c r="Q3763">
        <f>IF($A3763="","",$D3763&amp;"("&amp;SUBSTITUTE($E3763," ","")&amp;")")</f>
        <v/>
      </c>
      <c r="R3763">
        <f>IF($A3763="","",$B3763&amp;" - "&amp;$C3763)</f>
        <v/>
      </c>
      <c r="S3763">
        <f>IF($A3763="","",$R3763&amp;"|"&amp;$Q3763)</f>
        <v/>
      </c>
      <c r="T3763">
        <f>IF($A3763="","",$S3763&amp;"|"&amp;$F3763)</f>
        <v/>
      </c>
      <c r="U3763">
        <f>IF($A3763="","",$R3763&amp;"("&amp;$E3763&amp;")")</f>
        <v/>
      </c>
      <c r="V3763">
        <f>IF($A3763="","",$F3763&amp;"|"&amp;$U3763&amp;"|"&amp;$D3763)</f>
        <v/>
      </c>
      <c r="W3763">
        <f>IF($T3763="","",IF($X3763&gt;N($X3762),$X3763,""))</f>
        <v/>
      </c>
      <c r="X3763">
        <f>IF($T3763="",N($X3762),IF(MATCH($T3763,$T$6:$T$6005,0)=ROW()-5,N($X3762)+1,N($X3762)))</f>
        <v/>
      </c>
      <c r="Z3763">
        <f>IF($V3763="","",IF($AA3763&gt;N($AA3762),$AA3763,""))</f>
        <v/>
      </c>
      <c r="AA3763">
        <f>IF($V3763="",N($AA3762),IF(MATCH($V3763,$V$6:$V$6005,0)=ROW()-5,N($AA3762)+1,N($AA3762)))</f>
        <v/>
      </c>
    </row>
    <row r="3764" ht="21" customHeight="1" s="66">
      <c r="A3764" s="56" t="n"/>
      <c r="B3764" s="57" t="n"/>
      <c r="C3764" s="57" t="n"/>
      <c r="D3764" s="57" t="n"/>
      <c r="E3764" s="56" t="n"/>
      <c r="F3764" s="57" t="n"/>
      <c r="G3764" s="57" t="n"/>
      <c r="H3764" s="56" t="n"/>
      <c r="I3764" s="56" t="n"/>
      <c r="J3764" s="58" t="n"/>
      <c r="K3764" s="58" t="n"/>
      <c r="L3764" s="13">
        <f>IF(OR($A3764="",AND($J3764="",$K3764="")),"",ROUND(N($J3764)-N($K3764),2))</f>
        <v/>
      </c>
      <c r="M3764" s="13">
        <f>IF(OR($A3764="",AND($J3764="",$K3764="")),"",MIN($J3764,$K3764))</f>
        <v/>
      </c>
      <c r="Q3764">
        <f>IF($A3764="","",$D3764&amp;"("&amp;SUBSTITUTE($E3764," ","")&amp;")")</f>
        <v/>
      </c>
      <c r="R3764">
        <f>IF($A3764="","",$B3764&amp;" - "&amp;$C3764)</f>
        <v/>
      </c>
      <c r="S3764">
        <f>IF($A3764="","",$R3764&amp;"|"&amp;$Q3764)</f>
        <v/>
      </c>
      <c r="T3764">
        <f>IF($A3764="","",$S3764&amp;"|"&amp;$F3764)</f>
        <v/>
      </c>
      <c r="U3764">
        <f>IF($A3764="","",$R3764&amp;"("&amp;$E3764&amp;")")</f>
        <v/>
      </c>
      <c r="V3764">
        <f>IF($A3764="","",$F3764&amp;"|"&amp;$U3764&amp;"|"&amp;$D3764)</f>
        <v/>
      </c>
      <c r="W3764">
        <f>IF($T3764="","",IF($X3764&gt;N($X3763),$X3764,""))</f>
        <v/>
      </c>
      <c r="X3764">
        <f>IF($T3764="",N($X3763),IF(MATCH($T3764,$T$6:$T$6005,0)=ROW()-5,N($X3763)+1,N($X3763)))</f>
        <v/>
      </c>
      <c r="Z3764">
        <f>IF($V3764="","",IF($AA3764&gt;N($AA3763),$AA3764,""))</f>
        <v/>
      </c>
      <c r="AA3764">
        <f>IF($V3764="",N($AA3763),IF(MATCH($V3764,$V$6:$V$6005,0)=ROW()-5,N($AA3763)+1,N($AA3763)))</f>
        <v/>
      </c>
    </row>
    <row r="3765" ht="21" customHeight="1" s="66">
      <c r="A3765" s="56" t="n"/>
      <c r="B3765" s="57" t="n"/>
      <c r="C3765" s="57" t="n"/>
      <c r="D3765" s="57" t="n"/>
      <c r="E3765" s="56" t="n"/>
      <c r="F3765" s="57" t="n"/>
      <c r="G3765" s="57" t="n"/>
      <c r="H3765" s="56" t="n"/>
      <c r="I3765" s="56" t="n"/>
      <c r="J3765" s="58" t="n"/>
      <c r="K3765" s="58" t="n"/>
      <c r="L3765" s="13">
        <f>IF(OR($A3765="",AND($J3765="",$K3765="")),"",ROUND(N($J3765)-N($K3765),2))</f>
        <v/>
      </c>
      <c r="M3765" s="13">
        <f>IF(OR($A3765="",AND($J3765="",$K3765="")),"",MIN($J3765,$K3765))</f>
        <v/>
      </c>
      <c r="Q3765">
        <f>IF($A3765="","",$D3765&amp;"("&amp;SUBSTITUTE($E3765," ","")&amp;")")</f>
        <v/>
      </c>
      <c r="R3765">
        <f>IF($A3765="","",$B3765&amp;" - "&amp;$C3765)</f>
        <v/>
      </c>
      <c r="S3765">
        <f>IF($A3765="","",$R3765&amp;"|"&amp;$Q3765)</f>
        <v/>
      </c>
      <c r="T3765">
        <f>IF($A3765="","",$S3765&amp;"|"&amp;$F3765)</f>
        <v/>
      </c>
      <c r="U3765">
        <f>IF($A3765="","",$R3765&amp;"("&amp;$E3765&amp;")")</f>
        <v/>
      </c>
      <c r="V3765">
        <f>IF($A3765="","",$F3765&amp;"|"&amp;$U3765&amp;"|"&amp;$D3765)</f>
        <v/>
      </c>
      <c r="W3765">
        <f>IF($T3765="","",IF($X3765&gt;N($X3764),$X3765,""))</f>
        <v/>
      </c>
      <c r="X3765">
        <f>IF($T3765="",N($X3764),IF(MATCH($T3765,$T$6:$T$6005,0)=ROW()-5,N($X3764)+1,N($X3764)))</f>
        <v/>
      </c>
      <c r="Z3765">
        <f>IF($V3765="","",IF($AA3765&gt;N($AA3764),$AA3765,""))</f>
        <v/>
      </c>
      <c r="AA3765">
        <f>IF($V3765="",N($AA3764),IF(MATCH($V3765,$V$6:$V$6005,0)=ROW()-5,N($AA3764)+1,N($AA3764)))</f>
        <v/>
      </c>
    </row>
    <row r="3766" ht="21" customHeight="1" s="66">
      <c r="A3766" s="56" t="n"/>
      <c r="B3766" s="57" t="n"/>
      <c r="C3766" s="57" t="n"/>
      <c r="D3766" s="57" t="n"/>
      <c r="E3766" s="56" t="n"/>
      <c r="F3766" s="57" t="n"/>
      <c r="G3766" s="57" t="n"/>
      <c r="H3766" s="56" t="n"/>
      <c r="I3766" s="56" t="n"/>
      <c r="J3766" s="58" t="n"/>
      <c r="K3766" s="58" t="n"/>
      <c r="L3766" s="13">
        <f>IF(OR($A3766="",AND($J3766="",$K3766="")),"",ROUND(N($J3766)-N($K3766),2))</f>
        <v/>
      </c>
      <c r="M3766" s="13">
        <f>IF(OR($A3766="",AND($J3766="",$K3766="")),"",MIN($J3766,$K3766))</f>
        <v/>
      </c>
      <c r="Q3766">
        <f>IF($A3766="","",$D3766&amp;"("&amp;SUBSTITUTE($E3766," ","")&amp;")")</f>
        <v/>
      </c>
      <c r="R3766">
        <f>IF($A3766="","",$B3766&amp;" - "&amp;$C3766)</f>
        <v/>
      </c>
      <c r="S3766">
        <f>IF($A3766="","",$R3766&amp;"|"&amp;$Q3766)</f>
        <v/>
      </c>
      <c r="T3766">
        <f>IF($A3766="","",$S3766&amp;"|"&amp;$F3766)</f>
        <v/>
      </c>
      <c r="U3766">
        <f>IF($A3766="","",$R3766&amp;"("&amp;$E3766&amp;")")</f>
        <v/>
      </c>
      <c r="V3766">
        <f>IF($A3766="","",$F3766&amp;"|"&amp;$U3766&amp;"|"&amp;$D3766)</f>
        <v/>
      </c>
      <c r="W3766">
        <f>IF($T3766="","",IF($X3766&gt;N($X3765),$X3766,""))</f>
        <v/>
      </c>
      <c r="X3766">
        <f>IF($T3766="",N($X3765),IF(MATCH($T3766,$T$6:$T$6005,0)=ROW()-5,N($X3765)+1,N($X3765)))</f>
        <v/>
      </c>
      <c r="Z3766">
        <f>IF($V3766="","",IF($AA3766&gt;N($AA3765),$AA3766,""))</f>
        <v/>
      </c>
      <c r="AA3766">
        <f>IF($V3766="",N($AA3765),IF(MATCH($V3766,$V$6:$V$6005,0)=ROW()-5,N($AA3765)+1,N($AA3765)))</f>
        <v/>
      </c>
    </row>
    <row r="3767" ht="21" customHeight="1" s="66">
      <c r="A3767" s="56" t="n"/>
      <c r="B3767" s="57" t="n"/>
      <c r="C3767" s="57" t="n"/>
      <c r="D3767" s="57" t="n"/>
      <c r="E3767" s="56" t="n"/>
      <c r="F3767" s="57" t="n"/>
      <c r="G3767" s="57" t="n"/>
      <c r="H3767" s="56" t="n"/>
      <c r="I3767" s="56" t="n"/>
      <c r="J3767" s="58" t="n"/>
      <c r="K3767" s="58" t="n"/>
      <c r="L3767" s="13">
        <f>IF(OR($A3767="",AND($J3767="",$K3767="")),"",ROUND(N($J3767)-N($K3767),2))</f>
        <v/>
      </c>
      <c r="M3767" s="13">
        <f>IF(OR($A3767="",AND($J3767="",$K3767="")),"",MIN($J3767,$K3767))</f>
        <v/>
      </c>
      <c r="Q3767">
        <f>IF($A3767="","",$D3767&amp;"("&amp;SUBSTITUTE($E3767," ","")&amp;")")</f>
        <v/>
      </c>
      <c r="R3767">
        <f>IF($A3767="","",$B3767&amp;" - "&amp;$C3767)</f>
        <v/>
      </c>
      <c r="S3767">
        <f>IF($A3767="","",$R3767&amp;"|"&amp;$Q3767)</f>
        <v/>
      </c>
      <c r="T3767">
        <f>IF($A3767="","",$S3767&amp;"|"&amp;$F3767)</f>
        <v/>
      </c>
      <c r="U3767">
        <f>IF($A3767="","",$R3767&amp;"("&amp;$E3767&amp;")")</f>
        <v/>
      </c>
      <c r="V3767">
        <f>IF($A3767="","",$F3767&amp;"|"&amp;$U3767&amp;"|"&amp;$D3767)</f>
        <v/>
      </c>
      <c r="W3767">
        <f>IF($T3767="","",IF($X3767&gt;N($X3766),$X3767,""))</f>
        <v/>
      </c>
      <c r="X3767">
        <f>IF($T3767="",N($X3766),IF(MATCH($T3767,$T$6:$T$6005,0)=ROW()-5,N($X3766)+1,N($X3766)))</f>
        <v/>
      </c>
      <c r="Z3767">
        <f>IF($V3767="","",IF($AA3767&gt;N($AA3766),$AA3767,""))</f>
        <v/>
      </c>
      <c r="AA3767">
        <f>IF($V3767="",N($AA3766),IF(MATCH($V3767,$V$6:$V$6005,0)=ROW()-5,N($AA3766)+1,N($AA3766)))</f>
        <v/>
      </c>
    </row>
    <row r="3768" ht="21" customHeight="1" s="66">
      <c r="A3768" s="56" t="n"/>
      <c r="B3768" s="57" t="n"/>
      <c r="C3768" s="57" t="n"/>
      <c r="D3768" s="57" t="n"/>
      <c r="E3768" s="56" t="n"/>
      <c r="F3768" s="57" t="n"/>
      <c r="G3768" s="57" t="n"/>
      <c r="H3768" s="56" t="n"/>
      <c r="I3768" s="56" t="n"/>
      <c r="J3768" s="58" t="n"/>
      <c r="K3768" s="58" t="n"/>
      <c r="L3768" s="13">
        <f>IF(OR($A3768="",AND($J3768="",$K3768="")),"",ROUND(N($J3768)-N($K3768),2))</f>
        <v/>
      </c>
      <c r="M3768" s="13">
        <f>IF(OR($A3768="",AND($J3768="",$K3768="")),"",MIN($J3768,$K3768))</f>
        <v/>
      </c>
      <c r="Q3768">
        <f>IF($A3768="","",$D3768&amp;"("&amp;SUBSTITUTE($E3768," ","")&amp;")")</f>
        <v/>
      </c>
      <c r="R3768">
        <f>IF($A3768="","",$B3768&amp;" - "&amp;$C3768)</f>
        <v/>
      </c>
      <c r="S3768">
        <f>IF($A3768="","",$R3768&amp;"|"&amp;$Q3768)</f>
        <v/>
      </c>
      <c r="T3768">
        <f>IF($A3768="","",$S3768&amp;"|"&amp;$F3768)</f>
        <v/>
      </c>
      <c r="U3768">
        <f>IF($A3768="","",$R3768&amp;"("&amp;$E3768&amp;")")</f>
        <v/>
      </c>
      <c r="V3768">
        <f>IF($A3768="","",$F3768&amp;"|"&amp;$U3768&amp;"|"&amp;$D3768)</f>
        <v/>
      </c>
      <c r="W3768">
        <f>IF($T3768="","",IF($X3768&gt;N($X3767),$X3768,""))</f>
        <v/>
      </c>
      <c r="X3768">
        <f>IF($T3768="",N($X3767),IF(MATCH($T3768,$T$6:$T$6005,0)=ROW()-5,N($X3767)+1,N($X3767)))</f>
        <v/>
      </c>
      <c r="Z3768">
        <f>IF($V3768="","",IF($AA3768&gt;N($AA3767),$AA3768,""))</f>
        <v/>
      </c>
      <c r="AA3768">
        <f>IF($V3768="",N($AA3767),IF(MATCH($V3768,$V$6:$V$6005,0)=ROW()-5,N($AA3767)+1,N($AA3767)))</f>
        <v/>
      </c>
    </row>
    <row r="3769" ht="21" customHeight="1" s="66">
      <c r="A3769" s="56" t="n"/>
      <c r="B3769" s="57" t="n"/>
      <c r="C3769" s="57" t="n"/>
      <c r="D3769" s="57" t="n"/>
      <c r="E3769" s="56" t="n"/>
      <c r="F3769" s="57" t="n"/>
      <c r="G3769" s="57" t="n"/>
      <c r="H3769" s="56" t="n"/>
      <c r="I3769" s="56" t="n"/>
      <c r="J3769" s="58" t="n"/>
      <c r="K3769" s="58" t="n"/>
      <c r="L3769" s="13">
        <f>IF(OR($A3769="",AND($J3769="",$K3769="")),"",ROUND(N($J3769)-N($K3769),2))</f>
        <v/>
      </c>
      <c r="M3769" s="13">
        <f>IF(OR($A3769="",AND($J3769="",$K3769="")),"",MIN($J3769,$K3769))</f>
        <v/>
      </c>
      <c r="Q3769">
        <f>IF($A3769="","",$D3769&amp;"("&amp;SUBSTITUTE($E3769," ","")&amp;")")</f>
        <v/>
      </c>
      <c r="R3769">
        <f>IF($A3769="","",$B3769&amp;" - "&amp;$C3769)</f>
        <v/>
      </c>
      <c r="S3769">
        <f>IF($A3769="","",$R3769&amp;"|"&amp;$Q3769)</f>
        <v/>
      </c>
      <c r="T3769">
        <f>IF($A3769="","",$S3769&amp;"|"&amp;$F3769)</f>
        <v/>
      </c>
      <c r="U3769">
        <f>IF($A3769="","",$R3769&amp;"("&amp;$E3769&amp;")")</f>
        <v/>
      </c>
      <c r="V3769">
        <f>IF($A3769="","",$F3769&amp;"|"&amp;$U3769&amp;"|"&amp;$D3769)</f>
        <v/>
      </c>
      <c r="W3769">
        <f>IF($T3769="","",IF($X3769&gt;N($X3768),$X3769,""))</f>
        <v/>
      </c>
      <c r="X3769">
        <f>IF($T3769="",N($X3768),IF(MATCH($T3769,$T$6:$T$6005,0)=ROW()-5,N($X3768)+1,N($X3768)))</f>
        <v/>
      </c>
      <c r="Z3769">
        <f>IF($V3769="","",IF($AA3769&gt;N($AA3768),$AA3769,""))</f>
        <v/>
      </c>
      <c r="AA3769">
        <f>IF($V3769="",N($AA3768),IF(MATCH($V3769,$V$6:$V$6005,0)=ROW()-5,N($AA3768)+1,N($AA3768)))</f>
        <v/>
      </c>
    </row>
    <row r="3770" ht="21" customHeight="1" s="66">
      <c r="A3770" s="56" t="n"/>
      <c r="B3770" s="57" t="n"/>
      <c r="C3770" s="57" t="n"/>
      <c r="D3770" s="57" t="n"/>
      <c r="E3770" s="56" t="n"/>
      <c r="F3770" s="57" t="n"/>
      <c r="G3770" s="57" t="n"/>
      <c r="H3770" s="56" t="n"/>
      <c r="I3770" s="56" t="n"/>
      <c r="J3770" s="58" t="n"/>
      <c r="K3770" s="58" t="n"/>
      <c r="L3770" s="13">
        <f>IF(OR($A3770="",AND($J3770="",$K3770="")),"",ROUND(N($J3770)-N($K3770),2))</f>
        <v/>
      </c>
      <c r="M3770" s="13">
        <f>IF(OR($A3770="",AND($J3770="",$K3770="")),"",MIN($J3770,$K3770))</f>
        <v/>
      </c>
      <c r="Q3770">
        <f>IF($A3770="","",$D3770&amp;"("&amp;SUBSTITUTE($E3770," ","")&amp;")")</f>
        <v/>
      </c>
      <c r="R3770">
        <f>IF($A3770="","",$B3770&amp;" - "&amp;$C3770)</f>
        <v/>
      </c>
      <c r="S3770">
        <f>IF($A3770="","",$R3770&amp;"|"&amp;$Q3770)</f>
        <v/>
      </c>
      <c r="T3770">
        <f>IF($A3770="","",$S3770&amp;"|"&amp;$F3770)</f>
        <v/>
      </c>
      <c r="U3770">
        <f>IF($A3770="","",$R3770&amp;"("&amp;$E3770&amp;")")</f>
        <v/>
      </c>
      <c r="V3770">
        <f>IF($A3770="","",$F3770&amp;"|"&amp;$U3770&amp;"|"&amp;$D3770)</f>
        <v/>
      </c>
      <c r="W3770">
        <f>IF($T3770="","",IF($X3770&gt;N($X3769),$X3770,""))</f>
        <v/>
      </c>
      <c r="X3770">
        <f>IF($T3770="",N($X3769),IF(MATCH($T3770,$T$6:$T$6005,0)=ROW()-5,N($X3769)+1,N($X3769)))</f>
        <v/>
      </c>
      <c r="Z3770">
        <f>IF($V3770="","",IF($AA3770&gt;N($AA3769),$AA3770,""))</f>
        <v/>
      </c>
      <c r="AA3770">
        <f>IF($V3770="",N($AA3769),IF(MATCH($V3770,$V$6:$V$6005,0)=ROW()-5,N($AA3769)+1,N($AA3769)))</f>
        <v/>
      </c>
    </row>
    <row r="3771" ht="21" customHeight="1" s="66">
      <c r="A3771" s="56" t="n"/>
      <c r="B3771" s="57" t="n"/>
      <c r="C3771" s="57" t="n"/>
      <c r="D3771" s="57" t="n"/>
      <c r="E3771" s="56" t="n"/>
      <c r="F3771" s="57" t="n"/>
      <c r="G3771" s="57" t="n"/>
      <c r="H3771" s="56" t="n"/>
      <c r="I3771" s="56" t="n"/>
      <c r="J3771" s="58" t="n"/>
      <c r="K3771" s="58" t="n"/>
      <c r="L3771" s="13">
        <f>IF(OR($A3771="",AND($J3771="",$K3771="")),"",ROUND(N($J3771)-N($K3771),2))</f>
        <v/>
      </c>
      <c r="M3771" s="13">
        <f>IF(OR($A3771="",AND($J3771="",$K3771="")),"",MIN($J3771,$K3771))</f>
        <v/>
      </c>
      <c r="Q3771">
        <f>IF($A3771="","",$D3771&amp;"("&amp;SUBSTITUTE($E3771," ","")&amp;")")</f>
        <v/>
      </c>
      <c r="R3771">
        <f>IF($A3771="","",$B3771&amp;" - "&amp;$C3771)</f>
        <v/>
      </c>
      <c r="S3771">
        <f>IF($A3771="","",$R3771&amp;"|"&amp;$Q3771)</f>
        <v/>
      </c>
      <c r="T3771">
        <f>IF($A3771="","",$S3771&amp;"|"&amp;$F3771)</f>
        <v/>
      </c>
      <c r="U3771">
        <f>IF($A3771="","",$R3771&amp;"("&amp;$E3771&amp;")")</f>
        <v/>
      </c>
      <c r="V3771">
        <f>IF($A3771="","",$F3771&amp;"|"&amp;$U3771&amp;"|"&amp;$D3771)</f>
        <v/>
      </c>
      <c r="W3771">
        <f>IF($T3771="","",IF($X3771&gt;N($X3770),$X3771,""))</f>
        <v/>
      </c>
      <c r="X3771">
        <f>IF($T3771="",N($X3770),IF(MATCH($T3771,$T$6:$T$6005,0)=ROW()-5,N($X3770)+1,N($X3770)))</f>
        <v/>
      </c>
      <c r="Z3771">
        <f>IF($V3771="","",IF($AA3771&gt;N($AA3770),$AA3771,""))</f>
        <v/>
      </c>
      <c r="AA3771">
        <f>IF($V3771="",N($AA3770),IF(MATCH($V3771,$V$6:$V$6005,0)=ROW()-5,N($AA3770)+1,N($AA3770)))</f>
        <v/>
      </c>
    </row>
    <row r="3772" ht="21" customHeight="1" s="66">
      <c r="A3772" s="56" t="n"/>
      <c r="B3772" s="57" t="n"/>
      <c r="C3772" s="57" t="n"/>
      <c r="D3772" s="57" t="n"/>
      <c r="E3772" s="56" t="n"/>
      <c r="F3772" s="57" t="n"/>
      <c r="G3772" s="57" t="n"/>
      <c r="H3772" s="56" t="n"/>
      <c r="I3772" s="56" t="n"/>
      <c r="J3772" s="58" t="n"/>
      <c r="K3772" s="58" t="n"/>
      <c r="L3772" s="13">
        <f>IF(OR($A3772="",AND($J3772="",$K3772="")),"",ROUND(N($J3772)-N($K3772),2))</f>
        <v/>
      </c>
      <c r="M3772" s="13">
        <f>IF(OR($A3772="",AND($J3772="",$K3772="")),"",MIN($J3772,$K3772))</f>
        <v/>
      </c>
      <c r="Q3772">
        <f>IF($A3772="","",$D3772&amp;"("&amp;SUBSTITUTE($E3772," ","")&amp;")")</f>
        <v/>
      </c>
      <c r="R3772">
        <f>IF($A3772="","",$B3772&amp;" - "&amp;$C3772)</f>
        <v/>
      </c>
      <c r="S3772">
        <f>IF($A3772="","",$R3772&amp;"|"&amp;$Q3772)</f>
        <v/>
      </c>
      <c r="T3772">
        <f>IF($A3772="","",$S3772&amp;"|"&amp;$F3772)</f>
        <v/>
      </c>
      <c r="U3772">
        <f>IF($A3772="","",$R3772&amp;"("&amp;$E3772&amp;")")</f>
        <v/>
      </c>
      <c r="V3772">
        <f>IF($A3772="","",$F3772&amp;"|"&amp;$U3772&amp;"|"&amp;$D3772)</f>
        <v/>
      </c>
      <c r="W3772">
        <f>IF($T3772="","",IF($X3772&gt;N($X3771),$X3772,""))</f>
        <v/>
      </c>
      <c r="X3772">
        <f>IF($T3772="",N($X3771),IF(MATCH($T3772,$T$6:$T$6005,0)=ROW()-5,N($X3771)+1,N($X3771)))</f>
        <v/>
      </c>
      <c r="Z3772">
        <f>IF($V3772="","",IF($AA3772&gt;N($AA3771),$AA3772,""))</f>
        <v/>
      </c>
      <c r="AA3772">
        <f>IF($V3772="",N($AA3771),IF(MATCH($V3772,$V$6:$V$6005,0)=ROW()-5,N($AA3771)+1,N($AA3771)))</f>
        <v/>
      </c>
    </row>
    <row r="3773" ht="21" customHeight="1" s="66">
      <c r="A3773" s="56" t="n"/>
      <c r="B3773" s="57" t="n"/>
      <c r="C3773" s="57" t="n"/>
      <c r="D3773" s="57" t="n"/>
      <c r="E3773" s="56" t="n"/>
      <c r="F3773" s="57" t="n"/>
      <c r="G3773" s="57" t="n"/>
      <c r="H3773" s="56" t="n"/>
      <c r="I3773" s="56" t="n"/>
      <c r="J3773" s="58" t="n"/>
      <c r="K3773" s="58" t="n"/>
      <c r="L3773" s="13">
        <f>IF(OR($A3773="",AND($J3773="",$K3773="")),"",ROUND(N($J3773)-N($K3773),2))</f>
        <v/>
      </c>
      <c r="M3773" s="13">
        <f>IF(OR($A3773="",AND($J3773="",$K3773="")),"",MIN($J3773,$K3773))</f>
        <v/>
      </c>
      <c r="Q3773">
        <f>IF($A3773="","",$D3773&amp;"("&amp;SUBSTITUTE($E3773," ","")&amp;")")</f>
        <v/>
      </c>
      <c r="R3773">
        <f>IF($A3773="","",$B3773&amp;" - "&amp;$C3773)</f>
        <v/>
      </c>
      <c r="S3773">
        <f>IF($A3773="","",$R3773&amp;"|"&amp;$Q3773)</f>
        <v/>
      </c>
      <c r="T3773">
        <f>IF($A3773="","",$S3773&amp;"|"&amp;$F3773)</f>
        <v/>
      </c>
      <c r="U3773">
        <f>IF($A3773="","",$R3773&amp;"("&amp;$E3773&amp;")")</f>
        <v/>
      </c>
      <c r="V3773">
        <f>IF($A3773="","",$F3773&amp;"|"&amp;$U3773&amp;"|"&amp;$D3773)</f>
        <v/>
      </c>
      <c r="W3773">
        <f>IF($T3773="","",IF($X3773&gt;N($X3772),$X3773,""))</f>
        <v/>
      </c>
      <c r="X3773">
        <f>IF($T3773="",N($X3772),IF(MATCH($T3773,$T$6:$T$6005,0)=ROW()-5,N($X3772)+1,N($X3772)))</f>
        <v/>
      </c>
      <c r="Z3773">
        <f>IF($V3773="","",IF($AA3773&gt;N($AA3772),$AA3773,""))</f>
        <v/>
      </c>
      <c r="AA3773">
        <f>IF($V3773="",N($AA3772),IF(MATCH($V3773,$V$6:$V$6005,0)=ROW()-5,N($AA3772)+1,N($AA3772)))</f>
        <v/>
      </c>
    </row>
    <row r="3774" ht="21" customHeight="1" s="66">
      <c r="A3774" s="56" t="n"/>
      <c r="B3774" s="57" t="n"/>
      <c r="C3774" s="57" t="n"/>
      <c r="D3774" s="57" t="n"/>
      <c r="E3774" s="56" t="n"/>
      <c r="F3774" s="57" t="n"/>
      <c r="G3774" s="57" t="n"/>
      <c r="H3774" s="56" t="n"/>
      <c r="I3774" s="56" t="n"/>
      <c r="J3774" s="58" t="n"/>
      <c r="K3774" s="58" t="n"/>
      <c r="L3774" s="13">
        <f>IF(OR($A3774="",AND($J3774="",$K3774="")),"",ROUND(N($J3774)-N($K3774),2))</f>
        <v/>
      </c>
      <c r="M3774" s="13">
        <f>IF(OR($A3774="",AND($J3774="",$K3774="")),"",MIN($J3774,$K3774))</f>
        <v/>
      </c>
      <c r="Q3774">
        <f>IF($A3774="","",$D3774&amp;"("&amp;SUBSTITUTE($E3774," ","")&amp;")")</f>
        <v/>
      </c>
      <c r="R3774">
        <f>IF($A3774="","",$B3774&amp;" - "&amp;$C3774)</f>
        <v/>
      </c>
      <c r="S3774">
        <f>IF($A3774="","",$R3774&amp;"|"&amp;$Q3774)</f>
        <v/>
      </c>
      <c r="T3774">
        <f>IF($A3774="","",$S3774&amp;"|"&amp;$F3774)</f>
        <v/>
      </c>
      <c r="U3774">
        <f>IF($A3774="","",$R3774&amp;"("&amp;$E3774&amp;")")</f>
        <v/>
      </c>
      <c r="V3774">
        <f>IF($A3774="","",$F3774&amp;"|"&amp;$U3774&amp;"|"&amp;$D3774)</f>
        <v/>
      </c>
      <c r="W3774">
        <f>IF($T3774="","",IF($X3774&gt;N($X3773),$X3774,""))</f>
        <v/>
      </c>
      <c r="X3774">
        <f>IF($T3774="",N($X3773),IF(MATCH($T3774,$T$6:$T$6005,0)=ROW()-5,N($X3773)+1,N($X3773)))</f>
        <v/>
      </c>
      <c r="Z3774">
        <f>IF($V3774="","",IF($AA3774&gt;N($AA3773),$AA3774,""))</f>
        <v/>
      </c>
      <c r="AA3774">
        <f>IF($V3774="",N($AA3773),IF(MATCH($V3774,$V$6:$V$6005,0)=ROW()-5,N($AA3773)+1,N($AA3773)))</f>
        <v/>
      </c>
    </row>
    <row r="3775" ht="21" customHeight="1" s="66">
      <c r="A3775" s="56" t="n"/>
      <c r="B3775" s="57" t="n"/>
      <c r="C3775" s="57" t="n"/>
      <c r="D3775" s="57" t="n"/>
      <c r="E3775" s="56" t="n"/>
      <c r="F3775" s="57" t="n"/>
      <c r="G3775" s="57" t="n"/>
      <c r="H3775" s="56" t="n"/>
      <c r="I3775" s="56" t="n"/>
      <c r="J3775" s="58" t="n"/>
      <c r="K3775" s="58" t="n"/>
      <c r="L3775" s="13">
        <f>IF(OR($A3775="",AND($J3775="",$K3775="")),"",ROUND(N($J3775)-N($K3775),2))</f>
        <v/>
      </c>
      <c r="M3775" s="13">
        <f>IF(OR($A3775="",AND($J3775="",$K3775="")),"",MIN($J3775,$K3775))</f>
        <v/>
      </c>
      <c r="Q3775">
        <f>IF($A3775="","",$D3775&amp;"("&amp;SUBSTITUTE($E3775," ","")&amp;")")</f>
        <v/>
      </c>
      <c r="R3775">
        <f>IF($A3775="","",$B3775&amp;" - "&amp;$C3775)</f>
        <v/>
      </c>
      <c r="S3775">
        <f>IF($A3775="","",$R3775&amp;"|"&amp;$Q3775)</f>
        <v/>
      </c>
      <c r="T3775">
        <f>IF($A3775="","",$S3775&amp;"|"&amp;$F3775)</f>
        <v/>
      </c>
      <c r="U3775">
        <f>IF($A3775="","",$R3775&amp;"("&amp;$E3775&amp;")")</f>
        <v/>
      </c>
      <c r="V3775">
        <f>IF($A3775="","",$F3775&amp;"|"&amp;$U3775&amp;"|"&amp;$D3775)</f>
        <v/>
      </c>
      <c r="W3775">
        <f>IF($T3775="","",IF($X3775&gt;N($X3774),$X3775,""))</f>
        <v/>
      </c>
      <c r="X3775">
        <f>IF($T3775="",N($X3774),IF(MATCH($T3775,$T$6:$T$6005,0)=ROW()-5,N($X3774)+1,N($X3774)))</f>
        <v/>
      </c>
      <c r="Z3775">
        <f>IF($V3775="","",IF($AA3775&gt;N($AA3774),$AA3775,""))</f>
        <v/>
      </c>
      <c r="AA3775">
        <f>IF($V3775="",N($AA3774),IF(MATCH($V3775,$V$6:$V$6005,0)=ROW()-5,N($AA3774)+1,N($AA3774)))</f>
        <v/>
      </c>
    </row>
    <row r="3776" ht="21" customHeight="1" s="66">
      <c r="A3776" s="56" t="n"/>
      <c r="B3776" s="57" t="n"/>
      <c r="C3776" s="57" t="n"/>
      <c r="D3776" s="57" t="n"/>
      <c r="E3776" s="56" t="n"/>
      <c r="F3776" s="57" t="n"/>
      <c r="G3776" s="57" t="n"/>
      <c r="H3776" s="56" t="n"/>
      <c r="I3776" s="56" t="n"/>
      <c r="J3776" s="58" t="n"/>
      <c r="K3776" s="58" t="n"/>
      <c r="L3776" s="13">
        <f>IF(OR($A3776="",AND($J3776="",$K3776="")),"",ROUND(N($J3776)-N($K3776),2))</f>
        <v/>
      </c>
      <c r="M3776" s="13">
        <f>IF(OR($A3776="",AND($J3776="",$K3776="")),"",MIN($J3776,$K3776))</f>
        <v/>
      </c>
      <c r="Q3776">
        <f>IF($A3776="","",$D3776&amp;"("&amp;SUBSTITUTE($E3776," ","")&amp;")")</f>
        <v/>
      </c>
      <c r="R3776">
        <f>IF($A3776="","",$B3776&amp;" - "&amp;$C3776)</f>
        <v/>
      </c>
      <c r="S3776">
        <f>IF($A3776="","",$R3776&amp;"|"&amp;$Q3776)</f>
        <v/>
      </c>
      <c r="T3776">
        <f>IF($A3776="","",$S3776&amp;"|"&amp;$F3776)</f>
        <v/>
      </c>
      <c r="U3776">
        <f>IF($A3776="","",$R3776&amp;"("&amp;$E3776&amp;")")</f>
        <v/>
      </c>
      <c r="V3776">
        <f>IF($A3776="","",$F3776&amp;"|"&amp;$U3776&amp;"|"&amp;$D3776)</f>
        <v/>
      </c>
      <c r="W3776">
        <f>IF($T3776="","",IF($X3776&gt;N($X3775),$X3776,""))</f>
        <v/>
      </c>
      <c r="X3776">
        <f>IF($T3776="",N($X3775),IF(MATCH($T3776,$T$6:$T$6005,0)=ROW()-5,N($X3775)+1,N($X3775)))</f>
        <v/>
      </c>
      <c r="Z3776">
        <f>IF($V3776="","",IF($AA3776&gt;N($AA3775),$AA3776,""))</f>
        <v/>
      </c>
      <c r="AA3776">
        <f>IF($V3776="",N($AA3775),IF(MATCH($V3776,$V$6:$V$6005,0)=ROW()-5,N($AA3775)+1,N($AA3775)))</f>
        <v/>
      </c>
    </row>
    <row r="3777" ht="21" customHeight="1" s="66">
      <c r="A3777" s="56" t="n"/>
      <c r="B3777" s="57" t="n"/>
      <c r="C3777" s="57" t="n"/>
      <c r="D3777" s="57" t="n"/>
      <c r="E3777" s="56" t="n"/>
      <c r="F3777" s="57" t="n"/>
      <c r="G3777" s="57" t="n"/>
      <c r="H3777" s="56" t="n"/>
      <c r="I3777" s="56" t="n"/>
      <c r="J3777" s="58" t="n"/>
      <c r="K3777" s="58" t="n"/>
      <c r="L3777" s="13">
        <f>IF(OR($A3777="",AND($J3777="",$K3777="")),"",ROUND(N($J3777)-N($K3777),2))</f>
        <v/>
      </c>
      <c r="M3777" s="13">
        <f>IF(OR($A3777="",AND($J3777="",$K3777="")),"",MIN($J3777,$K3777))</f>
        <v/>
      </c>
      <c r="Q3777">
        <f>IF($A3777="","",$D3777&amp;"("&amp;SUBSTITUTE($E3777," ","")&amp;")")</f>
        <v/>
      </c>
      <c r="R3777">
        <f>IF($A3777="","",$B3777&amp;" - "&amp;$C3777)</f>
        <v/>
      </c>
      <c r="S3777">
        <f>IF($A3777="","",$R3777&amp;"|"&amp;$Q3777)</f>
        <v/>
      </c>
      <c r="T3777">
        <f>IF($A3777="","",$S3777&amp;"|"&amp;$F3777)</f>
        <v/>
      </c>
      <c r="U3777">
        <f>IF($A3777="","",$R3777&amp;"("&amp;$E3777&amp;")")</f>
        <v/>
      </c>
      <c r="V3777">
        <f>IF($A3777="","",$F3777&amp;"|"&amp;$U3777&amp;"|"&amp;$D3777)</f>
        <v/>
      </c>
      <c r="W3777">
        <f>IF($T3777="","",IF($X3777&gt;N($X3776),$X3777,""))</f>
        <v/>
      </c>
      <c r="X3777">
        <f>IF($T3777="",N($X3776),IF(MATCH($T3777,$T$6:$T$6005,0)=ROW()-5,N($X3776)+1,N($X3776)))</f>
        <v/>
      </c>
      <c r="Z3777">
        <f>IF($V3777="","",IF($AA3777&gt;N($AA3776),$AA3777,""))</f>
        <v/>
      </c>
      <c r="AA3777">
        <f>IF($V3777="",N($AA3776),IF(MATCH($V3777,$V$6:$V$6005,0)=ROW()-5,N($AA3776)+1,N($AA3776)))</f>
        <v/>
      </c>
    </row>
    <row r="3778" ht="21" customHeight="1" s="66">
      <c r="A3778" s="56" t="n"/>
      <c r="B3778" s="57" t="n"/>
      <c r="C3778" s="57" t="n"/>
      <c r="D3778" s="57" t="n"/>
      <c r="E3778" s="56" t="n"/>
      <c r="F3778" s="57" t="n"/>
      <c r="G3778" s="57" t="n"/>
      <c r="H3778" s="56" t="n"/>
      <c r="I3778" s="56" t="n"/>
      <c r="J3778" s="58" t="n"/>
      <c r="K3778" s="58" t="n"/>
      <c r="L3778" s="13">
        <f>IF(OR($A3778="",AND($J3778="",$K3778="")),"",ROUND(N($J3778)-N($K3778),2))</f>
        <v/>
      </c>
      <c r="M3778" s="13">
        <f>IF(OR($A3778="",AND($J3778="",$K3778="")),"",MIN($J3778,$K3778))</f>
        <v/>
      </c>
      <c r="Q3778">
        <f>IF($A3778="","",$D3778&amp;"("&amp;SUBSTITUTE($E3778," ","")&amp;")")</f>
        <v/>
      </c>
      <c r="R3778">
        <f>IF($A3778="","",$B3778&amp;" - "&amp;$C3778)</f>
        <v/>
      </c>
      <c r="S3778">
        <f>IF($A3778="","",$R3778&amp;"|"&amp;$Q3778)</f>
        <v/>
      </c>
      <c r="T3778">
        <f>IF($A3778="","",$S3778&amp;"|"&amp;$F3778)</f>
        <v/>
      </c>
      <c r="U3778">
        <f>IF($A3778="","",$R3778&amp;"("&amp;$E3778&amp;")")</f>
        <v/>
      </c>
      <c r="V3778">
        <f>IF($A3778="","",$F3778&amp;"|"&amp;$U3778&amp;"|"&amp;$D3778)</f>
        <v/>
      </c>
      <c r="W3778">
        <f>IF($T3778="","",IF($X3778&gt;N($X3777),$X3778,""))</f>
        <v/>
      </c>
      <c r="X3778">
        <f>IF($T3778="",N($X3777),IF(MATCH($T3778,$T$6:$T$6005,0)=ROW()-5,N($X3777)+1,N($X3777)))</f>
        <v/>
      </c>
      <c r="Z3778">
        <f>IF($V3778="","",IF($AA3778&gt;N($AA3777),$AA3778,""))</f>
        <v/>
      </c>
      <c r="AA3778">
        <f>IF($V3778="",N($AA3777),IF(MATCH($V3778,$V$6:$V$6005,0)=ROW()-5,N($AA3777)+1,N($AA3777)))</f>
        <v/>
      </c>
    </row>
    <row r="3779" ht="21" customHeight="1" s="66">
      <c r="A3779" s="56" t="n"/>
      <c r="B3779" s="57" t="n"/>
      <c r="C3779" s="57" t="n"/>
      <c r="D3779" s="57" t="n"/>
      <c r="E3779" s="56" t="n"/>
      <c r="F3779" s="57" t="n"/>
      <c r="G3779" s="57" t="n"/>
      <c r="H3779" s="56" t="n"/>
      <c r="I3779" s="56" t="n"/>
      <c r="J3779" s="58" t="n"/>
      <c r="K3779" s="58" t="n"/>
      <c r="L3779" s="13">
        <f>IF(OR($A3779="",AND($J3779="",$K3779="")),"",ROUND(N($J3779)-N($K3779),2))</f>
        <v/>
      </c>
      <c r="M3779" s="13">
        <f>IF(OR($A3779="",AND($J3779="",$K3779="")),"",MIN($J3779,$K3779))</f>
        <v/>
      </c>
      <c r="Q3779">
        <f>IF($A3779="","",$D3779&amp;"("&amp;SUBSTITUTE($E3779," ","")&amp;")")</f>
        <v/>
      </c>
      <c r="R3779">
        <f>IF($A3779="","",$B3779&amp;" - "&amp;$C3779)</f>
        <v/>
      </c>
      <c r="S3779">
        <f>IF($A3779="","",$R3779&amp;"|"&amp;$Q3779)</f>
        <v/>
      </c>
      <c r="T3779">
        <f>IF($A3779="","",$S3779&amp;"|"&amp;$F3779)</f>
        <v/>
      </c>
      <c r="U3779">
        <f>IF($A3779="","",$R3779&amp;"("&amp;$E3779&amp;")")</f>
        <v/>
      </c>
      <c r="V3779">
        <f>IF($A3779="","",$F3779&amp;"|"&amp;$U3779&amp;"|"&amp;$D3779)</f>
        <v/>
      </c>
      <c r="W3779">
        <f>IF($T3779="","",IF($X3779&gt;N($X3778),$X3779,""))</f>
        <v/>
      </c>
      <c r="X3779">
        <f>IF($T3779="",N($X3778),IF(MATCH($T3779,$T$6:$T$6005,0)=ROW()-5,N($X3778)+1,N($X3778)))</f>
        <v/>
      </c>
      <c r="Z3779">
        <f>IF($V3779="","",IF($AA3779&gt;N($AA3778),$AA3779,""))</f>
        <v/>
      </c>
      <c r="AA3779">
        <f>IF($V3779="",N($AA3778),IF(MATCH($V3779,$V$6:$V$6005,0)=ROW()-5,N($AA3778)+1,N($AA3778)))</f>
        <v/>
      </c>
    </row>
    <row r="3780" ht="21" customHeight="1" s="66">
      <c r="A3780" s="56" t="n"/>
      <c r="B3780" s="57" t="n"/>
      <c r="C3780" s="57" t="n"/>
      <c r="D3780" s="57" t="n"/>
      <c r="E3780" s="56" t="n"/>
      <c r="F3780" s="57" t="n"/>
      <c r="G3780" s="57" t="n"/>
      <c r="H3780" s="56" t="n"/>
      <c r="I3780" s="56" t="n"/>
      <c r="J3780" s="58" t="n"/>
      <c r="K3780" s="58" t="n"/>
      <c r="L3780" s="13">
        <f>IF(OR($A3780="",AND($J3780="",$K3780="")),"",ROUND(N($J3780)-N($K3780),2))</f>
        <v/>
      </c>
      <c r="M3780" s="13">
        <f>IF(OR($A3780="",AND($J3780="",$K3780="")),"",MIN($J3780,$K3780))</f>
        <v/>
      </c>
      <c r="Q3780">
        <f>IF($A3780="","",$D3780&amp;"("&amp;SUBSTITUTE($E3780," ","")&amp;")")</f>
        <v/>
      </c>
      <c r="R3780">
        <f>IF($A3780="","",$B3780&amp;" - "&amp;$C3780)</f>
        <v/>
      </c>
      <c r="S3780">
        <f>IF($A3780="","",$R3780&amp;"|"&amp;$Q3780)</f>
        <v/>
      </c>
      <c r="T3780">
        <f>IF($A3780="","",$S3780&amp;"|"&amp;$F3780)</f>
        <v/>
      </c>
      <c r="U3780">
        <f>IF($A3780="","",$R3780&amp;"("&amp;$E3780&amp;")")</f>
        <v/>
      </c>
      <c r="V3780">
        <f>IF($A3780="","",$F3780&amp;"|"&amp;$U3780&amp;"|"&amp;$D3780)</f>
        <v/>
      </c>
      <c r="W3780">
        <f>IF($T3780="","",IF($X3780&gt;N($X3779),$X3780,""))</f>
        <v/>
      </c>
      <c r="X3780">
        <f>IF($T3780="",N($X3779),IF(MATCH($T3780,$T$6:$T$6005,0)=ROW()-5,N($X3779)+1,N($X3779)))</f>
        <v/>
      </c>
      <c r="Z3780">
        <f>IF($V3780="","",IF($AA3780&gt;N($AA3779),$AA3780,""))</f>
        <v/>
      </c>
      <c r="AA3780">
        <f>IF($V3780="",N($AA3779),IF(MATCH($V3780,$V$6:$V$6005,0)=ROW()-5,N($AA3779)+1,N($AA3779)))</f>
        <v/>
      </c>
    </row>
    <row r="3781" ht="21" customHeight="1" s="66">
      <c r="A3781" s="56" t="n"/>
      <c r="B3781" s="57" t="n"/>
      <c r="C3781" s="57" t="n"/>
      <c r="D3781" s="57" t="n"/>
      <c r="E3781" s="56" t="n"/>
      <c r="F3781" s="57" t="n"/>
      <c r="G3781" s="57" t="n"/>
      <c r="H3781" s="56" t="n"/>
      <c r="I3781" s="56" t="n"/>
      <c r="J3781" s="58" t="n"/>
      <c r="K3781" s="58" t="n"/>
      <c r="L3781" s="13">
        <f>IF(OR($A3781="",AND($J3781="",$K3781="")),"",ROUND(N($J3781)-N($K3781),2))</f>
        <v/>
      </c>
      <c r="M3781" s="13">
        <f>IF(OR($A3781="",AND($J3781="",$K3781="")),"",MIN($J3781,$K3781))</f>
        <v/>
      </c>
      <c r="Q3781">
        <f>IF($A3781="","",$D3781&amp;"("&amp;SUBSTITUTE($E3781," ","")&amp;")")</f>
        <v/>
      </c>
      <c r="R3781">
        <f>IF($A3781="","",$B3781&amp;" - "&amp;$C3781)</f>
        <v/>
      </c>
      <c r="S3781">
        <f>IF($A3781="","",$R3781&amp;"|"&amp;$Q3781)</f>
        <v/>
      </c>
      <c r="T3781">
        <f>IF($A3781="","",$S3781&amp;"|"&amp;$F3781)</f>
        <v/>
      </c>
      <c r="U3781">
        <f>IF($A3781="","",$R3781&amp;"("&amp;$E3781&amp;")")</f>
        <v/>
      </c>
      <c r="V3781">
        <f>IF($A3781="","",$F3781&amp;"|"&amp;$U3781&amp;"|"&amp;$D3781)</f>
        <v/>
      </c>
      <c r="W3781">
        <f>IF($T3781="","",IF($X3781&gt;N($X3780),$X3781,""))</f>
        <v/>
      </c>
      <c r="X3781">
        <f>IF($T3781="",N($X3780),IF(MATCH($T3781,$T$6:$T$6005,0)=ROW()-5,N($X3780)+1,N($X3780)))</f>
        <v/>
      </c>
      <c r="Z3781">
        <f>IF($V3781="","",IF($AA3781&gt;N($AA3780),$AA3781,""))</f>
        <v/>
      </c>
      <c r="AA3781">
        <f>IF($V3781="",N($AA3780),IF(MATCH($V3781,$V$6:$V$6005,0)=ROW()-5,N($AA3780)+1,N($AA3780)))</f>
        <v/>
      </c>
    </row>
    <row r="3782" ht="21" customHeight="1" s="66">
      <c r="A3782" s="56" t="n"/>
      <c r="B3782" s="57" t="n"/>
      <c r="C3782" s="57" t="n"/>
      <c r="D3782" s="57" t="n"/>
      <c r="E3782" s="56" t="n"/>
      <c r="F3782" s="57" t="n"/>
      <c r="G3782" s="57" t="n"/>
      <c r="H3782" s="56" t="n"/>
      <c r="I3782" s="56" t="n"/>
      <c r="J3782" s="58" t="n"/>
      <c r="K3782" s="58" t="n"/>
      <c r="L3782" s="13">
        <f>IF(OR($A3782="",AND($J3782="",$K3782="")),"",ROUND(N($J3782)-N($K3782),2))</f>
        <v/>
      </c>
      <c r="M3782" s="13">
        <f>IF(OR($A3782="",AND($J3782="",$K3782="")),"",MIN($J3782,$K3782))</f>
        <v/>
      </c>
      <c r="Q3782">
        <f>IF($A3782="","",$D3782&amp;"("&amp;SUBSTITUTE($E3782," ","")&amp;")")</f>
        <v/>
      </c>
      <c r="R3782">
        <f>IF($A3782="","",$B3782&amp;" - "&amp;$C3782)</f>
        <v/>
      </c>
      <c r="S3782">
        <f>IF($A3782="","",$R3782&amp;"|"&amp;$Q3782)</f>
        <v/>
      </c>
      <c r="T3782">
        <f>IF($A3782="","",$S3782&amp;"|"&amp;$F3782)</f>
        <v/>
      </c>
      <c r="U3782">
        <f>IF($A3782="","",$R3782&amp;"("&amp;$E3782&amp;")")</f>
        <v/>
      </c>
      <c r="V3782">
        <f>IF($A3782="","",$F3782&amp;"|"&amp;$U3782&amp;"|"&amp;$D3782)</f>
        <v/>
      </c>
      <c r="W3782">
        <f>IF($T3782="","",IF($X3782&gt;N($X3781),$X3782,""))</f>
        <v/>
      </c>
      <c r="X3782">
        <f>IF($T3782="",N($X3781),IF(MATCH($T3782,$T$6:$T$6005,0)=ROW()-5,N($X3781)+1,N($X3781)))</f>
        <v/>
      </c>
      <c r="Z3782">
        <f>IF($V3782="","",IF($AA3782&gt;N($AA3781),$AA3782,""))</f>
        <v/>
      </c>
      <c r="AA3782">
        <f>IF($V3782="",N($AA3781),IF(MATCH($V3782,$V$6:$V$6005,0)=ROW()-5,N($AA3781)+1,N($AA3781)))</f>
        <v/>
      </c>
    </row>
    <row r="3783" ht="21" customHeight="1" s="66">
      <c r="A3783" s="56" t="n"/>
      <c r="B3783" s="57" t="n"/>
      <c r="C3783" s="57" t="n"/>
      <c r="D3783" s="57" t="n"/>
      <c r="E3783" s="56" t="n"/>
      <c r="F3783" s="57" t="n"/>
      <c r="G3783" s="57" t="n"/>
      <c r="H3783" s="56" t="n"/>
      <c r="I3783" s="56" t="n"/>
      <c r="J3783" s="58" t="n"/>
      <c r="K3783" s="58" t="n"/>
      <c r="L3783" s="13">
        <f>IF(OR($A3783="",AND($J3783="",$K3783="")),"",ROUND(N($J3783)-N($K3783),2))</f>
        <v/>
      </c>
      <c r="M3783" s="13">
        <f>IF(OR($A3783="",AND($J3783="",$K3783="")),"",MIN($J3783,$K3783))</f>
        <v/>
      </c>
      <c r="Q3783">
        <f>IF($A3783="","",$D3783&amp;"("&amp;SUBSTITUTE($E3783," ","")&amp;")")</f>
        <v/>
      </c>
      <c r="R3783">
        <f>IF($A3783="","",$B3783&amp;" - "&amp;$C3783)</f>
        <v/>
      </c>
      <c r="S3783">
        <f>IF($A3783="","",$R3783&amp;"|"&amp;$Q3783)</f>
        <v/>
      </c>
      <c r="T3783">
        <f>IF($A3783="","",$S3783&amp;"|"&amp;$F3783)</f>
        <v/>
      </c>
      <c r="U3783">
        <f>IF($A3783="","",$R3783&amp;"("&amp;$E3783&amp;")")</f>
        <v/>
      </c>
      <c r="V3783">
        <f>IF($A3783="","",$F3783&amp;"|"&amp;$U3783&amp;"|"&amp;$D3783)</f>
        <v/>
      </c>
      <c r="W3783">
        <f>IF($T3783="","",IF($X3783&gt;N($X3782),$X3783,""))</f>
        <v/>
      </c>
      <c r="X3783">
        <f>IF($T3783="",N($X3782),IF(MATCH($T3783,$T$6:$T$6005,0)=ROW()-5,N($X3782)+1,N($X3782)))</f>
        <v/>
      </c>
      <c r="Z3783">
        <f>IF($V3783="","",IF($AA3783&gt;N($AA3782),$AA3783,""))</f>
        <v/>
      </c>
      <c r="AA3783">
        <f>IF($V3783="",N($AA3782),IF(MATCH($V3783,$V$6:$V$6005,0)=ROW()-5,N($AA3782)+1,N($AA3782)))</f>
        <v/>
      </c>
    </row>
    <row r="3784" ht="21" customHeight="1" s="66">
      <c r="A3784" s="56" t="n"/>
      <c r="B3784" s="57" t="n"/>
      <c r="C3784" s="57" t="n"/>
      <c r="D3784" s="57" t="n"/>
      <c r="E3784" s="56" t="n"/>
      <c r="F3784" s="57" t="n"/>
      <c r="G3784" s="57" t="n"/>
      <c r="H3784" s="56" t="n"/>
      <c r="I3784" s="56" t="n"/>
      <c r="J3784" s="58" t="n"/>
      <c r="K3784" s="58" t="n"/>
      <c r="L3784" s="13">
        <f>IF(OR($A3784="",AND($J3784="",$K3784="")),"",ROUND(N($J3784)-N($K3784),2))</f>
        <v/>
      </c>
      <c r="M3784" s="13">
        <f>IF(OR($A3784="",AND($J3784="",$K3784="")),"",MIN($J3784,$K3784))</f>
        <v/>
      </c>
      <c r="Q3784">
        <f>IF($A3784="","",$D3784&amp;"("&amp;SUBSTITUTE($E3784," ","")&amp;")")</f>
        <v/>
      </c>
      <c r="R3784">
        <f>IF($A3784="","",$B3784&amp;" - "&amp;$C3784)</f>
        <v/>
      </c>
      <c r="S3784">
        <f>IF($A3784="","",$R3784&amp;"|"&amp;$Q3784)</f>
        <v/>
      </c>
      <c r="T3784">
        <f>IF($A3784="","",$S3784&amp;"|"&amp;$F3784)</f>
        <v/>
      </c>
      <c r="U3784">
        <f>IF($A3784="","",$R3784&amp;"("&amp;$E3784&amp;")")</f>
        <v/>
      </c>
      <c r="V3784">
        <f>IF($A3784="","",$F3784&amp;"|"&amp;$U3784&amp;"|"&amp;$D3784)</f>
        <v/>
      </c>
      <c r="W3784">
        <f>IF($T3784="","",IF($X3784&gt;N($X3783),$X3784,""))</f>
        <v/>
      </c>
      <c r="X3784">
        <f>IF($T3784="",N($X3783),IF(MATCH($T3784,$T$6:$T$6005,0)=ROW()-5,N($X3783)+1,N($X3783)))</f>
        <v/>
      </c>
      <c r="Z3784">
        <f>IF($V3784="","",IF($AA3784&gt;N($AA3783),$AA3784,""))</f>
        <v/>
      </c>
      <c r="AA3784">
        <f>IF($V3784="",N($AA3783),IF(MATCH($V3784,$V$6:$V$6005,0)=ROW()-5,N($AA3783)+1,N($AA3783)))</f>
        <v/>
      </c>
    </row>
    <row r="3785" ht="21" customHeight="1" s="66">
      <c r="A3785" s="56" t="n"/>
      <c r="B3785" s="57" t="n"/>
      <c r="C3785" s="57" t="n"/>
      <c r="D3785" s="57" t="n"/>
      <c r="E3785" s="56" t="n"/>
      <c r="F3785" s="57" t="n"/>
      <c r="G3785" s="57" t="n"/>
      <c r="H3785" s="56" t="n"/>
      <c r="I3785" s="56" t="n"/>
      <c r="J3785" s="58" t="n"/>
      <c r="K3785" s="58" t="n"/>
      <c r="L3785" s="13">
        <f>IF(OR($A3785="",AND($J3785="",$K3785="")),"",ROUND(N($J3785)-N($K3785),2))</f>
        <v/>
      </c>
      <c r="M3785" s="13">
        <f>IF(OR($A3785="",AND($J3785="",$K3785="")),"",MIN($J3785,$K3785))</f>
        <v/>
      </c>
      <c r="Q3785">
        <f>IF($A3785="","",$D3785&amp;"("&amp;SUBSTITUTE($E3785," ","")&amp;")")</f>
        <v/>
      </c>
      <c r="R3785">
        <f>IF($A3785="","",$B3785&amp;" - "&amp;$C3785)</f>
        <v/>
      </c>
      <c r="S3785">
        <f>IF($A3785="","",$R3785&amp;"|"&amp;$Q3785)</f>
        <v/>
      </c>
      <c r="T3785">
        <f>IF($A3785="","",$S3785&amp;"|"&amp;$F3785)</f>
        <v/>
      </c>
      <c r="U3785">
        <f>IF($A3785="","",$R3785&amp;"("&amp;$E3785&amp;")")</f>
        <v/>
      </c>
      <c r="V3785">
        <f>IF($A3785="","",$F3785&amp;"|"&amp;$U3785&amp;"|"&amp;$D3785)</f>
        <v/>
      </c>
      <c r="W3785">
        <f>IF($T3785="","",IF($X3785&gt;N($X3784),$X3785,""))</f>
        <v/>
      </c>
      <c r="X3785">
        <f>IF($T3785="",N($X3784),IF(MATCH($T3785,$T$6:$T$6005,0)=ROW()-5,N($X3784)+1,N($X3784)))</f>
        <v/>
      </c>
      <c r="Z3785">
        <f>IF($V3785="","",IF($AA3785&gt;N($AA3784),$AA3785,""))</f>
        <v/>
      </c>
      <c r="AA3785">
        <f>IF($V3785="",N($AA3784),IF(MATCH($V3785,$V$6:$V$6005,0)=ROW()-5,N($AA3784)+1,N($AA3784)))</f>
        <v/>
      </c>
    </row>
    <row r="3786" ht="21" customHeight="1" s="66">
      <c r="A3786" s="56" t="n"/>
      <c r="B3786" s="57" t="n"/>
      <c r="C3786" s="57" t="n"/>
      <c r="D3786" s="57" t="n"/>
      <c r="E3786" s="56" t="n"/>
      <c r="F3786" s="57" t="n"/>
      <c r="G3786" s="57" t="n"/>
      <c r="H3786" s="56" t="n"/>
      <c r="I3786" s="56" t="n"/>
      <c r="J3786" s="58" t="n"/>
      <c r="K3786" s="58" t="n"/>
      <c r="L3786" s="13">
        <f>IF(OR($A3786="",AND($J3786="",$K3786="")),"",ROUND(N($J3786)-N($K3786),2))</f>
        <v/>
      </c>
      <c r="M3786" s="13">
        <f>IF(OR($A3786="",AND($J3786="",$K3786="")),"",MIN($J3786,$K3786))</f>
        <v/>
      </c>
      <c r="Q3786">
        <f>IF($A3786="","",$D3786&amp;"("&amp;SUBSTITUTE($E3786," ","")&amp;")")</f>
        <v/>
      </c>
      <c r="R3786">
        <f>IF($A3786="","",$B3786&amp;" - "&amp;$C3786)</f>
        <v/>
      </c>
      <c r="S3786">
        <f>IF($A3786="","",$R3786&amp;"|"&amp;$Q3786)</f>
        <v/>
      </c>
      <c r="T3786">
        <f>IF($A3786="","",$S3786&amp;"|"&amp;$F3786)</f>
        <v/>
      </c>
      <c r="U3786">
        <f>IF($A3786="","",$R3786&amp;"("&amp;$E3786&amp;")")</f>
        <v/>
      </c>
      <c r="V3786">
        <f>IF($A3786="","",$F3786&amp;"|"&amp;$U3786&amp;"|"&amp;$D3786)</f>
        <v/>
      </c>
      <c r="W3786">
        <f>IF($T3786="","",IF($X3786&gt;N($X3785),$X3786,""))</f>
        <v/>
      </c>
      <c r="X3786">
        <f>IF($T3786="",N($X3785),IF(MATCH($T3786,$T$6:$T$6005,0)=ROW()-5,N($X3785)+1,N($X3785)))</f>
        <v/>
      </c>
      <c r="Z3786">
        <f>IF($V3786="","",IF($AA3786&gt;N($AA3785),$AA3786,""))</f>
        <v/>
      </c>
      <c r="AA3786">
        <f>IF($V3786="",N($AA3785),IF(MATCH($V3786,$V$6:$V$6005,0)=ROW()-5,N($AA3785)+1,N($AA3785)))</f>
        <v/>
      </c>
    </row>
    <row r="3787" ht="21" customHeight="1" s="66">
      <c r="A3787" s="56" t="n"/>
      <c r="B3787" s="57" t="n"/>
      <c r="C3787" s="57" t="n"/>
      <c r="D3787" s="57" t="n"/>
      <c r="E3787" s="56" t="n"/>
      <c r="F3787" s="57" t="n"/>
      <c r="G3787" s="57" t="n"/>
      <c r="H3787" s="56" t="n"/>
      <c r="I3787" s="56" t="n"/>
      <c r="J3787" s="58" t="n"/>
      <c r="K3787" s="58" t="n"/>
      <c r="L3787" s="13">
        <f>IF(OR($A3787="",AND($J3787="",$K3787="")),"",ROUND(N($J3787)-N($K3787),2))</f>
        <v/>
      </c>
      <c r="M3787" s="13">
        <f>IF(OR($A3787="",AND($J3787="",$K3787="")),"",MIN($J3787,$K3787))</f>
        <v/>
      </c>
      <c r="Q3787">
        <f>IF($A3787="","",$D3787&amp;"("&amp;SUBSTITUTE($E3787," ","")&amp;")")</f>
        <v/>
      </c>
      <c r="R3787">
        <f>IF($A3787="","",$B3787&amp;" - "&amp;$C3787)</f>
        <v/>
      </c>
      <c r="S3787">
        <f>IF($A3787="","",$R3787&amp;"|"&amp;$Q3787)</f>
        <v/>
      </c>
      <c r="T3787">
        <f>IF($A3787="","",$S3787&amp;"|"&amp;$F3787)</f>
        <v/>
      </c>
      <c r="U3787">
        <f>IF($A3787="","",$R3787&amp;"("&amp;$E3787&amp;")")</f>
        <v/>
      </c>
      <c r="V3787">
        <f>IF($A3787="","",$F3787&amp;"|"&amp;$U3787&amp;"|"&amp;$D3787)</f>
        <v/>
      </c>
      <c r="W3787">
        <f>IF($T3787="","",IF($X3787&gt;N($X3786),$X3787,""))</f>
        <v/>
      </c>
      <c r="X3787">
        <f>IF($T3787="",N($X3786),IF(MATCH($T3787,$T$6:$T$6005,0)=ROW()-5,N($X3786)+1,N($X3786)))</f>
        <v/>
      </c>
      <c r="Z3787">
        <f>IF($V3787="","",IF($AA3787&gt;N($AA3786),$AA3787,""))</f>
        <v/>
      </c>
      <c r="AA3787">
        <f>IF($V3787="",N($AA3786),IF(MATCH($V3787,$V$6:$V$6005,0)=ROW()-5,N($AA3786)+1,N($AA3786)))</f>
        <v/>
      </c>
    </row>
    <row r="3788" ht="21" customHeight="1" s="66">
      <c r="A3788" s="56" t="n"/>
      <c r="B3788" s="57" t="n"/>
      <c r="C3788" s="57" t="n"/>
      <c r="D3788" s="57" t="n"/>
      <c r="E3788" s="56" t="n"/>
      <c r="F3788" s="57" t="n"/>
      <c r="G3788" s="57" t="n"/>
      <c r="H3788" s="56" t="n"/>
      <c r="I3788" s="56" t="n"/>
      <c r="J3788" s="58" t="n"/>
      <c r="K3788" s="58" t="n"/>
      <c r="L3788" s="13">
        <f>IF(OR($A3788="",AND($J3788="",$K3788="")),"",ROUND(N($J3788)-N($K3788),2))</f>
        <v/>
      </c>
      <c r="M3788" s="13">
        <f>IF(OR($A3788="",AND($J3788="",$K3788="")),"",MIN($J3788,$K3788))</f>
        <v/>
      </c>
      <c r="Q3788">
        <f>IF($A3788="","",$D3788&amp;"("&amp;SUBSTITUTE($E3788," ","")&amp;")")</f>
        <v/>
      </c>
      <c r="R3788">
        <f>IF($A3788="","",$B3788&amp;" - "&amp;$C3788)</f>
        <v/>
      </c>
      <c r="S3788">
        <f>IF($A3788="","",$R3788&amp;"|"&amp;$Q3788)</f>
        <v/>
      </c>
      <c r="T3788">
        <f>IF($A3788="","",$S3788&amp;"|"&amp;$F3788)</f>
        <v/>
      </c>
      <c r="U3788">
        <f>IF($A3788="","",$R3788&amp;"("&amp;$E3788&amp;")")</f>
        <v/>
      </c>
      <c r="V3788">
        <f>IF($A3788="","",$F3788&amp;"|"&amp;$U3788&amp;"|"&amp;$D3788)</f>
        <v/>
      </c>
      <c r="W3788">
        <f>IF($T3788="","",IF($X3788&gt;N($X3787),$X3788,""))</f>
        <v/>
      </c>
      <c r="X3788">
        <f>IF($T3788="",N($X3787),IF(MATCH($T3788,$T$6:$T$6005,0)=ROW()-5,N($X3787)+1,N($X3787)))</f>
        <v/>
      </c>
      <c r="Z3788">
        <f>IF($V3788="","",IF($AA3788&gt;N($AA3787),$AA3788,""))</f>
        <v/>
      </c>
      <c r="AA3788">
        <f>IF($V3788="",N($AA3787),IF(MATCH($V3788,$V$6:$V$6005,0)=ROW()-5,N($AA3787)+1,N($AA3787)))</f>
        <v/>
      </c>
    </row>
    <row r="3789" ht="21" customHeight="1" s="66">
      <c r="A3789" s="56" t="n"/>
      <c r="B3789" s="57" t="n"/>
      <c r="C3789" s="57" t="n"/>
      <c r="D3789" s="57" t="n"/>
      <c r="E3789" s="56" t="n"/>
      <c r="F3789" s="57" t="n"/>
      <c r="G3789" s="57" t="n"/>
      <c r="H3789" s="56" t="n"/>
      <c r="I3789" s="56" t="n"/>
      <c r="J3789" s="58" t="n"/>
      <c r="K3789" s="58" t="n"/>
      <c r="L3789" s="13">
        <f>IF(OR($A3789="",AND($J3789="",$K3789="")),"",ROUND(N($J3789)-N($K3789),2))</f>
        <v/>
      </c>
      <c r="M3789" s="13">
        <f>IF(OR($A3789="",AND($J3789="",$K3789="")),"",MIN($J3789,$K3789))</f>
        <v/>
      </c>
      <c r="Q3789">
        <f>IF($A3789="","",$D3789&amp;"("&amp;SUBSTITUTE($E3789," ","")&amp;")")</f>
        <v/>
      </c>
      <c r="R3789">
        <f>IF($A3789="","",$B3789&amp;" - "&amp;$C3789)</f>
        <v/>
      </c>
      <c r="S3789">
        <f>IF($A3789="","",$R3789&amp;"|"&amp;$Q3789)</f>
        <v/>
      </c>
      <c r="T3789">
        <f>IF($A3789="","",$S3789&amp;"|"&amp;$F3789)</f>
        <v/>
      </c>
      <c r="U3789">
        <f>IF($A3789="","",$R3789&amp;"("&amp;$E3789&amp;")")</f>
        <v/>
      </c>
      <c r="V3789">
        <f>IF($A3789="","",$F3789&amp;"|"&amp;$U3789&amp;"|"&amp;$D3789)</f>
        <v/>
      </c>
      <c r="W3789">
        <f>IF($T3789="","",IF($X3789&gt;N($X3788),$X3789,""))</f>
        <v/>
      </c>
      <c r="X3789">
        <f>IF($T3789="",N($X3788),IF(MATCH($T3789,$T$6:$T$6005,0)=ROW()-5,N($X3788)+1,N($X3788)))</f>
        <v/>
      </c>
      <c r="Z3789">
        <f>IF($V3789="","",IF($AA3789&gt;N($AA3788),$AA3789,""))</f>
        <v/>
      </c>
      <c r="AA3789">
        <f>IF($V3789="",N($AA3788),IF(MATCH($V3789,$V$6:$V$6005,0)=ROW()-5,N($AA3788)+1,N($AA3788)))</f>
        <v/>
      </c>
    </row>
    <row r="3790" ht="21" customHeight="1" s="66">
      <c r="A3790" s="56" t="n"/>
      <c r="B3790" s="57" t="n"/>
      <c r="C3790" s="57" t="n"/>
      <c r="D3790" s="57" t="n"/>
      <c r="E3790" s="56" t="n"/>
      <c r="F3790" s="57" t="n"/>
      <c r="G3790" s="57" t="n"/>
      <c r="H3790" s="56" t="n"/>
      <c r="I3790" s="56" t="n"/>
      <c r="J3790" s="58" t="n"/>
      <c r="K3790" s="58" t="n"/>
      <c r="L3790" s="13">
        <f>IF(OR($A3790="",AND($J3790="",$K3790="")),"",ROUND(N($J3790)-N($K3790),2))</f>
        <v/>
      </c>
      <c r="M3790" s="13">
        <f>IF(OR($A3790="",AND($J3790="",$K3790="")),"",MIN($J3790,$K3790))</f>
        <v/>
      </c>
      <c r="Q3790">
        <f>IF($A3790="","",$D3790&amp;"("&amp;SUBSTITUTE($E3790," ","")&amp;")")</f>
        <v/>
      </c>
      <c r="R3790">
        <f>IF($A3790="","",$B3790&amp;" - "&amp;$C3790)</f>
        <v/>
      </c>
      <c r="S3790">
        <f>IF($A3790="","",$R3790&amp;"|"&amp;$Q3790)</f>
        <v/>
      </c>
      <c r="T3790">
        <f>IF($A3790="","",$S3790&amp;"|"&amp;$F3790)</f>
        <v/>
      </c>
      <c r="U3790">
        <f>IF($A3790="","",$R3790&amp;"("&amp;$E3790&amp;")")</f>
        <v/>
      </c>
      <c r="V3790">
        <f>IF($A3790="","",$F3790&amp;"|"&amp;$U3790&amp;"|"&amp;$D3790)</f>
        <v/>
      </c>
      <c r="W3790">
        <f>IF($T3790="","",IF($X3790&gt;N($X3789),$X3790,""))</f>
        <v/>
      </c>
      <c r="X3790">
        <f>IF($T3790="",N($X3789),IF(MATCH($T3790,$T$6:$T$6005,0)=ROW()-5,N($X3789)+1,N($X3789)))</f>
        <v/>
      </c>
      <c r="Z3790">
        <f>IF($V3790="","",IF($AA3790&gt;N($AA3789),$AA3790,""))</f>
        <v/>
      </c>
      <c r="AA3790">
        <f>IF($V3790="",N($AA3789),IF(MATCH($V3790,$V$6:$V$6005,0)=ROW()-5,N($AA3789)+1,N($AA3789)))</f>
        <v/>
      </c>
    </row>
    <row r="3791" ht="21" customHeight="1" s="66">
      <c r="A3791" s="56" t="n"/>
      <c r="B3791" s="57" t="n"/>
      <c r="C3791" s="57" t="n"/>
      <c r="D3791" s="57" t="n"/>
      <c r="E3791" s="56" t="n"/>
      <c r="F3791" s="57" t="n"/>
      <c r="G3791" s="57" t="n"/>
      <c r="H3791" s="56" t="n"/>
      <c r="I3791" s="56" t="n"/>
      <c r="J3791" s="58" t="n"/>
      <c r="K3791" s="58" t="n"/>
      <c r="L3791" s="13">
        <f>IF(OR($A3791="",AND($J3791="",$K3791="")),"",ROUND(N($J3791)-N($K3791),2))</f>
        <v/>
      </c>
      <c r="M3791" s="13">
        <f>IF(OR($A3791="",AND($J3791="",$K3791="")),"",MIN($J3791,$K3791))</f>
        <v/>
      </c>
      <c r="Q3791">
        <f>IF($A3791="","",$D3791&amp;"("&amp;SUBSTITUTE($E3791," ","")&amp;")")</f>
        <v/>
      </c>
      <c r="R3791">
        <f>IF($A3791="","",$B3791&amp;" - "&amp;$C3791)</f>
        <v/>
      </c>
      <c r="S3791">
        <f>IF($A3791="","",$R3791&amp;"|"&amp;$Q3791)</f>
        <v/>
      </c>
      <c r="T3791">
        <f>IF($A3791="","",$S3791&amp;"|"&amp;$F3791)</f>
        <v/>
      </c>
      <c r="U3791">
        <f>IF($A3791="","",$R3791&amp;"("&amp;$E3791&amp;")")</f>
        <v/>
      </c>
      <c r="V3791">
        <f>IF($A3791="","",$F3791&amp;"|"&amp;$U3791&amp;"|"&amp;$D3791)</f>
        <v/>
      </c>
      <c r="W3791">
        <f>IF($T3791="","",IF($X3791&gt;N($X3790),$X3791,""))</f>
        <v/>
      </c>
      <c r="X3791">
        <f>IF($T3791="",N($X3790),IF(MATCH($T3791,$T$6:$T$6005,0)=ROW()-5,N($X3790)+1,N($X3790)))</f>
        <v/>
      </c>
      <c r="Z3791">
        <f>IF($V3791="","",IF($AA3791&gt;N($AA3790),$AA3791,""))</f>
        <v/>
      </c>
      <c r="AA3791">
        <f>IF($V3791="",N($AA3790),IF(MATCH($V3791,$V$6:$V$6005,0)=ROW()-5,N($AA3790)+1,N($AA3790)))</f>
        <v/>
      </c>
    </row>
    <row r="3792" ht="21" customHeight="1" s="66">
      <c r="A3792" s="56" t="n"/>
      <c r="B3792" s="57" t="n"/>
      <c r="C3792" s="57" t="n"/>
      <c r="D3792" s="57" t="n"/>
      <c r="E3792" s="56" t="n"/>
      <c r="F3792" s="57" t="n"/>
      <c r="G3792" s="57" t="n"/>
      <c r="H3792" s="56" t="n"/>
      <c r="I3792" s="56" t="n"/>
      <c r="J3792" s="58" t="n"/>
      <c r="K3792" s="58" t="n"/>
      <c r="L3792" s="13">
        <f>IF(OR($A3792="",AND($J3792="",$K3792="")),"",ROUND(N($J3792)-N($K3792),2))</f>
        <v/>
      </c>
      <c r="M3792" s="13">
        <f>IF(OR($A3792="",AND($J3792="",$K3792="")),"",MIN($J3792,$K3792))</f>
        <v/>
      </c>
      <c r="Q3792">
        <f>IF($A3792="","",$D3792&amp;"("&amp;SUBSTITUTE($E3792," ","")&amp;")")</f>
        <v/>
      </c>
      <c r="R3792">
        <f>IF($A3792="","",$B3792&amp;" - "&amp;$C3792)</f>
        <v/>
      </c>
      <c r="S3792">
        <f>IF($A3792="","",$R3792&amp;"|"&amp;$Q3792)</f>
        <v/>
      </c>
      <c r="T3792">
        <f>IF($A3792="","",$S3792&amp;"|"&amp;$F3792)</f>
        <v/>
      </c>
      <c r="U3792">
        <f>IF($A3792="","",$R3792&amp;"("&amp;$E3792&amp;")")</f>
        <v/>
      </c>
      <c r="V3792">
        <f>IF($A3792="","",$F3792&amp;"|"&amp;$U3792&amp;"|"&amp;$D3792)</f>
        <v/>
      </c>
      <c r="W3792">
        <f>IF($T3792="","",IF($X3792&gt;N($X3791),$X3792,""))</f>
        <v/>
      </c>
      <c r="X3792">
        <f>IF($T3792="",N($X3791),IF(MATCH($T3792,$T$6:$T$6005,0)=ROW()-5,N($X3791)+1,N($X3791)))</f>
        <v/>
      </c>
      <c r="Z3792">
        <f>IF($V3792="","",IF($AA3792&gt;N($AA3791),$AA3792,""))</f>
        <v/>
      </c>
      <c r="AA3792">
        <f>IF($V3792="",N($AA3791),IF(MATCH($V3792,$V$6:$V$6005,0)=ROW()-5,N($AA3791)+1,N($AA3791)))</f>
        <v/>
      </c>
    </row>
    <row r="3793" ht="21" customHeight="1" s="66">
      <c r="A3793" s="56" t="n"/>
      <c r="B3793" s="57" t="n"/>
      <c r="C3793" s="57" t="n"/>
      <c r="D3793" s="57" t="n"/>
      <c r="E3793" s="56" t="n"/>
      <c r="F3793" s="57" t="n"/>
      <c r="G3793" s="57" t="n"/>
      <c r="H3793" s="56" t="n"/>
      <c r="I3793" s="56" t="n"/>
      <c r="J3793" s="58" t="n"/>
      <c r="K3793" s="58" t="n"/>
      <c r="L3793" s="13">
        <f>IF(OR($A3793="",AND($J3793="",$K3793="")),"",ROUND(N($J3793)-N($K3793),2))</f>
        <v/>
      </c>
      <c r="M3793" s="13">
        <f>IF(OR($A3793="",AND($J3793="",$K3793="")),"",MIN($J3793,$K3793))</f>
        <v/>
      </c>
      <c r="Q3793">
        <f>IF($A3793="","",$D3793&amp;"("&amp;SUBSTITUTE($E3793," ","")&amp;")")</f>
        <v/>
      </c>
      <c r="R3793">
        <f>IF($A3793="","",$B3793&amp;" - "&amp;$C3793)</f>
        <v/>
      </c>
      <c r="S3793">
        <f>IF($A3793="","",$R3793&amp;"|"&amp;$Q3793)</f>
        <v/>
      </c>
      <c r="T3793">
        <f>IF($A3793="","",$S3793&amp;"|"&amp;$F3793)</f>
        <v/>
      </c>
      <c r="U3793">
        <f>IF($A3793="","",$R3793&amp;"("&amp;$E3793&amp;")")</f>
        <v/>
      </c>
      <c r="V3793">
        <f>IF($A3793="","",$F3793&amp;"|"&amp;$U3793&amp;"|"&amp;$D3793)</f>
        <v/>
      </c>
      <c r="W3793">
        <f>IF($T3793="","",IF($X3793&gt;N($X3792),$X3793,""))</f>
        <v/>
      </c>
      <c r="X3793">
        <f>IF($T3793="",N($X3792),IF(MATCH($T3793,$T$6:$T$6005,0)=ROW()-5,N($X3792)+1,N($X3792)))</f>
        <v/>
      </c>
      <c r="Z3793">
        <f>IF($V3793="","",IF($AA3793&gt;N($AA3792),$AA3793,""))</f>
        <v/>
      </c>
      <c r="AA3793">
        <f>IF($V3793="",N($AA3792),IF(MATCH($V3793,$V$6:$V$6005,0)=ROW()-5,N($AA3792)+1,N($AA3792)))</f>
        <v/>
      </c>
    </row>
    <row r="3794" ht="21" customHeight="1" s="66">
      <c r="A3794" s="56" t="n"/>
      <c r="B3794" s="57" t="n"/>
      <c r="C3794" s="57" t="n"/>
      <c r="D3794" s="57" t="n"/>
      <c r="E3794" s="56" t="n"/>
      <c r="F3794" s="57" t="n"/>
      <c r="G3794" s="57" t="n"/>
      <c r="H3794" s="56" t="n"/>
      <c r="I3794" s="56" t="n"/>
      <c r="J3794" s="58" t="n"/>
      <c r="K3794" s="58" t="n"/>
      <c r="L3794" s="13">
        <f>IF(OR($A3794="",AND($J3794="",$K3794="")),"",ROUND(N($J3794)-N($K3794),2))</f>
        <v/>
      </c>
      <c r="M3794" s="13">
        <f>IF(OR($A3794="",AND($J3794="",$K3794="")),"",MIN($J3794,$K3794))</f>
        <v/>
      </c>
      <c r="Q3794">
        <f>IF($A3794="","",$D3794&amp;"("&amp;SUBSTITUTE($E3794," ","")&amp;")")</f>
        <v/>
      </c>
      <c r="R3794">
        <f>IF($A3794="","",$B3794&amp;" - "&amp;$C3794)</f>
        <v/>
      </c>
      <c r="S3794">
        <f>IF($A3794="","",$R3794&amp;"|"&amp;$Q3794)</f>
        <v/>
      </c>
      <c r="T3794">
        <f>IF($A3794="","",$S3794&amp;"|"&amp;$F3794)</f>
        <v/>
      </c>
      <c r="U3794">
        <f>IF($A3794="","",$R3794&amp;"("&amp;$E3794&amp;")")</f>
        <v/>
      </c>
      <c r="V3794">
        <f>IF($A3794="","",$F3794&amp;"|"&amp;$U3794&amp;"|"&amp;$D3794)</f>
        <v/>
      </c>
      <c r="W3794">
        <f>IF($T3794="","",IF($X3794&gt;N($X3793),$X3794,""))</f>
        <v/>
      </c>
      <c r="X3794">
        <f>IF($T3794="",N($X3793),IF(MATCH($T3794,$T$6:$T$6005,0)=ROW()-5,N($X3793)+1,N($X3793)))</f>
        <v/>
      </c>
      <c r="Z3794">
        <f>IF($V3794="","",IF($AA3794&gt;N($AA3793),$AA3794,""))</f>
        <v/>
      </c>
      <c r="AA3794">
        <f>IF($V3794="",N($AA3793),IF(MATCH($V3794,$V$6:$V$6005,0)=ROW()-5,N($AA3793)+1,N($AA3793)))</f>
        <v/>
      </c>
    </row>
    <row r="3795" ht="21" customHeight="1" s="66">
      <c r="A3795" s="56" t="n"/>
      <c r="B3795" s="57" t="n"/>
      <c r="C3795" s="57" t="n"/>
      <c r="D3795" s="57" t="n"/>
      <c r="E3795" s="56" t="n"/>
      <c r="F3795" s="57" t="n"/>
      <c r="G3795" s="57" t="n"/>
      <c r="H3795" s="56" t="n"/>
      <c r="I3795" s="56" t="n"/>
      <c r="J3795" s="58" t="n"/>
      <c r="K3795" s="58" t="n"/>
      <c r="L3795" s="13">
        <f>IF(OR($A3795="",AND($J3795="",$K3795="")),"",ROUND(N($J3795)-N($K3795),2))</f>
        <v/>
      </c>
      <c r="M3795" s="13">
        <f>IF(OR($A3795="",AND($J3795="",$K3795="")),"",MIN($J3795,$K3795))</f>
        <v/>
      </c>
      <c r="Q3795">
        <f>IF($A3795="","",$D3795&amp;"("&amp;SUBSTITUTE($E3795," ","")&amp;")")</f>
        <v/>
      </c>
      <c r="R3795">
        <f>IF($A3795="","",$B3795&amp;" - "&amp;$C3795)</f>
        <v/>
      </c>
      <c r="S3795">
        <f>IF($A3795="","",$R3795&amp;"|"&amp;$Q3795)</f>
        <v/>
      </c>
      <c r="T3795">
        <f>IF($A3795="","",$S3795&amp;"|"&amp;$F3795)</f>
        <v/>
      </c>
      <c r="U3795">
        <f>IF($A3795="","",$R3795&amp;"("&amp;$E3795&amp;")")</f>
        <v/>
      </c>
      <c r="V3795">
        <f>IF($A3795="","",$F3795&amp;"|"&amp;$U3795&amp;"|"&amp;$D3795)</f>
        <v/>
      </c>
      <c r="W3795">
        <f>IF($T3795="","",IF($X3795&gt;N($X3794),$X3795,""))</f>
        <v/>
      </c>
      <c r="X3795">
        <f>IF($T3795="",N($X3794),IF(MATCH($T3795,$T$6:$T$6005,0)=ROW()-5,N($X3794)+1,N($X3794)))</f>
        <v/>
      </c>
      <c r="Z3795">
        <f>IF($V3795="","",IF($AA3795&gt;N($AA3794),$AA3795,""))</f>
        <v/>
      </c>
      <c r="AA3795">
        <f>IF($V3795="",N($AA3794),IF(MATCH($V3795,$V$6:$V$6005,0)=ROW()-5,N($AA3794)+1,N($AA3794)))</f>
        <v/>
      </c>
    </row>
    <row r="3796" ht="21" customHeight="1" s="66">
      <c r="A3796" s="56" t="n"/>
      <c r="B3796" s="57" t="n"/>
      <c r="C3796" s="57" t="n"/>
      <c r="D3796" s="57" t="n"/>
      <c r="E3796" s="56" t="n"/>
      <c r="F3796" s="57" t="n"/>
      <c r="G3796" s="57" t="n"/>
      <c r="H3796" s="56" t="n"/>
      <c r="I3796" s="56" t="n"/>
      <c r="J3796" s="58" t="n"/>
      <c r="K3796" s="58" t="n"/>
      <c r="L3796" s="13">
        <f>IF(OR($A3796="",AND($J3796="",$K3796="")),"",ROUND(N($J3796)-N($K3796),2))</f>
        <v/>
      </c>
      <c r="M3796" s="13">
        <f>IF(OR($A3796="",AND($J3796="",$K3796="")),"",MIN($J3796,$K3796))</f>
        <v/>
      </c>
      <c r="Q3796">
        <f>IF($A3796="","",$D3796&amp;"("&amp;SUBSTITUTE($E3796," ","")&amp;")")</f>
        <v/>
      </c>
      <c r="R3796">
        <f>IF($A3796="","",$B3796&amp;" - "&amp;$C3796)</f>
        <v/>
      </c>
      <c r="S3796">
        <f>IF($A3796="","",$R3796&amp;"|"&amp;$Q3796)</f>
        <v/>
      </c>
      <c r="T3796">
        <f>IF($A3796="","",$S3796&amp;"|"&amp;$F3796)</f>
        <v/>
      </c>
      <c r="U3796">
        <f>IF($A3796="","",$R3796&amp;"("&amp;$E3796&amp;")")</f>
        <v/>
      </c>
      <c r="V3796">
        <f>IF($A3796="","",$F3796&amp;"|"&amp;$U3796&amp;"|"&amp;$D3796)</f>
        <v/>
      </c>
      <c r="W3796">
        <f>IF($T3796="","",IF($X3796&gt;N($X3795),$X3796,""))</f>
        <v/>
      </c>
      <c r="X3796">
        <f>IF($T3796="",N($X3795),IF(MATCH($T3796,$T$6:$T$6005,0)=ROW()-5,N($X3795)+1,N($X3795)))</f>
        <v/>
      </c>
      <c r="Z3796">
        <f>IF($V3796="","",IF($AA3796&gt;N($AA3795),$AA3796,""))</f>
        <v/>
      </c>
      <c r="AA3796">
        <f>IF($V3796="",N($AA3795),IF(MATCH($V3796,$V$6:$V$6005,0)=ROW()-5,N($AA3795)+1,N($AA3795)))</f>
        <v/>
      </c>
    </row>
    <row r="3797" ht="21" customHeight="1" s="66">
      <c r="A3797" s="56" t="n"/>
      <c r="B3797" s="57" t="n"/>
      <c r="C3797" s="57" t="n"/>
      <c r="D3797" s="57" t="n"/>
      <c r="E3797" s="56" t="n"/>
      <c r="F3797" s="57" t="n"/>
      <c r="G3797" s="57" t="n"/>
      <c r="H3797" s="56" t="n"/>
      <c r="I3797" s="56" t="n"/>
      <c r="J3797" s="58" t="n"/>
      <c r="K3797" s="58" t="n"/>
      <c r="L3797" s="13">
        <f>IF(OR($A3797="",AND($J3797="",$K3797="")),"",ROUND(N($J3797)-N($K3797),2))</f>
        <v/>
      </c>
      <c r="M3797" s="13">
        <f>IF(OR($A3797="",AND($J3797="",$K3797="")),"",MIN($J3797,$K3797))</f>
        <v/>
      </c>
      <c r="Q3797">
        <f>IF($A3797="","",$D3797&amp;"("&amp;SUBSTITUTE($E3797," ","")&amp;")")</f>
        <v/>
      </c>
      <c r="R3797">
        <f>IF($A3797="","",$B3797&amp;" - "&amp;$C3797)</f>
        <v/>
      </c>
      <c r="S3797">
        <f>IF($A3797="","",$R3797&amp;"|"&amp;$Q3797)</f>
        <v/>
      </c>
      <c r="T3797">
        <f>IF($A3797="","",$S3797&amp;"|"&amp;$F3797)</f>
        <v/>
      </c>
      <c r="U3797">
        <f>IF($A3797="","",$R3797&amp;"("&amp;$E3797&amp;")")</f>
        <v/>
      </c>
      <c r="V3797">
        <f>IF($A3797="","",$F3797&amp;"|"&amp;$U3797&amp;"|"&amp;$D3797)</f>
        <v/>
      </c>
      <c r="W3797">
        <f>IF($T3797="","",IF($X3797&gt;N($X3796),$X3797,""))</f>
        <v/>
      </c>
      <c r="X3797">
        <f>IF($T3797="",N($X3796),IF(MATCH($T3797,$T$6:$T$6005,0)=ROW()-5,N($X3796)+1,N($X3796)))</f>
        <v/>
      </c>
      <c r="Z3797">
        <f>IF($V3797="","",IF($AA3797&gt;N($AA3796),$AA3797,""))</f>
        <v/>
      </c>
      <c r="AA3797">
        <f>IF($V3797="",N($AA3796),IF(MATCH($V3797,$V$6:$V$6005,0)=ROW()-5,N($AA3796)+1,N($AA3796)))</f>
        <v/>
      </c>
    </row>
    <row r="3798" ht="21" customHeight="1" s="66">
      <c r="A3798" s="56" t="n"/>
      <c r="B3798" s="57" t="n"/>
      <c r="C3798" s="57" t="n"/>
      <c r="D3798" s="57" t="n"/>
      <c r="E3798" s="56" t="n"/>
      <c r="F3798" s="57" t="n"/>
      <c r="G3798" s="57" t="n"/>
      <c r="H3798" s="56" t="n"/>
      <c r="I3798" s="56" t="n"/>
      <c r="J3798" s="58" t="n"/>
      <c r="K3798" s="58" t="n"/>
      <c r="L3798" s="13">
        <f>IF(OR($A3798="",AND($J3798="",$K3798="")),"",ROUND(N($J3798)-N($K3798),2))</f>
        <v/>
      </c>
      <c r="M3798" s="13">
        <f>IF(OR($A3798="",AND($J3798="",$K3798="")),"",MIN($J3798,$K3798))</f>
        <v/>
      </c>
      <c r="Q3798">
        <f>IF($A3798="","",$D3798&amp;"("&amp;SUBSTITUTE($E3798," ","")&amp;")")</f>
        <v/>
      </c>
      <c r="R3798">
        <f>IF($A3798="","",$B3798&amp;" - "&amp;$C3798)</f>
        <v/>
      </c>
      <c r="S3798">
        <f>IF($A3798="","",$R3798&amp;"|"&amp;$Q3798)</f>
        <v/>
      </c>
      <c r="T3798">
        <f>IF($A3798="","",$S3798&amp;"|"&amp;$F3798)</f>
        <v/>
      </c>
      <c r="U3798">
        <f>IF($A3798="","",$R3798&amp;"("&amp;$E3798&amp;")")</f>
        <v/>
      </c>
      <c r="V3798">
        <f>IF($A3798="","",$F3798&amp;"|"&amp;$U3798&amp;"|"&amp;$D3798)</f>
        <v/>
      </c>
      <c r="W3798">
        <f>IF($T3798="","",IF($X3798&gt;N($X3797),$X3798,""))</f>
        <v/>
      </c>
      <c r="X3798">
        <f>IF($T3798="",N($X3797),IF(MATCH($T3798,$T$6:$T$6005,0)=ROW()-5,N($X3797)+1,N($X3797)))</f>
        <v/>
      </c>
      <c r="Z3798">
        <f>IF($V3798="","",IF($AA3798&gt;N($AA3797),$AA3798,""))</f>
        <v/>
      </c>
      <c r="AA3798">
        <f>IF($V3798="",N($AA3797),IF(MATCH($V3798,$V$6:$V$6005,0)=ROW()-5,N($AA3797)+1,N($AA3797)))</f>
        <v/>
      </c>
    </row>
    <row r="3799" ht="21" customHeight="1" s="66">
      <c r="A3799" s="56" t="n"/>
      <c r="B3799" s="57" t="n"/>
      <c r="C3799" s="57" t="n"/>
      <c r="D3799" s="57" t="n"/>
      <c r="E3799" s="56" t="n"/>
      <c r="F3799" s="57" t="n"/>
      <c r="G3799" s="57" t="n"/>
      <c r="H3799" s="56" t="n"/>
      <c r="I3799" s="56" t="n"/>
      <c r="J3799" s="58" t="n"/>
      <c r="K3799" s="58" t="n"/>
      <c r="L3799" s="13">
        <f>IF(OR($A3799="",AND($J3799="",$K3799="")),"",ROUND(N($J3799)-N($K3799),2))</f>
        <v/>
      </c>
      <c r="M3799" s="13">
        <f>IF(OR($A3799="",AND($J3799="",$K3799="")),"",MIN($J3799,$K3799))</f>
        <v/>
      </c>
      <c r="Q3799">
        <f>IF($A3799="","",$D3799&amp;"("&amp;SUBSTITUTE($E3799," ","")&amp;")")</f>
        <v/>
      </c>
      <c r="R3799">
        <f>IF($A3799="","",$B3799&amp;" - "&amp;$C3799)</f>
        <v/>
      </c>
      <c r="S3799">
        <f>IF($A3799="","",$R3799&amp;"|"&amp;$Q3799)</f>
        <v/>
      </c>
      <c r="T3799">
        <f>IF($A3799="","",$S3799&amp;"|"&amp;$F3799)</f>
        <v/>
      </c>
      <c r="U3799">
        <f>IF($A3799="","",$R3799&amp;"("&amp;$E3799&amp;")")</f>
        <v/>
      </c>
      <c r="V3799">
        <f>IF($A3799="","",$F3799&amp;"|"&amp;$U3799&amp;"|"&amp;$D3799)</f>
        <v/>
      </c>
      <c r="W3799">
        <f>IF($T3799="","",IF($X3799&gt;N($X3798),$X3799,""))</f>
        <v/>
      </c>
      <c r="X3799">
        <f>IF($T3799="",N($X3798),IF(MATCH($T3799,$T$6:$T$6005,0)=ROW()-5,N($X3798)+1,N($X3798)))</f>
        <v/>
      </c>
      <c r="Z3799">
        <f>IF($V3799="","",IF($AA3799&gt;N($AA3798),$AA3799,""))</f>
        <v/>
      </c>
      <c r="AA3799">
        <f>IF($V3799="",N($AA3798),IF(MATCH($V3799,$V$6:$V$6005,0)=ROW()-5,N($AA3798)+1,N($AA3798)))</f>
        <v/>
      </c>
    </row>
    <row r="3800" ht="21" customHeight="1" s="66">
      <c r="A3800" s="56" t="n"/>
      <c r="B3800" s="57" t="n"/>
      <c r="C3800" s="57" t="n"/>
      <c r="D3800" s="57" t="n"/>
      <c r="E3800" s="56" t="n"/>
      <c r="F3800" s="57" t="n"/>
      <c r="G3800" s="57" t="n"/>
      <c r="H3800" s="56" t="n"/>
      <c r="I3800" s="56" t="n"/>
      <c r="J3800" s="58" t="n"/>
      <c r="K3800" s="58" t="n"/>
      <c r="L3800" s="13">
        <f>IF(OR($A3800="",AND($J3800="",$K3800="")),"",ROUND(N($J3800)-N($K3800),2))</f>
        <v/>
      </c>
      <c r="M3800" s="13">
        <f>IF(OR($A3800="",AND($J3800="",$K3800="")),"",MIN($J3800,$K3800))</f>
        <v/>
      </c>
      <c r="Q3800">
        <f>IF($A3800="","",$D3800&amp;"("&amp;SUBSTITUTE($E3800," ","")&amp;")")</f>
        <v/>
      </c>
      <c r="R3800">
        <f>IF($A3800="","",$B3800&amp;" - "&amp;$C3800)</f>
        <v/>
      </c>
      <c r="S3800">
        <f>IF($A3800="","",$R3800&amp;"|"&amp;$Q3800)</f>
        <v/>
      </c>
      <c r="T3800">
        <f>IF($A3800="","",$S3800&amp;"|"&amp;$F3800)</f>
        <v/>
      </c>
      <c r="U3800">
        <f>IF($A3800="","",$R3800&amp;"("&amp;$E3800&amp;")")</f>
        <v/>
      </c>
      <c r="V3800">
        <f>IF($A3800="","",$F3800&amp;"|"&amp;$U3800&amp;"|"&amp;$D3800)</f>
        <v/>
      </c>
      <c r="W3800">
        <f>IF($T3800="","",IF($X3800&gt;N($X3799),$X3800,""))</f>
        <v/>
      </c>
      <c r="X3800">
        <f>IF($T3800="",N($X3799),IF(MATCH($T3800,$T$6:$T$6005,0)=ROW()-5,N($X3799)+1,N($X3799)))</f>
        <v/>
      </c>
      <c r="Z3800">
        <f>IF($V3800="","",IF($AA3800&gt;N($AA3799),$AA3800,""))</f>
        <v/>
      </c>
      <c r="AA3800">
        <f>IF($V3800="",N($AA3799),IF(MATCH($V3800,$V$6:$V$6005,0)=ROW()-5,N($AA3799)+1,N($AA3799)))</f>
        <v/>
      </c>
    </row>
    <row r="3801" ht="21" customHeight="1" s="66">
      <c r="A3801" s="56" t="n"/>
      <c r="B3801" s="57" t="n"/>
      <c r="C3801" s="57" t="n"/>
      <c r="D3801" s="57" t="n"/>
      <c r="E3801" s="56" t="n"/>
      <c r="F3801" s="57" t="n"/>
      <c r="G3801" s="57" t="n"/>
      <c r="H3801" s="56" t="n"/>
      <c r="I3801" s="56" t="n"/>
      <c r="J3801" s="58" t="n"/>
      <c r="K3801" s="58" t="n"/>
      <c r="L3801" s="13">
        <f>IF(OR($A3801="",AND($J3801="",$K3801="")),"",ROUND(N($J3801)-N($K3801),2))</f>
        <v/>
      </c>
      <c r="M3801" s="13">
        <f>IF(OR($A3801="",AND($J3801="",$K3801="")),"",MIN($J3801,$K3801))</f>
        <v/>
      </c>
      <c r="Q3801">
        <f>IF($A3801="","",$D3801&amp;"("&amp;SUBSTITUTE($E3801," ","")&amp;")")</f>
        <v/>
      </c>
      <c r="R3801">
        <f>IF($A3801="","",$B3801&amp;" - "&amp;$C3801)</f>
        <v/>
      </c>
      <c r="S3801">
        <f>IF($A3801="","",$R3801&amp;"|"&amp;$Q3801)</f>
        <v/>
      </c>
      <c r="T3801">
        <f>IF($A3801="","",$S3801&amp;"|"&amp;$F3801)</f>
        <v/>
      </c>
      <c r="U3801">
        <f>IF($A3801="","",$R3801&amp;"("&amp;$E3801&amp;")")</f>
        <v/>
      </c>
      <c r="V3801">
        <f>IF($A3801="","",$F3801&amp;"|"&amp;$U3801&amp;"|"&amp;$D3801)</f>
        <v/>
      </c>
      <c r="W3801">
        <f>IF($T3801="","",IF($X3801&gt;N($X3800),$X3801,""))</f>
        <v/>
      </c>
      <c r="X3801">
        <f>IF($T3801="",N($X3800),IF(MATCH($T3801,$T$6:$T$6005,0)=ROW()-5,N($X3800)+1,N($X3800)))</f>
        <v/>
      </c>
      <c r="Z3801">
        <f>IF($V3801="","",IF($AA3801&gt;N($AA3800),$AA3801,""))</f>
        <v/>
      </c>
      <c r="AA3801">
        <f>IF($V3801="",N($AA3800),IF(MATCH($V3801,$V$6:$V$6005,0)=ROW()-5,N($AA3800)+1,N($AA3800)))</f>
        <v/>
      </c>
    </row>
    <row r="3802" ht="21" customHeight="1" s="66">
      <c r="A3802" s="56" t="n"/>
      <c r="B3802" s="57" t="n"/>
      <c r="C3802" s="57" t="n"/>
      <c r="D3802" s="57" t="n"/>
      <c r="E3802" s="56" t="n"/>
      <c r="F3802" s="57" t="n"/>
      <c r="G3802" s="57" t="n"/>
      <c r="H3802" s="56" t="n"/>
      <c r="I3802" s="56" t="n"/>
      <c r="J3802" s="58" t="n"/>
      <c r="K3802" s="58" t="n"/>
      <c r="L3802" s="13">
        <f>IF(OR($A3802="",AND($J3802="",$K3802="")),"",ROUND(N($J3802)-N($K3802),2))</f>
        <v/>
      </c>
      <c r="M3802" s="13">
        <f>IF(OR($A3802="",AND($J3802="",$K3802="")),"",MIN($J3802,$K3802))</f>
        <v/>
      </c>
      <c r="Q3802">
        <f>IF($A3802="","",$D3802&amp;"("&amp;SUBSTITUTE($E3802," ","")&amp;")")</f>
        <v/>
      </c>
      <c r="R3802">
        <f>IF($A3802="","",$B3802&amp;" - "&amp;$C3802)</f>
        <v/>
      </c>
      <c r="S3802">
        <f>IF($A3802="","",$R3802&amp;"|"&amp;$Q3802)</f>
        <v/>
      </c>
      <c r="T3802">
        <f>IF($A3802="","",$S3802&amp;"|"&amp;$F3802)</f>
        <v/>
      </c>
      <c r="U3802">
        <f>IF($A3802="","",$R3802&amp;"("&amp;$E3802&amp;")")</f>
        <v/>
      </c>
      <c r="V3802">
        <f>IF($A3802="","",$F3802&amp;"|"&amp;$U3802&amp;"|"&amp;$D3802)</f>
        <v/>
      </c>
      <c r="W3802">
        <f>IF($T3802="","",IF($X3802&gt;N($X3801),$X3802,""))</f>
        <v/>
      </c>
      <c r="X3802">
        <f>IF($T3802="",N($X3801),IF(MATCH($T3802,$T$6:$T$6005,0)=ROW()-5,N($X3801)+1,N($X3801)))</f>
        <v/>
      </c>
      <c r="Z3802">
        <f>IF($V3802="","",IF($AA3802&gt;N($AA3801),$AA3802,""))</f>
        <v/>
      </c>
      <c r="AA3802">
        <f>IF($V3802="",N($AA3801),IF(MATCH($V3802,$V$6:$V$6005,0)=ROW()-5,N($AA3801)+1,N($AA3801)))</f>
        <v/>
      </c>
    </row>
    <row r="3803" ht="21" customHeight="1" s="66">
      <c r="A3803" s="56" t="n"/>
      <c r="B3803" s="57" t="n"/>
      <c r="C3803" s="57" t="n"/>
      <c r="D3803" s="57" t="n"/>
      <c r="E3803" s="56" t="n"/>
      <c r="F3803" s="57" t="n"/>
      <c r="G3803" s="57" t="n"/>
      <c r="H3803" s="56" t="n"/>
      <c r="I3803" s="56" t="n"/>
      <c r="J3803" s="58" t="n"/>
      <c r="K3803" s="58" t="n"/>
      <c r="L3803" s="13">
        <f>IF(OR($A3803="",AND($J3803="",$K3803="")),"",ROUND(N($J3803)-N($K3803),2))</f>
        <v/>
      </c>
      <c r="M3803" s="13">
        <f>IF(OR($A3803="",AND($J3803="",$K3803="")),"",MIN($J3803,$K3803))</f>
        <v/>
      </c>
      <c r="Q3803">
        <f>IF($A3803="","",$D3803&amp;"("&amp;SUBSTITUTE($E3803," ","")&amp;")")</f>
        <v/>
      </c>
      <c r="R3803">
        <f>IF($A3803="","",$B3803&amp;" - "&amp;$C3803)</f>
        <v/>
      </c>
      <c r="S3803">
        <f>IF($A3803="","",$R3803&amp;"|"&amp;$Q3803)</f>
        <v/>
      </c>
      <c r="T3803">
        <f>IF($A3803="","",$S3803&amp;"|"&amp;$F3803)</f>
        <v/>
      </c>
      <c r="U3803">
        <f>IF($A3803="","",$R3803&amp;"("&amp;$E3803&amp;")")</f>
        <v/>
      </c>
      <c r="V3803">
        <f>IF($A3803="","",$F3803&amp;"|"&amp;$U3803&amp;"|"&amp;$D3803)</f>
        <v/>
      </c>
      <c r="W3803">
        <f>IF($T3803="","",IF($X3803&gt;N($X3802),$X3803,""))</f>
        <v/>
      </c>
      <c r="X3803">
        <f>IF($T3803="",N($X3802),IF(MATCH($T3803,$T$6:$T$6005,0)=ROW()-5,N($X3802)+1,N($X3802)))</f>
        <v/>
      </c>
      <c r="Z3803">
        <f>IF($V3803="","",IF($AA3803&gt;N($AA3802),$AA3803,""))</f>
        <v/>
      </c>
      <c r="AA3803">
        <f>IF($V3803="",N($AA3802),IF(MATCH($V3803,$V$6:$V$6005,0)=ROW()-5,N($AA3802)+1,N($AA3802)))</f>
        <v/>
      </c>
    </row>
    <row r="3804" ht="21" customHeight="1" s="66">
      <c r="A3804" s="56" t="n"/>
      <c r="B3804" s="57" t="n"/>
      <c r="C3804" s="57" t="n"/>
      <c r="D3804" s="57" t="n"/>
      <c r="E3804" s="56" t="n"/>
      <c r="F3804" s="57" t="n"/>
      <c r="G3804" s="57" t="n"/>
      <c r="H3804" s="56" t="n"/>
      <c r="I3804" s="56" t="n"/>
      <c r="J3804" s="58" t="n"/>
      <c r="K3804" s="58" t="n"/>
      <c r="L3804" s="13">
        <f>IF(OR($A3804="",AND($J3804="",$K3804="")),"",ROUND(N($J3804)-N($K3804),2))</f>
        <v/>
      </c>
      <c r="M3804" s="13">
        <f>IF(OR($A3804="",AND($J3804="",$K3804="")),"",MIN($J3804,$K3804))</f>
        <v/>
      </c>
      <c r="Q3804">
        <f>IF($A3804="","",$D3804&amp;"("&amp;SUBSTITUTE($E3804," ","")&amp;")")</f>
        <v/>
      </c>
      <c r="R3804">
        <f>IF($A3804="","",$B3804&amp;" - "&amp;$C3804)</f>
        <v/>
      </c>
      <c r="S3804">
        <f>IF($A3804="","",$R3804&amp;"|"&amp;$Q3804)</f>
        <v/>
      </c>
      <c r="T3804">
        <f>IF($A3804="","",$S3804&amp;"|"&amp;$F3804)</f>
        <v/>
      </c>
      <c r="U3804">
        <f>IF($A3804="","",$R3804&amp;"("&amp;$E3804&amp;")")</f>
        <v/>
      </c>
      <c r="V3804">
        <f>IF($A3804="","",$F3804&amp;"|"&amp;$U3804&amp;"|"&amp;$D3804)</f>
        <v/>
      </c>
      <c r="W3804">
        <f>IF($T3804="","",IF($X3804&gt;N($X3803),$X3804,""))</f>
        <v/>
      </c>
      <c r="X3804">
        <f>IF($T3804="",N($X3803),IF(MATCH($T3804,$T$6:$T$6005,0)=ROW()-5,N($X3803)+1,N($X3803)))</f>
        <v/>
      </c>
      <c r="Z3804">
        <f>IF($V3804="","",IF($AA3804&gt;N($AA3803),$AA3804,""))</f>
        <v/>
      </c>
      <c r="AA3804">
        <f>IF($V3804="",N($AA3803),IF(MATCH($V3804,$V$6:$V$6005,0)=ROW()-5,N($AA3803)+1,N($AA3803)))</f>
        <v/>
      </c>
    </row>
    <row r="3805" ht="21" customHeight="1" s="66">
      <c r="A3805" s="56" t="n"/>
      <c r="B3805" s="57" t="n"/>
      <c r="C3805" s="57" t="n"/>
      <c r="D3805" s="57" t="n"/>
      <c r="E3805" s="56" t="n"/>
      <c r="F3805" s="57" t="n"/>
      <c r="G3805" s="57" t="n"/>
      <c r="H3805" s="56" t="n"/>
      <c r="I3805" s="56" t="n"/>
      <c r="J3805" s="58" t="n"/>
      <c r="K3805" s="58" t="n"/>
      <c r="L3805" s="13">
        <f>IF(OR($A3805="",AND($J3805="",$K3805="")),"",ROUND(N($J3805)-N($K3805),2))</f>
        <v/>
      </c>
      <c r="M3805" s="13">
        <f>IF(OR($A3805="",AND($J3805="",$K3805="")),"",MIN($J3805,$K3805))</f>
        <v/>
      </c>
      <c r="Q3805">
        <f>IF($A3805="","",$D3805&amp;"("&amp;SUBSTITUTE($E3805," ","")&amp;")")</f>
        <v/>
      </c>
      <c r="R3805">
        <f>IF($A3805="","",$B3805&amp;" - "&amp;$C3805)</f>
        <v/>
      </c>
      <c r="S3805">
        <f>IF($A3805="","",$R3805&amp;"|"&amp;$Q3805)</f>
        <v/>
      </c>
      <c r="T3805">
        <f>IF($A3805="","",$S3805&amp;"|"&amp;$F3805)</f>
        <v/>
      </c>
      <c r="U3805">
        <f>IF($A3805="","",$R3805&amp;"("&amp;$E3805&amp;")")</f>
        <v/>
      </c>
      <c r="V3805">
        <f>IF($A3805="","",$F3805&amp;"|"&amp;$U3805&amp;"|"&amp;$D3805)</f>
        <v/>
      </c>
      <c r="W3805">
        <f>IF($T3805="","",IF($X3805&gt;N($X3804),$X3805,""))</f>
        <v/>
      </c>
      <c r="X3805">
        <f>IF($T3805="",N($X3804),IF(MATCH($T3805,$T$6:$T$6005,0)=ROW()-5,N($X3804)+1,N($X3804)))</f>
        <v/>
      </c>
      <c r="Z3805">
        <f>IF($V3805="","",IF($AA3805&gt;N($AA3804),$AA3805,""))</f>
        <v/>
      </c>
      <c r="AA3805">
        <f>IF($V3805="",N($AA3804),IF(MATCH($V3805,$V$6:$V$6005,0)=ROW()-5,N($AA3804)+1,N($AA3804)))</f>
        <v/>
      </c>
    </row>
    <row r="3806" ht="21" customHeight="1" s="66">
      <c r="A3806" s="56" t="n"/>
      <c r="B3806" s="57" t="n"/>
      <c r="C3806" s="57" t="n"/>
      <c r="D3806" s="57" t="n"/>
      <c r="E3806" s="56" t="n"/>
      <c r="F3806" s="57" t="n"/>
      <c r="G3806" s="57" t="n"/>
      <c r="H3806" s="56" t="n"/>
      <c r="I3806" s="56" t="n"/>
      <c r="J3806" s="58" t="n"/>
      <c r="K3806" s="58" t="n"/>
      <c r="L3806" s="13">
        <f>IF(OR($A3806="",AND($J3806="",$K3806="")),"",ROUND(N($J3806)-N($K3806),2))</f>
        <v/>
      </c>
      <c r="M3806" s="13">
        <f>IF(OR($A3806="",AND($J3806="",$K3806="")),"",MIN($J3806,$K3806))</f>
        <v/>
      </c>
      <c r="Q3806">
        <f>IF($A3806="","",$D3806&amp;"("&amp;SUBSTITUTE($E3806," ","")&amp;")")</f>
        <v/>
      </c>
      <c r="R3806">
        <f>IF($A3806="","",$B3806&amp;" - "&amp;$C3806)</f>
        <v/>
      </c>
      <c r="S3806">
        <f>IF($A3806="","",$R3806&amp;"|"&amp;$Q3806)</f>
        <v/>
      </c>
      <c r="T3806">
        <f>IF($A3806="","",$S3806&amp;"|"&amp;$F3806)</f>
        <v/>
      </c>
      <c r="U3806">
        <f>IF($A3806="","",$R3806&amp;"("&amp;$E3806&amp;")")</f>
        <v/>
      </c>
      <c r="V3806">
        <f>IF($A3806="","",$F3806&amp;"|"&amp;$U3806&amp;"|"&amp;$D3806)</f>
        <v/>
      </c>
      <c r="W3806">
        <f>IF($T3806="","",IF($X3806&gt;N($X3805),$X3806,""))</f>
        <v/>
      </c>
      <c r="X3806">
        <f>IF($T3806="",N($X3805),IF(MATCH($T3806,$T$6:$T$6005,0)=ROW()-5,N($X3805)+1,N($X3805)))</f>
        <v/>
      </c>
      <c r="Z3806">
        <f>IF($V3806="","",IF($AA3806&gt;N($AA3805),$AA3806,""))</f>
        <v/>
      </c>
      <c r="AA3806">
        <f>IF($V3806="",N($AA3805),IF(MATCH($V3806,$V$6:$V$6005,0)=ROW()-5,N($AA3805)+1,N($AA3805)))</f>
        <v/>
      </c>
    </row>
    <row r="3807" ht="21" customHeight="1" s="66">
      <c r="A3807" s="56" t="n"/>
      <c r="B3807" s="57" t="n"/>
      <c r="C3807" s="57" t="n"/>
      <c r="D3807" s="57" t="n"/>
      <c r="E3807" s="56" t="n"/>
      <c r="F3807" s="57" t="n"/>
      <c r="G3807" s="57" t="n"/>
      <c r="H3807" s="56" t="n"/>
      <c r="I3807" s="56" t="n"/>
      <c r="J3807" s="58" t="n"/>
      <c r="K3807" s="58" t="n"/>
      <c r="L3807" s="13">
        <f>IF(OR($A3807="",AND($J3807="",$K3807="")),"",ROUND(N($J3807)-N($K3807),2))</f>
        <v/>
      </c>
      <c r="M3807" s="13">
        <f>IF(OR($A3807="",AND($J3807="",$K3807="")),"",MIN($J3807,$K3807))</f>
        <v/>
      </c>
      <c r="Q3807">
        <f>IF($A3807="","",$D3807&amp;"("&amp;SUBSTITUTE($E3807," ","")&amp;")")</f>
        <v/>
      </c>
      <c r="R3807">
        <f>IF($A3807="","",$B3807&amp;" - "&amp;$C3807)</f>
        <v/>
      </c>
      <c r="S3807">
        <f>IF($A3807="","",$R3807&amp;"|"&amp;$Q3807)</f>
        <v/>
      </c>
      <c r="T3807">
        <f>IF($A3807="","",$S3807&amp;"|"&amp;$F3807)</f>
        <v/>
      </c>
      <c r="U3807">
        <f>IF($A3807="","",$R3807&amp;"("&amp;$E3807&amp;")")</f>
        <v/>
      </c>
      <c r="V3807">
        <f>IF($A3807="","",$F3807&amp;"|"&amp;$U3807&amp;"|"&amp;$D3807)</f>
        <v/>
      </c>
      <c r="W3807">
        <f>IF($T3807="","",IF($X3807&gt;N($X3806),$X3807,""))</f>
        <v/>
      </c>
      <c r="X3807">
        <f>IF($T3807="",N($X3806),IF(MATCH($T3807,$T$6:$T$6005,0)=ROW()-5,N($X3806)+1,N($X3806)))</f>
        <v/>
      </c>
      <c r="Z3807">
        <f>IF($V3807="","",IF($AA3807&gt;N($AA3806),$AA3807,""))</f>
        <v/>
      </c>
      <c r="AA3807">
        <f>IF($V3807="",N($AA3806),IF(MATCH($V3807,$V$6:$V$6005,0)=ROW()-5,N($AA3806)+1,N($AA3806)))</f>
        <v/>
      </c>
    </row>
    <row r="3808" ht="21" customHeight="1" s="66">
      <c r="A3808" s="56" t="n"/>
      <c r="B3808" s="57" t="n"/>
      <c r="C3808" s="57" t="n"/>
      <c r="D3808" s="57" t="n"/>
      <c r="E3808" s="56" t="n"/>
      <c r="F3808" s="57" t="n"/>
      <c r="G3808" s="57" t="n"/>
      <c r="H3808" s="56" t="n"/>
      <c r="I3808" s="56" t="n"/>
      <c r="J3808" s="58" t="n"/>
      <c r="K3808" s="58" t="n"/>
      <c r="L3808" s="13">
        <f>IF(OR($A3808="",AND($J3808="",$K3808="")),"",ROUND(N($J3808)-N($K3808),2))</f>
        <v/>
      </c>
      <c r="M3808" s="13">
        <f>IF(OR($A3808="",AND($J3808="",$K3808="")),"",MIN($J3808,$K3808))</f>
        <v/>
      </c>
      <c r="Q3808">
        <f>IF($A3808="","",$D3808&amp;"("&amp;SUBSTITUTE($E3808," ","")&amp;")")</f>
        <v/>
      </c>
      <c r="R3808">
        <f>IF($A3808="","",$B3808&amp;" - "&amp;$C3808)</f>
        <v/>
      </c>
      <c r="S3808">
        <f>IF($A3808="","",$R3808&amp;"|"&amp;$Q3808)</f>
        <v/>
      </c>
      <c r="T3808">
        <f>IF($A3808="","",$S3808&amp;"|"&amp;$F3808)</f>
        <v/>
      </c>
      <c r="U3808">
        <f>IF($A3808="","",$R3808&amp;"("&amp;$E3808&amp;")")</f>
        <v/>
      </c>
      <c r="V3808">
        <f>IF($A3808="","",$F3808&amp;"|"&amp;$U3808&amp;"|"&amp;$D3808)</f>
        <v/>
      </c>
      <c r="W3808">
        <f>IF($T3808="","",IF($X3808&gt;N($X3807),$X3808,""))</f>
        <v/>
      </c>
      <c r="X3808">
        <f>IF($T3808="",N($X3807),IF(MATCH($T3808,$T$6:$T$6005,0)=ROW()-5,N($X3807)+1,N($X3807)))</f>
        <v/>
      </c>
      <c r="Z3808">
        <f>IF($V3808="","",IF($AA3808&gt;N($AA3807),$AA3808,""))</f>
        <v/>
      </c>
      <c r="AA3808">
        <f>IF($V3808="",N($AA3807),IF(MATCH($V3808,$V$6:$V$6005,0)=ROW()-5,N($AA3807)+1,N($AA3807)))</f>
        <v/>
      </c>
    </row>
    <row r="3809" ht="21" customHeight="1" s="66">
      <c r="A3809" s="56" t="n"/>
      <c r="B3809" s="57" t="n"/>
      <c r="C3809" s="57" t="n"/>
      <c r="D3809" s="57" t="n"/>
      <c r="E3809" s="56" t="n"/>
      <c r="F3809" s="57" t="n"/>
      <c r="G3809" s="57" t="n"/>
      <c r="H3809" s="56" t="n"/>
      <c r="I3809" s="56" t="n"/>
      <c r="J3809" s="58" t="n"/>
      <c r="K3809" s="58" t="n"/>
      <c r="L3809" s="13">
        <f>IF(OR($A3809="",AND($J3809="",$K3809="")),"",ROUND(N($J3809)-N($K3809),2))</f>
        <v/>
      </c>
      <c r="M3809" s="13">
        <f>IF(OR($A3809="",AND($J3809="",$K3809="")),"",MIN($J3809,$K3809))</f>
        <v/>
      </c>
      <c r="Q3809">
        <f>IF($A3809="","",$D3809&amp;"("&amp;SUBSTITUTE($E3809," ","")&amp;")")</f>
        <v/>
      </c>
      <c r="R3809">
        <f>IF($A3809="","",$B3809&amp;" - "&amp;$C3809)</f>
        <v/>
      </c>
      <c r="S3809">
        <f>IF($A3809="","",$R3809&amp;"|"&amp;$Q3809)</f>
        <v/>
      </c>
      <c r="T3809">
        <f>IF($A3809="","",$S3809&amp;"|"&amp;$F3809)</f>
        <v/>
      </c>
      <c r="U3809">
        <f>IF($A3809="","",$R3809&amp;"("&amp;$E3809&amp;")")</f>
        <v/>
      </c>
      <c r="V3809">
        <f>IF($A3809="","",$F3809&amp;"|"&amp;$U3809&amp;"|"&amp;$D3809)</f>
        <v/>
      </c>
      <c r="W3809">
        <f>IF($T3809="","",IF($X3809&gt;N($X3808),$X3809,""))</f>
        <v/>
      </c>
      <c r="X3809">
        <f>IF($T3809="",N($X3808),IF(MATCH($T3809,$T$6:$T$6005,0)=ROW()-5,N($X3808)+1,N($X3808)))</f>
        <v/>
      </c>
      <c r="Z3809">
        <f>IF($V3809="","",IF($AA3809&gt;N($AA3808),$AA3809,""))</f>
        <v/>
      </c>
      <c r="AA3809">
        <f>IF($V3809="",N($AA3808),IF(MATCH($V3809,$V$6:$V$6005,0)=ROW()-5,N($AA3808)+1,N($AA3808)))</f>
        <v/>
      </c>
    </row>
    <row r="3810" ht="21" customHeight="1" s="66">
      <c r="A3810" s="56" t="n"/>
      <c r="B3810" s="57" t="n"/>
      <c r="C3810" s="57" t="n"/>
      <c r="D3810" s="57" t="n"/>
      <c r="E3810" s="56" t="n"/>
      <c r="F3810" s="57" t="n"/>
      <c r="G3810" s="57" t="n"/>
      <c r="H3810" s="56" t="n"/>
      <c r="I3810" s="56" t="n"/>
      <c r="J3810" s="58" t="n"/>
      <c r="K3810" s="58" t="n"/>
      <c r="L3810" s="13">
        <f>IF(OR($A3810="",AND($J3810="",$K3810="")),"",ROUND(N($J3810)-N($K3810),2))</f>
        <v/>
      </c>
      <c r="M3810" s="13">
        <f>IF(OR($A3810="",AND($J3810="",$K3810="")),"",MIN($J3810,$K3810))</f>
        <v/>
      </c>
      <c r="Q3810">
        <f>IF($A3810="","",$D3810&amp;"("&amp;SUBSTITUTE($E3810," ","")&amp;")")</f>
        <v/>
      </c>
      <c r="R3810">
        <f>IF($A3810="","",$B3810&amp;" - "&amp;$C3810)</f>
        <v/>
      </c>
      <c r="S3810">
        <f>IF($A3810="","",$R3810&amp;"|"&amp;$Q3810)</f>
        <v/>
      </c>
      <c r="T3810">
        <f>IF($A3810="","",$S3810&amp;"|"&amp;$F3810)</f>
        <v/>
      </c>
      <c r="U3810">
        <f>IF($A3810="","",$R3810&amp;"("&amp;$E3810&amp;")")</f>
        <v/>
      </c>
      <c r="V3810">
        <f>IF($A3810="","",$F3810&amp;"|"&amp;$U3810&amp;"|"&amp;$D3810)</f>
        <v/>
      </c>
      <c r="W3810">
        <f>IF($T3810="","",IF($X3810&gt;N($X3809),$X3810,""))</f>
        <v/>
      </c>
      <c r="X3810">
        <f>IF($T3810="",N($X3809),IF(MATCH($T3810,$T$6:$T$6005,0)=ROW()-5,N($X3809)+1,N($X3809)))</f>
        <v/>
      </c>
      <c r="Z3810">
        <f>IF($V3810="","",IF($AA3810&gt;N($AA3809),$AA3810,""))</f>
        <v/>
      </c>
      <c r="AA3810">
        <f>IF($V3810="",N($AA3809),IF(MATCH($V3810,$V$6:$V$6005,0)=ROW()-5,N($AA3809)+1,N($AA3809)))</f>
        <v/>
      </c>
    </row>
    <row r="3811" ht="21" customHeight="1" s="66">
      <c r="A3811" s="56" t="n"/>
      <c r="B3811" s="57" t="n"/>
      <c r="C3811" s="57" t="n"/>
      <c r="D3811" s="57" t="n"/>
      <c r="E3811" s="56" t="n"/>
      <c r="F3811" s="57" t="n"/>
      <c r="G3811" s="57" t="n"/>
      <c r="H3811" s="56" t="n"/>
      <c r="I3811" s="56" t="n"/>
      <c r="J3811" s="58" t="n"/>
      <c r="K3811" s="58" t="n"/>
      <c r="L3811" s="13">
        <f>IF(OR($A3811="",AND($J3811="",$K3811="")),"",ROUND(N($J3811)-N($K3811),2))</f>
        <v/>
      </c>
      <c r="M3811" s="13">
        <f>IF(OR($A3811="",AND($J3811="",$K3811="")),"",MIN($J3811,$K3811))</f>
        <v/>
      </c>
      <c r="Q3811">
        <f>IF($A3811="","",$D3811&amp;"("&amp;SUBSTITUTE($E3811," ","")&amp;")")</f>
        <v/>
      </c>
      <c r="R3811">
        <f>IF($A3811="","",$B3811&amp;" - "&amp;$C3811)</f>
        <v/>
      </c>
      <c r="S3811">
        <f>IF($A3811="","",$R3811&amp;"|"&amp;$Q3811)</f>
        <v/>
      </c>
      <c r="T3811">
        <f>IF($A3811="","",$S3811&amp;"|"&amp;$F3811)</f>
        <v/>
      </c>
      <c r="U3811">
        <f>IF($A3811="","",$R3811&amp;"("&amp;$E3811&amp;")")</f>
        <v/>
      </c>
      <c r="V3811">
        <f>IF($A3811="","",$F3811&amp;"|"&amp;$U3811&amp;"|"&amp;$D3811)</f>
        <v/>
      </c>
      <c r="W3811">
        <f>IF($T3811="","",IF($X3811&gt;N($X3810),$X3811,""))</f>
        <v/>
      </c>
      <c r="X3811">
        <f>IF($T3811="",N($X3810),IF(MATCH($T3811,$T$6:$T$6005,0)=ROW()-5,N($X3810)+1,N($X3810)))</f>
        <v/>
      </c>
      <c r="Z3811">
        <f>IF($V3811="","",IF($AA3811&gt;N($AA3810),$AA3811,""))</f>
        <v/>
      </c>
      <c r="AA3811">
        <f>IF($V3811="",N($AA3810),IF(MATCH($V3811,$V$6:$V$6005,0)=ROW()-5,N($AA3810)+1,N($AA3810)))</f>
        <v/>
      </c>
    </row>
    <row r="3812" ht="21" customHeight="1" s="66">
      <c r="A3812" s="56" t="n"/>
      <c r="B3812" s="57" t="n"/>
      <c r="C3812" s="57" t="n"/>
      <c r="D3812" s="57" t="n"/>
      <c r="E3812" s="56" t="n"/>
      <c r="F3812" s="57" t="n"/>
      <c r="G3812" s="57" t="n"/>
      <c r="H3812" s="56" t="n"/>
      <c r="I3812" s="56" t="n"/>
      <c r="J3812" s="58" t="n"/>
      <c r="K3812" s="58" t="n"/>
      <c r="L3812" s="13">
        <f>IF(OR($A3812="",AND($J3812="",$K3812="")),"",ROUND(N($J3812)-N($K3812),2))</f>
        <v/>
      </c>
      <c r="M3812" s="13">
        <f>IF(OR($A3812="",AND($J3812="",$K3812="")),"",MIN($J3812,$K3812))</f>
        <v/>
      </c>
      <c r="Q3812">
        <f>IF($A3812="","",$D3812&amp;"("&amp;SUBSTITUTE($E3812," ","")&amp;")")</f>
        <v/>
      </c>
      <c r="R3812">
        <f>IF($A3812="","",$B3812&amp;" - "&amp;$C3812)</f>
        <v/>
      </c>
      <c r="S3812">
        <f>IF($A3812="","",$R3812&amp;"|"&amp;$Q3812)</f>
        <v/>
      </c>
      <c r="T3812">
        <f>IF($A3812="","",$S3812&amp;"|"&amp;$F3812)</f>
        <v/>
      </c>
      <c r="U3812">
        <f>IF($A3812="","",$R3812&amp;"("&amp;$E3812&amp;")")</f>
        <v/>
      </c>
      <c r="V3812">
        <f>IF($A3812="","",$F3812&amp;"|"&amp;$U3812&amp;"|"&amp;$D3812)</f>
        <v/>
      </c>
      <c r="W3812">
        <f>IF($T3812="","",IF($X3812&gt;N($X3811),$X3812,""))</f>
        <v/>
      </c>
      <c r="X3812">
        <f>IF($T3812="",N($X3811),IF(MATCH($T3812,$T$6:$T$6005,0)=ROW()-5,N($X3811)+1,N($X3811)))</f>
        <v/>
      </c>
      <c r="Z3812">
        <f>IF($V3812="","",IF($AA3812&gt;N($AA3811),$AA3812,""))</f>
        <v/>
      </c>
      <c r="AA3812">
        <f>IF($V3812="",N($AA3811),IF(MATCH($V3812,$V$6:$V$6005,0)=ROW()-5,N($AA3811)+1,N($AA3811)))</f>
        <v/>
      </c>
    </row>
    <row r="3813" ht="21" customHeight="1" s="66">
      <c r="A3813" s="56" t="n"/>
      <c r="B3813" s="57" t="n"/>
      <c r="C3813" s="57" t="n"/>
      <c r="D3813" s="57" t="n"/>
      <c r="E3813" s="56" t="n"/>
      <c r="F3813" s="57" t="n"/>
      <c r="G3813" s="57" t="n"/>
      <c r="H3813" s="56" t="n"/>
      <c r="I3813" s="56" t="n"/>
      <c r="J3813" s="58" t="n"/>
      <c r="K3813" s="58" t="n"/>
      <c r="L3813" s="13">
        <f>IF(OR($A3813="",AND($J3813="",$K3813="")),"",ROUND(N($J3813)-N($K3813),2))</f>
        <v/>
      </c>
      <c r="M3813" s="13">
        <f>IF(OR($A3813="",AND($J3813="",$K3813="")),"",MIN($J3813,$K3813))</f>
        <v/>
      </c>
      <c r="Q3813">
        <f>IF($A3813="","",$D3813&amp;"("&amp;SUBSTITUTE($E3813," ","")&amp;")")</f>
        <v/>
      </c>
      <c r="R3813">
        <f>IF($A3813="","",$B3813&amp;" - "&amp;$C3813)</f>
        <v/>
      </c>
      <c r="S3813">
        <f>IF($A3813="","",$R3813&amp;"|"&amp;$Q3813)</f>
        <v/>
      </c>
      <c r="T3813">
        <f>IF($A3813="","",$S3813&amp;"|"&amp;$F3813)</f>
        <v/>
      </c>
      <c r="U3813">
        <f>IF($A3813="","",$R3813&amp;"("&amp;$E3813&amp;")")</f>
        <v/>
      </c>
      <c r="V3813">
        <f>IF($A3813="","",$F3813&amp;"|"&amp;$U3813&amp;"|"&amp;$D3813)</f>
        <v/>
      </c>
      <c r="W3813">
        <f>IF($T3813="","",IF($X3813&gt;N($X3812),$X3813,""))</f>
        <v/>
      </c>
      <c r="X3813">
        <f>IF($T3813="",N($X3812),IF(MATCH($T3813,$T$6:$T$6005,0)=ROW()-5,N($X3812)+1,N($X3812)))</f>
        <v/>
      </c>
      <c r="Z3813">
        <f>IF($V3813="","",IF($AA3813&gt;N($AA3812),$AA3813,""))</f>
        <v/>
      </c>
      <c r="AA3813">
        <f>IF($V3813="",N($AA3812),IF(MATCH($V3813,$V$6:$V$6005,0)=ROW()-5,N($AA3812)+1,N($AA3812)))</f>
        <v/>
      </c>
    </row>
    <row r="3814" ht="21" customHeight="1" s="66">
      <c r="A3814" s="56" t="n"/>
      <c r="B3814" s="57" t="n"/>
      <c r="C3814" s="57" t="n"/>
      <c r="D3814" s="57" t="n"/>
      <c r="E3814" s="56" t="n"/>
      <c r="F3814" s="57" t="n"/>
      <c r="G3814" s="57" t="n"/>
      <c r="H3814" s="56" t="n"/>
      <c r="I3814" s="56" t="n"/>
      <c r="J3814" s="58" t="n"/>
      <c r="K3814" s="58" t="n"/>
      <c r="L3814" s="13">
        <f>IF(OR($A3814="",AND($J3814="",$K3814="")),"",ROUND(N($J3814)-N($K3814),2))</f>
        <v/>
      </c>
      <c r="M3814" s="13">
        <f>IF(OR($A3814="",AND($J3814="",$K3814="")),"",MIN($J3814,$K3814))</f>
        <v/>
      </c>
      <c r="Q3814">
        <f>IF($A3814="","",$D3814&amp;"("&amp;SUBSTITUTE($E3814," ","")&amp;")")</f>
        <v/>
      </c>
      <c r="R3814">
        <f>IF($A3814="","",$B3814&amp;" - "&amp;$C3814)</f>
        <v/>
      </c>
      <c r="S3814">
        <f>IF($A3814="","",$R3814&amp;"|"&amp;$Q3814)</f>
        <v/>
      </c>
      <c r="T3814">
        <f>IF($A3814="","",$S3814&amp;"|"&amp;$F3814)</f>
        <v/>
      </c>
      <c r="U3814">
        <f>IF($A3814="","",$R3814&amp;"("&amp;$E3814&amp;")")</f>
        <v/>
      </c>
      <c r="V3814">
        <f>IF($A3814="","",$F3814&amp;"|"&amp;$U3814&amp;"|"&amp;$D3814)</f>
        <v/>
      </c>
      <c r="W3814">
        <f>IF($T3814="","",IF($X3814&gt;N($X3813),$X3814,""))</f>
        <v/>
      </c>
      <c r="X3814">
        <f>IF($T3814="",N($X3813),IF(MATCH($T3814,$T$6:$T$6005,0)=ROW()-5,N($X3813)+1,N($X3813)))</f>
        <v/>
      </c>
      <c r="Z3814">
        <f>IF($V3814="","",IF($AA3814&gt;N($AA3813),$AA3814,""))</f>
        <v/>
      </c>
      <c r="AA3814">
        <f>IF($V3814="",N($AA3813),IF(MATCH($V3814,$V$6:$V$6005,0)=ROW()-5,N($AA3813)+1,N($AA3813)))</f>
        <v/>
      </c>
    </row>
    <row r="3815" ht="21" customHeight="1" s="66">
      <c r="A3815" s="56" t="n"/>
      <c r="B3815" s="57" t="n"/>
      <c r="C3815" s="57" t="n"/>
      <c r="D3815" s="57" t="n"/>
      <c r="E3815" s="56" t="n"/>
      <c r="F3815" s="57" t="n"/>
      <c r="G3815" s="57" t="n"/>
      <c r="H3815" s="56" t="n"/>
      <c r="I3815" s="56" t="n"/>
      <c r="J3815" s="58" t="n"/>
      <c r="K3815" s="58" t="n"/>
      <c r="L3815" s="13">
        <f>IF(OR($A3815="",AND($J3815="",$K3815="")),"",ROUND(N($J3815)-N($K3815),2))</f>
        <v/>
      </c>
      <c r="M3815" s="13">
        <f>IF(OR($A3815="",AND($J3815="",$K3815="")),"",MIN($J3815,$K3815))</f>
        <v/>
      </c>
      <c r="Q3815">
        <f>IF($A3815="","",$D3815&amp;"("&amp;SUBSTITUTE($E3815," ","")&amp;")")</f>
        <v/>
      </c>
      <c r="R3815">
        <f>IF($A3815="","",$B3815&amp;" - "&amp;$C3815)</f>
        <v/>
      </c>
      <c r="S3815">
        <f>IF($A3815="","",$R3815&amp;"|"&amp;$Q3815)</f>
        <v/>
      </c>
      <c r="T3815">
        <f>IF($A3815="","",$S3815&amp;"|"&amp;$F3815)</f>
        <v/>
      </c>
      <c r="U3815">
        <f>IF($A3815="","",$R3815&amp;"("&amp;$E3815&amp;")")</f>
        <v/>
      </c>
      <c r="V3815">
        <f>IF($A3815="","",$F3815&amp;"|"&amp;$U3815&amp;"|"&amp;$D3815)</f>
        <v/>
      </c>
      <c r="W3815">
        <f>IF($T3815="","",IF($X3815&gt;N($X3814),$X3815,""))</f>
        <v/>
      </c>
      <c r="X3815">
        <f>IF($T3815="",N($X3814),IF(MATCH($T3815,$T$6:$T$6005,0)=ROW()-5,N($X3814)+1,N($X3814)))</f>
        <v/>
      </c>
      <c r="Z3815">
        <f>IF($V3815="","",IF($AA3815&gt;N($AA3814),$AA3815,""))</f>
        <v/>
      </c>
      <c r="AA3815">
        <f>IF($V3815="",N($AA3814),IF(MATCH($V3815,$V$6:$V$6005,0)=ROW()-5,N($AA3814)+1,N($AA3814)))</f>
        <v/>
      </c>
    </row>
    <row r="3816" ht="21" customHeight="1" s="66">
      <c r="A3816" s="56" t="n"/>
      <c r="B3816" s="57" t="n"/>
      <c r="C3816" s="57" t="n"/>
      <c r="D3816" s="57" t="n"/>
      <c r="E3816" s="56" t="n"/>
      <c r="F3816" s="57" t="n"/>
      <c r="G3816" s="57" t="n"/>
      <c r="H3816" s="56" t="n"/>
      <c r="I3816" s="56" t="n"/>
      <c r="J3816" s="58" t="n"/>
      <c r="K3816" s="58" t="n"/>
      <c r="L3816" s="13">
        <f>IF(OR($A3816="",AND($J3816="",$K3816="")),"",ROUND(N($J3816)-N($K3816),2))</f>
        <v/>
      </c>
      <c r="M3816" s="13">
        <f>IF(OR($A3816="",AND($J3816="",$K3816="")),"",MIN($J3816,$K3816))</f>
        <v/>
      </c>
      <c r="Q3816">
        <f>IF($A3816="","",$D3816&amp;"("&amp;SUBSTITUTE($E3816," ","")&amp;")")</f>
        <v/>
      </c>
      <c r="R3816">
        <f>IF($A3816="","",$B3816&amp;" - "&amp;$C3816)</f>
        <v/>
      </c>
      <c r="S3816">
        <f>IF($A3816="","",$R3816&amp;"|"&amp;$Q3816)</f>
        <v/>
      </c>
      <c r="T3816">
        <f>IF($A3816="","",$S3816&amp;"|"&amp;$F3816)</f>
        <v/>
      </c>
      <c r="U3816">
        <f>IF($A3816="","",$R3816&amp;"("&amp;$E3816&amp;")")</f>
        <v/>
      </c>
      <c r="V3816">
        <f>IF($A3816="","",$F3816&amp;"|"&amp;$U3816&amp;"|"&amp;$D3816)</f>
        <v/>
      </c>
      <c r="W3816">
        <f>IF($T3816="","",IF($X3816&gt;N($X3815),$X3816,""))</f>
        <v/>
      </c>
      <c r="X3816">
        <f>IF($T3816="",N($X3815),IF(MATCH($T3816,$T$6:$T$6005,0)=ROW()-5,N($X3815)+1,N($X3815)))</f>
        <v/>
      </c>
      <c r="Z3816">
        <f>IF($V3816="","",IF($AA3816&gt;N($AA3815),$AA3816,""))</f>
        <v/>
      </c>
      <c r="AA3816">
        <f>IF($V3816="",N($AA3815),IF(MATCH($V3816,$V$6:$V$6005,0)=ROW()-5,N($AA3815)+1,N($AA3815)))</f>
        <v/>
      </c>
    </row>
    <row r="3817" ht="21" customHeight="1" s="66">
      <c r="A3817" s="56" t="n"/>
      <c r="B3817" s="57" t="n"/>
      <c r="C3817" s="57" t="n"/>
      <c r="D3817" s="57" t="n"/>
      <c r="E3817" s="56" t="n"/>
      <c r="F3817" s="57" t="n"/>
      <c r="G3817" s="57" t="n"/>
      <c r="H3817" s="56" t="n"/>
      <c r="I3817" s="56" t="n"/>
      <c r="J3817" s="58" t="n"/>
      <c r="K3817" s="58" t="n"/>
      <c r="L3817" s="13">
        <f>IF(OR($A3817="",AND($J3817="",$K3817="")),"",ROUND(N($J3817)-N($K3817),2))</f>
        <v/>
      </c>
      <c r="M3817" s="13">
        <f>IF(OR($A3817="",AND($J3817="",$K3817="")),"",MIN($J3817,$K3817))</f>
        <v/>
      </c>
      <c r="Q3817">
        <f>IF($A3817="","",$D3817&amp;"("&amp;SUBSTITUTE($E3817," ","")&amp;")")</f>
        <v/>
      </c>
      <c r="R3817">
        <f>IF($A3817="","",$B3817&amp;" - "&amp;$C3817)</f>
        <v/>
      </c>
      <c r="S3817">
        <f>IF($A3817="","",$R3817&amp;"|"&amp;$Q3817)</f>
        <v/>
      </c>
      <c r="T3817">
        <f>IF($A3817="","",$S3817&amp;"|"&amp;$F3817)</f>
        <v/>
      </c>
      <c r="U3817">
        <f>IF($A3817="","",$R3817&amp;"("&amp;$E3817&amp;")")</f>
        <v/>
      </c>
      <c r="V3817">
        <f>IF($A3817="","",$F3817&amp;"|"&amp;$U3817&amp;"|"&amp;$D3817)</f>
        <v/>
      </c>
      <c r="W3817">
        <f>IF($T3817="","",IF($X3817&gt;N($X3816),$X3817,""))</f>
        <v/>
      </c>
      <c r="X3817">
        <f>IF($T3817="",N($X3816),IF(MATCH($T3817,$T$6:$T$6005,0)=ROW()-5,N($X3816)+1,N($X3816)))</f>
        <v/>
      </c>
      <c r="Z3817">
        <f>IF($V3817="","",IF($AA3817&gt;N($AA3816),$AA3817,""))</f>
        <v/>
      </c>
      <c r="AA3817">
        <f>IF($V3817="",N($AA3816),IF(MATCH($V3817,$V$6:$V$6005,0)=ROW()-5,N($AA3816)+1,N($AA3816)))</f>
        <v/>
      </c>
    </row>
    <row r="3818" ht="21" customHeight="1" s="66">
      <c r="A3818" s="56" t="n"/>
      <c r="B3818" s="57" t="n"/>
      <c r="C3818" s="57" t="n"/>
      <c r="D3818" s="57" t="n"/>
      <c r="E3818" s="56" t="n"/>
      <c r="F3818" s="57" t="n"/>
      <c r="G3818" s="57" t="n"/>
      <c r="H3818" s="56" t="n"/>
      <c r="I3818" s="56" t="n"/>
      <c r="J3818" s="58" t="n"/>
      <c r="K3818" s="58" t="n"/>
      <c r="L3818" s="13">
        <f>IF(OR($A3818="",AND($J3818="",$K3818="")),"",ROUND(N($J3818)-N($K3818),2))</f>
        <v/>
      </c>
      <c r="M3818" s="13">
        <f>IF(OR($A3818="",AND($J3818="",$K3818="")),"",MIN($J3818,$K3818))</f>
        <v/>
      </c>
      <c r="Q3818">
        <f>IF($A3818="","",$D3818&amp;"("&amp;SUBSTITUTE($E3818," ","")&amp;")")</f>
        <v/>
      </c>
      <c r="R3818">
        <f>IF($A3818="","",$B3818&amp;" - "&amp;$C3818)</f>
        <v/>
      </c>
      <c r="S3818">
        <f>IF($A3818="","",$R3818&amp;"|"&amp;$Q3818)</f>
        <v/>
      </c>
      <c r="T3818">
        <f>IF($A3818="","",$S3818&amp;"|"&amp;$F3818)</f>
        <v/>
      </c>
      <c r="U3818">
        <f>IF($A3818="","",$R3818&amp;"("&amp;$E3818&amp;")")</f>
        <v/>
      </c>
      <c r="V3818">
        <f>IF($A3818="","",$F3818&amp;"|"&amp;$U3818&amp;"|"&amp;$D3818)</f>
        <v/>
      </c>
      <c r="W3818">
        <f>IF($T3818="","",IF($X3818&gt;N($X3817),$X3818,""))</f>
        <v/>
      </c>
      <c r="X3818">
        <f>IF($T3818="",N($X3817),IF(MATCH($T3818,$T$6:$T$6005,0)=ROW()-5,N($X3817)+1,N($X3817)))</f>
        <v/>
      </c>
      <c r="Z3818">
        <f>IF($V3818="","",IF($AA3818&gt;N($AA3817),$AA3818,""))</f>
        <v/>
      </c>
      <c r="AA3818">
        <f>IF($V3818="",N($AA3817),IF(MATCH($V3818,$V$6:$V$6005,0)=ROW()-5,N($AA3817)+1,N($AA3817)))</f>
        <v/>
      </c>
    </row>
    <row r="3819" ht="21" customHeight="1" s="66">
      <c r="A3819" s="56" t="n"/>
      <c r="B3819" s="57" t="n"/>
      <c r="C3819" s="57" t="n"/>
      <c r="D3819" s="57" t="n"/>
      <c r="E3819" s="56" t="n"/>
      <c r="F3819" s="57" t="n"/>
      <c r="G3819" s="57" t="n"/>
      <c r="H3819" s="56" t="n"/>
      <c r="I3819" s="56" t="n"/>
      <c r="J3819" s="58" t="n"/>
      <c r="K3819" s="58" t="n"/>
      <c r="L3819" s="13">
        <f>IF(OR($A3819="",AND($J3819="",$K3819="")),"",ROUND(N($J3819)-N($K3819),2))</f>
        <v/>
      </c>
      <c r="M3819" s="13">
        <f>IF(OR($A3819="",AND($J3819="",$K3819="")),"",MIN($J3819,$K3819))</f>
        <v/>
      </c>
      <c r="Q3819">
        <f>IF($A3819="","",$D3819&amp;"("&amp;SUBSTITUTE($E3819," ","")&amp;")")</f>
        <v/>
      </c>
      <c r="R3819">
        <f>IF($A3819="","",$B3819&amp;" - "&amp;$C3819)</f>
        <v/>
      </c>
      <c r="S3819">
        <f>IF($A3819="","",$R3819&amp;"|"&amp;$Q3819)</f>
        <v/>
      </c>
      <c r="T3819">
        <f>IF($A3819="","",$S3819&amp;"|"&amp;$F3819)</f>
        <v/>
      </c>
      <c r="U3819">
        <f>IF($A3819="","",$R3819&amp;"("&amp;$E3819&amp;")")</f>
        <v/>
      </c>
      <c r="V3819">
        <f>IF($A3819="","",$F3819&amp;"|"&amp;$U3819&amp;"|"&amp;$D3819)</f>
        <v/>
      </c>
      <c r="W3819">
        <f>IF($T3819="","",IF($X3819&gt;N($X3818),$X3819,""))</f>
        <v/>
      </c>
      <c r="X3819">
        <f>IF($T3819="",N($X3818),IF(MATCH($T3819,$T$6:$T$6005,0)=ROW()-5,N($X3818)+1,N($X3818)))</f>
        <v/>
      </c>
      <c r="Z3819">
        <f>IF($V3819="","",IF($AA3819&gt;N($AA3818),$AA3819,""))</f>
        <v/>
      </c>
      <c r="AA3819">
        <f>IF($V3819="",N($AA3818),IF(MATCH($V3819,$V$6:$V$6005,0)=ROW()-5,N($AA3818)+1,N($AA3818)))</f>
        <v/>
      </c>
    </row>
    <row r="3820" ht="21" customHeight="1" s="66">
      <c r="A3820" s="56" t="n"/>
      <c r="B3820" s="57" t="n"/>
      <c r="C3820" s="57" t="n"/>
      <c r="D3820" s="57" t="n"/>
      <c r="E3820" s="56" t="n"/>
      <c r="F3820" s="57" t="n"/>
      <c r="G3820" s="57" t="n"/>
      <c r="H3820" s="56" t="n"/>
      <c r="I3820" s="56" t="n"/>
      <c r="J3820" s="58" t="n"/>
      <c r="K3820" s="58" t="n"/>
      <c r="L3820" s="13">
        <f>IF(OR($A3820="",AND($J3820="",$K3820="")),"",ROUND(N($J3820)-N($K3820),2))</f>
        <v/>
      </c>
      <c r="M3820" s="13">
        <f>IF(OR($A3820="",AND($J3820="",$K3820="")),"",MIN($J3820,$K3820))</f>
        <v/>
      </c>
      <c r="Q3820">
        <f>IF($A3820="","",$D3820&amp;"("&amp;SUBSTITUTE($E3820," ","")&amp;")")</f>
        <v/>
      </c>
      <c r="R3820">
        <f>IF($A3820="","",$B3820&amp;" - "&amp;$C3820)</f>
        <v/>
      </c>
      <c r="S3820">
        <f>IF($A3820="","",$R3820&amp;"|"&amp;$Q3820)</f>
        <v/>
      </c>
      <c r="T3820">
        <f>IF($A3820="","",$S3820&amp;"|"&amp;$F3820)</f>
        <v/>
      </c>
      <c r="U3820">
        <f>IF($A3820="","",$R3820&amp;"("&amp;$E3820&amp;")")</f>
        <v/>
      </c>
      <c r="V3820">
        <f>IF($A3820="","",$F3820&amp;"|"&amp;$U3820&amp;"|"&amp;$D3820)</f>
        <v/>
      </c>
      <c r="W3820">
        <f>IF($T3820="","",IF($X3820&gt;N($X3819),$X3820,""))</f>
        <v/>
      </c>
      <c r="X3820">
        <f>IF($T3820="",N($X3819),IF(MATCH($T3820,$T$6:$T$6005,0)=ROW()-5,N($X3819)+1,N($X3819)))</f>
        <v/>
      </c>
      <c r="Z3820">
        <f>IF($V3820="","",IF($AA3820&gt;N($AA3819),$AA3820,""))</f>
        <v/>
      </c>
      <c r="AA3820">
        <f>IF($V3820="",N($AA3819),IF(MATCH($V3820,$V$6:$V$6005,0)=ROW()-5,N($AA3819)+1,N($AA3819)))</f>
        <v/>
      </c>
    </row>
    <row r="3821" ht="21" customHeight="1" s="66">
      <c r="A3821" s="56" t="n"/>
      <c r="B3821" s="57" t="n"/>
      <c r="C3821" s="57" t="n"/>
      <c r="D3821" s="57" t="n"/>
      <c r="E3821" s="56" t="n"/>
      <c r="F3821" s="57" t="n"/>
      <c r="G3821" s="57" t="n"/>
      <c r="H3821" s="56" t="n"/>
      <c r="I3821" s="56" t="n"/>
      <c r="J3821" s="58" t="n"/>
      <c r="K3821" s="58" t="n"/>
      <c r="L3821" s="13">
        <f>IF(OR($A3821="",AND($J3821="",$K3821="")),"",ROUND(N($J3821)-N($K3821),2))</f>
        <v/>
      </c>
      <c r="M3821" s="13">
        <f>IF(OR($A3821="",AND($J3821="",$K3821="")),"",MIN($J3821,$K3821))</f>
        <v/>
      </c>
      <c r="Q3821">
        <f>IF($A3821="","",$D3821&amp;"("&amp;SUBSTITUTE($E3821," ","")&amp;")")</f>
        <v/>
      </c>
      <c r="R3821">
        <f>IF($A3821="","",$B3821&amp;" - "&amp;$C3821)</f>
        <v/>
      </c>
      <c r="S3821">
        <f>IF($A3821="","",$R3821&amp;"|"&amp;$Q3821)</f>
        <v/>
      </c>
      <c r="T3821">
        <f>IF($A3821="","",$S3821&amp;"|"&amp;$F3821)</f>
        <v/>
      </c>
      <c r="U3821">
        <f>IF($A3821="","",$R3821&amp;"("&amp;$E3821&amp;")")</f>
        <v/>
      </c>
      <c r="V3821">
        <f>IF($A3821="","",$F3821&amp;"|"&amp;$U3821&amp;"|"&amp;$D3821)</f>
        <v/>
      </c>
      <c r="W3821">
        <f>IF($T3821="","",IF($X3821&gt;N($X3820),$X3821,""))</f>
        <v/>
      </c>
      <c r="X3821">
        <f>IF($T3821="",N($X3820),IF(MATCH($T3821,$T$6:$T$6005,0)=ROW()-5,N($X3820)+1,N($X3820)))</f>
        <v/>
      </c>
      <c r="Z3821">
        <f>IF($V3821="","",IF($AA3821&gt;N($AA3820),$AA3821,""))</f>
        <v/>
      </c>
      <c r="AA3821">
        <f>IF($V3821="",N($AA3820),IF(MATCH($V3821,$V$6:$V$6005,0)=ROW()-5,N($AA3820)+1,N($AA3820)))</f>
        <v/>
      </c>
    </row>
    <row r="3822" ht="21" customHeight="1" s="66">
      <c r="A3822" s="56" t="n"/>
      <c r="B3822" s="57" t="n"/>
      <c r="C3822" s="57" t="n"/>
      <c r="D3822" s="57" t="n"/>
      <c r="E3822" s="56" t="n"/>
      <c r="F3822" s="57" t="n"/>
      <c r="G3822" s="57" t="n"/>
      <c r="H3822" s="56" t="n"/>
      <c r="I3822" s="56" t="n"/>
      <c r="J3822" s="58" t="n"/>
      <c r="K3822" s="58" t="n"/>
      <c r="L3822" s="13">
        <f>IF(OR($A3822="",AND($J3822="",$K3822="")),"",ROUND(N($J3822)-N($K3822),2))</f>
        <v/>
      </c>
      <c r="M3822" s="13">
        <f>IF(OR($A3822="",AND($J3822="",$K3822="")),"",MIN($J3822,$K3822))</f>
        <v/>
      </c>
      <c r="Q3822">
        <f>IF($A3822="","",$D3822&amp;"("&amp;SUBSTITUTE($E3822," ","")&amp;")")</f>
        <v/>
      </c>
      <c r="R3822">
        <f>IF($A3822="","",$B3822&amp;" - "&amp;$C3822)</f>
        <v/>
      </c>
      <c r="S3822">
        <f>IF($A3822="","",$R3822&amp;"|"&amp;$Q3822)</f>
        <v/>
      </c>
      <c r="T3822">
        <f>IF($A3822="","",$S3822&amp;"|"&amp;$F3822)</f>
        <v/>
      </c>
      <c r="U3822">
        <f>IF($A3822="","",$R3822&amp;"("&amp;$E3822&amp;")")</f>
        <v/>
      </c>
      <c r="V3822">
        <f>IF($A3822="","",$F3822&amp;"|"&amp;$U3822&amp;"|"&amp;$D3822)</f>
        <v/>
      </c>
      <c r="W3822">
        <f>IF($T3822="","",IF($X3822&gt;N($X3821),$X3822,""))</f>
        <v/>
      </c>
      <c r="X3822">
        <f>IF($T3822="",N($X3821),IF(MATCH($T3822,$T$6:$T$6005,0)=ROW()-5,N($X3821)+1,N($X3821)))</f>
        <v/>
      </c>
      <c r="Z3822">
        <f>IF($V3822="","",IF($AA3822&gt;N($AA3821),$AA3822,""))</f>
        <v/>
      </c>
      <c r="AA3822">
        <f>IF($V3822="",N($AA3821),IF(MATCH($V3822,$V$6:$V$6005,0)=ROW()-5,N($AA3821)+1,N($AA3821)))</f>
        <v/>
      </c>
    </row>
    <row r="3823" ht="21" customHeight="1" s="66">
      <c r="A3823" s="56" t="n"/>
      <c r="B3823" s="57" t="n"/>
      <c r="C3823" s="57" t="n"/>
      <c r="D3823" s="57" t="n"/>
      <c r="E3823" s="56" t="n"/>
      <c r="F3823" s="57" t="n"/>
      <c r="G3823" s="57" t="n"/>
      <c r="H3823" s="56" t="n"/>
      <c r="I3823" s="56" t="n"/>
      <c r="J3823" s="58" t="n"/>
      <c r="K3823" s="58" t="n"/>
      <c r="L3823" s="13">
        <f>IF(OR($A3823="",AND($J3823="",$K3823="")),"",ROUND(N($J3823)-N($K3823),2))</f>
        <v/>
      </c>
      <c r="M3823" s="13">
        <f>IF(OR($A3823="",AND($J3823="",$K3823="")),"",MIN($J3823,$K3823))</f>
        <v/>
      </c>
      <c r="Q3823">
        <f>IF($A3823="","",$D3823&amp;"("&amp;SUBSTITUTE($E3823," ","")&amp;")")</f>
        <v/>
      </c>
      <c r="R3823">
        <f>IF($A3823="","",$B3823&amp;" - "&amp;$C3823)</f>
        <v/>
      </c>
      <c r="S3823">
        <f>IF($A3823="","",$R3823&amp;"|"&amp;$Q3823)</f>
        <v/>
      </c>
      <c r="T3823">
        <f>IF($A3823="","",$S3823&amp;"|"&amp;$F3823)</f>
        <v/>
      </c>
      <c r="U3823">
        <f>IF($A3823="","",$R3823&amp;"("&amp;$E3823&amp;")")</f>
        <v/>
      </c>
      <c r="V3823">
        <f>IF($A3823="","",$F3823&amp;"|"&amp;$U3823&amp;"|"&amp;$D3823)</f>
        <v/>
      </c>
      <c r="W3823">
        <f>IF($T3823="","",IF($X3823&gt;N($X3822),$X3823,""))</f>
        <v/>
      </c>
      <c r="X3823">
        <f>IF($T3823="",N($X3822),IF(MATCH($T3823,$T$6:$T$6005,0)=ROW()-5,N($X3822)+1,N($X3822)))</f>
        <v/>
      </c>
      <c r="Z3823">
        <f>IF($V3823="","",IF($AA3823&gt;N($AA3822),$AA3823,""))</f>
        <v/>
      </c>
      <c r="AA3823">
        <f>IF($V3823="",N($AA3822),IF(MATCH($V3823,$V$6:$V$6005,0)=ROW()-5,N($AA3822)+1,N($AA3822)))</f>
        <v/>
      </c>
    </row>
    <row r="3824" ht="21" customHeight="1" s="66">
      <c r="A3824" s="56" t="n"/>
      <c r="B3824" s="57" t="n"/>
      <c r="C3824" s="57" t="n"/>
      <c r="D3824" s="57" t="n"/>
      <c r="E3824" s="56" t="n"/>
      <c r="F3824" s="57" t="n"/>
      <c r="G3824" s="57" t="n"/>
      <c r="H3824" s="56" t="n"/>
      <c r="I3824" s="56" t="n"/>
      <c r="J3824" s="58" t="n"/>
      <c r="K3824" s="58" t="n"/>
      <c r="L3824" s="13">
        <f>IF(OR($A3824="",AND($J3824="",$K3824="")),"",ROUND(N($J3824)-N($K3824),2))</f>
        <v/>
      </c>
      <c r="M3824" s="13">
        <f>IF(OR($A3824="",AND($J3824="",$K3824="")),"",MIN($J3824,$K3824))</f>
        <v/>
      </c>
      <c r="Q3824">
        <f>IF($A3824="","",$D3824&amp;"("&amp;SUBSTITUTE($E3824," ","")&amp;")")</f>
        <v/>
      </c>
      <c r="R3824">
        <f>IF($A3824="","",$B3824&amp;" - "&amp;$C3824)</f>
        <v/>
      </c>
      <c r="S3824">
        <f>IF($A3824="","",$R3824&amp;"|"&amp;$Q3824)</f>
        <v/>
      </c>
      <c r="T3824">
        <f>IF($A3824="","",$S3824&amp;"|"&amp;$F3824)</f>
        <v/>
      </c>
      <c r="U3824">
        <f>IF($A3824="","",$R3824&amp;"("&amp;$E3824&amp;")")</f>
        <v/>
      </c>
      <c r="V3824">
        <f>IF($A3824="","",$F3824&amp;"|"&amp;$U3824&amp;"|"&amp;$D3824)</f>
        <v/>
      </c>
      <c r="W3824">
        <f>IF($T3824="","",IF($X3824&gt;N($X3823),$X3824,""))</f>
        <v/>
      </c>
      <c r="X3824">
        <f>IF($T3824="",N($X3823),IF(MATCH($T3824,$T$6:$T$6005,0)=ROW()-5,N($X3823)+1,N($X3823)))</f>
        <v/>
      </c>
      <c r="Z3824">
        <f>IF($V3824="","",IF($AA3824&gt;N($AA3823),$AA3824,""))</f>
        <v/>
      </c>
      <c r="AA3824">
        <f>IF($V3824="",N($AA3823),IF(MATCH($V3824,$V$6:$V$6005,0)=ROW()-5,N($AA3823)+1,N($AA3823)))</f>
        <v/>
      </c>
    </row>
    <row r="3825" ht="21" customHeight="1" s="66">
      <c r="A3825" s="56" t="n"/>
      <c r="B3825" s="57" t="n"/>
      <c r="C3825" s="57" t="n"/>
      <c r="D3825" s="57" t="n"/>
      <c r="E3825" s="56" t="n"/>
      <c r="F3825" s="57" t="n"/>
      <c r="G3825" s="57" t="n"/>
      <c r="H3825" s="56" t="n"/>
      <c r="I3825" s="56" t="n"/>
      <c r="J3825" s="58" t="n"/>
      <c r="K3825" s="58" t="n"/>
      <c r="L3825" s="13">
        <f>IF(OR($A3825="",AND($J3825="",$K3825="")),"",ROUND(N($J3825)-N($K3825),2))</f>
        <v/>
      </c>
      <c r="M3825" s="13">
        <f>IF(OR($A3825="",AND($J3825="",$K3825="")),"",MIN($J3825,$K3825))</f>
        <v/>
      </c>
      <c r="Q3825">
        <f>IF($A3825="","",$D3825&amp;"("&amp;SUBSTITUTE($E3825," ","")&amp;")")</f>
        <v/>
      </c>
      <c r="R3825">
        <f>IF($A3825="","",$B3825&amp;" - "&amp;$C3825)</f>
        <v/>
      </c>
      <c r="S3825">
        <f>IF($A3825="","",$R3825&amp;"|"&amp;$Q3825)</f>
        <v/>
      </c>
      <c r="T3825">
        <f>IF($A3825="","",$S3825&amp;"|"&amp;$F3825)</f>
        <v/>
      </c>
      <c r="U3825">
        <f>IF($A3825="","",$R3825&amp;"("&amp;$E3825&amp;")")</f>
        <v/>
      </c>
      <c r="V3825">
        <f>IF($A3825="","",$F3825&amp;"|"&amp;$U3825&amp;"|"&amp;$D3825)</f>
        <v/>
      </c>
      <c r="W3825">
        <f>IF($T3825="","",IF($X3825&gt;N($X3824),$X3825,""))</f>
        <v/>
      </c>
      <c r="X3825">
        <f>IF($T3825="",N($X3824),IF(MATCH($T3825,$T$6:$T$6005,0)=ROW()-5,N($X3824)+1,N($X3824)))</f>
        <v/>
      </c>
      <c r="Z3825">
        <f>IF($V3825="","",IF($AA3825&gt;N($AA3824),$AA3825,""))</f>
        <v/>
      </c>
      <c r="AA3825">
        <f>IF($V3825="",N($AA3824),IF(MATCH($V3825,$V$6:$V$6005,0)=ROW()-5,N($AA3824)+1,N($AA3824)))</f>
        <v/>
      </c>
    </row>
    <row r="3826" ht="21" customHeight="1" s="66">
      <c r="A3826" s="56" t="n"/>
      <c r="B3826" s="57" t="n"/>
      <c r="C3826" s="57" t="n"/>
      <c r="D3826" s="57" t="n"/>
      <c r="E3826" s="56" t="n"/>
      <c r="F3826" s="57" t="n"/>
      <c r="G3826" s="57" t="n"/>
      <c r="H3826" s="56" t="n"/>
      <c r="I3826" s="56" t="n"/>
      <c r="J3826" s="58" t="n"/>
      <c r="K3826" s="58" t="n"/>
      <c r="L3826" s="13">
        <f>IF(OR($A3826="",AND($J3826="",$K3826="")),"",ROUND(N($J3826)-N($K3826),2))</f>
        <v/>
      </c>
      <c r="M3826" s="13">
        <f>IF(OR($A3826="",AND($J3826="",$K3826="")),"",MIN($J3826,$K3826))</f>
        <v/>
      </c>
      <c r="Q3826">
        <f>IF($A3826="","",$D3826&amp;"("&amp;SUBSTITUTE($E3826," ","")&amp;")")</f>
        <v/>
      </c>
      <c r="R3826">
        <f>IF($A3826="","",$B3826&amp;" - "&amp;$C3826)</f>
        <v/>
      </c>
      <c r="S3826">
        <f>IF($A3826="","",$R3826&amp;"|"&amp;$Q3826)</f>
        <v/>
      </c>
      <c r="T3826">
        <f>IF($A3826="","",$S3826&amp;"|"&amp;$F3826)</f>
        <v/>
      </c>
      <c r="U3826">
        <f>IF($A3826="","",$R3826&amp;"("&amp;$E3826&amp;")")</f>
        <v/>
      </c>
      <c r="V3826">
        <f>IF($A3826="","",$F3826&amp;"|"&amp;$U3826&amp;"|"&amp;$D3826)</f>
        <v/>
      </c>
      <c r="W3826">
        <f>IF($T3826="","",IF($X3826&gt;N($X3825),$X3826,""))</f>
        <v/>
      </c>
      <c r="X3826">
        <f>IF($T3826="",N($X3825),IF(MATCH($T3826,$T$6:$T$6005,0)=ROW()-5,N($X3825)+1,N($X3825)))</f>
        <v/>
      </c>
      <c r="Z3826">
        <f>IF($V3826="","",IF($AA3826&gt;N($AA3825),$AA3826,""))</f>
        <v/>
      </c>
      <c r="AA3826">
        <f>IF($V3826="",N($AA3825),IF(MATCH($V3826,$V$6:$V$6005,0)=ROW()-5,N($AA3825)+1,N($AA3825)))</f>
        <v/>
      </c>
    </row>
    <row r="3827" ht="21" customHeight="1" s="66">
      <c r="A3827" s="56" t="n"/>
      <c r="B3827" s="57" t="n"/>
      <c r="C3827" s="57" t="n"/>
      <c r="D3827" s="57" t="n"/>
      <c r="E3827" s="56" t="n"/>
      <c r="F3827" s="57" t="n"/>
      <c r="G3827" s="57" t="n"/>
      <c r="H3827" s="56" t="n"/>
      <c r="I3827" s="56" t="n"/>
      <c r="J3827" s="58" t="n"/>
      <c r="K3827" s="58" t="n"/>
      <c r="L3827" s="13">
        <f>IF(OR($A3827="",AND($J3827="",$K3827="")),"",ROUND(N($J3827)-N($K3827),2))</f>
        <v/>
      </c>
      <c r="M3827" s="13">
        <f>IF(OR($A3827="",AND($J3827="",$K3827="")),"",MIN($J3827,$K3827))</f>
        <v/>
      </c>
      <c r="Q3827">
        <f>IF($A3827="","",$D3827&amp;"("&amp;SUBSTITUTE($E3827," ","")&amp;")")</f>
        <v/>
      </c>
      <c r="R3827">
        <f>IF($A3827="","",$B3827&amp;" - "&amp;$C3827)</f>
        <v/>
      </c>
      <c r="S3827">
        <f>IF($A3827="","",$R3827&amp;"|"&amp;$Q3827)</f>
        <v/>
      </c>
      <c r="T3827">
        <f>IF($A3827="","",$S3827&amp;"|"&amp;$F3827)</f>
        <v/>
      </c>
      <c r="U3827">
        <f>IF($A3827="","",$R3827&amp;"("&amp;$E3827&amp;")")</f>
        <v/>
      </c>
      <c r="V3827">
        <f>IF($A3827="","",$F3827&amp;"|"&amp;$U3827&amp;"|"&amp;$D3827)</f>
        <v/>
      </c>
      <c r="W3827">
        <f>IF($T3827="","",IF($X3827&gt;N($X3826),$X3827,""))</f>
        <v/>
      </c>
      <c r="X3827">
        <f>IF($T3827="",N($X3826),IF(MATCH($T3827,$T$6:$T$6005,0)=ROW()-5,N($X3826)+1,N($X3826)))</f>
        <v/>
      </c>
      <c r="Z3827">
        <f>IF($V3827="","",IF($AA3827&gt;N($AA3826),$AA3827,""))</f>
        <v/>
      </c>
      <c r="AA3827">
        <f>IF($V3827="",N($AA3826),IF(MATCH($V3827,$V$6:$V$6005,0)=ROW()-5,N($AA3826)+1,N($AA3826)))</f>
        <v/>
      </c>
    </row>
    <row r="3828" ht="21" customHeight="1" s="66">
      <c r="A3828" s="56" t="n"/>
      <c r="B3828" s="57" t="n"/>
      <c r="C3828" s="57" t="n"/>
      <c r="D3828" s="57" t="n"/>
      <c r="E3828" s="56" t="n"/>
      <c r="F3828" s="57" t="n"/>
      <c r="G3828" s="57" t="n"/>
      <c r="H3828" s="56" t="n"/>
      <c r="I3828" s="56" t="n"/>
      <c r="J3828" s="58" t="n"/>
      <c r="K3828" s="58" t="n"/>
      <c r="L3828" s="13">
        <f>IF(OR($A3828="",AND($J3828="",$K3828="")),"",ROUND(N($J3828)-N($K3828),2))</f>
        <v/>
      </c>
      <c r="M3828" s="13">
        <f>IF(OR($A3828="",AND($J3828="",$K3828="")),"",MIN($J3828,$K3828))</f>
        <v/>
      </c>
      <c r="Q3828">
        <f>IF($A3828="","",$D3828&amp;"("&amp;SUBSTITUTE($E3828," ","")&amp;")")</f>
        <v/>
      </c>
      <c r="R3828">
        <f>IF($A3828="","",$B3828&amp;" - "&amp;$C3828)</f>
        <v/>
      </c>
      <c r="S3828">
        <f>IF($A3828="","",$R3828&amp;"|"&amp;$Q3828)</f>
        <v/>
      </c>
      <c r="T3828">
        <f>IF($A3828="","",$S3828&amp;"|"&amp;$F3828)</f>
        <v/>
      </c>
      <c r="U3828">
        <f>IF($A3828="","",$R3828&amp;"("&amp;$E3828&amp;")")</f>
        <v/>
      </c>
      <c r="V3828">
        <f>IF($A3828="","",$F3828&amp;"|"&amp;$U3828&amp;"|"&amp;$D3828)</f>
        <v/>
      </c>
      <c r="W3828">
        <f>IF($T3828="","",IF($X3828&gt;N($X3827),$X3828,""))</f>
        <v/>
      </c>
      <c r="X3828">
        <f>IF($T3828="",N($X3827),IF(MATCH($T3828,$T$6:$T$6005,0)=ROW()-5,N($X3827)+1,N($X3827)))</f>
        <v/>
      </c>
      <c r="Z3828">
        <f>IF($V3828="","",IF($AA3828&gt;N($AA3827),$AA3828,""))</f>
        <v/>
      </c>
      <c r="AA3828">
        <f>IF($V3828="",N($AA3827),IF(MATCH($V3828,$V$6:$V$6005,0)=ROW()-5,N($AA3827)+1,N($AA3827)))</f>
        <v/>
      </c>
    </row>
    <row r="3829" ht="21" customHeight="1" s="66">
      <c r="A3829" s="56" t="n"/>
      <c r="B3829" s="57" t="n"/>
      <c r="C3829" s="57" t="n"/>
      <c r="D3829" s="57" t="n"/>
      <c r="E3829" s="56" t="n"/>
      <c r="F3829" s="57" t="n"/>
      <c r="G3829" s="57" t="n"/>
      <c r="H3829" s="56" t="n"/>
      <c r="I3829" s="56" t="n"/>
      <c r="J3829" s="58" t="n"/>
      <c r="K3829" s="58" t="n"/>
      <c r="L3829" s="13">
        <f>IF(OR($A3829="",AND($J3829="",$K3829="")),"",ROUND(N($J3829)-N($K3829),2))</f>
        <v/>
      </c>
      <c r="M3829" s="13">
        <f>IF(OR($A3829="",AND($J3829="",$K3829="")),"",MIN($J3829,$K3829))</f>
        <v/>
      </c>
      <c r="Q3829">
        <f>IF($A3829="","",$D3829&amp;"("&amp;SUBSTITUTE($E3829," ","")&amp;")")</f>
        <v/>
      </c>
      <c r="R3829">
        <f>IF($A3829="","",$B3829&amp;" - "&amp;$C3829)</f>
        <v/>
      </c>
      <c r="S3829">
        <f>IF($A3829="","",$R3829&amp;"|"&amp;$Q3829)</f>
        <v/>
      </c>
      <c r="T3829">
        <f>IF($A3829="","",$S3829&amp;"|"&amp;$F3829)</f>
        <v/>
      </c>
      <c r="U3829">
        <f>IF($A3829="","",$R3829&amp;"("&amp;$E3829&amp;")")</f>
        <v/>
      </c>
      <c r="V3829">
        <f>IF($A3829="","",$F3829&amp;"|"&amp;$U3829&amp;"|"&amp;$D3829)</f>
        <v/>
      </c>
      <c r="W3829">
        <f>IF($T3829="","",IF($X3829&gt;N($X3828),$X3829,""))</f>
        <v/>
      </c>
      <c r="X3829">
        <f>IF($T3829="",N($X3828),IF(MATCH($T3829,$T$6:$T$6005,0)=ROW()-5,N($X3828)+1,N($X3828)))</f>
        <v/>
      </c>
      <c r="Z3829">
        <f>IF($V3829="","",IF($AA3829&gt;N($AA3828),$AA3829,""))</f>
        <v/>
      </c>
      <c r="AA3829">
        <f>IF($V3829="",N($AA3828),IF(MATCH($V3829,$V$6:$V$6005,0)=ROW()-5,N($AA3828)+1,N($AA3828)))</f>
        <v/>
      </c>
    </row>
    <row r="3830" ht="21" customHeight="1" s="66">
      <c r="A3830" s="56" t="n"/>
      <c r="B3830" s="57" t="n"/>
      <c r="C3830" s="57" t="n"/>
      <c r="D3830" s="57" t="n"/>
      <c r="E3830" s="56" t="n"/>
      <c r="F3830" s="57" t="n"/>
      <c r="G3830" s="57" t="n"/>
      <c r="H3830" s="56" t="n"/>
      <c r="I3830" s="56" t="n"/>
      <c r="J3830" s="58" t="n"/>
      <c r="K3830" s="58" t="n"/>
      <c r="L3830" s="13">
        <f>IF(OR($A3830="",AND($J3830="",$K3830="")),"",ROUND(N($J3830)-N($K3830),2))</f>
        <v/>
      </c>
      <c r="M3830" s="13">
        <f>IF(OR($A3830="",AND($J3830="",$K3830="")),"",MIN($J3830,$K3830))</f>
        <v/>
      </c>
      <c r="Q3830">
        <f>IF($A3830="","",$D3830&amp;"("&amp;SUBSTITUTE($E3830," ","")&amp;")")</f>
        <v/>
      </c>
      <c r="R3830">
        <f>IF($A3830="","",$B3830&amp;" - "&amp;$C3830)</f>
        <v/>
      </c>
      <c r="S3830">
        <f>IF($A3830="","",$R3830&amp;"|"&amp;$Q3830)</f>
        <v/>
      </c>
      <c r="T3830">
        <f>IF($A3830="","",$S3830&amp;"|"&amp;$F3830)</f>
        <v/>
      </c>
      <c r="U3830">
        <f>IF($A3830="","",$R3830&amp;"("&amp;$E3830&amp;")")</f>
        <v/>
      </c>
      <c r="V3830">
        <f>IF($A3830="","",$F3830&amp;"|"&amp;$U3830&amp;"|"&amp;$D3830)</f>
        <v/>
      </c>
      <c r="W3830">
        <f>IF($T3830="","",IF($X3830&gt;N($X3829),$X3830,""))</f>
        <v/>
      </c>
      <c r="X3830">
        <f>IF($T3830="",N($X3829),IF(MATCH($T3830,$T$6:$T$6005,0)=ROW()-5,N($X3829)+1,N($X3829)))</f>
        <v/>
      </c>
      <c r="Z3830">
        <f>IF($V3830="","",IF($AA3830&gt;N($AA3829),$AA3830,""))</f>
        <v/>
      </c>
      <c r="AA3830">
        <f>IF($V3830="",N($AA3829),IF(MATCH($V3830,$V$6:$V$6005,0)=ROW()-5,N($AA3829)+1,N($AA3829)))</f>
        <v/>
      </c>
    </row>
    <row r="3831" ht="21" customHeight="1" s="66">
      <c r="A3831" s="56" t="n"/>
      <c r="B3831" s="57" t="n"/>
      <c r="C3831" s="57" t="n"/>
      <c r="D3831" s="57" t="n"/>
      <c r="E3831" s="56" t="n"/>
      <c r="F3831" s="57" t="n"/>
      <c r="G3831" s="57" t="n"/>
      <c r="H3831" s="56" t="n"/>
      <c r="I3831" s="56" t="n"/>
      <c r="J3831" s="58" t="n"/>
      <c r="K3831" s="58" t="n"/>
      <c r="L3831" s="13">
        <f>IF(OR($A3831="",AND($J3831="",$K3831="")),"",ROUND(N($J3831)-N($K3831),2))</f>
        <v/>
      </c>
      <c r="M3831" s="13">
        <f>IF(OR($A3831="",AND($J3831="",$K3831="")),"",MIN($J3831,$K3831))</f>
        <v/>
      </c>
      <c r="Q3831">
        <f>IF($A3831="","",$D3831&amp;"("&amp;SUBSTITUTE($E3831," ","")&amp;")")</f>
        <v/>
      </c>
      <c r="R3831">
        <f>IF($A3831="","",$B3831&amp;" - "&amp;$C3831)</f>
        <v/>
      </c>
      <c r="S3831">
        <f>IF($A3831="","",$R3831&amp;"|"&amp;$Q3831)</f>
        <v/>
      </c>
      <c r="T3831">
        <f>IF($A3831="","",$S3831&amp;"|"&amp;$F3831)</f>
        <v/>
      </c>
      <c r="U3831">
        <f>IF($A3831="","",$R3831&amp;"("&amp;$E3831&amp;")")</f>
        <v/>
      </c>
      <c r="V3831">
        <f>IF($A3831="","",$F3831&amp;"|"&amp;$U3831&amp;"|"&amp;$D3831)</f>
        <v/>
      </c>
      <c r="W3831">
        <f>IF($T3831="","",IF($X3831&gt;N($X3830),$X3831,""))</f>
        <v/>
      </c>
      <c r="X3831">
        <f>IF($T3831="",N($X3830),IF(MATCH($T3831,$T$6:$T$6005,0)=ROW()-5,N($X3830)+1,N($X3830)))</f>
        <v/>
      </c>
      <c r="Z3831">
        <f>IF($V3831="","",IF($AA3831&gt;N($AA3830),$AA3831,""))</f>
        <v/>
      </c>
      <c r="AA3831">
        <f>IF($V3831="",N($AA3830),IF(MATCH($V3831,$V$6:$V$6005,0)=ROW()-5,N($AA3830)+1,N($AA3830)))</f>
        <v/>
      </c>
    </row>
    <row r="3832" ht="21" customHeight="1" s="66">
      <c r="A3832" s="56" t="n"/>
      <c r="B3832" s="57" t="n"/>
      <c r="C3832" s="57" t="n"/>
      <c r="D3832" s="57" t="n"/>
      <c r="E3832" s="56" t="n"/>
      <c r="F3832" s="57" t="n"/>
      <c r="G3832" s="57" t="n"/>
      <c r="H3832" s="56" t="n"/>
      <c r="I3832" s="56" t="n"/>
      <c r="J3832" s="58" t="n"/>
      <c r="K3832" s="58" t="n"/>
      <c r="L3832" s="13">
        <f>IF(OR($A3832="",AND($J3832="",$K3832="")),"",ROUND(N($J3832)-N($K3832),2))</f>
        <v/>
      </c>
      <c r="M3832" s="13">
        <f>IF(OR($A3832="",AND($J3832="",$K3832="")),"",MIN($J3832,$K3832))</f>
        <v/>
      </c>
      <c r="Q3832">
        <f>IF($A3832="","",$D3832&amp;"("&amp;SUBSTITUTE($E3832," ","")&amp;")")</f>
        <v/>
      </c>
      <c r="R3832">
        <f>IF($A3832="","",$B3832&amp;" - "&amp;$C3832)</f>
        <v/>
      </c>
      <c r="S3832">
        <f>IF($A3832="","",$R3832&amp;"|"&amp;$Q3832)</f>
        <v/>
      </c>
      <c r="T3832">
        <f>IF($A3832="","",$S3832&amp;"|"&amp;$F3832)</f>
        <v/>
      </c>
      <c r="U3832">
        <f>IF($A3832="","",$R3832&amp;"("&amp;$E3832&amp;")")</f>
        <v/>
      </c>
      <c r="V3832">
        <f>IF($A3832="","",$F3832&amp;"|"&amp;$U3832&amp;"|"&amp;$D3832)</f>
        <v/>
      </c>
      <c r="W3832">
        <f>IF($T3832="","",IF($X3832&gt;N($X3831),$X3832,""))</f>
        <v/>
      </c>
      <c r="X3832">
        <f>IF($T3832="",N($X3831),IF(MATCH($T3832,$T$6:$T$6005,0)=ROW()-5,N($X3831)+1,N($X3831)))</f>
        <v/>
      </c>
      <c r="Z3832">
        <f>IF($V3832="","",IF($AA3832&gt;N($AA3831),$AA3832,""))</f>
        <v/>
      </c>
      <c r="AA3832">
        <f>IF($V3832="",N($AA3831),IF(MATCH($V3832,$V$6:$V$6005,0)=ROW()-5,N($AA3831)+1,N($AA3831)))</f>
        <v/>
      </c>
    </row>
    <row r="3833" ht="21" customHeight="1" s="66">
      <c r="A3833" s="56" t="n"/>
      <c r="B3833" s="57" t="n"/>
      <c r="C3833" s="57" t="n"/>
      <c r="D3833" s="57" t="n"/>
      <c r="E3833" s="56" t="n"/>
      <c r="F3833" s="57" t="n"/>
      <c r="G3833" s="57" t="n"/>
      <c r="H3833" s="56" t="n"/>
      <c r="I3833" s="56" t="n"/>
      <c r="J3833" s="58" t="n"/>
      <c r="K3833" s="58" t="n"/>
      <c r="L3833" s="13">
        <f>IF(OR($A3833="",AND($J3833="",$K3833="")),"",ROUND(N($J3833)-N($K3833),2))</f>
        <v/>
      </c>
      <c r="M3833" s="13">
        <f>IF(OR($A3833="",AND($J3833="",$K3833="")),"",MIN($J3833,$K3833))</f>
        <v/>
      </c>
      <c r="Q3833">
        <f>IF($A3833="","",$D3833&amp;"("&amp;SUBSTITUTE($E3833," ","")&amp;")")</f>
        <v/>
      </c>
      <c r="R3833">
        <f>IF($A3833="","",$B3833&amp;" - "&amp;$C3833)</f>
        <v/>
      </c>
      <c r="S3833">
        <f>IF($A3833="","",$R3833&amp;"|"&amp;$Q3833)</f>
        <v/>
      </c>
      <c r="T3833">
        <f>IF($A3833="","",$S3833&amp;"|"&amp;$F3833)</f>
        <v/>
      </c>
      <c r="U3833">
        <f>IF($A3833="","",$R3833&amp;"("&amp;$E3833&amp;")")</f>
        <v/>
      </c>
      <c r="V3833">
        <f>IF($A3833="","",$F3833&amp;"|"&amp;$U3833&amp;"|"&amp;$D3833)</f>
        <v/>
      </c>
      <c r="W3833">
        <f>IF($T3833="","",IF($X3833&gt;N($X3832),$X3833,""))</f>
        <v/>
      </c>
      <c r="X3833">
        <f>IF($T3833="",N($X3832),IF(MATCH($T3833,$T$6:$T$6005,0)=ROW()-5,N($X3832)+1,N($X3832)))</f>
        <v/>
      </c>
      <c r="Z3833">
        <f>IF($V3833="","",IF($AA3833&gt;N($AA3832),$AA3833,""))</f>
        <v/>
      </c>
      <c r="AA3833">
        <f>IF($V3833="",N($AA3832),IF(MATCH($V3833,$V$6:$V$6005,0)=ROW()-5,N($AA3832)+1,N($AA3832)))</f>
        <v/>
      </c>
    </row>
    <row r="3834" ht="21" customHeight="1" s="66">
      <c r="A3834" s="56" t="n"/>
      <c r="B3834" s="57" t="n"/>
      <c r="C3834" s="57" t="n"/>
      <c r="D3834" s="57" t="n"/>
      <c r="E3834" s="56" t="n"/>
      <c r="F3834" s="57" t="n"/>
      <c r="G3834" s="57" t="n"/>
      <c r="H3834" s="56" t="n"/>
      <c r="I3834" s="56" t="n"/>
      <c r="J3834" s="58" t="n"/>
      <c r="K3834" s="58" t="n"/>
      <c r="L3834" s="13">
        <f>IF(OR($A3834="",AND($J3834="",$K3834="")),"",ROUND(N($J3834)-N($K3834),2))</f>
        <v/>
      </c>
      <c r="M3834" s="13">
        <f>IF(OR($A3834="",AND($J3834="",$K3834="")),"",MIN($J3834,$K3834))</f>
        <v/>
      </c>
      <c r="Q3834">
        <f>IF($A3834="","",$D3834&amp;"("&amp;SUBSTITUTE($E3834," ","")&amp;")")</f>
        <v/>
      </c>
      <c r="R3834">
        <f>IF($A3834="","",$B3834&amp;" - "&amp;$C3834)</f>
        <v/>
      </c>
      <c r="S3834">
        <f>IF($A3834="","",$R3834&amp;"|"&amp;$Q3834)</f>
        <v/>
      </c>
      <c r="T3834">
        <f>IF($A3834="","",$S3834&amp;"|"&amp;$F3834)</f>
        <v/>
      </c>
      <c r="U3834">
        <f>IF($A3834="","",$R3834&amp;"("&amp;$E3834&amp;")")</f>
        <v/>
      </c>
      <c r="V3834">
        <f>IF($A3834="","",$F3834&amp;"|"&amp;$U3834&amp;"|"&amp;$D3834)</f>
        <v/>
      </c>
      <c r="W3834">
        <f>IF($T3834="","",IF($X3834&gt;N($X3833),$X3834,""))</f>
        <v/>
      </c>
      <c r="X3834">
        <f>IF($T3834="",N($X3833),IF(MATCH($T3834,$T$6:$T$6005,0)=ROW()-5,N($X3833)+1,N($X3833)))</f>
        <v/>
      </c>
      <c r="Z3834">
        <f>IF($V3834="","",IF($AA3834&gt;N($AA3833),$AA3834,""))</f>
        <v/>
      </c>
      <c r="AA3834">
        <f>IF($V3834="",N($AA3833),IF(MATCH($V3834,$V$6:$V$6005,0)=ROW()-5,N($AA3833)+1,N($AA3833)))</f>
        <v/>
      </c>
    </row>
    <row r="3835" ht="21" customHeight="1" s="66">
      <c r="A3835" s="56" t="n"/>
      <c r="B3835" s="57" t="n"/>
      <c r="C3835" s="57" t="n"/>
      <c r="D3835" s="57" t="n"/>
      <c r="E3835" s="56" t="n"/>
      <c r="F3835" s="57" t="n"/>
      <c r="G3835" s="57" t="n"/>
      <c r="H3835" s="56" t="n"/>
      <c r="I3835" s="56" t="n"/>
      <c r="J3835" s="58" t="n"/>
      <c r="K3835" s="58" t="n"/>
      <c r="L3835" s="13">
        <f>IF(OR($A3835="",AND($J3835="",$K3835="")),"",ROUND(N($J3835)-N($K3835),2))</f>
        <v/>
      </c>
      <c r="M3835" s="13">
        <f>IF(OR($A3835="",AND($J3835="",$K3835="")),"",MIN($J3835,$K3835))</f>
        <v/>
      </c>
      <c r="Q3835">
        <f>IF($A3835="","",$D3835&amp;"("&amp;SUBSTITUTE($E3835," ","")&amp;")")</f>
        <v/>
      </c>
      <c r="R3835">
        <f>IF($A3835="","",$B3835&amp;" - "&amp;$C3835)</f>
        <v/>
      </c>
      <c r="S3835">
        <f>IF($A3835="","",$R3835&amp;"|"&amp;$Q3835)</f>
        <v/>
      </c>
      <c r="T3835">
        <f>IF($A3835="","",$S3835&amp;"|"&amp;$F3835)</f>
        <v/>
      </c>
      <c r="U3835">
        <f>IF($A3835="","",$R3835&amp;"("&amp;$E3835&amp;")")</f>
        <v/>
      </c>
      <c r="V3835">
        <f>IF($A3835="","",$F3835&amp;"|"&amp;$U3835&amp;"|"&amp;$D3835)</f>
        <v/>
      </c>
      <c r="W3835">
        <f>IF($T3835="","",IF($X3835&gt;N($X3834),$X3835,""))</f>
        <v/>
      </c>
      <c r="X3835">
        <f>IF($T3835="",N($X3834),IF(MATCH($T3835,$T$6:$T$6005,0)=ROW()-5,N($X3834)+1,N($X3834)))</f>
        <v/>
      </c>
      <c r="Z3835">
        <f>IF($V3835="","",IF($AA3835&gt;N($AA3834),$AA3835,""))</f>
        <v/>
      </c>
      <c r="AA3835">
        <f>IF($V3835="",N($AA3834),IF(MATCH($V3835,$V$6:$V$6005,0)=ROW()-5,N($AA3834)+1,N($AA3834)))</f>
        <v/>
      </c>
    </row>
    <row r="3836" ht="21" customHeight="1" s="66">
      <c r="A3836" s="56" t="n"/>
      <c r="B3836" s="57" t="n"/>
      <c r="C3836" s="57" t="n"/>
      <c r="D3836" s="57" t="n"/>
      <c r="E3836" s="56" t="n"/>
      <c r="F3836" s="57" t="n"/>
      <c r="G3836" s="57" t="n"/>
      <c r="H3836" s="56" t="n"/>
      <c r="I3836" s="56" t="n"/>
      <c r="J3836" s="58" t="n"/>
      <c r="K3836" s="58" t="n"/>
      <c r="L3836" s="13">
        <f>IF(OR($A3836="",AND($J3836="",$K3836="")),"",ROUND(N($J3836)-N($K3836),2))</f>
        <v/>
      </c>
      <c r="M3836" s="13">
        <f>IF(OR($A3836="",AND($J3836="",$K3836="")),"",MIN($J3836,$K3836))</f>
        <v/>
      </c>
      <c r="Q3836">
        <f>IF($A3836="","",$D3836&amp;"("&amp;SUBSTITUTE($E3836," ","")&amp;")")</f>
        <v/>
      </c>
      <c r="R3836">
        <f>IF($A3836="","",$B3836&amp;" - "&amp;$C3836)</f>
        <v/>
      </c>
      <c r="S3836">
        <f>IF($A3836="","",$R3836&amp;"|"&amp;$Q3836)</f>
        <v/>
      </c>
      <c r="T3836">
        <f>IF($A3836="","",$S3836&amp;"|"&amp;$F3836)</f>
        <v/>
      </c>
      <c r="U3836">
        <f>IF($A3836="","",$R3836&amp;"("&amp;$E3836&amp;")")</f>
        <v/>
      </c>
      <c r="V3836">
        <f>IF($A3836="","",$F3836&amp;"|"&amp;$U3836&amp;"|"&amp;$D3836)</f>
        <v/>
      </c>
      <c r="W3836">
        <f>IF($T3836="","",IF($X3836&gt;N($X3835),$X3836,""))</f>
        <v/>
      </c>
      <c r="X3836">
        <f>IF($T3836="",N($X3835),IF(MATCH($T3836,$T$6:$T$6005,0)=ROW()-5,N($X3835)+1,N($X3835)))</f>
        <v/>
      </c>
      <c r="Z3836">
        <f>IF($V3836="","",IF($AA3836&gt;N($AA3835),$AA3836,""))</f>
        <v/>
      </c>
      <c r="AA3836">
        <f>IF($V3836="",N($AA3835),IF(MATCH($V3836,$V$6:$V$6005,0)=ROW()-5,N($AA3835)+1,N($AA3835)))</f>
        <v/>
      </c>
    </row>
    <row r="3837" ht="21" customHeight="1" s="66">
      <c r="A3837" s="56" t="n"/>
      <c r="B3837" s="57" t="n"/>
      <c r="C3837" s="57" t="n"/>
      <c r="D3837" s="57" t="n"/>
      <c r="E3837" s="56" t="n"/>
      <c r="F3837" s="57" t="n"/>
      <c r="G3837" s="57" t="n"/>
      <c r="H3837" s="56" t="n"/>
      <c r="I3837" s="56" t="n"/>
      <c r="J3837" s="58" t="n"/>
      <c r="K3837" s="58" t="n"/>
      <c r="L3837" s="13">
        <f>IF(OR($A3837="",AND($J3837="",$K3837="")),"",ROUND(N($J3837)-N($K3837),2))</f>
        <v/>
      </c>
      <c r="M3837" s="13">
        <f>IF(OR($A3837="",AND($J3837="",$K3837="")),"",MIN($J3837,$K3837))</f>
        <v/>
      </c>
      <c r="Q3837">
        <f>IF($A3837="","",$D3837&amp;"("&amp;SUBSTITUTE($E3837," ","")&amp;")")</f>
        <v/>
      </c>
      <c r="R3837">
        <f>IF($A3837="","",$B3837&amp;" - "&amp;$C3837)</f>
        <v/>
      </c>
      <c r="S3837">
        <f>IF($A3837="","",$R3837&amp;"|"&amp;$Q3837)</f>
        <v/>
      </c>
      <c r="T3837">
        <f>IF($A3837="","",$S3837&amp;"|"&amp;$F3837)</f>
        <v/>
      </c>
      <c r="U3837">
        <f>IF($A3837="","",$R3837&amp;"("&amp;$E3837&amp;")")</f>
        <v/>
      </c>
      <c r="V3837">
        <f>IF($A3837="","",$F3837&amp;"|"&amp;$U3837&amp;"|"&amp;$D3837)</f>
        <v/>
      </c>
      <c r="W3837">
        <f>IF($T3837="","",IF($X3837&gt;N($X3836),$X3837,""))</f>
        <v/>
      </c>
      <c r="X3837">
        <f>IF($T3837="",N($X3836),IF(MATCH($T3837,$T$6:$T$6005,0)=ROW()-5,N($X3836)+1,N($X3836)))</f>
        <v/>
      </c>
      <c r="Z3837">
        <f>IF($V3837="","",IF($AA3837&gt;N($AA3836),$AA3837,""))</f>
        <v/>
      </c>
      <c r="AA3837">
        <f>IF($V3837="",N($AA3836),IF(MATCH($V3837,$V$6:$V$6005,0)=ROW()-5,N($AA3836)+1,N($AA3836)))</f>
        <v/>
      </c>
    </row>
    <row r="3838" ht="21" customHeight="1" s="66">
      <c r="A3838" s="56" t="n"/>
      <c r="B3838" s="57" t="n"/>
      <c r="C3838" s="57" t="n"/>
      <c r="D3838" s="57" t="n"/>
      <c r="E3838" s="56" t="n"/>
      <c r="F3838" s="57" t="n"/>
      <c r="G3838" s="57" t="n"/>
      <c r="H3838" s="56" t="n"/>
      <c r="I3838" s="56" t="n"/>
      <c r="J3838" s="58" t="n"/>
      <c r="K3838" s="58" t="n"/>
      <c r="L3838" s="13">
        <f>IF(OR($A3838="",AND($J3838="",$K3838="")),"",ROUND(N($J3838)-N($K3838),2))</f>
        <v/>
      </c>
      <c r="M3838" s="13">
        <f>IF(OR($A3838="",AND($J3838="",$K3838="")),"",MIN($J3838,$K3838))</f>
        <v/>
      </c>
      <c r="Q3838">
        <f>IF($A3838="","",$D3838&amp;"("&amp;SUBSTITUTE($E3838," ","")&amp;")")</f>
        <v/>
      </c>
      <c r="R3838">
        <f>IF($A3838="","",$B3838&amp;" - "&amp;$C3838)</f>
        <v/>
      </c>
      <c r="S3838">
        <f>IF($A3838="","",$R3838&amp;"|"&amp;$Q3838)</f>
        <v/>
      </c>
      <c r="T3838">
        <f>IF($A3838="","",$S3838&amp;"|"&amp;$F3838)</f>
        <v/>
      </c>
      <c r="U3838">
        <f>IF($A3838="","",$R3838&amp;"("&amp;$E3838&amp;")")</f>
        <v/>
      </c>
      <c r="V3838">
        <f>IF($A3838="","",$F3838&amp;"|"&amp;$U3838&amp;"|"&amp;$D3838)</f>
        <v/>
      </c>
      <c r="W3838">
        <f>IF($T3838="","",IF($X3838&gt;N($X3837),$X3838,""))</f>
        <v/>
      </c>
      <c r="X3838">
        <f>IF($T3838="",N($X3837),IF(MATCH($T3838,$T$6:$T$6005,0)=ROW()-5,N($X3837)+1,N($X3837)))</f>
        <v/>
      </c>
      <c r="Z3838">
        <f>IF($V3838="","",IF($AA3838&gt;N($AA3837),$AA3838,""))</f>
        <v/>
      </c>
      <c r="AA3838">
        <f>IF($V3838="",N($AA3837),IF(MATCH($V3838,$V$6:$V$6005,0)=ROW()-5,N($AA3837)+1,N($AA3837)))</f>
        <v/>
      </c>
    </row>
    <row r="3839" ht="21" customHeight="1" s="66">
      <c r="A3839" s="56" t="n"/>
      <c r="B3839" s="57" t="n"/>
      <c r="C3839" s="57" t="n"/>
      <c r="D3839" s="57" t="n"/>
      <c r="E3839" s="56" t="n"/>
      <c r="F3839" s="57" t="n"/>
      <c r="G3839" s="57" t="n"/>
      <c r="H3839" s="56" t="n"/>
      <c r="I3839" s="56" t="n"/>
      <c r="J3839" s="58" t="n"/>
      <c r="K3839" s="58" t="n"/>
      <c r="L3839" s="13">
        <f>IF(OR($A3839="",AND($J3839="",$K3839="")),"",ROUND(N($J3839)-N($K3839),2))</f>
        <v/>
      </c>
      <c r="M3839" s="13">
        <f>IF(OR($A3839="",AND($J3839="",$K3839="")),"",MIN($J3839,$K3839))</f>
        <v/>
      </c>
      <c r="Q3839">
        <f>IF($A3839="","",$D3839&amp;"("&amp;SUBSTITUTE($E3839," ","")&amp;")")</f>
        <v/>
      </c>
      <c r="R3839">
        <f>IF($A3839="","",$B3839&amp;" - "&amp;$C3839)</f>
        <v/>
      </c>
      <c r="S3839">
        <f>IF($A3839="","",$R3839&amp;"|"&amp;$Q3839)</f>
        <v/>
      </c>
      <c r="T3839">
        <f>IF($A3839="","",$S3839&amp;"|"&amp;$F3839)</f>
        <v/>
      </c>
      <c r="U3839">
        <f>IF($A3839="","",$R3839&amp;"("&amp;$E3839&amp;")")</f>
        <v/>
      </c>
      <c r="V3839">
        <f>IF($A3839="","",$F3839&amp;"|"&amp;$U3839&amp;"|"&amp;$D3839)</f>
        <v/>
      </c>
      <c r="W3839">
        <f>IF($T3839="","",IF($X3839&gt;N($X3838),$X3839,""))</f>
        <v/>
      </c>
      <c r="X3839">
        <f>IF($T3839="",N($X3838),IF(MATCH($T3839,$T$6:$T$6005,0)=ROW()-5,N($X3838)+1,N($X3838)))</f>
        <v/>
      </c>
      <c r="Z3839">
        <f>IF($V3839="","",IF($AA3839&gt;N($AA3838),$AA3839,""))</f>
        <v/>
      </c>
      <c r="AA3839">
        <f>IF($V3839="",N($AA3838),IF(MATCH($V3839,$V$6:$V$6005,0)=ROW()-5,N($AA3838)+1,N($AA3838)))</f>
        <v/>
      </c>
    </row>
    <row r="3840" ht="21" customHeight="1" s="66">
      <c r="A3840" s="56" t="n"/>
      <c r="B3840" s="57" t="n"/>
      <c r="C3840" s="57" t="n"/>
      <c r="D3840" s="57" t="n"/>
      <c r="E3840" s="56" t="n"/>
      <c r="F3840" s="57" t="n"/>
      <c r="G3840" s="57" t="n"/>
      <c r="H3840" s="56" t="n"/>
      <c r="I3840" s="56" t="n"/>
      <c r="J3840" s="58" t="n"/>
      <c r="K3840" s="58" t="n"/>
      <c r="L3840" s="13">
        <f>IF(OR($A3840="",AND($J3840="",$K3840="")),"",ROUND(N($J3840)-N($K3840),2))</f>
        <v/>
      </c>
      <c r="M3840" s="13">
        <f>IF(OR($A3840="",AND($J3840="",$K3840="")),"",MIN($J3840,$K3840))</f>
        <v/>
      </c>
      <c r="Q3840">
        <f>IF($A3840="","",$D3840&amp;"("&amp;SUBSTITUTE($E3840," ","")&amp;")")</f>
        <v/>
      </c>
      <c r="R3840">
        <f>IF($A3840="","",$B3840&amp;" - "&amp;$C3840)</f>
        <v/>
      </c>
      <c r="S3840">
        <f>IF($A3840="","",$R3840&amp;"|"&amp;$Q3840)</f>
        <v/>
      </c>
      <c r="T3840">
        <f>IF($A3840="","",$S3840&amp;"|"&amp;$F3840)</f>
        <v/>
      </c>
      <c r="U3840">
        <f>IF($A3840="","",$R3840&amp;"("&amp;$E3840&amp;")")</f>
        <v/>
      </c>
      <c r="V3840">
        <f>IF($A3840="","",$F3840&amp;"|"&amp;$U3840&amp;"|"&amp;$D3840)</f>
        <v/>
      </c>
      <c r="W3840">
        <f>IF($T3840="","",IF($X3840&gt;N($X3839),$X3840,""))</f>
        <v/>
      </c>
      <c r="X3840">
        <f>IF($T3840="",N($X3839),IF(MATCH($T3840,$T$6:$T$6005,0)=ROW()-5,N($X3839)+1,N($X3839)))</f>
        <v/>
      </c>
      <c r="Z3840">
        <f>IF($V3840="","",IF($AA3840&gt;N($AA3839),$AA3840,""))</f>
        <v/>
      </c>
      <c r="AA3840">
        <f>IF($V3840="",N($AA3839),IF(MATCH($V3840,$V$6:$V$6005,0)=ROW()-5,N($AA3839)+1,N($AA3839)))</f>
        <v/>
      </c>
    </row>
    <row r="3841" ht="21" customHeight="1" s="66">
      <c r="A3841" s="56" t="n"/>
      <c r="B3841" s="57" t="n"/>
      <c r="C3841" s="57" t="n"/>
      <c r="D3841" s="57" t="n"/>
      <c r="E3841" s="56" t="n"/>
      <c r="F3841" s="57" t="n"/>
      <c r="G3841" s="57" t="n"/>
      <c r="H3841" s="56" t="n"/>
      <c r="I3841" s="56" t="n"/>
      <c r="J3841" s="58" t="n"/>
      <c r="K3841" s="58" t="n"/>
      <c r="L3841" s="13">
        <f>IF(OR($A3841="",AND($J3841="",$K3841="")),"",ROUND(N($J3841)-N($K3841),2))</f>
        <v/>
      </c>
      <c r="M3841" s="13">
        <f>IF(OR($A3841="",AND($J3841="",$K3841="")),"",MIN($J3841,$K3841))</f>
        <v/>
      </c>
      <c r="Q3841">
        <f>IF($A3841="","",$D3841&amp;"("&amp;SUBSTITUTE($E3841," ","")&amp;")")</f>
        <v/>
      </c>
      <c r="R3841">
        <f>IF($A3841="","",$B3841&amp;" - "&amp;$C3841)</f>
        <v/>
      </c>
      <c r="S3841">
        <f>IF($A3841="","",$R3841&amp;"|"&amp;$Q3841)</f>
        <v/>
      </c>
      <c r="T3841">
        <f>IF($A3841="","",$S3841&amp;"|"&amp;$F3841)</f>
        <v/>
      </c>
      <c r="U3841">
        <f>IF($A3841="","",$R3841&amp;"("&amp;$E3841&amp;")")</f>
        <v/>
      </c>
      <c r="V3841">
        <f>IF($A3841="","",$F3841&amp;"|"&amp;$U3841&amp;"|"&amp;$D3841)</f>
        <v/>
      </c>
      <c r="W3841">
        <f>IF($T3841="","",IF($X3841&gt;N($X3840),$X3841,""))</f>
        <v/>
      </c>
      <c r="X3841">
        <f>IF($T3841="",N($X3840),IF(MATCH($T3841,$T$6:$T$6005,0)=ROW()-5,N($X3840)+1,N($X3840)))</f>
        <v/>
      </c>
      <c r="Z3841">
        <f>IF($V3841="","",IF($AA3841&gt;N($AA3840),$AA3841,""))</f>
        <v/>
      </c>
      <c r="AA3841">
        <f>IF($V3841="",N($AA3840),IF(MATCH($V3841,$V$6:$V$6005,0)=ROW()-5,N($AA3840)+1,N($AA3840)))</f>
        <v/>
      </c>
    </row>
    <row r="3842" ht="21" customHeight="1" s="66">
      <c r="A3842" s="56" t="n"/>
      <c r="B3842" s="57" t="n"/>
      <c r="C3842" s="57" t="n"/>
      <c r="D3842" s="57" t="n"/>
      <c r="E3842" s="56" t="n"/>
      <c r="F3842" s="57" t="n"/>
      <c r="G3842" s="57" t="n"/>
      <c r="H3842" s="56" t="n"/>
      <c r="I3842" s="56" t="n"/>
      <c r="J3842" s="58" t="n"/>
      <c r="K3842" s="58" t="n"/>
      <c r="L3842" s="13">
        <f>IF(OR($A3842="",AND($J3842="",$K3842="")),"",ROUND(N($J3842)-N($K3842),2))</f>
        <v/>
      </c>
      <c r="M3842" s="13">
        <f>IF(OR($A3842="",AND($J3842="",$K3842="")),"",MIN($J3842,$K3842))</f>
        <v/>
      </c>
      <c r="Q3842">
        <f>IF($A3842="","",$D3842&amp;"("&amp;SUBSTITUTE($E3842," ","")&amp;")")</f>
        <v/>
      </c>
      <c r="R3842">
        <f>IF($A3842="","",$B3842&amp;" - "&amp;$C3842)</f>
        <v/>
      </c>
      <c r="S3842">
        <f>IF($A3842="","",$R3842&amp;"|"&amp;$Q3842)</f>
        <v/>
      </c>
      <c r="T3842">
        <f>IF($A3842="","",$S3842&amp;"|"&amp;$F3842)</f>
        <v/>
      </c>
      <c r="U3842">
        <f>IF($A3842="","",$R3842&amp;"("&amp;$E3842&amp;")")</f>
        <v/>
      </c>
      <c r="V3842">
        <f>IF($A3842="","",$F3842&amp;"|"&amp;$U3842&amp;"|"&amp;$D3842)</f>
        <v/>
      </c>
      <c r="W3842">
        <f>IF($T3842="","",IF($X3842&gt;N($X3841),$X3842,""))</f>
        <v/>
      </c>
      <c r="X3842">
        <f>IF($T3842="",N($X3841),IF(MATCH($T3842,$T$6:$T$6005,0)=ROW()-5,N($X3841)+1,N($X3841)))</f>
        <v/>
      </c>
      <c r="Z3842">
        <f>IF($V3842="","",IF($AA3842&gt;N($AA3841),$AA3842,""))</f>
        <v/>
      </c>
      <c r="AA3842">
        <f>IF($V3842="",N($AA3841),IF(MATCH($V3842,$V$6:$V$6005,0)=ROW()-5,N($AA3841)+1,N($AA3841)))</f>
        <v/>
      </c>
    </row>
    <row r="3843" ht="21" customHeight="1" s="66">
      <c r="A3843" s="56" t="n"/>
      <c r="B3843" s="57" t="n"/>
      <c r="C3843" s="57" t="n"/>
      <c r="D3843" s="57" t="n"/>
      <c r="E3843" s="56" t="n"/>
      <c r="F3843" s="57" t="n"/>
      <c r="G3843" s="57" t="n"/>
      <c r="H3843" s="56" t="n"/>
      <c r="I3843" s="56" t="n"/>
      <c r="J3843" s="58" t="n"/>
      <c r="K3843" s="58" t="n"/>
      <c r="L3843" s="13">
        <f>IF(OR($A3843="",AND($J3843="",$K3843="")),"",ROUND(N($J3843)-N($K3843),2))</f>
        <v/>
      </c>
      <c r="M3843" s="13">
        <f>IF(OR($A3843="",AND($J3843="",$K3843="")),"",MIN($J3843,$K3843))</f>
        <v/>
      </c>
      <c r="Q3843">
        <f>IF($A3843="","",$D3843&amp;"("&amp;SUBSTITUTE($E3843," ","")&amp;")")</f>
        <v/>
      </c>
      <c r="R3843">
        <f>IF($A3843="","",$B3843&amp;" - "&amp;$C3843)</f>
        <v/>
      </c>
      <c r="S3843">
        <f>IF($A3843="","",$R3843&amp;"|"&amp;$Q3843)</f>
        <v/>
      </c>
      <c r="T3843">
        <f>IF($A3843="","",$S3843&amp;"|"&amp;$F3843)</f>
        <v/>
      </c>
      <c r="U3843">
        <f>IF($A3843="","",$R3843&amp;"("&amp;$E3843&amp;")")</f>
        <v/>
      </c>
      <c r="V3843">
        <f>IF($A3843="","",$F3843&amp;"|"&amp;$U3843&amp;"|"&amp;$D3843)</f>
        <v/>
      </c>
      <c r="W3843">
        <f>IF($T3843="","",IF($X3843&gt;N($X3842),$X3843,""))</f>
        <v/>
      </c>
      <c r="X3843">
        <f>IF($T3843="",N($X3842),IF(MATCH($T3843,$T$6:$T$6005,0)=ROW()-5,N($X3842)+1,N($X3842)))</f>
        <v/>
      </c>
      <c r="Z3843">
        <f>IF($V3843="","",IF($AA3843&gt;N($AA3842),$AA3843,""))</f>
        <v/>
      </c>
      <c r="AA3843">
        <f>IF($V3843="",N($AA3842),IF(MATCH($V3843,$V$6:$V$6005,0)=ROW()-5,N($AA3842)+1,N($AA3842)))</f>
        <v/>
      </c>
    </row>
    <row r="3844" ht="21" customHeight="1" s="66">
      <c r="A3844" s="56" t="n"/>
      <c r="B3844" s="57" t="n"/>
      <c r="C3844" s="57" t="n"/>
      <c r="D3844" s="57" t="n"/>
      <c r="E3844" s="56" t="n"/>
      <c r="F3844" s="57" t="n"/>
      <c r="G3844" s="57" t="n"/>
      <c r="H3844" s="56" t="n"/>
      <c r="I3844" s="56" t="n"/>
      <c r="J3844" s="58" t="n"/>
      <c r="K3844" s="58" t="n"/>
      <c r="L3844" s="13">
        <f>IF(OR($A3844="",AND($J3844="",$K3844="")),"",ROUND(N($J3844)-N($K3844),2))</f>
        <v/>
      </c>
      <c r="M3844" s="13">
        <f>IF(OR($A3844="",AND($J3844="",$K3844="")),"",MIN($J3844,$K3844))</f>
        <v/>
      </c>
      <c r="Q3844">
        <f>IF($A3844="","",$D3844&amp;"("&amp;SUBSTITUTE($E3844," ","")&amp;")")</f>
        <v/>
      </c>
      <c r="R3844">
        <f>IF($A3844="","",$B3844&amp;" - "&amp;$C3844)</f>
        <v/>
      </c>
      <c r="S3844">
        <f>IF($A3844="","",$R3844&amp;"|"&amp;$Q3844)</f>
        <v/>
      </c>
      <c r="T3844">
        <f>IF($A3844="","",$S3844&amp;"|"&amp;$F3844)</f>
        <v/>
      </c>
      <c r="U3844">
        <f>IF($A3844="","",$R3844&amp;"("&amp;$E3844&amp;")")</f>
        <v/>
      </c>
      <c r="V3844">
        <f>IF($A3844="","",$F3844&amp;"|"&amp;$U3844&amp;"|"&amp;$D3844)</f>
        <v/>
      </c>
      <c r="W3844">
        <f>IF($T3844="","",IF($X3844&gt;N($X3843),$X3844,""))</f>
        <v/>
      </c>
      <c r="X3844">
        <f>IF($T3844="",N($X3843),IF(MATCH($T3844,$T$6:$T$6005,0)=ROW()-5,N($X3843)+1,N($X3843)))</f>
        <v/>
      </c>
      <c r="Z3844">
        <f>IF($V3844="","",IF($AA3844&gt;N($AA3843),$AA3844,""))</f>
        <v/>
      </c>
      <c r="AA3844">
        <f>IF($V3844="",N($AA3843),IF(MATCH($V3844,$V$6:$V$6005,0)=ROW()-5,N($AA3843)+1,N($AA3843)))</f>
        <v/>
      </c>
    </row>
    <row r="3845" ht="21" customHeight="1" s="66">
      <c r="A3845" s="56" t="n"/>
      <c r="B3845" s="57" t="n"/>
      <c r="C3845" s="57" t="n"/>
      <c r="D3845" s="57" t="n"/>
      <c r="E3845" s="56" t="n"/>
      <c r="F3845" s="57" t="n"/>
      <c r="G3845" s="57" t="n"/>
      <c r="H3845" s="56" t="n"/>
      <c r="I3845" s="56" t="n"/>
      <c r="J3845" s="58" t="n"/>
      <c r="K3845" s="58" t="n"/>
      <c r="L3845" s="13">
        <f>IF(OR($A3845="",AND($J3845="",$K3845="")),"",ROUND(N($J3845)-N($K3845),2))</f>
        <v/>
      </c>
      <c r="M3845" s="13">
        <f>IF(OR($A3845="",AND($J3845="",$K3845="")),"",MIN($J3845,$K3845))</f>
        <v/>
      </c>
      <c r="Q3845">
        <f>IF($A3845="","",$D3845&amp;"("&amp;SUBSTITUTE($E3845," ","")&amp;")")</f>
        <v/>
      </c>
      <c r="R3845">
        <f>IF($A3845="","",$B3845&amp;" - "&amp;$C3845)</f>
        <v/>
      </c>
      <c r="S3845">
        <f>IF($A3845="","",$R3845&amp;"|"&amp;$Q3845)</f>
        <v/>
      </c>
      <c r="T3845">
        <f>IF($A3845="","",$S3845&amp;"|"&amp;$F3845)</f>
        <v/>
      </c>
      <c r="U3845">
        <f>IF($A3845="","",$R3845&amp;"("&amp;$E3845&amp;")")</f>
        <v/>
      </c>
      <c r="V3845">
        <f>IF($A3845="","",$F3845&amp;"|"&amp;$U3845&amp;"|"&amp;$D3845)</f>
        <v/>
      </c>
      <c r="W3845">
        <f>IF($T3845="","",IF($X3845&gt;N($X3844),$X3845,""))</f>
        <v/>
      </c>
      <c r="X3845">
        <f>IF($T3845="",N($X3844),IF(MATCH($T3845,$T$6:$T$6005,0)=ROW()-5,N($X3844)+1,N($X3844)))</f>
        <v/>
      </c>
      <c r="Z3845">
        <f>IF($V3845="","",IF($AA3845&gt;N($AA3844),$AA3845,""))</f>
        <v/>
      </c>
      <c r="AA3845">
        <f>IF($V3845="",N($AA3844),IF(MATCH($V3845,$V$6:$V$6005,0)=ROW()-5,N($AA3844)+1,N($AA3844)))</f>
        <v/>
      </c>
    </row>
    <row r="3846" ht="21" customHeight="1" s="66">
      <c r="A3846" s="56" t="n"/>
      <c r="B3846" s="57" t="n"/>
      <c r="C3846" s="57" t="n"/>
      <c r="D3846" s="57" t="n"/>
      <c r="E3846" s="56" t="n"/>
      <c r="F3846" s="57" t="n"/>
      <c r="G3846" s="57" t="n"/>
      <c r="H3846" s="56" t="n"/>
      <c r="I3846" s="56" t="n"/>
      <c r="J3846" s="58" t="n"/>
      <c r="K3846" s="58" t="n"/>
      <c r="L3846" s="13">
        <f>IF(OR($A3846="",AND($J3846="",$K3846="")),"",ROUND(N($J3846)-N($K3846),2))</f>
        <v/>
      </c>
      <c r="M3846" s="13">
        <f>IF(OR($A3846="",AND($J3846="",$K3846="")),"",MIN($J3846,$K3846))</f>
        <v/>
      </c>
      <c r="Q3846">
        <f>IF($A3846="","",$D3846&amp;"("&amp;SUBSTITUTE($E3846," ","")&amp;")")</f>
        <v/>
      </c>
      <c r="R3846">
        <f>IF($A3846="","",$B3846&amp;" - "&amp;$C3846)</f>
        <v/>
      </c>
      <c r="S3846">
        <f>IF($A3846="","",$R3846&amp;"|"&amp;$Q3846)</f>
        <v/>
      </c>
      <c r="T3846">
        <f>IF($A3846="","",$S3846&amp;"|"&amp;$F3846)</f>
        <v/>
      </c>
      <c r="U3846">
        <f>IF($A3846="","",$R3846&amp;"("&amp;$E3846&amp;")")</f>
        <v/>
      </c>
      <c r="V3846">
        <f>IF($A3846="","",$F3846&amp;"|"&amp;$U3846&amp;"|"&amp;$D3846)</f>
        <v/>
      </c>
      <c r="W3846">
        <f>IF($T3846="","",IF($X3846&gt;N($X3845),$X3846,""))</f>
        <v/>
      </c>
      <c r="X3846">
        <f>IF($T3846="",N($X3845),IF(MATCH($T3846,$T$6:$T$6005,0)=ROW()-5,N($X3845)+1,N($X3845)))</f>
        <v/>
      </c>
      <c r="Z3846">
        <f>IF($V3846="","",IF($AA3846&gt;N($AA3845),$AA3846,""))</f>
        <v/>
      </c>
      <c r="AA3846">
        <f>IF($V3846="",N($AA3845),IF(MATCH($V3846,$V$6:$V$6005,0)=ROW()-5,N($AA3845)+1,N($AA3845)))</f>
        <v/>
      </c>
    </row>
    <row r="3847" ht="21" customHeight="1" s="66">
      <c r="A3847" s="56" t="n"/>
      <c r="B3847" s="57" t="n"/>
      <c r="C3847" s="57" t="n"/>
      <c r="D3847" s="57" t="n"/>
      <c r="E3847" s="56" t="n"/>
      <c r="F3847" s="57" t="n"/>
      <c r="G3847" s="57" t="n"/>
      <c r="H3847" s="56" t="n"/>
      <c r="I3847" s="56" t="n"/>
      <c r="J3847" s="58" t="n"/>
      <c r="K3847" s="58" t="n"/>
      <c r="L3847" s="13">
        <f>IF(OR($A3847="",AND($J3847="",$K3847="")),"",ROUND(N($J3847)-N($K3847),2))</f>
        <v/>
      </c>
      <c r="M3847" s="13">
        <f>IF(OR($A3847="",AND($J3847="",$K3847="")),"",MIN($J3847,$K3847))</f>
        <v/>
      </c>
      <c r="Q3847">
        <f>IF($A3847="","",$D3847&amp;"("&amp;SUBSTITUTE($E3847," ","")&amp;")")</f>
        <v/>
      </c>
      <c r="R3847">
        <f>IF($A3847="","",$B3847&amp;" - "&amp;$C3847)</f>
        <v/>
      </c>
      <c r="S3847">
        <f>IF($A3847="","",$R3847&amp;"|"&amp;$Q3847)</f>
        <v/>
      </c>
      <c r="T3847">
        <f>IF($A3847="","",$S3847&amp;"|"&amp;$F3847)</f>
        <v/>
      </c>
      <c r="U3847">
        <f>IF($A3847="","",$R3847&amp;"("&amp;$E3847&amp;")")</f>
        <v/>
      </c>
      <c r="V3847">
        <f>IF($A3847="","",$F3847&amp;"|"&amp;$U3847&amp;"|"&amp;$D3847)</f>
        <v/>
      </c>
      <c r="W3847">
        <f>IF($T3847="","",IF($X3847&gt;N($X3846),$X3847,""))</f>
        <v/>
      </c>
      <c r="X3847">
        <f>IF($T3847="",N($X3846),IF(MATCH($T3847,$T$6:$T$6005,0)=ROW()-5,N($X3846)+1,N($X3846)))</f>
        <v/>
      </c>
      <c r="Z3847">
        <f>IF($V3847="","",IF($AA3847&gt;N($AA3846),$AA3847,""))</f>
        <v/>
      </c>
      <c r="AA3847">
        <f>IF($V3847="",N($AA3846),IF(MATCH($V3847,$V$6:$V$6005,0)=ROW()-5,N($AA3846)+1,N($AA3846)))</f>
        <v/>
      </c>
    </row>
    <row r="3848" ht="21" customHeight="1" s="66">
      <c r="A3848" s="56" t="n"/>
      <c r="B3848" s="57" t="n"/>
      <c r="C3848" s="57" t="n"/>
      <c r="D3848" s="57" t="n"/>
      <c r="E3848" s="56" t="n"/>
      <c r="F3848" s="57" t="n"/>
      <c r="G3848" s="57" t="n"/>
      <c r="H3848" s="56" t="n"/>
      <c r="I3848" s="56" t="n"/>
      <c r="J3848" s="58" t="n"/>
      <c r="K3848" s="58" t="n"/>
      <c r="L3848" s="13">
        <f>IF(OR($A3848="",AND($J3848="",$K3848="")),"",ROUND(N($J3848)-N($K3848),2))</f>
        <v/>
      </c>
      <c r="M3848" s="13">
        <f>IF(OR($A3848="",AND($J3848="",$K3848="")),"",MIN($J3848,$K3848))</f>
        <v/>
      </c>
      <c r="Q3848">
        <f>IF($A3848="","",$D3848&amp;"("&amp;SUBSTITUTE($E3848," ","")&amp;")")</f>
        <v/>
      </c>
      <c r="R3848">
        <f>IF($A3848="","",$B3848&amp;" - "&amp;$C3848)</f>
        <v/>
      </c>
      <c r="S3848">
        <f>IF($A3848="","",$R3848&amp;"|"&amp;$Q3848)</f>
        <v/>
      </c>
      <c r="T3848">
        <f>IF($A3848="","",$S3848&amp;"|"&amp;$F3848)</f>
        <v/>
      </c>
      <c r="U3848">
        <f>IF($A3848="","",$R3848&amp;"("&amp;$E3848&amp;")")</f>
        <v/>
      </c>
      <c r="V3848">
        <f>IF($A3848="","",$F3848&amp;"|"&amp;$U3848&amp;"|"&amp;$D3848)</f>
        <v/>
      </c>
      <c r="W3848">
        <f>IF($T3848="","",IF($X3848&gt;N($X3847),$X3848,""))</f>
        <v/>
      </c>
      <c r="X3848">
        <f>IF($T3848="",N($X3847),IF(MATCH($T3848,$T$6:$T$6005,0)=ROW()-5,N($X3847)+1,N($X3847)))</f>
        <v/>
      </c>
      <c r="Z3848">
        <f>IF($V3848="","",IF($AA3848&gt;N($AA3847),$AA3848,""))</f>
        <v/>
      </c>
      <c r="AA3848">
        <f>IF($V3848="",N($AA3847),IF(MATCH($V3848,$V$6:$V$6005,0)=ROW()-5,N($AA3847)+1,N($AA3847)))</f>
        <v/>
      </c>
    </row>
    <row r="3849" ht="21" customHeight="1" s="66">
      <c r="A3849" s="56" t="n"/>
      <c r="B3849" s="57" t="n"/>
      <c r="C3849" s="57" t="n"/>
      <c r="D3849" s="57" t="n"/>
      <c r="E3849" s="56" t="n"/>
      <c r="F3849" s="57" t="n"/>
      <c r="G3849" s="57" t="n"/>
      <c r="H3849" s="56" t="n"/>
      <c r="I3849" s="56" t="n"/>
      <c r="J3849" s="58" t="n"/>
      <c r="K3849" s="58" t="n"/>
      <c r="L3849" s="13">
        <f>IF(OR($A3849="",AND($J3849="",$K3849="")),"",ROUND(N($J3849)-N($K3849),2))</f>
        <v/>
      </c>
      <c r="M3849" s="13">
        <f>IF(OR($A3849="",AND($J3849="",$K3849="")),"",MIN($J3849,$K3849))</f>
        <v/>
      </c>
      <c r="Q3849">
        <f>IF($A3849="","",$D3849&amp;"("&amp;SUBSTITUTE($E3849," ","")&amp;")")</f>
        <v/>
      </c>
      <c r="R3849">
        <f>IF($A3849="","",$B3849&amp;" - "&amp;$C3849)</f>
        <v/>
      </c>
      <c r="S3849">
        <f>IF($A3849="","",$R3849&amp;"|"&amp;$Q3849)</f>
        <v/>
      </c>
      <c r="T3849">
        <f>IF($A3849="","",$S3849&amp;"|"&amp;$F3849)</f>
        <v/>
      </c>
      <c r="U3849">
        <f>IF($A3849="","",$R3849&amp;"("&amp;$E3849&amp;")")</f>
        <v/>
      </c>
      <c r="V3849">
        <f>IF($A3849="","",$F3849&amp;"|"&amp;$U3849&amp;"|"&amp;$D3849)</f>
        <v/>
      </c>
      <c r="W3849">
        <f>IF($T3849="","",IF($X3849&gt;N($X3848),$X3849,""))</f>
        <v/>
      </c>
      <c r="X3849">
        <f>IF($T3849="",N($X3848),IF(MATCH($T3849,$T$6:$T$6005,0)=ROW()-5,N($X3848)+1,N($X3848)))</f>
        <v/>
      </c>
      <c r="Z3849">
        <f>IF($V3849="","",IF($AA3849&gt;N($AA3848),$AA3849,""))</f>
        <v/>
      </c>
      <c r="AA3849">
        <f>IF($V3849="",N($AA3848),IF(MATCH($V3849,$V$6:$V$6005,0)=ROW()-5,N($AA3848)+1,N($AA3848)))</f>
        <v/>
      </c>
    </row>
    <row r="3850" ht="21" customHeight="1" s="66">
      <c r="A3850" s="56" t="n"/>
      <c r="B3850" s="57" t="n"/>
      <c r="C3850" s="57" t="n"/>
      <c r="D3850" s="57" t="n"/>
      <c r="E3850" s="56" t="n"/>
      <c r="F3850" s="57" t="n"/>
      <c r="G3850" s="57" t="n"/>
      <c r="H3850" s="56" t="n"/>
      <c r="I3850" s="56" t="n"/>
      <c r="J3850" s="58" t="n"/>
      <c r="K3850" s="58" t="n"/>
      <c r="L3850" s="13">
        <f>IF(OR($A3850="",AND($J3850="",$K3850="")),"",ROUND(N($J3850)-N($K3850),2))</f>
        <v/>
      </c>
      <c r="M3850" s="13">
        <f>IF(OR($A3850="",AND($J3850="",$K3850="")),"",MIN($J3850,$K3850))</f>
        <v/>
      </c>
      <c r="Q3850">
        <f>IF($A3850="","",$D3850&amp;"("&amp;SUBSTITUTE($E3850," ","")&amp;")")</f>
        <v/>
      </c>
      <c r="R3850">
        <f>IF($A3850="","",$B3850&amp;" - "&amp;$C3850)</f>
        <v/>
      </c>
      <c r="S3850">
        <f>IF($A3850="","",$R3850&amp;"|"&amp;$Q3850)</f>
        <v/>
      </c>
      <c r="T3850">
        <f>IF($A3850="","",$S3850&amp;"|"&amp;$F3850)</f>
        <v/>
      </c>
      <c r="U3850">
        <f>IF($A3850="","",$R3850&amp;"("&amp;$E3850&amp;")")</f>
        <v/>
      </c>
      <c r="V3850">
        <f>IF($A3850="","",$F3850&amp;"|"&amp;$U3850&amp;"|"&amp;$D3850)</f>
        <v/>
      </c>
      <c r="W3850">
        <f>IF($T3850="","",IF($X3850&gt;N($X3849),$X3850,""))</f>
        <v/>
      </c>
      <c r="X3850">
        <f>IF($T3850="",N($X3849),IF(MATCH($T3850,$T$6:$T$6005,0)=ROW()-5,N($X3849)+1,N($X3849)))</f>
        <v/>
      </c>
      <c r="Z3850">
        <f>IF($V3850="","",IF($AA3850&gt;N($AA3849),$AA3850,""))</f>
        <v/>
      </c>
      <c r="AA3850">
        <f>IF($V3850="",N($AA3849),IF(MATCH($V3850,$V$6:$V$6005,0)=ROW()-5,N($AA3849)+1,N($AA3849)))</f>
        <v/>
      </c>
    </row>
    <row r="3851" ht="21" customHeight="1" s="66">
      <c r="A3851" s="56" t="n"/>
      <c r="B3851" s="57" t="n"/>
      <c r="C3851" s="57" t="n"/>
      <c r="D3851" s="57" t="n"/>
      <c r="E3851" s="56" t="n"/>
      <c r="F3851" s="57" t="n"/>
      <c r="G3851" s="57" t="n"/>
      <c r="H3851" s="56" t="n"/>
      <c r="I3851" s="56" t="n"/>
      <c r="J3851" s="58" t="n"/>
      <c r="K3851" s="58" t="n"/>
      <c r="L3851" s="13">
        <f>IF(OR($A3851="",AND($J3851="",$K3851="")),"",ROUND(N($J3851)-N($K3851),2))</f>
        <v/>
      </c>
      <c r="M3851" s="13">
        <f>IF(OR($A3851="",AND($J3851="",$K3851="")),"",MIN($J3851,$K3851))</f>
        <v/>
      </c>
      <c r="Q3851">
        <f>IF($A3851="","",$D3851&amp;"("&amp;SUBSTITUTE($E3851," ","")&amp;")")</f>
        <v/>
      </c>
      <c r="R3851">
        <f>IF($A3851="","",$B3851&amp;" - "&amp;$C3851)</f>
        <v/>
      </c>
      <c r="S3851">
        <f>IF($A3851="","",$R3851&amp;"|"&amp;$Q3851)</f>
        <v/>
      </c>
      <c r="T3851">
        <f>IF($A3851="","",$S3851&amp;"|"&amp;$F3851)</f>
        <v/>
      </c>
      <c r="U3851">
        <f>IF($A3851="","",$R3851&amp;"("&amp;$E3851&amp;")")</f>
        <v/>
      </c>
      <c r="V3851">
        <f>IF($A3851="","",$F3851&amp;"|"&amp;$U3851&amp;"|"&amp;$D3851)</f>
        <v/>
      </c>
      <c r="W3851">
        <f>IF($T3851="","",IF($X3851&gt;N($X3850),$X3851,""))</f>
        <v/>
      </c>
      <c r="X3851">
        <f>IF($T3851="",N($X3850),IF(MATCH($T3851,$T$6:$T$6005,0)=ROW()-5,N($X3850)+1,N($X3850)))</f>
        <v/>
      </c>
      <c r="Z3851">
        <f>IF($V3851="","",IF($AA3851&gt;N($AA3850),$AA3851,""))</f>
        <v/>
      </c>
      <c r="AA3851">
        <f>IF($V3851="",N($AA3850),IF(MATCH($V3851,$V$6:$V$6005,0)=ROW()-5,N($AA3850)+1,N($AA3850)))</f>
        <v/>
      </c>
    </row>
    <row r="3852" ht="21" customHeight="1" s="66">
      <c r="A3852" s="56" t="n"/>
      <c r="B3852" s="57" t="n"/>
      <c r="C3852" s="57" t="n"/>
      <c r="D3852" s="57" t="n"/>
      <c r="E3852" s="56" t="n"/>
      <c r="F3852" s="57" t="n"/>
      <c r="G3852" s="57" t="n"/>
      <c r="H3852" s="56" t="n"/>
      <c r="I3852" s="56" t="n"/>
      <c r="J3852" s="58" t="n"/>
      <c r="K3852" s="58" t="n"/>
      <c r="L3852" s="13">
        <f>IF(OR($A3852="",AND($J3852="",$K3852="")),"",ROUND(N($J3852)-N($K3852),2))</f>
        <v/>
      </c>
      <c r="M3852" s="13">
        <f>IF(OR($A3852="",AND($J3852="",$K3852="")),"",MIN($J3852,$K3852))</f>
        <v/>
      </c>
      <c r="Q3852">
        <f>IF($A3852="","",$D3852&amp;"("&amp;SUBSTITUTE($E3852," ","")&amp;")")</f>
        <v/>
      </c>
      <c r="R3852">
        <f>IF($A3852="","",$B3852&amp;" - "&amp;$C3852)</f>
        <v/>
      </c>
      <c r="S3852">
        <f>IF($A3852="","",$R3852&amp;"|"&amp;$Q3852)</f>
        <v/>
      </c>
      <c r="T3852">
        <f>IF($A3852="","",$S3852&amp;"|"&amp;$F3852)</f>
        <v/>
      </c>
      <c r="U3852">
        <f>IF($A3852="","",$R3852&amp;"("&amp;$E3852&amp;")")</f>
        <v/>
      </c>
      <c r="V3852">
        <f>IF($A3852="","",$F3852&amp;"|"&amp;$U3852&amp;"|"&amp;$D3852)</f>
        <v/>
      </c>
      <c r="W3852">
        <f>IF($T3852="","",IF($X3852&gt;N($X3851),$X3852,""))</f>
        <v/>
      </c>
      <c r="X3852">
        <f>IF($T3852="",N($X3851),IF(MATCH($T3852,$T$6:$T$6005,0)=ROW()-5,N($X3851)+1,N($X3851)))</f>
        <v/>
      </c>
      <c r="Z3852">
        <f>IF($V3852="","",IF($AA3852&gt;N($AA3851),$AA3852,""))</f>
        <v/>
      </c>
      <c r="AA3852">
        <f>IF($V3852="",N($AA3851),IF(MATCH($V3852,$V$6:$V$6005,0)=ROW()-5,N($AA3851)+1,N($AA3851)))</f>
        <v/>
      </c>
    </row>
    <row r="3853" ht="21" customHeight="1" s="66">
      <c r="A3853" s="56" t="n"/>
      <c r="B3853" s="57" t="n"/>
      <c r="C3853" s="57" t="n"/>
      <c r="D3853" s="57" t="n"/>
      <c r="E3853" s="56" t="n"/>
      <c r="F3853" s="57" t="n"/>
      <c r="G3853" s="57" t="n"/>
      <c r="H3853" s="56" t="n"/>
      <c r="I3853" s="56" t="n"/>
      <c r="J3853" s="58" t="n"/>
      <c r="K3853" s="58" t="n"/>
      <c r="L3853" s="13">
        <f>IF(OR($A3853="",AND($J3853="",$K3853="")),"",ROUND(N($J3853)-N($K3853),2))</f>
        <v/>
      </c>
      <c r="M3853" s="13">
        <f>IF(OR($A3853="",AND($J3853="",$K3853="")),"",MIN($J3853,$K3853))</f>
        <v/>
      </c>
      <c r="Q3853">
        <f>IF($A3853="","",$D3853&amp;"("&amp;SUBSTITUTE($E3853," ","")&amp;")")</f>
        <v/>
      </c>
      <c r="R3853">
        <f>IF($A3853="","",$B3853&amp;" - "&amp;$C3853)</f>
        <v/>
      </c>
      <c r="S3853">
        <f>IF($A3853="","",$R3853&amp;"|"&amp;$Q3853)</f>
        <v/>
      </c>
      <c r="T3853">
        <f>IF($A3853="","",$S3853&amp;"|"&amp;$F3853)</f>
        <v/>
      </c>
      <c r="U3853">
        <f>IF($A3853="","",$R3853&amp;"("&amp;$E3853&amp;")")</f>
        <v/>
      </c>
      <c r="V3853">
        <f>IF($A3853="","",$F3853&amp;"|"&amp;$U3853&amp;"|"&amp;$D3853)</f>
        <v/>
      </c>
      <c r="W3853">
        <f>IF($T3853="","",IF($X3853&gt;N($X3852),$X3853,""))</f>
        <v/>
      </c>
      <c r="X3853">
        <f>IF($T3853="",N($X3852),IF(MATCH($T3853,$T$6:$T$6005,0)=ROW()-5,N($X3852)+1,N($X3852)))</f>
        <v/>
      </c>
      <c r="Z3853">
        <f>IF($V3853="","",IF($AA3853&gt;N($AA3852),$AA3853,""))</f>
        <v/>
      </c>
      <c r="AA3853">
        <f>IF($V3853="",N($AA3852),IF(MATCH($V3853,$V$6:$V$6005,0)=ROW()-5,N($AA3852)+1,N($AA3852)))</f>
        <v/>
      </c>
    </row>
    <row r="3854" ht="21" customHeight="1" s="66">
      <c r="A3854" s="56" t="n"/>
      <c r="B3854" s="57" t="n"/>
      <c r="C3854" s="57" t="n"/>
      <c r="D3854" s="57" t="n"/>
      <c r="E3854" s="56" t="n"/>
      <c r="F3854" s="57" t="n"/>
      <c r="G3854" s="57" t="n"/>
      <c r="H3854" s="56" t="n"/>
      <c r="I3854" s="56" t="n"/>
      <c r="J3854" s="58" t="n"/>
      <c r="K3854" s="58" t="n"/>
      <c r="L3854" s="13">
        <f>IF(OR($A3854="",AND($J3854="",$K3854="")),"",ROUND(N($J3854)-N($K3854),2))</f>
        <v/>
      </c>
      <c r="M3854" s="13">
        <f>IF(OR($A3854="",AND($J3854="",$K3854="")),"",MIN($J3854,$K3854))</f>
        <v/>
      </c>
      <c r="Q3854">
        <f>IF($A3854="","",$D3854&amp;"("&amp;SUBSTITUTE($E3854," ","")&amp;")")</f>
        <v/>
      </c>
      <c r="R3854">
        <f>IF($A3854="","",$B3854&amp;" - "&amp;$C3854)</f>
        <v/>
      </c>
      <c r="S3854">
        <f>IF($A3854="","",$R3854&amp;"|"&amp;$Q3854)</f>
        <v/>
      </c>
      <c r="T3854">
        <f>IF($A3854="","",$S3854&amp;"|"&amp;$F3854)</f>
        <v/>
      </c>
      <c r="U3854">
        <f>IF($A3854="","",$R3854&amp;"("&amp;$E3854&amp;")")</f>
        <v/>
      </c>
      <c r="V3854">
        <f>IF($A3854="","",$F3854&amp;"|"&amp;$U3854&amp;"|"&amp;$D3854)</f>
        <v/>
      </c>
      <c r="W3854">
        <f>IF($T3854="","",IF($X3854&gt;N($X3853),$X3854,""))</f>
        <v/>
      </c>
      <c r="X3854">
        <f>IF($T3854="",N($X3853),IF(MATCH($T3854,$T$6:$T$6005,0)=ROW()-5,N($X3853)+1,N($X3853)))</f>
        <v/>
      </c>
      <c r="Z3854">
        <f>IF($V3854="","",IF($AA3854&gt;N($AA3853),$AA3854,""))</f>
        <v/>
      </c>
      <c r="AA3854">
        <f>IF($V3854="",N($AA3853),IF(MATCH($V3854,$V$6:$V$6005,0)=ROW()-5,N($AA3853)+1,N($AA3853)))</f>
        <v/>
      </c>
    </row>
    <row r="3855" ht="21" customHeight="1" s="66">
      <c r="A3855" s="56" t="n"/>
      <c r="B3855" s="57" t="n"/>
      <c r="C3855" s="57" t="n"/>
      <c r="D3855" s="57" t="n"/>
      <c r="E3855" s="56" t="n"/>
      <c r="F3855" s="57" t="n"/>
      <c r="G3855" s="57" t="n"/>
      <c r="H3855" s="56" t="n"/>
      <c r="I3855" s="56" t="n"/>
      <c r="J3855" s="58" t="n"/>
      <c r="K3855" s="58" t="n"/>
      <c r="L3855" s="13">
        <f>IF(OR($A3855="",AND($J3855="",$K3855="")),"",ROUND(N($J3855)-N($K3855),2))</f>
        <v/>
      </c>
      <c r="M3855" s="13">
        <f>IF(OR($A3855="",AND($J3855="",$K3855="")),"",MIN($J3855,$K3855))</f>
        <v/>
      </c>
      <c r="Q3855">
        <f>IF($A3855="","",$D3855&amp;"("&amp;SUBSTITUTE($E3855," ","")&amp;")")</f>
        <v/>
      </c>
      <c r="R3855">
        <f>IF($A3855="","",$B3855&amp;" - "&amp;$C3855)</f>
        <v/>
      </c>
      <c r="S3855">
        <f>IF($A3855="","",$R3855&amp;"|"&amp;$Q3855)</f>
        <v/>
      </c>
      <c r="T3855">
        <f>IF($A3855="","",$S3855&amp;"|"&amp;$F3855)</f>
        <v/>
      </c>
      <c r="U3855">
        <f>IF($A3855="","",$R3855&amp;"("&amp;$E3855&amp;")")</f>
        <v/>
      </c>
      <c r="V3855">
        <f>IF($A3855="","",$F3855&amp;"|"&amp;$U3855&amp;"|"&amp;$D3855)</f>
        <v/>
      </c>
      <c r="W3855">
        <f>IF($T3855="","",IF($X3855&gt;N($X3854),$X3855,""))</f>
        <v/>
      </c>
      <c r="X3855">
        <f>IF($T3855="",N($X3854),IF(MATCH($T3855,$T$6:$T$6005,0)=ROW()-5,N($X3854)+1,N($X3854)))</f>
        <v/>
      </c>
      <c r="Z3855">
        <f>IF($V3855="","",IF($AA3855&gt;N($AA3854),$AA3855,""))</f>
        <v/>
      </c>
      <c r="AA3855">
        <f>IF($V3855="",N($AA3854),IF(MATCH($V3855,$V$6:$V$6005,0)=ROW()-5,N($AA3854)+1,N($AA3854)))</f>
        <v/>
      </c>
    </row>
    <row r="3856" ht="21" customHeight="1" s="66">
      <c r="A3856" s="56" t="n"/>
      <c r="B3856" s="57" t="n"/>
      <c r="C3856" s="57" t="n"/>
      <c r="D3856" s="57" t="n"/>
      <c r="E3856" s="56" t="n"/>
      <c r="F3856" s="57" t="n"/>
      <c r="G3856" s="57" t="n"/>
      <c r="H3856" s="56" t="n"/>
      <c r="I3856" s="56" t="n"/>
      <c r="J3856" s="58" t="n"/>
      <c r="K3856" s="58" t="n"/>
      <c r="L3856" s="13">
        <f>IF(OR($A3856="",AND($J3856="",$K3856="")),"",ROUND(N($J3856)-N($K3856),2))</f>
        <v/>
      </c>
      <c r="M3856" s="13">
        <f>IF(OR($A3856="",AND($J3856="",$K3856="")),"",MIN($J3856,$K3856))</f>
        <v/>
      </c>
      <c r="Q3856">
        <f>IF($A3856="","",$D3856&amp;"("&amp;SUBSTITUTE($E3856," ","")&amp;")")</f>
        <v/>
      </c>
      <c r="R3856">
        <f>IF($A3856="","",$B3856&amp;" - "&amp;$C3856)</f>
        <v/>
      </c>
      <c r="S3856">
        <f>IF($A3856="","",$R3856&amp;"|"&amp;$Q3856)</f>
        <v/>
      </c>
      <c r="T3856">
        <f>IF($A3856="","",$S3856&amp;"|"&amp;$F3856)</f>
        <v/>
      </c>
      <c r="U3856">
        <f>IF($A3856="","",$R3856&amp;"("&amp;$E3856&amp;")")</f>
        <v/>
      </c>
      <c r="V3856">
        <f>IF($A3856="","",$F3856&amp;"|"&amp;$U3856&amp;"|"&amp;$D3856)</f>
        <v/>
      </c>
      <c r="W3856">
        <f>IF($T3856="","",IF($X3856&gt;N($X3855),$X3856,""))</f>
        <v/>
      </c>
      <c r="X3856">
        <f>IF($T3856="",N($X3855),IF(MATCH($T3856,$T$6:$T$6005,0)=ROW()-5,N($X3855)+1,N($X3855)))</f>
        <v/>
      </c>
      <c r="Z3856">
        <f>IF($V3856="","",IF($AA3856&gt;N($AA3855),$AA3856,""))</f>
        <v/>
      </c>
      <c r="AA3856">
        <f>IF($V3856="",N($AA3855),IF(MATCH($V3856,$V$6:$V$6005,0)=ROW()-5,N($AA3855)+1,N($AA3855)))</f>
        <v/>
      </c>
    </row>
    <row r="3857" ht="21" customHeight="1" s="66">
      <c r="A3857" s="56" t="n"/>
      <c r="B3857" s="57" t="n"/>
      <c r="C3857" s="57" t="n"/>
      <c r="D3857" s="57" t="n"/>
      <c r="E3857" s="56" t="n"/>
      <c r="F3857" s="57" t="n"/>
      <c r="G3857" s="57" t="n"/>
      <c r="H3857" s="56" t="n"/>
      <c r="I3857" s="56" t="n"/>
      <c r="J3857" s="58" t="n"/>
      <c r="K3857" s="58" t="n"/>
      <c r="L3857" s="13">
        <f>IF(OR($A3857="",AND($J3857="",$K3857="")),"",ROUND(N($J3857)-N($K3857),2))</f>
        <v/>
      </c>
      <c r="M3857" s="13">
        <f>IF(OR($A3857="",AND($J3857="",$K3857="")),"",MIN($J3857,$K3857))</f>
        <v/>
      </c>
      <c r="Q3857">
        <f>IF($A3857="","",$D3857&amp;"("&amp;SUBSTITUTE($E3857," ","")&amp;")")</f>
        <v/>
      </c>
      <c r="R3857">
        <f>IF($A3857="","",$B3857&amp;" - "&amp;$C3857)</f>
        <v/>
      </c>
      <c r="S3857">
        <f>IF($A3857="","",$R3857&amp;"|"&amp;$Q3857)</f>
        <v/>
      </c>
      <c r="T3857">
        <f>IF($A3857="","",$S3857&amp;"|"&amp;$F3857)</f>
        <v/>
      </c>
      <c r="U3857">
        <f>IF($A3857="","",$R3857&amp;"("&amp;$E3857&amp;")")</f>
        <v/>
      </c>
      <c r="V3857">
        <f>IF($A3857="","",$F3857&amp;"|"&amp;$U3857&amp;"|"&amp;$D3857)</f>
        <v/>
      </c>
      <c r="W3857">
        <f>IF($T3857="","",IF($X3857&gt;N($X3856),$X3857,""))</f>
        <v/>
      </c>
      <c r="X3857">
        <f>IF($T3857="",N($X3856),IF(MATCH($T3857,$T$6:$T$6005,0)=ROW()-5,N($X3856)+1,N($X3856)))</f>
        <v/>
      </c>
      <c r="Z3857">
        <f>IF($V3857="","",IF($AA3857&gt;N($AA3856),$AA3857,""))</f>
        <v/>
      </c>
      <c r="AA3857">
        <f>IF($V3857="",N($AA3856),IF(MATCH($V3857,$V$6:$V$6005,0)=ROW()-5,N($AA3856)+1,N($AA3856)))</f>
        <v/>
      </c>
    </row>
    <row r="3858" ht="21" customHeight="1" s="66">
      <c r="A3858" s="56" t="n"/>
      <c r="B3858" s="57" t="n"/>
      <c r="C3858" s="57" t="n"/>
      <c r="D3858" s="57" t="n"/>
      <c r="E3858" s="56" t="n"/>
      <c r="F3858" s="57" t="n"/>
      <c r="G3858" s="57" t="n"/>
      <c r="H3858" s="56" t="n"/>
      <c r="I3858" s="56" t="n"/>
      <c r="J3858" s="58" t="n"/>
      <c r="K3858" s="58" t="n"/>
      <c r="L3858" s="13">
        <f>IF(OR($A3858="",AND($J3858="",$K3858="")),"",ROUND(N($J3858)-N($K3858),2))</f>
        <v/>
      </c>
      <c r="M3858" s="13">
        <f>IF(OR($A3858="",AND($J3858="",$K3858="")),"",MIN($J3858,$K3858))</f>
        <v/>
      </c>
      <c r="Q3858">
        <f>IF($A3858="","",$D3858&amp;"("&amp;SUBSTITUTE($E3858," ","")&amp;")")</f>
        <v/>
      </c>
      <c r="R3858">
        <f>IF($A3858="","",$B3858&amp;" - "&amp;$C3858)</f>
        <v/>
      </c>
      <c r="S3858">
        <f>IF($A3858="","",$R3858&amp;"|"&amp;$Q3858)</f>
        <v/>
      </c>
      <c r="T3858">
        <f>IF($A3858="","",$S3858&amp;"|"&amp;$F3858)</f>
        <v/>
      </c>
      <c r="U3858">
        <f>IF($A3858="","",$R3858&amp;"("&amp;$E3858&amp;")")</f>
        <v/>
      </c>
      <c r="V3858">
        <f>IF($A3858="","",$F3858&amp;"|"&amp;$U3858&amp;"|"&amp;$D3858)</f>
        <v/>
      </c>
      <c r="W3858">
        <f>IF($T3858="","",IF($X3858&gt;N($X3857),$X3858,""))</f>
        <v/>
      </c>
      <c r="X3858">
        <f>IF($T3858="",N($X3857),IF(MATCH($T3858,$T$6:$T$6005,0)=ROW()-5,N($X3857)+1,N($X3857)))</f>
        <v/>
      </c>
      <c r="Z3858">
        <f>IF($V3858="","",IF($AA3858&gt;N($AA3857),$AA3858,""))</f>
        <v/>
      </c>
      <c r="AA3858">
        <f>IF($V3858="",N($AA3857),IF(MATCH($V3858,$V$6:$V$6005,0)=ROW()-5,N($AA3857)+1,N($AA3857)))</f>
        <v/>
      </c>
    </row>
    <row r="3859" ht="21" customHeight="1" s="66">
      <c r="A3859" s="56" t="n"/>
      <c r="B3859" s="57" t="n"/>
      <c r="C3859" s="57" t="n"/>
      <c r="D3859" s="57" t="n"/>
      <c r="E3859" s="56" t="n"/>
      <c r="F3859" s="57" t="n"/>
      <c r="G3859" s="57" t="n"/>
      <c r="H3859" s="56" t="n"/>
      <c r="I3859" s="56" t="n"/>
      <c r="J3859" s="58" t="n"/>
      <c r="K3859" s="58" t="n"/>
      <c r="L3859" s="13">
        <f>IF(OR($A3859="",AND($J3859="",$K3859="")),"",ROUND(N($J3859)-N($K3859),2))</f>
        <v/>
      </c>
      <c r="M3859" s="13">
        <f>IF(OR($A3859="",AND($J3859="",$K3859="")),"",MIN($J3859,$K3859))</f>
        <v/>
      </c>
      <c r="Q3859">
        <f>IF($A3859="","",$D3859&amp;"("&amp;SUBSTITUTE($E3859," ","")&amp;")")</f>
        <v/>
      </c>
      <c r="R3859">
        <f>IF($A3859="","",$B3859&amp;" - "&amp;$C3859)</f>
        <v/>
      </c>
      <c r="S3859">
        <f>IF($A3859="","",$R3859&amp;"|"&amp;$Q3859)</f>
        <v/>
      </c>
      <c r="T3859">
        <f>IF($A3859="","",$S3859&amp;"|"&amp;$F3859)</f>
        <v/>
      </c>
      <c r="U3859">
        <f>IF($A3859="","",$R3859&amp;"("&amp;$E3859&amp;")")</f>
        <v/>
      </c>
      <c r="V3859">
        <f>IF($A3859="","",$F3859&amp;"|"&amp;$U3859&amp;"|"&amp;$D3859)</f>
        <v/>
      </c>
      <c r="W3859">
        <f>IF($T3859="","",IF($X3859&gt;N($X3858),$X3859,""))</f>
        <v/>
      </c>
      <c r="X3859">
        <f>IF($T3859="",N($X3858),IF(MATCH($T3859,$T$6:$T$6005,0)=ROW()-5,N($X3858)+1,N($X3858)))</f>
        <v/>
      </c>
      <c r="Z3859">
        <f>IF($V3859="","",IF($AA3859&gt;N($AA3858),$AA3859,""))</f>
        <v/>
      </c>
      <c r="AA3859">
        <f>IF($V3859="",N($AA3858),IF(MATCH($V3859,$V$6:$V$6005,0)=ROW()-5,N($AA3858)+1,N($AA3858)))</f>
        <v/>
      </c>
    </row>
    <row r="3860" ht="21" customHeight="1" s="66">
      <c r="A3860" s="56" t="n"/>
      <c r="B3860" s="57" t="n"/>
      <c r="C3860" s="57" t="n"/>
      <c r="D3860" s="57" t="n"/>
      <c r="E3860" s="56" t="n"/>
      <c r="F3860" s="57" t="n"/>
      <c r="G3860" s="57" t="n"/>
      <c r="H3860" s="56" t="n"/>
      <c r="I3860" s="56" t="n"/>
      <c r="J3860" s="58" t="n"/>
      <c r="K3860" s="58" t="n"/>
      <c r="L3860" s="13">
        <f>IF(OR($A3860="",AND($J3860="",$K3860="")),"",ROUND(N($J3860)-N($K3860),2))</f>
        <v/>
      </c>
      <c r="M3860" s="13">
        <f>IF(OR($A3860="",AND($J3860="",$K3860="")),"",MIN($J3860,$K3860))</f>
        <v/>
      </c>
      <c r="Q3860">
        <f>IF($A3860="","",$D3860&amp;"("&amp;SUBSTITUTE($E3860," ","")&amp;")")</f>
        <v/>
      </c>
      <c r="R3860">
        <f>IF($A3860="","",$B3860&amp;" - "&amp;$C3860)</f>
        <v/>
      </c>
      <c r="S3860">
        <f>IF($A3860="","",$R3860&amp;"|"&amp;$Q3860)</f>
        <v/>
      </c>
      <c r="T3860">
        <f>IF($A3860="","",$S3860&amp;"|"&amp;$F3860)</f>
        <v/>
      </c>
      <c r="U3860">
        <f>IF($A3860="","",$R3860&amp;"("&amp;$E3860&amp;")")</f>
        <v/>
      </c>
      <c r="V3860">
        <f>IF($A3860="","",$F3860&amp;"|"&amp;$U3860&amp;"|"&amp;$D3860)</f>
        <v/>
      </c>
      <c r="W3860">
        <f>IF($T3860="","",IF($X3860&gt;N($X3859),$X3860,""))</f>
        <v/>
      </c>
      <c r="X3860">
        <f>IF($T3860="",N($X3859),IF(MATCH($T3860,$T$6:$T$6005,0)=ROW()-5,N($X3859)+1,N($X3859)))</f>
        <v/>
      </c>
      <c r="Z3860">
        <f>IF($V3860="","",IF($AA3860&gt;N($AA3859),$AA3860,""))</f>
        <v/>
      </c>
      <c r="AA3860">
        <f>IF($V3860="",N($AA3859),IF(MATCH($V3860,$V$6:$V$6005,0)=ROW()-5,N($AA3859)+1,N($AA3859)))</f>
        <v/>
      </c>
    </row>
    <row r="3861" ht="21" customHeight="1" s="66">
      <c r="A3861" s="56" t="n"/>
      <c r="B3861" s="57" t="n"/>
      <c r="C3861" s="57" t="n"/>
      <c r="D3861" s="57" t="n"/>
      <c r="E3861" s="56" t="n"/>
      <c r="F3861" s="57" t="n"/>
      <c r="G3861" s="57" t="n"/>
      <c r="H3861" s="56" t="n"/>
      <c r="I3861" s="56" t="n"/>
      <c r="J3861" s="58" t="n"/>
      <c r="K3861" s="58" t="n"/>
      <c r="L3861" s="13">
        <f>IF(OR($A3861="",AND($J3861="",$K3861="")),"",ROUND(N($J3861)-N($K3861),2))</f>
        <v/>
      </c>
      <c r="M3861" s="13">
        <f>IF(OR($A3861="",AND($J3861="",$K3861="")),"",MIN($J3861,$K3861))</f>
        <v/>
      </c>
      <c r="Q3861">
        <f>IF($A3861="","",$D3861&amp;"("&amp;SUBSTITUTE($E3861," ","")&amp;")")</f>
        <v/>
      </c>
      <c r="R3861">
        <f>IF($A3861="","",$B3861&amp;" - "&amp;$C3861)</f>
        <v/>
      </c>
      <c r="S3861">
        <f>IF($A3861="","",$R3861&amp;"|"&amp;$Q3861)</f>
        <v/>
      </c>
      <c r="T3861">
        <f>IF($A3861="","",$S3861&amp;"|"&amp;$F3861)</f>
        <v/>
      </c>
      <c r="U3861">
        <f>IF($A3861="","",$R3861&amp;"("&amp;$E3861&amp;")")</f>
        <v/>
      </c>
      <c r="V3861">
        <f>IF($A3861="","",$F3861&amp;"|"&amp;$U3861&amp;"|"&amp;$D3861)</f>
        <v/>
      </c>
      <c r="W3861">
        <f>IF($T3861="","",IF($X3861&gt;N($X3860),$X3861,""))</f>
        <v/>
      </c>
      <c r="X3861">
        <f>IF($T3861="",N($X3860),IF(MATCH($T3861,$T$6:$T$6005,0)=ROW()-5,N($X3860)+1,N($X3860)))</f>
        <v/>
      </c>
      <c r="Z3861">
        <f>IF($V3861="","",IF($AA3861&gt;N($AA3860),$AA3861,""))</f>
        <v/>
      </c>
      <c r="AA3861">
        <f>IF($V3861="",N($AA3860),IF(MATCH($V3861,$V$6:$V$6005,0)=ROW()-5,N($AA3860)+1,N($AA3860)))</f>
        <v/>
      </c>
    </row>
    <row r="3862" ht="21" customHeight="1" s="66">
      <c r="A3862" s="56" t="n"/>
      <c r="B3862" s="57" t="n"/>
      <c r="C3862" s="57" t="n"/>
      <c r="D3862" s="57" t="n"/>
      <c r="E3862" s="56" t="n"/>
      <c r="F3862" s="57" t="n"/>
      <c r="G3862" s="57" t="n"/>
      <c r="H3862" s="56" t="n"/>
      <c r="I3862" s="56" t="n"/>
      <c r="J3862" s="58" t="n"/>
      <c r="K3862" s="58" t="n"/>
      <c r="L3862" s="13">
        <f>IF(OR($A3862="",AND($J3862="",$K3862="")),"",ROUND(N($J3862)-N($K3862),2))</f>
        <v/>
      </c>
      <c r="M3862" s="13">
        <f>IF(OR($A3862="",AND($J3862="",$K3862="")),"",MIN($J3862,$K3862))</f>
        <v/>
      </c>
      <c r="Q3862">
        <f>IF($A3862="","",$D3862&amp;"("&amp;SUBSTITUTE($E3862," ","")&amp;")")</f>
        <v/>
      </c>
      <c r="R3862">
        <f>IF($A3862="","",$B3862&amp;" - "&amp;$C3862)</f>
        <v/>
      </c>
      <c r="S3862">
        <f>IF($A3862="","",$R3862&amp;"|"&amp;$Q3862)</f>
        <v/>
      </c>
      <c r="T3862">
        <f>IF($A3862="","",$S3862&amp;"|"&amp;$F3862)</f>
        <v/>
      </c>
      <c r="U3862">
        <f>IF($A3862="","",$R3862&amp;"("&amp;$E3862&amp;")")</f>
        <v/>
      </c>
      <c r="V3862">
        <f>IF($A3862="","",$F3862&amp;"|"&amp;$U3862&amp;"|"&amp;$D3862)</f>
        <v/>
      </c>
      <c r="W3862">
        <f>IF($T3862="","",IF($X3862&gt;N($X3861),$X3862,""))</f>
        <v/>
      </c>
      <c r="X3862">
        <f>IF($T3862="",N($X3861),IF(MATCH($T3862,$T$6:$T$6005,0)=ROW()-5,N($X3861)+1,N($X3861)))</f>
        <v/>
      </c>
      <c r="Z3862">
        <f>IF($V3862="","",IF($AA3862&gt;N($AA3861),$AA3862,""))</f>
        <v/>
      </c>
      <c r="AA3862">
        <f>IF($V3862="",N($AA3861),IF(MATCH($V3862,$V$6:$V$6005,0)=ROW()-5,N($AA3861)+1,N($AA3861)))</f>
        <v/>
      </c>
    </row>
    <row r="3863" ht="21" customHeight="1" s="66">
      <c r="A3863" s="56" t="n"/>
      <c r="B3863" s="57" t="n"/>
      <c r="C3863" s="57" t="n"/>
      <c r="D3863" s="57" t="n"/>
      <c r="E3863" s="56" t="n"/>
      <c r="F3863" s="57" t="n"/>
      <c r="G3863" s="57" t="n"/>
      <c r="H3863" s="56" t="n"/>
      <c r="I3863" s="56" t="n"/>
      <c r="J3863" s="58" t="n"/>
      <c r="K3863" s="58" t="n"/>
      <c r="L3863" s="13">
        <f>IF(OR($A3863="",AND($J3863="",$K3863="")),"",ROUND(N($J3863)-N($K3863),2))</f>
        <v/>
      </c>
      <c r="M3863" s="13">
        <f>IF(OR($A3863="",AND($J3863="",$K3863="")),"",MIN($J3863,$K3863))</f>
        <v/>
      </c>
      <c r="Q3863">
        <f>IF($A3863="","",$D3863&amp;"("&amp;SUBSTITUTE($E3863," ","")&amp;")")</f>
        <v/>
      </c>
      <c r="R3863">
        <f>IF($A3863="","",$B3863&amp;" - "&amp;$C3863)</f>
        <v/>
      </c>
      <c r="S3863">
        <f>IF($A3863="","",$R3863&amp;"|"&amp;$Q3863)</f>
        <v/>
      </c>
      <c r="T3863">
        <f>IF($A3863="","",$S3863&amp;"|"&amp;$F3863)</f>
        <v/>
      </c>
      <c r="U3863">
        <f>IF($A3863="","",$R3863&amp;"("&amp;$E3863&amp;")")</f>
        <v/>
      </c>
      <c r="V3863">
        <f>IF($A3863="","",$F3863&amp;"|"&amp;$U3863&amp;"|"&amp;$D3863)</f>
        <v/>
      </c>
      <c r="W3863">
        <f>IF($T3863="","",IF($X3863&gt;N($X3862),$X3863,""))</f>
        <v/>
      </c>
      <c r="X3863">
        <f>IF($T3863="",N($X3862),IF(MATCH($T3863,$T$6:$T$6005,0)=ROW()-5,N($X3862)+1,N($X3862)))</f>
        <v/>
      </c>
      <c r="Z3863">
        <f>IF($V3863="","",IF($AA3863&gt;N($AA3862),$AA3863,""))</f>
        <v/>
      </c>
      <c r="AA3863">
        <f>IF($V3863="",N($AA3862),IF(MATCH($V3863,$V$6:$V$6005,0)=ROW()-5,N($AA3862)+1,N($AA3862)))</f>
        <v/>
      </c>
    </row>
    <row r="3864" ht="21" customHeight="1" s="66">
      <c r="A3864" s="56" t="n"/>
      <c r="B3864" s="57" t="n"/>
      <c r="C3864" s="57" t="n"/>
      <c r="D3864" s="57" t="n"/>
      <c r="E3864" s="56" t="n"/>
      <c r="F3864" s="57" t="n"/>
      <c r="G3864" s="57" t="n"/>
      <c r="H3864" s="56" t="n"/>
      <c r="I3864" s="56" t="n"/>
      <c r="J3864" s="58" t="n"/>
      <c r="K3864" s="58" t="n"/>
      <c r="L3864" s="13">
        <f>IF(OR($A3864="",AND($J3864="",$K3864="")),"",ROUND(N($J3864)-N($K3864),2))</f>
        <v/>
      </c>
      <c r="M3864" s="13">
        <f>IF(OR($A3864="",AND($J3864="",$K3864="")),"",MIN($J3864,$K3864))</f>
        <v/>
      </c>
      <c r="Q3864">
        <f>IF($A3864="","",$D3864&amp;"("&amp;SUBSTITUTE($E3864," ","")&amp;")")</f>
        <v/>
      </c>
      <c r="R3864">
        <f>IF($A3864="","",$B3864&amp;" - "&amp;$C3864)</f>
        <v/>
      </c>
      <c r="S3864">
        <f>IF($A3864="","",$R3864&amp;"|"&amp;$Q3864)</f>
        <v/>
      </c>
      <c r="T3864">
        <f>IF($A3864="","",$S3864&amp;"|"&amp;$F3864)</f>
        <v/>
      </c>
      <c r="U3864">
        <f>IF($A3864="","",$R3864&amp;"("&amp;$E3864&amp;")")</f>
        <v/>
      </c>
      <c r="V3864">
        <f>IF($A3864="","",$F3864&amp;"|"&amp;$U3864&amp;"|"&amp;$D3864)</f>
        <v/>
      </c>
      <c r="W3864">
        <f>IF($T3864="","",IF($X3864&gt;N($X3863),$X3864,""))</f>
        <v/>
      </c>
      <c r="X3864">
        <f>IF($T3864="",N($X3863),IF(MATCH($T3864,$T$6:$T$6005,0)=ROW()-5,N($X3863)+1,N($X3863)))</f>
        <v/>
      </c>
      <c r="Z3864">
        <f>IF($V3864="","",IF($AA3864&gt;N($AA3863),$AA3864,""))</f>
        <v/>
      </c>
      <c r="AA3864">
        <f>IF($V3864="",N($AA3863),IF(MATCH($V3864,$V$6:$V$6005,0)=ROW()-5,N($AA3863)+1,N($AA3863)))</f>
        <v/>
      </c>
    </row>
    <row r="3865" ht="21" customHeight="1" s="66">
      <c r="A3865" s="56" t="n"/>
      <c r="B3865" s="57" t="n"/>
      <c r="C3865" s="57" t="n"/>
      <c r="D3865" s="57" t="n"/>
      <c r="E3865" s="56" t="n"/>
      <c r="F3865" s="57" t="n"/>
      <c r="G3865" s="57" t="n"/>
      <c r="H3865" s="56" t="n"/>
      <c r="I3865" s="56" t="n"/>
      <c r="J3865" s="58" t="n"/>
      <c r="K3865" s="58" t="n"/>
      <c r="L3865" s="13">
        <f>IF(OR($A3865="",AND($J3865="",$K3865="")),"",ROUND(N($J3865)-N($K3865),2))</f>
        <v/>
      </c>
      <c r="M3865" s="13">
        <f>IF(OR($A3865="",AND($J3865="",$K3865="")),"",MIN($J3865,$K3865))</f>
        <v/>
      </c>
      <c r="Q3865">
        <f>IF($A3865="","",$D3865&amp;"("&amp;SUBSTITUTE($E3865," ","")&amp;")")</f>
        <v/>
      </c>
      <c r="R3865">
        <f>IF($A3865="","",$B3865&amp;" - "&amp;$C3865)</f>
        <v/>
      </c>
      <c r="S3865">
        <f>IF($A3865="","",$R3865&amp;"|"&amp;$Q3865)</f>
        <v/>
      </c>
      <c r="T3865">
        <f>IF($A3865="","",$S3865&amp;"|"&amp;$F3865)</f>
        <v/>
      </c>
      <c r="U3865">
        <f>IF($A3865="","",$R3865&amp;"("&amp;$E3865&amp;")")</f>
        <v/>
      </c>
      <c r="V3865">
        <f>IF($A3865="","",$F3865&amp;"|"&amp;$U3865&amp;"|"&amp;$D3865)</f>
        <v/>
      </c>
      <c r="W3865">
        <f>IF($T3865="","",IF($X3865&gt;N($X3864),$X3865,""))</f>
        <v/>
      </c>
      <c r="X3865">
        <f>IF($T3865="",N($X3864),IF(MATCH($T3865,$T$6:$T$6005,0)=ROW()-5,N($X3864)+1,N($X3864)))</f>
        <v/>
      </c>
      <c r="Z3865">
        <f>IF($V3865="","",IF($AA3865&gt;N($AA3864),$AA3865,""))</f>
        <v/>
      </c>
      <c r="AA3865">
        <f>IF($V3865="",N($AA3864),IF(MATCH($V3865,$V$6:$V$6005,0)=ROW()-5,N($AA3864)+1,N($AA3864)))</f>
        <v/>
      </c>
    </row>
    <row r="3866" ht="21" customHeight="1" s="66">
      <c r="A3866" s="56" t="n"/>
      <c r="B3866" s="57" t="n"/>
      <c r="C3866" s="57" t="n"/>
      <c r="D3866" s="57" t="n"/>
      <c r="E3866" s="56" t="n"/>
      <c r="F3866" s="57" t="n"/>
      <c r="G3866" s="57" t="n"/>
      <c r="H3866" s="56" t="n"/>
      <c r="I3866" s="56" t="n"/>
      <c r="J3866" s="58" t="n"/>
      <c r="K3866" s="58" t="n"/>
      <c r="L3866" s="13">
        <f>IF(OR($A3866="",AND($J3866="",$K3866="")),"",ROUND(N($J3866)-N($K3866),2))</f>
        <v/>
      </c>
      <c r="M3866" s="13">
        <f>IF(OR($A3866="",AND($J3866="",$K3866="")),"",MIN($J3866,$K3866))</f>
        <v/>
      </c>
      <c r="Q3866">
        <f>IF($A3866="","",$D3866&amp;"("&amp;SUBSTITUTE($E3866," ","")&amp;")")</f>
        <v/>
      </c>
      <c r="R3866">
        <f>IF($A3866="","",$B3866&amp;" - "&amp;$C3866)</f>
        <v/>
      </c>
      <c r="S3866">
        <f>IF($A3866="","",$R3866&amp;"|"&amp;$Q3866)</f>
        <v/>
      </c>
      <c r="T3866">
        <f>IF($A3866="","",$S3866&amp;"|"&amp;$F3866)</f>
        <v/>
      </c>
      <c r="U3866">
        <f>IF($A3866="","",$R3866&amp;"("&amp;$E3866&amp;")")</f>
        <v/>
      </c>
      <c r="V3866">
        <f>IF($A3866="","",$F3866&amp;"|"&amp;$U3866&amp;"|"&amp;$D3866)</f>
        <v/>
      </c>
      <c r="W3866">
        <f>IF($T3866="","",IF($X3866&gt;N($X3865),$X3866,""))</f>
        <v/>
      </c>
      <c r="X3866">
        <f>IF($T3866="",N($X3865),IF(MATCH($T3866,$T$6:$T$6005,0)=ROW()-5,N($X3865)+1,N($X3865)))</f>
        <v/>
      </c>
      <c r="Z3866">
        <f>IF($V3866="","",IF($AA3866&gt;N($AA3865),$AA3866,""))</f>
        <v/>
      </c>
      <c r="AA3866">
        <f>IF($V3866="",N($AA3865),IF(MATCH($V3866,$V$6:$V$6005,0)=ROW()-5,N($AA3865)+1,N($AA3865)))</f>
        <v/>
      </c>
    </row>
    <row r="3867" ht="21" customHeight="1" s="66">
      <c r="A3867" s="56" t="n"/>
      <c r="B3867" s="57" t="n"/>
      <c r="C3867" s="57" t="n"/>
      <c r="D3867" s="57" t="n"/>
      <c r="E3867" s="56" t="n"/>
      <c r="F3867" s="57" t="n"/>
      <c r="G3867" s="57" t="n"/>
      <c r="H3867" s="56" t="n"/>
      <c r="I3867" s="56" t="n"/>
      <c r="J3867" s="58" t="n"/>
      <c r="K3867" s="58" t="n"/>
      <c r="L3867" s="13">
        <f>IF(OR($A3867="",AND($J3867="",$K3867="")),"",ROUND(N($J3867)-N($K3867),2))</f>
        <v/>
      </c>
      <c r="M3867" s="13">
        <f>IF(OR($A3867="",AND($J3867="",$K3867="")),"",MIN($J3867,$K3867))</f>
        <v/>
      </c>
      <c r="Q3867">
        <f>IF($A3867="","",$D3867&amp;"("&amp;SUBSTITUTE($E3867," ","")&amp;")")</f>
        <v/>
      </c>
      <c r="R3867">
        <f>IF($A3867="","",$B3867&amp;" - "&amp;$C3867)</f>
        <v/>
      </c>
      <c r="S3867">
        <f>IF($A3867="","",$R3867&amp;"|"&amp;$Q3867)</f>
        <v/>
      </c>
      <c r="T3867">
        <f>IF($A3867="","",$S3867&amp;"|"&amp;$F3867)</f>
        <v/>
      </c>
      <c r="U3867">
        <f>IF($A3867="","",$R3867&amp;"("&amp;$E3867&amp;")")</f>
        <v/>
      </c>
      <c r="V3867">
        <f>IF($A3867="","",$F3867&amp;"|"&amp;$U3867&amp;"|"&amp;$D3867)</f>
        <v/>
      </c>
      <c r="W3867">
        <f>IF($T3867="","",IF($X3867&gt;N($X3866),$X3867,""))</f>
        <v/>
      </c>
      <c r="X3867">
        <f>IF($T3867="",N($X3866),IF(MATCH($T3867,$T$6:$T$6005,0)=ROW()-5,N($X3866)+1,N($X3866)))</f>
        <v/>
      </c>
      <c r="Z3867">
        <f>IF($V3867="","",IF($AA3867&gt;N($AA3866),$AA3867,""))</f>
        <v/>
      </c>
      <c r="AA3867">
        <f>IF($V3867="",N($AA3866),IF(MATCH($V3867,$V$6:$V$6005,0)=ROW()-5,N($AA3866)+1,N($AA3866)))</f>
        <v/>
      </c>
    </row>
    <row r="3868" ht="21" customHeight="1" s="66">
      <c r="A3868" s="56" t="n"/>
      <c r="B3868" s="57" t="n"/>
      <c r="C3868" s="57" t="n"/>
      <c r="D3868" s="57" t="n"/>
      <c r="E3868" s="56" t="n"/>
      <c r="F3868" s="57" t="n"/>
      <c r="G3868" s="57" t="n"/>
      <c r="H3868" s="56" t="n"/>
      <c r="I3868" s="56" t="n"/>
      <c r="J3868" s="58" t="n"/>
      <c r="K3868" s="58" t="n"/>
      <c r="L3868" s="13">
        <f>IF(OR($A3868="",AND($J3868="",$K3868="")),"",ROUND(N($J3868)-N($K3868),2))</f>
        <v/>
      </c>
      <c r="M3868" s="13">
        <f>IF(OR($A3868="",AND($J3868="",$K3868="")),"",MIN($J3868,$K3868))</f>
        <v/>
      </c>
      <c r="Q3868">
        <f>IF($A3868="","",$D3868&amp;"("&amp;SUBSTITUTE($E3868," ","")&amp;")")</f>
        <v/>
      </c>
      <c r="R3868">
        <f>IF($A3868="","",$B3868&amp;" - "&amp;$C3868)</f>
        <v/>
      </c>
      <c r="S3868">
        <f>IF($A3868="","",$R3868&amp;"|"&amp;$Q3868)</f>
        <v/>
      </c>
      <c r="T3868">
        <f>IF($A3868="","",$S3868&amp;"|"&amp;$F3868)</f>
        <v/>
      </c>
      <c r="U3868">
        <f>IF($A3868="","",$R3868&amp;"("&amp;$E3868&amp;")")</f>
        <v/>
      </c>
      <c r="V3868">
        <f>IF($A3868="","",$F3868&amp;"|"&amp;$U3868&amp;"|"&amp;$D3868)</f>
        <v/>
      </c>
      <c r="W3868">
        <f>IF($T3868="","",IF($X3868&gt;N($X3867),$X3868,""))</f>
        <v/>
      </c>
      <c r="X3868">
        <f>IF($T3868="",N($X3867),IF(MATCH($T3868,$T$6:$T$6005,0)=ROW()-5,N($X3867)+1,N($X3867)))</f>
        <v/>
      </c>
      <c r="Z3868">
        <f>IF($V3868="","",IF($AA3868&gt;N($AA3867),$AA3868,""))</f>
        <v/>
      </c>
      <c r="AA3868">
        <f>IF($V3868="",N($AA3867),IF(MATCH($V3868,$V$6:$V$6005,0)=ROW()-5,N($AA3867)+1,N($AA3867)))</f>
        <v/>
      </c>
    </row>
    <row r="3869" ht="21" customHeight="1" s="66">
      <c r="A3869" s="56" t="n"/>
      <c r="B3869" s="57" t="n"/>
      <c r="C3869" s="57" t="n"/>
      <c r="D3869" s="57" t="n"/>
      <c r="E3869" s="56" t="n"/>
      <c r="F3869" s="57" t="n"/>
      <c r="G3869" s="57" t="n"/>
      <c r="H3869" s="56" t="n"/>
      <c r="I3869" s="56" t="n"/>
      <c r="J3869" s="58" t="n"/>
      <c r="K3869" s="58" t="n"/>
      <c r="L3869" s="13">
        <f>IF(OR($A3869="",AND($J3869="",$K3869="")),"",ROUND(N($J3869)-N($K3869),2))</f>
        <v/>
      </c>
      <c r="M3869" s="13">
        <f>IF(OR($A3869="",AND($J3869="",$K3869="")),"",MIN($J3869,$K3869))</f>
        <v/>
      </c>
      <c r="Q3869">
        <f>IF($A3869="","",$D3869&amp;"("&amp;SUBSTITUTE($E3869," ","")&amp;")")</f>
        <v/>
      </c>
      <c r="R3869">
        <f>IF($A3869="","",$B3869&amp;" - "&amp;$C3869)</f>
        <v/>
      </c>
      <c r="S3869">
        <f>IF($A3869="","",$R3869&amp;"|"&amp;$Q3869)</f>
        <v/>
      </c>
      <c r="T3869">
        <f>IF($A3869="","",$S3869&amp;"|"&amp;$F3869)</f>
        <v/>
      </c>
      <c r="U3869">
        <f>IF($A3869="","",$R3869&amp;"("&amp;$E3869&amp;")")</f>
        <v/>
      </c>
      <c r="V3869">
        <f>IF($A3869="","",$F3869&amp;"|"&amp;$U3869&amp;"|"&amp;$D3869)</f>
        <v/>
      </c>
      <c r="W3869">
        <f>IF($T3869="","",IF($X3869&gt;N($X3868),$X3869,""))</f>
        <v/>
      </c>
      <c r="X3869">
        <f>IF($T3869="",N($X3868),IF(MATCH($T3869,$T$6:$T$6005,0)=ROW()-5,N($X3868)+1,N($X3868)))</f>
        <v/>
      </c>
      <c r="Z3869">
        <f>IF($V3869="","",IF($AA3869&gt;N($AA3868),$AA3869,""))</f>
        <v/>
      </c>
      <c r="AA3869">
        <f>IF($V3869="",N($AA3868),IF(MATCH($V3869,$V$6:$V$6005,0)=ROW()-5,N($AA3868)+1,N($AA3868)))</f>
        <v/>
      </c>
    </row>
    <row r="3870" ht="21" customHeight="1" s="66">
      <c r="A3870" s="56" t="n"/>
      <c r="B3870" s="57" t="n"/>
      <c r="C3870" s="57" t="n"/>
      <c r="D3870" s="57" t="n"/>
      <c r="E3870" s="56" t="n"/>
      <c r="F3870" s="57" t="n"/>
      <c r="G3870" s="57" t="n"/>
      <c r="H3870" s="56" t="n"/>
      <c r="I3870" s="56" t="n"/>
      <c r="J3870" s="58" t="n"/>
      <c r="K3870" s="58" t="n"/>
      <c r="L3870" s="13">
        <f>IF(OR($A3870="",AND($J3870="",$K3870="")),"",ROUND(N($J3870)-N($K3870),2))</f>
        <v/>
      </c>
      <c r="M3870" s="13">
        <f>IF(OR($A3870="",AND($J3870="",$K3870="")),"",MIN($J3870,$K3870))</f>
        <v/>
      </c>
      <c r="Q3870">
        <f>IF($A3870="","",$D3870&amp;"("&amp;SUBSTITUTE($E3870," ","")&amp;")")</f>
        <v/>
      </c>
      <c r="R3870">
        <f>IF($A3870="","",$B3870&amp;" - "&amp;$C3870)</f>
        <v/>
      </c>
      <c r="S3870">
        <f>IF($A3870="","",$R3870&amp;"|"&amp;$Q3870)</f>
        <v/>
      </c>
      <c r="T3870">
        <f>IF($A3870="","",$S3870&amp;"|"&amp;$F3870)</f>
        <v/>
      </c>
      <c r="U3870">
        <f>IF($A3870="","",$R3870&amp;"("&amp;$E3870&amp;")")</f>
        <v/>
      </c>
      <c r="V3870">
        <f>IF($A3870="","",$F3870&amp;"|"&amp;$U3870&amp;"|"&amp;$D3870)</f>
        <v/>
      </c>
      <c r="W3870">
        <f>IF($T3870="","",IF($X3870&gt;N($X3869),$X3870,""))</f>
        <v/>
      </c>
      <c r="X3870">
        <f>IF($T3870="",N($X3869),IF(MATCH($T3870,$T$6:$T$6005,0)=ROW()-5,N($X3869)+1,N($X3869)))</f>
        <v/>
      </c>
      <c r="Z3870">
        <f>IF($V3870="","",IF($AA3870&gt;N($AA3869),$AA3870,""))</f>
        <v/>
      </c>
      <c r="AA3870">
        <f>IF($V3870="",N($AA3869),IF(MATCH($V3870,$V$6:$V$6005,0)=ROW()-5,N($AA3869)+1,N($AA3869)))</f>
        <v/>
      </c>
    </row>
    <row r="3871" ht="21" customHeight="1" s="66">
      <c r="A3871" s="56" t="n"/>
      <c r="B3871" s="57" t="n"/>
      <c r="C3871" s="57" t="n"/>
      <c r="D3871" s="57" t="n"/>
      <c r="E3871" s="56" t="n"/>
      <c r="F3871" s="57" t="n"/>
      <c r="G3871" s="57" t="n"/>
      <c r="H3871" s="56" t="n"/>
      <c r="I3871" s="56" t="n"/>
      <c r="J3871" s="58" t="n"/>
      <c r="K3871" s="58" t="n"/>
      <c r="L3871" s="13">
        <f>IF(OR($A3871="",AND($J3871="",$K3871="")),"",ROUND(N($J3871)-N($K3871),2))</f>
        <v/>
      </c>
      <c r="M3871" s="13">
        <f>IF(OR($A3871="",AND($J3871="",$K3871="")),"",MIN($J3871,$K3871))</f>
        <v/>
      </c>
      <c r="Q3871">
        <f>IF($A3871="","",$D3871&amp;"("&amp;SUBSTITUTE($E3871," ","")&amp;")")</f>
        <v/>
      </c>
      <c r="R3871">
        <f>IF($A3871="","",$B3871&amp;" - "&amp;$C3871)</f>
        <v/>
      </c>
      <c r="S3871">
        <f>IF($A3871="","",$R3871&amp;"|"&amp;$Q3871)</f>
        <v/>
      </c>
      <c r="T3871">
        <f>IF($A3871="","",$S3871&amp;"|"&amp;$F3871)</f>
        <v/>
      </c>
      <c r="U3871">
        <f>IF($A3871="","",$R3871&amp;"("&amp;$E3871&amp;")")</f>
        <v/>
      </c>
      <c r="V3871">
        <f>IF($A3871="","",$F3871&amp;"|"&amp;$U3871&amp;"|"&amp;$D3871)</f>
        <v/>
      </c>
      <c r="W3871">
        <f>IF($T3871="","",IF($X3871&gt;N($X3870),$X3871,""))</f>
        <v/>
      </c>
      <c r="X3871">
        <f>IF($T3871="",N($X3870),IF(MATCH($T3871,$T$6:$T$6005,0)=ROW()-5,N($X3870)+1,N($X3870)))</f>
        <v/>
      </c>
      <c r="Z3871">
        <f>IF($V3871="","",IF($AA3871&gt;N($AA3870),$AA3871,""))</f>
        <v/>
      </c>
      <c r="AA3871">
        <f>IF($V3871="",N($AA3870),IF(MATCH($V3871,$V$6:$V$6005,0)=ROW()-5,N($AA3870)+1,N($AA3870)))</f>
        <v/>
      </c>
    </row>
    <row r="3872" ht="21" customHeight="1" s="66">
      <c r="A3872" s="56" t="n"/>
      <c r="B3872" s="57" t="n"/>
      <c r="C3872" s="57" t="n"/>
      <c r="D3872" s="57" t="n"/>
      <c r="E3872" s="56" t="n"/>
      <c r="F3872" s="57" t="n"/>
      <c r="G3872" s="57" t="n"/>
      <c r="H3872" s="56" t="n"/>
      <c r="I3872" s="56" t="n"/>
      <c r="J3872" s="58" t="n"/>
      <c r="K3872" s="58" t="n"/>
      <c r="L3872" s="13">
        <f>IF(OR($A3872="",AND($J3872="",$K3872="")),"",ROUND(N($J3872)-N($K3872),2))</f>
        <v/>
      </c>
      <c r="M3872" s="13">
        <f>IF(OR($A3872="",AND($J3872="",$K3872="")),"",MIN($J3872,$K3872))</f>
        <v/>
      </c>
      <c r="Q3872">
        <f>IF($A3872="","",$D3872&amp;"("&amp;SUBSTITUTE($E3872," ","")&amp;")")</f>
        <v/>
      </c>
      <c r="R3872">
        <f>IF($A3872="","",$B3872&amp;" - "&amp;$C3872)</f>
        <v/>
      </c>
      <c r="S3872">
        <f>IF($A3872="","",$R3872&amp;"|"&amp;$Q3872)</f>
        <v/>
      </c>
      <c r="T3872">
        <f>IF($A3872="","",$S3872&amp;"|"&amp;$F3872)</f>
        <v/>
      </c>
      <c r="U3872">
        <f>IF($A3872="","",$R3872&amp;"("&amp;$E3872&amp;")")</f>
        <v/>
      </c>
      <c r="V3872">
        <f>IF($A3872="","",$F3872&amp;"|"&amp;$U3872&amp;"|"&amp;$D3872)</f>
        <v/>
      </c>
      <c r="W3872">
        <f>IF($T3872="","",IF($X3872&gt;N($X3871),$X3872,""))</f>
        <v/>
      </c>
      <c r="X3872">
        <f>IF($T3872="",N($X3871),IF(MATCH($T3872,$T$6:$T$6005,0)=ROW()-5,N($X3871)+1,N($X3871)))</f>
        <v/>
      </c>
      <c r="Z3872">
        <f>IF($V3872="","",IF($AA3872&gt;N($AA3871),$AA3872,""))</f>
        <v/>
      </c>
      <c r="AA3872">
        <f>IF($V3872="",N($AA3871),IF(MATCH($V3872,$V$6:$V$6005,0)=ROW()-5,N($AA3871)+1,N($AA3871)))</f>
        <v/>
      </c>
    </row>
    <row r="3873" ht="21" customHeight="1" s="66">
      <c r="A3873" s="56" t="n"/>
      <c r="B3873" s="57" t="n"/>
      <c r="C3873" s="57" t="n"/>
      <c r="D3873" s="57" t="n"/>
      <c r="E3873" s="56" t="n"/>
      <c r="F3873" s="57" t="n"/>
      <c r="G3873" s="57" t="n"/>
      <c r="H3873" s="56" t="n"/>
      <c r="I3873" s="56" t="n"/>
      <c r="J3873" s="58" t="n"/>
      <c r="K3873" s="58" t="n"/>
      <c r="L3873" s="13">
        <f>IF(OR($A3873="",AND($J3873="",$K3873="")),"",ROUND(N($J3873)-N($K3873),2))</f>
        <v/>
      </c>
      <c r="M3873" s="13">
        <f>IF(OR($A3873="",AND($J3873="",$K3873="")),"",MIN($J3873,$K3873))</f>
        <v/>
      </c>
      <c r="Q3873">
        <f>IF($A3873="","",$D3873&amp;"("&amp;SUBSTITUTE($E3873," ","")&amp;")")</f>
        <v/>
      </c>
      <c r="R3873">
        <f>IF($A3873="","",$B3873&amp;" - "&amp;$C3873)</f>
        <v/>
      </c>
      <c r="S3873">
        <f>IF($A3873="","",$R3873&amp;"|"&amp;$Q3873)</f>
        <v/>
      </c>
      <c r="T3873">
        <f>IF($A3873="","",$S3873&amp;"|"&amp;$F3873)</f>
        <v/>
      </c>
      <c r="U3873">
        <f>IF($A3873="","",$R3873&amp;"("&amp;$E3873&amp;")")</f>
        <v/>
      </c>
      <c r="V3873">
        <f>IF($A3873="","",$F3873&amp;"|"&amp;$U3873&amp;"|"&amp;$D3873)</f>
        <v/>
      </c>
      <c r="W3873">
        <f>IF($T3873="","",IF($X3873&gt;N($X3872),$X3873,""))</f>
        <v/>
      </c>
      <c r="X3873">
        <f>IF($T3873="",N($X3872),IF(MATCH($T3873,$T$6:$T$6005,0)=ROW()-5,N($X3872)+1,N($X3872)))</f>
        <v/>
      </c>
      <c r="Z3873">
        <f>IF($V3873="","",IF($AA3873&gt;N($AA3872),$AA3873,""))</f>
        <v/>
      </c>
      <c r="AA3873">
        <f>IF($V3873="",N($AA3872),IF(MATCH($V3873,$V$6:$V$6005,0)=ROW()-5,N($AA3872)+1,N($AA3872)))</f>
        <v/>
      </c>
    </row>
    <row r="3874" ht="21" customHeight="1" s="66">
      <c r="A3874" s="56" t="n"/>
      <c r="B3874" s="57" t="n"/>
      <c r="C3874" s="57" t="n"/>
      <c r="D3874" s="57" t="n"/>
      <c r="E3874" s="56" t="n"/>
      <c r="F3874" s="57" t="n"/>
      <c r="G3874" s="57" t="n"/>
      <c r="H3874" s="56" t="n"/>
      <c r="I3874" s="56" t="n"/>
      <c r="J3874" s="58" t="n"/>
      <c r="K3874" s="58" t="n"/>
      <c r="L3874" s="13">
        <f>IF(OR($A3874="",AND($J3874="",$K3874="")),"",ROUND(N($J3874)-N($K3874),2))</f>
        <v/>
      </c>
      <c r="M3874" s="13">
        <f>IF(OR($A3874="",AND($J3874="",$K3874="")),"",MIN($J3874,$K3874))</f>
        <v/>
      </c>
      <c r="Q3874">
        <f>IF($A3874="","",$D3874&amp;"("&amp;SUBSTITUTE($E3874," ","")&amp;")")</f>
        <v/>
      </c>
      <c r="R3874">
        <f>IF($A3874="","",$B3874&amp;" - "&amp;$C3874)</f>
        <v/>
      </c>
      <c r="S3874">
        <f>IF($A3874="","",$R3874&amp;"|"&amp;$Q3874)</f>
        <v/>
      </c>
      <c r="T3874">
        <f>IF($A3874="","",$S3874&amp;"|"&amp;$F3874)</f>
        <v/>
      </c>
      <c r="U3874">
        <f>IF($A3874="","",$R3874&amp;"("&amp;$E3874&amp;")")</f>
        <v/>
      </c>
      <c r="V3874">
        <f>IF($A3874="","",$F3874&amp;"|"&amp;$U3874&amp;"|"&amp;$D3874)</f>
        <v/>
      </c>
      <c r="W3874">
        <f>IF($T3874="","",IF($X3874&gt;N($X3873),$X3874,""))</f>
        <v/>
      </c>
      <c r="X3874">
        <f>IF($T3874="",N($X3873),IF(MATCH($T3874,$T$6:$T$6005,0)=ROW()-5,N($X3873)+1,N($X3873)))</f>
        <v/>
      </c>
      <c r="Z3874">
        <f>IF($V3874="","",IF($AA3874&gt;N($AA3873),$AA3874,""))</f>
        <v/>
      </c>
      <c r="AA3874">
        <f>IF($V3874="",N($AA3873),IF(MATCH($V3874,$V$6:$V$6005,0)=ROW()-5,N($AA3873)+1,N($AA3873)))</f>
        <v/>
      </c>
    </row>
    <row r="3875" ht="21" customHeight="1" s="66">
      <c r="A3875" s="56" t="n"/>
      <c r="B3875" s="57" t="n"/>
      <c r="C3875" s="57" t="n"/>
      <c r="D3875" s="57" t="n"/>
      <c r="E3875" s="56" t="n"/>
      <c r="F3875" s="57" t="n"/>
      <c r="G3875" s="57" t="n"/>
      <c r="H3875" s="56" t="n"/>
      <c r="I3875" s="56" t="n"/>
      <c r="J3875" s="58" t="n"/>
      <c r="K3875" s="58" t="n"/>
      <c r="L3875" s="13">
        <f>IF(OR($A3875="",AND($J3875="",$K3875="")),"",ROUND(N($J3875)-N($K3875),2))</f>
        <v/>
      </c>
      <c r="M3875" s="13">
        <f>IF(OR($A3875="",AND($J3875="",$K3875="")),"",MIN($J3875,$K3875))</f>
        <v/>
      </c>
      <c r="Q3875">
        <f>IF($A3875="","",$D3875&amp;"("&amp;SUBSTITUTE($E3875," ","")&amp;")")</f>
        <v/>
      </c>
      <c r="R3875">
        <f>IF($A3875="","",$B3875&amp;" - "&amp;$C3875)</f>
        <v/>
      </c>
      <c r="S3875">
        <f>IF($A3875="","",$R3875&amp;"|"&amp;$Q3875)</f>
        <v/>
      </c>
      <c r="T3875">
        <f>IF($A3875="","",$S3875&amp;"|"&amp;$F3875)</f>
        <v/>
      </c>
      <c r="U3875">
        <f>IF($A3875="","",$R3875&amp;"("&amp;$E3875&amp;")")</f>
        <v/>
      </c>
      <c r="V3875">
        <f>IF($A3875="","",$F3875&amp;"|"&amp;$U3875&amp;"|"&amp;$D3875)</f>
        <v/>
      </c>
      <c r="W3875">
        <f>IF($T3875="","",IF($X3875&gt;N($X3874),$X3875,""))</f>
        <v/>
      </c>
      <c r="X3875">
        <f>IF($T3875="",N($X3874),IF(MATCH($T3875,$T$6:$T$6005,0)=ROW()-5,N($X3874)+1,N($X3874)))</f>
        <v/>
      </c>
      <c r="Z3875">
        <f>IF($V3875="","",IF($AA3875&gt;N($AA3874),$AA3875,""))</f>
        <v/>
      </c>
      <c r="AA3875">
        <f>IF($V3875="",N($AA3874),IF(MATCH($V3875,$V$6:$V$6005,0)=ROW()-5,N($AA3874)+1,N($AA3874)))</f>
        <v/>
      </c>
    </row>
    <row r="3876" ht="21" customHeight="1" s="66">
      <c r="A3876" s="56" t="n"/>
      <c r="B3876" s="57" t="n"/>
      <c r="C3876" s="57" t="n"/>
      <c r="D3876" s="57" t="n"/>
      <c r="E3876" s="56" t="n"/>
      <c r="F3876" s="57" t="n"/>
      <c r="G3876" s="57" t="n"/>
      <c r="H3876" s="56" t="n"/>
      <c r="I3876" s="56" t="n"/>
      <c r="J3876" s="58" t="n"/>
      <c r="K3876" s="58" t="n"/>
      <c r="L3876" s="13">
        <f>IF(OR($A3876="",AND($J3876="",$K3876="")),"",ROUND(N($J3876)-N($K3876),2))</f>
        <v/>
      </c>
      <c r="M3876" s="13">
        <f>IF(OR($A3876="",AND($J3876="",$K3876="")),"",MIN($J3876,$K3876))</f>
        <v/>
      </c>
      <c r="Q3876">
        <f>IF($A3876="","",$D3876&amp;"("&amp;SUBSTITUTE($E3876," ","")&amp;")")</f>
        <v/>
      </c>
      <c r="R3876">
        <f>IF($A3876="","",$B3876&amp;" - "&amp;$C3876)</f>
        <v/>
      </c>
      <c r="S3876">
        <f>IF($A3876="","",$R3876&amp;"|"&amp;$Q3876)</f>
        <v/>
      </c>
      <c r="T3876">
        <f>IF($A3876="","",$S3876&amp;"|"&amp;$F3876)</f>
        <v/>
      </c>
      <c r="U3876">
        <f>IF($A3876="","",$R3876&amp;"("&amp;$E3876&amp;")")</f>
        <v/>
      </c>
      <c r="V3876">
        <f>IF($A3876="","",$F3876&amp;"|"&amp;$U3876&amp;"|"&amp;$D3876)</f>
        <v/>
      </c>
      <c r="W3876">
        <f>IF($T3876="","",IF($X3876&gt;N($X3875),$X3876,""))</f>
        <v/>
      </c>
      <c r="X3876">
        <f>IF($T3876="",N($X3875),IF(MATCH($T3876,$T$6:$T$6005,0)=ROW()-5,N($X3875)+1,N($X3875)))</f>
        <v/>
      </c>
      <c r="Z3876">
        <f>IF($V3876="","",IF($AA3876&gt;N($AA3875),$AA3876,""))</f>
        <v/>
      </c>
      <c r="AA3876">
        <f>IF($V3876="",N($AA3875),IF(MATCH($V3876,$V$6:$V$6005,0)=ROW()-5,N($AA3875)+1,N($AA3875)))</f>
        <v/>
      </c>
    </row>
    <row r="3877" ht="21" customHeight="1" s="66">
      <c r="A3877" s="56" t="n"/>
      <c r="B3877" s="57" t="n"/>
      <c r="C3877" s="57" t="n"/>
      <c r="D3877" s="57" t="n"/>
      <c r="E3877" s="56" t="n"/>
      <c r="F3877" s="57" t="n"/>
      <c r="G3877" s="57" t="n"/>
      <c r="H3877" s="56" t="n"/>
      <c r="I3877" s="56" t="n"/>
      <c r="J3877" s="58" t="n"/>
      <c r="K3877" s="58" t="n"/>
      <c r="L3877" s="13">
        <f>IF(OR($A3877="",AND($J3877="",$K3877="")),"",ROUND(N($J3877)-N($K3877),2))</f>
        <v/>
      </c>
      <c r="M3877" s="13">
        <f>IF(OR($A3877="",AND($J3877="",$K3877="")),"",MIN($J3877,$K3877))</f>
        <v/>
      </c>
      <c r="Q3877">
        <f>IF($A3877="","",$D3877&amp;"("&amp;SUBSTITUTE($E3877," ","")&amp;")")</f>
        <v/>
      </c>
      <c r="R3877">
        <f>IF($A3877="","",$B3877&amp;" - "&amp;$C3877)</f>
        <v/>
      </c>
      <c r="S3877">
        <f>IF($A3877="","",$R3877&amp;"|"&amp;$Q3877)</f>
        <v/>
      </c>
      <c r="T3877">
        <f>IF($A3877="","",$S3877&amp;"|"&amp;$F3877)</f>
        <v/>
      </c>
      <c r="U3877">
        <f>IF($A3877="","",$R3877&amp;"("&amp;$E3877&amp;")")</f>
        <v/>
      </c>
      <c r="V3877">
        <f>IF($A3877="","",$F3877&amp;"|"&amp;$U3877&amp;"|"&amp;$D3877)</f>
        <v/>
      </c>
      <c r="W3877">
        <f>IF($T3877="","",IF($X3877&gt;N($X3876),$X3877,""))</f>
        <v/>
      </c>
      <c r="X3877">
        <f>IF($T3877="",N($X3876),IF(MATCH($T3877,$T$6:$T$6005,0)=ROW()-5,N($X3876)+1,N($X3876)))</f>
        <v/>
      </c>
      <c r="Z3877">
        <f>IF($V3877="","",IF($AA3877&gt;N($AA3876),$AA3877,""))</f>
        <v/>
      </c>
      <c r="AA3877">
        <f>IF($V3877="",N($AA3876),IF(MATCH($V3877,$V$6:$V$6005,0)=ROW()-5,N($AA3876)+1,N($AA3876)))</f>
        <v/>
      </c>
    </row>
    <row r="3878" ht="21" customHeight="1" s="66">
      <c r="A3878" s="56" t="n"/>
      <c r="B3878" s="57" t="n"/>
      <c r="C3878" s="57" t="n"/>
      <c r="D3878" s="57" t="n"/>
      <c r="E3878" s="56" t="n"/>
      <c r="F3878" s="57" t="n"/>
      <c r="G3878" s="57" t="n"/>
      <c r="H3878" s="56" t="n"/>
      <c r="I3878" s="56" t="n"/>
      <c r="J3878" s="58" t="n"/>
      <c r="K3878" s="58" t="n"/>
      <c r="L3878" s="13">
        <f>IF(OR($A3878="",AND($J3878="",$K3878="")),"",ROUND(N($J3878)-N($K3878),2))</f>
        <v/>
      </c>
      <c r="M3878" s="13">
        <f>IF(OR($A3878="",AND($J3878="",$K3878="")),"",MIN($J3878,$K3878))</f>
        <v/>
      </c>
      <c r="Q3878">
        <f>IF($A3878="","",$D3878&amp;"("&amp;SUBSTITUTE($E3878," ","")&amp;")")</f>
        <v/>
      </c>
      <c r="R3878">
        <f>IF($A3878="","",$B3878&amp;" - "&amp;$C3878)</f>
        <v/>
      </c>
      <c r="S3878">
        <f>IF($A3878="","",$R3878&amp;"|"&amp;$Q3878)</f>
        <v/>
      </c>
      <c r="T3878">
        <f>IF($A3878="","",$S3878&amp;"|"&amp;$F3878)</f>
        <v/>
      </c>
      <c r="U3878">
        <f>IF($A3878="","",$R3878&amp;"("&amp;$E3878&amp;")")</f>
        <v/>
      </c>
      <c r="V3878">
        <f>IF($A3878="","",$F3878&amp;"|"&amp;$U3878&amp;"|"&amp;$D3878)</f>
        <v/>
      </c>
      <c r="W3878">
        <f>IF($T3878="","",IF($X3878&gt;N($X3877),$X3878,""))</f>
        <v/>
      </c>
      <c r="X3878">
        <f>IF($T3878="",N($X3877),IF(MATCH($T3878,$T$6:$T$6005,0)=ROW()-5,N($X3877)+1,N($X3877)))</f>
        <v/>
      </c>
      <c r="Z3878">
        <f>IF($V3878="","",IF($AA3878&gt;N($AA3877),$AA3878,""))</f>
        <v/>
      </c>
      <c r="AA3878">
        <f>IF($V3878="",N($AA3877),IF(MATCH($V3878,$V$6:$V$6005,0)=ROW()-5,N($AA3877)+1,N($AA3877)))</f>
        <v/>
      </c>
    </row>
    <row r="3879" ht="21" customHeight="1" s="66">
      <c r="A3879" s="56" t="n"/>
      <c r="B3879" s="57" t="n"/>
      <c r="C3879" s="57" t="n"/>
      <c r="D3879" s="57" t="n"/>
      <c r="E3879" s="56" t="n"/>
      <c r="F3879" s="57" t="n"/>
      <c r="G3879" s="57" t="n"/>
      <c r="H3879" s="56" t="n"/>
      <c r="I3879" s="56" t="n"/>
      <c r="J3879" s="58" t="n"/>
      <c r="K3879" s="58" t="n"/>
      <c r="L3879" s="13">
        <f>IF(OR($A3879="",AND($J3879="",$K3879="")),"",ROUND(N($J3879)-N($K3879),2))</f>
        <v/>
      </c>
      <c r="M3879" s="13">
        <f>IF(OR($A3879="",AND($J3879="",$K3879="")),"",MIN($J3879,$K3879))</f>
        <v/>
      </c>
      <c r="Q3879">
        <f>IF($A3879="","",$D3879&amp;"("&amp;SUBSTITUTE($E3879," ","")&amp;")")</f>
        <v/>
      </c>
      <c r="R3879">
        <f>IF($A3879="","",$B3879&amp;" - "&amp;$C3879)</f>
        <v/>
      </c>
      <c r="S3879">
        <f>IF($A3879="","",$R3879&amp;"|"&amp;$Q3879)</f>
        <v/>
      </c>
      <c r="T3879">
        <f>IF($A3879="","",$S3879&amp;"|"&amp;$F3879)</f>
        <v/>
      </c>
      <c r="U3879">
        <f>IF($A3879="","",$R3879&amp;"("&amp;$E3879&amp;")")</f>
        <v/>
      </c>
      <c r="V3879">
        <f>IF($A3879="","",$F3879&amp;"|"&amp;$U3879&amp;"|"&amp;$D3879)</f>
        <v/>
      </c>
      <c r="W3879">
        <f>IF($T3879="","",IF($X3879&gt;N($X3878),$X3879,""))</f>
        <v/>
      </c>
      <c r="X3879">
        <f>IF($T3879="",N($X3878),IF(MATCH($T3879,$T$6:$T$6005,0)=ROW()-5,N($X3878)+1,N($X3878)))</f>
        <v/>
      </c>
      <c r="Z3879">
        <f>IF($V3879="","",IF($AA3879&gt;N($AA3878),$AA3879,""))</f>
        <v/>
      </c>
      <c r="AA3879">
        <f>IF($V3879="",N($AA3878),IF(MATCH($V3879,$V$6:$V$6005,0)=ROW()-5,N($AA3878)+1,N($AA3878)))</f>
        <v/>
      </c>
    </row>
    <row r="3880" ht="21" customHeight="1" s="66">
      <c r="A3880" s="56" t="n"/>
      <c r="B3880" s="57" t="n"/>
      <c r="C3880" s="57" t="n"/>
      <c r="D3880" s="57" t="n"/>
      <c r="E3880" s="56" t="n"/>
      <c r="F3880" s="57" t="n"/>
      <c r="G3880" s="57" t="n"/>
      <c r="H3880" s="56" t="n"/>
      <c r="I3880" s="56" t="n"/>
      <c r="J3880" s="58" t="n"/>
      <c r="K3880" s="58" t="n"/>
      <c r="L3880" s="13">
        <f>IF(OR($A3880="",AND($J3880="",$K3880="")),"",ROUND(N($J3880)-N($K3880),2))</f>
        <v/>
      </c>
      <c r="M3880" s="13">
        <f>IF(OR($A3880="",AND($J3880="",$K3880="")),"",MIN($J3880,$K3880))</f>
        <v/>
      </c>
      <c r="Q3880">
        <f>IF($A3880="","",$D3880&amp;"("&amp;SUBSTITUTE($E3880," ","")&amp;")")</f>
        <v/>
      </c>
      <c r="R3880">
        <f>IF($A3880="","",$B3880&amp;" - "&amp;$C3880)</f>
        <v/>
      </c>
      <c r="S3880">
        <f>IF($A3880="","",$R3880&amp;"|"&amp;$Q3880)</f>
        <v/>
      </c>
      <c r="T3880">
        <f>IF($A3880="","",$S3880&amp;"|"&amp;$F3880)</f>
        <v/>
      </c>
      <c r="U3880">
        <f>IF($A3880="","",$R3880&amp;"("&amp;$E3880&amp;")")</f>
        <v/>
      </c>
      <c r="V3880">
        <f>IF($A3880="","",$F3880&amp;"|"&amp;$U3880&amp;"|"&amp;$D3880)</f>
        <v/>
      </c>
      <c r="W3880">
        <f>IF($T3880="","",IF($X3880&gt;N($X3879),$X3880,""))</f>
        <v/>
      </c>
      <c r="X3880">
        <f>IF($T3880="",N($X3879),IF(MATCH($T3880,$T$6:$T$6005,0)=ROW()-5,N($X3879)+1,N($X3879)))</f>
        <v/>
      </c>
      <c r="Z3880">
        <f>IF($V3880="","",IF($AA3880&gt;N($AA3879),$AA3880,""))</f>
        <v/>
      </c>
      <c r="AA3880">
        <f>IF($V3880="",N($AA3879),IF(MATCH($V3880,$V$6:$V$6005,0)=ROW()-5,N($AA3879)+1,N($AA3879)))</f>
        <v/>
      </c>
    </row>
    <row r="3881" ht="21" customHeight="1" s="66">
      <c r="A3881" s="56" t="n"/>
      <c r="B3881" s="57" t="n"/>
      <c r="C3881" s="57" t="n"/>
      <c r="D3881" s="57" t="n"/>
      <c r="E3881" s="56" t="n"/>
      <c r="F3881" s="57" t="n"/>
      <c r="G3881" s="57" t="n"/>
      <c r="H3881" s="56" t="n"/>
      <c r="I3881" s="56" t="n"/>
      <c r="J3881" s="58" t="n"/>
      <c r="K3881" s="58" t="n"/>
      <c r="L3881" s="13">
        <f>IF(OR($A3881="",AND($J3881="",$K3881="")),"",ROUND(N($J3881)-N($K3881),2))</f>
        <v/>
      </c>
      <c r="M3881" s="13">
        <f>IF(OR($A3881="",AND($J3881="",$K3881="")),"",MIN($J3881,$K3881))</f>
        <v/>
      </c>
      <c r="Q3881">
        <f>IF($A3881="","",$D3881&amp;"("&amp;SUBSTITUTE($E3881," ","")&amp;")")</f>
        <v/>
      </c>
      <c r="R3881">
        <f>IF($A3881="","",$B3881&amp;" - "&amp;$C3881)</f>
        <v/>
      </c>
      <c r="S3881">
        <f>IF($A3881="","",$R3881&amp;"|"&amp;$Q3881)</f>
        <v/>
      </c>
      <c r="T3881">
        <f>IF($A3881="","",$S3881&amp;"|"&amp;$F3881)</f>
        <v/>
      </c>
      <c r="U3881">
        <f>IF($A3881="","",$R3881&amp;"("&amp;$E3881&amp;")")</f>
        <v/>
      </c>
      <c r="V3881">
        <f>IF($A3881="","",$F3881&amp;"|"&amp;$U3881&amp;"|"&amp;$D3881)</f>
        <v/>
      </c>
      <c r="W3881">
        <f>IF($T3881="","",IF($X3881&gt;N($X3880),$X3881,""))</f>
        <v/>
      </c>
      <c r="X3881">
        <f>IF($T3881="",N($X3880),IF(MATCH($T3881,$T$6:$T$6005,0)=ROW()-5,N($X3880)+1,N($X3880)))</f>
        <v/>
      </c>
      <c r="Z3881">
        <f>IF($V3881="","",IF($AA3881&gt;N($AA3880),$AA3881,""))</f>
        <v/>
      </c>
      <c r="AA3881">
        <f>IF($V3881="",N($AA3880),IF(MATCH($V3881,$V$6:$V$6005,0)=ROW()-5,N($AA3880)+1,N($AA3880)))</f>
        <v/>
      </c>
    </row>
    <row r="3882" ht="21" customHeight="1" s="66">
      <c r="A3882" s="56" t="n"/>
      <c r="B3882" s="57" t="n"/>
      <c r="C3882" s="57" t="n"/>
      <c r="D3882" s="57" t="n"/>
      <c r="E3882" s="56" t="n"/>
      <c r="F3882" s="57" t="n"/>
      <c r="G3882" s="57" t="n"/>
      <c r="H3882" s="56" t="n"/>
      <c r="I3882" s="56" t="n"/>
      <c r="J3882" s="58" t="n"/>
      <c r="K3882" s="58" t="n"/>
      <c r="L3882" s="13">
        <f>IF(OR($A3882="",AND($J3882="",$K3882="")),"",ROUND(N($J3882)-N($K3882),2))</f>
        <v/>
      </c>
      <c r="M3882" s="13">
        <f>IF(OR($A3882="",AND($J3882="",$K3882="")),"",MIN($J3882,$K3882))</f>
        <v/>
      </c>
      <c r="Q3882">
        <f>IF($A3882="","",$D3882&amp;"("&amp;SUBSTITUTE($E3882," ","")&amp;")")</f>
        <v/>
      </c>
      <c r="R3882">
        <f>IF($A3882="","",$B3882&amp;" - "&amp;$C3882)</f>
        <v/>
      </c>
      <c r="S3882">
        <f>IF($A3882="","",$R3882&amp;"|"&amp;$Q3882)</f>
        <v/>
      </c>
      <c r="T3882">
        <f>IF($A3882="","",$S3882&amp;"|"&amp;$F3882)</f>
        <v/>
      </c>
      <c r="U3882">
        <f>IF($A3882="","",$R3882&amp;"("&amp;$E3882&amp;")")</f>
        <v/>
      </c>
      <c r="V3882">
        <f>IF($A3882="","",$F3882&amp;"|"&amp;$U3882&amp;"|"&amp;$D3882)</f>
        <v/>
      </c>
      <c r="W3882">
        <f>IF($T3882="","",IF($X3882&gt;N($X3881),$X3882,""))</f>
        <v/>
      </c>
      <c r="X3882">
        <f>IF($T3882="",N($X3881),IF(MATCH($T3882,$T$6:$T$6005,0)=ROW()-5,N($X3881)+1,N($X3881)))</f>
        <v/>
      </c>
      <c r="Z3882">
        <f>IF($V3882="","",IF($AA3882&gt;N($AA3881),$AA3882,""))</f>
        <v/>
      </c>
      <c r="AA3882">
        <f>IF($V3882="",N($AA3881),IF(MATCH($V3882,$V$6:$V$6005,0)=ROW()-5,N($AA3881)+1,N($AA3881)))</f>
        <v/>
      </c>
    </row>
    <row r="3883" ht="21" customHeight="1" s="66">
      <c r="A3883" s="56" t="n"/>
      <c r="B3883" s="57" t="n"/>
      <c r="C3883" s="57" t="n"/>
      <c r="D3883" s="57" t="n"/>
      <c r="E3883" s="56" t="n"/>
      <c r="F3883" s="57" t="n"/>
      <c r="G3883" s="57" t="n"/>
      <c r="H3883" s="56" t="n"/>
      <c r="I3883" s="56" t="n"/>
      <c r="J3883" s="58" t="n"/>
      <c r="K3883" s="58" t="n"/>
      <c r="L3883" s="13">
        <f>IF(OR($A3883="",AND($J3883="",$K3883="")),"",ROUND(N($J3883)-N($K3883),2))</f>
        <v/>
      </c>
      <c r="M3883" s="13">
        <f>IF(OR($A3883="",AND($J3883="",$K3883="")),"",MIN($J3883,$K3883))</f>
        <v/>
      </c>
      <c r="Q3883">
        <f>IF($A3883="","",$D3883&amp;"("&amp;SUBSTITUTE($E3883," ","")&amp;")")</f>
        <v/>
      </c>
      <c r="R3883">
        <f>IF($A3883="","",$B3883&amp;" - "&amp;$C3883)</f>
        <v/>
      </c>
      <c r="S3883">
        <f>IF($A3883="","",$R3883&amp;"|"&amp;$Q3883)</f>
        <v/>
      </c>
      <c r="T3883">
        <f>IF($A3883="","",$S3883&amp;"|"&amp;$F3883)</f>
        <v/>
      </c>
      <c r="U3883">
        <f>IF($A3883="","",$R3883&amp;"("&amp;$E3883&amp;")")</f>
        <v/>
      </c>
      <c r="V3883">
        <f>IF($A3883="","",$F3883&amp;"|"&amp;$U3883&amp;"|"&amp;$D3883)</f>
        <v/>
      </c>
      <c r="W3883">
        <f>IF($T3883="","",IF($X3883&gt;N($X3882),$X3883,""))</f>
        <v/>
      </c>
      <c r="X3883">
        <f>IF($T3883="",N($X3882),IF(MATCH($T3883,$T$6:$T$6005,0)=ROW()-5,N($X3882)+1,N($X3882)))</f>
        <v/>
      </c>
      <c r="Z3883">
        <f>IF($V3883="","",IF($AA3883&gt;N($AA3882),$AA3883,""))</f>
        <v/>
      </c>
      <c r="AA3883">
        <f>IF($V3883="",N($AA3882),IF(MATCH($V3883,$V$6:$V$6005,0)=ROW()-5,N($AA3882)+1,N($AA3882)))</f>
        <v/>
      </c>
    </row>
    <row r="3884" ht="21" customHeight="1" s="66">
      <c r="A3884" s="56" t="n"/>
      <c r="B3884" s="57" t="n"/>
      <c r="C3884" s="57" t="n"/>
      <c r="D3884" s="57" t="n"/>
      <c r="E3884" s="56" t="n"/>
      <c r="F3884" s="57" t="n"/>
      <c r="G3884" s="57" t="n"/>
      <c r="H3884" s="56" t="n"/>
      <c r="I3884" s="56" t="n"/>
      <c r="J3884" s="58" t="n"/>
      <c r="K3884" s="58" t="n"/>
      <c r="L3884" s="13">
        <f>IF(OR($A3884="",AND($J3884="",$K3884="")),"",ROUND(N($J3884)-N($K3884),2))</f>
        <v/>
      </c>
      <c r="M3884" s="13">
        <f>IF(OR($A3884="",AND($J3884="",$K3884="")),"",MIN($J3884,$K3884))</f>
        <v/>
      </c>
      <c r="Q3884">
        <f>IF($A3884="","",$D3884&amp;"("&amp;SUBSTITUTE($E3884," ","")&amp;")")</f>
        <v/>
      </c>
      <c r="R3884">
        <f>IF($A3884="","",$B3884&amp;" - "&amp;$C3884)</f>
        <v/>
      </c>
      <c r="S3884">
        <f>IF($A3884="","",$R3884&amp;"|"&amp;$Q3884)</f>
        <v/>
      </c>
      <c r="T3884">
        <f>IF($A3884="","",$S3884&amp;"|"&amp;$F3884)</f>
        <v/>
      </c>
      <c r="U3884">
        <f>IF($A3884="","",$R3884&amp;"("&amp;$E3884&amp;")")</f>
        <v/>
      </c>
      <c r="V3884">
        <f>IF($A3884="","",$F3884&amp;"|"&amp;$U3884&amp;"|"&amp;$D3884)</f>
        <v/>
      </c>
      <c r="W3884">
        <f>IF($T3884="","",IF($X3884&gt;N($X3883),$X3884,""))</f>
        <v/>
      </c>
      <c r="X3884">
        <f>IF($T3884="",N($X3883),IF(MATCH($T3884,$T$6:$T$6005,0)=ROW()-5,N($X3883)+1,N($X3883)))</f>
        <v/>
      </c>
      <c r="Z3884">
        <f>IF($V3884="","",IF($AA3884&gt;N($AA3883),$AA3884,""))</f>
        <v/>
      </c>
      <c r="AA3884">
        <f>IF($V3884="",N($AA3883),IF(MATCH($V3884,$V$6:$V$6005,0)=ROW()-5,N($AA3883)+1,N($AA3883)))</f>
        <v/>
      </c>
    </row>
    <row r="3885" ht="21" customHeight="1" s="66">
      <c r="A3885" s="56" t="n"/>
      <c r="B3885" s="57" t="n"/>
      <c r="C3885" s="57" t="n"/>
      <c r="D3885" s="57" t="n"/>
      <c r="E3885" s="56" t="n"/>
      <c r="F3885" s="57" t="n"/>
      <c r="G3885" s="57" t="n"/>
      <c r="H3885" s="56" t="n"/>
      <c r="I3885" s="56" t="n"/>
      <c r="J3885" s="58" t="n"/>
      <c r="K3885" s="58" t="n"/>
      <c r="L3885" s="13">
        <f>IF(OR($A3885="",AND($J3885="",$K3885="")),"",ROUND(N($J3885)-N($K3885),2))</f>
        <v/>
      </c>
      <c r="M3885" s="13">
        <f>IF(OR($A3885="",AND($J3885="",$K3885="")),"",MIN($J3885,$K3885))</f>
        <v/>
      </c>
      <c r="Q3885">
        <f>IF($A3885="","",$D3885&amp;"("&amp;SUBSTITUTE($E3885," ","")&amp;")")</f>
        <v/>
      </c>
      <c r="R3885">
        <f>IF($A3885="","",$B3885&amp;" - "&amp;$C3885)</f>
        <v/>
      </c>
      <c r="S3885">
        <f>IF($A3885="","",$R3885&amp;"|"&amp;$Q3885)</f>
        <v/>
      </c>
      <c r="T3885">
        <f>IF($A3885="","",$S3885&amp;"|"&amp;$F3885)</f>
        <v/>
      </c>
      <c r="U3885">
        <f>IF($A3885="","",$R3885&amp;"("&amp;$E3885&amp;")")</f>
        <v/>
      </c>
      <c r="V3885">
        <f>IF($A3885="","",$F3885&amp;"|"&amp;$U3885&amp;"|"&amp;$D3885)</f>
        <v/>
      </c>
      <c r="W3885">
        <f>IF($T3885="","",IF($X3885&gt;N($X3884),$X3885,""))</f>
        <v/>
      </c>
      <c r="X3885">
        <f>IF($T3885="",N($X3884),IF(MATCH($T3885,$T$6:$T$6005,0)=ROW()-5,N($X3884)+1,N($X3884)))</f>
        <v/>
      </c>
      <c r="Z3885">
        <f>IF($V3885="","",IF($AA3885&gt;N($AA3884),$AA3885,""))</f>
        <v/>
      </c>
      <c r="AA3885">
        <f>IF($V3885="",N($AA3884),IF(MATCH($V3885,$V$6:$V$6005,0)=ROW()-5,N($AA3884)+1,N($AA3884)))</f>
        <v/>
      </c>
    </row>
    <row r="3886" ht="21" customHeight="1" s="66">
      <c r="A3886" s="56" t="n"/>
      <c r="B3886" s="57" t="n"/>
      <c r="C3886" s="57" t="n"/>
      <c r="D3886" s="57" t="n"/>
      <c r="E3886" s="56" t="n"/>
      <c r="F3886" s="57" t="n"/>
      <c r="G3886" s="57" t="n"/>
      <c r="H3886" s="56" t="n"/>
      <c r="I3886" s="56" t="n"/>
      <c r="J3886" s="58" t="n"/>
      <c r="K3886" s="58" t="n"/>
      <c r="L3886" s="13">
        <f>IF(OR($A3886="",AND($J3886="",$K3886="")),"",ROUND(N($J3886)-N($K3886),2))</f>
        <v/>
      </c>
      <c r="M3886" s="13">
        <f>IF(OR($A3886="",AND($J3886="",$K3886="")),"",MIN($J3886,$K3886))</f>
        <v/>
      </c>
      <c r="Q3886">
        <f>IF($A3886="","",$D3886&amp;"("&amp;SUBSTITUTE($E3886," ","")&amp;")")</f>
        <v/>
      </c>
      <c r="R3886">
        <f>IF($A3886="","",$B3886&amp;" - "&amp;$C3886)</f>
        <v/>
      </c>
      <c r="S3886">
        <f>IF($A3886="","",$R3886&amp;"|"&amp;$Q3886)</f>
        <v/>
      </c>
      <c r="T3886">
        <f>IF($A3886="","",$S3886&amp;"|"&amp;$F3886)</f>
        <v/>
      </c>
      <c r="U3886">
        <f>IF($A3886="","",$R3886&amp;"("&amp;$E3886&amp;")")</f>
        <v/>
      </c>
      <c r="V3886">
        <f>IF($A3886="","",$F3886&amp;"|"&amp;$U3886&amp;"|"&amp;$D3886)</f>
        <v/>
      </c>
      <c r="W3886">
        <f>IF($T3886="","",IF($X3886&gt;N($X3885),$X3886,""))</f>
        <v/>
      </c>
      <c r="X3886">
        <f>IF($T3886="",N($X3885),IF(MATCH($T3886,$T$6:$T$6005,0)=ROW()-5,N($X3885)+1,N($X3885)))</f>
        <v/>
      </c>
      <c r="Z3886">
        <f>IF($V3886="","",IF($AA3886&gt;N($AA3885),$AA3886,""))</f>
        <v/>
      </c>
      <c r="AA3886">
        <f>IF($V3886="",N($AA3885),IF(MATCH($V3886,$V$6:$V$6005,0)=ROW()-5,N($AA3885)+1,N($AA3885)))</f>
        <v/>
      </c>
    </row>
    <row r="3887" ht="21" customHeight="1" s="66">
      <c r="A3887" s="56" t="n"/>
      <c r="B3887" s="57" t="n"/>
      <c r="C3887" s="57" t="n"/>
      <c r="D3887" s="57" t="n"/>
      <c r="E3887" s="56" t="n"/>
      <c r="F3887" s="57" t="n"/>
      <c r="G3887" s="57" t="n"/>
      <c r="H3887" s="56" t="n"/>
      <c r="I3887" s="56" t="n"/>
      <c r="J3887" s="58" t="n"/>
      <c r="K3887" s="58" t="n"/>
      <c r="L3887" s="13">
        <f>IF(OR($A3887="",AND($J3887="",$K3887="")),"",ROUND(N($J3887)-N($K3887),2))</f>
        <v/>
      </c>
      <c r="M3887" s="13">
        <f>IF(OR($A3887="",AND($J3887="",$K3887="")),"",MIN($J3887,$K3887))</f>
        <v/>
      </c>
      <c r="Q3887">
        <f>IF($A3887="","",$D3887&amp;"("&amp;SUBSTITUTE($E3887," ","")&amp;")")</f>
        <v/>
      </c>
      <c r="R3887">
        <f>IF($A3887="","",$B3887&amp;" - "&amp;$C3887)</f>
        <v/>
      </c>
      <c r="S3887">
        <f>IF($A3887="","",$R3887&amp;"|"&amp;$Q3887)</f>
        <v/>
      </c>
      <c r="T3887">
        <f>IF($A3887="","",$S3887&amp;"|"&amp;$F3887)</f>
        <v/>
      </c>
      <c r="U3887">
        <f>IF($A3887="","",$R3887&amp;"("&amp;$E3887&amp;")")</f>
        <v/>
      </c>
      <c r="V3887">
        <f>IF($A3887="","",$F3887&amp;"|"&amp;$U3887&amp;"|"&amp;$D3887)</f>
        <v/>
      </c>
      <c r="W3887">
        <f>IF($T3887="","",IF($X3887&gt;N($X3886),$X3887,""))</f>
        <v/>
      </c>
      <c r="X3887">
        <f>IF($T3887="",N($X3886),IF(MATCH($T3887,$T$6:$T$6005,0)=ROW()-5,N($X3886)+1,N($X3886)))</f>
        <v/>
      </c>
      <c r="Z3887">
        <f>IF($V3887="","",IF($AA3887&gt;N($AA3886),$AA3887,""))</f>
        <v/>
      </c>
      <c r="AA3887">
        <f>IF($V3887="",N($AA3886),IF(MATCH($V3887,$V$6:$V$6005,0)=ROW()-5,N($AA3886)+1,N($AA3886)))</f>
        <v/>
      </c>
    </row>
    <row r="3888" ht="21" customHeight="1" s="66">
      <c r="A3888" s="56" t="n"/>
      <c r="B3888" s="57" t="n"/>
      <c r="C3888" s="57" t="n"/>
      <c r="D3888" s="57" t="n"/>
      <c r="E3888" s="56" t="n"/>
      <c r="F3888" s="57" t="n"/>
      <c r="G3888" s="57" t="n"/>
      <c r="H3888" s="56" t="n"/>
      <c r="I3888" s="56" t="n"/>
      <c r="J3888" s="58" t="n"/>
      <c r="K3888" s="58" t="n"/>
      <c r="L3888" s="13">
        <f>IF(OR($A3888="",AND($J3888="",$K3888="")),"",ROUND(N($J3888)-N($K3888),2))</f>
        <v/>
      </c>
      <c r="M3888" s="13">
        <f>IF(OR($A3888="",AND($J3888="",$K3888="")),"",MIN($J3888,$K3888))</f>
        <v/>
      </c>
      <c r="Q3888">
        <f>IF($A3888="","",$D3888&amp;"("&amp;SUBSTITUTE($E3888," ","")&amp;")")</f>
        <v/>
      </c>
      <c r="R3888">
        <f>IF($A3888="","",$B3888&amp;" - "&amp;$C3888)</f>
        <v/>
      </c>
      <c r="S3888">
        <f>IF($A3888="","",$R3888&amp;"|"&amp;$Q3888)</f>
        <v/>
      </c>
      <c r="T3888">
        <f>IF($A3888="","",$S3888&amp;"|"&amp;$F3888)</f>
        <v/>
      </c>
      <c r="U3888">
        <f>IF($A3888="","",$R3888&amp;"("&amp;$E3888&amp;")")</f>
        <v/>
      </c>
      <c r="V3888">
        <f>IF($A3888="","",$F3888&amp;"|"&amp;$U3888&amp;"|"&amp;$D3888)</f>
        <v/>
      </c>
      <c r="W3888">
        <f>IF($T3888="","",IF($X3888&gt;N($X3887),$X3888,""))</f>
        <v/>
      </c>
      <c r="X3888">
        <f>IF($T3888="",N($X3887),IF(MATCH($T3888,$T$6:$T$6005,0)=ROW()-5,N($X3887)+1,N($X3887)))</f>
        <v/>
      </c>
      <c r="Z3888">
        <f>IF($V3888="","",IF($AA3888&gt;N($AA3887),$AA3888,""))</f>
        <v/>
      </c>
      <c r="AA3888">
        <f>IF($V3888="",N($AA3887),IF(MATCH($V3888,$V$6:$V$6005,0)=ROW()-5,N($AA3887)+1,N($AA3887)))</f>
        <v/>
      </c>
    </row>
    <row r="3889" ht="21" customHeight="1" s="66">
      <c r="A3889" s="56" t="n"/>
      <c r="B3889" s="57" t="n"/>
      <c r="C3889" s="57" t="n"/>
      <c r="D3889" s="57" t="n"/>
      <c r="E3889" s="56" t="n"/>
      <c r="F3889" s="57" t="n"/>
      <c r="G3889" s="57" t="n"/>
      <c r="H3889" s="56" t="n"/>
      <c r="I3889" s="56" t="n"/>
      <c r="J3889" s="58" t="n"/>
      <c r="K3889" s="58" t="n"/>
      <c r="L3889" s="13">
        <f>IF(OR($A3889="",AND($J3889="",$K3889="")),"",ROUND(N($J3889)-N($K3889),2))</f>
        <v/>
      </c>
      <c r="M3889" s="13">
        <f>IF(OR($A3889="",AND($J3889="",$K3889="")),"",MIN($J3889,$K3889))</f>
        <v/>
      </c>
      <c r="Q3889">
        <f>IF($A3889="","",$D3889&amp;"("&amp;SUBSTITUTE($E3889," ","")&amp;")")</f>
        <v/>
      </c>
      <c r="R3889">
        <f>IF($A3889="","",$B3889&amp;" - "&amp;$C3889)</f>
        <v/>
      </c>
      <c r="S3889">
        <f>IF($A3889="","",$R3889&amp;"|"&amp;$Q3889)</f>
        <v/>
      </c>
      <c r="T3889">
        <f>IF($A3889="","",$S3889&amp;"|"&amp;$F3889)</f>
        <v/>
      </c>
      <c r="U3889">
        <f>IF($A3889="","",$R3889&amp;"("&amp;$E3889&amp;")")</f>
        <v/>
      </c>
      <c r="V3889">
        <f>IF($A3889="","",$F3889&amp;"|"&amp;$U3889&amp;"|"&amp;$D3889)</f>
        <v/>
      </c>
      <c r="W3889">
        <f>IF($T3889="","",IF($X3889&gt;N($X3888),$X3889,""))</f>
        <v/>
      </c>
      <c r="X3889">
        <f>IF($T3889="",N($X3888),IF(MATCH($T3889,$T$6:$T$6005,0)=ROW()-5,N($X3888)+1,N($X3888)))</f>
        <v/>
      </c>
      <c r="Z3889">
        <f>IF($V3889="","",IF($AA3889&gt;N($AA3888),$AA3889,""))</f>
        <v/>
      </c>
      <c r="AA3889">
        <f>IF($V3889="",N($AA3888),IF(MATCH($V3889,$V$6:$V$6005,0)=ROW()-5,N($AA3888)+1,N($AA3888)))</f>
        <v/>
      </c>
    </row>
    <row r="3890" ht="21" customHeight="1" s="66">
      <c r="A3890" s="56" t="n"/>
      <c r="B3890" s="57" t="n"/>
      <c r="C3890" s="57" t="n"/>
      <c r="D3890" s="57" t="n"/>
      <c r="E3890" s="56" t="n"/>
      <c r="F3890" s="57" t="n"/>
      <c r="G3890" s="57" t="n"/>
      <c r="H3890" s="56" t="n"/>
      <c r="I3890" s="56" t="n"/>
      <c r="J3890" s="58" t="n"/>
      <c r="K3890" s="58" t="n"/>
      <c r="L3890" s="13">
        <f>IF(OR($A3890="",AND($J3890="",$K3890="")),"",ROUND(N($J3890)-N($K3890),2))</f>
        <v/>
      </c>
      <c r="M3890" s="13">
        <f>IF(OR($A3890="",AND($J3890="",$K3890="")),"",MIN($J3890,$K3890))</f>
        <v/>
      </c>
      <c r="Q3890">
        <f>IF($A3890="","",$D3890&amp;"("&amp;SUBSTITUTE($E3890," ","")&amp;")")</f>
        <v/>
      </c>
      <c r="R3890">
        <f>IF($A3890="","",$B3890&amp;" - "&amp;$C3890)</f>
        <v/>
      </c>
      <c r="S3890">
        <f>IF($A3890="","",$R3890&amp;"|"&amp;$Q3890)</f>
        <v/>
      </c>
      <c r="T3890">
        <f>IF($A3890="","",$S3890&amp;"|"&amp;$F3890)</f>
        <v/>
      </c>
      <c r="U3890">
        <f>IF($A3890="","",$R3890&amp;"("&amp;$E3890&amp;")")</f>
        <v/>
      </c>
      <c r="V3890">
        <f>IF($A3890="","",$F3890&amp;"|"&amp;$U3890&amp;"|"&amp;$D3890)</f>
        <v/>
      </c>
      <c r="W3890">
        <f>IF($T3890="","",IF($X3890&gt;N($X3889),$X3890,""))</f>
        <v/>
      </c>
      <c r="X3890">
        <f>IF($T3890="",N($X3889),IF(MATCH($T3890,$T$6:$T$6005,0)=ROW()-5,N($X3889)+1,N($X3889)))</f>
        <v/>
      </c>
      <c r="Z3890">
        <f>IF($V3890="","",IF($AA3890&gt;N($AA3889),$AA3890,""))</f>
        <v/>
      </c>
      <c r="AA3890">
        <f>IF($V3890="",N($AA3889),IF(MATCH($V3890,$V$6:$V$6005,0)=ROW()-5,N($AA3889)+1,N($AA3889)))</f>
        <v/>
      </c>
    </row>
    <row r="3891" ht="21" customHeight="1" s="66">
      <c r="A3891" s="56" t="n"/>
      <c r="B3891" s="57" t="n"/>
      <c r="C3891" s="57" t="n"/>
      <c r="D3891" s="57" t="n"/>
      <c r="E3891" s="56" t="n"/>
      <c r="F3891" s="57" t="n"/>
      <c r="G3891" s="57" t="n"/>
      <c r="H3891" s="56" t="n"/>
      <c r="I3891" s="56" t="n"/>
      <c r="J3891" s="58" t="n"/>
      <c r="K3891" s="58" t="n"/>
      <c r="L3891" s="13">
        <f>IF(OR($A3891="",AND($J3891="",$K3891="")),"",ROUND(N($J3891)-N($K3891),2))</f>
        <v/>
      </c>
      <c r="M3891" s="13">
        <f>IF(OR($A3891="",AND($J3891="",$K3891="")),"",MIN($J3891,$K3891))</f>
        <v/>
      </c>
      <c r="Q3891">
        <f>IF($A3891="","",$D3891&amp;"("&amp;SUBSTITUTE($E3891," ","")&amp;")")</f>
        <v/>
      </c>
      <c r="R3891">
        <f>IF($A3891="","",$B3891&amp;" - "&amp;$C3891)</f>
        <v/>
      </c>
      <c r="S3891">
        <f>IF($A3891="","",$R3891&amp;"|"&amp;$Q3891)</f>
        <v/>
      </c>
      <c r="T3891">
        <f>IF($A3891="","",$S3891&amp;"|"&amp;$F3891)</f>
        <v/>
      </c>
      <c r="U3891">
        <f>IF($A3891="","",$R3891&amp;"("&amp;$E3891&amp;")")</f>
        <v/>
      </c>
      <c r="V3891">
        <f>IF($A3891="","",$F3891&amp;"|"&amp;$U3891&amp;"|"&amp;$D3891)</f>
        <v/>
      </c>
      <c r="W3891">
        <f>IF($T3891="","",IF($X3891&gt;N($X3890),$X3891,""))</f>
        <v/>
      </c>
      <c r="X3891">
        <f>IF($T3891="",N($X3890),IF(MATCH($T3891,$T$6:$T$6005,0)=ROW()-5,N($X3890)+1,N($X3890)))</f>
        <v/>
      </c>
      <c r="Z3891">
        <f>IF($V3891="","",IF($AA3891&gt;N($AA3890),$AA3891,""))</f>
        <v/>
      </c>
      <c r="AA3891">
        <f>IF($V3891="",N($AA3890),IF(MATCH($V3891,$V$6:$V$6005,0)=ROW()-5,N($AA3890)+1,N($AA3890)))</f>
        <v/>
      </c>
    </row>
    <row r="3892" ht="21" customHeight="1" s="66">
      <c r="A3892" s="56" t="n"/>
      <c r="B3892" s="57" t="n"/>
      <c r="C3892" s="57" t="n"/>
      <c r="D3892" s="57" t="n"/>
      <c r="E3892" s="56" t="n"/>
      <c r="F3892" s="57" t="n"/>
      <c r="G3892" s="57" t="n"/>
      <c r="H3892" s="56" t="n"/>
      <c r="I3892" s="56" t="n"/>
      <c r="J3892" s="58" t="n"/>
      <c r="K3892" s="58" t="n"/>
      <c r="L3892" s="13">
        <f>IF(OR($A3892="",AND($J3892="",$K3892="")),"",ROUND(N($J3892)-N($K3892),2))</f>
        <v/>
      </c>
      <c r="M3892" s="13">
        <f>IF(OR($A3892="",AND($J3892="",$K3892="")),"",MIN($J3892,$K3892))</f>
        <v/>
      </c>
      <c r="Q3892">
        <f>IF($A3892="","",$D3892&amp;"("&amp;SUBSTITUTE($E3892," ","")&amp;")")</f>
        <v/>
      </c>
      <c r="R3892">
        <f>IF($A3892="","",$B3892&amp;" - "&amp;$C3892)</f>
        <v/>
      </c>
      <c r="S3892">
        <f>IF($A3892="","",$R3892&amp;"|"&amp;$Q3892)</f>
        <v/>
      </c>
      <c r="T3892">
        <f>IF($A3892="","",$S3892&amp;"|"&amp;$F3892)</f>
        <v/>
      </c>
      <c r="U3892">
        <f>IF($A3892="","",$R3892&amp;"("&amp;$E3892&amp;")")</f>
        <v/>
      </c>
      <c r="V3892">
        <f>IF($A3892="","",$F3892&amp;"|"&amp;$U3892&amp;"|"&amp;$D3892)</f>
        <v/>
      </c>
      <c r="W3892">
        <f>IF($T3892="","",IF($X3892&gt;N($X3891),$X3892,""))</f>
        <v/>
      </c>
      <c r="X3892">
        <f>IF($T3892="",N($X3891),IF(MATCH($T3892,$T$6:$T$6005,0)=ROW()-5,N($X3891)+1,N($X3891)))</f>
        <v/>
      </c>
      <c r="Z3892">
        <f>IF($V3892="","",IF($AA3892&gt;N($AA3891),$AA3892,""))</f>
        <v/>
      </c>
      <c r="AA3892">
        <f>IF($V3892="",N($AA3891),IF(MATCH($V3892,$V$6:$V$6005,0)=ROW()-5,N($AA3891)+1,N($AA3891)))</f>
        <v/>
      </c>
    </row>
    <row r="3893" ht="21" customHeight="1" s="66">
      <c r="A3893" s="56" t="n"/>
      <c r="B3893" s="57" t="n"/>
      <c r="C3893" s="57" t="n"/>
      <c r="D3893" s="57" t="n"/>
      <c r="E3893" s="56" t="n"/>
      <c r="F3893" s="57" t="n"/>
      <c r="G3893" s="57" t="n"/>
      <c r="H3893" s="56" t="n"/>
      <c r="I3893" s="56" t="n"/>
      <c r="J3893" s="58" t="n"/>
      <c r="K3893" s="58" t="n"/>
      <c r="L3893" s="13">
        <f>IF(OR($A3893="",AND($J3893="",$K3893="")),"",ROUND(N($J3893)-N($K3893),2))</f>
        <v/>
      </c>
      <c r="M3893" s="13">
        <f>IF(OR($A3893="",AND($J3893="",$K3893="")),"",MIN($J3893,$K3893))</f>
        <v/>
      </c>
      <c r="Q3893">
        <f>IF($A3893="","",$D3893&amp;"("&amp;SUBSTITUTE($E3893," ","")&amp;")")</f>
        <v/>
      </c>
      <c r="R3893">
        <f>IF($A3893="","",$B3893&amp;" - "&amp;$C3893)</f>
        <v/>
      </c>
      <c r="S3893">
        <f>IF($A3893="","",$R3893&amp;"|"&amp;$Q3893)</f>
        <v/>
      </c>
      <c r="T3893">
        <f>IF($A3893="","",$S3893&amp;"|"&amp;$F3893)</f>
        <v/>
      </c>
      <c r="U3893">
        <f>IF($A3893="","",$R3893&amp;"("&amp;$E3893&amp;")")</f>
        <v/>
      </c>
      <c r="V3893">
        <f>IF($A3893="","",$F3893&amp;"|"&amp;$U3893&amp;"|"&amp;$D3893)</f>
        <v/>
      </c>
      <c r="W3893">
        <f>IF($T3893="","",IF($X3893&gt;N($X3892),$X3893,""))</f>
        <v/>
      </c>
      <c r="X3893">
        <f>IF($T3893="",N($X3892),IF(MATCH($T3893,$T$6:$T$6005,0)=ROW()-5,N($X3892)+1,N($X3892)))</f>
        <v/>
      </c>
      <c r="Z3893">
        <f>IF($V3893="","",IF($AA3893&gt;N($AA3892),$AA3893,""))</f>
        <v/>
      </c>
      <c r="AA3893">
        <f>IF($V3893="",N($AA3892),IF(MATCH($V3893,$V$6:$V$6005,0)=ROW()-5,N($AA3892)+1,N($AA3892)))</f>
        <v/>
      </c>
    </row>
    <row r="3894" ht="21" customHeight="1" s="66">
      <c r="A3894" s="56" t="n"/>
      <c r="B3894" s="57" t="n"/>
      <c r="C3894" s="57" t="n"/>
      <c r="D3894" s="57" t="n"/>
      <c r="E3894" s="56" t="n"/>
      <c r="F3894" s="57" t="n"/>
      <c r="G3894" s="57" t="n"/>
      <c r="H3894" s="56" t="n"/>
      <c r="I3894" s="56" t="n"/>
      <c r="J3894" s="58" t="n"/>
      <c r="K3894" s="58" t="n"/>
      <c r="L3894" s="13">
        <f>IF(OR($A3894="",AND($J3894="",$K3894="")),"",ROUND(N($J3894)-N($K3894),2))</f>
        <v/>
      </c>
      <c r="M3894" s="13">
        <f>IF(OR($A3894="",AND($J3894="",$K3894="")),"",MIN($J3894,$K3894))</f>
        <v/>
      </c>
      <c r="Q3894">
        <f>IF($A3894="","",$D3894&amp;"("&amp;SUBSTITUTE($E3894," ","")&amp;")")</f>
        <v/>
      </c>
      <c r="R3894">
        <f>IF($A3894="","",$B3894&amp;" - "&amp;$C3894)</f>
        <v/>
      </c>
      <c r="S3894">
        <f>IF($A3894="","",$R3894&amp;"|"&amp;$Q3894)</f>
        <v/>
      </c>
      <c r="T3894">
        <f>IF($A3894="","",$S3894&amp;"|"&amp;$F3894)</f>
        <v/>
      </c>
      <c r="U3894">
        <f>IF($A3894="","",$R3894&amp;"("&amp;$E3894&amp;")")</f>
        <v/>
      </c>
      <c r="V3894">
        <f>IF($A3894="","",$F3894&amp;"|"&amp;$U3894&amp;"|"&amp;$D3894)</f>
        <v/>
      </c>
      <c r="W3894">
        <f>IF($T3894="","",IF($X3894&gt;N($X3893),$X3894,""))</f>
        <v/>
      </c>
      <c r="X3894">
        <f>IF($T3894="",N($X3893),IF(MATCH($T3894,$T$6:$T$6005,0)=ROW()-5,N($X3893)+1,N($X3893)))</f>
        <v/>
      </c>
      <c r="Z3894">
        <f>IF($V3894="","",IF($AA3894&gt;N($AA3893),$AA3894,""))</f>
        <v/>
      </c>
      <c r="AA3894">
        <f>IF($V3894="",N($AA3893),IF(MATCH($V3894,$V$6:$V$6005,0)=ROW()-5,N($AA3893)+1,N($AA3893)))</f>
        <v/>
      </c>
    </row>
    <row r="3895" ht="21" customHeight="1" s="66">
      <c r="A3895" s="56" t="n"/>
      <c r="B3895" s="57" t="n"/>
      <c r="C3895" s="57" t="n"/>
      <c r="D3895" s="57" t="n"/>
      <c r="E3895" s="56" t="n"/>
      <c r="F3895" s="57" t="n"/>
      <c r="G3895" s="57" t="n"/>
      <c r="H3895" s="56" t="n"/>
      <c r="I3895" s="56" t="n"/>
      <c r="J3895" s="58" t="n"/>
      <c r="K3895" s="58" t="n"/>
      <c r="L3895" s="13">
        <f>IF(OR($A3895="",AND($J3895="",$K3895="")),"",ROUND(N($J3895)-N($K3895),2))</f>
        <v/>
      </c>
      <c r="M3895" s="13">
        <f>IF(OR($A3895="",AND($J3895="",$K3895="")),"",MIN($J3895,$K3895))</f>
        <v/>
      </c>
      <c r="Q3895">
        <f>IF($A3895="","",$D3895&amp;"("&amp;SUBSTITUTE($E3895," ","")&amp;")")</f>
        <v/>
      </c>
      <c r="R3895">
        <f>IF($A3895="","",$B3895&amp;" - "&amp;$C3895)</f>
        <v/>
      </c>
      <c r="S3895">
        <f>IF($A3895="","",$R3895&amp;"|"&amp;$Q3895)</f>
        <v/>
      </c>
      <c r="T3895">
        <f>IF($A3895="","",$S3895&amp;"|"&amp;$F3895)</f>
        <v/>
      </c>
      <c r="U3895">
        <f>IF($A3895="","",$R3895&amp;"("&amp;$E3895&amp;")")</f>
        <v/>
      </c>
      <c r="V3895">
        <f>IF($A3895="","",$F3895&amp;"|"&amp;$U3895&amp;"|"&amp;$D3895)</f>
        <v/>
      </c>
      <c r="W3895">
        <f>IF($T3895="","",IF($X3895&gt;N($X3894),$X3895,""))</f>
        <v/>
      </c>
      <c r="X3895">
        <f>IF($T3895="",N($X3894),IF(MATCH($T3895,$T$6:$T$6005,0)=ROW()-5,N($X3894)+1,N($X3894)))</f>
        <v/>
      </c>
      <c r="Z3895">
        <f>IF($V3895="","",IF($AA3895&gt;N($AA3894),$AA3895,""))</f>
        <v/>
      </c>
      <c r="AA3895">
        <f>IF($V3895="",N($AA3894),IF(MATCH($V3895,$V$6:$V$6005,0)=ROW()-5,N($AA3894)+1,N($AA3894)))</f>
        <v/>
      </c>
    </row>
    <row r="3896" ht="21" customHeight="1" s="66">
      <c r="A3896" s="56" t="n"/>
      <c r="B3896" s="57" t="n"/>
      <c r="C3896" s="57" t="n"/>
      <c r="D3896" s="57" t="n"/>
      <c r="E3896" s="56" t="n"/>
      <c r="F3896" s="57" t="n"/>
      <c r="G3896" s="57" t="n"/>
      <c r="H3896" s="56" t="n"/>
      <c r="I3896" s="56" t="n"/>
      <c r="J3896" s="58" t="n"/>
      <c r="K3896" s="58" t="n"/>
      <c r="L3896" s="13">
        <f>IF(OR($A3896="",AND($J3896="",$K3896="")),"",ROUND(N($J3896)-N($K3896),2))</f>
        <v/>
      </c>
      <c r="M3896" s="13">
        <f>IF(OR($A3896="",AND($J3896="",$K3896="")),"",MIN($J3896,$K3896))</f>
        <v/>
      </c>
      <c r="Q3896">
        <f>IF($A3896="","",$D3896&amp;"("&amp;SUBSTITUTE($E3896," ","")&amp;")")</f>
        <v/>
      </c>
      <c r="R3896">
        <f>IF($A3896="","",$B3896&amp;" - "&amp;$C3896)</f>
        <v/>
      </c>
      <c r="S3896">
        <f>IF($A3896="","",$R3896&amp;"|"&amp;$Q3896)</f>
        <v/>
      </c>
      <c r="T3896">
        <f>IF($A3896="","",$S3896&amp;"|"&amp;$F3896)</f>
        <v/>
      </c>
      <c r="U3896">
        <f>IF($A3896="","",$R3896&amp;"("&amp;$E3896&amp;")")</f>
        <v/>
      </c>
      <c r="V3896">
        <f>IF($A3896="","",$F3896&amp;"|"&amp;$U3896&amp;"|"&amp;$D3896)</f>
        <v/>
      </c>
      <c r="W3896">
        <f>IF($T3896="","",IF($X3896&gt;N($X3895),$X3896,""))</f>
        <v/>
      </c>
      <c r="X3896">
        <f>IF($T3896="",N($X3895),IF(MATCH($T3896,$T$6:$T$6005,0)=ROW()-5,N($X3895)+1,N($X3895)))</f>
        <v/>
      </c>
      <c r="Z3896">
        <f>IF($V3896="","",IF($AA3896&gt;N($AA3895),$AA3896,""))</f>
        <v/>
      </c>
      <c r="AA3896">
        <f>IF($V3896="",N($AA3895),IF(MATCH($V3896,$V$6:$V$6005,0)=ROW()-5,N($AA3895)+1,N($AA3895)))</f>
        <v/>
      </c>
    </row>
    <row r="3897" ht="21" customHeight="1" s="66">
      <c r="A3897" s="56" t="n"/>
      <c r="B3897" s="57" t="n"/>
      <c r="C3897" s="57" t="n"/>
      <c r="D3897" s="57" t="n"/>
      <c r="E3897" s="56" t="n"/>
      <c r="F3897" s="57" t="n"/>
      <c r="G3897" s="57" t="n"/>
      <c r="H3897" s="56" t="n"/>
      <c r="I3897" s="56" t="n"/>
      <c r="J3897" s="58" t="n"/>
      <c r="K3897" s="58" t="n"/>
      <c r="L3897" s="13">
        <f>IF(OR($A3897="",AND($J3897="",$K3897="")),"",ROUND(N($J3897)-N($K3897),2))</f>
        <v/>
      </c>
      <c r="M3897" s="13">
        <f>IF(OR($A3897="",AND($J3897="",$K3897="")),"",MIN($J3897,$K3897))</f>
        <v/>
      </c>
      <c r="Q3897">
        <f>IF($A3897="","",$D3897&amp;"("&amp;SUBSTITUTE($E3897," ","")&amp;")")</f>
        <v/>
      </c>
      <c r="R3897">
        <f>IF($A3897="","",$B3897&amp;" - "&amp;$C3897)</f>
        <v/>
      </c>
      <c r="S3897">
        <f>IF($A3897="","",$R3897&amp;"|"&amp;$Q3897)</f>
        <v/>
      </c>
      <c r="T3897">
        <f>IF($A3897="","",$S3897&amp;"|"&amp;$F3897)</f>
        <v/>
      </c>
      <c r="U3897">
        <f>IF($A3897="","",$R3897&amp;"("&amp;$E3897&amp;")")</f>
        <v/>
      </c>
      <c r="V3897">
        <f>IF($A3897="","",$F3897&amp;"|"&amp;$U3897&amp;"|"&amp;$D3897)</f>
        <v/>
      </c>
      <c r="W3897">
        <f>IF($T3897="","",IF($X3897&gt;N($X3896),$X3897,""))</f>
        <v/>
      </c>
      <c r="X3897">
        <f>IF($T3897="",N($X3896),IF(MATCH($T3897,$T$6:$T$6005,0)=ROW()-5,N($X3896)+1,N($X3896)))</f>
        <v/>
      </c>
      <c r="Z3897">
        <f>IF($V3897="","",IF($AA3897&gt;N($AA3896),$AA3897,""))</f>
        <v/>
      </c>
      <c r="AA3897">
        <f>IF($V3897="",N($AA3896),IF(MATCH($V3897,$V$6:$V$6005,0)=ROW()-5,N($AA3896)+1,N($AA3896)))</f>
        <v/>
      </c>
    </row>
    <row r="3898" ht="21" customHeight="1" s="66">
      <c r="A3898" s="56" t="n"/>
      <c r="B3898" s="57" t="n"/>
      <c r="C3898" s="57" t="n"/>
      <c r="D3898" s="57" t="n"/>
      <c r="E3898" s="56" t="n"/>
      <c r="F3898" s="57" t="n"/>
      <c r="G3898" s="57" t="n"/>
      <c r="H3898" s="56" t="n"/>
      <c r="I3898" s="56" t="n"/>
      <c r="J3898" s="58" t="n"/>
      <c r="K3898" s="58" t="n"/>
      <c r="L3898" s="13">
        <f>IF(OR($A3898="",AND($J3898="",$K3898="")),"",ROUND(N($J3898)-N($K3898),2))</f>
        <v/>
      </c>
      <c r="M3898" s="13">
        <f>IF(OR($A3898="",AND($J3898="",$K3898="")),"",MIN($J3898,$K3898))</f>
        <v/>
      </c>
      <c r="Q3898">
        <f>IF($A3898="","",$D3898&amp;"("&amp;SUBSTITUTE($E3898," ","")&amp;")")</f>
        <v/>
      </c>
      <c r="R3898">
        <f>IF($A3898="","",$B3898&amp;" - "&amp;$C3898)</f>
        <v/>
      </c>
      <c r="S3898">
        <f>IF($A3898="","",$R3898&amp;"|"&amp;$Q3898)</f>
        <v/>
      </c>
      <c r="T3898">
        <f>IF($A3898="","",$S3898&amp;"|"&amp;$F3898)</f>
        <v/>
      </c>
      <c r="U3898">
        <f>IF($A3898="","",$R3898&amp;"("&amp;$E3898&amp;")")</f>
        <v/>
      </c>
      <c r="V3898">
        <f>IF($A3898="","",$F3898&amp;"|"&amp;$U3898&amp;"|"&amp;$D3898)</f>
        <v/>
      </c>
      <c r="W3898">
        <f>IF($T3898="","",IF($X3898&gt;N($X3897),$X3898,""))</f>
        <v/>
      </c>
      <c r="X3898">
        <f>IF($T3898="",N($X3897),IF(MATCH($T3898,$T$6:$T$6005,0)=ROW()-5,N($X3897)+1,N($X3897)))</f>
        <v/>
      </c>
      <c r="Z3898">
        <f>IF($V3898="","",IF($AA3898&gt;N($AA3897),$AA3898,""))</f>
        <v/>
      </c>
      <c r="AA3898">
        <f>IF($V3898="",N($AA3897),IF(MATCH($V3898,$V$6:$V$6005,0)=ROW()-5,N($AA3897)+1,N($AA3897)))</f>
        <v/>
      </c>
    </row>
    <row r="3899" ht="21" customHeight="1" s="66">
      <c r="A3899" s="56" t="n"/>
      <c r="B3899" s="57" t="n"/>
      <c r="C3899" s="57" t="n"/>
      <c r="D3899" s="57" t="n"/>
      <c r="E3899" s="56" t="n"/>
      <c r="F3899" s="57" t="n"/>
      <c r="G3899" s="57" t="n"/>
      <c r="H3899" s="56" t="n"/>
      <c r="I3899" s="56" t="n"/>
      <c r="J3899" s="58" t="n"/>
      <c r="K3899" s="58" t="n"/>
      <c r="L3899" s="13">
        <f>IF(OR($A3899="",AND($J3899="",$K3899="")),"",ROUND(N($J3899)-N($K3899),2))</f>
        <v/>
      </c>
      <c r="M3899" s="13">
        <f>IF(OR($A3899="",AND($J3899="",$K3899="")),"",MIN($J3899,$K3899))</f>
        <v/>
      </c>
      <c r="Q3899">
        <f>IF($A3899="","",$D3899&amp;"("&amp;SUBSTITUTE($E3899," ","")&amp;")")</f>
        <v/>
      </c>
      <c r="R3899">
        <f>IF($A3899="","",$B3899&amp;" - "&amp;$C3899)</f>
        <v/>
      </c>
      <c r="S3899">
        <f>IF($A3899="","",$R3899&amp;"|"&amp;$Q3899)</f>
        <v/>
      </c>
      <c r="T3899">
        <f>IF($A3899="","",$S3899&amp;"|"&amp;$F3899)</f>
        <v/>
      </c>
      <c r="U3899">
        <f>IF($A3899="","",$R3899&amp;"("&amp;$E3899&amp;")")</f>
        <v/>
      </c>
      <c r="V3899">
        <f>IF($A3899="","",$F3899&amp;"|"&amp;$U3899&amp;"|"&amp;$D3899)</f>
        <v/>
      </c>
      <c r="W3899">
        <f>IF($T3899="","",IF($X3899&gt;N($X3898),$X3899,""))</f>
        <v/>
      </c>
      <c r="X3899">
        <f>IF($T3899="",N($X3898),IF(MATCH($T3899,$T$6:$T$6005,0)=ROW()-5,N($X3898)+1,N($X3898)))</f>
        <v/>
      </c>
      <c r="Z3899">
        <f>IF($V3899="","",IF($AA3899&gt;N($AA3898),$AA3899,""))</f>
        <v/>
      </c>
      <c r="AA3899">
        <f>IF($V3899="",N($AA3898),IF(MATCH($V3899,$V$6:$V$6005,0)=ROW()-5,N($AA3898)+1,N($AA3898)))</f>
        <v/>
      </c>
    </row>
    <row r="3900" ht="21" customHeight="1" s="66">
      <c r="A3900" s="56" t="n"/>
      <c r="B3900" s="57" t="n"/>
      <c r="C3900" s="57" t="n"/>
      <c r="D3900" s="57" t="n"/>
      <c r="E3900" s="56" t="n"/>
      <c r="F3900" s="57" t="n"/>
      <c r="G3900" s="57" t="n"/>
      <c r="H3900" s="56" t="n"/>
      <c r="I3900" s="56" t="n"/>
      <c r="J3900" s="58" t="n"/>
      <c r="K3900" s="58" t="n"/>
      <c r="L3900" s="13">
        <f>IF(OR($A3900="",AND($J3900="",$K3900="")),"",ROUND(N($J3900)-N($K3900),2))</f>
        <v/>
      </c>
      <c r="M3900" s="13">
        <f>IF(OR($A3900="",AND($J3900="",$K3900="")),"",MIN($J3900,$K3900))</f>
        <v/>
      </c>
      <c r="Q3900">
        <f>IF($A3900="","",$D3900&amp;"("&amp;SUBSTITUTE($E3900," ","")&amp;")")</f>
        <v/>
      </c>
      <c r="R3900">
        <f>IF($A3900="","",$B3900&amp;" - "&amp;$C3900)</f>
        <v/>
      </c>
      <c r="S3900">
        <f>IF($A3900="","",$R3900&amp;"|"&amp;$Q3900)</f>
        <v/>
      </c>
      <c r="T3900">
        <f>IF($A3900="","",$S3900&amp;"|"&amp;$F3900)</f>
        <v/>
      </c>
      <c r="U3900">
        <f>IF($A3900="","",$R3900&amp;"("&amp;$E3900&amp;")")</f>
        <v/>
      </c>
      <c r="V3900">
        <f>IF($A3900="","",$F3900&amp;"|"&amp;$U3900&amp;"|"&amp;$D3900)</f>
        <v/>
      </c>
      <c r="W3900">
        <f>IF($T3900="","",IF($X3900&gt;N($X3899),$X3900,""))</f>
        <v/>
      </c>
      <c r="X3900">
        <f>IF($T3900="",N($X3899),IF(MATCH($T3900,$T$6:$T$6005,0)=ROW()-5,N($X3899)+1,N($X3899)))</f>
        <v/>
      </c>
      <c r="Z3900">
        <f>IF($V3900="","",IF($AA3900&gt;N($AA3899),$AA3900,""))</f>
        <v/>
      </c>
      <c r="AA3900">
        <f>IF($V3900="",N($AA3899),IF(MATCH($V3900,$V$6:$V$6005,0)=ROW()-5,N($AA3899)+1,N($AA3899)))</f>
        <v/>
      </c>
    </row>
    <row r="3901" ht="21" customHeight="1" s="66">
      <c r="A3901" s="56" t="n"/>
      <c r="B3901" s="57" t="n"/>
      <c r="C3901" s="57" t="n"/>
      <c r="D3901" s="57" t="n"/>
      <c r="E3901" s="56" t="n"/>
      <c r="F3901" s="57" t="n"/>
      <c r="G3901" s="57" t="n"/>
      <c r="H3901" s="56" t="n"/>
      <c r="I3901" s="56" t="n"/>
      <c r="J3901" s="58" t="n"/>
      <c r="K3901" s="58" t="n"/>
      <c r="L3901" s="13">
        <f>IF(OR($A3901="",AND($J3901="",$K3901="")),"",ROUND(N($J3901)-N($K3901),2))</f>
        <v/>
      </c>
      <c r="M3901" s="13">
        <f>IF(OR($A3901="",AND($J3901="",$K3901="")),"",MIN($J3901,$K3901))</f>
        <v/>
      </c>
      <c r="Q3901">
        <f>IF($A3901="","",$D3901&amp;"("&amp;SUBSTITUTE($E3901," ","")&amp;")")</f>
        <v/>
      </c>
      <c r="R3901">
        <f>IF($A3901="","",$B3901&amp;" - "&amp;$C3901)</f>
        <v/>
      </c>
      <c r="S3901">
        <f>IF($A3901="","",$R3901&amp;"|"&amp;$Q3901)</f>
        <v/>
      </c>
      <c r="T3901">
        <f>IF($A3901="","",$S3901&amp;"|"&amp;$F3901)</f>
        <v/>
      </c>
      <c r="U3901">
        <f>IF($A3901="","",$R3901&amp;"("&amp;$E3901&amp;")")</f>
        <v/>
      </c>
      <c r="V3901">
        <f>IF($A3901="","",$F3901&amp;"|"&amp;$U3901&amp;"|"&amp;$D3901)</f>
        <v/>
      </c>
      <c r="W3901">
        <f>IF($T3901="","",IF($X3901&gt;N($X3900),$X3901,""))</f>
        <v/>
      </c>
      <c r="X3901">
        <f>IF($T3901="",N($X3900),IF(MATCH($T3901,$T$6:$T$6005,0)=ROW()-5,N($X3900)+1,N($X3900)))</f>
        <v/>
      </c>
      <c r="Z3901">
        <f>IF($V3901="","",IF($AA3901&gt;N($AA3900),$AA3901,""))</f>
        <v/>
      </c>
      <c r="AA3901">
        <f>IF($V3901="",N($AA3900),IF(MATCH($V3901,$V$6:$V$6005,0)=ROW()-5,N($AA3900)+1,N($AA3900)))</f>
        <v/>
      </c>
    </row>
    <row r="3902" ht="21" customHeight="1" s="66">
      <c r="A3902" s="56" t="n"/>
      <c r="B3902" s="57" t="n"/>
      <c r="C3902" s="57" t="n"/>
      <c r="D3902" s="57" t="n"/>
      <c r="E3902" s="56" t="n"/>
      <c r="F3902" s="57" t="n"/>
      <c r="G3902" s="57" t="n"/>
      <c r="H3902" s="56" t="n"/>
      <c r="I3902" s="56" t="n"/>
      <c r="J3902" s="58" t="n"/>
      <c r="K3902" s="58" t="n"/>
      <c r="L3902" s="13">
        <f>IF(OR($A3902="",AND($J3902="",$K3902="")),"",ROUND(N($J3902)-N($K3902),2))</f>
        <v/>
      </c>
      <c r="M3902" s="13">
        <f>IF(OR($A3902="",AND($J3902="",$K3902="")),"",MIN($J3902,$K3902))</f>
        <v/>
      </c>
      <c r="Q3902">
        <f>IF($A3902="","",$D3902&amp;"("&amp;SUBSTITUTE($E3902," ","")&amp;")")</f>
        <v/>
      </c>
      <c r="R3902">
        <f>IF($A3902="","",$B3902&amp;" - "&amp;$C3902)</f>
        <v/>
      </c>
      <c r="S3902">
        <f>IF($A3902="","",$R3902&amp;"|"&amp;$Q3902)</f>
        <v/>
      </c>
      <c r="T3902">
        <f>IF($A3902="","",$S3902&amp;"|"&amp;$F3902)</f>
        <v/>
      </c>
      <c r="U3902">
        <f>IF($A3902="","",$R3902&amp;"("&amp;$E3902&amp;")")</f>
        <v/>
      </c>
      <c r="V3902">
        <f>IF($A3902="","",$F3902&amp;"|"&amp;$U3902&amp;"|"&amp;$D3902)</f>
        <v/>
      </c>
      <c r="W3902">
        <f>IF($T3902="","",IF($X3902&gt;N($X3901),$X3902,""))</f>
        <v/>
      </c>
      <c r="X3902">
        <f>IF($T3902="",N($X3901),IF(MATCH($T3902,$T$6:$T$6005,0)=ROW()-5,N($X3901)+1,N($X3901)))</f>
        <v/>
      </c>
      <c r="Z3902">
        <f>IF($V3902="","",IF($AA3902&gt;N($AA3901),$AA3902,""))</f>
        <v/>
      </c>
      <c r="AA3902">
        <f>IF($V3902="",N($AA3901),IF(MATCH($V3902,$V$6:$V$6005,0)=ROW()-5,N($AA3901)+1,N($AA3901)))</f>
        <v/>
      </c>
    </row>
    <row r="3903" ht="21" customHeight="1" s="66">
      <c r="A3903" s="56" t="n"/>
      <c r="B3903" s="57" t="n"/>
      <c r="C3903" s="57" t="n"/>
      <c r="D3903" s="57" t="n"/>
      <c r="E3903" s="56" t="n"/>
      <c r="F3903" s="57" t="n"/>
      <c r="G3903" s="57" t="n"/>
      <c r="H3903" s="56" t="n"/>
      <c r="I3903" s="56" t="n"/>
      <c r="J3903" s="58" t="n"/>
      <c r="K3903" s="58" t="n"/>
      <c r="L3903" s="13">
        <f>IF(OR($A3903="",AND($J3903="",$K3903="")),"",ROUND(N($J3903)-N($K3903),2))</f>
        <v/>
      </c>
      <c r="M3903" s="13">
        <f>IF(OR($A3903="",AND($J3903="",$K3903="")),"",MIN($J3903,$K3903))</f>
        <v/>
      </c>
      <c r="Q3903">
        <f>IF($A3903="","",$D3903&amp;"("&amp;SUBSTITUTE($E3903," ","")&amp;")")</f>
        <v/>
      </c>
      <c r="R3903">
        <f>IF($A3903="","",$B3903&amp;" - "&amp;$C3903)</f>
        <v/>
      </c>
      <c r="S3903">
        <f>IF($A3903="","",$R3903&amp;"|"&amp;$Q3903)</f>
        <v/>
      </c>
      <c r="T3903">
        <f>IF($A3903="","",$S3903&amp;"|"&amp;$F3903)</f>
        <v/>
      </c>
      <c r="U3903">
        <f>IF($A3903="","",$R3903&amp;"("&amp;$E3903&amp;")")</f>
        <v/>
      </c>
      <c r="V3903">
        <f>IF($A3903="","",$F3903&amp;"|"&amp;$U3903&amp;"|"&amp;$D3903)</f>
        <v/>
      </c>
      <c r="W3903">
        <f>IF($T3903="","",IF($X3903&gt;N($X3902),$X3903,""))</f>
        <v/>
      </c>
      <c r="X3903">
        <f>IF($T3903="",N($X3902),IF(MATCH($T3903,$T$6:$T$6005,0)=ROW()-5,N($X3902)+1,N($X3902)))</f>
        <v/>
      </c>
      <c r="Z3903">
        <f>IF($V3903="","",IF($AA3903&gt;N($AA3902),$AA3903,""))</f>
        <v/>
      </c>
      <c r="AA3903">
        <f>IF($V3903="",N($AA3902),IF(MATCH($V3903,$V$6:$V$6005,0)=ROW()-5,N($AA3902)+1,N($AA3902)))</f>
        <v/>
      </c>
    </row>
    <row r="3904" ht="21" customHeight="1" s="66">
      <c r="A3904" s="56" t="n"/>
      <c r="B3904" s="57" t="n"/>
      <c r="C3904" s="57" t="n"/>
      <c r="D3904" s="57" t="n"/>
      <c r="E3904" s="56" t="n"/>
      <c r="F3904" s="57" t="n"/>
      <c r="G3904" s="57" t="n"/>
      <c r="H3904" s="56" t="n"/>
      <c r="I3904" s="56" t="n"/>
      <c r="J3904" s="58" t="n"/>
      <c r="K3904" s="58" t="n"/>
      <c r="L3904" s="13">
        <f>IF(OR($A3904="",AND($J3904="",$K3904="")),"",ROUND(N($J3904)-N($K3904),2))</f>
        <v/>
      </c>
      <c r="M3904" s="13">
        <f>IF(OR($A3904="",AND($J3904="",$K3904="")),"",MIN($J3904,$K3904))</f>
        <v/>
      </c>
      <c r="Q3904">
        <f>IF($A3904="","",$D3904&amp;"("&amp;SUBSTITUTE($E3904," ","")&amp;")")</f>
        <v/>
      </c>
      <c r="R3904">
        <f>IF($A3904="","",$B3904&amp;" - "&amp;$C3904)</f>
        <v/>
      </c>
      <c r="S3904">
        <f>IF($A3904="","",$R3904&amp;"|"&amp;$Q3904)</f>
        <v/>
      </c>
      <c r="T3904">
        <f>IF($A3904="","",$S3904&amp;"|"&amp;$F3904)</f>
        <v/>
      </c>
      <c r="U3904">
        <f>IF($A3904="","",$R3904&amp;"("&amp;$E3904&amp;")")</f>
        <v/>
      </c>
      <c r="V3904">
        <f>IF($A3904="","",$F3904&amp;"|"&amp;$U3904&amp;"|"&amp;$D3904)</f>
        <v/>
      </c>
      <c r="W3904">
        <f>IF($T3904="","",IF($X3904&gt;N($X3903),$X3904,""))</f>
        <v/>
      </c>
      <c r="X3904">
        <f>IF($T3904="",N($X3903),IF(MATCH($T3904,$T$6:$T$6005,0)=ROW()-5,N($X3903)+1,N($X3903)))</f>
        <v/>
      </c>
      <c r="Z3904">
        <f>IF($V3904="","",IF($AA3904&gt;N($AA3903),$AA3904,""))</f>
        <v/>
      </c>
      <c r="AA3904">
        <f>IF($V3904="",N($AA3903),IF(MATCH($V3904,$V$6:$V$6005,0)=ROW()-5,N($AA3903)+1,N($AA3903)))</f>
        <v/>
      </c>
    </row>
    <row r="3905" ht="21" customHeight="1" s="66">
      <c r="A3905" s="56" t="n"/>
      <c r="B3905" s="57" t="n"/>
      <c r="C3905" s="57" t="n"/>
      <c r="D3905" s="57" t="n"/>
      <c r="E3905" s="56" t="n"/>
      <c r="F3905" s="57" t="n"/>
      <c r="G3905" s="57" t="n"/>
      <c r="H3905" s="56" t="n"/>
      <c r="I3905" s="56" t="n"/>
      <c r="J3905" s="58" t="n"/>
      <c r="K3905" s="58" t="n"/>
      <c r="L3905" s="13">
        <f>IF(OR($A3905="",AND($J3905="",$K3905="")),"",ROUND(N($J3905)-N($K3905),2))</f>
        <v/>
      </c>
      <c r="M3905" s="13">
        <f>IF(OR($A3905="",AND($J3905="",$K3905="")),"",MIN($J3905,$K3905))</f>
        <v/>
      </c>
      <c r="Q3905">
        <f>IF($A3905="","",$D3905&amp;"("&amp;SUBSTITUTE($E3905," ","")&amp;")")</f>
        <v/>
      </c>
      <c r="R3905">
        <f>IF($A3905="","",$B3905&amp;" - "&amp;$C3905)</f>
        <v/>
      </c>
      <c r="S3905">
        <f>IF($A3905="","",$R3905&amp;"|"&amp;$Q3905)</f>
        <v/>
      </c>
      <c r="T3905">
        <f>IF($A3905="","",$S3905&amp;"|"&amp;$F3905)</f>
        <v/>
      </c>
      <c r="U3905">
        <f>IF($A3905="","",$R3905&amp;"("&amp;$E3905&amp;")")</f>
        <v/>
      </c>
      <c r="V3905">
        <f>IF($A3905="","",$F3905&amp;"|"&amp;$U3905&amp;"|"&amp;$D3905)</f>
        <v/>
      </c>
      <c r="W3905">
        <f>IF($T3905="","",IF($X3905&gt;N($X3904),$X3905,""))</f>
        <v/>
      </c>
      <c r="X3905">
        <f>IF($T3905="",N($X3904),IF(MATCH($T3905,$T$6:$T$6005,0)=ROW()-5,N($X3904)+1,N($X3904)))</f>
        <v/>
      </c>
      <c r="Z3905">
        <f>IF($V3905="","",IF($AA3905&gt;N($AA3904),$AA3905,""))</f>
        <v/>
      </c>
      <c r="AA3905">
        <f>IF($V3905="",N($AA3904),IF(MATCH($V3905,$V$6:$V$6005,0)=ROW()-5,N($AA3904)+1,N($AA3904)))</f>
        <v/>
      </c>
    </row>
    <row r="3906" ht="21" customHeight="1" s="66">
      <c r="A3906" s="56" t="n"/>
      <c r="B3906" s="57" t="n"/>
      <c r="C3906" s="57" t="n"/>
      <c r="D3906" s="57" t="n"/>
      <c r="E3906" s="56" t="n"/>
      <c r="F3906" s="57" t="n"/>
      <c r="G3906" s="57" t="n"/>
      <c r="H3906" s="56" t="n"/>
      <c r="I3906" s="56" t="n"/>
      <c r="J3906" s="58" t="n"/>
      <c r="K3906" s="58" t="n"/>
      <c r="L3906" s="13">
        <f>IF(OR($A3906="",AND($J3906="",$K3906="")),"",ROUND(N($J3906)-N($K3906),2))</f>
        <v/>
      </c>
      <c r="M3906" s="13">
        <f>IF(OR($A3906="",AND($J3906="",$K3906="")),"",MIN($J3906,$K3906))</f>
        <v/>
      </c>
      <c r="Q3906">
        <f>IF($A3906="","",$D3906&amp;"("&amp;SUBSTITUTE($E3906," ","")&amp;")")</f>
        <v/>
      </c>
      <c r="R3906">
        <f>IF($A3906="","",$B3906&amp;" - "&amp;$C3906)</f>
        <v/>
      </c>
      <c r="S3906">
        <f>IF($A3906="","",$R3906&amp;"|"&amp;$Q3906)</f>
        <v/>
      </c>
      <c r="T3906">
        <f>IF($A3906="","",$S3906&amp;"|"&amp;$F3906)</f>
        <v/>
      </c>
      <c r="U3906">
        <f>IF($A3906="","",$R3906&amp;"("&amp;$E3906&amp;")")</f>
        <v/>
      </c>
      <c r="V3906">
        <f>IF($A3906="","",$F3906&amp;"|"&amp;$U3906&amp;"|"&amp;$D3906)</f>
        <v/>
      </c>
      <c r="W3906">
        <f>IF($T3906="","",IF($X3906&gt;N($X3905),$X3906,""))</f>
        <v/>
      </c>
      <c r="X3906">
        <f>IF($T3906="",N($X3905),IF(MATCH($T3906,$T$6:$T$6005,0)=ROW()-5,N($X3905)+1,N($X3905)))</f>
        <v/>
      </c>
      <c r="Z3906">
        <f>IF($V3906="","",IF($AA3906&gt;N($AA3905),$AA3906,""))</f>
        <v/>
      </c>
      <c r="AA3906">
        <f>IF($V3906="",N($AA3905),IF(MATCH($V3906,$V$6:$V$6005,0)=ROW()-5,N($AA3905)+1,N($AA3905)))</f>
        <v/>
      </c>
    </row>
    <row r="3907" ht="21" customHeight="1" s="66">
      <c r="A3907" s="56" t="n"/>
      <c r="B3907" s="57" t="n"/>
      <c r="C3907" s="57" t="n"/>
      <c r="D3907" s="57" t="n"/>
      <c r="E3907" s="56" t="n"/>
      <c r="F3907" s="57" t="n"/>
      <c r="G3907" s="57" t="n"/>
      <c r="H3907" s="56" t="n"/>
      <c r="I3907" s="56" t="n"/>
      <c r="J3907" s="58" t="n"/>
      <c r="K3907" s="58" t="n"/>
      <c r="L3907" s="13">
        <f>IF(OR($A3907="",AND($J3907="",$K3907="")),"",ROUND(N($J3907)-N($K3907),2))</f>
        <v/>
      </c>
      <c r="M3907" s="13">
        <f>IF(OR($A3907="",AND($J3907="",$K3907="")),"",MIN($J3907,$K3907))</f>
        <v/>
      </c>
      <c r="Q3907">
        <f>IF($A3907="","",$D3907&amp;"("&amp;SUBSTITUTE($E3907," ","")&amp;")")</f>
        <v/>
      </c>
      <c r="R3907">
        <f>IF($A3907="","",$B3907&amp;" - "&amp;$C3907)</f>
        <v/>
      </c>
      <c r="S3907">
        <f>IF($A3907="","",$R3907&amp;"|"&amp;$Q3907)</f>
        <v/>
      </c>
      <c r="T3907">
        <f>IF($A3907="","",$S3907&amp;"|"&amp;$F3907)</f>
        <v/>
      </c>
      <c r="U3907">
        <f>IF($A3907="","",$R3907&amp;"("&amp;$E3907&amp;")")</f>
        <v/>
      </c>
      <c r="V3907">
        <f>IF($A3907="","",$F3907&amp;"|"&amp;$U3907&amp;"|"&amp;$D3907)</f>
        <v/>
      </c>
      <c r="W3907">
        <f>IF($T3907="","",IF($X3907&gt;N($X3906),$X3907,""))</f>
        <v/>
      </c>
      <c r="X3907">
        <f>IF($T3907="",N($X3906),IF(MATCH($T3907,$T$6:$T$6005,0)=ROW()-5,N($X3906)+1,N($X3906)))</f>
        <v/>
      </c>
      <c r="Z3907">
        <f>IF($V3907="","",IF($AA3907&gt;N($AA3906),$AA3907,""))</f>
        <v/>
      </c>
      <c r="AA3907">
        <f>IF($V3907="",N($AA3906),IF(MATCH($V3907,$V$6:$V$6005,0)=ROW()-5,N($AA3906)+1,N($AA3906)))</f>
        <v/>
      </c>
    </row>
    <row r="3908" ht="21" customHeight="1" s="66">
      <c r="A3908" s="56" t="n"/>
      <c r="B3908" s="57" t="n"/>
      <c r="C3908" s="57" t="n"/>
      <c r="D3908" s="57" t="n"/>
      <c r="E3908" s="56" t="n"/>
      <c r="F3908" s="57" t="n"/>
      <c r="G3908" s="57" t="n"/>
      <c r="H3908" s="56" t="n"/>
      <c r="I3908" s="56" t="n"/>
      <c r="J3908" s="58" t="n"/>
      <c r="K3908" s="58" t="n"/>
      <c r="L3908" s="13">
        <f>IF(OR($A3908="",AND($J3908="",$K3908="")),"",ROUND(N($J3908)-N($K3908),2))</f>
        <v/>
      </c>
      <c r="M3908" s="13">
        <f>IF(OR($A3908="",AND($J3908="",$K3908="")),"",MIN($J3908,$K3908))</f>
        <v/>
      </c>
      <c r="Q3908">
        <f>IF($A3908="","",$D3908&amp;"("&amp;SUBSTITUTE($E3908," ","")&amp;")")</f>
        <v/>
      </c>
      <c r="R3908">
        <f>IF($A3908="","",$B3908&amp;" - "&amp;$C3908)</f>
        <v/>
      </c>
      <c r="S3908">
        <f>IF($A3908="","",$R3908&amp;"|"&amp;$Q3908)</f>
        <v/>
      </c>
      <c r="T3908">
        <f>IF($A3908="","",$S3908&amp;"|"&amp;$F3908)</f>
        <v/>
      </c>
      <c r="U3908">
        <f>IF($A3908="","",$R3908&amp;"("&amp;$E3908&amp;")")</f>
        <v/>
      </c>
      <c r="V3908">
        <f>IF($A3908="","",$F3908&amp;"|"&amp;$U3908&amp;"|"&amp;$D3908)</f>
        <v/>
      </c>
      <c r="W3908">
        <f>IF($T3908="","",IF($X3908&gt;N($X3907),$X3908,""))</f>
        <v/>
      </c>
      <c r="X3908">
        <f>IF($T3908="",N($X3907),IF(MATCH($T3908,$T$6:$T$6005,0)=ROW()-5,N($X3907)+1,N($X3907)))</f>
        <v/>
      </c>
      <c r="Z3908">
        <f>IF($V3908="","",IF($AA3908&gt;N($AA3907),$AA3908,""))</f>
        <v/>
      </c>
      <c r="AA3908">
        <f>IF($V3908="",N($AA3907),IF(MATCH($V3908,$V$6:$V$6005,0)=ROW()-5,N($AA3907)+1,N($AA3907)))</f>
        <v/>
      </c>
    </row>
    <row r="3909" ht="21" customHeight="1" s="66">
      <c r="A3909" s="56" t="n"/>
      <c r="B3909" s="57" t="n"/>
      <c r="C3909" s="57" t="n"/>
      <c r="D3909" s="57" t="n"/>
      <c r="E3909" s="56" t="n"/>
      <c r="F3909" s="57" t="n"/>
      <c r="G3909" s="57" t="n"/>
      <c r="H3909" s="56" t="n"/>
      <c r="I3909" s="56" t="n"/>
      <c r="J3909" s="58" t="n"/>
      <c r="K3909" s="58" t="n"/>
      <c r="L3909" s="13">
        <f>IF(OR($A3909="",AND($J3909="",$K3909="")),"",ROUND(N($J3909)-N($K3909),2))</f>
        <v/>
      </c>
      <c r="M3909" s="13">
        <f>IF(OR($A3909="",AND($J3909="",$K3909="")),"",MIN($J3909,$K3909))</f>
        <v/>
      </c>
      <c r="Q3909">
        <f>IF($A3909="","",$D3909&amp;"("&amp;SUBSTITUTE($E3909," ","")&amp;")")</f>
        <v/>
      </c>
      <c r="R3909">
        <f>IF($A3909="","",$B3909&amp;" - "&amp;$C3909)</f>
        <v/>
      </c>
      <c r="S3909">
        <f>IF($A3909="","",$R3909&amp;"|"&amp;$Q3909)</f>
        <v/>
      </c>
      <c r="T3909">
        <f>IF($A3909="","",$S3909&amp;"|"&amp;$F3909)</f>
        <v/>
      </c>
      <c r="U3909">
        <f>IF($A3909="","",$R3909&amp;"("&amp;$E3909&amp;")")</f>
        <v/>
      </c>
      <c r="V3909">
        <f>IF($A3909="","",$F3909&amp;"|"&amp;$U3909&amp;"|"&amp;$D3909)</f>
        <v/>
      </c>
      <c r="W3909">
        <f>IF($T3909="","",IF($X3909&gt;N($X3908),$X3909,""))</f>
        <v/>
      </c>
      <c r="X3909">
        <f>IF($T3909="",N($X3908),IF(MATCH($T3909,$T$6:$T$6005,0)=ROW()-5,N($X3908)+1,N($X3908)))</f>
        <v/>
      </c>
      <c r="Z3909">
        <f>IF($V3909="","",IF($AA3909&gt;N($AA3908),$AA3909,""))</f>
        <v/>
      </c>
      <c r="AA3909">
        <f>IF($V3909="",N($AA3908),IF(MATCH($V3909,$V$6:$V$6005,0)=ROW()-5,N($AA3908)+1,N($AA3908)))</f>
        <v/>
      </c>
    </row>
    <row r="3910" ht="21" customHeight="1" s="66">
      <c r="A3910" s="56" t="n"/>
      <c r="B3910" s="57" t="n"/>
      <c r="C3910" s="57" t="n"/>
      <c r="D3910" s="57" t="n"/>
      <c r="E3910" s="56" t="n"/>
      <c r="F3910" s="57" t="n"/>
      <c r="G3910" s="57" t="n"/>
      <c r="H3910" s="56" t="n"/>
      <c r="I3910" s="56" t="n"/>
      <c r="J3910" s="58" t="n"/>
      <c r="K3910" s="58" t="n"/>
      <c r="L3910" s="13">
        <f>IF(OR($A3910="",AND($J3910="",$K3910="")),"",ROUND(N($J3910)-N($K3910),2))</f>
        <v/>
      </c>
      <c r="M3910" s="13">
        <f>IF(OR($A3910="",AND($J3910="",$K3910="")),"",MIN($J3910,$K3910))</f>
        <v/>
      </c>
      <c r="Q3910">
        <f>IF($A3910="","",$D3910&amp;"("&amp;SUBSTITUTE($E3910," ","")&amp;")")</f>
        <v/>
      </c>
      <c r="R3910">
        <f>IF($A3910="","",$B3910&amp;" - "&amp;$C3910)</f>
        <v/>
      </c>
      <c r="S3910">
        <f>IF($A3910="","",$R3910&amp;"|"&amp;$Q3910)</f>
        <v/>
      </c>
      <c r="T3910">
        <f>IF($A3910="","",$S3910&amp;"|"&amp;$F3910)</f>
        <v/>
      </c>
      <c r="U3910">
        <f>IF($A3910="","",$R3910&amp;"("&amp;$E3910&amp;")")</f>
        <v/>
      </c>
      <c r="V3910">
        <f>IF($A3910="","",$F3910&amp;"|"&amp;$U3910&amp;"|"&amp;$D3910)</f>
        <v/>
      </c>
      <c r="W3910">
        <f>IF($T3910="","",IF($X3910&gt;N($X3909),$X3910,""))</f>
        <v/>
      </c>
      <c r="X3910">
        <f>IF($T3910="",N($X3909),IF(MATCH($T3910,$T$6:$T$6005,0)=ROW()-5,N($X3909)+1,N($X3909)))</f>
        <v/>
      </c>
      <c r="Z3910">
        <f>IF($V3910="","",IF($AA3910&gt;N($AA3909),$AA3910,""))</f>
        <v/>
      </c>
      <c r="AA3910">
        <f>IF($V3910="",N($AA3909),IF(MATCH($V3910,$V$6:$V$6005,0)=ROW()-5,N($AA3909)+1,N($AA3909)))</f>
        <v/>
      </c>
    </row>
    <row r="3911" ht="21" customHeight="1" s="66">
      <c r="A3911" s="56" t="n"/>
      <c r="B3911" s="57" t="n"/>
      <c r="C3911" s="57" t="n"/>
      <c r="D3911" s="57" t="n"/>
      <c r="E3911" s="56" t="n"/>
      <c r="F3911" s="57" t="n"/>
      <c r="G3911" s="57" t="n"/>
      <c r="H3911" s="56" t="n"/>
      <c r="I3911" s="56" t="n"/>
      <c r="J3911" s="58" t="n"/>
      <c r="K3911" s="58" t="n"/>
      <c r="L3911" s="13">
        <f>IF(OR($A3911="",AND($J3911="",$K3911="")),"",ROUND(N($J3911)-N($K3911),2))</f>
        <v/>
      </c>
      <c r="M3911" s="13">
        <f>IF(OR($A3911="",AND($J3911="",$K3911="")),"",MIN($J3911,$K3911))</f>
        <v/>
      </c>
      <c r="Q3911">
        <f>IF($A3911="","",$D3911&amp;"("&amp;SUBSTITUTE($E3911," ","")&amp;")")</f>
        <v/>
      </c>
      <c r="R3911">
        <f>IF($A3911="","",$B3911&amp;" - "&amp;$C3911)</f>
        <v/>
      </c>
      <c r="S3911">
        <f>IF($A3911="","",$R3911&amp;"|"&amp;$Q3911)</f>
        <v/>
      </c>
      <c r="T3911">
        <f>IF($A3911="","",$S3911&amp;"|"&amp;$F3911)</f>
        <v/>
      </c>
      <c r="U3911">
        <f>IF($A3911="","",$R3911&amp;"("&amp;$E3911&amp;")")</f>
        <v/>
      </c>
      <c r="V3911">
        <f>IF($A3911="","",$F3911&amp;"|"&amp;$U3911&amp;"|"&amp;$D3911)</f>
        <v/>
      </c>
      <c r="W3911">
        <f>IF($T3911="","",IF($X3911&gt;N($X3910),$X3911,""))</f>
        <v/>
      </c>
      <c r="X3911">
        <f>IF($T3911="",N($X3910),IF(MATCH($T3911,$T$6:$T$6005,0)=ROW()-5,N($X3910)+1,N($X3910)))</f>
        <v/>
      </c>
      <c r="Z3911">
        <f>IF($V3911="","",IF($AA3911&gt;N($AA3910),$AA3911,""))</f>
        <v/>
      </c>
      <c r="AA3911">
        <f>IF($V3911="",N($AA3910),IF(MATCH($V3911,$V$6:$V$6005,0)=ROW()-5,N($AA3910)+1,N($AA3910)))</f>
        <v/>
      </c>
    </row>
    <row r="3912" ht="21" customHeight="1" s="66">
      <c r="A3912" s="56" t="n"/>
      <c r="B3912" s="57" t="n"/>
      <c r="C3912" s="57" t="n"/>
      <c r="D3912" s="57" t="n"/>
      <c r="E3912" s="56" t="n"/>
      <c r="F3912" s="57" t="n"/>
      <c r="G3912" s="57" t="n"/>
      <c r="H3912" s="56" t="n"/>
      <c r="I3912" s="56" t="n"/>
      <c r="J3912" s="58" t="n"/>
      <c r="K3912" s="58" t="n"/>
      <c r="L3912" s="13">
        <f>IF(OR($A3912="",AND($J3912="",$K3912="")),"",ROUND(N($J3912)-N($K3912),2))</f>
        <v/>
      </c>
      <c r="M3912" s="13">
        <f>IF(OR($A3912="",AND($J3912="",$K3912="")),"",MIN($J3912,$K3912))</f>
        <v/>
      </c>
      <c r="Q3912">
        <f>IF($A3912="","",$D3912&amp;"("&amp;SUBSTITUTE($E3912," ","")&amp;")")</f>
        <v/>
      </c>
      <c r="R3912">
        <f>IF($A3912="","",$B3912&amp;" - "&amp;$C3912)</f>
        <v/>
      </c>
      <c r="S3912">
        <f>IF($A3912="","",$R3912&amp;"|"&amp;$Q3912)</f>
        <v/>
      </c>
      <c r="T3912">
        <f>IF($A3912="","",$S3912&amp;"|"&amp;$F3912)</f>
        <v/>
      </c>
      <c r="U3912">
        <f>IF($A3912="","",$R3912&amp;"("&amp;$E3912&amp;")")</f>
        <v/>
      </c>
      <c r="V3912">
        <f>IF($A3912="","",$F3912&amp;"|"&amp;$U3912&amp;"|"&amp;$D3912)</f>
        <v/>
      </c>
      <c r="W3912">
        <f>IF($T3912="","",IF($X3912&gt;N($X3911),$X3912,""))</f>
        <v/>
      </c>
      <c r="X3912">
        <f>IF($T3912="",N($X3911),IF(MATCH($T3912,$T$6:$T$6005,0)=ROW()-5,N($X3911)+1,N($X3911)))</f>
        <v/>
      </c>
      <c r="Z3912">
        <f>IF($V3912="","",IF($AA3912&gt;N($AA3911),$AA3912,""))</f>
        <v/>
      </c>
      <c r="AA3912">
        <f>IF($V3912="",N($AA3911),IF(MATCH($V3912,$V$6:$V$6005,0)=ROW()-5,N($AA3911)+1,N($AA3911)))</f>
        <v/>
      </c>
    </row>
    <row r="3913" ht="21" customHeight="1" s="66">
      <c r="A3913" s="56" t="n"/>
      <c r="B3913" s="57" t="n"/>
      <c r="C3913" s="57" t="n"/>
      <c r="D3913" s="57" t="n"/>
      <c r="E3913" s="56" t="n"/>
      <c r="F3913" s="57" t="n"/>
      <c r="G3913" s="57" t="n"/>
      <c r="H3913" s="56" t="n"/>
      <c r="I3913" s="56" t="n"/>
      <c r="J3913" s="58" t="n"/>
      <c r="K3913" s="58" t="n"/>
      <c r="L3913" s="13">
        <f>IF(OR($A3913="",AND($J3913="",$K3913="")),"",ROUND(N($J3913)-N($K3913),2))</f>
        <v/>
      </c>
      <c r="M3913" s="13">
        <f>IF(OR($A3913="",AND($J3913="",$K3913="")),"",MIN($J3913,$K3913))</f>
        <v/>
      </c>
      <c r="Q3913">
        <f>IF($A3913="","",$D3913&amp;"("&amp;SUBSTITUTE($E3913," ","")&amp;")")</f>
        <v/>
      </c>
      <c r="R3913">
        <f>IF($A3913="","",$B3913&amp;" - "&amp;$C3913)</f>
        <v/>
      </c>
      <c r="S3913">
        <f>IF($A3913="","",$R3913&amp;"|"&amp;$Q3913)</f>
        <v/>
      </c>
      <c r="T3913">
        <f>IF($A3913="","",$S3913&amp;"|"&amp;$F3913)</f>
        <v/>
      </c>
      <c r="U3913">
        <f>IF($A3913="","",$R3913&amp;"("&amp;$E3913&amp;")")</f>
        <v/>
      </c>
      <c r="V3913">
        <f>IF($A3913="","",$F3913&amp;"|"&amp;$U3913&amp;"|"&amp;$D3913)</f>
        <v/>
      </c>
      <c r="W3913">
        <f>IF($T3913="","",IF($X3913&gt;N($X3912),$X3913,""))</f>
        <v/>
      </c>
      <c r="X3913">
        <f>IF($T3913="",N($X3912),IF(MATCH($T3913,$T$6:$T$6005,0)=ROW()-5,N($X3912)+1,N($X3912)))</f>
        <v/>
      </c>
      <c r="Z3913">
        <f>IF($V3913="","",IF($AA3913&gt;N($AA3912),$AA3913,""))</f>
        <v/>
      </c>
      <c r="AA3913">
        <f>IF($V3913="",N($AA3912),IF(MATCH($V3913,$V$6:$V$6005,0)=ROW()-5,N($AA3912)+1,N($AA3912)))</f>
        <v/>
      </c>
    </row>
    <row r="3914" ht="21" customHeight="1" s="66">
      <c r="A3914" s="56" t="n"/>
      <c r="B3914" s="57" t="n"/>
      <c r="C3914" s="57" t="n"/>
      <c r="D3914" s="57" t="n"/>
      <c r="E3914" s="56" t="n"/>
      <c r="F3914" s="57" t="n"/>
      <c r="G3914" s="57" t="n"/>
      <c r="H3914" s="56" t="n"/>
      <c r="I3914" s="56" t="n"/>
      <c r="J3914" s="58" t="n"/>
      <c r="K3914" s="58" t="n"/>
      <c r="L3914" s="13">
        <f>IF(OR($A3914="",AND($J3914="",$K3914="")),"",ROUND(N($J3914)-N($K3914),2))</f>
        <v/>
      </c>
      <c r="M3914" s="13">
        <f>IF(OR($A3914="",AND($J3914="",$K3914="")),"",MIN($J3914,$K3914))</f>
        <v/>
      </c>
      <c r="Q3914">
        <f>IF($A3914="","",$D3914&amp;"("&amp;SUBSTITUTE($E3914," ","")&amp;")")</f>
        <v/>
      </c>
      <c r="R3914">
        <f>IF($A3914="","",$B3914&amp;" - "&amp;$C3914)</f>
        <v/>
      </c>
      <c r="S3914">
        <f>IF($A3914="","",$R3914&amp;"|"&amp;$Q3914)</f>
        <v/>
      </c>
      <c r="T3914">
        <f>IF($A3914="","",$S3914&amp;"|"&amp;$F3914)</f>
        <v/>
      </c>
      <c r="U3914">
        <f>IF($A3914="","",$R3914&amp;"("&amp;$E3914&amp;")")</f>
        <v/>
      </c>
      <c r="V3914">
        <f>IF($A3914="","",$F3914&amp;"|"&amp;$U3914&amp;"|"&amp;$D3914)</f>
        <v/>
      </c>
      <c r="W3914">
        <f>IF($T3914="","",IF($X3914&gt;N($X3913),$X3914,""))</f>
        <v/>
      </c>
      <c r="X3914">
        <f>IF($T3914="",N($X3913),IF(MATCH($T3914,$T$6:$T$6005,0)=ROW()-5,N($X3913)+1,N($X3913)))</f>
        <v/>
      </c>
      <c r="Z3914">
        <f>IF($V3914="","",IF($AA3914&gt;N($AA3913),$AA3914,""))</f>
        <v/>
      </c>
      <c r="AA3914">
        <f>IF($V3914="",N($AA3913),IF(MATCH($V3914,$V$6:$V$6005,0)=ROW()-5,N($AA3913)+1,N($AA3913)))</f>
        <v/>
      </c>
    </row>
    <row r="3915" ht="21" customHeight="1" s="66">
      <c r="A3915" s="56" t="n"/>
      <c r="B3915" s="57" t="n"/>
      <c r="C3915" s="57" t="n"/>
      <c r="D3915" s="57" t="n"/>
      <c r="E3915" s="56" t="n"/>
      <c r="F3915" s="57" t="n"/>
      <c r="G3915" s="57" t="n"/>
      <c r="H3915" s="56" t="n"/>
      <c r="I3915" s="56" t="n"/>
      <c r="J3915" s="58" t="n"/>
      <c r="K3915" s="58" t="n"/>
      <c r="L3915" s="13">
        <f>IF(OR($A3915="",AND($J3915="",$K3915="")),"",ROUND(N($J3915)-N($K3915),2))</f>
        <v/>
      </c>
      <c r="M3915" s="13">
        <f>IF(OR($A3915="",AND($J3915="",$K3915="")),"",MIN($J3915,$K3915))</f>
        <v/>
      </c>
      <c r="Q3915">
        <f>IF($A3915="","",$D3915&amp;"("&amp;SUBSTITUTE($E3915," ","")&amp;")")</f>
        <v/>
      </c>
      <c r="R3915">
        <f>IF($A3915="","",$B3915&amp;" - "&amp;$C3915)</f>
        <v/>
      </c>
      <c r="S3915">
        <f>IF($A3915="","",$R3915&amp;"|"&amp;$Q3915)</f>
        <v/>
      </c>
      <c r="T3915">
        <f>IF($A3915="","",$S3915&amp;"|"&amp;$F3915)</f>
        <v/>
      </c>
      <c r="U3915">
        <f>IF($A3915="","",$R3915&amp;"("&amp;$E3915&amp;")")</f>
        <v/>
      </c>
      <c r="V3915">
        <f>IF($A3915="","",$F3915&amp;"|"&amp;$U3915&amp;"|"&amp;$D3915)</f>
        <v/>
      </c>
      <c r="W3915">
        <f>IF($T3915="","",IF($X3915&gt;N($X3914),$X3915,""))</f>
        <v/>
      </c>
      <c r="X3915">
        <f>IF($T3915="",N($X3914),IF(MATCH($T3915,$T$6:$T$6005,0)=ROW()-5,N($X3914)+1,N($X3914)))</f>
        <v/>
      </c>
      <c r="Z3915">
        <f>IF($V3915="","",IF($AA3915&gt;N($AA3914),$AA3915,""))</f>
        <v/>
      </c>
      <c r="AA3915">
        <f>IF($V3915="",N($AA3914),IF(MATCH($V3915,$V$6:$V$6005,0)=ROW()-5,N($AA3914)+1,N($AA3914)))</f>
        <v/>
      </c>
    </row>
    <row r="3916" ht="21" customHeight="1" s="66">
      <c r="A3916" s="56" t="n"/>
      <c r="B3916" s="57" t="n"/>
      <c r="C3916" s="57" t="n"/>
      <c r="D3916" s="57" t="n"/>
      <c r="E3916" s="56" t="n"/>
      <c r="F3916" s="57" t="n"/>
      <c r="G3916" s="57" t="n"/>
      <c r="H3916" s="56" t="n"/>
      <c r="I3916" s="56" t="n"/>
      <c r="J3916" s="58" t="n"/>
      <c r="K3916" s="58" t="n"/>
      <c r="L3916" s="13">
        <f>IF(OR($A3916="",AND($J3916="",$K3916="")),"",ROUND(N($J3916)-N($K3916),2))</f>
        <v/>
      </c>
      <c r="M3916" s="13">
        <f>IF(OR($A3916="",AND($J3916="",$K3916="")),"",MIN($J3916,$K3916))</f>
        <v/>
      </c>
      <c r="Q3916">
        <f>IF($A3916="","",$D3916&amp;"("&amp;SUBSTITUTE($E3916," ","")&amp;")")</f>
        <v/>
      </c>
      <c r="R3916">
        <f>IF($A3916="","",$B3916&amp;" - "&amp;$C3916)</f>
        <v/>
      </c>
      <c r="S3916">
        <f>IF($A3916="","",$R3916&amp;"|"&amp;$Q3916)</f>
        <v/>
      </c>
      <c r="T3916">
        <f>IF($A3916="","",$S3916&amp;"|"&amp;$F3916)</f>
        <v/>
      </c>
      <c r="U3916">
        <f>IF($A3916="","",$R3916&amp;"("&amp;$E3916&amp;")")</f>
        <v/>
      </c>
      <c r="V3916">
        <f>IF($A3916="","",$F3916&amp;"|"&amp;$U3916&amp;"|"&amp;$D3916)</f>
        <v/>
      </c>
      <c r="W3916">
        <f>IF($T3916="","",IF($X3916&gt;N($X3915),$X3916,""))</f>
        <v/>
      </c>
      <c r="X3916">
        <f>IF($T3916="",N($X3915),IF(MATCH($T3916,$T$6:$T$6005,0)=ROW()-5,N($X3915)+1,N($X3915)))</f>
        <v/>
      </c>
      <c r="Z3916">
        <f>IF($V3916="","",IF($AA3916&gt;N($AA3915),$AA3916,""))</f>
        <v/>
      </c>
      <c r="AA3916">
        <f>IF($V3916="",N($AA3915),IF(MATCH($V3916,$V$6:$V$6005,0)=ROW()-5,N($AA3915)+1,N($AA3915)))</f>
        <v/>
      </c>
    </row>
    <row r="3917" ht="21" customHeight="1" s="66">
      <c r="A3917" s="56" t="n"/>
      <c r="B3917" s="57" t="n"/>
      <c r="C3917" s="57" t="n"/>
      <c r="D3917" s="57" t="n"/>
      <c r="E3917" s="56" t="n"/>
      <c r="F3917" s="57" t="n"/>
      <c r="G3917" s="57" t="n"/>
      <c r="H3917" s="56" t="n"/>
      <c r="I3917" s="56" t="n"/>
      <c r="J3917" s="58" t="n"/>
      <c r="K3917" s="58" t="n"/>
      <c r="L3917" s="13">
        <f>IF(OR($A3917="",AND($J3917="",$K3917="")),"",ROUND(N($J3917)-N($K3917),2))</f>
        <v/>
      </c>
      <c r="M3917" s="13">
        <f>IF(OR($A3917="",AND($J3917="",$K3917="")),"",MIN($J3917,$K3917))</f>
        <v/>
      </c>
      <c r="Q3917">
        <f>IF($A3917="","",$D3917&amp;"("&amp;SUBSTITUTE($E3917," ","")&amp;")")</f>
        <v/>
      </c>
      <c r="R3917">
        <f>IF($A3917="","",$B3917&amp;" - "&amp;$C3917)</f>
        <v/>
      </c>
      <c r="S3917">
        <f>IF($A3917="","",$R3917&amp;"|"&amp;$Q3917)</f>
        <v/>
      </c>
      <c r="T3917">
        <f>IF($A3917="","",$S3917&amp;"|"&amp;$F3917)</f>
        <v/>
      </c>
      <c r="U3917">
        <f>IF($A3917="","",$R3917&amp;"("&amp;$E3917&amp;")")</f>
        <v/>
      </c>
      <c r="V3917">
        <f>IF($A3917="","",$F3917&amp;"|"&amp;$U3917&amp;"|"&amp;$D3917)</f>
        <v/>
      </c>
      <c r="W3917">
        <f>IF($T3917="","",IF($X3917&gt;N($X3916),$X3917,""))</f>
        <v/>
      </c>
      <c r="X3917">
        <f>IF($T3917="",N($X3916),IF(MATCH($T3917,$T$6:$T$6005,0)=ROW()-5,N($X3916)+1,N($X3916)))</f>
        <v/>
      </c>
      <c r="Z3917">
        <f>IF($V3917="","",IF($AA3917&gt;N($AA3916),$AA3917,""))</f>
        <v/>
      </c>
      <c r="AA3917">
        <f>IF($V3917="",N($AA3916),IF(MATCH($V3917,$V$6:$V$6005,0)=ROW()-5,N($AA3916)+1,N($AA3916)))</f>
        <v/>
      </c>
    </row>
    <row r="3918" ht="21" customHeight="1" s="66">
      <c r="A3918" s="56" t="n"/>
      <c r="B3918" s="57" t="n"/>
      <c r="C3918" s="57" t="n"/>
      <c r="D3918" s="57" t="n"/>
      <c r="E3918" s="56" t="n"/>
      <c r="F3918" s="57" t="n"/>
      <c r="G3918" s="57" t="n"/>
      <c r="H3918" s="56" t="n"/>
      <c r="I3918" s="56" t="n"/>
      <c r="J3918" s="58" t="n"/>
      <c r="K3918" s="58" t="n"/>
      <c r="L3918" s="13">
        <f>IF(OR($A3918="",AND($J3918="",$K3918="")),"",ROUND(N($J3918)-N($K3918),2))</f>
        <v/>
      </c>
      <c r="M3918" s="13">
        <f>IF(OR($A3918="",AND($J3918="",$K3918="")),"",MIN($J3918,$K3918))</f>
        <v/>
      </c>
      <c r="Q3918">
        <f>IF($A3918="","",$D3918&amp;"("&amp;SUBSTITUTE($E3918," ","")&amp;")")</f>
        <v/>
      </c>
      <c r="R3918">
        <f>IF($A3918="","",$B3918&amp;" - "&amp;$C3918)</f>
        <v/>
      </c>
      <c r="S3918">
        <f>IF($A3918="","",$R3918&amp;"|"&amp;$Q3918)</f>
        <v/>
      </c>
      <c r="T3918">
        <f>IF($A3918="","",$S3918&amp;"|"&amp;$F3918)</f>
        <v/>
      </c>
      <c r="U3918">
        <f>IF($A3918="","",$R3918&amp;"("&amp;$E3918&amp;")")</f>
        <v/>
      </c>
      <c r="V3918">
        <f>IF($A3918="","",$F3918&amp;"|"&amp;$U3918&amp;"|"&amp;$D3918)</f>
        <v/>
      </c>
      <c r="W3918">
        <f>IF($T3918="","",IF($X3918&gt;N($X3917),$X3918,""))</f>
        <v/>
      </c>
      <c r="X3918">
        <f>IF($T3918="",N($X3917),IF(MATCH($T3918,$T$6:$T$6005,0)=ROW()-5,N($X3917)+1,N($X3917)))</f>
        <v/>
      </c>
      <c r="Z3918">
        <f>IF($V3918="","",IF($AA3918&gt;N($AA3917),$AA3918,""))</f>
        <v/>
      </c>
      <c r="AA3918">
        <f>IF($V3918="",N($AA3917),IF(MATCH($V3918,$V$6:$V$6005,0)=ROW()-5,N($AA3917)+1,N($AA3917)))</f>
        <v/>
      </c>
    </row>
    <row r="3919" ht="21" customHeight="1" s="66">
      <c r="A3919" s="56" t="n"/>
      <c r="B3919" s="57" t="n"/>
      <c r="C3919" s="57" t="n"/>
      <c r="D3919" s="57" t="n"/>
      <c r="E3919" s="56" t="n"/>
      <c r="F3919" s="57" t="n"/>
      <c r="G3919" s="57" t="n"/>
      <c r="H3919" s="56" t="n"/>
      <c r="I3919" s="56" t="n"/>
      <c r="J3919" s="58" t="n"/>
      <c r="K3919" s="58" t="n"/>
      <c r="L3919" s="13">
        <f>IF(OR($A3919="",AND($J3919="",$K3919="")),"",ROUND(N($J3919)-N($K3919),2))</f>
        <v/>
      </c>
      <c r="M3919" s="13">
        <f>IF(OR($A3919="",AND($J3919="",$K3919="")),"",MIN($J3919,$K3919))</f>
        <v/>
      </c>
      <c r="Q3919">
        <f>IF($A3919="","",$D3919&amp;"("&amp;SUBSTITUTE($E3919," ","")&amp;")")</f>
        <v/>
      </c>
      <c r="R3919">
        <f>IF($A3919="","",$B3919&amp;" - "&amp;$C3919)</f>
        <v/>
      </c>
      <c r="S3919">
        <f>IF($A3919="","",$R3919&amp;"|"&amp;$Q3919)</f>
        <v/>
      </c>
      <c r="T3919">
        <f>IF($A3919="","",$S3919&amp;"|"&amp;$F3919)</f>
        <v/>
      </c>
      <c r="U3919">
        <f>IF($A3919="","",$R3919&amp;"("&amp;$E3919&amp;")")</f>
        <v/>
      </c>
      <c r="V3919">
        <f>IF($A3919="","",$F3919&amp;"|"&amp;$U3919&amp;"|"&amp;$D3919)</f>
        <v/>
      </c>
      <c r="W3919">
        <f>IF($T3919="","",IF($X3919&gt;N($X3918),$X3919,""))</f>
        <v/>
      </c>
      <c r="X3919">
        <f>IF($T3919="",N($X3918),IF(MATCH($T3919,$T$6:$T$6005,0)=ROW()-5,N($X3918)+1,N($X3918)))</f>
        <v/>
      </c>
      <c r="Z3919">
        <f>IF($V3919="","",IF($AA3919&gt;N($AA3918),$AA3919,""))</f>
        <v/>
      </c>
      <c r="AA3919">
        <f>IF($V3919="",N($AA3918),IF(MATCH($V3919,$V$6:$V$6005,0)=ROW()-5,N($AA3918)+1,N($AA3918)))</f>
        <v/>
      </c>
    </row>
    <row r="3920" ht="21" customHeight="1" s="66">
      <c r="A3920" s="56" t="n"/>
      <c r="B3920" s="57" t="n"/>
      <c r="C3920" s="57" t="n"/>
      <c r="D3920" s="57" t="n"/>
      <c r="E3920" s="56" t="n"/>
      <c r="F3920" s="57" t="n"/>
      <c r="G3920" s="57" t="n"/>
      <c r="H3920" s="56" t="n"/>
      <c r="I3920" s="56" t="n"/>
      <c r="J3920" s="58" t="n"/>
      <c r="K3920" s="58" t="n"/>
      <c r="L3920" s="13">
        <f>IF(OR($A3920="",AND($J3920="",$K3920="")),"",ROUND(N($J3920)-N($K3920),2))</f>
        <v/>
      </c>
      <c r="M3920" s="13">
        <f>IF(OR($A3920="",AND($J3920="",$K3920="")),"",MIN($J3920,$K3920))</f>
        <v/>
      </c>
      <c r="Q3920">
        <f>IF($A3920="","",$D3920&amp;"("&amp;SUBSTITUTE($E3920," ","")&amp;")")</f>
        <v/>
      </c>
      <c r="R3920">
        <f>IF($A3920="","",$B3920&amp;" - "&amp;$C3920)</f>
        <v/>
      </c>
      <c r="S3920">
        <f>IF($A3920="","",$R3920&amp;"|"&amp;$Q3920)</f>
        <v/>
      </c>
      <c r="T3920">
        <f>IF($A3920="","",$S3920&amp;"|"&amp;$F3920)</f>
        <v/>
      </c>
      <c r="U3920">
        <f>IF($A3920="","",$R3920&amp;"("&amp;$E3920&amp;")")</f>
        <v/>
      </c>
      <c r="V3920">
        <f>IF($A3920="","",$F3920&amp;"|"&amp;$U3920&amp;"|"&amp;$D3920)</f>
        <v/>
      </c>
      <c r="W3920">
        <f>IF($T3920="","",IF($X3920&gt;N($X3919),$X3920,""))</f>
        <v/>
      </c>
      <c r="X3920">
        <f>IF($T3920="",N($X3919),IF(MATCH($T3920,$T$6:$T$6005,0)=ROW()-5,N($X3919)+1,N($X3919)))</f>
        <v/>
      </c>
      <c r="Z3920">
        <f>IF($V3920="","",IF($AA3920&gt;N($AA3919),$AA3920,""))</f>
        <v/>
      </c>
      <c r="AA3920">
        <f>IF($V3920="",N($AA3919),IF(MATCH($V3920,$V$6:$V$6005,0)=ROW()-5,N($AA3919)+1,N($AA3919)))</f>
        <v/>
      </c>
    </row>
    <row r="3921" ht="21" customHeight="1" s="66">
      <c r="A3921" s="56" t="n"/>
      <c r="B3921" s="57" t="n"/>
      <c r="C3921" s="57" t="n"/>
      <c r="D3921" s="57" t="n"/>
      <c r="E3921" s="56" t="n"/>
      <c r="F3921" s="57" t="n"/>
      <c r="G3921" s="57" t="n"/>
      <c r="H3921" s="56" t="n"/>
      <c r="I3921" s="56" t="n"/>
      <c r="J3921" s="58" t="n"/>
      <c r="K3921" s="58" t="n"/>
      <c r="L3921" s="13">
        <f>IF(OR($A3921="",AND($J3921="",$K3921="")),"",ROUND(N($J3921)-N($K3921),2))</f>
        <v/>
      </c>
      <c r="M3921" s="13">
        <f>IF(OR($A3921="",AND($J3921="",$K3921="")),"",MIN($J3921,$K3921))</f>
        <v/>
      </c>
      <c r="Q3921">
        <f>IF($A3921="","",$D3921&amp;"("&amp;SUBSTITUTE($E3921," ","")&amp;")")</f>
        <v/>
      </c>
      <c r="R3921">
        <f>IF($A3921="","",$B3921&amp;" - "&amp;$C3921)</f>
        <v/>
      </c>
      <c r="S3921">
        <f>IF($A3921="","",$R3921&amp;"|"&amp;$Q3921)</f>
        <v/>
      </c>
      <c r="T3921">
        <f>IF($A3921="","",$S3921&amp;"|"&amp;$F3921)</f>
        <v/>
      </c>
      <c r="U3921">
        <f>IF($A3921="","",$R3921&amp;"("&amp;$E3921&amp;")")</f>
        <v/>
      </c>
      <c r="V3921">
        <f>IF($A3921="","",$F3921&amp;"|"&amp;$U3921&amp;"|"&amp;$D3921)</f>
        <v/>
      </c>
      <c r="W3921">
        <f>IF($T3921="","",IF($X3921&gt;N($X3920),$X3921,""))</f>
        <v/>
      </c>
      <c r="X3921">
        <f>IF($T3921="",N($X3920),IF(MATCH($T3921,$T$6:$T$6005,0)=ROW()-5,N($X3920)+1,N($X3920)))</f>
        <v/>
      </c>
      <c r="Z3921">
        <f>IF($V3921="","",IF($AA3921&gt;N($AA3920),$AA3921,""))</f>
        <v/>
      </c>
      <c r="AA3921">
        <f>IF($V3921="",N($AA3920),IF(MATCH($V3921,$V$6:$V$6005,0)=ROW()-5,N($AA3920)+1,N($AA3920)))</f>
        <v/>
      </c>
    </row>
    <row r="3922" ht="21" customHeight="1" s="66">
      <c r="A3922" s="56" t="n"/>
      <c r="B3922" s="57" t="n"/>
      <c r="C3922" s="57" t="n"/>
      <c r="D3922" s="57" t="n"/>
      <c r="E3922" s="56" t="n"/>
      <c r="F3922" s="57" t="n"/>
      <c r="G3922" s="57" t="n"/>
      <c r="H3922" s="56" t="n"/>
      <c r="I3922" s="56" t="n"/>
      <c r="J3922" s="58" t="n"/>
      <c r="K3922" s="58" t="n"/>
      <c r="L3922" s="13">
        <f>IF(OR($A3922="",AND($J3922="",$K3922="")),"",ROUND(N($J3922)-N($K3922),2))</f>
        <v/>
      </c>
      <c r="M3922" s="13">
        <f>IF(OR($A3922="",AND($J3922="",$K3922="")),"",MIN($J3922,$K3922))</f>
        <v/>
      </c>
      <c r="Q3922">
        <f>IF($A3922="","",$D3922&amp;"("&amp;SUBSTITUTE($E3922," ","")&amp;")")</f>
        <v/>
      </c>
      <c r="R3922">
        <f>IF($A3922="","",$B3922&amp;" - "&amp;$C3922)</f>
        <v/>
      </c>
      <c r="S3922">
        <f>IF($A3922="","",$R3922&amp;"|"&amp;$Q3922)</f>
        <v/>
      </c>
      <c r="T3922">
        <f>IF($A3922="","",$S3922&amp;"|"&amp;$F3922)</f>
        <v/>
      </c>
      <c r="U3922">
        <f>IF($A3922="","",$R3922&amp;"("&amp;$E3922&amp;")")</f>
        <v/>
      </c>
      <c r="V3922">
        <f>IF($A3922="","",$F3922&amp;"|"&amp;$U3922&amp;"|"&amp;$D3922)</f>
        <v/>
      </c>
      <c r="W3922">
        <f>IF($T3922="","",IF($X3922&gt;N($X3921),$X3922,""))</f>
        <v/>
      </c>
      <c r="X3922">
        <f>IF($T3922="",N($X3921),IF(MATCH($T3922,$T$6:$T$6005,0)=ROW()-5,N($X3921)+1,N($X3921)))</f>
        <v/>
      </c>
      <c r="Z3922">
        <f>IF($V3922="","",IF($AA3922&gt;N($AA3921),$AA3922,""))</f>
        <v/>
      </c>
      <c r="AA3922">
        <f>IF($V3922="",N($AA3921),IF(MATCH($V3922,$V$6:$V$6005,0)=ROW()-5,N($AA3921)+1,N($AA3921)))</f>
        <v/>
      </c>
    </row>
    <row r="3923" ht="21" customHeight="1" s="66">
      <c r="A3923" s="56" t="n"/>
      <c r="B3923" s="57" t="n"/>
      <c r="C3923" s="57" t="n"/>
      <c r="D3923" s="57" t="n"/>
      <c r="E3923" s="56" t="n"/>
      <c r="F3923" s="57" t="n"/>
      <c r="G3923" s="57" t="n"/>
      <c r="H3923" s="56" t="n"/>
      <c r="I3923" s="56" t="n"/>
      <c r="J3923" s="58" t="n"/>
      <c r="K3923" s="58" t="n"/>
      <c r="L3923" s="13">
        <f>IF(OR($A3923="",AND($J3923="",$K3923="")),"",ROUND(N($J3923)-N($K3923),2))</f>
        <v/>
      </c>
      <c r="M3923" s="13">
        <f>IF(OR($A3923="",AND($J3923="",$K3923="")),"",MIN($J3923,$K3923))</f>
        <v/>
      </c>
      <c r="Q3923">
        <f>IF($A3923="","",$D3923&amp;"("&amp;SUBSTITUTE($E3923," ","")&amp;")")</f>
        <v/>
      </c>
      <c r="R3923">
        <f>IF($A3923="","",$B3923&amp;" - "&amp;$C3923)</f>
        <v/>
      </c>
      <c r="S3923">
        <f>IF($A3923="","",$R3923&amp;"|"&amp;$Q3923)</f>
        <v/>
      </c>
      <c r="T3923">
        <f>IF($A3923="","",$S3923&amp;"|"&amp;$F3923)</f>
        <v/>
      </c>
      <c r="U3923">
        <f>IF($A3923="","",$R3923&amp;"("&amp;$E3923&amp;")")</f>
        <v/>
      </c>
      <c r="V3923">
        <f>IF($A3923="","",$F3923&amp;"|"&amp;$U3923&amp;"|"&amp;$D3923)</f>
        <v/>
      </c>
      <c r="W3923">
        <f>IF($T3923="","",IF($X3923&gt;N($X3922),$X3923,""))</f>
        <v/>
      </c>
      <c r="X3923">
        <f>IF($T3923="",N($X3922),IF(MATCH($T3923,$T$6:$T$6005,0)=ROW()-5,N($X3922)+1,N($X3922)))</f>
        <v/>
      </c>
      <c r="Z3923">
        <f>IF($V3923="","",IF($AA3923&gt;N($AA3922),$AA3923,""))</f>
        <v/>
      </c>
      <c r="AA3923">
        <f>IF($V3923="",N($AA3922),IF(MATCH($V3923,$V$6:$V$6005,0)=ROW()-5,N($AA3922)+1,N($AA3922)))</f>
        <v/>
      </c>
    </row>
    <row r="3924" ht="21" customHeight="1" s="66">
      <c r="A3924" s="56" t="n"/>
      <c r="B3924" s="57" t="n"/>
      <c r="C3924" s="57" t="n"/>
      <c r="D3924" s="57" t="n"/>
      <c r="E3924" s="56" t="n"/>
      <c r="F3924" s="57" t="n"/>
      <c r="G3924" s="57" t="n"/>
      <c r="H3924" s="56" t="n"/>
      <c r="I3924" s="56" t="n"/>
      <c r="J3924" s="58" t="n"/>
      <c r="K3924" s="58" t="n"/>
      <c r="L3924" s="13">
        <f>IF(OR($A3924="",AND($J3924="",$K3924="")),"",ROUND(N($J3924)-N($K3924),2))</f>
        <v/>
      </c>
      <c r="M3924" s="13">
        <f>IF(OR($A3924="",AND($J3924="",$K3924="")),"",MIN($J3924,$K3924))</f>
        <v/>
      </c>
      <c r="Q3924">
        <f>IF($A3924="","",$D3924&amp;"("&amp;SUBSTITUTE($E3924," ","")&amp;")")</f>
        <v/>
      </c>
      <c r="R3924">
        <f>IF($A3924="","",$B3924&amp;" - "&amp;$C3924)</f>
        <v/>
      </c>
      <c r="S3924">
        <f>IF($A3924="","",$R3924&amp;"|"&amp;$Q3924)</f>
        <v/>
      </c>
      <c r="T3924">
        <f>IF($A3924="","",$S3924&amp;"|"&amp;$F3924)</f>
        <v/>
      </c>
      <c r="U3924">
        <f>IF($A3924="","",$R3924&amp;"("&amp;$E3924&amp;")")</f>
        <v/>
      </c>
      <c r="V3924">
        <f>IF($A3924="","",$F3924&amp;"|"&amp;$U3924&amp;"|"&amp;$D3924)</f>
        <v/>
      </c>
      <c r="W3924">
        <f>IF($T3924="","",IF($X3924&gt;N($X3923),$X3924,""))</f>
        <v/>
      </c>
      <c r="X3924">
        <f>IF($T3924="",N($X3923),IF(MATCH($T3924,$T$6:$T$6005,0)=ROW()-5,N($X3923)+1,N($X3923)))</f>
        <v/>
      </c>
      <c r="Z3924">
        <f>IF($V3924="","",IF($AA3924&gt;N($AA3923),$AA3924,""))</f>
        <v/>
      </c>
      <c r="AA3924">
        <f>IF($V3924="",N($AA3923),IF(MATCH($V3924,$V$6:$V$6005,0)=ROW()-5,N($AA3923)+1,N($AA3923)))</f>
        <v/>
      </c>
    </row>
    <row r="3925" ht="21" customHeight="1" s="66">
      <c r="A3925" s="56" t="n"/>
      <c r="B3925" s="57" t="n"/>
      <c r="C3925" s="57" t="n"/>
      <c r="D3925" s="57" t="n"/>
      <c r="E3925" s="56" t="n"/>
      <c r="F3925" s="57" t="n"/>
      <c r="G3925" s="57" t="n"/>
      <c r="H3925" s="56" t="n"/>
      <c r="I3925" s="56" t="n"/>
      <c r="J3925" s="58" t="n"/>
      <c r="K3925" s="58" t="n"/>
      <c r="L3925" s="13">
        <f>IF(OR($A3925="",AND($J3925="",$K3925="")),"",ROUND(N($J3925)-N($K3925),2))</f>
        <v/>
      </c>
      <c r="M3925" s="13">
        <f>IF(OR($A3925="",AND($J3925="",$K3925="")),"",MIN($J3925,$K3925))</f>
        <v/>
      </c>
      <c r="Q3925">
        <f>IF($A3925="","",$D3925&amp;"("&amp;SUBSTITUTE($E3925," ","")&amp;")")</f>
        <v/>
      </c>
      <c r="R3925">
        <f>IF($A3925="","",$B3925&amp;" - "&amp;$C3925)</f>
        <v/>
      </c>
      <c r="S3925">
        <f>IF($A3925="","",$R3925&amp;"|"&amp;$Q3925)</f>
        <v/>
      </c>
      <c r="T3925">
        <f>IF($A3925="","",$S3925&amp;"|"&amp;$F3925)</f>
        <v/>
      </c>
      <c r="U3925">
        <f>IF($A3925="","",$R3925&amp;"("&amp;$E3925&amp;")")</f>
        <v/>
      </c>
      <c r="V3925">
        <f>IF($A3925="","",$F3925&amp;"|"&amp;$U3925&amp;"|"&amp;$D3925)</f>
        <v/>
      </c>
      <c r="W3925">
        <f>IF($T3925="","",IF($X3925&gt;N($X3924),$X3925,""))</f>
        <v/>
      </c>
      <c r="X3925">
        <f>IF($T3925="",N($X3924),IF(MATCH($T3925,$T$6:$T$6005,0)=ROW()-5,N($X3924)+1,N($X3924)))</f>
        <v/>
      </c>
      <c r="Z3925">
        <f>IF($V3925="","",IF($AA3925&gt;N($AA3924),$AA3925,""))</f>
        <v/>
      </c>
      <c r="AA3925">
        <f>IF($V3925="",N($AA3924),IF(MATCH($V3925,$V$6:$V$6005,0)=ROW()-5,N($AA3924)+1,N($AA3924)))</f>
        <v/>
      </c>
    </row>
    <row r="3926" ht="21" customHeight="1" s="66">
      <c r="A3926" s="56" t="n"/>
      <c r="B3926" s="57" t="n"/>
      <c r="C3926" s="57" t="n"/>
      <c r="D3926" s="57" t="n"/>
      <c r="E3926" s="56" t="n"/>
      <c r="F3926" s="57" t="n"/>
      <c r="G3926" s="57" t="n"/>
      <c r="H3926" s="56" t="n"/>
      <c r="I3926" s="56" t="n"/>
      <c r="J3926" s="58" t="n"/>
      <c r="K3926" s="58" t="n"/>
      <c r="L3926" s="13">
        <f>IF(OR($A3926="",AND($J3926="",$K3926="")),"",ROUND(N($J3926)-N($K3926),2))</f>
        <v/>
      </c>
      <c r="M3926" s="13">
        <f>IF(OR($A3926="",AND($J3926="",$K3926="")),"",MIN($J3926,$K3926))</f>
        <v/>
      </c>
      <c r="Q3926">
        <f>IF($A3926="","",$D3926&amp;"("&amp;SUBSTITUTE($E3926," ","")&amp;")")</f>
        <v/>
      </c>
      <c r="R3926">
        <f>IF($A3926="","",$B3926&amp;" - "&amp;$C3926)</f>
        <v/>
      </c>
      <c r="S3926">
        <f>IF($A3926="","",$R3926&amp;"|"&amp;$Q3926)</f>
        <v/>
      </c>
      <c r="T3926">
        <f>IF($A3926="","",$S3926&amp;"|"&amp;$F3926)</f>
        <v/>
      </c>
      <c r="U3926">
        <f>IF($A3926="","",$R3926&amp;"("&amp;$E3926&amp;")")</f>
        <v/>
      </c>
      <c r="V3926">
        <f>IF($A3926="","",$F3926&amp;"|"&amp;$U3926&amp;"|"&amp;$D3926)</f>
        <v/>
      </c>
      <c r="W3926">
        <f>IF($T3926="","",IF($X3926&gt;N($X3925),$X3926,""))</f>
        <v/>
      </c>
      <c r="X3926">
        <f>IF($T3926="",N($X3925),IF(MATCH($T3926,$T$6:$T$6005,0)=ROW()-5,N($X3925)+1,N($X3925)))</f>
        <v/>
      </c>
      <c r="Z3926">
        <f>IF($V3926="","",IF($AA3926&gt;N($AA3925),$AA3926,""))</f>
        <v/>
      </c>
      <c r="AA3926">
        <f>IF($V3926="",N($AA3925),IF(MATCH($V3926,$V$6:$V$6005,0)=ROW()-5,N($AA3925)+1,N($AA3925)))</f>
        <v/>
      </c>
    </row>
    <row r="3927" ht="21" customHeight="1" s="66">
      <c r="A3927" s="56" t="n"/>
      <c r="B3927" s="57" t="n"/>
      <c r="C3927" s="57" t="n"/>
      <c r="D3927" s="57" t="n"/>
      <c r="E3927" s="56" t="n"/>
      <c r="F3927" s="57" t="n"/>
      <c r="G3927" s="57" t="n"/>
      <c r="H3927" s="56" t="n"/>
      <c r="I3927" s="56" t="n"/>
      <c r="J3927" s="58" t="n"/>
      <c r="K3927" s="58" t="n"/>
      <c r="L3927" s="13">
        <f>IF(OR($A3927="",AND($J3927="",$K3927="")),"",ROUND(N($J3927)-N($K3927),2))</f>
        <v/>
      </c>
      <c r="M3927" s="13">
        <f>IF(OR($A3927="",AND($J3927="",$K3927="")),"",MIN($J3927,$K3927))</f>
        <v/>
      </c>
      <c r="Q3927">
        <f>IF($A3927="","",$D3927&amp;"("&amp;SUBSTITUTE($E3927," ","")&amp;")")</f>
        <v/>
      </c>
      <c r="R3927">
        <f>IF($A3927="","",$B3927&amp;" - "&amp;$C3927)</f>
        <v/>
      </c>
      <c r="S3927">
        <f>IF($A3927="","",$R3927&amp;"|"&amp;$Q3927)</f>
        <v/>
      </c>
      <c r="T3927">
        <f>IF($A3927="","",$S3927&amp;"|"&amp;$F3927)</f>
        <v/>
      </c>
      <c r="U3927">
        <f>IF($A3927="","",$R3927&amp;"("&amp;$E3927&amp;")")</f>
        <v/>
      </c>
      <c r="V3927">
        <f>IF($A3927="","",$F3927&amp;"|"&amp;$U3927&amp;"|"&amp;$D3927)</f>
        <v/>
      </c>
      <c r="W3927">
        <f>IF($T3927="","",IF($X3927&gt;N($X3926),$X3927,""))</f>
        <v/>
      </c>
      <c r="X3927">
        <f>IF($T3927="",N($X3926),IF(MATCH($T3927,$T$6:$T$6005,0)=ROW()-5,N($X3926)+1,N($X3926)))</f>
        <v/>
      </c>
      <c r="Z3927">
        <f>IF($V3927="","",IF($AA3927&gt;N($AA3926),$AA3927,""))</f>
        <v/>
      </c>
      <c r="AA3927">
        <f>IF($V3927="",N($AA3926),IF(MATCH($V3927,$V$6:$V$6005,0)=ROW()-5,N($AA3926)+1,N($AA3926)))</f>
        <v/>
      </c>
    </row>
    <row r="3928" ht="21" customHeight="1" s="66">
      <c r="A3928" s="56" t="n"/>
      <c r="B3928" s="57" t="n"/>
      <c r="C3928" s="57" t="n"/>
      <c r="D3928" s="57" t="n"/>
      <c r="E3928" s="56" t="n"/>
      <c r="F3928" s="57" t="n"/>
      <c r="G3928" s="57" t="n"/>
      <c r="H3928" s="56" t="n"/>
      <c r="I3928" s="56" t="n"/>
      <c r="J3928" s="58" t="n"/>
      <c r="K3928" s="58" t="n"/>
      <c r="L3928" s="13">
        <f>IF(OR($A3928="",AND($J3928="",$K3928="")),"",ROUND(N($J3928)-N($K3928),2))</f>
        <v/>
      </c>
      <c r="M3928" s="13">
        <f>IF(OR($A3928="",AND($J3928="",$K3928="")),"",MIN($J3928,$K3928))</f>
        <v/>
      </c>
      <c r="Q3928">
        <f>IF($A3928="","",$D3928&amp;"("&amp;SUBSTITUTE($E3928," ","")&amp;")")</f>
        <v/>
      </c>
      <c r="R3928">
        <f>IF($A3928="","",$B3928&amp;" - "&amp;$C3928)</f>
        <v/>
      </c>
      <c r="S3928">
        <f>IF($A3928="","",$R3928&amp;"|"&amp;$Q3928)</f>
        <v/>
      </c>
      <c r="T3928">
        <f>IF($A3928="","",$S3928&amp;"|"&amp;$F3928)</f>
        <v/>
      </c>
      <c r="U3928">
        <f>IF($A3928="","",$R3928&amp;"("&amp;$E3928&amp;")")</f>
        <v/>
      </c>
      <c r="V3928">
        <f>IF($A3928="","",$F3928&amp;"|"&amp;$U3928&amp;"|"&amp;$D3928)</f>
        <v/>
      </c>
      <c r="W3928">
        <f>IF($T3928="","",IF($X3928&gt;N($X3927),$X3928,""))</f>
        <v/>
      </c>
      <c r="X3928">
        <f>IF($T3928="",N($X3927),IF(MATCH($T3928,$T$6:$T$6005,0)=ROW()-5,N($X3927)+1,N($X3927)))</f>
        <v/>
      </c>
      <c r="Z3928">
        <f>IF($V3928="","",IF($AA3928&gt;N($AA3927),$AA3928,""))</f>
        <v/>
      </c>
      <c r="AA3928">
        <f>IF($V3928="",N($AA3927),IF(MATCH($V3928,$V$6:$V$6005,0)=ROW()-5,N($AA3927)+1,N($AA3927)))</f>
        <v/>
      </c>
    </row>
    <row r="3929" ht="21" customHeight="1" s="66">
      <c r="A3929" s="56" t="n"/>
      <c r="B3929" s="57" t="n"/>
      <c r="C3929" s="57" t="n"/>
      <c r="D3929" s="57" t="n"/>
      <c r="E3929" s="56" t="n"/>
      <c r="F3929" s="57" t="n"/>
      <c r="G3929" s="57" t="n"/>
      <c r="H3929" s="56" t="n"/>
      <c r="I3929" s="56" t="n"/>
      <c r="J3929" s="58" t="n"/>
      <c r="K3929" s="58" t="n"/>
      <c r="L3929" s="13">
        <f>IF(OR($A3929="",AND($J3929="",$K3929="")),"",ROUND(N($J3929)-N($K3929),2))</f>
        <v/>
      </c>
      <c r="M3929" s="13">
        <f>IF(OR($A3929="",AND($J3929="",$K3929="")),"",MIN($J3929,$K3929))</f>
        <v/>
      </c>
      <c r="Q3929">
        <f>IF($A3929="","",$D3929&amp;"("&amp;SUBSTITUTE($E3929," ","")&amp;")")</f>
        <v/>
      </c>
      <c r="R3929">
        <f>IF($A3929="","",$B3929&amp;" - "&amp;$C3929)</f>
        <v/>
      </c>
      <c r="S3929">
        <f>IF($A3929="","",$R3929&amp;"|"&amp;$Q3929)</f>
        <v/>
      </c>
      <c r="T3929">
        <f>IF($A3929="","",$S3929&amp;"|"&amp;$F3929)</f>
        <v/>
      </c>
      <c r="U3929">
        <f>IF($A3929="","",$R3929&amp;"("&amp;$E3929&amp;")")</f>
        <v/>
      </c>
      <c r="V3929">
        <f>IF($A3929="","",$F3929&amp;"|"&amp;$U3929&amp;"|"&amp;$D3929)</f>
        <v/>
      </c>
      <c r="W3929">
        <f>IF($T3929="","",IF($X3929&gt;N($X3928),$X3929,""))</f>
        <v/>
      </c>
      <c r="X3929">
        <f>IF($T3929="",N($X3928),IF(MATCH($T3929,$T$6:$T$6005,0)=ROW()-5,N($X3928)+1,N($X3928)))</f>
        <v/>
      </c>
      <c r="Z3929">
        <f>IF($V3929="","",IF($AA3929&gt;N($AA3928),$AA3929,""))</f>
        <v/>
      </c>
      <c r="AA3929">
        <f>IF($V3929="",N($AA3928),IF(MATCH($V3929,$V$6:$V$6005,0)=ROW()-5,N($AA3928)+1,N($AA3928)))</f>
        <v/>
      </c>
    </row>
    <row r="3930" ht="21" customHeight="1" s="66">
      <c r="A3930" s="56" t="n"/>
      <c r="B3930" s="57" t="n"/>
      <c r="C3930" s="57" t="n"/>
      <c r="D3930" s="57" t="n"/>
      <c r="E3930" s="56" t="n"/>
      <c r="F3930" s="57" t="n"/>
      <c r="G3930" s="57" t="n"/>
      <c r="H3930" s="56" t="n"/>
      <c r="I3930" s="56" t="n"/>
      <c r="J3930" s="58" t="n"/>
      <c r="K3930" s="58" t="n"/>
      <c r="L3930" s="13">
        <f>IF(OR($A3930="",AND($J3930="",$K3930="")),"",ROUND(N($J3930)-N($K3930),2))</f>
        <v/>
      </c>
      <c r="M3930" s="13">
        <f>IF(OR($A3930="",AND($J3930="",$K3930="")),"",MIN($J3930,$K3930))</f>
        <v/>
      </c>
      <c r="Q3930">
        <f>IF($A3930="","",$D3930&amp;"("&amp;SUBSTITUTE($E3930," ","")&amp;")")</f>
        <v/>
      </c>
      <c r="R3930">
        <f>IF($A3930="","",$B3930&amp;" - "&amp;$C3930)</f>
        <v/>
      </c>
      <c r="S3930">
        <f>IF($A3930="","",$R3930&amp;"|"&amp;$Q3930)</f>
        <v/>
      </c>
      <c r="T3930">
        <f>IF($A3930="","",$S3930&amp;"|"&amp;$F3930)</f>
        <v/>
      </c>
      <c r="U3930">
        <f>IF($A3930="","",$R3930&amp;"("&amp;$E3930&amp;")")</f>
        <v/>
      </c>
      <c r="V3930">
        <f>IF($A3930="","",$F3930&amp;"|"&amp;$U3930&amp;"|"&amp;$D3930)</f>
        <v/>
      </c>
      <c r="W3930">
        <f>IF($T3930="","",IF($X3930&gt;N($X3929),$X3930,""))</f>
        <v/>
      </c>
      <c r="X3930">
        <f>IF($T3930="",N($X3929),IF(MATCH($T3930,$T$6:$T$6005,0)=ROW()-5,N($X3929)+1,N($X3929)))</f>
        <v/>
      </c>
      <c r="Z3930">
        <f>IF($V3930="","",IF($AA3930&gt;N($AA3929),$AA3930,""))</f>
        <v/>
      </c>
      <c r="AA3930">
        <f>IF($V3930="",N($AA3929),IF(MATCH($V3930,$V$6:$V$6005,0)=ROW()-5,N($AA3929)+1,N($AA3929)))</f>
        <v/>
      </c>
    </row>
    <row r="3931" ht="21" customHeight="1" s="66">
      <c r="A3931" s="56" t="n"/>
      <c r="B3931" s="57" t="n"/>
      <c r="C3931" s="57" t="n"/>
      <c r="D3931" s="57" t="n"/>
      <c r="E3931" s="56" t="n"/>
      <c r="F3931" s="57" t="n"/>
      <c r="G3931" s="57" t="n"/>
      <c r="H3931" s="56" t="n"/>
      <c r="I3931" s="56" t="n"/>
      <c r="J3931" s="58" t="n"/>
      <c r="K3931" s="58" t="n"/>
      <c r="L3931" s="13">
        <f>IF(OR($A3931="",AND($J3931="",$K3931="")),"",ROUND(N($J3931)-N($K3931),2))</f>
        <v/>
      </c>
      <c r="M3931" s="13">
        <f>IF(OR($A3931="",AND($J3931="",$K3931="")),"",MIN($J3931,$K3931))</f>
        <v/>
      </c>
      <c r="Q3931">
        <f>IF($A3931="","",$D3931&amp;"("&amp;SUBSTITUTE($E3931," ","")&amp;")")</f>
        <v/>
      </c>
      <c r="R3931">
        <f>IF($A3931="","",$B3931&amp;" - "&amp;$C3931)</f>
        <v/>
      </c>
      <c r="S3931">
        <f>IF($A3931="","",$R3931&amp;"|"&amp;$Q3931)</f>
        <v/>
      </c>
      <c r="T3931">
        <f>IF($A3931="","",$S3931&amp;"|"&amp;$F3931)</f>
        <v/>
      </c>
      <c r="U3931">
        <f>IF($A3931="","",$R3931&amp;"("&amp;$E3931&amp;")")</f>
        <v/>
      </c>
      <c r="V3931">
        <f>IF($A3931="","",$F3931&amp;"|"&amp;$U3931&amp;"|"&amp;$D3931)</f>
        <v/>
      </c>
      <c r="W3931">
        <f>IF($T3931="","",IF($X3931&gt;N($X3930),$X3931,""))</f>
        <v/>
      </c>
      <c r="X3931">
        <f>IF($T3931="",N($X3930),IF(MATCH($T3931,$T$6:$T$6005,0)=ROW()-5,N($X3930)+1,N($X3930)))</f>
        <v/>
      </c>
      <c r="Z3931">
        <f>IF($V3931="","",IF($AA3931&gt;N($AA3930),$AA3931,""))</f>
        <v/>
      </c>
      <c r="AA3931">
        <f>IF($V3931="",N($AA3930),IF(MATCH($V3931,$V$6:$V$6005,0)=ROW()-5,N($AA3930)+1,N($AA3930)))</f>
        <v/>
      </c>
    </row>
    <row r="3932" ht="21" customHeight="1" s="66">
      <c r="A3932" s="56" t="n"/>
      <c r="B3932" s="57" t="n"/>
      <c r="C3932" s="57" t="n"/>
      <c r="D3932" s="57" t="n"/>
      <c r="E3932" s="56" t="n"/>
      <c r="F3932" s="57" t="n"/>
      <c r="G3932" s="57" t="n"/>
      <c r="H3932" s="56" t="n"/>
      <c r="I3932" s="56" t="n"/>
      <c r="J3932" s="58" t="n"/>
      <c r="K3932" s="58" t="n"/>
      <c r="L3932" s="13">
        <f>IF(OR($A3932="",AND($J3932="",$K3932="")),"",ROUND(N($J3932)-N($K3932),2))</f>
        <v/>
      </c>
      <c r="M3932" s="13">
        <f>IF(OR($A3932="",AND($J3932="",$K3932="")),"",MIN($J3932,$K3932))</f>
        <v/>
      </c>
      <c r="Q3932">
        <f>IF($A3932="","",$D3932&amp;"("&amp;SUBSTITUTE($E3932," ","")&amp;")")</f>
        <v/>
      </c>
      <c r="R3932">
        <f>IF($A3932="","",$B3932&amp;" - "&amp;$C3932)</f>
        <v/>
      </c>
      <c r="S3932">
        <f>IF($A3932="","",$R3932&amp;"|"&amp;$Q3932)</f>
        <v/>
      </c>
      <c r="T3932">
        <f>IF($A3932="","",$S3932&amp;"|"&amp;$F3932)</f>
        <v/>
      </c>
      <c r="U3932">
        <f>IF($A3932="","",$R3932&amp;"("&amp;$E3932&amp;")")</f>
        <v/>
      </c>
      <c r="V3932">
        <f>IF($A3932="","",$F3932&amp;"|"&amp;$U3932&amp;"|"&amp;$D3932)</f>
        <v/>
      </c>
      <c r="W3932">
        <f>IF($T3932="","",IF($X3932&gt;N($X3931),$X3932,""))</f>
        <v/>
      </c>
      <c r="X3932">
        <f>IF($T3932="",N($X3931),IF(MATCH($T3932,$T$6:$T$6005,0)=ROW()-5,N($X3931)+1,N($X3931)))</f>
        <v/>
      </c>
      <c r="Z3932">
        <f>IF($V3932="","",IF($AA3932&gt;N($AA3931),$AA3932,""))</f>
        <v/>
      </c>
      <c r="AA3932">
        <f>IF($V3932="",N($AA3931),IF(MATCH($V3932,$V$6:$V$6005,0)=ROW()-5,N($AA3931)+1,N($AA3931)))</f>
        <v/>
      </c>
    </row>
    <row r="3933" ht="21" customHeight="1" s="66">
      <c r="A3933" s="56" t="n"/>
      <c r="B3933" s="57" t="n"/>
      <c r="C3933" s="57" t="n"/>
      <c r="D3933" s="57" t="n"/>
      <c r="E3933" s="56" t="n"/>
      <c r="F3933" s="57" t="n"/>
      <c r="G3933" s="57" t="n"/>
      <c r="H3933" s="56" t="n"/>
      <c r="I3933" s="56" t="n"/>
      <c r="J3933" s="58" t="n"/>
      <c r="K3933" s="58" t="n"/>
      <c r="L3933" s="13">
        <f>IF(OR($A3933="",AND($J3933="",$K3933="")),"",ROUND(N($J3933)-N($K3933),2))</f>
        <v/>
      </c>
      <c r="M3933" s="13">
        <f>IF(OR($A3933="",AND($J3933="",$K3933="")),"",MIN($J3933,$K3933))</f>
        <v/>
      </c>
      <c r="Q3933">
        <f>IF($A3933="","",$D3933&amp;"("&amp;SUBSTITUTE($E3933," ","")&amp;")")</f>
        <v/>
      </c>
      <c r="R3933">
        <f>IF($A3933="","",$B3933&amp;" - "&amp;$C3933)</f>
        <v/>
      </c>
      <c r="S3933">
        <f>IF($A3933="","",$R3933&amp;"|"&amp;$Q3933)</f>
        <v/>
      </c>
      <c r="T3933">
        <f>IF($A3933="","",$S3933&amp;"|"&amp;$F3933)</f>
        <v/>
      </c>
      <c r="U3933">
        <f>IF($A3933="","",$R3933&amp;"("&amp;$E3933&amp;")")</f>
        <v/>
      </c>
      <c r="V3933">
        <f>IF($A3933="","",$F3933&amp;"|"&amp;$U3933&amp;"|"&amp;$D3933)</f>
        <v/>
      </c>
      <c r="W3933">
        <f>IF($T3933="","",IF($X3933&gt;N($X3932),$X3933,""))</f>
        <v/>
      </c>
      <c r="X3933">
        <f>IF($T3933="",N($X3932),IF(MATCH($T3933,$T$6:$T$6005,0)=ROW()-5,N($X3932)+1,N($X3932)))</f>
        <v/>
      </c>
      <c r="Z3933">
        <f>IF($V3933="","",IF($AA3933&gt;N($AA3932),$AA3933,""))</f>
        <v/>
      </c>
      <c r="AA3933">
        <f>IF($V3933="",N($AA3932),IF(MATCH($V3933,$V$6:$V$6005,0)=ROW()-5,N($AA3932)+1,N($AA3932)))</f>
        <v/>
      </c>
    </row>
    <row r="3934" ht="21" customHeight="1" s="66">
      <c r="A3934" s="56" t="n"/>
      <c r="B3934" s="57" t="n"/>
      <c r="C3934" s="57" t="n"/>
      <c r="D3934" s="57" t="n"/>
      <c r="E3934" s="56" t="n"/>
      <c r="F3934" s="57" t="n"/>
      <c r="G3934" s="57" t="n"/>
      <c r="H3934" s="56" t="n"/>
      <c r="I3934" s="56" t="n"/>
      <c r="J3934" s="58" t="n"/>
      <c r="K3934" s="58" t="n"/>
      <c r="L3934" s="13">
        <f>IF(OR($A3934="",AND($J3934="",$K3934="")),"",ROUND(N($J3934)-N($K3934),2))</f>
        <v/>
      </c>
      <c r="M3934" s="13">
        <f>IF(OR($A3934="",AND($J3934="",$K3934="")),"",MIN($J3934,$K3934))</f>
        <v/>
      </c>
      <c r="Q3934">
        <f>IF($A3934="","",$D3934&amp;"("&amp;SUBSTITUTE($E3934," ","")&amp;")")</f>
        <v/>
      </c>
      <c r="R3934">
        <f>IF($A3934="","",$B3934&amp;" - "&amp;$C3934)</f>
        <v/>
      </c>
      <c r="S3934">
        <f>IF($A3934="","",$R3934&amp;"|"&amp;$Q3934)</f>
        <v/>
      </c>
      <c r="T3934">
        <f>IF($A3934="","",$S3934&amp;"|"&amp;$F3934)</f>
        <v/>
      </c>
      <c r="U3934">
        <f>IF($A3934="","",$R3934&amp;"("&amp;$E3934&amp;")")</f>
        <v/>
      </c>
      <c r="V3934">
        <f>IF($A3934="","",$F3934&amp;"|"&amp;$U3934&amp;"|"&amp;$D3934)</f>
        <v/>
      </c>
      <c r="W3934">
        <f>IF($T3934="","",IF($X3934&gt;N($X3933),$X3934,""))</f>
        <v/>
      </c>
      <c r="X3934">
        <f>IF($T3934="",N($X3933),IF(MATCH($T3934,$T$6:$T$6005,0)=ROW()-5,N($X3933)+1,N($X3933)))</f>
        <v/>
      </c>
      <c r="Z3934">
        <f>IF($V3934="","",IF($AA3934&gt;N($AA3933),$AA3934,""))</f>
        <v/>
      </c>
      <c r="AA3934">
        <f>IF($V3934="",N($AA3933),IF(MATCH($V3934,$V$6:$V$6005,0)=ROW()-5,N($AA3933)+1,N($AA3933)))</f>
        <v/>
      </c>
    </row>
    <row r="3935" ht="21" customHeight="1" s="66">
      <c r="A3935" s="56" t="n"/>
      <c r="B3935" s="57" t="n"/>
      <c r="C3935" s="57" t="n"/>
      <c r="D3935" s="57" t="n"/>
      <c r="E3935" s="56" t="n"/>
      <c r="F3935" s="57" t="n"/>
      <c r="G3935" s="57" t="n"/>
      <c r="H3935" s="56" t="n"/>
      <c r="I3935" s="56" t="n"/>
      <c r="J3935" s="58" t="n"/>
      <c r="K3935" s="58" t="n"/>
      <c r="L3935" s="13">
        <f>IF(OR($A3935="",AND($J3935="",$K3935="")),"",ROUND(N($J3935)-N($K3935),2))</f>
        <v/>
      </c>
      <c r="M3935" s="13">
        <f>IF(OR($A3935="",AND($J3935="",$K3935="")),"",MIN($J3935,$K3935))</f>
        <v/>
      </c>
      <c r="Q3935">
        <f>IF($A3935="","",$D3935&amp;"("&amp;SUBSTITUTE($E3935," ","")&amp;")")</f>
        <v/>
      </c>
      <c r="R3935">
        <f>IF($A3935="","",$B3935&amp;" - "&amp;$C3935)</f>
        <v/>
      </c>
      <c r="S3935">
        <f>IF($A3935="","",$R3935&amp;"|"&amp;$Q3935)</f>
        <v/>
      </c>
      <c r="T3935">
        <f>IF($A3935="","",$S3935&amp;"|"&amp;$F3935)</f>
        <v/>
      </c>
      <c r="U3935">
        <f>IF($A3935="","",$R3935&amp;"("&amp;$E3935&amp;")")</f>
        <v/>
      </c>
      <c r="V3935">
        <f>IF($A3935="","",$F3935&amp;"|"&amp;$U3935&amp;"|"&amp;$D3935)</f>
        <v/>
      </c>
      <c r="W3935">
        <f>IF($T3935="","",IF($X3935&gt;N($X3934),$X3935,""))</f>
        <v/>
      </c>
      <c r="X3935">
        <f>IF($T3935="",N($X3934),IF(MATCH($T3935,$T$6:$T$6005,0)=ROW()-5,N($X3934)+1,N($X3934)))</f>
        <v/>
      </c>
      <c r="Z3935">
        <f>IF($V3935="","",IF($AA3935&gt;N($AA3934),$AA3935,""))</f>
        <v/>
      </c>
      <c r="AA3935">
        <f>IF($V3935="",N($AA3934),IF(MATCH($V3935,$V$6:$V$6005,0)=ROW()-5,N($AA3934)+1,N($AA3934)))</f>
        <v/>
      </c>
    </row>
    <row r="3936" ht="21" customHeight="1" s="66">
      <c r="A3936" s="56" t="n"/>
      <c r="B3936" s="57" t="n"/>
      <c r="C3936" s="57" t="n"/>
      <c r="D3936" s="57" t="n"/>
      <c r="E3936" s="56" t="n"/>
      <c r="F3936" s="57" t="n"/>
      <c r="G3936" s="57" t="n"/>
      <c r="H3936" s="56" t="n"/>
      <c r="I3936" s="56" t="n"/>
      <c r="J3936" s="58" t="n"/>
      <c r="K3936" s="58" t="n"/>
      <c r="L3936" s="13">
        <f>IF(OR($A3936="",AND($J3936="",$K3936="")),"",ROUND(N($J3936)-N($K3936),2))</f>
        <v/>
      </c>
      <c r="M3936" s="13">
        <f>IF(OR($A3936="",AND($J3936="",$K3936="")),"",MIN($J3936,$K3936))</f>
        <v/>
      </c>
      <c r="Q3936">
        <f>IF($A3936="","",$D3936&amp;"("&amp;SUBSTITUTE($E3936," ","")&amp;")")</f>
        <v/>
      </c>
      <c r="R3936">
        <f>IF($A3936="","",$B3936&amp;" - "&amp;$C3936)</f>
        <v/>
      </c>
      <c r="S3936">
        <f>IF($A3936="","",$R3936&amp;"|"&amp;$Q3936)</f>
        <v/>
      </c>
      <c r="T3936">
        <f>IF($A3936="","",$S3936&amp;"|"&amp;$F3936)</f>
        <v/>
      </c>
      <c r="U3936">
        <f>IF($A3936="","",$R3936&amp;"("&amp;$E3936&amp;")")</f>
        <v/>
      </c>
      <c r="V3936">
        <f>IF($A3936="","",$F3936&amp;"|"&amp;$U3936&amp;"|"&amp;$D3936)</f>
        <v/>
      </c>
      <c r="W3936">
        <f>IF($T3936="","",IF($X3936&gt;N($X3935),$X3936,""))</f>
        <v/>
      </c>
      <c r="X3936">
        <f>IF($T3936="",N($X3935),IF(MATCH($T3936,$T$6:$T$6005,0)=ROW()-5,N($X3935)+1,N($X3935)))</f>
        <v/>
      </c>
      <c r="Z3936">
        <f>IF($V3936="","",IF($AA3936&gt;N($AA3935),$AA3936,""))</f>
        <v/>
      </c>
      <c r="AA3936">
        <f>IF($V3936="",N($AA3935),IF(MATCH($V3936,$V$6:$V$6005,0)=ROW()-5,N($AA3935)+1,N($AA3935)))</f>
        <v/>
      </c>
    </row>
    <row r="3937" ht="21" customHeight="1" s="66">
      <c r="A3937" s="56" t="n"/>
      <c r="B3937" s="57" t="n"/>
      <c r="C3937" s="57" t="n"/>
      <c r="D3937" s="57" t="n"/>
      <c r="E3937" s="56" t="n"/>
      <c r="F3937" s="57" t="n"/>
      <c r="G3937" s="57" t="n"/>
      <c r="H3937" s="56" t="n"/>
      <c r="I3937" s="56" t="n"/>
      <c r="J3937" s="58" t="n"/>
      <c r="K3937" s="58" t="n"/>
      <c r="L3937" s="13">
        <f>IF(OR($A3937="",AND($J3937="",$K3937="")),"",ROUND(N($J3937)-N($K3937),2))</f>
        <v/>
      </c>
      <c r="M3937" s="13">
        <f>IF(OR($A3937="",AND($J3937="",$K3937="")),"",MIN($J3937,$K3937))</f>
        <v/>
      </c>
      <c r="Q3937">
        <f>IF($A3937="","",$D3937&amp;"("&amp;SUBSTITUTE($E3937," ","")&amp;")")</f>
        <v/>
      </c>
      <c r="R3937">
        <f>IF($A3937="","",$B3937&amp;" - "&amp;$C3937)</f>
        <v/>
      </c>
      <c r="S3937">
        <f>IF($A3937="","",$R3937&amp;"|"&amp;$Q3937)</f>
        <v/>
      </c>
      <c r="T3937">
        <f>IF($A3937="","",$S3937&amp;"|"&amp;$F3937)</f>
        <v/>
      </c>
      <c r="U3937">
        <f>IF($A3937="","",$R3937&amp;"("&amp;$E3937&amp;")")</f>
        <v/>
      </c>
      <c r="V3937">
        <f>IF($A3937="","",$F3937&amp;"|"&amp;$U3937&amp;"|"&amp;$D3937)</f>
        <v/>
      </c>
      <c r="W3937">
        <f>IF($T3937="","",IF($X3937&gt;N($X3936),$X3937,""))</f>
        <v/>
      </c>
      <c r="X3937">
        <f>IF($T3937="",N($X3936),IF(MATCH($T3937,$T$6:$T$6005,0)=ROW()-5,N($X3936)+1,N($X3936)))</f>
        <v/>
      </c>
      <c r="Z3937">
        <f>IF($V3937="","",IF($AA3937&gt;N($AA3936),$AA3937,""))</f>
        <v/>
      </c>
      <c r="AA3937">
        <f>IF($V3937="",N($AA3936),IF(MATCH($V3937,$V$6:$V$6005,0)=ROW()-5,N($AA3936)+1,N($AA3936)))</f>
        <v/>
      </c>
    </row>
    <row r="3938" ht="21" customHeight="1" s="66">
      <c r="A3938" s="56" t="n"/>
      <c r="B3938" s="57" t="n"/>
      <c r="C3938" s="57" t="n"/>
      <c r="D3938" s="57" t="n"/>
      <c r="E3938" s="56" t="n"/>
      <c r="F3938" s="57" t="n"/>
      <c r="G3938" s="57" t="n"/>
      <c r="H3938" s="56" t="n"/>
      <c r="I3938" s="56" t="n"/>
      <c r="J3938" s="58" t="n"/>
      <c r="K3938" s="58" t="n"/>
      <c r="L3938" s="13">
        <f>IF(OR($A3938="",AND($J3938="",$K3938="")),"",ROUND(N($J3938)-N($K3938),2))</f>
        <v/>
      </c>
      <c r="M3938" s="13">
        <f>IF(OR($A3938="",AND($J3938="",$K3938="")),"",MIN($J3938,$K3938))</f>
        <v/>
      </c>
      <c r="Q3938">
        <f>IF($A3938="","",$D3938&amp;"("&amp;SUBSTITUTE($E3938," ","")&amp;")")</f>
        <v/>
      </c>
      <c r="R3938">
        <f>IF($A3938="","",$B3938&amp;" - "&amp;$C3938)</f>
        <v/>
      </c>
      <c r="S3938">
        <f>IF($A3938="","",$R3938&amp;"|"&amp;$Q3938)</f>
        <v/>
      </c>
      <c r="T3938">
        <f>IF($A3938="","",$S3938&amp;"|"&amp;$F3938)</f>
        <v/>
      </c>
      <c r="U3938">
        <f>IF($A3938="","",$R3938&amp;"("&amp;$E3938&amp;")")</f>
        <v/>
      </c>
      <c r="V3938">
        <f>IF($A3938="","",$F3938&amp;"|"&amp;$U3938&amp;"|"&amp;$D3938)</f>
        <v/>
      </c>
      <c r="W3938">
        <f>IF($T3938="","",IF($X3938&gt;N($X3937),$X3938,""))</f>
        <v/>
      </c>
      <c r="X3938">
        <f>IF($T3938="",N($X3937),IF(MATCH($T3938,$T$6:$T$6005,0)=ROW()-5,N($X3937)+1,N($X3937)))</f>
        <v/>
      </c>
      <c r="Z3938">
        <f>IF($V3938="","",IF($AA3938&gt;N($AA3937),$AA3938,""))</f>
        <v/>
      </c>
      <c r="AA3938">
        <f>IF($V3938="",N($AA3937),IF(MATCH($V3938,$V$6:$V$6005,0)=ROW()-5,N($AA3937)+1,N($AA3937)))</f>
        <v/>
      </c>
    </row>
    <row r="3939" ht="21" customHeight="1" s="66">
      <c r="A3939" s="56" t="n"/>
      <c r="B3939" s="57" t="n"/>
      <c r="C3939" s="57" t="n"/>
      <c r="D3939" s="57" t="n"/>
      <c r="E3939" s="56" t="n"/>
      <c r="F3939" s="57" t="n"/>
      <c r="G3939" s="57" t="n"/>
      <c r="H3939" s="56" t="n"/>
      <c r="I3939" s="56" t="n"/>
      <c r="J3939" s="58" t="n"/>
      <c r="K3939" s="58" t="n"/>
      <c r="L3939" s="13">
        <f>IF(OR($A3939="",AND($J3939="",$K3939="")),"",ROUND(N($J3939)-N($K3939),2))</f>
        <v/>
      </c>
      <c r="M3939" s="13">
        <f>IF(OR($A3939="",AND($J3939="",$K3939="")),"",MIN($J3939,$K3939))</f>
        <v/>
      </c>
      <c r="Q3939">
        <f>IF($A3939="","",$D3939&amp;"("&amp;SUBSTITUTE($E3939," ","")&amp;")")</f>
        <v/>
      </c>
      <c r="R3939">
        <f>IF($A3939="","",$B3939&amp;" - "&amp;$C3939)</f>
        <v/>
      </c>
      <c r="S3939">
        <f>IF($A3939="","",$R3939&amp;"|"&amp;$Q3939)</f>
        <v/>
      </c>
      <c r="T3939">
        <f>IF($A3939="","",$S3939&amp;"|"&amp;$F3939)</f>
        <v/>
      </c>
      <c r="U3939">
        <f>IF($A3939="","",$R3939&amp;"("&amp;$E3939&amp;")")</f>
        <v/>
      </c>
      <c r="V3939">
        <f>IF($A3939="","",$F3939&amp;"|"&amp;$U3939&amp;"|"&amp;$D3939)</f>
        <v/>
      </c>
      <c r="W3939">
        <f>IF($T3939="","",IF($X3939&gt;N($X3938),$X3939,""))</f>
        <v/>
      </c>
      <c r="X3939">
        <f>IF($T3939="",N($X3938),IF(MATCH($T3939,$T$6:$T$6005,0)=ROW()-5,N($X3938)+1,N($X3938)))</f>
        <v/>
      </c>
      <c r="Z3939">
        <f>IF($V3939="","",IF($AA3939&gt;N($AA3938),$AA3939,""))</f>
        <v/>
      </c>
      <c r="AA3939">
        <f>IF($V3939="",N($AA3938),IF(MATCH($V3939,$V$6:$V$6005,0)=ROW()-5,N($AA3938)+1,N($AA3938)))</f>
        <v/>
      </c>
    </row>
    <row r="3940" ht="21" customHeight="1" s="66">
      <c r="A3940" s="56" t="n"/>
      <c r="B3940" s="57" t="n"/>
      <c r="C3940" s="57" t="n"/>
      <c r="D3940" s="57" t="n"/>
      <c r="E3940" s="56" t="n"/>
      <c r="F3940" s="57" t="n"/>
      <c r="G3940" s="57" t="n"/>
      <c r="H3940" s="56" t="n"/>
      <c r="I3940" s="56" t="n"/>
      <c r="J3940" s="58" t="n"/>
      <c r="K3940" s="58" t="n"/>
      <c r="L3940" s="13">
        <f>IF(OR($A3940="",AND($J3940="",$K3940="")),"",ROUND(N($J3940)-N($K3940),2))</f>
        <v/>
      </c>
      <c r="M3940" s="13">
        <f>IF(OR($A3940="",AND($J3940="",$K3940="")),"",MIN($J3940,$K3940))</f>
        <v/>
      </c>
      <c r="Q3940">
        <f>IF($A3940="","",$D3940&amp;"("&amp;SUBSTITUTE($E3940," ","")&amp;")")</f>
        <v/>
      </c>
      <c r="R3940">
        <f>IF($A3940="","",$B3940&amp;" - "&amp;$C3940)</f>
        <v/>
      </c>
      <c r="S3940">
        <f>IF($A3940="","",$R3940&amp;"|"&amp;$Q3940)</f>
        <v/>
      </c>
      <c r="T3940">
        <f>IF($A3940="","",$S3940&amp;"|"&amp;$F3940)</f>
        <v/>
      </c>
      <c r="U3940">
        <f>IF($A3940="","",$R3940&amp;"("&amp;$E3940&amp;")")</f>
        <v/>
      </c>
      <c r="V3940">
        <f>IF($A3940="","",$F3940&amp;"|"&amp;$U3940&amp;"|"&amp;$D3940)</f>
        <v/>
      </c>
      <c r="W3940">
        <f>IF($T3940="","",IF($X3940&gt;N($X3939),$X3940,""))</f>
        <v/>
      </c>
      <c r="X3940">
        <f>IF($T3940="",N($X3939),IF(MATCH($T3940,$T$6:$T$6005,0)=ROW()-5,N($X3939)+1,N($X3939)))</f>
        <v/>
      </c>
      <c r="Z3940">
        <f>IF($V3940="","",IF($AA3940&gt;N($AA3939),$AA3940,""))</f>
        <v/>
      </c>
      <c r="AA3940">
        <f>IF($V3940="",N($AA3939),IF(MATCH($V3940,$V$6:$V$6005,0)=ROW()-5,N($AA3939)+1,N($AA3939)))</f>
        <v/>
      </c>
    </row>
    <row r="3941" ht="21" customHeight="1" s="66">
      <c r="A3941" s="56" t="n"/>
      <c r="B3941" s="57" t="n"/>
      <c r="C3941" s="57" t="n"/>
      <c r="D3941" s="57" t="n"/>
      <c r="E3941" s="56" t="n"/>
      <c r="F3941" s="57" t="n"/>
      <c r="G3941" s="57" t="n"/>
      <c r="H3941" s="56" t="n"/>
      <c r="I3941" s="56" t="n"/>
      <c r="J3941" s="58" t="n"/>
      <c r="K3941" s="58" t="n"/>
      <c r="L3941" s="13">
        <f>IF(OR($A3941="",AND($J3941="",$K3941="")),"",ROUND(N($J3941)-N($K3941),2))</f>
        <v/>
      </c>
      <c r="M3941" s="13">
        <f>IF(OR($A3941="",AND($J3941="",$K3941="")),"",MIN($J3941,$K3941))</f>
        <v/>
      </c>
      <c r="Q3941">
        <f>IF($A3941="","",$D3941&amp;"("&amp;SUBSTITUTE($E3941," ","")&amp;")")</f>
        <v/>
      </c>
      <c r="R3941">
        <f>IF($A3941="","",$B3941&amp;" - "&amp;$C3941)</f>
        <v/>
      </c>
      <c r="S3941">
        <f>IF($A3941="","",$R3941&amp;"|"&amp;$Q3941)</f>
        <v/>
      </c>
      <c r="T3941">
        <f>IF($A3941="","",$S3941&amp;"|"&amp;$F3941)</f>
        <v/>
      </c>
      <c r="U3941">
        <f>IF($A3941="","",$R3941&amp;"("&amp;$E3941&amp;")")</f>
        <v/>
      </c>
      <c r="V3941">
        <f>IF($A3941="","",$F3941&amp;"|"&amp;$U3941&amp;"|"&amp;$D3941)</f>
        <v/>
      </c>
      <c r="W3941">
        <f>IF($T3941="","",IF($X3941&gt;N($X3940),$X3941,""))</f>
        <v/>
      </c>
      <c r="X3941">
        <f>IF($T3941="",N($X3940),IF(MATCH($T3941,$T$6:$T$6005,0)=ROW()-5,N($X3940)+1,N($X3940)))</f>
        <v/>
      </c>
      <c r="Z3941">
        <f>IF($V3941="","",IF($AA3941&gt;N($AA3940),$AA3941,""))</f>
        <v/>
      </c>
      <c r="AA3941">
        <f>IF($V3941="",N($AA3940),IF(MATCH($V3941,$V$6:$V$6005,0)=ROW()-5,N($AA3940)+1,N($AA3940)))</f>
        <v/>
      </c>
    </row>
    <row r="3942" ht="21" customHeight="1" s="66">
      <c r="A3942" s="56" t="n"/>
      <c r="B3942" s="57" t="n"/>
      <c r="C3942" s="57" t="n"/>
      <c r="D3942" s="57" t="n"/>
      <c r="E3942" s="56" t="n"/>
      <c r="F3942" s="57" t="n"/>
      <c r="G3942" s="57" t="n"/>
      <c r="H3942" s="56" t="n"/>
      <c r="I3942" s="56" t="n"/>
      <c r="J3942" s="58" t="n"/>
      <c r="K3942" s="58" t="n"/>
      <c r="L3942" s="13">
        <f>IF(OR($A3942="",AND($J3942="",$K3942="")),"",ROUND(N($J3942)-N($K3942),2))</f>
        <v/>
      </c>
      <c r="M3942" s="13">
        <f>IF(OR($A3942="",AND($J3942="",$K3942="")),"",MIN($J3942,$K3942))</f>
        <v/>
      </c>
      <c r="Q3942">
        <f>IF($A3942="","",$D3942&amp;"("&amp;SUBSTITUTE($E3942," ","")&amp;")")</f>
        <v/>
      </c>
      <c r="R3942">
        <f>IF($A3942="","",$B3942&amp;" - "&amp;$C3942)</f>
        <v/>
      </c>
      <c r="S3942">
        <f>IF($A3942="","",$R3942&amp;"|"&amp;$Q3942)</f>
        <v/>
      </c>
      <c r="T3942">
        <f>IF($A3942="","",$S3942&amp;"|"&amp;$F3942)</f>
        <v/>
      </c>
      <c r="U3942">
        <f>IF($A3942="","",$R3942&amp;"("&amp;$E3942&amp;")")</f>
        <v/>
      </c>
      <c r="V3942">
        <f>IF($A3942="","",$F3942&amp;"|"&amp;$U3942&amp;"|"&amp;$D3942)</f>
        <v/>
      </c>
      <c r="W3942">
        <f>IF($T3942="","",IF($X3942&gt;N($X3941),$X3942,""))</f>
        <v/>
      </c>
      <c r="X3942">
        <f>IF($T3942="",N($X3941),IF(MATCH($T3942,$T$6:$T$6005,0)=ROW()-5,N($X3941)+1,N($X3941)))</f>
        <v/>
      </c>
      <c r="Z3942">
        <f>IF($V3942="","",IF($AA3942&gt;N($AA3941),$AA3942,""))</f>
        <v/>
      </c>
      <c r="AA3942">
        <f>IF($V3942="",N($AA3941),IF(MATCH($V3942,$V$6:$V$6005,0)=ROW()-5,N($AA3941)+1,N($AA3941)))</f>
        <v/>
      </c>
    </row>
    <row r="3943" ht="21" customHeight="1" s="66">
      <c r="A3943" s="56" t="n"/>
      <c r="B3943" s="57" t="n"/>
      <c r="C3943" s="57" t="n"/>
      <c r="D3943" s="57" t="n"/>
      <c r="E3943" s="56" t="n"/>
      <c r="F3943" s="57" t="n"/>
      <c r="G3943" s="57" t="n"/>
      <c r="H3943" s="56" t="n"/>
      <c r="I3943" s="56" t="n"/>
      <c r="J3943" s="58" t="n"/>
      <c r="K3943" s="58" t="n"/>
      <c r="L3943" s="13">
        <f>IF(OR($A3943="",AND($J3943="",$K3943="")),"",ROUND(N($J3943)-N($K3943),2))</f>
        <v/>
      </c>
      <c r="M3943" s="13">
        <f>IF(OR($A3943="",AND($J3943="",$K3943="")),"",MIN($J3943,$K3943))</f>
        <v/>
      </c>
      <c r="Q3943">
        <f>IF($A3943="","",$D3943&amp;"("&amp;SUBSTITUTE($E3943," ","")&amp;")")</f>
        <v/>
      </c>
      <c r="R3943">
        <f>IF($A3943="","",$B3943&amp;" - "&amp;$C3943)</f>
        <v/>
      </c>
      <c r="S3943">
        <f>IF($A3943="","",$R3943&amp;"|"&amp;$Q3943)</f>
        <v/>
      </c>
      <c r="T3943">
        <f>IF($A3943="","",$S3943&amp;"|"&amp;$F3943)</f>
        <v/>
      </c>
      <c r="U3943">
        <f>IF($A3943="","",$R3943&amp;"("&amp;$E3943&amp;")")</f>
        <v/>
      </c>
      <c r="V3943">
        <f>IF($A3943="","",$F3943&amp;"|"&amp;$U3943&amp;"|"&amp;$D3943)</f>
        <v/>
      </c>
      <c r="W3943">
        <f>IF($T3943="","",IF($X3943&gt;N($X3942),$X3943,""))</f>
        <v/>
      </c>
      <c r="X3943">
        <f>IF($T3943="",N($X3942),IF(MATCH($T3943,$T$6:$T$6005,0)=ROW()-5,N($X3942)+1,N($X3942)))</f>
        <v/>
      </c>
      <c r="Z3943">
        <f>IF($V3943="","",IF($AA3943&gt;N($AA3942),$AA3943,""))</f>
        <v/>
      </c>
      <c r="AA3943">
        <f>IF($V3943="",N($AA3942),IF(MATCH($V3943,$V$6:$V$6005,0)=ROW()-5,N($AA3942)+1,N($AA3942)))</f>
        <v/>
      </c>
    </row>
    <row r="3944" ht="21" customHeight="1" s="66">
      <c r="A3944" s="56" t="n"/>
      <c r="B3944" s="57" t="n"/>
      <c r="C3944" s="57" t="n"/>
      <c r="D3944" s="57" t="n"/>
      <c r="E3944" s="56" t="n"/>
      <c r="F3944" s="57" t="n"/>
      <c r="G3944" s="57" t="n"/>
      <c r="H3944" s="56" t="n"/>
      <c r="I3944" s="56" t="n"/>
      <c r="J3944" s="58" t="n"/>
      <c r="K3944" s="58" t="n"/>
      <c r="L3944" s="13">
        <f>IF(OR($A3944="",AND($J3944="",$K3944="")),"",ROUND(N($J3944)-N($K3944),2))</f>
        <v/>
      </c>
      <c r="M3944" s="13">
        <f>IF(OR($A3944="",AND($J3944="",$K3944="")),"",MIN($J3944,$K3944))</f>
        <v/>
      </c>
      <c r="Q3944">
        <f>IF($A3944="","",$D3944&amp;"("&amp;SUBSTITUTE($E3944," ","")&amp;")")</f>
        <v/>
      </c>
      <c r="R3944">
        <f>IF($A3944="","",$B3944&amp;" - "&amp;$C3944)</f>
        <v/>
      </c>
      <c r="S3944">
        <f>IF($A3944="","",$R3944&amp;"|"&amp;$Q3944)</f>
        <v/>
      </c>
      <c r="T3944">
        <f>IF($A3944="","",$S3944&amp;"|"&amp;$F3944)</f>
        <v/>
      </c>
      <c r="U3944">
        <f>IF($A3944="","",$R3944&amp;"("&amp;$E3944&amp;")")</f>
        <v/>
      </c>
      <c r="V3944">
        <f>IF($A3944="","",$F3944&amp;"|"&amp;$U3944&amp;"|"&amp;$D3944)</f>
        <v/>
      </c>
      <c r="W3944">
        <f>IF($T3944="","",IF($X3944&gt;N($X3943),$X3944,""))</f>
        <v/>
      </c>
      <c r="X3944">
        <f>IF($T3944="",N($X3943),IF(MATCH($T3944,$T$6:$T$6005,0)=ROW()-5,N($X3943)+1,N($X3943)))</f>
        <v/>
      </c>
      <c r="Z3944">
        <f>IF($V3944="","",IF($AA3944&gt;N($AA3943),$AA3944,""))</f>
        <v/>
      </c>
      <c r="AA3944">
        <f>IF($V3944="",N($AA3943),IF(MATCH($V3944,$V$6:$V$6005,0)=ROW()-5,N($AA3943)+1,N($AA3943)))</f>
        <v/>
      </c>
    </row>
    <row r="3945" ht="21" customHeight="1" s="66">
      <c r="A3945" s="56" t="n"/>
      <c r="B3945" s="57" t="n"/>
      <c r="C3945" s="57" t="n"/>
      <c r="D3945" s="57" t="n"/>
      <c r="E3945" s="56" t="n"/>
      <c r="F3945" s="57" t="n"/>
      <c r="G3945" s="57" t="n"/>
      <c r="H3945" s="56" t="n"/>
      <c r="I3945" s="56" t="n"/>
      <c r="J3945" s="58" t="n"/>
      <c r="K3945" s="58" t="n"/>
      <c r="L3945" s="13">
        <f>IF(OR($A3945="",AND($J3945="",$K3945="")),"",ROUND(N($J3945)-N($K3945),2))</f>
        <v/>
      </c>
      <c r="M3945" s="13">
        <f>IF(OR($A3945="",AND($J3945="",$K3945="")),"",MIN($J3945,$K3945))</f>
        <v/>
      </c>
      <c r="Q3945">
        <f>IF($A3945="","",$D3945&amp;"("&amp;SUBSTITUTE($E3945," ","")&amp;")")</f>
        <v/>
      </c>
      <c r="R3945">
        <f>IF($A3945="","",$B3945&amp;" - "&amp;$C3945)</f>
        <v/>
      </c>
      <c r="S3945">
        <f>IF($A3945="","",$R3945&amp;"|"&amp;$Q3945)</f>
        <v/>
      </c>
      <c r="T3945">
        <f>IF($A3945="","",$S3945&amp;"|"&amp;$F3945)</f>
        <v/>
      </c>
      <c r="U3945">
        <f>IF($A3945="","",$R3945&amp;"("&amp;$E3945&amp;")")</f>
        <v/>
      </c>
      <c r="V3945">
        <f>IF($A3945="","",$F3945&amp;"|"&amp;$U3945&amp;"|"&amp;$D3945)</f>
        <v/>
      </c>
      <c r="W3945">
        <f>IF($T3945="","",IF($X3945&gt;N($X3944),$X3945,""))</f>
        <v/>
      </c>
      <c r="X3945">
        <f>IF($T3945="",N($X3944),IF(MATCH($T3945,$T$6:$T$6005,0)=ROW()-5,N($X3944)+1,N($X3944)))</f>
        <v/>
      </c>
      <c r="Z3945">
        <f>IF($V3945="","",IF($AA3945&gt;N($AA3944),$AA3945,""))</f>
        <v/>
      </c>
      <c r="AA3945">
        <f>IF($V3945="",N($AA3944),IF(MATCH($V3945,$V$6:$V$6005,0)=ROW()-5,N($AA3944)+1,N($AA3944)))</f>
        <v/>
      </c>
    </row>
    <row r="3946" ht="21" customHeight="1" s="66">
      <c r="A3946" s="56" t="n"/>
      <c r="B3946" s="57" t="n"/>
      <c r="C3946" s="57" t="n"/>
      <c r="D3946" s="57" t="n"/>
      <c r="E3946" s="56" t="n"/>
      <c r="F3946" s="57" t="n"/>
      <c r="G3946" s="57" t="n"/>
      <c r="H3946" s="56" t="n"/>
      <c r="I3946" s="56" t="n"/>
      <c r="J3946" s="58" t="n"/>
      <c r="K3946" s="58" t="n"/>
      <c r="L3946" s="13">
        <f>IF(OR($A3946="",AND($J3946="",$K3946="")),"",ROUND(N($J3946)-N($K3946),2))</f>
        <v/>
      </c>
      <c r="M3946" s="13">
        <f>IF(OR($A3946="",AND($J3946="",$K3946="")),"",MIN($J3946,$K3946))</f>
        <v/>
      </c>
      <c r="Q3946">
        <f>IF($A3946="","",$D3946&amp;"("&amp;SUBSTITUTE($E3946," ","")&amp;")")</f>
        <v/>
      </c>
      <c r="R3946">
        <f>IF($A3946="","",$B3946&amp;" - "&amp;$C3946)</f>
        <v/>
      </c>
      <c r="S3946">
        <f>IF($A3946="","",$R3946&amp;"|"&amp;$Q3946)</f>
        <v/>
      </c>
      <c r="T3946">
        <f>IF($A3946="","",$S3946&amp;"|"&amp;$F3946)</f>
        <v/>
      </c>
      <c r="U3946">
        <f>IF($A3946="","",$R3946&amp;"("&amp;$E3946&amp;")")</f>
        <v/>
      </c>
      <c r="V3946">
        <f>IF($A3946="","",$F3946&amp;"|"&amp;$U3946&amp;"|"&amp;$D3946)</f>
        <v/>
      </c>
      <c r="W3946">
        <f>IF($T3946="","",IF($X3946&gt;N($X3945),$X3946,""))</f>
        <v/>
      </c>
      <c r="X3946">
        <f>IF($T3946="",N($X3945),IF(MATCH($T3946,$T$6:$T$6005,0)=ROW()-5,N($X3945)+1,N($X3945)))</f>
        <v/>
      </c>
      <c r="Z3946">
        <f>IF($V3946="","",IF($AA3946&gt;N($AA3945),$AA3946,""))</f>
        <v/>
      </c>
      <c r="AA3946">
        <f>IF($V3946="",N($AA3945),IF(MATCH($V3946,$V$6:$V$6005,0)=ROW()-5,N($AA3945)+1,N($AA3945)))</f>
        <v/>
      </c>
    </row>
    <row r="3947" ht="21" customHeight="1" s="66">
      <c r="A3947" s="56" t="n"/>
      <c r="B3947" s="57" t="n"/>
      <c r="C3947" s="57" t="n"/>
      <c r="D3947" s="57" t="n"/>
      <c r="E3947" s="56" t="n"/>
      <c r="F3947" s="57" t="n"/>
      <c r="G3947" s="57" t="n"/>
      <c r="H3947" s="56" t="n"/>
      <c r="I3947" s="56" t="n"/>
      <c r="J3947" s="58" t="n"/>
      <c r="K3947" s="58" t="n"/>
      <c r="L3947" s="13">
        <f>IF(OR($A3947="",AND($J3947="",$K3947="")),"",ROUND(N($J3947)-N($K3947),2))</f>
        <v/>
      </c>
      <c r="M3947" s="13">
        <f>IF(OR($A3947="",AND($J3947="",$K3947="")),"",MIN($J3947,$K3947))</f>
        <v/>
      </c>
      <c r="Q3947">
        <f>IF($A3947="","",$D3947&amp;"("&amp;SUBSTITUTE($E3947," ","")&amp;")")</f>
        <v/>
      </c>
      <c r="R3947">
        <f>IF($A3947="","",$B3947&amp;" - "&amp;$C3947)</f>
        <v/>
      </c>
      <c r="S3947">
        <f>IF($A3947="","",$R3947&amp;"|"&amp;$Q3947)</f>
        <v/>
      </c>
      <c r="T3947">
        <f>IF($A3947="","",$S3947&amp;"|"&amp;$F3947)</f>
        <v/>
      </c>
      <c r="U3947">
        <f>IF($A3947="","",$R3947&amp;"("&amp;$E3947&amp;")")</f>
        <v/>
      </c>
      <c r="V3947">
        <f>IF($A3947="","",$F3947&amp;"|"&amp;$U3947&amp;"|"&amp;$D3947)</f>
        <v/>
      </c>
      <c r="W3947">
        <f>IF($T3947="","",IF($X3947&gt;N($X3946),$X3947,""))</f>
        <v/>
      </c>
      <c r="X3947">
        <f>IF($T3947="",N($X3946),IF(MATCH($T3947,$T$6:$T$6005,0)=ROW()-5,N($X3946)+1,N($X3946)))</f>
        <v/>
      </c>
      <c r="Z3947">
        <f>IF($V3947="","",IF($AA3947&gt;N($AA3946),$AA3947,""))</f>
        <v/>
      </c>
      <c r="AA3947">
        <f>IF($V3947="",N($AA3946),IF(MATCH($V3947,$V$6:$V$6005,0)=ROW()-5,N($AA3946)+1,N($AA3946)))</f>
        <v/>
      </c>
    </row>
    <row r="3948" ht="21" customHeight="1" s="66">
      <c r="A3948" s="56" t="n"/>
      <c r="B3948" s="57" t="n"/>
      <c r="C3948" s="57" t="n"/>
      <c r="D3948" s="57" t="n"/>
      <c r="E3948" s="56" t="n"/>
      <c r="F3948" s="57" t="n"/>
      <c r="G3948" s="57" t="n"/>
      <c r="H3948" s="56" t="n"/>
      <c r="I3948" s="56" t="n"/>
      <c r="J3948" s="58" t="n"/>
      <c r="K3948" s="58" t="n"/>
      <c r="L3948" s="13">
        <f>IF(OR($A3948="",AND($J3948="",$K3948="")),"",ROUND(N($J3948)-N($K3948),2))</f>
        <v/>
      </c>
      <c r="M3948" s="13">
        <f>IF(OR($A3948="",AND($J3948="",$K3948="")),"",MIN($J3948,$K3948))</f>
        <v/>
      </c>
      <c r="Q3948">
        <f>IF($A3948="","",$D3948&amp;"("&amp;SUBSTITUTE($E3948," ","")&amp;")")</f>
        <v/>
      </c>
      <c r="R3948">
        <f>IF($A3948="","",$B3948&amp;" - "&amp;$C3948)</f>
        <v/>
      </c>
      <c r="S3948">
        <f>IF($A3948="","",$R3948&amp;"|"&amp;$Q3948)</f>
        <v/>
      </c>
      <c r="T3948">
        <f>IF($A3948="","",$S3948&amp;"|"&amp;$F3948)</f>
        <v/>
      </c>
      <c r="U3948">
        <f>IF($A3948="","",$R3948&amp;"("&amp;$E3948&amp;")")</f>
        <v/>
      </c>
      <c r="V3948">
        <f>IF($A3948="","",$F3948&amp;"|"&amp;$U3948&amp;"|"&amp;$D3948)</f>
        <v/>
      </c>
      <c r="W3948">
        <f>IF($T3948="","",IF($X3948&gt;N($X3947),$X3948,""))</f>
        <v/>
      </c>
      <c r="X3948">
        <f>IF($T3948="",N($X3947),IF(MATCH($T3948,$T$6:$T$6005,0)=ROW()-5,N($X3947)+1,N($X3947)))</f>
        <v/>
      </c>
      <c r="Z3948">
        <f>IF($V3948="","",IF($AA3948&gt;N($AA3947),$AA3948,""))</f>
        <v/>
      </c>
      <c r="AA3948">
        <f>IF($V3948="",N($AA3947),IF(MATCH($V3948,$V$6:$V$6005,0)=ROW()-5,N($AA3947)+1,N($AA3947)))</f>
        <v/>
      </c>
    </row>
    <row r="3949" ht="21" customHeight="1" s="66">
      <c r="A3949" s="56" t="n"/>
      <c r="B3949" s="57" t="n"/>
      <c r="C3949" s="57" t="n"/>
      <c r="D3949" s="57" t="n"/>
      <c r="E3949" s="56" t="n"/>
      <c r="F3949" s="57" t="n"/>
      <c r="G3949" s="57" t="n"/>
      <c r="H3949" s="56" t="n"/>
      <c r="I3949" s="56" t="n"/>
      <c r="J3949" s="58" t="n"/>
      <c r="K3949" s="58" t="n"/>
      <c r="L3949" s="13">
        <f>IF(OR($A3949="",AND($J3949="",$K3949="")),"",ROUND(N($J3949)-N($K3949),2))</f>
        <v/>
      </c>
      <c r="M3949" s="13">
        <f>IF(OR($A3949="",AND($J3949="",$K3949="")),"",MIN($J3949,$K3949))</f>
        <v/>
      </c>
      <c r="Q3949">
        <f>IF($A3949="","",$D3949&amp;"("&amp;SUBSTITUTE($E3949," ","")&amp;")")</f>
        <v/>
      </c>
      <c r="R3949">
        <f>IF($A3949="","",$B3949&amp;" - "&amp;$C3949)</f>
        <v/>
      </c>
      <c r="S3949">
        <f>IF($A3949="","",$R3949&amp;"|"&amp;$Q3949)</f>
        <v/>
      </c>
      <c r="T3949">
        <f>IF($A3949="","",$S3949&amp;"|"&amp;$F3949)</f>
        <v/>
      </c>
      <c r="U3949">
        <f>IF($A3949="","",$R3949&amp;"("&amp;$E3949&amp;")")</f>
        <v/>
      </c>
      <c r="V3949">
        <f>IF($A3949="","",$F3949&amp;"|"&amp;$U3949&amp;"|"&amp;$D3949)</f>
        <v/>
      </c>
      <c r="W3949">
        <f>IF($T3949="","",IF($X3949&gt;N($X3948),$X3949,""))</f>
        <v/>
      </c>
      <c r="X3949">
        <f>IF($T3949="",N($X3948),IF(MATCH($T3949,$T$6:$T$6005,0)=ROW()-5,N($X3948)+1,N($X3948)))</f>
        <v/>
      </c>
      <c r="Z3949">
        <f>IF($V3949="","",IF($AA3949&gt;N($AA3948),$AA3949,""))</f>
        <v/>
      </c>
      <c r="AA3949">
        <f>IF($V3949="",N($AA3948),IF(MATCH($V3949,$V$6:$V$6005,0)=ROW()-5,N($AA3948)+1,N($AA3948)))</f>
        <v/>
      </c>
    </row>
    <row r="3950" ht="21" customHeight="1" s="66">
      <c r="A3950" s="56" t="n"/>
      <c r="B3950" s="57" t="n"/>
      <c r="C3950" s="57" t="n"/>
      <c r="D3950" s="57" t="n"/>
      <c r="E3950" s="56" t="n"/>
      <c r="F3950" s="57" t="n"/>
      <c r="G3950" s="57" t="n"/>
      <c r="H3950" s="56" t="n"/>
      <c r="I3950" s="56" t="n"/>
      <c r="J3950" s="58" t="n"/>
      <c r="K3950" s="58" t="n"/>
      <c r="L3950" s="13">
        <f>IF(OR($A3950="",AND($J3950="",$K3950="")),"",ROUND(N($J3950)-N($K3950),2))</f>
        <v/>
      </c>
      <c r="M3950" s="13">
        <f>IF(OR($A3950="",AND($J3950="",$K3950="")),"",MIN($J3950,$K3950))</f>
        <v/>
      </c>
      <c r="Q3950">
        <f>IF($A3950="","",$D3950&amp;"("&amp;SUBSTITUTE($E3950," ","")&amp;")")</f>
        <v/>
      </c>
      <c r="R3950">
        <f>IF($A3950="","",$B3950&amp;" - "&amp;$C3950)</f>
        <v/>
      </c>
      <c r="S3950">
        <f>IF($A3950="","",$R3950&amp;"|"&amp;$Q3950)</f>
        <v/>
      </c>
      <c r="T3950">
        <f>IF($A3950="","",$S3950&amp;"|"&amp;$F3950)</f>
        <v/>
      </c>
      <c r="U3950">
        <f>IF($A3950="","",$R3950&amp;"("&amp;$E3950&amp;")")</f>
        <v/>
      </c>
      <c r="V3950">
        <f>IF($A3950="","",$F3950&amp;"|"&amp;$U3950&amp;"|"&amp;$D3950)</f>
        <v/>
      </c>
      <c r="W3950">
        <f>IF($T3950="","",IF($X3950&gt;N($X3949),$X3950,""))</f>
        <v/>
      </c>
      <c r="X3950">
        <f>IF($T3950="",N($X3949),IF(MATCH($T3950,$T$6:$T$6005,0)=ROW()-5,N($X3949)+1,N($X3949)))</f>
        <v/>
      </c>
      <c r="Z3950">
        <f>IF($V3950="","",IF($AA3950&gt;N($AA3949),$AA3950,""))</f>
        <v/>
      </c>
      <c r="AA3950">
        <f>IF($V3950="",N($AA3949),IF(MATCH($V3950,$V$6:$V$6005,0)=ROW()-5,N($AA3949)+1,N($AA3949)))</f>
        <v/>
      </c>
    </row>
    <row r="3951" ht="21" customHeight="1" s="66">
      <c r="A3951" s="56" t="n"/>
      <c r="B3951" s="57" t="n"/>
      <c r="C3951" s="57" t="n"/>
      <c r="D3951" s="57" t="n"/>
      <c r="E3951" s="56" t="n"/>
      <c r="F3951" s="57" t="n"/>
      <c r="G3951" s="57" t="n"/>
      <c r="H3951" s="56" t="n"/>
      <c r="I3951" s="56" t="n"/>
      <c r="J3951" s="58" t="n"/>
      <c r="K3951" s="58" t="n"/>
      <c r="L3951" s="13">
        <f>IF(OR($A3951="",AND($J3951="",$K3951="")),"",ROUND(N($J3951)-N($K3951),2))</f>
        <v/>
      </c>
      <c r="M3951" s="13">
        <f>IF(OR($A3951="",AND($J3951="",$K3951="")),"",MIN($J3951,$K3951))</f>
        <v/>
      </c>
      <c r="Q3951">
        <f>IF($A3951="","",$D3951&amp;"("&amp;SUBSTITUTE($E3951," ","")&amp;")")</f>
        <v/>
      </c>
      <c r="R3951">
        <f>IF($A3951="","",$B3951&amp;" - "&amp;$C3951)</f>
        <v/>
      </c>
      <c r="S3951">
        <f>IF($A3951="","",$R3951&amp;"|"&amp;$Q3951)</f>
        <v/>
      </c>
      <c r="T3951">
        <f>IF($A3951="","",$S3951&amp;"|"&amp;$F3951)</f>
        <v/>
      </c>
      <c r="U3951">
        <f>IF($A3951="","",$R3951&amp;"("&amp;$E3951&amp;")")</f>
        <v/>
      </c>
      <c r="V3951">
        <f>IF($A3951="","",$F3951&amp;"|"&amp;$U3951&amp;"|"&amp;$D3951)</f>
        <v/>
      </c>
      <c r="W3951">
        <f>IF($T3951="","",IF($X3951&gt;N($X3950),$X3951,""))</f>
        <v/>
      </c>
      <c r="X3951">
        <f>IF($T3951="",N($X3950),IF(MATCH($T3951,$T$6:$T$6005,0)=ROW()-5,N($X3950)+1,N($X3950)))</f>
        <v/>
      </c>
      <c r="Z3951">
        <f>IF($V3951="","",IF($AA3951&gt;N($AA3950),$AA3951,""))</f>
        <v/>
      </c>
      <c r="AA3951">
        <f>IF($V3951="",N($AA3950),IF(MATCH($V3951,$V$6:$V$6005,0)=ROW()-5,N($AA3950)+1,N($AA3950)))</f>
        <v/>
      </c>
    </row>
    <row r="3952" ht="21" customHeight="1" s="66">
      <c r="A3952" s="56" t="n"/>
      <c r="B3952" s="57" t="n"/>
      <c r="C3952" s="57" t="n"/>
      <c r="D3952" s="57" t="n"/>
      <c r="E3952" s="56" t="n"/>
      <c r="F3952" s="57" t="n"/>
      <c r="G3952" s="57" t="n"/>
      <c r="H3952" s="56" t="n"/>
      <c r="I3952" s="56" t="n"/>
      <c r="J3952" s="58" t="n"/>
      <c r="K3952" s="58" t="n"/>
      <c r="L3952" s="13">
        <f>IF(OR($A3952="",AND($J3952="",$K3952="")),"",ROUND(N($J3952)-N($K3952),2))</f>
        <v/>
      </c>
      <c r="M3952" s="13">
        <f>IF(OR($A3952="",AND($J3952="",$K3952="")),"",MIN($J3952,$K3952))</f>
        <v/>
      </c>
      <c r="Q3952">
        <f>IF($A3952="","",$D3952&amp;"("&amp;SUBSTITUTE($E3952," ","")&amp;")")</f>
        <v/>
      </c>
      <c r="R3952">
        <f>IF($A3952="","",$B3952&amp;" - "&amp;$C3952)</f>
        <v/>
      </c>
      <c r="S3952">
        <f>IF($A3952="","",$R3952&amp;"|"&amp;$Q3952)</f>
        <v/>
      </c>
      <c r="T3952">
        <f>IF($A3952="","",$S3952&amp;"|"&amp;$F3952)</f>
        <v/>
      </c>
      <c r="U3952">
        <f>IF($A3952="","",$R3952&amp;"("&amp;$E3952&amp;")")</f>
        <v/>
      </c>
      <c r="V3952">
        <f>IF($A3952="","",$F3952&amp;"|"&amp;$U3952&amp;"|"&amp;$D3952)</f>
        <v/>
      </c>
      <c r="W3952">
        <f>IF($T3952="","",IF($X3952&gt;N($X3951),$X3952,""))</f>
        <v/>
      </c>
      <c r="X3952">
        <f>IF($T3952="",N($X3951),IF(MATCH($T3952,$T$6:$T$6005,0)=ROW()-5,N($X3951)+1,N($X3951)))</f>
        <v/>
      </c>
      <c r="Z3952">
        <f>IF($V3952="","",IF($AA3952&gt;N($AA3951),$AA3952,""))</f>
        <v/>
      </c>
      <c r="AA3952">
        <f>IF($V3952="",N($AA3951),IF(MATCH($V3952,$V$6:$V$6005,0)=ROW()-5,N($AA3951)+1,N($AA3951)))</f>
        <v/>
      </c>
    </row>
    <row r="3953" ht="21" customHeight="1" s="66">
      <c r="A3953" s="56" t="n"/>
      <c r="B3953" s="57" t="n"/>
      <c r="C3953" s="57" t="n"/>
      <c r="D3953" s="57" t="n"/>
      <c r="E3953" s="56" t="n"/>
      <c r="F3953" s="57" t="n"/>
      <c r="G3953" s="57" t="n"/>
      <c r="H3953" s="56" t="n"/>
      <c r="I3953" s="56" t="n"/>
      <c r="J3953" s="58" t="n"/>
      <c r="K3953" s="58" t="n"/>
      <c r="L3953" s="13">
        <f>IF(OR($A3953="",AND($J3953="",$K3953="")),"",ROUND(N($J3953)-N($K3953),2))</f>
        <v/>
      </c>
      <c r="M3953" s="13">
        <f>IF(OR($A3953="",AND($J3953="",$K3953="")),"",MIN($J3953,$K3953))</f>
        <v/>
      </c>
      <c r="Q3953">
        <f>IF($A3953="","",$D3953&amp;"("&amp;SUBSTITUTE($E3953," ","")&amp;")")</f>
        <v/>
      </c>
      <c r="R3953">
        <f>IF($A3953="","",$B3953&amp;" - "&amp;$C3953)</f>
        <v/>
      </c>
      <c r="S3953">
        <f>IF($A3953="","",$R3953&amp;"|"&amp;$Q3953)</f>
        <v/>
      </c>
      <c r="T3953">
        <f>IF($A3953="","",$S3953&amp;"|"&amp;$F3953)</f>
        <v/>
      </c>
      <c r="U3953">
        <f>IF($A3953="","",$R3953&amp;"("&amp;$E3953&amp;")")</f>
        <v/>
      </c>
      <c r="V3953">
        <f>IF($A3953="","",$F3953&amp;"|"&amp;$U3953&amp;"|"&amp;$D3953)</f>
        <v/>
      </c>
      <c r="W3953">
        <f>IF($T3953="","",IF($X3953&gt;N($X3952),$X3953,""))</f>
        <v/>
      </c>
      <c r="X3953">
        <f>IF($T3953="",N($X3952),IF(MATCH($T3953,$T$6:$T$6005,0)=ROW()-5,N($X3952)+1,N($X3952)))</f>
        <v/>
      </c>
      <c r="Z3953">
        <f>IF($V3953="","",IF($AA3953&gt;N($AA3952),$AA3953,""))</f>
        <v/>
      </c>
      <c r="AA3953">
        <f>IF($V3953="",N($AA3952),IF(MATCH($V3953,$V$6:$V$6005,0)=ROW()-5,N($AA3952)+1,N($AA3952)))</f>
        <v/>
      </c>
    </row>
    <row r="3954" ht="21" customHeight="1" s="66">
      <c r="A3954" s="56" t="n"/>
      <c r="B3954" s="57" t="n"/>
      <c r="C3954" s="57" t="n"/>
      <c r="D3954" s="57" t="n"/>
      <c r="E3954" s="56" t="n"/>
      <c r="F3954" s="57" t="n"/>
      <c r="G3954" s="57" t="n"/>
      <c r="H3954" s="56" t="n"/>
      <c r="I3954" s="56" t="n"/>
      <c r="J3954" s="58" t="n"/>
      <c r="K3954" s="58" t="n"/>
      <c r="L3954" s="13">
        <f>IF(OR($A3954="",AND($J3954="",$K3954="")),"",ROUND(N($J3954)-N($K3954),2))</f>
        <v/>
      </c>
      <c r="M3954" s="13">
        <f>IF(OR($A3954="",AND($J3954="",$K3954="")),"",MIN($J3954,$K3954))</f>
        <v/>
      </c>
      <c r="Q3954">
        <f>IF($A3954="","",$D3954&amp;"("&amp;SUBSTITUTE($E3954," ","")&amp;")")</f>
        <v/>
      </c>
      <c r="R3954">
        <f>IF($A3954="","",$B3954&amp;" - "&amp;$C3954)</f>
        <v/>
      </c>
      <c r="S3954">
        <f>IF($A3954="","",$R3954&amp;"|"&amp;$Q3954)</f>
        <v/>
      </c>
      <c r="T3954">
        <f>IF($A3954="","",$S3954&amp;"|"&amp;$F3954)</f>
        <v/>
      </c>
      <c r="U3954">
        <f>IF($A3954="","",$R3954&amp;"("&amp;$E3954&amp;")")</f>
        <v/>
      </c>
      <c r="V3954">
        <f>IF($A3954="","",$F3954&amp;"|"&amp;$U3954&amp;"|"&amp;$D3954)</f>
        <v/>
      </c>
      <c r="W3954">
        <f>IF($T3954="","",IF($X3954&gt;N($X3953),$X3954,""))</f>
        <v/>
      </c>
      <c r="X3954">
        <f>IF($T3954="",N($X3953),IF(MATCH($T3954,$T$6:$T$6005,0)=ROW()-5,N($X3953)+1,N($X3953)))</f>
        <v/>
      </c>
      <c r="Z3954">
        <f>IF($V3954="","",IF($AA3954&gt;N($AA3953),$AA3954,""))</f>
        <v/>
      </c>
      <c r="AA3954">
        <f>IF($V3954="",N($AA3953),IF(MATCH($V3954,$V$6:$V$6005,0)=ROW()-5,N($AA3953)+1,N($AA3953)))</f>
        <v/>
      </c>
    </row>
    <row r="3955" ht="21" customHeight="1" s="66">
      <c r="A3955" s="56" t="n"/>
      <c r="B3955" s="57" t="n"/>
      <c r="C3955" s="57" t="n"/>
      <c r="D3955" s="57" t="n"/>
      <c r="E3955" s="56" t="n"/>
      <c r="F3955" s="57" t="n"/>
      <c r="G3955" s="57" t="n"/>
      <c r="H3955" s="56" t="n"/>
      <c r="I3955" s="56" t="n"/>
      <c r="J3955" s="58" t="n"/>
      <c r="K3955" s="58" t="n"/>
      <c r="L3955" s="13">
        <f>IF(OR($A3955="",AND($J3955="",$K3955="")),"",ROUND(N($J3955)-N($K3955),2))</f>
        <v/>
      </c>
      <c r="M3955" s="13">
        <f>IF(OR($A3955="",AND($J3955="",$K3955="")),"",MIN($J3955,$K3955))</f>
        <v/>
      </c>
      <c r="Q3955">
        <f>IF($A3955="","",$D3955&amp;"("&amp;SUBSTITUTE($E3955," ","")&amp;")")</f>
        <v/>
      </c>
      <c r="R3955">
        <f>IF($A3955="","",$B3955&amp;" - "&amp;$C3955)</f>
        <v/>
      </c>
      <c r="S3955">
        <f>IF($A3955="","",$R3955&amp;"|"&amp;$Q3955)</f>
        <v/>
      </c>
      <c r="T3955">
        <f>IF($A3955="","",$S3955&amp;"|"&amp;$F3955)</f>
        <v/>
      </c>
      <c r="U3955">
        <f>IF($A3955="","",$R3955&amp;"("&amp;$E3955&amp;")")</f>
        <v/>
      </c>
      <c r="V3955">
        <f>IF($A3955="","",$F3955&amp;"|"&amp;$U3955&amp;"|"&amp;$D3955)</f>
        <v/>
      </c>
      <c r="W3955">
        <f>IF($T3955="","",IF($X3955&gt;N($X3954),$X3955,""))</f>
        <v/>
      </c>
      <c r="X3955">
        <f>IF($T3955="",N($X3954),IF(MATCH($T3955,$T$6:$T$6005,0)=ROW()-5,N($X3954)+1,N($X3954)))</f>
        <v/>
      </c>
      <c r="Z3955">
        <f>IF($V3955="","",IF($AA3955&gt;N($AA3954),$AA3955,""))</f>
        <v/>
      </c>
      <c r="AA3955">
        <f>IF($V3955="",N($AA3954),IF(MATCH($V3955,$V$6:$V$6005,0)=ROW()-5,N($AA3954)+1,N($AA3954)))</f>
        <v/>
      </c>
    </row>
    <row r="3956" ht="21" customHeight="1" s="66">
      <c r="A3956" s="56" t="n"/>
      <c r="B3956" s="57" t="n"/>
      <c r="C3956" s="57" t="n"/>
      <c r="D3956" s="57" t="n"/>
      <c r="E3956" s="56" t="n"/>
      <c r="F3956" s="57" t="n"/>
      <c r="G3956" s="57" t="n"/>
      <c r="H3956" s="56" t="n"/>
      <c r="I3956" s="56" t="n"/>
      <c r="J3956" s="58" t="n"/>
      <c r="K3956" s="58" t="n"/>
      <c r="L3956" s="13">
        <f>IF(OR($A3956="",AND($J3956="",$K3956="")),"",ROUND(N($J3956)-N($K3956),2))</f>
        <v/>
      </c>
      <c r="M3956" s="13">
        <f>IF(OR($A3956="",AND($J3956="",$K3956="")),"",MIN($J3956,$K3956))</f>
        <v/>
      </c>
      <c r="Q3956">
        <f>IF($A3956="","",$D3956&amp;"("&amp;SUBSTITUTE($E3956," ","")&amp;")")</f>
        <v/>
      </c>
      <c r="R3956">
        <f>IF($A3956="","",$B3956&amp;" - "&amp;$C3956)</f>
        <v/>
      </c>
      <c r="S3956">
        <f>IF($A3956="","",$R3956&amp;"|"&amp;$Q3956)</f>
        <v/>
      </c>
      <c r="T3956">
        <f>IF($A3956="","",$S3956&amp;"|"&amp;$F3956)</f>
        <v/>
      </c>
      <c r="U3956">
        <f>IF($A3956="","",$R3956&amp;"("&amp;$E3956&amp;")")</f>
        <v/>
      </c>
      <c r="V3956">
        <f>IF($A3956="","",$F3956&amp;"|"&amp;$U3956&amp;"|"&amp;$D3956)</f>
        <v/>
      </c>
      <c r="W3956">
        <f>IF($T3956="","",IF($X3956&gt;N($X3955),$X3956,""))</f>
        <v/>
      </c>
      <c r="X3956">
        <f>IF($T3956="",N($X3955),IF(MATCH($T3956,$T$6:$T$6005,0)=ROW()-5,N($X3955)+1,N($X3955)))</f>
        <v/>
      </c>
      <c r="Z3956">
        <f>IF($V3956="","",IF($AA3956&gt;N($AA3955),$AA3956,""))</f>
        <v/>
      </c>
      <c r="AA3956">
        <f>IF($V3956="",N($AA3955),IF(MATCH($V3956,$V$6:$V$6005,0)=ROW()-5,N($AA3955)+1,N($AA3955)))</f>
        <v/>
      </c>
    </row>
    <row r="3957" ht="21" customHeight="1" s="66">
      <c r="A3957" s="56" t="n"/>
      <c r="B3957" s="57" t="n"/>
      <c r="C3957" s="57" t="n"/>
      <c r="D3957" s="57" t="n"/>
      <c r="E3957" s="56" t="n"/>
      <c r="F3957" s="57" t="n"/>
      <c r="G3957" s="57" t="n"/>
      <c r="H3957" s="56" t="n"/>
      <c r="I3957" s="56" t="n"/>
      <c r="J3957" s="58" t="n"/>
      <c r="K3957" s="58" t="n"/>
      <c r="L3957" s="13">
        <f>IF(OR($A3957="",AND($J3957="",$K3957="")),"",ROUND(N($J3957)-N($K3957),2))</f>
        <v/>
      </c>
      <c r="M3957" s="13">
        <f>IF(OR($A3957="",AND($J3957="",$K3957="")),"",MIN($J3957,$K3957))</f>
        <v/>
      </c>
      <c r="Q3957">
        <f>IF($A3957="","",$D3957&amp;"("&amp;SUBSTITUTE($E3957," ","")&amp;")")</f>
        <v/>
      </c>
      <c r="R3957">
        <f>IF($A3957="","",$B3957&amp;" - "&amp;$C3957)</f>
        <v/>
      </c>
      <c r="S3957">
        <f>IF($A3957="","",$R3957&amp;"|"&amp;$Q3957)</f>
        <v/>
      </c>
      <c r="T3957">
        <f>IF($A3957="","",$S3957&amp;"|"&amp;$F3957)</f>
        <v/>
      </c>
      <c r="U3957">
        <f>IF($A3957="","",$R3957&amp;"("&amp;$E3957&amp;")")</f>
        <v/>
      </c>
      <c r="V3957">
        <f>IF($A3957="","",$F3957&amp;"|"&amp;$U3957&amp;"|"&amp;$D3957)</f>
        <v/>
      </c>
      <c r="W3957">
        <f>IF($T3957="","",IF($X3957&gt;N($X3956),$X3957,""))</f>
        <v/>
      </c>
      <c r="X3957">
        <f>IF($T3957="",N($X3956),IF(MATCH($T3957,$T$6:$T$6005,0)=ROW()-5,N($X3956)+1,N($X3956)))</f>
        <v/>
      </c>
      <c r="Z3957">
        <f>IF($V3957="","",IF($AA3957&gt;N($AA3956),$AA3957,""))</f>
        <v/>
      </c>
      <c r="AA3957">
        <f>IF($V3957="",N($AA3956),IF(MATCH($V3957,$V$6:$V$6005,0)=ROW()-5,N($AA3956)+1,N($AA3956)))</f>
        <v/>
      </c>
    </row>
    <row r="3958" ht="21" customHeight="1" s="66">
      <c r="A3958" s="56" t="n"/>
      <c r="B3958" s="57" t="n"/>
      <c r="C3958" s="57" t="n"/>
      <c r="D3958" s="57" t="n"/>
      <c r="E3958" s="56" t="n"/>
      <c r="F3958" s="57" t="n"/>
      <c r="G3958" s="57" t="n"/>
      <c r="H3958" s="56" t="n"/>
      <c r="I3958" s="56" t="n"/>
      <c r="J3958" s="58" t="n"/>
      <c r="K3958" s="58" t="n"/>
      <c r="L3958" s="13">
        <f>IF(OR($A3958="",AND($J3958="",$K3958="")),"",ROUND(N($J3958)-N($K3958),2))</f>
        <v/>
      </c>
      <c r="M3958" s="13">
        <f>IF(OR($A3958="",AND($J3958="",$K3958="")),"",MIN($J3958,$K3958))</f>
        <v/>
      </c>
      <c r="Q3958">
        <f>IF($A3958="","",$D3958&amp;"("&amp;SUBSTITUTE($E3958," ","")&amp;")")</f>
        <v/>
      </c>
      <c r="R3958">
        <f>IF($A3958="","",$B3958&amp;" - "&amp;$C3958)</f>
        <v/>
      </c>
      <c r="S3958">
        <f>IF($A3958="","",$R3958&amp;"|"&amp;$Q3958)</f>
        <v/>
      </c>
      <c r="T3958">
        <f>IF($A3958="","",$S3958&amp;"|"&amp;$F3958)</f>
        <v/>
      </c>
      <c r="U3958">
        <f>IF($A3958="","",$R3958&amp;"("&amp;$E3958&amp;")")</f>
        <v/>
      </c>
      <c r="V3958">
        <f>IF($A3958="","",$F3958&amp;"|"&amp;$U3958&amp;"|"&amp;$D3958)</f>
        <v/>
      </c>
      <c r="W3958">
        <f>IF($T3958="","",IF($X3958&gt;N($X3957),$X3958,""))</f>
        <v/>
      </c>
      <c r="X3958">
        <f>IF($T3958="",N($X3957),IF(MATCH($T3958,$T$6:$T$6005,0)=ROW()-5,N($X3957)+1,N($X3957)))</f>
        <v/>
      </c>
      <c r="Z3958">
        <f>IF($V3958="","",IF($AA3958&gt;N($AA3957),$AA3958,""))</f>
        <v/>
      </c>
      <c r="AA3958">
        <f>IF($V3958="",N($AA3957),IF(MATCH($V3958,$V$6:$V$6005,0)=ROW()-5,N($AA3957)+1,N($AA3957)))</f>
        <v/>
      </c>
    </row>
    <row r="3959" ht="21" customHeight="1" s="66">
      <c r="A3959" s="56" t="n"/>
      <c r="B3959" s="57" t="n"/>
      <c r="C3959" s="57" t="n"/>
      <c r="D3959" s="57" t="n"/>
      <c r="E3959" s="56" t="n"/>
      <c r="F3959" s="57" t="n"/>
      <c r="G3959" s="57" t="n"/>
      <c r="H3959" s="56" t="n"/>
      <c r="I3959" s="56" t="n"/>
      <c r="J3959" s="58" t="n"/>
      <c r="K3959" s="58" t="n"/>
      <c r="L3959" s="13">
        <f>IF(OR($A3959="",AND($J3959="",$K3959="")),"",ROUND(N($J3959)-N($K3959),2))</f>
        <v/>
      </c>
      <c r="M3959" s="13">
        <f>IF(OR($A3959="",AND($J3959="",$K3959="")),"",MIN($J3959,$K3959))</f>
        <v/>
      </c>
      <c r="Q3959">
        <f>IF($A3959="","",$D3959&amp;"("&amp;SUBSTITUTE($E3959," ","")&amp;")")</f>
        <v/>
      </c>
      <c r="R3959">
        <f>IF($A3959="","",$B3959&amp;" - "&amp;$C3959)</f>
        <v/>
      </c>
      <c r="S3959">
        <f>IF($A3959="","",$R3959&amp;"|"&amp;$Q3959)</f>
        <v/>
      </c>
      <c r="T3959">
        <f>IF($A3959="","",$S3959&amp;"|"&amp;$F3959)</f>
        <v/>
      </c>
      <c r="U3959">
        <f>IF($A3959="","",$R3959&amp;"("&amp;$E3959&amp;")")</f>
        <v/>
      </c>
      <c r="V3959">
        <f>IF($A3959="","",$F3959&amp;"|"&amp;$U3959&amp;"|"&amp;$D3959)</f>
        <v/>
      </c>
      <c r="W3959">
        <f>IF($T3959="","",IF($X3959&gt;N($X3958),$X3959,""))</f>
        <v/>
      </c>
      <c r="X3959">
        <f>IF($T3959="",N($X3958),IF(MATCH($T3959,$T$6:$T$6005,0)=ROW()-5,N($X3958)+1,N($X3958)))</f>
        <v/>
      </c>
      <c r="Z3959">
        <f>IF($V3959="","",IF($AA3959&gt;N($AA3958),$AA3959,""))</f>
        <v/>
      </c>
      <c r="AA3959">
        <f>IF($V3959="",N($AA3958),IF(MATCH($V3959,$V$6:$V$6005,0)=ROW()-5,N($AA3958)+1,N($AA3958)))</f>
        <v/>
      </c>
    </row>
    <row r="3960" ht="21" customHeight="1" s="66">
      <c r="A3960" s="56" t="n"/>
      <c r="B3960" s="57" t="n"/>
      <c r="C3960" s="57" t="n"/>
      <c r="D3960" s="57" t="n"/>
      <c r="E3960" s="56" t="n"/>
      <c r="F3960" s="57" t="n"/>
      <c r="G3960" s="57" t="n"/>
      <c r="H3960" s="56" t="n"/>
      <c r="I3960" s="56" t="n"/>
      <c r="J3960" s="58" t="n"/>
      <c r="K3960" s="58" t="n"/>
      <c r="L3960" s="13">
        <f>IF(OR($A3960="",AND($J3960="",$K3960="")),"",ROUND(N($J3960)-N($K3960),2))</f>
        <v/>
      </c>
      <c r="M3960" s="13">
        <f>IF(OR($A3960="",AND($J3960="",$K3960="")),"",MIN($J3960,$K3960))</f>
        <v/>
      </c>
      <c r="Q3960">
        <f>IF($A3960="","",$D3960&amp;"("&amp;SUBSTITUTE($E3960," ","")&amp;")")</f>
        <v/>
      </c>
      <c r="R3960">
        <f>IF($A3960="","",$B3960&amp;" - "&amp;$C3960)</f>
        <v/>
      </c>
      <c r="S3960">
        <f>IF($A3960="","",$R3960&amp;"|"&amp;$Q3960)</f>
        <v/>
      </c>
      <c r="T3960">
        <f>IF($A3960="","",$S3960&amp;"|"&amp;$F3960)</f>
        <v/>
      </c>
      <c r="U3960">
        <f>IF($A3960="","",$R3960&amp;"("&amp;$E3960&amp;")")</f>
        <v/>
      </c>
      <c r="V3960">
        <f>IF($A3960="","",$F3960&amp;"|"&amp;$U3960&amp;"|"&amp;$D3960)</f>
        <v/>
      </c>
      <c r="W3960">
        <f>IF($T3960="","",IF($X3960&gt;N($X3959),$X3960,""))</f>
        <v/>
      </c>
      <c r="X3960">
        <f>IF($T3960="",N($X3959),IF(MATCH($T3960,$T$6:$T$6005,0)=ROW()-5,N($X3959)+1,N($X3959)))</f>
        <v/>
      </c>
      <c r="Z3960">
        <f>IF($V3960="","",IF($AA3960&gt;N($AA3959),$AA3960,""))</f>
        <v/>
      </c>
      <c r="AA3960">
        <f>IF($V3960="",N($AA3959),IF(MATCH($V3960,$V$6:$V$6005,0)=ROW()-5,N($AA3959)+1,N($AA3959)))</f>
        <v/>
      </c>
    </row>
    <row r="3961" ht="21" customHeight="1" s="66">
      <c r="A3961" s="56" t="n"/>
      <c r="B3961" s="57" t="n"/>
      <c r="C3961" s="57" t="n"/>
      <c r="D3961" s="57" t="n"/>
      <c r="E3961" s="56" t="n"/>
      <c r="F3961" s="57" t="n"/>
      <c r="G3961" s="57" t="n"/>
      <c r="H3961" s="56" t="n"/>
      <c r="I3961" s="56" t="n"/>
      <c r="J3961" s="58" t="n"/>
      <c r="K3961" s="58" t="n"/>
      <c r="L3961" s="13">
        <f>IF(OR($A3961="",AND($J3961="",$K3961="")),"",ROUND(N($J3961)-N($K3961),2))</f>
        <v/>
      </c>
      <c r="M3961" s="13">
        <f>IF(OR($A3961="",AND($J3961="",$K3961="")),"",MIN($J3961,$K3961))</f>
        <v/>
      </c>
      <c r="Q3961">
        <f>IF($A3961="","",$D3961&amp;"("&amp;SUBSTITUTE($E3961," ","")&amp;")")</f>
        <v/>
      </c>
      <c r="R3961">
        <f>IF($A3961="","",$B3961&amp;" - "&amp;$C3961)</f>
        <v/>
      </c>
      <c r="S3961">
        <f>IF($A3961="","",$R3961&amp;"|"&amp;$Q3961)</f>
        <v/>
      </c>
      <c r="T3961">
        <f>IF($A3961="","",$S3961&amp;"|"&amp;$F3961)</f>
        <v/>
      </c>
      <c r="U3961">
        <f>IF($A3961="","",$R3961&amp;"("&amp;$E3961&amp;")")</f>
        <v/>
      </c>
      <c r="V3961">
        <f>IF($A3961="","",$F3961&amp;"|"&amp;$U3961&amp;"|"&amp;$D3961)</f>
        <v/>
      </c>
      <c r="W3961">
        <f>IF($T3961="","",IF($X3961&gt;N($X3960),$X3961,""))</f>
        <v/>
      </c>
      <c r="X3961">
        <f>IF($T3961="",N($X3960),IF(MATCH($T3961,$T$6:$T$6005,0)=ROW()-5,N($X3960)+1,N($X3960)))</f>
        <v/>
      </c>
      <c r="Z3961">
        <f>IF($V3961="","",IF($AA3961&gt;N($AA3960),$AA3961,""))</f>
        <v/>
      </c>
      <c r="AA3961">
        <f>IF($V3961="",N($AA3960),IF(MATCH($V3961,$V$6:$V$6005,0)=ROW()-5,N($AA3960)+1,N($AA3960)))</f>
        <v/>
      </c>
    </row>
    <row r="3962" ht="21" customHeight="1" s="66">
      <c r="A3962" s="56" t="n"/>
      <c r="B3962" s="57" t="n"/>
      <c r="C3962" s="57" t="n"/>
      <c r="D3962" s="57" t="n"/>
      <c r="E3962" s="56" t="n"/>
      <c r="F3962" s="57" t="n"/>
      <c r="G3962" s="57" t="n"/>
      <c r="H3962" s="56" t="n"/>
      <c r="I3962" s="56" t="n"/>
      <c r="J3962" s="58" t="n"/>
      <c r="K3962" s="58" t="n"/>
      <c r="L3962" s="13">
        <f>IF(OR($A3962="",AND($J3962="",$K3962="")),"",ROUND(N($J3962)-N($K3962),2))</f>
        <v/>
      </c>
      <c r="M3962" s="13">
        <f>IF(OR($A3962="",AND($J3962="",$K3962="")),"",MIN($J3962,$K3962))</f>
        <v/>
      </c>
      <c r="Q3962">
        <f>IF($A3962="","",$D3962&amp;"("&amp;SUBSTITUTE($E3962," ","")&amp;")")</f>
        <v/>
      </c>
      <c r="R3962">
        <f>IF($A3962="","",$B3962&amp;" - "&amp;$C3962)</f>
        <v/>
      </c>
      <c r="S3962">
        <f>IF($A3962="","",$R3962&amp;"|"&amp;$Q3962)</f>
        <v/>
      </c>
      <c r="T3962">
        <f>IF($A3962="","",$S3962&amp;"|"&amp;$F3962)</f>
        <v/>
      </c>
      <c r="U3962">
        <f>IF($A3962="","",$R3962&amp;"("&amp;$E3962&amp;")")</f>
        <v/>
      </c>
      <c r="V3962">
        <f>IF($A3962="","",$F3962&amp;"|"&amp;$U3962&amp;"|"&amp;$D3962)</f>
        <v/>
      </c>
      <c r="W3962">
        <f>IF($T3962="","",IF($X3962&gt;N($X3961),$X3962,""))</f>
        <v/>
      </c>
      <c r="X3962">
        <f>IF($T3962="",N($X3961),IF(MATCH($T3962,$T$6:$T$6005,0)=ROW()-5,N($X3961)+1,N($X3961)))</f>
        <v/>
      </c>
      <c r="Z3962">
        <f>IF($V3962="","",IF($AA3962&gt;N($AA3961),$AA3962,""))</f>
        <v/>
      </c>
      <c r="AA3962">
        <f>IF($V3962="",N($AA3961),IF(MATCH($V3962,$V$6:$V$6005,0)=ROW()-5,N($AA3961)+1,N($AA3961)))</f>
        <v/>
      </c>
    </row>
    <row r="3963" ht="21" customHeight="1" s="66">
      <c r="A3963" s="56" t="n"/>
      <c r="B3963" s="57" t="n"/>
      <c r="C3963" s="57" t="n"/>
      <c r="D3963" s="57" t="n"/>
      <c r="E3963" s="56" t="n"/>
      <c r="F3963" s="57" t="n"/>
      <c r="G3963" s="57" t="n"/>
      <c r="H3963" s="56" t="n"/>
      <c r="I3963" s="56" t="n"/>
      <c r="J3963" s="58" t="n"/>
      <c r="K3963" s="58" t="n"/>
      <c r="L3963" s="13">
        <f>IF(OR($A3963="",AND($J3963="",$K3963="")),"",ROUND(N($J3963)-N($K3963),2))</f>
        <v/>
      </c>
      <c r="M3963" s="13">
        <f>IF(OR($A3963="",AND($J3963="",$K3963="")),"",MIN($J3963,$K3963))</f>
        <v/>
      </c>
      <c r="Q3963">
        <f>IF($A3963="","",$D3963&amp;"("&amp;SUBSTITUTE($E3963," ","")&amp;")")</f>
        <v/>
      </c>
      <c r="R3963">
        <f>IF($A3963="","",$B3963&amp;" - "&amp;$C3963)</f>
        <v/>
      </c>
      <c r="S3963">
        <f>IF($A3963="","",$R3963&amp;"|"&amp;$Q3963)</f>
        <v/>
      </c>
      <c r="T3963">
        <f>IF($A3963="","",$S3963&amp;"|"&amp;$F3963)</f>
        <v/>
      </c>
      <c r="U3963">
        <f>IF($A3963="","",$R3963&amp;"("&amp;$E3963&amp;")")</f>
        <v/>
      </c>
      <c r="V3963">
        <f>IF($A3963="","",$F3963&amp;"|"&amp;$U3963&amp;"|"&amp;$D3963)</f>
        <v/>
      </c>
      <c r="W3963">
        <f>IF($T3963="","",IF($X3963&gt;N($X3962),$X3963,""))</f>
        <v/>
      </c>
      <c r="X3963">
        <f>IF($T3963="",N($X3962),IF(MATCH($T3963,$T$6:$T$6005,0)=ROW()-5,N($X3962)+1,N($X3962)))</f>
        <v/>
      </c>
      <c r="Z3963">
        <f>IF($V3963="","",IF($AA3963&gt;N($AA3962),$AA3963,""))</f>
        <v/>
      </c>
      <c r="AA3963">
        <f>IF($V3963="",N($AA3962),IF(MATCH($V3963,$V$6:$V$6005,0)=ROW()-5,N($AA3962)+1,N($AA3962)))</f>
        <v/>
      </c>
    </row>
    <row r="3964" ht="21" customHeight="1" s="66">
      <c r="A3964" s="56" t="n"/>
      <c r="B3964" s="57" t="n"/>
      <c r="C3964" s="57" t="n"/>
      <c r="D3964" s="57" t="n"/>
      <c r="E3964" s="56" t="n"/>
      <c r="F3964" s="57" t="n"/>
      <c r="G3964" s="57" t="n"/>
      <c r="H3964" s="56" t="n"/>
      <c r="I3964" s="56" t="n"/>
      <c r="J3964" s="58" t="n"/>
      <c r="K3964" s="58" t="n"/>
      <c r="L3964" s="13">
        <f>IF(OR($A3964="",AND($J3964="",$K3964="")),"",ROUND(N($J3964)-N($K3964),2))</f>
        <v/>
      </c>
      <c r="M3964" s="13">
        <f>IF(OR($A3964="",AND($J3964="",$K3964="")),"",MIN($J3964,$K3964))</f>
        <v/>
      </c>
      <c r="Q3964">
        <f>IF($A3964="","",$D3964&amp;"("&amp;SUBSTITUTE($E3964," ","")&amp;")")</f>
        <v/>
      </c>
      <c r="R3964">
        <f>IF($A3964="","",$B3964&amp;" - "&amp;$C3964)</f>
        <v/>
      </c>
      <c r="S3964">
        <f>IF($A3964="","",$R3964&amp;"|"&amp;$Q3964)</f>
        <v/>
      </c>
      <c r="T3964">
        <f>IF($A3964="","",$S3964&amp;"|"&amp;$F3964)</f>
        <v/>
      </c>
      <c r="U3964">
        <f>IF($A3964="","",$R3964&amp;"("&amp;$E3964&amp;")")</f>
        <v/>
      </c>
      <c r="V3964">
        <f>IF($A3964="","",$F3964&amp;"|"&amp;$U3964&amp;"|"&amp;$D3964)</f>
        <v/>
      </c>
      <c r="W3964">
        <f>IF($T3964="","",IF($X3964&gt;N($X3963),$X3964,""))</f>
        <v/>
      </c>
      <c r="X3964">
        <f>IF($T3964="",N($X3963),IF(MATCH($T3964,$T$6:$T$6005,0)=ROW()-5,N($X3963)+1,N($X3963)))</f>
        <v/>
      </c>
      <c r="Z3964">
        <f>IF($V3964="","",IF($AA3964&gt;N($AA3963),$AA3964,""))</f>
        <v/>
      </c>
      <c r="AA3964">
        <f>IF($V3964="",N($AA3963),IF(MATCH($V3964,$V$6:$V$6005,0)=ROW()-5,N($AA3963)+1,N($AA3963)))</f>
        <v/>
      </c>
    </row>
    <row r="3965" ht="21" customHeight="1" s="66">
      <c r="A3965" s="56" t="n"/>
      <c r="B3965" s="57" t="n"/>
      <c r="C3965" s="57" t="n"/>
      <c r="D3965" s="57" t="n"/>
      <c r="E3965" s="56" t="n"/>
      <c r="F3965" s="57" t="n"/>
      <c r="G3965" s="57" t="n"/>
      <c r="H3965" s="56" t="n"/>
      <c r="I3965" s="56" t="n"/>
      <c r="J3965" s="58" t="n"/>
      <c r="K3965" s="58" t="n"/>
      <c r="L3965" s="13">
        <f>IF(OR($A3965="",AND($J3965="",$K3965="")),"",ROUND(N($J3965)-N($K3965),2))</f>
        <v/>
      </c>
      <c r="M3965" s="13">
        <f>IF(OR($A3965="",AND($J3965="",$K3965="")),"",MIN($J3965,$K3965))</f>
        <v/>
      </c>
      <c r="Q3965">
        <f>IF($A3965="","",$D3965&amp;"("&amp;SUBSTITUTE($E3965," ","")&amp;")")</f>
        <v/>
      </c>
      <c r="R3965">
        <f>IF($A3965="","",$B3965&amp;" - "&amp;$C3965)</f>
        <v/>
      </c>
      <c r="S3965">
        <f>IF($A3965="","",$R3965&amp;"|"&amp;$Q3965)</f>
        <v/>
      </c>
      <c r="T3965">
        <f>IF($A3965="","",$S3965&amp;"|"&amp;$F3965)</f>
        <v/>
      </c>
      <c r="U3965">
        <f>IF($A3965="","",$R3965&amp;"("&amp;$E3965&amp;")")</f>
        <v/>
      </c>
      <c r="V3965">
        <f>IF($A3965="","",$F3965&amp;"|"&amp;$U3965&amp;"|"&amp;$D3965)</f>
        <v/>
      </c>
      <c r="W3965">
        <f>IF($T3965="","",IF($X3965&gt;N($X3964),$X3965,""))</f>
        <v/>
      </c>
      <c r="X3965">
        <f>IF($T3965="",N($X3964),IF(MATCH($T3965,$T$6:$T$6005,0)=ROW()-5,N($X3964)+1,N($X3964)))</f>
        <v/>
      </c>
      <c r="Z3965">
        <f>IF($V3965="","",IF($AA3965&gt;N($AA3964),$AA3965,""))</f>
        <v/>
      </c>
      <c r="AA3965">
        <f>IF($V3965="",N($AA3964),IF(MATCH($V3965,$V$6:$V$6005,0)=ROW()-5,N($AA3964)+1,N($AA3964)))</f>
        <v/>
      </c>
    </row>
    <row r="3966" ht="21" customHeight="1" s="66">
      <c r="A3966" s="56" t="n"/>
      <c r="B3966" s="57" t="n"/>
      <c r="C3966" s="57" t="n"/>
      <c r="D3966" s="57" t="n"/>
      <c r="E3966" s="56" t="n"/>
      <c r="F3966" s="57" t="n"/>
      <c r="G3966" s="57" t="n"/>
      <c r="H3966" s="56" t="n"/>
      <c r="I3966" s="56" t="n"/>
      <c r="J3966" s="58" t="n"/>
      <c r="K3966" s="58" t="n"/>
      <c r="L3966" s="13">
        <f>IF(OR($A3966="",AND($J3966="",$K3966="")),"",ROUND(N($J3966)-N($K3966),2))</f>
        <v/>
      </c>
      <c r="M3966" s="13">
        <f>IF(OR($A3966="",AND($J3966="",$K3966="")),"",MIN($J3966,$K3966))</f>
        <v/>
      </c>
      <c r="Q3966">
        <f>IF($A3966="","",$D3966&amp;"("&amp;SUBSTITUTE($E3966," ","")&amp;")")</f>
        <v/>
      </c>
      <c r="R3966">
        <f>IF($A3966="","",$B3966&amp;" - "&amp;$C3966)</f>
        <v/>
      </c>
      <c r="S3966">
        <f>IF($A3966="","",$R3966&amp;"|"&amp;$Q3966)</f>
        <v/>
      </c>
      <c r="T3966">
        <f>IF($A3966="","",$S3966&amp;"|"&amp;$F3966)</f>
        <v/>
      </c>
      <c r="U3966">
        <f>IF($A3966="","",$R3966&amp;"("&amp;$E3966&amp;")")</f>
        <v/>
      </c>
      <c r="V3966">
        <f>IF($A3966="","",$F3966&amp;"|"&amp;$U3966&amp;"|"&amp;$D3966)</f>
        <v/>
      </c>
      <c r="W3966">
        <f>IF($T3966="","",IF($X3966&gt;N($X3965),$X3966,""))</f>
        <v/>
      </c>
      <c r="X3966">
        <f>IF($T3966="",N($X3965),IF(MATCH($T3966,$T$6:$T$6005,0)=ROW()-5,N($X3965)+1,N($X3965)))</f>
        <v/>
      </c>
      <c r="Z3966">
        <f>IF($V3966="","",IF($AA3966&gt;N($AA3965),$AA3966,""))</f>
        <v/>
      </c>
      <c r="AA3966">
        <f>IF($V3966="",N($AA3965),IF(MATCH($V3966,$V$6:$V$6005,0)=ROW()-5,N($AA3965)+1,N($AA3965)))</f>
        <v/>
      </c>
    </row>
    <row r="3967" ht="21" customHeight="1" s="66">
      <c r="A3967" s="56" t="n"/>
      <c r="B3967" s="57" t="n"/>
      <c r="C3967" s="57" t="n"/>
      <c r="D3967" s="57" t="n"/>
      <c r="E3967" s="56" t="n"/>
      <c r="F3967" s="57" t="n"/>
      <c r="G3967" s="57" t="n"/>
      <c r="H3967" s="56" t="n"/>
      <c r="I3967" s="56" t="n"/>
      <c r="J3967" s="58" t="n"/>
      <c r="K3967" s="58" t="n"/>
      <c r="L3967" s="13">
        <f>IF(OR($A3967="",AND($J3967="",$K3967="")),"",ROUND(N($J3967)-N($K3967),2))</f>
        <v/>
      </c>
      <c r="M3967" s="13">
        <f>IF(OR($A3967="",AND($J3967="",$K3967="")),"",MIN($J3967,$K3967))</f>
        <v/>
      </c>
      <c r="Q3967">
        <f>IF($A3967="","",$D3967&amp;"("&amp;SUBSTITUTE($E3967," ","")&amp;")")</f>
        <v/>
      </c>
      <c r="R3967">
        <f>IF($A3967="","",$B3967&amp;" - "&amp;$C3967)</f>
        <v/>
      </c>
      <c r="S3967">
        <f>IF($A3967="","",$R3967&amp;"|"&amp;$Q3967)</f>
        <v/>
      </c>
      <c r="T3967">
        <f>IF($A3967="","",$S3967&amp;"|"&amp;$F3967)</f>
        <v/>
      </c>
      <c r="U3967">
        <f>IF($A3967="","",$R3967&amp;"("&amp;$E3967&amp;")")</f>
        <v/>
      </c>
      <c r="V3967">
        <f>IF($A3967="","",$F3967&amp;"|"&amp;$U3967&amp;"|"&amp;$D3967)</f>
        <v/>
      </c>
      <c r="W3967">
        <f>IF($T3967="","",IF($X3967&gt;N($X3966),$X3967,""))</f>
        <v/>
      </c>
      <c r="X3967">
        <f>IF($T3967="",N($X3966),IF(MATCH($T3967,$T$6:$T$6005,0)=ROW()-5,N($X3966)+1,N($X3966)))</f>
        <v/>
      </c>
      <c r="Z3967">
        <f>IF($V3967="","",IF($AA3967&gt;N($AA3966),$AA3967,""))</f>
        <v/>
      </c>
      <c r="AA3967">
        <f>IF($V3967="",N($AA3966),IF(MATCH($V3967,$V$6:$V$6005,0)=ROW()-5,N($AA3966)+1,N($AA3966)))</f>
        <v/>
      </c>
    </row>
    <row r="3968" ht="21" customHeight="1" s="66">
      <c r="A3968" s="56" t="n"/>
      <c r="B3968" s="57" t="n"/>
      <c r="C3968" s="57" t="n"/>
      <c r="D3968" s="57" t="n"/>
      <c r="E3968" s="56" t="n"/>
      <c r="F3968" s="57" t="n"/>
      <c r="G3968" s="57" t="n"/>
      <c r="H3968" s="56" t="n"/>
      <c r="I3968" s="56" t="n"/>
      <c r="J3968" s="58" t="n"/>
      <c r="K3968" s="58" t="n"/>
      <c r="L3968" s="13">
        <f>IF(OR($A3968="",AND($J3968="",$K3968="")),"",ROUND(N($J3968)-N($K3968),2))</f>
        <v/>
      </c>
      <c r="M3968" s="13">
        <f>IF(OR($A3968="",AND($J3968="",$K3968="")),"",MIN($J3968,$K3968))</f>
        <v/>
      </c>
      <c r="Q3968">
        <f>IF($A3968="","",$D3968&amp;"("&amp;SUBSTITUTE($E3968," ","")&amp;")")</f>
        <v/>
      </c>
      <c r="R3968">
        <f>IF($A3968="","",$B3968&amp;" - "&amp;$C3968)</f>
        <v/>
      </c>
      <c r="S3968">
        <f>IF($A3968="","",$R3968&amp;"|"&amp;$Q3968)</f>
        <v/>
      </c>
      <c r="T3968">
        <f>IF($A3968="","",$S3968&amp;"|"&amp;$F3968)</f>
        <v/>
      </c>
      <c r="U3968">
        <f>IF($A3968="","",$R3968&amp;"("&amp;$E3968&amp;")")</f>
        <v/>
      </c>
      <c r="V3968">
        <f>IF($A3968="","",$F3968&amp;"|"&amp;$U3968&amp;"|"&amp;$D3968)</f>
        <v/>
      </c>
      <c r="W3968">
        <f>IF($T3968="","",IF($X3968&gt;N($X3967),$X3968,""))</f>
        <v/>
      </c>
      <c r="X3968">
        <f>IF($T3968="",N($X3967),IF(MATCH($T3968,$T$6:$T$6005,0)=ROW()-5,N($X3967)+1,N($X3967)))</f>
        <v/>
      </c>
      <c r="Z3968">
        <f>IF($V3968="","",IF($AA3968&gt;N($AA3967),$AA3968,""))</f>
        <v/>
      </c>
      <c r="AA3968">
        <f>IF($V3968="",N($AA3967),IF(MATCH($V3968,$V$6:$V$6005,0)=ROW()-5,N($AA3967)+1,N($AA3967)))</f>
        <v/>
      </c>
    </row>
    <row r="3969" ht="21" customHeight="1" s="66">
      <c r="A3969" s="56" t="n"/>
      <c r="B3969" s="57" t="n"/>
      <c r="C3969" s="57" t="n"/>
      <c r="D3969" s="57" t="n"/>
      <c r="E3969" s="56" t="n"/>
      <c r="F3969" s="57" t="n"/>
      <c r="G3969" s="57" t="n"/>
      <c r="H3969" s="56" t="n"/>
      <c r="I3969" s="56" t="n"/>
      <c r="J3969" s="58" t="n"/>
      <c r="K3969" s="58" t="n"/>
      <c r="L3969" s="13">
        <f>IF(OR($A3969="",AND($J3969="",$K3969="")),"",ROUND(N($J3969)-N($K3969),2))</f>
        <v/>
      </c>
      <c r="M3969" s="13">
        <f>IF(OR($A3969="",AND($J3969="",$K3969="")),"",MIN($J3969,$K3969))</f>
        <v/>
      </c>
      <c r="Q3969">
        <f>IF($A3969="","",$D3969&amp;"("&amp;SUBSTITUTE($E3969," ","")&amp;")")</f>
        <v/>
      </c>
      <c r="R3969">
        <f>IF($A3969="","",$B3969&amp;" - "&amp;$C3969)</f>
        <v/>
      </c>
      <c r="S3969">
        <f>IF($A3969="","",$R3969&amp;"|"&amp;$Q3969)</f>
        <v/>
      </c>
      <c r="T3969">
        <f>IF($A3969="","",$S3969&amp;"|"&amp;$F3969)</f>
        <v/>
      </c>
      <c r="U3969">
        <f>IF($A3969="","",$R3969&amp;"("&amp;$E3969&amp;")")</f>
        <v/>
      </c>
      <c r="V3969">
        <f>IF($A3969="","",$F3969&amp;"|"&amp;$U3969&amp;"|"&amp;$D3969)</f>
        <v/>
      </c>
      <c r="W3969">
        <f>IF($T3969="","",IF($X3969&gt;N($X3968),$X3969,""))</f>
        <v/>
      </c>
      <c r="X3969">
        <f>IF($T3969="",N($X3968),IF(MATCH($T3969,$T$6:$T$6005,0)=ROW()-5,N($X3968)+1,N($X3968)))</f>
        <v/>
      </c>
      <c r="Z3969">
        <f>IF($V3969="","",IF($AA3969&gt;N($AA3968),$AA3969,""))</f>
        <v/>
      </c>
      <c r="AA3969">
        <f>IF($V3969="",N($AA3968),IF(MATCH($V3969,$V$6:$V$6005,0)=ROW()-5,N($AA3968)+1,N($AA3968)))</f>
        <v/>
      </c>
    </row>
    <row r="3970" ht="21" customHeight="1" s="66">
      <c r="A3970" s="56" t="n"/>
      <c r="B3970" s="57" t="n"/>
      <c r="C3970" s="57" t="n"/>
      <c r="D3970" s="57" t="n"/>
      <c r="E3970" s="56" t="n"/>
      <c r="F3970" s="57" t="n"/>
      <c r="G3970" s="57" t="n"/>
      <c r="H3970" s="56" t="n"/>
      <c r="I3970" s="56" t="n"/>
      <c r="J3970" s="58" t="n"/>
      <c r="K3970" s="58" t="n"/>
      <c r="L3970" s="13">
        <f>IF(OR($A3970="",AND($J3970="",$K3970="")),"",ROUND(N($J3970)-N($K3970),2))</f>
        <v/>
      </c>
      <c r="M3970" s="13">
        <f>IF(OR($A3970="",AND($J3970="",$K3970="")),"",MIN($J3970,$K3970))</f>
        <v/>
      </c>
      <c r="Q3970">
        <f>IF($A3970="","",$D3970&amp;"("&amp;SUBSTITUTE($E3970," ","")&amp;")")</f>
        <v/>
      </c>
      <c r="R3970">
        <f>IF($A3970="","",$B3970&amp;" - "&amp;$C3970)</f>
        <v/>
      </c>
      <c r="S3970">
        <f>IF($A3970="","",$R3970&amp;"|"&amp;$Q3970)</f>
        <v/>
      </c>
      <c r="T3970">
        <f>IF($A3970="","",$S3970&amp;"|"&amp;$F3970)</f>
        <v/>
      </c>
      <c r="U3970">
        <f>IF($A3970="","",$R3970&amp;"("&amp;$E3970&amp;")")</f>
        <v/>
      </c>
      <c r="V3970">
        <f>IF($A3970="","",$F3970&amp;"|"&amp;$U3970&amp;"|"&amp;$D3970)</f>
        <v/>
      </c>
      <c r="W3970">
        <f>IF($T3970="","",IF($X3970&gt;N($X3969),$X3970,""))</f>
        <v/>
      </c>
      <c r="X3970">
        <f>IF($T3970="",N($X3969),IF(MATCH($T3970,$T$6:$T$6005,0)=ROW()-5,N($X3969)+1,N($X3969)))</f>
        <v/>
      </c>
      <c r="Z3970">
        <f>IF($V3970="","",IF($AA3970&gt;N($AA3969),$AA3970,""))</f>
        <v/>
      </c>
      <c r="AA3970">
        <f>IF($V3970="",N($AA3969),IF(MATCH($V3970,$V$6:$V$6005,0)=ROW()-5,N($AA3969)+1,N($AA3969)))</f>
        <v/>
      </c>
    </row>
    <row r="3971" ht="21" customHeight="1" s="66">
      <c r="A3971" s="56" t="n"/>
      <c r="B3971" s="57" t="n"/>
      <c r="C3971" s="57" t="n"/>
      <c r="D3971" s="57" t="n"/>
      <c r="E3971" s="56" t="n"/>
      <c r="F3971" s="57" t="n"/>
      <c r="G3971" s="57" t="n"/>
      <c r="H3971" s="56" t="n"/>
      <c r="I3971" s="56" t="n"/>
      <c r="J3971" s="58" t="n"/>
      <c r="K3971" s="58" t="n"/>
      <c r="L3971" s="13">
        <f>IF(OR($A3971="",AND($J3971="",$K3971="")),"",ROUND(N($J3971)-N($K3971),2))</f>
        <v/>
      </c>
      <c r="M3971" s="13">
        <f>IF(OR($A3971="",AND($J3971="",$K3971="")),"",MIN($J3971,$K3971))</f>
        <v/>
      </c>
      <c r="Q3971">
        <f>IF($A3971="","",$D3971&amp;"("&amp;SUBSTITUTE($E3971," ","")&amp;")")</f>
        <v/>
      </c>
      <c r="R3971">
        <f>IF($A3971="","",$B3971&amp;" - "&amp;$C3971)</f>
        <v/>
      </c>
      <c r="S3971">
        <f>IF($A3971="","",$R3971&amp;"|"&amp;$Q3971)</f>
        <v/>
      </c>
      <c r="T3971">
        <f>IF($A3971="","",$S3971&amp;"|"&amp;$F3971)</f>
        <v/>
      </c>
      <c r="U3971">
        <f>IF($A3971="","",$R3971&amp;"("&amp;$E3971&amp;")")</f>
        <v/>
      </c>
      <c r="V3971">
        <f>IF($A3971="","",$F3971&amp;"|"&amp;$U3971&amp;"|"&amp;$D3971)</f>
        <v/>
      </c>
      <c r="W3971">
        <f>IF($T3971="","",IF($X3971&gt;N($X3970),$X3971,""))</f>
        <v/>
      </c>
      <c r="X3971">
        <f>IF($T3971="",N($X3970),IF(MATCH($T3971,$T$6:$T$6005,0)=ROW()-5,N($X3970)+1,N($X3970)))</f>
        <v/>
      </c>
      <c r="Z3971">
        <f>IF($V3971="","",IF($AA3971&gt;N($AA3970),$AA3971,""))</f>
        <v/>
      </c>
      <c r="AA3971">
        <f>IF($V3971="",N($AA3970),IF(MATCH($V3971,$V$6:$V$6005,0)=ROW()-5,N($AA3970)+1,N($AA3970)))</f>
        <v/>
      </c>
    </row>
    <row r="3972" ht="21" customHeight="1" s="66">
      <c r="A3972" s="56" t="n"/>
      <c r="B3972" s="57" t="n"/>
      <c r="C3972" s="57" t="n"/>
      <c r="D3972" s="57" t="n"/>
      <c r="E3972" s="56" t="n"/>
      <c r="F3972" s="57" t="n"/>
      <c r="G3972" s="57" t="n"/>
      <c r="H3972" s="56" t="n"/>
      <c r="I3972" s="56" t="n"/>
      <c r="J3972" s="58" t="n"/>
      <c r="K3972" s="58" t="n"/>
      <c r="L3972" s="13">
        <f>IF(OR($A3972="",AND($J3972="",$K3972="")),"",ROUND(N($J3972)-N($K3972),2))</f>
        <v/>
      </c>
      <c r="M3972" s="13">
        <f>IF(OR($A3972="",AND($J3972="",$K3972="")),"",MIN($J3972,$K3972))</f>
        <v/>
      </c>
      <c r="Q3972">
        <f>IF($A3972="","",$D3972&amp;"("&amp;SUBSTITUTE($E3972," ","")&amp;")")</f>
        <v/>
      </c>
      <c r="R3972">
        <f>IF($A3972="","",$B3972&amp;" - "&amp;$C3972)</f>
        <v/>
      </c>
      <c r="S3972">
        <f>IF($A3972="","",$R3972&amp;"|"&amp;$Q3972)</f>
        <v/>
      </c>
      <c r="T3972">
        <f>IF($A3972="","",$S3972&amp;"|"&amp;$F3972)</f>
        <v/>
      </c>
      <c r="U3972">
        <f>IF($A3972="","",$R3972&amp;"("&amp;$E3972&amp;")")</f>
        <v/>
      </c>
      <c r="V3972">
        <f>IF($A3972="","",$F3972&amp;"|"&amp;$U3972&amp;"|"&amp;$D3972)</f>
        <v/>
      </c>
      <c r="W3972">
        <f>IF($T3972="","",IF($X3972&gt;N($X3971),$X3972,""))</f>
        <v/>
      </c>
      <c r="X3972">
        <f>IF($T3972="",N($X3971),IF(MATCH($T3972,$T$6:$T$6005,0)=ROW()-5,N($X3971)+1,N($X3971)))</f>
        <v/>
      </c>
      <c r="Z3972">
        <f>IF($V3972="","",IF($AA3972&gt;N($AA3971),$AA3972,""))</f>
        <v/>
      </c>
      <c r="AA3972">
        <f>IF($V3972="",N($AA3971),IF(MATCH($V3972,$V$6:$V$6005,0)=ROW()-5,N($AA3971)+1,N($AA3971)))</f>
        <v/>
      </c>
    </row>
    <row r="3973" ht="21" customHeight="1" s="66">
      <c r="A3973" s="56" t="n"/>
      <c r="B3973" s="57" t="n"/>
      <c r="C3973" s="57" t="n"/>
      <c r="D3973" s="57" t="n"/>
      <c r="E3973" s="56" t="n"/>
      <c r="F3973" s="57" t="n"/>
      <c r="G3973" s="57" t="n"/>
      <c r="H3973" s="56" t="n"/>
      <c r="I3973" s="56" t="n"/>
      <c r="J3973" s="58" t="n"/>
      <c r="K3973" s="58" t="n"/>
      <c r="L3973" s="13">
        <f>IF(OR($A3973="",AND($J3973="",$K3973="")),"",ROUND(N($J3973)-N($K3973),2))</f>
        <v/>
      </c>
      <c r="M3973" s="13">
        <f>IF(OR($A3973="",AND($J3973="",$K3973="")),"",MIN($J3973,$K3973))</f>
        <v/>
      </c>
      <c r="Q3973">
        <f>IF($A3973="","",$D3973&amp;"("&amp;SUBSTITUTE($E3973," ","")&amp;")")</f>
        <v/>
      </c>
      <c r="R3973">
        <f>IF($A3973="","",$B3973&amp;" - "&amp;$C3973)</f>
        <v/>
      </c>
      <c r="S3973">
        <f>IF($A3973="","",$R3973&amp;"|"&amp;$Q3973)</f>
        <v/>
      </c>
      <c r="T3973">
        <f>IF($A3973="","",$S3973&amp;"|"&amp;$F3973)</f>
        <v/>
      </c>
      <c r="U3973">
        <f>IF($A3973="","",$R3973&amp;"("&amp;$E3973&amp;")")</f>
        <v/>
      </c>
      <c r="V3973">
        <f>IF($A3973="","",$F3973&amp;"|"&amp;$U3973&amp;"|"&amp;$D3973)</f>
        <v/>
      </c>
      <c r="W3973">
        <f>IF($T3973="","",IF($X3973&gt;N($X3972),$X3973,""))</f>
        <v/>
      </c>
      <c r="X3973">
        <f>IF($T3973="",N($X3972),IF(MATCH($T3973,$T$6:$T$6005,0)=ROW()-5,N($X3972)+1,N($X3972)))</f>
        <v/>
      </c>
      <c r="Z3973">
        <f>IF($V3973="","",IF($AA3973&gt;N($AA3972),$AA3973,""))</f>
        <v/>
      </c>
      <c r="AA3973">
        <f>IF($V3973="",N($AA3972),IF(MATCH($V3973,$V$6:$V$6005,0)=ROW()-5,N($AA3972)+1,N($AA3972)))</f>
        <v/>
      </c>
    </row>
    <row r="3974" ht="21" customHeight="1" s="66">
      <c r="A3974" s="56" t="n"/>
      <c r="B3974" s="57" t="n"/>
      <c r="C3974" s="57" t="n"/>
      <c r="D3974" s="57" t="n"/>
      <c r="E3974" s="56" t="n"/>
      <c r="F3974" s="57" t="n"/>
      <c r="G3974" s="57" t="n"/>
      <c r="H3974" s="56" t="n"/>
      <c r="I3974" s="56" t="n"/>
      <c r="J3974" s="58" t="n"/>
      <c r="K3974" s="58" t="n"/>
      <c r="L3974" s="13">
        <f>IF(OR($A3974="",AND($J3974="",$K3974="")),"",ROUND(N($J3974)-N($K3974),2))</f>
        <v/>
      </c>
      <c r="M3974" s="13">
        <f>IF(OR($A3974="",AND($J3974="",$K3974="")),"",MIN($J3974,$K3974))</f>
        <v/>
      </c>
      <c r="Q3974">
        <f>IF($A3974="","",$D3974&amp;"("&amp;SUBSTITUTE($E3974," ","")&amp;")")</f>
        <v/>
      </c>
      <c r="R3974">
        <f>IF($A3974="","",$B3974&amp;" - "&amp;$C3974)</f>
        <v/>
      </c>
      <c r="S3974">
        <f>IF($A3974="","",$R3974&amp;"|"&amp;$Q3974)</f>
        <v/>
      </c>
      <c r="T3974">
        <f>IF($A3974="","",$S3974&amp;"|"&amp;$F3974)</f>
        <v/>
      </c>
      <c r="U3974">
        <f>IF($A3974="","",$R3974&amp;"("&amp;$E3974&amp;")")</f>
        <v/>
      </c>
      <c r="V3974">
        <f>IF($A3974="","",$F3974&amp;"|"&amp;$U3974&amp;"|"&amp;$D3974)</f>
        <v/>
      </c>
      <c r="W3974">
        <f>IF($T3974="","",IF($X3974&gt;N($X3973),$X3974,""))</f>
        <v/>
      </c>
      <c r="X3974">
        <f>IF($T3974="",N($X3973),IF(MATCH($T3974,$T$6:$T$6005,0)=ROW()-5,N($X3973)+1,N($X3973)))</f>
        <v/>
      </c>
      <c r="Z3974">
        <f>IF($V3974="","",IF($AA3974&gt;N($AA3973),$AA3974,""))</f>
        <v/>
      </c>
      <c r="AA3974">
        <f>IF($V3974="",N($AA3973),IF(MATCH($V3974,$V$6:$V$6005,0)=ROW()-5,N($AA3973)+1,N($AA3973)))</f>
        <v/>
      </c>
    </row>
    <row r="3975" ht="21" customHeight="1" s="66">
      <c r="A3975" s="56" t="n"/>
      <c r="B3975" s="57" t="n"/>
      <c r="C3975" s="57" t="n"/>
      <c r="D3975" s="57" t="n"/>
      <c r="E3975" s="56" t="n"/>
      <c r="F3975" s="57" t="n"/>
      <c r="G3975" s="57" t="n"/>
      <c r="H3975" s="56" t="n"/>
      <c r="I3975" s="56" t="n"/>
      <c r="J3975" s="58" t="n"/>
      <c r="K3975" s="58" t="n"/>
      <c r="L3975" s="13">
        <f>IF(OR($A3975="",AND($J3975="",$K3975="")),"",ROUND(N($J3975)-N($K3975),2))</f>
        <v/>
      </c>
      <c r="M3975" s="13">
        <f>IF(OR($A3975="",AND($J3975="",$K3975="")),"",MIN($J3975,$K3975))</f>
        <v/>
      </c>
      <c r="Q3975">
        <f>IF($A3975="","",$D3975&amp;"("&amp;SUBSTITUTE($E3975," ","")&amp;")")</f>
        <v/>
      </c>
      <c r="R3975">
        <f>IF($A3975="","",$B3975&amp;" - "&amp;$C3975)</f>
        <v/>
      </c>
      <c r="S3975">
        <f>IF($A3975="","",$R3975&amp;"|"&amp;$Q3975)</f>
        <v/>
      </c>
      <c r="T3975">
        <f>IF($A3975="","",$S3975&amp;"|"&amp;$F3975)</f>
        <v/>
      </c>
      <c r="U3975">
        <f>IF($A3975="","",$R3975&amp;"("&amp;$E3975&amp;")")</f>
        <v/>
      </c>
      <c r="V3975">
        <f>IF($A3975="","",$F3975&amp;"|"&amp;$U3975&amp;"|"&amp;$D3975)</f>
        <v/>
      </c>
      <c r="W3975">
        <f>IF($T3975="","",IF($X3975&gt;N($X3974),$X3975,""))</f>
        <v/>
      </c>
      <c r="X3975">
        <f>IF($T3975="",N($X3974),IF(MATCH($T3975,$T$6:$T$6005,0)=ROW()-5,N($X3974)+1,N($X3974)))</f>
        <v/>
      </c>
      <c r="Z3975">
        <f>IF($V3975="","",IF($AA3975&gt;N($AA3974),$AA3975,""))</f>
        <v/>
      </c>
      <c r="AA3975">
        <f>IF($V3975="",N($AA3974),IF(MATCH($V3975,$V$6:$V$6005,0)=ROW()-5,N($AA3974)+1,N($AA3974)))</f>
        <v/>
      </c>
    </row>
    <row r="3976" ht="21" customHeight="1" s="66">
      <c r="A3976" s="56" t="n"/>
      <c r="B3976" s="57" t="n"/>
      <c r="C3976" s="57" t="n"/>
      <c r="D3976" s="57" t="n"/>
      <c r="E3976" s="56" t="n"/>
      <c r="F3976" s="57" t="n"/>
      <c r="G3976" s="57" t="n"/>
      <c r="H3976" s="56" t="n"/>
      <c r="I3976" s="56" t="n"/>
      <c r="J3976" s="58" t="n"/>
      <c r="K3976" s="58" t="n"/>
      <c r="L3976" s="13">
        <f>IF(OR($A3976="",AND($J3976="",$K3976="")),"",ROUND(N($J3976)-N($K3976),2))</f>
        <v/>
      </c>
      <c r="M3976" s="13">
        <f>IF(OR($A3976="",AND($J3976="",$K3976="")),"",MIN($J3976,$K3976))</f>
        <v/>
      </c>
      <c r="Q3976">
        <f>IF($A3976="","",$D3976&amp;"("&amp;SUBSTITUTE($E3976," ","")&amp;")")</f>
        <v/>
      </c>
      <c r="R3976">
        <f>IF($A3976="","",$B3976&amp;" - "&amp;$C3976)</f>
        <v/>
      </c>
      <c r="S3976">
        <f>IF($A3976="","",$R3976&amp;"|"&amp;$Q3976)</f>
        <v/>
      </c>
      <c r="T3976">
        <f>IF($A3976="","",$S3976&amp;"|"&amp;$F3976)</f>
        <v/>
      </c>
      <c r="U3976">
        <f>IF($A3976="","",$R3976&amp;"("&amp;$E3976&amp;")")</f>
        <v/>
      </c>
      <c r="V3976">
        <f>IF($A3976="","",$F3976&amp;"|"&amp;$U3976&amp;"|"&amp;$D3976)</f>
        <v/>
      </c>
      <c r="W3976">
        <f>IF($T3976="","",IF($X3976&gt;N($X3975),$X3976,""))</f>
        <v/>
      </c>
      <c r="X3976">
        <f>IF($T3976="",N($X3975),IF(MATCH($T3976,$T$6:$T$6005,0)=ROW()-5,N($X3975)+1,N($X3975)))</f>
        <v/>
      </c>
      <c r="Z3976">
        <f>IF($V3976="","",IF($AA3976&gt;N($AA3975),$AA3976,""))</f>
        <v/>
      </c>
      <c r="AA3976">
        <f>IF($V3976="",N($AA3975),IF(MATCH($V3976,$V$6:$V$6005,0)=ROW()-5,N($AA3975)+1,N($AA3975)))</f>
        <v/>
      </c>
    </row>
    <row r="3977" ht="21" customHeight="1" s="66">
      <c r="A3977" s="56" t="n"/>
      <c r="B3977" s="57" t="n"/>
      <c r="C3977" s="57" t="n"/>
      <c r="D3977" s="57" t="n"/>
      <c r="E3977" s="56" t="n"/>
      <c r="F3977" s="57" t="n"/>
      <c r="G3977" s="57" t="n"/>
      <c r="H3977" s="56" t="n"/>
      <c r="I3977" s="56" t="n"/>
      <c r="J3977" s="58" t="n"/>
      <c r="K3977" s="58" t="n"/>
      <c r="L3977" s="13">
        <f>IF(OR($A3977="",AND($J3977="",$K3977="")),"",ROUND(N($J3977)-N($K3977),2))</f>
        <v/>
      </c>
      <c r="M3977" s="13">
        <f>IF(OR($A3977="",AND($J3977="",$K3977="")),"",MIN($J3977,$K3977))</f>
        <v/>
      </c>
      <c r="Q3977">
        <f>IF($A3977="","",$D3977&amp;"("&amp;SUBSTITUTE($E3977," ","")&amp;")")</f>
        <v/>
      </c>
      <c r="R3977">
        <f>IF($A3977="","",$B3977&amp;" - "&amp;$C3977)</f>
        <v/>
      </c>
      <c r="S3977">
        <f>IF($A3977="","",$R3977&amp;"|"&amp;$Q3977)</f>
        <v/>
      </c>
      <c r="T3977">
        <f>IF($A3977="","",$S3977&amp;"|"&amp;$F3977)</f>
        <v/>
      </c>
      <c r="U3977">
        <f>IF($A3977="","",$R3977&amp;"("&amp;$E3977&amp;")")</f>
        <v/>
      </c>
      <c r="V3977">
        <f>IF($A3977="","",$F3977&amp;"|"&amp;$U3977&amp;"|"&amp;$D3977)</f>
        <v/>
      </c>
      <c r="W3977">
        <f>IF($T3977="","",IF($X3977&gt;N($X3976),$X3977,""))</f>
        <v/>
      </c>
      <c r="X3977">
        <f>IF($T3977="",N($X3976),IF(MATCH($T3977,$T$6:$T$6005,0)=ROW()-5,N($X3976)+1,N($X3976)))</f>
        <v/>
      </c>
      <c r="Z3977">
        <f>IF($V3977="","",IF($AA3977&gt;N($AA3976),$AA3977,""))</f>
        <v/>
      </c>
      <c r="AA3977">
        <f>IF($V3977="",N($AA3976),IF(MATCH($V3977,$V$6:$V$6005,0)=ROW()-5,N($AA3976)+1,N($AA3976)))</f>
        <v/>
      </c>
    </row>
    <row r="3978" ht="21" customHeight="1" s="66">
      <c r="A3978" s="56" t="n"/>
      <c r="B3978" s="57" t="n"/>
      <c r="C3978" s="57" t="n"/>
      <c r="D3978" s="57" t="n"/>
      <c r="E3978" s="56" t="n"/>
      <c r="F3978" s="57" t="n"/>
      <c r="G3978" s="57" t="n"/>
      <c r="H3978" s="56" t="n"/>
      <c r="I3978" s="56" t="n"/>
      <c r="J3978" s="58" t="n"/>
      <c r="K3978" s="58" t="n"/>
      <c r="L3978" s="13">
        <f>IF(OR($A3978="",AND($J3978="",$K3978="")),"",ROUND(N($J3978)-N($K3978),2))</f>
        <v/>
      </c>
      <c r="M3978" s="13">
        <f>IF(OR($A3978="",AND($J3978="",$K3978="")),"",MIN($J3978,$K3978))</f>
        <v/>
      </c>
      <c r="Q3978">
        <f>IF($A3978="","",$D3978&amp;"("&amp;SUBSTITUTE($E3978," ","")&amp;")")</f>
        <v/>
      </c>
      <c r="R3978">
        <f>IF($A3978="","",$B3978&amp;" - "&amp;$C3978)</f>
        <v/>
      </c>
      <c r="S3978">
        <f>IF($A3978="","",$R3978&amp;"|"&amp;$Q3978)</f>
        <v/>
      </c>
      <c r="T3978">
        <f>IF($A3978="","",$S3978&amp;"|"&amp;$F3978)</f>
        <v/>
      </c>
      <c r="U3978">
        <f>IF($A3978="","",$R3978&amp;"("&amp;$E3978&amp;")")</f>
        <v/>
      </c>
      <c r="V3978">
        <f>IF($A3978="","",$F3978&amp;"|"&amp;$U3978&amp;"|"&amp;$D3978)</f>
        <v/>
      </c>
      <c r="W3978">
        <f>IF($T3978="","",IF($X3978&gt;N($X3977),$X3978,""))</f>
        <v/>
      </c>
      <c r="X3978">
        <f>IF($T3978="",N($X3977),IF(MATCH($T3978,$T$6:$T$6005,0)=ROW()-5,N($X3977)+1,N($X3977)))</f>
        <v/>
      </c>
      <c r="Z3978">
        <f>IF($V3978="","",IF($AA3978&gt;N($AA3977),$AA3978,""))</f>
        <v/>
      </c>
      <c r="AA3978">
        <f>IF($V3978="",N($AA3977),IF(MATCH($V3978,$V$6:$V$6005,0)=ROW()-5,N($AA3977)+1,N($AA3977)))</f>
        <v/>
      </c>
    </row>
    <row r="3979" ht="21" customHeight="1" s="66">
      <c r="A3979" s="56" t="n"/>
      <c r="B3979" s="57" t="n"/>
      <c r="C3979" s="57" t="n"/>
      <c r="D3979" s="57" t="n"/>
      <c r="E3979" s="56" t="n"/>
      <c r="F3979" s="57" t="n"/>
      <c r="G3979" s="57" t="n"/>
      <c r="H3979" s="56" t="n"/>
      <c r="I3979" s="56" t="n"/>
      <c r="J3979" s="58" t="n"/>
      <c r="K3979" s="58" t="n"/>
      <c r="L3979" s="13">
        <f>IF(OR($A3979="",AND($J3979="",$K3979="")),"",ROUND(N($J3979)-N($K3979),2))</f>
        <v/>
      </c>
      <c r="M3979" s="13">
        <f>IF(OR($A3979="",AND($J3979="",$K3979="")),"",MIN($J3979,$K3979))</f>
        <v/>
      </c>
      <c r="Q3979">
        <f>IF($A3979="","",$D3979&amp;"("&amp;SUBSTITUTE($E3979," ","")&amp;")")</f>
        <v/>
      </c>
      <c r="R3979">
        <f>IF($A3979="","",$B3979&amp;" - "&amp;$C3979)</f>
        <v/>
      </c>
      <c r="S3979">
        <f>IF($A3979="","",$R3979&amp;"|"&amp;$Q3979)</f>
        <v/>
      </c>
      <c r="T3979">
        <f>IF($A3979="","",$S3979&amp;"|"&amp;$F3979)</f>
        <v/>
      </c>
      <c r="U3979">
        <f>IF($A3979="","",$R3979&amp;"("&amp;$E3979&amp;")")</f>
        <v/>
      </c>
      <c r="V3979">
        <f>IF($A3979="","",$F3979&amp;"|"&amp;$U3979&amp;"|"&amp;$D3979)</f>
        <v/>
      </c>
      <c r="W3979">
        <f>IF($T3979="","",IF($X3979&gt;N($X3978),$X3979,""))</f>
        <v/>
      </c>
      <c r="X3979">
        <f>IF($T3979="",N($X3978),IF(MATCH($T3979,$T$6:$T$6005,0)=ROW()-5,N($X3978)+1,N($X3978)))</f>
        <v/>
      </c>
      <c r="Z3979">
        <f>IF($V3979="","",IF($AA3979&gt;N($AA3978),$AA3979,""))</f>
        <v/>
      </c>
      <c r="AA3979">
        <f>IF($V3979="",N($AA3978),IF(MATCH($V3979,$V$6:$V$6005,0)=ROW()-5,N($AA3978)+1,N($AA3978)))</f>
        <v/>
      </c>
    </row>
    <row r="3980" ht="21" customHeight="1" s="66">
      <c r="A3980" s="56" t="n"/>
      <c r="B3980" s="57" t="n"/>
      <c r="C3980" s="57" t="n"/>
      <c r="D3980" s="57" t="n"/>
      <c r="E3980" s="56" t="n"/>
      <c r="F3980" s="57" t="n"/>
      <c r="G3980" s="57" t="n"/>
      <c r="H3980" s="56" t="n"/>
      <c r="I3980" s="56" t="n"/>
      <c r="J3980" s="58" t="n"/>
      <c r="K3980" s="58" t="n"/>
      <c r="L3980" s="13">
        <f>IF(OR($A3980="",AND($J3980="",$K3980="")),"",ROUND(N($J3980)-N($K3980),2))</f>
        <v/>
      </c>
      <c r="M3980" s="13">
        <f>IF(OR($A3980="",AND($J3980="",$K3980="")),"",MIN($J3980,$K3980))</f>
        <v/>
      </c>
      <c r="Q3980">
        <f>IF($A3980="","",$D3980&amp;"("&amp;SUBSTITUTE($E3980," ","")&amp;")")</f>
        <v/>
      </c>
      <c r="R3980">
        <f>IF($A3980="","",$B3980&amp;" - "&amp;$C3980)</f>
        <v/>
      </c>
      <c r="S3980">
        <f>IF($A3980="","",$R3980&amp;"|"&amp;$Q3980)</f>
        <v/>
      </c>
      <c r="T3980">
        <f>IF($A3980="","",$S3980&amp;"|"&amp;$F3980)</f>
        <v/>
      </c>
      <c r="U3980">
        <f>IF($A3980="","",$R3980&amp;"("&amp;$E3980&amp;")")</f>
        <v/>
      </c>
      <c r="V3980">
        <f>IF($A3980="","",$F3980&amp;"|"&amp;$U3980&amp;"|"&amp;$D3980)</f>
        <v/>
      </c>
      <c r="W3980">
        <f>IF($T3980="","",IF($X3980&gt;N($X3979),$X3980,""))</f>
        <v/>
      </c>
      <c r="X3980">
        <f>IF($T3980="",N($X3979),IF(MATCH($T3980,$T$6:$T$6005,0)=ROW()-5,N($X3979)+1,N($X3979)))</f>
        <v/>
      </c>
      <c r="Z3980">
        <f>IF($V3980="","",IF($AA3980&gt;N($AA3979),$AA3980,""))</f>
        <v/>
      </c>
      <c r="AA3980">
        <f>IF($V3980="",N($AA3979),IF(MATCH($V3980,$V$6:$V$6005,0)=ROW()-5,N($AA3979)+1,N($AA3979)))</f>
        <v/>
      </c>
    </row>
    <row r="3981" ht="21" customHeight="1" s="66">
      <c r="A3981" s="56" t="n"/>
      <c r="B3981" s="57" t="n"/>
      <c r="C3981" s="57" t="n"/>
      <c r="D3981" s="57" t="n"/>
      <c r="E3981" s="56" t="n"/>
      <c r="F3981" s="57" t="n"/>
      <c r="G3981" s="57" t="n"/>
      <c r="H3981" s="56" t="n"/>
      <c r="I3981" s="56" t="n"/>
      <c r="J3981" s="58" t="n"/>
      <c r="K3981" s="58" t="n"/>
      <c r="L3981" s="13">
        <f>IF(OR($A3981="",AND($J3981="",$K3981="")),"",ROUND(N($J3981)-N($K3981),2))</f>
        <v/>
      </c>
      <c r="M3981" s="13">
        <f>IF(OR($A3981="",AND($J3981="",$K3981="")),"",MIN($J3981,$K3981))</f>
        <v/>
      </c>
      <c r="Q3981">
        <f>IF($A3981="","",$D3981&amp;"("&amp;SUBSTITUTE($E3981," ","")&amp;")")</f>
        <v/>
      </c>
      <c r="R3981">
        <f>IF($A3981="","",$B3981&amp;" - "&amp;$C3981)</f>
        <v/>
      </c>
      <c r="S3981">
        <f>IF($A3981="","",$R3981&amp;"|"&amp;$Q3981)</f>
        <v/>
      </c>
      <c r="T3981">
        <f>IF($A3981="","",$S3981&amp;"|"&amp;$F3981)</f>
        <v/>
      </c>
      <c r="U3981">
        <f>IF($A3981="","",$R3981&amp;"("&amp;$E3981&amp;")")</f>
        <v/>
      </c>
      <c r="V3981">
        <f>IF($A3981="","",$F3981&amp;"|"&amp;$U3981&amp;"|"&amp;$D3981)</f>
        <v/>
      </c>
      <c r="W3981">
        <f>IF($T3981="","",IF($X3981&gt;N($X3980),$X3981,""))</f>
        <v/>
      </c>
      <c r="X3981">
        <f>IF($T3981="",N($X3980),IF(MATCH($T3981,$T$6:$T$6005,0)=ROW()-5,N($X3980)+1,N($X3980)))</f>
        <v/>
      </c>
      <c r="Z3981">
        <f>IF($V3981="","",IF($AA3981&gt;N($AA3980),$AA3981,""))</f>
        <v/>
      </c>
      <c r="AA3981">
        <f>IF($V3981="",N($AA3980),IF(MATCH($V3981,$V$6:$V$6005,0)=ROW()-5,N($AA3980)+1,N($AA3980)))</f>
        <v/>
      </c>
    </row>
    <row r="3982" ht="21" customHeight="1" s="66">
      <c r="A3982" s="56" t="n"/>
      <c r="B3982" s="57" t="n"/>
      <c r="C3982" s="57" t="n"/>
      <c r="D3982" s="57" t="n"/>
      <c r="E3982" s="56" t="n"/>
      <c r="F3982" s="57" t="n"/>
      <c r="G3982" s="57" t="n"/>
      <c r="H3982" s="56" t="n"/>
      <c r="I3982" s="56" t="n"/>
      <c r="J3982" s="58" t="n"/>
      <c r="K3982" s="58" t="n"/>
      <c r="L3982" s="13">
        <f>IF(OR($A3982="",AND($J3982="",$K3982="")),"",ROUND(N($J3982)-N($K3982),2))</f>
        <v/>
      </c>
      <c r="M3982" s="13">
        <f>IF(OR($A3982="",AND($J3982="",$K3982="")),"",MIN($J3982,$K3982))</f>
        <v/>
      </c>
      <c r="Q3982">
        <f>IF($A3982="","",$D3982&amp;"("&amp;SUBSTITUTE($E3982," ","")&amp;")")</f>
        <v/>
      </c>
      <c r="R3982">
        <f>IF($A3982="","",$B3982&amp;" - "&amp;$C3982)</f>
        <v/>
      </c>
      <c r="S3982">
        <f>IF($A3982="","",$R3982&amp;"|"&amp;$Q3982)</f>
        <v/>
      </c>
      <c r="T3982">
        <f>IF($A3982="","",$S3982&amp;"|"&amp;$F3982)</f>
        <v/>
      </c>
      <c r="U3982">
        <f>IF($A3982="","",$R3982&amp;"("&amp;$E3982&amp;")")</f>
        <v/>
      </c>
      <c r="V3982">
        <f>IF($A3982="","",$F3982&amp;"|"&amp;$U3982&amp;"|"&amp;$D3982)</f>
        <v/>
      </c>
      <c r="W3982">
        <f>IF($T3982="","",IF($X3982&gt;N($X3981),$X3982,""))</f>
        <v/>
      </c>
      <c r="X3982">
        <f>IF($T3982="",N($X3981),IF(MATCH($T3982,$T$6:$T$6005,0)=ROW()-5,N($X3981)+1,N($X3981)))</f>
        <v/>
      </c>
      <c r="Z3982">
        <f>IF($V3982="","",IF($AA3982&gt;N($AA3981),$AA3982,""))</f>
        <v/>
      </c>
      <c r="AA3982">
        <f>IF($V3982="",N($AA3981),IF(MATCH($V3982,$V$6:$V$6005,0)=ROW()-5,N($AA3981)+1,N($AA3981)))</f>
        <v/>
      </c>
    </row>
    <row r="3983" ht="21" customHeight="1" s="66">
      <c r="A3983" s="56" t="n"/>
      <c r="B3983" s="57" t="n"/>
      <c r="C3983" s="57" t="n"/>
      <c r="D3983" s="57" t="n"/>
      <c r="E3983" s="56" t="n"/>
      <c r="F3983" s="57" t="n"/>
      <c r="G3983" s="57" t="n"/>
      <c r="H3983" s="56" t="n"/>
      <c r="I3983" s="56" t="n"/>
      <c r="J3983" s="58" t="n"/>
      <c r="K3983" s="58" t="n"/>
      <c r="L3983" s="13">
        <f>IF(OR($A3983="",AND($J3983="",$K3983="")),"",ROUND(N($J3983)-N($K3983),2))</f>
        <v/>
      </c>
      <c r="M3983" s="13">
        <f>IF(OR($A3983="",AND($J3983="",$K3983="")),"",MIN($J3983,$K3983))</f>
        <v/>
      </c>
      <c r="Q3983">
        <f>IF($A3983="","",$D3983&amp;"("&amp;SUBSTITUTE($E3983," ","")&amp;")")</f>
        <v/>
      </c>
      <c r="R3983">
        <f>IF($A3983="","",$B3983&amp;" - "&amp;$C3983)</f>
        <v/>
      </c>
      <c r="S3983">
        <f>IF($A3983="","",$R3983&amp;"|"&amp;$Q3983)</f>
        <v/>
      </c>
      <c r="T3983">
        <f>IF($A3983="","",$S3983&amp;"|"&amp;$F3983)</f>
        <v/>
      </c>
      <c r="U3983">
        <f>IF($A3983="","",$R3983&amp;"("&amp;$E3983&amp;")")</f>
        <v/>
      </c>
      <c r="V3983">
        <f>IF($A3983="","",$F3983&amp;"|"&amp;$U3983&amp;"|"&amp;$D3983)</f>
        <v/>
      </c>
      <c r="W3983">
        <f>IF($T3983="","",IF($X3983&gt;N($X3982),$X3983,""))</f>
        <v/>
      </c>
      <c r="X3983">
        <f>IF($T3983="",N($X3982),IF(MATCH($T3983,$T$6:$T$6005,0)=ROW()-5,N($X3982)+1,N($X3982)))</f>
        <v/>
      </c>
      <c r="Z3983">
        <f>IF($V3983="","",IF($AA3983&gt;N($AA3982),$AA3983,""))</f>
        <v/>
      </c>
      <c r="AA3983">
        <f>IF($V3983="",N($AA3982),IF(MATCH($V3983,$V$6:$V$6005,0)=ROW()-5,N($AA3982)+1,N($AA3982)))</f>
        <v/>
      </c>
    </row>
    <row r="3984" ht="21" customHeight="1" s="66">
      <c r="A3984" s="56" t="n"/>
      <c r="B3984" s="57" t="n"/>
      <c r="C3984" s="57" t="n"/>
      <c r="D3984" s="57" t="n"/>
      <c r="E3984" s="56" t="n"/>
      <c r="F3984" s="57" t="n"/>
      <c r="G3984" s="57" t="n"/>
      <c r="H3984" s="56" t="n"/>
      <c r="I3984" s="56" t="n"/>
      <c r="J3984" s="58" t="n"/>
      <c r="K3984" s="58" t="n"/>
      <c r="L3984" s="13">
        <f>IF(OR($A3984="",AND($J3984="",$K3984="")),"",ROUND(N($J3984)-N($K3984),2))</f>
        <v/>
      </c>
      <c r="M3984" s="13">
        <f>IF(OR($A3984="",AND($J3984="",$K3984="")),"",MIN($J3984,$K3984))</f>
        <v/>
      </c>
      <c r="Q3984">
        <f>IF($A3984="","",$D3984&amp;"("&amp;SUBSTITUTE($E3984," ","")&amp;")")</f>
        <v/>
      </c>
      <c r="R3984">
        <f>IF($A3984="","",$B3984&amp;" - "&amp;$C3984)</f>
        <v/>
      </c>
      <c r="S3984">
        <f>IF($A3984="","",$R3984&amp;"|"&amp;$Q3984)</f>
        <v/>
      </c>
      <c r="T3984">
        <f>IF($A3984="","",$S3984&amp;"|"&amp;$F3984)</f>
        <v/>
      </c>
      <c r="U3984">
        <f>IF($A3984="","",$R3984&amp;"("&amp;$E3984&amp;")")</f>
        <v/>
      </c>
      <c r="V3984">
        <f>IF($A3984="","",$F3984&amp;"|"&amp;$U3984&amp;"|"&amp;$D3984)</f>
        <v/>
      </c>
      <c r="W3984">
        <f>IF($T3984="","",IF($X3984&gt;N($X3983),$X3984,""))</f>
        <v/>
      </c>
      <c r="X3984">
        <f>IF($T3984="",N($X3983),IF(MATCH($T3984,$T$6:$T$6005,0)=ROW()-5,N($X3983)+1,N($X3983)))</f>
        <v/>
      </c>
      <c r="Z3984">
        <f>IF($V3984="","",IF($AA3984&gt;N($AA3983),$AA3984,""))</f>
        <v/>
      </c>
      <c r="AA3984">
        <f>IF($V3984="",N($AA3983),IF(MATCH($V3984,$V$6:$V$6005,0)=ROW()-5,N($AA3983)+1,N($AA3983)))</f>
        <v/>
      </c>
    </row>
    <row r="3985" ht="21" customHeight="1" s="66">
      <c r="A3985" s="56" t="n"/>
      <c r="B3985" s="57" t="n"/>
      <c r="C3985" s="57" t="n"/>
      <c r="D3985" s="57" t="n"/>
      <c r="E3985" s="56" t="n"/>
      <c r="F3985" s="57" t="n"/>
      <c r="G3985" s="57" t="n"/>
      <c r="H3985" s="56" t="n"/>
      <c r="I3985" s="56" t="n"/>
      <c r="J3985" s="58" t="n"/>
      <c r="K3985" s="58" t="n"/>
      <c r="L3985" s="13">
        <f>IF(OR($A3985="",AND($J3985="",$K3985="")),"",ROUND(N($J3985)-N($K3985),2))</f>
        <v/>
      </c>
      <c r="M3985" s="13">
        <f>IF(OR($A3985="",AND($J3985="",$K3985="")),"",MIN($J3985,$K3985))</f>
        <v/>
      </c>
      <c r="Q3985">
        <f>IF($A3985="","",$D3985&amp;"("&amp;SUBSTITUTE($E3985," ","")&amp;")")</f>
        <v/>
      </c>
      <c r="R3985">
        <f>IF($A3985="","",$B3985&amp;" - "&amp;$C3985)</f>
        <v/>
      </c>
      <c r="S3985">
        <f>IF($A3985="","",$R3985&amp;"|"&amp;$Q3985)</f>
        <v/>
      </c>
      <c r="T3985">
        <f>IF($A3985="","",$S3985&amp;"|"&amp;$F3985)</f>
        <v/>
      </c>
      <c r="U3985">
        <f>IF($A3985="","",$R3985&amp;"("&amp;$E3985&amp;")")</f>
        <v/>
      </c>
      <c r="V3985">
        <f>IF($A3985="","",$F3985&amp;"|"&amp;$U3985&amp;"|"&amp;$D3985)</f>
        <v/>
      </c>
      <c r="W3985">
        <f>IF($T3985="","",IF($X3985&gt;N($X3984),$X3985,""))</f>
        <v/>
      </c>
      <c r="X3985">
        <f>IF($T3985="",N($X3984),IF(MATCH($T3985,$T$6:$T$6005,0)=ROW()-5,N($X3984)+1,N($X3984)))</f>
        <v/>
      </c>
      <c r="Z3985">
        <f>IF($V3985="","",IF($AA3985&gt;N($AA3984),$AA3985,""))</f>
        <v/>
      </c>
      <c r="AA3985">
        <f>IF($V3985="",N($AA3984),IF(MATCH($V3985,$V$6:$V$6005,0)=ROW()-5,N($AA3984)+1,N($AA3984)))</f>
        <v/>
      </c>
    </row>
    <row r="3986" ht="21" customHeight="1" s="66">
      <c r="A3986" s="56" t="n"/>
      <c r="B3986" s="57" t="n"/>
      <c r="C3986" s="57" t="n"/>
      <c r="D3986" s="57" t="n"/>
      <c r="E3986" s="56" t="n"/>
      <c r="F3986" s="57" t="n"/>
      <c r="G3986" s="57" t="n"/>
      <c r="H3986" s="56" t="n"/>
      <c r="I3986" s="56" t="n"/>
      <c r="J3986" s="58" t="n"/>
      <c r="K3986" s="58" t="n"/>
      <c r="L3986" s="13">
        <f>IF(OR($A3986="",AND($J3986="",$K3986="")),"",ROUND(N($J3986)-N($K3986),2))</f>
        <v/>
      </c>
      <c r="M3986" s="13">
        <f>IF(OR($A3986="",AND($J3986="",$K3986="")),"",MIN($J3986,$K3986))</f>
        <v/>
      </c>
      <c r="Q3986">
        <f>IF($A3986="","",$D3986&amp;"("&amp;SUBSTITUTE($E3986," ","")&amp;")")</f>
        <v/>
      </c>
      <c r="R3986">
        <f>IF($A3986="","",$B3986&amp;" - "&amp;$C3986)</f>
        <v/>
      </c>
      <c r="S3986">
        <f>IF($A3986="","",$R3986&amp;"|"&amp;$Q3986)</f>
        <v/>
      </c>
      <c r="T3986">
        <f>IF($A3986="","",$S3986&amp;"|"&amp;$F3986)</f>
        <v/>
      </c>
      <c r="U3986">
        <f>IF($A3986="","",$R3986&amp;"("&amp;$E3986&amp;")")</f>
        <v/>
      </c>
      <c r="V3986">
        <f>IF($A3986="","",$F3986&amp;"|"&amp;$U3986&amp;"|"&amp;$D3986)</f>
        <v/>
      </c>
      <c r="W3986">
        <f>IF($T3986="","",IF($X3986&gt;N($X3985),$X3986,""))</f>
        <v/>
      </c>
      <c r="X3986">
        <f>IF($T3986="",N($X3985),IF(MATCH($T3986,$T$6:$T$6005,0)=ROW()-5,N($X3985)+1,N($X3985)))</f>
        <v/>
      </c>
      <c r="Z3986">
        <f>IF($V3986="","",IF($AA3986&gt;N($AA3985),$AA3986,""))</f>
        <v/>
      </c>
      <c r="AA3986">
        <f>IF($V3986="",N($AA3985),IF(MATCH($V3986,$V$6:$V$6005,0)=ROW()-5,N($AA3985)+1,N($AA3985)))</f>
        <v/>
      </c>
    </row>
    <row r="3987" ht="21" customHeight="1" s="66">
      <c r="A3987" s="56" t="n"/>
      <c r="B3987" s="57" t="n"/>
      <c r="C3987" s="57" t="n"/>
      <c r="D3987" s="57" t="n"/>
      <c r="E3987" s="56" t="n"/>
      <c r="F3987" s="57" t="n"/>
      <c r="G3987" s="57" t="n"/>
      <c r="H3987" s="56" t="n"/>
      <c r="I3987" s="56" t="n"/>
      <c r="J3987" s="58" t="n"/>
      <c r="K3987" s="58" t="n"/>
      <c r="L3987" s="13">
        <f>IF(OR($A3987="",AND($J3987="",$K3987="")),"",ROUND(N($J3987)-N($K3987),2))</f>
        <v/>
      </c>
      <c r="M3987" s="13">
        <f>IF(OR($A3987="",AND($J3987="",$K3987="")),"",MIN($J3987,$K3987))</f>
        <v/>
      </c>
      <c r="Q3987">
        <f>IF($A3987="","",$D3987&amp;"("&amp;SUBSTITUTE($E3987," ","")&amp;")")</f>
        <v/>
      </c>
      <c r="R3987">
        <f>IF($A3987="","",$B3987&amp;" - "&amp;$C3987)</f>
        <v/>
      </c>
      <c r="S3987">
        <f>IF($A3987="","",$R3987&amp;"|"&amp;$Q3987)</f>
        <v/>
      </c>
      <c r="T3987">
        <f>IF($A3987="","",$S3987&amp;"|"&amp;$F3987)</f>
        <v/>
      </c>
      <c r="U3987">
        <f>IF($A3987="","",$R3987&amp;"("&amp;$E3987&amp;")")</f>
        <v/>
      </c>
      <c r="V3987">
        <f>IF($A3987="","",$F3987&amp;"|"&amp;$U3987&amp;"|"&amp;$D3987)</f>
        <v/>
      </c>
      <c r="W3987">
        <f>IF($T3987="","",IF($X3987&gt;N($X3986),$X3987,""))</f>
        <v/>
      </c>
      <c r="X3987">
        <f>IF($T3987="",N($X3986),IF(MATCH($T3987,$T$6:$T$6005,0)=ROW()-5,N($X3986)+1,N($X3986)))</f>
        <v/>
      </c>
      <c r="Z3987">
        <f>IF($V3987="","",IF($AA3987&gt;N($AA3986),$AA3987,""))</f>
        <v/>
      </c>
      <c r="AA3987">
        <f>IF($V3987="",N($AA3986),IF(MATCH($V3987,$V$6:$V$6005,0)=ROW()-5,N($AA3986)+1,N($AA3986)))</f>
        <v/>
      </c>
    </row>
    <row r="3988" ht="21" customHeight="1" s="66">
      <c r="A3988" s="56" t="n"/>
      <c r="B3988" s="57" t="n"/>
      <c r="C3988" s="57" t="n"/>
      <c r="D3988" s="57" t="n"/>
      <c r="E3988" s="56" t="n"/>
      <c r="F3988" s="57" t="n"/>
      <c r="G3988" s="57" t="n"/>
      <c r="H3988" s="56" t="n"/>
      <c r="I3988" s="56" t="n"/>
      <c r="J3988" s="58" t="n"/>
      <c r="K3988" s="58" t="n"/>
      <c r="L3988" s="13">
        <f>IF(OR($A3988="",AND($J3988="",$K3988="")),"",ROUND(N($J3988)-N($K3988),2))</f>
        <v/>
      </c>
      <c r="M3988" s="13">
        <f>IF(OR($A3988="",AND($J3988="",$K3988="")),"",MIN($J3988,$K3988))</f>
        <v/>
      </c>
      <c r="Q3988">
        <f>IF($A3988="","",$D3988&amp;"("&amp;SUBSTITUTE($E3988," ","")&amp;")")</f>
        <v/>
      </c>
      <c r="R3988">
        <f>IF($A3988="","",$B3988&amp;" - "&amp;$C3988)</f>
        <v/>
      </c>
      <c r="S3988">
        <f>IF($A3988="","",$R3988&amp;"|"&amp;$Q3988)</f>
        <v/>
      </c>
      <c r="T3988">
        <f>IF($A3988="","",$S3988&amp;"|"&amp;$F3988)</f>
        <v/>
      </c>
      <c r="U3988">
        <f>IF($A3988="","",$R3988&amp;"("&amp;$E3988&amp;")")</f>
        <v/>
      </c>
      <c r="V3988">
        <f>IF($A3988="","",$F3988&amp;"|"&amp;$U3988&amp;"|"&amp;$D3988)</f>
        <v/>
      </c>
      <c r="W3988">
        <f>IF($T3988="","",IF($X3988&gt;N($X3987),$X3988,""))</f>
        <v/>
      </c>
      <c r="X3988">
        <f>IF($T3988="",N($X3987),IF(MATCH($T3988,$T$6:$T$6005,0)=ROW()-5,N($X3987)+1,N($X3987)))</f>
        <v/>
      </c>
      <c r="Z3988">
        <f>IF($V3988="","",IF($AA3988&gt;N($AA3987),$AA3988,""))</f>
        <v/>
      </c>
      <c r="AA3988">
        <f>IF($V3988="",N($AA3987),IF(MATCH($V3988,$V$6:$V$6005,0)=ROW()-5,N($AA3987)+1,N($AA3987)))</f>
        <v/>
      </c>
    </row>
    <row r="3989" ht="21" customHeight="1" s="66">
      <c r="A3989" s="56" t="n"/>
      <c r="B3989" s="57" t="n"/>
      <c r="C3989" s="57" t="n"/>
      <c r="D3989" s="57" t="n"/>
      <c r="E3989" s="56" t="n"/>
      <c r="F3989" s="57" t="n"/>
      <c r="G3989" s="57" t="n"/>
      <c r="H3989" s="56" t="n"/>
      <c r="I3989" s="56" t="n"/>
      <c r="J3989" s="58" t="n"/>
      <c r="K3989" s="58" t="n"/>
      <c r="L3989" s="13">
        <f>IF(OR($A3989="",AND($J3989="",$K3989="")),"",ROUND(N($J3989)-N($K3989),2))</f>
        <v/>
      </c>
      <c r="M3989" s="13">
        <f>IF(OR($A3989="",AND($J3989="",$K3989="")),"",MIN($J3989,$K3989))</f>
        <v/>
      </c>
      <c r="Q3989">
        <f>IF($A3989="","",$D3989&amp;"("&amp;SUBSTITUTE($E3989," ","")&amp;")")</f>
        <v/>
      </c>
      <c r="R3989">
        <f>IF($A3989="","",$B3989&amp;" - "&amp;$C3989)</f>
        <v/>
      </c>
      <c r="S3989">
        <f>IF($A3989="","",$R3989&amp;"|"&amp;$Q3989)</f>
        <v/>
      </c>
      <c r="T3989">
        <f>IF($A3989="","",$S3989&amp;"|"&amp;$F3989)</f>
        <v/>
      </c>
      <c r="U3989">
        <f>IF($A3989="","",$R3989&amp;"("&amp;$E3989&amp;")")</f>
        <v/>
      </c>
      <c r="V3989">
        <f>IF($A3989="","",$F3989&amp;"|"&amp;$U3989&amp;"|"&amp;$D3989)</f>
        <v/>
      </c>
      <c r="W3989">
        <f>IF($T3989="","",IF($X3989&gt;N($X3988),$X3989,""))</f>
        <v/>
      </c>
      <c r="X3989">
        <f>IF($T3989="",N($X3988),IF(MATCH($T3989,$T$6:$T$6005,0)=ROW()-5,N($X3988)+1,N($X3988)))</f>
        <v/>
      </c>
      <c r="Z3989">
        <f>IF($V3989="","",IF($AA3989&gt;N($AA3988),$AA3989,""))</f>
        <v/>
      </c>
      <c r="AA3989">
        <f>IF($V3989="",N($AA3988),IF(MATCH($V3989,$V$6:$V$6005,0)=ROW()-5,N($AA3988)+1,N($AA3988)))</f>
        <v/>
      </c>
    </row>
    <row r="3990" ht="21" customHeight="1" s="66">
      <c r="A3990" s="56" t="n"/>
      <c r="B3990" s="57" t="n"/>
      <c r="C3990" s="57" t="n"/>
      <c r="D3990" s="57" t="n"/>
      <c r="E3990" s="56" t="n"/>
      <c r="F3990" s="57" t="n"/>
      <c r="G3990" s="57" t="n"/>
      <c r="H3990" s="56" t="n"/>
      <c r="I3990" s="56" t="n"/>
      <c r="J3990" s="58" t="n"/>
      <c r="K3990" s="58" t="n"/>
      <c r="L3990" s="13">
        <f>IF(OR($A3990="",AND($J3990="",$K3990="")),"",ROUND(N($J3990)-N($K3990),2))</f>
        <v/>
      </c>
      <c r="M3990" s="13">
        <f>IF(OR($A3990="",AND($J3990="",$K3990="")),"",MIN($J3990,$K3990))</f>
        <v/>
      </c>
      <c r="Q3990">
        <f>IF($A3990="","",$D3990&amp;"("&amp;SUBSTITUTE($E3990," ","")&amp;")")</f>
        <v/>
      </c>
      <c r="R3990">
        <f>IF($A3990="","",$B3990&amp;" - "&amp;$C3990)</f>
        <v/>
      </c>
      <c r="S3990">
        <f>IF($A3990="","",$R3990&amp;"|"&amp;$Q3990)</f>
        <v/>
      </c>
      <c r="T3990">
        <f>IF($A3990="","",$S3990&amp;"|"&amp;$F3990)</f>
        <v/>
      </c>
      <c r="U3990">
        <f>IF($A3990="","",$R3990&amp;"("&amp;$E3990&amp;")")</f>
        <v/>
      </c>
      <c r="V3990">
        <f>IF($A3990="","",$F3990&amp;"|"&amp;$U3990&amp;"|"&amp;$D3990)</f>
        <v/>
      </c>
      <c r="W3990">
        <f>IF($T3990="","",IF($X3990&gt;N($X3989),$X3990,""))</f>
        <v/>
      </c>
      <c r="X3990">
        <f>IF($T3990="",N($X3989),IF(MATCH($T3990,$T$6:$T$6005,0)=ROW()-5,N($X3989)+1,N($X3989)))</f>
        <v/>
      </c>
      <c r="Z3990">
        <f>IF($V3990="","",IF($AA3990&gt;N($AA3989),$AA3990,""))</f>
        <v/>
      </c>
      <c r="AA3990">
        <f>IF($V3990="",N($AA3989),IF(MATCH($V3990,$V$6:$V$6005,0)=ROW()-5,N($AA3989)+1,N($AA3989)))</f>
        <v/>
      </c>
    </row>
    <row r="3991" ht="21" customHeight="1" s="66">
      <c r="A3991" s="56" t="n"/>
      <c r="B3991" s="57" t="n"/>
      <c r="C3991" s="57" t="n"/>
      <c r="D3991" s="57" t="n"/>
      <c r="E3991" s="56" t="n"/>
      <c r="F3991" s="57" t="n"/>
      <c r="G3991" s="57" t="n"/>
      <c r="H3991" s="56" t="n"/>
      <c r="I3991" s="56" t="n"/>
      <c r="J3991" s="58" t="n"/>
      <c r="K3991" s="58" t="n"/>
      <c r="L3991" s="13">
        <f>IF(OR($A3991="",AND($J3991="",$K3991="")),"",ROUND(N($J3991)-N($K3991),2))</f>
        <v/>
      </c>
      <c r="M3991" s="13">
        <f>IF(OR($A3991="",AND($J3991="",$K3991="")),"",MIN($J3991,$K3991))</f>
        <v/>
      </c>
      <c r="Q3991">
        <f>IF($A3991="","",$D3991&amp;"("&amp;SUBSTITUTE($E3991," ","")&amp;")")</f>
        <v/>
      </c>
      <c r="R3991">
        <f>IF($A3991="","",$B3991&amp;" - "&amp;$C3991)</f>
        <v/>
      </c>
      <c r="S3991">
        <f>IF($A3991="","",$R3991&amp;"|"&amp;$Q3991)</f>
        <v/>
      </c>
      <c r="T3991">
        <f>IF($A3991="","",$S3991&amp;"|"&amp;$F3991)</f>
        <v/>
      </c>
      <c r="U3991">
        <f>IF($A3991="","",$R3991&amp;"("&amp;$E3991&amp;")")</f>
        <v/>
      </c>
      <c r="V3991">
        <f>IF($A3991="","",$F3991&amp;"|"&amp;$U3991&amp;"|"&amp;$D3991)</f>
        <v/>
      </c>
      <c r="W3991">
        <f>IF($T3991="","",IF($X3991&gt;N($X3990),$X3991,""))</f>
        <v/>
      </c>
      <c r="X3991">
        <f>IF($T3991="",N($X3990),IF(MATCH($T3991,$T$6:$T$6005,0)=ROW()-5,N($X3990)+1,N($X3990)))</f>
        <v/>
      </c>
      <c r="Z3991">
        <f>IF($V3991="","",IF($AA3991&gt;N($AA3990),$AA3991,""))</f>
        <v/>
      </c>
      <c r="AA3991">
        <f>IF($V3991="",N($AA3990),IF(MATCH($V3991,$V$6:$V$6005,0)=ROW()-5,N($AA3990)+1,N($AA3990)))</f>
        <v/>
      </c>
    </row>
    <row r="3992" ht="21" customHeight="1" s="66">
      <c r="A3992" s="56" t="n"/>
      <c r="B3992" s="57" t="n"/>
      <c r="C3992" s="57" t="n"/>
      <c r="D3992" s="57" t="n"/>
      <c r="E3992" s="56" t="n"/>
      <c r="F3992" s="57" t="n"/>
      <c r="G3992" s="57" t="n"/>
      <c r="H3992" s="56" t="n"/>
      <c r="I3992" s="56" t="n"/>
      <c r="J3992" s="58" t="n"/>
      <c r="K3992" s="58" t="n"/>
      <c r="L3992" s="13">
        <f>IF(OR($A3992="",AND($J3992="",$K3992="")),"",ROUND(N($J3992)-N($K3992),2))</f>
        <v/>
      </c>
      <c r="M3992" s="13">
        <f>IF(OR($A3992="",AND($J3992="",$K3992="")),"",MIN($J3992,$K3992))</f>
        <v/>
      </c>
      <c r="Q3992">
        <f>IF($A3992="","",$D3992&amp;"("&amp;SUBSTITUTE($E3992," ","")&amp;")")</f>
        <v/>
      </c>
      <c r="R3992">
        <f>IF($A3992="","",$B3992&amp;" - "&amp;$C3992)</f>
        <v/>
      </c>
      <c r="S3992">
        <f>IF($A3992="","",$R3992&amp;"|"&amp;$Q3992)</f>
        <v/>
      </c>
      <c r="T3992">
        <f>IF($A3992="","",$S3992&amp;"|"&amp;$F3992)</f>
        <v/>
      </c>
      <c r="U3992">
        <f>IF($A3992="","",$R3992&amp;"("&amp;$E3992&amp;")")</f>
        <v/>
      </c>
      <c r="V3992">
        <f>IF($A3992="","",$F3992&amp;"|"&amp;$U3992&amp;"|"&amp;$D3992)</f>
        <v/>
      </c>
      <c r="W3992">
        <f>IF($T3992="","",IF($X3992&gt;N($X3991),$X3992,""))</f>
        <v/>
      </c>
      <c r="X3992">
        <f>IF($T3992="",N($X3991),IF(MATCH($T3992,$T$6:$T$6005,0)=ROW()-5,N($X3991)+1,N($X3991)))</f>
        <v/>
      </c>
      <c r="Z3992">
        <f>IF($V3992="","",IF($AA3992&gt;N($AA3991),$AA3992,""))</f>
        <v/>
      </c>
      <c r="AA3992">
        <f>IF($V3992="",N($AA3991),IF(MATCH($V3992,$V$6:$V$6005,0)=ROW()-5,N($AA3991)+1,N($AA3991)))</f>
        <v/>
      </c>
    </row>
    <row r="3993" ht="21" customHeight="1" s="66">
      <c r="A3993" s="56" t="n"/>
      <c r="B3993" s="57" t="n"/>
      <c r="C3993" s="57" t="n"/>
      <c r="D3993" s="57" t="n"/>
      <c r="E3993" s="56" t="n"/>
      <c r="F3993" s="57" t="n"/>
      <c r="G3993" s="57" t="n"/>
      <c r="H3993" s="56" t="n"/>
      <c r="I3993" s="56" t="n"/>
      <c r="J3993" s="58" t="n"/>
      <c r="K3993" s="58" t="n"/>
      <c r="L3993" s="13">
        <f>IF(OR($A3993="",AND($J3993="",$K3993="")),"",ROUND(N($J3993)-N($K3993),2))</f>
        <v/>
      </c>
      <c r="M3993" s="13">
        <f>IF(OR($A3993="",AND($J3993="",$K3993="")),"",MIN($J3993,$K3993))</f>
        <v/>
      </c>
      <c r="Q3993">
        <f>IF($A3993="","",$D3993&amp;"("&amp;SUBSTITUTE($E3993," ","")&amp;")")</f>
        <v/>
      </c>
      <c r="R3993">
        <f>IF($A3993="","",$B3993&amp;" - "&amp;$C3993)</f>
        <v/>
      </c>
      <c r="S3993">
        <f>IF($A3993="","",$R3993&amp;"|"&amp;$Q3993)</f>
        <v/>
      </c>
      <c r="T3993">
        <f>IF($A3993="","",$S3993&amp;"|"&amp;$F3993)</f>
        <v/>
      </c>
      <c r="U3993">
        <f>IF($A3993="","",$R3993&amp;"("&amp;$E3993&amp;")")</f>
        <v/>
      </c>
      <c r="V3993">
        <f>IF($A3993="","",$F3993&amp;"|"&amp;$U3993&amp;"|"&amp;$D3993)</f>
        <v/>
      </c>
      <c r="W3993">
        <f>IF($T3993="","",IF($X3993&gt;N($X3992),$X3993,""))</f>
        <v/>
      </c>
      <c r="X3993">
        <f>IF($T3993="",N($X3992),IF(MATCH($T3993,$T$6:$T$6005,0)=ROW()-5,N($X3992)+1,N($X3992)))</f>
        <v/>
      </c>
      <c r="Z3993">
        <f>IF($V3993="","",IF($AA3993&gt;N($AA3992),$AA3993,""))</f>
        <v/>
      </c>
      <c r="AA3993">
        <f>IF($V3993="",N($AA3992),IF(MATCH($V3993,$V$6:$V$6005,0)=ROW()-5,N($AA3992)+1,N($AA3992)))</f>
        <v/>
      </c>
    </row>
    <row r="3994" ht="21" customHeight="1" s="66">
      <c r="A3994" s="56" t="n"/>
      <c r="B3994" s="57" t="n"/>
      <c r="C3994" s="57" t="n"/>
      <c r="D3994" s="57" t="n"/>
      <c r="E3994" s="56" t="n"/>
      <c r="F3994" s="57" t="n"/>
      <c r="G3994" s="57" t="n"/>
      <c r="H3994" s="56" t="n"/>
      <c r="I3994" s="56" t="n"/>
      <c r="J3994" s="58" t="n"/>
      <c r="K3994" s="58" t="n"/>
      <c r="L3994" s="13">
        <f>IF(OR($A3994="",AND($J3994="",$K3994="")),"",ROUND(N($J3994)-N($K3994),2))</f>
        <v/>
      </c>
      <c r="M3994" s="13">
        <f>IF(OR($A3994="",AND($J3994="",$K3994="")),"",MIN($J3994,$K3994))</f>
        <v/>
      </c>
      <c r="Q3994">
        <f>IF($A3994="","",$D3994&amp;"("&amp;SUBSTITUTE($E3994," ","")&amp;")")</f>
        <v/>
      </c>
      <c r="R3994">
        <f>IF($A3994="","",$B3994&amp;" - "&amp;$C3994)</f>
        <v/>
      </c>
      <c r="S3994">
        <f>IF($A3994="","",$R3994&amp;"|"&amp;$Q3994)</f>
        <v/>
      </c>
      <c r="T3994">
        <f>IF($A3994="","",$S3994&amp;"|"&amp;$F3994)</f>
        <v/>
      </c>
      <c r="U3994">
        <f>IF($A3994="","",$R3994&amp;"("&amp;$E3994&amp;")")</f>
        <v/>
      </c>
      <c r="V3994">
        <f>IF($A3994="","",$F3994&amp;"|"&amp;$U3994&amp;"|"&amp;$D3994)</f>
        <v/>
      </c>
      <c r="W3994">
        <f>IF($T3994="","",IF($X3994&gt;N($X3993),$X3994,""))</f>
        <v/>
      </c>
      <c r="X3994">
        <f>IF($T3994="",N($X3993),IF(MATCH($T3994,$T$6:$T$6005,0)=ROW()-5,N($X3993)+1,N($X3993)))</f>
        <v/>
      </c>
      <c r="Z3994">
        <f>IF($V3994="","",IF($AA3994&gt;N($AA3993),$AA3994,""))</f>
        <v/>
      </c>
      <c r="AA3994">
        <f>IF($V3994="",N($AA3993),IF(MATCH($V3994,$V$6:$V$6005,0)=ROW()-5,N($AA3993)+1,N($AA3993)))</f>
        <v/>
      </c>
    </row>
    <row r="3995" ht="21" customHeight="1" s="66">
      <c r="A3995" s="56" t="n"/>
      <c r="B3995" s="57" t="n"/>
      <c r="C3995" s="57" t="n"/>
      <c r="D3995" s="57" t="n"/>
      <c r="E3995" s="56" t="n"/>
      <c r="F3995" s="57" t="n"/>
      <c r="G3995" s="57" t="n"/>
      <c r="H3995" s="56" t="n"/>
      <c r="I3995" s="56" t="n"/>
      <c r="J3995" s="58" t="n"/>
      <c r="K3995" s="58" t="n"/>
      <c r="L3995" s="13">
        <f>IF(OR($A3995="",AND($J3995="",$K3995="")),"",ROUND(N($J3995)-N($K3995),2))</f>
        <v/>
      </c>
      <c r="M3995" s="13">
        <f>IF(OR($A3995="",AND($J3995="",$K3995="")),"",MIN($J3995,$K3995))</f>
        <v/>
      </c>
      <c r="Q3995">
        <f>IF($A3995="","",$D3995&amp;"("&amp;SUBSTITUTE($E3995," ","")&amp;")")</f>
        <v/>
      </c>
      <c r="R3995">
        <f>IF($A3995="","",$B3995&amp;" - "&amp;$C3995)</f>
        <v/>
      </c>
      <c r="S3995">
        <f>IF($A3995="","",$R3995&amp;"|"&amp;$Q3995)</f>
        <v/>
      </c>
      <c r="T3995">
        <f>IF($A3995="","",$S3995&amp;"|"&amp;$F3995)</f>
        <v/>
      </c>
      <c r="U3995">
        <f>IF($A3995="","",$R3995&amp;"("&amp;$E3995&amp;")")</f>
        <v/>
      </c>
      <c r="V3995">
        <f>IF($A3995="","",$F3995&amp;"|"&amp;$U3995&amp;"|"&amp;$D3995)</f>
        <v/>
      </c>
      <c r="W3995">
        <f>IF($T3995="","",IF($X3995&gt;N($X3994),$X3995,""))</f>
        <v/>
      </c>
      <c r="X3995">
        <f>IF($T3995="",N($X3994),IF(MATCH($T3995,$T$6:$T$6005,0)=ROW()-5,N($X3994)+1,N($X3994)))</f>
        <v/>
      </c>
      <c r="Z3995">
        <f>IF($V3995="","",IF($AA3995&gt;N($AA3994),$AA3995,""))</f>
        <v/>
      </c>
      <c r="AA3995">
        <f>IF($V3995="",N($AA3994),IF(MATCH($V3995,$V$6:$V$6005,0)=ROW()-5,N($AA3994)+1,N($AA3994)))</f>
        <v/>
      </c>
    </row>
    <row r="3996" ht="21" customHeight="1" s="66">
      <c r="A3996" s="56" t="n"/>
      <c r="B3996" s="57" t="n"/>
      <c r="C3996" s="57" t="n"/>
      <c r="D3996" s="57" t="n"/>
      <c r="E3996" s="56" t="n"/>
      <c r="F3996" s="57" t="n"/>
      <c r="G3996" s="57" t="n"/>
      <c r="H3996" s="56" t="n"/>
      <c r="I3996" s="56" t="n"/>
      <c r="J3996" s="58" t="n"/>
      <c r="K3996" s="58" t="n"/>
      <c r="L3996" s="13">
        <f>IF(OR($A3996="",AND($J3996="",$K3996="")),"",ROUND(N($J3996)-N($K3996),2))</f>
        <v/>
      </c>
      <c r="M3996" s="13">
        <f>IF(OR($A3996="",AND($J3996="",$K3996="")),"",MIN($J3996,$K3996))</f>
        <v/>
      </c>
      <c r="Q3996">
        <f>IF($A3996="","",$D3996&amp;"("&amp;SUBSTITUTE($E3996," ","")&amp;")")</f>
        <v/>
      </c>
      <c r="R3996">
        <f>IF($A3996="","",$B3996&amp;" - "&amp;$C3996)</f>
        <v/>
      </c>
      <c r="S3996">
        <f>IF($A3996="","",$R3996&amp;"|"&amp;$Q3996)</f>
        <v/>
      </c>
      <c r="T3996">
        <f>IF($A3996="","",$S3996&amp;"|"&amp;$F3996)</f>
        <v/>
      </c>
      <c r="U3996">
        <f>IF($A3996="","",$R3996&amp;"("&amp;$E3996&amp;")")</f>
        <v/>
      </c>
      <c r="V3996">
        <f>IF($A3996="","",$F3996&amp;"|"&amp;$U3996&amp;"|"&amp;$D3996)</f>
        <v/>
      </c>
      <c r="W3996">
        <f>IF($T3996="","",IF($X3996&gt;N($X3995),$X3996,""))</f>
        <v/>
      </c>
      <c r="X3996">
        <f>IF($T3996="",N($X3995),IF(MATCH($T3996,$T$6:$T$6005,0)=ROW()-5,N($X3995)+1,N($X3995)))</f>
        <v/>
      </c>
      <c r="Z3996">
        <f>IF($V3996="","",IF($AA3996&gt;N($AA3995),$AA3996,""))</f>
        <v/>
      </c>
      <c r="AA3996">
        <f>IF($V3996="",N($AA3995),IF(MATCH($V3996,$V$6:$V$6005,0)=ROW()-5,N($AA3995)+1,N($AA3995)))</f>
        <v/>
      </c>
    </row>
    <row r="3997" ht="21" customHeight="1" s="66">
      <c r="A3997" s="56" t="n"/>
      <c r="B3997" s="57" t="n"/>
      <c r="C3997" s="57" t="n"/>
      <c r="D3997" s="57" t="n"/>
      <c r="E3997" s="56" t="n"/>
      <c r="F3997" s="57" t="n"/>
      <c r="G3997" s="57" t="n"/>
      <c r="H3997" s="56" t="n"/>
      <c r="I3997" s="56" t="n"/>
      <c r="J3997" s="58" t="n"/>
      <c r="K3997" s="58" t="n"/>
      <c r="L3997" s="13">
        <f>IF(OR($A3997="",AND($J3997="",$K3997="")),"",ROUND(N($J3997)-N($K3997),2))</f>
        <v/>
      </c>
      <c r="M3997" s="13">
        <f>IF(OR($A3997="",AND($J3997="",$K3997="")),"",MIN($J3997,$K3997))</f>
        <v/>
      </c>
      <c r="Q3997">
        <f>IF($A3997="","",$D3997&amp;"("&amp;SUBSTITUTE($E3997," ","")&amp;")")</f>
        <v/>
      </c>
      <c r="R3997">
        <f>IF($A3997="","",$B3997&amp;" - "&amp;$C3997)</f>
        <v/>
      </c>
      <c r="S3997">
        <f>IF($A3997="","",$R3997&amp;"|"&amp;$Q3997)</f>
        <v/>
      </c>
      <c r="T3997">
        <f>IF($A3997="","",$S3997&amp;"|"&amp;$F3997)</f>
        <v/>
      </c>
      <c r="U3997">
        <f>IF($A3997="","",$R3997&amp;"("&amp;$E3997&amp;")")</f>
        <v/>
      </c>
      <c r="V3997">
        <f>IF($A3997="","",$F3997&amp;"|"&amp;$U3997&amp;"|"&amp;$D3997)</f>
        <v/>
      </c>
      <c r="W3997">
        <f>IF($T3997="","",IF($X3997&gt;N($X3996),$X3997,""))</f>
        <v/>
      </c>
      <c r="X3997">
        <f>IF($T3997="",N($X3996),IF(MATCH($T3997,$T$6:$T$6005,0)=ROW()-5,N($X3996)+1,N($X3996)))</f>
        <v/>
      </c>
      <c r="Z3997">
        <f>IF($V3997="","",IF($AA3997&gt;N($AA3996),$AA3997,""))</f>
        <v/>
      </c>
      <c r="AA3997">
        <f>IF($V3997="",N($AA3996),IF(MATCH($V3997,$V$6:$V$6005,0)=ROW()-5,N($AA3996)+1,N($AA3996)))</f>
        <v/>
      </c>
    </row>
    <row r="3998" ht="21" customHeight="1" s="66">
      <c r="A3998" s="56" t="n"/>
      <c r="B3998" s="57" t="n"/>
      <c r="C3998" s="57" t="n"/>
      <c r="D3998" s="57" t="n"/>
      <c r="E3998" s="56" t="n"/>
      <c r="F3998" s="57" t="n"/>
      <c r="G3998" s="57" t="n"/>
      <c r="H3998" s="56" t="n"/>
      <c r="I3998" s="56" t="n"/>
      <c r="J3998" s="58" t="n"/>
      <c r="K3998" s="58" t="n"/>
      <c r="L3998" s="13">
        <f>IF(OR($A3998="",AND($J3998="",$K3998="")),"",ROUND(N($J3998)-N($K3998),2))</f>
        <v/>
      </c>
      <c r="M3998" s="13">
        <f>IF(OR($A3998="",AND($J3998="",$K3998="")),"",MIN($J3998,$K3998))</f>
        <v/>
      </c>
      <c r="Q3998">
        <f>IF($A3998="","",$D3998&amp;"("&amp;SUBSTITUTE($E3998," ","")&amp;")")</f>
        <v/>
      </c>
      <c r="R3998">
        <f>IF($A3998="","",$B3998&amp;" - "&amp;$C3998)</f>
        <v/>
      </c>
      <c r="S3998">
        <f>IF($A3998="","",$R3998&amp;"|"&amp;$Q3998)</f>
        <v/>
      </c>
      <c r="T3998">
        <f>IF($A3998="","",$S3998&amp;"|"&amp;$F3998)</f>
        <v/>
      </c>
      <c r="U3998">
        <f>IF($A3998="","",$R3998&amp;"("&amp;$E3998&amp;")")</f>
        <v/>
      </c>
      <c r="V3998">
        <f>IF($A3998="","",$F3998&amp;"|"&amp;$U3998&amp;"|"&amp;$D3998)</f>
        <v/>
      </c>
      <c r="W3998">
        <f>IF($T3998="","",IF($X3998&gt;N($X3997),$X3998,""))</f>
        <v/>
      </c>
      <c r="X3998">
        <f>IF($T3998="",N($X3997),IF(MATCH($T3998,$T$6:$T$6005,0)=ROW()-5,N($X3997)+1,N($X3997)))</f>
        <v/>
      </c>
      <c r="Z3998">
        <f>IF($V3998="","",IF($AA3998&gt;N($AA3997),$AA3998,""))</f>
        <v/>
      </c>
      <c r="AA3998">
        <f>IF($V3998="",N($AA3997),IF(MATCH($V3998,$V$6:$V$6005,0)=ROW()-5,N($AA3997)+1,N($AA3997)))</f>
        <v/>
      </c>
    </row>
    <row r="3999" ht="21" customHeight="1" s="66">
      <c r="A3999" s="56" t="n"/>
      <c r="B3999" s="57" t="n"/>
      <c r="C3999" s="57" t="n"/>
      <c r="D3999" s="57" t="n"/>
      <c r="E3999" s="56" t="n"/>
      <c r="F3999" s="57" t="n"/>
      <c r="G3999" s="57" t="n"/>
      <c r="H3999" s="56" t="n"/>
      <c r="I3999" s="56" t="n"/>
      <c r="J3999" s="58" t="n"/>
      <c r="K3999" s="58" t="n"/>
      <c r="L3999" s="13">
        <f>IF(OR($A3999="",AND($J3999="",$K3999="")),"",ROUND(N($J3999)-N($K3999),2))</f>
        <v/>
      </c>
      <c r="M3999" s="13">
        <f>IF(OR($A3999="",AND($J3999="",$K3999="")),"",MIN($J3999,$K3999))</f>
        <v/>
      </c>
      <c r="Q3999">
        <f>IF($A3999="","",$D3999&amp;"("&amp;SUBSTITUTE($E3999," ","")&amp;")")</f>
        <v/>
      </c>
      <c r="R3999">
        <f>IF($A3999="","",$B3999&amp;" - "&amp;$C3999)</f>
        <v/>
      </c>
      <c r="S3999">
        <f>IF($A3999="","",$R3999&amp;"|"&amp;$Q3999)</f>
        <v/>
      </c>
      <c r="T3999">
        <f>IF($A3999="","",$S3999&amp;"|"&amp;$F3999)</f>
        <v/>
      </c>
      <c r="U3999">
        <f>IF($A3999="","",$R3999&amp;"("&amp;$E3999&amp;")")</f>
        <v/>
      </c>
      <c r="V3999">
        <f>IF($A3999="","",$F3999&amp;"|"&amp;$U3999&amp;"|"&amp;$D3999)</f>
        <v/>
      </c>
      <c r="W3999">
        <f>IF($T3999="","",IF($X3999&gt;N($X3998),$X3999,""))</f>
        <v/>
      </c>
      <c r="X3999">
        <f>IF($T3999="",N($X3998),IF(MATCH($T3999,$T$6:$T$6005,0)=ROW()-5,N($X3998)+1,N($X3998)))</f>
        <v/>
      </c>
      <c r="Z3999">
        <f>IF($V3999="","",IF($AA3999&gt;N($AA3998),$AA3999,""))</f>
        <v/>
      </c>
      <c r="AA3999">
        <f>IF($V3999="",N($AA3998),IF(MATCH($V3999,$V$6:$V$6005,0)=ROW()-5,N($AA3998)+1,N($AA3998)))</f>
        <v/>
      </c>
    </row>
    <row r="4000" ht="21" customHeight="1" s="66">
      <c r="A4000" s="56" t="n"/>
      <c r="B4000" s="57" t="n"/>
      <c r="C4000" s="57" t="n"/>
      <c r="D4000" s="57" t="n"/>
      <c r="E4000" s="56" t="n"/>
      <c r="F4000" s="57" t="n"/>
      <c r="G4000" s="57" t="n"/>
      <c r="H4000" s="56" t="n"/>
      <c r="I4000" s="56" t="n"/>
      <c r="J4000" s="58" t="n"/>
      <c r="K4000" s="58" t="n"/>
      <c r="L4000" s="13">
        <f>IF(OR($A4000="",AND($J4000="",$K4000="")),"",ROUND(N($J4000)-N($K4000),2))</f>
        <v/>
      </c>
      <c r="M4000" s="13">
        <f>IF(OR($A4000="",AND($J4000="",$K4000="")),"",MIN($J4000,$K4000))</f>
        <v/>
      </c>
      <c r="Q4000">
        <f>IF($A4000="","",$D4000&amp;"("&amp;SUBSTITUTE($E4000," ","")&amp;")")</f>
        <v/>
      </c>
      <c r="R4000">
        <f>IF($A4000="","",$B4000&amp;" - "&amp;$C4000)</f>
        <v/>
      </c>
      <c r="S4000">
        <f>IF($A4000="","",$R4000&amp;"|"&amp;$Q4000)</f>
        <v/>
      </c>
      <c r="T4000">
        <f>IF($A4000="","",$S4000&amp;"|"&amp;$F4000)</f>
        <v/>
      </c>
      <c r="U4000">
        <f>IF($A4000="","",$R4000&amp;"("&amp;$E4000&amp;")")</f>
        <v/>
      </c>
      <c r="V4000">
        <f>IF($A4000="","",$F4000&amp;"|"&amp;$U4000&amp;"|"&amp;$D4000)</f>
        <v/>
      </c>
      <c r="W4000">
        <f>IF($T4000="","",IF($X4000&gt;N($X3999),$X4000,""))</f>
        <v/>
      </c>
      <c r="X4000">
        <f>IF($T4000="",N($X3999),IF(MATCH($T4000,$T$6:$T$6005,0)=ROW()-5,N($X3999)+1,N($X3999)))</f>
        <v/>
      </c>
      <c r="Z4000">
        <f>IF($V4000="","",IF($AA4000&gt;N($AA3999),$AA4000,""))</f>
        <v/>
      </c>
      <c r="AA4000">
        <f>IF($V4000="",N($AA3999),IF(MATCH($V4000,$V$6:$V$6005,0)=ROW()-5,N($AA3999)+1,N($AA3999)))</f>
        <v/>
      </c>
    </row>
    <row r="4001" ht="21" customHeight="1" s="66">
      <c r="A4001" s="56" t="n"/>
      <c r="B4001" s="57" t="n"/>
      <c r="C4001" s="57" t="n"/>
      <c r="D4001" s="57" t="n"/>
      <c r="E4001" s="56" t="n"/>
      <c r="F4001" s="57" t="n"/>
      <c r="G4001" s="57" t="n"/>
      <c r="H4001" s="56" t="n"/>
      <c r="I4001" s="56" t="n"/>
      <c r="J4001" s="58" t="n"/>
      <c r="K4001" s="58" t="n"/>
      <c r="L4001" s="13">
        <f>IF(OR($A4001="",AND($J4001="",$K4001="")),"",ROUND(N($J4001)-N($K4001),2))</f>
        <v/>
      </c>
      <c r="M4001" s="13">
        <f>IF(OR($A4001="",AND($J4001="",$K4001="")),"",MIN($J4001,$K4001))</f>
        <v/>
      </c>
      <c r="Q4001">
        <f>IF($A4001="","",$D4001&amp;"("&amp;SUBSTITUTE($E4001," ","")&amp;")")</f>
        <v/>
      </c>
      <c r="R4001">
        <f>IF($A4001="","",$B4001&amp;" - "&amp;$C4001)</f>
        <v/>
      </c>
      <c r="S4001">
        <f>IF($A4001="","",$R4001&amp;"|"&amp;$Q4001)</f>
        <v/>
      </c>
      <c r="T4001">
        <f>IF($A4001="","",$S4001&amp;"|"&amp;$F4001)</f>
        <v/>
      </c>
      <c r="U4001">
        <f>IF($A4001="","",$R4001&amp;"("&amp;$E4001&amp;")")</f>
        <v/>
      </c>
      <c r="V4001">
        <f>IF($A4001="","",$F4001&amp;"|"&amp;$U4001&amp;"|"&amp;$D4001)</f>
        <v/>
      </c>
      <c r="W4001">
        <f>IF($T4001="","",IF($X4001&gt;N($X4000),$X4001,""))</f>
        <v/>
      </c>
      <c r="X4001">
        <f>IF($T4001="",N($X4000),IF(MATCH($T4001,$T$6:$T$6005,0)=ROW()-5,N($X4000)+1,N($X4000)))</f>
        <v/>
      </c>
      <c r="Z4001">
        <f>IF($V4001="","",IF($AA4001&gt;N($AA4000),$AA4001,""))</f>
        <v/>
      </c>
      <c r="AA4001">
        <f>IF($V4001="",N($AA4000),IF(MATCH($V4001,$V$6:$V$6005,0)=ROW()-5,N($AA4000)+1,N($AA4000)))</f>
        <v/>
      </c>
    </row>
    <row r="4002" ht="21" customHeight="1" s="66">
      <c r="A4002" s="56" t="n"/>
      <c r="B4002" s="57" t="n"/>
      <c r="C4002" s="57" t="n"/>
      <c r="D4002" s="57" t="n"/>
      <c r="E4002" s="56" t="n"/>
      <c r="F4002" s="57" t="n"/>
      <c r="G4002" s="57" t="n"/>
      <c r="H4002" s="56" t="n"/>
      <c r="I4002" s="56" t="n"/>
      <c r="J4002" s="58" t="n"/>
      <c r="K4002" s="58" t="n"/>
      <c r="L4002" s="13">
        <f>IF(OR($A4002="",AND($J4002="",$K4002="")),"",ROUND(N($J4002)-N($K4002),2))</f>
        <v/>
      </c>
      <c r="M4002" s="13">
        <f>IF(OR($A4002="",AND($J4002="",$K4002="")),"",MIN($J4002,$K4002))</f>
        <v/>
      </c>
      <c r="Q4002">
        <f>IF($A4002="","",$D4002&amp;"("&amp;SUBSTITUTE($E4002," ","")&amp;")")</f>
        <v/>
      </c>
      <c r="R4002">
        <f>IF($A4002="","",$B4002&amp;" - "&amp;$C4002)</f>
        <v/>
      </c>
      <c r="S4002">
        <f>IF($A4002="","",$R4002&amp;"|"&amp;$Q4002)</f>
        <v/>
      </c>
      <c r="T4002">
        <f>IF($A4002="","",$S4002&amp;"|"&amp;$F4002)</f>
        <v/>
      </c>
      <c r="U4002">
        <f>IF($A4002="","",$R4002&amp;"("&amp;$E4002&amp;")")</f>
        <v/>
      </c>
      <c r="V4002">
        <f>IF($A4002="","",$F4002&amp;"|"&amp;$U4002&amp;"|"&amp;$D4002)</f>
        <v/>
      </c>
      <c r="W4002">
        <f>IF($T4002="","",IF($X4002&gt;N($X4001),$X4002,""))</f>
        <v/>
      </c>
      <c r="X4002">
        <f>IF($T4002="",N($X4001),IF(MATCH($T4002,$T$6:$T$6005,0)=ROW()-5,N($X4001)+1,N($X4001)))</f>
        <v/>
      </c>
      <c r="Z4002">
        <f>IF($V4002="","",IF($AA4002&gt;N($AA4001),$AA4002,""))</f>
        <v/>
      </c>
      <c r="AA4002">
        <f>IF($V4002="",N($AA4001),IF(MATCH($V4002,$V$6:$V$6005,0)=ROW()-5,N($AA4001)+1,N($AA4001)))</f>
        <v/>
      </c>
    </row>
    <row r="4003" ht="21" customHeight="1" s="66">
      <c r="A4003" s="56" t="n"/>
      <c r="B4003" s="57" t="n"/>
      <c r="C4003" s="57" t="n"/>
      <c r="D4003" s="57" t="n"/>
      <c r="E4003" s="56" t="n"/>
      <c r="F4003" s="57" t="n"/>
      <c r="G4003" s="57" t="n"/>
      <c r="H4003" s="56" t="n"/>
      <c r="I4003" s="56" t="n"/>
      <c r="J4003" s="58" t="n"/>
      <c r="K4003" s="58" t="n"/>
      <c r="L4003" s="13">
        <f>IF(OR($A4003="",AND($J4003="",$K4003="")),"",ROUND(N($J4003)-N($K4003),2))</f>
        <v/>
      </c>
      <c r="M4003" s="13">
        <f>IF(OR($A4003="",AND($J4003="",$K4003="")),"",MIN($J4003,$K4003))</f>
        <v/>
      </c>
      <c r="Q4003">
        <f>IF($A4003="","",$D4003&amp;"("&amp;SUBSTITUTE($E4003," ","")&amp;")")</f>
        <v/>
      </c>
      <c r="R4003">
        <f>IF($A4003="","",$B4003&amp;" - "&amp;$C4003)</f>
        <v/>
      </c>
      <c r="S4003">
        <f>IF($A4003="","",$R4003&amp;"|"&amp;$Q4003)</f>
        <v/>
      </c>
      <c r="T4003">
        <f>IF($A4003="","",$S4003&amp;"|"&amp;$F4003)</f>
        <v/>
      </c>
      <c r="U4003">
        <f>IF($A4003="","",$R4003&amp;"("&amp;$E4003&amp;")")</f>
        <v/>
      </c>
      <c r="V4003">
        <f>IF($A4003="","",$F4003&amp;"|"&amp;$U4003&amp;"|"&amp;$D4003)</f>
        <v/>
      </c>
      <c r="W4003">
        <f>IF($T4003="","",IF($X4003&gt;N($X4002),$X4003,""))</f>
        <v/>
      </c>
      <c r="X4003">
        <f>IF($T4003="",N($X4002),IF(MATCH($T4003,$T$6:$T$6005,0)=ROW()-5,N($X4002)+1,N($X4002)))</f>
        <v/>
      </c>
      <c r="Z4003">
        <f>IF($V4003="","",IF($AA4003&gt;N($AA4002),$AA4003,""))</f>
        <v/>
      </c>
      <c r="AA4003">
        <f>IF($V4003="",N($AA4002),IF(MATCH($V4003,$V$6:$V$6005,0)=ROW()-5,N($AA4002)+1,N($AA4002)))</f>
        <v/>
      </c>
    </row>
    <row r="4004" ht="21" customHeight="1" s="66">
      <c r="A4004" s="56" t="n"/>
      <c r="B4004" s="57" t="n"/>
      <c r="C4004" s="57" t="n"/>
      <c r="D4004" s="57" t="n"/>
      <c r="E4004" s="56" t="n"/>
      <c r="F4004" s="57" t="n"/>
      <c r="G4004" s="57" t="n"/>
      <c r="H4004" s="56" t="n"/>
      <c r="I4004" s="56" t="n"/>
      <c r="J4004" s="58" t="n"/>
      <c r="K4004" s="58" t="n"/>
      <c r="L4004" s="13">
        <f>IF(OR($A4004="",AND($J4004="",$K4004="")),"",ROUND(N($J4004)-N($K4004),2))</f>
        <v/>
      </c>
      <c r="M4004" s="13">
        <f>IF(OR($A4004="",AND($J4004="",$K4004="")),"",MIN($J4004,$K4004))</f>
        <v/>
      </c>
      <c r="Q4004">
        <f>IF($A4004="","",$D4004&amp;"("&amp;SUBSTITUTE($E4004," ","")&amp;")")</f>
        <v/>
      </c>
      <c r="R4004">
        <f>IF($A4004="","",$B4004&amp;" - "&amp;$C4004)</f>
        <v/>
      </c>
      <c r="S4004">
        <f>IF($A4004="","",$R4004&amp;"|"&amp;$Q4004)</f>
        <v/>
      </c>
      <c r="T4004">
        <f>IF($A4004="","",$S4004&amp;"|"&amp;$F4004)</f>
        <v/>
      </c>
      <c r="U4004">
        <f>IF($A4004="","",$R4004&amp;"("&amp;$E4004&amp;")")</f>
        <v/>
      </c>
      <c r="V4004">
        <f>IF($A4004="","",$F4004&amp;"|"&amp;$U4004&amp;"|"&amp;$D4004)</f>
        <v/>
      </c>
      <c r="W4004">
        <f>IF($T4004="","",IF($X4004&gt;N($X4003),$X4004,""))</f>
        <v/>
      </c>
      <c r="X4004">
        <f>IF($T4004="",N($X4003),IF(MATCH($T4004,$T$6:$T$6005,0)=ROW()-5,N($X4003)+1,N($X4003)))</f>
        <v/>
      </c>
      <c r="Z4004">
        <f>IF($V4004="","",IF($AA4004&gt;N($AA4003),$AA4004,""))</f>
        <v/>
      </c>
      <c r="AA4004">
        <f>IF($V4004="",N($AA4003),IF(MATCH($V4004,$V$6:$V$6005,0)=ROW()-5,N($AA4003)+1,N($AA4003)))</f>
        <v/>
      </c>
    </row>
    <row r="4005" ht="21" customHeight="1" s="66">
      <c r="A4005" s="56" t="n"/>
      <c r="B4005" s="57" t="n"/>
      <c r="C4005" s="57" t="n"/>
      <c r="D4005" s="57" t="n"/>
      <c r="E4005" s="56" t="n"/>
      <c r="F4005" s="57" t="n"/>
      <c r="G4005" s="57" t="n"/>
      <c r="H4005" s="56" t="n"/>
      <c r="I4005" s="56" t="n"/>
      <c r="J4005" s="58" t="n"/>
      <c r="K4005" s="58" t="n"/>
      <c r="L4005" s="13">
        <f>IF(OR($A4005="",AND($J4005="",$K4005="")),"",ROUND(N($J4005)-N($K4005),2))</f>
        <v/>
      </c>
      <c r="M4005" s="13">
        <f>IF(OR($A4005="",AND($J4005="",$K4005="")),"",MIN($J4005,$K4005))</f>
        <v/>
      </c>
      <c r="Q4005">
        <f>IF($A4005="","",$D4005&amp;"("&amp;SUBSTITUTE($E4005," ","")&amp;")")</f>
        <v/>
      </c>
      <c r="R4005">
        <f>IF($A4005="","",$B4005&amp;" - "&amp;$C4005)</f>
        <v/>
      </c>
      <c r="S4005">
        <f>IF($A4005="","",$R4005&amp;"|"&amp;$Q4005)</f>
        <v/>
      </c>
      <c r="T4005">
        <f>IF($A4005="","",$S4005&amp;"|"&amp;$F4005)</f>
        <v/>
      </c>
      <c r="U4005">
        <f>IF($A4005="","",$R4005&amp;"("&amp;$E4005&amp;")")</f>
        <v/>
      </c>
      <c r="V4005">
        <f>IF($A4005="","",$F4005&amp;"|"&amp;$U4005&amp;"|"&amp;$D4005)</f>
        <v/>
      </c>
      <c r="W4005">
        <f>IF($T4005="","",IF($X4005&gt;N($X4004),$X4005,""))</f>
        <v/>
      </c>
      <c r="X4005">
        <f>IF($T4005="",N($X4004),IF(MATCH($T4005,$T$6:$T$6005,0)=ROW()-5,N($X4004)+1,N($X4004)))</f>
        <v/>
      </c>
      <c r="Z4005">
        <f>IF($V4005="","",IF($AA4005&gt;N($AA4004),$AA4005,""))</f>
        <v/>
      </c>
      <c r="AA4005">
        <f>IF($V4005="",N($AA4004),IF(MATCH($V4005,$V$6:$V$6005,0)=ROW()-5,N($AA4004)+1,N($AA4004)))</f>
        <v/>
      </c>
    </row>
    <row r="4006" ht="21" customHeight="1" s="66">
      <c r="A4006" s="56" t="n"/>
      <c r="B4006" s="57" t="n"/>
      <c r="C4006" s="57" t="n"/>
      <c r="D4006" s="57" t="n"/>
      <c r="E4006" s="56" t="n"/>
      <c r="F4006" s="57" t="n"/>
      <c r="G4006" s="57" t="n"/>
      <c r="H4006" s="56" t="n"/>
      <c r="I4006" s="56" t="n"/>
      <c r="J4006" s="58" t="n"/>
      <c r="K4006" s="58" t="n"/>
      <c r="L4006" s="13">
        <f>IF(OR($A4006="",AND($J4006="",$K4006="")),"",ROUND(N($J4006)-N($K4006),2))</f>
        <v/>
      </c>
      <c r="M4006" s="13">
        <f>IF(OR($A4006="",AND($J4006="",$K4006="")),"",MIN($J4006,$K4006))</f>
        <v/>
      </c>
      <c r="Q4006">
        <f>IF($A4006="","",$D4006&amp;"("&amp;SUBSTITUTE($E4006," ","")&amp;")")</f>
        <v/>
      </c>
      <c r="R4006">
        <f>IF($A4006="","",$B4006&amp;" - "&amp;$C4006)</f>
        <v/>
      </c>
      <c r="S4006">
        <f>IF($A4006="","",$R4006&amp;"|"&amp;$Q4006)</f>
        <v/>
      </c>
      <c r="T4006">
        <f>IF($A4006="","",$S4006&amp;"|"&amp;$F4006)</f>
        <v/>
      </c>
      <c r="U4006">
        <f>IF($A4006="","",$R4006&amp;"("&amp;$E4006&amp;")")</f>
        <v/>
      </c>
      <c r="V4006">
        <f>IF($A4006="","",$F4006&amp;"|"&amp;$U4006&amp;"|"&amp;$D4006)</f>
        <v/>
      </c>
      <c r="W4006">
        <f>IF($T4006="","",IF($X4006&gt;N($X4005),$X4006,""))</f>
        <v/>
      </c>
      <c r="X4006">
        <f>IF($T4006="",N($X4005),IF(MATCH($T4006,$T$6:$T$6005,0)=ROW()-5,N($X4005)+1,N($X4005)))</f>
        <v/>
      </c>
      <c r="Z4006">
        <f>IF($V4006="","",IF($AA4006&gt;N($AA4005),$AA4006,""))</f>
        <v/>
      </c>
      <c r="AA4006">
        <f>IF($V4006="",N($AA4005),IF(MATCH($V4006,$V$6:$V$6005,0)=ROW()-5,N($AA4005)+1,N($AA4005)))</f>
        <v/>
      </c>
    </row>
    <row r="4007" ht="21" customHeight="1" s="66">
      <c r="A4007" s="56" t="n"/>
      <c r="B4007" s="57" t="n"/>
      <c r="C4007" s="57" t="n"/>
      <c r="D4007" s="57" t="n"/>
      <c r="E4007" s="56" t="n"/>
      <c r="F4007" s="57" t="n"/>
      <c r="G4007" s="57" t="n"/>
      <c r="H4007" s="56" t="n"/>
      <c r="I4007" s="56" t="n"/>
      <c r="J4007" s="58" t="n"/>
      <c r="K4007" s="58" t="n"/>
      <c r="L4007" s="13">
        <f>IF(OR($A4007="",AND($J4007="",$K4007="")),"",ROUND(N($J4007)-N($K4007),2))</f>
        <v/>
      </c>
      <c r="M4007" s="13">
        <f>IF(OR($A4007="",AND($J4007="",$K4007="")),"",MIN($J4007,$K4007))</f>
        <v/>
      </c>
      <c r="Q4007">
        <f>IF($A4007="","",$D4007&amp;"("&amp;SUBSTITUTE($E4007," ","")&amp;")")</f>
        <v/>
      </c>
      <c r="R4007">
        <f>IF($A4007="","",$B4007&amp;" - "&amp;$C4007)</f>
        <v/>
      </c>
      <c r="S4007">
        <f>IF($A4007="","",$R4007&amp;"|"&amp;$Q4007)</f>
        <v/>
      </c>
      <c r="T4007">
        <f>IF($A4007="","",$S4007&amp;"|"&amp;$F4007)</f>
        <v/>
      </c>
      <c r="U4007">
        <f>IF($A4007="","",$R4007&amp;"("&amp;$E4007&amp;")")</f>
        <v/>
      </c>
      <c r="V4007">
        <f>IF($A4007="","",$F4007&amp;"|"&amp;$U4007&amp;"|"&amp;$D4007)</f>
        <v/>
      </c>
      <c r="W4007">
        <f>IF($T4007="","",IF($X4007&gt;N($X4006),$X4007,""))</f>
        <v/>
      </c>
      <c r="X4007">
        <f>IF($T4007="",N($X4006),IF(MATCH($T4007,$T$6:$T$6005,0)=ROW()-5,N($X4006)+1,N($X4006)))</f>
        <v/>
      </c>
      <c r="Z4007">
        <f>IF($V4007="","",IF($AA4007&gt;N($AA4006),$AA4007,""))</f>
        <v/>
      </c>
      <c r="AA4007">
        <f>IF($V4007="",N($AA4006),IF(MATCH($V4007,$V$6:$V$6005,0)=ROW()-5,N($AA4006)+1,N($AA4006)))</f>
        <v/>
      </c>
    </row>
    <row r="4008" ht="21" customHeight="1" s="66">
      <c r="A4008" s="56" t="n"/>
      <c r="B4008" s="57" t="n"/>
      <c r="C4008" s="57" t="n"/>
      <c r="D4008" s="57" t="n"/>
      <c r="E4008" s="56" t="n"/>
      <c r="F4008" s="57" t="n"/>
      <c r="G4008" s="57" t="n"/>
      <c r="H4008" s="56" t="n"/>
      <c r="I4008" s="56" t="n"/>
      <c r="J4008" s="58" t="n"/>
      <c r="K4008" s="58" t="n"/>
      <c r="L4008" s="13">
        <f>IF(OR($A4008="",AND($J4008="",$K4008="")),"",ROUND(N($J4008)-N($K4008),2))</f>
        <v/>
      </c>
      <c r="M4008" s="13">
        <f>IF(OR($A4008="",AND($J4008="",$K4008="")),"",MIN($J4008,$K4008))</f>
        <v/>
      </c>
      <c r="Q4008">
        <f>IF($A4008="","",$D4008&amp;"("&amp;SUBSTITUTE($E4008," ","")&amp;")")</f>
        <v/>
      </c>
      <c r="R4008">
        <f>IF($A4008="","",$B4008&amp;" - "&amp;$C4008)</f>
        <v/>
      </c>
      <c r="S4008">
        <f>IF($A4008="","",$R4008&amp;"|"&amp;$Q4008)</f>
        <v/>
      </c>
      <c r="T4008">
        <f>IF($A4008="","",$S4008&amp;"|"&amp;$F4008)</f>
        <v/>
      </c>
      <c r="U4008">
        <f>IF($A4008="","",$R4008&amp;"("&amp;$E4008&amp;")")</f>
        <v/>
      </c>
      <c r="V4008">
        <f>IF($A4008="","",$F4008&amp;"|"&amp;$U4008&amp;"|"&amp;$D4008)</f>
        <v/>
      </c>
      <c r="W4008">
        <f>IF($T4008="","",IF($X4008&gt;N($X4007),$X4008,""))</f>
        <v/>
      </c>
      <c r="X4008">
        <f>IF($T4008="",N($X4007),IF(MATCH($T4008,$T$6:$T$6005,0)=ROW()-5,N($X4007)+1,N($X4007)))</f>
        <v/>
      </c>
      <c r="Z4008">
        <f>IF($V4008="","",IF($AA4008&gt;N($AA4007),$AA4008,""))</f>
        <v/>
      </c>
      <c r="AA4008">
        <f>IF($V4008="",N($AA4007),IF(MATCH($V4008,$V$6:$V$6005,0)=ROW()-5,N($AA4007)+1,N($AA4007)))</f>
        <v/>
      </c>
    </row>
    <row r="4009" ht="21" customHeight="1" s="66">
      <c r="A4009" s="56" t="n"/>
      <c r="B4009" s="57" t="n"/>
      <c r="C4009" s="57" t="n"/>
      <c r="D4009" s="57" t="n"/>
      <c r="E4009" s="56" t="n"/>
      <c r="F4009" s="57" t="n"/>
      <c r="G4009" s="57" t="n"/>
      <c r="H4009" s="56" t="n"/>
      <c r="I4009" s="56" t="n"/>
      <c r="J4009" s="58" t="n"/>
      <c r="K4009" s="58" t="n"/>
      <c r="L4009" s="13">
        <f>IF(OR($A4009="",AND($J4009="",$K4009="")),"",ROUND(N($J4009)-N($K4009),2))</f>
        <v/>
      </c>
      <c r="M4009" s="13">
        <f>IF(OR($A4009="",AND($J4009="",$K4009="")),"",MIN($J4009,$K4009))</f>
        <v/>
      </c>
      <c r="Q4009">
        <f>IF($A4009="","",$D4009&amp;"("&amp;SUBSTITUTE($E4009," ","")&amp;")")</f>
        <v/>
      </c>
      <c r="R4009">
        <f>IF($A4009="","",$B4009&amp;" - "&amp;$C4009)</f>
        <v/>
      </c>
      <c r="S4009">
        <f>IF($A4009="","",$R4009&amp;"|"&amp;$Q4009)</f>
        <v/>
      </c>
      <c r="T4009">
        <f>IF($A4009="","",$S4009&amp;"|"&amp;$F4009)</f>
        <v/>
      </c>
      <c r="U4009">
        <f>IF($A4009="","",$R4009&amp;"("&amp;$E4009&amp;")")</f>
        <v/>
      </c>
      <c r="V4009">
        <f>IF($A4009="","",$F4009&amp;"|"&amp;$U4009&amp;"|"&amp;$D4009)</f>
        <v/>
      </c>
      <c r="W4009">
        <f>IF($T4009="","",IF($X4009&gt;N($X4008),$X4009,""))</f>
        <v/>
      </c>
      <c r="X4009">
        <f>IF($T4009="",N($X4008),IF(MATCH($T4009,$T$6:$T$6005,0)=ROW()-5,N($X4008)+1,N($X4008)))</f>
        <v/>
      </c>
      <c r="Z4009">
        <f>IF($V4009="","",IF($AA4009&gt;N($AA4008),$AA4009,""))</f>
        <v/>
      </c>
      <c r="AA4009">
        <f>IF($V4009="",N($AA4008),IF(MATCH($V4009,$V$6:$V$6005,0)=ROW()-5,N($AA4008)+1,N($AA4008)))</f>
        <v/>
      </c>
    </row>
    <row r="4010" ht="21" customHeight="1" s="66">
      <c r="A4010" s="56" t="n"/>
      <c r="B4010" s="57" t="n"/>
      <c r="C4010" s="57" t="n"/>
      <c r="D4010" s="57" t="n"/>
      <c r="E4010" s="56" t="n"/>
      <c r="F4010" s="57" t="n"/>
      <c r="G4010" s="57" t="n"/>
      <c r="H4010" s="56" t="n"/>
      <c r="I4010" s="56" t="n"/>
      <c r="J4010" s="58" t="n"/>
      <c r="K4010" s="58" t="n"/>
      <c r="L4010" s="13">
        <f>IF(OR($A4010="",AND($J4010="",$K4010="")),"",ROUND(N($J4010)-N($K4010),2))</f>
        <v/>
      </c>
      <c r="M4010" s="13">
        <f>IF(OR($A4010="",AND($J4010="",$K4010="")),"",MIN($J4010,$K4010))</f>
        <v/>
      </c>
      <c r="Q4010">
        <f>IF($A4010="","",$D4010&amp;"("&amp;SUBSTITUTE($E4010," ","")&amp;")")</f>
        <v/>
      </c>
      <c r="R4010">
        <f>IF($A4010="","",$B4010&amp;" - "&amp;$C4010)</f>
        <v/>
      </c>
      <c r="S4010">
        <f>IF($A4010="","",$R4010&amp;"|"&amp;$Q4010)</f>
        <v/>
      </c>
      <c r="T4010">
        <f>IF($A4010="","",$S4010&amp;"|"&amp;$F4010)</f>
        <v/>
      </c>
      <c r="U4010">
        <f>IF($A4010="","",$R4010&amp;"("&amp;$E4010&amp;")")</f>
        <v/>
      </c>
      <c r="V4010">
        <f>IF($A4010="","",$F4010&amp;"|"&amp;$U4010&amp;"|"&amp;$D4010)</f>
        <v/>
      </c>
      <c r="W4010">
        <f>IF($T4010="","",IF($X4010&gt;N($X4009),$X4010,""))</f>
        <v/>
      </c>
      <c r="X4010">
        <f>IF($T4010="",N($X4009),IF(MATCH($T4010,$T$6:$T$6005,0)=ROW()-5,N($X4009)+1,N($X4009)))</f>
        <v/>
      </c>
      <c r="Z4010">
        <f>IF($V4010="","",IF($AA4010&gt;N($AA4009),$AA4010,""))</f>
        <v/>
      </c>
      <c r="AA4010">
        <f>IF($V4010="",N($AA4009),IF(MATCH($V4010,$V$6:$V$6005,0)=ROW()-5,N($AA4009)+1,N($AA4009)))</f>
        <v/>
      </c>
    </row>
    <row r="4011" ht="21" customHeight="1" s="66">
      <c r="A4011" s="56" t="n"/>
      <c r="B4011" s="57" t="n"/>
      <c r="C4011" s="57" t="n"/>
      <c r="D4011" s="57" t="n"/>
      <c r="E4011" s="56" t="n"/>
      <c r="F4011" s="57" t="n"/>
      <c r="G4011" s="57" t="n"/>
      <c r="H4011" s="56" t="n"/>
      <c r="I4011" s="56" t="n"/>
      <c r="J4011" s="58" t="n"/>
      <c r="K4011" s="58" t="n"/>
      <c r="L4011" s="13">
        <f>IF(OR($A4011="",AND($J4011="",$K4011="")),"",ROUND(N($J4011)-N($K4011),2))</f>
        <v/>
      </c>
      <c r="M4011" s="13">
        <f>IF(OR($A4011="",AND($J4011="",$K4011="")),"",MIN($J4011,$K4011))</f>
        <v/>
      </c>
      <c r="Q4011">
        <f>IF($A4011="","",$D4011&amp;"("&amp;SUBSTITUTE($E4011," ","")&amp;")")</f>
        <v/>
      </c>
      <c r="R4011">
        <f>IF($A4011="","",$B4011&amp;" - "&amp;$C4011)</f>
        <v/>
      </c>
      <c r="S4011">
        <f>IF($A4011="","",$R4011&amp;"|"&amp;$Q4011)</f>
        <v/>
      </c>
      <c r="T4011">
        <f>IF($A4011="","",$S4011&amp;"|"&amp;$F4011)</f>
        <v/>
      </c>
      <c r="U4011">
        <f>IF($A4011="","",$R4011&amp;"("&amp;$E4011&amp;")")</f>
        <v/>
      </c>
      <c r="V4011">
        <f>IF($A4011="","",$F4011&amp;"|"&amp;$U4011&amp;"|"&amp;$D4011)</f>
        <v/>
      </c>
      <c r="W4011">
        <f>IF($T4011="","",IF($X4011&gt;N($X4010),$X4011,""))</f>
        <v/>
      </c>
      <c r="X4011">
        <f>IF($T4011="",N($X4010),IF(MATCH($T4011,$T$6:$T$6005,0)=ROW()-5,N($X4010)+1,N($X4010)))</f>
        <v/>
      </c>
      <c r="Z4011">
        <f>IF($V4011="","",IF($AA4011&gt;N($AA4010),$AA4011,""))</f>
        <v/>
      </c>
      <c r="AA4011">
        <f>IF($V4011="",N($AA4010),IF(MATCH($V4011,$V$6:$V$6005,0)=ROW()-5,N($AA4010)+1,N($AA4010)))</f>
        <v/>
      </c>
    </row>
    <row r="4012" ht="21" customHeight="1" s="66">
      <c r="A4012" s="56" t="n"/>
      <c r="B4012" s="57" t="n"/>
      <c r="C4012" s="57" t="n"/>
      <c r="D4012" s="57" t="n"/>
      <c r="E4012" s="56" t="n"/>
      <c r="F4012" s="57" t="n"/>
      <c r="G4012" s="57" t="n"/>
      <c r="H4012" s="56" t="n"/>
      <c r="I4012" s="56" t="n"/>
      <c r="J4012" s="58" t="n"/>
      <c r="K4012" s="58" t="n"/>
      <c r="L4012" s="13">
        <f>IF(OR($A4012="",AND($J4012="",$K4012="")),"",ROUND(N($J4012)-N($K4012),2))</f>
        <v/>
      </c>
      <c r="M4012" s="13">
        <f>IF(OR($A4012="",AND($J4012="",$K4012="")),"",MIN($J4012,$K4012))</f>
        <v/>
      </c>
      <c r="Q4012">
        <f>IF($A4012="","",$D4012&amp;"("&amp;SUBSTITUTE($E4012," ","")&amp;")")</f>
        <v/>
      </c>
      <c r="R4012">
        <f>IF($A4012="","",$B4012&amp;" - "&amp;$C4012)</f>
        <v/>
      </c>
      <c r="S4012">
        <f>IF($A4012="","",$R4012&amp;"|"&amp;$Q4012)</f>
        <v/>
      </c>
      <c r="T4012">
        <f>IF($A4012="","",$S4012&amp;"|"&amp;$F4012)</f>
        <v/>
      </c>
      <c r="U4012">
        <f>IF($A4012="","",$R4012&amp;"("&amp;$E4012&amp;")")</f>
        <v/>
      </c>
      <c r="V4012">
        <f>IF($A4012="","",$F4012&amp;"|"&amp;$U4012&amp;"|"&amp;$D4012)</f>
        <v/>
      </c>
      <c r="W4012">
        <f>IF($T4012="","",IF($X4012&gt;N($X4011),$X4012,""))</f>
        <v/>
      </c>
      <c r="X4012">
        <f>IF($T4012="",N($X4011),IF(MATCH($T4012,$T$6:$T$6005,0)=ROW()-5,N($X4011)+1,N($X4011)))</f>
        <v/>
      </c>
      <c r="Z4012">
        <f>IF($V4012="","",IF($AA4012&gt;N($AA4011),$AA4012,""))</f>
        <v/>
      </c>
      <c r="AA4012">
        <f>IF($V4012="",N($AA4011),IF(MATCH($V4012,$V$6:$V$6005,0)=ROW()-5,N($AA4011)+1,N($AA4011)))</f>
        <v/>
      </c>
    </row>
    <row r="4013" ht="21" customHeight="1" s="66">
      <c r="A4013" s="56" t="n"/>
      <c r="B4013" s="57" t="n"/>
      <c r="C4013" s="57" t="n"/>
      <c r="D4013" s="57" t="n"/>
      <c r="E4013" s="56" t="n"/>
      <c r="F4013" s="57" t="n"/>
      <c r="G4013" s="57" t="n"/>
      <c r="H4013" s="56" t="n"/>
      <c r="I4013" s="56" t="n"/>
      <c r="J4013" s="58" t="n"/>
      <c r="K4013" s="58" t="n"/>
      <c r="L4013" s="13">
        <f>IF(OR($A4013="",AND($J4013="",$K4013="")),"",ROUND(N($J4013)-N($K4013),2))</f>
        <v/>
      </c>
      <c r="M4013" s="13">
        <f>IF(OR($A4013="",AND($J4013="",$K4013="")),"",MIN($J4013,$K4013))</f>
        <v/>
      </c>
      <c r="Q4013">
        <f>IF($A4013="","",$D4013&amp;"("&amp;SUBSTITUTE($E4013," ","")&amp;")")</f>
        <v/>
      </c>
      <c r="R4013">
        <f>IF($A4013="","",$B4013&amp;" - "&amp;$C4013)</f>
        <v/>
      </c>
      <c r="S4013">
        <f>IF($A4013="","",$R4013&amp;"|"&amp;$Q4013)</f>
        <v/>
      </c>
      <c r="T4013">
        <f>IF($A4013="","",$S4013&amp;"|"&amp;$F4013)</f>
        <v/>
      </c>
      <c r="U4013">
        <f>IF($A4013="","",$R4013&amp;"("&amp;$E4013&amp;")")</f>
        <v/>
      </c>
      <c r="V4013">
        <f>IF($A4013="","",$F4013&amp;"|"&amp;$U4013&amp;"|"&amp;$D4013)</f>
        <v/>
      </c>
      <c r="W4013">
        <f>IF($T4013="","",IF($X4013&gt;N($X4012),$X4013,""))</f>
        <v/>
      </c>
      <c r="X4013">
        <f>IF($T4013="",N($X4012),IF(MATCH($T4013,$T$6:$T$6005,0)=ROW()-5,N($X4012)+1,N($X4012)))</f>
        <v/>
      </c>
      <c r="Z4013">
        <f>IF($V4013="","",IF($AA4013&gt;N($AA4012),$AA4013,""))</f>
        <v/>
      </c>
      <c r="AA4013">
        <f>IF($V4013="",N($AA4012),IF(MATCH($V4013,$V$6:$V$6005,0)=ROW()-5,N($AA4012)+1,N($AA4012)))</f>
        <v/>
      </c>
    </row>
    <row r="4014" ht="21" customHeight="1" s="66">
      <c r="A4014" s="56" t="n"/>
      <c r="B4014" s="57" t="n"/>
      <c r="C4014" s="57" t="n"/>
      <c r="D4014" s="57" t="n"/>
      <c r="E4014" s="56" t="n"/>
      <c r="F4014" s="57" t="n"/>
      <c r="G4014" s="57" t="n"/>
      <c r="H4014" s="56" t="n"/>
      <c r="I4014" s="56" t="n"/>
      <c r="J4014" s="58" t="n"/>
      <c r="K4014" s="58" t="n"/>
      <c r="L4014" s="13">
        <f>IF(OR($A4014="",AND($J4014="",$K4014="")),"",ROUND(N($J4014)-N($K4014),2))</f>
        <v/>
      </c>
      <c r="M4014" s="13">
        <f>IF(OR($A4014="",AND($J4014="",$K4014="")),"",MIN($J4014,$K4014))</f>
        <v/>
      </c>
      <c r="Q4014">
        <f>IF($A4014="","",$D4014&amp;"("&amp;SUBSTITUTE($E4014," ","")&amp;")")</f>
        <v/>
      </c>
      <c r="R4014">
        <f>IF($A4014="","",$B4014&amp;" - "&amp;$C4014)</f>
        <v/>
      </c>
      <c r="S4014">
        <f>IF($A4014="","",$R4014&amp;"|"&amp;$Q4014)</f>
        <v/>
      </c>
      <c r="T4014">
        <f>IF($A4014="","",$S4014&amp;"|"&amp;$F4014)</f>
        <v/>
      </c>
      <c r="U4014">
        <f>IF($A4014="","",$R4014&amp;"("&amp;$E4014&amp;")")</f>
        <v/>
      </c>
      <c r="V4014">
        <f>IF($A4014="","",$F4014&amp;"|"&amp;$U4014&amp;"|"&amp;$D4014)</f>
        <v/>
      </c>
      <c r="W4014">
        <f>IF($T4014="","",IF($X4014&gt;N($X4013),$X4014,""))</f>
        <v/>
      </c>
      <c r="X4014">
        <f>IF($T4014="",N($X4013),IF(MATCH($T4014,$T$6:$T$6005,0)=ROW()-5,N($X4013)+1,N($X4013)))</f>
        <v/>
      </c>
      <c r="Z4014">
        <f>IF($V4014="","",IF($AA4014&gt;N($AA4013),$AA4014,""))</f>
        <v/>
      </c>
      <c r="AA4014">
        <f>IF($V4014="",N($AA4013),IF(MATCH($V4014,$V$6:$V$6005,0)=ROW()-5,N($AA4013)+1,N($AA4013)))</f>
        <v/>
      </c>
    </row>
    <row r="4015" ht="21" customHeight="1" s="66">
      <c r="A4015" s="56" t="n"/>
      <c r="B4015" s="57" t="n"/>
      <c r="C4015" s="57" t="n"/>
      <c r="D4015" s="57" t="n"/>
      <c r="E4015" s="56" t="n"/>
      <c r="F4015" s="57" t="n"/>
      <c r="G4015" s="57" t="n"/>
      <c r="H4015" s="56" t="n"/>
      <c r="I4015" s="56" t="n"/>
      <c r="J4015" s="58" t="n"/>
      <c r="K4015" s="58" t="n"/>
      <c r="L4015" s="13">
        <f>IF(OR($A4015="",AND($J4015="",$K4015="")),"",ROUND(N($J4015)-N($K4015),2))</f>
        <v/>
      </c>
      <c r="M4015" s="13">
        <f>IF(OR($A4015="",AND($J4015="",$K4015="")),"",MIN($J4015,$K4015))</f>
        <v/>
      </c>
      <c r="Q4015">
        <f>IF($A4015="","",$D4015&amp;"("&amp;SUBSTITUTE($E4015," ","")&amp;")")</f>
        <v/>
      </c>
      <c r="R4015">
        <f>IF($A4015="","",$B4015&amp;" - "&amp;$C4015)</f>
        <v/>
      </c>
      <c r="S4015">
        <f>IF($A4015="","",$R4015&amp;"|"&amp;$Q4015)</f>
        <v/>
      </c>
      <c r="T4015">
        <f>IF($A4015="","",$S4015&amp;"|"&amp;$F4015)</f>
        <v/>
      </c>
      <c r="U4015">
        <f>IF($A4015="","",$R4015&amp;"("&amp;$E4015&amp;")")</f>
        <v/>
      </c>
      <c r="V4015">
        <f>IF($A4015="","",$F4015&amp;"|"&amp;$U4015&amp;"|"&amp;$D4015)</f>
        <v/>
      </c>
      <c r="W4015">
        <f>IF($T4015="","",IF($X4015&gt;N($X4014),$X4015,""))</f>
        <v/>
      </c>
      <c r="X4015">
        <f>IF($T4015="",N($X4014),IF(MATCH($T4015,$T$6:$T$6005,0)=ROW()-5,N($X4014)+1,N($X4014)))</f>
        <v/>
      </c>
      <c r="Z4015">
        <f>IF($V4015="","",IF($AA4015&gt;N($AA4014),$AA4015,""))</f>
        <v/>
      </c>
      <c r="AA4015">
        <f>IF($V4015="",N($AA4014),IF(MATCH($V4015,$V$6:$V$6005,0)=ROW()-5,N($AA4014)+1,N($AA4014)))</f>
        <v/>
      </c>
    </row>
    <row r="4016" ht="21" customHeight="1" s="66">
      <c r="A4016" s="56" t="n"/>
      <c r="B4016" s="57" t="n"/>
      <c r="C4016" s="57" t="n"/>
      <c r="D4016" s="57" t="n"/>
      <c r="E4016" s="56" t="n"/>
      <c r="F4016" s="57" t="n"/>
      <c r="G4016" s="57" t="n"/>
      <c r="H4016" s="56" t="n"/>
      <c r="I4016" s="56" t="n"/>
      <c r="J4016" s="58" t="n"/>
      <c r="K4016" s="58" t="n"/>
      <c r="L4016" s="13">
        <f>IF(OR($A4016="",AND($J4016="",$K4016="")),"",ROUND(N($J4016)-N($K4016),2))</f>
        <v/>
      </c>
      <c r="M4016" s="13">
        <f>IF(OR($A4016="",AND($J4016="",$K4016="")),"",MIN($J4016,$K4016))</f>
        <v/>
      </c>
      <c r="Q4016">
        <f>IF($A4016="","",$D4016&amp;"("&amp;SUBSTITUTE($E4016," ","")&amp;")")</f>
        <v/>
      </c>
      <c r="R4016">
        <f>IF($A4016="","",$B4016&amp;" - "&amp;$C4016)</f>
        <v/>
      </c>
      <c r="S4016">
        <f>IF($A4016="","",$R4016&amp;"|"&amp;$Q4016)</f>
        <v/>
      </c>
      <c r="T4016">
        <f>IF($A4016="","",$S4016&amp;"|"&amp;$F4016)</f>
        <v/>
      </c>
      <c r="U4016">
        <f>IF($A4016="","",$R4016&amp;"("&amp;$E4016&amp;")")</f>
        <v/>
      </c>
      <c r="V4016">
        <f>IF($A4016="","",$F4016&amp;"|"&amp;$U4016&amp;"|"&amp;$D4016)</f>
        <v/>
      </c>
      <c r="W4016">
        <f>IF($T4016="","",IF($X4016&gt;N($X4015),$X4016,""))</f>
        <v/>
      </c>
      <c r="X4016">
        <f>IF($T4016="",N($X4015),IF(MATCH($T4016,$T$6:$T$6005,0)=ROW()-5,N($X4015)+1,N($X4015)))</f>
        <v/>
      </c>
      <c r="Z4016">
        <f>IF($V4016="","",IF($AA4016&gt;N($AA4015),$AA4016,""))</f>
        <v/>
      </c>
      <c r="AA4016">
        <f>IF($V4016="",N($AA4015),IF(MATCH($V4016,$V$6:$V$6005,0)=ROW()-5,N($AA4015)+1,N($AA4015)))</f>
        <v/>
      </c>
    </row>
    <row r="4017" ht="21" customHeight="1" s="66">
      <c r="A4017" s="56" t="n"/>
      <c r="B4017" s="57" t="n"/>
      <c r="C4017" s="57" t="n"/>
      <c r="D4017" s="57" t="n"/>
      <c r="E4017" s="56" t="n"/>
      <c r="F4017" s="57" t="n"/>
      <c r="G4017" s="57" t="n"/>
      <c r="H4017" s="56" t="n"/>
      <c r="I4017" s="56" t="n"/>
      <c r="J4017" s="58" t="n"/>
      <c r="K4017" s="58" t="n"/>
      <c r="L4017" s="13">
        <f>IF(OR($A4017="",AND($J4017="",$K4017="")),"",ROUND(N($J4017)-N($K4017),2))</f>
        <v/>
      </c>
      <c r="M4017" s="13">
        <f>IF(OR($A4017="",AND($J4017="",$K4017="")),"",MIN($J4017,$K4017))</f>
        <v/>
      </c>
      <c r="Q4017">
        <f>IF($A4017="","",$D4017&amp;"("&amp;SUBSTITUTE($E4017," ","")&amp;")")</f>
        <v/>
      </c>
      <c r="R4017">
        <f>IF($A4017="","",$B4017&amp;" - "&amp;$C4017)</f>
        <v/>
      </c>
      <c r="S4017">
        <f>IF($A4017="","",$R4017&amp;"|"&amp;$Q4017)</f>
        <v/>
      </c>
      <c r="T4017">
        <f>IF($A4017="","",$S4017&amp;"|"&amp;$F4017)</f>
        <v/>
      </c>
      <c r="U4017">
        <f>IF($A4017="","",$R4017&amp;"("&amp;$E4017&amp;")")</f>
        <v/>
      </c>
      <c r="V4017">
        <f>IF($A4017="","",$F4017&amp;"|"&amp;$U4017&amp;"|"&amp;$D4017)</f>
        <v/>
      </c>
      <c r="W4017">
        <f>IF($T4017="","",IF($X4017&gt;N($X4016),$X4017,""))</f>
        <v/>
      </c>
      <c r="X4017">
        <f>IF($T4017="",N($X4016),IF(MATCH($T4017,$T$6:$T$6005,0)=ROW()-5,N($X4016)+1,N($X4016)))</f>
        <v/>
      </c>
      <c r="Z4017">
        <f>IF($V4017="","",IF($AA4017&gt;N($AA4016),$AA4017,""))</f>
        <v/>
      </c>
      <c r="AA4017">
        <f>IF($V4017="",N($AA4016),IF(MATCH($V4017,$V$6:$V$6005,0)=ROW()-5,N($AA4016)+1,N($AA4016)))</f>
        <v/>
      </c>
    </row>
    <row r="4018" ht="21" customHeight="1" s="66">
      <c r="A4018" s="56" t="n"/>
      <c r="B4018" s="57" t="n"/>
      <c r="C4018" s="57" t="n"/>
      <c r="D4018" s="57" t="n"/>
      <c r="E4018" s="56" t="n"/>
      <c r="F4018" s="57" t="n"/>
      <c r="G4018" s="57" t="n"/>
      <c r="H4018" s="56" t="n"/>
      <c r="I4018" s="56" t="n"/>
      <c r="J4018" s="58" t="n"/>
      <c r="K4018" s="58" t="n"/>
      <c r="L4018" s="13">
        <f>IF(OR($A4018="",AND($J4018="",$K4018="")),"",ROUND(N($J4018)-N($K4018),2))</f>
        <v/>
      </c>
      <c r="M4018" s="13">
        <f>IF(OR($A4018="",AND($J4018="",$K4018="")),"",MIN($J4018,$K4018))</f>
        <v/>
      </c>
      <c r="Q4018">
        <f>IF($A4018="","",$D4018&amp;"("&amp;SUBSTITUTE($E4018," ","")&amp;")")</f>
        <v/>
      </c>
      <c r="R4018">
        <f>IF($A4018="","",$B4018&amp;" - "&amp;$C4018)</f>
        <v/>
      </c>
      <c r="S4018">
        <f>IF($A4018="","",$R4018&amp;"|"&amp;$Q4018)</f>
        <v/>
      </c>
      <c r="T4018">
        <f>IF($A4018="","",$S4018&amp;"|"&amp;$F4018)</f>
        <v/>
      </c>
      <c r="U4018">
        <f>IF($A4018="","",$R4018&amp;"("&amp;$E4018&amp;")")</f>
        <v/>
      </c>
      <c r="V4018">
        <f>IF($A4018="","",$F4018&amp;"|"&amp;$U4018&amp;"|"&amp;$D4018)</f>
        <v/>
      </c>
      <c r="W4018">
        <f>IF($T4018="","",IF($X4018&gt;N($X4017),$X4018,""))</f>
        <v/>
      </c>
      <c r="X4018">
        <f>IF($T4018="",N($X4017),IF(MATCH($T4018,$T$6:$T$6005,0)=ROW()-5,N($X4017)+1,N($X4017)))</f>
        <v/>
      </c>
      <c r="Z4018">
        <f>IF($V4018="","",IF($AA4018&gt;N($AA4017),$AA4018,""))</f>
        <v/>
      </c>
      <c r="AA4018">
        <f>IF($V4018="",N($AA4017),IF(MATCH($V4018,$V$6:$V$6005,0)=ROW()-5,N($AA4017)+1,N($AA4017)))</f>
        <v/>
      </c>
    </row>
    <row r="4019" ht="21" customHeight="1" s="66">
      <c r="A4019" s="56" t="n"/>
      <c r="B4019" s="57" t="n"/>
      <c r="C4019" s="57" t="n"/>
      <c r="D4019" s="57" t="n"/>
      <c r="E4019" s="56" t="n"/>
      <c r="F4019" s="57" t="n"/>
      <c r="G4019" s="57" t="n"/>
      <c r="H4019" s="56" t="n"/>
      <c r="I4019" s="56" t="n"/>
      <c r="J4019" s="58" t="n"/>
      <c r="K4019" s="58" t="n"/>
      <c r="L4019" s="13">
        <f>IF(OR($A4019="",AND($J4019="",$K4019="")),"",ROUND(N($J4019)-N($K4019),2))</f>
        <v/>
      </c>
      <c r="M4019" s="13">
        <f>IF(OR($A4019="",AND($J4019="",$K4019="")),"",MIN($J4019,$K4019))</f>
        <v/>
      </c>
      <c r="Q4019">
        <f>IF($A4019="","",$D4019&amp;"("&amp;SUBSTITUTE($E4019," ","")&amp;")")</f>
        <v/>
      </c>
      <c r="R4019">
        <f>IF($A4019="","",$B4019&amp;" - "&amp;$C4019)</f>
        <v/>
      </c>
      <c r="S4019">
        <f>IF($A4019="","",$R4019&amp;"|"&amp;$Q4019)</f>
        <v/>
      </c>
      <c r="T4019">
        <f>IF($A4019="","",$S4019&amp;"|"&amp;$F4019)</f>
        <v/>
      </c>
      <c r="U4019">
        <f>IF($A4019="","",$R4019&amp;"("&amp;$E4019&amp;")")</f>
        <v/>
      </c>
      <c r="V4019">
        <f>IF($A4019="","",$F4019&amp;"|"&amp;$U4019&amp;"|"&amp;$D4019)</f>
        <v/>
      </c>
      <c r="W4019">
        <f>IF($T4019="","",IF($X4019&gt;N($X4018),$X4019,""))</f>
        <v/>
      </c>
      <c r="X4019">
        <f>IF($T4019="",N($X4018),IF(MATCH($T4019,$T$6:$T$6005,0)=ROW()-5,N($X4018)+1,N($X4018)))</f>
        <v/>
      </c>
      <c r="Z4019">
        <f>IF($V4019="","",IF($AA4019&gt;N($AA4018),$AA4019,""))</f>
        <v/>
      </c>
      <c r="AA4019">
        <f>IF($V4019="",N($AA4018),IF(MATCH($V4019,$V$6:$V$6005,0)=ROW()-5,N($AA4018)+1,N($AA4018)))</f>
        <v/>
      </c>
    </row>
    <row r="4020" ht="21" customHeight="1" s="66">
      <c r="A4020" s="56" t="n"/>
      <c r="B4020" s="57" t="n"/>
      <c r="C4020" s="57" t="n"/>
      <c r="D4020" s="57" t="n"/>
      <c r="E4020" s="56" t="n"/>
      <c r="F4020" s="57" t="n"/>
      <c r="G4020" s="57" t="n"/>
      <c r="H4020" s="56" t="n"/>
      <c r="I4020" s="56" t="n"/>
      <c r="J4020" s="58" t="n"/>
      <c r="K4020" s="58" t="n"/>
      <c r="L4020" s="13">
        <f>IF(OR($A4020="",AND($J4020="",$K4020="")),"",ROUND(N($J4020)-N($K4020),2))</f>
        <v/>
      </c>
      <c r="M4020" s="13">
        <f>IF(OR($A4020="",AND($J4020="",$K4020="")),"",MIN($J4020,$K4020))</f>
        <v/>
      </c>
      <c r="Q4020">
        <f>IF($A4020="","",$D4020&amp;"("&amp;SUBSTITUTE($E4020," ","")&amp;")")</f>
        <v/>
      </c>
      <c r="R4020">
        <f>IF($A4020="","",$B4020&amp;" - "&amp;$C4020)</f>
        <v/>
      </c>
      <c r="S4020">
        <f>IF($A4020="","",$R4020&amp;"|"&amp;$Q4020)</f>
        <v/>
      </c>
      <c r="T4020">
        <f>IF($A4020="","",$S4020&amp;"|"&amp;$F4020)</f>
        <v/>
      </c>
      <c r="U4020">
        <f>IF($A4020="","",$R4020&amp;"("&amp;$E4020&amp;")")</f>
        <v/>
      </c>
      <c r="V4020">
        <f>IF($A4020="","",$F4020&amp;"|"&amp;$U4020&amp;"|"&amp;$D4020)</f>
        <v/>
      </c>
      <c r="W4020">
        <f>IF($T4020="","",IF($X4020&gt;N($X4019),$X4020,""))</f>
        <v/>
      </c>
      <c r="X4020">
        <f>IF($T4020="",N($X4019),IF(MATCH($T4020,$T$6:$T$6005,0)=ROW()-5,N($X4019)+1,N($X4019)))</f>
        <v/>
      </c>
      <c r="Z4020">
        <f>IF($V4020="","",IF($AA4020&gt;N($AA4019),$AA4020,""))</f>
        <v/>
      </c>
      <c r="AA4020">
        <f>IF($V4020="",N($AA4019),IF(MATCH($V4020,$V$6:$V$6005,0)=ROW()-5,N($AA4019)+1,N($AA4019)))</f>
        <v/>
      </c>
    </row>
    <row r="4021" ht="21" customHeight="1" s="66">
      <c r="A4021" s="56" t="n"/>
      <c r="B4021" s="57" t="n"/>
      <c r="C4021" s="57" t="n"/>
      <c r="D4021" s="57" t="n"/>
      <c r="E4021" s="56" t="n"/>
      <c r="F4021" s="57" t="n"/>
      <c r="G4021" s="57" t="n"/>
      <c r="H4021" s="56" t="n"/>
      <c r="I4021" s="56" t="n"/>
      <c r="J4021" s="58" t="n"/>
      <c r="K4021" s="58" t="n"/>
      <c r="L4021" s="13">
        <f>IF(OR($A4021="",AND($J4021="",$K4021="")),"",ROUND(N($J4021)-N($K4021),2))</f>
        <v/>
      </c>
      <c r="M4021" s="13">
        <f>IF(OR($A4021="",AND($J4021="",$K4021="")),"",MIN($J4021,$K4021))</f>
        <v/>
      </c>
      <c r="Q4021">
        <f>IF($A4021="","",$D4021&amp;"("&amp;SUBSTITUTE($E4021," ","")&amp;")")</f>
        <v/>
      </c>
      <c r="R4021">
        <f>IF($A4021="","",$B4021&amp;" - "&amp;$C4021)</f>
        <v/>
      </c>
      <c r="S4021">
        <f>IF($A4021="","",$R4021&amp;"|"&amp;$Q4021)</f>
        <v/>
      </c>
      <c r="T4021">
        <f>IF($A4021="","",$S4021&amp;"|"&amp;$F4021)</f>
        <v/>
      </c>
      <c r="U4021">
        <f>IF($A4021="","",$R4021&amp;"("&amp;$E4021&amp;")")</f>
        <v/>
      </c>
      <c r="V4021">
        <f>IF($A4021="","",$F4021&amp;"|"&amp;$U4021&amp;"|"&amp;$D4021)</f>
        <v/>
      </c>
      <c r="W4021">
        <f>IF($T4021="","",IF($X4021&gt;N($X4020),$X4021,""))</f>
        <v/>
      </c>
      <c r="X4021">
        <f>IF($T4021="",N($X4020),IF(MATCH($T4021,$T$6:$T$6005,0)=ROW()-5,N($X4020)+1,N($X4020)))</f>
        <v/>
      </c>
      <c r="Z4021">
        <f>IF($V4021="","",IF($AA4021&gt;N($AA4020),$AA4021,""))</f>
        <v/>
      </c>
      <c r="AA4021">
        <f>IF($V4021="",N($AA4020),IF(MATCH($V4021,$V$6:$V$6005,0)=ROW()-5,N($AA4020)+1,N($AA4020)))</f>
        <v/>
      </c>
    </row>
    <row r="4022" ht="21" customHeight="1" s="66">
      <c r="A4022" s="56" t="n"/>
      <c r="B4022" s="57" t="n"/>
      <c r="C4022" s="57" t="n"/>
      <c r="D4022" s="57" t="n"/>
      <c r="E4022" s="56" t="n"/>
      <c r="F4022" s="57" t="n"/>
      <c r="G4022" s="57" t="n"/>
      <c r="H4022" s="56" t="n"/>
      <c r="I4022" s="56" t="n"/>
      <c r="J4022" s="58" t="n"/>
      <c r="K4022" s="58" t="n"/>
      <c r="L4022" s="13">
        <f>IF(OR($A4022="",AND($J4022="",$K4022="")),"",ROUND(N($J4022)-N($K4022),2))</f>
        <v/>
      </c>
      <c r="M4022" s="13">
        <f>IF(OR($A4022="",AND($J4022="",$K4022="")),"",MIN($J4022,$K4022))</f>
        <v/>
      </c>
      <c r="Q4022">
        <f>IF($A4022="","",$D4022&amp;"("&amp;SUBSTITUTE($E4022," ","")&amp;")")</f>
        <v/>
      </c>
      <c r="R4022">
        <f>IF($A4022="","",$B4022&amp;" - "&amp;$C4022)</f>
        <v/>
      </c>
      <c r="S4022">
        <f>IF($A4022="","",$R4022&amp;"|"&amp;$Q4022)</f>
        <v/>
      </c>
      <c r="T4022">
        <f>IF($A4022="","",$S4022&amp;"|"&amp;$F4022)</f>
        <v/>
      </c>
      <c r="U4022">
        <f>IF($A4022="","",$R4022&amp;"("&amp;$E4022&amp;")")</f>
        <v/>
      </c>
      <c r="V4022">
        <f>IF($A4022="","",$F4022&amp;"|"&amp;$U4022&amp;"|"&amp;$D4022)</f>
        <v/>
      </c>
      <c r="W4022">
        <f>IF($T4022="","",IF($X4022&gt;N($X4021),$X4022,""))</f>
        <v/>
      </c>
      <c r="X4022">
        <f>IF($T4022="",N($X4021),IF(MATCH($T4022,$T$6:$T$6005,0)=ROW()-5,N($X4021)+1,N($X4021)))</f>
        <v/>
      </c>
      <c r="Z4022">
        <f>IF($V4022="","",IF($AA4022&gt;N($AA4021),$AA4022,""))</f>
        <v/>
      </c>
      <c r="AA4022">
        <f>IF($V4022="",N($AA4021),IF(MATCH($V4022,$V$6:$V$6005,0)=ROW()-5,N($AA4021)+1,N($AA4021)))</f>
        <v/>
      </c>
    </row>
    <row r="4023" ht="21" customHeight="1" s="66">
      <c r="A4023" s="56" t="n"/>
      <c r="B4023" s="57" t="n"/>
      <c r="C4023" s="57" t="n"/>
      <c r="D4023" s="57" t="n"/>
      <c r="E4023" s="56" t="n"/>
      <c r="F4023" s="57" t="n"/>
      <c r="G4023" s="57" t="n"/>
      <c r="H4023" s="56" t="n"/>
      <c r="I4023" s="56" t="n"/>
      <c r="J4023" s="58" t="n"/>
      <c r="K4023" s="58" t="n"/>
      <c r="L4023" s="13">
        <f>IF(OR($A4023="",AND($J4023="",$K4023="")),"",ROUND(N($J4023)-N($K4023),2))</f>
        <v/>
      </c>
      <c r="M4023" s="13">
        <f>IF(OR($A4023="",AND($J4023="",$K4023="")),"",MIN($J4023,$K4023))</f>
        <v/>
      </c>
      <c r="Q4023">
        <f>IF($A4023="","",$D4023&amp;"("&amp;SUBSTITUTE($E4023," ","")&amp;")")</f>
        <v/>
      </c>
      <c r="R4023">
        <f>IF($A4023="","",$B4023&amp;" - "&amp;$C4023)</f>
        <v/>
      </c>
      <c r="S4023">
        <f>IF($A4023="","",$R4023&amp;"|"&amp;$Q4023)</f>
        <v/>
      </c>
      <c r="T4023">
        <f>IF($A4023="","",$S4023&amp;"|"&amp;$F4023)</f>
        <v/>
      </c>
      <c r="U4023">
        <f>IF($A4023="","",$R4023&amp;"("&amp;$E4023&amp;")")</f>
        <v/>
      </c>
      <c r="V4023">
        <f>IF($A4023="","",$F4023&amp;"|"&amp;$U4023&amp;"|"&amp;$D4023)</f>
        <v/>
      </c>
      <c r="W4023">
        <f>IF($T4023="","",IF($X4023&gt;N($X4022),$X4023,""))</f>
        <v/>
      </c>
      <c r="X4023">
        <f>IF($T4023="",N($X4022),IF(MATCH($T4023,$T$6:$T$6005,0)=ROW()-5,N($X4022)+1,N($X4022)))</f>
        <v/>
      </c>
      <c r="Z4023">
        <f>IF($V4023="","",IF($AA4023&gt;N($AA4022),$AA4023,""))</f>
        <v/>
      </c>
      <c r="AA4023">
        <f>IF($V4023="",N($AA4022),IF(MATCH($V4023,$V$6:$V$6005,0)=ROW()-5,N($AA4022)+1,N($AA4022)))</f>
        <v/>
      </c>
    </row>
    <row r="4024" ht="21" customHeight="1" s="66">
      <c r="A4024" s="56" t="n"/>
      <c r="B4024" s="57" t="n"/>
      <c r="C4024" s="57" t="n"/>
      <c r="D4024" s="57" t="n"/>
      <c r="E4024" s="56" t="n"/>
      <c r="F4024" s="57" t="n"/>
      <c r="G4024" s="57" t="n"/>
      <c r="H4024" s="56" t="n"/>
      <c r="I4024" s="56" t="n"/>
      <c r="J4024" s="58" t="n"/>
      <c r="K4024" s="58" t="n"/>
      <c r="L4024" s="13">
        <f>IF(OR($A4024="",AND($J4024="",$K4024="")),"",ROUND(N($J4024)-N($K4024),2))</f>
        <v/>
      </c>
      <c r="M4024" s="13">
        <f>IF(OR($A4024="",AND($J4024="",$K4024="")),"",MIN($J4024,$K4024))</f>
        <v/>
      </c>
      <c r="Q4024">
        <f>IF($A4024="","",$D4024&amp;"("&amp;SUBSTITUTE($E4024," ","")&amp;")")</f>
        <v/>
      </c>
      <c r="R4024">
        <f>IF($A4024="","",$B4024&amp;" - "&amp;$C4024)</f>
        <v/>
      </c>
      <c r="S4024">
        <f>IF($A4024="","",$R4024&amp;"|"&amp;$Q4024)</f>
        <v/>
      </c>
      <c r="T4024">
        <f>IF($A4024="","",$S4024&amp;"|"&amp;$F4024)</f>
        <v/>
      </c>
      <c r="U4024">
        <f>IF($A4024="","",$R4024&amp;"("&amp;$E4024&amp;")")</f>
        <v/>
      </c>
      <c r="V4024">
        <f>IF($A4024="","",$F4024&amp;"|"&amp;$U4024&amp;"|"&amp;$D4024)</f>
        <v/>
      </c>
      <c r="W4024">
        <f>IF($T4024="","",IF($X4024&gt;N($X4023),$X4024,""))</f>
        <v/>
      </c>
      <c r="X4024">
        <f>IF($T4024="",N($X4023),IF(MATCH($T4024,$T$6:$T$6005,0)=ROW()-5,N($X4023)+1,N($X4023)))</f>
        <v/>
      </c>
      <c r="Z4024">
        <f>IF($V4024="","",IF($AA4024&gt;N($AA4023),$AA4024,""))</f>
        <v/>
      </c>
      <c r="AA4024">
        <f>IF($V4024="",N($AA4023),IF(MATCH($V4024,$V$6:$V$6005,0)=ROW()-5,N($AA4023)+1,N($AA4023)))</f>
        <v/>
      </c>
    </row>
    <row r="4025" ht="21" customHeight="1" s="66">
      <c r="A4025" s="56" t="n"/>
      <c r="B4025" s="57" t="n"/>
      <c r="C4025" s="57" t="n"/>
      <c r="D4025" s="57" t="n"/>
      <c r="E4025" s="56" t="n"/>
      <c r="F4025" s="57" t="n"/>
      <c r="G4025" s="57" t="n"/>
      <c r="H4025" s="56" t="n"/>
      <c r="I4025" s="56" t="n"/>
      <c r="J4025" s="58" t="n"/>
      <c r="K4025" s="58" t="n"/>
      <c r="L4025" s="13">
        <f>IF(OR($A4025="",AND($J4025="",$K4025="")),"",ROUND(N($J4025)-N($K4025),2))</f>
        <v/>
      </c>
      <c r="M4025" s="13">
        <f>IF(OR($A4025="",AND($J4025="",$K4025="")),"",MIN($J4025,$K4025))</f>
        <v/>
      </c>
      <c r="Q4025">
        <f>IF($A4025="","",$D4025&amp;"("&amp;SUBSTITUTE($E4025," ","")&amp;")")</f>
        <v/>
      </c>
      <c r="R4025">
        <f>IF($A4025="","",$B4025&amp;" - "&amp;$C4025)</f>
        <v/>
      </c>
      <c r="S4025">
        <f>IF($A4025="","",$R4025&amp;"|"&amp;$Q4025)</f>
        <v/>
      </c>
      <c r="T4025">
        <f>IF($A4025="","",$S4025&amp;"|"&amp;$F4025)</f>
        <v/>
      </c>
      <c r="U4025">
        <f>IF($A4025="","",$R4025&amp;"("&amp;$E4025&amp;")")</f>
        <v/>
      </c>
      <c r="V4025">
        <f>IF($A4025="","",$F4025&amp;"|"&amp;$U4025&amp;"|"&amp;$D4025)</f>
        <v/>
      </c>
      <c r="W4025">
        <f>IF($T4025="","",IF($X4025&gt;N($X4024),$X4025,""))</f>
        <v/>
      </c>
      <c r="X4025">
        <f>IF($T4025="",N($X4024),IF(MATCH($T4025,$T$6:$T$6005,0)=ROW()-5,N($X4024)+1,N($X4024)))</f>
        <v/>
      </c>
      <c r="Z4025">
        <f>IF($V4025="","",IF($AA4025&gt;N($AA4024),$AA4025,""))</f>
        <v/>
      </c>
      <c r="AA4025">
        <f>IF($V4025="",N($AA4024),IF(MATCH($V4025,$V$6:$V$6005,0)=ROW()-5,N($AA4024)+1,N($AA4024)))</f>
        <v/>
      </c>
    </row>
    <row r="4026" ht="21" customHeight="1" s="66">
      <c r="A4026" s="56" t="n"/>
      <c r="B4026" s="57" t="n"/>
      <c r="C4026" s="57" t="n"/>
      <c r="D4026" s="57" t="n"/>
      <c r="E4026" s="56" t="n"/>
      <c r="F4026" s="57" t="n"/>
      <c r="G4026" s="57" t="n"/>
      <c r="H4026" s="56" t="n"/>
      <c r="I4026" s="56" t="n"/>
      <c r="J4026" s="58" t="n"/>
      <c r="K4026" s="58" t="n"/>
      <c r="L4026" s="13">
        <f>IF(OR($A4026="",AND($J4026="",$K4026="")),"",ROUND(N($J4026)-N($K4026),2))</f>
        <v/>
      </c>
      <c r="M4026" s="13">
        <f>IF(OR($A4026="",AND($J4026="",$K4026="")),"",MIN($J4026,$K4026))</f>
        <v/>
      </c>
      <c r="Q4026">
        <f>IF($A4026="","",$D4026&amp;"("&amp;SUBSTITUTE($E4026," ","")&amp;")")</f>
        <v/>
      </c>
      <c r="R4026">
        <f>IF($A4026="","",$B4026&amp;" - "&amp;$C4026)</f>
        <v/>
      </c>
      <c r="S4026">
        <f>IF($A4026="","",$R4026&amp;"|"&amp;$Q4026)</f>
        <v/>
      </c>
      <c r="T4026">
        <f>IF($A4026="","",$S4026&amp;"|"&amp;$F4026)</f>
        <v/>
      </c>
      <c r="U4026">
        <f>IF($A4026="","",$R4026&amp;"("&amp;$E4026&amp;")")</f>
        <v/>
      </c>
      <c r="V4026">
        <f>IF($A4026="","",$F4026&amp;"|"&amp;$U4026&amp;"|"&amp;$D4026)</f>
        <v/>
      </c>
      <c r="W4026">
        <f>IF($T4026="","",IF($X4026&gt;N($X4025),$X4026,""))</f>
        <v/>
      </c>
      <c r="X4026">
        <f>IF($T4026="",N($X4025),IF(MATCH($T4026,$T$6:$T$6005,0)=ROW()-5,N($X4025)+1,N($X4025)))</f>
        <v/>
      </c>
      <c r="Z4026">
        <f>IF($V4026="","",IF($AA4026&gt;N($AA4025),$AA4026,""))</f>
        <v/>
      </c>
      <c r="AA4026">
        <f>IF($V4026="",N($AA4025),IF(MATCH($V4026,$V$6:$V$6005,0)=ROW()-5,N($AA4025)+1,N($AA4025)))</f>
        <v/>
      </c>
    </row>
    <row r="4027" ht="21" customHeight="1" s="66">
      <c r="A4027" s="56" t="n"/>
      <c r="B4027" s="57" t="n"/>
      <c r="C4027" s="57" t="n"/>
      <c r="D4027" s="57" t="n"/>
      <c r="E4027" s="56" t="n"/>
      <c r="F4027" s="57" t="n"/>
      <c r="G4027" s="57" t="n"/>
      <c r="H4027" s="56" t="n"/>
      <c r="I4027" s="56" t="n"/>
      <c r="J4027" s="58" t="n"/>
      <c r="K4027" s="58" t="n"/>
      <c r="L4027" s="13">
        <f>IF(OR($A4027="",AND($J4027="",$K4027="")),"",ROUND(N($J4027)-N($K4027),2))</f>
        <v/>
      </c>
      <c r="M4027" s="13">
        <f>IF(OR($A4027="",AND($J4027="",$K4027="")),"",MIN($J4027,$K4027))</f>
        <v/>
      </c>
      <c r="Q4027">
        <f>IF($A4027="","",$D4027&amp;"("&amp;SUBSTITUTE($E4027," ","")&amp;")")</f>
        <v/>
      </c>
      <c r="R4027">
        <f>IF($A4027="","",$B4027&amp;" - "&amp;$C4027)</f>
        <v/>
      </c>
      <c r="S4027">
        <f>IF($A4027="","",$R4027&amp;"|"&amp;$Q4027)</f>
        <v/>
      </c>
      <c r="T4027">
        <f>IF($A4027="","",$S4027&amp;"|"&amp;$F4027)</f>
        <v/>
      </c>
      <c r="U4027">
        <f>IF($A4027="","",$R4027&amp;"("&amp;$E4027&amp;")")</f>
        <v/>
      </c>
      <c r="V4027">
        <f>IF($A4027="","",$F4027&amp;"|"&amp;$U4027&amp;"|"&amp;$D4027)</f>
        <v/>
      </c>
      <c r="W4027">
        <f>IF($T4027="","",IF($X4027&gt;N($X4026),$X4027,""))</f>
        <v/>
      </c>
      <c r="X4027">
        <f>IF($T4027="",N($X4026),IF(MATCH($T4027,$T$6:$T$6005,0)=ROW()-5,N($X4026)+1,N($X4026)))</f>
        <v/>
      </c>
      <c r="Z4027">
        <f>IF($V4027="","",IF($AA4027&gt;N($AA4026),$AA4027,""))</f>
        <v/>
      </c>
      <c r="AA4027">
        <f>IF($V4027="",N($AA4026),IF(MATCH($V4027,$V$6:$V$6005,0)=ROW()-5,N($AA4026)+1,N($AA4026)))</f>
        <v/>
      </c>
    </row>
    <row r="4028" ht="21" customHeight="1" s="66">
      <c r="A4028" s="56" t="n"/>
      <c r="B4028" s="57" t="n"/>
      <c r="C4028" s="57" t="n"/>
      <c r="D4028" s="57" t="n"/>
      <c r="E4028" s="56" t="n"/>
      <c r="F4028" s="57" t="n"/>
      <c r="G4028" s="57" t="n"/>
      <c r="H4028" s="56" t="n"/>
      <c r="I4028" s="56" t="n"/>
      <c r="J4028" s="58" t="n"/>
      <c r="K4028" s="58" t="n"/>
      <c r="L4028" s="13">
        <f>IF(OR($A4028="",AND($J4028="",$K4028="")),"",ROUND(N($J4028)-N($K4028),2))</f>
        <v/>
      </c>
      <c r="M4028" s="13">
        <f>IF(OR($A4028="",AND($J4028="",$K4028="")),"",MIN($J4028,$K4028))</f>
        <v/>
      </c>
      <c r="Q4028">
        <f>IF($A4028="","",$D4028&amp;"("&amp;SUBSTITUTE($E4028," ","")&amp;")")</f>
        <v/>
      </c>
      <c r="R4028">
        <f>IF($A4028="","",$B4028&amp;" - "&amp;$C4028)</f>
        <v/>
      </c>
      <c r="S4028">
        <f>IF($A4028="","",$R4028&amp;"|"&amp;$Q4028)</f>
        <v/>
      </c>
      <c r="T4028">
        <f>IF($A4028="","",$S4028&amp;"|"&amp;$F4028)</f>
        <v/>
      </c>
      <c r="U4028">
        <f>IF($A4028="","",$R4028&amp;"("&amp;$E4028&amp;")")</f>
        <v/>
      </c>
      <c r="V4028">
        <f>IF($A4028="","",$F4028&amp;"|"&amp;$U4028&amp;"|"&amp;$D4028)</f>
        <v/>
      </c>
      <c r="W4028">
        <f>IF($T4028="","",IF($X4028&gt;N($X4027),$X4028,""))</f>
        <v/>
      </c>
      <c r="X4028">
        <f>IF($T4028="",N($X4027),IF(MATCH($T4028,$T$6:$T$6005,0)=ROW()-5,N($X4027)+1,N($X4027)))</f>
        <v/>
      </c>
      <c r="Z4028">
        <f>IF($V4028="","",IF($AA4028&gt;N($AA4027),$AA4028,""))</f>
        <v/>
      </c>
      <c r="AA4028">
        <f>IF($V4028="",N($AA4027),IF(MATCH($V4028,$V$6:$V$6005,0)=ROW()-5,N($AA4027)+1,N($AA4027)))</f>
        <v/>
      </c>
    </row>
    <row r="4029" ht="21" customHeight="1" s="66">
      <c r="A4029" s="56" t="n"/>
      <c r="B4029" s="57" t="n"/>
      <c r="C4029" s="57" t="n"/>
      <c r="D4029" s="57" t="n"/>
      <c r="E4029" s="56" t="n"/>
      <c r="F4029" s="57" t="n"/>
      <c r="G4029" s="57" t="n"/>
      <c r="H4029" s="56" t="n"/>
      <c r="I4029" s="56" t="n"/>
      <c r="J4029" s="58" t="n"/>
      <c r="K4029" s="58" t="n"/>
      <c r="L4029" s="13">
        <f>IF(OR($A4029="",AND($J4029="",$K4029="")),"",ROUND(N($J4029)-N($K4029),2))</f>
        <v/>
      </c>
      <c r="M4029" s="13">
        <f>IF(OR($A4029="",AND($J4029="",$K4029="")),"",MIN($J4029,$K4029))</f>
        <v/>
      </c>
      <c r="Q4029">
        <f>IF($A4029="","",$D4029&amp;"("&amp;SUBSTITUTE($E4029," ","")&amp;")")</f>
        <v/>
      </c>
      <c r="R4029">
        <f>IF($A4029="","",$B4029&amp;" - "&amp;$C4029)</f>
        <v/>
      </c>
      <c r="S4029">
        <f>IF($A4029="","",$R4029&amp;"|"&amp;$Q4029)</f>
        <v/>
      </c>
      <c r="T4029">
        <f>IF($A4029="","",$S4029&amp;"|"&amp;$F4029)</f>
        <v/>
      </c>
      <c r="U4029">
        <f>IF($A4029="","",$R4029&amp;"("&amp;$E4029&amp;")")</f>
        <v/>
      </c>
      <c r="V4029">
        <f>IF($A4029="","",$F4029&amp;"|"&amp;$U4029&amp;"|"&amp;$D4029)</f>
        <v/>
      </c>
      <c r="W4029">
        <f>IF($T4029="","",IF($X4029&gt;N($X4028),$X4029,""))</f>
        <v/>
      </c>
      <c r="X4029">
        <f>IF($T4029="",N($X4028),IF(MATCH($T4029,$T$6:$T$6005,0)=ROW()-5,N($X4028)+1,N($X4028)))</f>
        <v/>
      </c>
      <c r="Z4029">
        <f>IF($V4029="","",IF($AA4029&gt;N($AA4028),$AA4029,""))</f>
        <v/>
      </c>
      <c r="AA4029">
        <f>IF($V4029="",N($AA4028),IF(MATCH($V4029,$V$6:$V$6005,0)=ROW()-5,N($AA4028)+1,N($AA4028)))</f>
        <v/>
      </c>
    </row>
    <row r="4030" ht="21" customHeight="1" s="66">
      <c r="A4030" s="56" t="n"/>
      <c r="B4030" s="57" t="n"/>
      <c r="C4030" s="57" t="n"/>
      <c r="D4030" s="57" t="n"/>
      <c r="E4030" s="56" t="n"/>
      <c r="F4030" s="57" t="n"/>
      <c r="G4030" s="57" t="n"/>
      <c r="H4030" s="56" t="n"/>
      <c r="I4030" s="56" t="n"/>
      <c r="J4030" s="58" t="n"/>
      <c r="K4030" s="58" t="n"/>
      <c r="L4030" s="13">
        <f>IF(OR($A4030="",AND($J4030="",$K4030="")),"",ROUND(N($J4030)-N($K4030),2))</f>
        <v/>
      </c>
      <c r="M4030" s="13">
        <f>IF(OR($A4030="",AND($J4030="",$K4030="")),"",MIN($J4030,$K4030))</f>
        <v/>
      </c>
      <c r="Q4030">
        <f>IF($A4030="","",$D4030&amp;"("&amp;SUBSTITUTE($E4030," ","")&amp;")")</f>
        <v/>
      </c>
      <c r="R4030">
        <f>IF($A4030="","",$B4030&amp;" - "&amp;$C4030)</f>
        <v/>
      </c>
      <c r="S4030">
        <f>IF($A4030="","",$R4030&amp;"|"&amp;$Q4030)</f>
        <v/>
      </c>
      <c r="T4030">
        <f>IF($A4030="","",$S4030&amp;"|"&amp;$F4030)</f>
        <v/>
      </c>
      <c r="U4030">
        <f>IF($A4030="","",$R4030&amp;"("&amp;$E4030&amp;")")</f>
        <v/>
      </c>
      <c r="V4030">
        <f>IF($A4030="","",$F4030&amp;"|"&amp;$U4030&amp;"|"&amp;$D4030)</f>
        <v/>
      </c>
      <c r="W4030">
        <f>IF($T4030="","",IF($X4030&gt;N($X4029),$X4030,""))</f>
        <v/>
      </c>
      <c r="X4030">
        <f>IF($T4030="",N($X4029),IF(MATCH($T4030,$T$6:$T$6005,0)=ROW()-5,N($X4029)+1,N($X4029)))</f>
        <v/>
      </c>
      <c r="Z4030">
        <f>IF($V4030="","",IF($AA4030&gt;N($AA4029),$AA4030,""))</f>
        <v/>
      </c>
      <c r="AA4030">
        <f>IF($V4030="",N($AA4029),IF(MATCH($V4030,$V$6:$V$6005,0)=ROW()-5,N($AA4029)+1,N($AA4029)))</f>
        <v/>
      </c>
    </row>
    <row r="4031" ht="21" customHeight="1" s="66">
      <c r="A4031" s="56" t="n"/>
      <c r="B4031" s="57" t="n"/>
      <c r="C4031" s="57" t="n"/>
      <c r="D4031" s="57" t="n"/>
      <c r="E4031" s="56" t="n"/>
      <c r="F4031" s="57" t="n"/>
      <c r="G4031" s="57" t="n"/>
      <c r="H4031" s="56" t="n"/>
      <c r="I4031" s="56" t="n"/>
      <c r="J4031" s="58" t="n"/>
      <c r="K4031" s="58" t="n"/>
      <c r="L4031" s="13">
        <f>IF(OR($A4031="",AND($J4031="",$K4031="")),"",ROUND(N($J4031)-N($K4031),2))</f>
        <v/>
      </c>
      <c r="M4031" s="13">
        <f>IF(OR($A4031="",AND($J4031="",$K4031="")),"",MIN($J4031,$K4031))</f>
        <v/>
      </c>
      <c r="Q4031">
        <f>IF($A4031="","",$D4031&amp;"("&amp;SUBSTITUTE($E4031," ","")&amp;")")</f>
        <v/>
      </c>
      <c r="R4031">
        <f>IF($A4031="","",$B4031&amp;" - "&amp;$C4031)</f>
        <v/>
      </c>
      <c r="S4031">
        <f>IF($A4031="","",$R4031&amp;"|"&amp;$Q4031)</f>
        <v/>
      </c>
      <c r="T4031">
        <f>IF($A4031="","",$S4031&amp;"|"&amp;$F4031)</f>
        <v/>
      </c>
      <c r="U4031">
        <f>IF($A4031="","",$R4031&amp;"("&amp;$E4031&amp;")")</f>
        <v/>
      </c>
      <c r="V4031">
        <f>IF($A4031="","",$F4031&amp;"|"&amp;$U4031&amp;"|"&amp;$D4031)</f>
        <v/>
      </c>
      <c r="W4031">
        <f>IF($T4031="","",IF($X4031&gt;N($X4030),$X4031,""))</f>
        <v/>
      </c>
      <c r="X4031">
        <f>IF($T4031="",N($X4030),IF(MATCH($T4031,$T$6:$T$6005,0)=ROW()-5,N($X4030)+1,N($X4030)))</f>
        <v/>
      </c>
      <c r="Z4031">
        <f>IF($V4031="","",IF($AA4031&gt;N($AA4030),$AA4031,""))</f>
        <v/>
      </c>
      <c r="AA4031">
        <f>IF($V4031="",N($AA4030),IF(MATCH($V4031,$V$6:$V$6005,0)=ROW()-5,N($AA4030)+1,N($AA4030)))</f>
        <v/>
      </c>
    </row>
    <row r="4032" ht="21" customHeight="1" s="66">
      <c r="A4032" s="56" t="n"/>
      <c r="B4032" s="57" t="n"/>
      <c r="C4032" s="57" t="n"/>
      <c r="D4032" s="57" t="n"/>
      <c r="E4032" s="56" t="n"/>
      <c r="F4032" s="57" t="n"/>
      <c r="G4032" s="57" t="n"/>
      <c r="H4032" s="56" t="n"/>
      <c r="I4032" s="56" t="n"/>
      <c r="J4032" s="58" t="n"/>
      <c r="K4032" s="58" t="n"/>
      <c r="L4032" s="13">
        <f>IF(OR($A4032="",AND($J4032="",$K4032="")),"",ROUND(N($J4032)-N($K4032),2))</f>
        <v/>
      </c>
      <c r="M4032" s="13">
        <f>IF(OR($A4032="",AND($J4032="",$K4032="")),"",MIN($J4032,$K4032))</f>
        <v/>
      </c>
      <c r="Q4032">
        <f>IF($A4032="","",$D4032&amp;"("&amp;SUBSTITUTE($E4032," ","")&amp;")")</f>
        <v/>
      </c>
      <c r="R4032">
        <f>IF($A4032="","",$B4032&amp;" - "&amp;$C4032)</f>
        <v/>
      </c>
      <c r="S4032">
        <f>IF($A4032="","",$R4032&amp;"|"&amp;$Q4032)</f>
        <v/>
      </c>
      <c r="T4032">
        <f>IF($A4032="","",$S4032&amp;"|"&amp;$F4032)</f>
        <v/>
      </c>
      <c r="U4032">
        <f>IF($A4032="","",$R4032&amp;"("&amp;$E4032&amp;")")</f>
        <v/>
      </c>
      <c r="V4032">
        <f>IF($A4032="","",$F4032&amp;"|"&amp;$U4032&amp;"|"&amp;$D4032)</f>
        <v/>
      </c>
      <c r="W4032">
        <f>IF($T4032="","",IF($X4032&gt;N($X4031),$X4032,""))</f>
        <v/>
      </c>
      <c r="X4032">
        <f>IF($T4032="",N($X4031),IF(MATCH($T4032,$T$6:$T$6005,0)=ROW()-5,N($X4031)+1,N($X4031)))</f>
        <v/>
      </c>
      <c r="Z4032">
        <f>IF($V4032="","",IF($AA4032&gt;N($AA4031),$AA4032,""))</f>
        <v/>
      </c>
      <c r="AA4032">
        <f>IF($V4032="",N($AA4031),IF(MATCH($V4032,$V$6:$V$6005,0)=ROW()-5,N($AA4031)+1,N($AA4031)))</f>
        <v/>
      </c>
    </row>
    <row r="4033" ht="21" customHeight="1" s="66">
      <c r="A4033" s="56" t="n"/>
      <c r="B4033" s="57" t="n"/>
      <c r="C4033" s="57" t="n"/>
      <c r="D4033" s="57" t="n"/>
      <c r="E4033" s="56" t="n"/>
      <c r="F4033" s="57" t="n"/>
      <c r="G4033" s="57" t="n"/>
      <c r="H4033" s="56" t="n"/>
      <c r="I4033" s="56" t="n"/>
      <c r="J4033" s="58" t="n"/>
      <c r="K4033" s="58" t="n"/>
      <c r="L4033" s="13">
        <f>IF(OR($A4033="",AND($J4033="",$K4033="")),"",ROUND(N($J4033)-N($K4033),2))</f>
        <v/>
      </c>
      <c r="M4033" s="13">
        <f>IF(OR($A4033="",AND($J4033="",$K4033="")),"",MIN($J4033,$K4033))</f>
        <v/>
      </c>
      <c r="Q4033">
        <f>IF($A4033="","",$D4033&amp;"("&amp;SUBSTITUTE($E4033," ","")&amp;")")</f>
        <v/>
      </c>
      <c r="R4033">
        <f>IF($A4033="","",$B4033&amp;" - "&amp;$C4033)</f>
        <v/>
      </c>
      <c r="S4033">
        <f>IF($A4033="","",$R4033&amp;"|"&amp;$Q4033)</f>
        <v/>
      </c>
      <c r="T4033">
        <f>IF($A4033="","",$S4033&amp;"|"&amp;$F4033)</f>
        <v/>
      </c>
      <c r="U4033">
        <f>IF($A4033="","",$R4033&amp;"("&amp;$E4033&amp;")")</f>
        <v/>
      </c>
      <c r="V4033">
        <f>IF($A4033="","",$F4033&amp;"|"&amp;$U4033&amp;"|"&amp;$D4033)</f>
        <v/>
      </c>
      <c r="W4033">
        <f>IF($T4033="","",IF($X4033&gt;N($X4032),$X4033,""))</f>
        <v/>
      </c>
      <c r="X4033">
        <f>IF($T4033="",N($X4032),IF(MATCH($T4033,$T$6:$T$6005,0)=ROW()-5,N($X4032)+1,N($X4032)))</f>
        <v/>
      </c>
      <c r="Z4033">
        <f>IF($V4033="","",IF($AA4033&gt;N($AA4032),$AA4033,""))</f>
        <v/>
      </c>
      <c r="AA4033">
        <f>IF($V4033="",N($AA4032),IF(MATCH($V4033,$V$6:$V$6005,0)=ROW()-5,N($AA4032)+1,N($AA4032)))</f>
        <v/>
      </c>
    </row>
    <row r="4034" ht="21" customHeight="1" s="66">
      <c r="A4034" s="56" t="n"/>
      <c r="B4034" s="57" t="n"/>
      <c r="C4034" s="57" t="n"/>
      <c r="D4034" s="57" t="n"/>
      <c r="E4034" s="56" t="n"/>
      <c r="F4034" s="57" t="n"/>
      <c r="G4034" s="57" t="n"/>
      <c r="H4034" s="56" t="n"/>
      <c r="I4034" s="56" t="n"/>
      <c r="J4034" s="58" t="n"/>
      <c r="K4034" s="58" t="n"/>
      <c r="L4034" s="13">
        <f>IF(OR($A4034="",AND($J4034="",$K4034="")),"",ROUND(N($J4034)-N($K4034),2))</f>
        <v/>
      </c>
      <c r="M4034" s="13">
        <f>IF(OR($A4034="",AND($J4034="",$K4034="")),"",MIN($J4034,$K4034))</f>
        <v/>
      </c>
      <c r="Q4034">
        <f>IF($A4034="","",$D4034&amp;"("&amp;SUBSTITUTE($E4034," ","")&amp;")")</f>
        <v/>
      </c>
      <c r="R4034">
        <f>IF($A4034="","",$B4034&amp;" - "&amp;$C4034)</f>
        <v/>
      </c>
      <c r="S4034">
        <f>IF($A4034="","",$R4034&amp;"|"&amp;$Q4034)</f>
        <v/>
      </c>
      <c r="T4034">
        <f>IF($A4034="","",$S4034&amp;"|"&amp;$F4034)</f>
        <v/>
      </c>
      <c r="U4034">
        <f>IF($A4034="","",$R4034&amp;"("&amp;$E4034&amp;")")</f>
        <v/>
      </c>
      <c r="V4034">
        <f>IF($A4034="","",$F4034&amp;"|"&amp;$U4034&amp;"|"&amp;$D4034)</f>
        <v/>
      </c>
      <c r="W4034">
        <f>IF($T4034="","",IF($X4034&gt;N($X4033),$X4034,""))</f>
        <v/>
      </c>
      <c r="X4034">
        <f>IF($T4034="",N($X4033),IF(MATCH($T4034,$T$6:$T$6005,0)=ROW()-5,N($X4033)+1,N($X4033)))</f>
        <v/>
      </c>
      <c r="Z4034">
        <f>IF($V4034="","",IF($AA4034&gt;N($AA4033),$AA4034,""))</f>
        <v/>
      </c>
      <c r="AA4034">
        <f>IF($V4034="",N($AA4033),IF(MATCH($V4034,$V$6:$V$6005,0)=ROW()-5,N($AA4033)+1,N($AA4033)))</f>
        <v/>
      </c>
    </row>
    <row r="4035" ht="21" customHeight="1" s="66">
      <c r="A4035" s="56" t="n"/>
      <c r="B4035" s="57" t="n"/>
      <c r="C4035" s="57" t="n"/>
      <c r="D4035" s="57" t="n"/>
      <c r="E4035" s="56" t="n"/>
      <c r="F4035" s="57" t="n"/>
      <c r="G4035" s="57" t="n"/>
      <c r="H4035" s="56" t="n"/>
      <c r="I4035" s="56" t="n"/>
      <c r="J4035" s="58" t="n"/>
      <c r="K4035" s="58" t="n"/>
      <c r="L4035" s="13">
        <f>IF(OR($A4035="",AND($J4035="",$K4035="")),"",ROUND(N($J4035)-N($K4035),2))</f>
        <v/>
      </c>
      <c r="M4035" s="13">
        <f>IF(OR($A4035="",AND($J4035="",$K4035="")),"",MIN($J4035,$K4035))</f>
        <v/>
      </c>
      <c r="Q4035">
        <f>IF($A4035="","",$D4035&amp;"("&amp;SUBSTITUTE($E4035," ","")&amp;")")</f>
        <v/>
      </c>
      <c r="R4035">
        <f>IF($A4035="","",$B4035&amp;" - "&amp;$C4035)</f>
        <v/>
      </c>
      <c r="S4035">
        <f>IF($A4035="","",$R4035&amp;"|"&amp;$Q4035)</f>
        <v/>
      </c>
      <c r="T4035">
        <f>IF($A4035="","",$S4035&amp;"|"&amp;$F4035)</f>
        <v/>
      </c>
      <c r="U4035">
        <f>IF($A4035="","",$R4035&amp;"("&amp;$E4035&amp;")")</f>
        <v/>
      </c>
      <c r="V4035">
        <f>IF($A4035="","",$F4035&amp;"|"&amp;$U4035&amp;"|"&amp;$D4035)</f>
        <v/>
      </c>
      <c r="W4035">
        <f>IF($T4035="","",IF($X4035&gt;N($X4034),$X4035,""))</f>
        <v/>
      </c>
      <c r="X4035">
        <f>IF($T4035="",N($X4034),IF(MATCH($T4035,$T$6:$T$6005,0)=ROW()-5,N($X4034)+1,N($X4034)))</f>
        <v/>
      </c>
      <c r="Z4035">
        <f>IF($V4035="","",IF($AA4035&gt;N($AA4034),$AA4035,""))</f>
        <v/>
      </c>
      <c r="AA4035">
        <f>IF($V4035="",N($AA4034),IF(MATCH($V4035,$V$6:$V$6005,0)=ROW()-5,N($AA4034)+1,N($AA4034)))</f>
        <v/>
      </c>
    </row>
    <row r="4036" ht="21" customHeight="1" s="66">
      <c r="A4036" s="56" t="n"/>
      <c r="B4036" s="57" t="n"/>
      <c r="C4036" s="57" t="n"/>
      <c r="D4036" s="57" t="n"/>
      <c r="E4036" s="56" t="n"/>
      <c r="F4036" s="57" t="n"/>
      <c r="G4036" s="57" t="n"/>
      <c r="H4036" s="56" t="n"/>
      <c r="I4036" s="56" t="n"/>
      <c r="J4036" s="58" t="n"/>
      <c r="K4036" s="58" t="n"/>
      <c r="L4036" s="13">
        <f>IF(OR($A4036="",AND($J4036="",$K4036="")),"",ROUND(N($J4036)-N($K4036),2))</f>
        <v/>
      </c>
      <c r="M4036" s="13">
        <f>IF(OR($A4036="",AND($J4036="",$K4036="")),"",MIN($J4036,$K4036))</f>
        <v/>
      </c>
      <c r="Q4036">
        <f>IF($A4036="","",$D4036&amp;"("&amp;SUBSTITUTE($E4036," ","")&amp;")")</f>
        <v/>
      </c>
      <c r="R4036">
        <f>IF($A4036="","",$B4036&amp;" - "&amp;$C4036)</f>
        <v/>
      </c>
      <c r="S4036">
        <f>IF($A4036="","",$R4036&amp;"|"&amp;$Q4036)</f>
        <v/>
      </c>
      <c r="T4036">
        <f>IF($A4036="","",$S4036&amp;"|"&amp;$F4036)</f>
        <v/>
      </c>
      <c r="U4036">
        <f>IF($A4036="","",$R4036&amp;"("&amp;$E4036&amp;")")</f>
        <v/>
      </c>
      <c r="V4036">
        <f>IF($A4036="","",$F4036&amp;"|"&amp;$U4036&amp;"|"&amp;$D4036)</f>
        <v/>
      </c>
      <c r="W4036">
        <f>IF($T4036="","",IF($X4036&gt;N($X4035),$X4036,""))</f>
        <v/>
      </c>
      <c r="X4036">
        <f>IF($T4036="",N($X4035),IF(MATCH($T4036,$T$6:$T$6005,0)=ROW()-5,N($X4035)+1,N($X4035)))</f>
        <v/>
      </c>
      <c r="Z4036">
        <f>IF($V4036="","",IF($AA4036&gt;N($AA4035),$AA4036,""))</f>
        <v/>
      </c>
      <c r="AA4036">
        <f>IF($V4036="",N($AA4035),IF(MATCH($V4036,$V$6:$V$6005,0)=ROW()-5,N($AA4035)+1,N($AA4035)))</f>
        <v/>
      </c>
    </row>
    <row r="4037" ht="21" customHeight="1" s="66">
      <c r="A4037" s="56" t="n"/>
      <c r="B4037" s="57" t="n"/>
      <c r="C4037" s="57" t="n"/>
      <c r="D4037" s="57" t="n"/>
      <c r="E4037" s="56" t="n"/>
      <c r="F4037" s="57" t="n"/>
      <c r="G4037" s="57" t="n"/>
      <c r="H4037" s="56" t="n"/>
      <c r="I4037" s="56" t="n"/>
      <c r="J4037" s="58" t="n"/>
      <c r="K4037" s="58" t="n"/>
      <c r="L4037" s="13">
        <f>IF(OR($A4037="",AND($J4037="",$K4037="")),"",ROUND(N($J4037)-N($K4037),2))</f>
        <v/>
      </c>
      <c r="M4037" s="13">
        <f>IF(OR($A4037="",AND($J4037="",$K4037="")),"",MIN($J4037,$K4037))</f>
        <v/>
      </c>
      <c r="Q4037">
        <f>IF($A4037="","",$D4037&amp;"("&amp;SUBSTITUTE($E4037," ","")&amp;")")</f>
        <v/>
      </c>
      <c r="R4037">
        <f>IF($A4037="","",$B4037&amp;" - "&amp;$C4037)</f>
        <v/>
      </c>
      <c r="S4037">
        <f>IF($A4037="","",$R4037&amp;"|"&amp;$Q4037)</f>
        <v/>
      </c>
      <c r="T4037">
        <f>IF($A4037="","",$S4037&amp;"|"&amp;$F4037)</f>
        <v/>
      </c>
      <c r="U4037">
        <f>IF($A4037="","",$R4037&amp;"("&amp;$E4037&amp;")")</f>
        <v/>
      </c>
      <c r="V4037">
        <f>IF($A4037="","",$F4037&amp;"|"&amp;$U4037&amp;"|"&amp;$D4037)</f>
        <v/>
      </c>
      <c r="W4037">
        <f>IF($T4037="","",IF($X4037&gt;N($X4036),$X4037,""))</f>
        <v/>
      </c>
      <c r="X4037">
        <f>IF($T4037="",N($X4036),IF(MATCH($T4037,$T$6:$T$6005,0)=ROW()-5,N($X4036)+1,N($X4036)))</f>
        <v/>
      </c>
      <c r="Z4037">
        <f>IF($V4037="","",IF($AA4037&gt;N($AA4036),$AA4037,""))</f>
        <v/>
      </c>
      <c r="AA4037">
        <f>IF($V4037="",N($AA4036),IF(MATCH($V4037,$V$6:$V$6005,0)=ROW()-5,N($AA4036)+1,N($AA4036)))</f>
        <v/>
      </c>
    </row>
    <row r="4038" ht="21" customHeight="1" s="66">
      <c r="A4038" s="56" t="n"/>
      <c r="B4038" s="57" t="n"/>
      <c r="C4038" s="57" t="n"/>
      <c r="D4038" s="57" t="n"/>
      <c r="E4038" s="56" t="n"/>
      <c r="F4038" s="57" t="n"/>
      <c r="G4038" s="57" t="n"/>
      <c r="H4038" s="56" t="n"/>
      <c r="I4038" s="56" t="n"/>
      <c r="J4038" s="58" t="n"/>
      <c r="K4038" s="58" t="n"/>
      <c r="L4038" s="13">
        <f>IF(OR($A4038="",AND($J4038="",$K4038="")),"",ROUND(N($J4038)-N($K4038),2))</f>
        <v/>
      </c>
      <c r="M4038" s="13">
        <f>IF(OR($A4038="",AND($J4038="",$K4038="")),"",MIN($J4038,$K4038))</f>
        <v/>
      </c>
      <c r="Q4038">
        <f>IF($A4038="","",$D4038&amp;"("&amp;SUBSTITUTE($E4038," ","")&amp;")")</f>
        <v/>
      </c>
      <c r="R4038">
        <f>IF($A4038="","",$B4038&amp;" - "&amp;$C4038)</f>
        <v/>
      </c>
      <c r="S4038">
        <f>IF($A4038="","",$R4038&amp;"|"&amp;$Q4038)</f>
        <v/>
      </c>
      <c r="T4038">
        <f>IF($A4038="","",$S4038&amp;"|"&amp;$F4038)</f>
        <v/>
      </c>
      <c r="U4038">
        <f>IF($A4038="","",$R4038&amp;"("&amp;$E4038&amp;")")</f>
        <v/>
      </c>
      <c r="V4038">
        <f>IF($A4038="","",$F4038&amp;"|"&amp;$U4038&amp;"|"&amp;$D4038)</f>
        <v/>
      </c>
      <c r="W4038">
        <f>IF($T4038="","",IF($X4038&gt;N($X4037),$X4038,""))</f>
        <v/>
      </c>
      <c r="X4038">
        <f>IF($T4038="",N($X4037),IF(MATCH($T4038,$T$6:$T$6005,0)=ROW()-5,N($X4037)+1,N($X4037)))</f>
        <v/>
      </c>
      <c r="Z4038">
        <f>IF($V4038="","",IF($AA4038&gt;N($AA4037),$AA4038,""))</f>
        <v/>
      </c>
      <c r="AA4038">
        <f>IF($V4038="",N($AA4037),IF(MATCH($V4038,$V$6:$V$6005,0)=ROW()-5,N($AA4037)+1,N($AA4037)))</f>
        <v/>
      </c>
    </row>
    <row r="4039" ht="21" customHeight="1" s="66">
      <c r="A4039" s="56" t="n"/>
      <c r="B4039" s="57" t="n"/>
      <c r="C4039" s="57" t="n"/>
      <c r="D4039" s="57" t="n"/>
      <c r="E4039" s="56" t="n"/>
      <c r="F4039" s="57" t="n"/>
      <c r="G4039" s="57" t="n"/>
      <c r="H4039" s="56" t="n"/>
      <c r="I4039" s="56" t="n"/>
      <c r="J4039" s="58" t="n"/>
      <c r="K4039" s="58" t="n"/>
      <c r="L4039" s="13">
        <f>IF(OR($A4039="",AND($J4039="",$K4039="")),"",ROUND(N($J4039)-N($K4039),2))</f>
        <v/>
      </c>
      <c r="M4039" s="13">
        <f>IF(OR($A4039="",AND($J4039="",$K4039="")),"",MIN($J4039,$K4039))</f>
        <v/>
      </c>
      <c r="Q4039">
        <f>IF($A4039="","",$D4039&amp;"("&amp;SUBSTITUTE($E4039," ","")&amp;")")</f>
        <v/>
      </c>
      <c r="R4039">
        <f>IF($A4039="","",$B4039&amp;" - "&amp;$C4039)</f>
        <v/>
      </c>
      <c r="S4039">
        <f>IF($A4039="","",$R4039&amp;"|"&amp;$Q4039)</f>
        <v/>
      </c>
      <c r="T4039">
        <f>IF($A4039="","",$S4039&amp;"|"&amp;$F4039)</f>
        <v/>
      </c>
      <c r="U4039">
        <f>IF($A4039="","",$R4039&amp;"("&amp;$E4039&amp;")")</f>
        <v/>
      </c>
      <c r="V4039">
        <f>IF($A4039="","",$F4039&amp;"|"&amp;$U4039&amp;"|"&amp;$D4039)</f>
        <v/>
      </c>
      <c r="W4039">
        <f>IF($T4039="","",IF($X4039&gt;N($X4038),$X4039,""))</f>
        <v/>
      </c>
      <c r="X4039">
        <f>IF($T4039="",N($X4038),IF(MATCH($T4039,$T$6:$T$6005,0)=ROW()-5,N($X4038)+1,N($X4038)))</f>
        <v/>
      </c>
      <c r="Z4039">
        <f>IF($V4039="","",IF($AA4039&gt;N($AA4038),$AA4039,""))</f>
        <v/>
      </c>
      <c r="AA4039">
        <f>IF($V4039="",N($AA4038),IF(MATCH($V4039,$V$6:$V$6005,0)=ROW()-5,N($AA4038)+1,N($AA4038)))</f>
        <v/>
      </c>
    </row>
    <row r="4040" ht="21" customHeight="1" s="66">
      <c r="A4040" s="56" t="n"/>
      <c r="B4040" s="57" t="n"/>
      <c r="C4040" s="57" t="n"/>
      <c r="D4040" s="57" t="n"/>
      <c r="E4040" s="56" t="n"/>
      <c r="F4040" s="57" t="n"/>
      <c r="G4040" s="57" t="n"/>
      <c r="H4040" s="56" t="n"/>
      <c r="I4040" s="56" t="n"/>
      <c r="J4040" s="58" t="n"/>
      <c r="K4040" s="58" t="n"/>
      <c r="L4040" s="13">
        <f>IF(OR($A4040="",AND($J4040="",$K4040="")),"",ROUND(N($J4040)-N($K4040),2))</f>
        <v/>
      </c>
      <c r="M4040" s="13">
        <f>IF(OR($A4040="",AND($J4040="",$K4040="")),"",MIN($J4040,$K4040))</f>
        <v/>
      </c>
      <c r="Q4040">
        <f>IF($A4040="","",$D4040&amp;"("&amp;SUBSTITUTE($E4040," ","")&amp;")")</f>
        <v/>
      </c>
      <c r="R4040">
        <f>IF($A4040="","",$B4040&amp;" - "&amp;$C4040)</f>
        <v/>
      </c>
      <c r="S4040">
        <f>IF($A4040="","",$R4040&amp;"|"&amp;$Q4040)</f>
        <v/>
      </c>
      <c r="T4040">
        <f>IF($A4040="","",$S4040&amp;"|"&amp;$F4040)</f>
        <v/>
      </c>
      <c r="U4040">
        <f>IF($A4040="","",$R4040&amp;"("&amp;$E4040&amp;")")</f>
        <v/>
      </c>
      <c r="V4040">
        <f>IF($A4040="","",$F4040&amp;"|"&amp;$U4040&amp;"|"&amp;$D4040)</f>
        <v/>
      </c>
      <c r="W4040">
        <f>IF($T4040="","",IF($X4040&gt;N($X4039),$X4040,""))</f>
        <v/>
      </c>
      <c r="X4040">
        <f>IF($T4040="",N($X4039),IF(MATCH($T4040,$T$6:$T$6005,0)=ROW()-5,N($X4039)+1,N($X4039)))</f>
        <v/>
      </c>
      <c r="Z4040">
        <f>IF($V4040="","",IF($AA4040&gt;N($AA4039),$AA4040,""))</f>
        <v/>
      </c>
      <c r="AA4040">
        <f>IF($V4040="",N($AA4039),IF(MATCH($V4040,$V$6:$V$6005,0)=ROW()-5,N($AA4039)+1,N($AA4039)))</f>
        <v/>
      </c>
    </row>
    <row r="4041" ht="21" customHeight="1" s="66">
      <c r="A4041" s="56" t="n"/>
      <c r="B4041" s="57" t="n"/>
      <c r="C4041" s="57" t="n"/>
      <c r="D4041" s="57" t="n"/>
      <c r="E4041" s="56" t="n"/>
      <c r="F4041" s="57" t="n"/>
      <c r="G4041" s="57" t="n"/>
      <c r="H4041" s="56" t="n"/>
      <c r="I4041" s="56" t="n"/>
      <c r="J4041" s="58" t="n"/>
      <c r="K4041" s="58" t="n"/>
      <c r="L4041" s="13">
        <f>IF(OR($A4041="",AND($J4041="",$K4041="")),"",ROUND(N($J4041)-N($K4041),2))</f>
        <v/>
      </c>
      <c r="M4041" s="13">
        <f>IF(OR($A4041="",AND($J4041="",$K4041="")),"",MIN($J4041,$K4041))</f>
        <v/>
      </c>
      <c r="Q4041">
        <f>IF($A4041="","",$D4041&amp;"("&amp;SUBSTITUTE($E4041," ","")&amp;")")</f>
        <v/>
      </c>
      <c r="R4041">
        <f>IF($A4041="","",$B4041&amp;" - "&amp;$C4041)</f>
        <v/>
      </c>
      <c r="S4041">
        <f>IF($A4041="","",$R4041&amp;"|"&amp;$Q4041)</f>
        <v/>
      </c>
      <c r="T4041">
        <f>IF($A4041="","",$S4041&amp;"|"&amp;$F4041)</f>
        <v/>
      </c>
      <c r="U4041">
        <f>IF($A4041="","",$R4041&amp;"("&amp;$E4041&amp;")")</f>
        <v/>
      </c>
      <c r="V4041">
        <f>IF($A4041="","",$F4041&amp;"|"&amp;$U4041&amp;"|"&amp;$D4041)</f>
        <v/>
      </c>
      <c r="W4041">
        <f>IF($T4041="","",IF($X4041&gt;N($X4040),$X4041,""))</f>
        <v/>
      </c>
      <c r="X4041">
        <f>IF($T4041="",N($X4040),IF(MATCH($T4041,$T$6:$T$6005,0)=ROW()-5,N($X4040)+1,N($X4040)))</f>
        <v/>
      </c>
      <c r="Z4041">
        <f>IF($V4041="","",IF($AA4041&gt;N($AA4040),$AA4041,""))</f>
        <v/>
      </c>
      <c r="AA4041">
        <f>IF($V4041="",N($AA4040),IF(MATCH($V4041,$V$6:$V$6005,0)=ROW()-5,N($AA4040)+1,N($AA4040)))</f>
        <v/>
      </c>
    </row>
    <row r="4042" ht="21" customHeight="1" s="66">
      <c r="A4042" s="56" t="n"/>
      <c r="B4042" s="57" t="n"/>
      <c r="C4042" s="57" t="n"/>
      <c r="D4042" s="57" t="n"/>
      <c r="E4042" s="56" t="n"/>
      <c r="F4042" s="57" t="n"/>
      <c r="G4042" s="57" t="n"/>
      <c r="H4042" s="56" t="n"/>
      <c r="I4042" s="56" t="n"/>
      <c r="J4042" s="58" t="n"/>
      <c r="K4042" s="58" t="n"/>
      <c r="L4042" s="13">
        <f>IF(OR($A4042="",AND($J4042="",$K4042="")),"",ROUND(N($J4042)-N($K4042),2))</f>
        <v/>
      </c>
      <c r="M4042" s="13">
        <f>IF(OR($A4042="",AND($J4042="",$K4042="")),"",MIN($J4042,$K4042))</f>
        <v/>
      </c>
      <c r="Q4042">
        <f>IF($A4042="","",$D4042&amp;"("&amp;SUBSTITUTE($E4042," ","")&amp;")")</f>
        <v/>
      </c>
      <c r="R4042">
        <f>IF($A4042="","",$B4042&amp;" - "&amp;$C4042)</f>
        <v/>
      </c>
      <c r="S4042">
        <f>IF($A4042="","",$R4042&amp;"|"&amp;$Q4042)</f>
        <v/>
      </c>
      <c r="T4042">
        <f>IF($A4042="","",$S4042&amp;"|"&amp;$F4042)</f>
        <v/>
      </c>
      <c r="U4042">
        <f>IF($A4042="","",$R4042&amp;"("&amp;$E4042&amp;")")</f>
        <v/>
      </c>
      <c r="V4042">
        <f>IF($A4042="","",$F4042&amp;"|"&amp;$U4042&amp;"|"&amp;$D4042)</f>
        <v/>
      </c>
      <c r="W4042">
        <f>IF($T4042="","",IF($X4042&gt;N($X4041),$X4042,""))</f>
        <v/>
      </c>
      <c r="X4042">
        <f>IF($T4042="",N($X4041),IF(MATCH($T4042,$T$6:$T$6005,0)=ROW()-5,N($X4041)+1,N($X4041)))</f>
        <v/>
      </c>
      <c r="Z4042">
        <f>IF($V4042="","",IF($AA4042&gt;N($AA4041),$AA4042,""))</f>
        <v/>
      </c>
      <c r="AA4042">
        <f>IF($V4042="",N($AA4041),IF(MATCH($V4042,$V$6:$V$6005,0)=ROW()-5,N($AA4041)+1,N($AA4041)))</f>
        <v/>
      </c>
    </row>
    <row r="4043" ht="21" customHeight="1" s="66">
      <c r="A4043" s="56" t="n"/>
      <c r="B4043" s="57" t="n"/>
      <c r="C4043" s="57" t="n"/>
      <c r="D4043" s="57" t="n"/>
      <c r="E4043" s="56" t="n"/>
      <c r="F4043" s="57" t="n"/>
      <c r="G4043" s="57" t="n"/>
      <c r="H4043" s="56" t="n"/>
      <c r="I4043" s="56" t="n"/>
      <c r="J4043" s="58" t="n"/>
      <c r="K4043" s="58" t="n"/>
      <c r="L4043" s="13">
        <f>IF(OR($A4043="",AND($J4043="",$K4043="")),"",ROUND(N($J4043)-N($K4043),2))</f>
        <v/>
      </c>
      <c r="M4043" s="13">
        <f>IF(OR($A4043="",AND($J4043="",$K4043="")),"",MIN($J4043,$K4043))</f>
        <v/>
      </c>
      <c r="Q4043">
        <f>IF($A4043="","",$D4043&amp;"("&amp;SUBSTITUTE($E4043," ","")&amp;")")</f>
        <v/>
      </c>
      <c r="R4043">
        <f>IF($A4043="","",$B4043&amp;" - "&amp;$C4043)</f>
        <v/>
      </c>
      <c r="S4043">
        <f>IF($A4043="","",$R4043&amp;"|"&amp;$Q4043)</f>
        <v/>
      </c>
      <c r="T4043">
        <f>IF($A4043="","",$S4043&amp;"|"&amp;$F4043)</f>
        <v/>
      </c>
      <c r="U4043">
        <f>IF($A4043="","",$R4043&amp;"("&amp;$E4043&amp;")")</f>
        <v/>
      </c>
      <c r="V4043">
        <f>IF($A4043="","",$F4043&amp;"|"&amp;$U4043&amp;"|"&amp;$D4043)</f>
        <v/>
      </c>
      <c r="W4043">
        <f>IF($T4043="","",IF($X4043&gt;N($X4042),$X4043,""))</f>
        <v/>
      </c>
      <c r="X4043">
        <f>IF($T4043="",N($X4042),IF(MATCH($T4043,$T$6:$T$6005,0)=ROW()-5,N($X4042)+1,N($X4042)))</f>
        <v/>
      </c>
      <c r="Z4043">
        <f>IF($V4043="","",IF($AA4043&gt;N($AA4042),$AA4043,""))</f>
        <v/>
      </c>
      <c r="AA4043">
        <f>IF($V4043="",N($AA4042),IF(MATCH($V4043,$V$6:$V$6005,0)=ROW()-5,N($AA4042)+1,N($AA4042)))</f>
        <v/>
      </c>
    </row>
    <row r="4044" ht="21" customHeight="1" s="66">
      <c r="A4044" s="56" t="n"/>
      <c r="B4044" s="57" t="n"/>
      <c r="C4044" s="57" t="n"/>
      <c r="D4044" s="57" t="n"/>
      <c r="E4044" s="56" t="n"/>
      <c r="F4044" s="57" t="n"/>
      <c r="G4044" s="57" t="n"/>
      <c r="H4044" s="56" t="n"/>
      <c r="I4044" s="56" t="n"/>
      <c r="J4044" s="58" t="n"/>
      <c r="K4044" s="58" t="n"/>
      <c r="L4044" s="13">
        <f>IF(OR($A4044="",AND($J4044="",$K4044="")),"",ROUND(N($J4044)-N($K4044),2))</f>
        <v/>
      </c>
      <c r="M4044" s="13">
        <f>IF(OR($A4044="",AND($J4044="",$K4044="")),"",MIN($J4044,$K4044))</f>
        <v/>
      </c>
      <c r="Q4044">
        <f>IF($A4044="","",$D4044&amp;"("&amp;SUBSTITUTE($E4044," ","")&amp;")")</f>
        <v/>
      </c>
      <c r="R4044">
        <f>IF($A4044="","",$B4044&amp;" - "&amp;$C4044)</f>
        <v/>
      </c>
      <c r="S4044">
        <f>IF($A4044="","",$R4044&amp;"|"&amp;$Q4044)</f>
        <v/>
      </c>
      <c r="T4044">
        <f>IF($A4044="","",$S4044&amp;"|"&amp;$F4044)</f>
        <v/>
      </c>
      <c r="U4044">
        <f>IF($A4044="","",$R4044&amp;"("&amp;$E4044&amp;")")</f>
        <v/>
      </c>
      <c r="V4044">
        <f>IF($A4044="","",$F4044&amp;"|"&amp;$U4044&amp;"|"&amp;$D4044)</f>
        <v/>
      </c>
      <c r="W4044">
        <f>IF($T4044="","",IF($X4044&gt;N($X4043),$X4044,""))</f>
        <v/>
      </c>
      <c r="X4044">
        <f>IF($T4044="",N($X4043),IF(MATCH($T4044,$T$6:$T$6005,0)=ROW()-5,N($X4043)+1,N($X4043)))</f>
        <v/>
      </c>
      <c r="Z4044">
        <f>IF($V4044="","",IF($AA4044&gt;N($AA4043),$AA4044,""))</f>
        <v/>
      </c>
      <c r="AA4044">
        <f>IF($V4044="",N($AA4043),IF(MATCH($V4044,$V$6:$V$6005,0)=ROW()-5,N($AA4043)+1,N($AA4043)))</f>
        <v/>
      </c>
    </row>
    <row r="4045" ht="21" customHeight="1" s="66">
      <c r="A4045" s="56" t="n"/>
      <c r="B4045" s="57" t="n"/>
      <c r="C4045" s="57" t="n"/>
      <c r="D4045" s="57" t="n"/>
      <c r="E4045" s="56" t="n"/>
      <c r="F4045" s="57" t="n"/>
      <c r="G4045" s="57" t="n"/>
      <c r="H4045" s="56" t="n"/>
      <c r="I4045" s="56" t="n"/>
      <c r="J4045" s="58" t="n"/>
      <c r="K4045" s="58" t="n"/>
      <c r="L4045" s="13">
        <f>IF(OR($A4045="",AND($J4045="",$K4045="")),"",ROUND(N($J4045)-N($K4045),2))</f>
        <v/>
      </c>
      <c r="M4045" s="13">
        <f>IF(OR($A4045="",AND($J4045="",$K4045="")),"",MIN($J4045,$K4045))</f>
        <v/>
      </c>
      <c r="Q4045">
        <f>IF($A4045="","",$D4045&amp;"("&amp;SUBSTITUTE($E4045," ","")&amp;")")</f>
        <v/>
      </c>
      <c r="R4045">
        <f>IF($A4045="","",$B4045&amp;" - "&amp;$C4045)</f>
        <v/>
      </c>
      <c r="S4045">
        <f>IF($A4045="","",$R4045&amp;"|"&amp;$Q4045)</f>
        <v/>
      </c>
      <c r="T4045">
        <f>IF($A4045="","",$S4045&amp;"|"&amp;$F4045)</f>
        <v/>
      </c>
      <c r="U4045">
        <f>IF($A4045="","",$R4045&amp;"("&amp;$E4045&amp;")")</f>
        <v/>
      </c>
      <c r="V4045">
        <f>IF($A4045="","",$F4045&amp;"|"&amp;$U4045&amp;"|"&amp;$D4045)</f>
        <v/>
      </c>
      <c r="W4045">
        <f>IF($T4045="","",IF($X4045&gt;N($X4044),$X4045,""))</f>
        <v/>
      </c>
      <c r="X4045">
        <f>IF($T4045="",N($X4044),IF(MATCH($T4045,$T$6:$T$6005,0)=ROW()-5,N($X4044)+1,N($X4044)))</f>
        <v/>
      </c>
      <c r="Z4045">
        <f>IF($V4045="","",IF($AA4045&gt;N($AA4044),$AA4045,""))</f>
        <v/>
      </c>
      <c r="AA4045">
        <f>IF($V4045="",N($AA4044),IF(MATCH($V4045,$V$6:$V$6005,0)=ROW()-5,N($AA4044)+1,N($AA4044)))</f>
        <v/>
      </c>
    </row>
    <row r="4046" ht="21" customHeight="1" s="66">
      <c r="A4046" s="56" t="n"/>
      <c r="B4046" s="57" t="n"/>
      <c r="C4046" s="57" t="n"/>
      <c r="D4046" s="57" t="n"/>
      <c r="E4046" s="56" t="n"/>
      <c r="F4046" s="57" t="n"/>
      <c r="G4046" s="57" t="n"/>
      <c r="H4046" s="56" t="n"/>
      <c r="I4046" s="56" t="n"/>
      <c r="J4046" s="58" t="n"/>
      <c r="K4046" s="58" t="n"/>
      <c r="L4046" s="13">
        <f>IF(OR($A4046="",AND($J4046="",$K4046="")),"",ROUND(N($J4046)-N($K4046),2))</f>
        <v/>
      </c>
      <c r="M4046" s="13">
        <f>IF(OR($A4046="",AND($J4046="",$K4046="")),"",MIN($J4046,$K4046))</f>
        <v/>
      </c>
      <c r="Q4046">
        <f>IF($A4046="","",$D4046&amp;"("&amp;SUBSTITUTE($E4046," ","")&amp;")")</f>
        <v/>
      </c>
      <c r="R4046">
        <f>IF($A4046="","",$B4046&amp;" - "&amp;$C4046)</f>
        <v/>
      </c>
      <c r="S4046">
        <f>IF($A4046="","",$R4046&amp;"|"&amp;$Q4046)</f>
        <v/>
      </c>
      <c r="T4046">
        <f>IF($A4046="","",$S4046&amp;"|"&amp;$F4046)</f>
        <v/>
      </c>
      <c r="U4046">
        <f>IF($A4046="","",$R4046&amp;"("&amp;$E4046&amp;")")</f>
        <v/>
      </c>
      <c r="V4046">
        <f>IF($A4046="","",$F4046&amp;"|"&amp;$U4046&amp;"|"&amp;$D4046)</f>
        <v/>
      </c>
      <c r="W4046">
        <f>IF($T4046="","",IF($X4046&gt;N($X4045),$X4046,""))</f>
        <v/>
      </c>
      <c r="X4046">
        <f>IF($T4046="",N($X4045),IF(MATCH($T4046,$T$6:$T$6005,0)=ROW()-5,N($X4045)+1,N($X4045)))</f>
        <v/>
      </c>
      <c r="Z4046">
        <f>IF($V4046="","",IF($AA4046&gt;N($AA4045),$AA4046,""))</f>
        <v/>
      </c>
      <c r="AA4046">
        <f>IF($V4046="",N($AA4045),IF(MATCH($V4046,$V$6:$V$6005,0)=ROW()-5,N($AA4045)+1,N($AA4045)))</f>
        <v/>
      </c>
    </row>
    <row r="4047" ht="21" customHeight="1" s="66">
      <c r="A4047" s="56" t="n"/>
      <c r="B4047" s="57" t="n"/>
      <c r="C4047" s="57" t="n"/>
      <c r="D4047" s="57" t="n"/>
      <c r="E4047" s="56" t="n"/>
      <c r="F4047" s="57" t="n"/>
      <c r="G4047" s="57" t="n"/>
      <c r="H4047" s="56" t="n"/>
      <c r="I4047" s="56" t="n"/>
      <c r="J4047" s="58" t="n"/>
      <c r="K4047" s="58" t="n"/>
      <c r="L4047" s="13">
        <f>IF(OR($A4047="",AND($J4047="",$K4047="")),"",ROUND(N($J4047)-N($K4047),2))</f>
        <v/>
      </c>
      <c r="M4047" s="13">
        <f>IF(OR($A4047="",AND($J4047="",$K4047="")),"",MIN($J4047,$K4047))</f>
        <v/>
      </c>
      <c r="Q4047">
        <f>IF($A4047="","",$D4047&amp;"("&amp;SUBSTITUTE($E4047," ","")&amp;")")</f>
        <v/>
      </c>
      <c r="R4047">
        <f>IF($A4047="","",$B4047&amp;" - "&amp;$C4047)</f>
        <v/>
      </c>
      <c r="S4047">
        <f>IF($A4047="","",$R4047&amp;"|"&amp;$Q4047)</f>
        <v/>
      </c>
      <c r="T4047">
        <f>IF($A4047="","",$S4047&amp;"|"&amp;$F4047)</f>
        <v/>
      </c>
      <c r="U4047">
        <f>IF($A4047="","",$R4047&amp;"("&amp;$E4047&amp;")")</f>
        <v/>
      </c>
      <c r="V4047">
        <f>IF($A4047="","",$F4047&amp;"|"&amp;$U4047&amp;"|"&amp;$D4047)</f>
        <v/>
      </c>
      <c r="W4047">
        <f>IF($T4047="","",IF($X4047&gt;N($X4046),$X4047,""))</f>
        <v/>
      </c>
      <c r="X4047">
        <f>IF($T4047="",N($X4046),IF(MATCH($T4047,$T$6:$T$6005,0)=ROW()-5,N($X4046)+1,N($X4046)))</f>
        <v/>
      </c>
      <c r="Z4047">
        <f>IF($V4047="","",IF($AA4047&gt;N($AA4046),$AA4047,""))</f>
        <v/>
      </c>
      <c r="AA4047">
        <f>IF($V4047="",N($AA4046),IF(MATCH($V4047,$V$6:$V$6005,0)=ROW()-5,N($AA4046)+1,N($AA4046)))</f>
        <v/>
      </c>
    </row>
    <row r="4048" ht="21" customHeight="1" s="66">
      <c r="A4048" s="56" t="n"/>
      <c r="B4048" s="57" t="n"/>
      <c r="C4048" s="57" t="n"/>
      <c r="D4048" s="57" t="n"/>
      <c r="E4048" s="56" t="n"/>
      <c r="F4048" s="57" t="n"/>
      <c r="G4048" s="57" t="n"/>
      <c r="H4048" s="56" t="n"/>
      <c r="I4048" s="56" t="n"/>
      <c r="J4048" s="58" t="n"/>
      <c r="K4048" s="58" t="n"/>
      <c r="L4048" s="13">
        <f>IF(OR($A4048="",AND($J4048="",$K4048="")),"",ROUND(N($J4048)-N($K4048),2))</f>
        <v/>
      </c>
      <c r="M4048" s="13">
        <f>IF(OR($A4048="",AND($J4048="",$K4048="")),"",MIN($J4048,$K4048))</f>
        <v/>
      </c>
      <c r="Q4048">
        <f>IF($A4048="","",$D4048&amp;"("&amp;SUBSTITUTE($E4048," ","")&amp;")")</f>
        <v/>
      </c>
      <c r="R4048">
        <f>IF($A4048="","",$B4048&amp;" - "&amp;$C4048)</f>
        <v/>
      </c>
      <c r="S4048">
        <f>IF($A4048="","",$R4048&amp;"|"&amp;$Q4048)</f>
        <v/>
      </c>
      <c r="T4048">
        <f>IF($A4048="","",$S4048&amp;"|"&amp;$F4048)</f>
        <v/>
      </c>
      <c r="U4048">
        <f>IF($A4048="","",$R4048&amp;"("&amp;$E4048&amp;")")</f>
        <v/>
      </c>
      <c r="V4048">
        <f>IF($A4048="","",$F4048&amp;"|"&amp;$U4048&amp;"|"&amp;$D4048)</f>
        <v/>
      </c>
      <c r="W4048">
        <f>IF($T4048="","",IF($X4048&gt;N($X4047),$X4048,""))</f>
        <v/>
      </c>
      <c r="X4048">
        <f>IF($T4048="",N($X4047),IF(MATCH($T4048,$T$6:$T$6005,0)=ROW()-5,N($X4047)+1,N($X4047)))</f>
        <v/>
      </c>
      <c r="Z4048">
        <f>IF($V4048="","",IF($AA4048&gt;N($AA4047),$AA4048,""))</f>
        <v/>
      </c>
      <c r="AA4048">
        <f>IF($V4048="",N($AA4047),IF(MATCH($V4048,$V$6:$V$6005,0)=ROW()-5,N($AA4047)+1,N($AA4047)))</f>
        <v/>
      </c>
    </row>
    <row r="4049" ht="21" customHeight="1" s="66">
      <c r="A4049" s="56" t="n"/>
      <c r="B4049" s="57" t="n"/>
      <c r="C4049" s="57" t="n"/>
      <c r="D4049" s="57" t="n"/>
      <c r="E4049" s="56" t="n"/>
      <c r="F4049" s="57" t="n"/>
      <c r="G4049" s="57" t="n"/>
      <c r="H4049" s="56" t="n"/>
      <c r="I4049" s="56" t="n"/>
      <c r="J4049" s="58" t="n"/>
      <c r="K4049" s="58" t="n"/>
      <c r="L4049" s="13">
        <f>IF(OR($A4049="",AND($J4049="",$K4049="")),"",ROUND(N($J4049)-N($K4049),2))</f>
        <v/>
      </c>
      <c r="M4049" s="13">
        <f>IF(OR($A4049="",AND($J4049="",$K4049="")),"",MIN($J4049,$K4049))</f>
        <v/>
      </c>
      <c r="Q4049">
        <f>IF($A4049="","",$D4049&amp;"("&amp;SUBSTITUTE($E4049," ","")&amp;")")</f>
        <v/>
      </c>
      <c r="R4049">
        <f>IF($A4049="","",$B4049&amp;" - "&amp;$C4049)</f>
        <v/>
      </c>
      <c r="S4049">
        <f>IF($A4049="","",$R4049&amp;"|"&amp;$Q4049)</f>
        <v/>
      </c>
      <c r="T4049">
        <f>IF($A4049="","",$S4049&amp;"|"&amp;$F4049)</f>
        <v/>
      </c>
      <c r="U4049">
        <f>IF($A4049="","",$R4049&amp;"("&amp;$E4049&amp;")")</f>
        <v/>
      </c>
      <c r="V4049">
        <f>IF($A4049="","",$F4049&amp;"|"&amp;$U4049&amp;"|"&amp;$D4049)</f>
        <v/>
      </c>
      <c r="W4049">
        <f>IF($T4049="","",IF($X4049&gt;N($X4048),$X4049,""))</f>
        <v/>
      </c>
      <c r="X4049">
        <f>IF($T4049="",N($X4048),IF(MATCH($T4049,$T$6:$T$6005,0)=ROW()-5,N($X4048)+1,N($X4048)))</f>
        <v/>
      </c>
      <c r="Z4049">
        <f>IF($V4049="","",IF($AA4049&gt;N($AA4048),$AA4049,""))</f>
        <v/>
      </c>
      <c r="AA4049">
        <f>IF($V4049="",N($AA4048),IF(MATCH($V4049,$V$6:$V$6005,0)=ROW()-5,N($AA4048)+1,N($AA4048)))</f>
        <v/>
      </c>
    </row>
    <row r="4050" ht="21" customHeight="1" s="66">
      <c r="A4050" s="56" t="n"/>
      <c r="B4050" s="57" t="n"/>
      <c r="C4050" s="57" t="n"/>
      <c r="D4050" s="57" t="n"/>
      <c r="E4050" s="56" t="n"/>
      <c r="F4050" s="57" t="n"/>
      <c r="G4050" s="57" t="n"/>
      <c r="H4050" s="56" t="n"/>
      <c r="I4050" s="56" t="n"/>
      <c r="J4050" s="58" t="n"/>
      <c r="K4050" s="58" t="n"/>
      <c r="L4050" s="13">
        <f>IF(OR($A4050="",AND($J4050="",$K4050="")),"",ROUND(N($J4050)-N($K4050),2))</f>
        <v/>
      </c>
      <c r="M4050" s="13">
        <f>IF(OR($A4050="",AND($J4050="",$K4050="")),"",MIN($J4050,$K4050))</f>
        <v/>
      </c>
      <c r="Q4050">
        <f>IF($A4050="","",$D4050&amp;"("&amp;SUBSTITUTE($E4050," ","")&amp;")")</f>
        <v/>
      </c>
      <c r="R4050">
        <f>IF($A4050="","",$B4050&amp;" - "&amp;$C4050)</f>
        <v/>
      </c>
      <c r="S4050">
        <f>IF($A4050="","",$R4050&amp;"|"&amp;$Q4050)</f>
        <v/>
      </c>
      <c r="T4050">
        <f>IF($A4050="","",$S4050&amp;"|"&amp;$F4050)</f>
        <v/>
      </c>
      <c r="U4050">
        <f>IF($A4050="","",$R4050&amp;"("&amp;$E4050&amp;")")</f>
        <v/>
      </c>
      <c r="V4050">
        <f>IF($A4050="","",$F4050&amp;"|"&amp;$U4050&amp;"|"&amp;$D4050)</f>
        <v/>
      </c>
      <c r="W4050">
        <f>IF($T4050="","",IF($X4050&gt;N($X4049),$X4050,""))</f>
        <v/>
      </c>
      <c r="X4050">
        <f>IF($T4050="",N($X4049),IF(MATCH($T4050,$T$6:$T$6005,0)=ROW()-5,N($X4049)+1,N($X4049)))</f>
        <v/>
      </c>
      <c r="Z4050">
        <f>IF($V4050="","",IF($AA4050&gt;N($AA4049),$AA4050,""))</f>
        <v/>
      </c>
      <c r="AA4050">
        <f>IF($V4050="",N($AA4049),IF(MATCH($V4050,$V$6:$V$6005,0)=ROW()-5,N($AA4049)+1,N($AA4049)))</f>
        <v/>
      </c>
    </row>
    <row r="4051" ht="21" customHeight="1" s="66">
      <c r="A4051" s="56" t="n"/>
      <c r="B4051" s="57" t="n"/>
      <c r="C4051" s="57" t="n"/>
      <c r="D4051" s="57" t="n"/>
      <c r="E4051" s="56" t="n"/>
      <c r="F4051" s="57" t="n"/>
      <c r="G4051" s="57" t="n"/>
      <c r="H4051" s="56" t="n"/>
      <c r="I4051" s="56" t="n"/>
      <c r="J4051" s="58" t="n"/>
      <c r="K4051" s="58" t="n"/>
      <c r="L4051" s="13">
        <f>IF(OR($A4051="",AND($J4051="",$K4051="")),"",ROUND(N($J4051)-N($K4051),2))</f>
        <v/>
      </c>
      <c r="M4051" s="13">
        <f>IF(OR($A4051="",AND($J4051="",$K4051="")),"",MIN($J4051,$K4051))</f>
        <v/>
      </c>
      <c r="Q4051">
        <f>IF($A4051="","",$D4051&amp;"("&amp;SUBSTITUTE($E4051," ","")&amp;")")</f>
        <v/>
      </c>
      <c r="R4051">
        <f>IF($A4051="","",$B4051&amp;" - "&amp;$C4051)</f>
        <v/>
      </c>
      <c r="S4051">
        <f>IF($A4051="","",$R4051&amp;"|"&amp;$Q4051)</f>
        <v/>
      </c>
      <c r="T4051">
        <f>IF($A4051="","",$S4051&amp;"|"&amp;$F4051)</f>
        <v/>
      </c>
      <c r="U4051">
        <f>IF($A4051="","",$R4051&amp;"("&amp;$E4051&amp;")")</f>
        <v/>
      </c>
      <c r="V4051">
        <f>IF($A4051="","",$F4051&amp;"|"&amp;$U4051&amp;"|"&amp;$D4051)</f>
        <v/>
      </c>
      <c r="W4051">
        <f>IF($T4051="","",IF($X4051&gt;N($X4050),$X4051,""))</f>
        <v/>
      </c>
      <c r="X4051">
        <f>IF($T4051="",N($X4050),IF(MATCH($T4051,$T$6:$T$6005,0)=ROW()-5,N($X4050)+1,N($X4050)))</f>
        <v/>
      </c>
      <c r="Z4051">
        <f>IF($V4051="","",IF($AA4051&gt;N($AA4050),$AA4051,""))</f>
        <v/>
      </c>
      <c r="AA4051">
        <f>IF($V4051="",N($AA4050),IF(MATCH($V4051,$V$6:$V$6005,0)=ROW()-5,N($AA4050)+1,N($AA4050)))</f>
        <v/>
      </c>
    </row>
    <row r="4052" ht="21" customHeight="1" s="66">
      <c r="A4052" s="56" t="n"/>
      <c r="B4052" s="57" t="n"/>
      <c r="C4052" s="57" t="n"/>
      <c r="D4052" s="57" t="n"/>
      <c r="E4052" s="56" t="n"/>
      <c r="F4052" s="57" t="n"/>
      <c r="G4052" s="57" t="n"/>
      <c r="H4052" s="56" t="n"/>
      <c r="I4052" s="56" t="n"/>
      <c r="J4052" s="58" t="n"/>
      <c r="K4052" s="58" t="n"/>
      <c r="L4052" s="13">
        <f>IF(OR($A4052="",AND($J4052="",$K4052="")),"",ROUND(N($J4052)-N($K4052),2))</f>
        <v/>
      </c>
      <c r="M4052" s="13">
        <f>IF(OR($A4052="",AND($J4052="",$K4052="")),"",MIN($J4052,$K4052))</f>
        <v/>
      </c>
      <c r="Q4052">
        <f>IF($A4052="","",$D4052&amp;"("&amp;SUBSTITUTE($E4052," ","")&amp;")")</f>
        <v/>
      </c>
      <c r="R4052">
        <f>IF($A4052="","",$B4052&amp;" - "&amp;$C4052)</f>
        <v/>
      </c>
      <c r="S4052">
        <f>IF($A4052="","",$R4052&amp;"|"&amp;$Q4052)</f>
        <v/>
      </c>
      <c r="T4052">
        <f>IF($A4052="","",$S4052&amp;"|"&amp;$F4052)</f>
        <v/>
      </c>
      <c r="U4052">
        <f>IF($A4052="","",$R4052&amp;"("&amp;$E4052&amp;")")</f>
        <v/>
      </c>
      <c r="V4052">
        <f>IF($A4052="","",$F4052&amp;"|"&amp;$U4052&amp;"|"&amp;$D4052)</f>
        <v/>
      </c>
      <c r="W4052">
        <f>IF($T4052="","",IF($X4052&gt;N($X4051),$X4052,""))</f>
        <v/>
      </c>
      <c r="X4052">
        <f>IF($T4052="",N($X4051),IF(MATCH($T4052,$T$6:$T$6005,0)=ROW()-5,N($X4051)+1,N($X4051)))</f>
        <v/>
      </c>
      <c r="Z4052">
        <f>IF($V4052="","",IF($AA4052&gt;N($AA4051),$AA4052,""))</f>
        <v/>
      </c>
      <c r="AA4052">
        <f>IF($V4052="",N($AA4051),IF(MATCH($V4052,$V$6:$V$6005,0)=ROW()-5,N($AA4051)+1,N($AA4051)))</f>
        <v/>
      </c>
    </row>
    <row r="4053" ht="21" customHeight="1" s="66">
      <c r="A4053" s="56" t="n"/>
      <c r="B4053" s="57" t="n"/>
      <c r="C4053" s="57" t="n"/>
      <c r="D4053" s="57" t="n"/>
      <c r="E4053" s="56" t="n"/>
      <c r="F4053" s="57" t="n"/>
      <c r="G4053" s="57" t="n"/>
      <c r="H4053" s="56" t="n"/>
      <c r="I4053" s="56" t="n"/>
      <c r="J4053" s="58" t="n"/>
      <c r="K4053" s="58" t="n"/>
      <c r="L4053" s="13">
        <f>IF(OR($A4053="",AND($J4053="",$K4053="")),"",ROUND(N($J4053)-N($K4053),2))</f>
        <v/>
      </c>
      <c r="M4053" s="13">
        <f>IF(OR($A4053="",AND($J4053="",$K4053="")),"",MIN($J4053,$K4053))</f>
        <v/>
      </c>
      <c r="Q4053">
        <f>IF($A4053="","",$D4053&amp;"("&amp;SUBSTITUTE($E4053," ","")&amp;")")</f>
        <v/>
      </c>
      <c r="R4053">
        <f>IF($A4053="","",$B4053&amp;" - "&amp;$C4053)</f>
        <v/>
      </c>
      <c r="S4053">
        <f>IF($A4053="","",$R4053&amp;"|"&amp;$Q4053)</f>
        <v/>
      </c>
      <c r="T4053">
        <f>IF($A4053="","",$S4053&amp;"|"&amp;$F4053)</f>
        <v/>
      </c>
      <c r="U4053">
        <f>IF($A4053="","",$R4053&amp;"("&amp;$E4053&amp;")")</f>
        <v/>
      </c>
      <c r="V4053">
        <f>IF($A4053="","",$F4053&amp;"|"&amp;$U4053&amp;"|"&amp;$D4053)</f>
        <v/>
      </c>
      <c r="W4053">
        <f>IF($T4053="","",IF($X4053&gt;N($X4052),$X4053,""))</f>
        <v/>
      </c>
      <c r="X4053">
        <f>IF($T4053="",N($X4052),IF(MATCH($T4053,$T$6:$T$6005,0)=ROW()-5,N($X4052)+1,N($X4052)))</f>
        <v/>
      </c>
      <c r="Z4053">
        <f>IF($V4053="","",IF($AA4053&gt;N($AA4052),$AA4053,""))</f>
        <v/>
      </c>
      <c r="AA4053">
        <f>IF($V4053="",N($AA4052),IF(MATCH($V4053,$V$6:$V$6005,0)=ROW()-5,N($AA4052)+1,N($AA4052)))</f>
        <v/>
      </c>
    </row>
    <row r="4054" ht="21" customHeight="1" s="66">
      <c r="A4054" s="56" t="n"/>
      <c r="B4054" s="57" t="n"/>
      <c r="C4054" s="57" t="n"/>
      <c r="D4054" s="57" t="n"/>
      <c r="E4054" s="56" t="n"/>
      <c r="F4054" s="57" t="n"/>
      <c r="G4054" s="57" t="n"/>
      <c r="H4054" s="56" t="n"/>
      <c r="I4054" s="56" t="n"/>
      <c r="J4054" s="58" t="n"/>
      <c r="K4054" s="58" t="n"/>
      <c r="L4054" s="13">
        <f>IF(OR($A4054="",AND($J4054="",$K4054="")),"",ROUND(N($J4054)-N($K4054),2))</f>
        <v/>
      </c>
      <c r="M4054" s="13">
        <f>IF(OR($A4054="",AND($J4054="",$K4054="")),"",MIN($J4054,$K4054))</f>
        <v/>
      </c>
      <c r="Q4054">
        <f>IF($A4054="","",$D4054&amp;"("&amp;SUBSTITUTE($E4054," ","")&amp;")")</f>
        <v/>
      </c>
      <c r="R4054">
        <f>IF($A4054="","",$B4054&amp;" - "&amp;$C4054)</f>
        <v/>
      </c>
      <c r="S4054">
        <f>IF($A4054="","",$R4054&amp;"|"&amp;$Q4054)</f>
        <v/>
      </c>
      <c r="T4054">
        <f>IF($A4054="","",$S4054&amp;"|"&amp;$F4054)</f>
        <v/>
      </c>
      <c r="U4054">
        <f>IF($A4054="","",$R4054&amp;"("&amp;$E4054&amp;")")</f>
        <v/>
      </c>
      <c r="V4054">
        <f>IF($A4054="","",$F4054&amp;"|"&amp;$U4054&amp;"|"&amp;$D4054)</f>
        <v/>
      </c>
      <c r="W4054">
        <f>IF($T4054="","",IF($X4054&gt;N($X4053),$X4054,""))</f>
        <v/>
      </c>
      <c r="X4054">
        <f>IF($T4054="",N($X4053),IF(MATCH($T4054,$T$6:$T$6005,0)=ROW()-5,N($X4053)+1,N($X4053)))</f>
        <v/>
      </c>
      <c r="Z4054">
        <f>IF($V4054="","",IF($AA4054&gt;N($AA4053),$AA4054,""))</f>
        <v/>
      </c>
      <c r="AA4054">
        <f>IF($V4054="",N($AA4053),IF(MATCH($V4054,$V$6:$V$6005,0)=ROW()-5,N($AA4053)+1,N($AA4053)))</f>
        <v/>
      </c>
    </row>
    <row r="4055" ht="21" customHeight="1" s="66">
      <c r="A4055" s="56" t="n"/>
      <c r="B4055" s="57" t="n"/>
      <c r="C4055" s="57" t="n"/>
      <c r="D4055" s="57" t="n"/>
      <c r="E4055" s="56" t="n"/>
      <c r="F4055" s="57" t="n"/>
      <c r="G4055" s="57" t="n"/>
      <c r="H4055" s="56" t="n"/>
      <c r="I4055" s="56" t="n"/>
      <c r="J4055" s="58" t="n"/>
      <c r="K4055" s="58" t="n"/>
      <c r="L4055" s="13">
        <f>IF(OR($A4055="",AND($J4055="",$K4055="")),"",ROUND(N($J4055)-N($K4055),2))</f>
        <v/>
      </c>
      <c r="M4055" s="13">
        <f>IF(OR($A4055="",AND($J4055="",$K4055="")),"",MIN($J4055,$K4055))</f>
        <v/>
      </c>
      <c r="Q4055">
        <f>IF($A4055="","",$D4055&amp;"("&amp;SUBSTITUTE($E4055," ","")&amp;")")</f>
        <v/>
      </c>
      <c r="R4055">
        <f>IF($A4055="","",$B4055&amp;" - "&amp;$C4055)</f>
        <v/>
      </c>
      <c r="S4055">
        <f>IF($A4055="","",$R4055&amp;"|"&amp;$Q4055)</f>
        <v/>
      </c>
      <c r="T4055">
        <f>IF($A4055="","",$S4055&amp;"|"&amp;$F4055)</f>
        <v/>
      </c>
      <c r="U4055">
        <f>IF($A4055="","",$R4055&amp;"("&amp;$E4055&amp;")")</f>
        <v/>
      </c>
      <c r="V4055">
        <f>IF($A4055="","",$F4055&amp;"|"&amp;$U4055&amp;"|"&amp;$D4055)</f>
        <v/>
      </c>
      <c r="W4055">
        <f>IF($T4055="","",IF($X4055&gt;N($X4054),$X4055,""))</f>
        <v/>
      </c>
      <c r="X4055">
        <f>IF($T4055="",N($X4054),IF(MATCH($T4055,$T$6:$T$6005,0)=ROW()-5,N($X4054)+1,N($X4054)))</f>
        <v/>
      </c>
      <c r="Z4055">
        <f>IF($V4055="","",IF($AA4055&gt;N($AA4054),$AA4055,""))</f>
        <v/>
      </c>
      <c r="AA4055">
        <f>IF($V4055="",N($AA4054),IF(MATCH($V4055,$V$6:$V$6005,0)=ROW()-5,N($AA4054)+1,N($AA4054)))</f>
        <v/>
      </c>
    </row>
    <row r="4056" ht="21" customHeight="1" s="66">
      <c r="A4056" s="56" t="n"/>
      <c r="B4056" s="57" t="n"/>
      <c r="C4056" s="57" t="n"/>
      <c r="D4056" s="57" t="n"/>
      <c r="E4056" s="56" t="n"/>
      <c r="F4056" s="57" t="n"/>
      <c r="G4056" s="57" t="n"/>
      <c r="H4056" s="56" t="n"/>
      <c r="I4056" s="56" t="n"/>
      <c r="J4056" s="58" t="n"/>
      <c r="K4056" s="58" t="n"/>
      <c r="L4056" s="13">
        <f>IF(OR($A4056="",AND($J4056="",$K4056="")),"",ROUND(N($J4056)-N($K4056),2))</f>
        <v/>
      </c>
      <c r="M4056" s="13">
        <f>IF(OR($A4056="",AND($J4056="",$K4056="")),"",MIN($J4056,$K4056))</f>
        <v/>
      </c>
      <c r="Q4056">
        <f>IF($A4056="","",$D4056&amp;"("&amp;SUBSTITUTE($E4056," ","")&amp;")")</f>
        <v/>
      </c>
      <c r="R4056">
        <f>IF($A4056="","",$B4056&amp;" - "&amp;$C4056)</f>
        <v/>
      </c>
      <c r="S4056">
        <f>IF($A4056="","",$R4056&amp;"|"&amp;$Q4056)</f>
        <v/>
      </c>
      <c r="T4056">
        <f>IF($A4056="","",$S4056&amp;"|"&amp;$F4056)</f>
        <v/>
      </c>
      <c r="U4056">
        <f>IF($A4056="","",$R4056&amp;"("&amp;$E4056&amp;")")</f>
        <v/>
      </c>
      <c r="V4056">
        <f>IF($A4056="","",$F4056&amp;"|"&amp;$U4056&amp;"|"&amp;$D4056)</f>
        <v/>
      </c>
      <c r="W4056">
        <f>IF($T4056="","",IF($X4056&gt;N($X4055),$X4056,""))</f>
        <v/>
      </c>
      <c r="X4056">
        <f>IF($T4056="",N($X4055),IF(MATCH($T4056,$T$6:$T$6005,0)=ROW()-5,N($X4055)+1,N($X4055)))</f>
        <v/>
      </c>
      <c r="Z4056">
        <f>IF($V4056="","",IF($AA4056&gt;N($AA4055),$AA4056,""))</f>
        <v/>
      </c>
      <c r="AA4056">
        <f>IF($V4056="",N($AA4055),IF(MATCH($V4056,$V$6:$V$6005,0)=ROW()-5,N($AA4055)+1,N($AA4055)))</f>
        <v/>
      </c>
    </row>
    <row r="4057" ht="21" customHeight="1" s="66">
      <c r="A4057" s="56" t="n"/>
      <c r="B4057" s="57" t="n"/>
      <c r="C4057" s="57" t="n"/>
      <c r="D4057" s="57" t="n"/>
      <c r="E4057" s="56" t="n"/>
      <c r="F4057" s="57" t="n"/>
      <c r="G4057" s="57" t="n"/>
      <c r="H4057" s="56" t="n"/>
      <c r="I4057" s="56" t="n"/>
      <c r="J4057" s="58" t="n"/>
      <c r="K4057" s="58" t="n"/>
      <c r="L4057" s="13">
        <f>IF(OR($A4057="",AND($J4057="",$K4057="")),"",ROUND(N($J4057)-N($K4057),2))</f>
        <v/>
      </c>
      <c r="M4057" s="13">
        <f>IF(OR($A4057="",AND($J4057="",$K4057="")),"",MIN($J4057,$K4057))</f>
        <v/>
      </c>
      <c r="Q4057">
        <f>IF($A4057="","",$D4057&amp;"("&amp;SUBSTITUTE($E4057," ","")&amp;")")</f>
        <v/>
      </c>
      <c r="R4057">
        <f>IF($A4057="","",$B4057&amp;" - "&amp;$C4057)</f>
        <v/>
      </c>
      <c r="S4057">
        <f>IF($A4057="","",$R4057&amp;"|"&amp;$Q4057)</f>
        <v/>
      </c>
      <c r="T4057">
        <f>IF($A4057="","",$S4057&amp;"|"&amp;$F4057)</f>
        <v/>
      </c>
      <c r="U4057">
        <f>IF($A4057="","",$R4057&amp;"("&amp;$E4057&amp;")")</f>
        <v/>
      </c>
      <c r="V4057">
        <f>IF($A4057="","",$F4057&amp;"|"&amp;$U4057&amp;"|"&amp;$D4057)</f>
        <v/>
      </c>
      <c r="W4057">
        <f>IF($T4057="","",IF($X4057&gt;N($X4056),$X4057,""))</f>
        <v/>
      </c>
      <c r="X4057">
        <f>IF($T4057="",N($X4056),IF(MATCH($T4057,$T$6:$T$6005,0)=ROW()-5,N($X4056)+1,N($X4056)))</f>
        <v/>
      </c>
      <c r="Z4057">
        <f>IF($V4057="","",IF($AA4057&gt;N($AA4056),$AA4057,""))</f>
        <v/>
      </c>
      <c r="AA4057">
        <f>IF($V4057="",N($AA4056),IF(MATCH($V4057,$V$6:$V$6005,0)=ROW()-5,N($AA4056)+1,N($AA4056)))</f>
        <v/>
      </c>
    </row>
    <row r="4058" ht="21" customHeight="1" s="66">
      <c r="A4058" s="56" t="n"/>
      <c r="B4058" s="57" t="n"/>
      <c r="C4058" s="57" t="n"/>
      <c r="D4058" s="57" t="n"/>
      <c r="E4058" s="56" t="n"/>
      <c r="F4058" s="57" t="n"/>
      <c r="G4058" s="57" t="n"/>
      <c r="H4058" s="56" t="n"/>
      <c r="I4058" s="56" t="n"/>
      <c r="J4058" s="58" t="n"/>
      <c r="K4058" s="58" t="n"/>
      <c r="L4058" s="13">
        <f>IF(OR($A4058="",AND($J4058="",$K4058="")),"",ROUND(N($J4058)-N($K4058),2))</f>
        <v/>
      </c>
      <c r="M4058" s="13">
        <f>IF(OR($A4058="",AND($J4058="",$K4058="")),"",MIN($J4058,$K4058))</f>
        <v/>
      </c>
      <c r="Q4058">
        <f>IF($A4058="","",$D4058&amp;"("&amp;SUBSTITUTE($E4058," ","")&amp;")")</f>
        <v/>
      </c>
      <c r="R4058">
        <f>IF($A4058="","",$B4058&amp;" - "&amp;$C4058)</f>
        <v/>
      </c>
      <c r="S4058">
        <f>IF($A4058="","",$R4058&amp;"|"&amp;$Q4058)</f>
        <v/>
      </c>
      <c r="T4058">
        <f>IF($A4058="","",$S4058&amp;"|"&amp;$F4058)</f>
        <v/>
      </c>
      <c r="U4058">
        <f>IF($A4058="","",$R4058&amp;"("&amp;$E4058&amp;")")</f>
        <v/>
      </c>
      <c r="V4058">
        <f>IF($A4058="","",$F4058&amp;"|"&amp;$U4058&amp;"|"&amp;$D4058)</f>
        <v/>
      </c>
      <c r="W4058">
        <f>IF($T4058="","",IF($X4058&gt;N($X4057),$X4058,""))</f>
        <v/>
      </c>
      <c r="X4058">
        <f>IF($T4058="",N($X4057),IF(MATCH($T4058,$T$6:$T$6005,0)=ROW()-5,N($X4057)+1,N($X4057)))</f>
        <v/>
      </c>
      <c r="Z4058">
        <f>IF($V4058="","",IF($AA4058&gt;N($AA4057),$AA4058,""))</f>
        <v/>
      </c>
      <c r="AA4058">
        <f>IF($V4058="",N($AA4057),IF(MATCH($V4058,$V$6:$V$6005,0)=ROW()-5,N($AA4057)+1,N($AA4057)))</f>
        <v/>
      </c>
    </row>
    <row r="4059" ht="21" customHeight="1" s="66">
      <c r="A4059" s="56" t="n"/>
      <c r="B4059" s="57" t="n"/>
      <c r="C4059" s="57" t="n"/>
      <c r="D4059" s="57" t="n"/>
      <c r="E4059" s="56" t="n"/>
      <c r="F4059" s="57" t="n"/>
      <c r="G4059" s="57" t="n"/>
      <c r="H4059" s="56" t="n"/>
      <c r="I4059" s="56" t="n"/>
      <c r="J4059" s="58" t="n"/>
      <c r="K4059" s="58" t="n"/>
      <c r="L4059" s="13">
        <f>IF(OR($A4059="",AND($J4059="",$K4059="")),"",ROUND(N($J4059)-N($K4059),2))</f>
        <v/>
      </c>
      <c r="M4059" s="13">
        <f>IF(OR($A4059="",AND($J4059="",$K4059="")),"",MIN($J4059,$K4059))</f>
        <v/>
      </c>
      <c r="Q4059">
        <f>IF($A4059="","",$D4059&amp;"("&amp;SUBSTITUTE($E4059," ","")&amp;")")</f>
        <v/>
      </c>
      <c r="R4059">
        <f>IF($A4059="","",$B4059&amp;" - "&amp;$C4059)</f>
        <v/>
      </c>
      <c r="S4059">
        <f>IF($A4059="","",$R4059&amp;"|"&amp;$Q4059)</f>
        <v/>
      </c>
      <c r="T4059">
        <f>IF($A4059="","",$S4059&amp;"|"&amp;$F4059)</f>
        <v/>
      </c>
      <c r="U4059">
        <f>IF($A4059="","",$R4059&amp;"("&amp;$E4059&amp;")")</f>
        <v/>
      </c>
      <c r="V4059">
        <f>IF($A4059="","",$F4059&amp;"|"&amp;$U4059&amp;"|"&amp;$D4059)</f>
        <v/>
      </c>
      <c r="W4059">
        <f>IF($T4059="","",IF($X4059&gt;N($X4058),$X4059,""))</f>
        <v/>
      </c>
      <c r="X4059">
        <f>IF($T4059="",N($X4058),IF(MATCH($T4059,$T$6:$T$6005,0)=ROW()-5,N($X4058)+1,N($X4058)))</f>
        <v/>
      </c>
      <c r="Z4059">
        <f>IF($V4059="","",IF($AA4059&gt;N($AA4058),$AA4059,""))</f>
        <v/>
      </c>
      <c r="AA4059">
        <f>IF($V4059="",N($AA4058),IF(MATCH($V4059,$V$6:$V$6005,0)=ROW()-5,N($AA4058)+1,N($AA4058)))</f>
        <v/>
      </c>
    </row>
    <row r="4060" ht="21" customHeight="1" s="66">
      <c r="A4060" s="56" t="n"/>
      <c r="B4060" s="57" t="n"/>
      <c r="C4060" s="57" t="n"/>
      <c r="D4060" s="57" t="n"/>
      <c r="E4060" s="56" t="n"/>
      <c r="F4060" s="57" t="n"/>
      <c r="G4060" s="57" t="n"/>
      <c r="H4060" s="56" t="n"/>
      <c r="I4060" s="56" t="n"/>
      <c r="J4060" s="58" t="n"/>
      <c r="K4060" s="58" t="n"/>
      <c r="L4060" s="13">
        <f>IF(OR($A4060="",AND($J4060="",$K4060="")),"",ROUND(N($J4060)-N($K4060),2))</f>
        <v/>
      </c>
      <c r="M4060" s="13">
        <f>IF(OR($A4060="",AND($J4060="",$K4060="")),"",MIN($J4060,$K4060))</f>
        <v/>
      </c>
      <c r="Q4060">
        <f>IF($A4060="","",$D4060&amp;"("&amp;SUBSTITUTE($E4060," ","")&amp;")")</f>
        <v/>
      </c>
      <c r="R4060">
        <f>IF($A4060="","",$B4060&amp;" - "&amp;$C4060)</f>
        <v/>
      </c>
      <c r="S4060">
        <f>IF($A4060="","",$R4060&amp;"|"&amp;$Q4060)</f>
        <v/>
      </c>
      <c r="T4060">
        <f>IF($A4060="","",$S4060&amp;"|"&amp;$F4060)</f>
        <v/>
      </c>
      <c r="U4060">
        <f>IF($A4060="","",$R4060&amp;"("&amp;$E4060&amp;")")</f>
        <v/>
      </c>
      <c r="V4060">
        <f>IF($A4060="","",$F4060&amp;"|"&amp;$U4060&amp;"|"&amp;$D4060)</f>
        <v/>
      </c>
      <c r="W4060">
        <f>IF($T4060="","",IF($X4060&gt;N($X4059),$X4060,""))</f>
        <v/>
      </c>
      <c r="X4060">
        <f>IF($T4060="",N($X4059),IF(MATCH($T4060,$T$6:$T$6005,0)=ROW()-5,N($X4059)+1,N($X4059)))</f>
        <v/>
      </c>
      <c r="Z4060">
        <f>IF($V4060="","",IF($AA4060&gt;N($AA4059),$AA4060,""))</f>
        <v/>
      </c>
      <c r="AA4060">
        <f>IF($V4060="",N($AA4059),IF(MATCH($V4060,$V$6:$V$6005,0)=ROW()-5,N($AA4059)+1,N($AA4059)))</f>
        <v/>
      </c>
    </row>
    <row r="4061" ht="21" customHeight="1" s="66">
      <c r="A4061" s="56" t="n"/>
      <c r="B4061" s="57" t="n"/>
      <c r="C4061" s="57" t="n"/>
      <c r="D4061" s="57" t="n"/>
      <c r="E4061" s="56" t="n"/>
      <c r="F4061" s="57" t="n"/>
      <c r="G4061" s="57" t="n"/>
      <c r="H4061" s="56" t="n"/>
      <c r="I4061" s="56" t="n"/>
      <c r="J4061" s="58" t="n"/>
      <c r="K4061" s="58" t="n"/>
      <c r="L4061" s="13">
        <f>IF(OR($A4061="",AND($J4061="",$K4061="")),"",ROUND(N($J4061)-N($K4061),2))</f>
        <v/>
      </c>
      <c r="M4061" s="13">
        <f>IF(OR($A4061="",AND($J4061="",$K4061="")),"",MIN($J4061,$K4061))</f>
        <v/>
      </c>
      <c r="Q4061">
        <f>IF($A4061="","",$D4061&amp;"("&amp;SUBSTITUTE($E4061," ","")&amp;")")</f>
        <v/>
      </c>
      <c r="R4061">
        <f>IF($A4061="","",$B4061&amp;" - "&amp;$C4061)</f>
        <v/>
      </c>
      <c r="S4061">
        <f>IF($A4061="","",$R4061&amp;"|"&amp;$Q4061)</f>
        <v/>
      </c>
      <c r="T4061">
        <f>IF($A4061="","",$S4061&amp;"|"&amp;$F4061)</f>
        <v/>
      </c>
      <c r="U4061">
        <f>IF($A4061="","",$R4061&amp;"("&amp;$E4061&amp;")")</f>
        <v/>
      </c>
      <c r="V4061">
        <f>IF($A4061="","",$F4061&amp;"|"&amp;$U4061&amp;"|"&amp;$D4061)</f>
        <v/>
      </c>
      <c r="W4061">
        <f>IF($T4061="","",IF($X4061&gt;N($X4060),$X4061,""))</f>
        <v/>
      </c>
      <c r="X4061">
        <f>IF($T4061="",N($X4060),IF(MATCH($T4061,$T$6:$T$6005,0)=ROW()-5,N($X4060)+1,N($X4060)))</f>
        <v/>
      </c>
      <c r="Z4061">
        <f>IF($V4061="","",IF($AA4061&gt;N($AA4060),$AA4061,""))</f>
        <v/>
      </c>
      <c r="AA4061">
        <f>IF($V4061="",N($AA4060),IF(MATCH($V4061,$V$6:$V$6005,0)=ROW()-5,N($AA4060)+1,N($AA4060)))</f>
        <v/>
      </c>
    </row>
    <row r="4062" ht="21" customHeight="1" s="66">
      <c r="A4062" s="56" t="n"/>
      <c r="B4062" s="57" t="n"/>
      <c r="C4062" s="57" t="n"/>
      <c r="D4062" s="57" t="n"/>
      <c r="E4062" s="56" t="n"/>
      <c r="F4062" s="57" t="n"/>
      <c r="G4062" s="57" t="n"/>
      <c r="H4062" s="56" t="n"/>
      <c r="I4062" s="56" t="n"/>
      <c r="J4062" s="58" t="n"/>
      <c r="K4062" s="58" t="n"/>
      <c r="L4062" s="13">
        <f>IF(OR($A4062="",AND($J4062="",$K4062="")),"",ROUND(N($J4062)-N($K4062),2))</f>
        <v/>
      </c>
      <c r="M4062" s="13">
        <f>IF(OR($A4062="",AND($J4062="",$K4062="")),"",MIN($J4062,$K4062))</f>
        <v/>
      </c>
      <c r="Q4062">
        <f>IF($A4062="","",$D4062&amp;"("&amp;SUBSTITUTE($E4062," ","")&amp;")")</f>
        <v/>
      </c>
      <c r="R4062">
        <f>IF($A4062="","",$B4062&amp;" - "&amp;$C4062)</f>
        <v/>
      </c>
      <c r="S4062">
        <f>IF($A4062="","",$R4062&amp;"|"&amp;$Q4062)</f>
        <v/>
      </c>
      <c r="T4062">
        <f>IF($A4062="","",$S4062&amp;"|"&amp;$F4062)</f>
        <v/>
      </c>
      <c r="U4062">
        <f>IF($A4062="","",$R4062&amp;"("&amp;$E4062&amp;")")</f>
        <v/>
      </c>
      <c r="V4062">
        <f>IF($A4062="","",$F4062&amp;"|"&amp;$U4062&amp;"|"&amp;$D4062)</f>
        <v/>
      </c>
      <c r="W4062">
        <f>IF($T4062="","",IF($X4062&gt;N($X4061),$X4062,""))</f>
        <v/>
      </c>
      <c r="X4062">
        <f>IF($T4062="",N($X4061),IF(MATCH($T4062,$T$6:$T$6005,0)=ROW()-5,N($X4061)+1,N($X4061)))</f>
        <v/>
      </c>
      <c r="Z4062">
        <f>IF($V4062="","",IF($AA4062&gt;N($AA4061),$AA4062,""))</f>
        <v/>
      </c>
      <c r="AA4062">
        <f>IF($V4062="",N($AA4061),IF(MATCH($V4062,$V$6:$V$6005,0)=ROW()-5,N($AA4061)+1,N($AA4061)))</f>
        <v/>
      </c>
    </row>
    <row r="4063" ht="21" customHeight="1" s="66">
      <c r="A4063" s="56" t="n"/>
      <c r="B4063" s="57" t="n"/>
      <c r="C4063" s="57" t="n"/>
      <c r="D4063" s="57" t="n"/>
      <c r="E4063" s="56" t="n"/>
      <c r="F4063" s="57" t="n"/>
      <c r="G4063" s="57" t="n"/>
      <c r="H4063" s="56" t="n"/>
      <c r="I4063" s="56" t="n"/>
      <c r="J4063" s="58" t="n"/>
      <c r="K4063" s="58" t="n"/>
      <c r="L4063" s="13">
        <f>IF(OR($A4063="",AND($J4063="",$K4063="")),"",ROUND(N($J4063)-N($K4063),2))</f>
        <v/>
      </c>
      <c r="M4063" s="13">
        <f>IF(OR($A4063="",AND($J4063="",$K4063="")),"",MIN($J4063,$K4063))</f>
        <v/>
      </c>
      <c r="Q4063">
        <f>IF($A4063="","",$D4063&amp;"("&amp;SUBSTITUTE($E4063," ","")&amp;")")</f>
        <v/>
      </c>
      <c r="R4063">
        <f>IF($A4063="","",$B4063&amp;" - "&amp;$C4063)</f>
        <v/>
      </c>
      <c r="S4063">
        <f>IF($A4063="","",$R4063&amp;"|"&amp;$Q4063)</f>
        <v/>
      </c>
      <c r="T4063">
        <f>IF($A4063="","",$S4063&amp;"|"&amp;$F4063)</f>
        <v/>
      </c>
      <c r="U4063">
        <f>IF($A4063="","",$R4063&amp;"("&amp;$E4063&amp;")")</f>
        <v/>
      </c>
      <c r="V4063">
        <f>IF($A4063="","",$F4063&amp;"|"&amp;$U4063&amp;"|"&amp;$D4063)</f>
        <v/>
      </c>
      <c r="W4063">
        <f>IF($T4063="","",IF($X4063&gt;N($X4062),$X4063,""))</f>
        <v/>
      </c>
      <c r="X4063">
        <f>IF($T4063="",N($X4062),IF(MATCH($T4063,$T$6:$T$6005,0)=ROW()-5,N($X4062)+1,N($X4062)))</f>
        <v/>
      </c>
      <c r="Z4063">
        <f>IF($V4063="","",IF($AA4063&gt;N($AA4062),$AA4063,""))</f>
        <v/>
      </c>
      <c r="AA4063">
        <f>IF($V4063="",N($AA4062),IF(MATCH($V4063,$V$6:$V$6005,0)=ROW()-5,N($AA4062)+1,N($AA4062)))</f>
        <v/>
      </c>
    </row>
    <row r="4064" ht="21" customHeight="1" s="66">
      <c r="A4064" s="56" t="n"/>
      <c r="B4064" s="57" t="n"/>
      <c r="C4064" s="57" t="n"/>
      <c r="D4064" s="57" t="n"/>
      <c r="E4064" s="56" t="n"/>
      <c r="F4064" s="57" t="n"/>
      <c r="G4064" s="57" t="n"/>
      <c r="H4064" s="56" t="n"/>
      <c r="I4064" s="56" t="n"/>
      <c r="J4064" s="58" t="n"/>
      <c r="K4064" s="58" t="n"/>
      <c r="L4064" s="13">
        <f>IF(OR($A4064="",AND($J4064="",$K4064="")),"",ROUND(N($J4064)-N($K4064),2))</f>
        <v/>
      </c>
      <c r="M4064" s="13">
        <f>IF(OR($A4064="",AND($J4064="",$K4064="")),"",MIN($J4064,$K4064))</f>
        <v/>
      </c>
      <c r="Q4064">
        <f>IF($A4064="","",$D4064&amp;"("&amp;SUBSTITUTE($E4064," ","")&amp;")")</f>
        <v/>
      </c>
      <c r="R4064">
        <f>IF($A4064="","",$B4064&amp;" - "&amp;$C4064)</f>
        <v/>
      </c>
      <c r="S4064">
        <f>IF($A4064="","",$R4064&amp;"|"&amp;$Q4064)</f>
        <v/>
      </c>
      <c r="T4064">
        <f>IF($A4064="","",$S4064&amp;"|"&amp;$F4064)</f>
        <v/>
      </c>
      <c r="U4064">
        <f>IF($A4064="","",$R4064&amp;"("&amp;$E4064&amp;")")</f>
        <v/>
      </c>
      <c r="V4064">
        <f>IF($A4064="","",$F4064&amp;"|"&amp;$U4064&amp;"|"&amp;$D4064)</f>
        <v/>
      </c>
      <c r="W4064">
        <f>IF($T4064="","",IF($X4064&gt;N($X4063),$X4064,""))</f>
        <v/>
      </c>
      <c r="X4064">
        <f>IF($T4064="",N($X4063),IF(MATCH($T4064,$T$6:$T$6005,0)=ROW()-5,N($X4063)+1,N($X4063)))</f>
        <v/>
      </c>
      <c r="Z4064">
        <f>IF($V4064="","",IF($AA4064&gt;N($AA4063),$AA4064,""))</f>
        <v/>
      </c>
      <c r="AA4064">
        <f>IF($V4064="",N($AA4063),IF(MATCH($V4064,$V$6:$V$6005,0)=ROW()-5,N($AA4063)+1,N($AA4063)))</f>
        <v/>
      </c>
    </row>
    <row r="4065" ht="21" customHeight="1" s="66">
      <c r="A4065" s="56" t="n"/>
      <c r="B4065" s="57" t="n"/>
      <c r="C4065" s="57" t="n"/>
      <c r="D4065" s="57" t="n"/>
      <c r="E4065" s="56" t="n"/>
      <c r="F4065" s="57" t="n"/>
      <c r="G4065" s="57" t="n"/>
      <c r="H4065" s="56" t="n"/>
      <c r="I4065" s="56" t="n"/>
      <c r="J4065" s="58" t="n"/>
      <c r="K4065" s="58" t="n"/>
      <c r="L4065" s="13">
        <f>IF(OR($A4065="",AND($J4065="",$K4065="")),"",ROUND(N($J4065)-N($K4065),2))</f>
        <v/>
      </c>
      <c r="M4065" s="13">
        <f>IF(OR($A4065="",AND($J4065="",$K4065="")),"",MIN($J4065,$K4065))</f>
        <v/>
      </c>
      <c r="Q4065">
        <f>IF($A4065="","",$D4065&amp;"("&amp;SUBSTITUTE($E4065," ","")&amp;")")</f>
        <v/>
      </c>
      <c r="R4065">
        <f>IF($A4065="","",$B4065&amp;" - "&amp;$C4065)</f>
        <v/>
      </c>
      <c r="S4065">
        <f>IF($A4065="","",$R4065&amp;"|"&amp;$Q4065)</f>
        <v/>
      </c>
      <c r="T4065">
        <f>IF($A4065="","",$S4065&amp;"|"&amp;$F4065)</f>
        <v/>
      </c>
      <c r="U4065">
        <f>IF($A4065="","",$R4065&amp;"("&amp;$E4065&amp;")")</f>
        <v/>
      </c>
      <c r="V4065">
        <f>IF($A4065="","",$F4065&amp;"|"&amp;$U4065&amp;"|"&amp;$D4065)</f>
        <v/>
      </c>
      <c r="W4065">
        <f>IF($T4065="","",IF($X4065&gt;N($X4064),$X4065,""))</f>
        <v/>
      </c>
      <c r="X4065">
        <f>IF($T4065="",N($X4064),IF(MATCH($T4065,$T$6:$T$6005,0)=ROW()-5,N($X4064)+1,N($X4064)))</f>
        <v/>
      </c>
      <c r="Z4065">
        <f>IF($V4065="","",IF($AA4065&gt;N($AA4064),$AA4065,""))</f>
        <v/>
      </c>
      <c r="AA4065">
        <f>IF($V4065="",N($AA4064),IF(MATCH($V4065,$V$6:$V$6005,0)=ROW()-5,N($AA4064)+1,N($AA4064)))</f>
        <v/>
      </c>
    </row>
    <row r="4066" ht="21" customHeight="1" s="66">
      <c r="A4066" s="56" t="n"/>
      <c r="B4066" s="57" t="n"/>
      <c r="C4066" s="57" t="n"/>
      <c r="D4066" s="57" t="n"/>
      <c r="E4066" s="56" t="n"/>
      <c r="F4066" s="57" t="n"/>
      <c r="G4066" s="57" t="n"/>
      <c r="H4066" s="56" t="n"/>
      <c r="I4066" s="56" t="n"/>
      <c r="J4066" s="58" t="n"/>
      <c r="K4066" s="58" t="n"/>
      <c r="L4066" s="13">
        <f>IF(OR($A4066="",AND($J4066="",$K4066="")),"",ROUND(N($J4066)-N($K4066),2))</f>
        <v/>
      </c>
      <c r="M4066" s="13">
        <f>IF(OR($A4066="",AND($J4066="",$K4066="")),"",MIN($J4066,$K4066))</f>
        <v/>
      </c>
      <c r="Q4066">
        <f>IF($A4066="","",$D4066&amp;"("&amp;SUBSTITUTE($E4066," ","")&amp;")")</f>
        <v/>
      </c>
      <c r="R4066">
        <f>IF($A4066="","",$B4066&amp;" - "&amp;$C4066)</f>
        <v/>
      </c>
      <c r="S4066">
        <f>IF($A4066="","",$R4066&amp;"|"&amp;$Q4066)</f>
        <v/>
      </c>
      <c r="T4066">
        <f>IF($A4066="","",$S4066&amp;"|"&amp;$F4066)</f>
        <v/>
      </c>
      <c r="U4066">
        <f>IF($A4066="","",$R4066&amp;"("&amp;$E4066&amp;")")</f>
        <v/>
      </c>
      <c r="V4066">
        <f>IF($A4066="","",$F4066&amp;"|"&amp;$U4066&amp;"|"&amp;$D4066)</f>
        <v/>
      </c>
      <c r="W4066">
        <f>IF($T4066="","",IF($X4066&gt;N($X4065),$X4066,""))</f>
        <v/>
      </c>
      <c r="X4066">
        <f>IF($T4066="",N($X4065),IF(MATCH($T4066,$T$6:$T$6005,0)=ROW()-5,N($X4065)+1,N($X4065)))</f>
        <v/>
      </c>
      <c r="Z4066">
        <f>IF($V4066="","",IF($AA4066&gt;N($AA4065),$AA4066,""))</f>
        <v/>
      </c>
      <c r="AA4066">
        <f>IF($V4066="",N($AA4065),IF(MATCH($V4066,$V$6:$V$6005,0)=ROW()-5,N($AA4065)+1,N($AA4065)))</f>
        <v/>
      </c>
    </row>
    <row r="4067" ht="21" customHeight="1" s="66">
      <c r="A4067" s="56" t="n"/>
      <c r="B4067" s="57" t="n"/>
      <c r="C4067" s="57" t="n"/>
      <c r="D4067" s="57" t="n"/>
      <c r="E4067" s="56" t="n"/>
      <c r="F4067" s="57" t="n"/>
      <c r="G4067" s="57" t="n"/>
      <c r="H4067" s="56" t="n"/>
      <c r="I4067" s="56" t="n"/>
      <c r="J4067" s="58" t="n"/>
      <c r="K4067" s="58" t="n"/>
      <c r="L4067" s="13">
        <f>IF(OR($A4067="",AND($J4067="",$K4067="")),"",ROUND(N($J4067)-N($K4067),2))</f>
        <v/>
      </c>
      <c r="M4067" s="13">
        <f>IF(OR($A4067="",AND($J4067="",$K4067="")),"",MIN($J4067,$K4067))</f>
        <v/>
      </c>
      <c r="Q4067">
        <f>IF($A4067="","",$D4067&amp;"("&amp;SUBSTITUTE($E4067," ","")&amp;")")</f>
        <v/>
      </c>
      <c r="R4067">
        <f>IF($A4067="","",$B4067&amp;" - "&amp;$C4067)</f>
        <v/>
      </c>
      <c r="S4067">
        <f>IF($A4067="","",$R4067&amp;"|"&amp;$Q4067)</f>
        <v/>
      </c>
      <c r="T4067">
        <f>IF($A4067="","",$S4067&amp;"|"&amp;$F4067)</f>
        <v/>
      </c>
      <c r="U4067">
        <f>IF($A4067="","",$R4067&amp;"("&amp;$E4067&amp;")")</f>
        <v/>
      </c>
      <c r="V4067">
        <f>IF($A4067="","",$F4067&amp;"|"&amp;$U4067&amp;"|"&amp;$D4067)</f>
        <v/>
      </c>
      <c r="W4067">
        <f>IF($T4067="","",IF($X4067&gt;N($X4066),$X4067,""))</f>
        <v/>
      </c>
      <c r="X4067">
        <f>IF($T4067="",N($X4066),IF(MATCH($T4067,$T$6:$T$6005,0)=ROW()-5,N($X4066)+1,N($X4066)))</f>
        <v/>
      </c>
      <c r="Z4067">
        <f>IF($V4067="","",IF($AA4067&gt;N($AA4066),$AA4067,""))</f>
        <v/>
      </c>
      <c r="AA4067">
        <f>IF($V4067="",N($AA4066),IF(MATCH($V4067,$V$6:$V$6005,0)=ROW()-5,N($AA4066)+1,N($AA4066)))</f>
        <v/>
      </c>
    </row>
    <row r="4068" ht="21" customHeight="1" s="66">
      <c r="A4068" s="56" t="n"/>
      <c r="B4068" s="57" t="n"/>
      <c r="C4068" s="57" t="n"/>
      <c r="D4068" s="57" t="n"/>
      <c r="E4068" s="56" t="n"/>
      <c r="F4068" s="57" t="n"/>
      <c r="G4068" s="57" t="n"/>
      <c r="H4068" s="56" t="n"/>
      <c r="I4068" s="56" t="n"/>
      <c r="J4068" s="58" t="n"/>
      <c r="K4068" s="58" t="n"/>
      <c r="L4068" s="13">
        <f>IF(OR($A4068="",AND($J4068="",$K4068="")),"",ROUND(N($J4068)-N($K4068),2))</f>
        <v/>
      </c>
      <c r="M4068" s="13">
        <f>IF(OR($A4068="",AND($J4068="",$K4068="")),"",MIN($J4068,$K4068))</f>
        <v/>
      </c>
      <c r="Q4068">
        <f>IF($A4068="","",$D4068&amp;"("&amp;SUBSTITUTE($E4068," ","")&amp;")")</f>
        <v/>
      </c>
      <c r="R4068">
        <f>IF($A4068="","",$B4068&amp;" - "&amp;$C4068)</f>
        <v/>
      </c>
      <c r="S4068">
        <f>IF($A4068="","",$R4068&amp;"|"&amp;$Q4068)</f>
        <v/>
      </c>
      <c r="T4068">
        <f>IF($A4068="","",$S4068&amp;"|"&amp;$F4068)</f>
        <v/>
      </c>
      <c r="U4068">
        <f>IF($A4068="","",$R4068&amp;"("&amp;$E4068&amp;")")</f>
        <v/>
      </c>
      <c r="V4068">
        <f>IF($A4068="","",$F4068&amp;"|"&amp;$U4068&amp;"|"&amp;$D4068)</f>
        <v/>
      </c>
      <c r="W4068">
        <f>IF($T4068="","",IF($X4068&gt;N($X4067),$X4068,""))</f>
        <v/>
      </c>
      <c r="X4068">
        <f>IF($T4068="",N($X4067),IF(MATCH($T4068,$T$6:$T$6005,0)=ROW()-5,N($X4067)+1,N($X4067)))</f>
        <v/>
      </c>
      <c r="Z4068">
        <f>IF($V4068="","",IF($AA4068&gt;N($AA4067),$AA4068,""))</f>
        <v/>
      </c>
      <c r="AA4068">
        <f>IF($V4068="",N($AA4067),IF(MATCH($V4068,$V$6:$V$6005,0)=ROW()-5,N($AA4067)+1,N($AA4067)))</f>
        <v/>
      </c>
    </row>
    <row r="4069" ht="21" customHeight="1" s="66">
      <c r="A4069" s="56" t="n"/>
      <c r="B4069" s="57" t="n"/>
      <c r="C4069" s="57" t="n"/>
      <c r="D4069" s="57" t="n"/>
      <c r="E4069" s="56" t="n"/>
      <c r="F4069" s="57" t="n"/>
      <c r="G4069" s="57" t="n"/>
      <c r="H4069" s="56" t="n"/>
      <c r="I4069" s="56" t="n"/>
      <c r="J4069" s="58" t="n"/>
      <c r="K4069" s="58" t="n"/>
      <c r="L4069" s="13">
        <f>IF(OR($A4069="",AND($J4069="",$K4069="")),"",ROUND(N($J4069)-N($K4069),2))</f>
        <v/>
      </c>
      <c r="M4069" s="13">
        <f>IF(OR($A4069="",AND($J4069="",$K4069="")),"",MIN($J4069,$K4069))</f>
        <v/>
      </c>
      <c r="Q4069">
        <f>IF($A4069="","",$D4069&amp;"("&amp;SUBSTITUTE($E4069," ","")&amp;")")</f>
        <v/>
      </c>
      <c r="R4069">
        <f>IF($A4069="","",$B4069&amp;" - "&amp;$C4069)</f>
        <v/>
      </c>
      <c r="S4069">
        <f>IF($A4069="","",$R4069&amp;"|"&amp;$Q4069)</f>
        <v/>
      </c>
      <c r="T4069">
        <f>IF($A4069="","",$S4069&amp;"|"&amp;$F4069)</f>
        <v/>
      </c>
      <c r="U4069">
        <f>IF($A4069="","",$R4069&amp;"("&amp;$E4069&amp;")")</f>
        <v/>
      </c>
      <c r="V4069">
        <f>IF($A4069="","",$F4069&amp;"|"&amp;$U4069&amp;"|"&amp;$D4069)</f>
        <v/>
      </c>
      <c r="W4069">
        <f>IF($T4069="","",IF($X4069&gt;N($X4068),$X4069,""))</f>
        <v/>
      </c>
      <c r="X4069">
        <f>IF($T4069="",N($X4068),IF(MATCH($T4069,$T$6:$T$6005,0)=ROW()-5,N($X4068)+1,N($X4068)))</f>
        <v/>
      </c>
      <c r="Z4069">
        <f>IF($V4069="","",IF($AA4069&gt;N($AA4068),$AA4069,""))</f>
        <v/>
      </c>
      <c r="AA4069">
        <f>IF($V4069="",N($AA4068),IF(MATCH($V4069,$V$6:$V$6005,0)=ROW()-5,N($AA4068)+1,N($AA4068)))</f>
        <v/>
      </c>
    </row>
    <row r="4070" ht="21" customHeight="1" s="66">
      <c r="A4070" s="56" t="n"/>
      <c r="B4070" s="57" t="n"/>
      <c r="C4070" s="57" t="n"/>
      <c r="D4070" s="57" t="n"/>
      <c r="E4070" s="56" t="n"/>
      <c r="F4070" s="57" t="n"/>
      <c r="G4070" s="57" t="n"/>
      <c r="H4070" s="56" t="n"/>
      <c r="I4070" s="56" t="n"/>
      <c r="J4070" s="58" t="n"/>
      <c r="K4070" s="58" t="n"/>
      <c r="L4070" s="13">
        <f>IF(OR($A4070="",AND($J4070="",$K4070="")),"",ROUND(N($J4070)-N($K4070),2))</f>
        <v/>
      </c>
      <c r="M4070" s="13">
        <f>IF(OR($A4070="",AND($J4070="",$K4070="")),"",MIN($J4070,$K4070))</f>
        <v/>
      </c>
      <c r="Q4070">
        <f>IF($A4070="","",$D4070&amp;"("&amp;SUBSTITUTE($E4070," ","")&amp;")")</f>
        <v/>
      </c>
      <c r="R4070">
        <f>IF($A4070="","",$B4070&amp;" - "&amp;$C4070)</f>
        <v/>
      </c>
      <c r="S4070">
        <f>IF($A4070="","",$R4070&amp;"|"&amp;$Q4070)</f>
        <v/>
      </c>
      <c r="T4070">
        <f>IF($A4070="","",$S4070&amp;"|"&amp;$F4070)</f>
        <v/>
      </c>
      <c r="U4070">
        <f>IF($A4070="","",$R4070&amp;"("&amp;$E4070&amp;")")</f>
        <v/>
      </c>
      <c r="V4070">
        <f>IF($A4070="","",$F4070&amp;"|"&amp;$U4070&amp;"|"&amp;$D4070)</f>
        <v/>
      </c>
      <c r="W4070">
        <f>IF($T4070="","",IF($X4070&gt;N($X4069),$X4070,""))</f>
        <v/>
      </c>
      <c r="X4070">
        <f>IF($T4070="",N($X4069),IF(MATCH($T4070,$T$6:$T$6005,0)=ROW()-5,N($X4069)+1,N($X4069)))</f>
        <v/>
      </c>
      <c r="Z4070">
        <f>IF($V4070="","",IF($AA4070&gt;N($AA4069),$AA4070,""))</f>
        <v/>
      </c>
      <c r="AA4070">
        <f>IF($V4070="",N($AA4069),IF(MATCH($V4070,$V$6:$V$6005,0)=ROW()-5,N($AA4069)+1,N($AA4069)))</f>
        <v/>
      </c>
    </row>
    <row r="4071" ht="21" customHeight="1" s="66">
      <c r="A4071" s="56" t="n"/>
      <c r="B4071" s="57" t="n"/>
      <c r="C4071" s="57" t="n"/>
      <c r="D4071" s="57" t="n"/>
      <c r="E4071" s="56" t="n"/>
      <c r="F4071" s="57" t="n"/>
      <c r="G4071" s="57" t="n"/>
      <c r="H4071" s="56" t="n"/>
      <c r="I4071" s="56" t="n"/>
      <c r="J4071" s="58" t="n"/>
      <c r="K4071" s="58" t="n"/>
      <c r="L4071" s="13">
        <f>IF(OR($A4071="",AND($J4071="",$K4071="")),"",ROUND(N($J4071)-N($K4071),2))</f>
        <v/>
      </c>
      <c r="M4071" s="13">
        <f>IF(OR($A4071="",AND($J4071="",$K4071="")),"",MIN($J4071,$K4071))</f>
        <v/>
      </c>
      <c r="Q4071">
        <f>IF($A4071="","",$D4071&amp;"("&amp;SUBSTITUTE($E4071," ","")&amp;")")</f>
        <v/>
      </c>
      <c r="R4071">
        <f>IF($A4071="","",$B4071&amp;" - "&amp;$C4071)</f>
        <v/>
      </c>
      <c r="S4071">
        <f>IF($A4071="","",$R4071&amp;"|"&amp;$Q4071)</f>
        <v/>
      </c>
      <c r="T4071">
        <f>IF($A4071="","",$S4071&amp;"|"&amp;$F4071)</f>
        <v/>
      </c>
      <c r="U4071">
        <f>IF($A4071="","",$R4071&amp;"("&amp;$E4071&amp;")")</f>
        <v/>
      </c>
      <c r="V4071">
        <f>IF($A4071="","",$F4071&amp;"|"&amp;$U4071&amp;"|"&amp;$D4071)</f>
        <v/>
      </c>
      <c r="W4071">
        <f>IF($T4071="","",IF($X4071&gt;N($X4070),$X4071,""))</f>
        <v/>
      </c>
      <c r="X4071">
        <f>IF($T4071="",N($X4070),IF(MATCH($T4071,$T$6:$T$6005,0)=ROW()-5,N($X4070)+1,N($X4070)))</f>
        <v/>
      </c>
      <c r="Z4071">
        <f>IF($V4071="","",IF($AA4071&gt;N($AA4070),$AA4071,""))</f>
        <v/>
      </c>
      <c r="AA4071">
        <f>IF($V4071="",N($AA4070),IF(MATCH($V4071,$V$6:$V$6005,0)=ROW()-5,N($AA4070)+1,N($AA4070)))</f>
        <v/>
      </c>
    </row>
    <row r="4072" ht="21" customHeight="1" s="66">
      <c r="A4072" s="56" t="n"/>
      <c r="B4072" s="57" t="n"/>
      <c r="C4072" s="57" t="n"/>
      <c r="D4072" s="57" t="n"/>
      <c r="E4072" s="56" t="n"/>
      <c r="F4072" s="57" t="n"/>
      <c r="G4072" s="57" t="n"/>
      <c r="H4072" s="56" t="n"/>
      <c r="I4072" s="56" t="n"/>
      <c r="J4072" s="58" t="n"/>
      <c r="K4072" s="58" t="n"/>
      <c r="L4072" s="13">
        <f>IF(OR($A4072="",AND($J4072="",$K4072="")),"",ROUND(N($J4072)-N($K4072),2))</f>
        <v/>
      </c>
      <c r="M4072" s="13">
        <f>IF(OR($A4072="",AND($J4072="",$K4072="")),"",MIN($J4072,$K4072))</f>
        <v/>
      </c>
      <c r="Q4072">
        <f>IF($A4072="","",$D4072&amp;"("&amp;SUBSTITUTE($E4072," ","")&amp;")")</f>
        <v/>
      </c>
      <c r="R4072">
        <f>IF($A4072="","",$B4072&amp;" - "&amp;$C4072)</f>
        <v/>
      </c>
      <c r="S4072">
        <f>IF($A4072="","",$R4072&amp;"|"&amp;$Q4072)</f>
        <v/>
      </c>
      <c r="T4072">
        <f>IF($A4072="","",$S4072&amp;"|"&amp;$F4072)</f>
        <v/>
      </c>
      <c r="U4072">
        <f>IF($A4072="","",$R4072&amp;"("&amp;$E4072&amp;")")</f>
        <v/>
      </c>
      <c r="V4072">
        <f>IF($A4072="","",$F4072&amp;"|"&amp;$U4072&amp;"|"&amp;$D4072)</f>
        <v/>
      </c>
      <c r="W4072">
        <f>IF($T4072="","",IF($X4072&gt;N($X4071),$X4072,""))</f>
        <v/>
      </c>
      <c r="X4072">
        <f>IF($T4072="",N($X4071),IF(MATCH($T4072,$T$6:$T$6005,0)=ROW()-5,N($X4071)+1,N($X4071)))</f>
        <v/>
      </c>
      <c r="Z4072">
        <f>IF($V4072="","",IF($AA4072&gt;N($AA4071),$AA4072,""))</f>
        <v/>
      </c>
      <c r="AA4072">
        <f>IF($V4072="",N($AA4071),IF(MATCH($V4072,$V$6:$V$6005,0)=ROW()-5,N($AA4071)+1,N($AA4071)))</f>
        <v/>
      </c>
    </row>
    <row r="4073" ht="21" customHeight="1" s="66">
      <c r="A4073" s="56" t="n"/>
      <c r="B4073" s="57" t="n"/>
      <c r="C4073" s="57" t="n"/>
      <c r="D4073" s="57" t="n"/>
      <c r="E4073" s="56" t="n"/>
      <c r="F4073" s="57" t="n"/>
      <c r="G4073" s="57" t="n"/>
      <c r="H4073" s="56" t="n"/>
      <c r="I4073" s="56" t="n"/>
      <c r="J4073" s="58" t="n"/>
      <c r="K4073" s="58" t="n"/>
      <c r="L4073" s="13">
        <f>IF(OR($A4073="",AND($J4073="",$K4073="")),"",ROUND(N($J4073)-N($K4073),2))</f>
        <v/>
      </c>
      <c r="M4073" s="13">
        <f>IF(OR($A4073="",AND($J4073="",$K4073="")),"",MIN($J4073,$K4073))</f>
        <v/>
      </c>
      <c r="Q4073">
        <f>IF($A4073="","",$D4073&amp;"("&amp;SUBSTITUTE($E4073," ","")&amp;")")</f>
        <v/>
      </c>
      <c r="R4073">
        <f>IF($A4073="","",$B4073&amp;" - "&amp;$C4073)</f>
        <v/>
      </c>
      <c r="S4073">
        <f>IF($A4073="","",$R4073&amp;"|"&amp;$Q4073)</f>
        <v/>
      </c>
      <c r="T4073">
        <f>IF($A4073="","",$S4073&amp;"|"&amp;$F4073)</f>
        <v/>
      </c>
      <c r="U4073">
        <f>IF($A4073="","",$R4073&amp;"("&amp;$E4073&amp;")")</f>
        <v/>
      </c>
      <c r="V4073">
        <f>IF($A4073="","",$F4073&amp;"|"&amp;$U4073&amp;"|"&amp;$D4073)</f>
        <v/>
      </c>
      <c r="W4073">
        <f>IF($T4073="","",IF($X4073&gt;N($X4072),$X4073,""))</f>
        <v/>
      </c>
      <c r="X4073">
        <f>IF($T4073="",N($X4072),IF(MATCH($T4073,$T$6:$T$6005,0)=ROW()-5,N($X4072)+1,N($X4072)))</f>
        <v/>
      </c>
      <c r="Z4073">
        <f>IF($V4073="","",IF($AA4073&gt;N($AA4072),$AA4073,""))</f>
        <v/>
      </c>
      <c r="AA4073">
        <f>IF($V4073="",N($AA4072),IF(MATCH($V4073,$V$6:$V$6005,0)=ROW()-5,N($AA4072)+1,N($AA4072)))</f>
        <v/>
      </c>
    </row>
    <row r="4074" ht="21" customHeight="1" s="66">
      <c r="A4074" s="56" t="n"/>
      <c r="B4074" s="57" t="n"/>
      <c r="C4074" s="57" t="n"/>
      <c r="D4074" s="57" t="n"/>
      <c r="E4074" s="56" t="n"/>
      <c r="F4074" s="57" t="n"/>
      <c r="G4074" s="57" t="n"/>
      <c r="H4074" s="56" t="n"/>
      <c r="I4074" s="56" t="n"/>
      <c r="J4074" s="58" t="n"/>
      <c r="K4074" s="58" t="n"/>
      <c r="L4074" s="13">
        <f>IF(OR($A4074="",AND($J4074="",$K4074="")),"",ROUND(N($J4074)-N($K4074),2))</f>
        <v/>
      </c>
      <c r="M4074" s="13">
        <f>IF(OR($A4074="",AND($J4074="",$K4074="")),"",MIN($J4074,$K4074))</f>
        <v/>
      </c>
      <c r="Q4074">
        <f>IF($A4074="","",$D4074&amp;"("&amp;SUBSTITUTE($E4074," ","")&amp;")")</f>
        <v/>
      </c>
      <c r="R4074">
        <f>IF($A4074="","",$B4074&amp;" - "&amp;$C4074)</f>
        <v/>
      </c>
      <c r="S4074">
        <f>IF($A4074="","",$R4074&amp;"|"&amp;$Q4074)</f>
        <v/>
      </c>
      <c r="T4074">
        <f>IF($A4074="","",$S4074&amp;"|"&amp;$F4074)</f>
        <v/>
      </c>
      <c r="U4074">
        <f>IF($A4074="","",$R4074&amp;"("&amp;$E4074&amp;")")</f>
        <v/>
      </c>
      <c r="V4074">
        <f>IF($A4074="","",$F4074&amp;"|"&amp;$U4074&amp;"|"&amp;$D4074)</f>
        <v/>
      </c>
      <c r="W4074">
        <f>IF($T4074="","",IF($X4074&gt;N($X4073),$X4074,""))</f>
        <v/>
      </c>
      <c r="X4074">
        <f>IF($T4074="",N($X4073),IF(MATCH($T4074,$T$6:$T$6005,0)=ROW()-5,N($X4073)+1,N($X4073)))</f>
        <v/>
      </c>
      <c r="Z4074">
        <f>IF($V4074="","",IF($AA4074&gt;N($AA4073),$AA4074,""))</f>
        <v/>
      </c>
      <c r="AA4074">
        <f>IF($V4074="",N($AA4073),IF(MATCH($V4074,$V$6:$V$6005,0)=ROW()-5,N($AA4073)+1,N($AA4073)))</f>
        <v/>
      </c>
    </row>
    <row r="4075" ht="21" customHeight="1" s="66">
      <c r="A4075" s="56" t="n"/>
      <c r="B4075" s="57" t="n"/>
      <c r="C4075" s="57" t="n"/>
      <c r="D4075" s="57" t="n"/>
      <c r="E4075" s="56" t="n"/>
      <c r="F4075" s="57" t="n"/>
      <c r="G4075" s="57" t="n"/>
      <c r="H4075" s="56" t="n"/>
      <c r="I4075" s="56" t="n"/>
      <c r="J4075" s="58" t="n"/>
      <c r="K4075" s="58" t="n"/>
      <c r="L4075" s="13">
        <f>IF(OR($A4075="",AND($J4075="",$K4075="")),"",ROUND(N($J4075)-N($K4075),2))</f>
        <v/>
      </c>
      <c r="M4075" s="13">
        <f>IF(OR($A4075="",AND($J4075="",$K4075="")),"",MIN($J4075,$K4075))</f>
        <v/>
      </c>
      <c r="Q4075">
        <f>IF($A4075="","",$D4075&amp;"("&amp;SUBSTITUTE($E4075," ","")&amp;")")</f>
        <v/>
      </c>
      <c r="R4075">
        <f>IF($A4075="","",$B4075&amp;" - "&amp;$C4075)</f>
        <v/>
      </c>
      <c r="S4075">
        <f>IF($A4075="","",$R4075&amp;"|"&amp;$Q4075)</f>
        <v/>
      </c>
      <c r="T4075">
        <f>IF($A4075="","",$S4075&amp;"|"&amp;$F4075)</f>
        <v/>
      </c>
      <c r="U4075">
        <f>IF($A4075="","",$R4075&amp;"("&amp;$E4075&amp;")")</f>
        <v/>
      </c>
      <c r="V4075">
        <f>IF($A4075="","",$F4075&amp;"|"&amp;$U4075&amp;"|"&amp;$D4075)</f>
        <v/>
      </c>
      <c r="W4075">
        <f>IF($T4075="","",IF($X4075&gt;N($X4074),$X4075,""))</f>
        <v/>
      </c>
      <c r="X4075">
        <f>IF($T4075="",N($X4074),IF(MATCH($T4075,$T$6:$T$6005,0)=ROW()-5,N($X4074)+1,N($X4074)))</f>
        <v/>
      </c>
      <c r="Z4075">
        <f>IF($V4075="","",IF($AA4075&gt;N($AA4074),$AA4075,""))</f>
        <v/>
      </c>
      <c r="AA4075">
        <f>IF($V4075="",N($AA4074),IF(MATCH($V4075,$V$6:$V$6005,0)=ROW()-5,N($AA4074)+1,N($AA4074)))</f>
        <v/>
      </c>
    </row>
    <row r="4076" ht="21" customHeight="1" s="66">
      <c r="A4076" s="56" t="n"/>
      <c r="B4076" s="57" t="n"/>
      <c r="C4076" s="57" t="n"/>
      <c r="D4076" s="57" t="n"/>
      <c r="E4076" s="56" t="n"/>
      <c r="F4076" s="57" t="n"/>
      <c r="G4076" s="57" t="n"/>
      <c r="H4076" s="56" t="n"/>
      <c r="I4076" s="56" t="n"/>
      <c r="J4076" s="58" t="n"/>
      <c r="K4076" s="58" t="n"/>
      <c r="L4076" s="13">
        <f>IF(OR($A4076="",AND($J4076="",$K4076="")),"",ROUND(N($J4076)-N($K4076),2))</f>
        <v/>
      </c>
      <c r="M4076" s="13">
        <f>IF(OR($A4076="",AND($J4076="",$K4076="")),"",MIN($J4076,$K4076))</f>
        <v/>
      </c>
      <c r="Q4076">
        <f>IF($A4076="","",$D4076&amp;"("&amp;SUBSTITUTE($E4076," ","")&amp;")")</f>
        <v/>
      </c>
      <c r="R4076">
        <f>IF($A4076="","",$B4076&amp;" - "&amp;$C4076)</f>
        <v/>
      </c>
      <c r="S4076">
        <f>IF($A4076="","",$R4076&amp;"|"&amp;$Q4076)</f>
        <v/>
      </c>
      <c r="T4076">
        <f>IF($A4076="","",$S4076&amp;"|"&amp;$F4076)</f>
        <v/>
      </c>
      <c r="U4076">
        <f>IF($A4076="","",$R4076&amp;"("&amp;$E4076&amp;")")</f>
        <v/>
      </c>
      <c r="V4076">
        <f>IF($A4076="","",$F4076&amp;"|"&amp;$U4076&amp;"|"&amp;$D4076)</f>
        <v/>
      </c>
      <c r="W4076">
        <f>IF($T4076="","",IF($X4076&gt;N($X4075),$X4076,""))</f>
        <v/>
      </c>
      <c r="X4076">
        <f>IF($T4076="",N($X4075),IF(MATCH($T4076,$T$6:$T$6005,0)=ROW()-5,N($X4075)+1,N($X4075)))</f>
        <v/>
      </c>
      <c r="Z4076">
        <f>IF($V4076="","",IF($AA4076&gt;N($AA4075),$AA4076,""))</f>
        <v/>
      </c>
      <c r="AA4076">
        <f>IF($V4076="",N($AA4075),IF(MATCH($V4076,$V$6:$V$6005,0)=ROW()-5,N($AA4075)+1,N($AA4075)))</f>
        <v/>
      </c>
    </row>
    <row r="4077" ht="21" customHeight="1" s="66">
      <c r="A4077" s="56" t="n"/>
      <c r="B4077" s="57" t="n"/>
      <c r="C4077" s="57" t="n"/>
      <c r="D4077" s="57" t="n"/>
      <c r="E4077" s="56" t="n"/>
      <c r="F4077" s="57" t="n"/>
      <c r="G4077" s="57" t="n"/>
      <c r="H4077" s="56" t="n"/>
      <c r="I4077" s="56" t="n"/>
      <c r="J4077" s="58" t="n"/>
      <c r="K4077" s="58" t="n"/>
      <c r="L4077" s="13">
        <f>IF(OR($A4077="",AND($J4077="",$K4077="")),"",ROUND(N($J4077)-N($K4077),2))</f>
        <v/>
      </c>
      <c r="M4077" s="13">
        <f>IF(OR($A4077="",AND($J4077="",$K4077="")),"",MIN($J4077,$K4077))</f>
        <v/>
      </c>
      <c r="Q4077">
        <f>IF($A4077="","",$D4077&amp;"("&amp;SUBSTITUTE($E4077," ","")&amp;")")</f>
        <v/>
      </c>
      <c r="R4077">
        <f>IF($A4077="","",$B4077&amp;" - "&amp;$C4077)</f>
        <v/>
      </c>
      <c r="S4077">
        <f>IF($A4077="","",$R4077&amp;"|"&amp;$Q4077)</f>
        <v/>
      </c>
      <c r="T4077">
        <f>IF($A4077="","",$S4077&amp;"|"&amp;$F4077)</f>
        <v/>
      </c>
      <c r="U4077">
        <f>IF($A4077="","",$R4077&amp;"("&amp;$E4077&amp;")")</f>
        <v/>
      </c>
      <c r="V4077">
        <f>IF($A4077="","",$F4077&amp;"|"&amp;$U4077&amp;"|"&amp;$D4077)</f>
        <v/>
      </c>
      <c r="W4077">
        <f>IF($T4077="","",IF($X4077&gt;N($X4076),$X4077,""))</f>
        <v/>
      </c>
      <c r="X4077">
        <f>IF($T4077="",N($X4076),IF(MATCH($T4077,$T$6:$T$6005,0)=ROW()-5,N($X4076)+1,N($X4076)))</f>
        <v/>
      </c>
      <c r="Z4077">
        <f>IF($V4077="","",IF($AA4077&gt;N($AA4076),$AA4077,""))</f>
        <v/>
      </c>
      <c r="AA4077">
        <f>IF($V4077="",N($AA4076),IF(MATCH($V4077,$V$6:$V$6005,0)=ROW()-5,N($AA4076)+1,N($AA4076)))</f>
        <v/>
      </c>
    </row>
    <row r="4078" ht="21" customHeight="1" s="66">
      <c r="A4078" s="56" t="n"/>
      <c r="B4078" s="57" t="n"/>
      <c r="C4078" s="57" t="n"/>
      <c r="D4078" s="57" t="n"/>
      <c r="E4078" s="56" t="n"/>
      <c r="F4078" s="57" t="n"/>
      <c r="G4078" s="57" t="n"/>
      <c r="H4078" s="56" t="n"/>
      <c r="I4078" s="56" t="n"/>
      <c r="J4078" s="58" t="n"/>
      <c r="K4078" s="58" t="n"/>
      <c r="L4078" s="13">
        <f>IF(OR($A4078="",AND($J4078="",$K4078="")),"",ROUND(N($J4078)-N($K4078),2))</f>
        <v/>
      </c>
      <c r="M4078" s="13">
        <f>IF(OR($A4078="",AND($J4078="",$K4078="")),"",MIN($J4078,$K4078))</f>
        <v/>
      </c>
      <c r="Q4078">
        <f>IF($A4078="","",$D4078&amp;"("&amp;SUBSTITUTE($E4078," ","")&amp;")")</f>
        <v/>
      </c>
      <c r="R4078">
        <f>IF($A4078="","",$B4078&amp;" - "&amp;$C4078)</f>
        <v/>
      </c>
      <c r="S4078">
        <f>IF($A4078="","",$R4078&amp;"|"&amp;$Q4078)</f>
        <v/>
      </c>
      <c r="T4078">
        <f>IF($A4078="","",$S4078&amp;"|"&amp;$F4078)</f>
        <v/>
      </c>
      <c r="U4078">
        <f>IF($A4078="","",$R4078&amp;"("&amp;$E4078&amp;")")</f>
        <v/>
      </c>
      <c r="V4078">
        <f>IF($A4078="","",$F4078&amp;"|"&amp;$U4078&amp;"|"&amp;$D4078)</f>
        <v/>
      </c>
      <c r="W4078">
        <f>IF($T4078="","",IF($X4078&gt;N($X4077),$X4078,""))</f>
        <v/>
      </c>
      <c r="X4078">
        <f>IF($T4078="",N($X4077),IF(MATCH($T4078,$T$6:$T$6005,0)=ROW()-5,N($X4077)+1,N($X4077)))</f>
        <v/>
      </c>
      <c r="Z4078">
        <f>IF($V4078="","",IF($AA4078&gt;N($AA4077),$AA4078,""))</f>
        <v/>
      </c>
      <c r="AA4078">
        <f>IF($V4078="",N($AA4077),IF(MATCH($V4078,$V$6:$V$6005,0)=ROW()-5,N($AA4077)+1,N($AA4077)))</f>
        <v/>
      </c>
    </row>
    <row r="4079" ht="21" customHeight="1" s="66">
      <c r="A4079" s="56" t="n"/>
      <c r="B4079" s="57" t="n"/>
      <c r="C4079" s="57" t="n"/>
      <c r="D4079" s="57" t="n"/>
      <c r="E4079" s="56" t="n"/>
      <c r="F4079" s="57" t="n"/>
      <c r="G4079" s="57" t="n"/>
      <c r="H4079" s="56" t="n"/>
      <c r="I4079" s="56" t="n"/>
      <c r="J4079" s="58" t="n"/>
      <c r="K4079" s="58" t="n"/>
      <c r="L4079" s="13">
        <f>IF(OR($A4079="",AND($J4079="",$K4079="")),"",ROUND(N($J4079)-N($K4079),2))</f>
        <v/>
      </c>
      <c r="M4079" s="13">
        <f>IF(OR($A4079="",AND($J4079="",$K4079="")),"",MIN($J4079,$K4079))</f>
        <v/>
      </c>
      <c r="Q4079">
        <f>IF($A4079="","",$D4079&amp;"("&amp;SUBSTITUTE($E4079," ","")&amp;")")</f>
        <v/>
      </c>
      <c r="R4079">
        <f>IF($A4079="","",$B4079&amp;" - "&amp;$C4079)</f>
        <v/>
      </c>
      <c r="S4079">
        <f>IF($A4079="","",$R4079&amp;"|"&amp;$Q4079)</f>
        <v/>
      </c>
      <c r="T4079">
        <f>IF($A4079="","",$S4079&amp;"|"&amp;$F4079)</f>
        <v/>
      </c>
      <c r="U4079">
        <f>IF($A4079="","",$R4079&amp;"("&amp;$E4079&amp;")")</f>
        <v/>
      </c>
      <c r="V4079">
        <f>IF($A4079="","",$F4079&amp;"|"&amp;$U4079&amp;"|"&amp;$D4079)</f>
        <v/>
      </c>
      <c r="W4079">
        <f>IF($T4079="","",IF($X4079&gt;N($X4078),$X4079,""))</f>
        <v/>
      </c>
      <c r="X4079">
        <f>IF($T4079="",N($X4078),IF(MATCH($T4079,$T$6:$T$6005,0)=ROW()-5,N($X4078)+1,N($X4078)))</f>
        <v/>
      </c>
      <c r="Z4079">
        <f>IF($V4079="","",IF($AA4079&gt;N($AA4078),$AA4079,""))</f>
        <v/>
      </c>
      <c r="AA4079">
        <f>IF($V4079="",N($AA4078),IF(MATCH($V4079,$V$6:$V$6005,0)=ROW()-5,N($AA4078)+1,N($AA4078)))</f>
        <v/>
      </c>
    </row>
    <row r="4080" ht="21" customHeight="1" s="66">
      <c r="A4080" s="56" t="n"/>
      <c r="B4080" s="57" t="n"/>
      <c r="C4080" s="57" t="n"/>
      <c r="D4080" s="57" t="n"/>
      <c r="E4080" s="56" t="n"/>
      <c r="F4080" s="57" t="n"/>
      <c r="G4080" s="57" t="n"/>
      <c r="H4080" s="56" t="n"/>
      <c r="I4080" s="56" t="n"/>
      <c r="J4080" s="58" t="n"/>
      <c r="K4080" s="58" t="n"/>
      <c r="L4080" s="13">
        <f>IF(OR($A4080="",AND($J4080="",$K4080="")),"",ROUND(N($J4080)-N($K4080),2))</f>
        <v/>
      </c>
      <c r="M4080" s="13">
        <f>IF(OR($A4080="",AND($J4080="",$K4080="")),"",MIN($J4080,$K4080))</f>
        <v/>
      </c>
      <c r="Q4080">
        <f>IF($A4080="","",$D4080&amp;"("&amp;SUBSTITUTE($E4080," ","")&amp;")")</f>
        <v/>
      </c>
      <c r="R4080">
        <f>IF($A4080="","",$B4080&amp;" - "&amp;$C4080)</f>
        <v/>
      </c>
      <c r="S4080">
        <f>IF($A4080="","",$R4080&amp;"|"&amp;$Q4080)</f>
        <v/>
      </c>
      <c r="T4080">
        <f>IF($A4080="","",$S4080&amp;"|"&amp;$F4080)</f>
        <v/>
      </c>
      <c r="U4080">
        <f>IF($A4080="","",$R4080&amp;"("&amp;$E4080&amp;")")</f>
        <v/>
      </c>
      <c r="V4080">
        <f>IF($A4080="","",$F4080&amp;"|"&amp;$U4080&amp;"|"&amp;$D4080)</f>
        <v/>
      </c>
      <c r="W4080">
        <f>IF($T4080="","",IF($X4080&gt;N($X4079),$X4080,""))</f>
        <v/>
      </c>
      <c r="X4080">
        <f>IF($T4080="",N($X4079),IF(MATCH($T4080,$T$6:$T$6005,0)=ROW()-5,N($X4079)+1,N($X4079)))</f>
        <v/>
      </c>
      <c r="Z4080">
        <f>IF($V4080="","",IF($AA4080&gt;N($AA4079),$AA4080,""))</f>
        <v/>
      </c>
      <c r="AA4080">
        <f>IF($V4080="",N($AA4079),IF(MATCH($V4080,$V$6:$V$6005,0)=ROW()-5,N($AA4079)+1,N($AA4079)))</f>
        <v/>
      </c>
    </row>
    <row r="4081" ht="21" customHeight="1" s="66">
      <c r="A4081" s="56" t="n"/>
      <c r="B4081" s="57" t="n"/>
      <c r="C4081" s="57" t="n"/>
      <c r="D4081" s="57" t="n"/>
      <c r="E4081" s="56" t="n"/>
      <c r="F4081" s="57" t="n"/>
      <c r="G4081" s="57" t="n"/>
      <c r="H4081" s="56" t="n"/>
      <c r="I4081" s="56" t="n"/>
      <c r="J4081" s="58" t="n"/>
      <c r="K4081" s="58" t="n"/>
      <c r="L4081" s="13">
        <f>IF(OR($A4081="",AND($J4081="",$K4081="")),"",ROUND(N($J4081)-N($K4081),2))</f>
        <v/>
      </c>
      <c r="M4081" s="13">
        <f>IF(OR($A4081="",AND($J4081="",$K4081="")),"",MIN($J4081,$K4081))</f>
        <v/>
      </c>
      <c r="Q4081">
        <f>IF($A4081="","",$D4081&amp;"("&amp;SUBSTITUTE($E4081," ","")&amp;")")</f>
        <v/>
      </c>
      <c r="R4081">
        <f>IF($A4081="","",$B4081&amp;" - "&amp;$C4081)</f>
        <v/>
      </c>
      <c r="S4081">
        <f>IF($A4081="","",$R4081&amp;"|"&amp;$Q4081)</f>
        <v/>
      </c>
      <c r="T4081">
        <f>IF($A4081="","",$S4081&amp;"|"&amp;$F4081)</f>
        <v/>
      </c>
      <c r="U4081">
        <f>IF($A4081="","",$R4081&amp;"("&amp;$E4081&amp;")")</f>
        <v/>
      </c>
      <c r="V4081">
        <f>IF($A4081="","",$F4081&amp;"|"&amp;$U4081&amp;"|"&amp;$D4081)</f>
        <v/>
      </c>
      <c r="W4081">
        <f>IF($T4081="","",IF($X4081&gt;N($X4080),$X4081,""))</f>
        <v/>
      </c>
      <c r="X4081">
        <f>IF($T4081="",N($X4080),IF(MATCH($T4081,$T$6:$T$6005,0)=ROW()-5,N($X4080)+1,N($X4080)))</f>
        <v/>
      </c>
      <c r="Z4081">
        <f>IF($V4081="","",IF($AA4081&gt;N($AA4080),$AA4081,""))</f>
        <v/>
      </c>
      <c r="AA4081">
        <f>IF($V4081="",N($AA4080),IF(MATCH($V4081,$V$6:$V$6005,0)=ROW()-5,N($AA4080)+1,N($AA4080)))</f>
        <v/>
      </c>
    </row>
    <row r="4082" ht="21" customHeight="1" s="66">
      <c r="A4082" s="56" t="n"/>
      <c r="B4082" s="57" t="n"/>
      <c r="C4082" s="57" t="n"/>
      <c r="D4082" s="57" t="n"/>
      <c r="E4082" s="56" t="n"/>
      <c r="F4082" s="57" t="n"/>
      <c r="G4082" s="57" t="n"/>
      <c r="H4082" s="56" t="n"/>
      <c r="I4082" s="56" t="n"/>
      <c r="J4082" s="58" t="n"/>
      <c r="K4082" s="58" t="n"/>
      <c r="L4082" s="13">
        <f>IF(OR($A4082="",AND($J4082="",$K4082="")),"",ROUND(N($J4082)-N($K4082),2))</f>
        <v/>
      </c>
      <c r="M4082" s="13">
        <f>IF(OR($A4082="",AND($J4082="",$K4082="")),"",MIN($J4082,$K4082))</f>
        <v/>
      </c>
      <c r="Q4082">
        <f>IF($A4082="","",$D4082&amp;"("&amp;SUBSTITUTE($E4082," ","")&amp;")")</f>
        <v/>
      </c>
      <c r="R4082">
        <f>IF($A4082="","",$B4082&amp;" - "&amp;$C4082)</f>
        <v/>
      </c>
      <c r="S4082">
        <f>IF($A4082="","",$R4082&amp;"|"&amp;$Q4082)</f>
        <v/>
      </c>
      <c r="T4082">
        <f>IF($A4082="","",$S4082&amp;"|"&amp;$F4082)</f>
        <v/>
      </c>
      <c r="U4082">
        <f>IF($A4082="","",$R4082&amp;"("&amp;$E4082&amp;")")</f>
        <v/>
      </c>
      <c r="V4082">
        <f>IF($A4082="","",$F4082&amp;"|"&amp;$U4082&amp;"|"&amp;$D4082)</f>
        <v/>
      </c>
      <c r="W4082">
        <f>IF($T4082="","",IF($X4082&gt;N($X4081),$X4082,""))</f>
        <v/>
      </c>
      <c r="X4082">
        <f>IF($T4082="",N($X4081),IF(MATCH($T4082,$T$6:$T$6005,0)=ROW()-5,N($X4081)+1,N($X4081)))</f>
        <v/>
      </c>
      <c r="Z4082">
        <f>IF($V4082="","",IF($AA4082&gt;N($AA4081),$AA4082,""))</f>
        <v/>
      </c>
      <c r="AA4082">
        <f>IF($V4082="",N($AA4081),IF(MATCH($V4082,$V$6:$V$6005,0)=ROW()-5,N($AA4081)+1,N($AA4081)))</f>
        <v/>
      </c>
    </row>
    <row r="4083" ht="21" customHeight="1" s="66">
      <c r="A4083" s="56" t="n"/>
      <c r="B4083" s="57" t="n"/>
      <c r="C4083" s="57" t="n"/>
      <c r="D4083" s="57" t="n"/>
      <c r="E4083" s="56" t="n"/>
      <c r="F4083" s="57" t="n"/>
      <c r="G4083" s="57" t="n"/>
      <c r="H4083" s="56" t="n"/>
      <c r="I4083" s="56" t="n"/>
      <c r="J4083" s="58" t="n"/>
      <c r="K4083" s="58" t="n"/>
      <c r="L4083" s="13">
        <f>IF(OR($A4083="",AND($J4083="",$K4083="")),"",ROUND(N($J4083)-N($K4083),2))</f>
        <v/>
      </c>
      <c r="M4083" s="13">
        <f>IF(OR($A4083="",AND($J4083="",$K4083="")),"",MIN($J4083,$K4083))</f>
        <v/>
      </c>
      <c r="Q4083">
        <f>IF($A4083="","",$D4083&amp;"("&amp;SUBSTITUTE($E4083," ","")&amp;")")</f>
        <v/>
      </c>
      <c r="R4083">
        <f>IF($A4083="","",$B4083&amp;" - "&amp;$C4083)</f>
        <v/>
      </c>
      <c r="S4083">
        <f>IF($A4083="","",$R4083&amp;"|"&amp;$Q4083)</f>
        <v/>
      </c>
      <c r="T4083">
        <f>IF($A4083="","",$S4083&amp;"|"&amp;$F4083)</f>
        <v/>
      </c>
      <c r="U4083">
        <f>IF($A4083="","",$R4083&amp;"("&amp;$E4083&amp;")")</f>
        <v/>
      </c>
      <c r="V4083">
        <f>IF($A4083="","",$F4083&amp;"|"&amp;$U4083&amp;"|"&amp;$D4083)</f>
        <v/>
      </c>
      <c r="W4083">
        <f>IF($T4083="","",IF($X4083&gt;N($X4082),$X4083,""))</f>
        <v/>
      </c>
      <c r="X4083">
        <f>IF($T4083="",N($X4082),IF(MATCH($T4083,$T$6:$T$6005,0)=ROW()-5,N($X4082)+1,N($X4082)))</f>
        <v/>
      </c>
      <c r="Z4083">
        <f>IF($V4083="","",IF($AA4083&gt;N($AA4082),$AA4083,""))</f>
        <v/>
      </c>
      <c r="AA4083">
        <f>IF($V4083="",N($AA4082),IF(MATCH($V4083,$V$6:$V$6005,0)=ROW()-5,N($AA4082)+1,N($AA4082)))</f>
        <v/>
      </c>
    </row>
    <row r="4084" ht="21" customHeight="1" s="66">
      <c r="A4084" s="56" t="n"/>
      <c r="B4084" s="57" t="n"/>
      <c r="C4084" s="57" t="n"/>
      <c r="D4084" s="57" t="n"/>
      <c r="E4084" s="56" t="n"/>
      <c r="F4084" s="57" t="n"/>
      <c r="G4084" s="57" t="n"/>
      <c r="H4084" s="56" t="n"/>
      <c r="I4084" s="56" t="n"/>
      <c r="J4084" s="58" t="n"/>
      <c r="K4084" s="58" t="n"/>
      <c r="L4084" s="13">
        <f>IF(OR($A4084="",AND($J4084="",$K4084="")),"",ROUND(N($J4084)-N($K4084),2))</f>
        <v/>
      </c>
      <c r="M4084" s="13">
        <f>IF(OR($A4084="",AND($J4084="",$K4084="")),"",MIN($J4084,$K4084))</f>
        <v/>
      </c>
      <c r="Q4084">
        <f>IF($A4084="","",$D4084&amp;"("&amp;SUBSTITUTE($E4084," ","")&amp;")")</f>
        <v/>
      </c>
      <c r="R4084">
        <f>IF($A4084="","",$B4084&amp;" - "&amp;$C4084)</f>
        <v/>
      </c>
      <c r="S4084">
        <f>IF($A4084="","",$R4084&amp;"|"&amp;$Q4084)</f>
        <v/>
      </c>
      <c r="T4084">
        <f>IF($A4084="","",$S4084&amp;"|"&amp;$F4084)</f>
        <v/>
      </c>
      <c r="U4084">
        <f>IF($A4084="","",$R4084&amp;"("&amp;$E4084&amp;")")</f>
        <v/>
      </c>
      <c r="V4084">
        <f>IF($A4084="","",$F4084&amp;"|"&amp;$U4084&amp;"|"&amp;$D4084)</f>
        <v/>
      </c>
      <c r="W4084">
        <f>IF($T4084="","",IF($X4084&gt;N($X4083),$X4084,""))</f>
        <v/>
      </c>
      <c r="X4084">
        <f>IF($T4084="",N($X4083),IF(MATCH($T4084,$T$6:$T$6005,0)=ROW()-5,N($X4083)+1,N($X4083)))</f>
        <v/>
      </c>
      <c r="Z4084">
        <f>IF($V4084="","",IF($AA4084&gt;N($AA4083),$AA4084,""))</f>
        <v/>
      </c>
      <c r="AA4084">
        <f>IF($V4084="",N($AA4083),IF(MATCH($V4084,$V$6:$V$6005,0)=ROW()-5,N($AA4083)+1,N($AA4083)))</f>
        <v/>
      </c>
    </row>
    <row r="4085" ht="21" customHeight="1" s="66">
      <c r="A4085" s="56" t="n"/>
      <c r="B4085" s="57" t="n"/>
      <c r="C4085" s="57" t="n"/>
      <c r="D4085" s="57" t="n"/>
      <c r="E4085" s="56" t="n"/>
      <c r="F4085" s="57" t="n"/>
      <c r="G4085" s="57" t="n"/>
      <c r="H4085" s="56" t="n"/>
      <c r="I4085" s="56" t="n"/>
      <c r="J4085" s="58" t="n"/>
      <c r="K4085" s="58" t="n"/>
      <c r="L4085" s="13">
        <f>IF(OR($A4085="",AND($J4085="",$K4085="")),"",ROUND(N($J4085)-N($K4085),2))</f>
        <v/>
      </c>
      <c r="M4085" s="13">
        <f>IF(OR($A4085="",AND($J4085="",$K4085="")),"",MIN($J4085,$K4085))</f>
        <v/>
      </c>
      <c r="Q4085">
        <f>IF($A4085="","",$D4085&amp;"("&amp;SUBSTITUTE($E4085," ","")&amp;")")</f>
        <v/>
      </c>
      <c r="R4085">
        <f>IF($A4085="","",$B4085&amp;" - "&amp;$C4085)</f>
        <v/>
      </c>
      <c r="S4085">
        <f>IF($A4085="","",$R4085&amp;"|"&amp;$Q4085)</f>
        <v/>
      </c>
      <c r="T4085">
        <f>IF($A4085="","",$S4085&amp;"|"&amp;$F4085)</f>
        <v/>
      </c>
      <c r="U4085">
        <f>IF($A4085="","",$R4085&amp;"("&amp;$E4085&amp;")")</f>
        <v/>
      </c>
      <c r="V4085">
        <f>IF($A4085="","",$F4085&amp;"|"&amp;$U4085&amp;"|"&amp;$D4085)</f>
        <v/>
      </c>
      <c r="W4085">
        <f>IF($T4085="","",IF($X4085&gt;N($X4084),$X4085,""))</f>
        <v/>
      </c>
      <c r="X4085">
        <f>IF($T4085="",N($X4084),IF(MATCH($T4085,$T$6:$T$6005,0)=ROW()-5,N($X4084)+1,N($X4084)))</f>
        <v/>
      </c>
      <c r="Z4085">
        <f>IF($V4085="","",IF($AA4085&gt;N($AA4084),$AA4085,""))</f>
        <v/>
      </c>
      <c r="AA4085">
        <f>IF($V4085="",N($AA4084),IF(MATCH($V4085,$V$6:$V$6005,0)=ROW()-5,N($AA4084)+1,N($AA4084)))</f>
        <v/>
      </c>
    </row>
    <row r="4086" ht="21" customHeight="1" s="66">
      <c r="A4086" s="56" t="n"/>
      <c r="B4086" s="57" t="n"/>
      <c r="C4086" s="57" t="n"/>
      <c r="D4086" s="57" t="n"/>
      <c r="E4086" s="56" t="n"/>
      <c r="F4086" s="57" t="n"/>
      <c r="G4086" s="57" t="n"/>
      <c r="H4086" s="56" t="n"/>
      <c r="I4086" s="56" t="n"/>
      <c r="J4086" s="58" t="n"/>
      <c r="K4086" s="58" t="n"/>
      <c r="L4086" s="13">
        <f>IF(OR($A4086="",AND($J4086="",$K4086="")),"",ROUND(N($J4086)-N($K4086),2))</f>
        <v/>
      </c>
      <c r="M4086" s="13">
        <f>IF(OR($A4086="",AND($J4086="",$K4086="")),"",MIN($J4086,$K4086))</f>
        <v/>
      </c>
      <c r="Q4086">
        <f>IF($A4086="","",$D4086&amp;"("&amp;SUBSTITUTE($E4086," ","")&amp;")")</f>
        <v/>
      </c>
      <c r="R4086">
        <f>IF($A4086="","",$B4086&amp;" - "&amp;$C4086)</f>
        <v/>
      </c>
      <c r="S4086">
        <f>IF($A4086="","",$R4086&amp;"|"&amp;$Q4086)</f>
        <v/>
      </c>
      <c r="T4086">
        <f>IF($A4086="","",$S4086&amp;"|"&amp;$F4086)</f>
        <v/>
      </c>
      <c r="U4086">
        <f>IF($A4086="","",$R4086&amp;"("&amp;$E4086&amp;")")</f>
        <v/>
      </c>
      <c r="V4086">
        <f>IF($A4086="","",$F4086&amp;"|"&amp;$U4086&amp;"|"&amp;$D4086)</f>
        <v/>
      </c>
      <c r="W4086">
        <f>IF($T4086="","",IF($X4086&gt;N($X4085),$X4086,""))</f>
        <v/>
      </c>
      <c r="X4086">
        <f>IF($T4086="",N($X4085),IF(MATCH($T4086,$T$6:$T$6005,0)=ROW()-5,N($X4085)+1,N($X4085)))</f>
        <v/>
      </c>
      <c r="Z4086">
        <f>IF($V4086="","",IF($AA4086&gt;N($AA4085),$AA4086,""))</f>
        <v/>
      </c>
      <c r="AA4086">
        <f>IF($V4086="",N($AA4085),IF(MATCH($V4086,$V$6:$V$6005,0)=ROW()-5,N($AA4085)+1,N($AA4085)))</f>
        <v/>
      </c>
    </row>
    <row r="4087" ht="21" customHeight="1" s="66">
      <c r="A4087" s="56" t="n"/>
      <c r="B4087" s="57" t="n"/>
      <c r="C4087" s="57" t="n"/>
      <c r="D4087" s="57" t="n"/>
      <c r="E4087" s="56" t="n"/>
      <c r="F4087" s="57" t="n"/>
      <c r="G4087" s="57" t="n"/>
      <c r="H4087" s="56" t="n"/>
      <c r="I4087" s="56" t="n"/>
      <c r="J4087" s="58" t="n"/>
      <c r="K4087" s="58" t="n"/>
      <c r="L4087" s="13">
        <f>IF(OR($A4087="",AND($J4087="",$K4087="")),"",ROUND(N($J4087)-N($K4087),2))</f>
        <v/>
      </c>
      <c r="M4087" s="13">
        <f>IF(OR($A4087="",AND($J4087="",$K4087="")),"",MIN($J4087,$K4087))</f>
        <v/>
      </c>
      <c r="Q4087">
        <f>IF($A4087="","",$D4087&amp;"("&amp;SUBSTITUTE($E4087," ","")&amp;")")</f>
        <v/>
      </c>
      <c r="R4087">
        <f>IF($A4087="","",$B4087&amp;" - "&amp;$C4087)</f>
        <v/>
      </c>
      <c r="S4087">
        <f>IF($A4087="","",$R4087&amp;"|"&amp;$Q4087)</f>
        <v/>
      </c>
      <c r="T4087">
        <f>IF($A4087="","",$S4087&amp;"|"&amp;$F4087)</f>
        <v/>
      </c>
      <c r="U4087">
        <f>IF($A4087="","",$R4087&amp;"("&amp;$E4087&amp;")")</f>
        <v/>
      </c>
      <c r="V4087">
        <f>IF($A4087="","",$F4087&amp;"|"&amp;$U4087&amp;"|"&amp;$D4087)</f>
        <v/>
      </c>
      <c r="W4087">
        <f>IF($T4087="","",IF($X4087&gt;N($X4086),$X4087,""))</f>
        <v/>
      </c>
      <c r="X4087">
        <f>IF($T4087="",N($X4086),IF(MATCH($T4087,$T$6:$T$6005,0)=ROW()-5,N($X4086)+1,N($X4086)))</f>
        <v/>
      </c>
      <c r="Z4087">
        <f>IF($V4087="","",IF($AA4087&gt;N($AA4086),$AA4087,""))</f>
        <v/>
      </c>
      <c r="AA4087">
        <f>IF($V4087="",N($AA4086),IF(MATCH($V4087,$V$6:$V$6005,0)=ROW()-5,N($AA4086)+1,N($AA4086)))</f>
        <v/>
      </c>
    </row>
    <row r="4088" ht="21" customHeight="1" s="66">
      <c r="A4088" s="56" t="n"/>
      <c r="B4088" s="57" t="n"/>
      <c r="C4088" s="57" t="n"/>
      <c r="D4088" s="57" t="n"/>
      <c r="E4088" s="56" t="n"/>
      <c r="F4088" s="57" t="n"/>
      <c r="G4088" s="57" t="n"/>
      <c r="H4088" s="56" t="n"/>
      <c r="I4088" s="56" t="n"/>
      <c r="J4088" s="58" t="n"/>
      <c r="K4088" s="58" t="n"/>
      <c r="L4088" s="13">
        <f>IF(OR($A4088="",AND($J4088="",$K4088="")),"",ROUND(N($J4088)-N($K4088),2))</f>
        <v/>
      </c>
      <c r="M4088" s="13">
        <f>IF(OR($A4088="",AND($J4088="",$K4088="")),"",MIN($J4088,$K4088))</f>
        <v/>
      </c>
      <c r="Q4088">
        <f>IF($A4088="","",$D4088&amp;"("&amp;SUBSTITUTE($E4088," ","")&amp;")")</f>
        <v/>
      </c>
      <c r="R4088">
        <f>IF($A4088="","",$B4088&amp;" - "&amp;$C4088)</f>
        <v/>
      </c>
      <c r="S4088">
        <f>IF($A4088="","",$R4088&amp;"|"&amp;$Q4088)</f>
        <v/>
      </c>
      <c r="T4088">
        <f>IF($A4088="","",$S4088&amp;"|"&amp;$F4088)</f>
        <v/>
      </c>
      <c r="U4088">
        <f>IF($A4088="","",$R4088&amp;"("&amp;$E4088&amp;")")</f>
        <v/>
      </c>
      <c r="V4088">
        <f>IF($A4088="","",$F4088&amp;"|"&amp;$U4088&amp;"|"&amp;$D4088)</f>
        <v/>
      </c>
      <c r="W4088">
        <f>IF($T4088="","",IF($X4088&gt;N($X4087),$X4088,""))</f>
        <v/>
      </c>
      <c r="X4088">
        <f>IF($T4088="",N($X4087),IF(MATCH($T4088,$T$6:$T$6005,0)=ROW()-5,N($X4087)+1,N($X4087)))</f>
        <v/>
      </c>
      <c r="Z4088">
        <f>IF($V4088="","",IF($AA4088&gt;N($AA4087),$AA4088,""))</f>
        <v/>
      </c>
      <c r="AA4088">
        <f>IF($V4088="",N($AA4087),IF(MATCH($V4088,$V$6:$V$6005,0)=ROW()-5,N($AA4087)+1,N($AA4087)))</f>
        <v/>
      </c>
    </row>
    <row r="4089" ht="21" customHeight="1" s="66">
      <c r="A4089" s="56" t="n"/>
      <c r="B4089" s="57" t="n"/>
      <c r="C4089" s="57" t="n"/>
      <c r="D4089" s="57" t="n"/>
      <c r="E4089" s="56" t="n"/>
      <c r="F4089" s="57" t="n"/>
      <c r="G4089" s="57" t="n"/>
      <c r="H4089" s="56" t="n"/>
      <c r="I4089" s="56" t="n"/>
      <c r="J4089" s="58" t="n"/>
      <c r="K4089" s="58" t="n"/>
      <c r="L4089" s="13">
        <f>IF(OR($A4089="",AND($J4089="",$K4089="")),"",ROUND(N($J4089)-N($K4089),2))</f>
        <v/>
      </c>
      <c r="M4089" s="13">
        <f>IF(OR($A4089="",AND($J4089="",$K4089="")),"",MIN($J4089,$K4089))</f>
        <v/>
      </c>
      <c r="Q4089">
        <f>IF($A4089="","",$D4089&amp;"("&amp;SUBSTITUTE($E4089," ","")&amp;")")</f>
        <v/>
      </c>
      <c r="R4089">
        <f>IF($A4089="","",$B4089&amp;" - "&amp;$C4089)</f>
        <v/>
      </c>
      <c r="S4089">
        <f>IF($A4089="","",$R4089&amp;"|"&amp;$Q4089)</f>
        <v/>
      </c>
      <c r="T4089">
        <f>IF($A4089="","",$S4089&amp;"|"&amp;$F4089)</f>
        <v/>
      </c>
      <c r="U4089">
        <f>IF($A4089="","",$R4089&amp;"("&amp;$E4089&amp;")")</f>
        <v/>
      </c>
      <c r="V4089">
        <f>IF($A4089="","",$F4089&amp;"|"&amp;$U4089&amp;"|"&amp;$D4089)</f>
        <v/>
      </c>
      <c r="W4089">
        <f>IF($T4089="","",IF($X4089&gt;N($X4088),$X4089,""))</f>
        <v/>
      </c>
      <c r="X4089">
        <f>IF($T4089="",N($X4088),IF(MATCH($T4089,$T$6:$T$6005,0)=ROW()-5,N($X4088)+1,N($X4088)))</f>
        <v/>
      </c>
      <c r="Z4089">
        <f>IF($V4089="","",IF($AA4089&gt;N($AA4088),$AA4089,""))</f>
        <v/>
      </c>
      <c r="AA4089">
        <f>IF($V4089="",N($AA4088),IF(MATCH($V4089,$V$6:$V$6005,0)=ROW()-5,N($AA4088)+1,N($AA4088)))</f>
        <v/>
      </c>
    </row>
    <row r="4090" ht="21" customHeight="1" s="66">
      <c r="A4090" s="56" t="n"/>
      <c r="B4090" s="57" t="n"/>
      <c r="C4090" s="57" t="n"/>
      <c r="D4090" s="57" t="n"/>
      <c r="E4090" s="56" t="n"/>
      <c r="F4090" s="57" t="n"/>
      <c r="G4090" s="57" t="n"/>
      <c r="H4090" s="56" t="n"/>
      <c r="I4090" s="56" t="n"/>
      <c r="J4090" s="58" t="n"/>
      <c r="K4090" s="58" t="n"/>
      <c r="L4090" s="13">
        <f>IF(OR($A4090="",AND($J4090="",$K4090="")),"",ROUND(N($J4090)-N($K4090),2))</f>
        <v/>
      </c>
      <c r="M4090" s="13">
        <f>IF(OR($A4090="",AND($J4090="",$K4090="")),"",MIN($J4090,$K4090))</f>
        <v/>
      </c>
      <c r="Q4090">
        <f>IF($A4090="","",$D4090&amp;"("&amp;SUBSTITUTE($E4090," ","")&amp;")")</f>
        <v/>
      </c>
      <c r="R4090">
        <f>IF($A4090="","",$B4090&amp;" - "&amp;$C4090)</f>
        <v/>
      </c>
      <c r="S4090">
        <f>IF($A4090="","",$R4090&amp;"|"&amp;$Q4090)</f>
        <v/>
      </c>
      <c r="T4090">
        <f>IF($A4090="","",$S4090&amp;"|"&amp;$F4090)</f>
        <v/>
      </c>
      <c r="U4090">
        <f>IF($A4090="","",$R4090&amp;"("&amp;$E4090&amp;")")</f>
        <v/>
      </c>
      <c r="V4090">
        <f>IF($A4090="","",$F4090&amp;"|"&amp;$U4090&amp;"|"&amp;$D4090)</f>
        <v/>
      </c>
      <c r="W4090">
        <f>IF($T4090="","",IF($X4090&gt;N($X4089),$X4090,""))</f>
        <v/>
      </c>
      <c r="X4090">
        <f>IF($T4090="",N($X4089),IF(MATCH($T4090,$T$6:$T$6005,0)=ROW()-5,N($X4089)+1,N($X4089)))</f>
        <v/>
      </c>
      <c r="Z4090">
        <f>IF($V4090="","",IF($AA4090&gt;N($AA4089),$AA4090,""))</f>
        <v/>
      </c>
      <c r="AA4090">
        <f>IF($V4090="",N($AA4089),IF(MATCH($V4090,$V$6:$V$6005,0)=ROW()-5,N($AA4089)+1,N($AA4089)))</f>
        <v/>
      </c>
    </row>
    <row r="4091" ht="21" customHeight="1" s="66">
      <c r="A4091" s="56" t="n"/>
      <c r="B4091" s="57" t="n"/>
      <c r="C4091" s="57" t="n"/>
      <c r="D4091" s="57" t="n"/>
      <c r="E4091" s="56" t="n"/>
      <c r="F4091" s="57" t="n"/>
      <c r="G4091" s="57" t="n"/>
      <c r="H4091" s="56" t="n"/>
      <c r="I4091" s="56" t="n"/>
      <c r="J4091" s="58" t="n"/>
      <c r="K4091" s="58" t="n"/>
      <c r="L4091" s="13">
        <f>IF(OR($A4091="",AND($J4091="",$K4091="")),"",ROUND(N($J4091)-N($K4091),2))</f>
        <v/>
      </c>
      <c r="M4091" s="13">
        <f>IF(OR($A4091="",AND($J4091="",$K4091="")),"",MIN($J4091,$K4091))</f>
        <v/>
      </c>
      <c r="Q4091">
        <f>IF($A4091="","",$D4091&amp;"("&amp;SUBSTITUTE($E4091," ","")&amp;")")</f>
        <v/>
      </c>
      <c r="R4091">
        <f>IF($A4091="","",$B4091&amp;" - "&amp;$C4091)</f>
        <v/>
      </c>
      <c r="S4091">
        <f>IF($A4091="","",$R4091&amp;"|"&amp;$Q4091)</f>
        <v/>
      </c>
      <c r="T4091">
        <f>IF($A4091="","",$S4091&amp;"|"&amp;$F4091)</f>
        <v/>
      </c>
      <c r="U4091">
        <f>IF($A4091="","",$R4091&amp;"("&amp;$E4091&amp;")")</f>
        <v/>
      </c>
      <c r="V4091">
        <f>IF($A4091="","",$F4091&amp;"|"&amp;$U4091&amp;"|"&amp;$D4091)</f>
        <v/>
      </c>
      <c r="W4091">
        <f>IF($T4091="","",IF($X4091&gt;N($X4090),$X4091,""))</f>
        <v/>
      </c>
      <c r="X4091">
        <f>IF($T4091="",N($X4090),IF(MATCH($T4091,$T$6:$T$6005,0)=ROW()-5,N($X4090)+1,N($X4090)))</f>
        <v/>
      </c>
      <c r="Z4091">
        <f>IF($V4091="","",IF($AA4091&gt;N($AA4090),$AA4091,""))</f>
        <v/>
      </c>
      <c r="AA4091">
        <f>IF($V4091="",N($AA4090),IF(MATCH($V4091,$V$6:$V$6005,0)=ROW()-5,N($AA4090)+1,N($AA4090)))</f>
        <v/>
      </c>
    </row>
    <row r="4092" ht="21" customHeight="1" s="66">
      <c r="A4092" s="56" t="n"/>
      <c r="B4092" s="57" t="n"/>
      <c r="C4092" s="57" t="n"/>
      <c r="D4092" s="57" t="n"/>
      <c r="E4092" s="56" t="n"/>
      <c r="F4092" s="57" t="n"/>
      <c r="G4092" s="57" t="n"/>
      <c r="H4092" s="56" t="n"/>
      <c r="I4092" s="56" t="n"/>
      <c r="J4092" s="58" t="n"/>
      <c r="K4092" s="58" t="n"/>
      <c r="L4092" s="13">
        <f>IF(OR($A4092="",AND($J4092="",$K4092="")),"",ROUND(N($J4092)-N($K4092),2))</f>
        <v/>
      </c>
      <c r="M4092" s="13">
        <f>IF(OR($A4092="",AND($J4092="",$K4092="")),"",MIN($J4092,$K4092))</f>
        <v/>
      </c>
      <c r="Q4092">
        <f>IF($A4092="","",$D4092&amp;"("&amp;SUBSTITUTE($E4092," ","")&amp;")")</f>
        <v/>
      </c>
      <c r="R4092">
        <f>IF($A4092="","",$B4092&amp;" - "&amp;$C4092)</f>
        <v/>
      </c>
      <c r="S4092">
        <f>IF($A4092="","",$R4092&amp;"|"&amp;$Q4092)</f>
        <v/>
      </c>
      <c r="T4092">
        <f>IF($A4092="","",$S4092&amp;"|"&amp;$F4092)</f>
        <v/>
      </c>
      <c r="U4092">
        <f>IF($A4092="","",$R4092&amp;"("&amp;$E4092&amp;")")</f>
        <v/>
      </c>
      <c r="V4092">
        <f>IF($A4092="","",$F4092&amp;"|"&amp;$U4092&amp;"|"&amp;$D4092)</f>
        <v/>
      </c>
      <c r="W4092">
        <f>IF($T4092="","",IF($X4092&gt;N($X4091),$X4092,""))</f>
        <v/>
      </c>
      <c r="X4092">
        <f>IF($T4092="",N($X4091),IF(MATCH($T4092,$T$6:$T$6005,0)=ROW()-5,N($X4091)+1,N($X4091)))</f>
        <v/>
      </c>
      <c r="Z4092">
        <f>IF($V4092="","",IF($AA4092&gt;N($AA4091),$AA4092,""))</f>
        <v/>
      </c>
      <c r="AA4092">
        <f>IF($V4092="",N($AA4091),IF(MATCH($V4092,$V$6:$V$6005,0)=ROW()-5,N($AA4091)+1,N($AA4091)))</f>
        <v/>
      </c>
    </row>
    <row r="4093" ht="21" customHeight="1" s="66">
      <c r="A4093" s="56" t="n"/>
      <c r="B4093" s="57" t="n"/>
      <c r="C4093" s="57" t="n"/>
      <c r="D4093" s="57" t="n"/>
      <c r="E4093" s="56" t="n"/>
      <c r="F4093" s="57" t="n"/>
      <c r="G4093" s="57" t="n"/>
      <c r="H4093" s="56" t="n"/>
      <c r="I4093" s="56" t="n"/>
      <c r="J4093" s="58" t="n"/>
      <c r="K4093" s="58" t="n"/>
      <c r="L4093" s="13">
        <f>IF(OR($A4093="",AND($J4093="",$K4093="")),"",ROUND(N($J4093)-N($K4093),2))</f>
        <v/>
      </c>
      <c r="M4093" s="13">
        <f>IF(OR($A4093="",AND($J4093="",$K4093="")),"",MIN($J4093,$K4093))</f>
        <v/>
      </c>
      <c r="Q4093">
        <f>IF($A4093="","",$D4093&amp;"("&amp;SUBSTITUTE($E4093," ","")&amp;")")</f>
        <v/>
      </c>
      <c r="R4093">
        <f>IF($A4093="","",$B4093&amp;" - "&amp;$C4093)</f>
        <v/>
      </c>
      <c r="S4093">
        <f>IF($A4093="","",$R4093&amp;"|"&amp;$Q4093)</f>
        <v/>
      </c>
      <c r="T4093">
        <f>IF($A4093="","",$S4093&amp;"|"&amp;$F4093)</f>
        <v/>
      </c>
      <c r="U4093">
        <f>IF($A4093="","",$R4093&amp;"("&amp;$E4093&amp;")")</f>
        <v/>
      </c>
      <c r="V4093">
        <f>IF($A4093="","",$F4093&amp;"|"&amp;$U4093&amp;"|"&amp;$D4093)</f>
        <v/>
      </c>
      <c r="W4093">
        <f>IF($T4093="","",IF($X4093&gt;N($X4092),$X4093,""))</f>
        <v/>
      </c>
      <c r="X4093">
        <f>IF($T4093="",N($X4092),IF(MATCH($T4093,$T$6:$T$6005,0)=ROW()-5,N($X4092)+1,N($X4092)))</f>
        <v/>
      </c>
      <c r="Z4093">
        <f>IF($V4093="","",IF($AA4093&gt;N($AA4092),$AA4093,""))</f>
        <v/>
      </c>
      <c r="AA4093">
        <f>IF($V4093="",N($AA4092),IF(MATCH($V4093,$V$6:$V$6005,0)=ROW()-5,N($AA4092)+1,N($AA4092)))</f>
        <v/>
      </c>
    </row>
    <row r="4094" ht="21" customHeight="1" s="66">
      <c r="A4094" s="56" t="n"/>
      <c r="B4094" s="57" t="n"/>
      <c r="C4094" s="57" t="n"/>
      <c r="D4094" s="57" t="n"/>
      <c r="E4094" s="56" t="n"/>
      <c r="F4094" s="57" t="n"/>
      <c r="G4094" s="57" t="n"/>
      <c r="H4094" s="56" t="n"/>
      <c r="I4094" s="56" t="n"/>
      <c r="J4094" s="58" t="n"/>
      <c r="K4094" s="58" t="n"/>
      <c r="L4094" s="13">
        <f>IF(OR($A4094="",AND($J4094="",$K4094="")),"",ROUND(N($J4094)-N($K4094),2))</f>
        <v/>
      </c>
      <c r="M4094" s="13">
        <f>IF(OR($A4094="",AND($J4094="",$K4094="")),"",MIN($J4094,$K4094))</f>
        <v/>
      </c>
      <c r="Q4094">
        <f>IF($A4094="","",$D4094&amp;"("&amp;SUBSTITUTE($E4094," ","")&amp;")")</f>
        <v/>
      </c>
      <c r="R4094">
        <f>IF($A4094="","",$B4094&amp;" - "&amp;$C4094)</f>
        <v/>
      </c>
      <c r="S4094">
        <f>IF($A4094="","",$R4094&amp;"|"&amp;$Q4094)</f>
        <v/>
      </c>
      <c r="T4094">
        <f>IF($A4094="","",$S4094&amp;"|"&amp;$F4094)</f>
        <v/>
      </c>
      <c r="U4094">
        <f>IF($A4094="","",$R4094&amp;"("&amp;$E4094&amp;")")</f>
        <v/>
      </c>
      <c r="V4094">
        <f>IF($A4094="","",$F4094&amp;"|"&amp;$U4094&amp;"|"&amp;$D4094)</f>
        <v/>
      </c>
      <c r="W4094">
        <f>IF($T4094="","",IF($X4094&gt;N($X4093),$X4094,""))</f>
        <v/>
      </c>
      <c r="X4094">
        <f>IF($T4094="",N($X4093),IF(MATCH($T4094,$T$6:$T$6005,0)=ROW()-5,N($X4093)+1,N($X4093)))</f>
        <v/>
      </c>
      <c r="Z4094">
        <f>IF($V4094="","",IF($AA4094&gt;N($AA4093),$AA4094,""))</f>
        <v/>
      </c>
      <c r="AA4094">
        <f>IF($V4094="",N($AA4093),IF(MATCH($V4094,$V$6:$V$6005,0)=ROW()-5,N($AA4093)+1,N($AA4093)))</f>
        <v/>
      </c>
    </row>
    <row r="4095" ht="21" customHeight="1" s="66">
      <c r="A4095" s="56" t="n"/>
      <c r="B4095" s="57" t="n"/>
      <c r="C4095" s="57" t="n"/>
      <c r="D4095" s="57" t="n"/>
      <c r="E4095" s="56" t="n"/>
      <c r="F4095" s="57" t="n"/>
      <c r="G4095" s="57" t="n"/>
      <c r="H4095" s="56" t="n"/>
      <c r="I4095" s="56" t="n"/>
      <c r="J4095" s="58" t="n"/>
      <c r="K4095" s="58" t="n"/>
      <c r="L4095" s="13">
        <f>IF(OR($A4095="",AND($J4095="",$K4095="")),"",ROUND(N($J4095)-N($K4095),2))</f>
        <v/>
      </c>
      <c r="M4095" s="13">
        <f>IF(OR($A4095="",AND($J4095="",$K4095="")),"",MIN($J4095,$K4095))</f>
        <v/>
      </c>
      <c r="Q4095">
        <f>IF($A4095="","",$D4095&amp;"("&amp;SUBSTITUTE($E4095," ","")&amp;")")</f>
        <v/>
      </c>
      <c r="R4095">
        <f>IF($A4095="","",$B4095&amp;" - "&amp;$C4095)</f>
        <v/>
      </c>
      <c r="S4095">
        <f>IF($A4095="","",$R4095&amp;"|"&amp;$Q4095)</f>
        <v/>
      </c>
      <c r="T4095">
        <f>IF($A4095="","",$S4095&amp;"|"&amp;$F4095)</f>
        <v/>
      </c>
      <c r="U4095">
        <f>IF($A4095="","",$R4095&amp;"("&amp;$E4095&amp;")")</f>
        <v/>
      </c>
      <c r="V4095">
        <f>IF($A4095="","",$F4095&amp;"|"&amp;$U4095&amp;"|"&amp;$D4095)</f>
        <v/>
      </c>
      <c r="W4095">
        <f>IF($T4095="","",IF($X4095&gt;N($X4094),$X4095,""))</f>
        <v/>
      </c>
      <c r="X4095">
        <f>IF($T4095="",N($X4094),IF(MATCH($T4095,$T$6:$T$6005,0)=ROW()-5,N($X4094)+1,N($X4094)))</f>
        <v/>
      </c>
      <c r="Z4095">
        <f>IF($V4095="","",IF($AA4095&gt;N($AA4094),$AA4095,""))</f>
        <v/>
      </c>
      <c r="AA4095">
        <f>IF($V4095="",N($AA4094),IF(MATCH($V4095,$V$6:$V$6005,0)=ROW()-5,N($AA4094)+1,N($AA4094)))</f>
        <v/>
      </c>
    </row>
    <row r="4096" ht="21" customHeight="1" s="66">
      <c r="A4096" s="56" t="n"/>
      <c r="B4096" s="57" t="n"/>
      <c r="C4096" s="57" t="n"/>
      <c r="D4096" s="57" t="n"/>
      <c r="E4096" s="56" t="n"/>
      <c r="F4096" s="57" t="n"/>
      <c r="G4096" s="57" t="n"/>
      <c r="H4096" s="56" t="n"/>
      <c r="I4096" s="56" t="n"/>
      <c r="J4096" s="58" t="n"/>
      <c r="K4096" s="58" t="n"/>
      <c r="L4096" s="13">
        <f>IF(OR($A4096="",AND($J4096="",$K4096="")),"",ROUND(N($J4096)-N($K4096),2))</f>
        <v/>
      </c>
      <c r="M4096" s="13">
        <f>IF(OR($A4096="",AND($J4096="",$K4096="")),"",MIN($J4096,$K4096))</f>
        <v/>
      </c>
      <c r="Q4096">
        <f>IF($A4096="","",$D4096&amp;"("&amp;SUBSTITUTE($E4096," ","")&amp;")")</f>
        <v/>
      </c>
      <c r="R4096">
        <f>IF($A4096="","",$B4096&amp;" - "&amp;$C4096)</f>
        <v/>
      </c>
      <c r="S4096">
        <f>IF($A4096="","",$R4096&amp;"|"&amp;$Q4096)</f>
        <v/>
      </c>
      <c r="T4096">
        <f>IF($A4096="","",$S4096&amp;"|"&amp;$F4096)</f>
        <v/>
      </c>
      <c r="U4096">
        <f>IF($A4096="","",$R4096&amp;"("&amp;$E4096&amp;")")</f>
        <v/>
      </c>
      <c r="V4096">
        <f>IF($A4096="","",$F4096&amp;"|"&amp;$U4096&amp;"|"&amp;$D4096)</f>
        <v/>
      </c>
      <c r="W4096">
        <f>IF($T4096="","",IF($X4096&gt;N($X4095),$X4096,""))</f>
        <v/>
      </c>
      <c r="X4096">
        <f>IF($T4096="",N($X4095),IF(MATCH($T4096,$T$6:$T$6005,0)=ROW()-5,N($X4095)+1,N($X4095)))</f>
        <v/>
      </c>
      <c r="Z4096">
        <f>IF($V4096="","",IF($AA4096&gt;N($AA4095),$AA4096,""))</f>
        <v/>
      </c>
      <c r="AA4096">
        <f>IF($V4096="",N($AA4095),IF(MATCH($V4096,$V$6:$V$6005,0)=ROW()-5,N($AA4095)+1,N($AA4095)))</f>
        <v/>
      </c>
    </row>
    <row r="4097" ht="21" customHeight="1" s="66">
      <c r="A4097" s="56" t="n"/>
      <c r="B4097" s="57" t="n"/>
      <c r="C4097" s="57" t="n"/>
      <c r="D4097" s="57" t="n"/>
      <c r="E4097" s="56" t="n"/>
      <c r="F4097" s="57" t="n"/>
      <c r="G4097" s="57" t="n"/>
      <c r="H4097" s="56" t="n"/>
      <c r="I4097" s="56" t="n"/>
      <c r="J4097" s="58" t="n"/>
      <c r="K4097" s="58" t="n"/>
      <c r="L4097" s="13">
        <f>IF(OR($A4097="",AND($J4097="",$K4097="")),"",ROUND(N($J4097)-N($K4097),2))</f>
        <v/>
      </c>
      <c r="M4097" s="13">
        <f>IF(OR($A4097="",AND($J4097="",$K4097="")),"",MIN($J4097,$K4097))</f>
        <v/>
      </c>
      <c r="Q4097">
        <f>IF($A4097="","",$D4097&amp;"("&amp;SUBSTITUTE($E4097," ","")&amp;")")</f>
        <v/>
      </c>
      <c r="R4097">
        <f>IF($A4097="","",$B4097&amp;" - "&amp;$C4097)</f>
        <v/>
      </c>
      <c r="S4097">
        <f>IF($A4097="","",$R4097&amp;"|"&amp;$Q4097)</f>
        <v/>
      </c>
      <c r="T4097">
        <f>IF($A4097="","",$S4097&amp;"|"&amp;$F4097)</f>
        <v/>
      </c>
      <c r="U4097">
        <f>IF($A4097="","",$R4097&amp;"("&amp;$E4097&amp;")")</f>
        <v/>
      </c>
      <c r="V4097">
        <f>IF($A4097="","",$F4097&amp;"|"&amp;$U4097&amp;"|"&amp;$D4097)</f>
        <v/>
      </c>
      <c r="W4097">
        <f>IF($T4097="","",IF($X4097&gt;N($X4096),$X4097,""))</f>
        <v/>
      </c>
      <c r="X4097">
        <f>IF($T4097="",N($X4096),IF(MATCH($T4097,$T$6:$T$6005,0)=ROW()-5,N($X4096)+1,N($X4096)))</f>
        <v/>
      </c>
      <c r="Z4097">
        <f>IF($V4097="","",IF($AA4097&gt;N($AA4096),$AA4097,""))</f>
        <v/>
      </c>
      <c r="AA4097">
        <f>IF($V4097="",N($AA4096),IF(MATCH($V4097,$V$6:$V$6005,0)=ROW()-5,N($AA4096)+1,N($AA4096)))</f>
        <v/>
      </c>
    </row>
    <row r="4098" ht="21" customHeight="1" s="66">
      <c r="A4098" s="56" t="n"/>
      <c r="B4098" s="57" t="n"/>
      <c r="C4098" s="57" t="n"/>
      <c r="D4098" s="57" t="n"/>
      <c r="E4098" s="56" t="n"/>
      <c r="F4098" s="57" t="n"/>
      <c r="G4098" s="57" t="n"/>
      <c r="H4098" s="56" t="n"/>
      <c r="I4098" s="56" t="n"/>
      <c r="J4098" s="58" t="n"/>
      <c r="K4098" s="58" t="n"/>
      <c r="L4098" s="13">
        <f>IF(OR($A4098="",AND($J4098="",$K4098="")),"",ROUND(N($J4098)-N($K4098),2))</f>
        <v/>
      </c>
      <c r="M4098" s="13">
        <f>IF(OR($A4098="",AND($J4098="",$K4098="")),"",MIN($J4098,$K4098))</f>
        <v/>
      </c>
      <c r="Q4098">
        <f>IF($A4098="","",$D4098&amp;"("&amp;SUBSTITUTE($E4098," ","")&amp;")")</f>
        <v/>
      </c>
      <c r="R4098">
        <f>IF($A4098="","",$B4098&amp;" - "&amp;$C4098)</f>
        <v/>
      </c>
      <c r="S4098">
        <f>IF($A4098="","",$R4098&amp;"|"&amp;$Q4098)</f>
        <v/>
      </c>
      <c r="T4098">
        <f>IF($A4098="","",$S4098&amp;"|"&amp;$F4098)</f>
        <v/>
      </c>
      <c r="U4098">
        <f>IF($A4098="","",$R4098&amp;"("&amp;$E4098&amp;")")</f>
        <v/>
      </c>
      <c r="V4098">
        <f>IF($A4098="","",$F4098&amp;"|"&amp;$U4098&amp;"|"&amp;$D4098)</f>
        <v/>
      </c>
      <c r="W4098">
        <f>IF($T4098="","",IF($X4098&gt;N($X4097),$X4098,""))</f>
        <v/>
      </c>
      <c r="X4098">
        <f>IF($T4098="",N($X4097),IF(MATCH($T4098,$T$6:$T$6005,0)=ROW()-5,N($X4097)+1,N($X4097)))</f>
        <v/>
      </c>
      <c r="Z4098">
        <f>IF($V4098="","",IF($AA4098&gt;N($AA4097),$AA4098,""))</f>
        <v/>
      </c>
      <c r="AA4098">
        <f>IF($V4098="",N($AA4097),IF(MATCH($V4098,$V$6:$V$6005,0)=ROW()-5,N($AA4097)+1,N($AA4097)))</f>
        <v/>
      </c>
    </row>
    <row r="4099" ht="21" customHeight="1" s="66">
      <c r="A4099" s="56" t="n"/>
      <c r="B4099" s="57" t="n"/>
      <c r="C4099" s="57" t="n"/>
      <c r="D4099" s="57" t="n"/>
      <c r="E4099" s="56" t="n"/>
      <c r="F4099" s="57" t="n"/>
      <c r="G4099" s="57" t="n"/>
      <c r="H4099" s="56" t="n"/>
      <c r="I4099" s="56" t="n"/>
      <c r="J4099" s="58" t="n"/>
      <c r="K4099" s="58" t="n"/>
      <c r="L4099" s="13">
        <f>IF(OR($A4099="",AND($J4099="",$K4099="")),"",ROUND(N($J4099)-N($K4099),2))</f>
        <v/>
      </c>
      <c r="M4099" s="13">
        <f>IF(OR($A4099="",AND($J4099="",$K4099="")),"",MIN($J4099,$K4099))</f>
        <v/>
      </c>
      <c r="Q4099">
        <f>IF($A4099="","",$D4099&amp;"("&amp;SUBSTITUTE($E4099," ","")&amp;")")</f>
        <v/>
      </c>
      <c r="R4099">
        <f>IF($A4099="","",$B4099&amp;" - "&amp;$C4099)</f>
        <v/>
      </c>
      <c r="S4099">
        <f>IF($A4099="","",$R4099&amp;"|"&amp;$Q4099)</f>
        <v/>
      </c>
      <c r="T4099">
        <f>IF($A4099="","",$S4099&amp;"|"&amp;$F4099)</f>
        <v/>
      </c>
      <c r="U4099">
        <f>IF($A4099="","",$R4099&amp;"("&amp;$E4099&amp;")")</f>
        <v/>
      </c>
      <c r="V4099">
        <f>IF($A4099="","",$F4099&amp;"|"&amp;$U4099&amp;"|"&amp;$D4099)</f>
        <v/>
      </c>
      <c r="W4099">
        <f>IF($T4099="","",IF($X4099&gt;N($X4098),$X4099,""))</f>
        <v/>
      </c>
      <c r="X4099">
        <f>IF($T4099="",N($X4098),IF(MATCH($T4099,$T$6:$T$6005,0)=ROW()-5,N($X4098)+1,N($X4098)))</f>
        <v/>
      </c>
      <c r="Z4099">
        <f>IF($V4099="","",IF($AA4099&gt;N($AA4098),$AA4099,""))</f>
        <v/>
      </c>
      <c r="AA4099">
        <f>IF($V4099="",N($AA4098),IF(MATCH($V4099,$V$6:$V$6005,0)=ROW()-5,N($AA4098)+1,N($AA4098)))</f>
        <v/>
      </c>
    </row>
    <row r="4100" ht="21" customHeight="1" s="66">
      <c r="A4100" s="56" t="n"/>
      <c r="B4100" s="57" t="n"/>
      <c r="C4100" s="57" t="n"/>
      <c r="D4100" s="57" t="n"/>
      <c r="E4100" s="56" t="n"/>
      <c r="F4100" s="57" t="n"/>
      <c r="G4100" s="57" t="n"/>
      <c r="H4100" s="56" t="n"/>
      <c r="I4100" s="56" t="n"/>
      <c r="J4100" s="58" t="n"/>
      <c r="K4100" s="58" t="n"/>
      <c r="L4100" s="13">
        <f>IF(OR($A4100="",AND($J4100="",$K4100="")),"",ROUND(N($J4100)-N($K4100),2))</f>
        <v/>
      </c>
      <c r="M4100" s="13">
        <f>IF(OR($A4100="",AND($J4100="",$K4100="")),"",MIN($J4100,$K4100))</f>
        <v/>
      </c>
      <c r="Q4100">
        <f>IF($A4100="","",$D4100&amp;"("&amp;SUBSTITUTE($E4100," ","")&amp;")")</f>
        <v/>
      </c>
      <c r="R4100">
        <f>IF($A4100="","",$B4100&amp;" - "&amp;$C4100)</f>
        <v/>
      </c>
      <c r="S4100">
        <f>IF($A4100="","",$R4100&amp;"|"&amp;$Q4100)</f>
        <v/>
      </c>
      <c r="T4100">
        <f>IF($A4100="","",$S4100&amp;"|"&amp;$F4100)</f>
        <v/>
      </c>
      <c r="U4100">
        <f>IF($A4100="","",$R4100&amp;"("&amp;$E4100&amp;")")</f>
        <v/>
      </c>
      <c r="V4100">
        <f>IF($A4100="","",$F4100&amp;"|"&amp;$U4100&amp;"|"&amp;$D4100)</f>
        <v/>
      </c>
      <c r="W4100">
        <f>IF($T4100="","",IF($X4100&gt;N($X4099),$X4100,""))</f>
        <v/>
      </c>
      <c r="X4100">
        <f>IF($T4100="",N($X4099),IF(MATCH($T4100,$T$6:$T$6005,0)=ROW()-5,N($X4099)+1,N($X4099)))</f>
        <v/>
      </c>
      <c r="Z4100">
        <f>IF($V4100="","",IF($AA4100&gt;N($AA4099),$AA4100,""))</f>
        <v/>
      </c>
      <c r="AA4100">
        <f>IF($V4100="",N($AA4099),IF(MATCH($V4100,$V$6:$V$6005,0)=ROW()-5,N($AA4099)+1,N($AA4099)))</f>
        <v/>
      </c>
    </row>
    <row r="4101" ht="21" customHeight="1" s="66">
      <c r="A4101" s="56" t="n"/>
      <c r="B4101" s="57" t="n"/>
      <c r="C4101" s="57" t="n"/>
      <c r="D4101" s="57" t="n"/>
      <c r="E4101" s="56" t="n"/>
      <c r="F4101" s="57" t="n"/>
      <c r="G4101" s="57" t="n"/>
      <c r="H4101" s="56" t="n"/>
      <c r="I4101" s="56" t="n"/>
      <c r="J4101" s="58" t="n"/>
      <c r="K4101" s="58" t="n"/>
      <c r="L4101" s="13">
        <f>IF(OR($A4101="",AND($J4101="",$K4101="")),"",ROUND(N($J4101)-N($K4101),2))</f>
        <v/>
      </c>
      <c r="M4101" s="13">
        <f>IF(OR($A4101="",AND($J4101="",$K4101="")),"",MIN($J4101,$K4101))</f>
        <v/>
      </c>
      <c r="Q4101">
        <f>IF($A4101="","",$D4101&amp;"("&amp;SUBSTITUTE($E4101," ","")&amp;")")</f>
        <v/>
      </c>
      <c r="R4101">
        <f>IF($A4101="","",$B4101&amp;" - "&amp;$C4101)</f>
        <v/>
      </c>
      <c r="S4101">
        <f>IF($A4101="","",$R4101&amp;"|"&amp;$Q4101)</f>
        <v/>
      </c>
      <c r="T4101">
        <f>IF($A4101="","",$S4101&amp;"|"&amp;$F4101)</f>
        <v/>
      </c>
      <c r="U4101">
        <f>IF($A4101="","",$R4101&amp;"("&amp;$E4101&amp;")")</f>
        <v/>
      </c>
      <c r="V4101">
        <f>IF($A4101="","",$F4101&amp;"|"&amp;$U4101&amp;"|"&amp;$D4101)</f>
        <v/>
      </c>
      <c r="W4101">
        <f>IF($T4101="","",IF($X4101&gt;N($X4100),$X4101,""))</f>
        <v/>
      </c>
      <c r="X4101">
        <f>IF($T4101="",N($X4100),IF(MATCH($T4101,$T$6:$T$6005,0)=ROW()-5,N($X4100)+1,N($X4100)))</f>
        <v/>
      </c>
      <c r="Z4101">
        <f>IF($V4101="","",IF($AA4101&gt;N($AA4100),$AA4101,""))</f>
        <v/>
      </c>
      <c r="AA4101">
        <f>IF($V4101="",N($AA4100),IF(MATCH($V4101,$V$6:$V$6005,0)=ROW()-5,N($AA4100)+1,N($AA4100)))</f>
        <v/>
      </c>
    </row>
    <row r="4102" ht="21" customHeight="1" s="66">
      <c r="A4102" s="56" t="n"/>
      <c r="B4102" s="57" t="n"/>
      <c r="C4102" s="57" t="n"/>
      <c r="D4102" s="57" t="n"/>
      <c r="E4102" s="56" t="n"/>
      <c r="F4102" s="57" t="n"/>
      <c r="G4102" s="57" t="n"/>
      <c r="H4102" s="56" t="n"/>
      <c r="I4102" s="56" t="n"/>
      <c r="J4102" s="58" t="n"/>
      <c r="K4102" s="58" t="n"/>
      <c r="L4102" s="13">
        <f>IF(OR($A4102="",AND($J4102="",$K4102="")),"",ROUND(N($J4102)-N($K4102),2))</f>
        <v/>
      </c>
      <c r="M4102" s="13">
        <f>IF(OR($A4102="",AND($J4102="",$K4102="")),"",MIN($J4102,$K4102))</f>
        <v/>
      </c>
      <c r="Q4102">
        <f>IF($A4102="","",$D4102&amp;"("&amp;SUBSTITUTE($E4102," ","")&amp;")")</f>
        <v/>
      </c>
      <c r="R4102">
        <f>IF($A4102="","",$B4102&amp;" - "&amp;$C4102)</f>
        <v/>
      </c>
      <c r="S4102">
        <f>IF($A4102="","",$R4102&amp;"|"&amp;$Q4102)</f>
        <v/>
      </c>
      <c r="T4102">
        <f>IF($A4102="","",$S4102&amp;"|"&amp;$F4102)</f>
        <v/>
      </c>
      <c r="U4102">
        <f>IF($A4102="","",$R4102&amp;"("&amp;$E4102&amp;")")</f>
        <v/>
      </c>
      <c r="V4102">
        <f>IF($A4102="","",$F4102&amp;"|"&amp;$U4102&amp;"|"&amp;$D4102)</f>
        <v/>
      </c>
      <c r="W4102">
        <f>IF($T4102="","",IF($X4102&gt;N($X4101),$X4102,""))</f>
        <v/>
      </c>
      <c r="X4102">
        <f>IF($T4102="",N($X4101),IF(MATCH($T4102,$T$6:$T$6005,0)=ROW()-5,N($X4101)+1,N($X4101)))</f>
        <v/>
      </c>
      <c r="Z4102">
        <f>IF($V4102="","",IF($AA4102&gt;N($AA4101),$AA4102,""))</f>
        <v/>
      </c>
      <c r="AA4102">
        <f>IF($V4102="",N($AA4101),IF(MATCH($V4102,$V$6:$V$6005,0)=ROW()-5,N($AA4101)+1,N($AA4101)))</f>
        <v/>
      </c>
    </row>
    <row r="4103" ht="21" customHeight="1" s="66">
      <c r="A4103" s="56" t="n"/>
      <c r="B4103" s="57" t="n"/>
      <c r="C4103" s="57" t="n"/>
      <c r="D4103" s="57" t="n"/>
      <c r="E4103" s="56" t="n"/>
      <c r="F4103" s="57" t="n"/>
      <c r="G4103" s="57" t="n"/>
      <c r="H4103" s="56" t="n"/>
      <c r="I4103" s="56" t="n"/>
      <c r="J4103" s="58" t="n"/>
      <c r="K4103" s="58" t="n"/>
      <c r="L4103" s="13">
        <f>IF(OR($A4103="",AND($J4103="",$K4103="")),"",ROUND(N($J4103)-N($K4103),2))</f>
        <v/>
      </c>
      <c r="M4103" s="13">
        <f>IF(OR($A4103="",AND($J4103="",$K4103="")),"",MIN($J4103,$K4103))</f>
        <v/>
      </c>
      <c r="Q4103">
        <f>IF($A4103="","",$D4103&amp;"("&amp;SUBSTITUTE($E4103," ","")&amp;")")</f>
        <v/>
      </c>
      <c r="R4103">
        <f>IF($A4103="","",$B4103&amp;" - "&amp;$C4103)</f>
        <v/>
      </c>
      <c r="S4103">
        <f>IF($A4103="","",$R4103&amp;"|"&amp;$Q4103)</f>
        <v/>
      </c>
      <c r="T4103">
        <f>IF($A4103="","",$S4103&amp;"|"&amp;$F4103)</f>
        <v/>
      </c>
      <c r="U4103">
        <f>IF($A4103="","",$R4103&amp;"("&amp;$E4103&amp;")")</f>
        <v/>
      </c>
      <c r="V4103">
        <f>IF($A4103="","",$F4103&amp;"|"&amp;$U4103&amp;"|"&amp;$D4103)</f>
        <v/>
      </c>
      <c r="W4103">
        <f>IF($T4103="","",IF($X4103&gt;N($X4102),$X4103,""))</f>
        <v/>
      </c>
      <c r="X4103">
        <f>IF($T4103="",N($X4102),IF(MATCH($T4103,$T$6:$T$6005,0)=ROW()-5,N($X4102)+1,N($X4102)))</f>
        <v/>
      </c>
      <c r="Z4103">
        <f>IF($V4103="","",IF($AA4103&gt;N($AA4102),$AA4103,""))</f>
        <v/>
      </c>
      <c r="AA4103">
        <f>IF($V4103="",N($AA4102),IF(MATCH($V4103,$V$6:$V$6005,0)=ROW()-5,N($AA4102)+1,N($AA4102)))</f>
        <v/>
      </c>
    </row>
    <row r="4104" ht="21" customHeight="1" s="66">
      <c r="A4104" s="56" t="n"/>
      <c r="B4104" s="57" t="n"/>
      <c r="C4104" s="57" t="n"/>
      <c r="D4104" s="57" t="n"/>
      <c r="E4104" s="56" t="n"/>
      <c r="F4104" s="57" t="n"/>
      <c r="G4104" s="57" t="n"/>
      <c r="H4104" s="56" t="n"/>
      <c r="I4104" s="56" t="n"/>
      <c r="J4104" s="58" t="n"/>
      <c r="K4104" s="58" t="n"/>
      <c r="L4104" s="13">
        <f>IF(OR($A4104="",AND($J4104="",$K4104="")),"",ROUND(N($J4104)-N($K4104),2))</f>
        <v/>
      </c>
      <c r="M4104" s="13">
        <f>IF(OR($A4104="",AND($J4104="",$K4104="")),"",MIN($J4104,$K4104))</f>
        <v/>
      </c>
      <c r="Q4104">
        <f>IF($A4104="","",$D4104&amp;"("&amp;SUBSTITUTE($E4104," ","")&amp;")")</f>
        <v/>
      </c>
      <c r="R4104">
        <f>IF($A4104="","",$B4104&amp;" - "&amp;$C4104)</f>
        <v/>
      </c>
      <c r="S4104">
        <f>IF($A4104="","",$R4104&amp;"|"&amp;$Q4104)</f>
        <v/>
      </c>
      <c r="T4104">
        <f>IF($A4104="","",$S4104&amp;"|"&amp;$F4104)</f>
        <v/>
      </c>
      <c r="U4104">
        <f>IF($A4104="","",$R4104&amp;"("&amp;$E4104&amp;")")</f>
        <v/>
      </c>
      <c r="V4104">
        <f>IF($A4104="","",$F4104&amp;"|"&amp;$U4104&amp;"|"&amp;$D4104)</f>
        <v/>
      </c>
      <c r="W4104">
        <f>IF($T4104="","",IF($X4104&gt;N($X4103),$X4104,""))</f>
        <v/>
      </c>
      <c r="X4104">
        <f>IF($T4104="",N($X4103),IF(MATCH($T4104,$T$6:$T$6005,0)=ROW()-5,N($X4103)+1,N($X4103)))</f>
        <v/>
      </c>
      <c r="Z4104">
        <f>IF($V4104="","",IF($AA4104&gt;N($AA4103),$AA4104,""))</f>
        <v/>
      </c>
      <c r="AA4104">
        <f>IF($V4104="",N($AA4103),IF(MATCH($V4104,$V$6:$V$6005,0)=ROW()-5,N($AA4103)+1,N($AA4103)))</f>
        <v/>
      </c>
    </row>
    <row r="4105" ht="21" customHeight="1" s="66">
      <c r="A4105" s="56" t="n"/>
      <c r="B4105" s="57" t="n"/>
      <c r="C4105" s="57" t="n"/>
      <c r="D4105" s="57" t="n"/>
      <c r="E4105" s="56" t="n"/>
      <c r="F4105" s="57" t="n"/>
      <c r="G4105" s="57" t="n"/>
      <c r="H4105" s="56" t="n"/>
      <c r="I4105" s="56" t="n"/>
      <c r="J4105" s="58" t="n"/>
      <c r="K4105" s="58" t="n"/>
      <c r="L4105" s="13">
        <f>IF(OR($A4105="",AND($J4105="",$K4105="")),"",ROUND(N($J4105)-N($K4105),2))</f>
        <v/>
      </c>
      <c r="M4105" s="13">
        <f>IF(OR($A4105="",AND($J4105="",$K4105="")),"",MIN($J4105,$K4105))</f>
        <v/>
      </c>
      <c r="Q4105">
        <f>IF($A4105="","",$D4105&amp;"("&amp;SUBSTITUTE($E4105," ","")&amp;")")</f>
        <v/>
      </c>
      <c r="R4105">
        <f>IF($A4105="","",$B4105&amp;" - "&amp;$C4105)</f>
        <v/>
      </c>
      <c r="S4105">
        <f>IF($A4105="","",$R4105&amp;"|"&amp;$Q4105)</f>
        <v/>
      </c>
      <c r="T4105">
        <f>IF($A4105="","",$S4105&amp;"|"&amp;$F4105)</f>
        <v/>
      </c>
      <c r="U4105">
        <f>IF($A4105="","",$R4105&amp;"("&amp;$E4105&amp;")")</f>
        <v/>
      </c>
      <c r="V4105">
        <f>IF($A4105="","",$F4105&amp;"|"&amp;$U4105&amp;"|"&amp;$D4105)</f>
        <v/>
      </c>
      <c r="W4105">
        <f>IF($T4105="","",IF($X4105&gt;N($X4104),$X4105,""))</f>
        <v/>
      </c>
      <c r="X4105">
        <f>IF($T4105="",N($X4104),IF(MATCH($T4105,$T$6:$T$6005,0)=ROW()-5,N($X4104)+1,N($X4104)))</f>
        <v/>
      </c>
      <c r="Z4105">
        <f>IF($V4105="","",IF($AA4105&gt;N($AA4104),$AA4105,""))</f>
        <v/>
      </c>
      <c r="AA4105">
        <f>IF($V4105="",N($AA4104),IF(MATCH($V4105,$V$6:$V$6005,0)=ROW()-5,N($AA4104)+1,N($AA4104)))</f>
        <v/>
      </c>
    </row>
    <row r="4106" ht="21" customHeight="1" s="66">
      <c r="A4106" s="56" t="n"/>
      <c r="B4106" s="57" t="n"/>
      <c r="C4106" s="57" t="n"/>
      <c r="D4106" s="57" t="n"/>
      <c r="E4106" s="56" t="n"/>
      <c r="F4106" s="57" t="n"/>
      <c r="G4106" s="57" t="n"/>
      <c r="H4106" s="56" t="n"/>
      <c r="I4106" s="56" t="n"/>
      <c r="J4106" s="58" t="n"/>
      <c r="K4106" s="58" t="n"/>
      <c r="L4106" s="13">
        <f>IF(OR($A4106="",AND($J4106="",$K4106="")),"",ROUND(N($J4106)-N($K4106),2))</f>
        <v/>
      </c>
      <c r="M4106" s="13">
        <f>IF(OR($A4106="",AND($J4106="",$K4106="")),"",MIN($J4106,$K4106))</f>
        <v/>
      </c>
      <c r="Q4106">
        <f>IF($A4106="","",$D4106&amp;"("&amp;SUBSTITUTE($E4106," ","")&amp;")")</f>
        <v/>
      </c>
      <c r="R4106">
        <f>IF($A4106="","",$B4106&amp;" - "&amp;$C4106)</f>
        <v/>
      </c>
      <c r="S4106">
        <f>IF($A4106="","",$R4106&amp;"|"&amp;$Q4106)</f>
        <v/>
      </c>
      <c r="T4106">
        <f>IF($A4106="","",$S4106&amp;"|"&amp;$F4106)</f>
        <v/>
      </c>
      <c r="U4106">
        <f>IF($A4106="","",$R4106&amp;"("&amp;$E4106&amp;")")</f>
        <v/>
      </c>
      <c r="V4106">
        <f>IF($A4106="","",$F4106&amp;"|"&amp;$U4106&amp;"|"&amp;$D4106)</f>
        <v/>
      </c>
      <c r="W4106">
        <f>IF($T4106="","",IF($X4106&gt;N($X4105),$X4106,""))</f>
        <v/>
      </c>
      <c r="X4106">
        <f>IF($T4106="",N($X4105),IF(MATCH($T4106,$T$6:$T$6005,0)=ROW()-5,N($X4105)+1,N($X4105)))</f>
        <v/>
      </c>
      <c r="Z4106">
        <f>IF($V4106="","",IF($AA4106&gt;N($AA4105),$AA4106,""))</f>
        <v/>
      </c>
      <c r="AA4106">
        <f>IF($V4106="",N($AA4105),IF(MATCH($V4106,$V$6:$V$6005,0)=ROW()-5,N($AA4105)+1,N($AA4105)))</f>
        <v/>
      </c>
    </row>
    <row r="4107" ht="21" customHeight="1" s="66">
      <c r="A4107" s="56" t="n"/>
      <c r="B4107" s="57" t="n"/>
      <c r="C4107" s="57" t="n"/>
      <c r="D4107" s="57" t="n"/>
      <c r="E4107" s="56" t="n"/>
      <c r="F4107" s="57" t="n"/>
      <c r="G4107" s="57" t="n"/>
      <c r="H4107" s="56" t="n"/>
      <c r="I4107" s="56" t="n"/>
      <c r="J4107" s="58" t="n"/>
      <c r="K4107" s="58" t="n"/>
      <c r="L4107" s="13">
        <f>IF(OR($A4107="",AND($J4107="",$K4107="")),"",ROUND(N($J4107)-N($K4107),2))</f>
        <v/>
      </c>
      <c r="M4107" s="13">
        <f>IF(OR($A4107="",AND($J4107="",$K4107="")),"",MIN($J4107,$K4107))</f>
        <v/>
      </c>
      <c r="Q4107">
        <f>IF($A4107="","",$D4107&amp;"("&amp;SUBSTITUTE($E4107," ","")&amp;")")</f>
        <v/>
      </c>
      <c r="R4107">
        <f>IF($A4107="","",$B4107&amp;" - "&amp;$C4107)</f>
        <v/>
      </c>
      <c r="S4107">
        <f>IF($A4107="","",$R4107&amp;"|"&amp;$Q4107)</f>
        <v/>
      </c>
      <c r="T4107">
        <f>IF($A4107="","",$S4107&amp;"|"&amp;$F4107)</f>
        <v/>
      </c>
      <c r="U4107">
        <f>IF($A4107="","",$R4107&amp;"("&amp;$E4107&amp;")")</f>
        <v/>
      </c>
      <c r="V4107">
        <f>IF($A4107="","",$F4107&amp;"|"&amp;$U4107&amp;"|"&amp;$D4107)</f>
        <v/>
      </c>
      <c r="W4107">
        <f>IF($T4107="","",IF($X4107&gt;N($X4106),$X4107,""))</f>
        <v/>
      </c>
      <c r="X4107">
        <f>IF($T4107="",N($X4106),IF(MATCH($T4107,$T$6:$T$6005,0)=ROW()-5,N($X4106)+1,N($X4106)))</f>
        <v/>
      </c>
      <c r="Z4107">
        <f>IF($V4107="","",IF($AA4107&gt;N($AA4106),$AA4107,""))</f>
        <v/>
      </c>
      <c r="AA4107">
        <f>IF($V4107="",N($AA4106),IF(MATCH($V4107,$V$6:$V$6005,0)=ROW()-5,N($AA4106)+1,N($AA4106)))</f>
        <v/>
      </c>
    </row>
    <row r="4108" ht="21" customHeight="1" s="66">
      <c r="A4108" s="56" t="n"/>
      <c r="B4108" s="57" t="n"/>
      <c r="C4108" s="57" t="n"/>
      <c r="D4108" s="57" t="n"/>
      <c r="E4108" s="56" t="n"/>
      <c r="F4108" s="57" t="n"/>
      <c r="G4108" s="57" t="n"/>
      <c r="H4108" s="56" t="n"/>
      <c r="I4108" s="56" t="n"/>
      <c r="J4108" s="58" t="n"/>
      <c r="K4108" s="58" t="n"/>
      <c r="L4108" s="13">
        <f>IF(OR($A4108="",AND($J4108="",$K4108="")),"",ROUND(N($J4108)-N($K4108),2))</f>
        <v/>
      </c>
      <c r="M4108" s="13">
        <f>IF(OR($A4108="",AND($J4108="",$K4108="")),"",MIN($J4108,$K4108))</f>
        <v/>
      </c>
      <c r="Q4108">
        <f>IF($A4108="","",$D4108&amp;"("&amp;SUBSTITUTE($E4108," ","")&amp;")")</f>
        <v/>
      </c>
      <c r="R4108">
        <f>IF($A4108="","",$B4108&amp;" - "&amp;$C4108)</f>
        <v/>
      </c>
      <c r="S4108">
        <f>IF($A4108="","",$R4108&amp;"|"&amp;$Q4108)</f>
        <v/>
      </c>
      <c r="T4108">
        <f>IF($A4108="","",$S4108&amp;"|"&amp;$F4108)</f>
        <v/>
      </c>
      <c r="U4108">
        <f>IF($A4108="","",$R4108&amp;"("&amp;$E4108&amp;")")</f>
        <v/>
      </c>
      <c r="V4108">
        <f>IF($A4108="","",$F4108&amp;"|"&amp;$U4108&amp;"|"&amp;$D4108)</f>
        <v/>
      </c>
      <c r="W4108">
        <f>IF($T4108="","",IF($X4108&gt;N($X4107),$X4108,""))</f>
        <v/>
      </c>
      <c r="X4108">
        <f>IF($T4108="",N($X4107),IF(MATCH($T4108,$T$6:$T$6005,0)=ROW()-5,N($X4107)+1,N($X4107)))</f>
        <v/>
      </c>
      <c r="Z4108">
        <f>IF($V4108="","",IF($AA4108&gt;N($AA4107),$AA4108,""))</f>
        <v/>
      </c>
      <c r="AA4108">
        <f>IF($V4108="",N($AA4107),IF(MATCH($V4108,$V$6:$V$6005,0)=ROW()-5,N($AA4107)+1,N($AA4107)))</f>
        <v/>
      </c>
    </row>
    <row r="4109" ht="21" customHeight="1" s="66">
      <c r="A4109" s="56" t="n"/>
      <c r="B4109" s="57" t="n"/>
      <c r="C4109" s="57" t="n"/>
      <c r="D4109" s="57" t="n"/>
      <c r="E4109" s="56" t="n"/>
      <c r="F4109" s="57" t="n"/>
      <c r="G4109" s="57" t="n"/>
      <c r="H4109" s="56" t="n"/>
      <c r="I4109" s="56" t="n"/>
      <c r="J4109" s="58" t="n"/>
      <c r="K4109" s="58" t="n"/>
      <c r="L4109" s="13">
        <f>IF(OR($A4109="",AND($J4109="",$K4109="")),"",ROUND(N($J4109)-N($K4109),2))</f>
        <v/>
      </c>
      <c r="M4109" s="13">
        <f>IF(OR($A4109="",AND($J4109="",$K4109="")),"",MIN($J4109,$K4109))</f>
        <v/>
      </c>
      <c r="Q4109">
        <f>IF($A4109="","",$D4109&amp;"("&amp;SUBSTITUTE($E4109," ","")&amp;")")</f>
        <v/>
      </c>
      <c r="R4109">
        <f>IF($A4109="","",$B4109&amp;" - "&amp;$C4109)</f>
        <v/>
      </c>
      <c r="S4109">
        <f>IF($A4109="","",$R4109&amp;"|"&amp;$Q4109)</f>
        <v/>
      </c>
      <c r="T4109">
        <f>IF($A4109="","",$S4109&amp;"|"&amp;$F4109)</f>
        <v/>
      </c>
      <c r="U4109">
        <f>IF($A4109="","",$R4109&amp;"("&amp;$E4109&amp;")")</f>
        <v/>
      </c>
      <c r="V4109">
        <f>IF($A4109="","",$F4109&amp;"|"&amp;$U4109&amp;"|"&amp;$D4109)</f>
        <v/>
      </c>
      <c r="W4109">
        <f>IF($T4109="","",IF($X4109&gt;N($X4108),$X4109,""))</f>
        <v/>
      </c>
      <c r="X4109">
        <f>IF($T4109="",N($X4108),IF(MATCH($T4109,$T$6:$T$6005,0)=ROW()-5,N($X4108)+1,N($X4108)))</f>
        <v/>
      </c>
      <c r="Z4109">
        <f>IF($V4109="","",IF($AA4109&gt;N($AA4108),$AA4109,""))</f>
        <v/>
      </c>
      <c r="AA4109">
        <f>IF($V4109="",N($AA4108),IF(MATCH($V4109,$V$6:$V$6005,0)=ROW()-5,N($AA4108)+1,N($AA4108)))</f>
        <v/>
      </c>
    </row>
    <row r="4110" ht="21" customHeight="1" s="66">
      <c r="A4110" s="56" t="n"/>
      <c r="B4110" s="57" t="n"/>
      <c r="C4110" s="57" t="n"/>
      <c r="D4110" s="57" t="n"/>
      <c r="E4110" s="56" t="n"/>
      <c r="F4110" s="57" t="n"/>
      <c r="G4110" s="57" t="n"/>
      <c r="H4110" s="56" t="n"/>
      <c r="I4110" s="56" t="n"/>
      <c r="J4110" s="58" t="n"/>
      <c r="K4110" s="58" t="n"/>
      <c r="L4110" s="13">
        <f>IF(OR($A4110="",AND($J4110="",$K4110="")),"",ROUND(N($J4110)-N($K4110),2))</f>
        <v/>
      </c>
      <c r="M4110" s="13">
        <f>IF(OR($A4110="",AND($J4110="",$K4110="")),"",MIN($J4110,$K4110))</f>
        <v/>
      </c>
      <c r="Q4110">
        <f>IF($A4110="","",$D4110&amp;"("&amp;SUBSTITUTE($E4110," ","")&amp;")")</f>
        <v/>
      </c>
      <c r="R4110">
        <f>IF($A4110="","",$B4110&amp;" - "&amp;$C4110)</f>
        <v/>
      </c>
      <c r="S4110">
        <f>IF($A4110="","",$R4110&amp;"|"&amp;$Q4110)</f>
        <v/>
      </c>
      <c r="T4110">
        <f>IF($A4110="","",$S4110&amp;"|"&amp;$F4110)</f>
        <v/>
      </c>
      <c r="U4110">
        <f>IF($A4110="","",$R4110&amp;"("&amp;$E4110&amp;")")</f>
        <v/>
      </c>
      <c r="V4110">
        <f>IF($A4110="","",$F4110&amp;"|"&amp;$U4110&amp;"|"&amp;$D4110)</f>
        <v/>
      </c>
      <c r="W4110">
        <f>IF($T4110="","",IF($X4110&gt;N($X4109),$X4110,""))</f>
        <v/>
      </c>
      <c r="X4110">
        <f>IF($T4110="",N($X4109),IF(MATCH($T4110,$T$6:$T$6005,0)=ROW()-5,N($X4109)+1,N($X4109)))</f>
        <v/>
      </c>
      <c r="Z4110">
        <f>IF($V4110="","",IF($AA4110&gt;N($AA4109),$AA4110,""))</f>
        <v/>
      </c>
      <c r="AA4110">
        <f>IF($V4110="",N($AA4109),IF(MATCH($V4110,$V$6:$V$6005,0)=ROW()-5,N($AA4109)+1,N($AA4109)))</f>
        <v/>
      </c>
    </row>
    <row r="4111" ht="21" customHeight="1" s="66">
      <c r="A4111" s="56" t="n"/>
      <c r="B4111" s="57" t="n"/>
      <c r="C4111" s="57" t="n"/>
      <c r="D4111" s="57" t="n"/>
      <c r="E4111" s="56" t="n"/>
      <c r="F4111" s="57" t="n"/>
      <c r="G4111" s="57" t="n"/>
      <c r="H4111" s="56" t="n"/>
      <c r="I4111" s="56" t="n"/>
      <c r="J4111" s="58" t="n"/>
      <c r="K4111" s="58" t="n"/>
      <c r="L4111" s="13">
        <f>IF(OR($A4111="",AND($J4111="",$K4111="")),"",ROUND(N($J4111)-N($K4111),2))</f>
        <v/>
      </c>
      <c r="M4111" s="13">
        <f>IF(OR($A4111="",AND($J4111="",$K4111="")),"",MIN($J4111,$K4111))</f>
        <v/>
      </c>
      <c r="Q4111">
        <f>IF($A4111="","",$D4111&amp;"("&amp;SUBSTITUTE($E4111," ","")&amp;")")</f>
        <v/>
      </c>
      <c r="R4111">
        <f>IF($A4111="","",$B4111&amp;" - "&amp;$C4111)</f>
        <v/>
      </c>
      <c r="S4111">
        <f>IF($A4111="","",$R4111&amp;"|"&amp;$Q4111)</f>
        <v/>
      </c>
      <c r="T4111">
        <f>IF($A4111="","",$S4111&amp;"|"&amp;$F4111)</f>
        <v/>
      </c>
      <c r="U4111">
        <f>IF($A4111="","",$R4111&amp;"("&amp;$E4111&amp;")")</f>
        <v/>
      </c>
      <c r="V4111">
        <f>IF($A4111="","",$F4111&amp;"|"&amp;$U4111&amp;"|"&amp;$D4111)</f>
        <v/>
      </c>
      <c r="W4111">
        <f>IF($T4111="","",IF($X4111&gt;N($X4110),$X4111,""))</f>
        <v/>
      </c>
      <c r="X4111">
        <f>IF($T4111="",N($X4110),IF(MATCH($T4111,$T$6:$T$6005,0)=ROW()-5,N($X4110)+1,N($X4110)))</f>
        <v/>
      </c>
      <c r="Z4111">
        <f>IF($V4111="","",IF($AA4111&gt;N($AA4110),$AA4111,""))</f>
        <v/>
      </c>
      <c r="AA4111">
        <f>IF($V4111="",N($AA4110),IF(MATCH($V4111,$V$6:$V$6005,0)=ROW()-5,N($AA4110)+1,N($AA4110)))</f>
        <v/>
      </c>
    </row>
    <row r="4112" ht="21" customHeight="1" s="66">
      <c r="A4112" s="56" t="n"/>
      <c r="B4112" s="57" t="n"/>
      <c r="C4112" s="57" t="n"/>
      <c r="D4112" s="57" t="n"/>
      <c r="E4112" s="56" t="n"/>
      <c r="F4112" s="57" t="n"/>
      <c r="G4112" s="57" t="n"/>
      <c r="H4112" s="56" t="n"/>
      <c r="I4112" s="56" t="n"/>
      <c r="J4112" s="58" t="n"/>
      <c r="K4112" s="58" t="n"/>
      <c r="L4112" s="13">
        <f>IF(OR($A4112="",AND($J4112="",$K4112="")),"",ROUND(N($J4112)-N($K4112),2))</f>
        <v/>
      </c>
      <c r="M4112" s="13">
        <f>IF(OR($A4112="",AND($J4112="",$K4112="")),"",MIN($J4112,$K4112))</f>
        <v/>
      </c>
      <c r="Q4112">
        <f>IF($A4112="","",$D4112&amp;"("&amp;SUBSTITUTE($E4112," ","")&amp;")")</f>
        <v/>
      </c>
      <c r="R4112">
        <f>IF($A4112="","",$B4112&amp;" - "&amp;$C4112)</f>
        <v/>
      </c>
      <c r="S4112">
        <f>IF($A4112="","",$R4112&amp;"|"&amp;$Q4112)</f>
        <v/>
      </c>
      <c r="T4112">
        <f>IF($A4112="","",$S4112&amp;"|"&amp;$F4112)</f>
        <v/>
      </c>
      <c r="U4112">
        <f>IF($A4112="","",$R4112&amp;"("&amp;$E4112&amp;")")</f>
        <v/>
      </c>
      <c r="V4112">
        <f>IF($A4112="","",$F4112&amp;"|"&amp;$U4112&amp;"|"&amp;$D4112)</f>
        <v/>
      </c>
      <c r="W4112">
        <f>IF($T4112="","",IF($X4112&gt;N($X4111),$X4112,""))</f>
        <v/>
      </c>
      <c r="X4112">
        <f>IF($T4112="",N($X4111),IF(MATCH($T4112,$T$6:$T$6005,0)=ROW()-5,N($X4111)+1,N($X4111)))</f>
        <v/>
      </c>
      <c r="Z4112">
        <f>IF($V4112="","",IF($AA4112&gt;N($AA4111),$AA4112,""))</f>
        <v/>
      </c>
      <c r="AA4112">
        <f>IF($V4112="",N($AA4111),IF(MATCH($V4112,$V$6:$V$6005,0)=ROW()-5,N($AA4111)+1,N($AA4111)))</f>
        <v/>
      </c>
    </row>
    <row r="4113" ht="21" customHeight="1" s="66">
      <c r="A4113" s="56" t="n"/>
      <c r="B4113" s="57" t="n"/>
      <c r="C4113" s="57" t="n"/>
      <c r="D4113" s="57" t="n"/>
      <c r="E4113" s="56" t="n"/>
      <c r="F4113" s="57" t="n"/>
      <c r="G4113" s="57" t="n"/>
      <c r="H4113" s="56" t="n"/>
      <c r="I4113" s="56" t="n"/>
      <c r="J4113" s="58" t="n"/>
      <c r="K4113" s="58" t="n"/>
      <c r="L4113" s="13">
        <f>IF(OR($A4113="",AND($J4113="",$K4113="")),"",ROUND(N($J4113)-N($K4113),2))</f>
        <v/>
      </c>
      <c r="M4113" s="13">
        <f>IF(OR($A4113="",AND($J4113="",$K4113="")),"",MIN($J4113,$K4113))</f>
        <v/>
      </c>
      <c r="Q4113">
        <f>IF($A4113="","",$D4113&amp;"("&amp;SUBSTITUTE($E4113," ","")&amp;")")</f>
        <v/>
      </c>
      <c r="R4113">
        <f>IF($A4113="","",$B4113&amp;" - "&amp;$C4113)</f>
        <v/>
      </c>
      <c r="S4113">
        <f>IF($A4113="","",$R4113&amp;"|"&amp;$Q4113)</f>
        <v/>
      </c>
      <c r="T4113">
        <f>IF($A4113="","",$S4113&amp;"|"&amp;$F4113)</f>
        <v/>
      </c>
      <c r="U4113">
        <f>IF($A4113="","",$R4113&amp;"("&amp;$E4113&amp;")")</f>
        <v/>
      </c>
      <c r="V4113">
        <f>IF($A4113="","",$F4113&amp;"|"&amp;$U4113&amp;"|"&amp;$D4113)</f>
        <v/>
      </c>
      <c r="W4113">
        <f>IF($T4113="","",IF($X4113&gt;N($X4112),$X4113,""))</f>
        <v/>
      </c>
      <c r="X4113">
        <f>IF($T4113="",N($X4112),IF(MATCH($T4113,$T$6:$T$6005,0)=ROW()-5,N($X4112)+1,N($X4112)))</f>
        <v/>
      </c>
      <c r="Z4113">
        <f>IF($V4113="","",IF($AA4113&gt;N($AA4112),$AA4113,""))</f>
        <v/>
      </c>
      <c r="AA4113">
        <f>IF($V4113="",N($AA4112),IF(MATCH($V4113,$V$6:$V$6005,0)=ROW()-5,N($AA4112)+1,N($AA4112)))</f>
        <v/>
      </c>
    </row>
    <row r="4114" ht="21" customHeight="1" s="66">
      <c r="A4114" s="56" t="n"/>
      <c r="B4114" s="57" t="n"/>
      <c r="C4114" s="57" t="n"/>
      <c r="D4114" s="57" t="n"/>
      <c r="E4114" s="56" t="n"/>
      <c r="F4114" s="57" t="n"/>
      <c r="G4114" s="57" t="n"/>
      <c r="H4114" s="56" t="n"/>
      <c r="I4114" s="56" t="n"/>
      <c r="J4114" s="58" t="n"/>
      <c r="K4114" s="58" t="n"/>
      <c r="L4114" s="13">
        <f>IF(OR($A4114="",AND($J4114="",$K4114="")),"",ROUND(N($J4114)-N($K4114),2))</f>
        <v/>
      </c>
      <c r="M4114" s="13">
        <f>IF(OR($A4114="",AND($J4114="",$K4114="")),"",MIN($J4114,$K4114))</f>
        <v/>
      </c>
      <c r="Q4114">
        <f>IF($A4114="","",$D4114&amp;"("&amp;SUBSTITUTE($E4114," ","")&amp;")")</f>
        <v/>
      </c>
      <c r="R4114">
        <f>IF($A4114="","",$B4114&amp;" - "&amp;$C4114)</f>
        <v/>
      </c>
      <c r="S4114">
        <f>IF($A4114="","",$R4114&amp;"|"&amp;$Q4114)</f>
        <v/>
      </c>
      <c r="T4114">
        <f>IF($A4114="","",$S4114&amp;"|"&amp;$F4114)</f>
        <v/>
      </c>
      <c r="U4114">
        <f>IF($A4114="","",$R4114&amp;"("&amp;$E4114&amp;")")</f>
        <v/>
      </c>
      <c r="V4114">
        <f>IF($A4114="","",$F4114&amp;"|"&amp;$U4114&amp;"|"&amp;$D4114)</f>
        <v/>
      </c>
      <c r="W4114">
        <f>IF($T4114="","",IF($X4114&gt;N($X4113),$X4114,""))</f>
        <v/>
      </c>
      <c r="X4114">
        <f>IF($T4114="",N($X4113),IF(MATCH($T4114,$T$6:$T$6005,0)=ROW()-5,N($X4113)+1,N($X4113)))</f>
        <v/>
      </c>
      <c r="Z4114">
        <f>IF($V4114="","",IF($AA4114&gt;N($AA4113),$AA4114,""))</f>
        <v/>
      </c>
      <c r="AA4114">
        <f>IF($V4114="",N($AA4113),IF(MATCH($V4114,$V$6:$V$6005,0)=ROW()-5,N($AA4113)+1,N($AA4113)))</f>
        <v/>
      </c>
    </row>
    <row r="4115" ht="21" customHeight="1" s="66">
      <c r="A4115" s="56" t="n"/>
      <c r="B4115" s="57" t="n"/>
      <c r="C4115" s="57" t="n"/>
      <c r="D4115" s="57" t="n"/>
      <c r="E4115" s="56" t="n"/>
      <c r="F4115" s="57" t="n"/>
      <c r="G4115" s="57" t="n"/>
      <c r="H4115" s="56" t="n"/>
      <c r="I4115" s="56" t="n"/>
      <c r="J4115" s="58" t="n"/>
      <c r="K4115" s="58" t="n"/>
      <c r="L4115" s="13">
        <f>IF(OR($A4115="",AND($J4115="",$K4115="")),"",ROUND(N($J4115)-N($K4115),2))</f>
        <v/>
      </c>
      <c r="M4115" s="13">
        <f>IF(OR($A4115="",AND($J4115="",$K4115="")),"",MIN($J4115,$K4115))</f>
        <v/>
      </c>
      <c r="Q4115">
        <f>IF($A4115="","",$D4115&amp;"("&amp;SUBSTITUTE($E4115," ","")&amp;")")</f>
        <v/>
      </c>
      <c r="R4115">
        <f>IF($A4115="","",$B4115&amp;" - "&amp;$C4115)</f>
        <v/>
      </c>
      <c r="S4115">
        <f>IF($A4115="","",$R4115&amp;"|"&amp;$Q4115)</f>
        <v/>
      </c>
      <c r="T4115">
        <f>IF($A4115="","",$S4115&amp;"|"&amp;$F4115)</f>
        <v/>
      </c>
      <c r="U4115">
        <f>IF($A4115="","",$R4115&amp;"("&amp;$E4115&amp;")")</f>
        <v/>
      </c>
      <c r="V4115">
        <f>IF($A4115="","",$F4115&amp;"|"&amp;$U4115&amp;"|"&amp;$D4115)</f>
        <v/>
      </c>
      <c r="W4115">
        <f>IF($T4115="","",IF($X4115&gt;N($X4114),$X4115,""))</f>
        <v/>
      </c>
      <c r="X4115">
        <f>IF($T4115="",N($X4114),IF(MATCH($T4115,$T$6:$T$6005,0)=ROW()-5,N($X4114)+1,N($X4114)))</f>
        <v/>
      </c>
      <c r="Z4115">
        <f>IF($V4115="","",IF($AA4115&gt;N($AA4114),$AA4115,""))</f>
        <v/>
      </c>
      <c r="AA4115">
        <f>IF($V4115="",N($AA4114),IF(MATCH($V4115,$V$6:$V$6005,0)=ROW()-5,N($AA4114)+1,N($AA4114)))</f>
        <v/>
      </c>
    </row>
    <row r="4116" ht="21" customHeight="1" s="66">
      <c r="A4116" s="56" t="n"/>
      <c r="B4116" s="57" t="n"/>
      <c r="C4116" s="57" t="n"/>
      <c r="D4116" s="57" t="n"/>
      <c r="E4116" s="56" t="n"/>
      <c r="F4116" s="57" t="n"/>
      <c r="G4116" s="57" t="n"/>
      <c r="H4116" s="56" t="n"/>
      <c r="I4116" s="56" t="n"/>
      <c r="J4116" s="58" t="n"/>
      <c r="K4116" s="58" t="n"/>
      <c r="L4116" s="13">
        <f>IF(OR($A4116="",AND($J4116="",$K4116="")),"",ROUND(N($J4116)-N($K4116),2))</f>
        <v/>
      </c>
      <c r="M4116" s="13">
        <f>IF(OR($A4116="",AND($J4116="",$K4116="")),"",MIN($J4116,$K4116))</f>
        <v/>
      </c>
      <c r="Q4116">
        <f>IF($A4116="","",$D4116&amp;"("&amp;SUBSTITUTE($E4116," ","")&amp;")")</f>
        <v/>
      </c>
      <c r="R4116">
        <f>IF($A4116="","",$B4116&amp;" - "&amp;$C4116)</f>
        <v/>
      </c>
      <c r="S4116">
        <f>IF($A4116="","",$R4116&amp;"|"&amp;$Q4116)</f>
        <v/>
      </c>
      <c r="T4116">
        <f>IF($A4116="","",$S4116&amp;"|"&amp;$F4116)</f>
        <v/>
      </c>
      <c r="U4116">
        <f>IF($A4116="","",$R4116&amp;"("&amp;$E4116&amp;")")</f>
        <v/>
      </c>
      <c r="V4116">
        <f>IF($A4116="","",$F4116&amp;"|"&amp;$U4116&amp;"|"&amp;$D4116)</f>
        <v/>
      </c>
      <c r="W4116">
        <f>IF($T4116="","",IF($X4116&gt;N($X4115),$X4116,""))</f>
        <v/>
      </c>
      <c r="X4116">
        <f>IF($T4116="",N($X4115),IF(MATCH($T4116,$T$6:$T$6005,0)=ROW()-5,N($X4115)+1,N($X4115)))</f>
        <v/>
      </c>
      <c r="Z4116">
        <f>IF($V4116="","",IF($AA4116&gt;N($AA4115),$AA4116,""))</f>
        <v/>
      </c>
      <c r="AA4116">
        <f>IF($V4116="",N($AA4115),IF(MATCH($V4116,$V$6:$V$6005,0)=ROW()-5,N($AA4115)+1,N($AA4115)))</f>
        <v/>
      </c>
    </row>
    <row r="4117" ht="21" customHeight="1" s="66">
      <c r="A4117" s="56" t="n"/>
      <c r="B4117" s="57" t="n"/>
      <c r="C4117" s="57" t="n"/>
      <c r="D4117" s="57" t="n"/>
      <c r="E4117" s="56" t="n"/>
      <c r="F4117" s="57" t="n"/>
      <c r="G4117" s="57" t="n"/>
      <c r="H4117" s="56" t="n"/>
      <c r="I4117" s="56" t="n"/>
      <c r="J4117" s="58" t="n"/>
      <c r="K4117" s="58" t="n"/>
      <c r="L4117" s="13">
        <f>IF(OR($A4117="",AND($J4117="",$K4117="")),"",ROUND(N($J4117)-N($K4117),2))</f>
        <v/>
      </c>
      <c r="M4117" s="13">
        <f>IF(OR($A4117="",AND($J4117="",$K4117="")),"",MIN($J4117,$K4117))</f>
        <v/>
      </c>
      <c r="Q4117">
        <f>IF($A4117="","",$D4117&amp;"("&amp;SUBSTITUTE($E4117," ","")&amp;")")</f>
        <v/>
      </c>
      <c r="R4117">
        <f>IF($A4117="","",$B4117&amp;" - "&amp;$C4117)</f>
        <v/>
      </c>
      <c r="S4117">
        <f>IF($A4117="","",$R4117&amp;"|"&amp;$Q4117)</f>
        <v/>
      </c>
      <c r="T4117">
        <f>IF($A4117="","",$S4117&amp;"|"&amp;$F4117)</f>
        <v/>
      </c>
      <c r="U4117">
        <f>IF($A4117="","",$R4117&amp;"("&amp;$E4117&amp;")")</f>
        <v/>
      </c>
      <c r="V4117">
        <f>IF($A4117="","",$F4117&amp;"|"&amp;$U4117&amp;"|"&amp;$D4117)</f>
        <v/>
      </c>
      <c r="W4117">
        <f>IF($T4117="","",IF($X4117&gt;N($X4116),$X4117,""))</f>
        <v/>
      </c>
      <c r="X4117">
        <f>IF($T4117="",N($X4116),IF(MATCH($T4117,$T$6:$T$6005,0)=ROW()-5,N($X4116)+1,N($X4116)))</f>
        <v/>
      </c>
      <c r="Z4117">
        <f>IF($V4117="","",IF($AA4117&gt;N($AA4116),$AA4117,""))</f>
        <v/>
      </c>
      <c r="AA4117">
        <f>IF($V4117="",N($AA4116),IF(MATCH($V4117,$V$6:$V$6005,0)=ROW()-5,N($AA4116)+1,N($AA4116)))</f>
        <v/>
      </c>
    </row>
    <row r="4118" ht="21" customHeight="1" s="66">
      <c r="A4118" s="56" t="n"/>
      <c r="B4118" s="57" t="n"/>
      <c r="C4118" s="57" t="n"/>
      <c r="D4118" s="57" t="n"/>
      <c r="E4118" s="56" t="n"/>
      <c r="F4118" s="57" t="n"/>
      <c r="G4118" s="57" t="n"/>
      <c r="H4118" s="56" t="n"/>
      <c r="I4118" s="56" t="n"/>
      <c r="J4118" s="58" t="n"/>
      <c r="K4118" s="58" t="n"/>
      <c r="L4118" s="13">
        <f>IF(OR($A4118="",AND($J4118="",$K4118="")),"",ROUND(N($J4118)-N($K4118),2))</f>
        <v/>
      </c>
      <c r="M4118" s="13">
        <f>IF(OR($A4118="",AND($J4118="",$K4118="")),"",MIN($J4118,$K4118))</f>
        <v/>
      </c>
      <c r="Q4118">
        <f>IF($A4118="","",$D4118&amp;"("&amp;SUBSTITUTE($E4118," ","")&amp;")")</f>
        <v/>
      </c>
      <c r="R4118">
        <f>IF($A4118="","",$B4118&amp;" - "&amp;$C4118)</f>
        <v/>
      </c>
      <c r="S4118">
        <f>IF($A4118="","",$R4118&amp;"|"&amp;$Q4118)</f>
        <v/>
      </c>
      <c r="T4118">
        <f>IF($A4118="","",$S4118&amp;"|"&amp;$F4118)</f>
        <v/>
      </c>
      <c r="U4118">
        <f>IF($A4118="","",$R4118&amp;"("&amp;$E4118&amp;")")</f>
        <v/>
      </c>
      <c r="V4118">
        <f>IF($A4118="","",$F4118&amp;"|"&amp;$U4118&amp;"|"&amp;$D4118)</f>
        <v/>
      </c>
      <c r="W4118">
        <f>IF($T4118="","",IF($X4118&gt;N($X4117),$X4118,""))</f>
        <v/>
      </c>
      <c r="X4118">
        <f>IF($T4118="",N($X4117),IF(MATCH($T4118,$T$6:$T$6005,0)=ROW()-5,N($X4117)+1,N($X4117)))</f>
        <v/>
      </c>
      <c r="Z4118">
        <f>IF($V4118="","",IF($AA4118&gt;N($AA4117),$AA4118,""))</f>
        <v/>
      </c>
      <c r="AA4118">
        <f>IF($V4118="",N($AA4117),IF(MATCH($V4118,$V$6:$V$6005,0)=ROW()-5,N($AA4117)+1,N($AA4117)))</f>
        <v/>
      </c>
    </row>
    <row r="4119" ht="21" customHeight="1" s="66">
      <c r="A4119" s="56" t="n"/>
      <c r="B4119" s="57" t="n"/>
      <c r="C4119" s="57" t="n"/>
      <c r="D4119" s="57" t="n"/>
      <c r="E4119" s="56" t="n"/>
      <c r="F4119" s="57" t="n"/>
      <c r="G4119" s="57" t="n"/>
      <c r="H4119" s="56" t="n"/>
      <c r="I4119" s="56" t="n"/>
      <c r="J4119" s="58" t="n"/>
      <c r="K4119" s="58" t="n"/>
      <c r="L4119" s="13">
        <f>IF(OR($A4119="",AND($J4119="",$K4119="")),"",ROUND(N($J4119)-N($K4119),2))</f>
        <v/>
      </c>
      <c r="M4119" s="13">
        <f>IF(OR($A4119="",AND($J4119="",$K4119="")),"",MIN($J4119,$K4119))</f>
        <v/>
      </c>
      <c r="Q4119">
        <f>IF($A4119="","",$D4119&amp;"("&amp;SUBSTITUTE($E4119," ","")&amp;")")</f>
        <v/>
      </c>
      <c r="R4119">
        <f>IF($A4119="","",$B4119&amp;" - "&amp;$C4119)</f>
        <v/>
      </c>
      <c r="S4119">
        <f>IF($A4119="","",$R4119&amp;"|"&amp;$Q4119)</f>
        <v/>
      </c>
      <c r="T4119">
        <f>IF($A4119="","",$S4119&amp;"|"&amp;$F4119)</f>
        <v/>
      </c>
      <c r="U4119">
        <f>IF($A4119="","",$R4119&amp;"("&amp;$E4119&amp;")")</f>
        <v/>
      </c>
      <c r="V4119">
        <f>IF($A4119="","",$F4119&amp;"|"&amp;$U4119&amp;"|"&amp;$D4119)</f>
        <v/>
      </c>
      <c r="W4119">
        <f>IF($T4119="","",IF($X4119&gt;N($X4118),$X4119,""))</f>
        <v/>
      </c>
      <c r="X4119">
        <f>IF($T4119="",N($X4118),IF(MATCH($T4119,$T$6:$T$6005,0)=ROW()-5,N($X4118)+1,N($X4118)))</f>
        <v/>
      </c>
      <c r="Z4119">
        <f>IF($V4119="","",IF($AA4119&gt;N($AA4118),$AA4119,""))</f>
        <v/>
      </c>
      <c r="AA4119">
        <f>IF($V4119="",N($AA4118),IF(MATCH($V4119,$V$6:$V$6005,0)=ROW()-5,N($AA4118)+1,N($AA4118)))</f>
        <v/>
      </c>
    </row>
    <row r="4120" ht="21" customHeight="1" s="66">
      <c r="A4120" s="56" t="n"/>
      <c r="B4120" s="57" t="n"/>
      <c r="C4120" s="57" t="n"/>
      <c r="D4120" s="57" t="n"/>
      <c r="E4120" s="56" t="n"/>
      <c r="F4120" s="57" t="n"/>
      <c r="G4120" s="57" t="n"/>
      <c r="H4120" s="56" t="n"/>
      <c r="I4120" s="56" t="n"/>
      <c r="J4120" s="58" t="n"/>
      <c r="K4120" s="58" t="n"/>
      <c r="L4120" s="13">
        <f>IF(OR($A4120="",AND($J4120="",$K4120="")),"",ROUND(N($J4120)-N($K4120),2))</f>
        <v/>
      </c>
      <c r="M4120" s="13">
        <f>IF(OR($A4120="",AND($J4120="",$K4120="")),"",MIN($J4120,$K4120))</f>
        <v/>
      </c>
      <c r="Q4120">
        <f>IF($A4120="","",$D4120&amp;"("&amp;SUBSTITUTE($E4120," ","")&amp;")")</f>
        <v/>
      </c>
      <c r="R4120">
        <f>IF($A4120="","",$B4120&amp;" - "&amp;$C4120)</f>
        <v/>
      </c>
      <c r="S4120">
        <f>IF($A4120="","",$R4120&amp;"|"&amp;$Q4120)</f>
        <v/>
      </c>
      <c r="T4120">
        <f>IF($A4120="","",$S4120&amp;"|"&amp;$F4120)</f>
        <v/>
      </c>
      <c r="U4120">
        <f>IF($A4120="","",$R4120&amp;"("&amp;$E4120&amp;")")</f>
        <v/>
      </c>
      <c r="V4120">
        <f>IF($A4120="","",$F4120&amp;"|"&amp;$U4120&amp;"|"&amp;$D4120)</f>
        <v/>
      </c>
      <c r="W4120">
        <f>IF($T4120="","",IF($X4120&gt;N($X4119),$X4120,""))</f>
        <v/>
      </c>
      <c r="X4120">
        <f>IF($T4120="",N($X4119),IF(MATCH($T4120,$T$6:$T$6005,0)=ROW()-5,N($X4119)+1,N($X4119)))</f>
        <v/>
      </c>
      <c r="Z4120">
        <f>IF($V4120="","",IF($AA4120&gt;N($AA4119),$AA4120,""))</f>
        <v/>
      </c>
      <c r="AA4120">
        <f>IF($V4120="",N($AA4119),IF(MATCH($V4120,$V$6:$V$6005,0)=ROW()-5,N($AA4119)+1,N($AA4119)))</f>
        <v/>
      </c>
    </row>
    <row r="4121" ht="21" customHeight="1" s="66">
      <c r="A4121" s="56" t="n"/>
      <c r="B4121" s="57" t="n"/>
      <c r="C4121" s="57" t="n"/>
      <c r="D4121" s="57" t="n"/>
      <c r="E4121" s="56" t="n"/>
      <c r="F4121" s="57" t="n"/>
      <c r="G4121" s="57" t="n"/>
      <c r="H4121" s="56" t="n"/>
      <c r="I4121" s="56" t="n"/>
      <c r="J4121" s="58" t="n"/>
      <c r="K4121" s="58" t="n"/>
      <c r="L4121" s="13">
        <f>IF(OR($A4121="",AND($J4121="",$K4121="")),"",ROUND(N($J4121)-N($K4121),2))</f>
        <v/>
      </c>
      <c r="M4121" s="13">
        <f>IF(OR($A4121="",AND($J4121="",$K4121="")),"",MIN($J4121,$K4121))</f>
        <v/>
      </c>
      <c r="Q4121">
        <f>IF($A4121="","",$D4121&amp;"("&amp;SUBSTITUTE($E4121," ","")&amp;")")</f>
        <v/>
      </c>
      <c r="R4121">
        <f>IF($A4121="","",$B4121&amp;" - "&amp;$C4121)</f>
        <v/>
      </c>
      <c r="S4121">
        <f>IF($A4121="","",$R4121&amp;"|"&amp;$Q4121)</f>
        <v/>
      </c>
      <c r="T4121">
        <f>IF($A4121="","",$S4121&amp;"|"&amp;$F4121)</f>
        <v/>
      </c>
      <c r="U4121">
        <f>IF($A4121="","",$R4121&amp;"("&amp;$E4121&amp;")")</f>
        <v/>
      </c>
      <c r="V4121">
        <f>IF($A4121="","",$F4121&amp;"|"&amp;$U4121&amp;"|"&amp;$D4121)</f>
        <v/>
      </c>
      <c r="W4121">
        <f>IF($T4121="","",IF($X4121&gt;N($X4120),$X4121,""))</f>
        <v/>
      </c>
      <c r="X4121">
        <f>IF($T4121="",N($X4120),IF(MATCH($T4121,$T$6:$T$6005,0)=ROW()-5,N($X4120)+1,N($X4120)))</f>
        <v/>
      </c>
      <c r="Z4121">
        <f>IF($V4121="","",IF($AA4121&gt;N($AA4120),$AA4121,""))</f>
        <v/>
      </c>
      <c r="AA4121">
        <f>IF($V4121="",N($AA4120),IF(MATCH($V4121,$V$6:$V$6005,0)=ROW()-5,N($AA4120)+1,N($AA4120)))</f>
        <v/>
      </c>
    </row>
    <row r="4122" ht="21" customHeight="1" s="66">
      <c r="A4122" s="56" t="n"/>
      <c r="B4122" s="57" t="n"/>
      <c r="C4122" s="57" t="n"/>
      <c r="D4122" s="57" t="n"/>
      <c r="E4122" s="56" t="n"/>
      <c r="F4122" s="57" t="n"/>
      <c r="G4122" s="57" t="n"/>
      <c r="H4122" s="56" t="n"/>
      <c r="I4122" s="56" t="n"/>
      <c r="J4122" s="58" t="n"/>
      <c r="K4122" s="58" t="n"/>
      <c r="L4122" s="13">
        <f>IF(OR($A4122="",AND($J4122="",$K4122="")),"",ROUND(N($J4122)-N($K4122),2))</f>
        <v/>
      </c>
      <c r="M4122" s="13">
        <f>IF(OR($A4122="",AND($J4122="",$K4122="")),"",MIN($J4122,$K4122))</f>
        <v/>
      </c>
      <c r="Q4122">
        <f>IF($A4122="","",$D4122&amp;"("&amp;SUBSTITUTE($E4122," ","")&amp;")")</f>
        <v/>
      </c>
      <c r="R4122">
        <f>IF($A4122="","",$B4122&amp;" - "&amp;$C4122)</f>
        <v/>
      </c>
      <c r="S4122">
        <f>IF($A4122="","",$R4122&amp;"|"&amp;$Q4122)</f>
        <v/>
      </c>
      <c r="T4122">
        <f>IF($A4122="","",$S4122&amp;"|"&amp;$F4122)</f>
        <v/>
      </c>
      <c r="U4122">
        <f>IF($A4122="","",$R4122&amp;"("&amp;$E4122&amp;")")</f>
        <v/>
      </c>
      <c r="V4122">
        <f>IF($A4122="","",$F4122&amp;"|"&amp;$U4122&amp;"|"&amp;$D4122)</f>
        <v/>
      </c>
      <c r="W4122">
        <f>IF($T4122="","",IF($X4122&gt;N($X4121),$X4122,""))</f>
        <v/>
      </c>
      <c r="X4122">
        <f>IF($T4122="",N($X4121),IF(MATCH($T4122,$T$6:$T$6005,0)=ROW()-5,N($X4121)+1,N($X4121)))</f>
        <v/>
      </c>
      <c r="Z4122">
        <f>IF($V4122="","",IF($AA4122&gt;N($AA4121),$AA4122,""))</f>
        <v/>
      </c>
      <c r="AA4122">
        <f>IF($V4122="",N($AA4121),IF(MATCH($V4122,$V$6:$V$6005,0)=ROW()-5,N($AA4121)+1,N($AA4121)))</f>
        <v/>
      </c>
    </row>
    <row r="4123" ht="21" customHeight="1" s="66">
      <c r="A4123" s="56" t="n"/>
      <c r="B4123" s="57" t="n"/>
      <c r="C4123" s="57" t="n"/>
      <c r="D4123" s="57" t="n"/>
      <c r="E4123" s="56" t="n"/>
      <c r="F4123" s="57" t="n"/>
      <c r="G4123" s="57" t="n"/>
      <c r="H4123" s="56" t="n"/>
      <c r="I4123" s="56" t="n"/>
      <c r="J4123" s="58" t="n"/>
      <c r="K4123" s="58" t="n"/>
      <c r="L4123" s="13">
        <f>IF(OR($A4123="",AND($J4123="",$K4123="")),"",ROUND(N($J4123)-N($K4123),2))</f>
        <v/>
      </c>
      <c r="M4123" s="13">
        <f>IF(OR($A4123="",AND($J4123="",$K4123="")),"",MIN($J4123,$K4123))</f>
        <v/>
      </c>
      <c r="Q4123">
        <f>IF($A4123="","",$D4123&amp;"("&amp;SUBSTITUTE($E4123," ","")&amp;")")</f>
        <v/>
      </c>
      <c r="R4123">
        <f>IF($A4123="","",$B4123&amp;" - "&amp;$C4123)</f>
        <v/>
      </c>
      <c r="S4123">
        <f>IF($A4123="","",$R4123&amp;"|"&amp;$Q4123)</f>
        <v/>
      </c>
      <c r="T4123">
        <f>IF($A4123="","",$S4123&amp;"|"&amp;$F4123)</f>
        <v/>
      </c>
      <c r="U4123">
        <f>IF($A4123="","",$R4123&amp;"("&amp;$E4123&amp;")")</f>
        <v/>
      </c>
      <c r="V4123">
        <f>IF($A4123="","",$F4123&amp;"|"&amp;$U4123&amp;"|"&amp;$D4123)</f>
        <v/>
      </c>
      <c r="W4123">
        <f>IF($T4123="","",IF($X4123&gt;N($X4122),$X4123,""))</f>
        <v/>
      </c>
      <c r="X4123">
        <f>IF($T4123="",N($X4122),IF(MATCH($T4123,$T$6:$T$6005,0)=ROW()-5,N($X4122)+1,N($X4122)))</f>
        <v/>
      </c>
      <c r="Z4123">
        <f>IF($V4123="","",IF($AA4123&gt;N($AA4122),$AA4123,""))</f>
        <v/>
      </c>
      <c r="AA4123">
        <f>IF($V4123="",N($AA4122),IF(MATCH($V4123,$V$6:$V$6005,0)=ROW()-5,N($AA4122)+1,N($AA4122)))</f>
        <v/>
      </c>
    </row>
    <row r="4124" ht="21" customHeight="1" s="66">
      <c r="A4124" s="56" t="n"/>
      <c r="B4124" s="57" t="n"/>
      <c r="C4124" s="57" t="n"/>
      <c r="D4124" s="57" t="n"/>
      <c r="E4124" s="56" t="n"/>
      <c r="F4124" s="57" t="n"/>
      <c r="G4124" s="57" t="n"/>
      <c r="H4124" s="56" t="n"/>
      <c r="I4124" s="56" t="n"/>
      <c r="J4124" s="58" t="n"/>
      <c r="K4124" s="58" t="n"/>
      <c r="L4124" s="13">
        <f>IF(OR($A4124="",AND($J4124="",$K4124="")),"",ROUND(N($J4124)-N($K4124),2))</f>
        <v/>
      </c>
      <c r="M4124" s="13">
        <f>IF(OR($A4124="",AND($J4124="",$K4124="")),"",MIN($J4124,$K4124))</f>
        <v/>
      </c>
      <c r="Q4124">
        <f>IF($A4124="","",$D4124&amp;"("&amp;SUBSTITUTE($E4124," ","")&amp;")")</f>
        <v/>
      </c>
      <c r="R4124">
        <f>IF($A4124="","",$B4124&amp;" - "&amp;$C4124)</f>
        <v/>
      </c>
      <c r="S4124">
        <f>IF($A4124="","",$R4124&amp;"|"&amp;$Q4124)</f>
        <v/>
      </c>
      <c r="T4124">
        <f>IF($A4124="","",$S4124&amp;"|"&amp;$F4124)</f>
        <v/>
      </c>
      <c r="U4124">
        <f>IF($A4124="","",$R4124&amp;"("&amp;$E4124&amp;")")</f>
        <v/>
      </c>
      <c r="V4124">
        <f>IF($A4124="","",$F4124&amp;"|"&amp;$U4124&amp;"|"&amp;$D4124)</f>
        <v/>
      </c>
      <c r="W4124">
        <f>IF($T4124="","",IF($X4124&gt;N($X4123),$X4124,""))</f>
        <v/>
      </c>
      <c r="X4124">
        <f>IF($T4124="",N($X4123),IF(MATCH($T4124,$T$6:$T$6005,0)=ROW()-5,N($X4123)+1,N($X4123)))</f>
        <v/>
      </c>
      <c r="Z4124">
        <f>IF($V4124="","",IF($AA4124&gt;N($AA4123),$AA4124,""))</f>
        <v/>
      </c>
      <c r="AA4124">
        <f>IF($V4124="",N($AA4123),IF(MATCH($V4124,$V$6:$V$6005,0)=ROW()-5,N($AA4123)+1,N($AA4123)))</f>
        <v/>
      </c>
    </row>
    <row r="4125" ht="21" customHeight="1" s="66">
      <c r="A4125" s="56" t="n"/>
      <c r="B4125" s="57" t="n"/>
      <c r="C4125" s="57" t="n"/>
      <c r="D4125" s="57" t="n"/>
      <c r="E4125" s="56" t="n"/>
      <c r="F4125" s="57" t="n"/>
      <c r="G4125" s="57" t="n"/>
      <c r="H4125" s="56" t="n"/>
      <c r="I4125" s="56" t="n"/>
      <c r="J4125" s="58" t="n"/>
      <c r="K4125" s="58" t="n"/>
      <c r="L4125" s="13">
        <f>IF(OR($A4125="",AND($J4125="",$K4125="")),"",ROUND(N($J4125)-N($K4125),2))</f>
        <v/>
      </c>
      <c r="M4125" s="13">
        <f>IF(OR($A4125="",AND($J4125="",$K4125="")),"",MIN($J4125,$K4125))</f>
        <v/>
      </c>
      <c r="Q4125">
        <f>IF($A4125="","",$D4125&amp;"("&amp;SUBSTITUTE($E4125," ","")&amp;")")</f>
        <v/>
      </c>
      <c r="R4125">
        <f>IF($A4125="","",$B4125&amp;" - "&amp;$C4125)</f>
        <v/>
      </c>
      <c r="S4125">
        <f>IF($A4125="","",$R4125&amp;"|"&amp;$Q4125)</f>
        <v/>
      </c>
      <c r="T4125">
        <f>IF($A4125="","",$S4125&amp;"|"&amp;$F4125)</f>
        <v/>
      </c>
      <c r="U4125">
        <f>IF($A4125="","",$R4125&amp;"("&amp;$E4125&amp;")")</f>
        <v/>
      </c>
      <c r="V4125">
        <f>IF($A4125="","",$F4125&amp;"|"&amp;$U4125&amp;"|"&amp;$D4125)</f>
        <v/>
      </c>
      <c r="W4125">
        <f>IF($T4125="","",IF($X4125&gt;N($X4124),$X4125,""))</f>
        <v/>
      </c>
      <c r="X4125">
        <f>IF($T4125="",N($X4124),IF(MATCH($T4125,$T$6:$T$6005,0)=ROW()-5,N($X4124)+1,N($X4124)))</f>
        <v/>
      </c>
      <c r="Z4125">
        <f>IF($V4125="","",IF($AA4125&gt;N($AA4124),$AA4125,""))</f>
        <v/>
      </c>
      <c r="AA4125">
        <f>IF($V4125="",N($AA4124),IF(MATCH($V4125,$V$6:$V$6005,0)=ROW()-5,N($AA4124)+1,N($AA4124)))</f>
        <v/>
      </c>
    </row>
    <row r="4126" ht="21" customHeight="1" s="66">
      <c r="A4126" s="56" t="n"/>
      <c r="B4126" s="57" t="n"/>
      <c r="C4126" s="57" t="n"/>
      <c r="D4126" s="57" t="n"/>
      <c r="E4126" s="56" t="n"/>
      <c r="F4126" s="57" t="n"/>
      <c r="G4126" s="57" t="n"/>
      <c r="H4126" s="56" t="n"/>
      <c r="I4126" s="56" t="n"/>
      <c r="J4126" s="58" t="n"/>
      <c r="K4126" s="58" t="n"/>
      <c r="L4126" s="13">
        <f>IF(OR($A4126="",AND($J4126="",$K4126="")),"",ROUND(N($J4126)-N($K4126),2))</f>
        <v/>
      </c>
      <c r="M4126" s="13">
        <f>IF(OR($A4126="",AND($J4126="",$K4126="")),"",MIN($J4126,$K4126))</f>
        <v/>
      </c>
      <c r="Q4126">
        <f>IF($A4126="","",$D4126&amp;"("&amp;SUBSTITUTE($E4126," ","")&amp;")")</f>
        <v/>
      </c>
      <c r="R4126">
        <f>IF($A4126="","",$B4126&amp;" - "&amp;$C4126)</f>
        <v/>
      </c>
      <c r="S4126">
        <f>IF($A4126="","",$R4126&amp;"|"&amp;$Q4126)</f>
        <v/>
      </c>
      <c r="T4126">
        <f>IF($A4126="","",$S4126&amp;"|"&amp;$F4126)</f>
        <v/>
      </c>
      <c r="U4126">
        <f>IF($A4126="","",$R4126&amp;"("&amp;$E4126&amp;")")</f>
        <v/>
      </c>
      <c r="V4126">
        <f>IF($A4126="","",$F4126&amp;"|"&amp;$U4126&amp;"|"&amp;$D4126)</f>
        <v/>
      </c>
      <c r="W4126">
        <f>IF($T4126="","",IF($X4126&gt;N($X4125),$X4126,""))</f>
        <v/>
      </c>
      <c r="X4126">
        <f>IF($T4126="",N($X4125),IF(MATCH($T4126,$T$6:$T$6005,0)=ROW()-5,N($X4125)+1,N($X4125)))</f>
        <v/>
      </c>
      <c r="Z4126">
        <f>IF($V4126="","",IF($AA4126&gt;N($AA4125),$AA4126,""))</f>
        <v/>
      </c>
      <c r="AA4126">
        <f>IF($V4126="",N($AA4125),IF(MATCH($V4126,$V$6:$V$6005,0)=ROW()-5,N($AA4125)+1,N($AA4125)))</f>
        <v/>
      </c>
    </row>
    <row r="4127" ht="21" customHeight="1" s="66">
      <c r="A4127" s="56" t="n"/>
      <c r="B4127" s="57" t="n"/>
      <c r="C4127" s="57" t="n"/>
      <c r="D4127" s="57" t="n"/>
      <c r="E4127" s="56" t="n"/>
      <c r="F4127" s="57" t="n"/>
      <c r="G4127" s="57" t="n"/>
      <c r="H4127" s="56" t="n"/>
      <c r="I4127" s="56" t="n"/>
      <c r="J4127" s="58" t="n"/>
      <c r="K4127" s="58" t="n"/>
      <c r="L4127" s="13">
        <f>IF(OR($A4127="",AND($J4127="",$K4127="")),"",ROUND(N($J4127)-N($K4127),2))</f>
        <v/>
      </c>
      <c r="M4127" s="13">
        <f>IF(OR($A4127="",AND($J4127="",$K4127="")),"",MIN($J4127,$K4127))</f>
        <v/>
      </c>
      <c r="Q4127">
        <f>IF($A4127="","",$D4127&amp;"("&amp;SUBSTITUTE($E4127," ","")&amp;")")</f>
        <v/>
      </c>
      <c r="R4127">
        <f>IF($A4127="","",$B4127&amp;" - "&amp;$C4127)</f>
        <v/>
      </c>
      <c r="S4127">
        <f>IF($A4127="","",$R4127&amp;"|"&amp;$Q4127)</f>
        <v/>
      </c>
      <c r="T4127">
        <f>IF($A4127="","",$S4127&amp;"|"&amp;$F4127)</f>
        <v/>
      </c>
      <c r="U4127">
        <f>IF($A4127="","",$R4127&amp;"("&amp;$E4127&amp;")")</f>
        <v/>
      </c>
      <c r="V4127">
        <f>IF($A4127="","",$F4127&amp;"|"&amp;$U4127&amp;"|"&amp;$D4127)</f>
        <v/>
      </c>
      <c r="W4127">
        <f>IF($T4127="","",IF($X4127&gt;N($X4126),$X4127,""))</f>
        <v/>
      </c>
      <c r="X4127">
        <f>IF($T4127="",N($X4126),IF(MATCH($T4127,$T$6:$T$6005,0)=ROW()-5,N($X4126)+1,N($X4126)))</f>
        <v/>
      </c>
      <c r="Z4127">
        <f>IF($V4127="","",IF($AA4127&gt;N($AA4126),$AA4127,""))</f>
        <v/>
      </c>
      <c r="AA4127">
        <f>IF($V4127="",N($AA4126),IF(MATCH($V4127,$V$6:$V$6005,0)=ROW()-5,N($AA4126)+1,N($AA4126)))</f>
        <v/>
      </c>
    </row>
    <row r="4128" ht="21" customHeight="1" s="66">
      <c r="A4128" s="56" t="n"/>
      <c r="B4128" s="57" t="n"/>
      <c r="C4128" s="57" t="n"/>
      <c r="D4128" s="57" t="n"/>
      <c r="E4128" s="56" t="n"/>
      <c r="F4128" s="57" t="n"/>
      <c r="G4128" s="57" t="n"/>
      <c r="H4128" s="56" t="n"/>
      <c r="I4128" s="56" t="n"/>
      <c r="J4128" s="58" t="n"/>
      <c r="K4128" s="58" t="n"/>
      <c r="L4128" s="13">
        <f>IF(OR($A4128="",AND($J4128="",$K4128="")),"",ROUND(N($J4128)-N($K4128),2))</f>
        <v/>
      </c>
      <c r="M4128" s="13">
        <f>IF(OR($A4128="",AND($J4128="",$K4128="")),"",MIN($J4128,$K4128))</f>
        <v/>
      </c>
      <c r="Q4128">
        <f>IF($A4128="","",$D4128&amp;"("&amp;SUBSTITUTE($E4128," ","")&amp;")")</f>
        <v/>
      </c>
      <c r="R4128">
        <f>IF($A4128="","",$B4128&amp;" - "&amp;$C4128)</f>
        <v/>
      </c>
      <c r="S4128">
        <f>IF($A4128="","",$R4128&amp;"|"&amp;$Q4128)</f>
        <v/>
      </c>
      <c r="T4128">
        <f>IF($A4128="","",$S4128&amp;"|"&amp;$F4128)</f>
        <v/>
      </c>
      <c r="U4128">
        <f>IF($A4128="","",$R4128&amp;"("&amp;$E4128&amp;")")</f>
        <v/>
      </c>
      <c r="V4128">
        <f>IF($A4128="","",$F4128&amp;"|"&amp;$U4128&amp;"|"&amp;$D4128)</f>
        <v/>
      </c>
      <c r="W4128">
        <f>IF($T4128="","",IF($X4128&gt;N($X4127),$X4128,""))</f>
        <v/>
      </c>
      <c r="X4128">
        <f>IF($T4128="",N($X4127),IF(MATCH($T4128,$T$6:$T$6005,0)=ROW()-5,N($X4127)+1,N($X4127)))</f>
        <v/>
      </c>
      <c r="Z4128">
        <f>IF($V4128="","",IF($AA4128&gt;N($AA4127),$AA4128,""))</f>
        <v/>
      </c>
      <c r="AA4128">
        <f>IF($V4128="",N($AA4127),IF(MATCH($V4128,$V$6:$V$6005,0)=ROW()-5,N($AA4127)+1,N($AA4127)))</f>
        <v/>
      </c>
    </row>
    <row r="4129" ht="21" customHeight="1" s="66">
      <c r="A4129" s="56" t="n"/>
      <c r="B4129" s="57" t="n"/>
      <c r="C4129" s="57" t="n"/>
      <c r="D4129" s="57" t="n"/>
      <c r="E4129" s="56" t="n"/>
      <c r="F4129" s="57" t="n"/>
      <c r="G4129" s="57" t="n"/>
      <c r="H4129" s="56" t="n"/>
      <c r="I4129" s="56" t="n"/>
      <c r="J4129" s="58" t="n"/>
      <c r="K4129" s="58" t="n"/>
      <c r="L4129" s="13">
        <f>IF(OR($A4129="",AND($J4129="",$K4129="")),"",ROUND(N($J4129)-N($K4129),2))</f>
        <v/>
      </c>
      <c r="M4129" s="13">
        <f>IF(OR($A4129="",AND($J4129="",$K4129="")),"",MIN($J4129,$K4129))</f>
        <v/>
      </c>
      <c r="Q4129">
        <f>IF($A4129="","",$D4129&amp;"("&amp;SUBSTITUTE($E4129," ","")&amp;")")</f>
        <v/>
      </c>
      <c r="R4129">
        <f>IF($A4129="","",$B4129&amp;" - "&amp;$C4129)</f>
        <v/>
      </c>
      <c r="S4129">
        <f>IF($A4129="","",$R4129&amp;"|"&amp;$Q4129)</f>
        <v/>
      </c>
      <c r="T4129">
        <f>IF($A4129="","",$S4129&amp;"|"&amp;$F4129)</f>
        <v/>
      </c>
      <c r="U4129">
        <f>IF($A4129="","",$R4129&amp;"("&amp;$E4129&amp;")")</f>
        <v/>
      </c>
      <c r="V4129">
        <f>IF($A4129="","",$F4129&amp;"|"&amp;$U4129&amp;"|"&amp;$D4129)</f>
        <v/>
      </c>
      <c r="W4129">
        <f>IF($T4129="","",IF($X4129&gt;N($X4128),$X4129,""))</f>
        <v/>
      </c>
      <c r="X4129">
        <f>IF($T4129="",N($X4128),IF(MATCH($T4129,$T$6:$T$6005,0)=ROW()-5,N($X4128)+1,N($X4128)))</f>
        <v/>
      </c>
      <c r="Z4129">
        <f>IF($V4129="","",IF($AA4129&gt;N($AA4128),$AA4129,""))</f>
        <v/>
      </c>
      <c r="AA4129">
        <f>IF($V4129="",N($AA4128),IF(MATCH($V4129,$V$6:$V$6005,0)=ROW()-5,N($AA4128)+1,N($AA4128)))</f>
        <v/>
      </c>
    </row>
    <row r="4130" ht="21" customHeight="1" s="66">
      <c r="A4130" s="56" t="n"/>
      <c r="B4130" s="57" t="n"/>
      <c r="C4130" s="57" t="n"/>
      <c r="D4130" s="57" t="n"/>
      <c r="E4130" s="56" t="n"/>
      <c r="F4130" s="57" t="n"/>
      <c r="G4130" s="57" t="n"/>
      <c r="H4130" s="56" t="n"/>
      <c r="I4130" s="56" t="n"/>
      <c r="J4130" s="58" t="n"/>
      <c r="K4130" s="58" t="n"/>
      <c r="L4130" s="13">
        <f>IF(OR($A4130="",AND($J4130="",$K4130="")),"",ROUND(N($J4130)-N($K4130),2))</f>
        <v/>
      </c>
      <c r="M4130" s="13">
        <f>IF(OR($A4130="",AND($J4130="",$K4130="")),"",MIN($J4130,$K4130))</f>
        <v/>
      </c>
      <c r="Q4130">
        <f>IF($A4130="","",$D4130&amp;"("&amp;SUBSTITUTE($E4130," ","")&amp;")")</f>
        <v/>
      </c>
      <c r="R4130">
        <f>IF($A4130="","",$B4130&amp;" - "&amp;$C4130)</f>
        <v/>
      </c>
      <c r="S4130">
        <f>IF($A4130="","",$R4130&amp;"|"&amp;$Q4130)</f>
        <v/>
      </c>
      <c r="T4130">
        <f>IF($A4130="","",$S4130&amp;"|"&amp;$F4130)</f>
        <v/>
      </c>
      <c r="U4130">
        <f>IF($A4130="","",$R4130&amp;"("&amp;$E4130&amp;")")</f>
        <v/>
      </c>
      <c r="V4130">
        <f>IF($A4130="","",$F4130&amp;"|"&amp;$U4130&amp;"|"&amp;$D4130)</f>
        <v/>
      </c>
      <c r="W4130">
        <f>IF($T4130="","",IF($X4130&gt;N($X4129),$X4130,""))</f>
        <v/>
      </c>
      <c r="X4130">
        <f>IF($T4130="",N($X4129),IF(MATCH($T4130,$T$6:$T$6005,0)=ROW()-5,N($X4129)+1,N($X4129)))</f>
        <v/>
      </c>
      <c r="Z4130">
        <f>IF($V4130="","",IF($AA4130&gt;N($AA4129),$AA4130,""))</f>
        <v/>
      </c>
      <c r="AA4130">
        <f>IF($V4130="",N($AA4129),IF(MATCH($V4130,$V$6:$V$6005,0)=ROW()-5,N($AA4129)+1,N($AA4129)))</f>
        <v/>
      </c>
    </row>
    <row r="4131" ht="21" customHeight="1" s="66">
      <c r="A4131" s="56" t="n"/>
      <c r="B4131" s="57" t="n"/>
      <c r="C4131" s="57" t="n"/>
      <c r="D4131" s="57" t="n"/>
      <c r="E4131" s="56" t="n"/>
      <c r="F4131" s="57" t="n"/>
      <c r="G4131" s="57" t="n"/>
      <c r="H4131" s="56" t="n"/>
      <c r="I4131" s="56" t="n"/>
      <c r="J4131" s="58" t="n"/>
      <c r="K4131" s="58" t="n"/>
      <c r="L4131" s="13">
        <f>IF(OR($A4131="",AND($J4131="",$K4131="")),"",ROUND(N($J4131)-N($K4131),2))</f>
        <v/>
      </c>
      <c r="M4131" s="13">
        <f>IF(OR($A4131="",AND($J4131="",$K4131="")),"",MIN($J4131,$K4131))</f>
        <v/>
      </c>
      <c r="Q4131">
        <f>IF($A4131="","",$D4131&amp;"("&amp;SUBSTITUTE($E4131," ","")&amp;")")</f>
        <v/>
      </c>
      <c r="R4131">
        <f>IF($A4131="","",$B4131&amp;" - "&amp;$C4131)</f>
        <v/>
      </c>
      <c r="S4131">
        <f>IF($A4131="","",$R4131&amp;"|"&amp;$Q4131)</f>
        <v/>
      </c>
      <c r="T4131">
        <f>IF($A4131="","",$S4131&amp;"|"&amp;$F4131)</f>
        <v/>
      </c>
      <c r="U4131">
        <f>IF($A4131="","",$R4131&amp;"("&amp;$E4131&amp;")")</f>
        <v/>
      </c>
      <c r="V4131">
        <f>IF($A4131="","",$F4131&amp;"|"&amp;$U4131&amp;"|"&amp;$D4131)</f>
        <v/>
      </c>
      <c r="W4131">
        <f>IF($T4131="","",IF($X4131&gt;N($X4130),$X4131,""))</f>
        <v/>
      </c>
      <c r="X4131">
        <f>IF($T4131="",N($X4130),IF(MATCH($T4131,$T$6:$T$6005,0)=ROW()-5,N($X4130)+1,N($X4130)))</f>
        <v/>
      </c>
      <c r="Z4131">
        <f>IF($V4131="","",IF($AA4131&gt;N($AA4130),$AA4131,""))</f>
        <v/>
      </c>
      <c r="AA4131">
        <f>IF($V4131="",N($AA4130),IF(MATCH($V4131,$V$6:$V$6005,0)=ROW()-5,N($AA4130)+1,N($AA4130)))</f>
        <v/>
      </c>
    </row>
    <row r="4132" ht="21" customHeight="1" s="66">
      <c r="A4132" s="56" t="n"/>
      <c r="B4132" s="57" t="n"/>
      <c r="C4132" s="57" t="n"/>
      <c r="D4132" s="57" t="n"/>
      <c r="E4132" s="56" t="n"/>
      <c r="F4132" s="57" t="n"/>
      <c r="G4132" s="57" t="n"/>
      <c r="H4132" s="56" t="n"/>
      <c r="I4132" s="56" t="n"/>
      <c r="J4132" s="58" t="n"/>
      <c r="K4132" s="58" t="n"/>
      <c r="L4132" s="13">
        <f>IF(OR($A4132="",AND($J4132="",$K4132="")),"",ROUND(N($J4132)-N($K4132),2))</f>
        <v/>
      </c>
      <c r="M4132" s="13">
        <f>IF(OR($A4132="",AND($J4132="",$K4132="")),"",MIN($J4132,$K4132))</f>
        <v/>
      </c>
      <c r="Q4132">
        <f>IF($A4132="","",$D4132&amp;"("&amp;SUBSTITUTE($E4132," ","")&amp;")")</f>
        <v/>
      </c>
      <c r="R4132">
        <f>IF($A4132="","",$B4132&amp;" - "&amp;$C4132)</f>
        <v/>
      </c>
      <c r="S4132">
        <f>IF($A4132="","",$R4132&amp;"|"&amp;$Q4132)</f>
        <v/>
      </c>
      <c r="T4132">
        <f>IF($A4132="","",$S4132&amp;"|"&amp;$F4132)</f>
        <v/>
      </c>
      <c r="U4132">
        <f>IF($A4132="","",$R4132&amp;"("&amp;$E4132&amp;")")</f>
        <v/>
      </c>
      <c r="V4132">
        <f>IF($A4132="","",$F4132&amp;"|"&amp;$U4132&amp;"|"&amp;$D4132)</f>
        <v/>
      </c>
      <c r="W4132">
        <f>IF($T4132="","",IF($X4132&gt;N($X4131),$X4132,""))</f>
        <v/>
      </c>
      <c r="X4132">
        <f>IF($T4132="",N($X4131),IF(MATCH($T4132,$T$6:$T$6005,0)=ROW()-5,N($X4131)+1,N($X4131)))</f>
        <v/>
      </c>
      <c r="Z4132">
        <f>IF($V4132="","",IF($AA4132&gt;N($AA4131),$AA4132,""))</f>
        <v/>
      </c>
      <c r="AA4132">
        <f>IF($V4132="",N($AA4131),IF(MATCH($V4132,$V$6:$V$6005,0)=ROW()-5,N($AA4131)+1,N($AA4131)))</f>
        <v/>
      </c>
    </row>
    <row r="4133" ht="21" customHeight="1" s="66">
      <c r="A4133" s="56" t="n"/>
      <c r="B4133" s="57" t="n"/>
      <c r="C4133" s="57" t="n"/>
      <c r="D4133" s="57" t="n"/>
      <c r="E4133" s="56" t="n"/>
      <c r="F4133" s="57" t="n"/>
      <c r="G4133" s="57" t="n"/>
      <c r="H4133" s="56" t="n"/>
      <c r="I4133" s="56" t="n"/>
      <c r="J4133" s="58" t="n"/>
      <c r="K4133" s="58" t="n"/>
      <c r="L4133" s="13">
        <f>IF(OR($A4133="",AND($J4133="",$K4133="")),"",ROUND(N($J4133)-N($K4133),2))</f>
        <v/>
      </c>
      <c r="M4133" s="13">
        <f>IF(OR($A4133="",AND($J4133="",$K4133="")),"",MIN($J4133,$K4133))</f>
        <v/>
      </c>
      <c r="Q4133">
        <f>IF($A4133="","",$D4133&amp;"("&amp;SUBSTITUTE($E4133," ","")&amp;")")</f>
        <v/>
      </c>
      <c r="R4133">
        <f>IF($A4133="","",$B4133&amp;" - "&amp;$C4133)</f>
        <v/>
      </c>
      <c r="S4133">
        <f>IF($A4133="","",$R4133&amp;"|"&amp;$Q4133)</f>
        <v/>
      </c>
      <c r="T4133">
        <f>IF($A4133="","",$S4133&amp;"|"&amp;$F4133)</f>
        <v/>
      </c>
      <c r="U4133">
        <f>IF($A4133="","",$R4133&amp;"("&amp;$E4133&amp;")")</f>
        <v/>
      </c>
      <c r="V4133">
        <f>IF($A4133="","",$F4133&amp;"|"&amp;$U4133&amp;"|"&amp;$D4133)</f>
        <v/>
      </c>
      <c r="W4133">
        <f>IF($T4133="","",IF($X4133&gt;N($X4132),$X4133,""))</f>
        <v/>
      </c>
      <c r="X4133">
        <f>IF($T4133="",N($X4132),IF(MATCH($T4133,$T$6:$T$6005,0)=ROW()-5,N($X4132)+1,N($X4132)))</f>
        <v/>
      </c>
      <c r="Z4133">
        <f>IF($V4133="","",IF($AA4133&gt;N($AA4132),$AA4133,""))</f>
        <v/>
      </c>
      <c r="AA4133">
        <f>IF($V4133="",N($AA4132),IF(MATCH($V4133,$V$6:$V$6005,0)=ROW()-5,N($AA4132)+1,N($AA4132)))</f>
        <v/>
      </c>
    </row>
    <row r="4134" ht="21" customHeight="1" s="66">
      <c r="A4134" s="56" t="n"/>
      <c r="B4134" s="57" t="n"/>
      <c r="C4134" s="57" t="n"/>
      <c r="D4134" s="57" t="n"/>
      <c r="E4134" s="56" t="n"/>
      <c r="F4134" s="57" t="n"/>
      <c r="G4134" s="57" t="n"/>
      <c r="H4134" s="56" t="n"/>
      <c r="I4134" s="56" t="n"/>
      <c r="J4134" s="58" t="n"/>
      <c r="K4134" s="58" t="n"/>
      <c r="L4134" s="13">
        <f>IF(OR($A4134="",AND($J4134="",$K4134="")),"",ROUND(N($J4134)-N($K4134),2))</f>
        <v/>
      </c>
      <c r="M4134" s="13">
        <f>IF(OR($A4134="",AND($J4134="",$K4134="")),"",MIN($J4134,$K4134))</f>
        <v/>
      </c>
      <c r="Q4134">
        <f>IF($A4134="","",$D4134&amp;"("&amp;SUBSTITUTE($E4134," ","")&amp;")")</f>
        <v/>
      </c>
      <c r="R4134">
        <f>IF($A4134="","",$B4134&amp;" - "&amp;$C4134)</f>
        <v/>
      </c>
      <c r="S4134">
        <f>IF($A4134="","",$R4134&amp;"|"&amp;$Q4134)</f>
        <v/>
      </c>
      <c r="T4134">
        <f>IF($A4134="","",$S4134&amp;"|"&amp;$F4134)</f>
        <v/>
      </c>
      <c r="U4134">
        <f>IF($A4134="","",$R4134&amp;"("&amp;$E4134&amp;")")</f>
        <v/>
      </c>
      <c r="V4134">
        <f>IF($A4134="","",$F4134&amp;"|"&amp;$U4134&amp;"|"&amp;$D4134)</f>
        <v/>
      </c>
      <c r="W4134">
        <f>IF($T4134="","",IF($X4134&gt;N($X4133),$X4134,""))</f>
        <v/>
      </c>
      <c r="X4134">
        <f>IF($T4134="",N($X4133),IF(MATCH($T4134,$T$6:$T$6005,0)=ROW()-5,N($X4133)+1,N($X4133)))</f>
        <v/>
      </c>
      <c r="Z4134">
        <f>IF($V4134="","",IF($AA4134&gt;N($AA4133),$AA4134,""))</f>
        <v/>
      </c>
      <c r="AA4134">
        <f>IF($V4134="",N($AA4133),IF(MATCH($V4134,$V$6:$V$6005,0)=ROW()-5,N($AA4133)+1,N($AA4133)))</f>
        <v/>
      </c>
    </row>
    <row r="4135" ht="21" customHeight="1" s="66">
      <c r="A4135" s="56" t="n"/>
      <c r="B4135" s="57" t="n"/>
      <c r="C4135" s="57" t="n"/>
      <c r="D4135" s="57" t="n"/>
      <c r="E4135" s="56" t="n"/>
      <c r="F4135" s="57" t="n"/>
      <c r="G4135" s="57" t="n"/>
      <c r="H4135" s="56" t="n"/>
      <c r="I4135" s="56" t="n"/>
      <c r="J4135" s="58" t="n"/>
      <c r="K4135" s="58" t="n"/>
      <c r="L4135" s="13">
        <f>IF(OR($A4135="",AND($J4135="",$K4135="")),"",ROUND(N($J4135)-N($K4135),2))</f>
        <v/>
      </c>
      <c r="M4135" s="13">
        <f>IF(OR($A4135="",AND($J4135="",$K4135="")),"",MIN($J4135,$K4135))</f>
        <v/>
      </c>
      <c r="Q4135">
        <f>IF($A4135="","",$D4135&amp;"("&amp;SUBSTITUTE($E4135," ","")&amp;")")</f>
        <v/>
      </c>
      <c r="R4135">
        <f>IF($A4135="","",$B4135&amp;" - "&amp;$C4135)</f>
        <v/>
      </c>
      <c r="S4135">
        <f>IF($A4135="","",$R4135&amp;"|"&amp;$Q4135)</f>
        <v/>
      </c>
      <c r="T4135">
        <f>IF($A4135="","",$S4135&amp;"|"&amp;$F4135)</f>
        <v/>
      </c>
      <c r="U4135">
        <f>IF($A4135="","",$R4135&amp;"("&amp;$E4135&amp;")")</f>
        <v/>
      </c>
      <c r="V4135">
        <f>IF($A4135="","",$F4135&amp;"|"&amp;$U4135&amp;"|"&amp;$D4135)</f>
        <v/>
      </c>
      <c r="W4135">
        <f>IF($T4135="","",IF($X4135&gt;N($X4134),$X4135,""))</f>
        <v/>
      </c>
      <c r="X4135">
        <f>IF($T4135="",N($X4134),IF(MATCH($T4135,$T$6:$T$6005,0)=ROW()-5,N($X4134)+1,N($X4134)))</f>
        <v/>
      </c>
      <c r="Z4135">
        <f>IF($V4135="","",IF($AA4135&gt;N($AA4134),$AA4135,""))</f>
        <v/>
      </c>
      <c r="AA4135">
        <f>IF($V4135="",N($AA4134),IF(MATCH($V4135,$V$6:$V$6005,0)=ROW()-5,N($AA4134)+1,N($AA4134)))</f>
        <v/>
      </c>
    </row>
    <row r="4136" ht="21" customHeight="1" s="66">
      <c r="A4136" s="56" t="n"/>
      <c r="B4136" s="57" t="n"/>
      <c r="C4136" s="57" t="n"/>
      <c r="D4136" s="57" t="n"/>
      <c r="E4136" s="56" t="n"/>
      <c r="F4136" s="57" t="n"/>
      <c r="G4136" s="57" t="n"/>
      <c r="H4136" s="56" t="n"/>
      <c r="I4136" s="56" t="n"/>
      <c r="J4136" s="58" t="n"/>
      <c r="K4136" s="58" t="n"/>
      <c r="L4136" s="13">
        <f>IF(OR($A4136="",AND($J4136="",$K4136="")),"",ROUND(N($J4136)-N($K4136),2))</f>
        <v/>
      </c>
      <c r="M4136" s="13">
        <f>IF(OR($A4136="",AND($J4136="",$K4136="")),"",MIN($J4136,$K4136))</f>
        <v/>
      </c>
      <c r="Q4136">
        <f>IF($A4136="","",$D4136&amp;"("&amp;SUBSTITUTE($E4136," ","")&amp;")")</f>
        <v/>
      </c>
      <c r="R4136">
        <f>IF($A4136="","",$B4136&amp;" - "&amp;$C4136)</f>
        <v/>
      </c>
      <c r="S4136">
        <f>IF($A4136="","",$R4136&amp;"|"&amp;$Q4136)</f>
        <v/>
      </c>
      <c r="T4136">
        <f>IF($A4136="","",$S4136&amp;"|"&amp;$F4136)</f>
        <v/>
      </c>
      <c r="U4136">
        <f>IF($A4136="","",$R4136&amp;"("&amp;$E4136&amp;")")</f>
        <v/>
      </c>
      <c r="V4136">
        <f>IF($A4136="","",$F4136&amp;"|"&amp;$U4136&amp;"|"&amp;$D4136)</f>
        <v/>
      </c>
      <c r="W4136">
        <f>IF($T4136="","",IF($X4136&gt;N($X4135),$X4136,""))</f>
        <v/>
      </c>
      <c r="X4136">
        <f>IF($T4136="",N($X4135),IF(MATCH($T4136,$T$6:$T$6005,0)=ROW()-5,N($X4135)+1,N($X4135)))</f>
        <v/>
      </c>
      <c r="Z4136">
        <f>IF($V4136="","",IF($AA4136&gt;N($AA4135),$AA4136,""))</f>
        <v/>
      </c>
      <c r="AA4136">
        <f>IF($V4136="",N($AA4135),IF(MATCH($V4136,$V$6:$V$6005,0)=ROW()-5,N($AA4135)+1,N($AA4135)))</f>
        <v/>
      </c>
    </row>
    <row r="4137" ht="21" customHeight="1" s="66">
      <c r="A4137" s="56" t="n"/>
      <c r="B4137" s="57" t="n"/>
      <c r="C4137" s="57" t="n"/>
      <c r="D4137" s="57" t="n"/>
      <c r="E4137" s="56" t="n"/>
      <c r="F4137" s="57" t="n"/>
      <c r="G4137" s="57" t="n"/>
      <c r="H4137" s="56" t="n"/>
      <c r="I4137" s="56" t="n"/>
      <c r="J4137" s="58" t="n"/>
      <c r="K4137" s="58" t="n"/>
      <c r="L4137" s="13">
        <f>IF(OR($A4137="",AND($J4137="",$K4137="")),"",ROUND(N($J4137)-N($K4137),2))</f>
        <v/>
      </c>
      <c r="M4137" s="13">
        <f>IF(OR($A4137="",AND($J4137="",$K4137="")),"",MIN($J4137,$K4137))</f>
        <v/>
      </c>
      <c r="Q4137">
        <f>IF($A4137="","",$D4137&amp;"("&amp;SUBSTITUTE($E4137," ","")&amp;")")</f>
        <v/>
      </c>
      <c r="R4137">
        <f>IF($A4137="","",$B4137&amp;" - "&amp;$C4137)</f>
        <v/>
      </c>
      <c r="S4137">
        <f>IF($A4137="","",$R4137&amp;"|"&amp;$Q4137)</f>
        <v/>
      </c>
      <c r="T4137">
        <f>IF($A4137="","",$S4137&amp;"|"&amp;$F4137)</f>
        <v/>
      </c>
      <c r="U4137">
        <f>IF($A4137="","",$R4137&amp;"("&amp;$E4137&amp;")")</f>
        <v/>
      </c>
      <c r="V4137">
        <f>IF($A4137="","",$F4137&amp;"|"&amp;$U4137&amp;"|"&amp;$D4137)</f>
        <v/>
      </c>
      <c r="W4137">
        <f>IF($T4137="","",IF($X4137&gt;N($X4136),$X4137,""))</f>
        <v/>
      </c>
      <c r="X4137">
        <f>IF($T4137="",N($X4136),IF(MATCH($T4137,$T$6:$T$6005,0)=ROW()-5,N($X4136)+1,N($X4136)))</f>
        <v/>
      </c>
      <c r="Z4137">
        <f>IF($V4137="","",IF($AA4137&gt;N($AA4136),$AA4137,""))</f>
        <v/>
      </c>
      <c r="AA4137">
        <f>IF($V4137="",N($AA4136),IF(MATCH($V4137,$V$6:$V$6005,0)=ROW()-5,N($AA4136)+1,N($AA4136)))</f>
        <v/>
      </c>
    </row>
    <row r="4138" ht="21" customHeight="1" s="66">
      <c r="A4138" s="56" t="n"/>
      <c r="B4138" s="57" t="n"/>
      <c r="C4138" s="57" t="n"/>
      <c r="D4138" s="57" t="n"/>
      <c r="E4138" s="56" t="n"/>
      <c r="F4138" s="57" t="n"/>
      <c r="G4138" s="57" t="n"/>
      <c r="H4138" s="56" t="n"/>
      <c r="I4138" s="56" t="n"/>
      <c r="J4138" s="58" t="n"/>
      <c r="K4138" s="58" t="n"/>
      <c r="L4138" s="13">
        <f>IF(OR($A4138="",AND($J4138="",$K4138="")),"",ROUND(N($J4138)-N($K4138),2))</f>
        <v/>
      </c>
      <c r="M4138" s="13">
        <f>IF(OR($A4138="",AND($J4138="",$K4138="")),"",MIN($J4138,$K4138))</f>
        <v/>
      </c>
      <c r="Q4138">
        <f>IF($A4138="","",$D4138&amp;"("&amp;SUBSTITUTE($E4138," ","")&amp;")")</f>
        <v/>
      </c>
      <c r="R4138">
        <f>IF($A4138="","",$B4138&amp;" - "&amp;$C4138)</f>
        <v/>
      </c>
      <c r="S4138">
        <f>IF($A4138="","",$R4138&amp;"|"&amp;$Q4138)</f>
        <v/>
      </c>
      <c r="T4138">
        <f>IF($A4138="","",$S4138&amp;"|"&amp;$F4138)</f>
        <v/>
      </c>
      <c r="U4138">
        <f>IF($A4138="","",$R4138&amp;"("&amp;$E4138&amp;")")</f>
        <v/>
      </c>
      <c r="V4138">
        <f>IF($A4138="","",$F4138&amp;"|"&amp;$U4138&amp;"|"&amp;$D4138)</f>
        <v/>
      </c>
      <c r="W4138">
        <f>IF($T4138="","",IF($X4138&gt;N($X4137),$X4138,""))</f>
        <v/>
      </c>
      <c r="X4138">
        <f>IF($T4138="",N($X4137),IF(MATCH($T4138,$T$6:$T$6005,0)=ROW()-5,N($X4137)+1,N($X4137)))</f>
        <v/>
      </c>
      <c r="Z4138">
        <f>IF($V4138="","",IF($AA4138&gt;N($AA4137),$AA4138,""))</f>
        <v/>
      </c>
      <c r="AA4138">
        <f>IF($V4138="",N($AA4137),IF(MATCH($V4138,$V$6:$V$6005,0)=ROW()-5,N($AA4137)+1,N($AA4137)))</f>
        <v/>
      </c>
    </row>
    <row r="4139" ht="21" customHeight="1" s="66">
      <c r="A4139" s="56" t="n"/>
      <c r="B4139" s="57" t="n"/>
      <c r="C4139" s="57" t="n"/>
      <c r="D4139" s="57" t="n"/>
      <c r="E4139" s="56" t="n"/>
      <c r="F4139" s="57" t="n"/>
      <c r="G4139" s="57" t="n"/>
      <c r="H4139" s="56" t="n"/>
      <c r="I4139" s="56" t="n"/>
      <c r="J4139" s="58" t="n"/>
      <c r="K4139" s="58" t="n"/>
      <c r="L4139" s="13">
        <f>IF(OR($A4139="",AND($J4139="",$K4139="")),"",ROUND(N($J4139)-N($K4139),2))</f>
        <v/>
      </c>
      <c r="M4139" s="13">
        <f>IF(OR($A4139="",AND($J4139="",$K4139="")),"",MIN($J4139,$K4139))</f>
        <v/>
      </c>
      <c r="Q4139">
        <f>IF($A4139="","",$D4139&amp;"("&amp;SUBSTITUTE($E4139," ","")&amp;")")</f>
        <v/>
      </c>
      <c r="R4139">
        <f>IF($A4139="","",$B4139&amp;" - "&amp;$C4139)</f>
        <v/>
      </c>
      <c r="S4139">
        <f>IF($A4139="","",$R4139&amp;"|"&amp;$Q4139)</f>
        <v/>
      </c>
      <c r="T4139">
        <f>IF($A4139="","",$S4139&amp;"|"&amp;$F4139)</f>
        <v/>
      </c>
      <c r="U4139">
        <f>IF($A4139="","",$R4139&amp;"("&amp;$E4139&amp;")")</f>
        <v/>
      </c>
      <c r="V4139">
        <f>IF($A4139="","",$F4139&amp;"|"&amp;$U4139&amp;"|"&amp;$D4139)</f>
        <v/>
      </c>
      <c r="W4139">
        <f>IF($T4139="","",IF($X4139&gt;N($X4138),$X4139,""))</f>
        <v/>
      </c>
      <c r="X4139">
        <f>IF($T4139="",N($X4138),IF(MATCH($T4139,$T$6:$T$6005,0)=ROW()-5,N($X4138)+1,N($X4138)))</f>
        <v/>
      </c>
      <c r="Z4139">
        <f>IF($V4139="","",IF($AA4139&gt;N($AA4138),$AA4139,""))</f>
        <v/>
      </c>
      <c r="AA4139">
        <f>IF($V4139="",N($AA4138),IF(MATCH($V4139,$V$6:$V$6005,0)=ROW()-5,N($AA4138)+1,N($AA4138)))</f>
        <v/>
      </c>
    </row>
    <row r="4140" ht="21" customHeight="1" s="66">
      <c r="A4140" s="56" t="n"/>
      <c r="B4140" s="57" t="n"/>
      <c r="C4140" s="57" t="n"/>
      <c r="D4140" s="57" t="n"/>
      <c r="E4140" s="56" t="n"/>
      <c r="F4140" s="57" t="n"/>
      <c r="G4140" s="57" t="n"/>
      <c r="H4140" s="56" t="n"/>
      <c r="I4140" s="56" t="n"/>
      <c r="J4140" s="58" t="n"/>
      <c r="K4140" s="58" t="n"/>
      <c r="L4140" s="13">
        <f>IF(OR($A4140="",AND($J4140="",$K4140="")),"",ROUND(N($J4140)-N($K4140),2))</f>
        <v/>
      </c>
      <c r="M4140" s="13">
        <f>IF(OR($A4140="",AND($J4140="",$K4140="")),"",MIN($J4140,$K4140))</f>
        <v/>
      </c>
      <c r="Q4140">
        <f>IF($A4140="","",$D4140&amp;"("&amp;SUBSTITUTE($E4140," ","")&amp;")")</f>
        <v/>
      </c>
      <c r="R4140">
        <f>IF($A4140="","",$B4140&amp;" - "&amp;$C4140)</f>
        <v/>
      </c>
      <c r="S4140">
        <f>IF($A4140="","",$R4140&amp;"|"&amp;$Q4140)</f>
        <v/>
      </c>
      <c r="T4140">
        <f>IF($A4140="","",$S4140&amp;"|"&amp;$F4140)</f>
        <v/>
      </c>
      <c r="U4140">
        <f>IF($A4140="","",$R4140&amp;"("&amp;$E4140&amp;")")</f>
        <v/>
      </c>
      <c r="V4140">
        <f>IF($A4140="","",$F4140&amp;"|"&amp;$U4140&amp;"|"&amp;$D4140)</f>
        <v/>
      </c>
      <c r="W4140">
        <f>IF($T4140="","",IF($X4140&gt;N($X4139),$X4140,""))</f>
        <v/>
      </c>
      <c r="X4140">
        <f>IF($T4140="",N($X4139),IF(MATCH($T4140,$T$6:$T$6005,0)=ROW()-5,N($X4139)+1,N($X4139)))</f>
        <v/>
      </c>
      <c r="Z4140">
        <f>IF($V4140="","",IF($AA4140&gt;N($AA4139),$AA4140,""))</f>
        <v/>
      </c>
      <c r="AA4140">
        <f>IF($V4140="",N($AA4139),IF(MATCH($V4140,$V$6:$V$6005,0)=ROW()-5,N($AA4139)+1,N($AA4139)))</f>
        <v/>
      </c>
    </row>
    <row r="4141" ht="21" customHeight="1" s="66">
      <c r="A4141" s="56" t="n"/>
      <c r="B4141" s="57" t="n"/>
      <c r="C4141" s="57" t="n"/>
      <c r="D4141" s="57" t="n"/>
      <c r="E4141" s="56" t="n"/>
      <c r="F4141" s="57" t="n"/>
      <c r="G4141" s="57" t="n"/>
      <c r="H4141" s="56" t="n"/>
      <c r="I4141" s="56" t="n"/>
      <c r="J4141" s="58" t="n"/>
      <c r="K4141" s="58" t="n"/>
      <c r="L4141" s="13">
        <f>IF(OR($A4141="",AND($J4141="",$K4141="")),"",ROUND(N($J4141)-N($K4141),2))</f>
        <v/>
      </c>
      <c r="M4141" s="13">
        <f>IF(OR($A4141="",AND($J4141="",$K4141="")),"",MIN($J4141,$K4141))</f>
        <v/>
      </c>
      <c r="Q4141">
        <f>IF($A4141="","",$D4141&amp;"("&amp;SUBSTITUTE($E4141," ","")&amp;")")</f>
        <v/>
      </c>
      <c r="R4141">
        <f>IF($A4141="","",$B4141&amp;" - "&amp;$C4141)</f>
        <v/>
      </c>
      <c r="S4141">
        <f>IF($A4141="","",$R4141&amp;"|"&amp;$Q4141)</f>
        <v/>
      </c>
      <c r="T4141">
        <f>IF($A4141="","",$S4141&amp;"|"&amp;$F4141)</f>
        <v/>
      </c>
      <c r="U4141">
        <f>IF($A4141="","",$R4141&amp;"("&amp;$E4141&amp;")")</f>
        <v/>
      </c>
      <c r="V4141">
        <f>IF($A4141="","",$F4141&amp;"|"&amp;$U4141&amp;"|"&amp;$D4141)</f>
        <v/>
      </c>
      <c r="W4141">
        <f>IF($T4141="","",IF($X4141&gt;N($X4140),$X4141,""))</f>
        <v/>
      </c>
      <c r="X4141">
        <f>IF($T4141="",N($X4140),IF(MATCH($T4141,$T$6:$T$6005,0)=ROW()-5,N($X4140)+1,N($X4140)))</f>
        <v/>
      </c>
      <c r="Z4141">
        <f>IF($V4141="","",IF($AA4141&gt;N($AA4140),$AA4141,""))</f>
        <v/>
      </c>
      <c r="AA4141">
        <f>IF($V4141="",N($AA4140),IF(MATCH($V4141,$V$6:$V$6005,0)=ROW()-5,N($AA4140)+1,N($AA4140)))</f>
        <v/>
      </c>
    </row>
    <row r="4142" ht="21" customHeight="1" s="66">
      <c r="A4142" s="56" t="n"/>
      <c r="B4142" s="57" t="n"/>
      <c r="C4142" s="57" t="n"/>
      <c r="D4142" s="57" t="n"/>
      <c r="E4142" s="56" t="n"/>
      <c r="F4142" s="57" t="n"/>
      <c r="G4142" s="57" t="n"/>
      <c r="H4142" s="56" t="n"/>
      <c r="I4142" s="56" t="n"/>
      <c r="J4142" s="58" t="n"/>
      <c r="K4142" s="58" t="n"/>
      <c r="L4142" s="13">
        <f>IF(OR($A4142="",AND($J4142="",$K4142="")),"",ROUND(N($J4142)-N($K4142),2))</f>
        <v/>
      </c>
      <c r="M4142" s="13">
        <f>IF(OR($A4142="",AND($J4142="",$K4142="")),"",MIN($J4142,$K4142))</f>
        <v/>
      </c>
      <c r="Q4142">
        <f>IF($A4142="","",$D4142&amp;"("&amp;SUBSTITUTE($E4142," ","")&amp;")")</f>
        <v/>
      </c>
      <c r="R4142">
        <f>IF($A4142="","",$B4142&amp;" - "&amp;$C4142)</f>
        <v/>
      </c>
      <c r="S4142">
        <f>IF($A4142="","",$R4142&amp;"|"&amp;$Q4142)</f>
        <v/>
      </c>
      <c r="T4142">
        <f>IF($A4142="","",$S4142&amp;"|"&amp;$F4142)</f>
        <v/>
      </c>
      <c r="U4142">
        <f>IF($A4142="","",$R4142&amp;"("&amp;$E4142&amp;")")</f>
        <v/>
      </c>
      <c r="V4142">
        <f>IF($A4142="","",$F4142&amp;"|"&amp;$U4142&amp;"|"&amp;$D4142)</f>
        <v/>
      </c>
      <c r="W4142">
        <f>IF($T4142="","",IF($X4142&gt;N($X4141),$X4142,""))</f>
        <v/>
      </c>
      <c r="X4142">
        <f>IF($T4142="",N($X4141),IF(MATCH($T4142,$T$6:$T$6005,0)=ROW()-5,N($X4141)+1,N($X4141)))</f>
        <v/>
      </c>
      <c r="Z4142">
        <f>IF($V4142="","",IF($AA4142&gt;N($AA4141),$AA4142,""))</f>
        <v/>
      </c>
      <c r="AA4142">
        <f>IF($V4142="",N($AA4141),IF(MATCH($V4142,$V$6:$V$6005,0)=ROW()-5,N($AA4141)+1,N($AA4141)))</f>
        <v/>
      </c>
    </row>
    <row r="4143" ht="21" customHeight="1" s="66">
      <c r="A4143" s="56" t="n"/>
      <c r="B4143" s="57" t="n"/>
      <c r="C4143" s="57" t="n"/>
      <c r="D4143" s="57" t="n"/>
      <c r="E4143" s="56" t="n"/>
      <c r="F4143" s="57" t="n"/>
      <c r="G4143" s="57" t="n"/>
      <c r="H4143" s="56" t="n"/>
      <c r="I4143" s="56" t="n"/>
      <c r="J4143" s="58" t="n"/>
      <c r="K4143" s="58" t="n"/>
      <c r="L4143" s="13">
        <f>IF(OR($A4143="",AND($J4143="",$K4143="")),"",ROUND(N($J4143)-N($K4143),2))</f>
        <v/>
      </c>
      <c r="M4143" s="13">
        <f>IF(OR($A4143="",AND($J4143="",$K4143="")),"",MIN($J4143,$K4143))</f>
        <v/>
      </c>
      <c r="Q4143">
        <f>IF($A4143="","",$D4143&amp;"("&amp;SUBSTITUTE($E4143," ","")&amp;")")</f>
        <v/>
      </c>
      <c r="R4143">
        <f>IF($A4143="","",$B4143&amp;" - "&amp;$C4143)</f>
        <v/>
      </c>
      <c r="S4143">
        <f>IF($A4143="","",$R4143&amp;"|"&amp;$Q4143)</f>
        <v/>
      </c>
      <c r="T4143">
        <f>IF($A4143="","",$S4143&amp;"|"&amp;$F4143)</f>
        <v/>
      </c>
      <c r="U4143">
        <f>IF($A4143="","",$R4143&amp;"("&amp;$E4143&amp;")")</f>
        <v/>
      </c>
      <c r="V4143">
        <f>IF($A4143="","",$F4143&amp;"|"&amp;$U4143&amp;"|"&amp;$D4143)</f>
        <v/>
      </c>
      <c r="W4143">
        <f>IF($T4143="","",IF($X4143&gt;N($X4142),$X4143,""))</f>
        <v/>
      </c>
      <c r="X4143">
        <f>IF($T4143="",N($X4142),IF(MATCH($T4143,$T$6:$T$6005,0)=ROW()-5,N($X4142)+1,N($X4142)))</f>
        <v/>
      </c>
      <c r="Z4143">
        <f>IF($V4143="","",IF($AA4143&gt;N($AA4142),$AA4143,""))</f>
        <v/>
      </c>
      <c r="AA4143">
        <f>IF($V4143="",N($AA4142),IF(MATCH($V4143,$V$6:$V$6005,0)=ROW()-5,N($AA4142)+1,N($AA4142)))</f>
        <v/>
      </c>
    </row>
    <row r="4144" ht="21" customHeight="1" s="66">
      <c r="A4144" s="56" t="n"/>
      <c r="B4144" s="57" t="n"/>
      <c r="C4144" s="57" t="n"/>
      <c r="D4144" s="57" t="n"/>
      <c r="E4144" s="56" t="n"/>
      <c r="F4144" s="57" t="n"/>
      <c r="G4144" s="57" t="n"/>
      <c r="H4144" s="56" t="n"/>
      <c r="I4144" s="56" t="n"/>
      <c r="J4144" s="58" t="n"/>
      <c r="K4144" s="58" t="n"/>
      <c r="L4144" s="13">
        <f>IF(OR($A4144="",AND($J4144="",$K4144="")),"",ROUND(N($J4144)-N($K4144),2))</f>
        <v/>
      </c>
      <c r="M4144" s="13">
        <f>IF(OR($A4144="",AND($J4144="",$K4144="")),"",MIN($J4144,$K4144))</f>
        <v/>
      </c>
      <c r="Q4144">
        <f>IF($A4144="","",$D4144&amp;"("&amp;SUBSTITUTE($E4144," ","")&amp;")")</f>
        <v/>
      </c>
      <c r="R4144">
        <f>IF($A4144="","",$B4144&amp;" - "&amp;$C4144)</f>
        <v/>
      </c>
      <c r="S4144">
        <f>IF($A4144="","",$R4144&amp;"|"&amp;$Q4144)</f>
        <v/>
      </c>
      <c r="T4144">
        <f>IF($A4144="","",$S4144&amp;"|"&amp;$F4144)</f>
        <v/>
      </c>
      <c r="U4144">
        <f>IF($A4144="","",$R4144&amp;"("&amp;$E4144&amp;")")</f>
        <v/>
      </c>
      <c r="V4144">
        <f>IF($A4144="","",$F4144&amp;"|"&amp;$U4144&amp;"|"&amp;$D4144)</f>
        <v/>
      </c>
      <c r="W4144">
        <f>IF($T4144="","",IF($X4144&gt;N($X4143),$X4144,""))</f>
        <v/>
      </c>
      <c r="X4144">
        <f>IF($T4144="",N($X4143),IF(MATCH($T4144,$T$6:$T$6005,0)=ROW()-5,N($X4143)+1,N($X4143)))</f>
        <v/>
      </c>
      <c r="Z4144">
        <f>IF($V4144="","",IF($AA4144&gt;N($AA4143),$AA4144,""))</f>
        <v/>
      </c>
      <c r="AA4144">
        <f>IF($V4144="",N($AA4143),IF(MATCH($V4144,$V$6:$V$6005,0)=ROW()-5,N($AA4143)+1,N($AA4143)))</f>
        <v/>
      </c>
    </row>
    <row r="4145" ht="21" customHeight="1" s="66">
      <c r="A4145" s="56" t="n"/>
      <c r="B4145" s="57" t="n"/>
      <c r="C4145" s="57" t="n"/>
      <c r="D4145" s="57" t="n"/>
      <c r="E4145" s="56" t="n"/>
      <c r="F4145" s="57" t="n"/>
      <c r="G4145" s="57" t="n"/>
      <c r="H4145" s="56" t="n"/>
      <c r="I4145" s="56" t="n"/>
      <c r="J4145" s="58" t="n"/>
      <c r="K4145" s="58" t="n"/>
      <c r="L4145" s="13">
        <f>IF(OR($A4145="",AND($J4145="",$K4145="")),"",ROUND(N($J4145)-N($K4145),2))</f>
        <v/>
      </c>
      <c r="M4145" s="13">
        <f>IF(OR($A4145="",AND($J4145="",$K4145="")),"",MIN($J4145,$K4145))</f>
        <v/>
      </c>
      <c r="Q4145">
        <f>IF($A4145="","",$D4145&amp;"("&amp;SUBSTITUTE($E4145," ","")&amp;")")</f>
        <v/>
      </c>
      <c r="R4145">
        <f>IF($A4145="","",$B4145&amp;" - "&amp;$C4145)</f>
        <v/>
      </c>
      <c r="S4145">
        <f>IF($A4145="","",$R4145&amp;"|"&amp;$Q4145)</f>
        <v/>
      </c>
      <c r="T4145">
        <f>IF($A4145="","",$S4145&amp;"|"&amp;$F4145)</f>
        <v/>
      </c>
      <c r="U4145">
        <f>IF($A4145="","",$R4145&amp;"("&amp;$E4145&amp;")")</f>
        <v/>
      </c>
      <c r="V4145">
        <f>IF($A4145="","",$F4145&amp;"|"&amp;$U4145&amp;"|"&amp;$D4145)</f>
        <v/>
      </c>
      <c r="W4145">
        <f>IF($T4145="","",IF($X4145&gt;N($X4144),$X4145,""))</f>
        <v/>
      </c>
      <c r="X4145">
        <f>IF($T4145="",N($X4144),IF(MATCH($T4145,$T$6:$T$6005,0)=ROW()-5,N($X4144)+1,N($X4144)))</f>
        <v/>
      </c>
      <c r="Z4145">
        <f>IF($V4145="","",IF($AA4145&gt;N($AA4144),$AA4145,""))</f>
        <v/>
      </c>
      <c r="AA4145">
        <f>IF($V4145="",N($AA4144),IF(MATCH($V4145,$V$6:$V$6005,0)=ROW()-5,N($AA4144)+1,N($AA4144)))</f>
        <v/>
      </c>
    </row>
    <row r="4146" ht="21" customHeight="1" s="66">
      <c r="A4146" s="56" t="n"/>
      <c r="B4146" s="57" t="n"/>
      <c r="C4146" s="57" t="n"/>
      <c r="D4146" s="57" t="n"/>
      <c r="E4146" s="56" t="n"/>
      <c r="F4146" s="57" t="n"/>
      <c r="G4146" s="57" t="n"/>
      <c r="H4146" s="56" t="n"/>
      <c r="I4146" s="56" t="n"/>
      <c r="J4146" s="58" t="n"/>
      <c r="K4146" s="58" t="n"/>
      <c r="L4146" s="13">
        <f>IF(OR($A4146="",AND($J4146="",$K4146="")),"",ROUND(N($J4146)-N($K4146),2))</f>
        <v/>
      </c>
      <c r="M4146" s="13">
        <f>IF(OR($A4146="",AND($J4146="",$K4146="")),"",MIN($J4146,$K4146))</f>
        <v/>
      </c>
      <c r="Q4146">
        <f>IF($A4146="","",$D4146&amp;"("&amp;SUBSTITUTE($E4146," ","")&amp;")")</f>
        <v/>
      </c>
      <c r="R4146">
        <f>IF($A4146="","",$B4146&amp;" - "&amp;$C4146)</f>
        <v/>
      </c>
      <c r="S4146">
        <f>IF($A4146="","",$R4146&amp;"|"&amp;$Q4146)</f>
        <v/>
      </c>
      <c r="T4146">
        <f>IF($A4146="","",$S4146&amp;"|"&amp;$F4146)</f>
        <v/>
      </c>
      <c r="U4146">
        <f>IF($A4146="","",$R4146&amp;"("&amp;$E4146&amp;")")</f>
        <v/>
      </c>
      <c r="V4146">
        <f>IF($A4146="","",$F4146&amp;"|"&amp;$U4146&amp;"|"&amp;$D4146)</f>
        <v/>
      </c>
      <c r="W4146">
        <f>IF($T4146="","",IF($X4146&gt;N($X4145),$X4146,""))</f>
        <v/>
      </c>
      <c r="X4146">
        <f>IF($T4146="",N($X4145),IF(MATCH($T4146,$T$6:$T$6005,0)=ROW()-5,N($X4145)+1,N($X4145)))</f>
        <v/>
      </c>
      <c r="Z4146">
        <f>IF($V4146="","",IF($AA4146&gt;N($AA4145),$AA4146,""))</f>
        <v/>
      </c>
      <c r="AA4146">
        <f>IF($V4146="",N($AA4145),IF(MATCH($V4146,$V$6:$V$6005,0)=ROW()-5,N($AA4145)+1,N($AA4145)))</f>
        <v/>
      </c>
    </row>
    <row r="4147" ht="21" customHeight="1" s="66">
      <c r="A4147" s="56" t="n"/>
      <c r="B4147" s="57" t="n"/>
      <c r="C4147" s="57" t="n"/>
      <c r="D4147" s="57" t="n"/>
      <c r="E4147" s="56" t="n"/>
      <c r="F4147" s="57" t="n"/>
      <c r="G4147" s="57" t="n"/>
      <c r="H4147" s="56" t="n"/>
      <c r="I4147" s="56" t="n"/>
      <c r="J4147" s="58" t="n"/>
      <c r="K4147" s="58" t="n"/>
      <c r="L4147" s="13">
        <f>IF(OR($A4147="",AND($J4147="",$K4147="")),"",ROUND(N($J4147)-N($K4147),2))</f>
        <v/>
      </c>
      <c r="M4147" s="13">
        <f>IF(OR($A4147="",AND($J4147="",$K4147="")),"",MIN($J4147,$K4147))</f>
        <v/>
      </c>
      <c r="Q4147">
        <f>IF($A4147="","",$D4147&amp;"("&amp;SUBSTITUTE($E4147," ","")&amp;")")</f>
        <v/>
      </c>
      <c r="R4147">
        <f>IF($A4147="","",$B4147&amp;" - "&amp;$C4147)</f>
        <v/>
      </c>
      <c r="S4147">
        <f>IF($A4147="","",$R4147&amp;"|"&amp;$Q4147)</f>
        <v/>
      </c>
      <c r="T4147">
        <f>IF($A4147="","",$S4147&amp;"|"&amp;$F4147)</f>
        <v/>
      </c>
      <c r="U4147">
        <f>IF($A4147="","",$R4147&amp;"("&amp;$E4147&amp;")")</f>
        <v/>
      </c>
      <c r="V4147">
        <f>IF($A4147="","",$F4147&amp;"|"&amp;$U4147&amp;"|"&amp;$D4147)</f>
        <v/>
      </c>
      <c r="W4147">
        <f>IF($T4147="","",IF($X4147&gt;N($X4146),$X4147,""))</f>
        <v/>
      </c>
      <c r="X4147">
        <f>IF($T4147="",N($X4146),IF(MATCH($T4147,$T$6:$T$6005,0)=ROW()-5,N($X4146)+1,N($X4146)))</f>
        <v/>
      </c>
      <c r="Z4147">
        <f>IF($V4147="","",IF($AA4147&gt;N($AA4146),$AA4147,""))</f>
        <v/>
      </c>
      <c r="AA4147">
        <f>IF($V4147="",N($AA4146),IF(MATCH($V4147,$V$6:$V$6005,0)=ROW()-5,N($AA4146)+1,N($AA4146)))</f>
        <v/>
      </c>
    </row>
    <row r="4148" ht="21" customHeight="1" s="66">
      <c r="A4148" s="56" t="n"/>
      <c r="B4148" s="57" t="n"/>
      <c r="C4148" s="57" t="n"/>
      <c r="D4148" s="57" t="n"/>
      <c r="E4148" s="56" t="n"/>
      <c r="F4148" s="57" t="n"/>
      <c r="G4148" s="57" t="n"/>
      <c r="H4148" s="56" t="n"/>
      <c r="I4148" s="56" t="n"/>
      <c r="J4148" s="58" t="n"/>
      <c r="K4148" s="58" t="n"/>
      <c r="L4148" s="13">
        <f>IF(OR($A4148="",AND($J4148="",$K4148="")),"",ROUND(N($J4148)-N($K4148),2))</f>
        <v/>
      </c>
      <c r="M4148" s="13">
        <f>IF(OR($A4148="",AND($J4148="",$K4148="")),"",MIN($J4148,$K4148))</f>
        <v/>
      </c>
      <c r="Q4148">
        <f>IF($A4148="","",$D4148&amp;"("&amp;SUBSTITUTE($E4148," ","")&amp;")")</f>
        <v/>
      </c>
      <c r="R4148">
        <f>IF($A4148="","",$B4148&amp;" - "&amp;$C4148)</f>
        <v/>
      </c>
      <c r="S4148">
        <f>IF($A4148="","",$R4148&amp;"|"&amp;$Q4148)</f>
        <v/>
      </c>
      <c r="T4148">
        <f>IF($A4148="","",$S4148&amp;"|"&amp;$F4148)</f>
        <v/>
      </c>
      <c r="U4148">
        <f>IF($A4148="","",$R4148&amp;"("&amp;$E4148&amp;")")</f>
        <v/>
      </c>
      <c r="V4148">
        <f>IF($A4148="","",$F4148&amp;"|"&amp;$U4148&amp;"|"&amp;$D4148)</f>
        <v/>
      </c>
      <c r="W4148">
        <f>IF($T4148="","",IF($X4148&gt;N($X4147),$X4148,""))</f>
        <v/>
      </c>
      <c r="X4148">
        <f>IF($T4148="",N($X4147),IF(MATCH($T4148,$T$6:$T$6005,0)=ROW()-5,N($X4147)+1,N($X4147)))</f>
        <v/>
      </c>
      <c r="Z4148">
        <f>IF($V4148="","",IF($AA4148&gt;N($AA4147),$AA4148,""))</f>
        <v/>
      </c>
      <c r="AA4148">
        <f>IF($V4148="",N($AA4147),IF(MATCH($V4148,$V$6:$V$6005,0)=ROW()-5,N($AA4147)+1,N($AA4147)))</f>
        <v/>
      </c>
    </row>
    <row r="4149" ht="21" customHeight="1" s="66">
      <c r="A4149" s="56" t="n"/>
      <c r="B4149" s="57" t="n"/>
      <c r="C4149" s="57" t="n"/>
      <c r="D4149" s="57" t="n"/>
      <c r="E4149" s="56" t="n"/>
      <c r="F4149" s="57" t="n"/>
      <c r="G4149" s="57" t="n"/>
      <c r="H4149" s="56" t="n"/>
      <c r="I4149" s="56" t="n"/>
      <c r="J4149" s="58" t="n"/>
      <c r="K4149" s="58" t="n"/>
      <c r="L4149" s="13">
        <f>IF(OR($A4149="",AND($J4149="",$K4149="")),"",ROUND(N($J4149)-N($K4149),2))</f>
        <v/>
      </c>
      <c r="M4149" s="13">
        <f>IF(OR($A4149="",AND($J4149="",$K4149="")),"",MIN($J4149,$K4149))</f>
        <v/>
      </c>
      <c r="Q4149">
        <f>IF($A4149="","",$D4149&amp;"("&amp;SUBSTITUTE($E4149," ","")&amp;")")</f>
        <v/>
      </c>
      <c r="R4149">
        <f>IF($A4149="","",$B4149&amp;" - "&amp;$C4149)</f>
        <v/>
      </c>
      <c r="S4149">
        <f>IF($A4149="","",$R4149&amp;"|"&amp;$Q4149)</f>
        <v/>
      </c>
      <c r="T4149">
        <f>IF($A4149="","",$S4149&amp;"|"&amp;$F4149)</f>
        <v/>
      </c>
      <c r="U4149">
        <f>IF($A4149="","",$R4149&amp;"("&amp;$E4149&amp;")")</f>
        <v/>
      </c>
      <c r="V4149">
        <f>IF($A4149="","",$F4149&amp;"|"&amp;$U4149&amp;"|"&amp;$D4149)</f>
        <v/>
      </c>
      <c r="W4149">
        <f>IF($T4149="","",IF($X4149&gt;N($X4148),$X4149,""))</f>
        <v/>
      </c>
      <c r="X4149">
        <f>IF($T4149="",N($X4148),IF(MATCH($T4149,$T$6:$T$6005,0)=ROW()-5,N($X4148)+1,N($X4148)))</f>
        <v/>
      </c>
      <c r="Z4149">
        <f>IF($V4149="","",IF($AA4149&gt;N($AA4148),$AA4149,""))</f>
        <v/>
      </c>
      <c r="AA4149">
        <f>IF($V4149="",N($AA4148),IF(MATCH($V4149,$V$6:$V$6005,0)=ROW()-5,N($AA4148)+1,N($AA4148)))</f>
        <v/>
      </c>
    </row>
    <row r="4150" ht="21" customHeight="1" s="66">
      <c r="A4150" s="56" t="n"/>
      <c r="B4150" s="57" t="n"/>
      <c r="C4150" s="57" t="n"/>
      <c r="D4150" s="57" t="n"/>
      <c r="E4150" s="56" t="n"/>
      <c r="F4150" s="57" t="n"/>
      <c r="G4150" s="57" t="n"/>
      <c r="H4150" s="56" t="n"/>
      <c r="I4150" s="56" t="n"/>
      <c r="J4150" s="58" t="n"/>
      <c r="K4150" s="58" t="n"/>
      <c r="L4150" s="13">
        <f>IF(OR($A4150="",AND($J4150="",$K4150="")),"",ROUND(N($J4150)-N($K4150),2))</f>
        <v/>
      </c>
      <c r="M4150" s="13">
        <f>IF(OR($A4150="",AND($J4150="",$K4150="")),"",MIN($J4150,$K4150))</f>
        <v/>
      </c>
      <c r="Q4150">
        <f>IF($A4150="","",$D4150&amp;"("&amp;SUBSTITUTE($E4150," ","")&amp;")")</f>
        <v/>
      </c>
      <c r="R4150">
        <f>IF($A4150="","",$B4150&amp;" - "&amp;$C4150)</f>
        <v/>
      </c>
      <c r="S4150">
        <f>IF($A4150="","",$R4150&amp;"|"&amp;$Q4150)</f>
        <v/>
      </c>
      <c r="T4150">
        <f>IF($A4150="","",$S4150&amp;"|"&amp;$F4150)</f>
        <v/>
      </c>
      <c r="U4150">
        <f>IF($A4150="","",$R4150&amp;"("&amp;$E4150&amp;")")</f>
        <v/>
      </c>
      <c r="V4150">
        <f>IF($A4150="","",$F4150&amp;"|"&amp;$U4150&amp;"|"&amp;$D4150)</f>
        <v/>
      </c>
      <c r="W4150">
        <f>IF($T4150="","",IF($X4150&gt;N($X4149),$X4150,""))</f>
        <v/>
      </c>
      <c r="X4150">
        <f>IF($T4150="",N($X4149),IF(MATCH($T4150,$T$6:$T$6005,0)=ROW()-5,N($X4149)+1,N($X4149)))</f>
        <v/>
      </c>
      <c r="Z4150">
        <f>IF($V4150="","",IF($AA4150&gt;N($AA4149),$AA4150,""))</f>
        <v/>
      </c>
      <c r="AA4150">
        <f>IF($V4150="",N($AA4149),IF(MATCH($V4150,$V$6:$V$6005,0)=ROW()-5,N($AA4149)+1,N($AA4149)))</f>
        <v/>
      </c>
    </row>
    <row r="4151" ht="21" customHeight="1" s="66">
      <c r="A4151" s="56" t="n"/>
      <c r="B4151" s="57" t="n"/>
      <c r="C4151" s="57" t="n"/>
      <c r="D4151" s="57" t="n"/>
      <c r="E4151" s="56" t="n"/>
      <c r="F4151" s="57" t="n"/>
      <c r="G4151" s="57" t="n"/>
      <c r="H4151" s="56" t="n"/>
      <c r="I4151" s="56" t="n"/>
      <c r="J4151" s="58" t="n"/>
      <c r="K4151" s="58" t="n"/>
      <c r="L4151" s="13">
        <f>IF(OR($A4151="",AND($J4151="",$K4151="")),"",ROUND(N($J4151)-N($K4151),2))</f>
        <v/>
      </c>
      <c r="M4151" s="13">
        <f>IF(OR($A4151="",AND($J4151="",$K4151="")),"",MIN($J4151,$K4151))</f>
        <v/>
      </c>
      <c r="Q4151">
        <f>IF($A4151="","",$D4151&amp;"("&amp;SUBSTITUTE($E4151," ","")&amp;")")</f>
        <v/>
      </c>
      <c r="R4151">
        <f>IF($A4151="","",$B4151&amp;" - "&amp;$C4151)</f>
        <v/>
      </c>
      <c r="S4151">
        <f>IF($A4151="","",$R4151&amp;"|"&amp;$Q4151)</f>
        <v/>
      </c>
      <c r="T4151">
        <f>IF($A4151="","",$S4151&amp;"|"&amp;$F4151)</f>
        <v/>
      </c>
      <c r="U4151">
        <f>IF($A4151="","",$R4151&amp;"("&amp;$E4151&amp;")")</f>
        <v/>
      </c>
      <c r="V4151">
        <f>IF($A4151="","",$F4151&amp;"|"&amp;$U4151&amp;"|"&amp;$D4151)</f>
        <v/>
      </c>
      <c r="W4151">
        <f>IF($T4151="","",IF($X4151&gt;N($X4150),$X4151,""))</f>
        <v/>
      </c>
      <c r="X4151">
        <f>IF($T4151="",N($X4150),IF(MATCH($T4151,$T$6:$T$6005,0)=ROW()-5,N($X4150)+1,N($X4150)))</f>
        <v/>
      </c>
      <c r="Z4151">
        <f>IF($V4151="","",IF($AA4151&gt;N($AA4150),$AA4151,""))</f>
        <v/>
      </c>
      <c r="AA4151">
        <f>IF($V4151="",N($AA4150),IF(MATCH($V4151,$V$6:$V$6005,0)=ROW()-5,N($AA4150)+1,N($AA4150)))</f>
        <v/>
      </c>
    </row>
    <row r="4152" ht="21" customHeight="1" s="66">
      <c r="A4152" s="56" t="n"/>
      <c r="B4152" s="57" t="n"/>
      <c r="C4152" s="57" t="n"/>
      <c r="D4152" s="57" t="n"/>
      <c r="E4152" s="56" t="n"/>
      <c r="F4152" s="57" t="n"/>
      <c r="G4152" s="57" t="n"/>
      <c r="H4152" s="56" t="n"/>
      <c r="I4152" s="56" t="n"/>
      <c r="J4152" s="58" t="n"/>
      <c r="K4152" s="58" t="n"/>
      <c r="L4152" s="13">
        <f>IF(OR($A4152="",AND($J4152="",$K4152="")),"",ROUND(N($J4152)-N($K4152),2))</f>
        <v/>
      </c>
      <c r="M4152" s="13">
        <f>IF(OR($A4152="",AND($J4152="",$K4152="")),"",MIN($J4152,$K4152))</f>
        <v/>
      </c>
      <c r="Q4152">
        <f>IF($A4152="","",$D4152&amp;"("&amp;SUBSTITUTE($E4152," ","")&amp;")")</f>
        <v/>
      </c>
      <c r="R4152">
        <f>IF($A4152="","",$B4152&amp;" - "&amp;$C4152)</f>
        <v/>
      </c>
      <c r="S4152">
        <f>IF($A4152="","",$R4152&amp;"|"&amp;$Q4152)</f>
        <v/>
      </c>
      <c r="T4152">
        <f>IF($A4152="","",$S4152&amp;"|"&amp;$F4152)</f>
        <v/>
      </c>
      <c r="U4152">
        <f>IF($A4152="","",$R4152&amp;"("&amp;$E4152&amp;")")</f>
        <v/>
      </c>
      <c r="V4152">
        <f>IF($A4152="","",$F4152&amp;"|"&amp;$U4152&amp;"|"&amp;$D4152)</f>
        <v/>
      </c>
      <c r="W4152">
        <f>IF($T4152="","",IF($X4152&gt;N($X4151),$X4152,""))</f>
        <v/>
      </c>
      <c r="X4152">
        <f>IF($T4152="",N($X4151),IF(MATCH($T4152,$T$6:$T$6005,0)=ROW()-5,N($X4151)+1,N($X4151)))</f>
        <v/>
      </c>
      <c r="Z4152">
        <f>IF($V4152="","",IF($AA4152&gt;N($AA4151),$AA4152,""))</f>
        <v/>
      </c>
      <c r="AA4152">
        <f>IF($V4152="",N($AA4151),IF(MATCH($V4152,$V$6:$V$6005,0)=ROW()-5,N($AA4151)+1,N($AA4151)))</f>
        <v/>
      </c>
    </row>
    <row r="4153" ht="21" customHeight="1" s="66">
      <c r="A4153" s="56" t="n"/>
      <c r="B4153" s="57" t="n"/>
      <c r="C4153" s="57" t="n"/>
      <c r="D4153" s="57" t="n"/>
      <c r="E4153" s="56" t="n"/>
      <c r="F4153" s="57" t="n"/>
      <c r="G4153" s="57" t="n"/>
      <c r="H4153" s="56" t="n"/>
      <c r="I4153" s="56" t="n"/>
      <c r="J4153" s="58" t="n"/>
      <c r="K4153" s="58" t="n"/>
      <c r="L4153" s="13">
        <f>IF(OR($A4153="",AND($J4153="",$K4153="")),"",ROUND(N($J4153)-N($K4153),2))</f>
        <v/>
      </c>
      <c r="M4153" s="13">
        <f>IF(OR($A4153="",AND($J4153="",$K4153="")),"",MIN($J4153,$K4153))</f>
        <v/>
      </c>
      <c r="Q4153">
        <f>IF($A4153="","",$D4153&amp;"("&amp;SUBSTITUTE($E4153," ","")&amp;")")</f>
        <v/>
      </c>
      <c r="R4153">
        <f>IF($A4153="","",$B4153&amp;" - "&amp;$C4153)</f>
        <v/>
      </c>
      <c r="S4153">
        <f>IF($A4153="","",$R4153&amp;"|"&amp;$Q4153)</f>
        <v/>
      </c>
      <c r="T4153">
        <f>IF($A4153="","",$S4153&amp;"|"&amp;$F4153)</f>
        <v/>
      </c>
      <c r="U4153">
        <f>IF($A4153="","",$R4153&amp;"("&amp;$E4153&amp;")")</f>
        <v/>
      </c>
      <c r="V4153">
        <f>IF($A4153="","",$F4153&amp;"|"&amp;$U4153&amp;"|"&amp;$D4153)</f>
        <v/>
      </c>
      <c r="W4153">
        <f>IF($T4153="","",IF($X4153&gt;N($X4152),$X4153,""))</f>
        <v/>
      </c>
      <c r="X4153">
        <f>IF($T4153="",N($X4152),IF(MATCH($T4153,$T$6:$T$6005,0)=ROW()-5,N($X4152)+1,N($X4152)))</f>
        <v/>
      </c>
      <c r="Z4153">
        <f>IF($V4153="","",IF($AA4153&gt;N($AA4152),$AA4153,""))</f>
        <v/>
      </c>
      <c r="AA4153">
        <f>IF($V4153="",N($AA4152),IF(MATCH($V4153,$V$6:$V$6005,0)=ROW()-5,N($AA4152)+1,N($AA4152)))</f>
        <v/>
      </c>
    </row>
    <row r="4154" ht="21" customHeight="1" s="66">
      <c r="A4154" s="56" t="n"/>
      <c r="B4154" s="57" t="n"/>
      <c r="C4154" s="57" t="n"/>
      <c r="D4154" s="57" t="n"/>
      <c r="E4154" s="56" t="n"/>
      <c r="F4154" s="57" t="n"/>
      <c r="G4154" s="57" t="n"/>
      <c r="H4154" s="56" t="n"/>
      <c r="I4154" s="56" t="n"/>
      <c r="J4154" s="58" t="n"/>
      <c r="K4154" s="58" t="n"/>
      <c r="L4154" s="13">
        <f>IF(OR($A4154="",AND($J4154="",$K4154="")),"",ROUND(N($J4154)-N($K4154),2))</f>
        <v/>
      </c>
      <c r="M4154" s="13">
        <f>IF(OR($A4154="",AND($J4154="",$K4154="")),"",MIN($J4154,$K4154))</f>
        <v/>
      </c>
      <c r="Q4154">
        <f>IF($A4154="","",$D4154&amp;"("&amp;SUBSTITUTE($E4154," ","")&amp;")")</f>
        <v/>
      </c>
      <c r="R4154">
        <f>IF($A4154="","",$B4154&amp;" - "&amp;$C4154)</f>
        <v/>
      </c>
      <c r="S4154">
        <f>IF($A4154="","",$R4154&amp;"|"&amp;$Q4154)</f>
        <v/>
      </c>
      <c r="T4154">
        <f>IF($A4154="","",$S4154&amp;"|"&amp;$F4154)</f>
        <v/>
      </c>
      <c r="U4154">
        <f>IF($A4154="","",$R4154&amp;"("&amp;$E4154&amp;")")</f>
        <v/>
      </c>
      <c r="V4154">
        <f>IF($A4154="","",$F4154&amp;"|"&amp;$U4154&amp;"|"&amp;$D4154)</f>
        <v/>
      </c>
      <c r="W4154">
        <f>IF($T4154="","",IF($X4154&gt;N($X4153),$X4154,""))</f>
        <v/>
      </c>
      <c r="X4154">
        <f>IF($T4154="",N($X4153),IF(MATCH($T4154,$T$6:$T$6005,0)=ROW()-5,N($X4153)+1,N($X4153)))</f>
        <v/>
      </c>
      <c r="Z4154">
        <f>IF($V4154="","",IF($AA4154&gt;N($AA4153),$AA4154,""))</f>
        <v/>
      </c>
      <c r="AA4154">
        <f>IF($V4154="",N($AA4153),IF(MATCH($V4154,$V$6:$V$6005,0)=ROW()-5,N($AA4153)+1,N($AA4153)))</f>
        <v/>
      </c>
    </row>
    <row r="4155" ht="21" customHeight="1" s="66">
      <c r="A4155" s="56" t="n"/>
      <c r="B4155" s="57" t="n"/>
      <c r="C4155" s="57" t="n"/>
      <c r="D4155" s="57" t="n"/>
      <c r="E4155" s="56" t="n"/>
      <c r="F4155" s="57" t="n"/>
      <c r="G4155" s="57" t="n"/>
      <c r="H4155" s="56" t="n"/>
      <c r="I4155" s="56" t="n"/>
      <c r="J4155" s="58" t="n"/>
      <c r="K4155" s="58" t="n"/>
      <c r="L4155" s="13">
        <f>IF(OR($A4155="",AND($J4155="",$K4155="")),"",ROUND(N($J4155)-N($K4155),2))</f>
        <v/>
      </c>
      <c r="M4155" s="13">
        <f>IF(OR($A4155="",AND($J4155="",$K4155="")),"",MIN($J4155,$K4155))</f>
        <v/>
      </c>
      <c r="Q4155">
        <f>IF($A4155="","",$D4155&amp;"("&amp;SUBSTITUTE($E4155," ","")&amp;")")</f>
        <v/>
      </c>
      <c r="R4155">
        <f>IF($A4155="","",$B4155&amp;" - "&amp;$C4155)</f>
        <v/>
      </c>
      <c r="S4155">
        <f>IF($A4155="","",$R4155&amp;"|"&amp;$Q4155)</f>
        <v/>
      </c>
      <c r="T4155">
        <f>IF($A4155="","",$S4155&amp;"|"&amp;$F4155)</f>
        <v/>
      </c>
      <c r="U4155">
        <f>IF($A4155="","",$R4155&amp;"("&amp;$E4155&amp;")")</f>
        <v/>
      </c>
      <c r="V4155">
        <f>IF($A4155="","",$F4155&amp;"|"&amp;$U4155&amp;"|"&amp;$D4155)</f>
        <v/>
      </c>
      <c r="W4155">
        <f>IF($T4155="","",IF($X4155&gt;N($X4154),$X4155,""))</f>
        <v/>
      </c>
      <c r="X4155">
        <f>IF($T4155="",N($X4154),IF(MATCH($T4155,$T$6:$T$6005,0)=ROW()-5,N($X4154)+1,N($X4154)))</f>
        <v/>
      </c>
      <c r="Z4155">
        <f>IF($V4155="","",IF($AA4155&gt;N($AA4154),$AA4155,""))</f>
        <v/>
      </c>
      <c r="AA4155">
        <f>IF($V4155="",N($AA4154),IF(MATCH($V4155,$V$6:$V$6005,0)=ROW()-5,N($AA4154)+1,N($AA4154)))</f>
        <v/>
      </c>
    </row>
    <row r="4156" ht="21" customHeight="1" s="66">
      <c r="A4156" s="56" t="n"/>
      <c r="B4156" s="57" t="n"/>
      <c r="C4156" s="57" t="n"/>
      <c r="D4156" s="57" t="n"/>
      <c r="E4156" s="56" t="n"/>
      <c r="F4156" s="57" t="n"/>
      <c r="G4156" s="57" t="n"/>
      <c r="H4156" s="56" t="n"/>
      <c r="I4156" s="56" t="n"/>
      <c r="J4156" s="58" t="n"/>
      <c r="K4156" s="58" t="n"/>
      <c r="L4156" s="13">
        <f>IF(OR($A4156="",AND($J4156="",$K4156="")),"",ROUND(N($J4156)-N($K4156),2))</f>
        <v/>
      </c>
      <c r="M4156" s="13">
        <f>IF(OR($A4156="",AND($J4156="",$K4156="")),"",MIN($J4156,$K4156))</f>
        <v/>
      </c>
      <c r="Q4156">
        <f>IF($A4156="","",$D4156&amp;"("&amp;SUBSTITUTE($E4156," ","")&amp;")")</f>
        <v/>
      </c>
      <c r="R4156">
        <f>IF($A4156="","",$B4156&amp;" - "&amp;$C4156)</f>
        <v/>
      </c>
      <c r="S4156">
        <f>IF($A4156="","",$R4156&amp;"|"&amp;$Q4156)</f>
        <v/>
      </c>
      <c r="T4156">
        <f>IF($A4156="","",$S4156&amp;"|"&amp;$F4156)</f>
        <v/>
      </c>
      <c r="U4156">
        <f>IF($A4156="","",$R4156&amp;"("&amp;$E4156&amp;")")</f>
        <v/>
      </c>
      <c r="V4156">
        <f>IF($A4156="","",$F4156&amp;"|"&amp;$U4156&amp;"|"&amp;$D4156)</f>
        <v/>
      </c>
      <c r="W4156">
        <f>IF($T4156="","",IF($X4156&gt;N($X4155),$X4156,""))</f>
        <v/>
      </c>
      <c r="X4156">
        <f>IF($T4156="",N($X4155),IF(MATCH($T4156,$T$6:$T$6005,0)=ROW()-5,N($X4155)+1,N($X4155)))</f>
        <v/>
      </c>
      <c r="Z4156">
        <f>IF($V4156="","",IF($AA4156&gt;N($AA4155),$AA4156,""))</f>
        <v/>
      </c>
      <c r="AA4156">
        <f>IF($V4156="",N($AA4155),IF(MATCH($V4156,$V$6:$V$6005,0)=ROW()-5,N($AA4155)+1,N($AA4155)))</f>
        <v/>
      </c>
    </row>
    <row r="4157" ht="21" customHeight="1" s="66">
      <c r="A4157" s="56" t="n"/>
      <c r="B4157" s="57" t="n"/>
      <c r="C4157" s="57" t="n"/>
      <c r="D4157" s="57" t="n"/>
      <c r="E4157" s="56" t="n"/>
      <c r="F4157" s="57" t="n"/>
      <c r="G4157" s="57" t="n"/>
      <c r="H4157" s="56" t="n"/>
      <c r="I4157" s="56" t="n"/>
      <c r="J4157" s="58" t="n"/>
      <c r="K4157" s="58" t="n"/>
      <c r="L4157" s="13">
        <f>IF(OR($A4157="",AND($J4157="",$K4157="")),"",ROUND(N($J4157)-N($K4157),2))</f>
        <v/>
      </c>
      <c r="M4157" s="13">
        <f>IF(OR($A4157="",AND($J4157="",$K4157="")),"",MIN($J4157,$K4157))</f>
        <v/>
      </c>
      <c r="Q4157">
        <f>IF($A4157="","",$D4157&amp;"("&amp;SUBSTITUTE($E4157," ","")&amp;")")</f>
        <v/>
      </c>
      <c r="R4157">
        <f>IF($A4157="","",$B4157&amp;" - "&amp;$C4157)</f>
        <v/>
      </c>
      <c r="S4157">
        <f>IF($A4157="","",$R4157&amp;"|"&amp;$Q4157)</f>
        <v/>
      </c>
      <c r="T4157">
        <f>IF($A4157="","",$S4157&amp;"|"&amp;$F4157)</f>
        <v/>
      </c>
      <c r="U4157">
        <f>IF($A4157="","",$R4157&amp;"("&amp;$E4157&amp;")")</f>
        <v/>
      </c>
      <c r="V4157">
        <f>IF($A4157="","",$F4157&amp;"|"&amp;$U4157&amp;"|"&amp;$D4157)</f>
        <v/>
      </c>
      <c r="W4157">
        <f>IF($T4157="","",IF($X4157&gt;N($X4156),$X4157,""))</f>
        <v/>
      </c>
      <c r="X4157">
        <f>IF($T4157="",N($X4156),IF(MATCH($T4157,$T$6:$T$6005,0)=ROW()-5,N($X4156)+1,N($X4156)))</f>
        <v/>
      </c>
      <c r="Z4157">
        <f>IF($V4157="","",IF($AA4157&gt;N($AA4156),$AA4157,""))</f>
        <v/>
      </c>
      <c r="AA4157">
        <f>IF($V4157="",N($AA4156),IF(MATCH($V4157,$V$6:$V$6005,0)=ROW()-5,N($AA4156)+1,N($AA4156)))</f>
        <v/>
      </c>
    </row>
    <row r="4158" ht="21" customHeight="1" s="66">
      <c r="A4158" s="56" t="n"/>
      <c r="B4158" s="57" t="n"/>
      <c r="C4158" s="57" t="n"/>
      <c r="D4158" s="57" t="n"/>
      <c r="E4158" s="56" t="n"/>
      <c r="F4158" s="57" t="n"/>
      <c r="G4158" s="57" t="n"/>
      <c r="H4158" s="56" t="n"/>
      <c r="I4158" s="56" t="n"/>
      <c r="J4158" s="58" t="n"/>
      <c r="K4158" s="58" t="n"/>
      <c r="L4158" s="13">
        <f>IF(OR($A4158="",AND($J4158="",$K4158="")),"",ROUND(N($J4158)-N($K4158),2))</f>
        <v/>
      </c>
      <c r="M4158" s="13">
        <f>IF(OR($A4158="",AND($J4158="",$K4158="")),"",MIN($J4158,$K4158))</f>
        <v/>
      </c>
      <c r="Q4158">
        <f>IF($A4158="","",$D4158&amp;"("&amp;SUBSTITUTE($E4158," ","")&amp;")")</f>
        <v/>
      </c>
      <c r="R4158">
        <f>IF($A4158="","",$B4158&amp;" - "&amp;$C4158)</f>
        <v/>
      </c>
      <c r="S4158">
        <f>IF($A4158="","",$R4158&amp;"|"&amp;$Q4158)</f>
        <v/>
      </c>
      <c r="T4158">
        <f>IF($A4158="","",$S4158&amp;"|"&amp;$F4158)</f>
        <v/>
      </c>
      <c r="U4158">
        <f>IF($A4158="","",$R4158&amp;"("&amp;$E4158&amp;")")</f>
        <v/>
      </c>
      <c r="V4158">
        <f>IF($A4158="","",$F4158&amp;"|"&amp;$U4158&amp;"|"&amp;$D4158)</f>
        <v/>
      </c>
      <c r="W4158">
        <f>IF($T4158="","",IF($X4158&gt;N($X4157),$X4158,""))</f>
        <v/>
      </c>
      <c r="X4158">
        <f>IF($T4158="",N($X4157),IF(MATCH($T4158,$T$6:$T$6005,0)=ROW()-5,N($X4157)+1,N($X4157)))</f>
        <v/>
      </c>
      <c r="Z4158">
        <f>IF($V4158="","",IF($AA4158&gt;N($AA4157),$AA4158,""))</f>
        <v/>
      </c>
      <c r="AA4158">
        <f>IF($V4158="",N($AA4157),IF(MATCH($V4158,$V$6:$V$6005,0)=ROW()-5,N($AA4157)+1,N($AA4157)))</f>
        <v/>
      </c>
    </row>
    <row r="4159" ht="21" customHeight="1" s="66">
      <c r="A4159" s="56" t="n"/>
      <c r="B4159" s="57" t="n"/>
      <c r="C4159" s="57" t="n"/>
      <c r="D4159" s="57" t="n"/>
      <c r="E4159" s="56" t="n"/>
      <c r="F4159" s="57" t="n"/>
      <c r="G4159" s="57" t="n"/>
      <c r="H4159" s="56" t="n"/>
      <c r="I4159" s="56" t="n"/>
      <c r="J4159" s="58" t="n"/>
      <c r="K4159" s="58" t="n"/>
      <c r="L4159" s="13">
        <f>IF(OR($A4159="",AND($J4159="",$K4159="")),"",ROUND(N($J4159)-N($K4159),2))</f>
        <v/>
      </c>
      <c r="M4159" s="13">
        <f>IF(OR($A4159="",AND($J4159="",$K4159="")),"",MIN($J4159,$K4159))</f>
        <v/>
      </c>
      <c r="Q4159">
        <f>IF($A4159="","",$D4159&amp;"("&amp;SUBSTITUTE($E4159," ","")&amp;")")</f>
        <v/>
      </c>
      <c r="R4159">
        <f>IF($A4159="","",$B4159&amp;" - "&amp;$C4159)</f>
        <v/>
      </c>
      <c r="S4159">
        <f>IF($A4159="","",$R4159&amp;"|"&amp;$Q4159)</f>
        <v/>
      </c>
      <c r="T4159">
        <f>IF($A4159="","",$S4159&amp;"|"&amp;$F4159)</f>
        <v/>
      </c>
      <c r="U4159">
        <f>IF($A4159="","",$R4159&amp;"("&amp;$E4159&amp;")")</f>
        <v/>
      </c>
      <c r="V4159">
        <f>IF($A4159="","",$F4159&amp;"|"&amp;$U4159&amp;"|"&amp;$D4159)</f>
        <v/>
      </c>
      <c r="W4159">
        <f>IF($T4159="","",IF($X4159&gt;N($X4158),$X4159,""))</f>
        <v/>
      </c>
      <c r="X4159">
        <f>IF($T4159="",N($X4158),IF(MATCH($T4159,$T$6:$T$6005,0)=ROW()-5,N($X4158)+1,N($X4158)))</f>
        <v/>
      </c>
      <c r="Z4159">
        <f>IF($V4159="","",IF($AA4159&gt;N($AA4158),$AA4159,""))</f>
        <v/>
      </c>
      <c r="AA4159">
        <f>IF($V4159="",N($AA4158),IF(MATCH($V4159,$V$6:$V$6005,0)=ROW()-5,N($AA4158)+1,N($AA4158)))</f>
        <v/>
      </c>
    </row>
    <row r="4160" ht="21" customHeight="1" s="66">
      <c r="A4160" s="56" t="n"/>
      <c r="B4160" s="57" t="n"/>
      <c r="C4160" s="57" t="n"/>
      <c r="D4160" s="57" t="n"/>
      <c r="E4160" s="56" t="n"/>
      <c r="F4160" s="57" t="n"/>
      <c r="G4160" s="57" t="n"/>
      <c r="H4160" s="56" t="n"/>
      <c r="I4160" s="56" t="n"/>
      <c r="J4160" s="58" t="n"/>
      <c r="K4160" s="58" t="n"/>
      <c r="L4160" s="13">
        <f>IF(OR($A4160="",AND($J4160="",$K4160="")),"",ROUND(N($J4160)-N($K4160),2))</f>
        <v/>
      </c>
      <c r="M4160" s="13">
        <f>IF(OR($A4160="",AND($J4160="",$K4160="")),"",MIN($J4160,$K4160))</f>
        <v/>
      </c>
      <c r="Q4160">
        <f>IF($A4160="","",$D4160&amp;"("&amp;SUBSTITUTE($E4160," ","")&amp;")")</f>
        <v/>
      </c>
      <c r="R4160">
        <f>IF($A4160="","",$B4160&amp;" - "&amp;$C4160)</f>
        <v/>
      </c>
      <c r="S4160">
        <f>IF($A4160="","",$R4160&amp;"|"&amp;$Q4160)</f>
        <v/>
      </c>
      <c r="T4160">
        <f>IF($A4160="","",$S4160&amp;"|"&amp;$F4160)</f>
        <v/>
      </c>
      <c r="U4160">
        <f>IF($A4160="","",$R4160&amp;"("&amp;$E4160&amp;")")</f>
        <v/>
      </c>
      <c r="V4160">
        <f>IF($A4160="","",$F4160&amp;"|"&amp;$U4160&amp;"|"&amp;$D4160)</f>
        <v/>
      </c>
      <c r="W4160">
        <f>IF($T4160="","",IF($X4160&gt;N($X4159),$X4160,""))</f>
        <v/>
      </c>
      <c r="X4160">
        <f>IF($T4160="",N($X4159),IF(MATCH($T4160,$T$6:$T$6005,0)=ROW()-5,N($X4159)+1,N($X4159)))</f>
        <v/>
      </c>
      <c r="Z4160">
        <f>IF($V4160="","",IF($AA4160&gt;N($AA4159),$AA4160,""))</f>
        <v/>
      </c>
      <c r="AA4160">
        <f>IF($V4160="",N($AA4159),IF(MATCH($V4160,$V$6:$V$6005,0)=ROW()-5,N($AA4159)+1,N($AA4159)))</f>
        <v/>
      </c>
    </row>
    <row r="4161" ht="21" customHeight="1" s="66">
      <c r="A4161" s="56" t="n"/>
      <c r="B4161" s="57" t="n"/>
      <c r="C4161" s="57" t="n"/>
      <c r="D4161" s="57" t="n"/>
      <c r="E4161" s="56" t="n"/>
      <c r="F4161" s="57" t="n"/>
      <c r="G4161" s="57" t="n"/>
      <c r="H4161" s="56" t="n"/>
      <c r="I4161" s="56" t="n"/>
      <c r="J4161" s="58" t="n"/>
      <c r="K4161" s="58" t="n"/>
      <c r="L4161" s="13">
        <f>IF(OR($A4161="",AND($J4161="",$K4161="")),"",ROUND(N($J4161)-N($K4161),2))</f>
        <v/>
      </c>
      <c r="M4161" s="13">
        <f>IF(OR($A4161="",AND($J4161="",$K4161="")),"",MIN($J4161,$K4161))</f>
        <v/>
      </c>
      <c r="Q4161">
        <f>IF($A4161="","",$D4161&amp;"("&amp;SUBSTITUTE($E4161," ","")&amp;")")</f>
        <v/>
      </c>
      <c r="R4161">
        <f>IF($A4161="","",$B4161&amp;" - "&amp;$C4161)</f>
        <v/>
      </c>
      <c r="S4161">
        <f>IF($A4161="","",$R4161&amp;"|"&amp;$Q4161)</f>
        <v/>
      </c>
      <c r="T4161">
        <f>IF($A4161="","",$S4161&amp;"|"&amp;$F4161)</f>
        <v/>
      </c>
      <c r="U4161">
        <f>IF($A4161="","",$R4161&amp;"("&amp;$E4161&amp;")")</f>
        <v/>
      </c>
      <c r="V4161">
        <f>IF($A4161="","",$F4161&amp;"|"&amp;$U4161&amp;"|"&amp;$D4161)</f>
        <v/>
      </c>
      <c r="W4161">
        <f>IF($T4161="","",IF($X4161&gt;N($X4160),$X4161,""))</f>
        <v/>
      </c>
      <c r="X4161">
        <f>IF($T4161="",N($X4160),IF(MATCH($T4161,$T$6:$T$6005,0)=ROW()-5,N($X4160)+1,N($X4160)))</f>
        <v/>
      </c>
      <c r="Z4161">
        <f>IF($V4161="","",IF($AA4161&gt;N($AA4160),$AA4161,""))</f>
        <v/>
      </c>
      <c r="AA4161">
        <f>IF($V4161="",N($AA4160),IF(MATCH($V4161,$V$6:$V$6005,0)=ROW()-5,N($AA4160)+1,N($AA4160)))</f>
        <v/>
      </c>
    </row>
    <row r="4162" ht="21" customHeight="1" s="66">
      <c r="A4162" s="56" t="n"/>
      <c r="B4162" s="57" t="n"/>
      <c r="C4162" s="57" t="n"/>
      <c r="D4162" s="57" t="n"/>
      <c r="E4162" s="56" t="n"/>
      <c r="F4162" s="57" t="n"/>
      <c r="G4162" s="57" t="n"/>
      <c r="H4162" s="56" t="n"/>
      <c r="I4162" s="56" t="n"/>
      <c r="J4162" s="58" t="n"/>
      <c r="K4162" s="58" t="n"/>
      <c r="L4162" s="13">
        <f>IF(OR($A4162="",AND($J4162="",$K4162="")),"",ROUND(N($J4162)-N($K4162),2))</f>
        <v/>
      </c>
      <c r="M4162" s="13">
        <f>IF(OR($A4162="",AND($J4162="",$K4162="")),"",MIN($J4162,$K4162))</f>
        <v/>
      </c>
      <c r="Q4162">
        <f>IF($A4162="","",$D4162&amp;"("&amp;SUBSTITUTE($E4162," ","")&amp;")")</f>
        <v/>
      </c>
      <c r="R4162">
        <f>IF($A4162="","",$B4162&amp;" - "&amp;$C4162)</f>
        <v/>
      </c>
      <c r="S4162">
        <f>IF($A4162="","",$R4162&amp;"|"&amp;$Q4162)</f>
        <v/>
      </c>
      <c r="T4162">
        <f>IF($A4162="","",$S4162&amp;"|"&amp;$F4162)</f>
        <v/>
      </c>
      <c r="U4162">
        <f>IF($A4162="","",$R4162&amp;"("&amp;$E4162&amp;")")</f>
        <v/>
      </c>
      <c r="V4162">
        <f>IF($A4162="","",$F4162&amp;"|"&amp;$U4162&amp;"|"&amp;$D4162)</f>
        <v/>
      </c>
      <c r="W4162">
        <f>IF($T4162="","",IF($X4162&gt;N($X4161),$X4162,""))</f>
        <v/>
      </c>
      <c r="X4162">
        <f>IF($T4162="",N($X4161),IF(MATCH($T4162,$T$6:$T$6005,0)=ROW()-5,N($X4161)+1,N($X4161)))</f>
        <v/>
      </c>
      <c r="Z4162">
        <f>IF($V4162="","",IF($AA4162&gt;N($AA4161),$AA4162,""))</f>
        <v/>
      </c>
      <c r="AA4162">
        <f>IF($V4162="",N($AA4161),IF(MATCH($V4162,$V$6:$V$6005,0)=ROW()-5,N($AA4161)+1,N($AA4161)))</f>
        <v/>
      </c>
    </row>
    <row r="4163" ht="21" customHeight="1" s="66">
      <c r="A4163" s="56" t="n"/>
      <c r="B4163" s="57" t="n"/>
      <c r="C4163" s="57" t="n"/>
      <c r="D4163" s="57" t="n"/>
      <c r="E4163" s="56" t="n"/>
      <c r="F4163" s="57" t="n"/>
      <c r="G4163" s="57" t="n"/>
      <c r="H4163" s="56" t="n"/>
      <c r="I4163" s="56" t="n"/>
      <c r="J4163" s="58" t="n"/>
      <c r="K4163" s="58" t="n"/>
      <c r="L4163" s="13">
        <f>IF(OR($A4163="",AND($J4163="",$K4163="")),"",ROUND(N($J4163)-N($K4163),2))</f>
        <v/>
      </c>
      <c r="M4163" s="13">
        <f>IF(OR($A4163="",AND($J4163="",$K4163="")),"",MIN($J4163,$K4163))</f>
        <v/>
      </c>
      <c r="Q4163">
        <f>IF($A4163="","",$D4163&amp;"("&amp;SUBSTITUTE($E4163," ","")&amp;")")</f>
        <v/>
      </c>
      <c r="R4163">
        <f>IF($A4163="","",$B4163&amp;" - "&amp;$C4163)</f>
        <v/>
      </c>
      <c r="S4163">
        <f>IF($A4163="","",$R4163&amp;"|"&amp;$Q4163)</f>
        <v/>
      </c>
      <c r="T4163">
        <f>IF($A4163="","",$S4163&amp;"|"&amp;$F4163)</f>
        <v/>
      </c>
      <c r="U4163">
        <f>IF($A4163="","",$R4163&amp;"("&amp;$E4163&amp;")")</f>
        <v/>
      </c>
      <c r="V4163">
        <f>IF($A4163="","",$F4163&amp;"|"&amp;$U4163&amp;"|"&amp;$D4163)</f>
        <v/>
      </c>
      <c r="W4163">
        <f>IF($T4163="","",IF($X4163&gt;N($X4162),$X4163,""))</f>
        <v/>
      </c>
      <c r="X4163">
        <f>IF($T4163="",N($X4162),IF(MATCH($T4163,$T$6:$T$6005,0)=ROW()-5,N($X4162)+1,N($X4162)))</f>
        <v/>
      </c>
      <c r="Z4163">
        <f>IF($V4163="","",IF($AA4163&gt;N($AA4162),$AA4163,""))</f>
        <v/>
      </c>
      <c r="AA4163">
        <f>IF($V4163="",N($AA4162),IF(MATCH($V4163,$V$6:$V$6005,0)=ROW()-5,N($AA4162)+1,N($AA4162)))</f>
        <v/>
      </c>
    </row>
    <row r="4164" ht="21" customHeight="1" s="66">
      <c r="A4164" s="56" t="n"/>
      <c r="B4164" s="57" t="n"/>
      <c r="C4164" s="57" t="n"/>
      <c r="D4164" s="57" t="n"/>
      <c r="E4164" s="56" t="n"/>
      <c r="F4164" s="57" t="n"/>
      <c r="G4164" s="57" t="n"/>
      <c r="H4164" s="56" t="n"/>
      <c r="I4164" s="56" t="n"/>
      <c r="J4164" s="58" t="n"/>
      <c r="K4164" s="58" t="n"/>
      <c r="L4164" s="13">
        <f>IF(OR($A4164="",AND($J4164="",$K4164="")),"",ROUND(N($J4164)-N($K4164),2))</f>
        <v/>
      </c>
      <c r="M4164" s="13">
        <f>IF(OR($A4164="",AND($J4164="",$K4164="")),"",MIN($J4164,$K4164))</f>
        <v/>
      </c>
      <c r="Q4164">
        <f>IF($A4164="","",$D4164&amp;"("&amp;SUBSTITUTE($E4164," ","")&amp;")")</f>
        <v/>
      </c>
      <c r="R4164">
        <f>IF($A4164="","",$B4164&amp;" - "&amp;$C4164)</f>
        <v/>
      </c>
      <c r="S4164">
        <f>IF($A4164="","",$R4164&amp;"|"&amp;$Q4164)</f>
        <v/>
      </c>
      <c r="T4164">
        <f>IF($A4164="","",$S4164&amp;"|"&amp;$F4164)</f>
        <v/>
      </c>
      <c r="U4164">
        <f>IF($A4164="","",$R4164&amp;"("&amp;$E4164&amp;")")</f>
        <v/>
      </c>
      <c r="V4164">
        <f>IF($A4164="","",$F4164&amp;"|"&amp;$U4164&amp;"|"&amp;$D4164)</f>
        <v/>
      </c>
      <c r="W4164">
        <f>IF($T4164="","",IF($X4164&gt;N($X4163),$X4164,""))</f>
        <v/>
      </c>
      <c r="X4164">
        <f>IF($T4164="",N($X4163),IF(MATCH($T4164,$T$6:$T$6005,0)=ROW()-5,N($X4163)+1,N($X4163)))</f>
        <v/>
      </c>
      <c r="Z4164">
        <f>IF($V4164="","",IF($AA4164&gt;N($AA4163),$AA4164,""))</f>
        <v/>
      </c>
      <c r="AA4164">
        <f>IF($V4164="",N($AA4163),IF(MATCH($V4164,$V$6:$V$6005,0)=ROW()-5,N($AA4163)+1,N($AA4163)))</f>
        <v/>
      </c>
    </row>
    <row r="4165" ht="21" customHeight="1" s="66">
      <c r="A4165" s="56" t="n"/>
      <c r="B4165" s="57" t="n"/>
      <c r="C4165" s="57" t="n"/>
      <c r="D4165" s="57" t="n"/>
      <c r="E4165" s="56" t="n"/>
      <c r="F4165" s="57" t="n"/>
      <c r="G4165" s="57" t="n"/>
      <c r="H4165" s="56" t="n"/>
      <c r="I4165" s="56" t="n"/>
      <c r="J4165" s="58" t="n"/>
      <c r="K4165" s="58" t="n"/>
      <c r="L4165" s="13">
        <f>IF(OR($A4165="",AND($J4165="",$K4165="")),"",ROUND(N($J4165)-N($K4165),2))</f>
        <v/>
      </c>
      <c r="M4165" s="13">
        <f>IF(OR($A4165="",AND($J4165="",$K4165="")),"",MIN($J4165,$K4165))</f>
        <v/>
      </c>
      <c r="Q4165">
        <f>IF($A4165="","",$D4165&amp;"("&amp;SUBSTITUTE($E4165," ","")&amp;")")</f>
        <v/>
      </c>
      <c r="R4165">
        <f>IF($A4165="","",$B4165&amp;" - "&amp;$C4165)</f>
        <v/>
      </c>
      <c r="S4165">
        <f>IF($A4165="","",$R4165&amp;"|"&amp;$Q4165)</f>
        <v/>
      </c>
      <c r="T4165">
        <f>IF($A4165="","",$S4165&amp;"|"&amp;$F4165)</f>
        <v/>
      </c>
      <c r="U4165">
        <f>IF($A4165="","",$R4165&amp;"("&amp;$E4165&amp;")")</f>
        <v/>
      </c>
      <c r="V4165">
        <f>IF($A4165="","",$F4165&amp;"|"&amp;$U4165&amp;"|"&amp;$D4165)</f>
        <v/>
      </c>
      <c r="W4165">
        <f>IF($T4165="","",IF($X4165&gt;N($X4164),$X4165,""))</f>
        <v/>
      </c>
      <c r="X4165">
        <f>IF($T4165="",N($X4164),IF(MATCH($T4165,$T$6:$T$6005,0)=ROW()-5,N($X4164)+1,N($X4164)))</f>
        <v/>
      </c>
      <c r="Z4165">
        <f>IF($V4165="","",IF($AA4165&gt;N($AA4164),$AA4165,""))</f>
        <v/>
      </c>
      <c r="AA4165">
        <f>IF($V4165="",N($AA4164),IF(MATCH($V4165,$V$6:$V$6005,0)=ROW()-5,N($AA4164)+1,N($AA4164)))</f>
        <v/>
      </c>
    </row>
    <row r="4166" ht="21" customHeight="1" s="66">
      <c r="A4166" s="56" t="n"/>
      <c r="B4166" s="57" t="n"/>
      <c r="C4166" s="57" t="n"/>
      <c r="D4166" s="57" t="n"/>
      <c r="E4166" s="56" t="n"/>
      <c r="F4166" s="57" t="n"/>
      <c r="G4166" s="57" t="n"/>
      <c r="H4166" s="56" t="n"/>
      <c r="I4166" s="56" t="n"/>
      <c r="J4166" s="58" t="n"/>
      <c r="K4166" s="58" t="n"/>
      <c r="L4166" s="13">
        <f>IF(OR($A4166="",AND($J4166="",$K4166="")),"",ROUND(N($J4166)-N($K4166),2))</f>
        <v/>
      </c>
      <c r="M4166" s="13">
        <f>IF(OR($A4166="",AND($J4166="",$K4166="")),"",MIN($J4166,$K4166))</f>
        <v/>
      </c>
      <c r="Q4166">
        <f>IF($A4166="","",$D4166&amp;"("&amp;SUBSTITUTE($E4166," ","")&amp;")")</f>
        <v/>
      </c>
      <c r="R4166">
        <f>IF($A4166="","",$B4166&amp;" - "&amp;$C4166)</f>
        <v/>
      </c>
      <c r="S4166">
        <f>IF($A4166="","",$R4166&amp;"|"&amp;$Q4166)</f>
        <v/>
      </c>
      <c r="T4166">
        <f>IF($A4166="","",$S4166&amp;"|"&amp;$F4166)</f>
        <v/>
      </c>
      <c r="U4166">
        <f>IF($A4166="","",$R4166&amp;"("&amp;$E4166&amp;")")</f>
        <v/>
      </c>
      <c r="V4166">
        <f>IF($A4166="","",$F4166&amp;"|"&amp;$U4166&amp;"|"&amp;$D4166)</f>
        <v/>
      </c>
      <c r="W4166">
        <f>IF($T4166="","",IF($X4166&gt;N($X4165),$X4166,""))</f>
        <v/>
      </c>
      <c r="X4166">
        <f>IF($T4166="",N($X4165),IF(MATCH($T4166,$T$6:$T$6005,0)=ROW()-5,N($X4165)+1,N($X4165)))</f>
        <v/>
      </c>
      <c r="Z4166">
        <f>IF($V4166="","",IF($AA4166&gt;N($AA4165),$AA4166,""))</f>
        <v/>
      </c>
      <c r="AA4166">
        <f>IF($V4166="",N($AA4165),IF(MATCH($V4166,$V$6:$V$6005,0)=ROW()-5,N($AA4165)+1,N($AA4165)))</f>
        <v/>
      </c>
    </row>
    <row r="4167" ht="21" customHeight="1" s="66">
      <c r="A4167" s="56" t="n"/>
      <c r="B4167" s="57" t="n"/>
      <c r="C4167" s="57" t="n"/>
      <c r="D4167" s="57" t="n"/>
      <c r="E4167" s="56" t="n"/>
      <c r="F4167" s="57" t="n"/>
      <c r="G4167" s="57" t="n"/>
      <c r="H4167" s="56" t="n"/>
      <c r="I4167" s="56" t="n"/>
      <c r="J4167" s="58" t="n"/>
      <c r="K4167" s="58" t="n"/>
      <c r="L4167" s="13">
        <f>IF(OR($A4167="",AND($J4167="",$K4167="")),"",ROUND(N($J4167)-N($K4167),2))</f>
        <v/>
      </c>
      <c r="M4167" s="13">
        <f>IF(OR($A4167="",AND($J4167="",$K4167="")),"",MIN($J4167,$K4167))</f>
        <v/>
      </c>
      <c r="Q4167">
        <f>IF($A4167="","",$D4167&amp;"("&amp;SUBSTITUTE($E4167," ","")&amp;")")</f>
        <v/>
      </c>
      <c r="R4167">
        <f>IF($A4167="","",$B4167&amp;" - "&amp;$C4167)</f>
        <v/>
      </c>
      <c r="S4167">
        <f>IF($A4167="","",$R4167&amp;"|"&amp;$Q4167)</f>
        <v/>
      </c>
      <c r="T4167">
        <f>IF($A4167="","",$S4167&amp;"|"&amp;$F4167)</f>
        <v/>
      </c>
      <c r="U4167">
        <f>IF($A4167="","",$R4167&amp;"("&amp;$E4167&amp;")")</f>
        <v/>
      </c>
      <c r="V4167">
        <f>IF($A4167="","",$F4167&amp;"|"&amp;$U4167&amp;"|"&amp;$D4167)</f>
        <v/>
      </c>
      <c r="W4167">
        <f>IF($T4167="","",IF($X4167&gt;N($X4166),$X4167,""))</f>
        <v/>
      </c>
      <c r="X4167">
        <f>IF($T4167="",N($X4166),IF(MATCH($T4167,$T$6:$T$6005,0)=ROW()-5,N($X4166)+1,N($X4166)))</f>
        <v/>
      </c>
      <c r="Z4167">
        <f>IF($V4167="","",IF($AA4167&gt;N($AA4166),$AA4167,""))</f>
        <v/>
      </c>
      <c r="AA4167">
        <f>IF($V4167="",N($AA4166),IF(MATCH($V4167,$V$6:$V$6005,0)=ROW()-5,N($AA4166)+1,N($AA4166)))</f>
        <v/>
      </c>
    </row>
    <row r="4168" ht="21" customHeight="1" s="66">
      <c r="A4168" s="56" t="n"/>
      <c r="B4168" s="57" t="n"/>
      <c r="C4168" s="57" t="n"/>
      <c r="D4168" s="57" t="n"/>
      <c r="E4168" s="56" t="n"/>
      <c r="F4168" s="57" t="n"/>
      <c r="G4168" s="57" t="n"/>
      <c r="H4168" s="56" t="n"/>
      <c r="I4168" s="56" t="n"/>
      <c r="J4168" s="58" t="n"/>
      <c r="K4168" s="58" t="n"/>
      <c r="L4168" s="13">
        <f>IF(OR($A4168="",AND($J4168="",$K4168="")),"",ROUND(N($J4168)-N($K4168),2))</f>
        <v/>
      </c>
      <c r="M4168" s="13">
        <f>IF(OR($A4168="",AND($J4168="",$K4168="")),"",MIN($J4168,$K4168))</f>
        <v/>
      </c>
      <c r="Q4168">
        <f>IF($A4168="","",$D4168&amp;"("&amp;SUBSTITUTE($E4168," ","")&amp;")")</f>
        <v/>
      </c>
      <c r="R4168">
        <f>IF($A4168="","",$B4168&amp;" - "&amp;$C4168)</f>
        <v/>
      </c>
      <c r="S4168">
        <f>IF($A4168="","",$R4168&amp;"|"&amp;$Q4168)</f>
        <v/>
      </c>
      <c r="T4168">
        <f>IF($A4168="","",$S4168&amp;"|"&amp;$F4168)</f>
        <v/>
      </c>
      <c r="U4168">
        <f>IF($A4168="","",$R4168&amp;"("&amp;$E4168&amp;")")</f>
        <v/>
      </c>
      <c r="V4168">
        <f>IF($A4168="","",$F4168&amp;"|"&amp;$U4168&amp;"|"&amp;$D4168)</f>
        <v/>
      </c>
      <c r="W4168">
        <f>IF($T4168="","",IF($X4168&gt;N($X4167),$X4168,""))</f>
        <v/>
      </c>
      <c r="X4168">
        <f>IF($T4168="",N($X4167),IF(MATCH($T4168,$T$6:$T$6005,0)=ROW()-5,N($X4167)+1,N($X4167)))</f>
        <v/>
      </c>
      <c r="Z4168">
        <f>IF($V4168="","",IF($AA4168&gt;N($AA4167),$AA4168,""))</f>
        <v/>
      </c>
      <c r="AA4168">
        <f>IF($V4168="",N($AA4167),IF(MATCH($V4168,$V$6:$V$6005,0)=ROW()-5,N($AA4167)+1,N($AA4167)))</f>
        <v/>
      </c>
    </row>
    <row r="4169" ht="21" customHeight="1" s="66">
      <c r="A4169" s="56" t="n"/>
      <c r="B4169" s="57" t="n"/>
      <c r="C4169" s="57" t="n"/>
      <c r="D4169" s="57" t="n"/>
      <c r="E4169" s="56" t="n"/>
      <c r="F4169" s="57" t="n"/>
      <c r="G4169" s="57" t="n"/>
      <c r="H4169" s="56" t="n"/>
      <c r="I4169" s="56" t="n"/>
      <c r="J4169" s="58" t="n"/>
      <c r="K4169" s="58" t="n"/>
      <c r="L4169" s="13">
        <f>IF(OR($A4169="",AND($J4169="",$K4169="")),"",ROUND(N($J4169)-N($K4169),2))</f>
        <v/>
      </c>
      <c r="M4169" s="13">
        <f>IF(OR($A4169="",AND($J4169="",$K4169="")),"",MIN($J4169,$K4169))</f>
        <v/>
      </c>
      <c r="Q4169">
        <f>IF($A4169="","",$D4169&amp;"("&amp;SUBSTITUTE($E4169," ","")&amp;")")</f>
        <v/>
      </c>
      <c r="R4169">
        <f>IF($A4169="","",$B4169&amp;" - "&amp;$C4169)</f>
        <v/>
      </c>
      <c r="S4169">
        <f>IF($A4169="","",$R4169&amp;"|"&amp;$Q4169)</f>
        <v/>
      </c>
      <c r="T4169">
        <f>IF($A4169="","",$S4169&amp;"|"&amp;$F4169)</f>
        <v/>
      </c>
      <c r="U4169">
        <f>IF($A4169="","",$R4169&amp;"("&amp;$E4169&amp;")")</f>
        <v/>
      </c>
      <c r="V4169">
        <f>IF($A4169="","",$F4169&amp;"|"&amp;$U4169&amp;"|"&amp;$D4169)</f>
        <v/>
      </c>
      <c r="W4169">
        <f>IF($T4169="","",IF($X4169&gt;N($X4168),$X4169,""))</f>
        <v/>
      </c>
      <c r="X4169">
        <f>IF($T4169="",N($X4168),IF(MATCH($T4169,$T$6:$T$6005,0)=ROW()-5,N($X4168)+1,N($X4168)))</f>
        <v/>
      </c>
      <c r="Z4169">
        <f>IF($V4169="","",IF($AA4169&gt;N($AA4168),$AA4169,""))</f>
        <v/>
      </c>
      <c r="AA4169">
        <f>IF($V4169="",N($AA4168),IF(MATCH($V4169,$V$6:$V$6005,0)=ROW()-5,N($AA4168)+1,N($AA4168)))</f>
        <v/>
      </c>
    </row>
    <row r="4170" ht="21" customHeight="1" s="66">
      <c r="A4170" s="56" t="n"/>
      <c r="B4170" s="57" t="n"/>
      <c r="C4170" s="57" t="n"/>
      <c r="D4170" s="57" t="n"/>
      <c r="E4170" s="56" t="n"/>
      <c r="F4170" s="57" t="n"/>
      <c r="G4170" s="57" t="n"/>
      <c r="H4170" s="56" t="n"/>
      <c r="I4170" s="56" t="n"/>
      <c r="J4170" s="58" t="n"/>
      <c r="K4170" s="58" t="n"/>
      <c r="L4170" s="13">
        <f>IF(OR($A4170="",AND($J4170="",$K4170="")),"",ROUND(N($J4170)-N($K4170),2))</f>
        <v/>
      </c>
      <c r="M4170" s="13">
        <f>IF(OR($A4170="",AND($J4170="",$K4170="")),"",MIN($J4170,$K4170))</f>
        <v/>
      </c>
      <c r="Q4170">
        <f>IF($A4170="","",$D4170&amp;"("&amp;SUBSTITUTE($E4170," ","")&amp;")")</f>
        <v/>
      </c>
      <c r="R4170">
        <f>IF($A4170="","",$B4170&amp;" - "&amp;$C4170)</f>
        <v/>
      </c>
      <c r="S4170">
        <f>IF($A4170="","",$R4170&amp;"|"&amp;$Q4170)</f>
        <v/>
      </c>
      <c r="T4170">
        <f>IF($A4170="","",$S4170&amp;"|"&amp;$F4170)</f>
        <v/>
      </c>
      <c r="U4170">
        <f>IF($A4170="","",$R4170&amp;"("&amp;$E4170&amp;")")</f>
        <v/>
      </c>
      <c r="V4170">
        <f>IF($A4170="","",$F4170&amp;"|"&amp;$U4170&amp;"|"&amp;$D4170)</f>
        <v/>
      </c>
      <c r="W4170">
        <f>IF($T4170="","",IF($X4170&gt;N($X4169),$X4170,""))</f>
        <v/>
      </c>
      <c r="X4170">
        <f>IF($T4170="",N($X4169),IF(MATCH($T4170,$T$6:$T$6005,0)=ROW()-5,N($X4169)+1,N($X4169)))</f>
        <v/>
      </c>
      <c r="Z4170">
        <f>IF($V4170="","",IF($AA4170&gt;N($AA4169),$AA4170,""))</f>
        <v/>
      </c>
      <c r="AA4170">
        <f>IF($V4170="",N($AA4169),IF(MATCH($V4170,$V$6:$V$6005,0)=ROW()-5,N($AA4169)+1,N($AA4169)))</f>
        <v/>
      </c>
    </row>
    <row r="4171" ht="21" customHeight="1" s="66">
      <c r="A4171" s="56" t="n"/>
      <c r="B4171" s="57" t="n"/>
      <c r="C4171" s="57" t="n"/>
      <c r="D4171" s="57" t="n"/>
      <c r="E4171" s="56" t="n"/>
      <c r="F4171" s="57" t="n"/>
      <c r="G4171" s="57" t="n"/>
      <c r="H4171" s="56" t="n"/>
      <c r="I4171" s="56" t="n"/>
      <c r="J4171" s="58" t="n"/>
      <c r="K4171" s="58" t="n"/>
      <c r="L4171" s="13">
        <f>IF(OR($A4171="",AND($J4171="",$K4171="")),"",ROUND(N($J4171)-N($K4171),2))</f>
        <v/>
      </c>
      <c r="M4171" s="13">
        <f>IF(OR($A4171="",AND($J4171="",$K4171="")),"",MIN($J4171,$K4171))</f>
        <v/>
      </c>
      <c r="Q4171">
        <f>IF($A4171="","",$D4171&amp;"("&amp;SUBSTITUTE($E4171," ","")&amp;")")</f>
        <v/>
      </c>
      <c r="R4171">
        <f>IF($A4171="","",$B4171&amp;" - "&amp;$C4171)</f>
        <v/>
      </c>
      <c r="S4171">
        <f>IF($A4171="","",$R4171&amp;"|"&amp;$Q4171)</f>
        <v/>
      </c>
      <c r="T4171">
        <f>IF($A4171="","",$S4171&amp;"|"&amp;$F4171)</f>
        <v/>
      </c>
      <c r="U4171">
        <f>IF($A4171="","",$R4171&amp;"("&amp;$E4171&amp;")")</f>
        <v/>
      </c>
      <c r="V4171">
        <f>IF($A4171="","",$F4171&amp;"|"&amp;$U4171&amp;"|"&amp;$D4171)</f>
        <v/>
      </c>
      <c r="W4171">
        <f>IF($T4171="","",IF($X4171&gt;N($X4170),$X4171,""))</f>
        <v/>
      </c>
      <c r="X4171">
        <f>IF($T4171="",N($X4170),IF(MATCH($T4171,$T$6:$T$6005,0)=ROW()-5,N($X4170)+1,N($X4170)))</f>
        <v/>
      </c>
      <c r="Z4171">
        <f>IF($V4171="","",IF($AA4171&gt;N($AA4170),$AA4171,""))</f>
        <v/>
      </c>
      <c r="AA4171">
        <f>IF($V4171="",N($AA4170),IF(MATCH($V4171,$V$6:$V$6005,0)=ROW()-5,N($AA4170)+1,N($AA4170)))</f>
        <v/>
      </c>
    </row>
    <row r="4172" ht="21" customHeight="1" s="66">
      <c r="A4172" s="56" t="n"/>
      <c r="B4172" s="57" t="n"/>
      <c r="C4172" s="57" t="n"/>
      <c r="D4172" s="57" t="n"/>
      <c r="E4172" s="56" t="n"/>
      <c r="F4172" s="57" t="n"/>
      <c r="G4172" s="57" t="n"/>
      <c r="H4172" s="56" t="n"/>
      <c r="I4172" s="56" t="n"/>
      <c r="J4172" s="58" t="n"/>
      <c r="K4172" s="58" t="n"/>
      <c r="L4172" s="13">
        <f>IF(OR($A4172="",AND($J4172="",$K4172="")),"",ROUND(N($J4172)-N($K4172),2))</f>
        <v/>
      </c>
      <c r="M4172" s="13">
        <f>IF(OR($A4172="",AND($J4172="",$K4172="")),"",MIN($J4172,$K4172))</f>
        <v/>
      </c>
      <c r="Q4172">
        <f>IF($A4172="","",$D4172&amp;"("&amp;SUBSTITUTE($E4172," ","")&amp;")")</f>
        <v/>
      </c>
      <c r="R4172">
        <f>IF($A4172="","",$B4172&amp;" - "&amp;$C4172)</f>
        <v/>
      </c>
      <c r="S4172">
        <f>IF($A4172="","",$R4172&amp;"|"&amp;$Q4172)</f>
        <v/>
      </c>
      <c r="T4172">
        <f>IF($A4172="","",$S4172&amp;"|"&amp;$F4172)</f>
        <v/>
      </c>
      <c r="U4172">
        <f>IF($A4172="","",$R4172&amp;"("&amp;$E4172&amp;")")</f>
        <v/>
      </c>
      <c r="V4172">
        <f>IF($A4172="","",$F4172&amp;"|"&amp;$U4172&amp;"|"&amp;$D4172)</f>
        <v/>
      </c>
      <c r="W4172">
        <f>IF($T4172="","",IF($X4172&gt;N($X4171),$X4172,""))</f>
        <v/>
      </c>
      <c r="X4172">
        <f>IF($T4172="",N($X4171),IF(MATCH($T4172,$T$6:$T$6005,0)=ROW()-5,N($X4171)+1,N($X4171)))</f>
        <v/>
      </c>
      <c r="Z4172">
        <f>IF($V4172="","",IF($AA4172&gt;N($AA4171),$AA4172,""))</f>
        <v/>
      </c>
      <c r="AA4172">
        <f>IF($V4172="",N($AA4171),IF(MATCH($V4172,$V$6:$V$6005,0)=ROW()-5,N($AA4171)+1,N($AA4171)))</f>
        <v/>
      </c>
    </row>
    <row r="4173" ht="21" customHeight="1" s="66">
      <c r="A4173" s="56" t="n"/>
      <c r="B4173" s="57" t="n"/>
      <c r="C4173" s="57" t="n"/>
      <c r="D4173" s="57" t="n"/>
      <c r="E4173" s="56" t="n"/>
      <c r="F4173" s="57" t="n"/>
      <c r="G4173" s="57" t="n"/>
      <c r="H4173" s="56" t="n"/>
      <c r="I4173" s="56" t="n"/>
      <c r="J4173" s="58" t="n"/>
      <c r="K4173" s="58" t="n"/>
      <c r="L4173" s="13">
        <f>IF(OR($A4173="",AND($J4173="",$K4173="")),"",ROUND(N($J4173)-N($K4173),2))</f>
        <v/>
      </c>
      <c r="M4173" s="13">
        <f>IF(OR($A4173="",AND($J4173="",$K4173="")),"",MIN($J4173,$K4173))</f>
        <v/>
      </c>
      <c r="Q4173">
        <f>IF($A4173="","",$D4173&amp;"("&amp;SUBSTITUTE($E4173," ","")&amp;")")</f>
        <v/>
      </c>
      <c r="R4173">
        <f>IF($A4173="","",$B4173&amp;" - "&amp;$C4173)</f>
        <v/>
      </c>
      <c r="S4173">
        <f>IF($A4173="","",$R4173&amp;"|"&amp;$Q4173)</f>
        <v/>
      </c>
      <c r="T4173">
        <f>IF($A4173="","",$S4173&amp;"|"&amp;$F4173)</f>
        <v/>
      </c>
      <c r="U4173">
        <f>IF($A4173="","",$R4173&amp;"("&amp;$E4173&amp;")")</f>
        <v/>
      </c>
      <c r="V4173">
        <f>IF($A4173="","",$F4173&amp;"|"&amp;$U4173&amp;"|"&amp;$D4173)</f>
        <v/>
      </c>
      <c r="W4173">
        <f>IF($T4173="","",IF($X4173&gt;N($X4172),$X4173,""))</f>
        <v/>
      </c>
      <c r="X4173">
        <f>IF($T4173="",N($X4172),IF(MATCH($T4173,$T$6:$T$6005,0)=ROW()-5,N($X4172)+1,N($X4172)))</f>
        <v/>
      </c>
      <c r="Z4173">
        <f>IF($V4173="","",IF($AA4173&gt;N($AA4172),$AA4173,""))</f>
        <v/>
      </c>
      <c r="AA4173">
        <f>IF($V4173="",N($AA4172),IF(MATCH($V4173,$V$6:$V$6005,0)=ROW()-5,N($AA4172)+1,N($AA4172)))</f>
        <v/>
      </c>
    </row>
    <row r="4174" ht="21" customHeight="1" s="66">
      <c r="A4174" s="56" t="n"/>
      <c r="B4174" s="57" t="n"/>
      <c r="C4174" s="57" t="n"/>
      <c r="D4174" s="57" t="n"/>
      <c r="E4174" s="56" t="n"/>
      <c r="F4174" s="57" t="n"/>
      <c r="G4174" s="57" t="n"/>
      <c r="H4174" s="56" t="n"/>
      <c r="I4174" s="56" t="n"/>
      <c r="J4174" s="58" t="n"/>
      <c r="K4174" s="58" t="n"/>
      <c r="L4174" s="13">
        <f>IF(OR($A4174="",AND($J4174="",$K4174="")),"",ROUND(N($J4174)-N($K4174),2))</f>
        <v/>
      </c>
      <c r="M4174" s="13">
        <f>IF(OR($A4174="",AND($J4174="",$K4174="")),"",MIN($J4174,$K4174))</f>
        <v/>
      </c>
      <c r="Q4174">
        <f>IF($A4174="","",$D4174&amp;"("&amp;SUBSTITUTE($E4174," ","")&amp;")")</f>
        <v/>
      </c>
      <c r="R4174">
        <f>IF($A4174="","",$B4174&amp;" - "&amp;$C4174)</f>
        <v/>
      </c>
      <c r="S4174">
        <f>IF($A4174="","",$R4174&amp;"|"&amp;$Q4174)</f>
        <v/>
      </c>
      <c r="T4174">
        <f>IF($A4174="","",$S4174&amp;"|"&amp;$F4174)</f>
        <v/>
      </c>
      <c r="U4174">
        <f>IF($A4174="","",$R4174&amp;"("&amp;$E4174&amp;")")</f>
        <v/>
      </c>
      <c r="V4174">
        <f>IF($A4174="","",$F4174&amp;"|"&amp;$U4174&amp;"|"&amp;$D4174)</f>
        <v/>
      </c>
      <c r="W4174">
        <f>IF($T4174="","",IF($X4174&gt;N($X4173),$X4174,""))</f>
        <v/>
      </c>
      <c r="X4174">
        <f>IF($T4174="",N($X4173),IF(MATCH($T4174,$T$6:$T$6005,0)=ROW()-5,N($X4173)+1,N($X4173)))</f>
        <v/>
      </c>
      <c r="Z4174">
        <f>IF($V4174="","",IF($AA4174&gt;N($AA4173),$AA4174,""))</f>
        <v/>
      </c>
      <c r="AA4174">
        <f>IF($V4174="",N($AA4173),IF(MATCH($V4174,$V$6:$V$6005,0)=ROW()-5,N($AA4173)+1,N($AA4173)))</f>
        <v/>
      </c>
    </row>
    <row r="4175" ht="21" customHeight="1" s="66">
      <c r="A4175" s="56" t="n"/>
      <c r="B4175" s="57" t="n"/>
      <c r="C4175" s="57" t="n"/>
      <c r="D4175" s="57" t="n"/>
      <c r="E4175" s="56" t="n"/>
      <c r="F4175" s="57" t="n"/>
      <c r="G4175" s="57" t="n"/>
      <c r="H4175" s="56" t="n"/>
      <c r="I4175" s="56" t="n"/>
      <c r="J4175" s="58" t="n"/>
      <c r="K4175" s="58" t="n"/>
      <c r="L4175" s="13">
        <f>IF(OR($A4175="",AND($J4175="",$K4175="")),"",ROUND(N($J4175)-N($K4175),2))</f>
        <v/>
      </c>
      <c r="M4175" s="13">
        <f>IF(OR($A4175="",AND($J4175="",$K4175="")),"",MIN($J4175,$K4175))</f>
        <v/>
      </c>
      <c r="Q4175">
        <f>IF($A4175="","",$D4175&amp;"("&amp;SUBSTITUTE($E4175," ","")&amp;")")</f>
        <v/>
      </c>
      <c r="R4175">
        <f>IF($A4175="","",$B4175&amp;" - "&amp;$C4175)</f>
        <v/>
      </c>
      <c r="S4175">
        <f>IF($A4175="","",$R4175&amp;"|"&amp;$Q4175)</f>
        <v/>
      </c>
      <c r="T4175">
        <f>IF($A4175="","",$S4175&amp;"|"&amp;$F4175)</f>
        <v/>
      </c>
      <c r="U4175">
        <f>IF($A4175="","",$R4175&amp;"("&amp;$E4175&amp;")")</f>
        <v/>
      </c>
      <c r="V4175">
        <f>IF($A4175="","",$F4175&amp;"|"&amp;$U4175&amp;"|"&amp;$D4175)</f>
        <v/>
      </c>
      <c r="W4175">
        <f>IF($T4175="","",IF($X4175&gt;N($X4174),$X4175,""))</f>
        <v/>
      </c>
      <c r="X4175">
        <f>IF($T4175="",N($X4174),IF(MATCH($T4175,$T$6:$T$6005,0)=ROW()-5,N($X4174)+1,N($X4174)))</f>
        <v/>
      </c>
      <c r="Z4175">
        <f>IF($V4175="","",IF($AA4175&gt;N($AA4174),$AA4175,""))</f>
        <v/>
      </c>
      <c r="AA4175">
        <f>IF($V4175="",N($AA4174),IF(MATCH($V4175,$V$6:$V$6005,0)=ROW()-5,N($AA4174)+1,N($AA4174)))</f>
        <v/>
      </c>
    </row>
    <row r="4176" ht="21" customHeight="1" s="66">
      <c r="A4176" s="56" t="n"/>
      <c r="B4176" s="57" t="n"/>
      <c r="C4176" s="57" t="n"/>
      <c r="D4176" s="57" t="n"/>
      <c r="E4176" s="56" t="n"/>
      <c r="F4176" s="57" t="n"/>
      <c r="G4176" s="57" t="n"/>
      <c r="H4176" s="56" t="n"/>
      <c r="I4176" s="56" t="n"/>
      <c r="J4176" s="58" t="n"/>
      <c r="K4176" s="58" t="n"/>
      <c r="L4176" s="13">
        <f>IF(OR($A4176="",AND($J4176="",$K4176="")),"",ROUND(N($J4176)-N($K4176),2))</f>
        <v/>
      </c>
      <c r="M4176" s="13">
        <f>IF(OR($A4176="",AND($J4176="",$K4176="")),"",MIN($J4176,$K4176))</f>
        <v/>
      </c>
      <c r="Q4176">
        <f>IF($A4176="","",$D4176&amp;"("&amp;SUBSTITUTE($E4176," ","")&amp;")")</f>
        <v/>
      </c>
      <c r="R4176">
        <f>IF($A4176="","",$B4176&amp;" - "&amp;$C4176)</f>
        <v/>
      </c>
      <c r="S4176">
        <f>IF($A4176="","",$R4176&amp;"|"&amp;$Q4176)</f>
        <v/>
      </c>
      <c r="T4176">
        <f>IF($A4176="","",$S4176&amp;"|"&amp;$F4176)</f>
        <v/>
      </c>
      <c r="U4176">
        <f>IF($A4176="","",$R4176&amp;"("&amp;$E4176&amp;")")</f>
        <v/>
      </c>
      <c r="V4176">
        <f>IF($A4176="","",$F4176&amp;"|"&amp;$U4176&amp;"|"&amp;$D4176)</f>
        <v/>
      </c>
      <c r="W4176">
        <f>IF($T4176="","",IF($X4176&gt;N($X4175),$X4176,""))</f>
        <v/>
      </c>
      <c r="X4176">
        <f>IF($T4176="",N($X4175),IF(MATCH($T4176,$T$6:$T$6005,0)=ROW()-5,N($X4175)+1,N($X4175)))</f>
        <v/>
      </c>
      <c r="Z4176">
        <f>IF($V4176="","",IF($AA4176&gt;N($AA4175),$AA4176,""))</f>
        <v/>
      </c>
      <c r="AA4176">
        <f>IF($V4176="",N($AA4175),IF(MATCH($V4176,$V$6:$V$6005,0)=ROW()-5,N($AA4175)+1,N($AA4175)))</f>
        <v/>
      </c>
    </row>
    <row r="4177" ht="21" customHeight="1" s="66">
      <c r="A4177" s="56" t="n"/>
      <c r="B4177" s="57" t="n"/>
      <c r="C4177" s="57" t="n"/>
      <c r="D4177" s="57" t="n"/>
      <c r="E4177" s="56" t="n"/>
      <c r="F4177" s="57" t="n"/>
      <c r="G4177" s="57" t="n"/>
      <c r="H4177" s="56" t="n"/>
      <c r="I4177" s="56" t="n"/>
      <c r="J4177" s="58" t="n"/>
      <c r="K4177" s="58" t="n"/>
      <c r="L4177" s="13">
        <f>IF(OR($A4177="",AND($J4177="",$K4177="")),"",ROUND(N($J4177)-N($K4177),2))</f>
        <v/>
      </c>
      <c r="M4177" s="13">
        <f>IF(OR($A4177="",AND($J4177="",$K4177="")),"",MIN($J4177,$K4177))</f>
        <v/>
      </c>
      <c r="Q4177">
        <f>IF($A4177="","",$D4177&amp;"("&amp;SUBSTITUTE($E4177," ","")&amp;")")</f>
        <v/>
      </c>
      <c r="R4177">
        <f>IF($A4177="","",$B4177&amp;" - "&amp;$C4177)</f>
        <v/>
      </c>
      <c r="S4177">
        <f>IF($A4177="","",$R4177&amp;"|"&amp;$Q4177)</f>
        <v/>
      </c>
      <c r="T4177">
        <f>IF($A4177="","",$S4177&amp;"|"&amp;$F4177)</f>
        <v/>
      </c>
      <c r="U4177">
        <f>IF($A4177="","",$R4177&amp;"("&amp;$E4177&amp;")")</f>
        <v/>
      </c>
      <c r="V4177">
        <f>IF($A4177="","",$F4177&amp;"|"&amp;$U4177&amp;"|"&amp;$D4177)</f>
        <v/>
      </c>
      <c r="W4177">
        <f>IF($T4177="","",IF($X4177&gt;N($X4176),$X4177,""))</f>
        <v/>
      </c>
      <c r="X4177">
        <f>IF($T4177="",N($X4176),IF(MATCH($T4177,$T$6:$T$6005,0)=ROW()-5,N($X4176)+1,N($X4176)))</f>
        <v/>
      </c>
      <c r="Z4177">
        <f>IF($V4177="","",IF($AA4177&gt;N($AA4176),$AA4177,""))</f>
        <v/>
      </c>
      <c r="AA4177">
        <f>IF($V4177="",N($AA4176),IF(MATCH($V4177,$V$6:$V$6005,0)=ROW()-5,N($AA4176)+1,N($AA4176)))</f>
        <v/>
      </c>
    </row>
    <row r="4178" ht="21" customHeight="1" s="66">
      <c r="A4178" s="56" t="n"/>
      <c r="B4178" s="57" t="n"/>
      <c r="C4178" s="57" t="n"/>
      <c r="D4178" s="57" t="n"/>
      <c r="E4178" s="56" t="n"/>
      <c r="F4178" s="57" t="n"/>
      <c r="G4178" s="57" t="n"/>
      <c r="H4178" s="56" t="n"/>
      <c r="I4178" s="56" t="n"/>
      <c r="J4178" s="58" t="n"/>
      <c r="K4178" s="58" t="n"/>
      <c r="L4178" s="13">
        <f>IF(OR($A4178="",AND($J4178="",$K4178="")),"",ROUND(N($J4178)-N($K4178),2))</f>
        <v/>
      </c>
      <c r="M4178" s="13">
        <f>IF(OR($A4178="",AND($J4178="",$K4178="")),"",MIN($J4178,$K4178))</f>
        <v/>
      </c>
      <c r="Q4178">
        <f>IF($A4178="","",$D4178&amp;"("&amp;SUBSTITUTE($E4178," ","")&amp;")")</f>
        <v/>
      </c>
      <c r="R4178">
        <f>IF($A4178="","",$B4178&amp;" - "&amp;$C4178)</f>
        <v/>
      </c>
      <c r="S4178">
        <f>IF($A4178="","",$R4178&amp;"|"&amp;$Q4178)</f>
        <v/>
      </c>
      <c r="T4178">
        <f>IF($A4178="","",$S4178&amp;"|"&amp;$F4178)</f>
        <v/>
      </c>
      <c r="U4178">
        <f>IF($A4178="","",$R4178&amp;"("&amp;$E4178&amp;")")</f>
        <v/>
      </c>
      <c r="V4178">
        <f>IF($A4178="","",$F4178&amp;"|"&amp;$U4178&amp;"|"&amp;$D4178)</f>
        <v/>
      </c>
      <c r="W4178">
        <f>IF($T4178="","",IF($X4178&gt;N($X4177),$X4178,""))</f>
        <v/>
      </c>
      <c r="X4178">
        <f>IF($T4178="",N($X4177),IF(MATCH($T4178,$T$6:$T$6005,0)=ROW()-5,N($X4177)+1,N($X4177)))</f>
        <v/>
      </c>
      <c r="Z4178">
        <f>IF($V4178="","",IF($AA4178&gt;N($AA4177),$AA4178,""))</f>
        <v/>
      </c>
      <c r="AA4178">
        <f>IF($V4178="",N($AA4177),IF(MATCH($V4178,$V$6:$V$6005,0)=ROW()-5,N($AA4177)+1,N($AA4177)))</f>
        <v/>
      </c>
    </row>
    <row r="4179" ht="21" customHeight="1" s="66">
      <c r="A4179" s="56" t="n"/>
      <c r="B4179" s="57" t="n"/>
      <c r="C4179" s="57" t="n"/>
      <c r="D4179" s="57" t="n"/>
      <c r="E4179" s="56" t="n"/>
      <c r="F4179" s="57" t="n"/>
      <c r="G4179" s="57" t="n"/>
      <c r="H4179" s="56" t="n"/>
      <c r="I4179" s="56" t="n"/>
      <c r="J4179" s="58" t="n"/>
      <c r="K4179" s="58" t="n"/>
      <c r="L4179" s="13">
        <f>IF(OR($A4179="",AND($J4179="",$K4179="")),"",ROUND(N($J4179)-N($K4179),2))</f>
        <v/>
      </c>
      <c r="M4179" s="13">
        <f>IF(OR($A4179="",AND($J4179="",$K4179="")),"",MIN($J4179,$K4179))</f>
        <v/>
      </c>
      <c r="Q4179">
        <f>IF($A4179="","",$D4179&amp;"("&amp;SUBSTITUTE($E4179," ","")&amp;")")</f>
        <v/>
      </c>
      <c r="R4179">
        <f>IF($A4179="","",$B4179&amp;" - "&amp;$C4179)</f>
        <v/>
      </c>
      <c r="S4179">
        <f>IF($A4179="","",$R4179&amp;"|"&amp;$Q4179)</f>
        <v/>
      </c>
      <c r="T4179">
        <f>IF($A4179="","",$S4179&amp;"|"&amp;$F4179)</f>
        <v/>
      </c>
      <c r="U4179">
        <f>IF($A4179="","",$R4179&amp;"("&amp;$E4179&amp;")")</f>
        <v/>
      </c>
      <c r="V4179">
        <f>IF($A4179="","",$F4179&amp;"|"&amp;$U4179&amp;"|"&amp;$D4179)</f>
        <v/>
      </c>
      <c r="W4179">
        <f>IF($T4179="","",IF($X4179&gt;N($X4178),$X4179,""))</f>
        <v/>
      </c>
      <c r="X4179">
        <f>IF($T4179="",N($X4178),IF(MATCH($T4179,$T$6:$T$6005,0)=ROW()-5,N($X4178)+1,N($X4178)))</f>
        <v/>
      </c>
      <c r="Z4179">
        <f>IF($V4179="","",IF($AA4179&gt;N($AA4178),$AA4179,""))</f>
        <v/>
      </c>
      <c r="AA4179">
        <f>IF($V4179="",N($AA4178),IF(MATCH($V4179,$V$6:$V$6005,0)=ROW()-5,N($AA4178)+1,N($AA4178)))</f>
        <v/>
      </c>
    </row>
    <row r="4180" ht="21" customHeight="1" s="66">
      <c r="A4180" s="56" t="n"/>
      <c r="B4180" s="57" t="n"/>
      <c r="C4180" s="57" t="n"/>
      <c r="D4180" s="57" t="n"/>
      <c r="E4180" s="56" t="n"/>
      <c r="F4180" s="57" t="n"/>
      <c r="G4180" s="57" t="n"/>
      <c r="H4180" s="56" t="n"/>
      <c r="I4180" s="56" t="n"/>
      <c r="J4180" s="58" t="n"/>
      <c r="K4180" s="58" t="n"/>
      <c r="L4180" s="13">
        <f>IF(OR($A4180="",AND($J4180="",$K4180="")),"",ROUND(N($J4180)-N($K4180),2))</f>
        <v/>
      </c>
      <c r="M4180" s="13">
        <f>IF(OR($A4180="",AND($J4180="",$K4180="")),"",MIN($J4180,$K4180))</f>
        <v/>
      </c>
      <c r="Q4180">
        <f>IF($A4180="","",$D4180&amp;"("&amp;SUBSTITUTE($E4180," ","")&amp;")")</f>
        <v/>
      </c>
      <c r="R4180">
        <f>IF($A4180="","",$B4180&amp;" - "&amp;$C4180)</f>
        <v/>
      </c>
      <c r="S4180">
        <f>IF($A4180="","",$R4180&amp;"|"&amp;$Q4180)</f>
        <v/>
      </c>
      <c r="T4180">
        <f>IF($A4180="","",$S4180&amp;"|"&amp;$F4180)</f>
        <v/>
      </c>
      <c r="U4180">
        <f>IF($A4180="","",$R4180&amp;"("&amp;$E4180&amp;")")</f>
        <v/>
      </c>
      <c r="V4180">
        <f>IF($A4180="","",$F4180&amp;"|"&amp;$U4180&amp;"|"&amp;$D4180)</f>
        <v/>
      </c>
      <c r="W4180">
        <f>IF($T4180="","",IF($X4180&gt;N($X4179),$X4180,""))</f>
        <v/>
      </c>
      <c r="X4180">
        <f>IF($T4180="",N($X4179),IF(MATCH($T4180,$T$6:$T$6005,0)=ROW()-5,N($X4179)+1,N($X4179)))</f>
        <v/>
      </c>
      <c r="Z4180">
        <f>IF($V4180="","",IF($AA4180&gt;N($AA4179),$AA4180,""))</f>
        <v/>
      </c>
      <c r="AA4180">
        <f>IF($V4180="",N($AA4179),IF(MATCH($V4180,$V$6:$V$6005,0)=ROW()-5,N($AA4179)+1,N($AA4179)))</f>
        <v/>
      </c>
    </row>
    <row r="4181" ht="21" customHeight="1" s="66">
      <c r="A4181" s="56" t="n"/>
      <c r="B4181" s="57" t="n"/>
      <c r="C4181" s="57" t="n"/>
      <c r="D4181" s="57" t="n"/>
      <c r="E4181" s="56" t="n"/>
      <c r="F4181" s="57" t="n"/>
      <c r="G4181" s="57" t="n"/>
      <c r="H4181" s="56" t="n"/>
      <c r="I4181" s="56" t="n"/>
      <c r="J4181" s="58" t="n"/>
      <c r="K4181" s="58" t="n"/>
      <c r="L4181" s="13">
        <f>IF(OR($A4181="",AND($J4181="",$K4181="")),"",ROUND(N($J4181)-N($K4181),2))</f>
        <v/>
      </c>
      <c r="M4181" s="13">
        <f>IF(OR($A4181="",AND($J4181="",$K4181="")),"",MIN($J4181,$K4181))</f>
        <v/>
      </c>
      <c r="Q4181">
        <f>IF($A4181="","",$D4181&amp;"("&amp;SUBSTITUTE($E4181," ","")&amp;")")</f>
        <v/>
      </c>
      <c r="R4181">
        <f>IF($A4181="","",$B4181&amp;" - "&amp;$C4181)</f>
        <v/>
      </c>
      <c r="S4181">
        <f>IF($A4181="","",$R4181&amp;"|"&amp;$Q4181)</f>
        <v/>
      </c>
      <c r="T4181">
        <f>IF($A4181="","",$S4181&amp;"|"&amp;$F4181)</f>
        <v/>
      </c>
      <c r="U4181">
        <f>IF($A4181="","",$R4181&amp;"("&amp;$E4181&amp;")")</f>
        <v/>
      </c>
      <c r="V4181">
        <f>IF($A4181="","",$F4181&amp;"|"&amp;$U4181&amp;"|"&amp;$D4181)</f>
        <v/>
      </c>
      <c r="W4181">
        <f>IF($T4181="","",IF($X4181&gt;N($X4180),$X4181,""))</f>
        <v/>
      </c>
      <c r="X4181">
        <f>IF($T4181="",N($X4180),IF(MATCH($T4181,$T$6:$T$6005,0)=ROW()-5,N($X4180)+1,N($X4180)))</f>
        <v/>
      </c>
      <c r="Z4181">
        <f>IF($V4181="","",IF($AA4181&gt;N($AA4180),$AA4181,""))</f>
        <v/>
      </c>
      <c r="AA4181">
        <f>IF($V4181="",N($AA4180),IF(MATCH($V4181,$V$6:$V$6005,0)=ROW()-5,N($AA4180)+1,N($AA4180)))</f>
        <v/>
      </c>
    </row>
    <row r="4182" ht="21" customHeight="1" s="66">
      <c r="A4182" s="56" t="n"/>
      <c r="B4182" s="57" t="n"/>
      <c r="C4182" s="57" t="n"/>
      <c r="D4182" s="57" t="n"/>
      <c r="E4182" s="56" t="n"/>
      <c r="F4182" s="57" t="n"/>
      <c r="G4182" s="57" t="n"/>
      <c r="H4182" s="56" t="n"/>
      <c r="I4182" s="56" t="n"/>
      <c r="J4182" s="58" t="n"/>
      <c r="K4182" s="58" t="n"/>
      <c r="L4182" s="13">
        <f>IF(OR($A4182="",AND($J4182="",$K4182="")),"",ROUND(N($J4182)-N($K4182),2))</f>
        <v/>
      </c>
      <c r="M4182" s="13">
        <f>IF(OR($A4182="",AND($J4182="",$K4182="")),"",MIN($J4182,$K4182))</f>
        <v/>
      </c>
      <c r="Q4182">
        <f>IF($A4182="","",$D4182&amp;"("&amp;SUBSTITUTE($E4182," ","")&amp;")")</f>
        <v/>
      </c>
      <c r="R4182">
        <f>IF($A4182="","",$B4182&amp;" - "&amp;$C4182)</f>
        <v/>
      </c>
      <c r="S4182">
        <f>IF($A4182="","",$R4182&amp;"|"&amp;$Q4182)</f>
        <v/>
      </c>
      <c r="T4182">
        <f>IF($A4182="","",$S4182&amp;"|"&amp;$F4182)</f>
        <v/>
      </c>
      <c r="U4182">
        <f>IF($A4182="","",$R4182&amp;"("&amp;$E4182&amp;")")</f>
        <v/>
      </c>
      <c r="V4182">
        <f>IF($A4182="","",$F4182&amp;"|"&amp;$U4182&amp;"|"&amp;$D4182)</f>
        <v/>
      </c>
      <c r="W4182">
        <f>IF($T4182="","",IF($X4182&gt;N($X4181),$X4182,""))</f>
        <v/>
      </c>
      <c r="X4182">
        <f>IF($T4182="",N($X4181),IF(MATCH($T4182,$T$6:$T$6005,0)=ROW()-5,N($X4181)+1,N($X4181)))</f>
        <v/>
      </c>
      <c r="Z4182">
        <f>IF($V4182="","",IF($AA4182&gt;N($AA4181),$AA4182,""))</f>
        <v/>
      </c>
      <c r="AA4182">
        <f>IF($V4182="",N($AA4181),IF(MATCH($V4182,$V$6:$V$6005,0)=ROW()-5,N($AA4181)+1,N($AA4181)))</f>
        <v/>
      </c>
    </row>
    <row r="4183" ht="21" customHeight="1" s="66">
      <c r="A4183" s="56" t="n"/>
      <c r="B4183" s="57" t="n"/>
      <c r="C4183" s="57" t="n"/>
      <c r="D4183" s="57" t="n"/>
      <c r="E4183" s="56" t="n"/>
      <c r="F4183" s="57" t="n"/>
      <c r="G4183" s="57" t="n"/>
      <c r="H4183" s="56" t="n"/>
      <c r="I4183" s="56" t="n"/>
      <c r="J4183" s="58" t="n"/>
      <c r="K4183" s="58" t="n"/>
      <c r="L4183" s="13">
        <f>IF(OR($A4183="",AND($J4183="",$K4183="")),"",ROUND(N($J4183)-N($K4183),2))</f>
        <v/>
      </c>
      <c r="M4183" s="13">
        <f>IF(OR($A4183="",AND($J4183="",$K4183="")),"",MIN($J4183,$K4183))</f>
        <v/>
      </c>
      <c r="Q4183">
        <f>IF($A4183="","",$D4183&amp;"("&amp;SUBSTITUTE($E4183," ","")&amp;")")</f>
        <v/>
      </c>
      <c r="R4183">
        <f>IF($A4183="","",$B4183&amp;" - "&amp;$C4183)</f>
        <v/>
      </c>
      <c r="S4183">
        <f>IF($A4183="","",$R4183&amp;"|"&amp;$Q4183)</f>
        <v/>
      </c>
      <c r="T4183">
        <f>IF($A4183="","",$S4183&amp;"|"&amp;$F4183)</f>
        <v/>
      </c>
      <c r="U4183">
        <f>IF($A4183="","",$R4183&amp;"("&amp;$E4183&amp;")")</f>
        <v/>
      </c>
      <c r="V4183">
        <f>IF($A4183="","",$F4183&amp;"|"&amp;$U4183&amp;"|"&amp;$D4183)</f>
        <v/>
      </c>
      <c r="W4183">
        <f>IF($T4183="","",IF($X4183&gt;N($X4182),$X4183,""))</f>
        <v/>
      </c>
      <c r="X4183">
        <f>IF($T4183="",N($X4182),IF(MATCH($T4183,$T$6:$T$6005,0)=ROW()-5,N($X4182)+1,N($X4182)))</f>
        <v/>
      </c>
      <c r="Z4183">
        <f>IF($V4183="","",IF($AA4183&gt;N($AA4182),$AA4183,""))</f>
        <v/>
      </c>
      <c r="AA4183">
        <f>IF($V4183="",N($AA4182),IF(MATCH($V4183,$V$6:$V$6005,0)=ROW()-5,N($AA4182)+1,N($AA4182)))</f>
        <v/>
      </c>
    </row>
    <row r="4184" ht="21" customHeight="1" s="66">
      <c r="A4184" s="56" t="n"/>
      <c r="B4184" s="57" t="n"/>
      <c r="C4184" s="57" t="n"/>
      <c r="D4184" s="57" t="n"/>
      <c r="E4184" s="56" t="n"/>
      <c r="F4184" s="57" t="n"/>
      <c r="G4184" s="57" t="n"/>
      <c r="H4184" s="56" t="n"/>
      <c r="I4184" s="56" t="n"/>
      <c r="J4184" s="58" t="n"/>
      <c r="K4184" s="58" t="n"/>
      <c r="L4184" s="13">
        <f>IF(OR($A4184="",AND($J4184="",$K4184="")),"",ROUND(N($J4184)-N($K4184),2))</f>
        <v/>
      </c>
      <c r="M4184" s="13">
        <f>IF(OR($A4184="",AND($J4184="",$K4184="")),"",MIN($J4184,$K4184))</f>
        <v/>
      </c>
      <c r="Q4184">
        <f>IF($A4184="","",$D4184&amp;"("&amp;SUBSTITUTE($E4184," ","")&amp;")")</f>
        <v/>
      </c>
      <c r="R4184">
        <f>IF($A4184="","",$B4184&amp;" - "&amp;$C4184)</f>
        <v/>
      </c>
      <c r="S4184">
        <f>IF($A4184="","",$R4184&amp;"|"&amp;$Q4184)</f>
        <v/>
      </c>
      <c r="T4184">
        <f>IF($A4184="","",$S4184&amp;"|"&amp;$F4184)</f>
        <v/>
      </c>
      <c r="U4184">
        <f>IF($A4184="","",$R4184&amp;"("&amp;$E4184&amp;")")</f>
        <v/>
      </c>
      <c r="V4184">
        <f>IF($A4184="","",$F4184&amp;"|"&amp;$U4184&amp;"|"&amp;$D4184)</f>
        <v/>
      </c>
      <c r="W4184">
        <f>IF($T4184="","",IF($X4184&gt;N($X4183),$X4184,""))</f>
        <v/>
      </c>
      <c r="X4184">
        <f>IF($T4184="",N($X4183),IF(MATCH($T4184,$T$6:$T$6005,0)=ROW()-5,N($X4183)+1,N($X4183)))</f>
        <v/>
      </c>
      <c r="Z4184">
        <f>IF($V4184="","",IF($AA4184&gt;N($AA4183),$AA4184,""))</f>
        <v/>
      </c>
      <c r="AA4184">
        <f>IF($V4184="",N($AA4183),IF(MATCH($V4184,$V$6:$V$6005,0)=ROW()-5,N($AA4183)+1,N($AA4183)))</f>
        <v/>
      </c>
    </row>
    <row r="4185" ht="21" customHeight="1" s="66">
      <c r="A4185" s="56" t="n"/>
      <c r="B4185" s="57" t="n"/>
      <c r="C4185" s="57" t="n"/>
      <c r="D4185" s="57" t="n"/>
      <c r="E4185" s="56" t="n"/>
      <c r="F4185" s="57" t="n"/>
      <c r="G4185" s="57" t="n"/>
      <c r="H4185" s="56" t="n"/>
      <c r="I4185" s="56" t="n"/>
      <c r="J4185" s="58" t="n"/>
      <c r="K4185" s="58" t="n"/>
      <c r="L4185" s="13">
        <f>IF(OR($A4185="",AND($J4185="",$K4185="")),"",ROUND(N($J4185)-N($K4185),2))</f>
        <v/>
      </c>
      <c r="M4185" s="13">
        <f>IF(OR($A4185="",AND($J4185="",$K4185="")),"",MIN($J4185,$K4185))</f>
        <v/>
      </c>
      <c r="Q4185">
        <f>IF($A4185="","",$D4185&amp;"("&amp;SUBSTITUTE($E4185," ","")&amp;")")</f>
        <v/>
      </c>
      <c r="R4185">
        <f>IF($A4185="","",$B4185&amp;" - "&amp;$C4185)</f>
        <v/>
      </c>
      <c r="S4185">
        <f>IF($A4185="","",$R4185&amp;"|"&amp;$Q4185)</f>
        <v/>
      </c>
      <c r="T4185">
        <f>IF($A4185="","",$S4185&amp;"|"&amp;$F4185)</f>
        <v/>
      </c>
      <c r="U4185">
        <f>IF($A4185="","",$R4185&amp;"("&amp;$E4185&amp;")")</f>
        <v/>
      </c>
      <c r="V4185">
        <f>IF($A4185="","",$F4185&amp;"|"&amp;$U4185&amp;"|"&amp;$D4185)</f>
        <v/>
      </c>
      <c r="W4185">
        <f>IF($T4185="","",IF($X4185&gt;N($X4184),$X4185,""))</f>
        <v/>
      </c>
      <c r="X4185">
        <f>IF($T4185="",N($X4184),IF(MATCH($T4185,$T$6:$T$6005,0)=ROW()-5,N($X4184)+1,N($X4184)))</f>
        <v/>
      </c>
      <c r="Z4185">
        <f>IF($V4185="","",IF($AA4185&gt;N($AA4184),$AA4185,""))</f>
        <v/>
      </c>
      <c r="AA4185">
        <f>IF($V4185="",N($AA4184),IF(MATCH($V4185,$V$6:$V$6005,0)=ROW()-5,N($AA4184)+1,N($AA4184)))</f>
        <v/>
      </c>
    </row>
    <row r="4186" ht="21" customHeight="1" s="66">
      <c r="A4186" s="56" t="n"/>
      <c r="B4186" s="57" t="n"/>
      <c r="C4186" s="57" t="n"/>
      <c r="D4186" s="57" t="n"/>
      <c r="E4186" s="56" t="n"/>
      <c r="F4186" s="57" t="n"/>
      <c r="G4186" s="57" t="n"/>
      <c r="H4186" s="56" t="n"/>
      <c r="I4186" s="56" t="n"/>
      <c r="J4186" s="58" t="n"/>
      <c r="K4186" s="58" t="n"/>
      <c r="L4186" s="13">
        <f>IF(OR($A4186="",AND($J4186="",$K4186="")),"",ROUND(N($J4186)-N($K4186),2))</f>
        <v/>
      </c>
      <c r="M4186" s="13">
        <f>IF(OR($A4186="",AND($J4186="",$K4186="")),"",MIN($J4186,$K4186))</f>
        <v/>
      </c>
      <c r="Q4186">
        <f>IF($A4186="","",$D4186&amp;"("&amp;SUBSTITUTE($E4186," ","")&amp;")")</f>
        <v/>
      </c>
      <c r="R4186">
        <f>IF($A4186="","",$B4186&amp;" - "&amp;$C4186)</f>
        <v/>
      </c>
      <c r="S4186">
        <f>IF($A4186="","",$R4186&amp;"|"&amp;$Q4186)</f>
        <v/>
      </c>
      <c r="T4186">
        <f>IF($A4186="","",$S4186&amp;"|"&amp;$F4186)</f>
        <v/>
      </c>
      <c r="U4186">
        <f>IF($A4186="","",$R4186&amp;"("&amp;$E4186&amp;")")</f>
        <v/>
      </c>
      <c r="V4186">
        <f>IF($A4186="","",$F4186&amp;"|"&amp;$U4186&amp;"|"&amp;$D4186)</f>
        <v/>
      </c>
      <c r="W4186">
        <f>IF($T4186="","",IF($X4186&gt;N($X4185),$X4186,""))</f>
        <v/>
      </c>
      <c r="X4186">
        <f>IF($T4186="",N($X4185),IF(MATCH($T4186,$T$6:$T$6005,0)=ROW()-5,N($X4185)+1,N($X4185)))</f>
        <v/>
      </c>
      <c r="Z4186">
        <f>IF($V4186="","",IF($AA4186&gt;N($AA4185),$AA4186,""))</f>
        <v/>
      </c>
      <c r="AA4186">
        <f>IF($V4186="",N($AA4185),IF(MATCH($V4186,$V$6:$V$6005,0)=ROW()-5,N($AA4185)+1,N($AA4185)))</f>
        <v/>
      </c>
    </row>
    <row r="4187" ht="21" customHeight="1" s="66">
      <c r="A4187" s="56" t="n"/>
      <c r="B4187" s="57" t="n"/>
      <c r="C4187" s="57" t="n"/>
      <c r="D4187" s="57" t="n"/>
      <c r="E4187" s="56" t="n"/>
      <c r="F4187" s="57" t="n"/>
      <c r="G4187" s="57" t="n"/>
      <c r="H4187" s="56" t="n"/>
      <c r="I4187" s="56" t="n"/>
      <c r="J4187" s="58" t="n"/>
      <c r="K4187" s="58" t="n"/>
      <c r="L4187" s="13">
        <f>IF(OR($A4187="",AND($J4187="",$K4187="")),"",ROUND(N($J4187)-N($K4187),2))</f>
        <v/>
      </c>
      <c r="M4187" s="13">
        <f>IF(OR($A4187="",AND($J4187="",$K4187="")),"",MIN($J4187,$K4187))</f>
        <v/>
      </c>
      <c r="Q4187">
        <f>IF($A4187="","",$D4187&amp;"("&amp;SUBSTITUTE($E4187," ","")&amp;")")</f>
        <v/>
      </c>
      <c r="R4187">
        <f>IF($A4187="","",$B4187&amp;" - "&amp;$C4187)</f>
        <v/>
      </c>
      <c r="S4187">
        <f>IF($A4187="","",$R4187&amp;"|"&amp;$Q4187)</f>
        <v/>
      </c>
      <c r="T4187">
        <f>IF($A4187="","",$S4187&amp;"|"&amp;$F4187)</f>
        <v/>
      </c>
      <c r="U4187">
        <f>IF($A4187="","",$R4187&amp;"("&amp;$E4187&amp;")")</f>
        <v/>
      </c>
      <c r="V4187">
        <f>IF($A4187="","",$F4187&amp;"|"&amp;$U4187&amp;"|"&amp;$D4187)</f>
        <v/>
      </c>
      <c r="W4187">
        <f>IF($T4187="","",IF($X4187&gt;N($X4186),$X4187,""))</f>
        <v/>
      </c>
      <c r="X4187">
        <f>IF($T4187="",N($X4186),IF(MATCH($T4187,$T$6:$T$6005,0)=ROW()-5,N($X4186)+1,N($X4186)))</f>
        <v/>
      </c>
      <c r="Z4187">
        <f>IF($V4187="","",IF($AA4187&gt;N($AA4186),$AA4187,""))</f>
        <v/>
      </c>
      <c r="AA4187">
        <f>IF($V4187="",N($AA4186),IF(MATCH($V4187,$V$6:$V$6005,0)=ROW()-5,N($AA4186)+1,N($AA4186)))</f>
        <v/>
      </c>
    </row>
    <row r="4188" ht="21" customHeight="1" s="66">
      <c r="A4188" s="56" t="n"/>
      <c r="B4188" s="57" t="n"/>
      <c r="C4188" s="57" t="n"/>
      <c r="D4188" s="57" t="n"/>
      <c r="E4188" s="56" t="n"/>
      <c r="F4188" s="57" t="n"/>
      <c r="G4188" s="57" t="n"/>
      <c r="H4188" s="56" t="n"/>
      <c r="I4188" s="56" t="n"/>
      <c r="J4188" s="58" t="n"/>
      <c r="K4188" s="58" t="n"/>
      <c r="L4188" s="13">
        <f>IF(OR($A4188="",AND($J4188="",$K4188="")),"",ROUND(N($J4188)-N($K4188),2))</f>
        <v/>
      </c>
      <c r="M4188" s="13">
        <f>IF(OR($A4188="",AND($J4188="",$K4188="")),"",MIN($J4188,$K4188))</f>
        <v/>
      </c>
      <c r="Q4188">
        <f>IF($A4188="","",$D4188&amp;"("&amp;SUBSTITUTE($E4188," ","")&amp;")")</f>
        <v/>
      </c>
      <c r="R4188">
        <f>IF($A4188="","",$B4188&amp;" - "&amp;$C4188)</f>
        <v/>
      </c>
      <c r="S4188">
        <f>IF($A4188="","",$R4188&amp;"|"&amp;$Q4188)</f>
        <v/>
      </c>
      <c r="T4188">
        <f>IF($A4188="","",$S4188&amp;"|"&amp;$F4188)</f>
        <v/>
      </c>
      <c r="U4188">
        <f>IF($A4188="","",$R4188&amp;"("&amp;$E4188&amp;")")</f>
        <v/>
      </c>
      <c r="V4188">
        <f>IF($A4188="","",$F4188&amp;"|"&amp;$U4188&amp;"|"&amp;$D4188)</f>
        <v/>
      </c>
      <c r="W4188">
        <f>IF($T4188="","",IF($X4188&gt;N($X4187),$X4188,""))</f>
        <v/>
      </c>
      <c r="X4188">
        <f>IF($T4188="",N($X4187),IF(MATCH($T4188,$T$6:$T$6005,0)=ROW()-5,N($X4187)+1,N($X4187)))</f>
        <v/>
      </c>
      <c r="Z4188">
        <f>IF($V4188="","",IF($AA4188&gt;N($AA4187),$AA4188,""))</f>
        <v/>
      </c>
      <c r="AA4188">
        <f>IF($V4188="",N($AA4187),IF(MATCH($V4188,$V$6:$V$6005,0)=ROW()-5,N($AA4187)+1,N($AA4187)))</f>
        <v/>
      </c>
    </row>
    <row r="4189" ht="21" customHeight="1" s="66">
      <c r="A4189" s="56" t="n"/>
      <c r="B4189" s="57" t="n"/>
      <c r="C4189" s="57" t="n"/>
      <c r="D4189" s="57" t="n"/>
      <c r="E4189" s="56" t="n"/>
      <c r="F4189" s="57" t="n"/>
      <c r="G4189" s="57" t="n"/>
      <c r="H4189" s="56" t="n"/>
      <c r="I4189" s="56" t="n"/>
      <c r="J4189" s="58" t="n"/>
      <c r="K4189" s="58" t="n"/>
      <c r="L4189" s="13">
        <f>IF(OR($A4189="",AND($J4189="",$K4189="")),"",ROUND(N($J4189)-N($K4189),2))</f>
        <v/>
      </c>
      <c r="M4189" s="13">
        <f>IF(OR($A4189="",AND($J4189="",$K4189="")),"",MIN($J4189,$K4189))</f>
        <v/>
      </c>
      <c r="Q4189">
        <f>IF($A4189="","",$D4189&amp;"("&amp;SUBSTITUTE($E4189," ","")&amp;")")</f>
        <v/>
      </c>
      <c r="R4189">
        <f>IF($A4189="","",$B4189&amp;" - "&amp;$C4189)</f>
        <v/>
      </c>
      <c r="S4189">
        <f>IF($A4189="","",$R4189&amp;"|"&amp;$Q4189)</f>
        <v/>
      </c>
      <c r="T4189">
        <f>IF($A4189="","",$S4189&amp;"|"&amp;$F4189)</f>
        <v/>
      </c>
      <c r="U4189">
        <f>IF($A4189="","",$R4189&amp;"("&amp;$E4189&amp;")")</f>
        <v/>
      </c>
      <c r="V4189">
        <f>IF($A4189="","",$F4189&amp;"|"&amp;$U4189&amp;"|"&amp;$D4189)</f>
        <v/>
      </c>
      <c r="W4189">
        <f>IF($T4189="","",IF($X4189&gt;N($X4188),$X4189,""))</f>
        <v/>
      </c>
      <c r="X4189">
        <f>IF($T4189="",N($X4188),IF(MATCH($T4189,$T$6:$T$6005,0)=ROW()-5,N($X4188)+1,N($X4188)))</f>
        <v/>
      </c>
      <c r="Z4189">
        <f>IF($V4189="","",IF($AA4189&gt;N($AA4188),$AA4189,""))</f>
        <v/>
      </c>
      <c r="AA4189">
        <f>IF($V4189="",N($AA4188),IF(MATCH($V4189,$V$6:$V$6005,0)=ROW()-5,N($AA4188)+1,N($AA4188)))</f>
        <v/>
      </c>
    </row>
    <row r="4190" ht="21" customHeight="1" s="66">
      <c r="A4190" s="56" t="n"/>
      <c r="B4190" s="57" t="n"/>
      <c r="C4190" s="57" t="n"/>
      <c r="D4190" s="57" t="n"/>
      <c r="E4190" s="56" t="n"/>
      <c r="F4190" s="57" t="n"/>
      <c r="G4190" s="57" t="n"/>
      <c r="H4190" s="56" t="n"/>
      <c r="I4190" s="56" t="n"/>
      <c r="J4190" s="58" t="n"/>
      <c r="K4190" s="58" t="n"/>
      <c r="L4190" s="13">
        <f>IF(OR($A4190="",AND($J4190="",$K4190="")),"",ROUND(N($J4190)-N($K4190),2))</f>
        <v/>
      </c>
      <c r="M4190" s="13">
        <f>IF(OR($A4190="",AND($J4190="",$K4190="")),"",MIN($J4190,$K4190))</f>
        <v/>
      </c>
      <c r="Q4190">
        <f>IF($A4190="","",$D4190&amp;"("&amp;SUBSTITUTE($E4190," ","")&amp;")")</f>
        <v/>
      </c>
      <c r="R4190">
        <f>IF($A4190="","",$B4190&amp;" - "&amp;$C4190)</f>
        <v/>
      </c>
      <c r="S4190">
        <f>IF($A4190="","",$R4190&amp;"|"&amp;$Q4190)</f>
        <v/>
      </c>
      <c r="T4190">
        <f>IF($A4190="","",$S4190&amp;"|"&amp;$F4190)</f>
        <v/>
      </c>
      <c r="U4190">
        <f>IF($A4190="","",$R4190&amp;"("&amp;$E4190&amp;")")</f>
        <v/>
      </c>
      <c r="V4190">
        <f>IF($A4190="","",$F4190&amp;"|"&amp;$U4190&amp;"|"&amp;$D4190)</f>
        <v/>
      </c>
      <c r="W4190">
        <f>IF($T4190="","",IF($X4190&gt;N($X4189),$X4190,""))</f>
        <v/>
      </c>
      <c r="X4190">
        <f>IF($T4190="",N($X4189),IF(MATCH($T4190,$T$6:$T$6005,0)=ROW()-5,N($X4189)+1,N($X4189)))</f>
        <v/>
      </c>
      <c r="Z4190">
        <f>IF($V4190="","",IF($AA4190&gt;N($AA4189),$AA4190,""))</f>
        <v/>
      </c>
      <c r="AA4190">
        <f>IF($V4190="",N($AA4189),IF(MATCH($V4190,$V$6:$V$6005,0)=ROW()-5,N($AA4189)+1,N($AA4189)))</f>
        <v/>
      </c>
    </row>
    <row r="4191" ht="21" customHeight="1" s="66">
      <c r="A4191" s="56" t="n"/>
      <c r="B4191" s="57" t="n"/>
      <c r="C4191" s="57" t="n"/>
      <c r="D4191" s="57" t="n"/>
      <c r="E4191" s="56" t="n"/>
      <c r="F4191" s="57" t="n"/>
      <c r="G4191" s="57" t="n"/>
      <c r="H4191" s="56" t="n"/>
      <c r="I4191" s="56" t="n"/>
      <c r="J4191" s="58" t="n"/>
      <c r="K4191" s="58" t="n"/>
      <c r="L4191" s="13">
        <f>IF(OR($A4191="",AND($J4191="",$K4191="")),"",ROUND(N($J4191)-N($K4191),2))</f>
        <v/>
      </c>
      <c r="M4191" s="13">
        <f>IF(OR($A4191="",AND($J4191="",$K4191="")),"",MIN($J4191,$K4191))</f>
        <v/>
      </c>
      <c r="Q4191">
        <f>IF($A4191="","",$D4191&amp;"("&amp;SUBSTITUTE($E4191," ","")&amp;")")</f>
        <v/>
      </c>
      <c r="R4191">
        <f>IF($A4191="","",$B4191&amp;" - "&amp;$C4191)</f>
        <v/>
      </c>
      <c r="S4191">
        <f>IF($A4191="","",$R4191&amp;"|"&amp;$Q4191)</f>
        <v/>
      </c>
      <c r="T4191">
        <f>IF($A4191="","",$S4191&amp;"|"&amp;$F4191)</f>
        <v/>
      </c>
      <c r="U4191">
        <f>IF($A4191="","",$R4191&amp;"("&amp;$E4191&amp;")")</f>
        <v/>
      </c>
      <c r="V4191">
        <f>IF($A4191="","",$F4191&amp;"|"&amp;$U4191&amp;"|"&amp;$D4191)</f>
        <v/>
      </c>
      <c r="W4191">
        <f>IF($T4191="","",IF($X4191&gt;N($X4190),$X4191,""))</f>
        <v/>
      </c>
      <c r="X4191">
        <f>IF($T4191="",N($X4190),IF(MATCH($T4191,$T$6:$T$6005,0)=ROW()-5,N($X4190)+1,N($X4190)))</f>
        <v/>
      </c>
      <c r="Z4191">
        <f>IF($V4191="","",IF($AA4191&gt;N($AA4190),$AA4191,""))</f>
        <v/>
      </c>
      <c r="AA4191">
        <f>IF($V4191="",N($AA4190),IF(MATCH($V4191,$V$6:$V$6005,0)=ROW()-5,N($AA4190)+1,N($AA4190)))</f>
        <v/>
      </c>
    </row>
    <row r="4192" ht="21" customHeight="1" s="66">
      <c r="A4192" s="56" t="n"/>
      <c r="B4192" s="57" t="n"/>
      <c r="C4192" s="57" t="n"/>
      <c r="D4192" s="57" t="n"/>
      <c r="E4192" s="56" t="n"/>
      <c r="F4192" s="57" t="n"/>
      <c r="G4192" s="57" t="n"/>
      <c r="H4192" s="56" t="n"/>
      <c r="I4192" s="56" t="n"/>
      <c r="J4192" s="58" t="n"/>
      <c r="K4192" s="58" t="n"/>
      <c r="L4192" s="13">
        <f>IF(OR($A4192="",AND($J4192="",$K4192="")),"",ROUND(N($J4192)-N($K4192),2))</f>
        <v/>
      </c>
      <c r="M4192" s="13">
        <f>IF(OR($A4192="",AND($J4192="",$K4192="")),"",MIN($J4192,$K4192))</f>
        <v/>
      </c>
      <c r="Q4192">
        <f>IF($A4192="","",$D4192&amp;"("&amp;SUBSTITUTE($E4192," ","")&amp;")")</f>
        <v/>
      </c>
      <c r="R4192">
        <f>IF($A4192="","",$B4192&amp;" - "&amp;$C4192)</f>
        <v/>
      </c>
      <c r="S4192">
        <f>IF($A4192="","",$R4192&amp;"|"&amp;$Q4192)</f>
        <v/>
      </c>
      <c r="T4192">
        <f>IF($A4192="","",$S4192&amp;"|"&amp;$F4192)</f>
        <v/>
      </c>
      <c r="U4192">
        <f>IF($A4192="","",$R4192&amp;"("&amp;$E4192&amp;")")</f>
        <v/>
      </c>
      <c r="V4192">
        <f>IF($A4192="","",$F4192&amp;"|"&amp;$U4192&amp;"|"&amp;$D4192)</f>
        <v/>
      </c>
      <c r="W4192">
        <f>IF($T4192="","",IF($X4192&gt;N($X4191),$X4192,""))</f>
        <v/>
      </c>
      <c r="X4192">
        <f>IF($T4192="",N($X4191),IF(MATCH($T4192,$T$6:$T$6005,0)=ROW()-5,N($X4191)+1,N($X4191)))</f>
        <v/>
      </c>
      <c r="Z4192">
        <f>IF($V4192="","",IF($AA4192&gt;N($AA4191),$AA4192,""))</f>
        <v/>
      </c>
      <c r="AA4192">
        <f>IF($V4192="",N($AA4191),IF(MATCH($V4192,$V$6:$V$6005,0)=ROW()-5,N($AA4191)+1,N($AA4191)))</f>
        <v/>
      </c>
    </row>
    <row r="4193" ht="21" customHeight="1" s="66">
      <c r="A4193" s="56" t="n"/>
      <c r="B4193" s="57" t="n"/>
      <c r="C4193" s="57" t="n"/>
      <c r="D4193" s="57" t="n"/>
      <c r="E4193" s="56" t="n"/>
      <c r="F4193" s="57" t="n"/>
      <c r="G4193" s="57" t="n"/>
      <c r="H4193" s="56" t="n"/>
      <c r="I4193" s="56" t="n"/>
      <c r="J4193" s="58" t="n"/>
      <c r="K4193" s="58" t="n"/>
      <c r="L4193" s="13">
        <f>IF(OR($A4193="",AND($J4193="",$K4193="")),"",ROUND(N($J4193)-N($K4193),2))</f>
        <v/>
      </c>
      <c r="M4193" s="13">
        <f>IF(OR($A4193="",AND($J4193="",$K4193="")),"",MIN($J4193,$K4193))</f>
        <v/>
      </c>
      <c r="Q4193">
        <f>IF($A4193="","",$D4193&amp;"("&amp;SUBSTITUTE($E4193," ","")&amp;")")</f>
        <v/>
      </c>
      <c r="R4193">
        <f>IF($A4193="","",$B4193&amp;" - "&amp;$C4193)</f>
        <v/>
      </c>
      <c r="S4193">
        <f>IF($A4193="","",$R4193&amp;"|"&amp;$Q4193)</f>
        <v/>
      </c>
      <c r="T4193">
        <f>IF($A4193="","",$S4193&amp;"|"&amp;$F4193)</f>
        <v/>
      </c>
      <c r="U4193">
        <f>IF($A4193="","",$R4193&amp;"("&amp;$E4193&amp;")")</f>
        <v/>
      </c>
      <c r="V4193">
        <f>IF($A4193="","",$F4193&amp;"|"&amp;$U4193&amp;"|"&amp;$D4193)</f>
        <v/>
      </c>
      <c r="W4193">
        <f>IF($T4193="","",IF($X4193&gt;N($X4192),$X4193,""))</f>
        <v/>
      </c>
      <c r="X4193">
        <f>IF($T4193="",N($X4192),IF(MATCH($T4193,$T$6:$T$6005,0)=ROW()-5,N($X4192)+1,N($X4192)))</f>
        <v/>
      </c>
      <c r="Z4193">
        <f>IF($V4193="","",IF($AA4193&gt;N($AA4192),$AA4193,""))</f>
        <v/>
      </c>
      <c r="AA4193">
        <f>IF($V4193="",N($AA4192),IF(MATCH($V4193,$V$6:$V$6005,0)=ROW()-5,N($AA4192)+1,N($AA4192)))</f>
        <v/>
      </c>
    </row>
    <row r="4194" ht="21" customHeight="1" s="66">
      <c r="A4194" s="56" t="n"/>
      <c r="B4194" s="57" t="n"/>
      <c r="C4194" s="57" t="n"/>
      <c r="D4194" s="57" t="n"/>
      <c r="E4194" s="56" t="n"/>
      <c r="F4194" s="57" t="n"/>
      <c r="G4194" s="57" t="n"/>
      <c r="H4194" s="56" t="n"/>
      <c r="I4194" s="56" t="n"/>
      <c r="J4194" s="58" t="n"/>
      <c r="K4194" s="58" t="n"/>
      <c r="L4194" s="13">
        <f>IF(OR($A4194="",AND($J4194="",$K4194="")),"",ROUND(N($J4194)-N($K4194),2))</f>
        <v/>
      </c>
      <c r="M4194" s="13">
        <f>IF(OR($A4194="",AND($J4194="",$K4194="")),"",MIN($J4194,$K4194))</f>
        <v/>
      </c>
      <c r="Q4194">
        <f>IF($A4194="","",$D4194&amp;"("&amp;SUBSTITUTE($E4194," ","")&amp;")")</f>
        <v/>
      </c>
      <c r="R4194">
        <f>IF($A4194="","",$B4194&amp;" - "&amp;$C4194)</f>
        <v/>
      </c>
      <c r="S4194">
        <f>IF($A4194="","",$R4194&amp;"|"&amp;$Q4194)</f>
        <v/>
      </c>
      <c r="T4194">
        <f>IF($A4194="","",$S4194&amp;"|"&amp;$F4194)</f>
        <v/>
      </c>
      <c r="U4194">
        <f>IF($A4194="","",$R4194&amp;"("&amp;$E4194&amp;")")</f>
        <v/>
      </c>
      <c r="V4194">
        <f>IF($A4194="","",$F4194&amp;"|"&amp;$U4194&amp;"|"&amp;$D4194)</f>
        <v/>
      </c>
      <c r="W4194">
        <f>IF($T4194="","",IF($X4194&gt;N($X4193),$X4194,""))</f>
        <v/>
      </c>
      <c r="X4194">
        <f>IF($T4194="",N($X4193),IF(MATCH($T4194,$T$6:$T$6005,0)=ROW()-5,N($X4193)+1,N($X4193)))</f>
        <v/>
      </c>
      <c r="Z4194">
        <f>IF($V4194="","",IF($AA4194&gt;N($AA4193),$AA4194,""))</f>
        <v/>
      </c>
      <c r="AA4194">
        <f>IF($V4194="",N($AA4193),IF(MATCH($V4194,$V$6:$V$6005,0)=ROW()-5,N($AA4193)+1,N($AA4193)))</f>
        <v/>
      </c>
    </row>
    <row r="4195" ht="21" customHeight="1" s="66">
      <c r="A4195" s="56" t="n"/>
      <c r="B4195" s="57" t="n"/>
      <c r="C4195" s="57" t="n"/>
      <c r="D4195" s="57" t="n"/>
      <c r="E4195" s="56" t="n"/>
      <c r="F4195" s="57" t="n"/>
      <c r="G4195" s="57" t="n"/>
      <c r="H4195" s="56" t="n"/>
      <c r="I4195" s="56" t="n"/>
      <c r="J4195" s="58" t="n"/>
      <c r="K4195" s="58" t="n"/>
      <c r="L4195" s="13">
        <f>IF(OR($A4195="",AND($J4195="",$K4195="")),"",ROUND(N($J4195)-N($K4195),2))</f>
        <v/>
      </c>
      <c r="M4195" s="13">
        <f>IF(OR($A4195="",AND($J4195="",$K4195="")),"",MIN($J4195,$K4195))</f>
        <v/>
      </c>
      <c r="Q4195">
        <f>IF($A4195="","",$D4195&amp;"("&amp;SUBSTITUTE($E4195," ","")&amp;")")</f>
        <v/>
      </c>
      <c r="R4195">
        <f>IF($A4195="","",$B4195&amp;" - "&amp;$C4195)</f>
        <v/>
      </c>
      <c r="S4195">
        <f>IF($A4195="","",$R4195&amp;"|"&amp;$Q4195)</f>
        <v/>
      </c>
      <c r="T4195">
        <f>IF($A4195="","",$S4195&amp;"|"&amp;$F4195)</f>
        <v/>
      </c>
      <c r="U4195">
        <f>IF($A4195="","",$R4195&amp;"("&amp;$E4195&amp;")")</f>
        <v/>
      </c>
      <c r="V4195">
        <f>IF($A4195="","",$F4195&amp;"|"&amp;$U4195&amp;"|"&amp;$D4195)</f>
        <v/>
      </c>
      <c r="W4195">
        <f>IF($T4195="","",IF($X4195&gt;N($X4194),$X4195,""))</f>
        <v/>
      </c>
      <c r="X4195">
        <f>IF($T4195="",N($X4194),IF(MATCH($T4195,$T$6:$T$6005,0)=ROW()-5,N($X4194)+1,N($X4194)))</f>
        <v/>
      </c>
      <c r="Z4195">
        <f>IF($V4195="","",IF($AA4195&gt;N($AA4194),$AA4195,""))</f>
        <v/>
      </c>
      <c r="AA4195">
        <f>IF($V4195="",N($AA4194),IF(MATCH($V4195,$V$6:$V$6005,0)=ROW()-5,N($AA4194)+1,N($AA4194)))</f>
        <v/>
      </c>
    </row>
    <row r="4196" ht="21" customHeight="1" s="66">
      <c r="A4196" s="56" t="n"/>
      <c r="B4196" s="57" t="n"/>
      <c r="C4196" s="57" t="n"/>
      <c r="D4196" s="57" t="n"/>
      <c r="E4196" s="56" t="n"/>
      <c r="F4196" s="57" t="n"/>
      <c r="G4196" s="57" t="n"/>
      <c r="H4196" s="56" t="n"/>
      <c r="I4196" s="56" t="n"/>
      <c r="J4196" s="58" t="n"/>
      <c r="K4196" s="58" t="n"/>
      <c r="L4196" s="13">
        <f>IF(OR($A4196="",AND($J4196="",$K4196="")),"",ROUND(N($J4196)-N($K4196),2))</f>
        <v/>
      </c>
      <c r="M4196" s="13">
        <f>IF(OR($A4196="",AND($J4196="",$K4196="")),"",MIN($J4196,$K4196))</f>
        <v/>
      </c>
      <c r="Q4196">
        <f>IF($A4196="","",$D4196&amp;"("&amp;SUBSTITUTE($E4196," ","")&amp;")")</f>
        <v/>
      </c>
      <c r="R4196">
        <f>IF($A4196="","",$B4196&amp;" - "&amp;$C4196)</f>
        <v/>
      </c>
      <c r="S4196">
        <f>IF($A4196="","",$R4196&amp;"|"&amp;$Q4196)</f>
        <v/>
      </c>
      <c r="T4196">
        <f>IF($A4196="","",$S4196&amp;"|"&amp;$F4196)</f>
        <v/>
      </c>
      <c r="U4196">
        <f>IF($A4196="","",$R4196&amp;"("&amp;$E4196&amp;")")</f>
        <v/>
      </c>
      <c r="V4196">
        <f>IF($A4196="","",$F4196&amp;"|"&amp;$U4196&amp;"|"&amp;$D4196)</f>
        <v/>
      </c>
      <c r="W4196">
        <f>IF($T4196="","",IF($X4196&gt;N($X4195),$X4196,""))</f>
        <v/>
      </c>
      <c r="X4196">
        <f>IF($T4196="",N($X4195),IF(MATCH($T4196,$T$6:$T$6005,0)=ROW()-5,N($X4195)+1,N($X4195)))</f>
        <v/>
      </c>
      <c r="Z4196">
        <f>IF($V4196="","",IF($AA4196&gt;N($AA4195),$AA4196,""))</f>
        <v/>
      </c>
      <c r="AA4196">
        <f>IF($V4196="",N($AA4195),IF(MATCH($V4196,$V$6:$V$6005,0)=ROW()-5,N($AA4195)+1,N($AA4195)))</f>
        <v/>
      </c>
    </row>
    <row r="4197" ht="21" customHeight="1" s="66">
      <c r="A4197" s="56" t="n"/>
      <c r="B4197" s="57" t="n"/>
      <c r="C4197" s="57" t="n"/>
      <c r="D4197" s="57" t="n"/>
      <c r="E4197" s="56" t="n"/>
      <c r="F4197" s="57" t="n"/>
      <c r="G4197" s="57" t="n"/>
      <c r="H4197" s="56" t="n"/>
      <c r="I4197" s="56" t="n"/>
      <c r="J4197" s="58" t="n"/>
      <c r="K4197" s="58" t="n"/>
      <c r="L4197" s="13">
        <f>IF(OR($A4197="",AND($J4197="",$K4197="")),"",ROUND(N($J4197)-N($K4197),2))</f>
        <v/>
      </c>
      <c r="M4197" s="13">
        <f>IF(OR($A4197="",AND($J4197="",$K4197="")),"",MIN($J4197,$K4197))</f>
        <v/>
      </c>
      <c r="Q4197">
        <f>IF($A4197="","",$D4197&amp;"("&amp;SUBSTITUTE($E4197," ","")&amp;")")</f>
        <v/>
      </c>
      <c r="R4197">
        <f>IF($A4197="","",$B4197&amp;" - "&amp;$C4197)</f>
        <v/>
      </c>
      <c r="S4197">
        <f>IF($A4197="","",$R4197&amp;"|"&amp;$Q4197)</f>
        <v/>
      </c>
      <c r="T4197">
        <f>IF($A4197="","",$S4197&amp;"|"&amp;$F4197)</f>
        <v/>
      </c>
      <c r="U4197">
        <f>IF($A4197="","",$R4197&amp;"("&amp;$E4197&amp;")")</f>
        <v/>
      </c>
      <c r="V4197">
        <f>IF($A4197="","",$F4197&amp;"|"&amp;$U4197&amp;"|"&amp;$D4197)</f>
        <v/>
      </c>
      <c r="W4197">
        <f>IF($T4197="","",IF($X4197&gt;N($X4196),$X4197,""))</f>
        <v/>
      </c>
      <c r="X4197">
        <f>IF($T4197="",N($X4196),IF(MATCH($T4197,$T$6:$T$6005,0)=ROW()-5,N($X4196)+1,N($X4196)))</f>
        <v/>
      </c>
      <c r="Z4197">
        <f>IF($V4197="","",IF($AA4197&gt;N($AA4196),$AA4197,""))</f>
        <v/>
      </c>
      <c r="AA4197">
        <f>IF($V4197="",N($AA4196),IF(MATCH($V4197,$V$6:$V$6005,0)=ROW()-5,N($AA4196)+1,N($AA4196)))</f>
        <v/>
      </c>
    </row>
    <row r="4198" ht="21" customHeight="1" s="66">
      <c r="A4198" s="56" t="n"/>
      <c r="B4198" s="57" t="n"/>
      <c r="C4198" s="57" t="n"/>
      <c r="D4198" s="57" t="n"/>
      <c r="E4198" s="56" t="n"/>
      <c r="F4198" s="57" t="n"/>
      <c r="G4198" s="57" t="n"/>
      <c r="H4198" s="56" t="n"/>
      <c r="I4198" s="56" t="n"/>
      <c r="J4198" s="58" t="n"/>
      <c r="K4198" s="58" t="n"/>
      <c r="L4198" s="13">
        <f>IF(OR($A4198="",AND($J4198="",$K4198="")),"",ROUND(N($J4198)-N($K4198),2))</f>
        <v/>
      </c>
      <c r="M4198" s="13">
        <f>IF(OR($A4198="",AND($J4198="",$K4198="")),"",MIN($J4198,$K4198))</f>
        <v/>
      </c>
      <c r="Q4198">
        <f>IF($A4198="","",$D4198&amp;"("&amp;SUBSTITUTE($E4198," ","")&amp;")")</f>
        <v/>
      </c>
      <c r="R4198">
        <f>IF($A4198="","",$B4198&amp;" - "&amp;$C4198)</f>
        <v/>
      </c>
      <c r="S4198">
        <f>IF($A4198="","",$R4198&amp;"|"&amp;$Q4198)</f>
        <v/>
      </c>
      <c r="T4198">
        <f>IF($A4198="","",$S4198&amp;"|"&amp;$F4198)</f>
        <v/>
      </c>
      <c r="U4198">
        <f>IF($A4198="","",$R4198&amp;"("&amp;$E4198&amp;")")</f>
        <v/>
      </c>
      <c r="V4198">
        <f>IF($A4198="","",$F4198&amp;"|"&amp;$U4198&amp;"|"&amp;$D4198)</f>
        <v/>
      </c>
      <c r="W4198">
        <f>IF($T4198="","",IF($X4198&gt;N($X4197),$X4198,""))</f>
        <v/>
      </c>
      <c r="X4198">
        <f>IF($T4198="",N($X4197),IF(MATCH($T4198,$T$6:$T$6005,0)=ROW()-5,N($X4197)+1,N($X4197)))</f>
        <v/>
      </c>
      <c r="Z4198">
        <f>IF($V4198="","",IF($AA4198&gt;N($AA4197),$AA4198,""))</f>
        <v/>
      </c>
      <c r="AA4198">
        <f>IF($V4198="",N($AA4197),IF(MATCH($V4198,$V$6:$V$6005,0)=ROW()-5,N($AA4197)+1,N($AA4197)))</f>
        <v/>
      </c>
    </row>
    <row r="4199" ht="21" customHeight="1" s="66">
      <c r="A4199" s="56" t="n"/>
      <c r="B4199" s="57" t="n"/>
      <c r="C4199" s="57" t="n"/>
      <c r="D4199" s="57" t="n"/>
      <c r="E4199" s="56" t="n"/>
      <c r="F4199" s="57" t="n"/>
      <c r="G4199" s="57" t="n"/>
      <c r="H4199" s="56" t="n"/>
      <c r="I4199" s="56" t="n"/>
      <c r="J4199" s="58" t="n"/>
      <c r="K4199" s="58" t="n"/>
      <c r="L4199" s="13">
        <f>IF(OR($A4199="",AND($J4199="",$K4199="")),"",ROUND(N($J4199)-N($K4199),2))</f>
        <v/>
      </c>
      <c r="M4199" s="13">
        <f>IF(OR($A4199="",AND($J4199="",$K4199="")),"",MIN($J4199,$K4199))</f>
        <v/>
      </c>
      <c r="Q4199">
        <f>IF($A4199="","",$D4199&amp;"("&amp;SUBSTITUTE($E4199," ","")&amp;")")</f>
        <v/>
      </c>
      <c r="R4199">
        <f>IF($A4199="","",$B4199&amp;" - "&amp;$C4199)</f>
        <v/>
      </c>
      <c r="S4199">
        <f>IF($A4199="","",$R4199&amp;"|"&amp;$Q4199)</f>
        <v/>
      </c>
      <c r="T4199">
        <f>IF($A4199="","",$S4199&amp;"|"&amp;$F4199)</f>
        <v/>
      </c>
      <c r="U4199">
        <f>IF($A4199="","",$R4199&amp;"("&amp;$E4199&amp;")")</f>
        <v/>
      </c>
      <c r="V4199">
        <f>IF($A4199="","",$F4199&amp;"|"&amp;$U4199&amp;"|"&amp;$D4199)</f>
        <v/>
      </c>
      <c r="W4199">
        <f>IF($T4199="","",IF($X4199&gt;N($X4198),$X4199,""))</f>
        <v/>
      </c>
      <c r="X4199">
        <f>IF($T4199="",N($X4198),IF(MATCH($T4199,$T$6:$T$6005,0)=ROW()-5,N($X4198)+1,N($X4198)))</f>
        <v/>
      </c>
      <c r="Z4199">
        <f>IF($V4199="","",IF($AA4199&gt;N($AA4198),$AA4199,""))</f>
        <v/>
      </c>
      <c r="AA4199">
        <f>IF($V4199="",N($AA4198),IF(MATCH($V4199,$V$6:$V$6005,0)=ROW()-5,N($AA4198)+1,N($AA4198)))</f>
        <v/>
      </c>
    </row>
    <row r="4200" ht="21" customHeight="1" s="66">
      <c r="A4200" s="56" t="n"/>
      <c r="B4200" s="57" t="n"/>
      <c r="C4200" s="57" t="n"/>
      <c r="D4200" s="57" t="n"/>
      <c r="E4200" s="56" t="n"/>
      <c r="F4200" s="57" t="n"/>
      <c r="G4200" s="57" t="n"/>
      <c r="H4200" s="56" t="n"/>
      <c r="I4200" s="56" t="n"/>
      <c r="J4200" s="58" t="n"/>
      <c r="K4200" s="58" t="n"/>
      <c r="L4200" s="13">
        <f>IF(OR($A4200="",AND($J4200="",$K4200="")),"",ROUND(N($J4200)-N($K4200),2))</f>
        <v/>
      </c>
      <c r="M4200" s="13">
        <f>IF(OR($A4200="",AND($J4200="",$K4200="")),"",MIN($J4200,$K4200))</f>
        <v/>
      </c>
      <c r="Q4200">
        <f>IF($A4200="","",$D4200&amp;"("&amp;SUBSTITUTE($E4200," ","")&amp;")")</f>
        <v/>
      </c>
      <c r="R4200">
        <f>IF($A4200="","",$B4200&amp;" - "&amp;$C4200)</f>
        <v/>
      </c>
      <c r="S4200">
        <f>IF($A4200="","",$R4200&amp;"|"&amp;$Q4200)</f>
        <v/>
      </c>
      <c r="T4200">
        <f>IF($A4200="","",$S4200&amp;"|"&amp;$F4200)</f>
        <v/>
      </c>
      <c r="U4200">
        <f>IF($A4200="","",$R4200&amp;"("&amp;$E4200&amp;")")</f>
        <v/>
      </c>
      <c r="V4200">
        <f>IF($A4200="","",$F4200&amp;"|"&amp;$U4200&amp;"|"&amp;$D4200)</f>
        <v/>
      </c>
      <c r="W4200">
        <f>IF($T4200="","",IF($X4200&gt;N($X4199),$X4200,""))</f>
        <v/>
      </c>
      <c r="X4200">
        <f>IF($T4200="",N($X4199),IF(MATCH($T4200,$T$6:$T$6005,0)=ROW()-5,N($X4199)+1,N($X4199)))</f>
        <v/>
      </c>
      <c r="Z4200">
        <f>IF($V4200="","",IF($AA4200&gt;N($AA4199),$AA4200,""))</f>
        <v/>
      </c>
      <c r="AA4200">
        <f>IF($V4200="",N($AA4199),IF(MATCH($V4200,$V$6:$V$6005,0)=ROW()-5,N($AA4199)+1,N($AA4199)))</f>
        <v/>
      </c>
    </row>
    <row r="4201" ht="21" customHeight="1" s="66">
      <c r="A4201" s="56" t="n"/>
      <c r="B4201" s="57" t="n"/>
      <c r="C4201" s="57" t="n"/>
      <c r="D4201" s="57" t="n"/>
      <c r="E4201" s="56" t="n"/>
      <c r="F4201" s="57" t="n"/>
      <c r="G4201" s="57" t="n"/>
      <c r="H4201" s="56" t="n"/>
      <c r="I4201" s="56" t="n"/>
      <c r="J4201" s="58" t="n"/>
      <c r="K4201" s="58" t="n"/>
      <c r="L4201" s="13">
        <f>IF(OR($A4201="",AND($J4201="",$K4201="")),"",ROUND(N($J4201)-N($K4201),2))</f>
        <v/>
      </c>
      <c r="M4201" s="13">
        <f>IF(OR($A4201="",AND($J4201="",$K4201="")),"",MIN($J4201,$K4201))</f>
        <v/>
      </c>
      <c r="Q4201">
        <f>IF($A4201="","",$D4201&amp;"("&amp;SUBSTITUTE($E4201," ","")&amp;")")</f>
        <v/>
      </c>
      <c r="R4201">
        <f>IF($A4201="","",$B4201&amp;" - "&amp;$C4201)</f>
        <v/>
      </c>
      <c r="S4201">
        <f>IF($A4201="","",$R4201&amp;"|"&amp;$Q4201)</f>
        <v/>
      </c>
      <c r="T4201">
        <f>IF($A4201="","",$S4201&amp;"|"&amp;$F4201)</f>
        <v/>
      </c>
      <c r="U4201">
        <f>IF($A4201="","",$R4201&amp;"("&amp;$E4201&amp;")")</f>
        <v/>
      </c>
      <c r="V4201">
        <f>IF($A4201="","",$F4201&amp;"|"&amp;$U4201&amp;"|"&amp;$D4201)</f>
        <v/>
      </c>
      <c r="W4201">
        <f>IF($T4201="","",IF($X4201&gt;N($X4200),$X4201,""))</f>
        <v/>
      </c>
      <c r="X4201">
        <f>IF($T4201="",N($X4200),IF(MATCH($T4201,$T$6:$T$6005,0)=ROW()-5,N($X4200)+1,N($X4200)))</f>
        <v/>
      </c>
      <c r="Z4201">
        <f>IF($V4201="","",IF($AA4201&gt;N($AA4200),$AA4201,""))</f>
        <v/>
      </c>
      <c r="AA4201">
        <f>IF($V4201="",N($AA4200),IF(MATCH($V4201,$V$6:$V$6005,0)=ROW()-5,N($AA4200)+1,N($AA4200)))</f>
        <v/>
      </c>
    </row>
    <row r="4202" ht="21" customHeight="1" s="66">
      <c r="A4202" s="56" t="n"/>
      <c r="B4202" s="57" t="n"/>
      <c r="C4202" s="57" t="n"/>
      <c r="D4202" s="57" t="n"/>
      <c r="E4202" s="56" t="n"/>
      <c r="F4202" s="57" t="n"/>
      <c r="G4202" s="57" t="n"/>
      <c r="H4202" s="56" t="n"/>
      <c r="I4202" s="56" t="n"/>
      <c r="J4202" s="58" t="n"/>
      <c r="K4202" s="58" t="n"/>
      <c r="L4202" s="13">
        <f>IF(OR($A4202="",AND($J4202="",$K4202="")),"",ROUND(N($J4202)-N($K4202),2))</f>
        <v/>
      </c>
      <c r="M4202" s="13">
        <f>IF(OR($A4202="",AND($J4202="",$K4202="")),"",MIN($J4202,$K4202))</f>
        <v/>
      </c>
      <c r="Q4202">
        <f>IF($A4202="","",$D4202&amp;"("&amp;SUBSTITUTE($E4202," ","")&amp;")")</f>
        <v/>
      </c>
      <c r="R4202">
        <f>IF($A4202="","",$B4202&amp;" - "&amp;$C4202)</f>
        <v/>
      </c>
      <c r="S4202">
        <f>IF($A4202="","",$R4202&amp;"|"&amp;$Q4202)</f>
        <v/>
      </c>
      <c r="T4202">
        <f>IF($A4202="","",$S4202&amp;"|"&amp;$F4202)</f>
        <v/>
      </c>
      <c r="U4202">
        <f>IF($A4202="","",$R4202&amp;"("&amp;$E4202&amp;")")</f>
        <v/>
      </c>
      <c r="V4202">
        <f>IF($A4202="","",$F4202&amp;"|"&amp;$U4202&amp;"|"&amp;$D4202)</f>
        <v/>
      </c>
      <c r="W4202">
        <f>IF($T4202="","",IF($X4202&gt;N($X4201),$X4202,""))</f>
        <v/>
      </c>
      <c r="X4202">
        <f>IF($T4202="",N($X4201),IF(MATCH($T4202,$T$6:$T$6005,0)=ROW()-5,N($X4201)+1,N($X4201)))</f>
        <v/>
      </c>
      <c r="Z4202">
        <f>IF($V4202="","",IF($AA4202&gt;N($AA4201),$AA4202,""))</f>
        <v/>
      </c>
      <c r="AA4202">
        <f>IF($V4202="",N($AA4201),IF(MATCH($V4202,$V$6:$V$6005,0)=ROW()-5,N($AA4201)+1,N($AA4201)))</f>
        <v/>
      </c>
    </row>
    <row r="4203" ht="21" customHeight="1" s="66">
      <c r="A4203" s="56" t="n"/>
      <c r="B4203" s="57" t="n"/>
      <c r="C4203" s="57" t="n"/>
      <c r="D4203" s="57" t="n"/>
      <c r="E4203" s="56" t="n"/>
      <c r="F4203" s="57" t="n"/>
      <c r="G4203" s="57" t="n"/>
      <c r="H4203" s="56" t="n"/>
      <c r="I4203" s="56" t="n"/>
      <c r="J4203" s="58" t="n"/>
      <c r="K4203" s="58" t="n"/>
      <c r="L4203" s="13">
        <f>IF(OR($A4203="",AND($J4203="",$K4203="")),"",ROUND(N($J4203)-N($K4203),2))</f>
        <v/>
      </c>
      <c r="M4203" s="13">
        <f>IF(OR($A4203="",AND($J4203="",$K4203="")),"",MIN($J4203,$K4203))</f>
        <v/>
      </c>
      <c r="Q4203">
        <f>IF($A4203="","",$D4203&amp;"("&amp;SUBSTITUTE($E4203," ","")&amp;")")</f>
        <v/>
      </c>
      <c r="R4203">
        <f>IF($A4203="","",$B4203&amp;" - "&amp;$C4203)</f>
        <v/>
      </c>
      <c r="S4203">
        <f>IF($A4203="","",$R4203&amp;"|"&amp;$Q4203)</f>
        <v/>
      </c>
      <c r="T4203">
        <f>IF($A4203="","",$S4203&amp;"|"&amp;$F4203)</f>
        <v/>
      </c>
      <c r="U4203">
        <f>IF($A4203="","",$R4203&amp;"("&amp;$E4203&amp;")")</f>
        <v/>
      </c>
      <c r="V4203">
        <f>IF($A4203="","",$F4203&amp;"|"&amp;$U4203&amp;"|"&amp;$D4203)</f>
        <v/>
      </c>
      <c r="W4203">
        <f>IF($T4203="","",IF($X4203&gt;N($X4202),$X4203,""))</f>
        <v/>
      </c>
      <c r="X4203">
        <f>IF($T4203="",N($X4202),IF(MATCH($T4203,$T$6:$T$6005,0)=ROW()-5,N($X4202)+1,N($X4202)))</f>
        <v/>
      </c>
      <c r="Z4203">
        <f>IF($V4203="","",IF($AA4203&gt;N($AA4202),$AA4203,""))</f>
        <v/>
      </c>
      <c r="AA4203">
        <f>IF($V4203="",N($AA4202),IF(MATCH($V4203,$V$6:$V$6005,0)=ROW()-5,N($AA4202)+1,N($AA4202)))</f>
        <v/>
      </c>
    </row>
    <row r="4204" ht="21" customHeight="1" s="66">
      <c r="A4204" s="56" t="n"/>
      <c r="B4204" s="57" t="n"/>
      <c r="C4204" s="57" t="n"/>
      <c r="D4204" s="57" t="n"/>
      <c r="E4204" s="56" t="n"/>
      <c r="F4204" s="57" t="n"/>
      <c r="G4204" s="57" t="n"/>
      <c r="H4204" s="56" t="n"/>
      <c r="I4204" s="56" t="n"/>
      <c r="J4204" s="58" t="n"/>
      <c r="K4204" s="58" t="n"/>
      <c r="L4204" s="13">
        <f>IF(OR($A4204="",AND($J4204="",$K4204="")),"",ROUND(N($J4204)-N($K4204),2))</f>
        <v/>
      </c>
      <c r="M4204" s="13">
        <f>IF(OR($A4204="",AND($J4204="",$K4204="")),"",MIN($J4204,$K4204))</f>
        <v/>
      </c>
      <c r="Q4204">
        <f>IF($A4204="","",$D4204&amp;"("&amp;SUBSTITUTE($E4204," ","")&amp;")")</f>
        <v/>
      </c>
      <c r="R4204">
        <f>IF($A4204="","",$B4204&amp;" - "&amp;$C4204)</f>
        <v/>
      </c>
      <c r="S4204">
        <f>IF($A4204="","",$R4204&amp;"|"&amp;$Q4204)</f>
        <v/>
      </c>
      <c r="T4204">
        <f>IF($A4204="","",$S4204&amp;"|"&amp;$F4204)</f>
        <v/>
      </c>
      <c r="U4204">
        <f>IF($A4204="","",$R4204&amp;"("&amp;$E4204&amp;")")</f>
        <v/>
      </c>
      <c r="V4204">
        <f>IF($A4204="","",$F4204&amp;"|"&amp;$U4204&amp;"|"&amp;$D4204)</f>
        <v/>
      </c>
      <c r="W4204">
        <f>IF($T4204="","",IF($X4204&gt;N($X4203),$X4204,""))</f>
        <v/>
      </c>
      <c r="X4204">
        <f>IF($T4204="",N($X4203),IF(MATCH($T4204,$T$6:$T$6005,0)=ROW()-5,N($X4203)+1,N($X4203)))</f>
        <v/>
      </c>
      <c r="Z4204">
        <f>IF($V4204="","",IF($AA4204&gt;N($AA4203),$AA4204,""))</f>
        <v/>
      </c>
      <c r="AA4204">
        <f>IF($V4204="",N($AA4203),IF(MATCH($V4204,$V$6:$V$6005,0)=ROW()-5,N($AA4203)+1,N($AA4203)))</f>
        <v/>
      </c>
    </row>
    <row r="4205" ht="21" customHeight="1" s="66">
      <c r="A4205" s="56" t="n"/>
      <c r="B4205" s="57" t="n"/>
      <c r="C4205" s="57" t="n"/>
      <c r="D4205" s="57" t="n"/>
      <c r="E4205" s="56" t="n"/>
      <c r="F4205" s="57" t="n"/>
      <c r="G4205" s="57" t="n"/>
      <c r="H4205" s="56" t="n"/>
      <c r="I4205" s="56" t="n"/>
      <c r="J4205" s="58" t="n"/>
      <c r="K4205" s="58" t="n"/>
      <c r="L4205" s="13">
        <f>IF(OR($A4205="",AND($J4205="",$K4205="")),"",ROUND(N($J4205)-N($K4205),2))</f>
        <v/>
      </c>
      <c r="M4205" s="13">
        <f>IF(OR($A4205="",AND($J4205="",$K4205="")),"",MIN($J4205,$K4205))</f>
        <v/>
      </c>
      <c r="Q4205">
        <f>IF($A4205="","",$D4205&amp;"("&amp;SUBSTITUTE($E4205," ","")&amp;")")</f>
        <v/>
      </c>
      <c r="R4205">
        <f>IF($A4205="","",$B4205&amp;" - "&amp;$C4205)</f>
        <v/>
      </c>
      <c r="S4205">
        <f>IF($A4205="","",$R4205&amp;"|"&amp;$Q4205)</f>
        <v/>
      </c>
      <c r="T4205">
        <f>IF($A4205="","",$S4205&amp;"|"&amp;$F4205)</f>
        <v/>
      </c>
      <c r="U4205">
        <f>IF($A4205="","",$R4205&amp;"("&amp;$E4205&amp;")")</f>
        <v/>
      </c>
      <c r="V4205">
        <f>IF($A4205="","",$F4205&amp;"|"&amp;$U4205&amp;"|"&amp;$D4205)</f>
        <v/>
      </c>
      <c r="W4205">
        <f>IF($T4205="","",IF($X4205&gt;N($X4204),$X4205,""))</f>
        <v/>
      </c>
      <c r="X4205">
        <f>IF($T4205="",N($X4204),IF(MATCH($T4205,$T$6:$T$6005,0)=ROW()-5,N($X4204)+1,N($X4204)))</f>
        <v/>
      </c>
      <c r="Z4205">
        <f>IF($V4205="","",IF($AA4205&gt;N($AA4204),$AA4205,""))</f>
        <v/>
      </c>
      <c r="AA4205">
        <f>IF($V4205="",N($AA4204),IF(MATCH($V4205,$V$6:$V$6005,0)=ROW()-5,N($AA4204)+1,N($AA4204)))</f>
        <v/>
      </c>
    </row>
    <row r="4206" ht="21" customHeight="1" s="66">
      <c r="A4206" s="56" t="n"/>
      <c r="B4206" s="57" t="n"/>
      <c r="C4206" s="57" t="n"/>
      <c r="D4206" s="57" t="n"/>
      <c r="E4206" s="56" t="n"/>
      <c r="F4206" s="57" t="n"/>
      <c r="G4206" s="57" t="n"/>
      <c r="H4206" s="56" t="n"/>
      <c r="I4206" s="56" t="n"/>
      <c r="J4206" s="58" t="n"/>
      <c r="K4206" s="58" t="n"/>
      <c r="L4206" s="13">
        <f>IF(OR($A4206="",AND($J4206="",$K4206="")),"",ROUND(N($J4206)-N($K4206),2))</f>
        <v/>
      </c>
      <c r="M4206" s="13">
        <f>IF(OR($A4206="",AND($J4206="",$K4206="")),"",MIN($J4206,$K4206))</f>
        <v/>
      </c>
      <c r="Q4206">
        <f>IF($A4206="","",$D4206&amp;"("&amp;SUBSTITUTE($E4206," ","")&amp;")")</f>
        <v/>
      </c>
      <c r="R4206">
        <f>IF($A4206="","",$B4206&amp;" - "&amp;$C4206)</f>
        <v/>
      </c>
      <c r="S4206">
        <f>IF($A4206="","",$R4206&amp;"|"&amp;$Q4206)</f>
        <v/>
      </c>
      <c r="T4206">
        <f>IF($A4206="","",$S4206&amp;"|"&amp;$F4206)</f>
        <v/>
      </c>
      <c r="U4206">
        <f>IF($A4206="","",$R4206&amp;"("&amp;$E4206&amp;")")</f>
        <v/>
      </c>
      <c r="V4206">
        <f>IF($A4206="","",$F4206&amp;"|"&amp;$U4206&amp;"|"&amp;$D4206)</f>
        <v/>
      </c>
      <c r="W4206">
        <f>IF($T4206="","",IF($X4206&gt;N($X4205),$X4206,""))</f>
        <v/>
      </c>
      <c r="X4206">
        <f>IF($T4206="",N($X4205),IF(MATCH($T4206,$T$6:$T$6005,0)=ROW()-5,N($X4205)+1,N($X4205)))</f>
        <v/>
      </c>
      <c r="Z4206">
        <f>IF($V4206="","",IF($AA4206&gt;N($AA4205),$AA4206,""))</f>
        <v/>
      </c>
      <c r="AA4206">
        <f>IF($V4206="",N($AA4205),IF(MATCH($V4206,$V$6:$V$6005,0)=ROW()-5,N($AA4205)+1,N($AA4205)))</f>
        <v/>
      </c>
    </row>
    <row r="4207" ht="21" customHeight="1" s="66">
      <c r="A4207" s="56" t="n"/>
      <c r="B4207" s="57" t="n"/>
      <c r="C4207" s="57" t="n"/>
      <c r="D4207" s="57" t="n"/>
      <c r="E4207" s="56" t="n"/>
      <c r="F4207" s="57" t="n"/>
      <c r="G4207" s="57" t="n"/>
      <c r="H4207" s="56" t="n"/>
      <c r="I4207" s="56" t="n"/>
      <c r="J4207" s="58" t="n"/>
      <c r="K4207" s="58" t="n"/>
      <c r="L4207" s="13">
        <f>IF(OR($A4207="",AND($J4207="",$K4207="")),"",ROUND(N($J4207)-N($K4207),2))</f>
        <v/>
      </c>
      <c r="M4207" s="13">
        <f>IF(OR($A4207="",AND($J4207="",$K4207="")),"",MIN($J4207,$K4207))</f>
        <v/>
      </c>
      <c r="Q4207">
        <f>IF($A4207="","",$D4207&amp;"("&amp;SUBSTITUTE($E4207," ","")&amp;")")</f>
        <v/>
      </c>
      <c r="R4207">
        <f>IF($A4207="","",$B4207&amp;" - "&amp;$C4207)</f>
        <v/>
      </c>
      <c r="S4207">
        <f>IF($A4207="","",$R4207&amp;"|"&amp;$Q4207)</f>
        <v/>
      </c>
      <c r="T4207">
        <f>IF($A4207="","",$S4207&amp;"|"&amp;$F4207)</f>
        <v/>
      </c>
      <c r="U4207">
        <f>IF($A4207="","",$R4207&amp;"("&amp;$E4207&amp;")")</f>
        <v/>
      </c>
      <c r="V4207">
        <f>IF($A4207="","",$F4207&amp;"|"&amp;$U4207&amp;"|"&amp;$D4207)</f>
        <v/>
      </c>
      <c r="W4207">
        <f>IF($T4207="","",IF($X4207&gt;N($X4206),$X4207,""))</f>
        <v/>
      </c>
      <c r="X4207">
        <f>IF($T4207="",N($X4206),IF(MATCH($T4207,$T$6:$T$6005,0)=ROW()-5,N($X4206)+1,N($X4206)))</f>
        <v/>
      </c>
      <c r="Z4207">
        <f>IF($V4207="","",IF($AA4207&gt;N($AA4206),$AA4207,""))</f>
        <v/>
      </c>
      <c r="AA4207">
        <f>IF($V4207="",N($AA4206),IF(MATCH($V4207,$V$6:$V$6005,0)=ROW()-5,N($AA4206)+1,N($AA4206)))</f>
        <v/>
      </c>
    </row>
    <row r="4208" ht="21" customHeight="1" s="66">
      <c r="A4208" s="56" t="n"/>
      <c r="B4208" s="57" t="n"/>
      <c r="C4208" s="57" t="n"/>
      <c r="D4208" s="57" t="n"/>
      <c r="E4208" s="56" t="n"/>
      <c r="F4208" s="57" t="n"/>
      <c r="G4208" s="57" t="n"/>
      <c r="H4208" s="56" t="n"/>
      <c r="I4208" s="56" t="n"/>
      <c r="J4208" s="58" t="n"/>
      <c r="K4208" s="58" t="n"/>
      <c r="L4208" s="13">
        <f>IF(OR($A4208="",AND($J4208="",$K4208="")),"",ROUND(N($J4208)-N($K4208),2))</f>
        <v/>
      </c>
      <c r="M4208" s="13">
        <f>IF(OR($A4208="",AND($J4208="",$K4208="")),"",MIN($J4208,$K4208))</f>
        <v/>
      </c>
      <c r="Q4208">
        <f>IF($A4208="","",$D4208&amp;"("&amp;SUBSTITUTE($E4208," ","")&amp;")")</f>
        <v/>
      </c>
      <c r="R4208">
        <f>IF($A4208="","",$B4208&amp;" - "&amp;$C4208)</f>
        <v/>
      </c>
      <c r="S4208">
        <f>IF($A4208="","",$R4208&amp;"|"&amp;$Q4208)</f>
        <v/>
      </c>
      <c r="T4208">
        <f>IF($A4208="","",$S4208&amp;"|"&amp;$F4208)</f>
        <v/>
      </c>
      <c r="U4208">
        <f>IF($A4208="","",$R4208&amp;"("&amp;$E4208&amp;")")</f>
        <v/>
      </c>
      <c r="V4208">
        <f>IF($A4208="","",$F4208&amp;"|"&amp;$U4208&amp;"|"&amp;$D4208)</f>
        <v/>
      </c>
      <c r="W4208">
        <f>IF($T4208="","",IF($X4208&gt;N($X4207),$X4208,""))</f>
        <v/>
      </c>
      <c r="X4208">
        <f>IF($T4208="",N($X4207),IF(MATCH($T4208,$T$6:$T$6005,0)=ROW()-5,N($X4207)+1,N($X4207)))</f>
        <v/>
      </c>
      <c r="Z4208">
        <f>IF($V4208="","",IF($AA4208&gt;N($AA4207),$AA4208,""))</f>
        <v/>
      </c>
      <c r="AA4208">
        <f>IF($V4208="",N($AA4207),IF(MATCH($V4208,$V$6:$V$6005,0)=ROW()-5,N($AA4207)+1,N($AA4207)))</f>
        <v/>
      </c>
    </row>
    <row r="4209" ht="21" customHeight="1" s="66">
      <c r="A4209" s="56" t="n"/>
      <c r="B4209" s="57" t="n"/>
      <c r="C4209" s="57" t="n"/>
      <c r="D4209" s="57" t="n"/>
      <c r="E4209" s="56" t="n"/>
      <c r="F4209" s="57" t="n"/>
      <c r="G4209" s="57" t="n"/>
      <c r="H4209" s="56" t="n"/>
      <c r="I4209" s="56" t="n"/>
      <c r="J4209" s="58" t="n"/>
      <c r="K4209" s="58" t="n"/>
      <c r="L4209" s="13">
        <f>IF(OR($A4209="",AND($J4209="",$K4209="")),"",ROUND(N($J4209)-N($K4209),2))</f>
        <v/>
      </c>
      <c r="M4209" s="13">
        <f>IF(OR($A4209="",AND($J4209="",$K4209="")),"",MIN($J4209,$K4209))</f>
        <v/>
      </c>
      <c r="Q4209">
        <f>IF($A4209="","",$D4209&amp;"("&amp;SUBSTITUTE($E4209," ","")&amp;")")</f>
        <v/>
      </c>
      <c r="R4209">
        <f>IF($A4209="","",$B4209&amp;" - "&amp;$C4209)</f>
        <v/>
      </c>
      <c r="S4209">
        <f>IF($A4209="","",$R4209&amp;"|"&amp;$Q4209)</f>
        <v/>
      </c>
      <c r="T4209">
        <f>IF($A4209="","",$S4209&amp;"|"&amp;$F4209)</f>
        <v/>
      </c>
      <c r="U4209">
        <f>IF($A4209="","",$R4209&amp;"("&amp;$E4209&amp;")")</f>
        <v/>
      </c>
      <c r="V4209">
        <f>IF($A4209="","",$F4209&amp;"|"&amp;$U4209&amp;"|"&amp;$D4209)</f>
        <v/>
      </c>
      <c r="W4209">
        <f>IF($T4209="","",IF($X4209&gt;N($X4208),$X4209,""))</f>
        <v/>
      </c>
      <c r="X4209">
        <f>IF($T4209="",N($X4208),IF(MATCH($T4209,$T$6:$T$6005,0)=ROW()-5,N($X4208)+1,N($X4208)))</f>
        <v/>
      </c>
      <c r="Z4209">
        <f>IF($V4209="","",IF($AA4209&gt;N($AA4208),$AA4209,""))</f>
        <v/>
      </c>
      <c r="AA4209">
        <f>IF($V4209="",N($AA4208),IF(MATCH($V4209,$V$6:$V$6005,0)=ROW()-5,N($AA4208)+1,N($AA4208)))</f>
        <v/>
      </c>
    </row>
    <row r="4210" ht="21" customHeight="1" s="66">
      <c r="A4210" s="56" t="n"/>
      <c r="B4210" s="57" t="n"/>
      <c r="C4210" s="57" t="n"/>
      <c r="D4210" s="57" t="n"/>
      <c r="E4210" s="56" t="n"/>
      <c r="F4210" s="57" t="n"/>
      <c r="G4210" s="57" t="n"/>
      <c r="H4210" s="56" t="n"/>
      <c r="I4210" s="56" t="n"/>
      <c r="J4210" s="58" t="n"/>
      <c r="K4210" s="58" t="n"/>
      <c r="L4210" s="13">
        <f>IF(OR($A4210="",AND($J4210="",$K4210="")),"",ROUND(N($J4210)-N($K4210),2))</f>
        <v/>
      </c>
      <c r="M4210" s="13">
        <f>IF(OR($A4210="",AND($J4210="",$K4210="")),"",MIN($J4210,$K4210))</f>
        <v/>
      </c>
      <c r="Q4210">
        <f>IF($A4210="","",$D4210&amp;"("&amp;SUBSTITUTE($E4210," ","")&amp;")")</f>
        <v/>
      </c>
      <c r="R4210">
        <f>IF($A4210="","",$B4210&amp;" - "&amp;$C4210)</f>
        <v/>
      </c>
      <c r="S4210">
        <f>IF($A4210="","",$R4210&amp;"|"&amp;$Q4210)</f>
        <v/>
      </c>
      <c r="T4210">
        <f>IF($A4210="","",$S4210&amp;"|"&amp;$F4210)</f>
        <v/>
      </c>
      <c r="U4210">
        <f>IF($A4210="","",$R4210&amp;"("&amp;$E4210&amp;")")</f>
        <v/>
      </c>
      <c r="V4210">
        <f>IF($A4210="","",$F4210&amp;"|"&amp;$U4210&amp;"|"&amp;$D4210)</f>
        <v/>
      </c>
      <c r="W4210">
        <f>IF($T4210="","",IF($X4210&gt;N($X4209),$X4210,""))</f>
        <v/>
      </c>
      <c r="X4210">
        <f>IF($T4210="",N($X4209),IF(MATCH($T4210,$T$6:$T$6005,0)=ROW()-5,N($X4209)+1,N($X4209)))</f>
        <v/>
      </c>
      <c r="Z4210">
        <f>IF($V4210="","",IF($AA4210&gt;N($AA4209),$AA4210,""))</f>
        <v/>
      </c>
      <c r="AA4210">
        <f>IF($V4210="",N($AA4209),IF(MATCH($V4210,$V$6:$V$6005,0)=ROW()-5,N($AA4209)+1,N($AA4209)))</f>
        <v/>
      </c>
    </row>
    <row r="4211" ht="21" customHeight="1" s="66">
      <c r="A4211" s="56" t="n"/>
      <c r="B4211" s="57" t="n"/>
      <c r="C4211" s="57" t="n"/>
      <c r="D4211" s="57" t="n"/>
      <c r="E4211" s="56" t="n"/>
      <c r="F4211" s="57" t="n"/>
      <c r="G4211" s="57" t="n"/>
      <c r="H4211" s="56" t="n"/>
      <c r="I4211" s="56" t="n"/>
      <c r="J4211" s="58" t="n"/>
      <c r="K4211" s="58" t="n"/>
      <c r="L4211" s="13">
        <f>IF(OR($A4211="",AND($J4211="",$K4211="")),"",ROUND(N($J4211)-N($K4211),2))</f>
        <v/>
      </c>
      <c r="M4211" s="13">
        <f>IF(OR($A4211="",AND($J4211="",$K4211="")),"",MIN($J4211,$K4211))</f>
        <v/>
      </c>
      <c r="Q4211">
        <f>IF($A4211="","",$D4211&amp;"("&amp;SUBSTITUTE($E4211," ","")&amp;")")</f>
        <v/>
      </c>
      <c r="R4211">
        <f>IF($A4211="","",$B4211&amp;" - "&amp;$C4211)</f>
        <v/>
      </c>
      <c r="S4211">
        <f>IF($A4211="","",$R4211&amp;"|"&amp;$Q4211)</f>
        <v/>
      </c>
      <c r="T4211">
        <f>IF($A4211="","",$S4211&amp;"|"&amp;$F4211)</f>
        <v/>
      </c>
      <c r="U4211">
        <f>IF($A4211="","",$R4211&amp;"("&amp;$E4211&amp;")")</f>
        <v/>
      </c>
      <c r="V4211">
        <f>IF($A4211="","",$F4211&amp;"|"&amp;$U4211&amp;"|"&amp;$D4211)</f>
        <v/>
      </c>
      <c r="W4211">
        <f>IF($T4211="","",IF($X4211&gt;N($X4210),$X4211,""))</f>
        <v/>
      </c>
      <c r="X4211">
        <f>IF($T4211="",N($X4210),IF(MATCH($T4211,$T$6:$T$6005,0)=ROW()-5,N($X4210)+1,N($X4210)))</f>
        <v/>
      </c>
      <c r="Z4211">
        <f>IF($V4211="","",IF($AA4211&gt;N($AA4210),$AA4211,""))</f>
        <v/>
      </c>
      <c r="AA4211">
        <f>IF($V4211="",N($AA4210),IF(MATCH($V4211,$V$6:$V$6005,0)=ROW()-5,N($AA4210)+1,N($AA4210)))</f>
        <v/>
      </c>
    </row>
    <row r="4212" ht="21" customHeight="1" s="66">
      <c r="A4212" s="56" t="n"/>
      <c r="B4212" s="57" t="n"/>
      <c r="C4212" s="57" t="n"/>
      <c r="D4212" s="57" t="n"/>
      <c r="E4212" s="56" t="n"/>
      <c r="F4212" s="57" t="n"/>
      <c r="G4212" s="57" t="n"/>
      <c r="H4212" s="56" t="n"/>
      <c r="I4212" s="56" t="n"/>
      <c r="J4212" s="58" t="n"/>
      <c r="K4212" s="58" t="n"/>
      <c r="L4212" s="13">
        <f>IF(OR($A4212="",AND($J4212="",$K4212="")),"",ROUND(N($J4212)-N($K4212),2))</f>
        <v/>
      </c>
      <c r="M4212" s="13">
        <f>IF(OR($A4212="",AND($J4212="",$K4212="")),"",MIN($J4212,$K4212))</f>
        <v/>
      </c>
      <c r="Q4212">
        <f>IF($A4212="","",$D4212&amp;"("&amp;SUBSTITUTE($E4212," ","")&amp;")")</f>
        <v/>
      </c>
      <c r="R4212">
        <f>IF($A4212="","",$B4212&amp;" - "&amp;$C4212)</f>
        <v/>
      </c>
      <c r="S4212">
        <f>IF($A4212="","",$R4212&amp;"|"&amp;$Q4212)</f>
        <v/>
      </c>
      <c r="T4212">
        <f>IF($A4212="","",$S4212&amp;"|"&amp;$F4212)</f>
        <v/>
      </c>
      <c r="U4212">
        <f>IF($A4212="","",$R4212&amp;"("&amp;$E4212&amp;")")</f>
        <v/>
      </c>
      <c r="V4212">
        <f>IF($A4212="","",$F4212&amp;"|"&amp;$U4212&amp;"|"&amp;$D4212)</f>
        <v/>
      </c>
      <c r="W4212">
        <f>IF($T4212="","",IF($X4212&gt;N($X4211),$X4212,""))</f>
        <v/>
      </c>
      <c r="X4212">
        <f>IF($T4212="",N($X4211),IF(MATCH($T4212,$T$6:$T$6005,0)=ROW()-5,N($X4211)+1,N($X4211)))</f>
        <v/>
      </c>
      <c r="Z4212">
        <f>IF($V4212="","",IF($AA4212&gt;N($AA4211),$AA4212,""))</f>
        <v/>
      </c>
      <c r="AA4212">
        <f>IF($V4212="",N($AA4211),IF(MATCH($V4212,$V$6:$V$6005,0)=ROW()-5,N($AA4211)+1,N($AA4211)))</f>
        <v/>
      </c>
    </row>
    <row r="4213" ht="21" customHeight="1" s="66">
      <c r="A4213" s="56" t="n"/>
      <c r="B4213" s="57" t="n"/>
      <c r="C4213" s="57" t="n"/>
      <c r="D4213" s="57" t="n"/>
      <c r="E4213" s="56" t="n"/>
      <c r="F4213" s="57" t="n"/>
      <c r="G4213" s="57" t="n"/>
      <c r="H4213" s="56" t="n"/>
      <c r="I4213" s="56" t="n"/>
      <c r="J4213" s="58" t="n"/>
      <c r="K4213" s="58" t="n"/>
      <c r="L4213" s="13">
        <f>IF(OR($A4213="",AND($J4213="",$K4213="")),"",ROUND(N($J4213)-N($K4213),2))</f>
        <v/>
      </c>
      <c r="M4213" s="13">
        <f>IF(OR($A4213="",AND($J4213="",$K4213="")),"",MIN($J4213,$K4213))</f>
        <v/>
      </c>
      <c r="Q4213">
        <f>IF($A4213="","",$D4213&amp;"("&amp;SUBSTITUTE($E4213," ","")&amp;")")</f>
        <v/>
      </c>
      <c r="R4213">
        <f>IF($A4213="","",$B4213&amp;" - "&amp;$C4213)</f>
        <v/>
      </c>
      <c r="S4213">
        <f>IF($A4213="","",$R4213&amp;"|"&amp;$Q4213)</f>
        <v/>
      </c>
      <c r="T4213">
        <f>IF($A4213="","",$S4213&amp;"|"&amp;$F4213)</f>
        <v/>
      </c>
      <c r="U4213">
        <f>IF($A4213="","",$R4213&amp;"("&amp;$E4213&amp;")")</f>
        <v/>
      </c>
      <c r="V4213">
        <f>IF($A4213="","",$F4213&amp;"|"&amp;$U4213&amp;"|"&amp;$D4213)</f>
        <v/>
      </c>
      <c r="W4213">
        <f>IF($T4213="","",IF($X4213&gt;N($X4212),$X4213,""))</f>
        <v/>
      </c>
      <c r="X4213">
        <f>IF($T4213="",N($X4212),IF(MATCH($T4213,$T$6:$T$6005,0)=ROW()-5,N($X4212)+1,N($X4212)))</f>
        <v/>
      </c>
      <c r="Z4213">
        <f>IF($V4213="","",IF($AA4213&gt;N($AA4212),$AA4213,""))</f>
        <v/>
      </c>
      <c r="AA4213">
        <f>IF($V4213="",N($AA4212),IF(MATCH($V4213,$V$6:$V$6005,0)=ROW()-5,N($AA4212)+1,N($AA4212)))</f>
        <v/>
      </c>
    </row>
    <row r="4214" ht="21" customHeight="1" s="66">
      <c r="A4214" s="56" t="n"/>
      <c r="B4214" s="57" t="n"/>
      <c r="C4214" s="57" t="n"/>
      <c r="D4214" s="57" t="n"/>
      <c r="E4214" s="56" t="n"/>
      <c r="F4214" s="57" t="n"/>
      <c r="G4214" s="57" t="n"/>
      <c r="H4214" s="56" t="n"/>
      <c r="I4214" s="56" t="n"/>
      <c r="J4214" s="58" t="n"/>
      <c r="K4214" s="58" t="n"/>
      <c r="L4214" s="13">
        <f>IF(OR($A4214="",AND($J4214="",$K4214="")),"",ROUND(N($J4214)-N($K4214),2))</f>
        <v/>
      </c>
      <c r="M4214" s="13">
        <f>IF(OR($A4214="",AND($J4214="",$K4214="")),"",MIN($J4214,$K4214))</f>
        <v/>
      </c>
      <c r="Q4214">
        <f>IF($A4214="","",$D4214&amp;"("&amp;SUBSTITUTE($E4214," ","")&amp;")")</f>
        <v/>
      </c>
      <c r="R4214">
        <f>IF($A4214="","",$B4214&amp;" - "&amp;$C4214)</f>
        <v/>
      </c>
      <c r="S4214">
        <f>IF($A4214="","",$R4214&amp;"|"&amp;$Q4214)</f>
        <v/>
      </c>
      <c r="T4214">
        <f>IF($A4214="","",$S4214&amp;"|"&amp;$F4214)</f>
        <v/>
      </c>
      <c r="U4214">
        <f>IF($A4214="","",$R4214&amp;"("&amp;$E4214&amp;")")</f>
        <v/>
      </c>
      <c r="V4214">
        <f>IF($A4214="","",$F4214&amp;"|"&amp;$U4214&amp;"|"&amp;$D4214)</f>
        <v/>
      </c>
      <c r="W4214">
        <f>IF($T4214="","",IF($X4214&gt;N($X4213),$X4214,""))</f>
        <v/>
      </c>
      <c r="X4214">
        <f>IF($T4214="",N($X4213),IF(MATCH($T4214,$T$6:$T$6005,0)=ROW()-5,N($X4213)+1,N($X4213)))</f>
        <v/>
      </c>
      <c r="Z4214">
        <f>IF($V4214="","",IF($AA4214&gt;N($AA4213),$AA4214,""))</f>
        <v/>
      </c>
      <c r="AA4214">
        <f>IF($V4214="",N($AA4213),IF(MATCH($V4214,$V$6:$V$6005,0)=ROW()-5,N($AA4213)+1,N($AA4213)))</f>
        <v/>
      </c>
    </row>
    <row r="4215" ht="21" customHeight="1" s="66">
      <c r="A4215" s="56" t="n"/>
      <c r="B4215" s="57" t="n"/>
      <c r="C4215" s="57" t="n"/>
      <c r="D4215" s="57" t="n"/>
      <c r="E4215" s="56" t="n"/>
      <c r="F4215" s="57" t="n"/>
      <c r="G4215" s="57" t="n"/>
      <c r="H4215" s="56" t="n"/>
      <c r="I4215" s="56" t="n"/>
      <c r="J4215" s="58" t="n"/>
      <c r="K4215" s="58" t="n"/>
      <c r="L4215" s="13">
        <f>IF(OR($A4215="",AND($J4215="",$K4215="")),"",ROUND(N($J4215)-N($K4215),2))</f>
        <v/>
      </c>
      <c r="M4215" s="13">
        <f>IF(OR($A4215="",AND($J4215="",$K4215="")),"",MIN($J4215,$K4215))</f>
        <v/>
      </c>
      <c r="Q4215">
        <f>IF($A4215="","",$D4215&amp;"("&amp;SUBSTITUTE($E4215," ","")&amp;")")</f>
        <v/>
      </c>
      <c r="R4215">
        <f>IF($A4215="","",$B4215&amp;" - "&amp;$C4215)</f>
        <v/>
      </c>
      <c r="S4215">
        <f>IF($A4215="","",$R4215&amp;"|"&amp;$Q4215)</f>
        <v/>
      </c>
      <c r="T4215">
        <f>IF($A4215="","",$S4215&amp;"|"&amp;$F4215)</f>
        <v/>
      </c>
      <c r="U4215">
        <f>IF($A4215="","",$R4215&amp;"("&amp;$E4215&amp;")")</f>
        <v/>
      </c>
      <c r="V4215">
        <f>IF($A4215="","",$F4215&amp;"|"&amp;$U4215&amp;"|"&amp;$D4215)</f>
        <v/>
      </c>
      <c r="W4215">
        <f>IF($T4215="","",IF($X4215&gt;N($X4214),$X4215,""))</f>
        <v/>
      </c>
      <c r="X4215">
        <f>IF($T4215="",N($X4214),IF(MATCH($T4215,$T$6:$T$6005,0)=ROW()-5,N($X4214)+1,N($X4214)))</f>
        <v/>
      </c>
      <c r="Z4215">
        <f>IF($V4215="","",IF($AA4215&gt;N($AA4214),$AA4215,""))</f>
        <v/>
      </c>
      <c r="AA4215">
        <f>IF($V4215="",N($AA4214),IF(MATCH($V4215,$V$6:$V$6005,0)=ROW()-5,N($AA4214)+1,N($AA4214)))</f>
        <v/>
      </c>
    </row>
    <row r="4216" ht="21" customHeight="1" s="66">
      <c r="A4216" s="56" t="n"/>
      <c r="B4216" s="57" t="n"/>
      <c r="C4216" s="57" t="n"/>
      <c r="D4216" s="57" t="n"/>
      <c r="E4216" s="56" t="n"/>
      <c r="F4216" s="57" t="n"/>
      <c r="G4216" s="57" t="n"/>
      <c r="H4216" s="56" t="n"/>
      <c r="I4216" s="56" t="n"/>
      <c r="J4216" s="58" t="n"/>
      <c r="K4216" s="58" t="n"/>
      <c r="L4216" s="13">
        <f>IF(OR($A4216="",AND($J4216="",$K4216="")),"",ROUND(N($J4216)-N($K4216),2))</f>
        <v/>
      </c>
      <c r="M4216" s="13">
        <f>IF(OR($A4216="",AND($J4216="",$K4216="")),"",MIN($J4216,$K4216))</f>
        <v/>
      </c>
      <c r="Q4216">
        <f>IF($A4216="","",$D4216&amp;"("&amp;SUBSTITUTE($E4216," ","")&amp;")")</f>
        <v/>
      </c>
      <c r="R4216">
        <f>IF($A4216="","",$B4216&amp;" - "&amp;$C4216)</f>
        <v/>
      </c>
      <c r="S4216">
        <f>IF($A4216="","",$R4216&amp;"|"&amp;$Q4216)</f>
        <v/>
      </c>
      <c r="T4216">
        <f>IF($A4216="","",$S4216&amp;"|"&amp;$F4216)</f>
        <v/>
      </c>
      <c r="U4216">
        <f>IF($A4216="","",$R4216&amp;"("&amp;$E4216&amp;")")</f>
        <v/>
      </c>
      <c r="V4216">
        <f>IF($A4216="","",$F4216&amp;"|"&amp;$U4216&amp;"|"&amp;$D4216)</f>
        <v/>
      </c>
      <c r="W4216">
        <f>IF($T4216="","",IF($X4216&gt;N($X4215),$X4216,""))</f>
        <v/>
      </c>
      <c r="X4216">
        <f>IF($T4216="",N($X4215),IF(MATCH($T4216,$T$6:$T$6005,0)=ROW()-5,N($X4215)+1,N($X4215)))</f>
        <v/>
      </c>
      <c r="Z4216">
        <f>IF($V4216="","",IF($AA4216&gt;N($AA4215),$AA4216,""))</f>
        <v/>
      </c>
      <c r="AA4216">
        <f>IF($V4216="",N($AA4215),IF(MATCH($V4216,$V$6:$V$6005,0)=ROW()-5,N($AA4215)+1,N($AA4215)))</f>
        <v/>
      </c>
    </row>
    <row r="4217" ht="21" customHeight="1" s="66">
      <c r="A4217" s="56" t="n"/>
      <c r="B4217" s="57" t="n"/>
      <c r="C4217" s="57" t="n"/>
      <c r="D4217" s="57" t="n"/>
      <c r="E4217" s="56" t="n"/>
      <c r="F4217" s="57" t="n"/>
      <c r="G4217" s="57" t="n"/>
      <c r="H4217" s="56" t="n"/>
      <c r="I4217" s="56" t="n"/>
      <c r="J4217" s="58" t="n"/>
      <c r="K4217" s="58" t="n"/>
      <c r="L4217" s="13">
        <f>IF(OR($A4217="",AND($J4217="",$K4217="")),"",ROUND(N($J4217)-N($K4217),2))</f>
        <v/>
      </c>
      <c r="M4217" s="13">
        <f>IF(OR($A4217="",AND($J4217="",$K4217="")),"",MIN($J4217,$K4217))</f>
        <v/>
      </c>
      <c r="Q4217">
        <f>IF($A4217="","",$D4217&amp;"("&amp;SUBSTITUTE($E4217," ","")&amp;")")</f>
        <v/>
      </c>
      <c r="R4217">
        <f>IF($A4217="","",$B4217&amp;" - "&amp;$C4217)</f>
        <v/>
      </c>
      <c r="S4217">
        <f>IF($A4217="","",$R4217&amp;"|"&amp;$Q4217)</f>
        <v/>
      </c>
      <c r="T4217">
        <f>IF($A4217="","",$S4217&amp;"|"&amp;$F4217)</f>
        <v/>
      </c>
      <c r="U4217">
        <f>IF($A4217="","",$R4217&amp;"("&amp;$E4217&amp;")")</f>
        <v/>
      </c>
      <c r="V4217">
        <f>IF($A4217="","",$F4217&amp;"|"&amp;$U4217&amp;"|"&amp;$D4217)</f>
        <v/>
      </c>
      <c r="W4217">
        <f>IF($T4217="","",IF($X4217&gt;N($X4216),$X4217,""))</f>
        <v/>
      </c>
      <c r="X4217">
        <f>IF($T4217="",N($X4216),IF(MATCH($T4217,$T$6:$T$6005,0)=ROW()-5,N($X4216)+1,N($X4216)))</f>
        <v/>
      </c>
      <c r="Z4217">
        <f>IF($V4217="","",IF($AA4217&gt;N($AA4216),$AA4217,""))</f>
        <v/>
      </c>
      <c r="AA4217">
        <f>IF($V4217="",N($AA4216),IF(MATCH($V4217,$V$6:$V$6005,0)=ROW()-5,N($AA4216)+1,N($AA4216)))</f>
        <v/>
      </c>
    </row>
    <row r="4218" ht="21" customHeight="1" s="66">
      <c r="A4218" s="56" t="n"/>
      <c r="B4218" s="57" t="n"/>
      <c r="C4218" s="57" t="n"/>
      <c r="D4218" s="57" t="n"/>
      <c r="E4218" s="56" t="n"/>
      <c r="F4218" s="57" t="n"/>
      <c r="G4218" s="57" t="n"/>
      <c r="H4218" s="56" t="n"/>
      <c r="I4218" s="56" t="n"/>
      <c r="J4218" s="58" t="n"/>
      <c r="K4218" s="58" t="n"/>
      <c r="L4218" s="13">
        <f>IF(OR($A4218="",AND($J4218="",$K4218="")),"",ROUND(N($J4218)-N($K4218),2))</f>
        <v/>
      </c>
      <c r="M4218" s="13">
        <f>IF(OR($A4218="",AND($J4218="",$K4218="")),"",MIN($J4218,$K4218))</f>
        <v/>
      </c>
      <c r="Q4218">
        <f>IF($A4218="","",$D4218&amp;"("&amp;SUBSTITUTE($E4218," ","")&amp;")")</f>
        <v/>
      </c>
      <c r="R4218">
        <f>IF($A4218="","",$B4218&amp;" - "&amp;$C4218)</f>
        <v/>
      </c>
      <c r="S4218">
        <f>IF($A4218="","",$R4218&amp;"|"&amp;$Q4218)</f>
        <v/>
      </c>
      <c r="T4218">
        <f>IF($A4218="","",$S4218&amp;"|"&amp;$F4218)</f>
        <v/>
      </c>
      <c r="U4218">
        <f>IF($A4218="","",$R4218&amp;"("&amp;$E4218&amp;")")</f>
        <v/>
      </c>
      <c r="V4218">
        <f>IF($A4218="","",$F4218&amp;"|"&amp;$U4218&amp;"|"&amp;$D4218)</f>
        <v/>
      </c>
      <c r="W4218">
        <f>IF($T4218="","",IF($X4218&gt;N($X4217),$X4218,""))</f>
        <v/>
      </c>
      <c r="X4218">
        <f>IF($T4218="",N($X4217),IF(MATCH($T4218,$T$6:$T$6005,0)=ROW()-5,N($X4217)+1,N($X4217)))</f>
        <v/>
      </c>
      <c r="Z4218">
        <f>IF($V4218="","",IF($AA4218&gt;N($AA4217),$AA4218,""))</f>
        <v/>
      </c>
      <c r="AA4218">
        <f>IF($V4218="",N($AA4217),IF(MATCH($V4218,$V$6:$V$6005,0)=ROW()-5,N($AA4217)+1,N($AA4217)))</f>
        <v/>
      </c>
    </row>
    <row r="4219" ht="21" customHeight="1" s="66">
      <c r="A4219" s="56" t="n"/>
      <c r="B4219" s="57" t="n"/>
      <c r="C4219" s="57" t="n"/>
      <c r="D4219" s="57" t="n"/>
      <c r="E4219" s="56" t="n"/>
      <c r="F4219" s="57" t="n"/>
      <c r="G4219" s="57" t="n"/>
      <c r="H4219" s="56" t="n"/>
      <c r="I4219" s="56" t="n"/>
      <c r="J4219" s="58" t="n"/>
      <c r="K4219" s="58" t="n"/>
      <c r="L4219" s="13">
        <f>IF(OR($A4219="",AND($J4219="",$K4219="")),"",ROUND(N($J4219)-N($K4219),2))</f>
        <v/>
      </c>
      <c r="M4219" s="13">
        <f>IF(OR($A4219="",AND($J4219="",$K4219="")),"",MIN($J4219,$K4219))</f>
        <v/>
      </c>
      <c r="Q4219">
        <f>IF($A4219="","",$D4219&amp;"("&amp;SUBSTITUTE($E4219," ","")&amp;")")</f>
        <v/>
      </c>
      <c r="R4219">
        <f>IF($A4219="","",$B4219&amp;" - "&amp;$C4219)</f>
        <v/>
      </c>
      <c r="S4219">
        <f>IF($A4219="","",$R4219&amp;"|"&amp;$Q4219)</f>
        <v/>
      </c>
      <c r="T4219">
        <f>IF($A4219="","",$S4219&amp;"|"&amp;$F4219)</f>
        <v/>
      </c>
      <c r="U4219">
        <f>IF($A4219="","",$R4219&amp;"("&amp;$E4219&amp;")")</f>
        <v/>
      </c>
      <c r="V4219">
        <f>IF($A4219="","",$F4219&amp;"|"&amp;$U4219&amp;"|"&amp;$D4219)</f>
        <v/>
      </c>
      <c r="W4219">
        <f>IF($T4219="","",IF($X4219&gt;N($X4218),$X4219,""))</f>
        <v/>
      </c>
      <c r="X4219">
        <f>IF($T4219="",N($X4218),IF(MATCH($T4219,$T$6:$T$6005,0)=ROW()-5,N($X4218)+1,N($X4218)))</f>
        <v/>
      </c>
      <c r="Z4219">
        <f>IF($V4219="","",IF($AA4219&gt;N($AA4218),$AA4219,""))</f>
        <v/>
      </c>
      <c r="AA4219">
        <f>IF($V4219="",N($AA4218),IF(MATCH($V4219,$V$6:$V$6005,0)=ROW()-5,N($AA4218)+1,N($AA4218)))</f>
        <v/>
      </c>
    </row>
    <row r="4220" ht="21" customHeight="1" s="66">
      <c r="A4220" s="56" t="n"/>
      <c r="B4220" s="57" t="n"/>
      <c r="C4220" s="57" t="n"/>
      <c r="D4220" s="57" t="n"/>
      <c r="E4220" s="56" t="n"/>
      <c r="F4220" s="57" t="n"/>
      <c r="G4220" s="57" t="n"/>
      <c r="H4220" s="56" t="n"/>
      <c r="I4220" s="56" t="n"/>
      <c r="J4220" s="58" t="n"/>
      <c r="K4220" s="58" t="n"/>
      <c r="L4220" s="13">
        <f>IF(OR($A4220="",AND($J4220="",$K4220="")),"",ROUND(N($J4220)-N($K4220),2))</f>
        <v/>
      </c>
      <c r="M4220" s="13">
        <f>IF(OR($A4220="",AND($J4220="",$K4220="")),"",MIN($J4220,$K4220))</f>
        <v/>
      </c>
      <c r="Q4220">
        <f>IF($A4220="","",$D4220&amp;"("&amp;SUBSTITUTE($E4220," ","")&amp;")")</f>
        <v/>
      </c>
      <c r="R4220">
        <f>IF($A4220="","",$B4220&amp;" - "&amp;$C4220)</f>
        <v/>
      </c>
      <c r="S4220">
        <f>IF($A4220="","",$R4220&amp;"|"&amp;$Q4220)</f>
        <v/>
      </c>
      <c r="T4220">
        <f>IF($A4220="","",$S4220&amp;"|"&amp;$F4220)</f>
        <v/>
      </c>
      <c r="U4220">
        <f>IF($A4220="","",$R4220&amp;"("&amp;$E4220&amp;")")</f>
        <v/>
      </c>
      <c r="V4220">
        <f>IF($A4220="","",$F4220&amp;"|"&amp;$U4220&amp;"|"&amp;$D4220)</f>
        <v/>
      </c>
      <c r="W4220">
        <f>IF($T4220="","",IF($X4220&gt;N($X4219),$X4220,""))</f>
        <v/>
      </c>
      <c r="X4220">
        <f>IF($T4220="",N($X4219),IF(MATCH($T4220,$T$6:$T$6005,0)=ROW()-5,N($X4219)+1,N($X4219)))</f>
        <v/>
      </c>
      <c r="Z4220">
        <f>IF($V4220="","",IF($AA4220&gt;N($AA4219),$AA4220,""))</f>
        <v/>
      </c>
      <c r="AA4220">
        <f>IF($V4220="",N($AA4219),IF(MATCH($V4220,$V$6:$V$6005,0)=ROW()-5,N($AA4219)+1,N($AA4219)))</f>
        <v/>
      </c>
    </row>
    <row r="4221" ht="21" customHeight="1" s="66">
      <c r="A4221" s="56" t="n"/>
      <c r="B4221" s="57" t="n"/>
      <c r="C4221" s="57" t="n"/>
      <c r="D4221" s="57" t="n"/>
      <c r="E4221" s="56" t="n"/>
      <c r="F4221" s="57" t="n"/>
      <c r="G4221" s="57" t="n"/>
      <c r="H4221" s="56" t="n"/>
      <c r="I4221" s="56" t="n"/>
      <c r="J4221" s="58" t="n"/>
      <c r="K4221" s="58" t="n"/>
      <c r="L4221" s="13">
        <f>IF(OR($A4221="",AND($J4221="",$K4221="")),"",ROUND(N($J4221)-N($K4221),2))</f>
        <v/>
      </c>
      <c r="M4221" s="13">
        <f>IF(OR($A4221="",AND($J4221="",$K4221="")),"",MIN($J4221,$K4221))</f>
        <v/>
      </c>
      <c r="Q4221">
        <f>IF($A4221="","",$D4221&amp;"("&amp;SUBSTITUTE($E4221," ","")&amp;")")</f>
        <v/>
      </c>
      <c r="R4221">
        <f>IF($A4221="","",$B4221&amp;" - "&amp;$C4221)</f>
        <v/>
      </c>
      <c r="S4221">
        <f>IF($A4221="","",$R4221&amp;"|"&amp;$Q4221)</f>
        <v/>
      </c>
      <c r="T4221">
        <f>IF($A4221="","",$S4221&amp;"|"&amp;$F4221)</f>
        <v/>
      </c>
      <c r="U4221">
        <f>IF($A4221="","",$R4221&amp;"("&amp;$E4221&amp;")")</f>
        <v/>
      </c>
      <c r="V4221">
        <f>IF($A4221="","",$F4221&amp;"|"&amp;$U4221&amp;"|"&amp;$D4221)</f>
        <v/>
      </c>
      <c r="W4221">
        <f>IF($T4221="","",IF($X4221&gt;N($X4220),$X4221,""))</f>
        <v/>
      </c>
      <c r="X4221">
        <f>IF($T4221="",N($X4220),IF(MATCH($T4221,$T$6:$T$6005,0)=ROW()-5,N($X4220)+1,N($X4220)))</f>
        <v/>
      </c>
      <c r="Z4221">
        <f>IF($V4221="","",IF($AA4221&gt;N($AA4220),$AA4221,""))</f>
        <v/>
      </c>
      <c r="AA4221">
        <f>IF($V4221="",N($AA4220),IF(MATCH($V4221,$V$6:$V$6005,0)=ROW()-5,N($AA4220)+1,N($AA4220)))</f>
        <v/>
      </c>
    </row>
    <row r="4222" ht="21" customHeight="1" s="66">
      <c r="A4222" s="56" t="n"/>
      <c r="B4222" s="57" t="n"/>
      <c r="C4222" s="57" t="n"/>
      <c r="D4222" s="57" t="n"/>
      <c r="E4222" s="56" t="n"/>
      <c r="F4222" s="57" t="n"/>
      <c r="G4222" s="57" t="n"/>
      <c r="H4222" s="56" t="n"/>
      <c r="I4222" s="56" t="n"/>
      <c r="J4222" s="58" t="n"/>
      <c r="K4222" s="58" t="n"/>
      <c r="L4222" s="13">
        <f>IF(OR($A4222="",AND($J4222="",$K4222="")),"",ROUND(N($J4222)-N($K4222),2))</f>
        <v/>
      </c>
      <c r="M4222" s="13">
        <f>IF(OR($A4222="",AND($J4222="",$K4222="")),"",MIN($J4222,$K4222))</f>
        <v/>
      </c>
      <c r="Q4222">
        <f>IF($A4222="","",$D4222&amp;"("&amp;SUBSTITUTE($E4222," ","")&amp;")")</f>
        <v/>
      </c>
      <c r="R4222">
        <f>IF($A4222="","",$B4222&amp;" - "&amp;$C4222)</f>
        <v/>
      </c>
      <c r="S4222">
        <f>IF($A4222="","",$R4222&amp;"|"&amp;$Q4222)</f>
        <v/>
      </c>
      <c r="T4222">
        <f>IF($A4222="","",$S4222&amp;"|"&amp;$F4222)</f>
        <v/>
      </c>
      <c r="U4222">
        <f>IF($A4222="","",$R4222&amp;"("&amp;$E4222&amp;")")</f>
        <v/>
      </c>
      <c r="V4222">
        <f>IF($A4222="","",$F4222&amp;"|"&amp;$U4222&amp;"|"&amp;$D4222)</f>
        <v/>
      </c>
      <c r="W4222">
        <f>IF($T4222="","",IF($X4222&gt;N($X4221),$X4222,""))</f>
        <v/>
      </c>
      <c r="X4222">
        <f>IF($T4222="",N($X4221),IF(MATCH($T4222,$T$6:$T$6005,0)=ROW()-5,N($X4221)+1,N($X4221)))</f>
        <v/>
      </c>
      <c r="Z4222">
        <f>IF($V4222="","",IF($AA4222&gt;N($AA4221),$AA4222,""))</f>
        <v/>
      </c>
      <c r="AA4222">
        <f>IF($V4222="",N($AA4221),IF(MATCH($V4222,$V$6:$V$6005,0)=ROW()-5,N($AA4221)+1,N($AA4221)))</f>
        <v/>
      </c>
    </row>
    <row r="4223" ht="21" customHeight="1" s="66">
      <c r="A4223" s="56" t="n"/>
      <c r="B4223" s="57" t="n"/>
      <c r="C4223" s="57" t="n"/>
      <c r="D4223" s="57" t="n"/>
      <c r="E4223" s="56" t="n"/>
      <c r="F4223" s="57" t="n"/>
      <c r="G4223" s="57" t="n"/>
      <c r="H4223" s="56" t="n"/>
      <c r="I4223" s="56" t="n"/>
      <c r="J4223" s="58" t="n"/>
      <c r="K4223" s="58" t="n"/>
      <c r="L4223" s="13">
        <f>IF(OR($A4223="",AND($J4223="",$K4223="")),"",ROUND(N($J4223)-N($K4223),2))</f>
        <v/>
      </c>
      <c r="M4223" s="13">
        <f>IF(OR($A4223="",AND($J4223="",$K4223="")),"",MIN($J4223,$K4223))</f>
        <v/>
      </c>
      <c r="Q4223">
        <f>IF($A4223="","",$D4223&amp;"("&amp;SUBSTITUTE($E4223," ","")&amp;")")</f>
        <v/>
      </c>
      <c r="R4223">
        <f>IF($A4223="","",$B4223&amp;" - "&amp;$C4223)</f>
        <v/>
      </c>
      <c r="S4223">
        <f>IF($A4223="","",$R4223&amp;"|"&amp;$Q4223)</f>
        <v/>
      </c>
      <c r="T4223">
        <f>IF($A4223="","",$S4223&amp;"|"&amp;$F4223)</f>
        <v/>
      </c>
      <c r="U4223">
        <f>IF($A4223="","",$R4223&amp;"("&amp;$E4223&amp;")")</f>
        <v/>
      </c>
      <c r="V4223">
        <f>IF($A4223="","",$F4223&amp;"|"&amp;$U4223&amp;"|"&amp;$D4223)</f>
        <v/>
      </c>
      <c r="W4223">
        <f>IF($T4223="","",IF($X4223&gt;N($X4222),$X4223,""))</f>
        <v/>
      </c>
      <c r="X4223">
        <f>IF($T4223="",N($X4222),IF(MATCH($T4223,$T$6:$T$6005,0)=ROW()-5,N($X4222)+1,N($X4222)))</f>
        <v/>
      </c>
      <c r="Z4223">
        <f>IF($V4223="","",IF($AA4223&gt;N($AA4222),$AA4223,""))</f>
        <v/>
      </c>
      <c r="AA4223">
        <f>IF($V4223="",N($AA4222),IF(MATCH($V4223,$V$6:$V$6005,0)=ROW()-5,N($AA4222)+1,N($AA4222)))</f>
        <v/>
      </c>
    </row>
    <row r="4224" ht="21" customHeight="1" s="66">
      <c r="A4224" s="56" t="n"/>
      <c r="B4224" s="57" t="n"/>
      <c r="C4224" s="57" t="n"/>
      <c r="D4224" s="57" t="n"/>
      <c r="E4224" s="56" t="n"/>
      <c r="F4224" s="57" t="n"/>
      <c r="G4224" s="57" t="n"/>
      <c r="H4224" s="56" t="n"/>
      <c r="I4224" s="56" t="n"/>
      <c r="J4224" s="58" t="n"/>
      <c r="K4224" s="58" t="n"/>
      <c r="L4224" s="13">
        <f>IF(OR($A4224="",AND($J4224="",$K4224="")),"",ROUND(N($J4224)-N($K4224),2))</f>
        <v/>
      </c>
      <c r="M4224" s="13">
        <f>IF(OR($A4224="",AND($J4224="",$K4224="")),"",MIN($J4224,$K4224))</f>
        <v/>
      </c>
      <c r="Q4224">
        <f>IF($A4224="","",$D4224&amp;"("&amp;SUBSTITUTE($E4224," ","")&amp;")")</f>
        <v/>
      </c>
      <c r="R4224">
        <f>IF($A4224="","",$B4224&amp;" - "&amp;$C4224)</f>
        <v/>
      </c>
      <c r="S4224">
        <f>IF($A4224="","",$R4224&amp;"|"&amp;$Q4224)</f>
        <v/>
      </c>
      <c r="T4224">
        <f>IF($A4224="","",$S4224&amp;"|"&amp;$F4224)</f>
        <v/>
      </c>
      <c r="U4224">
        <f>IF($A4224="","",$R4224&amp;"("&amp;$E4224&amp;")")</f>
        <v/>
      </c>
      <c r="V4224">
        <f>IF($A4224="","",$F4224&amp;"|"&amp;$U4224&amp;"|"&amp;$D4224)</f>
        <v/>
      </c>
      <c r="W4224">
        <f>IF($T4224="","",IF($X4224&gt;N($X4223),$X4224,""))</f>
        <v/>
      </c>
      <c r="X4224">
        <f>IF($T4224="",N($X4223),IF(MATCH($T4224,$T$6:$T$6005,0)=ROW()-5,N($X4223)+1,N($X4223)))</f>
        <v/>
      </c>
      <c r="Z4224">
        <f>IF($V4224="","",IF($AA4224&gt;N($AA4223),$AA4224,""))</f>
        <v/>
      </c>
      <c r="AA4224">
        <f>IF($V4224="",N($AA4223),IF(MATCH($V4224,$V$6:$V$6005,0)=ROW()-5,N($AA4223)+1,N($AA4223)))</f>
        <v/>
      </c>
    </row>
    <row r="4225" ht="21" customHeight="1" s="66">
      <c r="A4225" s="56" t="n"/>
      <c r="B4225" s="57" t="n"/>
      <c r="C4225" s="57" t="n"/>
      <c r="D4225" s="57" t="n"/>
      <c r="E4225" s="56" t="n"/>
      <c r="F4225" s="57" t="n"/>
      <c r="G4225" s="57" t="n"/>
      <c r="H4225" s="56" t="n"/>
      <c r="I4225" s="56" t="n"/>
      <c r="J4225" s="58" t="n"/>
      <c r="K4225" s="58" t="n"/>
      <c r="L4225" s="13">
        <f>IF(OR($A4225="",AND($J4225="",$K4225="")),"",ROUND(N($J4225)-N($K4225),2))</f>
        <v/>
      </c>
      <c r="M4225" s="13">
        <f>IF(OR($A4225="",AND($J4225="",$K4225="")),"",MIN($J4225,$K4225))</f>
        <v/>
      </c>
      <c r="Q4225">
        <f>IF($A4225="","",$D4225&amp;"("&amp;SUBSTITUTE($E4225," ","")&amp;")")</f>
        <v/>
      </c>
      <c r="R4225">
        <f>IF($A4225="","",$B4225&amp;" - "&amp;$C4225)</f>
        <v/>
      </c>
      <c r="S4225">
        <f>IF($A4225="","",$R4225&amp;"|"&amp;$Q4225)</f>
        <v/>
      </c>
      <c r="T4225">
        <f>IF($A4225="","",$S4225&amp;"|"&amp;$F4225)</f>
        <v/>
      </c>
      <c r="U4225">
        <f>IF($A4225="","",$R4225&amp;"("&amp;$E4225&amp;")")</f>
        <v/>
      </c>
      <c r="V4225">
        <f>IF($A4225="","",$F4225&amp;"|"&amp;$U4225&amp;"|"&amp;$D4225)</f>
        <v/>
      </c>
      <c r="W4225">
        <f>IF($T4225="","",IF($X4225&gt;N($X4224),$X4225,""))</f>
        <v/>
      </c>
      <c r="X4225">
        <f>IF($T4225="",N($X4224),IF(MATCH($T4225,$T$6:$T$6005,0)=ROW()-5,N($X4224)+1,N($X4224)))</f>
        <v/>
      </c>
      <c r="Z4225">
        <f>IF($V4225="","",IF($AA4225&gt;N($AA4224),$AA4225,""))</f>
        <v/>
      </c>
      <c r="AA4225">
        <f>IF($V4225="",N($AA4224),IF(MATCH($V4225,$V$6:$V$6005,0)=ROW()-5,N($AA4224)+1,N($AA4224)))</f>
        <v/>
      </c>
    </row>
    <row r="4226" ht="21" customHeight="1" s="66">
      <c r="A4226" s="56" t="n"/>
      <c r="B4226" s="57" t="n"/>
      <c r="C4226" s="57" t="n"/>
      <c r="D4226" s="57" t="n"/>
      <c r="E4226" s="56" t="n"/>
      <c r="F4226" s="57" t="n"/>
      <c r="G4226" s="57" t="n"/>
      <c r="H4226" s="56" t="n"/>
      <c r="I4226" s="56" t="n"/>
      <c r="J4226" s="58" t="n"/>
      <c r="K4226" s="58" t="n"/>
      <c r="L4226" s="13">
        <f>IF(OR($A4226="",AND($J4226="",$K4226="")),"",ROUND(N($J4226)-N($K4226),2))</f>
        <v/>
      </c>
      <c r="M4226" s="13">
        <f>IF(OR($A4226="",AND($J4226="",$K4226="")),"",MIN($J4226,$K4226))</f>
        <v/>
      </c>
      <c r="Q4226">
        <f>IF($A4226="","",$D4226&amp;"("&amp;SUBSTITUTE($E4226," ","")&amp;")")</f>
        <v/>
      </c>
      <c r="R4226">
        <f>IF($A4226="","",$B4226&amp;" - "&amp;$C4226)</f>
        <v/>
      </c>
      <c r="S4226">
        <f>IF($A4226="","",$R4226&amp;"|"&amp;$Q4226)</f>
        <v/>
      </c>
      <c r="T4226">
        <f>IF($A4226="","",$S4226&amp;"|"&amp;$F4226)</f>
        <v/>
      </c>
      <c r="U4226">
        <f>IF($A4226="","",$R4226&amp;"("&amp;$E4226&amp;")")</f>
        <v/>
      </c>
      <c r="V4226">
        <f>IF($A4226="","",$F4226&amp;"|"&amp;$U4226&amp;"|"&amp;$D4226)</f>
        <v/>
      </c>
      <c r="W4226">
        <f>IF($T4226="","",IF($X4226&gt;N($X4225),$X4226,""))</f>
        <v/>
      </c>
      <c r="X4226">
        <f>IF($T4226="",N($X4225),IF(MATCH($T4226,$T$6:$T$6005,0)=ROW()-5,N($X4225)+1,N($X4225)))</f>
        <v/>
      </c>
      <c r="Z4226">
        <f>IF($V4226="","",IF($AA4226&gt;N($AA4225),$AA4226,""))</f>
        <v/>
      </c>
      <c r="AA4226">
        <f>IF($V4226="",N($AA4225),IF(MATCH($V4226,$V$6:$V$6005,0)=ROW()-5,N($AA4225)+1,N($AA4225)))</f>
        <v/>
      </c>
    </row>
    <row r="4227" ht="21" customHeight="1" s="66">
      <c r="A4227" s="56" t="n"/>
      <c r="B4227" s="57" t="n"/>
      <c r="C4227" s="57" t="n"/>
      <c r="D4227" s="57" t="n"/>
      <c r="E4227" s="56" t="n"/>
      <c r="F4227" s="57" t="n"/>
      <c r="G4227" s="57" t="n"/>
      <c r="H4227" s="56" t="n"/>
      <c r="I4227" s="56" t="n"/>
      <c r="J4227" s="58" t="n"/>
      <c r="K4227" s="58" t="n"/>
      <c r="L4227" s="13">
        <f>IF(OR($A4227="",AND($J4227="",$K4227="")),"",ROUND(N($J4227)-N($K4227),2))</f>
        <v/>
      </c>
      <c r="M4227" s="13">
        <f>IF(OR($A4227="",AND($J4227="",$K4227="")),"",MIN($J4227,$K4227))</f>
        <v/>
      </c>
      <c r="Q4227">
        <f>IF($A4227="","",$D4227&amp;"("&amp;SUBSTITUTE($E4227," ","")&amp;")")</f>
        <v/>
      </c>
      <c r="R4227">
        <f>IF($A4227="","",$B4227&amp;" - "&amp;$C4227)</f>
        <v/>
      </c>
      <c r="S4227">
        <f>IF($A4227="","",$R4227&amp;"|"&amp;$Q4227)</f>
        <v/>
      </c>
      <c r="T4227">
        <f>IF($A4227="","",$S4227&amp;"|"&amp;$F4227)</f>
        <v/>
      </c>
      <c r="U4227">
        <f>IF($A4227="","",$R4227&amp;"("&amp;$E4227&amp;")")</f>
        <v/>
      </c>
      <c r="V4227">
        <f>IF($A4227="","",$F4227&amp;"|"&amp;$U4227&amp;"|"&amp;$D4227)</f>
        <v/>
      </c>
      <c r="W4227">
        <f>IF($T4227="","",IF($X4227&gt;N($X4226),$X4227,""))</f>
        <v/>
      </c>
      <c r="X4227">
        <f>IF($T4227="",N($X4226),IF(MATCH($T4227,$T$6:$T$6005,0)=ROW()-5,N($X4226)+1,N($X4226)))</f>
        <v/>
      </c>
      <c r="Z4227">
        <f>IF($V4227="","",IF($AA4227&gt;N($AA4226),$AA4227,""))</f>
        <v/>
      </c>
      <c r="AA4227">
        <f>IF($V4227="",N($AA4226),IF(MATCH($V4227,$V$6:$V$6005,0)=ROW()-5,N($AA4226)+1,N($AA4226)))</f>
        <v/>
      </c>
    </row>
    <row r="4228" ht="21" customHeight="1" s="66">
      <c r="A4228" s="56" t="n"/>
      <c r="B4228" s="57" t="n"/>
      <c r="C4228" s="57" t="n"/>
      <c r="D4228" s="57" t="n"/>
      <c r="E4228" s="56" t="n"/>
      <c r="F4228" s="57" t="n"/>
      <c r="G4228" s="57" t="n"/>
      <c r="H4228" s="56" t="n"/>
      <c r="I4228" s="56" t="n"/>
      <c r="J4228" s="58" t="n"/>
      <c r="K4228" s="58" t="n"/>
      <c r="L4228" s="13">
        <f>IF(OR($A4228="",AND($J4228="",$K4228="")),"",ROUND(N($J4228)-N($K4228),2))</f>
        <v/>
      </c>
      <c r="M4228" s="13">
        <f>IF(OR($A4228="",AND($J4228="",$K4228="")),"",MIN($J4228,$K4228))</f>
        <v/>
      </c>
      <c r="Q4228">
        <f>IF($A4228="","",$D4228&amp;"("&amp;SUBSTITUTE($E4228," ","")&amp;")")</f>
        <v/>
      </c>
      <c r="R4228">
        <f>IF($A4228="","",$B4228&amp;" - "&amp;$C4228)</f>
        <v/>
      </c>
      <c r="S4228">
        <f>IF($A4228="","",$R4228&amp;"|"&amp;$Q4228)</f>
        <v/>
      </c>
      <c r="T4228">
        <f>IF($A4228="","",$S4228&amp;"|"&amp;$F4228)</f>
        <v/>
      </c>
      <c r="U4228">
        <f>IF($A4228="","",$R4228&amp;"("&amp;$E4228&amp;")")</f>
        <v/>
      </c>
      <c r="V4228">
        <f>IF($A4228="","",$F4228&amp;"|"&amp;$U4228&amp;"|"&amp;$D4228)</f>
        <v/>
      </c>
      <c r="W4228">
        <f>IF($T4228="","",IF($X4228&gt;N($X4227),$X4228,""))</f>
        <v/>
      </c>
      <c r="X4228">
        <f>IF($T4228="",N($X4227),IF(MATCH($T4228,$T$6:$T$6005,0)=ROW()-5,N($X4227)+1,N($X4227)))</f>
        <v/>
      </c>
      <c r="Z4228">
        <f>IF($V4228="","",IF($AA4228&gt;N($AA4227),$AA4228,""))</f>
        <v/>
      </c>
      <c r="AA4228">
        <f>IF($V4228="",N($AA4227),IF(MATCH($V4228,$V$6:$V$6005,0)=ROW()-5,N($AA4227)+1,N($AA4227)))</f>
        <v/>
      </c>
    </row>
    <row r="4229" ht="21" customHeight="1" s="66">
      <c r="A4229" s="56" t="n"/>
      <c r="B4229" s="57" t="n"/>
      <c r="C4229" s="57" t="n"/>
      <c r="D4229" s="57" t="n"/>
      <c r="E4229" s="56" t="n"/>
      <c r="F4229" s="57" t="n"/>
      <c r="G4229" s="57" t="n"/>
      <c r="H4229" s="56" t="n"/>
      <c r="I4229" s="56" t="n"/>
      <c r="J4229" s="58" t="n"/>
      <c r="K4229" s="58" t="n"/>
      <c r="L4229" s="13">
        <f>IF(OR($A4229="",AND($J4229="",$K4229="")),"",ROUND(N($J4229)-N($K4229),2))</f>
        <v/>
      </c>
      <c r="M4229" s="13">
        <f>IF(OR($A4229="",AND($J4229="",$K4229="")),"",MIN($J4229,$K4229))</f>
        <v/>
      </c>
      <c r="Q4229">
        <f>IF($A4229="","",$D4229&amp;"("&amp;SUBSTITUTE($E4229," ","")&amp;")")</f>
        <v/>
      </c>
      <c r="R4229">
        <f>IF($A4229="","",$B4229&amp;" - "&amp;$C4229)</f>
        <v/>
      </c>
      <c r="S4229">
        <f>IF($A4229="","",$R4229&amp;"|"&amp;$Q4229)</f>
        <v/>
      </c>
      <c r="T4229">
        <f>IF($A4229="","",$S4229&amp;"|"&amp;$F4229)</f>
        <v/>
      </c>
      <c r="U4229">
        <f>IF($A4229="","",$R4229&amp;"("&amp;$E4229&amp;")")</f>
        <v/>
      </c>
      <c r="V4229">
        <f>IF($A4229="","",$F4229&amp;"|"&amp;$U4229&amp;"|"&amp;$D4229)</f>
        <v/>
      </c>
      <c r="W4229">
        <f>IF($T4229="","",IF($X4229&gt;N($X4228),$X4229,""))</f>
        <v/>
      </c>
      <c r="X4229">
        <f>IF($T4229="",N($X4228),IF(MATCH($T4229,$T$6:$T$6005,0)=ROW()-5,N($X4228)+1,N($X4228)))</f>
        <v/>
      </c>
      <c r="Z4229">
        <f>IF($V4229="","",IF($AA4229&gt;N($AA4228),$AA4229,""))</f>
        <v/>
      </c>
      <c r="AA4229">
        <f>IF($V4229="",N($AA4228),IF(MATCH($V4229,$V$6:$V$6005,0)=ROW()-5,N($AA4228)+1,N($AA4228)))</f>
        <v/>
      </c>
    </row>
    <row r="4230" ht="21" customHeight="1" s="66">
      <c r="A4230" s="56" t="n"/>
      <c r="B4230" s="57" t="n"/>
      <c r="C4230" s="57" t="n"/>
      <c r="D4230" s="57" t="n"/>
      <c r="E4230" s="56" t="n"/>
      <c r="F4230" s="57" t="n"/>
      <c r="G4230" s="57" t="n"/>
      <c r="H4230" s="56" t="n"/>
      <c r="I4230" s="56" t="n"/>
      <c r="J4230" s="58" t="n"/>
      <c r="K4230" s="58" t="n"/>
      <c r="L4230" s="13">
        <f>IF(OR($A4230="",AND($J4230="",$K4230="")),"",ROUND(N($J4230)-N($K4230),2))</f>
        <v/>
      </c>
      <c r="M4230" s="13">
        <f>IF(OR($A4230="",AND($J4230="",$K4230="")),"",MIN($J4230,$K4230))</f>
        <v/>
      </c>
      <c r="Q4230">
        <f>IF($A4230="","",$D4230&amp;"("&amp;SUBSTITUTE($E4230," ","")&amp;")")</f>
        <v/>
      </c>
      <c r="R4230">
        <f>IF($A4230="","",$B4230&amp;" - "&amp;$C4230)</f>
        <v/>
      </c>
      <c r="S4230">
        <f>IF($A4230="","",$R4230&amp;"|"&amp;$Q4230)</f>
        <v/>
      </c>
      <c r="T4230">
        <f>IF($A4230="","",$S4230&amp;"|"&amp;$F4230)</f>
        <v/>
      </c>
      <c r="U4230">
        <f>IF($A4230="","",$R4230&amp;"("&amp;$E4230&amp;")")</f>
        <v/>
      </c>
      <c r="V4230">
        <f>IF($A4230="","",$F4230&amp;"|"&amp;$U4230&amp;"|"&amp;$D4230)</f>
        <v/>
      </c>
      <c r="W4230">
        <f>IF($T4230="","",IF($X4230&gt;N($X4229),$X4230,""))</f>
        <v/>
      </c>
      <c r="X4230">
        <f>IF($T4230="",N($X4229),IF(MATCH($T4230,$T$6:$T$6005,0)=ROW()-5,N($X4229)+1,N($X4229)))</f>
        <v/>
      </c>
      <c r="Z4230">
        <f>IF($V4230="","",IF($AA4230&gt;N($AA4229),$AA4230,""))</f>
        <v/>
      </c>
      <c r="AA4230">
        <f>IF($V4230="",N($AA4229),IF(MATCH($V4230,$V$6:$V$6005,0)=ROW()-5,N($AA4229)+1,N($AA4229)))</f>
        <v/>
      </c>
    </row>
    <row r="4231" ht="21" customHeight="1" s="66">
      <c r="A4231" s="56" t="n"/>
      <c r="B4231" s="57" t="n"/>
      <c r="C4231" s="57" t="n"/>
      <c r="D4231" s="57" t="n"/>
      <c r="E4231" s="56" t="n"/>
      <c r="F4231" s="57" t="n"/>
      <c r="G4231" s="57" t="n"/>
      <c r="H4231" s="56" t="n"/>
      <c r="I4231" s="56" t="n"/>
      <c r="J4231" s="58" t="n"/>
      <c r="K4231" s="58" t="n"/>
      <c r="L4231" s="13">
        <f>IF(OR($A4231="",AND($J4231="",$K4231="")),"",ROUND(N($J4231)-N($K4231),2))</f>
        <v/>
      </c>
      <c r="M4231" s="13">
        <f>IF(OR($A4231="",AND($J4231="",$K4231="")),"",MIN($J4231,$K4231))</f>
        <v/>
      </c>
      <c r="Q4231">
        <f>IF($A4231="","",$D4231&amp;"("&amp;SUBSTITUTE($E4231," ","")&amp;")")</f>
        <v/>
      </c>
      <c r="R4231">
        <f>IF($A4231="","",$B4231&amp;" - "&amp;$C4231)</f>
        <v/>
      </c>
      <c r="S4231">
        <f>IF($A4231="","",$R4231&amp;"|"&amp;$Q4231)</f>
        <v/>
      </c>
      <c r="T4231">
        <f>IF($A4231="","",$S4231&amp;"|"&amp;$F4231)</f>
        <v/>
      </c>
      <c r="U4231">
        <f>IF($A4231="","",$R4231&amp;"("&amp;$E4231&amp;")")</f>
        <v/>
      </c>
      <c r="V4231">
        <f>IF($A4231="","",$F4231&amp;"|"&amp;$U4231&amp;"|"&amp;$D4231)</f>
        <v/>
      </c>
      <c r="W4231">
        <f>IF($T4231="","",IF($X4231&gt;N($X4230),$X4231,""))</f>
        <v/>
      </c>
      <c r="X4231">
        <f>IF($T4231="",N($X4230),IF(MATCH($T4231,$T$6:$T$6005,0)=ROW()-5,N($X4230)+1,N($X4230)))</f>
        <v/>
      </c>
      <c r="Z4231">
        <f>IF($V4231="","",IF($AA4231&gt;N($AA4230),$AA4231,""))</f>
        <v/>
      </c>
      <c r="AA4231">
        <f>IF($V4231="",N($AA4230),IF(MATCH($V4231,$V$6:$V$6005,0)=ROW()-5,N($AA4230)+1,N($AA4230)))</f>
        <v/>
      </c>
    </row>
    <row r="4232" ht="21" customHeight="1" s="66">
      <c r="A4232" s="56" t="n"/>
      <c r="B4232" s="57" t="n"/>
      <c r="C4232" s="57" t="n"/>
      <c r="D4232" s="57" t="n"/>
      <c r="E4232" s="56" t="n"/>
      <c r="F4232" s="57" t="n"/>
      <c r="G4232" s="57" t="n"/>
      <c r="H4232" s="56" t="n"/>
      <c r="I4232" s="56" t="n"/>
      <c r="J4232" s="58" t="n"/>
      <c r="K4232" s="58" t="n"/>
      <c r="L4232" s="13">
        <f>IF(OR($A4232="",AND($J4232="",$K4232="")),"",ROUND(N($J4232)-N($K4232),2))</f>
        <v/>
      </c>
      <c r="M4232" s="13">
        <f>IF(OR($A4232="",AND($J4232="",$K4232="")),"",MIN($J4232,$K4232))</f>
        <v/>
      </c>
      <c r="Q4232">
        <f>IF($A4232="","",$D4232&amp;"("&amp;SUBSTITUTE($E4232," ","")&amp;")")</f>
        <v/>
      </c>
      <c r="R4232">
        <f>IF($A4232="","",$B4232&amp;" - "&amp;$C4232)</f>
        <v/>
      </c>
      <c r="S4232">
        <f>IF($A4232="","",$R4232&amp;"|"&amp;$Q4232)</f>
        <v/>
      </c>
      <c r="T4232">
        <f>IF($A4232="","",$S4232&amp;"|"&amp;$F4232)</f>
        <v/>
      </c>
      <c r="U4232">
        <f>IF($A4232="","",$R4232&amp;"("&amp;$E4232&amp;")")</f>
        <v/>
      </c>
      <c r="V4232">
        <f>IF($A4232="","",$F4232&amp;"|"&amp;$U4232&amp;"|"&amp;$D4232)</f>
        <v/>
      </c>
      <c r="W4232">
        <f>IF($T4232="","",IF($X4232&gt;N($X4231),$X4232,""))</f>
        <v/>
      </c>
      <c r="X4232">
        <f>IF($T4232="",N($X4231),IF(MATCH($T4232,$T$6:$T$6005,0)=ROW()-5,N($X4231)+1,N($X4231)))</f>
        <v/>
      </c>
      <c r="Z4232">
        <f>IF($V4232="","",IF($AA4232&gt;N($AA4231),$AA4232,""))</f>
        <v/>
      </c>
      <c r="AA4232">
        <f>IF($V4232="",N($AA4231),IF(MATCH($V4232,$V$6:$V$6005,0)=ROW()-5,N($AA4231)+1,N($AA4231)))</f>
        <v/>
      </c>
    </row>
    <row r="4233" ht="21" customHeight="1" s="66">
      <c r="A4233" s="56" t="n"/>
      <c r="B4233" s="57" t="n"/>
      <c r="C4233" s="57" t="n"/>
      <c r="D4233" s="57" t="n"/>
      <c r="E4233" s="56" t="n"/>
      <c r="F4233" s="57" t="n"/>
      <c r="G4233" s="57" t="n"/>
      <c r="H4233" s="56" t="n"/>
      <c r="I4233" s="56" t="n"/>
      <c r="J4233" s="58" t="n"/>
      <c r="K4233" s="58" t="n"/>
      <c r="L4233" s="13">
        <f>IF(OR($A4233="",AND($J4233="",$K4233="")),"",ROUND(N($J4233)-N($K4233),2))</f>
        <v/>
      </c>
      <c r="M4233" s="13">
        <f>IF(OR($A4233="",AND($J4233="",$K4233="")),"",MIN($J4233,$K4233))</f>
        <v/>
      </c>
      <c r="Q4233">
        <f>IF($A4233="","",$D4233&amp;"("&amp;SUBSTITUTE($E4233," ","")&amp;")")</f>
        <v/>
      </c>
      <c r="R4233">
        <f>IF($A4233="","",$B4233&amp;" - "&amp;$C4233)</f>
        <v/>
      </c>
      <c r="S4233">
        <f>IF($A4233="","",$R4233&amp;"|"&amp;$Q4233)</f>
        <v/>
      </c>
      <c r="T4233">
        <f>IF($A4233="","",$S4233&amp;"|"&amp;$F4233)</f>
        <v/>
      </c>
      <c r="U4233">
        <f>IF($A4233="","",$R4233&amp;"("&amp;$E4233&amp;")")</f>
        <v/>
      </c>
      <c r="V4233">
        <f>IF($A4233="","",$F4233&amp;"|"&amp;$U4233&amp;"|"&amp;$D4233)</f>
        <v/>
      </c>
      <c r="W4233">
        <f>IF($T4233="","",IF($X4233&gt;N($X4232),$X4233,""))</f>
        <v/>
      </c>
      <c r="X4233">
        <f>IF($T4233="",N($X4232),IF(MATCH($T4233,$T$6:$T$6005,0)=ROW()-5,N($X4232)+1,N($X4232)))</f>
        <v/>
      </c>
      <c r="Z4233">
        <f>IF($V4233="","",IF($AA4233&gt;N($AA4232),$AA4233,""))</f>
        <v/>
      </c>
      <c r="AA4233">
        <f>IF($V4233="",N($AA4232),IF(MATCH($V4233,$V$6:$V$6005,0)=ROW()-5,N($AA4232)+1,N($AA4232)))</f>
        <v/>
      </c>
    </row>
    <row r="4234" ht="21" customHeight="1" s="66">
      <c r="A4234" s="56" t="n"/>
      <c r="B4234" s="57" t="n"/>
      <c r="C4234" s="57" t="n"/>
      <c r="D4234" s="57" t="n"/>
      <c r="E4234" s="56" t="n"/>
      <c r="F4234" s="57" t="n"/>
      <c r="G4234" s="57" t="n"/>
      <c r="H4234" s="56" t="n"/>
      <c r="I4234" s="56" t="n"/>
      <c r="J4234" s="58" t="n"/>
      <c r="K4234" s="58" t="n"/>
      <c r="L4234" s="13">
        <f>IF(OR($A4234="",AND($J4234="",$K4234="")),"",ROUND(N($J4234)-N($K4234),2))</f>
        <v/>
      </c>
      <c r="M4234" s="13">
        <f>IF(OR($A4234="",AND($J4234="",$K4234="")),"",MIN($J4234,$K4234))</f>
        <v/>
      </c>
      <c r="Q4234">
        <f>IF($A4234="","",$D4234&amp;"("&amp;SUBSTITUTE($E4234," ","")&amp;")")</f>
        <v/>
      </c>
      <c r="R4234">
        <f>IF($A4234="","",$B4234&amp;" - "&amp;$C4234)</f>
        <v/>
      </c>
      <c r="S4234">
        <f>IF($A4234="","",$R4234&amp;"|"&amp;$Q4234)</f>
        <v/>
      </c>
      <c r="T4234">
        <f>IF($A4234="","",$S4234&amp;"|"&amp;$F4234)</f>
        <v/>
      </c>
      <c r="U4234">
        <f>IF($A4234="","",$R4234&amp;"("&amp;$E4234&amp;")")</f>
        <v/>
      </c>
      <c r="V4234">
        <f>IF($A4234="","",$F4234&amp;"|"&amp;$U4234&amp;"|"&amp;$D4234)</f>
        <v/>
      </c>
      <c r="W4234">
        <f>IF($T4234="","",IF($X4234&gt;N($X4233),$X4234,""))</f>
        <v/>
      </c>
      <c r="X4234">
        <f>IF($T4234="",N($X4233),IF(MATCH($T4234,$T$6:$T$6005,0)=ROW()-5,N($X4233)+1,N($X4233)))</f>
        <v/>
      </c>
      <c r="Z4234">
        <f>IF($V4234="","",IF($AA4234&gt;N($AA4233),$AA4234,""))</f>
        <v/>
      </c>
      <c r="AA4234">
        <f>IF($V4234="",N($AA4233),IF(MATCH($V4234,$V$6:$V$6005,0)=ROW()-5,N($AA4233)+1,N($AA4233)))</f>
        <v/>
      </c>
    </row>
    <row r="4235" ht="21" customHeight="1" s="66">
      <c r="A4235" s="56" t="n"/>
      <c r="B4235" s="57" t="n"/>
      <c r="C4235" s="57" t="n"/>
      <c r="D4235" s="57" t="n"/>
      <c r="E4235" s="56" t="n"/>
      <c r="F4235" s="57" t="n"/>
      <c r="G4235" s="57" t="n"/>
      <c r="H4235" s="56" t="n"/>
      <c r="I4235" s="56" t="n"/>
      <c r="J4235" s="58" t="n"/>
      <c r="K4235" s="58" t="n"/>
      <c r="L4235" s="13">
        <f>IF(OR($A4235="",AND($J4235="",$K4235="")),"",ROUND(N($J4235)-N($K4235),2))</f>
        <v/>
      </c>
      <c r="M4235" s="13">
        <f>IF(OR($A4235="",AND($J4235="",$K4235="")),"",MIN($J4235,$K4235))</f>
        <v/>
      </c>
      <c r="Q4235">
        <f>IF($A4235="","",$D4235&amp;"("&amp;SUBSTITUTE($E4235," ","")&amp;")")</f>
        <v/>
      </c>
      <c r="R4235">
        <f>IF($A4235="","",$B4235&amp;" - "&amp;$C4235)</f>
        <v/>
      </c>
      <c r="S4235">
        <f>IF($A4235="","",$R4235&amp;"|"&amp;$Q4235)</f>
        <v/>
      </c>
      <c r="T4235">
        <f>IF($A4235="","",$S4235&amp;"|"&amp;$F4235)</f>
        <v/>
      </c>
      <c r="U4235">
        <f>IF($A4235="","",$R4235&amp;"("&amp;$E4235&amp;")")</f>
        <v/>
      </c>
      <c r="V4235">
        <f>IF($A4235="","",$F4235&amp;"|"&amp;$U4235&amp;"|"&amp;$D4235)</f>
        <v/>
      </c>
      <c r="W4235">
        <f>IF($T4235="","",IF($X4235&gt;N($X4234),$X4235,""))</f>
        <v/>
      </c>
      <c r="X4235">
        <f>IF($T4235="",N($X4234),IF(MATCH($T4235,$T$6:$T$6005,0)=ROW()-5,N($X4234)+1,N($X4234)))</f>
        <v/>
      </c>
      <c r="Z4235">
        <f>IF($V4235="","",IF($AA4235&gt;N($AA4234),$AA4235,""))</f>
        <v/>
      </c>
      <c r="AA4235">
        <f>IF($V4235="",N($AA4234),IF(MATCH($V4235,$V$6:$V$6005,0)=ROW()-5,N($AA4234)+1,N($AA4234)))</f>
        <v/>
      </c>
    </row>
    <row r="4236" ht="21" customHeight="1" s="66">
      <c r="A4236" s="56" t="n"/>
      <c r="B4236" s="57" t="n"/>
      <c r="C4236" s="57" t="n"/>
      <c r="D4236" s="57" t="n"/>
      <c r="E4236" s="56" t="n"/>
      <c r="F4236" s="57" t="n"/>
      <c r="G4236" s="57" t="n"/>
      <c r="H4236" s="56" t="n"/>
      <c r="I4236" s="56" t="n"/>
      <c r="J4236" s="58" t="n"/>
      <c r="K4236" s="58" t="n"/>
      <c r="L4236" s="13">
        <f>IF(OR($A4236="",AND($J4236="",$K4236="")),"",ROUND(N($J4236)-N($K4236),2))</f>
        <v/>
      </c>
      <c r="M4236" s="13">
        <f>IF(OR($A4236="",AND($J4236="",$K4236="")),"",MIN($J4236,$K4236))</f>
        <v/>
      </c>
      <c r="Q4236">
        <f>IF($A4236="","",$D4236&amp;"("&amp;SUBSTITUTE($E4236," ","")&amp;")")</f>
        <v/>
      </c>
      <c r="R4236">
        <f>IF($A4236="","",$B4236&amp;" - "&amp;$C4236)</f>
        <v/>
      </c>
      <c r="S4236">
        <f>IF($A4236="","",$R4236&amp;"|"&amp;$Q4236)</f>
        <v/>
      </c>
      <c r="T4236">
        <f>IF($A4236="","",$S4236&amp;"|"&amp;$F4236)</f>
        <v/>
      </c>
      <c r="U4236">
        <f>IF($A4236="","",$R4236&amp;"("&amp;$E4236&amp;")")</f>
        <v/>
      </c>
      <c r="V4236">
        <f>IF($A4236="","",$F4236&amp;"|"&amp;$U4236&amp;"|"&amp;$D4236)</f>
        <v/>
      </c>
      <c r="W4236">
        <f>IF($T4236="","",IF($X4236&gt;N($X4235),$X4236,""))</f>
        <v/>
      </c>
      <c r="X4236">
        <f>IF($T4236="",N($X4235),IF(MATCH($T4236,$T$6:$T$6005,0)=ROW()-5,N($X4235)+1,N($X4235)))</f>
        <v/>
      </c>
      <c r="Z4236">
        <f>IF($V4236="","",IF($AA4236&gt;N($AA4235),$AA4236,""))</f>
        <v/>
      </c>
      <c r="AA4236">
        <f>IF($V4236="",N($AA4235),IF(MATCH($V4236,$V$6:$V$6005,0)=ROW()-5,N($AA4235)+1,N($AA4235)))</f>
        <v/>
      </c>
    </row>
    <row r="4237" ht="21" customHeight="1" s="66">
      <c r="A4237" s="56" t="n"/>
      <c r="B4237" s="57" t="n"/>
      <c r="C4237" s="57" t="n"/>
      <c r="D4237" s="57" t="n"/>
      <c r="E4237" s="56" t="n"/>
      <c r="F4237" s="57" t="n"/>
      <c r="G4237" s="57" t="n"/>
      <c r="H4237" s="56" t="n"/>
      <c r="I4237" s="56" t="n"/>
      <c r="J4237" s="58" t="n"/>
      <c r="K4237" s="58" t="n"/>
      <c r="L4237" s="13">
        <f>IF(OR($A4237="",AND($J4237="",$K4237="")),"",ROUND(N($J4237)-N($K4237),2))</f>
        <v/>
      </c>
      <c r="M4237" s="13">
        <f>IF(OR($A4237="",AND($J4237="",$K4237="")),"",MIN($J4237,$K4237))</f>
        <v/>
      </c>
      <c r="Q4237">
        <f>IF($A4237="","",$D4237&amp;"("&amp;SUBSTITUTE($E4237," ","")&amp;")")</f>
        <v/>
      </c>
      <c r="R4237">
        <f>IF($A4237="","",$B4237&amp;" - "&amp;$C4237)</f>
        <v/>
      </c>
      <c r="S4237">
        <f>IF($A4237="","",$R4237&amp;"|"&amp;$Q4237)</f>
        <v/>
      </c>
      <c r="T4237">
        <f>IF($A4237="","",$S4237&amp;"|"&amp;$F4237)</f>
        <v/>
      </c>
      <c r="U4237">
        <f>IF($A4237="","",$R4237&amp;"("&amp;$E4237&amp;")")</f>
        <v/>
      </c>
      <c r="V4237">
        <f>IF($A4237="","",$F4237&amp;"|"&amp;$U4237&amp;"|"&amp;$D4237)</f>
        <v/>
      </c>
      <c r="W4237">
        <f>IF($T4237="","",IF($X4237&gt;N($X4236),$X4237,""))</f>
        <v/>
      </c>
      <c r="X4237">
        <f>IF($T4237="",N($X4236),IF(MATCH($T4237,$T$6:$T$6005,0)=ROW()-5,N($X4236)+1,N($X4236)))</f>
        <v/>
      </c>
      <c r="Z4237">
        <f>IF($V4237="","",IF($AA4237&gt;N($AA4236),$AA4237,""))</f>
        <v/>
      </c>
      <c r="AA4237">
        <f>IF($V4237="",N($AA4236),IF(MATCH($V4237,$V$6:$V$6005,0)=ROW()-5,N($AA4236)+1,N($AA4236)))</f>
        <v/>
      </c>
    </row>
    <row r="4238" ht="21" customHeight="1" s="66">
      <c r="A4238" s="56" t="n"/>
      <c r="B4238" s="57" t="n"/>
      <c r="C4238" s="57" t="n"/>
      <c r="D4238" s="57" t="n"/>
      <c r="E4238" s="56" t="n"/>
      <c r="F4238" s="57" t="n"/>
      <c r="G4238" s="57" t="n"/>
      <c r="H4238" s="56" t="n"/>
      <c r="I4238" s="56" t="n"/>
      <c r="J4238" s="58" t="n"/>
      <c r="K4238" s="58" t="n"/>
      <c r="L4238" s="13">
        <f>IF(OR($A4238="",AND($J4238="",$K4238="")),"",ROUND(N($J4238)-N($K4238),2))</f>
        <v/>
      </c>
      <c r="M4238" s="13">
        <f>IF(OR($A4238="",AND($J4238="",$K4238="")),"",MIN($J4238,$K4238))</f>
        <v/>
      </c>
      <c r="Q4238">
        <f>IF($A4238="","",$D4238&amp;"("&amp;SUBSTITUTE($E4238," ","")&amp;")")</f>
        <v/>
      </c>
      <c r="R4238">
        <f>IF($A4238="","",$B4238&amp;" - "&amp;$C4238)</f>
        <v/>
      </c>
      <c r="S4238">
        <f>IF($A4238="","",$R4238&amp;"|"&amp;$Q4238)</f>
        <v/>
      </c>
      <c r="T4238">
        <f>IF($A4238="","",$S4238&amp;"|"&amp;$F4238)</f>
        <v/>
      </c>
      <c r="U4238">
        <f>IF($A4238="","",$R4238&amp;"("&amp;$E4238&amp;")")</f>
        <v/>
      </c>
      <c r="V4238">
        <f>IF($A4238="","",$F4238&amp;"|"&amp;$U4238&amp;"|"&amp;$D4238)</f>
        <v/>
      </c>
      <c r="W4238">
        <f>IF($T4238="","",IF($X4238&gt;N($X4237),$X4238,""))</f>
        <v/>
      </c>
      <c r="X4238">
        <f>IF($T4238="",N($X4237),IF(MATCH($T4238,$T$6:$T$6005,0)=ROW()-5,N($X4237)+1,N($X4237)))</f>
        <v/>
      </c>
      <c r="Z4238">
        <f>IF($V4238="","",IF($AA4238&gt;N($AA4237),$AA4238,""))</f>
        <v/>
      </c>
      <c r="AA4238">
        <f>IF($V4238="",N($AA4237),IF(MATCH($V4238,$V$6:$V$6005,0)=ROW()-5,N($AA4237)+1,N($AA4237)))</f>
        <v/>
      </c>
    </row>
    <row r="4239" ht="21" customHeight="1" s="66">
      <c r="A4239" s="56" t="n"/>
      <c r="B4239" s="57" t="n"/>
      <c r="C4239" s="57" t="n"/>
      <c r="D4239" s="57" t="n"/>
      <c r="E4239" s="56" t="n"/>
      <c r="F4239" s="57" t="n"/>
      <c r="G4239" s="57" t="n"/>
      <c r="H4239" s="56" t="n"/>
      <c r="I4239" s="56" t="n"/>
      <c r="J4239" s="58" t="n"/>
      <c r="K4239" s="58" t="n"/>
      <c r="L4239" s="13">
        <f>IF(OR($A4239="",AND($J4239="",$K4239="")),"",ROUND(N($J4239)-N($K4239),2))</f>
        <v/>
      </c>
      <c r="M4239" s="13">
        <f>IF(OR($A4239="",AND($J4239="",$K4239="")),"",MIN($J4239,$K4239))</f>
        <v/>
      </c>
      <c r="Q4239">
        <f>IF($A4239="","",$D4239&amp;"("&amp;SUBSTITUTE($E4239," ","")&amp;")")</f>
        <v/>
      </c>
      <c r="R4239">
        <f>IF($A4239="","",$B4239&amp;" - "&amp;$C4239)</f>
        <v/>
      </c>
      <c r="S4239">
        <f>IF($A4239="","",$R4239&amp;"|"&amp;$Q4239)</f>
        <v/>
      </c>
      <c r="T4239">
        <f>IF($A4239="","",$S4239&amp;"|"&amp;$F4239)</f>
        <v/>
      </c>
      <c r="U4239">
        <f>IF($A4239="","",$R4239&amp;"("&amp;$E4239&amp;")")</f>
        <v/>
      </c>
      <c r="V4239">
        <f>IF($A4239="","",$F4239&amp;"|"&amp;$U4239&amp;"|"&amp;$D4239)</f>
        <v/>
      </c>
      <c r="W4239">
        <f>IF($T4239="","",IF($X4239&gt;N($X4238),$X4239,""))</f>
        <v/>
      </c>
      <c r="X4239">
        <f>IF($T4239="",N($X4238),IF(MATCH($T4239,$T$6:$T$6005,0)=ROW()-5,N($X4238)+1,N($X4238)))</f>
        <v/>
      </c>
      <c r="Z4239">
        <f>IF($V4239="","",IF($AA4239&gt;N($AA4238),$AA4239,""))</f>
        <v/>
      </c>
      <c r="AA4239">
        <f>IF($V4239="",N($AA4238),IF(MATCH($V4239,$V$6:$V$6005,0)=ROW()-5,N($AA4238)+1,N($AA4238)))</f>
        <v/>
      </c>
    </row>
    <row r="4240" ht="21" customHeight="1" s="66">
      <c r="A4240" s="56" t="n"/>
      <c r="B4240" s="57" t="n"/>
      <c r="C4240" s="57" t="n"/>
      <c r="D4240" s="57" t="n"/>
      <c r="E4240" s="56" t="n"/>
      <c r="F4240" s="57" t="n"/>
      <c r="G4240" s="57" t="n"/>
      <c r="H4240" s="56" t="n"/>
      <c r="I4240" s="56" t="n"/>
      <c r="J4240" s="58" t="n"/>
      <c r="K4240" s="58" t="n"/>
      <c r="L4240" s="13">
        <f>IF(OR($A4240="",AND($J4240="",$K4240="")),"",ROUND(N($J4240)-N($K4240),2))</f>
        <v/>
      </c>
      <c r="M4240" s="13">
        <f>IF(OR($A4240="",AND($J4240="",$K4240="")),"",MIN($J4240,$K4240))</f>
        <v/>
      </c>
      <c r="Q4240">
        <f>IF($A4240="","",$D4240&amp;"("&amp;SUBSTITUTE($E4240," ","")&amp;")")</f>
        <v/>
      </c>
      <c r="R4240">
        <f>IF($A4240="","",$B4240&amp;" - "&amp;$C4240)</f>
        <v/>
      </c>
      <c r="S4240">
        <f>IF($A4240="","",$R4240&amp;"|"&amp;$Q4240)</f>
        <v/>
      </c>
      <c r="T4240">
        <f>IF($A4240="","",$S4240&amp;"|"&amp;$F4240)</f>
        <v/>
      </c>
      <c r="U4240">
        <f>IF($A4240="","",$R4240&amp;"("&amp;$E4240&amp;")")</f>
        <v/>
      </c>
      <c r="V4240">
        <f>IF($A4240="","",$F4240&amp;"|"&amp;$U4240&amp;"|"&amp;$D4240)</f>
        <v/>
      </c>
      <c r="W4240">
        <f>IF($T4240="","",IF($X4240&gt;N($X4239),$X4240,""))</f>
        <v/>
      </c>
      <c r="X4240">
        <f>IF($T4240="",N($X4239),IF(MATCH($T4240,$T$6:$T$6005,0)=ROW()-5,N($X4239)+1,N($X4239)))</f>
        <v/>
      </c>
      <c r="Z4240">
        <f>IF($V4240="","",IF($AA4240&gt;N($AA4239),$AA4240,""))</f>
        <v/>
      </c>
      <c r="AA4240">
        <f>IF($V4240="",N($AA4239),IF(MATCH($V4240,$V$6:$V$6005,0)=ROW()-5,N($AA4239)+1,N($AA4239)))</f>
        <v/>
      </c>
    </row>
    <row r="4241" ht="21" customHeight="1" s="66">
      <c r="A4241" s="56" t="n"/>
      <c r="B4241" s="57" t="n"/>
      <c r="C4241" s="57" t="n"/>
      <c r="D4241" s="57" t="n"/>
      <c r="E4241" s="56" t="n"/>
      <c r="F4241" s="57" t="n"/>
      <c r="G4241" s="57" t="n"/>
      <c r="H4241" s="56" t="n"/>
      <c r="I4241" s="56" t="n"/>
      <c r="J4241" s="58" t="n"/>
      <c r="K4241" s="58" t="n"/>
      <c r="L4241" s="13">
        <f>IF(OR($A4241="",AND($J4241="",$K4241="")),"",ROUND(N($J4241)-N($K4241),2))</f>
        <v/>
      </c>
      <c r="M4241" s="13">
        <f>IF(OR($A4241="",AND($J4241="",$K4241="")),"",MIN($J4241,$K4241))</f>
        <v/>
      </c>
      <c r="Q4241">
        <f>IF($A4241="","",$D4241&amp;"("&amp;SUBSTITUTE($E4241," ","")&amp;")")</f>
        <v/>
      </c>
      <c r="R4241">
        <f>IF($A4241="","",$B4241&amp;" - "&amp;$C4241)</f>
        <v/>
      </c>
      <c r="S4241">
        <f>IF($A4241="","",$R4241&amp;"|"&amp;$Q4241)</f>
        <v/>
      </c>
      <c r="T4241">
        <f>IF($A4241="","",$S4241&amp;"|"&amp;$F4241)</f>
        <v/>
      </c>
      <c r="U4241">
        <f>IF($A4241="","",$R4241&amp;"("&amp;$E4241&amp;")")</f>
        <v/>
      </c>
      <c r="V4241">
        <f>IF($A4241="","",$F4241&amp;"|"&amp;$U4241&amp;"|"&amp;$D4241)</f>
        <v/>
      </c>
      <c r="W4241">
        <f>IF($T4241="","",IF($X4241&gt;N($X4240),$X4241,""))</f>
        <v/>
      </c>
      <c r="X4241">
        <f>IF($T4241="",N($X4240),IF(MATCH($T4241,$T$6:$T$6005,0)=ROW()-5,N($X4240)+1,N($X4240)))</f>
        <v/>
      </c>
      <c r="Z4241">
        <f>IF($V4241="","",IF($AA4241&gt;N($AA4240),$AA4241,""))</f>
        <v/>
      </c>
      <c r="AA4241">
        <f>IF($V4241="",N($AA4240),IF(MATCH($V4241,$V$6:$V$6005,0)=ROW()-5,N($AA4240)+1,N($AA4240)))</f>
        <v/>
      </c>
    </row>
    <row r="4242" ht="21" customHeight="1" s="66">
      <c r="A4242" s="56" t="n"/>
      <c r="B4242" s="57" t="n"/>
      <c r="C4242" s="57" t="n"/>
      <c r="D4242" s="57" t="n"/>
      <c r="E4242" s="56" t="n"/>
      <c r="F4242" s="57" t="n"/>
      <c r="G4242" s="57" t="n"/>
      <c r="H4242" s="56" t="n"/>
      <c r="I4242" s="56" t="n"/>
      <c r="J4242" s="58" t="n"/>
      <c r="K4242" s="58" t="n"/>
      <c r="L4242" s="13">
        <f>IF(OR($A4242="",AND($J4242="",$K4242="")),"",ROUND(N($J4242)-N($K4242),2))</f>
        <v/>
      </c>
      <c r="M4242" s="13">
        <f>IF(OR($A4242="",AND($J4242="",$K4242="")),"",MIN($J4242,$K4242))</f>
        <v/>
      </c>
      <c r="Q4242">
        <f>IF($A4242="","",$D4242&amp;"("&amp;SUBSTITUTE($E4242," ","")&amp;")")</f>
        <v/>
      </c>
      <c r="R4242">
        <f>IF($A4242="","",$B4242&amp;" - "&amp;$C4242)</f>
        <v/>
      </c>
      <c r="S4242">
        <f>IF($A4242="","",$R4242&amp;"|"&amp;$Q4242)</f>
        <v/>
      </c>
      <c r="T4242">
        <f>IF($A4242="","",$S4242&amp;"|"&amp;$F4242)</f>
        <v/>
      </c>
      <c r="U4242">
        <f>IF($A4242="","",$R4242&amp;"("&amp;$E4242&amp;")")</f>
        <v/>
      </c>
      <c r="V4242">
        <f>IF($A4242="","",$F4242&amp;"|"&amp;$U4242&amp;"|"&amp;$D4242)</f>
        <v/>
      </c>
      <c r="W4242">
        <f>IF($T4242="","",IF($X4242&gt;N($X4241),$X4242,""))</f>
        <v/>
      </c>
      <c r="X4242">
        <f>IF($T4242="",N($X4241),IF(MATCH($T4242,$T$6:$T$6005,0)=ROW()-5,N($X4241)+1,N($X4241)))</f>
        <v/>
      </c>
      <c r="Z4242">
        <f>IF($V4242="","",IF($AA4242&gt;N($AA4241),$AA4242,""))</f>
        <v/>
      </c>
      <c r="AA4242">
        <f>IF($V4242="",N($AA4241),IF(MATCH($V4242,$V$6:$V$6005,0)=ROW()-5,N($AA4241)+1,N($AA4241)))</f>
        <v/>
      </c>
    </row>
    <row r="4243" ht="21" customHeight="1" s="66">
      <c r="A4243" s="56" t="n"/>
      <c r="B4243" s="57" t="n"/>
      <c r="C4243" s="57" t="n"/>
      <c r="D4243" s="57" t="n"/>
      <c r="E4243" s="56" t="n"/>
      <c r="F4243" s="57" t="n"/>
      <c r="G4243" s="57" t="n"/>
      <c r="H4243" s="56" t="n"/>
      <c r="I4243" s="56" t="n"/>
      <c r="J4243" s="58" t="n"/>
      <c r="K4243" s="58" t="n"/>
      <c r="L4243" s="13">
        <f>IF(OR($A4243="",AND($J4243="",$K4243="")),"",ROUND(N($J4243)-N($K4243),2))</f>
        <v/>
      </c>
      <c r="M4243" s="13">
        <f>IF(OR($A4243="",AND($J4243="",$K4243="")),"",MIN($J4243,$K4243))</f>
        <v/>
      </c>
      <c r="Q4243">
        <f>IF($A4243="","",$D4243&amp;"("&amp;SUBSTITUTE($E4243," ","")&amp;")")</f>
        <v/>
      </c>
      <c r="R4243">
        <f>IF($A4243="","",$B4243&amp;" - "&amp;$C4243)</f>
        <v/>
      </c>
      <c r="S4243">
        <f>IF($A4243="","",$R4243&amp;"|"&amp;$Q4243)</f>
        <v/>
      </c>
      <c r="T4243">
        <f>IF($A4243="","",$S4243&amp;"|"&amp;$F4243)</f>
        <v/>
      </c>
      <c r="U4243">
        <f>IF($A4243="","",$R4243&amp;"("&amp;$E4243&amp;")")</f>
        <v/>
      </c>
      <c r="V4243">
        <f>IF($A4243="","",$F4243&amp;"|"&amp;$U4243&amp;"|"&amp;$D4243)</f>
        <v/>
      </c>
      <c r="W4243">
        <f>IF($T4243="","",IF($X4243&gt;N($X4242),$X4243,""))</f>
        <v/>
      </c>
      <c r="X4243">
        <f>IF($T4243="",N($X4242),IF(MATCH($T4243,$T$6:$T$6005,0)=ROW()-5,N($X4242)+1,N($X4242)))</f>
        <v/>
      </c>
      <c r="Z4243">
        <f>IF($V4243="","",IF($AA4243&gt;N($AA4242),$AA4243,""))</f>
        <v/>
      </c>
      <c r="AA4243">
        <f>IF($V4243="",N($AA4242),IF(MATCH($V4243,$V$6:$V$6005,0)=ROW()-5,N($AA4242)+1,N($AA4242)))</f>
        <v/>
      </c>
    </row>
    <row r="4244" ht="21" customHeight="1" s="66">
      <c r="A4244" s="56" t="n"/>
      <c r="B4244" s="57" t="n"/>
      <c r="C4244" s="57" t="n"/>
      <c r="D4244" s="57" t="n"/>
      <c r="E4244" s="56" t="n"/>
      <c r="F4244" s="57" t="n"/>
      <c r="G4244" s="57" t="n"/>
      <c r="H4244" s="56" t="n"/>
      <c r="I4244" s="56" t="n"/>
      <c r="J4244" s="58" t="n"/>
      <c r="K4244" s="58" t="n"/>
      <c r="L4244" s="13">
        <f>IF(OR($A4244="",AND($J4244="",$K4244="")),"",ROUND(N($J4244)-N($K4244),2))</f>
        <v/>
      </c>
      <c r="M4244" s="13">
        <f>IF(OR($A4244="",AND($J4244="",$K4244="")),"",MIN($J4244,$K4244))</f>
        <v/>
      </c>
      <c r="Q4244">
        <f>IF($A4244="","",$D4244&amp;"("&amp;SUBSTITUTE($E4244," ","")&amp;")")</f>
        <v/>
      </c>
      <c r="R4244">
        <f>IF($A4244="","",$B4244&amp;" - "&amp;$C4244)</f>
        <v/>
      </c>
      <c r="S4244">
        <f>IF($A4244="","",$R4244&amp;"|"&amp;$Q4244)</f>
        <v/>
      </c>
      <c r="T4244">
        <f>IF($A4244="","",$S4244&amp;"|"&amp;$F4244)</f>
        <v/>
      </c>
      <c r="U4244">
        <f>IF($A4244="","",$R4244&amp;"("&amp;$E4244&amp;")")</f>
        <v/>
      </c>
      <c r="V4244">
        <f>IF($A4244="","",$F4244&amp;"|"&amp;$U4244&amp;"|"&amp;$D4244)</f>
        <v/>
      </c>
      <c r="W4244">
        <f>IF($T4244="","",IF($X4244&gt;N($X4243),$X4244,""))</f>
        <v/>
      </c>
      <c r="X4244">
        <f>IF($T4244="",N($X4243),IF(MATCH($T4244,$T$6:$T$6005,0)=ROW()-5,N($X4243)+1,N($X4243)))</f>
        <v/>
      </c>
      <c r="Z4244">
        <f>IF($V4244="","",IF($AA4244&gt;N($AA4243),$AA4244,""))</f>
        <v/>
      </c>
      <c r="AA4244">
        <f>IF($V4244="",N($AA4243),IF(MATCH($V4244,$V$6:$V$6005,0)=ROW()-5,N($AA4243)+1,N($AA4243)))</f>
        <v/>
      </c>
    </row>
    <row r="4245" ht="21" customHeight="1" s="66">
      <c r="A4245" s="56" t="n"/>
      <c r="B4245" s="57" t="n"/>
      <c r="C4245" s="57" t="n"/>
      <c r="D4245" s="57" t="n"/>
      <c r="E4245" s="56" t="n"/>
      <c r="F4245" s="57" t="n"/>
      <c r="G4245" s="57" t="n"/>
      <c r="H4245" s="56" t="n"/>
      <c r="I4245" s="56" t="n"/>
      <c r="J4245" s="58" t="n"/>
      <c r="K4245" s="58" t="n"/>
      <c r="L4245" s="13">
        <f>IF(OR($A4245="",AND($J4245="",$K4245="")),"",ROUND(N($J4245)-N($K4245),2))</f>
        <v/>
      </c>
      <c r="M4245" s="13">
        <f>IF(OR($A4245="",AND($J4245="",$K4245="")),"",MIN($J4245,$K4245))</f>
        <v/>
      </c>
      <c r="Q4245">
        <f>IF($A4245="","",$D4245&amp;"("&amp;SUBSTITUTE($E4245," ","")&amp;")")</f>
        <v/>
      </c>
      <c r="R4245">
        <f>IF($A4245="","",$B4245&amp;" - "&amp;$C4245)</f>
        <v/>
      </c>
      <c r="S4245">
        <f>IF($A4245="","",$R4245&amp;"|"&amp;$Q4245)</f>
        <v/>
      </c>
      <c r="T4245">
        <f>IF($A4245="","",$S4245&amp;"|"&amp;$F4245)</f>
        <v/>
      </c>
      <c r="U4245">
        <f>IF($A4245="","",$R4245&amp;"("&amp;$E4245&amp;")")</f>
        <v/>
      </c>
      <c r="V4245">
        <f>IF($A4245="","",$F4245&amp;"|"&amp;$U4245&amp;"|"&amp;$D4245)</f>
        <v/>
      </c>
      <c r="W4245">
        <f>IF($T4245="","",IF($X4245&gt;N($X4244),$X4245,""))</f>
        <v/>
      </c>
      <c r="X4245">
        <f>IF($T4245="",N($X4244),IF(MATCH($T4245,$T$6:$T$6005,0)=ROW()-5,N($X4244)+1,N($X4244)))</f>
        <v/>
      </c>
      <c r="Z4245">
        <f>IF($V4245="","",IF($AA4245&gt;N($AA4244),$AA4245,""))</f>
        <v/>
      </c>
      <c r="AA4245">
        <f>IF($V4245="",N($AA4244),IF(MATCH($V4245,$V$6:$V$6005,0)=ROW()-5,N($AA4244)+1,N($AA4244)))</f>
        <v/>
      </c>
    </row>
    <row r="4246" ht="21" customHeight="1" s="66">
      <c r="A4246" s="56" t="n"/>
      <c r="B4246" s="57" t="n"/>
      <c r="C4246" s="57" t="n"/>
      <c r="D4246" s="57" t="n"/>
      <c r="E4246" s="56" t="n"/>
      <c r="F4246" s="57" t="n"/>
      <c r="G4246" s="57" t="n"/>
      <c r="H4246" s="56" t="n"/>
      <c r="I4246" s="56" t="n"/>
      <c r="J4246" s="58" t="n"/>
      <c r="K4246" s="58" t="n"/>
      <c r="L4246" s="13">
        <f>IF(OR($A4246="",AND($J4246="",$K4246="")),"",ROUND(N($J4246)-N($K4246),2))</f>
        <v/>
      </c>
      <c r="M4246" s="13">
        <f>IF(OR($A4246="",AND($J4246="",$K4246="")),"",MIN($J4246,$K4246))</f>
        <v/>
      </c>
      <c r="Q4246">
        <f>IF($A4246="","",$D4246&amp;"("&amp;SUBSTITUTE($E4246," ","")&amp;")")</f>
        <v/>
      </c>
      <c r="R4246">
        <f>IF($A4246="","",$B4246&amp;" - "&amp;$C4246)</f>
        <v/>
      </c>
      <c r="S4246">
        <f>IF($A4246="","",$R4246&amp;"|"&amp;$Q4246)</f>
        <v/>
      </c>
      <c r="T4246">
        <f>IF($A4246="","",$S4246&amp;"|"&amp;$F4246)</f>
        <v/>
      </c>
      <c r="U4246">
        <f>IF($A4246="","",$R4246&amp;"("&amp;$E4246&amp;")")</f>
        <v/>
      </c>
      <c r="V4246">
        <f>IF($A4246="","",$F4246&amp;"|"&amp;$U4246&amp;"|"&amp;$D4246)</f>
        <v/>
      </c>
      <c r="W4246">
        <f>IF($T4246="","",IF($X4246&gt;N($X4245),$X4246,""))</f>
        <v/>
      </c>
      <c r="X4246">
        <f>IF($T4246="",N($X4245),IF(MATCH($T4246,$T$6:$T$6005,0)=ROW()-5,N($X4245)+1,N($X4245)))</f>
        <v/>
      </c>
      <c r="Z4246">
        <f>IF($V4246="","",IF($AA4246&gt;N($AA4245),$AA4246,""))</f>
        <v/>
      </c>
      <c r="AA4246">
        <f>IF($V4246="",N($AA4245),IF(MATCH($V4246,$V$6:$V$6005,0)=ROW()-5,N($AA4245)+1,N($AA4245)))</f>
        <v/>
      </c>
    </row>
    <row r="4247" ht="21" customHeight="1" s="66">
      <c r="A4247" s="56" t="n"/>
      <c r="B4247" s="57" t="n"/>
      <c r="C4247" s="57" t="n"/>
      <c r="D4247" s="57" t="n"/>
      <c r="E4247" s="56" t="n"/>
      <c r="F4247" s="57" t="n"/>
      <c r="G4247" s="57" t="n"/>
      <c r="H4247" s="56" t="n"/>
      <c r="I4247" s="56" t="n"/>
      <c r="J4247" s="58" t="n"/>
      <c r="K4247" s="58" t="n"/>
      <c r="L4247" s="13">
        <f>IF(OR($A4247="",AND($J4247="",$K4247="")),"",ROUND(N($J4247)-N($K4247),2))</f>
        <v/>
      </c>
      <c r="M4247" s="13">
        <f>IF(OR($A4247="",AND($J4247="",$K4247="")),"",MIN($J4247,$K4247))</f>
        <v/>
      </c>
      <c r="Q4247">
        <f>IF($A4247="","",$D4247&amp;"("&amp;SUBSTITUTE($E4247," ","")&amp;")")</f>
        <v/>
      </c>
      <c r="R4247">
        <f>IF($A4247="","",$B4247&amp;" - "&amp;$C4247)</f>
        <v/>
      </c>
      <c r="S4247">
        <f>IF($A4247="","",$R4247&amp;"|"&amp;$Q4247)</f>
        <v/>
      </c>
      <c r="T4247">
        <f>IF($A4247="","",$S4247&amp;"|"&amp;$F4247)</f>
        <v/>
      </c>
      <c r="U4247">
        <f>IF($A4247="","",$R4247&amp;"("&amp;$E4247&amp;")")</f>
        <v/>
      </c>
      <c r="V4247">
        <f>IF($A4247="","",$F4247&amp;"|"&amp;$U4247&amp;"|"&amp;$D4247)</f>
        <v/>
      </c>
      <c r="W4247">
        <f>IF($T4247="","",IF($X4247&gt;N($X4246),$X4247,""))</f>
        <v/>
      </c>
      <c r="X4247">
        <f>IF($T4247="",N($X4246),IF(MATCH($T4247,$T$6:$T$6005,0)=ROW()-5,N($X4246)+1,N($X4246)))</f>
        <v/>
      </c>
      <c r="Z4247">
        <f>IF($V4247="","",IF($AA4247&gt;N($AA4246),$AA4247,""))</f>
        <v/>
      </c>
      <c r="AA4247">
        <f>IF($V4247="",N($AA4246),IF(MATCH($V4247,$V$6:$V$6005,0)=ROW()-5,N($AA4246)+1,N($AA4246)))</f>
        <v/>
      </c>
    </row>
    <row r="4248" ht="21" customHeight="1" s="66">
      <c r="A4248" s="56" t="n"/>
      <c r="B4248" s="57" t="n"/>
      <c r="C4248" s="57" t="n"/>
      <c r="D4248" s="57" t="n"/>
      <c r="E4248" s="56" t="n"/>
      <c r="F4248" s="57" t="n"/>
      <c r="G4248" s="57" t="n"/>
      <c r="H4248" s="56" t="n"/>
      <c r="I4248" s="56" t="n"/>
      <c r="J4248" s="58" t="n"/>
      <c r="K4248" s="58" t="n"/>
      <c r="L4248" s="13">
        <f>IF(OR($A4248="",AND($J4248="",$K4248="")),"",ROUND(N($J4248)-N($K4248),2))</f>
        <v/>
      </c>
      <c r="M4248" s="13">
        <f>IF(OR($A4248="",AND($J4248="",$K4248="")),"",MIN($J4248,$K4248))</f>
        <v/>
      </c>
      <c r="Q4248">
        <f>IF($A4248="","",$D4248&amp;"("&amp;SUBSTITUTE($E4248," ","")&amp;")")</f>
        <v/>
      </c>
      <c r="R4248">
        <f>IF($A4248="","",$B4248&amp;" - "&amp;$C4248)</f>
        <v/>
      </c>
      <c r="S4248">
        <f>IF($A4248="","",$R4248&amp;"|"&amp;$Q4248)</f>
        <v/>
      </c>
      <c r="T4248">
        <f>IF($A4248="","",$S4248&amp;"|"&amp;$F4248)</f>
        <v/>
      </c>
      <c r="U4248">
        <f>IF($A4248="","",$R4248&amp;"("&amp;$E4248&amp;")")</f>
        <v/>
      </c>
      <c r="V4248">
        <f>IF($A4248="","",$F4248&amp;"|"&amp;$U4248&amp;"|"&amp;$D4248)</f>
        <v/>
      </c>
      <c r="W4248">
        <f>IF($T4248="","",IF($X4248&gt;N($X4247),$X4248,""))</f>
        <v/>
      </c>
      <c r="X4248">
        <f>IF($T4248="",N($X4247),IF(MATCH($T4248,$T$6:$T$6005,0)=ROW()-5,N($X4247)+1,N($X4247)))</f>
        <v/>
      </c>
      <c r="Z4248">
        <f>IF($V4248="","",IF($AA4248&gt;N($AA4247),$AA4248,""))</f>
        <v/>
      </c>
      <c r="AA4248">
        <f>IF($V4248="",N($AA4247),IF(MATCH($V4248,$V$6:$V$6005,0)=ROW()-5,N($AA4247)+1,N($AA4247)))</f>
        <v/>
      </c>
    </row>
    <row r="4249" ht="21" customHeight="1" s="66">
      <c r="A4249" s="56" t="n"/>
      <c r="B4249" s="57" t="n"/>
      <c r="C4249" s="57" t="n"/>
      <c r="D4249" s="57" t="n"/>
      <c r="E4249" s="56" t="n"/>
      <c r="F4249" s="57" t="n"/>
      <c r="G4249" s="57" t="n"/>
      <c r="H4249" s="56" t="n"/>
      <c r="I4249" s="56" t="n"/>
      <c r="J4249" s="58" t="n"/>
      <c r="K4249" s="58" t="n"/>
      <c r="L4249" s="13">
        <f>IF(OR($A4249="",AND($J4249="",$K4249="")),"",ROUND(N($J4249)-N($K4249),2))</f>
        <v/>
      </c>
      <c r="M4249" s="13">
        <f>IF(OR($A4249="",AND($J4249="",$K4249="")),"",MIN($J4249,$K4249))</f>
        <v/>
      </c>
      <c r="Q4249">
        <f>IF($A4249="","",$D4249&amp;"("&amp;SUBSTITUTE($E4249," ","")&amp;")")</f>
        <v/>
      </c>
      <c r="R4249">
        <f>IF($A4249="","",$B4249&amp;" - "&amp;$C4249)</f>
        <v/>
      </c>
      <c r="S4249">
        <f>IF($A4249="","",$R4249&amp;"|"&amp;$Q4249)</f>
        <v/>
      </c>
      <c r="T4249">
        <f>IF($A4249="","",$S4249&amp;"|"&amp;$F4249)</f>
        <v/>
      </c>
      <c r="U4249">
        <f>IF($A4249="","",$R4249&amp;"("&amp;$E4249&amp;")")</f>
        <v/>
      </c>
      <c r="V4249">
        <f>IF($A4249="","",$F4249&amp;"|"&amp;$U4249&amp;"|"&amp;$D4249)</f>
        <v/>
      </c>
      <c r="W4249">
        <f>IF($T4249="","",IF($X4249&gt;N($X4248),$X4249,""))</f>
        <v/>
      </c>
      <c r="X4249">
        <f>IF($T4249="",N($X4248),IF(MATCH($T4249,$T$6:$T$6005,0)=ROW()-5,N($X4248)+1,N($X4248)))</f>
        <v/>
      </c>
      <c r="Z4249">
        <f>IF($V4249="","",IF($AA4249&gt;N($AA4248),$AA4249,""))</f>
        <v/>
      </c>
      <c r="AA4249">
        <f>IF($V4249="",N($AA4248),IF(MATCH($V4249,$V$6:$V$6005,0)=ROW()-5,N($AA4248)+1,N($AA4248)))</f>
        <v/>
      </c>
    </row>
    <row r="4250" ht="21" customHeight="1" s="66">
      <c r="A4250" s="56" t="n"/>
      <c r="B4250" s="57" t="n"/>
      <c r="C4250" s="57" t="n"/>
      <c r="D4250" s="57" t="n"/>
      <c r="E4250" s="56" t="n"/>
      <c r="F4250" s="57" t="n"/>
      <c r="G4250" s="57" t="n"/>
      <c r="H4250" s="56" t="n"/>
      <c r="I4250" s="56" t="n"/>
      <c r="J4250" s="58" t="n"/>
      <c r="K4250" s="58" t="n"/>
      <c r="L4250" s="13">
        <f>IF(OR($A4250="",AND($J4250="",$K4250="")),"",ROUND(N($J4250)-N($K4250),2))</f>
        <v/>
      </c>
      <c r="M4250" s="13">
        <f>IF(OR($A4250="",AND($J4250="",$K4250="")),"",MIN($J4250,$K4250))</f>
        <v/>
      </c>
      <c r="Q4250">
        <f>IF($A4250="","",$D4250&amp;"("&amp;SUBSTITUTE($E4250," ","")&amp;")")</f>
        <v/>
      </c>
      <c r="R4250">
        <f>IF($A4250="","",$B4250&amp;" - "&amp;$C4250)</f>
        <v/>
      </c>
      <c r="S4250">
        <f>IF($A4250="","",$R4250&amp;"|"&amp;$Q4250)</f>
        <v/>
      </c>
      <c r="T4250">
        <f>IF($A4250="","",$S4250&amp;"|"&amp;$F4250)</f>
        <v/>
      </c>
      <c r="U4250">
        <f>IF($A4250="","",$R4250&amp;"("&amp;$E4250&amp;")")</f>
        <v/>
      </c>
      <c r="V4250">
        <f>IF($A4250="","",$F4250&amp;"|"&amp;$U4250&amp;"|"&amp;$D4250)</f>
        <v/>
      </c>
      <c r="W4250">
        <f>IF($T4250="","",IF($X4250&gt;N($X4249),$X4250,""))</f>
        <v/>
      </c>
      <c r="X4250">
        <f>IF($T4250="",N($X4249),IF(MATCH($T4250,$T$6:$T$6005,0)=ROW()-5,N($X4249)+1,N($X4249)))</f>
        <v/>
      </c>
      <c r="Z4250">
        <f>IF($V4250="","",IF($AA4250&gt;N($AA4249),$AA4250,""))</f>
        <v/>
      </c>
      <c r="AA4250">
        <f>IF($V4250="",N($AA4249),IF(MATCH($V4250,$V$6:$V$6005,0)=ROW()-5,N($AA4249)+1,N($AA4249)))</f>
        <v/>
      </c>
    </row>
    <row r="4251" ht="21" customHeight="1" s="66">
      <c r="A4251" s="56" t="n"/>
      <c r="B4251" s="57" t="n"/>
      <c r="C4251" s="57" t="n"/>
      <c r="D4251" s="57" t="n"/>
      <c r="E4251" s="56" t="n"/>
      <c r="F4251" s="57" t="n"/>
      <c r="G4251" s="57" t="n"/>
      <c r="H4251" s="56" t="n"/>
      <c r="I4251" s="56" t="n"/>
      <c r="J4251" s="58" t="n"/>
      <c r="K4251" s="58" t="n"/>
      <c r="L4251" s="13">
        <f>IF(OR($A4251="",AND($J4251="",$K4251="")),"",ROUND(N($J4251)-N($K4251),2))</f>
        <v/>
      </c>
      <c r="M4251" s="13">
        <f>IF(OR($A4251="",AND($J4251="",$K4251="")),"",MIN($J4251,$K4251))</f>
        <v/>
      </c>
      <c r="Q4251">
        <f>IF($A4251="","",$D4251&amp;"("&amp;SUBSTITUTE($E4251," ","")&amp;")")</f>
        <v/>
      </c>
      <c r="R4251">
        <f>IF($A4251="","",$B4251&amp;" - "&amp;$C4251)</f>
        <v/>
      </c>
      <c r="S4251">
        <f>IF($A4251="","",$R4251&amp;"|"&amp;$Q4251)</f>
        <v/>
      </c>
      <c r="T4251">
        <f>IF($A4251="","",$S4251&amp;"|"&amp;$F4251)</f>
        <v/>
      </c>
      <c r="U4251">
        <f>IF($A4251="","",$R4251&amp;"("&amp;$E4251&amp;")")</f>
        <v/>
      </c>
      <c r="V4251">
        <f>IF($A4251="","",$F4251&amp;"|"&amp;$U4251&amp;"|"&amp;$D4251)</f>
        <v/>
      </c>
      <c r="W4251">
        <f>IF($T4251="","",IF($X4251&gt;N($X4250),$X4251,""))</f>
        <v/>
      </c>
      <c r="X4251">
        <f>IF($T4251="",N($X4250),IF(MATCH($T4251,$T$6:$T$6005,0)=ROW()-5,N($X4250)+1,N($X4250)))</f>
        <v/>
      </c>
      <c r="Z4251">
        <f>IF($V4251="","",IF($AA4251&gt;N($AA4250),$AA4251,""))</f>
        <v/>
      </c>
      <c r="AA4251">
        <f>IF($V4251="",N($AA4250),IF(MATCH($V4251,$V$6:$V$6005,0)=ROW()-5,N($AA4250)+1,N($AA4250)))</f>
        <v/>
      </c>
    </row>
    <row r="4252" ht="21" customHeight="1" s="66">
      <c r="A4252" s="56" t="n"/>
      <c r="B4252" s="57" t="n"/>
      <c r="C4252" s="57" t="n"/>
      <c r="D4252" s="57" t="n"/>
      <c r="E4252" s="56" t="n"/>
      <c r="F4252" s="57" t="n"/>
      <c r="G4252" s="57" t="n"/>
      <c r="H4252" s="56" t="n"/>
      <c r="I4252" s="56" t="n"/>
      <c r="J4252" s="58" t="n"/>
      <c r="K4252" s="58" t="n"/>
      <c r="L4252" s="13">
        <f>IF(OR($A4252="",AND($J4252="",$K4252="")),"",ROUND(N($J4252)-N($K4252),2))</f>
        <v/>
      </c>
      <c r="M4252" s="13">
        <f>IF(OR($A4252="",AND($J4252="",$K4252="")),"",MIN($J4252,$K4252))</f>
        <v/>
      </c>
      <c r="Q4252">
        <f>IF($A4252="","",$D4252&amp;"("&amp;SUBSTITUTE($E4252," ","")&amp;")")</f>
        <v/>
      </c>
      <c r="R4252">
        <f>IF($A4252="","",$B4252&amp;" - "&amp;$C4252)</f>
        <v/>
      </c>
      <c r="S4252">
        <f>IF($A4252="","",$R4252&amp;"|"&amp;$Q4252)</f>
        <v/>
      </c>
      <c r="T4252">
        <f>IF($A4252="","",$S4252&amp;"|"&amp;$F4252)</f>
        <v/>
      </c>
      <c r="U4252">
        <f>IF($A4252="","",$R4252&amp;"("&amp;$E4252&amp;")")</f>
        <v/>
      </c>
      <c r="V4252">
        <f>IF($A4252="","",$F4252&amp;"|"&amp;$U4252&amp;"|"&amp;$D4252)</f>
        <v/>
      </c>
      <c r="W4252">
        <f>IF($T4252="","",IF($X4252&gt;N($X4251),$X4252,""))</f>
        <v/>
      </c>
      <c r="X4252">
        <f>IF($T4252="",N($X4251),IF(MATCH($T4252,$T$6:$T$6005,0)=ROW()-5,N($X4251)+1,N($X4251)))</f>
        <v/>
      </c>
      <c r="Z4252">
        <f>IF($V4252="","",IF($AA4252&gt;N($AA4251),$AA4252,""))</f>
        <v/>
      </c>
      <c r="AA4252">
        <f>IF($V4252="",N($AA4251),IF(MATCH($V4252,$V$6:$V$6005,0)=ROW()-5,N($AA4251)+1,N($AA4251)))</f>
        <v/>
      </c>
    </row>
    <row r="4253" ht="21" customHeight="1" s="66">
      <c r="A4253" s="56" t="n"/>
      <c r="B4253" s="57" t="n"/>
      <c r="C4253" s="57" t="n"/>
      <c r="D4253" s="57" t="n"/>
      <c r="E4253" s="56" t="n"/>
      <c r="F4253" s="57" t="n"/>
      <c r="G4253" s="57" t="n"/>
      <c r="H4253" s="56" t="n"/>
      <c r="I4253" s="56" t="n"/>
      <c r="J4253" s="58" t="n"/>
      <c r="K4253" s="58" t="n"/>
      <c r="L4253" s="13">
        <f>IF(OR($A4253="",AND($J4253="",$K4253="")),"",ROUND(N($J4253)-N($K4253),2))</f>
        <v/>
      </c>
      <c r="M4253" s="13">
        <f>IF(OR($A4253="",AND($J4253="",$K4253="")),"",MIN($J4253,$K4253))</f>
        <v/>
      </c>
      <c r="Q4253">
        <f>IF($A4253="","",$D4253&amp;"("&amp;SUBSTITUTE($E4253," ","")&amp;")")</f>
        <v/>
      </c>
      <c r="R4253">
        <f>IF($A4253="","",$B4253&amp;" - "&amp;$C4253)</f>
        <v/>
      </c>
      <c r="S4253">
        <f>IF($A4253="","",$R4253&amp;"|"&amp;$Q4253)</f>
        <v/>
      </c>
      <c r="T4253">
        <f>IF($A4253="","",$S4253&amp;"|"&amp;$F4253)</f>
        <v/>
      </c>
      <c r="U4253">
        <f>IF($A4253="","",$R4253&amp;"("&amp;$E4253&amp;")")</f>
        <v/>
      </c>
      <c r="V4253">
        <f>IF($A4253="","",$F4253&amp;"|"&amp;$U4253&amp;"|"&amp;$D4253)</f>
        <v/>
      </c>
      <c r="W4253">
        <f>IF($T4253="","",IF($X4253&gt;N($X4252),$X4253,""))</f>
        <v/>
      </c>
      <c r="X4253">
        <f>IF($T4253="",N($X4252),IF(MATCH($T4253,$T$6:$T$6005,0)=ROW()-5,N($X4252)+1,N($X4252)))</f>
        <v/>
      </c>
      <c r="Z4253">
        <f>IF($V4253="","",IF($AA4253&gt;N($AA4252),$AA4253,""))</f>
        <v/>
      </c>
      <c r="AA4253">
        <f>IF($V4253="",N($AA4252),IF(MATCH($V4253,$V$6:$V$6005,0)=ROW()-5,N($AA4252)+1,N($AA4252)))</f>
        <v/>
      </c>
    </row>
    <row r="4254" ht="21" customHeight="1" s="66">
      <c r="A4254" s="56" t="n"/>
      <c r="B4254" s="57" t="n"/>
      <c r="C4254" s="57" t="n"/>
      <c r="D4254" s="57" t="n"/>
      <c r="E4254" s="56" t="n"/>
      <c r="F4254" s="57" t="n"/>
      <c r="G4254" s="57" t="n"/>
      <c r="H4254" s="56" t="n"/>
      <c r="I4254" s="56" t="n"/>
      <c r="J4254" s="58" t="n"/>
      <c r="K4254" s="58" t="n"/>
      <c r="L4254" s="13">
        <f>IF(OR($A4254="",AND($J4254="",$K4254="")),"",ROUND(N($J4254)-N($K4254),2))</f>
        <v/>
      </c>
      <c r="M4254" s="13">
        <f>IF(OR($A4254="",AND($J4254="",$K4254="")),"",MIN($J4254,$K4254))</f>
        <v/>
      </c>
      <c r="Q4254">
        <f>IF($A4254="","",$D4254&amp;"("&amp;SUBSTITUTE($E4254," ","")&amp;")")</f>
        <v/>
      </c>
      <c r="R4254">
        <f>IF($A4254="","",$B4254&amp;" - "&amp;$C4254)</f>
        <v/>
      </c>
      <c r="S4254">
        <f>IF($A4254="","",$R4254&amp;"|"&amp;$Q4254)</f>
        <v/>
      </c>
      <c r="T4254">
        <f>IF($A4254="","",$S4254&amp;"|"&amp;$F4254)</f>
        <v/>
      </c>
      <c r="U4254">
        <f>IF($A4254="","",$R4254&amp;"("&amp;$E4254&amp;")")</f>
        <v/>
      </c>
      <c r="V4254">
        <f>IF($A4254="","",$F4254&amp;"|"&amp;$U4254&amp;"|"&amp;$D4254)</f>
        <v/>
      </c>
      <c r="W4254">
        <f>IF($T4254="","",IF($X4254&gt;N($X4253),$X4254,""))</f>
        <v/>
      </c>
      <c r="X4254">
        <f>IF($T4254="",N($X4253),IF(MATCH($T4254,$T$6:$T$6005,0)=ROW()-5,N($X4253)+1,N($X4253)))</f>
        <v/>
      </c>
      <c r="Z4254">
        <f>IF($V4254="","",IF($AA4254&gt;N($AA4253),$AA4254,""))</f>
        <v/>
      </c>
      <c r="AA4254">
        <f>IF($V4254="",N($AA4253),IF(MATCH($V4254,$V$6:$V$6005,0)=ROW()-5,N($AA4253)+1,N($AA4253)))</f>
        <v/>
      </c>
    </row>
    <row r="4255" ht="21" customHeight="1" s="66">
      <c r="A4255" s="56" t="n"/>
      <c r="B4255" s="57" t="n"/>
      <c r="C4255" s="57" t="n"/>
      <c r="D4255" s="57" t="n"/>
      <c r="E4255" s="56" t="n"/>
      <c r="F4255" s="57" t="n"/>
      <c r="G4255" s="57" t="n"/>
      <c r="H4255" s="56" t="n"/>
      <c r="I4255" s="56" t="n"/>
      <c r="J4255" s="58" t="n"/>
      <c r="K4255" s="58" t="n"/>
      <c r="L4255" s="13">
        <f>IF(OR($A4255="",AND($J4255="",$K4255="")),"",ROUND(N($J4255)-N($K4255),2))</f>
        <v/>
      </c>
      <c r="M4255" s="13">
        <f>IF(OR($A4255="",AND($J4255="",$K4255="")),"",MIN($J4255,$K4255))</f>
        <v/>
      </c>
      <c r="Q4255">
        <f>IF($A4255="","",$D4255&amp;"("&amp;SUBSTITUTE($E4255," ","")&amp;")")</f>
        <v/>
      </c>
      <c r="R4255">
        <f>IF($A4255="","",$B4255&amp;" - "&amp;$C4255)</f>
        <v/>
      </c>
      <c r="S4255">
        <f>IF($A4255="","",$R4255&amp;"|"&amp;$Q4255)</f>
        <v/>
      </c>
      <c r="T4255">
        <f>IF($A4255="","",$S4255&amp;"|"&amp;$F4255)</f>
        <v/>
      </c>
      <c r="U4255">
        <f>IF($A4255="","",$R4255&amp;"("&amp;$E4255&amp;")")</f>
        <v/>
      </c>
      <c r="V4255">
        <f>IF($A4255="","",$F4255&amp;"|"&amp;$U4255&amp;"|"&amp;$D4255)</f>
        <v/>
      </c>
      <c r="W4255">
        <f>IF($T4255="","",IF($X4255&gt;N($X4254),$X4255,""))</f>
        <v/>
      </c>
      <c r="X4255">
        <f>IF($T4255="",N($X4254),IF(MATCH($T4255,$T$6:$T$6005,0)=ROW()-5,N($X4254)+1,N($X4254)))</f>
        <v/>
      </c>
      <c r="Z4255">
        <f>IF($V4255="","",IF($AA4255&gt;N($AA4254),$AA4255,""))</f>
        <v/>
      </c>
      <c r="AA4255">
        <f>IF($V4255="",N($AA4254),IF(MATCH($V4255,$V$6:$V$6005,0)=ROW()-5,N($AA4254)+1,N($AA4254)))</f>
        <v/>
      </c>
    </row>
    <row r="4256" ht="21" customHeight="1" s="66">
      <c r="A4256" s="56" t="n"/>
      <c r="B4256" s="57" t="n"/>
      <c r="C4256" s="57" t="n"/>
      <c r="D4256" s="57" t="n"/>
      <c r="E4256" s="56" t="n"/>
      <c r="F4256" s="57" t="n"/>
      <c r="G4256" s="57" t="n"/>
      <c r="H4256" s="56" t="n"/>
      <c r="I4256" s="56" t="n"/>
      <c r="J4256" s="58" t="n"/>
      <c r="K4256" s="58" t="n"/>
      <c r="L4256" s="13">
        <f>IF(OR($A4256="",AND($J4256="",$K4256="")),"",ROUND(N($J4256)-N($K4256),2))</f>
        <v/>
      </c>
      <c r="M4256" s="13">
        <f>IF(OR($A4256="",AND($J4256="",$K4256="")),"",MIN($J4256,$K4256))</f>
        <v/>
      </c>
      <c r="Q4256">
        <f>IF($A4256="","",$D4256&amp;"("&amp;SUBSTITUTE($E4256," ","")&amp;")")</f>
        <v/>
      </c>
      <c r="R4256">
        <f>IF($A4256="","",$B4256&amp;" - "&amp;$C4256)</f>
        <v/>
      </c>
      <c r="S4256">
        <f>IF($A4256="","",$R4256&amp;"|"&amp;$Q4256)</f>
        <v/>
      </c>
      <c r="T4256">
        <f>IF($A4256="","",$S4256&amp;"|"&amp;$F4256)</f>
        <v/>
      </c>
      <c r="U4256">
        <f>IF($A4256="","",$R4256&amp;"("&amp;$E4256&amp;")")</f>
        <v/>
      </c>
      <c r="V4256">
        <f>IF($A4256="","",$F4256&amp;"|"&amp;$U4256&amp;"|"&amp;$D4256)</f>
        <v/>
      </c>
      <c r="W4256">
        <f>IF($T4256="","",IF($X4256&gt;N($X4255),$X4256,""))</f>
        <v/>
      </c>
      <c r="X4256">
        <f>IF($T4256="",N($X4255),IF(MATCH($T4256,$T$6:$T$6005,0)=ROW()-5,N($X4255)+1,N($X4255)))</f>
        <v/>
      </c>
      <c r="Z4256">
        <f>IF($V4256="","",IF($AA4256&gt;N($AA4255),$AA4256,""))</f>
        <v/>
      </c>
      <c r="AA4256">
        <f>IF($V4256="",N($AA4255),IF(MATCH($V4256,$V$6:$V$6005,0)=ROW()-5,N($AA4255)+1,N($AA4255)))</f>
        <v/>
      </c>
    </row>
    <row r="4257" ht="21" customHeight="1" s="66">
      <c r="A4257" s="56" t="n"/>
      <c r="B4257" s="57" t="n"/>
      <c r="C4257" s="57" t="n"/>
      <c r="D4257" s="57" t="n"/>
      <c r="E4257" s="56" t="n"/>
      <c r="F4257" s="57" t="n"/>
      <c r="G4257" s="57" t="n"/>
      <c r="H4257" s="56" t="n"/>
      <c r="I4257" s="56" t="n"/>
      <c r="J4257" s="58" t="n"/>
      <c r="K4257" s="58" t="n"/>
      <c r="L4257" s="13">
        <f>IF(OR($A4257="",AND($J4257="",$K4257="")),"",ROUND(N($J4257)-N($K4257),2))</f>
        <v/>
      </c>
      <c r="M4257" s="13">
        <f>IF(OR($A4257="",AND($J4257="",$K4257="")),"",MIN($J4257,$K4257))</f>
        <v/>
      </c>
      <c r="Q4257">
        <f>IF($A4257="","",$D4257&amp;"("&amp;SUBSTITUTE($E4257," ","")&amp;")")</f>
        <v/>
      </c>
      <c r="R4257">
        <f>IF($A4257="","",$B4257&amp;" - "&amp;$C4257)</f>
        <v/>
      </c>
      <c r="S4257">
        <f>IF($A4257="","",$R4257&amp;"|"&amp;$Q4257)</f>
        <v/>
      </c>
      <c r="T4257">
        <f>IF($A4257="","",$S4257&amp;"|"&amp;$F4257)</f>
        <v/>
      </c>
      <c r="U4257">
        <f>IF($A4257="","",$R4257&amp;"("&amp;$E4257&amp;")")</f>
        <v/>
      </c>
      <c r="V4257">
        <f>IF($A4257="","",$F4257&amp;"|"&amp;$U4257&amp;"|"&amp;$D4257)</f>
        <v/>
      </c>
      <c r="W4257">
        <f>IF($T4257="","",IF($X4257&gt;N($X4256),$X4257,""))</f>
        <v/>
      </c>
      <c r="X4257">
        <f>IF($T4257="",N($X4256),IF(MATCH($T4257,$T$6:$T$6005,0)=ROW()-5,N($X4256)+1,N($X4256)))</f>
        <v/>
      </c>
      <c r="Z4257">
        <f>IF($V4257="","",IF($AA4257&gt;N($AA4256),$AA4257,""))</f>
        <v/>
      </c>
      <c r="AA4257">
        <f>IF($V4257="",N($AA4256),IF(MATCH($V4257,$V$6:$V$6005,0)=ROW()-5,N($AA4256)+1,N($AA4256)))</f>
        <v/>
      </c>
    </row>
    <row r="4258" ht="21" customHeight="1" s="66">
      <c r="A4258" s="56" t="n"/>
      <c r="B4258" s="57" t="n"/>
      <c r="C4258" s="57" t="n"/>
      <c r="D4258" s="57" t="n"/>
      <c r="E4258" s="56" t="n"/>
      <c r="F4258" s="57" t="n"/>
      <c r="G4258" s="57" t="n"/>
      <c r="H4258" s="56" t="n"/>
      <c r="I4258" s="56" t="n"/>
      <c r="J4258" s="58" t="n"/>
      <c r="K4258" s="58" t="n"/>
      <c r="L4258" s="13">
        <f>IF(OR($A4258="",AND($J4258="",$K4258="")),"",ROUND(N($J4258)-N($K4258),2))</f>
        <v/>
      </c>
      <c r="M4258" s="13">
        <f>IF(OR($A4258="",AND($J4258="",$K4258="")),"",MIN($J4258,$K4258))</f>
        <v/>
      </c>
      <c r="Q4258">
        <f>IF($A4258="","",$D4258&amp;"("&amp;SUBSTITUTE($E4258," ","")&amp;")")</f>
        <v/>
      </c>
      <c r="R4258">
        <f>IF($A4258="","",$B4258&amp;" - "&amp;$C4258)</f>
        <v/>
      </c>
      <c r="S4258">
        <f>IF($A4258="","",$R4258&amp;"|"&amp;$Q4258)</f>
        <v/>
      </c>
      <c r="T4258">
        <f>IF($A4258="","",$S4258&amp;"|"&amp;$F4258)</f>
        <v/>
      </c>
      <c r="U4258">
        <f>IF($A4258="","",$R4258&amp;"("&amp;$E4258&amp;")")</f>
        <v/>
      </c>
      <c r="V4258">
        <f>IF($A4258="","",$F4258&amp;"|"&amp;$U4258&amp;"|"&amp;$D4258)</f>
        <v/>
      </c>
      <c r="W4258">
        <f>IF($T4258="","",IF($X4258&gt;N($X4257),$X4258,""))</f>
        <v/>
      </c>
      <c r="X4258">
        <f>IF($T4258="",N($X4257),IF(MATCH($T4258,$T$6:$T$6005,0)=ROW()-5,N($X4257)+1,N($X4257)))</f>
        <v/>
      </c>
      <c r="Z4258">
        <f>IF($V4258="","",IF($AA4258&gt;N($AA4257),$AA4258,""))</f>
        <v/>
      </c>
      <c r="AA4258">
        <f>IF($V4258="",N($AA4257),IF(MATCH($V4258,$V$6:$V$6005,0)=ROW()-5,N($AA4257)+1,N($AA4257)))</f>
        <v/>
      </c>
    </row>
    <row r="4259" ht="21" customHeight="1" s="66">
      <c r="A4259" s="56" t="n"/>
      <c r="B4259" s="57" t="n"/>
      <c r="C4259" s="57" t="n"/>
      <c r="D4259" s="57" t="n"/>
      <c r="E4259" s="56" t="n"/>
      <c r="F4259" s="57" t="n"/>
      <c r="G4259" s="57" t="n"/>
      <c r="H4259" s="56" t="n"/>
      <c r="I4259" s="56" t="n"/>
      <c r="J4259" s="58" t="n"/>
      <c r="K4259" s="58" t="n"/>
      <c r="L4259" s="13">
        <f>IF(OR($A4259="",AND($J4259="",$K4259="")),"",ROUND(N($J4259)-N($K4259),2))</f>
        <v/>
      </c>
      <c r="M4259" s="13">
        <f>IF(OR($A4259="",AND($J4259="",$K4259="")),"",MIN($J4259,$K4259))</f>
        <v/>
      </c>
      <c r="Q4259">
        <f>IF($A4259="","",$D4259&amp;"("&amp;SUBSTITUTE($E4259," ","")&amp;")")</f>
        <v/>
      </c>
      <c r="R4259">
        <f>IF($A4259="","",$B4259&amp;" - "&amp;$C4259)</f>
        <v/>
      </c>
      <c r="S4259">
        <f>IF($A4259="","",$R4259&amp;"|"&amp;$Q4259)</f>
        <v/>
      </c>
      <c r="T4259">
        <f>IF($A4259="","",$S4259&amp;"|"&amp;$F4259)</f>
        <v/>
      </c>
      <c r="U4259">
        <f>IF($A4259="","",$R4259&amp;"("&amp;$E4259&amp;")")</f>
        <v/>
      </c>
      <c r="V4259">
        <f>IF($A4259="","",$F4259&amp;"|"&amp;$U4259&amp;"|"&amp;$D4259)</f>
        <v/>
      </c>
      <c r="W4259">
        <f>IF($T4259="","",IF($X4259&gt;N($X4258),$X4259,""))</f>
        <v/>
      </c>
      <c r="X4259">
        <f>IF($T4259="",N($X4258),IF(MATCH($T4259,$T$6:$T$6005,0)=ROW()-5,N($X4258)+1,N($X4258)))</f>
        <v/>
      </c>
      <c r="Z4259">
        <f>IF($V4259="","",IF($AA4259&gt;N($AA4258),$AA4259,""))</f>
        <v/>
      </c>
      <c r="AA4259">
        <f>IF($V4259="",N($AA4258),IF(MATCH($V4259,$V$6:$V$6005,0)=ROW()-5,N($AA4258)+1,N($AA4258)))</f>
        <v/>
      </c>
    </row>
    <row r="4260" ht="21" customHeight="1" s="66">
      <c r="A4260" s="56" t="n"/>
      <c r="B4260" s="57" t="n"/>
      <c r="C4260" s="57" t="n"/>
      <c r="D4260" s="57" t="n"/>
      <c r="E4260" s="56" t="n"/>
      <c r="F4260" s="57" t="n"/>
      <c r="G4260" s="57" t="n"/>
      <c r="H4260" s="56" t="n"/>
      <c r="I4260" s="56" t="n"/>
      <c r="J4260" s="58" t="n"/>
      <c r="K4260" s="58" t="n"/>
      <c r="L4260" s="13">
        <f>IF(OR($A4260="",AND($J4260="",$K4260="")),"",ROUND(N($J4260)-N($K4260),2))</f>
        <v/>
      </c>
      <c r="M4260" s="13">
        <f>IF(OR($A4260="",AND($J4260="",$K4260="")),"",MIN($J4260,$K4260))</f>
        <v/>
      </c>
      <c r="Q4260">
        <f>IF($A4260="","",$D4260&amp;"("&amp;SUBSTITUTE($E4260," ","")&amp;")")</f>
        <v/>
      </c>
      <c r="R4260">
        <f>IF($A4260="","",$B4260&amp;" - "&amp;$C4260)</f>
        <v/>
      </c>
      <c r="S4260">
        <f>IF($A4260="","",$R4260&amp;"|"&amp;$Q4260)</f>
        <v/>
      </c>
      <c r="T4260">
        <f>IF($A4260="","",$S4260&amp;"|"&amp;$F4260)</f>
        <v/>
      </c>
      <c r="U4260">
        <f>IF($A4260="","",$R4260&amp;"("&amp;$E4260&amp;")")</f>
        <v/>
      </c>
      <c r="V4260">
        <f>IF($A4260="","",$F4260&amp;"|"&amp;$U4260&amp;"|"&amp;$D4260)</f>
        <v/>
      </c>
      <c r="W4260">
        <f>IF($T4260="","",IF($X4260&gt;N($X4259),$X4260,""))</f>
        <v/>
      </c>
      <c r="X4260">
        <f>IF($T4260="",N($X4259),IF(MATCH($T4260,$T$6:$T$6005,0)=ROW()-5,N($X4259)+1,N($X4259)))</f>
        <v/>
      </c>
      <c r="Z4260">
        <f>IF($V4260="","",IF($AA4260&gt;N($AA4259),$AA4260,""))</f>
        <v/>
      </c>
      <c r="AA4260">
        <f>IF($V4260="",N($AA4259),IF(MATCH($V4260,$V$6:$V$6005,0)=ROW()-5,N($AA4259)+1,N($AA4259)))</f>
        <v/>
      </c>
    </row>
    <row r="4261" ht="21" customHeight="1" s="66">
      <c r="A4261" s="56" t="n"/>
      <c r="B4261" s="57" t="n"/>
      <c r="C4261" s="57" t="n"/>
      <c r="D4261" s="57" t="n"/>
      <c r="E4261" s="56" t="n"/>
      <c r="F4261" s="57" t="n"/>
      <c r="G4261" s="57" t="n"/>
      <c r="H4261" s="56" t="n"/>
      <c r="I4261" s="56" t="n"/>
      <c r="J4261" s="58" t="n"/>
      <c r="K4261" s="58" t="n"/>
      <c r="L4261" s="13">
        <f>IF(OR($A4261="",AND($J4261="",$K4261="")),"",ROUND(N($J4261)-N($K4261),2))</f>
        <v/>
      </c>
      <c r="M4261" s="13">
        <f>IF(OR($A4261="",AND($J4261="",$K4261="")),"",MIN($J4261,$K4261))</f>
        <v/>
      </c>
      <c r="Q4261">
        <f>IF($A4261="","",$D4261&amp;"("&amp;SUBSTITUTE($E4261," ","")&amp;")")</f>
        <v/>
      </c>
      <c r="R4261">
        <f>IF($A4261="","",$B4261&amp;" - "&amp;$C4261)</f>
        <v/>
      </c>
      <c r="S4261">
        <f>IF($A4261="","",$R4261&amp;"|"&amp;$Q4261)</f>
        <v/>
      </c>
      <c r="T4261">
        <f>IF($A4261="","",$S4261&amp;"|"&amp;$F4261)</f>
        <v/>
      </c>
      <c r="U4261">
        <f>IF($A4261="","",$R4261&amp;"("&amp;$E4261&amp;")")</f>
        <v/>
      </c>
      <c r="V4261">
        <f>IF($A4261="","",$F4261&amp;"|"&amp;$U4261&amp;"|"&amp;$D4261)</f>
        <v/>
      </c>
      <c r="W4261">
        <f>IF($T4261="","",IF($X4261&gt;N($X4260),$X4261,""))</f>
        <v/>
      </c>
      <c r="X4261">
        <f>IF($T4261="",N($X4260),IF(MATCH($T4261,$T$6:$T$6005,0)=ROW()-5,N($X4260)+1,N($X4260)))</f>
        <v/>
      </c>
      <c r="Z4261">
        <f>IF($V4261="","",IF($AA4261&gt;N($AA4260),$AA4261,""))</f>
        <v/>
      </c>
      <c r="AA4261">
        <f>IF($V4261="",N($AA4260),IF(MATCH($V4261,$V$6:$V$6005,0)=ROW()-5,N($AA4260)+1,N($AA4260)))</f>
        <v/>
      </c>
    </row>
    <row r="4262" ht="21" customHeight="1" s="66">
      <c r="A4262" s="56" t="n"/>
      <c r="B4262" s="57" t="n"/>
      <c r="C4262" s="57" t="n"/>
      <c r="D4262" s="57" t="n"/>
      <c r="E4262" s="56" t="n"/>
      <c r="F4262" s="57" t="n"/>
      <c r="G4262" s="57" t="n"/>
      <c r="H4262" s="56" t="n"/>
      <c r="I4262" s="56" t="n"/>
      <c r="J4262" s="58" t="n"/>
      <c r="K4262" s="58" t="n"/>
      <c r="L4262" s="13">
        <f>IF(OR($A4262="",AND($J4262="",$K4262="")),"",ROUND(N($J4262)-N($K4262),2))</f>
        <v/>
      </c>
      <c r="M4262" s="13">
        <f>IF(OR($A4262="",AND($J4262="",$K4262="")),"",MIN($J4262,$K4262))</f>
        <v/>
      </c>
      <c r="Q4262">
        <f>IF($A4262="","",$D4262&amp;"("&amp;SUBSTITUTE($E4262," ","")&amp;")")</f>
        <v/>
      </c>
      <c r="R4262">
        <f>IF($A4262="","",$B4262&amp;" - "&amp;$C4262)</f>
        <v/>
      </c>
      <c r="S4262">
        <f>IF($A4262="","",$R4262&amp;"|"&amp;$Q4262)</f>
        <v/>
      </c>
      <c r="T4262">
        <f>IF($A4262="","",$S4262&amp;"|"&amp;$F4262)</f>
        <v/>
      </c>
      <c r="U4262">
        <f>IF($A4262="","",$R4262&amp;"("&amp;$E4262&amp;")")</f>
        <v/>
      </c>
      <c r="V4262">
        <f>IF($A4262="","",$F4262&amp;"|"&amp;$U4262&amp;"|"&amp;$D4262)</f>
        <v/>
      </c>
      <c r="W4262">
        <f>IF($T4262="","",IF($X4262&gt;N($X4261),$X4262,""))</f>
        <v/>
      </c>
      <c r="X4262">
        <f>IF($T4262="",N($X4261),IF(MATCH($T4262,$T$6:$T$6005,0)=ROW()-5,N($X4261)+1,N($X4261)))</f>
        <v/>
      </c>
      <c r="Z4262">
        <f>IF($V4262="","",IF($AA4262&gt;N($AA4261),$AA4262,""))</f>
        <v/>
      </c>
      <c r="AA4262">
        <f>IF($V4262="",N($AA4261),IF(MATCH($V4262,$V$6:$V$6005,0)=ROW()-5,N($AA4261)+1,N($AA4261)))</f>
        <v/>
      </c>
    </row>
    <row r="4263" ht="21" customHeight="1" s="66">
      <c r="A4263" s="56" t="n"/>
      <c r="B4263" s="57" t="n"/>
      <c r="C4263" s="57" t="n"/>
      <c r="D4263" s="57" t="n"/>
      <c r="E4263" s="56" t="n"/>
      <c r="F4263" s="57" t="n"/>
      <c r="G4263" s="57" t="n"/>
      <c r="H4263" s="56" t="n"/>
      <c r="I4263" s="56" t="n"/>
      <c r="J4263" s="58" t="n"/>
      <c r="K4263" s="58" t="n"/>
      <c r="L4263" s="13">
        <f>IF(OR($A4263="",AND($J4263="",$K4263="")),"",ROUND(N($J4263)-N($K4263),2))</f>
        <v/>
      </c>
      <c r="M4263" s="13">
        <f>IF(OR($A4263="",AND($J4263="",$K4263="")),"",MIN($J4263,$K4263))</f>
        <v/>
      </c>
      <c r="Q4263">
        <f>IF($A4263="","",$D4263&amp;"("&amp;SUBSTITUTE($E4263," ","")&amp;")")</f>
        <v/>
      </c>
      <c r="R4263">
        <f>IF($A4263="","",$B4263&amp;" - "&amp;$C4263)</f>
        <v/>
      </c>
      <c r="S4263">
        <f>IF($A4263="","",$R4263&amp;"|"&amp;$Q4263)</f>
        <v/>
      </c>
      <c r="T4263">
        <f>IF($A4263="","",$S4263&amp;"|"&amp;$F4263)</f>
        <v/>
      </c>
      <c r="U4263">
        <f>IF($A4263="","",$R4263&amp;"("&amp;$E4263&amp;")")</f>
        <v/>
      </c>
      <c r="V4263">
        <f>IF($A4263="","",$F4263&amp;"|"&amp;$U4263&amp;"|"&amp;$D4263)</f>
        <v/>
      </c>
      <c r="W4263">
        <f>IF($T4263="","",IF($X4263&gt;N($X4262),$X4263,""))</f>
        <v/>
      </c>
      <c r="X4263">
        <f>IF($T4263="",N($X4262),IF(MATCH($T4263,$T$6:$T$6005,0)=ROW()-5,N($X4262)+1,N($X4262)))</f>
        <v/>
      </c>
      <c r="Z4263">
        <f>IF($V4263="","",IF($AA4263&gt;N($AA4262),$AA4263,""))</f>
        <v/>
      </c>
      <c r="AA4263">
        <f>IF($V4263="",N($AA4262),IF(MATCH($V4263,$V$6:$V$6005,0)=ROW()-5,N($AA4262)+1,N($AA4262)))</f>
        <v/>
      </c>
    </row>
    <row r="4264" ht="21" customHeight="1" s="66">
      <c r="A4264" s="56" t="n"/>
      <c r="B4264" s="57" t="n"/>
      <c r="C4264" s="57" t="n"/>
      <c r="D4264" s="57" t="n"/>
      <c r="E4264" s="56" t="n"/>
      <c r="F4264" s="57" t="n"/>
      <c r="G4264" s="57" t="n"/>
      <c r="H4264" s="56" t="n"/>
      <c r="I4264" s="56" t="n"/>
      <c r="J4264" s="58" t="n"/>
      <c r="K4264" s="58" t="n"/>
      <c r="L4264" s="13">
        <f>IF(OR($A4264="",AND($J4264="",$K4264="")),"",ROUND(N($J4264)-N($K4264),2))</f>
        <v/>
      </c>
      <c r="M4264" s="13">
        <f>IF(OR($A4264="",AND($J4264="",$K4264="")),"",MIN($J4264,$K4264))</f>
        <v/>
      </c>
      <c r="Q4264">
        <f>IF($A4264="","",$D4264&amp;"("&amp;SUBSTITUTE($E4264," ","")&amp;")")</f>
        <v/>
      </c>
      <c r="R4264">
        <f>IF($A4264="","",$B4264&amp;" - "&amp;$C4264)</f>
        <v/>
      </c>
      <c r="S4264">
        <f>IF($A4264="","",$R4264&amp;"|"&amp;$Q4264)</f>
        <v/>
      </c>
      <c r="T4264">
        <f>IF($A4264="","",$S4264&amp;"|"&amp;$F4264)</f>
        <v/>
      </c>
      <c r="U4264">
        <f>IF($A4264="","",$R4264&amp;"("&amp;$E4264&amp;")")</f>
        <v/>
      </c>
      <c r="V4264">
        <f>IF($A4264="","",$F4264&amp;"|"&amp;$U4264&amp;"|"&amp;$D4264)</f>
        <v/>
      </c>
      <c r="W4264">
        <f>IF($T4264="","",IF($X4264&gt;N($X4263),$X4264,""))</f>
        <v/>
      </c>
      <c r="X4264">
        <f>IF($T4264="",N($X4263),IF(MATCH($T4264,$T$6:$T$6005,0)=ROW()-5,N($X4263)+1,N($X4263)))</f>
        <v/>
      </c>
      <c r="Z4264">
        <f>IF($V4264="","",IF($AA4264&gt;N($AA4263),$AA4264,""))</f>
        <v/>
      </c>
      <c r="AA4264">
        <f>IF($V4264="",N($AA4263),IF(MATCH($V4264,$V$6:$V$6005,0)=ROW()-5,N($AA4263)+1,N($AA4263)))</f>
        <v/>
      </c>
    </row>
    <row r="4265" ht="21" customHeight="1" s="66">
      <c r="A4265" s="56" t="n"/>
      <c r="B4265" s="57" t="n"/>
      <c r="C4265" s="57" t="n"/>
      <c r="D4265" s="57" t="n"/>
      <c r="E4265" s="56" t="n"/>
      <c r="F4265" s="57" t="n"/>
      <c r="G4265" s="57" t="n"/>
      <c r="H4265" s="56" t="n"/>
      <c r="I4265" s="56" t="n"/>
      <c r="J4265" s="58" t="n"/>
      <c r="K4265" s="58" t="n"/>
      <c r="L4265" s="13">
        <f>IF(OR($A4265="",AND($J4265="",$K4265="")),"",ROUND(N($J4265)-N($K4265),2))</f>
        <v/>
      </c>
      <c r="M4265" s="13">
        <f>IF(OR($A4265="",AND($J4265="",$K4265="")),"",MIN($J4265,$K4265))</f>
        <v/>
      </c>
      <c r="Q4265">
        <f>IF($A4265="","",$D4265&amp;"("&amp;SUBSTITUTE($E4265," ","")&amp;")")</f>
        <v/>
      </c>
      <c r="R4265">
        <f>IF($A4265="","",$B4265&amp;" - "&amp;$C4265)</f>
        <v/>
      </c>
      <c r="S4265">
        <f>IF($A4265="","",$R4265&amp;"|"&amp;$Q4265)</f>
        <v/>
      </c>
      <c r="T4265">
        <f>IF($A4265="","",$S4265&amp;"|"&amp;$F4265)</f>
        <v/>
      </c>
      <c r="U4265">
        <f>IF($A4265="","",$R4265&amp;"("&amp;$E4265&amp;")")</f>
        <v/>
      </c>
      <c r="V4265">
        <f>IF($A4265="","",$F4265&amp;"|"&amp;$U4265&amp;"|"&amp;$D4265)</f>
        <v/>
      </c>
      <c r="W4265">
        <f>IF($T4265="","",IF($X4265&gt;N($X4264),$X4265,""))</f>
        <v/>
      </c>
      <c r="X4265">
        <f>IF($T4265="",N($X4264),IF(MATCH($T4265,$T$6:$T$6005,0)=ROW()-5,N($X4264)+1,N($X4264)))</f>
        <v/>
      </c>
      <c r="Z4265">
        <f>IF($V4265="","",IF($AA4265&gt;N($AA4264),$AA4265,""))</f>
        <v/>
      </c>
      <c r="AA4265">
        <f>IF($V4265="",N($AA4264),IF(MATCH($V4265,$V$6:$V$6005,0)=ROW()-5,N($AA4264)+1,N($AA4264)))</f>
        <v/>
      </c>
    </row>
    <row r="4266" ht="21" customHeight="1" s="66">
      <c r="A4266" s="56" t="n"/>
      <c r="B4266" s="57" t="n"/>
      <c r="C4266" s="57" t="n"/>
      <c r="D4266" s="57" t="n"/>
      <c r="E4266" s="56" t="n"/>
      <c r="F4266" s="57" t="n"/>
      <c r="G4266" s="57" t="n"/>
      <c r="H4266" s="56" t="n"/>
      <c r="I4266" s="56" t="n"/>
      <c r="J4266" s="58" t="n"/>
      <c r="K4266" s="58" t="n"/>
      <c r="L4266" s="13">
        <f>IF(OR($A4266="",AND($J4266="",$K4266="")),"",ROUND(N($J4266)-N($K4266),2))</f>
        <v/>
      </c>
      <c r="M4266" s="13">
        <f>IF(OR($A4266="",AND($J4266="",$K4266="")),"",MIN($J4266,$K4266))</f>
        <v/>
      </c>
      <c r="Q4266">
        <f>IF($A4266="","",$D4266&amp;"("&amp;SUBSTITUTE($E4266," ","")&amp;")")</f>
        <v/>
      </c>
      <c r="R4266">
        <f>IF($A4266="","",$B4266&amp;" - "&amp;$C4266)</f>
        <v/>
      </c>
      <c r="S4266">
        <f>IF($A4266="","",$R4266&amp;"|"&amp;$Q4266)</f>
        <v/>
      </c>
      <c r="T4266">
        <f>IF($A4266="","",$S4266&amp;"|"&amp;$F4266)</f>
        <v/>
      </c>
      <c r="U4266">
        <f>IF($A4266="","",$R4266&amp;"("&amp;$E4266&amp;")")</f>
        <v/>
      </c>
      <c r="V4266">
        <f>IF($A4266="","",$F4266&amp;"|"&amp;$U4266&amp;"|"&amp;$D4266)</f>
        <v/>
      </c>
      <c r="W4266">
        <f>IF($T4266="","",IF($X4266&gt;N($X4265),$X4266,""))</f>
        <v/>
      </c>
      <c r="X4266">
        <f>IF($T4266="",N($X4265),IF(MATCH($T4266,$T$6:$T$6005,0)=ROW()-5,N($X4265)+1,N($X4265)))</f>
        <v/>
      </c>
      <c r="Z4266">
        <f>IF($V4266="","",IF($AA4266&gt;N($AA4265),$AA4266,""))</f>
        <v/>
      </c>
      <c r="AA4266">
        <f>IF($V4266="",N($AA4265),IF(MATCH($V4266,$V$6:$V$6005,0)=ROW()-5,N($AA4265)+1,N($AA4265)))</f>
        <v/>
      </c>
    </row>
    <row r="4267" ht="21" customHeight="1" s="66">
      <c r="A4267" s="56" t="n"/>
      <c r="B4267" s="57" t="n"/>
      <c r="C4267" s="57" t="n"/>
      <c r="D4267" s="57" t="n"/>
      <c r="E4267" s="56" t="n"/>
      <c r="F4267" s="57" t="n"/>
      <c r="G4267" s="57" t="n"/>
      <c r="H4267" s="56" t="n"/>
      <c r="I4267" s="56" t="n"/>
      <c r="J4267" s="58" t="n"/>
      <c r="K4267" s="58" t="n"/>
      <c r="L4267" s="13">
        <f>IF(OR($A4267="",AND($J4267="",$K4267="")),"",ROUND(N($J4267)-N($K4267),2))</f>
        <v/>
      </c>
      <c r="M4267" s="13">
        <f>IF(OR($A4267="",AND($J4267="",$K4267="")),"",MIN($J4267,$K4267))</f>
        <v/>
      </c>
      <c r="Q4267">
        <f>IF($A4267="","",$D4267&amp;"("&amp;SUBSTITUTE($E4267," ","")&amp;")")</f>
        <v/>
      </c>
      <c r="R4267">
        <f>IF($A4267="","",$B4267&amp;" - "&amp;$C4267)</f>
        <v/>
      </c>
      <c r="S4267">
        <f>IF($A4267="","",$R4267&amp;"|"&amp;$Q4267)</f>
        <v/>
      </c>
      <c r="T4267">
        <f>IF($A4267="","",$S4267&amp;"|"&amp;$F4267)</f>
        <v/>
      </c>
      <c r="U4267">
        <f>IF($A4267="","",$R4267&amp;"("&amp;$E4267&amp;")")</f>
        <v/>
      </c>
      <c r="V4267">
        <f>IF($A4267="","",$F4267&amp;"|"&amp;$U4267&amp;"|"&amp;$D4267)</f>
        <v/>
      </c>
      <c r="W4267">
        <f>IF($T4267="","",IF($X4267&gt;N($X4266),$X4267,""))</f>
        <v/>
      </c>
      <c r="X4267">
        <f>IF($T4267="",N($X4266),IF(MATCH($T4267,$T$6:$T$6005,0)=ROW()-5,N($X4266)+1,N($X4266)))</f>
        <v/>
      </c>
      <c r="Z4267">
        <f>IF($V4267="","",IF($AA4267&gt;N($AA4266),$AA4267,""))</f>
        <v/>
      </c>
      <c r="AA4267">
        <f>IF($V4267="",N($AA4266),IF(MATCH($V4267,$V$6:$V$6005,0)=ROW()-5,N($AA4266)+1,N($AA4266)))</f>
        <v/>
      </c>
    </row>
    <row r="4268" ht="21" customHeight="1" s="66">
      <c r="A4268" s="56" t="n"/>
      <c r="B4268" s="57" t="n"/>
      <c r="C4268" s="57" t="n"/>
      <c r="D4268" s="57" t="n"/>
      <c r="E4268" s="56" t="n"/>
      <c r="F4268" s="57" t="n"/>
      <c r="G4268" s="57" t="n"/>
      <c r="H4268" s="56" t="n"/>
      <c r="I4268" s="56" t="n"/>
      <c r="J4268" s="58" t="n"/>
      <c r="K4268" s="58" t="n"/>
      <c r="L4268" s="13">
        <f>IF(OR($A4268="",AND($J4268="",$K4268="")),"",ROUND(N($J4268)-N($K4268),2))</f>
        <v/>
      </c>
      <c r="M4268" s="13">
        <f>IF(OR($A4268="",AND($J4268="",$K4268="")),"",MIN($J4268,$K4268))</f>
        <v/>
      </c>
      <c r="Q4268">
        <f>IF($A4268="","",$D4268&amp;"("&amp;SUBSTITUTE($E4268," ","")&amp;")")</f>
        <v/>
      </c>
      <c r="R4268">
        <f>IF($A4268="","",$B4268&amp;" - "&amp;$C4268)</f>
        <v/>
      </c>
      <c r="S4268">
        <f>IF($A4268="","",$R4268&amp;"|"&amp;$Q4268)</f>
        <v/>
      </c>
      <c r="T4268">
        <f>IF($A4268="","",$S4268&amp;"|"&amp;$F4268)</f>
        <v/>
      </c>
      <c r="U4268">
        <f>IF($A4268="","",$R4268&amp;"("&amp;$E4268&amp;")")</f>
        <v/>
      </c>
      <c r="V4268">
        <f>IF($A4268="","",$F4268&amp;"|"&amp;$U4268&amp;"|"&amp;$D4268)</f>
        <v/>
      </c>
      <c r="W4268">
        <f>IF($T4268="","",IF($X4268&gt;N($X4267),$X4268,""))</f>
        <v/>
      </c>
      <c r="X4268">
        <f>IF($T4268="",N($X4267),IF(MATCH($T4268,$T$6:$T$6005,0)=ROW()-5,N($X4267)+1,N($X4267)))</f>
        <v/>
      </c>
      <c r="Z4268">
        <f>IF($V4268="","",IF($AA4268&gt;N($AA4267),$AA4268,""))</f>
        <v/>
      </c>
      <c r="AA4268">
        <f>IF($V4268="",N($AA4267),IF(MATCH($V4268,$V$6:$V$6005,0)=ROW()-5,N($AA4267)+1,N($AA4267)))</f>
        <v/>
      </c>
    </row>
    <row r="4269" ht="21" customHeight="1" s="66">
      <c r="A4269" s="56" t="n"/>
      <c r="B4269" s="57" t="n"/>
      <c r="C4269" s="57" t="n"/>
      <c r="D4269" s="57" t="n"/>
      <c r="E4269" s="56" t="n"/>
      <c r="F4269" s="57" t="n"/>
      <c r="G4269" s="57" t="n"/>
      <c r="H4269" s="56" t="n"/>
      <c r="I4269" s="56" t="n"/>
      <c r="J4269" s="58" t="n"/>
      <c r="K4269" s="58" t="n"/>
      <c r="L4269" s="13">
        <f>IF(OR($A4269="",AND($J4269="",$K4269="")),"",ROUND(N($J4269)-N($K4269),2))</f>
        <v/>
      </c>
      <c r="M4269" s="13">
        <f>IF(OR($A4269="",AND($J4269="",$K4269="")),"",MIN($J4269,$K4269))</f>
        <v/>
      </c>
      <c r="Q4269">
        <f>IF($A4269="","",$D4269&amp;"("&amp;SUBSTITUTE($E4269," ","")&amp;")")</f>
        <v/>
      </c>
      <c r="R4269">
        <f>IF($A4269="","",$B4269&amp;" - "&amp;$C4269)</f>
        <v/>
      </c>
      <c r="S4269">
        <f>IF($A4269="","",$R4269&amp;"|"&amp;$Q4269)</f>
        <v/>
      </c>
      <c r="T4269">
        <f>IF($A4269="","",$S4269&amp;"|"&amp;$F4269)</f>
        <v/>
      </c>
      <c r="U4269">
        <f>IF($A4269="","",$R4269&amp;"("&amp;$E4269&amp;")")</f>
        <v/>
      </c>
      <c r="V4269">
        <f>IF($A4269="","",$F4269&amp;"|"&amp;$U4269&amp;"|"&amp;$D4269)</f>
        <v/>
      </c>
      <c r="W4269">
        <f>IF($T4269="","",IF($X4269&gt;N($X4268),$X4269,""))</f>
        <v/>
      </c>
      <c r="X4269">
        <f>IF($T4269="",N($X4268),IF(MATCH($T4269,$T$6:$T$6005,0)=ROW()-5,N($X4268)+1,N($X4268)))</f>
        <v/>
      </c>
      <c r="Z4269">
        <f>IF($V4269="","",IF($AA4269&gt;N($AA4268),$AA4269,""))</f>
        <v/>
      </c>
      <c r="AA4269">
        <f>IF($V4269="",N($AA4268),IF(MATCH($V4269,$V$6:$V$6005,0)=ROW()-5,N($AA4268)+1,N($AA4268)))</f>
        <v/>
      </c>
    </row>
    <row r="4270" ht="21" customHeight="1" s="66">
      <c r="A4270" s="56" t="n"/>
      <c r="B4270" s="57" t="n"/>
      <c r="C4270" s="57" t="n"/>
      <c r="D4270" s="57" t="n"/>
      <c r="E4270" s="56" t="n"/>
      <c r="F4270" s="57" t="n"/>
      <c r="G4270" s="57" t="n"/>
      <c r="H4270" s="56" t="n"/>
      <c r="I4270" s="56" t="n"/>
      <c r="J4270" s="58" t="n"/>
      <c r="K4270" s="58" t="n"/>
      <c r="L4270" s="13">
        <f>IF(OR($A4270="",AND($J4270="",$K4270="")),"",ROUND(N($J4270)-N($K4270),2))</f>
        <v/>
      </c>
      <c r="M4270" s="13">
        <f>IF(OR($A4270="",AND($J4270="",$K4270="")),"",MIN($J4270,$K4270))</f>
        <v/>
      </c>
      <c r="Q4270">
        <f>IF($A4270="","",$D4270&amp;"("&amp;SUBSTITUTE($E4270," ","")&amp;")")</f>
        <v/>
      </c>
      <c r="R4270">
        <f>IF($A4270="","",$B4270&amp;" - "&amp;$C4270)</f>
        <v/>
      </c>
      <c r="S4270">
        <f>IF($A4270="","",$R4270&amp;"|"&amp;$Q4270)</f>
        <v/>
      </c>
      <c r="T4270">
        <f>IF($A4270="","",$S4270&amp;"|"&amp;$F4270)</f>
        <v/>
      </c>
      <c r="U4270">
        <f>IF($A4270="","",$R4270&amp;"("&amp;$E4270&amp;")")</f>
        <v/>
      </c>
      <c r="V4270">
        <f>IF($A4270="","",$F4270&amp;"|"&amp;$U4270&amp;"|"&amp;$D4270)</f>
        <v/>
      </c>
      <c r="W4270">
        <f>IF($T4270="","",IF($X4270&gt;N($X4269),$X4270,""))</f>
        <v/>
      </c>
      <c r="X4270">
        <f>IF($T4270="",N($X4269),IF(MATCH($T4270,$T$6:$T$6005,0)=ROW()-5,N($X4269)+1,N($X4269)))</f>
        <v/>
      </c>
      <c r="Z4270">
        <f>IF($V4270="","",IF($AA4270&gt;N($AA4269),$AA4270,""))</f>
        <v/>
      </c>
      <c r="AA4270">
        <f>IF($V4270="",N($AA4269),IF(MATCH($V4270,$V$6:$V$6005,0)=ROW()-5,N($AA4269)+1,N($AA4269)))</f>
        <v/>
      </c>
    </row>
    <row r="4271" ht="21" customHeight="1" s="66">
      <c r="A4271" s="56" t="n"/>
      <c r="B4271" s="57" t="n"/>
      <c r="C4271" s="57" t="n"/>
      <c r="D4271" s="57" t="n"/>
      <c r="E4271" s="56" t="n"/>
      <c r="F4271" s="57" t="n"/>
      <c r="G4271" s="57" t="n"/>
      <c r="H4271" s="56" t="n"/>
      <c r="I4271" s="56" t="n"/>
      <c r="J4271" s="58" t="n"/>
      <c r="K4271" s="58" t="n"/>
      <c r="L4271" s="13">
        <f>IF(OR($A4271="",AND($J4271="",$K4271="")),"",ROUND(N($J4271)-N($K4271),2))</f>
        <v/>
      </c>
      <c r="M4271" s="13">
        <f>IF(OR($A4271="",AND($J4271="",$K4271="")),"",MIN($J4271,$K4271))</f>
        <v/>
      </c>
      <c r="Q4271">
        <f>IF($A4271="","",$D4271&amp;"("&amp;SUBSTITUTE($E4271," ","")&amp;")")</f>
        <v/>
      </c>
      <c r="R4271">
        <f>IF($A4271="","",$B4271&amp;" - "&amp;$C4271)</f>
        <v/>
      </c>
      <c r="S4271">
        <f>IF($A4271="","",$R4271&amp;"|"&amp;$Q4271)</f>
        <v/>
      </c>
      <c r="T4271">
        <f>IF($A4271="","",$S4271&amp;"|"&amp;$F4271)</f>
        <v/>
      </c>
      <c r="U4271">
        <f>IF($A4271="","",$R4271&amp;"("&amp;$E4271&amp;")")</f>
        <v/>
      </c>
      <c r="V4271">
        <f>IF($A4271="","",$F4271&amp;"|"&amp;$U4271&amp;"|"&amp;$D4271)</f>
        <v/>
      </c>
      <c r="W4271">
        <f>IF($T4271="","",IF($X4271&gt;N($X4270),$X4271,""))</f>
        <v/>
      </c>
      <c r="X4271">
        <f>IF($T4271="",N($X4270),IF(MATCH($T4271,$T$6:$T$6005,0)=ROW()-5,N($X4270)+1,N($X4270)))</f>
        <v/>
      </c>
      <c r="Z4271">
        <f>IF($V4271="","",IF($AA4271&gt;N($AA4270),$AA4271,""))</f>
        <v/>
      </c>
      <c r="AA4271">
        <f>IF($V4271="",N($AA4270),IF(MATCH($V4271,$V$6:$V$6005,0)=ROW()-5,N($AA4270)+1,N($AA4270)))</f>
        <v/>
      </c>
    </row>
    <row r="4272" ht="21" customHeight="1" s="66">
      <c r="A4272" s="56" t="n"/>
      <c r="B4272" s="57" t="n"/>
      <c r="C4272" s="57" t="n"/>
      <c r="D4272" s="57" t="n"/>
      <c r="E4272" s="56" t="n"/>
      <c r="F4272" s="57" t="n"/>
      <c r="G4272" s="57" t="n"/>
      <c r="H4272" s="56" t="n"/>
      <c r="I4272" s="56" t="n"/>
      <c r="J4272" s="58" t="n"/>
      <c r="K4272" s="58" t="n"/>
      <c r="L4272" s="13">
        <f>IF(OR($A4272="",AND($J4272="",$K4272="")),"",ROUND(N($J4272)-N($K4272),2))</f>
        <v/>
      </c>
      <c r="M4272" s="13">
        <f>IF(OR($A4272="",AND($J4272="",$K4272="")),"",MIN($J4272,$K4272))</f>
        <v/>
      </c>
      <c r="Q4272">
        <f>IF($A4272="","",$D4272&amp;"("&amp;SUBSTITUTE($E4272," ","")&amp;")")</f>
        <v/>
      </c>
      <c r="R4272">
        <f>IF($A4272="","",$B4272&amp;" - "&amp;$C4272)</f>
        <v/>
      </c>
      <c r="S4272">
        <f>IF($A4272="","",$R4272&amp;"|"&amp;$Q4272)</f>
        <v/>
      </c>
      <c r="T4272">
        <f>IF($A4272="","",$S4272&amp;"|"&amp;$F4272)</f>
        <v/>
      </c>
      <c r="U4272">
        <f>IF($A4272="","",$R4272&amp;"("&amp;$E4272&amp;")")</f>
        <v/>
      </c>
      <c r="V4272">
        <f>IF($A4272="","",$F4272&amp;"|"&amp;$U4272&amp;"|"&amp;$D4272)</f>
        <v/>
      </c>
      <c r="W4272">
        <f>IF($T4272="","",IF($X4272&gt;N($X4271),$X4272,""))</f>
        <v/>
      </c>
      <c r="X4272">
        <f>IF($T4272="",N($X4271),IF(MATCH($T4272,$T$6:$T$6005,0)=ROW()-5,N($X4271)+1,N($X4271)))</f>
        <v/>
      </c>
      <c r="Z4272">
        <f>IF($V4272="","",IF($AA4272&gt;N($AA4271),$AA4272,""))</f>
        <v/>
      </c>
      <c r="AA4272">
        <f>IF($V4272="",N($AA4271),IF(MATCH($V4272,$V$6:$V$6005,0)=ROW()-5,N($AA4271)+1,N($AA4271)))</f>
        <v/>
      </c>
    </row>
    <row r="4273" ht="21" customHeight="1" s="66">
      <c r="A4273" s="56" t="n"/>
      <c r="B4273" s="57" t="n"/>
      <c r="C4273" s="57" t="n"/>
      <c r="D4273" s="57" t="n"/>
      <c r="E4273" s="56" t="n"/>
      <c r="F4273" s="57" t="n"/>
      <c r="G4273" s="57" t="n"/>
      <c r="H4273" s="56" t="n"/>
      <c r="I4273" s="56" t="n"/>
      <c r="J4273" s="58" t="n"/>
      <c r="K4273" s="58" t="n"/>
      <c r="L4273" s="13">
        <f>IF(OR($A4273="",AND($J4273="",$K4273="")),"",ROUND(N($J4273)-N($K4273),2))</f>
        <v/>
      </c>
      <c r="M4273" s="13">
        <f>IF(OR($A4273="",AND($J4273="",$K4273="")),"",MIN($J4273,$K4273))</f>
        <v/>
      </c>
      <c r="Q4273">
        <f>IF($A4273="","",$D4273&amp;"("&amp;SUBSTITUTE($E4273," ","")&amp;")")</f>
        <v/>
      </c>
      <c r="R4273">
        <f>IF($A4273="","",$B4273&amp;" - "&amp;$C4273)</f>
        <v/>
      </c>
      <c r="S4273">
        <f>IF($A4273="","",$R4273&amp;"|"&amp;$Q4273)</f>
        <v/>
      </c>
      <c r="T4273">
        <f>IF($A4273="","",$S4273&amp;"|"&amp;$F4273)</f>
        <v/>
      </c>
      <c r="U4273">
        <f>IF($A4273="","",$R4273&amp;"("&amp;$E4273&amp;")")</f>
        <v/>
      </c>
      <c r="V4273">
        <f>IF($A4273="","",$F4273&amp;"|"&amp;$U4273&amp;"|"&amp;$D4273)</f>
        <v/>
      </c>
      <c r="W4273">
        <f>IF($T4273="","",IF($X4273&gt;N($X4272),$X4273,""))</f>
        <v/>
      </c>
      <c r="X4273">
        <f>IF($T4273="",N($X4272),IF(MATCH($T4273,$T$6:$T$6005,0)=ROW()-5,N($X4272)+1,N($X4272)))</f>
        <v/>
      </c>
      <c r="Z4273">
        <f>IF($V4273="","",IF($AA4273&gt;N($AA4272),$AA4273,""))</f>
        <v/>
      </c>
      <c r="AA4273">
        <f>IF($V4273="",N($AA4272),IF(MATCH($V4273,$V$6:$V$6005,0)=ROW()-5,N($AA4272)+1,N($AA4272)))</f>
        <v/>
      </c>
    </row>
    <row r="4274" ht="21" customHeight="1" s="66">
      <c r="A4274" s="56" t="n"/>
      <c r="B4274" s="57" t="n"/>
      <c r="C4274" s="57" t="n"/>
      <c r="D4274" s="57" t="n"/>
      <c r="E4274" s="56" t="n"/>
      <c r="F4274" s="57" t="n"/>
      <c r="G4274" s="57" t="n"/>
      <c r="H4274" s="56" t="n"/>
      <c r="I4274" s="56" t="n"/>
      <c r="J4274" s="58" t="n"/>
      <c r="K4274" s="58" t="n"/>
      <c r="L4274" s="13">
        <f>IF(OR($A4274="",AND($J4274="",$K4274="")),"",ROUND(N($J4274)-N($K4274),2))</f>
        <v/>
      </c>
      <c r="M4274" s="13">
        <f>IF(OR($A4274="",AND($J4274="",$K4274="")),"",MIN($J4274,$K4274))</f>
        <v/>
      </c>
      <c r="Q4274">
        <f>IF($A4274="","",$D4274&amp;"("&amp;SUBSTITUTE($E4274," ","")&amp;")")</f>
        <v/>
      </c>
      <c r="R4274">
        <f>IF($A4274="","",$B4274&amp;" - "&amp;$C4274)</f>
        <v/>
      </c>
      <c r="S4274">
        <f>IF($A4274="","",$R4274&amp;"|"&amp;$Q4274)</f>
        <v/>
      </c>
      <c r="T4274">
        <f>IF($A4274="","",$S4274&amp;"|"&amp;$F4274)</f>
        <v/>
      </c>
      <c r="U4274">
        <f>IF($A4274="","",$R4274&amp;"("&amp;$E4274&amp;")")</f>
        <v/>
      </c>
      <c r="V4274">
        <f>IF($A4274="","",$F4274&amp;"|"&amp;$U4274&amp;"|"&amp;$D4274)</f>
        <v/>
      </c>
      <c r="W4274">
        <f>IF($T4274="","",IF($X4274&gt;N($X4273),$X4274,""))</f>
        <v/>
      </c>
      <c r="X4274">
        <f>IF($T4274="",N($X4273),IF(MATCH($T4274,$T$6:$T$6005,0)=ROW()-5,N($X4273)+1,N($X4273)))</f>
        <v/>
      </c>
      <c r="Z4274">
        <f>IF($V4274="","",IF($AA4274&gt;N($AA4273),$AA4274,""))</f>
        <v/>
      </c>
      <c r="AA4274">
        <f>IF($V4274="",N($AA4273),IF(MATCH($V4274,$V$6:$V$6005,0)=ROW()-5,N($AA4273)+1,N($AA4273)))</f>
        <v/>
      </c>
    </row>
    <row r="4275" ht="21" customHeight="1" s="66">
      <c r="A4275" s="56" t="n"/>
      <c r="B4275" s="57" t="n"/>
      <c r="C4275" s="57" t="n"/>
      <c r="D4275" s="57" t="n"/>
      <c r="E4275" s="56" t="n"/>
      <c r="F4275" s="57" t="n"/>
      <c r="G4275" s="57" t="n"/>
      <c r="H4275" s="56" t="n"/>
      <c r="I4275" s="56" t="n"/>
      <c r="J4275" s="58" t="n"/>
      <c r="K4275" s="58" t="n"/>
      <c r="L4275" s="13">
        <f>IF(OR($A4275="",AND($J4275="",$K4275="")),"",ROUND(N($J4275)-N($K4275),2))</f>
        <v/>
      </c>
      <c r="M4275" s="13">
        <f>IF(OR($A4275="",AND($J4275="",$K4275="")),"",MIN($J4275,$K4275))</f>
        <v/>
      </c>
      <c r="Q4275">
        <f>IF($A4275="","",$D4275&amp;"("&amp;SUBSTITUTE($E4275," ","")&amp;")")</f>
        <v/>
      </c>
      <c r="R4275">
        <f>IF($A4275="","",$B4275&amp;" - "&amp;$C4275)</f>
        <v/>
      </c>
      <c r="S4275">
        <f>IF($A4275="","",$R4275&amp;"|"&amp;$Q4275)</f>
        <v/>
      </c>
      <c r="T4275">
        <f>IF($A4275="","",$S4275&amp;"|"&amp;$F4275)</f>
        <v/>
      </c>
      <c r="U4275">
        <f>IF($A4275="","",$R4275&amp;"("&amp;$E4275&amp;")")</f>
        <v/>
      </c>
      <c r="V4275">
        <f>IF($A4275="","",$F4275&amp;"|"&amp;$U4275&amp;"|"&amp;$D4275)</f>
        <v/>
      </c>
      <c r="W4275">
        <f>IF($T4275="","",IF($X4275&gt;N($X4274),$X4275,""))</f>
        <v/>
      </c>
      <c r="X4275">
        <f>IF($T4275="",N($X4274),IF(MATCH($T4275,$T$6:$T$6005,0)=ROW()-5,N($X4274)+1,N($X4274)))</f>
        <v/>
      </c>
      <c r="Z4275">
        <f>IF($V4275="","",IF($AA4275&gt;N($AA4274),$AA4275,""))</f>
        <v/>
      </c>
      <c r="AA4275">
        <f>IF($V4275="",N($AA4274),IF(MATCH($V4275,$V$6:$V$6005,0)=ROW()-5,N($AA4274)+1,N($AA4274)))</f>
        <v/>
      </c>
    </row>
    <row r="4276" ht="21" customHeight="1" s="66">
      <c r="A4276" s="56" t="n"/>
      <c r="B4276" s="57" t="n"/>
      <c r="C4276" s="57" t="n"/>
      <c r="D4276" s="57" t="n"/>
      <c r="E4276" s="56" t="n"/>
      <c r="F4276" s="57" t="n"/>
      <c r="G4276" s="57" t="n"/>
      <c r="H4276" s="56" t="n"/>
      <c r="I4276" s="56" t="n"/>
      <c r="J4276" s="58" t="n"/>
      <c r="K4276" s="58" t="n"/>
      <c r="L4276" s="13">
        <f>IF(OR($A4276="",AND($J4276="",$K4276="")),"",ROUND(N($J4276)-N($K4276),2))</f>
        <v/>
      </c>
      <c r="M4276" s="13">
        <f>IF(OR($A4276="",AND($J4276="",$K4276="")),"",MIN($J4276,$K4276))</f>
        <v/>
      </c>
      <c r="Q4276">
        <f>IF($A4276="","",$D4276&amp;"("&amp;SUBSTITUTE($E4276," ","")&amp;")")</f>
        <v/>
      </c>
      <c r="R4276">
        <f>IF($A4276="","",$B4276&amp;" - "&amp;$C4276)</f>
        <v/>
      </c>
      <c r="S4276">
        <f>IF($A4276="","",$R4276&amp;"|"&amp;$Q4276)</f>
        <v/>
      </c>
      <c r="T4276">
        <f>IF($A4276="","",$S4276&amp;"|"&amp;$F4276)</f>
        <v/>
      </c>
      <c r="U4276">
        <f>IF($A4276="","",$R4276&amp;"("&amp;$E4276&amp;")")</f>
        <v/>
      </c>
      <c r="V4276">
        <f>IF($A4276="","",$F4276&amp;"|"&amp;$U4276&amp;"|"&amp;$D4276)</f>
        <v/>
      </c>
      <c r="W4276">
        <f>IF($T4276="","",IF($X4276&gt;N($X4275),$X4276,""))</f>
        <v/>
      </c>
      <c r="X4276">
        <f>IF($T4276="",N($X4275),IF(MATCH($T4276,$T$6:$T$6005,0)=ROW()-5,N($X4275)+1,N($X4275)))</f>
        <v/>
      </c>
      <c r="Z4276">
        <f>IF($V4276="","",IF($AA4276&gt;N($AA4275),$AA4276,""))</f>
        <v/>
      </c>
      <c r="AA4276">
        <f>IF($V4276="",N($AA4275),IF(MATCH($V4276,$V$6:$V$6005,0)=ROW()-5,N($AA4275)+1,N($AA4275)))</f>
        <v/>
      </c>
    </row>
    <row r="4277" ht="21" customHeight="1" s="66">
      <c r="A4277" s="56" t="n"/>
      <c r="B4277" s="57" t="n"/>
      <c r="C4277" s="57" t="n"/>
      <c r="D4277" s="57" t="n"/>
      <c r="E4277" s="56" t="n"/>
      <c r="F4277" s="57" t="n"/>
      <c r="G4277" s="57" t="n"/>
      <c r="H4277" s="56" t="n"/>
      <c r="I4277" s="56" t="n"/>
      <c r="J4277" s="58" t="n"/>
      <c r="K4277" s="58" t="n"/>
      <c r="L4277" s="13">
        <f>IF(OR($A4277="",AND($J4277="",$K4277="")),"",ROUND(N($J4277)-N($K4277),2))</f>
        <v/>
      </c>
      <c r="M4277" s="13">
        <f>IF(OR($A4277="",AND($J4277="",$K4277="")),"",MIN($J4277,$K4277))</f>
        <v/>
      </c>
      <c r="Q4277">
        <f>IF($A4277="","",$D4277&amp;"("&amp;SUBSTITUTE($E4277," ","")&amp;")")</f>
        <v/>
      </c>
      <c r="R4277">
        <f>IF($A4277="","",$B4277&amp;" - "&amp;$C4277)</f>
        <v/>
      </c>
      <c r="S4277">
        <f>IF($A4277="","",$R4277&amp;"|"&amp;$Q4277)</f>
        <v/>
      </c>
      <c r="T4277">
        <f>IF($A4277="","",$S4277&amp;"|"&amp;$F4277)</f>
        <v/>
      </c>
      <c r="U4277">
        <f>IF($A4277="","",$R4277&amp;"("&amp;$E4277&amp;")")</f>
        <v/>
      </c>
      <c r="V4277">
        <f>IF($A4277="","",$F4277&amp;"|"&amp;$U4277&amp;"|"&amp;$D4277)</f>
        <v/>
      </c>
      <c r="W4277">
        <f>IF($T4277="","",IF($X4277&gt;N($X4276),$X4277,""))</f>
        <v/>
      </c>
      <c r="X4277">
        <f>IF($T4277="",N($X4276),IF(MATCH($T4277,$T$6:$T$6005,0)=ROW()-5,N($X4276)+1,N($X4276)))</f>
        <v/>
      </c>
      <c r="Z4277">
        <f>IF($V4277="","",IF($AA4277&gt;N($AA4276),$AA4277,""))</f>
        <v/>
      </c>
      <c r="AA4277">
        <f>IF($V4277="",N($AA4276),IF(MATCH($V4277,$V$6:$V$6005,0)=ROW()-5,N($AA4276)+1,N($AA4276)))</f>
        <v/>
      </c>
    </row>
    <row r="4278" ht="21" customHeight="1" s="66">
      <c r="A4278" s="56" t="n"/>
      <c r="B4278" s="57" t="n"/>
      <c r="C4278" s="57" t="n"/>
      <c r="D4278" s="57" t="n"/>
      <c r="E4278" s="56" t="n"/>
      <c r="F4278" s="57" t="n"/>
      <c r="G4278" s="57" t="n"/>
      <c r="H4278" s="56" t="n"/>
      <c r="I4278" s="56" t="n"/>
      <c r="J4278" s="58" t="n"/>
      <c r="K4278" s="58" t="n"/>
      <c r="L4278" s="13">
        <f>IF(OR($A4278="",AND($J4278="",$K4278="")),"",ROUND(N($J4278)-N($K4278),2))</f>
        <v/>
      </c>
      <c r="M4278" s="13">
        <f>IF(OR($A4278="",AND($J4278="",$K4278="")),"",MIN($J4278,$K4278))</f>
        <v/>
      </c>
      <c r="Q4278">
        <f>IF($A4278="","",$D4278&amp;"("&amp;SUBSTITUTE($E4278," ","")&amp;")")</f>
        <v/>
      </c>
      <c r="R4278">
        <f>IF($A4278="","",$B4278&amp;" - "&amp;$C4278)</f>
        <v/>
      </c>
      <c r="S4278">
        <f>IF($A4278="","",$R4278&amp;"|"&amp;$Q4278)</f>
        <v/>
      </c>
      <c r="T4278">
        <f>IF($A4278="","",$S4278&amp;"|"&amp;$F4278)</f>
        <v/>
      </c>
      <c r="U4278">
        <f>IF($A4278="","",$R4278&amp;"("&amp;$E4278&amp;")")</f>
        <v/>
      </c>
      <c r="V4278">
        <f>IF($A4278="","",$F4278&amp;"|"&amp;$U4278&amp;"|"&amp;$D4278)</f>
        <v/>
      </c>
      <c r="W4278">
        <f>IF($T4278="","",IF($X4278&gt;N($X4277),$X4278,""))</f>
        <v/>
      </c>
      <c r="X4278">
        <f>IF($T4278="",N($X4277),IF(MATCH($T4278,$T$6:$T$6005,0)=ROW()-5,N($X4277)+1,N($X4277)))</f>
        <v/>
      </c>
      <c r="Z4278">
        <f>IF($V4278="","",IF($AA4278&gt;N($AA4277),$AA4278,""))</f>
        <v/>
      </c>
      <c r="AA4278">
        <f>IF($V4278="",N($AA4277),IF(MATCH($V4278,$V$6:$V$6005,0)=ROW()-5,N($AA4277)+1,N($AA4277)))</f>
        <v/>
      </c>
    </row>
    <row r="4279" ht="21" customHeight="1" s="66">
      <c r="A4279" s="56" t="n"/>
      <c r="B4279" s="57" t="n"/>
      <c r="C4279" s="57" t="n"/>
      <c r="D4279" s="57" t="n"/>
      <c r="E4279" s="56" t="n"/>
      <c r="F4279" s="57" t="n"/>
      <c r="G4279" s="57" t="n"/>
      <c r="H4279" s="56" t="n"/>
      <c r="I4279" s="56" t="n"/>
      <c r="J4279" s="58" t="n"/>
      <c r="K4279" s="58" t="n"/>
      <c r="L4279" s="13">
        <f>IF(OR($A4279="",AND($J4279="",$K4279="")),"",ROUND(N($J4279)-N($K4279),2))</f>
        <v/>
      </c>
      <c r="M4279" s="13">
        <f>IF(OR($A4279="",AND($J4279="",$K4279="")),"",MIN($J4279,$K4279))</f>
        <v/>
      </c>
      <c r="Q4279">
        <f>IF($A4279="","",$D4279&amp;"("&amp;SUBSTITUTE($E4279," ","")&amp;")")</f>
        <v/>
      </c>
      <c r="R4279">
        <f>IF($A4279="","",$B4279&amp;" - "&amp;$C4279)</f>
        <v/>
      </c>
      <c r="S4279">
        <f>IF($A4279="","",$R4279&amp;"|"&amp;$Q4279)</f>
        <v/>
      </c>
      <c r="T4279">
        <f>IF($A4279="","",$S4279&amp;"|"&amp;$F4279)</f>
        <v/>
      </c>
      <c r="U4279">
        <f>IF($A4279="","",$R4279&amp;"("&amp;$E4279&amp;")")</f>
        <v/>
      </c>
      <c r="V4279">
        <f>IF($A4279="","",$F4279&amp;"|"&amp;$U4279&amp;"|"&amp;$D4279)</f>
        <v/>
      </c>
      <c r="W4279">
        <f>IF($T4279="","",IF($X4279&gt;N($X4278),$X4279,""))</f>
        <v/>
      </c>
      <c r="X4279">
        <f>IF($T4279="",N($X4278),IF(MATCH($T4279,$T$6:$T$6005,0)=ROW()-5,N($X4278)+1,N($X4278)))</f>
        <v/>
      </c>
      <c r="Z4279">
        <f>IF($V4279="","",IF($AA4279&gt;N($AA4278),$AA4279,""))</f>
        <v/>
      </c>
      <c r="AA4279">
        <f>IF($V4279="",N($AA4278),IF(MATCH($V4279,$V$6:$V$6005,0)=ROW()-5,N($AA4278)+1,N($AA4278)))</f>
        <v/>
      </c>
    </row>
    <row r="4280" ht="21" customHeight="1" s="66">
      <c r="A4280" s="56" t="n"/>
      <c r="B4280" s="57" t="n"/>
      <c r="C4280" s="57" t="n"/>
      <c r="D4280" s="57" t="n"/>
      <c r="E4280" s="56" t="n"/>
      <c r="F4280" s="57" t="n"/>
      <c r="G4280" s="57" t="n"/>
      <c r="H4280" s="56" t="n"/>
      <c r="I4280" s="56" t="n"/>
      <c r="J4280" s="58" t="n"/>
      <c r="K4280" s="58" t="n"/>
      <c r="L4280" s="13">
        <f>IF(OR($A4280="",AND($J4280="",$K4280="")),"",ROUND(N($J4280)-N($K4280),2))</f>
        <v/>
      </c>
      <c r="M4280" s="13">
        <f>IF(OR($A4280="",AND($J4280="",$K4280="")),"",MIN($J4280,$K4280))</f>
        <v/>
      </c>
      <c r="Q4280">
        <f>IF($A4280="","",$D4280&amp;"("&amp;SUBSTITUTE($E4280," ","")&amp;")")</f>
        <v/>
      </c>
      <c r="R4280">
        <f>IF($A4280="","",$B4280&amp;" - "&amp;$C4280)</f>
        <v/>
      </c>
      <c r="S4280">
        <f>IF($A4280="","",$R4280&amp;"|"&amp;$Q4280)</f>
        <v/>
      </c>
      <c r="T4280">
        <f>IF($A4280="","",$S4280&amp;"|"&amp;$F4280)</f>
        <v/>
      </c>
      <c r="U4280">
        <f>IF($A4280="","",$R4280&amp;"("&amp;$E4280&amp;")")</f>
        <v/>
      </c>
      <c r="V4280">
        <f>IF($A4280="","",$F4280&amp;"|"&amp;$U4280&amp;"|"&amp;$D4280)</f>
        <v/>
      </c>
      <c r="W4280">
        <f>IF($T4280="","",IF($X4280&gt;N($X4279),$X4280,""))</f>
        <v/>
      </c>
      <c r="X4280">
        <f>IF($T4280="",N($X4279),IF(MATCH($T4280,$T$6:$T$6005,0)=ROW()-5,N($X4279)+1,N($X4279)))</f>
        <v/>
      </c>
      <c r="Z4280">
        <f>IF($V4280="","",IF($AA4280&gt;N($AA4279),$AA4280,""))</f>
        <v/>
      </c>
      <c r="AA4280">
        <f>IF($V4280="",N($AA4279),IF(MATCH($V4280,$V$6:$V$6005,0)=ROW()-5,N($AA4279)+1,N($AA4279)))</f>
        <v/>
      </c>
    </row>
    <row r="4281" ht="21" customHeight="1" s="66">
      <c r="A4281" s="56" t="n"/>
      <c r="B4281" s="57" t="n"/>
      <c r="C4281" s="57" t="n"/>
      <c r="D4281" s="57" t="n"/>
      <c r="E4281" s="56" t="n"/>
      <c r="F4281" s="57" t="n"/>
      <c r="G4281" s="57" t="n"/>
      <c r="H4281" s="56" t="n"/>
      <c r="I4281" s="56" t="n"/>
      <c r="J4281" s="58" t="n"/>
      <c r="K4281" s="58" t="n"/>
      <c r="L4281" s="13">
        <f>IF(OR($A4281="",AND($J4281="",$K4281="")),"",ROUND(N($J4281)-N($K4281),2))</f>
        <v/>
      </c>
      <c r="M4281" s="13">
        <f>IF(OR($A4281="",AND($J4281="",$K4281="")),"",MIN($J4281,$K4281))</f>
        <v/>
      </c>
      <c r="Q4281">
        <f>IF($A4281="","",$D4281&amp;"("&amp;SUBSTITUTE($E4281," ","")&amp;")")</f>
        <v/>
      </c>
      <c r="R4281">
        <f>IF($A4281="","",$B4281&amp;" - "&amp;$C4281)</f>
        <v/>
      </c>
      <c r="S4281">
        <f>IF($A4281="","",$R4281&amp;"|"&amp;$Q4281)</f>
        <v/>
      </c>
      <c r="T4281">
        <f>IF($A4281="","",$S4281&amp;"|"&amp;$F4281)</f>
        <v/>
      </c>
      <c r="U4281">
        <f>IF($A4281="","",$R4281&amp;"("&amp;$E4281&amp;")")</f>
        <v/>
      </c>
      <c r="V4281">
        <f>IF($A4281="","",$F4281&amp;"|"&amp;$U4281&amp;"|"&amp;$D4281)</f>
        <v/>
      </c>
      <c r="W4281">
        <f>IF($T4281="","",IF($X4281&gt;N($X4280),$X4281,""))</f>
        <v/>
      </c>
      <c r="X4281">
        <f>IF($T4281="",N($X4280),IF(MATCH($T4281,$T$6:$T$6005,0)=ROW()-5,N($X4280)+1,N($X4280)))</f>
        <v/>
      </c>
      <c r="Z4281">
        <f>IF($V4281="","",IF($AA4281&gt;N($AA4280),$AA4281,""))</f>
        <v/>
      </c>
      <c r="AA4281">
        <f>IF($V4281="",N($AA4280),IF(MATCH($V4281,$V$6:$V$6005,0)=ROW()-5,N($AA4280)+1,N($AA4280)))</f>
        <v/>
      </c>
    </row>
    <row r="4282" ht="21" customHeight="1" s="66">
      <c r="A4282" s="56" t="n"/>
      <c r="B4282" s="57" t="n"/>
      <c r="C4282" s="57" t="n"/>
      <c r="D4282" s="57" t="n"/>
      <c r="E4282" s="56" t="n"/>
      <c r="F4282" s="57" t="n"/>
      <c r="G4282" s="57" t="n"/>
      <c r="H4282" s="56" t="n"/>
      <c r="I4282" s="56" t="n"/>
      <c r="J4282" s="58" t="n"/>
      <c r="K4282" s="58" t="n"/>
      <c r="L4282" s="13">
        <f>IF(OR($A4282="",AND($J4282="",$K4282="")),"",ROUND(N($J4282)-N($K4282),2))</f>
        <v/>
      </c>
      <c r="M4282" s="13">
        <f>IF(OR($A4282="",AND($J4282="",$K4282="")),"",MIN($J4282,$K4282))</f>
        <v/>
      </c>
      <c r="Q4282">
        <f>IF($A4282="","",$D4282&amp;"("&amp;SUBSTITUTE($E4282," ","")&amp;")")</f>
        <v/>
      </c>
      <c r="R4282">
        <f>IF($A4282="","",$B4282&amp;" - "&amp;$C4282)</f>
        <v/>
      </c>
      <c r="S4282">
        <f>IF($A4282="","",$R4282&amp;"|"&amp;$Q4282)</f>
        <v/>
      </c>
      <c r="T4282">
        <f>IF($A4282="","",$S4282&amp;"|"&amp;$F4282)</f>
        <v/>
      </c>
      <c r="U4282">
        <f>IF($A4282="","",$R4282&amp;"("&amp;$E4282&amp;")")</f>
        <v/>
      </c>
      <c r="V4282">
        <f>IF($A4282="","",$F4282&amp;"|"&amp;$U4282&amp;"|"&amp;$D4282)</f>
        <v/>
      </c>
      <c r="W4282">
        <f>IF($T4282="","",IF($X4282&gt;N($X4281),$X4282,""))</f>
        <v/>
      </c>
      <c r="X4282">
        <f>IF($T4282="",N($X4281),IF(MATCH($T4282,$T$6:$T$6005,0)=ROW()-5,N($X4281)+1,N($X4281)))</f>
        <v/>
      </c>
      <c r="Z4282">
        <f>IF($V4282="","",IF($AA4282&gt;N($AA4281),$AA4282,""))</f>
        <v/>
      </c>
      <c r="AA4282">
        <f>IF($V4282="",N($AA4281),IF(MATCH($V4282,$V$6:$V$6005,0)=ROW()-5,N($AA4281)+1,N($AA4281)))</f>
        <v/>
      </c>
    </row>
    <row r="4283" ht="21" customHeight="1" s="66">
      <c r="A4283" s="56" t="n"/>
      <c r="B4283" s="57" t="n"/>
      <c r="C4283" s="57" t="n"/>
      <c r="D4283" s="57" t="n"/>
      <c r="E4283" s="56" t="n"/>
      <c r="F4283" s="57" t="n"/>
      <c r="G4283" s="57" t="n"/>
      <c r="H4283" s="56" t="n"/>
      <c r="I4283" s="56" t="n"/>
      <c r="J4283" s="58" t="n"/>
      <c r="K4283" s="58" t="n"/>
      <c r="L4283" s="13">
        <f>IF(OR($A4283="",AND($J4283="",$K4283="")),"",ROUND(N($J4283)-N($K4283),2))</f>
        <v/>
      </c>
      <c r="M4283" s="13">
        <f>IF(OR($A4283="",AND($J4283="",$K4283="")),"",MIN($J4283,$K4283))</f>
        <v/>
      </c>
      <c r="Q4283">
        <f>IF($A4283="","",$D4283&amp;"("&amp;SUBSTITUTE($E4283," ","")&amp;")")</f>
        <v/>
      </c>
      <c r="R4283">
        <f>IF($A4283="","",$B4283&amp;" - "&amp;$C4283)</f>
        <v/>
      </c>
      <c r="S4283">
        <f>IF($A4283="","",$R4283&amp;"|"&amp;$Q4283)</f>
        <v/>
      </c>
      <c r="T4283">
        <f>IF($A4283="","",$S4283&amp;"|"&amp;$F4283)</f>
        <v/>
      </c>
      <c r="U4283">
        <f>IF($A4283="","",$R4283&amp;"("&amp;$E4283&amp;")")</f>
        <v/>
      </c>
      <c r="V4283">
        <f>IF($A4283="","",$F4283&amp;"|"&amp;$U4283&amp;"|"&amp;$D4283)</f>
        <v/>
      </c>
      <c r="W4283">
        <f>IF($T4283="","",IF($X4283&gt;N($X4282),$X4283,""))</f>
        <v/>
      </c>
      <c r="X4283">
        <f>IF($T4283="",N($X4282),IF(MATCH($T4283,$T$6:$T$6005,0)=ROW()-5,N($X4282)+1,N($X4282)))</f>
        <v/>
      </c>
      <c r="Z4283">
        <f>IF($V4283="","",IF($AA4283&gt;N($AA4282),$AA4283,""))</f>
        <v/>
      </c>
      <c r="AA4283">
        <f>IF($V4283="",N($AA4282),IF(MATCH($V4283,$V$6:$V$6005,0)=ROW()-5,N($AA4282)+1,N($AA4282)))</f>
        <v/>
      </c>
    </row>
    <row r="4284" ht="21" customHeight="1" s="66">
      <c r="A4284" s="56" t="n"/>
      <c r="B4284" s="57" t="n"/>
      <c r="C4284" s="57" t="n"/>
      <c r="D4284" s="57" t="n"/>
      <c r="E4284" s="56" t="n"/>
      <c r="F4284" s="57" t="n"/>
      <c r="G4284" s="57" t="n"/>
      <c r="H4284" s="56" t="n"/>
      <c r="I4284" s="56" t="n"/>
      <c r="J4284" s="58" t="n"/>
      <c r="K4284" s="58" t="n"/>
      <c r="L4284" s="13">
        <f>IF(OR($A4284="",AND($J4284="",$K4284="")),"",ROUND(N($J4284)-N($K4284),2))</f>
        <v/>
      </c>
      <c r="M4284" s="13">
        <f>IF(OR($A4284="",AND($J4284="",$K4284="")),"",MIN($J4284,$K4284))</f>
        <v/>
      </c>
      <c r="Q4284">
        <f>IF($A4284="","",$D4284&amp;"("&amp;SUBSTITUTE($E4284," ","")&amp;")")</f>
        <v/>
      </c>
      <c r="R4284">
        <f>IF($A4284="","",$B4284&amp;" - "&amp;$C4284)</f>
        <v/>
      </c>
      <c r="S4284">
        <f>IF($A4284="","",$R4284&amp;"|"&amp;$Q4284)</f>
        <v/>
      </c>
      <c r="T4284">
        <f>IF($A4284="","",$S4284&amp;"|"&amp;$F4284)</f>
        <v/>
      </c>
      <c r="U4284">
        <f>IF($A4284="","",$R4284&amp;"("&amp;$E4284&amp;")")</f>
        <v/>
      </c>
      <c r="V4284">
        <f>IF($A4284="","",$F4284&amp;"|"&amp;$U4284&amp;"|"&amp;$D4284)</f>
        <v/>
      </c>
      <c r="W4284">
        <f>IF($T4284="","",IF($X4284&gt;N($X4283),$X4284,""))</f>
        <v/>
      </c>
      <c r="X4284">
        <f>IF($T4284="",N($X4283),IF(MATCH($T4284,$T$6:$T$6005,0)=ROW()-5,N($X4283)+1,N($X4283)))</f>
        <v/>
      </c>
      <c r="Z4284">
        <f>IF($V4284="","",IF($AA4284&gt;N($AA4283),$AA4284,""))</f>
        <v/>
      </c>
      <c r="AA4284">
        <f>IF($V4284="",N($AA4283),IF(MATCH($V4284,$V$6:$V$6005,0)=ROW()-5,N($AA4283)+1,N($AA4283)))</f>
        <v/>
      </c>
    </row>
    <row r="4285" ht="21" customHeight="1" s="66">
      <c r="A4285" s="56" t="n"/>
      <c r="B4285" s="57" t="n"/>
      <c r="C4285" s="57" t="n"/>
      <c r="D4285" s="57" t="n"/>
      <c r="E4285" s="56" t="n"/>
      <c r="F4285" s="57" t="n"/>
      <c r="G4285" s="57" t="n"/>
      <c r="H4285" s="56" t="n"/>
      <c r="I4285" s="56" t="n"/>
      <c r="J4285" s="58" t="n"/>
      <c r="K4285" s="58" t="n"/>
      <c r="L4285" s="13">
        <f>IF(OR($A4285="",AND($J4285="",$K4285="")),"",ROUND(N($J4285)-N($K4285),2))</f>
        <v/>
      </c>
      <c r="M4285" s="13">
        <f>IF(OR($A4285="",AND($J4285="",$K4285="")),"",MIN($J4285,$K4285))</f>
        <v/>
      </c>
      <c r="Q4285">
        <f>IF($A4285="","",$D4285&amp;"("&amp;SUBSTITUTE($E4285," ","")&amp;")")</f>
        <v/>
      </c>
      <c r="R4285">
        <f>IF($A4285="","",$B4285&amp;" - "&amp;$C4285)</f>
        <v/>
      </c>
      <c r="S4285">
        <f>IF($A4285="","",$R4285&amp;"|"&amp;$Q4285)</f>
        <v/>
      </c>
      <c r="T4285">
        <f>IF($A4285="","",$S4285&amp;"|"&amp;$F4285)</f>
        <v/>
      </c>
      <c r="U4285">
        <f>IF($A4285="","",$R4285&amp;"("&amp;$E4285&amp;")")</f>
        <v/>
      </c>
      <c r="V4285">
        <f>IF($A4285="","",$F4285&amp;"|"&amp;$U4285&amp;"|"&amp;$D4285)</f>
        <v/>
      </c>
      <c r="W4285">
        <f>IF($T4285="","",IF($X4285&gt;N($X4284),$X4285,""))</f>
        <v/>
      </c>
      <c r="X4285">
        <f>IF($T4285="",N($X4284),IF(MATCH($T4285,$T$6:$T$6005,0)=ROW()-5,N($X4284)+1,N($X4284)))</f>
        <v/>
      </c>
      <c r="Z4285">
        <f>IF($V4285="","",IF($AA4285&gt;N($AA4284),$AA4285,""))</f>
        <v/>
      </c>
      <c r="AA4285">
        <f>IF($V4285="",N($AA4284),IF(MATCH($V4285,$V$6:$V$6005,0)=ROW()-5,N($AA4284)+1,N($AA4284)))</f>
        <v/>
      </c>
    </row>
    <row r="4286" ht="21" customHeight="1" s="66">
      <c r="A4286" s="56" t="n"/>
      <c r="B4286" s="57" t="n"/>
      <c r="C4286" s="57" t="n"/>
      <c r="D4286" s="57" t="n"/>
      <c r="E4286" s="56" t="n"/>
      <c r="F4286" s="57" t="n"/>
      <c r="G4286" s="57" t="n"/>
      <c r="H4286" s="56" t="n"/>
      <c r="I4286" s="56" t="n"/>
      <c r="J4286" s="58" t="n"/>
      <c r="K4286" s="58" t="n"/>
      <c r="L4286" s="13">
        <f>IF(OR($A4286="",AND($J4286="",$K4286="")),"",ROUND(N($J4286)-N($K4286),2))</f>
        <v/>
      </c>
      <c r="M4286" s="13">
        <f>IF(OR($A4286="",AND($J4286="",$K4286="")),"",MIN($J4286,$K4286))</f>
        <v/>
      </c>
      <c r="Q4286">
        <f>IF($A4286="","",$D4286&amp;"("&amp;SUBSTITUTE($E4286," ","")&amp;")")</f>
        <v/>
      </c>
      <c r="R4286">
        <f>IF($A4286="","",$B4286&amp;" - "&amp;$C4286)</f>
        <v/>
      </c>
      <c r="S4286">
        <f>IF($A4286="","",$R4286&amp;"|"&amp;$Q4286)</f>
        <v/>
      </c>
      <c r="T4286">
        <f>IF($A4286="","",$S4286&amp;"|"&amp;$F4286)</f>
        <v/>
      </c>
      <c r="U4286">
        <f>IF($A4286="","",$R4286&amp;"("&amp;$E4286&amp;")")</f>
        <v/>
      </c>
      <c r="V4286">
        <f>IF($A4286="","",$F4286&amp;"|"&amp;$U4286&amp;"|"&amp;$D4286)</f>
        <v/>
      </c>
      <c r="W4286">
        <f>IF($T4286="","",IF($X4286&gt;N($X4285),$X4286,""))</f>
        <v/>
      </c>
      <c r="X4286">
        <f>IF($T4286="",N($X4285),IF(MATCH($T4286,$T$6:$T$6005,0)=ROW()-5,N($X4285)+1,N($X4285)))</f>
        <v/>
      </c>
      <c r="Z4286">
        <f>IF($V4286="","",IF($AA4286&gt;N($AA4285),$AA4286,""))</f>
        <v/>
      </c>
      <c r="AA4286">
        <f>IF($V4286="",N($AA4285),IF(MATCH($V4286,$V$6:$V$6005,0)=ROW()-5,N($AA4285)+1,N($AA4285)))</f>
        <v/>
      </c>
    </row>
    <row r="4287" ht="21" customHeight="1" s="66">
      <c r="A4287" s="56" t="n"/>
      <c r="B4287" s="57" t="n"/>
      <c r="C4287" s="57" t="n"/>
      <c r="D4287" s="57" t="n"/>
      <c r="E4287" s="56" t="n"/>
      <c r="F4287" s="57" t="n"/>
      <c r="G4287" s="57" t="n"/>
      <c r="H4287" s="56" t="n"/>
      <c r="I4287" s="56" t="n"/>
      <c r="J4287" s="58" t="n"/>
      <c r="K4287" s="58" t="n"/>
      <c r="L4287" s="13">
        <f>IF(OR($A4287="",AND($J4287="",$K4287="")),"",ROUND(N($J4287)-N($K4287),2))</f>
        <v/>
      </c>
      <c r="M4287" s="13">
        <f>IF(OR($A4287="",AND($J4287="",$K4287="")),"",MIN($J4287,$K4287))</f>
        <v/>
      </c>
      <c r="Q4287">
        <f>IF($A4287="","",$D4287&amp;"("&amp;SUBSTITUTE($E4287," ","")&amp;")")</f>
        <v/>
      </c>
      <c r="R4287">
        <f>IF($A4287="","",$B4287&amp;" - "&amp;$C4287)</f>
        <v/>
      </c>
      <c r="S4287">
        <f>IF($A4287="","",$R4287&amp;"|"&amp;$Q4287)</f>
        <v/>
      </c>
      <c r="T4287">
        <f>IF($A4287="","",$S4287&amp;"|"&amp;$F4287)</f>
        <v/>
      </c>
      <c r="U4287">
        <f>IF($A4287="","",$R4287&amp;"("&amp;$E4287&amp;")")</f>
        <v/>
      </c>
      <c r="V4287">
        <f>IF($A4287="","",$F4287&amp;"|"&amp;$U4287&amp;"|"&amp;$D4287)</f>
        <v/>
      </c>
      <c r="W4287">
        <f>IF($T4287="","",IF($X4287&gt;N($X4286),$X4287,""))</f>
        <v/>
      </c>
      <c r="X4287">
        <f>IF($T4287="",N($X4286),IF(MATCH($T4287,$T$6:$T$6005,0)=ROW()-5,N($X4286)+1,N($X4286)))</f>
        <v/>
      </c>
      <c r="Z4287">
        <f>IF($V4287="","",IF($AA4287&gt;N($AA4286),$AA4287,""))</f>
        <v/>
      </c>
      <c r="AA4287">
        <f>IF($V4287="",N($AA4286),IF(MATCH($V4287,$V$6:$V$6005,0)=ROW()-5,N($AA4286)+1,N($AA4286)))</f>
        <v/>
      </c>
    </row>
    <row r="4288" ht="21" customHeight="1" s="66">
      <c r="A4288" s="56" t="n"/>
      <c r="B4288" s="57" t="n"/>
      <c r="C4288" s="57" t="n"/>
      <c r="D4288" s="57" t="n"/>
      <c r="E4288" s="56" t="n"/>
      <c r="F4288" s="57" t="n"/>
      <c r="G4288" s="57" t="n"/>
      <c r="H4288" s="56" t="n"/>
      <c r="I4288" s="56" t="n"/>
      <c r="J4288" s="58" t="n"/>
      <c r="K4288" s="58" t="n"/>
      <c r="L4288" s="13">
        <f>IF(OR($A4288="",AND($J4288="",$K4288="")),"",ROUND(N($J4288)-N($K4288),2))</f>
        <v/>
      </c>
      <c r="M4288" s="13">
        <f>IF(OR($A4288="",AND($J4288="",$K4288="")),"",MIN($J4288,$K4288))</f>
        <v/>
      </c>
      <c r="Q4288">
        <f>IF($A4288="","",$D4288&amp;"("&amp;SUBSTITUTE($E4288," ","")&amp;")")</f>
        <v/>
      </c>
      <c r="R4288">
        <f>IF($A4288="","",$B4288&amp;" - "&amp;$C4288)</f>
        <v/>
      </c>
      <c r="S4288">
        <f>IF($A4288="","",$R4288&amp;"|"&amp;$Q4288)</f>
        <v/>
      </c>
      <c r="T4288">
        <f>IF($A4288="","",$S4288&amp;"|"&amp;$F4288)</f>
        <v/>
      </c>
      <c r="U4288">
        <f>IF($A4288="","",$R4288&amp;"("&amp;$E4288&amp;")")</f>
        <v/>
      </c>
      <c r="V4288">
        <f>IF($A4288="","",$F4288&amp;"|"&amp;$U4288&amp;"|"&amp;$D4288)</f>
        <v/>
      </c>
      <c r="W4288">
        <f>IF($T4288="","",IF($X4288&gt;N($X4287),$X4288,""))</f>
        <v/>
      </c>
      <c r="X4288">
        <f>IF($T4288="",N($X4287),IF(MATCH($T4288,$T$6:$T$6005,0)=ROW()-5,N($X4287)+1,N($X4287)))</f>
        <v/>
      </c>
      <c r="Z4288">
        <f>IF($V4288="","",IF($AA4288&gt;N($AA4287),$AA4288,""))</f>
        <v/>
      </c>
      <c r="AA4288">
        <f>IF($V4288="",N($AA4287),IF(MATCH($V4288,$V$6:$V$6005,0)=ROW()-5,N($AA4287)+1,N($AA4287)))</f>
        <v/>
      </c>
    </row>
    <row r="4289" ht="21" customHeight="1" s="66">
      <c r="A4289" s="56" t="n"/>
      <c r="B4289" s="57" t="n"/>
      <c r="C4289" s="57" t="n"/>
      <c r="D4289" s="57" t="n"/>
      <c r="E4289" s="56" t="n"/>
      <c r="F4289" s="57" t="n"/>
      <c r="G4289" s="57" t="n"/>
      <c r="H4289" s="56" t="n"/>
      <c r="I4289" s="56" t="n"/>
      <c r="J4289" s="58" t="n"/>
      <c r="K4289" s="58" t="n"/>
      <c r="L4289" s="13">
        <f>IF(OR($A4289="",AND($J4289="",$K4289="")),"",ROUND(N($J4289)-N($K4289),2))</f>
        <v/>
      </c>
      <c r="M4289" s="13">
        <f>IF(OR($A4289="",AND($J4289="",$K4289="")),"",MIN($J4289,$K4289))</f>
        <v/>
      </c>
      <c r="Q4289">
        <f>IF($A4289="","",$D4289&amp;"("&amp;SUBSTITUTE($E4289," ","")&amp;")")</f>
        <v/>
      </c>
      <c r="R4289">
        <f>IF($A4289="","",$B4289&amp;" - "&amp;$C4289)</f>
        <v/>
      </c>
      <c r="S4289">
        <f>IF($A4289="","",$R4289&amp;"|"&amp;$Q4289)</f>
        <v/>
      </c>
      <c r="T4289">
        <f>IF($A4289="","",$S4289&amp;"|"&amp;$F4289)</f>
        <v/>
      </c>
      <c r="U4289">
        <f>IF($A4289="","",$R4289&amp;"("&amp;$E4289&amp;")")</f>
        <v/>
      </c>
      <c r="V4289">
        <f>IF($A4289="","",$F4289&amp;"|"&amp;$U4289&amp;"|"&amp;$D4289)</f>
        <v/>
      </c>
      <c r="W4289">
        <f>IF($T4289="","",IF($X4289&gt;N($X4288),$X4289,""))</f>
        <v/>
      </c>
      <c r="X4289">
        <f>IF($T4289="",N($X4288),IF(MATCH($T4289,$T$6:$T$6005,0)=ROW()-5,N($X4288)+1,N($X4288)))</f>
        <v/>
      </c>
      <c r="Z4289">
        <f>IF($V4289="","",IF($AA4289&gt;N($AA4288),$AA4289,""))</f>
        <v/>
      </c>
      <c r="AA4289">
        <f>IF($V4289="",N($AA4288),IF(MATCH($V4289,$V$6:$V$6005,0)=ROW()-5,N($AA4288)+1,N($AA4288)))</f>
        <v/>
      </c>
    </row>
    <row r="4290" ht="21" customHeight="1" s="66">
      <c r="A4290" s="56" t="n"/>
      <c r="B4290" s="57" t="n"/>
      <c r="C4290" s="57" t="n"/>
      <c r="D4290" s="57" t="n"/>
      <c r="E4290" s="56" t="n"/>
      <c r="F4290" s="57" t="n"/>
      <c r="G4290" s="57" t="n"/>
      <c r="H4290" s="56" t="n"/>
      <c r="I4290" s="56" t="n"/>
      <c r="J4290" s="58" t="n"/>
      <c r="K4290" s="58" t="n"/>
      <c r="L4290" s="13">
        <f>IF(OR($A4290="",AND($J4290="",$K4290="")),"",ROUND(N($J4290)-N($K4290),2))</f>
        <v/>
      </c>
      <c r="M4290" s="13">
        <f>IF(OR($A4290="",AND($J4290="",$K4290="")),"",MIN($J4290,$K4290))</f>
        <v/>
      </c>
      <c r="Q4290">
        <f>IF($A4290="","",$D4290&amp;"("&amp;SUBSTITUTE($E4290," ","")&amp;")")</f>
        <v/>
      </c>
      <c r="R4290">
        <f>IF($A4290="","",$B4290&amp;" - "&amp;$C4290)</f>
        <v/>
      </c>
      <c r="S4290">
        <f>IF($A4290="","",$R4290&amp;"|"&amp;$Q4290)</f>
        <v/>
      </c>
      <c r="T4290">
        <f>IF($A4290="","",$S4290&amp;"|"&amp;$F4290)</f>
        <v/>
      </c>
      <c r="U4290">
        <f>IF($A4290="","",$R4290&amp;"("&amp;$E4290&amp;")")</f>
        <v/>
      </c>
      <c r="V4290">
        <f>IF($A4290="","",$F4290&amp;"|"&amp;$U4290&amp;"|"&amp;$D4290)</f>
        <v/>
      </c>
      <c r="W4290">
        <f>IF($T4290="","",IF($X4290&gt;N($X4289),$X4290,""))</f>
        <v/>
      </c>
      <c r="X4290">
        <f>IF($T4290="",N($X4289),IF(MATCH($T4290,$T$6:$T$6005,0)=ROW()-5,N($X4289)+1,N($X4289)))</f>
        <v/>
      </c>
      <c r="Z4290">
        <f>IF($V4290="","",IF($AA4290&gt;N($AA4289),$AA4290,""))</f>
        <v/>
      </c>
      <c r="AA4290">
        <f>IF($V4290="",N($AA4289),IF(MATCH($V4290,$V$6:$V$6005,0)=ROW()-5,N($AA4289)+1,N($AA4289)))</f>
        <v/>
      </c>
    </row>
    <row r="4291" ht="21" customHeight="1" s="66">
      <c r="A4291" s="56" t="n"/>
      <c r="B4291" s="57" t="n"/>
      <c r="C4291" s="57" t="n"/>
      <c r="D4291" s="57" t="n"/>
      <c r="E4291" s="56" t="n"/>
      <c r="F4291" s="57" t="n"/>
      <c r="G4291" s="57" t="n"/>
      <c r="H4291" s="56" t="n"/>
      <c r="I4291" s="56" t="n"/>
      <c r="J4291" s="58" t="n"/>
      <c r="K4291" s="58" t="n"/>
      <c r="L4291" s="13">
        <f>IF(OR($A4291="",AND($J4291="",$K4291="")),"",ROUND(N($J4291)-N($K4291),2))</f>
        <v/>
      </c>
      <c r="M4291" s="13">
        <f>IF(OR($A4291="",AND($J4291="",$K4291="")),"",MIN($J4291,$K4291))</f>
        <v/>
      </c>
      <c r="Q4291">
        <f>IF($A4291="","",$D4291&amp;"("&amp;SUBSTITUTE($E4291," ","")&amp;")")</f>
        <v/>
      </c>
      <c r="R4291">
        <f>IF($A4291="","",$B4291&amp;" - "&amp;$C4291)</f>
        <v/>
      </c>
      <c r="S4291">
        <f>IF($A4291="","",$R4291&amp;"|"&amp;$Q4291)</f>
        <v/>
      </c>
      <c r="T4291">
        <f>IF($A4291="","",$S4291&amp;"|"&amp;$F4291)</f>
        <v/>
      </c>
      <c r="U4291">
        <f>IF($A4291="","",$R4291&amp;"("&amp;$E4291&amp;")")</f>
        <v/>
      </c>
      <c r="V4291">
        <f>IF($A4291="","",$F4291&amp;"|"&amp;$U4291&amp;"|"&amp;$D4291)</f>
        <v/>
      </c>
      <c r="W4291">
        <f>IF($T4291="","",IF($X4291&gt;N($X4290),$X4291,""))</f>
        <v/>
      </c>
      <c r="X4291">
        <f>IF($T4291="",N($X4290),IF(MATCH($T4291,$T$6:$T$6005,0)=ROW()-5,N($X4290)+1,N($X4290)))</f>
        <v/>
      </c>
      <c r="Z4291">
        <f>IF($V4291="","",IF($AA4291&gt;N($AA4290),$AA4291,""))</f>
        <v/>
      </c>
      <c r="AA4291">
        <f>IF($V4291="",N($AA4290),IF(MATCH($V4291,$V$6:$V$6005,0)=ROW()-5,N($AA4290)+1,N($AA4290)))</f>
        <v/>
      </c>
    </row>
    <row r="4292" ht="21" customHeight="1" s="66">
      <c r="A4292" s="56" t="n"/>
      <c r="B4292" s="57" t="n"/>
      <c r="C4292" s="57" t="n"/>
      <c r="D4292" s="57" t="n"/>
      <c r="E4292" s="56" t="n"/>
      <c r="F4292" s="57" t="n"/>
      <c r="G4292" s="57" t="n"/>
      <c r="H4292" s="56" t="n"/>
      <c r="I4292" s="56" t="n"/>
      <c r="J4292" s="58" t="n"/>
      <c r="K4292" s="58" t="n"/>
      <c r="L4292" s="13">
        <f>IF(OR($A4292="",AND($J4292="",$K4292="")),"",ROUND(N($J4292)-N($K4292),2))</f>
        <v/>
      </c>
      <c r="M4292" s="13">
        <f>IF(OR($A4292="",AND($J4292="",$K4292="")),"",MIN($J4292,$K4292))</f>
        <v/>
      </c>
      <c r="Q4292">
        <f>IF($A4292="","",$D4292&amp;"("&amp;SUBSTITUTE($E4292," ","")&amp;")")</f>
        <v/>
      </c>
      <c r="R4292">
        <f>IF($A4292="","",$B4292&amp;" - "&amp;$C4292)</f>
        <v/>
      </c>
      <c r="S4292">
        <f>IF($A4292="","",$R4292&amp;"|"&amp;$Q4292)</f>
        <v/>
      </c>
      <c r="T4292">
        <f>IF($A4292="","",$S4292&amp;"|"&amp;$F4292)</f>
        <v/>
      </c>
      <c r="U4292">
        <f>IF($A4292="","",$R4292&amp;"("&amp;$E4292&amp;")")</f>
        <v/>
      </c>
      <c r="V4292">
        <f>IF($A4292="","",$F4292&amp;"|"&amp;$U4292&amp;"|"&amp;$D4292)</f>
        <v/>
      </c>
      <c r="W4292">
        <f>IF($T4292="","",IF($X4292&gt;N($X4291),$X4292,""))</f>
        <v/>
      </c>
      <c r="X4292">
        <f>IF($T4292="",N($X4291),IF(MATCH($T4292,$T$6:$T$6005,0)=ROW()-5,N($X4291)+1,N($X4291)))</f>
        <v/>
      </c>
      <c r="Z4292">
        <f>IF($V4292="","",IF($AA4292&gt;N($AA4291),$AA4292,""))</f>
        <v/>
      </c>
      <c r="AA4292">
        <f>IF($V4292="",N($AA4291),IF(MATCH($V4292,$V$6:$V$6005,0)=ROW()-5,N($AA4291)+1,N($AA4291)))</f>
        <v/>
      </c>
    </row>
    <row r="4293" ht="21" customHeight="1" s="66">
      <c r="A4293" s="56" t="n"/>
      <c r="B4293" s="57" t="n"/>
      <c r="C4293" s="57" t="n"/>
      <c r="D4293" s="57" t="n"/>
      <c r="E4293" s="56" t="n"/>
      <c r="F4293" s="57" t="n"/>
      <c r="G4293" s="57" t="n"/>
      <c r="H4293" s="56" t="n"/>
      <c r="I4293" s="56" t="n"/>
      <c r="J4293" s="58" t="n"/>
      <c r="K4293" s="58" t="n"/>
      <c r="L4293" s="13">
        <f>IF(OR($A4293="",AND($J4293="",$K4293="")),"",ROUND(N($J4293)-N($K4293),2))</f>
        <v/>
      </c>
      <c r="M4293" s="13">
        <f>IF(OR($A4293="",AND($J4293="",$K4293="")),"",MIN($J4293,$K4293))</f>
        <v/>
      </c>
      <c r="Q4293">
        <f>IF($A4293="","",$D4293&amp;"("&amp;SUBSTITUTE($E4293," ","")&amp;")")</f>
        <v/>
      </c>
      <c r="R4293">
        <f>IF($A4293="","",$B4293&amp;" - "&amp;$C4293)</f>
        <v/>
      </c>
      <c r="S4293">
        <f>IF($A4293="","",$R4293&amp;"|"&amp;$Q4293)</f>
        <v/>
      </c>
      <c r="T4293">
        <f>IF($A4293="","",$S4293&amp;"|"&amp;$F4293)</f>
        <v/>
      </c>
      <c r="U4293">
        <f>IF($A4293="","",$R4293&amp;"("&amp;$E4293&amp;")")</f>
        <v/>
      </c>
      <c r="V4293">
        <f>IF($A4293="","",$F4293&amp;"|"&amp;$U4293&amp;"|"&amp;$D4293)</f>
        <v/>
      </c>
      <c r="W4293">
        <f>IF($T4293="","",IF($X4293&gt;N($X4292),$X4293,""))</f>
        <v/>
      </c>
      <c r="X4293">
        <f>IF($T4293="",N($X4292),IF(MATCH($T4293,$T$6:$T$6005,0)=ROW()-5,N($X4292)+1,N($X4292)))</f>
        <v/>
      </c>
      <c r="Z4293">
        <f>IF($V4293="","",IF($AA4293&gt;N($AA4292),$AA4293,""))</f>
        <v/>
      </c>
      <c r="AA4293">
        <f>IF($V4293="",N($AA4292),IF(MATCH($V4293,$V$6:$V$6005,0)=ROW()-5,N($AA4292)+1,N($AA4292)))</f>
        <v/>
      </c>
    </row>
    <row r="4294" ht="21" customHeight="1" s="66">
      <c r="A4294" s="56" t="n"/>
      <c r="B4294" s="57" t="n"/>
      <c r="C4294" s="57" t="n"/>
      <c r="D4294" s="57" t="n"/>
      <c r="E4294" s="56" t="n"/>
      <c r="F4294" s="57" t="n"/>
      <c r="G4294" s="57" t="n"/>
      <c r="H4294" s="56" t="n"/>
      <c r="I4294" s="56" t="n"/>
      <c r="J4294" s="58" t="n"/>
      <c r="K4294" s="58" t="n"/>
      <c r="L4294" s="13">
        <f>IF(OR($A4294="",AND($J4294="",$K4294="")),"",ROUND(N($J4294)-N($K4294),2))</f>
        <v/>
      </c>
      <c r="M4294" s="13">
        <f>IF(OR($A4294="",AND($J4294="",$K4294="")),"",MIN($J4294,$K4294))</f>
        <v/>
      </c>
      <c r="Q4294">
        <f>IF($A4294="","",$D4294&amp;"("&amp;SUBSTITUTE($E4294," ","")&amp;")")</f>
        <v/>
      </c>
      <c r="R4294">
        <f>IF($A4294="","",$B4294&amp;" - "&amp;$C4294)</f>
        <v/>
      </c>
      <c r="S4294">
        <f>IF($A4294="","",$R4294&amp;"|"&amp;$Q4294)</f>
        <v/>
      </c>
      <c r="T4294">
        <f>IF($A4294="","",$S4294&amp;"|"&amp;$F4294)</f>
        <v/>
      </c>
      <c r="U4294">
        <f>IF($A4294="","",$R4294&amp;"("&amp;$E4294&amp;")")</f>
        <v/>
      </c>
      <c r="V4294">
        <f>IF($A4294="","",$F4294&amp;"|"&amp;$U4294&amp;"|"&amp;$D4294)</f>
        <v/>
      </c>
      <c r="W4294">
        <f>IF($T4294="","",IF($X4294&gt;N($X4293),$X4294,""))</f>
        <v/>
      </c>
      <c r="X4294">
        <f>IF($T4294="",N($X4293),IF(MATCH($T4294,$T$6:$T$6005,0)=ROW()-5,N($X4293)+1,N($X4293)))</f>
        <v/>
      </c>
      <c r="Z4294">
        <f>IF($V4294="","",IF($AA4294&gt;N($AA4293),$AA4294,""))</f>
        <v/>
      </c>
      <c r="AA4294">
        <f>IF($V4294="",N($AA4293),IF(MATCH($V4294,$V$6:$V$6005,0)=ROW()-5,N($AA4293)+1,N($AA4293)))</f>
        <v/>
      </c>
    </row>
    <row r="4295" ht="21" customHeight="1" s="66">
      <c r="A4295" s="56" t="n"/>
      <c r="B4295" s="57" t="n"/>
      <c r="C4295" s="57" t="n"/>
      <c r="D4295" s="57" t="n"/>
      <c r="E4295" s="56" t="n"/>
      <c r="F4295" s="57" t="n"/>
      <c r="G4295" s="57" t="n"/>
      <c r="H4295" s="56" t="n"/>
      <c r="I4295" s="56" t="n"/>
      <c r="J4295" s="58" t="n"/>
      <c r="K4295" s="58" t="n"/>
      <c r="L4295" s="13">
        <f>IF(OR($A4295="",AND($J4295="",$K4295="")),"",ROUND(N($J4295)-N($K4295),2))</f>
        <v/>
      </c>
      <c r="M4295" s="13">
        <f>IF(OR($A4295="",AND($J4295="",$K4295="")),"",MIN($J4295,$K4295))</f>
        <v/>
      </c>
      <c r="Q4295">
        <f>IF($A4295="","",$D4295&amp;"("&amp;SUBSTITUTE($E4295," ","")&amp;")")</f>
        <v/>
      </c>
      <c r="R4295">
        <f>IF($A4295="","",$B4295&amp;" - "&amp;$C4295)</f>
        <v/>
      </c>
      <c r="S4295">
        <f>IF($A4295="","",$R4295&amp;"|"&amp;$Q4295)</f>
        <v/>
      </c>
      <c r="T4295">
        <f>IF($A4295="","",$S4295&amp;"|"&amp;$F4295)</f>
        <v/>
      </c>
      <c r="U4295">
        <f>IF($A4295="","",$R4295&amp;"("&amp;$E4295&amp;")")</f>
        <v/>
      </c>
      <c r="V4295">
        <f>IF($A4295="","",$F4295&amp;"|"&amp;$U4295&amp;"|"&amp;$D4295)</f>
        <v/>
      </c>
      <c r="W4295">
        <f>IF($T4295="","",IF($X4295&gt;N($X4294),$X4295,""))</f>
        <v/>
      </c>
      <c r="X4295">
        <f>IF($T4295="",N($X4294),IF(MATCH($T4295,$T$6:$T$6005,0)=ROW()-5,N($X4294)+1,N($X4294)))</f>
        <v/>
      </c>
      <c r="Z4295">
        <f>IF($V4295="","",IF($AA4295&gt;N($AA4294),$AA4295,""))</f>
        <v/>
      </c>
      <c r="AA4295">
        <f>IF($V4295="",N($AA4294),IF(MATCH($V4295,$V$6:$V$6005,0)=ROW()-5,N($AA4294)+1,N($AA4294)))</f>
        <v/>
      </c>
    </row>
    <row r="4296" ht="21" customHeight="1" s="66">
      <c r="A4296" s="56" t="n"/>
      <c r="B4296" s="57" t="n"/>
      <c r="C4296" s="57" t="n"/>
      <c r="D4296" s="57" t="n"/>
      <c r="E4296" s="56" t="n"/>
      <c r="F4296" s="57" t="n"/>
      <c r="G4296" s="57" t="n"/>
      <c r="H4296" s="56" t="n"/>
      <c r="I4296" s="56" t="n"/>
      <c r="J4296" s="58" t="n"/>
      <c r="K4296" s="58" t="n"/>
      <c r="L4296" s="13">
        <f>IF(OR($A4296="",AND($J4296="",$K4296="")),"",ROUND(N($J4296)-N($K4296),2))</f>
        <v/>
      </c>
      <c r="M4296" s="13">
        <f>IF(OR($A4296="",AND($J4296="",$K4296="")),"",MIN($J4296,$K4296))</f>
        <v/>
      </c>
      <c r="Q4296">
        <f>IF($A4296="","",$D4296&amp;"("&amp;SUBSTITUTE($E4296," ","")&amp;")")</f>
        <v/>
      </c>
      <c r="R4296">
        <f>IF($A4296="","",$B4296&amp;" - "&amp;$C4296)</f>
        <v/>
      </c>
      <c r="S4296">
        <f>IF($A4296="","",$R4296&amp;"|"&amp;$Q4296)</f>
        <v/>
      </c>
      <c r="T4296">
        <f>IF($A4296="","",$S4296&amp;"|"&amp;$F4296)</f>
        <v/>
      </c>
      <c r="U4296">
        <f>IF($A4296="","",$R4296&amp;"("&amp;$E4296&amp;")")</f>
        <v/>
      </c>
      <c r="V4296">
        <f>IF($A4296="","",$F4296&amp;"|"&amp;$U4296&amp;"|"&amp;$D4296)</f>
        <v/>
      </c>
      <c r="W4296">
        <f>IF($T4296="","",IF($X4296&gt;N($X4295),$X4296,""))</f>
        <v/>
      </c>
      <c r="X4296">
        <f>IF($T4296="",N($X4295),IF(MATCH($T4296,$T$6:$T$6005,0)=ROW()-5,N($X4295)+1,N($X4295)))</f>
        <v/>
      </c>
      <c r="Z4296">
        <f>IF($V4296="","",IF($AA4296&gt;N($AA4295),$AA4296,""))</f>
        <v/>
      </c>
      <c r="AA4296">
        <f>IF($V4296="",N($AA4295),IF(MATCH($V4296,$V$6:$V$6005,0)=ROW()-5,N($AA4295)+1,N($AA4295)))</f>
        <v/>
      </c>
    </row>
    <row r="4297" ht="21" customHeight="1" s="66">
      <c r="A4297" s="56" t="n"/>
      <c r="B4297" s="57" t="n"/>
      <c r="C4297" s="57" t="n"/>
      <c r="D4297" s="57" t="n"/>
      <c r="E4297" s="56" t="n"/>
      <c r="F4297" s="57" t="n"/>
      <c r="G4297" s="57" t="n"/>
      <c r="H4297" s="56" t="n"/>
      <c r="I4297" s="56" t="n"/>
      <c r="J4297" s="58" t="n"/>
      <c r="K4297" s="58" t="n"/>
      <c r="L4297" s="13">
        <f>IF(OR($A4297="",AND($J4297="",$K4297="")),"",ROUND(N($J4297)-N($K4297),2))</f>
        <v/>
      </c>
      <c r="M4297" s="13">
        <f>IF(OR($A4297="",AND($J4297="",$K4297="")),"",MIN($J4297,$K4297))</f>
        <v/>
      </c>
      <c r="Q4297">
        <f>IF($A4297="","",$D4297&amp;"("&amp;SUBSTITUTE($E4297," ","")&amp;")")</f>
        <v/>
      </c>
      <c r="R4297">
        <f>IF($A4297="","",$B4297&amp;" - "&amp;$C4297)</f>
        <v/>
      </c>
      <c r="S4297">
        <f>IF($A4297="","",$R4297&amp;"|"&amp;$Q4297)</f>
        <v/>
      </c>
      <c r="T4297">
        <f>IF($A4297="","",$S4297&amp;"|"&amp;$F4297)</f>
        <v/>
      </c>
      <c r="U4297">
        <f>IF($A4297="","",$R4297&amp;"("&amp;$E4297&amp;")")</f>
        <v/>
      </c>
      <c r="V4297">
        <f>IF($A4297="","",$F4297&amp;"|"&amp;$U4297&amp;"|"&amp;$D4297)</f>
        <v/>
      </c>
      <c r="W4297">
        <f>IF($T4297="","",IF($X4297&gt;N($X4296),$X4297,""))</f>
        <v/>
      </c>
      <c r="X4297">
        <f>IF($T4297="",N($X4296),IF(MATCH($T4297,$T$6:$T$6005,0)=ROW()-5,N($X4296)+1,N($X4296)))</f>
        <v/>
      </c>
      <c r="Z4297">
        <f>IF($V4297="","",IF($AA4297&gt;N($AA4296),$AA4297,""))</f>
        <v/>
      </c>
      <c r="AA4297">
        <f>IF($V4297="",N($AA4296),IF(MATCH($V4297,$V$6:$V$6005,0)=ROW()-5,N($AA4296)+1,N($AA4296)))</f>
        <v/>
      </c>
    </row>
    <row r="4298" ht="21" customHeight="1" s="66">
      <c r="A4298" s="56" t="n"/>
      <c r="B4298" s="57" t="n"/>
      <c r="C4298" s="57" t="n"/>
      <c r="D4298" s="57" t="n"/>
      <c r="E4298" s="56" t="n"/>
      <c r="F4298" s="57" t="n"/>
      <c r="G4298" s="57" t="n"/>
      <c r="H4298" s="56" t="n"/>
      <c r="I4298" s="56" t="n"/>
      <c r="J4298" s="58" t="n"/>
      <c r="K4298" s="58" t="n"/>
      <c r="L4298" s="13">
        <f>IF(OR($A4298="",AND($J4298="",$K4298="")),"",ROUND(N($J4298)-N($K4298),2))</f>
        <v/>
      </c>
      <c r="M4298" s="13">
        <f>IF(OR($A4298="",AND($J4298="",$K4298="")),"",MIN($J4298,$K4298))</f>
        <v/>
      </c>
      <c r="Q4298">
        <f>IF($A4298="","",$D4298&amp;"("&amp;SUBSTITUTE($E4298," ","")&amp;")")</f>
        <v/>
      </c>
      <c r="R4298">
        <f>IF($A4298="","",$B4298&amp;" - "&amp;$C4298)</f>
        <v/>
      </c>
      <c r="S4298">
        <f>IF($A4298="","",$R4298&amp;"|"&amp;$Q4298)</f>
        <v/>
      </c>
      <c r="T4298">
        <f>IF($A4298="","",$S4298&amp;"|"&amp;$F4298)</f>
        <v/>
      </c>
      <c r="U4298">
        <f>IF($A4298="","",$R4298&amp;"("&amp;$E4298&amp;")")</f>
        <v/>
      </c>
      <c r="V4298">
        <f>IF($A4298="","",$F4298&amp;"|"&amp;$U4298&amp;"|"&amp;$D4298)</f>
        <v/>
      </c>
      <c r="W4298">
        <f>IF($T4298="","",IF($X4298&gt;N($X4297),$X4298,""))</f>
        <v/>
      </c>
      <c r="X4298">
        <f>IF($T4298="",N($X4297),IF(MATCH($T4298,$T$6:$T$6005,0)=ROW()-5,N($X4297)+1,N($X4297)))</f>
        <v/>
      </c>
      <c r="Z4298">
        <f>IF($V4298="","",IF($AA4298&gt;N($AA4297),$AA4298,""))</f>
        <v/>
      </c>
      <c r="AA4298">
        <f>IF($V4298="",N($AA4297),IF(MATCH($V4298,$V$6:$V$6005,0)=ROW()-5,N($AA4297)+1,N($AA4297)))</f>
        <v/>
      </c>
    </row>
    <row r="4299" ht="21" customHeight="1" s="66">
      <c r="A4299" s="56" t="n"/>
      <c r="B4299" s="57" t="n"/>
      <c r="C4299" s="57" t="n"/>
      <c r="D4299" s="57" t="n"/>
      <c r="E4299" s="56" t="n"/>
      <c r="F4299" s="57" t="n"/>
      <c r="G4299" s="57" t="n"/>
      <c r="H4299" s="56" t="n"/>
      <c r="I4299" s="56" t="n"/>
      <c r="J4299" s="58" t="n"/>
      <c r="K4299" s="58" t="n"/>
      <c r="L4299" s="13">
        <f>IF(OR($A4299="",AND($J4299="",$K4299="")),"",ROUND(N($J4299)-N($K4299),2))</f>
        <v/>
      </c>
      <c r="M4299" s="13">
        <f>IF(OR($A4299="",AND($J4299="",$K4299="")),"",MIN($J4299,$K4299))</f>
        <v/>
      </c>
      <c r="Q4299">
        <f>IF($A4299="","",$D4299&amp;"("&amp;SUBSTITUTE($E4299," ","")&amp;")")</f>
        <v/>
      </c>
      <c r="R4299">
        <f>IF($A4299="","",$B4299&amp;" - "&amp;$C4299)</f>
        <v/>
      </c>
      <c r="S4299">
        <f>IF($A4299="","",$R4299&amp;"|"&amp;$Q4299)</f>
        <v/>
      </c>
      <c r="T4299">
        <f>IF($A4299="","",$S4299&amp;"|"&amp;$F4299)</f>
        <v/>
      </c>
      <c r="U4299">
        <f>IF($A4299="","",$R4299&amp;"("&amp;$E4299&amp;")")</f>
        <v/>
      </c>
      <c r="V4299">
        <f>IF($A4299="","",$F4299&amp;"|"&amp;$U4299&amp;"|"&amp;$D4299)</f>
        <v/>
      </c>
      <c r="W4299">
        <f>IF($T4299="","",IF($X4299&gt;N($X4298),$X4299,""))</f>
        <v/>
      </c>
      <c r="X4299">
        <f>IF($T4299="",N($X4298),IF(MATCH($T4299,$T$6:$T$6005,0)=ROW()-5,N($X4298)+1,N($X4298)))</f>
        <v/>
      </c>
      <c r="Z4299">
        <f>IF($V4299="","",IF($AA4299&gt;N($AA4298),$AA4299,""))</f>
        <v/>
      </c>
      <c r="AA4299">
        <f>IF($V4299="",N($AA4298),IF(MATCH($V4299,$V$6:$V$6005,0)=ROW()-5,N($AA4298)+1,N($AA4298)))</f>
        <v/>
      </c>
    </row>
    <row r="4300" ht="21" customHeight="1" s="66">
      <c r="A4300" s="56" t="n"/>
      <c r="B4300" s="57" t="n"/>
      <c r="C4300" s="57" t="n"/>
      <c r="D4300" s="57" t="n"/>
      <c r="E4300" s="56" t="n"/>
      <c r="F4300" s="57" t="n"/>
      <c r="G4300" s="57" t="n"/>
      <c r="H4300" s="56" t="n"/>
      <c r="I4300" s="56" t="n"/>
      <c r="J4300" s="58" t="n"/>
      <c r="K4300" s="58" t="n"/>
      <c r="L4300" s="13">
        <f>IF(OR($A4300="",AND($J4300="",$K4300="")),"",ROUND(N($J4300)-N($K4300),2))</f>
        <v/>
      </c>
      <c r="M4300" s="13">
        <f>IF(OR($A4300="",AND($J4300="",$K4300="")),"",MIN($J4300,$K4300))</f>
        <v/>
      </c>
      <c r="Q4300">
        <f>IF($A4300="","",$D4300&amp;"("&amp;SUBSTITUTE($E4300," ","")&amp;")")</f>
        <v/>
      </c>
      <c r="R4300">
        <f>IF($A4300="","",$B4300&amp;" - "&amp;$C4300)</f>
        <v/>
      </c>
      <c r="S4300">
        <f>IF($A4300="","",$R4300&amp;"|"&amp;$Q4300)</f>
        <v/>
      </c>
      <c r="T4300">
        <f>IF($A4300="","",$S4300&amp;"|"&amp;$F4300)</f>
        <v/>
      </c>
      <c r="U4300">
        <f>IF($A4300="","",$R4300&amp;"("&amp;$E4300&amp;")")</f>
        <v/>
      </c>
      <c r="V4300">
        <f>IF($A4300="","",$F4300&amp;"|"&amp;$U4300&amp;"|"&amp;$D4300)</f>
        <v/>
      </c>
      <c r="W4300">
        <f>IF($T4300="","",IF($X4300&gt;N($X4299),$X4300,""))</f>
        <v/>
      </c>
      <c r="X4300">
        <f>IF($T4300="",N($X4299),IF(MATCH($T4300,$T$6:$T$6005,0)=ROW()-5,N($X4299)+1,N($X4299)))</f>
        <v/>
      </c>
      <c r="Z4300">
        <f>IF($V4300="","",IF($AA4300&gt;N($AA4299),$AA4300,""))</f>
        <v/>
      </c>
      <c r="AA4300">
        <f>IF($V4300="",N($AA4299),IF(MATCH($V4300,$V$6:$V$6005,0)=ROW()-5,N($AA4299)+1,N($AA4299)))</f>
        <v/>
      </c>
    </row>
    <row r="4301" ht="21" customHeight="1" s="66">
      <c r="A4301" s="56" t="n"/>
      <c r="B4301" s="57" t="n"/>
      <c r="C4301" s="57" t="n"/>
      <c r="D4301" s="57" t="n"/>
      <c r="E4301" s="56" t="n"/>
      <c r="F4301" s="57" t="n"/>
      <c r="G4301" s="57" t="n"/>
      <c r="H4301" s="56" t="n"/>
      <c r="I4301" s="56" t="n"/>
      <c r="J4301" s="58" t="n"/>
      <c r="K4301" s="58" t="n"/>
      <c r="L4301" s="13">
        <f>IF(OR($A4301="",AND($J4301="",$K4301="")),"",ROUND(N($J4301)-N($K4301),2))</f>
        <v/>
      </c>
      <c r="M4301" s="13">
        <f>IF(OR($A4301="",AND($J4301="",$K4301="")),"",MIN($J4301,$K4301))</f>
        <v/>
      </c>
      <c r="Q4301">
        <f>IF($A4301="","",$D4301&amp;"("&amp;SUBSTITUTE($E4301," ","")&amp;")")</f>
        <v/>
      </c>
      <c r="R4301">
        <f>IF($A4301="","",$B4301&amp;" - "&amp;$C4301)</f>
        <v/>
      </c>
      <c r="S4301">
        <f>IF($A4301="","",$R4301&amp;"|"&amp;$Q4301)</f>
        <v/>
      </c>
      <c r="T4301">
        <f>IF($A4301="","",$S4301&amp;"|"&amp;$F4301)</f>
        <v/>
      </c>
      <c r="U4301">
        <f>IF($A4301="","",$R4301&amp;"("&amp;$E4301&amp;")")</f>
        <v/>
      </c>
      <c r="V4301">
        <f>IF($A4301="","",$F4301&amp;"|"&amp;$U4301&amp;"|"&amp;$D4301)</f>
        <v/>
      </c>
      <c r="W4301">
        <f>IF($T4301="","",IF($X4301&gt;N($X4300),$X4301,""))</f>
        <v/>
      </c>
      <c r="X4301">
        <f>IF($T4301="",N($X4300),IF(MATCH($T4301,$T$6:$T$6005,0)=ROW()-5,N($X4300)+1,N($X4300)))</f>
        <v/>
      </c>
      <c r="Z4301">
        <f>IF($V4301="","",IF($AA4301&gt;N($AA4300),$AA4301,""))</f>
        <v/>
      </c>
      <c r="AA4301">
        <f>IF($V4301="",N($AA4300),IF(MATCH($V4301,$V$6:$V$6005,0)=ROW()-5,N($AA4300)+1,N($AA4300)))</f>
        <v/>
      </c>
    </row>
    <row r="4302" ht="21" customHeight="1" s="66">
      <c r="A4302" s="56" t="n"/>
      <c r="B4302" s="57" t="n"/>
      <c r="C4302" s="57" t="n"/>
      <c r="D4302" s="57" t="n"/>
      <c r="E4302" s="56" t="n"/>
      <c r="F4302" s="57" t="n"/>
      <c r="G4302" s="57" t="n"/>
      <c r="H4302" s="56" t="n"/>
      <c r="I4302" s="56" t="n"/>
      <c r="J4302" s="58" t="n"/>
      <c r="K4302" s="58" t="n"/>
      <c r="L4302" s="13">
        <f>IF(OR($A4302="",AND($J4302="",$K4302="")),"",ROUND(N($J4302)-N($K4302),2))</f>
        <v/>
      </c>
      <c r="M4302" s="13">
        <f>IF(OR($A4302="",AND($J4302="",$K4302="")),"",MIN($J4302,$K4302))</f>
        <v/>
      </c>
      <c r="Q4302">
        <f>IF($A4302="","",$D4302&amp;"("&amp;SUBSTITUTE($E4302," ","")&amp;")")</f>
        <v/>
      </c>
      <c r="R4302">
        <f>IF($A4302="","",$B4302&amp;" - "&amp;$C4302)</f>
        <v/>
      </c>
      <c r="S4302">
        <f>IF($A4302="","",$R4302&amp;"|"&amp;$Q4302)</f>
        <v/>
      </c>
      <c r="T4302">
        <f>IF($A4302="","",$S4302&amp;"|"&amp;$F4302)</f>
        <v/>
      </c>
      <c r="U4302">
        <f>IF($A4302="","",$R4302&amp;"("&amp;$E4302&amp;")")</f>
        <v/>
      </c>
      <c r="V4302">
        <f>IF($A4302="","",$F4302&amp;"|"&amp;$U4302&amp;"|"&amp;$D4302)</f>
        <v/>
      </c>
      <c r="W4302">
        <f>IF($T4302="","",IF($X4302&gt;N($X4301),$X4302,""))</f>
        <v/>
      </c>
      <c r="X4302">
        <f>IF($T4302="",N($X4301),IF(MATCH($T4302,$T$6:$T$6005,0)=ROW()-5,N($X4301)+1,N($X4301)))</f>
        <v/>
      </c>
      <c r="Z4302">
        <f>IF($V4302="","",IF($AA4302&gt;N($AA4301),$AA4302,""))</f>
        <v/>
      </c>
      <c r="AA4302">
        <f>IF($V4302="",N($AA4301),IF(MATCH($V4302,$V$6:$V$6005,0)=ROW()-5,N($AA4301)+1,N($AA4301)))</f>
        <v/>
      </c>
    </row>
    <row r="4303" ht="21" customHeight="1" s="66">
      <c r="A4303" s="56" t="n"/>
      <c r="B4303" s="57" t="n"/>
      <c r="C4303" s="57" t="n"/>
      <c r="D4303" s="57" t="n"/>
      <c r="E4303" s="56" t="n"/>
      <c r="F4303" s="57" t="n"/>
      <c r="G4303" s="57" t="n"/>
      <c r="H4303" s="56" t="n"/>
      <c r="I4303" s="56" t="n"/>
      <c r="J4303" s="58" t="n"/>
      <c r="K4303" s="58" t="n"/>
      <c r="L4303" s="13">
        <f>IF(OR($A4303="",AND($J4303="",$K4303="")),"",ROUND(N($J4303)-N($K4303),2))</f>
        <v/>
      </c>
      <c r="M4303" s="13">
        <f>IF(OR($A4303="",AND($J4303="",$K4303="")),"",MIN($J4303,$K4303))</f>
        <v/>
      </c>
      <c r="Q4303">
        <f>IF($A4303="","",$D4303&amp;"("&amp;SUBSTITUTE($E4303," ","")&amp;")")</f>
        <v/>
      </c>
      <c r="R4303">
        <f>IF($A4303="","",$B4303&amp;" - "&amp;$C4303)</f>
        <v/>
      </c>
      <c r="S4303">
        <f>IF($A4303="","",$R4303&amp;"|"&amp;$Q4303)</f>
        <v/>
      </c>
      <c r="T4303">
        <f>IF($A4303="","",$S4303&amp;"|"&amp;$F4303)</f>
        <v/>
      </c>
      <c r="U4303">
        <f>IF($A4303="","",$R4303&amp;"("&amp;$E4303&amp;")")</f>
        <v/>
      </c>
      <c r="V4303">
        <f>IF($A4303="","",$F4303&amp;"|"&amp;$U4303&amp;"|"&amp;$D4303)</f>
        <v/>
      </c>
      <c r="W4303">
        <f>IF($T4303="","",IF($X4303&gt;N($X4302),$X4303,""))</f>
        <v/>
      </c>
      <c r="X4303">
        <f>IF($T4303="",N($X4302),IF(MATCH($T4303,$T$6:$T$6005,0)=ROW()-5,N($X4302)+1,N($X4302)))</f>
        <v/>
      </c>
      <c r="Z4303">
        <f>IF($V4303="","",IF($AA4303&gt;N($AA4302),$AA4303,""))</f>
        <v/>
      </c>
      <c r="AA4303">
        <f>IF($V4303="",N($AA4302),IF(MATCH($V4303,$V$6:$V$6005,0)=ROW()-5,N($AA4302)+1,N($AA4302)))</f>
        <v/>
      </c>
    </row>
    <row r="4304" ht="21" customHeight="1" s="66">
      <c r="A4304" s="56" t="n"/>
      <c r="B4304" s="57" t="n"/>
      <c r="C4304" s="57" t="n"/>
      <c r="D4304" s="57" t="n"/>
      <c r="E4304" s="56" t="n"/>
      <c r="F4304" s="57" t="n"/>
      <c r="G4304" s="57" t="n"/>
      <c r="H4304" s="56" t="n"/>
      <c r="I4304" s="56" t="n"/>
      <c r="J4304" s="58" t="n"/>
      <c r="K4304" s="58" t="n"/>
      <c r="L4304" s="13">
        <f>IF(OR($A4304="",AND($J4304="",$K4304="")),"",ROUND(N($J4304)-N($K4304),2))</f>
        <v/>
      </c>
      <c r="M4304" s="13">
        <f>IF(OR($A4304="",AND($J4304="",$K4304="")),"",MIN($J4304,$K4304))</f>
        <v/>
      </c>
      <c r="Q4304">
        <f>IF($A4304="","",$D4304&amp;"("&amp;SUBSTITUTE($E4304," ","")&amp;")")</f>
        <v/>
      </c>
      <c r="R4304">
        <f>IF($A4304="","",$B4304&amp;" - "&amp;$C4304)</f>
        <v/>
      </c>
      <c r="S4304">
        <f>IF($A4304="","",$R4304&amp;"|"&amp;$Q4304)</f>
        <v/>
      </c>
      <c r="T4304">
        <f>IF($A4304="","",$S4304&amp;"|"&amp;$F4304)</f>
        <v/>
      </c>
      <c r="U4304">
        <f>IF($A4304="","",$R4304&amp;"("&amp;$E4304&amp;")")</f>
        <v/>
      </c>
      <c r="V4304">
        <f>IF($A4304="","",$F4304&amp;"|"&amp;$U4304&amp;"|"&amp;$D4304)</f>
        <v/>
      </c>
      <c r="W4304">
        <f>IF($T4304="","",IF($X4304&gt;N($X4303),$X4304,""))</f>
        <v/>
      </c>
      <c r="X4304">
        <f>IF($T4304="",N($X4303),IF(MATCH($T4304,$T$6:$T$6005,0)=ROW()-5,N($X4303)+1,N($X4303)))</f>
        <v/>
      </c>
      <c r="Z4304">
        <f>IF($V4304="","",IF($AA4304&gt;N($AA4303),$AA4304,""))</f>
        <v/>
      </c>
      <c r="AA4304">
        <f>IF($V4304="",N($AA4303),IF(MATCH($V4304,$V$6:$V$6005,0)=ROW()-5,N($AA4303)+1,N($AA4303)))</f>
        <v/>
      </c>
    </row>
    <row r="4305" ht="21" customHeight="1" s="66">
      <c r="A4305" s="56" t="n"/>
      <c r="B4305" s="57" t="n"/>
      <c r="C4305" s="57" t="n"/>
      <c r="D4305" s="57" t="n"/>
      <c r="E4305" s="56" t="n"/>
      <c r="F4305" s="57" t="n"/>
      <c r="G4305" s="57" t="n"/>
      <c r="H4305" s="56" t="n"/>
      <c r="I4305" s="56" t="n"/>
      <c r="J4305" s="58" t="n"/>
      <c r="K4305" s="58" t="n"/>
      <c r="L4305" s="13">
        <f>IF(OR($A4305="",AND($J4305="",$K4305="")),"",ROUND(N($J4305)-N($K4305),2))</f>
        <v/>
      </c>
      <c r="M4305" s="13">
        <f>IF(OR($A4305="",AND($J4305="",$K4305="")),"",MIN($J4305,$K4305))</f>
        <v/>
      </c>
      <c r="Q4305">
        <f>IF($A4305="","",$D4305&amp;"("&amp;SUBSTITUTE($E4305," ","")&amp;")")</f>
        <v/>
      </c>
      <c r="R4305">
        <f>IF($A4305="","",$B4305&amp;" - "&amp;$C4305)</f>
        <v/>
      </c>
      <c r="S4305">
        <f>IF($A4305="","",$R4305&amp;"|"&amp;$Q4305)</f>
        <v/>
      </c>
      <c r="T4305">
        <f>IF($A4305="","",$S4305&amp;"|"&amp;$F4305)</f>
        <v/>
      </c>
      <c r="U4305">
        <f>IF($A4305="","",$R4305&amp;"("&amp;$E4305&amp;")")</f>
        <v/>
      </c>
      <c r="V4305">
        <f>IF($A4305="","",$F4305&amp;"|"&amp;$U4305&amp;"|"&amp;$D4305)</f>
        <v/>
      </c>
      <c r="W4305">
        <f>IF($T4305="","",IF($X4305&gt;N($X4304),$X4305,""))</f>
        <v/>
      </c>
      <c r="X4305">
        <f>IF($T4305="",N($X4304),IF(MATCH($T4305,$T$6:$T$6005,0)=ROW()-5,N($X4304)+1,N($X4304)))</f>
        <v/>
      </c>
      <c r="Z4305">
        <f>IF($V4305="","",IF($AA4305&gt;N($AA4304),$AA4305,""))</f>
        <v/>
      </c>
      <c r="AA4305">
        <f>IF($V4305="",N($AA4304),IF(MATCH($V4305,$V$6:$V$6005,0)=ROW()-5,N($AA4304)+1,N($AA4304)))</f>
        <v/>
      </c>
    </row>
    <row r="4306" ht="21" customHeight="1" s="66">
      <c r="A4306" s="56" t="n"/>
      <c r="B4306" s="57" t="n"/>
      <c r="C4306" s="57" t="n"/>
      <c r="D4306" s="57" t="n"/>
      <c r="E4306" s="56" t="n"/>
      <c r="F4306" s="57" t="n"/>
      <c r="G4306" s="57" t="n"/>
      <c r="H4306" s="56" t="n"/>
      <c r="I4306" s="56" t="n"/>
      <c r="J4306" s="58" t="n"/>
      <c r="K4306" s="58" t="n"/>
      <c r="L4306" s="13">
        <f>IF(OR($A4306="",AND($J4306="",$K4306="")),"",ROUND(N($J4306)-N($K4306),2))</f>
        <v/>
      </c>
      <c r="M4306" s="13">
        <f>IF(OR($A4306="",AND($J4306="",$K4306="")),"",MIN($J4306,$K4306))</f>
        <v/>
      </c>
      <c r="Q4306">
        <f>IF($A4306="","",$D4306&amp;"("&amp;SUBSTITUTE($E4306," ","")&amp;")")</f>
        <v/>
      </c>
      <c r="R4306">
        <f>IF($A4306="","",$B4306&amp;" - "&amp;$C4306)</f>
        <v/>
      </c>
      <c r="S4306">
        <f>IF($A4306="","",$R4306&amp;"|"&amp;$Q4306)</f>
        <v/>
      </c>
      <c r="T4306">
        <f>IF($A4306="","",$S4306&amp;"|"&amp;$F4306)</f>
        <v/>
      </c>
      <c r="U4306">
        <f>IF($A4306="","",$R4306&amp;"("&amp;$E4306&amp;")")</f>
        <v/>
      </c>
      <c r="V4306">
        <f>IF($A4306="","",$F4306&amp;"|"&amp;$U4306&amp;"|"&amp;$D4306)</f>
        <v/>
      </c>
      <c r="W4306">
        <f>IF($T4306="","",IF($X4306&gt;N($X4305),$X4306,""))</f>
        <v/>
      </c>
      <c r="X4306">
        <f>IF($T4306="",N($X4305),IF(MATCH($T4306,$T$6:$T$6005,0)=ROW()-5,N($X4305)+1,N($X4305)))</f>
        <v/>
      </c>
      <c r="Z4306">
        <f>IF($V4306="","",IF($AA4306&gt;N($AA4305),$AA4306,""))</f>
        <v/>
      </c>
      <c r="AA4306">
        <f>IF($V4306="",N($AA4305),IF(MATCH($V4306,$V$6:$V$6005,0)=ROW()-5,N($AA4305)+1,N($AA4305)))</f>
        <v/>
      </c>
    </row>
    <row r="4307" ht="21" customHeight="1" s="66">
      <c r="A4307" s="56" t="n"/>
      <c r="B4307" s="57" t="n"/>
      <c r="C4307" s="57" t="n"/>
      <c r="D4307" s="57" t="n"/>
      <c r="E4307" s="56" t="n"/>
      <c r="F4307" s="57" t="n"/>
      <c r="G4307" s="57" t="n"/>
      <c r="H4307" s="56" t="n"/>
      <c r="I4307" s="56" t="n"/>
      <c r="J4307" s="58" t="n"/>
      <c r="K4307" s="58" t="n"/>
      <c r="L4307" s="13">
        <f>IF(OR($A4307="",AND($J4307="",$K4307="")),"",ROUND(N($J4307)-N($K4307),2))</f>
        <v/>
      </c>
      <c r="M4307" s="13">
        <f>IF(OR($A4307="",AND($J4307="",$K4307="")),"",MIN($J4307,$K4307))</f>
        <v/>
      </c>
      <c r="Q4307">
        <f>IF($A4307="","",$D4307&amp;"("&amp;SUBSTITUTE($E4307," ","")&amp;")")</f>
        <v/>
      </c>
      <c r="R4307">
        <f>IF($A4307="","",$B4307&amp;" - "&amp;$C4307)</f>
        <v/>
      </c>
      <c r="S4307">
        <f>IF($A4307="","",$R4307&amp;"|"&amp;$Q4307)</f>
        <v/>
      </c>
      <c r="T4307">
        <f>IF($A4307="","",$S4307&amp;"|"&amp;$F4307)</f>
        <v/>
      </c>
      <c r="U4307">
        <f>IF($A4307="","",$R4307&amp;"("&amp;$E4307&amp;")")</f>
        <v/>
      </c>
      <c r="V4307">
        <f>IF($A4307="","",$F4307&amp;"|"&amp;$U4307&amp;"|"&amp;$D4307)</f>
        <v/>
      </c>
      <c r="W4307">
        <f>IF($T4307="","",IF($X4307&gt;N($X4306),$X4307,""))</f>
        <v/>
      </c>
      <c r="X4307">
        <f>IF($T4307="",N($X4306),IF(MATCH($T4307,$T$6:$T$6005,0)=ROW()-5,N($X4306)+1,N($X4306)))</f>
        <v/>
      </c>
      <c r="Z4307">
        <f>IF($V4307="","",IF($AA4307&gt;N($AA4306),$AA4307,""))</f>
        <v/>
      </c>
      <c r="AA4307">
        <f>IF($V4307="",N($AA4306),IF(MATCH($V4307,$V$6:$V$6005,0)=ROW()-5,N($AA4306)+1,N($AA4306)))</f>
        <v/>
      </c>
    </row>
    <row r="4308" ht="21" customHeight="1" s="66">
      <c r="A4308" s="56" t="n"/>
      <c r="B4308" s="57" t="n"/>
      <c r="C4308" s="57" t="n"/>
      <c r="D4308" s="57" t="n"/>
      <c r="E4308" s="56" t="n"/>
      <c r="F4308" s="57" t="n"/>
      <c r="G4308" s="57" t="n"/>
      <c r="H4308" s="56" t="n"/>
      <c r="I4308" s="56" t="n"/>
      <c r="J4308" s="58" t="n"/>
      <c r="K4308" s="58" t="n"/>
      <c r="L4308" s="13">
        <f>IF(OR($A4308="",AND($J4308="",$K4308="")),"",ROUND(N($J4308)-N($K4308),2))</f>
        <v/>
      </c>
      <c r="M4308" s="13">
        <f>IF(OR($A4308="",AND($J4308="",$K4308="")),"",MIN($J4308,$K4308))</f>
        <v/>
      </c>
      <c r="Q4308">
        <f>IF($A4308="","",$D4308&amp;"("&amp;SUBSTITUTE($E4308," ","")&amp;")")</f>
        <v/>
      </c>
      <c r="R4308">
        <f>IF($A4308="","",$B4308&amp;" - "&amp;$C4308)</f>
        <v/>
      </c>
      <c r="S4308">
        <f>IF($A4308="","",$R4308&amp;"|"&amp;$Q4308)</f>
        <v/>
      </c>
      <c r="T4308">
        <f>IF($A4308="","",$S4308&amp;"|"&amp;$F4308)</f>
        <v/>
      </c>
      <c r="U4308">
        <f>IF($A4308="","",$R4308&amp;"("&amp;$E4308&amp;")")</f>
        <v/>
      </c>
      <c r="V4308">
        <f>IF($A4308="","",$F4308&amp;"|"&amp;$U4308&amp;"|"&amp;$D4308)</f>
        <v/>
      </c>
      <c r="W4308">
        <f>IF($T4308="","",IF($X4308&gt;N($X4307),$X4308,""))</f>
        <v/>
      </c>
      <c r="X4308">
        <f>IF($T4308="",N($X4307),IF(MATCH($T4308,$T$6:$T$6005,0)=ROW()-5,N($X4307)+1,N($X4307)))</f>
        <v/>
      </c>
      <c r="Z4308">
        <f>IF($V4308="","",IF($AA4308&gt;N($AA4307),$AA4308,""))</f>
        <v/>
      </c>
      <c r="AA4308">
        <f>IF($V4308="",N($AA4307),IF(MATCH($V4308,$V$6:$V$6005,0)=ROW()-5,N($AA4307)+1,N($AA4307)))</f>
        <v/>
      </c>
    </row>
    <row r="4309" ht="21" customHeight="1" s="66">
      <c r="A4309" s="56" t="n"/>
      <c r="B4309" s="57" t="n"/>
      <c r="C4309" s="57" t="n"/>
      <c r="D4309" s="57" t="n"/>
      <c r="E4309" s="56" t="n"/>
      <c r="F4309" s="57" t="n"/>
      <c r="G4309" s="57" t="n"/>
      <c r="H4309" s="56" t="n"/>
      <c r="I4309" s="56" t="n"/>
      <c r="J4309" s="58" t="n"/>
      <c r="K4309" s="58" t="n"/>
      <c r="L4309" s="13">
        <f>IF(OR($A4309="",AND($J4309="",$K4309="")),"",ROUND(N($J4309)-N($K4309),2))</f>
        <v/>
      </c>
      <c r="M4309" s="13">
        <f>IF(OR($A4309="",AND($J4309="",$K4309="")),"",MIN($J4309,$K4309))</f>
        <v/>
      </c>
      <c r="Q4309">
        <f>IF($A4309="","",$D4309&amp;"("&amp;SUBSTITUTE($E4309," ","")&amp;")")</f>
        <v/>
      </c>
      <c r="R4309">
        <f>IF($A4309="","",$B4309&amp;" - "&amp;$C4309)</f>
        <v/>
      </c>
      <c r="S4309">
        <f>IF($A4309="","",$R4309&amp;"|"&amp;$Q4309)</f>
        <v/>
      </c>
      <c r="T4309">
        <f>IF($A4309="","",$S4309&amp;"|"&amp;$F4309)</f>
        <v/>
      </c>
      <c r="U4309">
        <f>IF($A4309="","",$R4309&amp;"("&amp;$E4309&amp;")")</f>
        <v/>
      </c>
      <c r="V4309">
        <f>IF($A4309="","",$F4309&amp;"|"&amp;$U4309&amp;"|"&amp;$D4309)</f>
        <v/>
      </c>
      <c r="W4309">
        <f>IF($T4309="","",IF($X4309&gt;N($X4308),$X4309,""))</f>
        <v/>
      </c>
      <c r="X4309">
        <f>IF($T4309="",N($X4308),IF(MATCH($T4309,$T$6:$T$6005,0)=ROW()-5,N($X4308)+1,N($X4308)))</f>
        <v/>
      </c>
      <c r="Z4309">
        <f>IF($V4309="","",IF($AA4309&gt;N($AA4308),$AA4309,""))</f>
        <v/>
      </c>
      <c r="AA4309">
        <f>IF($V4309="",N($AA4308),IF(MATCH($V4309,$V$6:$V$6005,0)=ROW()-5,N($AA4308)+1,N($AA4308)))</f>
        <v/>
      </c>
    </row>
    <row r="4310" ht="21" customHeight="1" s="66">
      <c r="A4310" s="56" t="n"/>
      <c r="B4310" s="57" t="n"/>
      <c r="C4310" s="57" t="n"/>
      <c r="D4310" s="57" t="n"/>
      <c r="E4310" s="56" t="n"/>
      <c r="F4310" s="57" t="n"/>
      <c r="G4310" s="57" t="n"/>
      <c r="H4310" s="56" t="n"/>
      <c r="I4310" s="56" t="n"/>
      <c r="J4310" s="58" t="n"/>
      <c r="K4310" s="58" t="n"/>
      <c r="L4310" s="13">
        <f>IF(OR($A4310="",AND($J4310="",$K4310="")),"",ROUND(N($J4310)-N($K4310),2))</f>
        <v/>
      </c>
      <c r="M4310" s="13">
        <f>IF(OR($A4310="",AND($J4310="",$K4310="")),"",MIN($J4310,$K4310))</f>
        <v/>
      </c>
      <c r="Q4310">
        <f>IF($A4310="","",$D4310&amp;"("&amp;SUBSTITUTE($E4310," ","")&amp;")")</f>
        <v/>
      </c>
      <c r="R4310">
        <f>IF($A4310="","",$B4310&amp;" - "&amp;$C4310)</f>
        <v/>
      </c>
      <c r="S4310">
        <f>IF($A4310="","",$R4310&amp;"|"&amp;$Q4310)</f>
        <v/>
      </c>
      <c r="T4310">
        <f>IF($A4310="","",$S4310&amp;"|"&amp;$F4310)</f>
        <v/>
      </c>
      <c r="U4310">
        <f>IF($A4310="","",$R4310&amp;"("&amp;$E4310&amp;")")</f>
        <v/>
      </c>
      <c r="V4310">
        <f>IF($A4310="","",$F4310&amp;"|"&amp;$U4310&amp;"|"&amp;$D4310)</f>
        <v/>
      </c>
      <c r="W4310">
        <f>IF($T4310="","",IF($X4310&gt;N($X4309),$X4310,""))</f>
        <v/>
      </c>
      <c r="X4310">
        <f>IF($T4310="",N($X4309),IF(MATCH($T4310,$T$6:$T$6005,0)=ROW()-5,N($X4309)+1,N($X4309)))</f>
        <v/>
      </c>
      <c r="Z4310">
        <f>IF($V4310="","",IF($AA4310&gt;N($AA4309),$AA4310,""))</f>
        <v/>
      </c>
      <c r="AA4310">
        <f>IF($V4310="",N($AA4309),IF(MATCH($V4310,$V$6:$V$6005,0)=ROW()-5,N($AA4309)+1,N($AA4309)))</f>
        <v/>
      </c>
    </row>
    <row r="4311" ht="21" customHeight="1" s="66">
      <c r="A4311" s="56" t="n"/>
      <c r="B4311" s="57" t="n"/>
      <c r="C4311" s="57" t="n"/>
      <c r="D4311" s="57" t="n"/>
      <c r="E4311" s="56" t="n"/>
      <c r="F4311" s="57" t="n"/>
      <c r="G4311" s="57" t="n"/>
      <c r="H4311" s="56" t="n"/>
      <c r="I4311" s="56" t="n"/>
      <c r="J4311" s="58" t="n"/>
      <c r="K4311" s="58" t="n"/>
      <c r="L4311" s="13">
        <f>IF(OR($A4311="",AND($J4311="",$K4311="")),"",ROUND(N($J4311)-N($K4311),2))</f>
        <v/>
      </c>
      <c r="M4311" s="13">
        <f>IF(OR($A4311="",AND($J4311="",$K4311="")),"",MIN($J4311,$K4311))</f>
        <v/>
      </c>
      <c r="Q4311">
        <f>IF($A4311="","",$D4311&amp;"("&amp;SUBSTITUTE($E4311," ","")&amp;")")</f>
        <v/>
      </c>
      <c r="R4311">
        <f>IF($A4311="","",$B4311&amp;" - "&amp;$C4311)</f>
        <v/>
      </c>
      <c r="S4311">
        <f>IF($A4311="","",$R4311&amp;"|"&amp;$Q4311)</f>
        <v/>
      </c>
      <c r="T4311">
        <f>IF($A4311="","",$S4311&amp;"|"&amp;$F4311)</f>
        <v/>
      </c>
      <c r="U4311">
        <f>IF($A4311="","",$R4311&amp;"("&amp;$E4311&amp;")")</f>
        <v/>
      </c>
      <c r="V4311">
        <f>IF($A4311="","",$F4311&amp;"|"&amp;$U4311&amp;"|"&amp;$D4311)</f>
        <v/>
      </c>
      <c r="W4311">
        <f>IF($T4311="","",IF($X4311&gt;N($X4310),$X4311,""))</f>
        <v/>
      </c>
      <c r="X4311">
        <f>IF($T4311="",N($X4310),IF(MATCH($T4311,$T$6:$T$6005,0)=ROW()-5,N($X4310)+1,N($X4310)))</f>
        <v/>
      </c>
      <c r="Z4311">
        <f>IF($V4311="","",IF($AA4311&gt;N($AA4310),$AA4311,""))</f>
        <v/>
      </c>
      <c r="AA4311">
        <f>IF($V4311="",N($AA4310),IF(MATCH($V4311,$V$6:$V$6005,0)=ROW()-5,N($AA4310)+1,N($AA4310)))</f>
        <v/>
      </c>
    </row>
    <row r="4312" ht="21" customHeight="1" s="66">
      <c r="A4312" s="56" t="n"/>
      <c r="B4312" s="57" t="n"/>
      <c r="C4312" s="57" t="n"/>
      <c r="D4312" s="57" t="n"/>
      <c r="E4312" s="56" t="n"/>
      <c r="F4312" s="57" t="n"/>
      <c r="G4312" s="57" t="n"/>
      <c r="H4312" s="56" t="n"/>
      <c r="I4312" s="56" t="n"/>
      <c r="J4312" s="58" t="n"/>
      <c r="K4312" s="58" t="n"/>
      <c r="L4312" s="13">
        <f>IF(OR($A4312="",AND($J4312="",$K4312="")),"",ROUND(N($J4312)-N($K4312),2))</f>
        <v/>
      </c>
      <c r="M4312" s="13">
        <f>IF(OR($A4312="",AND($J4312="",$K4312="")),"",MIN($J4312,$K4312))</f>
        <v/>
      </c>
      <c r="Q4312">
        <f>IF($A4312="","",$D4312&amp;"("&amp;SUBSTITUTE($E4312," ","")&amp;")")</f>
        <v/>
      </c>
      <c r="R4312">
        <f>IF($A4312="","",$B4312&amp;" - "&amp;$C4312)</f>
        <v/>
      </c>
      <c r="S4312">
        <f>IF($A4312="","",$R4312&amp;"|"&amp;$Q4312)</f>
        <v/>
      </c>
      <c r="T4312">
        <f>IF($A4312="","",$S4312&amp;"|"&amp;$F4312)</f>
        <v/>
      </c>
      <c r="U4312">
        <f>IF($A4312="","",$R4312&amp;"("&amp;$E4312&amp;")")</f>
        <v/>
      </c>
      <c r="V4312">
        <f>IF($A4312="","",$F4312&amp;"|"&amp;$U4312&amp;"|"&amp;$D4312)</f>
        <v/>
      </c>
      <c r="W4312">
        <f>IF($T4312="","",IF($X4312&gt;N($X4311),$X4312,""))</f>
        <v/>
      </c>
      <c r="X4312">
        <f>IF($T4312="",N($X4311),IF(MATCH($T4312,$T$6:$T$6005,0)=ROW()-5,N($X4311)+1,N($X4311)))</f>
        <v/>
      </c>
      <c r="Z4312">
        <f>IF($V4312="","",IF($AA4312&gt;N($AA4311),$AA4312,""))</f>
        <v/>
      </c>
      <c r="AA4312">
        <f>IF($V4312="",N($AA4311),IF(MATCH($V4312,$V$6:$V$6005,0)=ROW()-5,N($AA4311)+1,N($AA4311)))</f>
        <v/>
      </c>
    </row>
    <row r="4313" ht="21" customHeight="1" s="66">
      <c r="A4313" s="56" t="n"/>
      <c r="B4313" s="57" t="n"/>
      <c r="C4313" s="57" t="n"/>
      <c r="D4313" s="57" t="n"/>
      <c r="E4313" s="56" t="n"/>
      <c r="F4313" s="57" t="n"/>
      <c r="G4313" s="57" t="n"/>
      <c r="H4313" s="56" t="n"/>
      <c r="I4313" s="56" t="n"/>
      <c r="J4313" s="58" t="n"/>
      <c r="K4313" s="58" t="n"/>
      <c r="L4313" s="13">
        <f>IF(OR($A4313="",AND($J4313="",$K4313="")),"",ROUND(N($J4313)-N($K4313),2))</f>
        <v/>
      </c>
      <c r="M4313" s="13">
        <f>IF(OR($A4313="",AND($J4313="",$K4313="")),"",MIN($J4313,$K4313))</f>
        <v/>
      </c>
      <c r="Q4313">
        <f>IF($A4313="","",$D4313&amp;"("&amp;SUBSTITUTE($E4313," ","")&amp;")")</f>
        <v/>
      </c>
      <c r="R4313">
        <f>IF($A4313="","",$B4313&amp;" - "&amp;$C4313)</f>
        <v/>
      </c>
      <c r="S4313">
        <f>IF($A4313="","",$R4313&amp;"|"&amp;$Q4313)</f>
        <v/>
      </c>
      <c r="T4313">
        <f>IF($A4313="","",$S4313&amp;"|"&amp;$F4313)</f>
        <v/>
      </c>
      <c r="U4313">
        <f>IF($A4313="","",$R4313&amp;"("&amp;$E4313&amp;")")</f>
        <v/>
      </c>
      <c r="V4313">
        <f>IF($A4313="","",$F4313&amp;"|"&amp;$U4313&amp;"|"&amp;$D4313)</f>
        <v/>
      </c>
      <c r="W4313">
        <f>IF($T4313="","",IF($X4313&gt;N($X4312),$X4313,""))</f>
        <v/>
      </c>
      <c r="X4313">
        <f>IF($T4313="",N($X4312),IF(MATCH($T4313,$T$6:$T$6005,0)=ROW()-5,N($X4312)+1,N($X4312)))</f>
        <v/>
      </c>
      <c r="Z4313">
        <f>IF($V4313="","",IF($AA4313&gt;N($AA4312),$AA4313,""))</f>
        <v/>
      </c>
      <c r="AA4313">
        <f>IF($V4313="",N($AA4312),IF(MATCH($V4313,$V$6:$V$6005,0)=ROW()-5,N($AA4312)+1,N($AA4312)))</f>
        <v/>
      </c>
    </row>
    <row r="4314" ht="21" customHeight="1" s="66">
      <c r="A4314" s="56" t="n"/>
      <c r="B4314" s="57" t="n"/>
      <c r="C4314" s="57" t="n"/>
      <c r="D4314" s="57" t="n"/>
      <c r="E4314" s="56" t="n"/>
      <c r="F4314" s="57" t="n"/>
      <c r="G4314" s="57" t="n"/>
      <c r="H4314" s="56" t="n"/>
      <c r="I4314" s="56" t="n"/>
      <c r="J4314" s="58" t="n"/>
      <c r="K4314" s="58" t="n"/>
      <c r="L4314" s="13">
        <f>IF(OR($A4314="",AND($J4314="",$K4314="")),"",ROUND(N($J4314)-N($K4314),2))</f>
        <v/>
      </c>
      <c r="M4314" s="13">
        <f>IF(OR($A4314="",AND($J4314="",$K4314="")),"",MIN($J4314,$K4314))</f>
        <v/>
      </c>
      <c r="Q4314">
        <f>IF($A4314="","",$D4314&amp;"("&amp;SUBSTITUTE($E4314," ","")&amp;")")</f>
        <v/>
      </c>
      <c r="R4314">
        <f>IF($A4314="","",$B4314&amp;" - "&amp;$C4314)</f>
        <v/>
      </c>
      <c r="S4314">
        <f>IF($A4314="","",$R4314&amp;"|"&amp;$Q4314)</f>
        <v/>
      </c>
      <c r="T4314">
        <f>IF($A4314="","",$S4314&amp;"|"&amp;$F4314)</f>
        <v/>
      </c>
      <c r="U4314">
        <f>IF($A4314="","",$R4314&amp;"("&amp;$E4314&amp;")")</f>
        <v/>
      </c>
      <c r="V4314">
        <f>IF($A4314="","",$F4314&amp;"|"&amp;$U4314&amp;"|"&amp;$D4314)</f>
        <v/>
      </c>
      <c r="W4314">
        <f>IF($T4314="","",IF($X4314&gt;N($X4313),$X4314,""))</f>
        <v/>
      </c>
      <c r="X4314">
        <f>IF($T4314="",N($X4313),IF(MATCH($T4314,$T$6:$T$6005,0)=ROW()-5,N($X4313)+1,N($X4313)))</f>
        <v/>
      </c>
      <c r="Z4314">
        <f>IF($V4314="","",IF($AA4314&gt;N($AA4313),$AA4314,""))</f>
        <v/>
      </c>
      <c r="AA4314">
        <f>IF($V4314="",N($AA4313),IF(MATCH($V4314,$V$6:$V$6005,0)=ROW()-5,N($AA4313)+1,N($AA4313)))</f>
        <v/>
      </c>
    </row>
    <row r="4315" ht="21" customHeight="1" s="66">
      <c r="A4315" s="56" t="n"/>
      <c r="B4315" s="57" t="n"/>
      <c r="C4315" s="57" t="n"/>
      <c r="D4315" s="57" t="n"/>
      <c r="E4315" s="56" t="n"/>
      <c r="F4315" s="57" t="n"/>
      <c r="G4315" s="57" t="n"/>
      <c r="H4315" s="56" t="n"/>
      <c r="I4315" s="56" t="n"/>
      <c r="J4315" s="58" t="n"/>
      <c r="K4315" s="58" t="n"/>
      <c r="L4315" s="13">
        <f>IF(OR($A4315="",AND($J4315="",$K4315="")),"",ROUND(N($J4315)-N($K4315),2))</f>
        <v/>
      </c>
      <c r="M4315" s="13">
        <f>IF(OR($A4315="",AND($J4315="",$K4315="")),"",MIN($J4315,$K4315))</f>
        <v/>
      </c>
      <c r="Q4315">
        <f>IF($A4315="","",$D4315&amp;"("&amp;SUBSTITUTE($E4315," ","")&amp;")")</f>
        <v/>
      </c>
      <c r="R4315">
        <f>IF($A4315="","",$B4315&amp;" - "&amp;$C4315)</f>
        <v/>
      </c>
      <c r="S4315">
        <f>IF($A4315="","",$R4315&amp;"|"&amp;$Q4315)</f>
        <v/>
      </c>
      <c r="T4315">
        <f>IF($A4315="","",$S4315&amp;"|"&amp;$F4315)</f>
        <v/>
      </c>
      <c r="U4315">
        <f>IF($A4315="","",$R4315&amp;"("&amp;$E4315&amp;")")</f>
        <v/>
      </c>
      <c r="V4315">
        <f>IF($A4315="","",$F4315&amp;"|"&amp;$U4315&amp;"|"&amp;$D4315)</f>
        <v/>
      </c>
      <c r="W4315">
        <f>IF($T4315="","",IF($X4315&gt;N($X4314),$X4315,""))</f>
        <v/>
      </c>
      <c r="X4315">
        <f>IF($T4315="",N($X4314),IF(MATCH($T4315,$T$6:$T$6005,0)=ROW()-5,N($X4314)+1,N($X4314)))</f>
        <v/>
      </c>
      <c r="Z4315">
        <f>IF($V4315="","",IF($AA4315&gt;N($AA4314),$AA4315,""))</f>
        <v/>
      </c>
      <c r="AA4315">
        <f>IF($V4315="",N($AA4314),IF(MATCH($V4315,$V$6:$V$6005,0)=ROW()-5,N($AA4314)+1,N($AA4314)))</f>
        <v/>
      </c>
    </row>
    <row r="4316" ht="21" customHeight="1" s="66">
      <c r="A4316" s="56" t="n"/>
      <c r="B4316" s="57" t="n"/>
      <c r="C4316" s="57" t="n"/>
      <c r="D4316" s="57" t="n"/>
      <c r="E4316" s="56" t="n"/>
      <c r="F4316" s="57" t="n"/>
      <c r="G4316" s="57" t="n"/>
      <c r="H4316" s="56" t="n"/>
      <c r="I4316" s="56" t="n"/>
      <c r="J4316" s="58" t="n"/>
      <c r="K4316" s="58" t="n"/>
      <c r="L4316" s="13">
        <f>IF(OR($A4316="",AND($J4316="",$K4316="")),"",ROUND(N($J4316)-N($K4316),2))</f>
        <v/>
      </c>
      <c r="M4316" s="13">
        <f>IF(OR($A4316="",AND($J4316="",$K4316="")),"",MIN($J4316,$K4316))</f>
        <v/>
      </c>
      <c r="Q4316">
        <f>IF($A4316="","",$D4316&amp;"("&amp;SUBSTITUTE($E4316," ","")&amp;")")</f>
        <v/>
      </c>
      <c r="R4316">
        <f>IF($A4316="","",$B4316&amp;" - "&amp;$C4316)</f>
        <v/>
      </c>
      <c r="S4316">
        <f>IF($A4316="","",$R4316&amp;"|"&amp;$Q4316)</f>
        <v/>
      </c>
      <c r="T4316">
        <f>IF($A4316="","",$S4316&amp;"|"&amp;$F4316)</f>
        <v/>
      </c>
      <c r="U4316">
        <f>IF($A4316="","",$R4316&amp;"("&amp;$E4316&amp;")")</f>
        <v/>
      </c>
      <c r="V4316">
        <f>IF($A4316="","",$F4316&amp;"|"&amp;$U4316&amp;"|"&amp;$D4316)</f>
        <v/>
      </c>
      <c r="W4316">
        <f>IF($T4316="","",IF($X4316&gt;N($X4315),$X4316,""))</f>
        <v/>
      </c>
      <c r="X4316">
        <f>IF($T4316="",N($X4315),IF(MATCH($T4316,$T$6:$T$6005,0)=ROW()-5,N($X4315)+1,N($X4315)))</f>
        <v/>
      </c>
      <c r="Z4316">
        <f>IF($V4316="","",IF($AA4316&gt;N($AA4315),$AA4316,""))</f>
        <v/>
      </c>
      <c r="AA4316">
        <f>IF($V4316="",N($AA4315),IF(MATCH($V4316,$V$6:$V$6005,0)=ROW()-5,N($AA4315)+1,N($AA4315)))</f>
        <v/>
      </c>
    </row>
    <row r="4317" ht="21" customHeight="1" s="66">
      <c r="A4317" s="56" t="n"/>
      <c r="B4317" s="57" t="n"/>
      <c r="C4317" s="57" t="n"/>
      <c r="D4317" s="57" t="n"/>
      <c r="E4317" s="56" t="n"/>
      <c r="F4317" s="57" t="n"/>
      <c r="G4317" s="57" t="n"/>
      <c r="H4317" s="56" t="n"/>
      <c r="I4317" s="56" t="n"/>
      <c r="J4317" s="58" t="n"/>
      <c r="K4317" s="58" t="n"/>
      <c r="L4317" s="13">
        <f>IF(OR($A4317="",AND($J4317="",$K4317="")),"",ROUND(N($J4317)-N($K4317),2))</f>
        <v/>
      </c>
      <c r="M4317" s="13">
        <f>IF(OR($A4317="",AND($J4317="",$K4317="")),"",MIN($J4317,$K4317))</f>
        <v/>
      </c>
      <c r="Q4317">
        <f>IF($A4317="","",$D4317&amp;"("&amp;SUBSTITUTE($E4317," ","")&amp;")")</f>
        <v/>
      </c>
      <c r="R4317">
        <f>IF($A4317="","",$B4317&amp;" - "&amp;$C4317)</f>
        <v/>
      </c>
      <c r="S4317">
        <f>IF($A4317="","",$R4317&amp;"|"&amp;$Q4317)</f>
        <v/>
      </c>
      <c r="T4317">
        <f>IF($A4317="","",$S4317&amp;"|"&amp;$F4317)</f>
        <v/>
      </c>
      <c r="U4317">
        <f>IF($A4317="","",$R4317&amp;"("&amp;$E4317&amp;")")</f>
        <v/>
      </c>
      <c r="V4317">
        <f>IF($A4317="","",$F4317&amp;"|"&amp;$U4317&amp;"|"&amp;$D4317)</f>
        <v/>
      </c>
      <c r="W4317">
        <f>IF($T4317="","",IF($X4317&gt;N($X4316),$X4317,""))</f>
        <v/>
      </c>
      <c r="X4317">
        <f>IF($T4317="",N($X4316),IF(MATCH($T4317,$T$6:$T$6005,0)=ROW()-5,N($X4316)+1,N($X4316)))</f>
        <v/>
      </c>
      <c r="Z4317">
        <f>IF($V4317="","",IF($AA4317&gt;N($AA4316),$AA4317,""))</f>
        <v/>
      </c>
      <c r="AA4317">
        <f>IF($V4317="",N($AA4316),IF(MATCH($V4317,$V$6:$V$6005,0)=ROW()-5,N($AA4316)+1,N($AA4316)))</f>
        <v/>
      </c>
    </row>
    <row r="4318" ht="21" customHeight="1" s="66">
      <c r="A4318" s="56" t="n"/>
      <c r="B4318" s="57" t="n"/>
      <c r="C4318" s="57" t="n"/>
      <c r="D4318" s="57" t="n"/>
      <c r="E4318" s="56" t="n"/>
      <c r="F4318" s="57" t="n"/>
      <c r="G4318" s="57" t="n"/>
      <c r="H4318" s="56" t="n"/>
      <c r="I4318" s="56" t="n"/>
      <c r="J4318" s="58" t="n"/>
      <c r="K4318" s="58" t="n"/>
      <c r="L4318" s="13">
        <f>IF(OR($A4318="",AND($J4318="",$K4318="")),"",ROUND(N($J4318)-N($K4318),2))</f>
        <v/>
      </c>
      <c r="M4318" s="13">
        <f>IF(OR($A4318="",AND($J4318="",$K4318="")),"",MIN($J4318,$K4318))</f>
        <v/>
      </c>
      <c r="Q4318">
        <f>IF($A4318="","",$D4318&amp;"("&amp;SUBSTITUTE($E4318," ","")&amp;")")</f>
        <v/>
      </c>
      <c r="R4318">
        <f>IF($A4318="","",$B4318&amp;" - "&amp;$C4318)</f>
        <v/>
      </c>
      <c r="S4318">
        <f>IF($A4318="","",$R4318&amp;"|"&amp;$Q4318)</f>
        <v/>
      </c>
      <c r="T4318">
        <f>IF($A4318="","",$S4318&amp;"|"&amp;$F4318)</f>
        <v/>
      </c>
      <c r="U4318">
        <f>IF($A4318="","",$R4318&amp;"("&amp;$E4318&amp;")")</f>
        <v/>
      </c>
      <c r="V4318">
        <f>IF($A4318="","",$F4318&amp;"|"&amp;$U4318&amp;"|"&amp;$D4318)</f>
        <v/>
      </c>
      <c r="W4318">
        <f>IF($T4318="","",IF($X4318&gt;N($X4317),$X4318,""))</f>
        <v/>
      </c>
      <c r="X4318">
        <f>IF($T4318="",N($X4317),IF(MATCH($T4318,$T$6:$T$6005,0)=ROW()-5,N($X4317)+1,N($X4317)))</f>
        <v/>
      </c>
      <c r="Z4318">
        <f>IF($V4318="","",IF($AA4318&gt;N($AA4317),$AA4318,""))</f>
        <v/>
      </c>
      <c r="AA4318">
        <f>IF($V4318="",N($AA4317),IF(MATCH($V4318,$V$6:$V$6005,0)=ROW()-5,N($AA4317)+1,N($AA4317)))</f>
        <v/>
      </c>
    </row>
    <row r="4319" ht="21" customHeight="1" s="66">
      <c r="A4319" s="56" t="n"/>
      <c r="B4319" s="57" t="n"/>
      <c r="C4319" s="57" t="n"/>
      <c r="D4319" s="57" t="n"/>
      <c r="E4319" s="56" t="n"/>
      <c r="F4319" s="57" t="n"/>
      <c r="G4319" s="57" t="n"/>
      <c r="H4319" s="56" t="n"/>
      <c r="I4319" s="56" t="n"/>
      <c r="J4319" s="58" t="n"/>
      <c r="K4319" s="58" t="n"/>
      <c r="L4319" s="13">
        <f>IF(OR($A4319="",AND($J4319="",$K4319="")),"",ROUND(N($J4319)-N($K4319),2))</f>
        <v/>
      </c>
      <c r="M4319" s="13">
        <f>IF(OR($A4319="",AND($J4319="",$K4319="")),"",MIN($J4319,$K4319))</f>
        <v/>
      </c>
      <c r="Q4319">
        <f>IF($A4319="","",$D4319&amp;"("&amp;SUBSTITUTE($E4319," ","")&amp;")")</f>
        <v/>
      </c>
      <c r="R4319">
        <f>IF($A4319="","",$B4319&amp;" - "&amp;$C4319)</f>
        <v/>
      </c>
      <c r="S4319">
        <f>IF($A4319="","",$R4319&amp;"|"&amp;$Q4319)</f>
        <v/>
      </c>
      <c r="T4319">
        <f>IF($A4319="","",$S4319&amp;"|"&amp;$F4319)</f>
        <v/>
      </c>
      <c r="U4319">
        <f>IF($A4319="","",$R4319&amp;"("&amp;$E4319&amp;")")</f>
        <v/>
      </c>
      <c r="V4319">
        <f>IF($A4319="","",$F4319&amp;"|"&amp;$U4319&amp;"|"&amp;$D4319)</f>
        <v/>
      </c>
      <c r="W4319">
        <f>IF($T4319="","",IF($X4319&gt;N($X4318),$X4319,""))</f>
        <v/>
      </c>
      <c r="X4319">
        <f>IF($T4319="",N($X4318),IF(MATCH($T4319,$T$6:$T$6005,0)=ROW()-5,N($X4318)+1,N($X4318)))</f>
        <v/>
      </c>
      <c r="Z4319">
        <f>IF($V4319="","",IF($AA4319&gt;N($AA4318),$AA4319,""))</f>
        <v/>
      </c>
      <c r="AA4319">
        <f>IF($V4319="",N($AA4318),IF(MATCH($V4319,$V$6:$V$6005,0)=ROW()-5,N($AA4318)+1,N($AA4318)))</f>
        <v/>
      </c>
    </row>
    <row r="4320" ht="21" customHeight="1" s="66">
      <c r="A4320" s="56" t="n"/>
      <c r="B4320" s="57" t="n"/>
      <c r="C4320" s="57" t="n"/>
      <c r="D4320" s="57" t="n"/>
      <c r="E4320" s="56" t="n"/>
      <c r="F4320" s="57" t="n"/>
      <c r="G4320" s="57" t="n"/>
      <c r="H4320" s="56" t="n"/>
      <c r="I4320" s="56" t="n"/>
      <c r="J4320" s="58" t="n"/>
      <c r="K4320" s="58" t="n"/>
      <c r="L4320" s="13">
        <f>IF(OR($A4320="",AND($J4320="",$K4320="")),"",ROUND(N($J4320)-N($K4320),2))</f>
        <v/>
      </c>
      <c r="M4320" s="13">
        <f>IF(OR($A4320="",AND($J4320="",$K4320="")),"",MIN($J4320,$K4320))</f>
        <v/>
      </c>
      <c r="Q4320">
        <f>IF($A4320="","",$D4320&amp;"("&amp;SUBSTITUTE($E4320," ","")&amp;")")</f>
        <v/>
      </c>
      <c r="R4320">
        <f>IF($A4320="","",$B4320&amp;" - "&amp;$C4320)</f>
        <v/>
      </c>
      <c r="S4320">
        <f>IF($A4320="","",$R4320&amp;"|"&amp;$Q4320)</f>
        <v/>
      </c>
      <c r="T4320">
        <f>IF($A4320="","",$S4320&amp;"|"&amp;$F4320)</f>
        <v/>
      </c>
      <c r="U4320">
        <f>IF($A4320="","",$R4320&amp;"("&amp;$E4320&amp;")")</f>
        <v/>
      </c>
      <c r="V4320">
        <f>IF($A4320="","",$F4320&amp;"|"&amp;$U4320&amp;"|"&amp;$D4320)</f>
        <v/>
      </c>
      <c r="W4320">
        <f>IF($T4320="","",IF($X4320&gt;N($X4319),$X4320,""))</f>
        <v/>
      </c>
      <c r="X4320">
        <f>IF($T4320="",N($X4319),IF(MATCH($T4320,$T$6:$T$6005,0)=ROW()-5,N($X4319)+1,N($X4319)))</f>
        <v/>
      </c>
      <c r="Z4320">
        <f>IF($V4320="","",IF($AA4320&gt;N($AA4319),$AA4320,""))</f>
        <v/>
      </c>
      <c r="AA4320">
        <f>IF($V4320="",N($AA4319),IF(MATCH($V4320,$V$6:$V$6005,0)=ROW()-5,N($AA4319)+1,N($AA4319)))</f>
        <v/>
      </c>
    </row>
    <row r="4321" ht="21" customHeight="1" s="66">
      <c r="A4321" s="56" t="n"/>
      <c r="B4321" s="57" t="n"/>
      <c r="C4321" s="57" t="n"/>
      <c r="D4321" s="57" t="n"/>
      <c r="E4321" s="56" t="n"/>
      <c r="F4321" s="57" t="n"/>
      <c r="G4321" s="57" t="n"/>
      <c r="H4321" s="56" t="n"/>
      <c r="I4321" s="56" t="n"/>
      <c r="J4321" s="58" t="n"/>
      <c r="K4321" s="58" t="n"/>
      <c r="L4321" s="13">
        <f>IF(OR($A4321="",AND($J4321="",$K4321="")),"",ROUND(N($J4321)-N($K4321),2))</f>
        <v/>
      </c>
      <c r="M4321" s="13">
        <f>IF(OR($A4321="",AND($J4321="",$K4321="")),"",MIN($J4321,$K4321))</f>
        <v/>
      </c>
      <c r="Q4321">
        <f>IF($A4321="","",$D4321&amp;"("&amp;SUBSTITUTE($E4321," ","")&amp;")")</f>
        <v/>
      </c>
      <c r="R4321">
        <f>IF($A4321="","",$B4321&amp;" - "&amp;$C4321)</f>
        <v/>
      </c>
      <c r="S4321">
        <f>IF($A4321="","",$R4321&amp;"|"&amp;$Q4321)</f>
        <v/>
      </c>
      <c r="T4321">
        <f>IF($A4321="","",$S4321&amp;"|"&amp;$F4321)</f>
        <v/>
      </c>
      <c r="U4321">
        <f>IF($A4321="","",$R4321&amp;"("&amp;$E4321&amp;")")</f>
        <v/>
      </c>
      <c r="V4321">
        <f>IF($A4321="","",$F4321&amp;"|"&amp;$U4321&amp;"|"&amp;$D4321)</f>
        <v/>
      </c>
      <c r="W4321">
        <f>IF($T4321="","",IF($X4321&gt;N($X4320),$X4321,""))</f>
        <v/>
      </c>
      <c r="X4321">
        <f>IF($T4321="",N($X4320),IF(MATCH($T4321,$T$6:$T$6005,0)=ROW()-5,N($X4320)+1,N($X4320)))</f>
        <v/>
      </c>
      <c r="Z4321">
        <f>IF($V4321="","",IF($AA4321&gt;N($AA4320),$AA4321,""))</f>
        <v/>
      </c>
      <c r="AA4321">
        <f>IF($V4321="",N($AA4320),IF(MATCH($V4321,$V$6:$V$6005,0)=ROW()-5,N($AA4320)+1,N($AA4320)))</f>
        <v/>
      </c>
    </row>
    <row r="4322" ht="21" customHeight="1" s="66">
      <c r="A4322" s="56" t="n"/>
      <c r="B4322" s="57" t="n"/>
      <c r="C4322" s="57" t="n"/>
      <c r="D4322" s="57" t="n"/>
      <c r="E4322" s="56" t="n"/>
      <c r="F4322" s="57" t="n"/>
      <c r="G4322" s="57" t="n"/>
      <c r="H4322" s="56" t="n"/>
      <c r="I4322" s="56" t="n"/>
      <c r="J4322" s="58" t="n"/>
      <c r="K4322" s="58" t="n"/>
      <c r="L4322" s="13">
        <f>IF(OR($A4322="",AND($J4322="",$K4322="")),"",ROUND(N($J4322)-N($K4322),2))</f>
        <v/>
      </c>
      <c r="M4322" s="13">
        <f>IF(OR($A4322="",AND($J4322="",$K4322="")),"",MIN($J4322,$K4322))</f>
        <v/>
      </c>
      <c r="Q4322">
        <f>IF($A4322="","",$D4322&amp;"("&amp;SUBSTITUTE($E4322," ","")&amp;")")</f>
        <v/>
      </c>
      <c r="R4322">
        <f>IF($A4322="","",$B4322&amp;" - "&amp;$C4322)</f>
        <v/>
      </c>
      <c r="S4322">
        <f>IF($A4322="","",$R4322&amp;"|"&amp;$Q4322)</f>
        <v/>
      </c>
      <c r="T4322">
        <f>IF($A4322="","",$S4322&amp;"|"&amp;$F4322)</f>
        <v/>
      </c>
      <c r="U4322">
        <f>IF($A4322="","",$R4322&amp;"("&amp;$E4322&amp;")")</f>
        <v/>
      </c>
      <c r="V4322">
        <f>IF($A4322="","",$F4322&amp;"|"&amp;$U4322&amp;"|"&amp;$D4322)</f>
        <v/>
      </c>
      <c r="W4322">
        <f>IF($T4322="","",IF($X4322&gt;N($X4321),$X4322,""))</f>
        <v/>
      </c>
      <c r="X4322">
        <f>IF($T4322="",N($X4321),IF(MATCH($T4322,$T$6:$T$6005,0)=ROW()-5,N($X4321)+1,N($X4321)))</f>
        <v/>
      </c>
      <c r="Z4322">
        <f>IF($V4322="","",IF($AA4322&gt;N($AA4321),$AA4322,""))</f>
        <v/>
      </c>
      <c r="AA4322">
        <f>IF($V4322="",N($AA4321),IF(MATCH($V4322,$V$6:$V$6005,0)=ROW()-5,N($AA4321)+1,N($AA4321)))</f>
        <v/>
      </c>
    </row>
    <row r="4323" ht="21" customHeight="1" s="66">
      <c r="A4323" s="56" t="n"/>
      <c r="B4323" s="57" t="n"/>
      <c r="C4323" s="57" t="n"/>
      <c r="D4323" s="57" t="n"/>
      <c r="E4323" s="56" t="n"/>
      <c r="F4323" s="57" t="n"/>
      <c r="G4323" s="57" t="n"/>
      <c r="H4323" s="56" t="n"/>
      <c r="I4323" s="56" t="n"/>
      <c r="J4323" s="58" t="n"/>
      <c r="K4323" s="58" t="n"/>
      <c r="L4323" s="13">
        <f>IF(OR($A4323="",AND($J4323="",$K4323="")),"",ROUND(N($J4323)-N($K4323),2))</f>
        <v/>
      </c>
      <c r="M4323" s="13">
        <f>IF(OR($A4323="",AND($J4323="",$K4323="")),"",MIN($J4323,$K4323))</f>
        <v/>
      </c>
      <c r="Q4323">
        <f>IF($A4323="","",$D4323&amp;"("&amp;SUBSTITUTE($E4323," ","")&amp;")")</f>
        <v/>
      </c>
      <c r="R4323">
        <f>IF($A4323="","",$B4323&amp;" - "&amp;$C4323)</f>
        <v/>
      </c>
      <c r="S4323">
        <f>IF($A4323="","",$R4323&amp;"|"&amp;$Q4323)</f>
        <v/>
      </c>
      <c r="T4323">
        <f>IF($A4323="","",$S4323&amp;"|"&amp;$F4323)</f>
        <v/>
      </c>
      <c r="U4323">
        <f>IF($A4323="","",$R4323&amp;"("&amp;$E4323&amp;")")</f>
        <v/>
      </c>
      <c r="V4323">
        <f>IF($A4323="","",$F4323&amp;"|"&amp;$U4323&amp;"|"&amp;$D4323)</f>
        <v/>
      </c>
      <c r="W4323">
        <f>IF($T4323="","",IF($X4323&gt;N($X4322),$X4323,""))</f>
        <v/>
      </c>
      <c r="X4323">
        <f>IF($T4323="",N($X4322),IF(MATCH($T4323,$T$6:$T$6005,0)=ROW()-5,N($X4322)+1,N($X4322)))</f>
        <v/>
      </c>
      <c r="Z4323">
        <f>IF($V4323="","",IF($AA4323&gt;N($AA4322),$AA4323,""))</f>
        <v/>
      </c>
      <c r="AA4323">
        <f>IF($V4323="",N($AA4322),IF(MATCH($V4323,$V$6:$V$6005,0)=ROW()-5,N($AA4322)+1,N($AA4322)))</f>
        <v/>
      </c>
    </row>
    <row r="4324" ht="21" customHeight="1" s="66">
      <c r="A4324" s="56" t="n"/>
      <c r="B4324" s="57" t="n"/>
      <c r="C4324" s="57" t="n"/>
      <c r="D4324" s="57" t="n"/>
      <c r="E4324" s="56" t="n"/>
      <c r="F4324" s="57" t="n"/>
      <c r="G4324" s="57" t="n"/>
      <c r="H4324" s="56" t="n"/>
      <c r="I4324" s="56" t="n"/>
      <c r="J4324" s="58" t="n"/>
      <c r="K4324" s="58" t="n"/>
      <c r="L4324" s="13">
        <f>IF(OR($A4324="",AND($J4324="",$K4324="")),"",ROUND(N($J4324)-N($K4324),2))</f>
        <v/>
      </c>
      <c r="M4324" s="13">
        <f>IF(OR($A4324="",AND($J4324="",$K4324="")),"",MIN($J4324,$K4324))</f>
        <v/>
      </c>
      <c r="Q4324">
        <f>IF($A4324="","",$D4324&amp;"("&amp;SUBSTITUTE($E4324," ","")&amp;")")</f>
        <v/>
      </c>
      <c r="R4324">
        <f>IF($A4324="","",$B4324&amp;" - "&amp;$C4324)</f>
        <v/>
      </c>
      <c r="S4324">
        <f>IF($A4324="","",$R4324&amp;"|"&amp;$Q4324)</f>
        <v/>
      </c>
      <c r="T4324">
        <f>IF($A4324="","",$S4324&amp;"|"&amp;$F4324)</f>
        <v/>
      </c>
      <c r="U4324">
        <f>IF($A4324="","",$R4324&amp;"("&amp;$E4324&amp;")")</f>
        <v/>
      </c>
      <c r="V4324">
        <f>IF($A4324="","",$F4324&amp;"|"&amp;$U4324&amp;"|"&amp;$D4324)</f>
        <v/>
      </c>
      <c r="W4324">
        <f>IF($T4324="","",IF($X4324&gt;N($X4323),$X4324,""))</f>
        <v/>
      </c>
      <c r="X4324">
        <f>IF($T4324="",N($X4323),IF(MATCH($T4324,$T$6:$T$6005,0)=ROW()-5,N($X4323)+1,N($X4323)))</f>
        <v/>
      </c>
      <c r="Z4324">
        <f>IF($V4324="","",IF($AA4324&gt;N($AA4323),$AA4324,""))</f>
        <v/>
      </c>
      <c r="AA4324">
        <f>IF($V4324="",N($AA4323),IF(MATCH($V4324,$V$6:$V$6005,0)=ROW()-5,N($AA4323)+1,N($AA4323)))</f>
        <v/>
      </c>
    </row>
    <row r="4325" ht="21" customHeight="1" s="66">
      <c r="A4325" s="56" t="n"/>
      <c r="B4325" s="57" t="n"/>
      <c r="C4325" s="57" t="n"/>
      <c r="D4325" s="57" t="n"/>
      <c r="E4325" s="56" t="n"/>
      <c r="F4325" s="57" t="n"/>
      <c r="G4325" s="57" t="n"/>
      <c r="H4325" s="56" t="n"/>
      <c r="I4325" s="56" t="n"/>
      <c r="J4325" s="58" t="n"/>
      <c r="K4325" s="58" t="n"/>
      <c r="L4325" s="13">
        <f>IF(OR($A4325="",AND($J4325="",$K4325="")),"",ROUND(N($J4325)-N($K4325),2))</f>
        <v/>
      </c>
      <c r="M4325" s="13">
        <f>IF(OR($A4325="",AND($J4325="",$K4325="")),"",MIN($J4325,$K4325))</f>
        <v/>
      </c>
      <c r="Q4325">
        <f>IF($A4325="","",$D4325&amp;"("&amp;SUBSTITUTE($E4325," ","")&amp;")")</f>
        <v/>
      </c>
      <c r="R4325">
        <f>IF($A4325="","",$B4325&amp;" - "&amp;$C4325)</f>
        <v/>
      </c>
      <c r="S4325">
        <f>IF($A4325="","",$R4325&amp;"|"&amp;$Q4325)</f>
        <v/>
      </c>
      <c r="T4325">
        <f>IF($A4325="","",$S4325&amp;"|"&amp;$F4325)</f>
        <v/>
      </c>
      <c r="U4325">
        <f>IF($A4325="","",$R4325&amp;"("&amp;$E4325&amp;")")</f>
        <v/>
      </c>
      <c r="V4325">
        <f>IF($A4325="","",$F4325&amp;"|"&amp;$U4325&amp;"|"&amp;$D4325)</f>
        <v/>
      </c>
      <c r="W4325">
        <f>IF($T4325="","",IF($X4325&gt;N($X4324),$X4325,""))</f>
        <v/>
      </c>
      <c r="X4325">
        <f>IF($T4325="",N($X4324),IF(MATCH($T4325,$T$6:$T$6005,0)=ROW()-5,N($X4324)+1,N($X4324)))</f>
        <v/>
      </c>
      <c r="Z4325">
        <f>IF($V4325="","",IF($AA4325&gt;N($AA4324),$AA4325,""))</f>
        <v/>
      </c>
      <c r="AA4325">
        <f>IF($V4325="",N($AA4324),IF(MATCH($V4325,$V$6:$V$6005,0)=ROW()-5,N($AA4324)+1,N($AA4324)))</f>
        <v/>
      </c>
    </row>
    <row r="4326" ht="21" customHeight="1" s="66">
      <c r="A4326" s="56" t="n"/>
      <c r="B4326" s="57" t="n"/>
      <c r="C4326" s="57" t="n"/>
      <c r="D4326" s="57" t="n"/>
      <c r="E4326" s="56" t="n"/>
      <c r="F4326" s="57" t="n"/>
      <c r="G4326" s="57" t="n"/>
      <c r="H4326" s="56" t="n"/>
      <c r="I4326" s="56" t="n"/>
      <c r="J4326" s="58" t="n"/>
      <c r="K4326" s="58" t="n"/>
      <c r="L4326" s="13">
        <f>IF(OR($A4326="",AND($J4326="",$K4326="")),"",ROUND(N($J4326)-N($K4326),2))</f>
        <v/>
      </c>
      <c r="M4326" s="13">
        <f>IF(OR($A4326="",AND($J4326="",$K4326="")),"",MIN($J4326,$K4326))</f>
        <v/>
      </c>
      <c r="Q4326">
        <f>IF($A4326="","",$D4326&amp;"("&amp;SUBSTITUTE($E4326," ","")&amp;")")</f>
        <v/>
      </c>
      <c r="R4326">
        <f>IF($A4326="","",$B4326&amp;" - "&amp;$C4326)</f>
        <v/>
      </c>
      <c r="S4326">
        <f>IF($A4326="","",$R4326&amp;"|"&amp;$Q4326)</f>
        <v/>
      </c>
      <c r="T4326">
        <f>IF($A4326="","",$S4326&amp;"|"&amp;$F4326)</f>
        <v/>
      </c>
      <c r="U4326">
        <f>IF($A4326="","",$R4326&amp;"("&amp;$E4326&amp;")")</f>
        <v/>
      </c>
      <c r="V4326">
        <f>IF($A4326="","",$F4326&amp;"|"&amp;$U4326&amp;"|"&amp;$D4326)</f>
        <v/>
      </c>
      <c r="W4326">
        <f>IF($T4326="","",IF($X4326&gt;N($X4325),$X4326,""))</f>
        <v/>
      </c>
      <c r="X4326">
        <f>IF($T4326="",N($X4325),IF(MATCH($T4326,$T$6:$T$6005,0)=ROW()-5,N($X4325)+1,N($X4325)))</f>
        <v/>
      </c>
      <c r="Z4326">
        <f>IF($V4326="","",IF($AA4326&gt;N($AA4325),$AA4326,""))</f>
        <v/>
      </c>
      <c r="AA4326">
        <f>IF($V4326="",N($AA4325),IF(MATCH($V4326,$V$6:$V$6005,0)=ROW()-5,N($AA4325)+1,N($AA4325)))</f>
        <v/>
      </c>
    </row>
    <row r="4327" ht="21" customHeight="1" s="66">
      <c r="A4327" s="56" t="n"/>
      <c r="B4327" s="57" t="n"/>
      <c r="C4327" s="57" t="n"/>
      <c r="D4327" s="57" t="n"/>
      <c r="E4327" s="56" t="n"/>
      <c r="F4327" s="57" t="n"/>
      <c r="G4327" s="57" t="n"/>
      <c r="H4327" s="56" t="n"/>
      <c r="I4327" s="56" t="n"/>
      <c r="J4327" s="58" t="n"/>
      <c r="K4327" s="58" t="n"/>
      <c r="L4327" s="13">
        <f>IF(OR($A4327="",AND($J4327="",$K4327="")),"",ROUND(N($J4327)-N($K4327),2))</f>
        <v/>
      </c>
      <c r="M4327" s="13">
        <f>IF(OR($A4327="",AND($J4327="",$K4327="")),"",MIN($J4327,$K4327))</f>
        <v/>
      </c>
      <c r="Q4327">
        <f>IF($A4327="","",$D4327&amp;"("&amp;SUBSTITUTE($E4327," ","")&amp;")")</f>
        <v/>
      </c>
      <c r="R4327">
        <f>IF($A4327="","",$B4327&amp;" - "&amp;$C4327)</f>
        <v/>
      </c>
      <c r="S4327">
        <f>IF($A4327="","",$R4327&amp;"|"&amp;$Q4327)</f>
        <v/>
      </c>
      <c r="T4327">
        <f>IF($A4327="","",$S4327&amp;"|"&amp;$F4327)</f>
        <v/>
      </c>
      <c r="U4327">
        <f>IF($A4327="","",$R4327&amp;"("&amp;$E4327&amp;")")</f>
        <v/>
      </c>
      <c r="V4327">
        <f>IF($A4327="","",$F4327&amp;"|"&amp;$U4327&amp;"|"&amp;$D4327)</f>
        <v/>
      </c>
      <c r="W4327">
        <f>IF($T4327="","",IF($X4327&gt;N($X4326),$X4327,""))</f>
        <v/>
      </c>
      <c r="X4327">
        <f>IF($T4327="",N($X4326),IF(MATCH($T4327,$T$6:$T$6005,0)=ROW()-5,N($X4326)+1,N($X4326)))</f>
        <v/>
      </c>
      <c r="Z4327">
        <f>IF($V4327="","",IF($AA4327&gt;N($AA4326),$AA4327,""))</f>
        <v/>
      </c>
      <c r="AA4327">
        <f>IF($V4327="",N($AA4326),IF(MATCH($V4327,$V$6:$V$6005,0)=ROW()-5,N($AA4326)+1,N($AA4326)))</f>
        <v/>
      </c>
    </row>
    <row r="4328" ht="21" customHeight="1" s="66">
      <c r="A4328" s="56" t="n"/>
      <c r="B4328" s="57" t="n"/>
      <c r="C4328" s="57" t="n"/>
      <c r="D4328" s="57" t="n"/>
      <c r="E4328" s="56" t="n"/>
      <c r="F4328" s="57" t="n"/>
      <c r="G4328" s="57" t="n"/>
      <c r="H4328" s="56" t="n"/>
      <c r="I4328" s="56" t="n"/>
      <c r="J4328" s="58" t="n"/>
      <c r="K4328" s="58" t="n"/>
      <c r="L4328" s="13">
        <f>IF(OR($A4328="",AND($J4328="",$K4328="")),"",ROUND(N($J4328)-N($K4328),2))</f>
        <v/>
      </c>
      <c r="M4328" s="13">
        <f>IF(OR($A4328="",AND($J4328="",$K4328="")),"",MIN($J4328,$K4328))</f>
        <v/>
      </c>
      <c r="Q4328">
        <f>IF($A4328="","",$D4328&amp;"("&amp;SUBSTITUTE($E4328," ","")&amp;")")</f>
        <v/>
      </c>
      <c r="R4328">
        <f>IF($A4328="","",$B4328&amp;" - "&amp;$C4328)</f>
        <v/>
      </c>
      <c r="S4328">
        <f>IF($A4328="","",$R4328&amp;"|"&amp;$Q4328)</f>
        <v/>
      </c>
      <c r="T4328">
        <f>IF($A4328="","",$S4328&amp;"|"&amp;$F4328)</f>
        <v/>
      </c>
      <c r="U4328">
        <f>IF($A4328="","",$R4328&amp;"("&amp;$E4328&amp;")")</f>
        <v/>
      </c>
      <c r="V4328">
        <f>IF($A4328="","",$F4328&amp;"|"&amp;$U4328&amp;"|"&amp;$D4328)</f>
        <v/>
      </c>
      <c r="W4328">
        <f>IF($T4328="","",IF($X4328&gt;N($X4327),$X4328,""))</f>
        <v/>
      </c>
      <c r="X4328">
        <f>IF($T4328="",N($X4327),IF(MATCH($T4328,$T$6:$T$6005,0)=ROW()-5,N($X4327)+1,N($X4327)))</f>
        <v/>
      </c>
      <c r="Z4328">
        <f>IF($V4328="","",IF($AA4328&gt;N($AA4327),$AA4328,""))</f>
        <v/>
      </c>
      <c r="AA4328">
        <f>IF($V4328="",N($AA4327),IF(MATCH($V4328,$V$6:$V$6005,0)=ROW()-5,N($AA4327)+1,N($AA4327)))</f>
        <v/>
      </c>
    </row>
    <row r="4329" ht="21" customHeight="1" s="66">
      <c r="A4329" s="56" t="n"/>
      <c r="B4329" s="57" t="n"/>
      <c r="C4329" s="57" t="n"/>
      <c r="D4329" s="57" t="n"/>
      <c r="E4329" s="56" t="n"/>
      <c r="F4329" s="57" t="n"/>
      <c r="G4329" s="57" t="n"/>
      <c r="H4329" s="56" t="n"/>
      <c r="I4329" s="56" t="n"/>
      <c r="J4329" s="58" t="n"/>
      <c r="K4329" s="58" t="n"/>
      <c r="L4329" s="13">
        <f>IF(OR($A4329="",AND($J4329="",$K4329="")),"",ROUND(N($J4329)-N($K4329),2))</f>
        <v/>
      </c>
      <c r="M4329" s="13">
        <f>IF(OR($A4329="",AND($J4329="",$K4329="")),"",MIN($J4329,$K4329))</f>
        <v/>
      </c>
      <c r="Q4329">
        <f>IF($A4329="","",$D4329&amp;"("&amp;SUBSTITUTE($E4329," ","")&amp;")")</f>
        <v/>
      </c>
      <c r="R4329">
        <f>IF($A4329="","",$B4329&amp;" - "&amp;$C4329)</f>
        <v/>
      </c>
      <c r="S4329">
        <f>IF($A4329="","",$R4329&amp;"|"&amp;$Q4329)</f>
        <v/>
      </c>
      <c r="T4329">
        <f>IF($A4329="","",$S4329&amp;"|"&amp;$F4329)</f>
        <v/>
      </c>
      <c r="U4329">
        <f>IF($A4329="","",$R4329&amp;"("&amp;$E4329&amp;")")</f>
        <v/>
      </c>
      <c r="V4329">
        <f>IF($A4329="","",$F4329&amp;"|"&amp;$U4329&amp;"|"&amp;$D4329)</f>
        <v/>
      </c>
      <c r="W4329">
        <f>IF($T4329="","",IF($X4329&gt;N($X4328),$X4329,""))</f>
        <v/>
      </c>
      <c r="X4329">
        <f>IF($T4329="",N($X4328),IF(MATCH($T4329,$T$6:$T$6005,0)=ROW()-5,N($X4328)+1,N($X4328)))</f>
        <v/>
      </c>
      <c r="Z4329">
        <f>IF($V4329="","",IF($AA4329&gt;N($AA4328),$AA4329,""))</f>
        <v/>
      </c>
      <c r="AA4329">
        <f>IF($V4329="",N($AA4328),IF(MATCH($V4329,$V$6:$V$6005,0)=ROW()-5,N($AA4328)+1,N($AA4328)))</f>
        <v/>
      </c>
    </row>
    <row r="4330" ht="21" customHeight="1" s="66">
      <c r="A4330" s="56" t="n"/>
      <c r="B4330" s="57" t="n"/>
      <c r="C4330" s="57" t="n"/>
      <c r="D4330" s="57" t="n"/>
      <c r="E4330" s="56" t="n"/>
      <c r="F4330" s="57" t="n"/>
      <c r="G4330" s="57" t="n"/>
      <c r="H4330" s="56" t="n"/>
      <c r="I4330" s="56" t="n"/>
      <c r="J4330" s="58" t="n"/>
      <c r="K4330" s="58" t="n"/>
      <c r="L4330" s="13">
        <f>IF(OR($A4330="",AND($J4330="",$K4330="")),"",ROUND(N($J4330)-N($K4330),2))</f>
        <v/>
      </c>
      <c r="M4330" s="13">
        <f>IF(OR($A4330="",AND($J4330="",$K4330="")),"",MIN($J4330,$K4330))</f>
        <v/>
      </c>
      <c r="Q4330">
        <f>IF($A4330="","",$D4330&amp;"("&amp;SUBSTITUTE($E4330," ","")&amp;")")</f>
        <v/>
      </c>
      <c r="R4330">
        <f>IF($A4330="","",$B4330&amp;" - "&amp;$C4330)</f>
        <v/>
      </c>
      <c r="S4330">
        <f>IF($A4330="","",$R4330&amp;"|"&amp;$Q4330)</f>
        <v/>
      </c>
      <c r="T4330">
        <f>IF($A4330="","",$S4330&amp;"|"&amp;$F4330)</f>
        <v/>
      </c>
      <c r="U4330">
        <f>IF($A4330="","",$R4330&amp;"("&amp;$E4330&amp;")")</f>
        <v/>
      </c>
      <c r="V4330">
        <f>IF($A4330="","",$F4330&amp;"|"&amp;$U4330&amp;"|"&amp;$D4330)</f>
        <v/>
      </c>
      <c r="W4330">
        <f>IF($T4330="","",IF($X4330&gt;N($X4329),$X4330,""))</f>
        <v/>
      </c>
      <c r="X4330">
        <f>IF($T4330="",N($X4329),IF(MATCH($T4330,$T$6:$T$6005,0)=ROW()-5,N($X4329)+1,N($X4329)))</f>
        <v/>
      </c>
      <c r="Z4330">
        <f>IF($V4330="","",IF($AA4330&gt;N($AA4329),$AA4330,""))</f>
        <v/>
      </c>
      <c r="AA4330">
        <f>IF($V4330="",N($AA4329),IF(MATCH($V4330,$V$6:$V$6005,0)=ROW()-5,N($AA4329)+1,N($AA4329)))</f>
        <v/>
      </c>
    </row>
    <row r="4331" ht="21" customHeight="1" s="66">
      <c r="A4331" s="56" t="n"/>
      <c r="B4331" s="57" t="n"/>
      <c r="C4331" s="57" t="n"/>
      <c r="D4331" s="57" t="n"/>
      <c r="E4331" s="56" t="n"/>
      <c r="F4331" s="57" t="n"/>
      <c r="G4331" s="57" t="n"/>
      <c r="H4331" s="56" t="n"/>
      <c r="I4331" s="56" t="n"/>
      <c r="J4331" s="58" t="n"/>
      <c r="K4331" s="58" t="n"/>
      <c r="L4331" s="13">
        <f>IF(OR($A4331="",AND($J4331="",$K4331="")),"",ROUND(N($J4331)-N($K4331),2))</f>
        <v/>
      </c>
      <c r="M4331" s="13">
        <f>IF(OR($A4331="",AND($J4331="",$K4331="")),"",MIN($J4331,$K4331))</f>
        <v/>
      </c>
      <c r="Q4331">
        <f>IF($A4331="","",$D4331&amp;"("&amp;SUBSTITUTE($E4331," ","")&amp;")")</f>
        <v/>
      </c>
      <c r="R4331">
        <f>IF($A4331="","",$B4331&amp;" - "&amp;$C4331)</f>
        <v/>
      </c>
      <c r="S4331">
        <f>IF($A4331="","",$R4331&amp;"|"&amp;$Q4331)</f>
        <v/>
      </c>
      <c r="T4331">
        <f>IF($A4331="","",$S4331&amp;"|"&amp;$F4331)</f>
        <v/>
      </c>
      <c r="U4331">
        <f>IF($A4331="","",$R4331&amp;"("&amp;$E4331&amp;")")</f>
        <v/>
      </c>
      <c r="V4331">
        <f>IF($A4331="","",$F4331&amp;"|"&amp;$U4331&amp;"|"&amp;$D4331)</f>
        <v/>
      </c>
      <c r="W4331">
        <f>IF($T4331="","",IF($X4331&gt;N($X4330),$X4331,""))</f>
        <v/>
      </c>
      <c r="X4331">
        <f>IF($T4331="",N($X4330),IF(MATCH($T4331,$T$6:$T$6005,0)=ROW()-5,N($X4330)+1,N($X4330)))</f>
        <v/>
      </c>
      <c r="Z4331">
        <f>IF($V4331="","",IF($AA4331&gt;N($AA4330),$AA4331,""))</f>
        <v/>
      </c>
      <c r="AA4331">
        <f>IF($V4331="",N($AA4330),IF(MATCH($V4331,$V$6:$V$6005,0)=ROW()-5,N($AA4330)+1,N($AA4330)))</f>
        <v/>
      </c>
    </row>
    <row r="4332" ht="21" customHeight="1" s="66">
      <c r="A4332" s="56" t="n"/>
      <c r="B4332" s="57" t="n"/>
      <c r="C4332" s="57" t="n"/>
      <c r="D4332" s="57" t="n"/>
      <c r="E4332" s="56" t="n"/>
      <c r="F4332" s="57" t="n"/>
      <c r="G4332" s="57" t="n"/>
      <c r="H4332" s="56" t="n"/>
      <c r="I4332" s="56" t="n"/>
      <c r="J4332" s="58" t="n"/>
      <c r="K4332" s="58" t="n"/>
      <c r="L4332" s="13">
        <f>IF(OR($A4332="",AND($J4332="",$K4332="")),"",ROUND(N($J4332)-N($K4332),2))</f>
        <v/>
      </c>
      <c r="M4332" s="13">
        <f>IF(OR($A4332="",AND($J4332="",$K4332="")),"",MIN($J4332,$K4332))</f>
        <v/>
      </c>
      <c r="Q4332">
        <f>IF($A4332="","",$D4332&amp;"("&amp;SUBSTITUTE($E4332," ","")&amp;")")</f>
        <v/>
      </c>
      <c r="R4332">
        <f>IF($A4332="","",$B4332&amp;" - "&amp;$C4332)</f>
        <v/>
      </c>
      <c r="S4332">
        <f>IF($A4332="","",$R4332&amp;"|"&amp;$Q4332)</f>
        <v/>
      </c>
      <c r="T4332">
        <f>IF($A4332="","",$S4332&amp;"|"&amp;$F4332)</f>
        <v/>
      </c>
      <c r="U4332">
        <f>IF($A4332="","",$R4332&amp;"("&amp;$E4332&amp;")")</f>
        <v/>
      </c>
      <c r="V4332">
        <f>IF($A4332="","",$F4332&amp;"|"&amp;$U4332&amp;"|"&amp;$D4332)</f>
        <v/>
      </c>
      <c r="W4332">
        <f>IF($T4332="","",IF($X4332&gt;N($X4331),$X4332,""))</f>
        <v/>
      </c>
      <c r="X4332">
        <f>IF($T4332="",N($X4331),IF(MATCH($T4332,$T$6:$T$6005,0)=ROW()-5,N($X4331)+1,N($X4331)))</f>
        <v/>
      </c>
      <c r="Z4332">
        <f>IF($V4332="","",IF($AA4332&gt;N($AA4331),$AA4332,""))</f>
        <v/>
      </c>
      <c r="AA4332">
        <f>IF($V4332="",N($AA4331),IF(MATCH($V4332,$V$6:$V$6005,0)=ROW()-5,N($AA4331)+1,N($AA4331)))</f>
        <v/>
      </c>
    </row>
    <row r="4333" ht="21" customHeight="1" s="66">
      <c r="A4333" s="56" t="n"/>
      <c r="B4333" s="57" t="n"/>
      <c r="C4333" s="57" t="n"/>
      <c r="D4333" s="57" t="n"/>
      <c r="E4333" s="56" t="n"/>
      <c r="F4333" s="57" t="n"/>
      <c r="G4333" s="57" t="n"/>
      <c r="H4333" s="56" t="n"/>
      <c r="I4333" s="56" t="n"/>
      <c r="J4333" s="58" t="n"/>
      <c r="K4333" s="58" t="n"/>
      <c r="L4333" s="13">
        <f>IF(OR($A4333="",AND($J4333="",$K4333="")),"",ROUND(N($J4333)-N($K4333),2))</f>
        <v/>
      </c>
      <c r="M4333" s="13">
        <f>IF(OR($A4333="",AND($J4333="",$K4333="")),"",MIN($J4333,$K4333))</f>
        <v/>
      </c>
      <c r="Q4333">
        <f>IF($A4333="","",$D4333&amp;"("&amp;SUBSTITUTE($E4333," ","")&amp;")")</f>
        <v/>
      </c>
      <c r="R4333">
        <f>IF($A4333="","",$B4333&amp;" - "&amp;$C4333)</f>
        <v/>
      </c>
      <c r="S4333">
        <f>IF($A4333="","",$R4333&amp;"|"&amp;$Q4333)</f>
        <v/>
      </c>
      <c r="T4333">
        <f>IF($A4333="","",$S4333&amp;"|"&amp;$F4333)</f>
        <v/>
      </c>
      <c r="U4333">
        <f>IF($A4333="","",$R4333&amp;"("&amp;$E4333&amp;")")</f>
        <v/>
      </c>
      <c r="V4333">
        <f>IF($A4333="","",$F4333&amp;"|"&amp;$U4333&amp;"|"&amp;$D4333)</f>
        <v/>
      </c>
      <c r="W4333">
        <f>IF($T4333="","",IF($X4333&gt;N($X4332),$X4333,""))</f>
        <v/>
      </c>
      <c r="X4333">
        <f>IF($T4333="",N($X4332),IF(MATCH($T4333,$T$6:$T$6005,0)=ROW()-5,N($X4332)+1,N($X4332)))</f>
        <v/>
      </c>
      <c r="Z4333">
        <f>IF($V4333="","",IF($AA4333&gt;N($AA4332),$AA4333,""))</f>
        <v/>
      </c>
      <c r="AA4333">
        <f>IF($V4333="",N($AA4332),IF(MATCH($V4333,$V$6:$V$6005,0)=ROW()-5,N($AA4332)+1,N($AA4332)))</f>
        <v/>
      </c>
    </row>
    <row r="4334" ht="21" customHeight="1" s="66">
      <c r="A4334" s="56" t="n"/>
      <c r="B4334" s="57" t="n"/>
      <c r="C4334" s="57" t="n"/>
      <c r="D4334" s="57" t="n"/>
      <c r="E4334" s="56" t="n"/>
      <c r="F4334" s="57" t="n"/>
      <c r="G4334" s="57" t="n"/>
      <c r="H4334" s="56" t="n"/>
      <c r="I4334" s="56" t="n"/>
      <c r="J4334" s="58" t="n"/>
      <c r="K4334" s="58" t="n"/>
      <c r="L4334" s="13">
        <f>IF(OR($A4334="",AND($J4334="",$K4334="")),"",ROUND(N($J4334)-N($K4334),2))</f>
        <v/>
      </c>
      <c r="M4334" s="13">
        <f>IF(OR($A4334="",AND($J4334="",$K4334="")),"",MIN($J4334,$K4334))</f>
        <v/>
      </c>
      <c r="Q4334">
        <f>IF($A4334="","",$D4334&amp;"("&amp;SUBSTITUTE($E4334," ","")&amp;")")</f>
        <v/>
      </c>
      <c r="R4334">
        <f>IF($A4334="","",$B4334&amp;" - "&amp;$C4334)</f>
        <v/>
      </c>
      <c r="S4334">
        <f>IF($A4334="","",$R4334&amp;"|"&amp;$Q4334)</f>
        <v/>
      </c>
      <c r="T4334">
        <f>IF($A4334="","",$S4334&amp;"|"&amp;$F4334)</f>
        <v/>
      </c>
      <c r="U4334">
        <f>IF($A4334="","",$R4334&amp;"("&amp;$E4334&amp;")")</f>
        <v/>
      </c>
      <c r="V4334">
        <f>IF($A4334="","",$F4334&amp;"|"&amp;$U4334&amp;"|"&amp;$D4334)</f>
        <v/>
      </c>
      <c r="W4334">
        <f>IF($T4334="","",IF($X4334&gt;N($X4333),$X4334,""))</f>
        <v/>
      </c>
      <c r="X4334">
        <f>IF($T4334="",N($X4333),IF(MATCH($T4334,$T$6:$T$6005,0)=ROW()-5,N($X4333)+1,N($X4333)))</f>
        <v/>
      </c>
      <c r="Z4334">
        <f>IF($V4334="","",IF($AA4334&gt;N($AA4333),$AA4334,""))</f>
        <v/>
      </c>
      <c r="AA4334">
        <f>IF($V4334="",N($AA4333),IF(MATCH($V4334,$V$6:$V$6005,0)=ROW()-5,N($AA4333)+1,N($AA4333)))</f>
        <v/>
      </c>
    </row>
    <row r="4335" ht="21" customHeight="1" s="66">
      <c r="A4335" s="56" t="n"/>
      <c r="B4335" s="57" t="n"/>
      <c r="C4335" s="57" t="n"/>
      <c r="D4335" s="57" t="n"/>
      <c r="E4335" s="56" t="n"/>
      <c r="F4335" s="57" t="n"/>
      <c r="G4335" s="57" t="n"/>
      <c r="H4335" s="56" t="n"/>
      <c r="I4335" s="56" t="n"/>
      <c r="J4335" s="58" t="n"/>
      <c r="K4335" s="58" t="n"/>
      <c r="L4335" s="13">
        <f>IF(OR($A4335="",AND($J4335="",$K4335="")),"",ROUND(N($J4335)-N($K4335),2))</f>
        <v/>
      </c>
      <c r="M4335" s="13">
        <f>IF(OR($A4335="",AND($J4335="",$K4335="")),"",MIN($J4335,$K4335))</f>
        <v/>
      </c>
      <c r="Q4335">
        <f>IF($A4335="","",$D4335&amp;"("&amp;SUBSTITUTE($E4335," ","")&amp;")")</f>
        <v/>
      </c>
      <c r="R4335">
        <f>IF($A4335="","",$B4335&amp;" - "&amp;$C4335)</f>
        <v/>
      </c>
      <c r="S4335">
        <f>IF($A4335="","",$R4335&amp;"|"&amp;$Q4335)</f>
        <v/>
      </c>
      <c r="T4335">
        <f>IF($A4335="","",$S4335&amp;"|"&amp;$F4335)</f>
        <v/>
      </c>
      <c r="U4335">
        <f>IF($A4335="","",$R4335&amp;"("&amp;$E4335&amp;")")</f>
        <v/>
      </c>
      <c r="V4335">
        <f>IF($A4335="","",$F4335&amp;"|"&amp;$U4335&amp;"|"&amp;$D4335)</f>
        <v/>
      </c>
      <c r="W4335">
        <f>IF($T4335="","",IF($X4335&gt;N($X4334),$X4335,""))</f>
        <v/>
      </c>
      <c r="X4335">
        <f>IF($T4335="",N($X4334),IF(MATCH($T4335,$T$6:$T$6005,0)=ROW()-5,N($X4334)+1,N($X4334)))</f>
        <v/>
      </c>
      <c r="Z4335">
        <f>IF($V4335="","",IF($AA4335&gt;N($AA4334),$AA4335,""))</f>
        <v/>
      </c>
      <c r="AA4335">
        <f>IF($V4335="",N($AA4334),IF(MATCH($V4335,$V$6:$V$6005,0)=ROW()-5,N($AA4334)+1,N($AA4334)))</f>
        <v/>
      </c>
    </row>
    <row r="4336" ht="21" customHeight="1" s="66">
      <c r="A4336" s="56" t="n"/>
      <c r="B4336" s="57" t="n"/>
      <c r="C4336" s="57" t="n"/>
      <c r="D4336" s="57" t="n"/>
      <c r="E4336" s="56" t="n"/>
      <c r="F4336" s="57" t="n"/>
      <c r="G4336" s="57" t="n"/>
      <c r="H4336" s="56" t="n"/>
      <c r="I4336" s="56" t="n"/>
      <c r="J4336" s="58" t="n"/>
      <c r="K4336" s="58" t="n"/>
      <c r="L4336" s="13">
        <f>IF(OR($A4336="",AND($J4336="",$K4336="")),"",ROUND(N($J4336)-N($K4336),2))</f>
        <v/>
      </c>
      <c r="M4336" s="13">
        <f>IF(OR($A4336="",AND($J4336="",$K4336="")),"",MIN($J4336,$K4336))</f>
        <v/>
      </c>
      <c r="Q4336">
        <f>IF($A4336="","",$D4336&amp;"("&amp;SUBSTITUTE($E4336," ","")&amp;")")</f>
        <v/>
      </c>
      <c r="R4336">
        <f>IF($A4336="","",$B4336&amp;" - "&amp;$C4336)</f>
        <v/>
      </c>
      <c r="S4336">
        <f>IF($A4336="","",$R4336&amp;"|"&amp;$Q4336)</f>
        <v/>
      </c>
      <c r="T4336">
        <f>IF($A4336="","",$S4336&amp;"|"&amp;$F4336)</f>
        <v/>
      </c>
      <c r="U4336">
        <f>IF($A4336="","",$R4336&amp;"("&amp;$E4336&amp;")")</f>
        <v/>
      </c>
      <c r="V4336">
        <f>IF($A4336="","",$F4336&amp;"|"&amp;$U4336&amp;"|"&amp;$D4336)</f>
        <v/>
      </c>
      <c r="W4336">
        <f>IF($T4336="","",IF($X4336&gt;N($X4335),$X4336,""))</f>
        <v/>
      </c>
      <c r="X4336">
        <f>IF($T4336="",N($X4335),IF(MATCH($T4336,$T$6:$T$6005,0)=ROW()-5,N($X4335)+1,N($X4335)))</f>
        <v/>
      </c>
      <c r="Z4336">
        <f>IF($V4336="","",IF($AA4336&gt;N($AA4335),$AA4336,""))</f>
        <v/>
      </c>
      <c r="AA4336">
        <f>IF($V4336="",N($AA4335),IF(MATCH($V4336,$V$6:$V$6005,0)=ROW()-5,N($AA4335)+1,N($AA4335)))</f>
        <v/>
      </c>
    </row>
    <row r="4337" ht="21" customHeight="1" s="66">
      <c r="A4337" s="56" t="n"/>
      <c r="B4337" s="57" t="n"/>
      <c r="C4337" s="57" t="n"/>
      <c r="D4337" s="57" t="n"/>
      <c r="E4337" s="56" t="n"/>
      <c r="F4337" s="57" t="n"/>
      <c r="G4337" s="57" t="n"/>
      <c r="H4337" s="56" t="n"/>
      <c r="I4337" s="56" t="n"/>
      <c r="J4337" s="58" t="n"/>
      <c r="K4337" s="58" t="n"/>
      <c r="L4337" s="13">
        <f>IF(OR($A4337="",AND($J4337="",$K4337="")),"",ROUND(N($J4337)-N($K4337),2))</f>
        <v/>
      </c>
      <c r="M4337" s="13">
        <f>IF(OR($A4337="",AND($J4337="",$K4337="")),"",MIN($J4337,$K4337))</f>
        <v/>
      </c>
      <c r="Q4337">
        <f>IF($A4337="","",$D4337&amp;"("&amp;SUBSTITUTE($E4337," ","")&amp;")")</f>
        <v/>
      </c>
      <c r="R4337">
        <f>IF($A4337="","",$B4337&amp;" - "&amp;$C4337)</f>
        <v/>
      </c>
      <c r="S4337">
        <f>IF($A4337="","",$R4337&amp;"|"&amp;$Q4337)</f>
        <v/>
      </c>
      <c r="T4337">
        <f>IF($A4337="","",$S4337&amp;"|"&amp;$F4337)</f>
        <v/>
      </c>
      <c r="U4337">
        <f>IF($A4337="","",$R4337&amp;"("&amp;$E4337&amp;")")</f>
        <v/>
      </c>
      <c r="V4337">
        <f>IF($A4337="","",$F4337&amp;"|"&amp;$U4337&amp;"|"&amp;$D4337)</f>
        <v/>
      </c>
      <c r="W4337">
        <f>IF($T4337="","",IF($X4337&gt;N($X4336),$X4337,""))</f>
        <v/>
      </c>
      <c r="X4337">
        <f>IF($T4337="",N($X4336),IF(MATCH($T4337,$T$6:$T$6005,0)=ROW()-5,N($X4336)+1,N($X4336)))</f>
        <v/>
      </c>
      <c r="Z4337">
        <f>IF($V4337="","",IF($AA4337&gt;N($AA4336),$AA4337,""))</f>
        <v/>
      </c>
      <c r="AA4337">
        <f>IF($V4337="",N($AA4336),IF(MATCH($V4337,$V$6:$V$6005,0)=ROW()-5,N($AA4336)+1,N($AA4336)))</f>
        <v/>
      </c>
    </row>
    <row r="4338" ht="21" customHeight="1" s="66">
      <c r="A4338" s="56" t="n"/>
      <c r="B4338" s="57" t="n"/>
      <c r="C4338" s="57" t="n"/>
      <c r="D4338" s="57" t="n"/>
      <c r="E4338" s="56" t="n"/>
      <c r="F4338" s="57" t="n"/>
      <c r="G4338" s="57" t="n"/>
      <c r="H4338" s="56" t="n"/>
      <c r="I4338" s="56" t="n"/>
      <c r="J4338" s="58" t="n"/>
      <c r="K4338" s="58" t="n"/>
      <c r="L4338" s="13">
        <f>IF(OR($A4338="",AND($J4338="",$K4338="")),"",ROUND(N($J4338)-N($K4338),2))</f>
        <v/>
      </c>
      <c r="M4338" s="13">
        <f>IF(OR($A4338="",AND($J4338="",$K4338="")),"",MIN($J4338,$K4338))</f>
        <v/>
      </c>
      <c r="Q4338">
        <f>IF($A4338="","",$D4338&amp;"("&amp;SUBSTITUTE($E4338," ","")&amp;")")</f>
        <v/>
      </c>
      <c r="R4338">
        <f>IF($A4338="","",$B4338&amp;" - "&amp;$C4338)</f>
        <v/>
      </c>
      <c r="S4338">
        <f>IF($A4338="","",$R4338&amp;"|"&amp;$Q4338)</f>
        <v/>
      </c>
      <c r="T4338">
        <f>IF($A4338="","",$S4338&amp;"|"&amp;$F4338)</f>
        <v/>
      </c>
      <c r="U4338">
        <f>IF($A4338="","",$R4338&amp;"("&amp;$E4338&amp;")")</f>
        <v/>
      </c>
      <c r="V4338">
        <f>IF($A4338="","",$F4338&amp;"|"&amp;$U4338&amp;"|"&amp;$D4338)</f>
        <v/>
      </c>
      <c r="W4338">
        <f>IF($T4338="","",IF($X4338&gt;N($X4337),$X4338,""))</f>
        <v/>
      </c>
      <c r="X4338">
        <f>IF($T4338="",N($X4337),IF(MATCH($T4338,$T$6:$T$6005,0)=ROW()-5,N($X4337)+1,N($X4337)))</f>
        <v/>
      </c>
      <c r="Z4338">
        <f>IF($V4338="","",IF($AA4338&gt;N($AA4337),$AA4338,""))</f>
        <v/>
      </c>
      <c r="AA4338">
        <f>IF($V4338="",N($AA4337),IF(MATCH($V4338,$V$6:$V$6005,0)=ROW()-5,N($AA4337)+1,N($AA4337)))</f>
        <v/>
      </c>
    </row>
    <row r="4339" ht="21" customHeight="1" s="66">
      <c r="A4339" s="56" t="n"/>
      <c r="B4339" s="57" t="n"/>
      <c r="C4339" s="57" t="n"/>
      <c r="D4339" s="57" t="n"/>
      <c r="E4339" s="56" t="n"/>
      <c r="F4339" s="57" t="n"/>
      <c r="G4339" s="57" t="n"/>
      <c r="H4339" s="56" t="n"/>
      <c r="I4339" s="56" t="n"/>
      <c r="J4339" s="58" t="n"/>
      <c r="K4339" s="58" t="n"/>
      <c r="L4339" s="13">
        <f>IF(OR($A4339="",AND($J4339="",$K4339="")),"",ROUND(N($J4339)-N($K4339),2))</f>
        <v/>
      </c>
      <c r="M4339" s="13">
        <f>IF(OR($A4339="",AND($J4339="",$K4339="")),"",MIN($J4339,$K4339))</f>
        <v/>
      </c>
      <c r="Q4339">
        <f>IF($A4339="","",$D4339&amp;"("&amp;SUBSTITUTE($E4339," ","")&amp;")")</f>
        <v/>
      </c>
      <c r="R4339">
        <f>IF($A4339="","",$B4339&amp;" - "&amp;$C4339)</f>
        <v/>
      </c>
      <c r="S4339">
        <f>IF($A4339="","",$R4339&amp;"|"&amp;$Q4339)</f>
        <v/>
      </c>
      <c r="T4339">
        <f>IF($A4339="","",$S4339&amp;"|"&amp;$F4339)</f>
        <v/>
      </c>
      <c r="U4339">
        <f>IF($A4339="","",$R4339&amp;"("&amp;$E4339&amp;")")</f>
        <v/>
      </c>
      <c r="V4339">
        <f>IF($A4339="","",$F4339&amp;"|"&amp;$U4339&amp;"|"&amp;$D4339)</f>
        <v/>
      </c>
      <c r="W4339">
        <f>IF($T4339="","",IF($X4339&gt;N($X4338),$X4339,""))</f>
        <v/>
      </c>
      <c r="X4339">
        <f>IF($T4339="",N($X4338),IF(MATCH($T4339,$T$6:$T$6005,0)=ROW()-5,N($X4338)+1,N($X4338)))</f>
        <v/>
      </c>
      <c r="Z4339">
        <f>IF($V4339="","",IF($AA4339&gt;N($AA4338),$AA4339,""))</f>
        <v/>
      </c>
      <c r="AA4339">
        <f>IF($V4339="",N($AA4338),IF(MATCH($V4339,$V$6:$V$6005,0)=ROW()-5,N($AA4338)+1,N($AA4338)))</f>
        <v/>
      </c>
    </row>
    <row r="4340" ht="21" customHeight="1" s="66">
      <c r="A4340" s="56" t="n"/>
      <c r="B4340" s="57" t="n"/>
      <c r="C4340" s="57" t="n"/>
      <c r="D4340" s="57" t="n"/>
      <c r="E4340" s="56" t="n"/>
      <c r="F4340" s="57" t="n"/>
      <c r="G4340" s="57" t="n"/>
      <c r="H4340" s="56" t="n"/>
      <c r="I4340" s="56" t="n"/>
      <c r="J4340" s="58" t="n"/>
      <c r="K4340" s="58" t="n"/>
      <c r="L4340" s="13">
        <f>IF(OR($A4340="",AND($J4340="",$K4340="")),"",ROUND(N($J4340)-N($K4340),2))</f>
        <v/>
      </c>
      <c r="M4340" s="13">
        <f>IF(OR($A4340="",AND($J4340="",$K4340="")),"",MIN($J4340,$K4340))</f>
        <v/>
      </c>
      <c r="Q4340">
        <f>IF($A4340="","",$D4340&amp;"("&amp;SUBSTITUTE($E4340," ","")&amp;")")</f>
        <v/>
      </c>
      <c r="R4340">
        <f>IF($A4340="","",$B4340&amp;" - "&amp;$C4340)</f>
        <v/>
      </c>
      <c r="S4340">
        <f>IF($A4340="","",$R4340&amp;"|"&amp;$Q4340)</f>
        <v/>
      </c>
      <c r="T4340">
        <f>IF($A4340="","",$S4340&amp;"|"&amp;$F4340)</f>
        <v/>
      </c>
      <c r="U4340">
        <f>IF($A4340="","",$R4340&amp;"("&amp;$E4340&amp;")")</f>
        <v/>
      </c>
      <c r="V4340">
        <f>IF($A4340="","",$F4340&amp;"|"&amp;$U4340&amp;"|"&amp;$D4340)</f>
        <v/>
      </c>
      <c r="W4340">
        <f>IF($T4340="","",IF($X4340&gt;N($X4339),$X4340,""))</f>
        <v/>
      </c>
      <c r="X4340">
        <f>IF($T4340="",N($X4339),IF(MATCH($T4340,$T$6:$T$6005,0)=ROW()-5,N($X4339)+1,N($X4339)))</f>
        <v/>
      </c>
      <c r="Z4340">
        <f>IF($V4340="","",IF($AA4340&gt;N($AA4339),$AA4340,""))</f>
        <v/>
      </c>
      <c r="AA4340">
        <f>IF($V4340="",N($AA4339),IF(MATCH($V4340,$V$6:$V$6005,0)=ROW()-5,N($AA4339)+1,N($AA4339)))</f>
        <v/>
      </c>
    </row>
    <row r="4341" ht="21" customHeight="1" s="66">
      <c r="A4341" s="56" t="n"/>
      <c r="B4341" s="57" t="n"/>
      <c r="C4341" s="57" t="n"/>
      <c r="D4341" s="57" t="n"/>
      <c r="E4341" s="56" t="n"/>
      <c r="F4341" s="57" t="n"/>
      <c r="G4341" s="57" t="n"/>
      <c r="H4341" s="56" t="n"/>
      <c r="I4341" s="56" t="n"/>
      <c r="J4341" s="58" t="n"/>
      <c r="K4341" s="58" t="n"/>
      <c r="L4341" s="13">
        <f>IF(OR($A4341="",AND($J4341="",$K4341="")),"",ROUND(N($J4341)-N($K4341),2))</f>
        <v/>
      </c>
      <c r="M4341" s="13">
        <f>IF(OR($A4341="",AND($J4341="",$K4341="")),"",MIN($J4341,$K4341))</f>
        <v/>
      </c>
      <c r="Q4341">
        <f>IF($A4341="","",$D4341&amp;"("&amp;SUBSTITUTE($E4341," ","")&amp;")")</f>
        <v/>
      </c>
      <c r="R4341">
        <f>IF($A4341="","",$B4341&amp;" - "&amp;$C4341)</f>
        <v/>
      </c>
      <c r="S4341">
        <f>IF($A4341="","",$R4341&amp;"|"&amp;$Q4341)</f>
        <v/>
      </c>
      <c r="T4341">
        <f>IF($A4341="","",$S4341&amp;"|"&amp;$F4341)</f>
        <v/>
      </c>
      <c r="U4341">
        <f>IF($A4341="","",$R4341&amp;"("&amp;$E4341&amp;")")</f>
        <v/>
      </c>
      <c r="V4341">
        <f>IF($A4341="","",$F4341&amp;"|"&amp;$U4341&amp;"|"&amp;$D4341)</f>
        <v/>
      </c>
      <c r="W4341">
        <f>IF($T4341="","",IF($X4341&gt;N($X4340),$X4341,""))</f>
        <v/>
      </c>
      <c r="X4341">
        <f>IF($T4341="",N($X4340),IF(MATCH($T4341,$T$6:$T$6005,0)=ROW()-5,N($X4340)+1,N($X4340)))</f>
        <v/>
      </c>
      <c r="Z4341">
        <f>IF($V4341="","",IF($AA4341&gt;N($AA4340),$AA4341,""))</f>
        <v/>
      </c>
      <c r="AA4341">
        <f>IF($V4341="",N($AA4340),IF(MATCH($V4341,$V$6:$V$6005,0)=ROW()-5,N($AA4340)+1,N($AA4340)))</f>
        <v/>
      </c>
    </row>
    <row r="4342" ht="21" customHeight="1" s="66">
      <c r="A4342" s="56" t="n"/>
      <c r="B4342" s="57" t="n"/>
      <c r="C4342" s="57" t="n"/>
      <c r="D4342" s="57" t="n"/>
      <c r="E4342" s="56" t="n"/>
      <c r="F4342" s="57" t="n"/>
      <c r="G4342" s="57" t="n"/>
      <c r="H4342" s="56" t="n"/>
      <c r="I4342" s="56" t="n"/>
      <c r="J4342" s="58" t="n"/>
      <c r="K4342" s="58" t="n"/>
      <c r="L4342" s="13">
        <f>IF(OR($A4342="",AND($J4342="",$K4342="")),"",ROUND(N($J4342)-N($K4342),2))</f>
        <v/>
      </c>
      <c r="M4342" s="13">
        <f>IF(OR($A4342="",AND($J4342="",$K4342="")),"",MIN($J4342,$K4342))</f>
        <v/>
      </c>
      <c r="Q4342">
        <f>IF($A4342="","",$D4342&amp;"("&amp;SUBSTITUTE($E4342," ","")&amp;")")</f>
        <v/>
      </c>
      <c r="R4342">
        <f>IF($A4342="","",$B4342&amp;" - "&amp;$C4342)</f>
        <v/>
      </c>
      <c r="S4342">
        <f>IF($A4342="","",$R4342&amp;"|"&amp;$Q4342)</f>
        <v/>
      </c>
      <c r="T4342">
        <f>IF($A4342="","",$S4342&amp;"|"&amp;$F4342)</f>
        <v/>
      </c>
      <c r="U4342">
        <f>IF($A4342="","",$R4342&amp;"("&amp;$E4342&amp;")")</f>
        <v/>
      </c>
      <c r="V4342">
        <f>IF($A4342="","",$F4342&amp;"|"&amp;$U4342&amp;"|"&amp;$D4342)</f>
        <v/>
      </c>
      <c r="W4342">
        <f>IF($T4342="","",IF($X4342&gt;N($X4341),$X4342,""))</f>
        <v/>
      </c>
      <c r="X4342">
        <f>IF($T4342="",N($X4341),IF(MATCH($T4342,$T$6:$T$6005,0)=ROW()-5,N($X4341)+1,N($X4341)))</f>
        <v/>
      </c>
      <c r="Z4342">
        <f>IF($V4342="","",IF($AA4342&gt;N($AA4341),$AA4342,""))</f>
        <v/>
      </c>
      <c r="AA4342">
        <f>IF($V4342="",N($AA4341),IF(MATCH($V4342,$V$6:$V$6005,0)=ROW()-5,N($AA4341)+1,N($AA4341)))</f>
        <v/>
      </c>
    </row>
    <row r="4343" ht="21" customHeight="1" s="66">
      <c r="A4343" s="56" t="n"/>
      <c r="B4343" s="57" t="n"/>
      <c r="C4343" s="57" t="n"/>
      <c r="D4343" s="57" t="n"/>
      <c r="E4343" s="56" t="n"/>
      <c r="F4343" s="57" t="n"/>
      <c r="G4343" s="57" t="n"/>
      <c r="H4343" s="56" t="n"/>
      <c r="I4343" s="56" t="n"/>
      <c r="J4343" s="58" t="n"/>
      <c r="K4343" s="58" t="n"/>
      <c r="L4343" s="13">
        <f>IF(OR($A4343="",AND($J4343="",$K4343="")),"",ROUND(N($J4343)-N($K4343),2))</f>
        <v/>
      </c>
      <c r="M4343" s="13">
        <f>IF(OR($A4343="",AND($J4343="",$K4343="")),"",MIN($J4343,$K4343))</f>
        <v/>
      </c>
      <c r="Q4343">
        <f>IF($A4343="","",$D4343&amp;"("&amp;SUBSTITUTE($E4343," ","")&amp;")")</f>
        <v/>
      </c>
      <c r="R4343">
        <f>IF($A4343="","",$B4343&amp;" - "&amp;$C4343)</f>
        <v/>
      </c>
      <c r="S4343">
        <f>IF($A4343="","",$R4343&amp;"|"&amp;$Q4343)</f>
        <v/>
      </c>
      <c r="T4343">
        <f>IF($A4343="","",$S4343&amp;"|"&amp;$F4343)</f>
        <v/>
      </c>
      <c r="U4343">
        <f>IF($A4343="","",$R4343&amp;"("&amp;$E4343&amp;")")</f>
        <v/>
      </c>
      <c r="V4343">
        <f>IF($A4343="","",$F4343&amp;"|"&amp;$U4343&amp;"|"&amp;$D4343)</f>
        <v/>
      </c>
      <c r="W4343">
        <f>IF($T4343="","",IF($X4343&gt;N($X4342),$X4343,""))</f>
        <v/>
      </c>
      <c r="X4343">
        <f>IF($T4343="",N($X4342),IF(MATCH($T4343,$T$6:$T$6005,0)=ROW()-5,N($X4342)+1,N($X4342)))</f>
        <v/>
      </c>
      <c r="Z4343">
        <f>IF($V4343="","",IF($AA4343&gt;N($AA4342),$AA4343,""))</f>
        <v/>
      </c>
      <c r="AA4343">
        <f>IF($V4343="",N($AA4342),IF(MATCH($V4343,$V$6:$V$6005,0)=ROW()-5,N($AA4342)+1,N($AA4342)))</f>
        <v/>
      </c>
    </row>
    <row r="4344" ht="21" customHeight="1" s="66">
      <c r="A4344" s="56" t="n"/>
      <c r="B4344" s="57" t="n"/>
      <c r="C4344" s="57" t="n"/>
      <c r="D4344" s="57" t="n"/>
      <c r="E4344" s="56" t="n"/>
      <c r="F4344" s="57" t="n"/>
      <c r="G4344" s="57" t="n"/>
      <c r="H4344" s="56" t="n"/>
      <c r="I4344" s="56" t="n"/>
      <c r="J4344" s="58" t="n"/>
      <c r="K4344" s="58" t="n"/>
      <c r="L4344" s="13">
        <f>IF(OR($A4344="",AND($J4344="",$K4344="")),"",ROUND(N($J4344)-N($K4344),2))</f>
        <v/>
      </c>
      <c r="M4344" s="13">
        <f>IF(OR($A4344="",AND($J4344="",$K4344="")),"",MIN($J4344,$K4344))</f>
        <v/>
      </c>
      <c r="Q4344">
        <f>IF($A4344="","",$D4344&amp;"("&amp;SUBSTITUTE($E4344," ","")&amp;")")</f>
        <v/>
      </c>
      <c r="R4344">
        <f>IF($A4344="","",$B4344&amp;" - "&amp;$C4344)</f>
        <v/>
      </c>
      <c r="S4344">
        <f>IF($A4344="","",$R4344&amp;"|"&amp;$Q4344)</f>
        <v/>
      </c>
      <c r="T4344">
        <f>IF($A4344="","",$S4344&amp;"|"&amp;$F4344)</f>
        <v/>
      </c>
      <c r="U4344">
        <f>IF($A4344="","",$R4344&amp;"("&amp;$E4344&amp;")")</f>
        <v/>
      </c>
      <c r="V4344">
        <f>IF($A4344="","",$F4344&amp;"|"&amp;$U4344&amp;"|"&amp;$D4344)</f>
        <v/>
      </c>
      <c r="W4344">
        <f>IF($T4344="","",IF($X4344&gt;N($X4343),$X4344,""))</f>
        <v/>
      </c>
      <c r="X4344">
        <f>IF($T4344="",N($X4343),IF(MATCH($T4344,$T$6:$T$6005,0)=ROW()-5,N($X4343)+1,N($X4343)))</f>
        <v/>
      </c>
      <c r="Z4344">
        <f>IF($V4344="","",IF($AA4344&gt;N($AA4343),$AA4344,""))</f>
        <v/>
      </c>
      <c r="AA4344">
        <f>IF($V4344="",N($AA4343),IF(MATCH($V4344,$V$6:$V$6005,0)=ROW()-5,N($AA4343)+1,N($AA4343)))</f>
        <v/>
      </c>
    </row>
    <row r="4345" ht="21" customHeight="1" s="66">
      <c r="A4345" s="56" t="n"/>
      <c r="B4345" s="57" t="n"/>
      <c r="C4345" s="57" t="n"/>
      <c r="D4345" s="57" t="n"/>
      <c r="E4345" s="56" t="n"/>
      <c r="F4345" s="57" t="n"/>
      <c r="G4345" s="57" t="n"/>
      <c r="H4345" s="56" t="n"/>
      <c r="I4345" s="56" t="n"/>
      <c r="J4345" s="58" t="n"/>
      <c r="K4345" s="58" t="n"/>
      <c r="L4345" s="13">
        <f>IF(OR($A4345="",AND($J4345="",$K4345="")),"",ROUND(N($J4345)-N($K4345),2))</f>
        <v/>
      </c>
      <c r="M4345" s="13">
        <f>IF(OR($A4345="",AND($J4345="",$K4345="")),"",MIN($J4345,$K4345))</f>
        <v/>
      </c>
      <c r="Q4345">
        <f>IF($A4345="","",$D4345&amp;"("&amp;SUBSTITUTE($E4345," ","")&amp;")")</f>
        <v/>
      </c>
      <c r="R4345">
        <f>IF($A4345="","",$B4345&amp;" - "&amp;$C4345)</f>
        <v/>
      </c>
      <c r="S4345">
        <f>IF($A4345="","",$R4345&amp;"|"&amp;$Q4345)</f>
        <v/>
      </c>
      <c r="T4345">
        <f>IF($A4345="","",$S4345&amp;"|"&amp;$F4345)</f>
        <v/>
      </c>
      <c r="U4345">
        <f>IF($A4345="","",$R4345&amp;"("&amp;$E4345&amp;")")</f>
        <v/>
      </c>
      <c r="V4345">
        <f>IF($A4345="","",$F4345&amp;"|"&amp;$U4345&amp;"|"&amp;$D4345)</f>
        <v/>
      </c>
      <c r="W4345">
        <f>IF($T4345="","",IF($X4345&gt;N($X4344),$X4345,""))</f>
        <v/>
      </c>
      <c r="X4345">
        <f>IF($T4345="",N($X4344),IF(MATCH($T4345,$T$6:$T$6005,0)=ROW()-5,N($X4344)+1,N($X4344)))</f>
        <v/>
      </c>
      <c r="Z4345">
        <f>IF($V4345="","",IF($AA4345&gt;N($AA4344),$AA4345,""))</f>
        <v/>
      </c>
      <c r="AA4345">
        <f>IF($V4345="",N($AA4344),IF(MATCH($V4345,$V$6:$V$6005,0)=ROW()-5,N($AA4344)+1,N($AA4344)))</f>
        <v/>
      </c>
    </row>
    <row r="4346" ht="21" customHeight="1" s="66">
      <c r="A4346" s="56" t="n"/>
      <c r="B4346" s="57" t="n"/>
      <c r="C4346" s="57" t="n"/>
      <c r="D4346" s="57" t="n"/>
      <c r="E4346" s="56" t="n"/>
      <c r="F4346" s="57" t="n"/>
      <c r="G4346" s="57" t="n"/>
      <c r="H4346" s="56" t="n"/>
      <c r="I4346" s="56" t="n"/>
      <c r="J4346" s="58" t="n"/>
      <c r="K4346" s="58" t="n"/>
      <c r="L4346" s="13">
        <f>IF(OR($A4346="",AND($J4346="",$K4346="")),"",ROUND(N($J4346)-N($K4346),2))</f>
        <v/>
      </c>
      <c r="M4346" s="13">
        <f>IF(OR($A4346="",AND($J4346="",$K4346="")),"",MIN($J4346,$K4346))</f>
        <v/>
      </c>
      <c r="Q4346">
        <f>IF($A4346="","",$D4346&amp;"("&amp;SUBSTITUTE($E4346," ","")&amp;")")</f>
        <v/>
      </c>
      <c r="R4346">
        <f>IF($A4346="","",$B4346&amp;" - "&amp;$C4346)</f>
        <v/>
      </c>
      <c r="S4346">
        <f>IF($A4346="","",$R4346&amp;"|"&amp;$Q4346)</f>
        <v/>
      </c>
      <c r="T4346">
        <f>IF($A4346="","",$S4346&amp;"|"&amp;$F4346)</f>
        <v/>
      </c>
      <c r="U4346">
        <f>IF($A4346="","",$R4346&amp;"("&amp;$E4346&amp;")")</f>
        <v/>
      </c>
      <c r="V4346">
        <f>IF($A4346="","",$F4346&amp;"|"&amp;$U4346&amp;"|"&amp;$D4346)</f>
        <v/>
      </c>
      <c r="W4346">
        <f>IF($T4346="","",IF($X4346&gt;N($X4345),$X4346,""))</f>
        <v/>
      </c>
      <c r="X4346">
        <f>IF($T4346="",N($X4345),IF(MATCH($T4346,$T$6:$T$6005,0)=ROW()-5,N($X4345)+1,N($X4345)))</f>
        <v/>
      </c>
      <c r="Z4346">
        <f>IF($V4346="","",IF($AA4346&gt;N($AA4345),$AA4346,""))</f>
        <v/>
      </c>
      <c r="AA4346">
        <f>IF($V4346="",N($AA4345),IF(MATCH($V4346,$V$6:$V$6005,0)=ROW()-5,N($AA4345)+1,N($AA4345)))</f>
        <v/>
      </c>
    </row>
    <row r="4347" ht="21" customHeight="1" s="66">
      <c r="A4347" s="56" t="n"/>
      <c r="B4347" s="57" t="n"/>
      <c r="C4347" s="57" t="n"/>
      <c r="D4347" s="57" t="n"/>
      <c r="E4347" s="56" t="n"/>
      <c r="F4347" s="57" t="n"/>
      <c r="G4347" s="57" t="n"/>
      <c r="H4347" s="56" t="n"/>
      <c r="I4347" s="56" t="n"/>
      <c r="J4347" s="58" t="n"/>
      <c r="K4347" s="58" t="n"/>
      <c r="L4347" s="13">
        <f>IF(OR($A4347="",AND($J4347="",$K4347="")),"",ROUND(N($J4347)-N($K4347),2))</f>
        <v/>
      </c>
      <c r="M4347" s="13">
        <f>IF(OR($A4347="",AND($J4347="",$K4347="")),"",MIN($J4347,$K4347))</f>
        <v/>
      </c>
      <c r="Q4347">
        <f>IF($A4347="","",$D4347&amp;"("&amp;SUBSTITUTE($E4347," ","")&amp;")")</f>
        <v/>
      </c>
      <c r="R4347">
        <f>IF($A4347="","",$B4347&amp;" - "&amp;$C4347)</f>
        <v/>
      </c>
      <c r="S4347">
        <f>IF($A4347="","",$R4347&amp;"|"&amp;$Q4347)</f>
        <v/>
      </c>
      <c r="T4347">
        <f>IF($A4347="","",$S4347&amp;"|"&amp;$F4347)</f>
        <v/>
      </c>
      <c r="U4347">
        <f>IF($A4347="","",$R4347&amp;"("&amp;$E4347&amp;")")</f>
        <v/>
      </c>
      <c r="V4347">
        <f>IF($A4347="","",$F4347&amp;"|"&amp;$U4347&amp;"|"&amp;$D4347)</f>
        <v/>
      </c>
      <c r="W4347">
        <f>IF($T4347="","",IF($X4347&gt;N($X4346),$X4347,""))</f>
        <v/>
      </c>
      <c r="X4347">
        <f>IF($T4347="",N($X4346),IF(MATCH($T4347,$T$6:$T$6005,0)=ROW()-5,N($X4346)+1,N($X4346)))</f>
        <v/>
      </c>
      <c r="Z4347">
        <f>IF($V4347="","",IF($AA4347&gt;N($AA4346),$AA4347,""))</f>
        <v/>
      </c>
      <c r="AA4347">
        <f>IF($V4347="",N($AA4346),IF(MATCH($V4347,$V$6:$V$6005,0)=ROW()-5,N($AA4346)+1,N($AA4346)))</f>
        <v/>
      </c>
    </row>
    <row r="4348" ht="21" customHeight="1" s="66">
      <c r="A4348" s="56" t="n"/>
      <c r="B4348" s="57" t="n"/>
      <c r="C4348" s="57" t="n"/>
      <c r="D4348" s="57" t="n"/>
      <c r="E4348" s="56" t="n"/>
      <c r="F4348" s="57" t="n"/>
      <c r="G4348" s="57" t="n"/>
      <c r="H4348" s="56" t="n"/>
      <c r="I4348" s="56" t="n"/>
      <c r="J4348" s="58" t="n"/>
      <c r="K4348" s="58" t="n"/>
      <c r="L4348" s="13">
        <f>IF(OR($A4348="",AND($J4348="",$K4348="")),"",ROUND(N($J4348)-N($K4348),2))</f>
        <v/>
      </c>
      <c r="M4348" s="13">
        <f>IF(OR($A4348="",AND($J4348="",$K4348="")),"",MIN($J4348,$K4348))</f>
        <v/>
      </c>
      <c r="Q4348">
        <f>IF($A4348="","",$D4348&amp;"("&amp;SUBSTITUTE($E4348," ","")&amp;")")</f>
        <v/>
      </c>
      <c r="R4348">
        <f>IF($A4348="","",$B4348&amp;" - "&amp;$C4348)</f>
        <v/>
      </c>
      <c r="S4348">
        <f>IF($A4348="","",$R4348&amp;"|"&amp;$Q4348)</f>
        <v/>
      </c>
      <c r="T4348">
        <f>IF($A4348="","",$S4348&amp;"|"&amp;$F4348)</f>
        <v/>
      </c>
      <c r="U4348">
        <f>IF($A4348="","",$R4348&amp;"("&amp;$E4348&amp;")")</f>
        <v/>
      </c>
      <c r="V4348">
        <f>IF($A4348="","",$F4348&amp;"|"&amp;$U4348&amp;"|"&amp;$D4348)</f>
        <v/>
      </c>
      <c r="W4348">
        <f>IF($T4348="","",IF($X4348&gt;N($X4347),$X4348,""))</f>
        <v/>
      </c>
      <c r="X4348">
        <f>IF($T4348="",N($X4347),IF(MATCH($T4348,$T$6:$T$6005,0)=ROW()-5,N($X4347)+1,N($X4347)))</f>
        <v/>
      </c>
      <c r="Z4348">
        <f>IF($V4348="","",IF($AA4348&gt;N($AA4347),$AA4348,""))</f>
        <v/>
      </c>
      <c r="AA4348">
        <f>IF($V4348="",N($AA4347),IF(MATCH($V4348,$V$6:$V$6005,0)=ROW()-5,N($AA4347)+1,N($AA4347)))</f>
        <v/>
      </c>
    </row>
    <row r="4349" ht="21" customHeight="1" s="66">
      <c r="A4349" s="56" t="n"/>
      <c r="B4349" s="57" t="n"/>
      <c r="C4349" s="57" t="n"/>
      <c r="D4349" s="57" t="n"/>
      <c r="E4349" s="56" t="n"/>
      <c r="F4349" s="57" t="n"/>
      <c r="G4349" s="57" t="n"/>
      <c r="H4349" s="56" t="n"/>
      <c r="I4349" s="56" t="n"/>
      <c r="J4349" s="58" t="n"/>
      <c r="K4349" s="58" t="n"/>
      <c r="L4349" s="13">
        <f>IF(OR($A4349="",AND($J4349="",$K4349="")),"",ROUND(N($J4349)-N($K4349),2))</f>
        <v/>
      </c>
      <c r="M4349" s="13">
        <f>IF(OR($A4349="",AND($J4349="",$K4349="")),"",MIN($J4349,$K4349))</f>
        <v/>
      </c>
      <c r="Q4349">
        <f>IF($A4349="","",$D4349&amp;"("&amp;SUBSTITUTE($E4349," ","")&amp;")")</f>
        <v/>
      </c>
      <c r="R4349">
        <f>IF($A4349="","",$B4349&amp;" - "&amp;$C4349)</f>
        <v/>
      </c>
      <c r="S4349">
        <f>IF($A4349="","",$R4349&amp;"|"&amp;$Q4349)</f>
        <v/>
      </c>
      <c r="T4349">
        <f>IF($A4349="","",$S4349&amp;"|"&amp;$F4349)</f>
        <v/>
      </c>
      <c r="U4349">
        <f>IF($A4349="","",$R4349&amp;"("&amp;$E4349&amp;")")</f>
        <v/>
      </c>
      <c r="V4349">
        <f>IF($A4349="","",$F4349&amp;"|"&amp;$U4349&amp;"|"&amp;$D4349)</f>
        <v/>
      </c>
      <c r="W4349">
        <f>IF($T4349="","",IF($X4349&gt;N($X4348),$X4349,""))</f>
        <v/>
      </c>
      <c r="X4349">
        <f>IF($T4349="",N($X4348),IF(MATCH($T4349,$T$6:$T$6005,0)=ROW()-5,N($X4348)+1,N($X4348)))</f>
        <v/>
      </c>
      <c r="Z4349">
        <f>IF($V4349="","",IF($AA4349&gt;N($AA4348),$AA4349,""))</f>
        <v/>
      </c>
      <c r="AA4349">
        <f>IF($V4349="",N($AA4348),IF(MATCH($V4349,$V$6:$V$6005,0)=ROW()-5,N($AA4348)+1,N($AA4348)))</f>
        <v/>
      </c>
    </row>
    <row r="4350" ht="21" customHeight="1" s="66">
      <c r="A4350" s="56" t="n"/>
      <c r="B4350" s="57" t="n"/>
      <c r="C4350" s="57" t="n"/>
      <c r="D4350" s="57" t="n"/>
      <c r="E4350" s="56" t="n"/>
      <c r="F4350" s="57" t="n"/>
      <c r="G4350" s="57" t="n"/>
      <c r="H4350" s="56" t="n"/>
      <c r="I4350" s="56" t="n"/>
      <c r="J4350" s="58" t="n"/>
      <c r="K4350" s="58" t="n"/>
      <c r="L4350" s="13">
        <f>IF(OR($A4350="",AND($J4350="",$K4350="")),"",ROUND(N($J4350)-N($K4350),2))</f>
        <v/>
      </c>
      <c r="M4350" s="13">
        <f>IF(OR($A4350="",AND($J4350="",$K4350="")),"",MIN($J4350,$K4350))</f>
        <v/>
      </c>
      <c r="Q4350">
        <f>IF($A4350="","",$D4350&amp;"("&amp;SUBSTITUTE($E4350," ","")&amp;")")</f>
        <v/>
      </c>
      <c r="R4350">
        <f>IF($A4350="","",$B4350&amp;" - "&amp;$C4350)</f>
        <v/>
      </c>
      <c r="S4350">
        <f>IF($A4350="","",$R4350&amp;"|"&amp;$Q4350)</f>
        <v/>
      </c>
      <c r="T4350">
        <f>IF($A4350="","",$S4350&amp;"|"&amp;$F4350)</f>
        <v/>
      </c>
      <c r="U4350">
        <f>IF($A4350="","",$R4350&amp;"("&amp;$E4350&amp;")")</f>
        <v/>
      </c>
      <c r="V4350">
        <f>IF($A4350="","",$F4350&amp;"|"&amp;$U4350&amp;"|"&amp;$D4350)</f>
        <v/>
      </c>
      <c r="W4350">
        <f>IF($T4350="","",IF($X4350&gt;N($X4349),$X4350,""))</f>
        <v/>
      </c>
      <c r="X4350">
        <f>IF($T4350="",N($X4349),IF(MATCH($T4350,$T$6:$T$6005,0)=ROW()-5,N($X4349)+1,N($X4349)))</f>
        <v/>
      </c>
      <c r="Z4350">
        <f>IF($V4350="","",IF($AA4350&gt;N($AA4349),$AA4350,""))</f>
        <v/>
      </c>
      <c r="AA4350">
        <f>IF($V4350="",N($AA4349),IF(MATCH($V4350,$V$6:$V$6005,0)=ROW()-5,N($AA4349)+1,N($AA4349)))</f>
        <v/>
      </c>
    </row>
    <row r="4351" ht="21" customHeight="1" s="66">
      <c r="A4351" s="56" t="n"/>
      <c r="B4351" s="57" t="n"/>
      <c r="C4351" s="57" t="n"/>
      <c r="D4351" s="57" t="n"/>
      <c r="E4351" s="56" t="n"/>
      <c r="F4351" s="57" t="n"/>
      <c r="G4351" s="57" t="n"/>
      <c r="H4351" s="56" t="n"/>
      <c r="I4351" s="56" t="n"/>
      <c r="J4351" s="58" t="n"/>
      <c r="K4351" s="58" t="n"/>
      <c r="L4351" s="13">
        <f>IF(OR($A4351="",AND($J4351="",$K4351="")),"",ROUND(N($J4351)-N($K4351),2))</f>
        <v/>
      </c>
      <c r="M4351" s="13">
        <f>IF(OR($A4351="",AND($J4351="",$K4351="")),"",MIN($J4351,$K4351))</f>
        <v/>
      </c>
      <c r="Q4351">
        <f>IF($A4351="","",$D4351&amp;"("&amp;SUBSTITUTE($E4351," ","")&amp;")")</f>
        <v/>
      </c>
      <c r="R4351">
        <f>IF($A4351="","",$B4351&amp;" - "&amp;$C4351)</f>
        <v/>
      </c>
      <c r="S4351">
        <f>IF($A4351="","",$R4351&amp;"|"&amp;$Q4351)</f>
        <v/>
      </c>
      <c r="T4351">
        <f>IF($A4351="","",$S4351&amp;"|"&amp;$F4351)</f>
        <v/>
      </c>
      <c r="U4351">
        <f>IF($A4351="","",$R4351&amp;"("&amp;$E4351&amp;")")</f>
        <v/>
      </c>
      <c r="V4351">
        <f>IF($A4351="","",$F4351&amp;"|"&amp;$U4351&amp;"|"&amp;$D4351)</f>
        <v/>
      </c>
      <c r="W4351">
        <f>IF($T4351="","",IF($X4351&gt;N($X4350),$X4351,""))</f>
        <v/>
      </c>
      <c r="X4351">
        <f>IF($T4351="",N($X4350),IF(MATCH($T4351,$T$6:$T$6005,0)=ROW()-5,N($X4350)+1,N($X4350)))</f>
        <v/>
      </c>
      <c r="Z4351">
        <f>IF($V4351="","",IF($AA4351&gt;N($AA4350),$AA4351,""))</f>
        <v/>
      </c>
      <c r="AA4351">
        <f>IF($V4351="",N($AA4350),IF(MATCH($V4351,$V$6:$V$6005,0)=ROW()-5,N($AA4350)+1,N($AA4350)))</f>
        <v/>
      </c>
    </row>
    <row r="4352" ht="21" customHeight="1" s="66">
      <c r="A4352" s="56" t="n"/>
      <c r="B4352" s="57" t="n"/>
      <c r="C4352" s="57" t="n"/>
      <c r="D4352" s="57" t="n"/>
      <c r="E4352" s="56" t="n"/>
      <c r="F4352" s="57" t="n"/>
      <c r="G4352" s="57" t="n"/>
      <c r="H4352" s="56" t="n"/>
      <c r="I4352" s="56" t="n"/>
      <c r="J4352" s="58" t="n"/>
      <c r="K4352" s="58" t="n"/>
      <c r="L4352" s="13">
        <f>IF(OR($A4352="",AND($J4352="",$K4352="")),"",ROUND(N($J4352)-N($K4352),2))</f>
        <v/>
      </c>
      <c r="M4352" s="13">
        <f>IF(OR($A4352="",AND($J4352="",$K4352="")),"",MIN($J4352,$K4352))</f>
        <v/>
      </c>
      <c r="Q4352">
        <f>IF($A4352="","",$D4352&amp;"("&amp;SUBSTITUTE($E4352," ","")&amp;")")</f>
        <v/>
      </c>
      <c r="R4352">
        <f>IF($A4352="","",$B4352&amp;" - "&amp;$C4352)</f>
        <v/>
      </c>
      <c r="S4352">
        <f>IF($A4352="","",$R4352&amp;"|"&amp;$Q4352)</f>
        <v/>
      </c>
      <c r="T4352">
        <f>IF($A4352="","",$S4352&amp;"|"&amp;$F4352)</f>
        <v/>
      </c>
      <c r="U4352">
        <f>IF($A4352="","",$R4352&amp;"("&amp;$E4352&amp;")")</f>
        <v/>
      </c>
      <c r="V4352">
        <f>IF($A4352="","",$F4352&amp;"|"&amp;$U4352&amp;"|"&amp;$D4352)</f>
        <v/>
      </c>
      <c r="W4352">
        <f>IF($T4352="","",IF($X4352&gt;N($X4351),$X4352,""))</f>
        <v/>
      </c>
      <c r="X4352">
        <f>IF($T4352="",N($X4351),IF(MATCH($T4352,$T$6:$T$6005,0)=ROW()-5,N($X4351)+1,N($X4351)))</f>
        <v/>
      </c>
      <c r="Z4352">
        <f>IF($V4352="","",IF($AA4352&gt;N($AA4351),$AA4352,""))</f>
        <v/>
      </c>
      <c r="AA4352">
        <f>IF($V4352="",N($AA4351),IF(MATCH($V4352,$V$6:$V$6005,0)=ROW()-5,N($AA4351)+1,N($AA4351)))</f>
        <v/>
      </c>
    </row>
    <row r="4353" ht="21" customHeight="1" s="66">
      <c r="A4353" s="56" t="n"/>
      <c r="B4353" s="57" t="n"/>
      <c r="C4353" s="57" t="n"/>
      <c r="D4353" s="57" t="n"/>
      <c r="E4353" s="56" t="n"/>
      <c r="F4353" s="57" t="n"/>
      <c r="G4353" s="57" t="n"/>
      <c r="H4353" s="56" t="n"/>
      <c r="I4353" s="56" t="n"/>
      <c r="J4353" s="58" t="n"/>
      <c r="K4353" s="58" t="n"/>
      <c r="L4353" s="13">
        <f>IF(OR($A4353="",AND($J4353="",$K4353="")),"",ROUND(N($J4353)-N($K4353),2))</f>
        <v/>
      </c>
      <c r="M4353" s="13">
        <f>IF(OR($A4353="",AND($J4353="",$K4353="")),"",MIN($J4353,$K4353))</f>
        <v/>
      </c>
      <c r="Q4353">
        <f>IF($A4353="","",$D4353&amp;"("&amp;SUBSTITUTE($E4353," ","")&amp;")")</f>
        <v/>
      </c>
      <c r="R4353">
        <f>IF($A4353="","",$B4353&amp;" - "&amp;$C4353)</f>
        <v/>
      </c>
      <c r="S4353">
        <f>IF($A4353="","",$R4353&amp;"|"&amp;$Q4353)</f>
        <v/>
      </c>
      <c r="T4353">
        <f>IF($A4353="","",$S4353&amp;"|"&amp;$F4353)</f>
        <v/>
      </c>
      <c r="U4353">
        <f>IF($A4353="","",$R4353&amp;"("&amp;$E4353&amp;")")</f>
        <v/>
      </c>
      <c r="V4353">
        <f>IF($A4353="","",$F4353&amp;"|"&amp;$U4353&amp;"|"&amp;$D4353)</f>
        <v/>
      </c>
      <c r="W4353">
        <f>IF($T4353="","",IF($X4353&gt;N($X4352),$X4353,""))</f>
        <v/>
      </c>
      <c r="X4353">
        <f>IF($T4353="",N($X4352),IF(MATCH($T4353,$T$6:$T$6005,0)=ROW()-5,N($X4352)+1,N($X4352)))</f>
        <v/>
      </c>
      <c r="Z4353">
        <f>IF($V4353="","",IF($AA4353&gt;N($AA4352),$AA4353,""))</f>
        <v/>
      </c>
      <c r="AA4353">
        <f>IF($V4353="",N($AA4352),IF(MATCH($V4353,$V$6:$V$6005,0)=ROW()-5,N($AA4352)+1,N($AA4352)))</f>
        <v/>
      </c>
    </row>
    <row r="4354" ht="21" customHeight="1" s="66">
      <c r="A4354" s="56" t="n"/>
      <c r="B4354" s="57" t="n"/>
      <c r="C4354" s="57" t="n"/>
      <c r="D4354" s="57" t="n"/>
      <c r="E4354" s="56" t="n"/>
      <c r="F4354" s="57" t="n"/>
      <c r="G4354" s="57" t="n"/>
      <c r="H4354" s="56" t="n"/>
      <c r="I4354" s="56" t="n"/>
      <c r="J4354" s="58" t="n"/>
      <c r="K4354" s="58" t="n"/>
      <c r="L4354" s="13">
        <f>IF(OR($A4354="",AND($J4354="",$K4354="")),"",ROUND(N($J4354)-N($K4354),2))</f>
        <v/>
      </c>
      <c r="M4354" s="13">
        <f>IF(OR($A4354="",AND($J4354="",$K4354="")),"",MIN($J4354,$K4354))</f>
        <v/>
      </c>
      <c r="Q4354">
        <f>IF($A4354="","",$D4354&amp;"("&amp;SUBSTITUTE($E4354," ","")&amp;")")</f>
        <v/>
      </c>
      <c r="R4354">
        <f>IF($A4354="","",$B4354&amp;" - "&amp;$C4354)</f>
        <v/>
      </c>
      <c r="S4354">
        <f>IF($A4354="","",$R4354&amp;"|"&amp;$Q4354)</f>
        <v/>
      </c>
      <c r="T4354">
        <f>IF($A4354="","",$S4354&amp;"|"&amp;$F4354)</f>
        <v/>
      </c>
      <c r="U4354">
        <f>IF($A4354="","",$R4354&amp;"("&amp;$E4354&amp;")")</f>
        <v/>
      </c>
      <c r="V4354">
        <f>IF($A4354="","",$F4354&amp;"|"&amp;$U4354&amp;"|"&amp;$D4354)</f>
        <v/>
      </c>
      <c r="W4354">
        <f>IF($T4354="","",IF($X4354&gt;N($X4353),$X4354,""))</f>
        <v/>
      </c>
      <c r="X4354">
        <f>IF($T4354="",N($X4353),IF(MATCH($T4354,$T$6:$T$6005,0)=ROW()-5,N($X4353)+1,N($X4353)))</f>
        <v/>
      </c>
      <c r="Z4354">
        <f>IF($V4354="","",IF($AA4354&gt;N($AA4353),$AA4354,""))</f>
        <v/>
      </c>
      <c r="AA4354">
        <f>IF($V4354="",N($AA4353),IF(MATCH($V4354,$V$6:$V$6005,0)=ROW()-5,N($AA4353)+1,N($AA4353)))</f>
        <v/>
      </c>
    </row>
    <row r="4355" ht="21" customHeight="1" s="66">
      <c r="A4355" s="56" t="n"/>
      <c r="B4355" s="57" t="n"/>
      <c r="C4355" s="57" t="n"/>
      <c r="D4355" s="57" t="n"/>
      <c r="E4355" s="56" t="n"/>
      <c r="F4355" s="57" t="n"/>
      <c r="G4355" s="57" t="n"/>
      <c r="H4355" s="56" t="n"/>
      <c r="I4355" s="56" t="n"/>
      <c r="J4355" s="58" t="n"/>
      <c r="K4355" s="58" t="n"/>
      <c r="L4355" s="13">
        <f>IF(OR($A4355="",AND($J4355="",$K4355="")),"",ROUND(N($J4355)-N($K4355),2))</f>
        <v/>
      </c>
      <c r="M4355" s="13">
        <f>IF(OR($A4355="",AND($J4355="",$K4355="")),"",MIN($J4355,$K4355))</f>
        <v/>
      </c>
      <c r="Q4355">
        <f>IF($A4355="","",$D4355&amp;"("&amp;SUBSTITUTE($E4355," ","")&amp;")")</f>
        <v/>
      </c>
      <c r="R4355">
        <f>IF($A4355="","",$B4355&amp;" - "&amp;$C4355)</f>
        <v/>
      </c>
      <c r="S4355">
        <f>IF($A4355="","",$R4355&amp;"|"&amp;$Q4355)</f>
        <v/>
      </c>
      <c r="T4355">
        <f>IF($A4355="","",$S4355&amp;"|"&amp;$F4355)</f>
        <v/>
      </c>
      <c r="U4355">
        <f>IF($A4355="","",$R4355&amp;"("&amp;$E4355&amp;")")</f>
        <v/>
      </c>
      <c r="V4355">
        <f>IF($A4355="","",$F4355&amp;"|"&amp;$U4355&amp;"|"&amp;$D4355)</f>
        <v/>
      </c>
      <c r="W4355">
        <f>IF($T4355="","",IF($X4355&gt;N($X4354),$X4355,""))</f>
        <v/>
      </c>
      <c r="X4355">
        <f>IF($T4355="",N($X4354),IF(MATCH($T4355,$T$6:$T$6005,0)=ROW()-5,N($X4354)+1,N($X4354)))</f>
        <v/>
      </c>
      <c r="Z4355">
        <f>IF($V4355="","",IF($AA4355&gt;N($AA4354),$AA4355,""))</f>
        <v/>
      </c>
      <c r="AA4355">
        <f>IF($V4355="",N($AA4354),IF(MATCH($V4355,$V$6:$V$6005,0)=ROW()-5,N($AA4354)+1,N($AA4354)))</f>
        <v/>
      </c>
    </row>
    <row r="4356" ht="21" customHeight="1" s="66">
      <c r="A4356" s="56" t="n"/>
      <c r="B4356" s="57" t="n"/>
      <c r="C4356" s="57" t="n"/>
      <c r="D4356" s="57" t="n"/>
      <c r="E4356" s="56" t="n"/>
      <c r="F4356" s="57" t="n"/>
      <c r="G4356" s="57" t="n"/>
      <c r="H4356" s="56" t="n"/>
      <c r="I4356" s="56" t="n"/>
      <c r="J4356" s="58" t="n"/>
      <c r="K4356" s="58" t="n"/>
      <c r="L4356" s="13">
        <f>IF(OR($A4356="",AND($J4356="",$K4356="")),"",ROUND(N($J4356)-N($K4356),2))</f>
        <v/>
      </c>
      <c r="M4356" s="13">
        <f>IF(OR($A4356="",AND($J4356="",$K4356="")),"",MIN($J4356,$K4356))</f>
        <v/>
      </c>
      <c r="Q4356">
        <f>IF($A4356="","",$D4356&amp;"("&amp;SUBSTITUTE($E4356," ","")&amp;")")</f>
        <v/>
      </c>
      <c r="R4356">
        <f>IF($A4356="","",$B4356&amp;" - "&amp;$C4356)</f>
        <v/>
      </c>
      <c r="S4356">
        <f>IF($A4356="","",$R4356&amp;"|"&amp;$Q4356)</f>
        <v/>
      </c>
      <c r="T4356">
        <f>IF($A4356="","",$S4356&amp;"|"&amp;$F4356)</f>
        <v/>
      </c>
      <c r="U4356">
        <f>IF($A4356="","",$R4356&amp;"("&amp;$E4356&amp;")")</f>
        <v/>
      </c>
      <c r="V4356">
        <f>IF($A4356="","",$F4356&amp;"|"&amp;$U4356&amp;"|"&amp;$D4356)</f>
        <v/>
      </c>
      <c r="W4356">
        <f>IF($T4356="","",IF($X4356&gt;N($X4355),$X4356,""))</f>
        <v/>
      </c>
      <c r="X4356">
        <f>IF($T4356="",N($X4355),IF(MATCH($T4356,$T$6:$T$6005,0)=ROW()-5,N($X4355)+1,N($X4355)))</f>
        <v/>
      </c>
      <c r="Z4356">
        <f>IF($V4356="","",IF($AA4356&gt;N($AA4355),$AA4356,""))</f>
        <v/>
      </c>
      <c r="AA4356">
        <f>IF($V4356="",N($AA4355),IF(MATCH($V4356,$V$6:$V$6005,0)=ROW()-5,N($AA4355)+1,N($AA4355)))</f>
        <v/>
      </c>
    </row>
    <row r="4357" ht="21" customHeight="1" s="66">
      <c r="A4357" s="56" t="n"/>
      <c r="B4357" s="57" t="n"/>
      <c r="C4357" s="57" t="n"/>
      <c r="D4357" s="57" t="n"/>
      <c r="E4357" s="56" t="n"/>
      <c r="F4357" s="57" t="n"/>
      <c r="G4357" s="57" t="n"/>
      <c r="H4357" s="56" t="n"/>
      <c r="I4357" s="56" t="n"/>
      <c r="J4357" s="58" t="n"/>
      <c r="K4357" s="58" t="n"/>
      <c r="L4357" s="13">
        <f>IF(OR($A4357="",AND($J4357="",$K4357="")),"",ROUND(N($J4357)-N($K4357),2))</f>
        <v/>
      </c>
      <c r="M4357" s="13">
        <f>IF(OR($A4357="",AND($J4357="",$K4357="")),"",MIN($J4357,$K4357))</f>
        <v/>
      </c>
      <c r="Q4357">
        <f>IF($A4357="","",$D4357&amp;"("&amp;SUBSTITUTE($E4357," ","")&amp;")")</f>
        <v/>
      </c>
      <c r="R4357">
        <f>IF($A4357="","",$B4357&amp;" - "&amp;$C4357)</f>
        <v/>
      </c>
      <c r="S4357">
        <f>IF($A4357="","",$R4357&amp;"|"&amp;$Q4357)</f>
        <v/>
      </c>
      <c r="T4357">
        <f>IF($A4357="","",$S4357&amp;"|"&amp;$F4357)</f>
        <v/>
      </c>
      <c r="U4357">
        <f>IF($A4357="","",$R4357&amp;"("&amp;$E4357&amp;")")</f>
        <v/>
      </c>
      <c r="V4357">
        <f>IF($A4357="","",$F4357&amp;"|"&amp;$U4357&amp;"|"&amp;$D4357)</f>
        <v/>
      </c>
      <c r="W4357">
        <f>IF($T4357="","",IF($X4357&gt;N($X4356),$X4357,""))</f>
        <v/>
      </c>
      <c r="X4357">
        <f>IF($T4357="",N($X4356),IF(MATCH($T4357,$T$6:$T$6005,0)=ROW()-5,N($X4356)+1,N($X4356)))</f>
        <v/>
      </c>
      <c r="Z4357">
        <f>IF($V4357="","",IF($AA4357&gt;N($AA4356),$AA4357,""))</f>
        <v/>
      </c>
      <c r="AA4357">
        <f>IF($V4357="",N($AA4356),IF(MATCH($V4357,$V$6:$V$6005,0)=ROW()-5,N($AA4356)+1,N($AA4356)))</f>
        <v/>
      </c>
    </row>
    <row r="4358" ht="21" customHeight="1" s="66">
      <c r="A4358" s="56" t="n"/>
      <c r="B4358" s="57" t="n"/>
      <c r="C4358" s="57" t="n"/>
      <c r="D4358" s="57" t="n"/>
      <c r="E4358" s="56" t="n"/>
      <c r="F4358" s="57" t="n"/>
      <c r="G4358" s="57" t="n"/>
      <c r="H4358" s="56" t="n"/>
      <c r="I4358" s="56" t="n"/>
      <c r="J4358" s="58" t="n"/>
      <c r="K4358" s="58" t="n"/>
      <c r="L4358" s="13">
        <f>IF(OR($A4358="",AND($J4358="",$K4358="")),"",ROUND(N($J4358)-N($K4358),2))</f>
        <v/>
      </c>
      <c r="M4358" s="13">
        <f>IF(OR($A4358="",AND($J4358="",$K4358="")),"",MIN($J4358,$K4358))</f>
        <v/>
      </c>
      <c r="Q4358">
        <f>IF($A4358="","",$D4358&amp;"("&amp;SUBSTITUTE($E4358," ","")&amp;")")</f>
        <v/>
      </c>
      <c r="R4358">
        <f>IF($A4358="","",$B4358&amp;" - "&amp;$C4358)</f>
        <v/>
      </c>
      <c r="S4358">
        <f>IF($A4358="","",$R4358&amp;"|"&amp;$Q4358)</f>
        <v/>
      </c>
      <c r="T4358">
        <f>IF($A4358="","",$S4358&amp;"|"&amp;$F4358)</f>
        <v/>
      </c>
      <c r="U4358">
        <f>IF($A4358="","",$R4358&amp;"("&amp;$E4358&amp;")")</f>
        <v/>
      </c>
      <c r="V4358">
        <f>IF($A4358="","",$F4358&amp;"|"&amp;$U4358&amp;"|"&amp;$D4358)</f>
        <v/>
      </c>
      <c r="W4358">
        <f>IF($T4358="","",IF($X4358&gt;N($X4357),$X4358,""))</f>
        <v/>
      </c>
      <c r="X4358">
        <f>IF($T4358="",N($X4357),IF(MATCH($T4358,$T$6:$T$6005,0)=ROW()-5,N($X4357)+1,N($X4357)))</f>
        <v/>
      </c>
      <c r="Z4358">
        <f>IF($V4358="","",IF($AA4358&gt;N($AA4357),$AA4358,""))</f>
        <v/>
      </c>
      <c r="AA4358">
        <f>IF($V4358="",N($AA4357),IF(MATCH($V4358,$V$6:$V$6005,0)=ROW()-5,N($AA4357)+1,N($AA4357)))</f>
        <v/>
      </c>
    </row>
    <row r="4359" ht="21" customHeight="1" s="66">
      <c r="A4359" s="56" t="n"/>
      <c r="B4359" s="57" t="n"/>
      <c r="C4359" s="57" t="n"/>
      <c r="D4359" s="57" t="n"/>
      <c r="E4359" s="56" t="n"/>
      <c r="F4359" s="57" t="n"/>
      <c r="G4359" s="57" t="n"/>
      <c r="H4359" s="56" t="n"/>
      <c r="I4359" s="56" t="n"/>
      <c r="J4359" s="58" t="n"/>
      <c r="K4359" s="58" t="n"/>
      <c r="L4359" s="13">
        <f>IF(OR($A4359="",AND($J4359="",$K4359="")),"",ROUND(N($J4359)-N($K4359),2))</f>
        <v/>
      </c>
      <c r="M4359" s="13">
        <f>IF(OR($A4359="",AND($J4359="",$K4359="")),"",MIN($J4359,$K4359))</f>
        <v/>
      </c>
      <c r="Q4359">
        <f>IF($A4359="","",$D4359&amp;"("&amp;SUBSTITUTE($E4359," ","")&amp;")")</f>
        <v/>
      </c>
      <c r="R4359">
        <f>IF($A4359="","",$B4359&amp;" - "&amp;$C4359)</f>
        <v/>
      </c>
      <c r="S4359">
        <f>IF($A4359="","",$R4359&amp;"|"&amp;$Q4359)</f>
        <v/>
      </c>
      <c r="T4359">
        <f>IF($A4359="","",$S4359&amp;"|"&amp;$F4359)</f>
        <v/>
      </c>
      <c r="U4359">
        <f>IF($A4359="","",$R4359&amp;"("&amp;$E4359&amp;")")</f>
        <v/>
      </c>
      <c r="V4359">
        <f>IF($A4359="","",$F4359&amp;"|"&amp;$U4359&amp;"|"&amp;$D4359)</f>
        <v/>
      </c>
      <c r="W4359">
        <f>IF($T4359="","",IF($X4359&gt;N($X4358),$X4359,""))</f>
        <v/>
      </c>
      <c r="X4359">
        <f>IF($T4359="",N($X4358),IF(MATCH($T4359,$T$6:$T$6005,0)=ROW()-5,N($X4358)+1,N($X4358)))</f>
        <v/>
      </c>
      <c r="Z4359">
        <f>IF($V4359="","",IF($AA4359&gt;N($AA4358),$AA4359,""))</f>
        <v/>
      </c>
      <c r="AA4359">
        <f>IF($V4359="",N($AA4358),IF(MATCH($V4359,$V$6:$V$6005,0)=ROW()-5,N($AA4358)+1,N($AA4358)))</f>
        <v/>
      </c>
    </row>
    <row r="4360" ht="21" customHeight="1" s="66">
      <c r="A4360" s="56" t="n"/>
      <c r="B4360" s="57" t="n"/>
      <c r="C4360" s="57" t="n"/>
      <c r="D4360" s="57" t="n"/>
      <c r="E4360" s="56" t="n"/>
      <c r="F4360" s="57" t="n"/>
      <c r="G4360" s="57" t="n"/>
      <c r="H4360" s="56" t="n"/>
      <c r="I4360" s="56" t="n"/>
      <c r="J4360" s="58" t="n"/>
      <c r="K4360" s="58" t="n"/>
      <c r="L4360" s="13">
        <f>IF(OR($A4360="",AND($J4360="",$K4360="")),"",ROUND(N($J4360)-N($K4360),2))</f>
        <v/>
      </c>
      <c r="M4360" s="13">
        <f>IF(OR($A4360="",AND($J4360="",$K4360="")),"",MIN($J4360,$K4360))</f>
        <v/>
      </c>
      <c r="Q4360">
        <f>IF($A4360="","",$D4360&amp;"("&amp;SUBSTITUTE($E4360," ","")&amp;")")</f>
        <v/>
      </c>
      <c r="R4360">
        <f>IF($A4360="","",$B4360&amp;" - "&amp;$C4360)</f>
        <v/>
      </c>
      <c r="S4360">
        <f>IF($A4360="","",$R4360&amp;"|"&amp;$Q4360)</f>
        <v/>
      </c>
      <c r="T4360">
        <f>IF($A4360="","",$S4360&amp;"|"&amp;$F4360)</f>
        <v/>
      </c>
      <c r="U4360">
        <f>IF($A4360="","",$R4360&amp;"("&amp;$E4360&amp;")")</f>
        <v/>
      </c>
      <c r="V4360">
        <f>IF($A4360="","",$F4360&amp;"|"&amp;$U4360&amp;"|"&amp;$D4360)</f>
        <v/>
      </c>
      <c r="W4360">
        <f>IF($T4360="","",IF($X4360&gt;N($X4359),$X4360,""))</f>
        <v/>
      </c>
      <c r="X4360">
        <f>IF($T4360="",N($X4359),IF(MATCH($T4360,$T$6:$T$6005,0)=ROW()-5,N($X4359)+1,N($X4359)))</f>
        <v/>
      </c>
      <c r="Z4360">
        <f>IF($V4360="","",IF($AA4360&gt;N($AA4359),$AA4360,""))</f>
        <v/>
      </c>
      <c r="AA4360">
        <f>IF($V4360="",N($AA4359),IF(MATCH($V4360,$V$6:$V$6005,0)=ROW()-5,N($AA4359)+1,N($AA4359)))</f>
        <v/>
      </c>
    </row>
    <row r="4361" ht="21" customHeight="1" s="66">
      <c r="A4361" s="56" t="n"/>
      <c r="B4361" s="57" t="n"/>
      <c r="C4361" s="57" t="n"/>
      <c r="D4361" s="57" t="n"/>
      <c r="E4361" s="56" t="n"/>
      <c r="F4361" s="57" t="n"/>
      <c r="G4361" s="57" t="n"/>
      <c r="H4361" s="56" t="n"/>
      <c r="I4361" s="56" t="n"/>
      <c r="J4361" s="58" t="n"/>
      <c r="K4361" s="58" t="n"/>
      <c r="L4361" s="13">
        <f>IF(OR($A4361="",AND($J4361="",$K4361="")),"",ROUND(N($J4361)-N($K4361),2))</f>
        <v/>
      </c>
      <c r="M4361" s="13">
        <f>IF(OR($A4361="",AND($J4361="",$K4361="")),"",MIN($J4361,$K4361))</f>
        <v/>
      </c>
      <c r="Q4361">
        <f>IF($A4361="","",$D4361&amp;"("&amp;SUBSTITUTE($E4361," ","")&amp;")")</f>
        <v/>
      </c>
      <c r="R4361">
        <f>IF($A4361="","",$B4361&amp;" - "&amp;$C4361)</f>
        <v/>
      </c>
      <c r="S4361">
        <f>IF($A4361="","",$R4361&amp;"|"&amp;$Q4361)</f>
        <v/>
      </c>
      <c r="T4361">
        <f>IF($A4361="","",$S4361&amp;"|"&amp;$F4361)</f>
        <v/>
      </c>
      <c r="U4361">
        <f>IF($A4361="","",$R4361&amp;"("&amp;$E4361&amp;")")</f>
        <v/>
      </c>
      <c r="V4361">
        <f>IF($A4361="","",$F4361&amp;"|"&amp;$U4361&amp;"|"&amp;$D4361)</f>
        <v/>
      </c>
      <c r="W4361">
        <f>IF($T4361="","",IF($X4361&gt;N($X4360),$X4361,""))</f>
        <v/>
      </c>
      <c r="X4361">
        <f>IF($T4361="",N($X4360),IF(MATCH($T4361,$T$6:$T$6005,0)=ROW()-5,N($X4360)+1,N($X4360)))</f>
        <v/>
      </c>
      <c r="Z4361">
        <f>IF($V4361="","",IF($AA4361&gt;N($AA4360),$AA4361,""))</f>
        <v/>
      </c>
      <c r="AA4361">
        <f>IF($V4361="",N($AA4360),IF(MATCH($V4361,$V$6:$V$6005,0)=ROW()-5,N($AA4360)+1,N($AA4360)))</f>
        <v/>
      </c>
    </row>
    <row r="4362" ht="21" customHeight="1" s="66">
      <c r="A4362" s="56" t="n"/>
      <c r="B4362" s="57" t="n"/>
      <c r="C4362" s="57" t="n"/>
      <c r="D4362" s="57" t="n"/>
      <c r="E4362" s="56" t="n"/>
      <c r="F4362" s="57" t="n"/>
      <c r="G4362" s="57" t="n"/>
      <c r="H4362" s="56" t="n"/>
      <c r="I4362" s="56" t="n"/>
      <c r="J4362" s="58" t="n"/>
      <c r="K4362" s="58" t="n"/>
      <c r="L4362" s="13">
        <f>IF(OR($A4362="",AND($J4362="",$K4362="")),"",ROUND(N($J4362)-N($K4362),2))</f>
        <v/>
      </c>
      <c r="M4362" s="13">
        <f>IF(OR($A4362="",AND($J4362="",$K4362="")),"",MIN($J4362,$K4362))</f>
        <v/>
      </c>
      <c r="Q4362">
        <f>IF($A4362="","",$D4362&amp;"("&amp;SUBSTITUTE($E4362," ","")&amp;")")</f>
        <v/>
      </c>
      <c r="R4362">
        <f>IF($A4362="","",$B4362&amp;" - "&amp;$C4362)</f>
        <v/>
      </c>
      <c r="S4362">
        <f>IF($A4362="","",$R4362&amp;"|"&amp;$Q4362)</f>
        <v/>
      </c>
      <c r="T4362">
        <f>IF($A4362="","",$S4362&amp;"|"&amp;$F4362)</f>
        <v/>
      </c>
      <c r="U4362">
        <f>IF($A4362="","",$R4362&amp;"("&amp;$E4362&amp;")")</f>
        <v/>
      </c>
      <c r="V4362">
        <f>IF($A4362="","",$F4362&amp;"|"&amp;$U4362&amp;"|"&amp;$D4362)</f>
        <v/>
      </c>
      <c r="W4362">
        <f>IF($T4362="","",IF($X4362&gt;N($X4361),$X4362,""))</f>
        <v/>
      </c>
      <c r="X4362">
        <f>IF($T4362="",N($X4361),IF(MATCH($T4362,$T$6:$T$6005,0)=ROW()-5,N($X4361)+1,N($X4361)))</f>
        <v/>
      </c>
      <c r="Z4362">
        <f>IF($V4362="","",IF($AA4362&gt;N($AA4361),$AA4362,""))</f>
        <v/>
      </c>
      <c r="AA4362">
        <f>IF($V4362="",N($AA4361),IF(MATCH($V4362,$V$6:$V$6005,0)=ROW()-5,N($AA4361)+1,N($AA4361)))</f>
        <v/>
      </c>
    </row>
    <row r="4363" ht="21" customHeight="1" s="66">
      <c r="A4363" s="56" t="n"/>
      <c r="B4363" s="57" t="n"/>
      <c r="C4363" s="57" t="n"/>
      <c r="D4363" s="57" t="n"/>
      <c r="E4363" s="56" t="n"/>
      <c r="F4363" s="57" t="n"/>
      <c r="G4363" s="57" t="n"/>
      <c r="H4363" s="56" t="n"/>
      <c r="I4363" s="56" t="n"/>
      <c r="J4363" s="58" t="n"/>
      <c r="K4363" s="58" t="n"/>
      <c r="L4363" s="13">
        <f>IF(OR($A4363="",AND($J4363="",$K4363="")),"",ROUND(N($J4363)-N($K4363),2))</f>
        <v/>
      </c>
      <c r="M4363" s="13">
        <f>IF(OR($A4363="",AND($J4363="",$K4363="")),"",MIN($J4363,$K4363))</f>
        <v/>
      </c>
      <c r="Q4363">
        <f>IF($A4363="","",$D4363&amp;"("&amp;SUBSTITUTE($E4363," ","")&amp;")")</f>
        <v/>
      </c>
      <c r="R4363">
        <f>IF($A4363="","",$B4363&amp;" - "&amp;$C4363)</f>
        <v/>
      </c>
      <c r="S4363">
        <f>IF($A4363="","",$R4363&amp;"|"&amp;$Q4363)</f>
        <v/>
      </c>
      <c r="T4363">
        <f>IF($A4363="","",$S4363&amp;"|"&amp;$F4363)</f>
        <v/>
      </c>
      <c r="U4363">
        <f>IF($A4363="","",$R4363&amp;"("&amp;$E4363&amp;")")</f>
        <v/>
      </c>
      <c r="V4363">
        <f>IF($A4363="","",$F4363&amp;"|"&amp;$U4363&amp;"|"&amp;$D4363)</f>
        <v/>
      </c>
      <c r="W4363">
        <f>IF($T4363="","",IF($X4363&gt;N($X4362),$X4363,""))</f>
        <v/>
      </c>
      <c r="X4363">
        <f>IF($T4363="",N($X4362),IF(MATCH($T4363,$T$6:$T$6005,0)=ROW()-5,N($X4362)+1,N($X4362)))</f>
        <v/>
      </c>
      <c r="Z4363">
        <f>IF($V4363="","",IF($AA4363&gt;N($AA4362),$AA4363,""))</f>
        <v/>
      </c>
      <c r="AA4363">
        <f>IF($V4363="",N($AA4362),IF(MATCH($V4363,$V$6:$V$6005,0)=ROW()-5,N($AA4362)+1,N($AA4362)))</f>
        <v/>
      </c>
    </row>
    <row r="4364" ht="21" customHeight="1" s="66">
      <c r="A4364" s="56" t="n"/>
      <c r="B4364" s="57" t="n"/>
      <c r="C4364" s="57" t="n"/>
      <c r="D4364" s="57" t="n"/>
      <c r="E4364" s="56" t="n"/>
      <c r="F4364" s="57" t="n"/>
      <c r="G4364" s="57" t="n"/>
      <c r="H4364" s="56" t="n"/>
      <c r="I4364" s="56" t="n"/>
      <c r="J4364" s="58" t="n"/>
      <c r="K4364" s="58" t="n"/>
      <c r="L4364" s="13">
        <f>IF(OR($A4364="",AND($J4364="",$K4364="")),"",ROUND(N($J4364)-N($K4364),2))</f>
        <v/>
      </c>
      <c r="M4364" s="13">
        <f>IF(OR($A4364="",AND($J4364="",$K4364="")),"",MIN($J4364,$K4364))</f>
        <v/>
      </c>
      <c r="Q4364">
        <f>IF($A4364="","",$D4364&amp;"("&amp;SUBSTITUTE($E4364," ","")&amp;")")</f>
        <v/>
      </c>
      <c r="R4364">
        <f>IF($A4364="","",$B4364&amp;" - "&amp;$C4364)</f>
        <v/>
      </c>
      <c r="S4364">
        <f>IF($A4364="","",$R4364&amp;"|"&amp;$Q4364)</f>
        <v/>
      </c>
      <c r="T4364">
        <f>IF($A4364="","",$S4364&amp;"|"&amp;$F4364)</f>
        <v/>
      </c>
      <c r="U4364">
        <f>IF($A4364="","",$R4364&amp;"("&amp;$E4364&amp;")")</f>
        <v/>
      </c>
      <c r="V4364">
        <f>IF($A4364="","",$F4364&amp;"|"&amp;$U4364&amp;"|"&amp;$D4364)</f>
        <v/>
      </c>
      <c r="W4364">
        <f>IF($T4364="","",IF($X4364&gt;N($X4363),$X4364,""))</f>
        <v/>
      </c>
      <c r="X4364">
        <f>IF($T4364="",N($X4363),IF(MATCH($T4364,$T$6:$T$6005,0)=ROW()-5,N($X4363)+1,N($X4363)))</f>
        <v/>
      </c>
      <c r="Z4364">
        <f>IF($V4364="","",IF($AA4364&gt;N($AA4363),$AA4364,""))</f>
        <v/>
      </c>
      <c r="AA4364">
        <f>IF($V4364="",N($AA4363),IF(MATCH($V4364,$V$6:$V$6005,0)=ROW()-5,N($AA4363)+1,N($AA4363)))</f>
        <v/>
      </c>
    </row>
    <row r="4365" ht="21" customHeight="1" s="66">
      <c r="A4365" s="56" t="n"/>
      <c r="B4365" s="57" t="n"/>
      <c r="C4365" s="57" t="n"/>
      <c r="D4365" s="57" t="n"/>
      <c r="E4365" s="56" t="n"/>
      <c r="F4365" s="57" t="n"/>
      <c r="G4365" s="57" t="n"/>
      <c r="H4365" s="56" t="n"/>
      <c r="I4365" s="56" t="n"/>
      <c r="J4365" s="58" t="n"/>
      <c r="K4365" s="58" t="n"/>
      <c r="L4365" s="13">
        <f>IF(OR($A4365="",AND($J4365="",$K4365="")),"",ROUND(N($J4365)-N($K4365),2))</f>
        <v/>
      </c>
      <c r="M4365" s="13">
        <f>IF(OR($A4365="",AND($J4365="",$K4365="")),"",MIN($J4365,$K4365))</f>
        <v/>
      </c>
      <c r="Q4365">
        <f>IF($A4365="","",$D4365&amp;"("&amp;SUBSTITUTE($E4365," ","")&amp;")")</f>
        <v/>
      </c>
      <c r="R4365">
        <f>IF($A4365="","",$B4365&amp;" - "&amp;$C4365)</f>
        <v/>
      </c>
      <c r="S4365">
        <f>IF($A4365="","",$R4365&amp;"|"&amp;$Q4365)</f>
        <v/>
      </c>
      <c r="T4365">
        <f>IF($A4365="","",$S4365&amp;"|"&amp;$F4365)</f>
        <v/>
      </c>
      <c r="U4365">
        <f>IF($A4365="","",$R4365&amp;"("&amp;$E4365&amp;")")</f>
        <v/>
      </c>
      <c r="V4365">
        <f>IF($A4365="","",$F4365&amp;"|"&amp;$U4365&amp;"|"&amp;$D4365)</f>
        <v/>
      </c>
      <c r="W4365">
        <f>IF($T4365="","",IF($X4365&gt;N($X4364),$X4365,""))</f>
        <v/>
      </c>
      <c r="X4365">
        <f>IF($T4365="",N($X4364),IF(MATCH($T4365,$T$6:$T$6005,0)=ROW()-5,N($X4364)+1,N($X4364)))</f>
        <v/>
      </c>
      <c r="Z4365">
        <f>IF($V4365="","",IF($AA4365&gt;N($AA4364),$AA4365,""))</f>
        <v/>
      </c>
      <c r="AA4365">
        <f>IF($V4365="",N($AA4364),IF(MATCH($V4365,$V$6:$V$6005,0)=ROW()-5,N($AA4364)+1,N($AA4364)))</f>
        <v/>
      </c>
    </row>
    <row r="4366" ht="21" customHeight="1" s="66">
      <c r="A4366" s="56" t="n"/>
      <c r="B4366" s="57" t="n"/>
      <c r="C4366" s="57" t="n"/>
      <c r="D4366" s="57" t="n"/>
      <c r="E4366" s="56" t="n"/>
      <c r="F4366" s="57" t="n"/>
      <c r="G4366" s="57" t="n"/>
      <c r="H4366" s="56" t="n"/>
      <c r="I4366" s="56" t="n"/>
      <c r="J4366" s="58" t="n"/>
      <c r="K4366" s="58" t="n"/>
      <c r="L4366" s="13">
        <f>IF(OR($A4366="",AND($J4366="",$K4366="")),"",ROUND(N($J4366)-N($K4366),2))</f>
        <v/>
      </c>
      <c r="M4366" s="13">
        <f>IF(OR($A4366="",AND($J4366="",$K4366="")),"",MIN($J4366,$K4366))</f>
        <v/>
      </c>
      <c r="Q4366">
        <f>IF($A4366="","",$D4366&amp;"("&amp;SUBSTITUTE($E4366," ","")&amp;")")</f>
        <v/>
      </c>
      <c r="R4366">
        <f>IF($A4366="","",$B4366&amp;" - "&amp;$C4366)</f>
        <v/>
      </c>
      <c r="S4366">
        <f>IF($A4366="","",$R4366&amp;"|"&amp;$Q4366)</f>
        <v/>
      </c>
      <c r="T4366">
        <f>IF($A4366="","",$S4366&amp;"|"&amp;$F4366)</f>
        <v/>
      </c>
      <c r="U4366">
        <f>IF($A4366="","",$R4366&amp;"("&amp;$E4366&amp;")")</f>
        <v/>
      </c>
      <c r="V4366">
        <f>IF($A4366="","",$F4366&amp;"|"&amp;$U4366&amp;"|"&amp;$D4366)</f>
        <v/>
      </c>
      <c r="W4366">
        <f>IF($T4366="","",IF($X4366&gt;N($X4365),$X4366,""))</f>
        <v/>
      </c>
      <c r="X4366">
        <f>IF($T4366="",N($X4365),IF(MATCH($T4366,$T$6:$T$6005,0)=ROW()-5,N($X4365)+1,N($X4365)))</f>
        <v/>
      </c>
      <c r="Z4366">
        <f>IF($V4366="","",IF($AA4366&gt;N($AA4365),$AA4366,""))</f>
        <v/>
      </c>
      <c r="AA4366">
        <f>IF($V4366="",N($AA4365),IF(MATCH($V4366,$V$6:$V$6005,0)=ROW()-5,N($AA4365)+1,N($AA4365)))</f>
        <v/>
      </c>
    </row>
    <row r="4367" ht="21" customHeight="1" s="66">
      <c r="A4367" s="56" t="n"/>
      <c r="B4367" s="57" t="n"/>
      <c r="C4367" s="57" t="n"/>
      <c r="D4367" s="57" t="n"/>
      <c r="E4367" s="56" t="n"/>
      <c r="F4367" s="57" t="n"/>
      <c r="G4367" s="57" t="n"/>
      <c r="H4367" s="56" t="n"/>
      <c r="I4367" s="56" t="n"/>
      <c r="J4367" s="58" t="n"/>
      <c r="K4367" s="58" t="n"/>
      <c r="L4367" s="13">
        <f>IF(OR($A4367="",AND($J4367="",$K4367="")),"",ROUND(N($J4367)-N($K4367),2))</f>
        <v/>
      </c>
      <c r="M4367" s="13">
        <f>IF(OR($A4367="",AND($J4367="",$K4367="")),"",MIN($J4367,$K4367))</f>
        <v/>
      </c>
      <c r="Q4367">
        <f>IF($A4367="","",$D4367&amp;"("&amp;SUBSTITUTE($E4367," ","")&amp;")")</f>
        <v/>
      </c>
      <c r="R4367">
        <f>IF($A4367="","",$B4367&amp;" - "&amp;$C4367)</f>
        <v/>
      </c>
      <c r="S4367">
        <f>IF($A4367="","",$R4367&amp;"|"&amp;$Q4367)</f>
        <v/>
      </c>
      <c r="T4367">
        <f>IF($A4367="","",$S4367&amp;"|"&amp;$F4367)</f>
        <v/>
      </c>
      <c r="U4367">
        <f>IF($A4367="","",$R4367&amp;"("&amp;$E4367&amp;")")</f>
        <v/>
      </c>
      <c r="V4367">
        <f>IF($A4367="","",$F4367&amp;"|"&amp;$U4367&amp;"|"&amp;$D4367)</f>
        <v/>
      </c>
      <c r="W4367">
        <f>IF($T4367="","",IF($X4367&gt;N($X4366),$X4367,""))</f>
        <v/>
      </c>
      <c r="X4367">
        <f>IF($T4367="",N($X4366),IF(MATCH($T4367,$T$6:$T$6005,0)=ROW()-5,N($X4366)+1,N($X4366)))</f>
        <v/>
      </c>
      <c r="Z4367">
        <f>IF($V4367="","",IF($AA4367&gt;N($AA4366),$AA4367,""))</f>
        <v/>
      </c>
      <c r="AA4367">
        <f>IF($V4367="",N($AA4366),IF(MATCH($V4367,$V$6:$V$6005,0)=ROW()-5,N($AA4366)+1,N($AA4366)))</f>
        <v/>
      </c>
    </row>
    <row r="4368" ht="21" customHeight="1" s="66">
      <c r="A4368" s="56" t="n"/>
      <c r="B4368" s="57" t="n"/>
      <c r="C4368" s="57" t="n"/>
      <c r="D4368" s="57" t="n"/>
      <c r="E4368" s="56" t="n"/>
      <c r="F4368" s="57" t="n"/>
      <c r="G4368" s="57" t="n"/>
      <c r="H4368" s="56" t="n"/>
      <c r="I4368" s="56" t="n"/>
      <c r="J4368" s="58" t="n"/>
      <c r="K4368" s="58" t="n"/>
      <c r="L4368" s="13">
        <f>IF(OR($A4368="",AND($J4368="",$K4368="")),"",ROUND(N($J4368)-N($K4368),2))</f>
        <v/>
      </c>
      <c r="M4368" s="13">
        <f>IF(OR($A4368="",AND($J4368="",$K4368="")),"",MIN($J4368,$K4368))</f>
        <v/>
      </c>
      <c r="Q4368">
        <f>IF($A4368="","",$D4368&amp;"("&amp;SUBSTITUTE($E4368," ","")&amp;")")</f>
        <v/>
      </c>
      <c r="R4368">
        <f>IF($A4368="","",$B4368&amp;" - "&amp;$C4368)</f>
        <v/>
      </c>
      <c r="S4368">
        <f>IF($A4368="","",$R4368&amp;"|"&amp;$Q4368)</f>
        <v/>
      </c>
      <c r="T4368">
        <f>IF($A4368="","",$S4368&amp;"|"&amp;$F4368)</f>
        <v/>
      </c>
      <c r="U4368">
        <f>IF($A4368="","",$R4368&amp;"("&amp;$E4368&amp;")")</f>
        <v/>
      </c>
      <c r="V4368">
        <f>IF($A4368="","",$F4368&amp;"|"&amp;$U4368&amp;"|"&amp;$D4368)</f>
        <v/>
      </c>
      <c r="W4368">
        <f>IF($T4368="","",IF($X4368&gt;N($X4367),$X4368,""))</f>
        <v/>
      </c>
      <c r="X4368">
        <f>IF($T4368="",N($X4367),IF(MATCH($T4368,$T$6:$T$6005,0)=ROW()-5,N($X4367)+1,N($X4367)))</f>
        <v/>
      </c>
      <c r="Z4368">
        <f>IF($V4368="","",IF($AA4368&gt;N($AA4367),$AA4368,""))</f>
        <v/>
      </c>
      <c r="AA4368">
        <f>IF($V4368="",N($AA4367),IF(MATCH($V4368,$V$6:$V$6005,0)=ROW()-5,N($AA4367)+1,N($AA4367)))</f>
        <v/>
      </c>
    </row>
    <row r="4369" ht="21" customHeight="1" s="66">
      <c r="A4369" s="56" t="n"/>
      <c r="B4369" s="57" t="n"/>
      <c r="C4369" s="57" t="n"/>
      <c r="D4369" s="57" t="n"/>
      <c r="E4369" s="56" t="n"/>
      <c r="F4369" s="57" t="n"/>
      <c r="G4369" s="57" t="n"/>
      <c r="H4369" s="56" t="n"/>
      <c r="I4369" s="56" t="n"/>
      <c r="J4369" s="58" t="n"/>
      <c r="K4369" s="58" t="n"/>
      <c r="L4369" s="13">
        <f>IF(OR($A4369="",AND($J4369="",$K4369="")),"",ROUND(N($J4369)-N($K4369),2))</f>
        <v/>
      </c>
      <c r="M4369" s="13">
        <f>IF(OR($A4369="",AND($J4369="",$K4369="")),"",MIN($J4369,$K4369))</f>
        <v/>
      </c>
      <c r="Q4369">
        <f>IF($A4369="","",$D4369&amp;"("&amp;SUBSTITUTE($E4369," ","")&amp;")")</f>
        <v/>
      </c>
      <c r="R4369">
        <f>IF($A4369="","",$B4369&amp;" - "&amp;$C4369)</f>
        <v/>
      </c>
      <c r="S4369">
        <f>IF($A4369="","",$R4369&amp;"|"&amp;$Q4369)</f>
        <v/>
      </c>
      <c r="T4369">
        <f>IF($A4369="","",$S4369&amp;"|"&amp;$F4369)</f>
        <v/>
      </c>
      <c r="U4369">
        <f>IF($A4369="","",$R4369&amp;"("&amp;$E4369&amp;")")</f>
        <v/>
      </c>
      <c r="V4369">
        <f>IF($A4369="","",$F4369&amp;"|"&amp;$U4369&amp;"|"&amp;$D4369)</f>
        <v/>
      </c>
      <c r="W4369">
        <f>IF($T4369="","",IF($X4369&gt;N($X4368),$X4369,""))</f>
        <v/>
      </c>
      <c r="X4369">
        <f>IF($T4369="",N($X4368),IF(MATCH($T4369,$T$6:$T$6005,0)=ROW()-5,N($X4368)+1,N($X4368)))</f>
        <v/>
      </c>
      <c r="Z4369">
        <f>IF($V4369="","",IF($AA4369&gt;N($AA4368),$AA4369,""))</f>
        <v/>
      </c>
      <c r="AA4369">
        <f>IF($V4369="",N($AA4368),IF(MATCH($V4369,$V$6:$V$6005,0)=ROW()-5,N($AA4368)+1,N($AA4368)))</f>
        <v/>
      </c>
    </row>
    <row r="4370" ht="21" customHeight="1" s="66">
      <c r="A4370" s="56" t="n"/>
      <c r="B4370" s="57" t="n"/>
      <c r="C4370" s="57" t="n"/>
      <c r="D4370" s="57" t="n"/>
      <c r="E4370" s="56" t="n"/>
      <c r="F4370" s="57" t="n"/>
      <c r="G4370" s="57" t="n"/>
      <c r="H4370" s="56" t="n"/>
      <c r="I4370" s="56" t="n"/>
      <c r="J4370" s="58" t="n"/>
      <c r="K4370" s="58" t="n"/>
      <c r="L4370" s="13">
        <f>IF(OR($A4370="",AND($J4370="",$K4370="")),"",ROUND(N($J4370)-N($K4370),2))</f>
        <v/>
      </c>
      <c r="M4370" s="13">
        <f>IF(OR($A4370="",AND($J4370="",$K4370="")),"",MIN($J4370,$K4370))</f>
        <v/>
      </c>
      <c r="Q4370">
        <f>IF($A4370="","",$D4370&amp;"("&amp;SUBSTITUTE($E4370," ","")&amp;")")</f>
        <v/>
      </c>
      <c r="R4370">
        <f>IF($A4370="","",$B4370&amp;" - "&amp;$C4370)</f>
        <v/>
      </c>
      <c r="S4370">
        <f>IF($A4370="","",$R4370&amp;"|"&amp;$Q4370)</f>
        <v/>
      </c>
      <c r="T4370">
        <f>IF($A4370="","",$S4370&amp;"|"&amp;$F4370)</f>
        <v/>
      </c>
      <c r="U4370">
        <f>IF($A4370="","",$R4370&amp;"("&amp;$E4370&amp;")")</f>
        <v/>
      </c>
      <c r="V4370">
        <f>IF($A4370="","",$F4370&amp;"|"&amp;$U4370&amp;"|"&amp;$D4370)</f>
        <v/>
      </c>
      <c r="W4370">
        <f>IF($T4370="","",IF($X4370&gt;N($X4369),$X4370,""))</f>
        <v/>
      </c>
      <c r="X4370">
        <f>IF($T4370="",N($X4369),IF(MATCH($T4370,$T$6:$T$6005,0)=ROW()-5,N($X4369)+1,N($X4369)))</f>
        <v/>
      </c>
      <c r="Z4370">
        <f>IF($V4370="","",IF($AA4370&gt;N($AA4369),$AA4370,""))</f>
        <v/>
      </c>
      <c r="AA4370">
        <f>IF($V4370="",N($AA4369),IF(MATCH($V4370,$V$6:$V$6005,0)=ROW()-5,N($AA4369)+1,N($AA4369)))</f>
        <v/>
      </c>
    </row>
    <row r="4371" ht="21" customHeight="1" s="66">
      <c r="A4371" s="56" t="n"/>
      <c r="B4371" s="57" t="n"/>
      <c r="C4371" s="57" t="n"/>
      <c r="D4371" s="57" t="n"/>
      <c r="E4371" s="56" t="n"/>
      <c r="F4371" s="57" t="n"/>
      <c r="G4371" s="57" t="n"/>
      <c r="H4371" s="56" t="n"/>
      <c r="I4371" s="56" t="n"/>
      <c r="J4371" s="58" t="n"/>
      <c r="K4371" s="58" t="n"/>
      <c r="L4371" s="13">
        <f>IF(OR($A4371="",AND($J4371="",$K4371="")),"",ROUND(N($J4371)-N($K4371),2))</f>
        <v/>
      </c>
      <c r="M4371" s="13">
        <f>IF(OR($A4371="",AND($J4371="",$K4371="")),"",MIN($J4371,$K4371))</f>
        <v/>
      </c>
      <c r="Q4371">
        <f>IF($A4371="","",$D4371&amp;"("&amp;SUBSTITUTE($E4371," ","")&amp;")")</f>
        <v/>
      </c>
      <c r="R4371">
        <f>IF($A4371="","",$B4371&amp;" - "&amp;$C4371)</f>
        <v/>
      </c>
      <c r="S4371">
        <f>IF($A4371="","",$R4371&amp;"|"&amp;$Q4371)</f>
        <v/>
      </c>
      <c r="T4371">
        <f>IF($A4371="","",$S4371&amp;"|"&amp;$F4371)</f>
        <v/>
      </c>
      <c r="U4371">
        <f>IF($A4371="","",$R4371&amp;"("&amp;$E4371&amp;")")</f>
        <v/>
      </c>
      <c r="V4371">
        <f>IF($A4371="","",$F4371&amp;"|"&amp;$U4371&amp;"|"&amp;$D4371)</f>
        <v/>
      </c>
      <c r="W4371">
        <f>IF($T4371="","",IF($X4371&gt;N($X4370),$X4371,""))</f>
        <v/>
      </c>
      <c r="X4371">
        <f>IF($T4371="",N($X4370),IF(MATCH($T4371,$T$6:$T$6005,0)=ROW()-5,N($X4370)+1,N($X4370)))</f>
        <v/>
      </c>
      <c r="Z4371">
        <f>IF($V4371="","",IF($AA4371&gt;N($AA4370),$AA4371,""))</f>
        <v/>
      </c>
      <c r="AA4371">
        <f>IF($V4371="",N($AA4370),IF(MATCH($V4371,$V$6:$V$6005,0)=ROW()-5,N($AA4370)+1,N($AA4370)))</f>
        <v/>
      </c>
    </row>
    <row r="4372" ht="21" customHeight="1" s="66">
      <c r="A4372" s="56" t="n"/>
      <c r="B4372" s="57" t="n"/>
      <c r="C4372" s="57" t="n"/>
      <c r="D4372" s="57" t="n"/>
      <c r="E4372" s="56" t="n"/>
      <c r="F4372" s="57" t="n"/>
      <c r="G4372" s="57" t="n"/>
      <c r="H4372" s="56" t="n"/>
      <c r="I4372" s="56" t="n"/>
      <c r="J4372" s="58" t="n"/>
      <c r="K4372" s="58" t="n"/>
      <c r="L4372" s="13">
        <f>IF(OR($A4372="",AND($J4372="",$K4372="")),"",ROUND(N($J4372)-N($K4372),2))</f>
        <v/>
      </c>
      <c r="M4372" s="13">
        <f>IF(OR($A4372="",AND($J4372="",$K4372="")),"",MIN($J4372,$K4372))</f>
        <v/>
      </c>
      <c r="Q4372">
        <f>IF($A4372="","",$D4372&amp;"("&amp;SUBSTITUTE($E4372," ","")&amp;")")</f>
        <v/>
      </c>
      <c r="R4372">
        <f>IF($A4372="","",$B4372&amp;" - "&amp;$C4372)</f>
        <v/>
      </c>
      <c r="S4372">
        <f>IF($A4372="","",$R4372&amp;"|"&amp;$Q4372)</f>
        <v/>
      </c>
      <c r="T4372">
        <f>IF($A4372="","",$S4372&amp;"|"&amp;$F4372)</f>
        <v/>
      </c>
      <c r="U4372">
        <f>IF($A4372="","",$R4372&amp;"("&amp;$E4372&amp;")")</f>
        <v/>
      </c>
      <c r="V4372">
        <f>IF($A4372="","",$F4372&amp;"|"&amp;$U4372&amp;"|"&amp;$D4372)</f>
        <v/>
      </c>
      <c r="W4372">
        <f>IF($T4372="","",IF($X4372&gt;N($X4371),$X4372,""))</f>
        <v/>
      </c>
      <c r="X4372">
        <f>IF($T4372="",N($X4371),IF(MATCH($T4372,$T$6:$T$6005,0)=ROW()-5,N($X4371)+1,N($X4371)))</f>
        <v/>
      </c>
      <c r="Z4372">
        <f>IF($V4372="","",IF($AA4372&gt;N($AA4371),$AA4372,""))</f>
        <v/>
      </c>
      <c r="AA4372">
        <f>IF($V4372="",N($AA4371),IF(MATCH($V4372,$V$6:$V$6005,0)=ROW()-5,N($AA4371)+1,N($AA4371)))</f>
        <v/>
      </c>
    </row>
    <row r="4373" ht="21" customHeight="1" s="66">
      <c r="A4373" s="56" t="n"/>
      <c r="B4373" s="57" t="n"/>
      <c r="C4373" s="57" t="n"/>
      <c r="D4373" s="57" t="n"/>
      <c r="E4373" s="56" t="n"/>
      <c r="F4373" s="57" t="n"/>
      <c r="G4373" s="57" t="n"/>
      <c r="H4373" s="56" t="n"/>
      <c r="I4373" s="56" t="n"/>
      <c r="J4373" s="58" t="n"/>
      <c r="K4373" s="58" t="n"/>
      <c r="L4373" s="13">
        <f>IF(OR($A4373="",AND($J4373="",$K4373="")),"",ROUND(N($J4373)-N($K4373),2))</f>
        <v/>
      </c>
      <c r="M4373" s="13">
        <f>IF(OR($A4373="",AND($J4373="",$K4373="")),"",MIN($J4373,$K4373))</f>
        <v/>
      </c>
      <c r="Q4373">
        <f>IF($A4373="","",$D4373&amp;"("&amp;SUBSTITUTE($E4373," ","")&amp;")")</f>
        <v/>
      </c>
      <c r="R4373">
        <f>IF($A4373="","",$B4373&amp;" - "&amp;$C4373)</f>
        <v/>
      </c>
      <c r="S4373">
        <f>IF($A4373="","",$R4373&amp;"|"&amp;$Q4373)</f>
        <v/>
      </c>
      <c r="T4373">
        <f>IF($A4373="","",$S4373&amp;"|"&amp;$F4373)</f>
        <v/>
      </c>
      <c r="U4373">
        <f>IF($A4373="","",$R4373&amp;"("&amp;$E4373&amp;")")</f>
        <v/>
      </c>
      <c r="V4373">
        <f>IF($A4373="","",$F4373&amp;"|"&amp;$U4373&amp;"|"&amp;$D4373)</f>
        <v/>
      </c>
      <c r="W4373">
        <f>IF($T4373="","",IF($X4373&gt;N($X4372),$X4373,""))</f>
        <v/>
      </c>
      <c r="X4373">
        <f>IF($T4373="",N($X4372),IF(MATCH($T4373,$T$6:$T$6005,0)=ROW()-5,N($X4372)+1,N($X4372)))</f>
        <v/>
      </c>
      <c r="Z4373">
        <f>IF($V4373="","",IF($AA4373&gt;N($AA4372),$AA4373,""))</f>
        <v/>
      </c>
      <c r="AA4373">
        <f>IF($V4373="",N($AA4372),IF(MATCH($V4373,$V$6:$V$6005,0)=ROW()-5,N($AA4372)+1,N($AA4372)))</f>
        <v/>
      </c>
    </row>
    <row r="4374" ht="21" customHeight="1" s="66">
      <c r="A4374" s="56" t="n"/>
      <c r="B4374" s="57" t="n"/>
      <c r="C4374" s="57" t="n"/>
      <c r="D4374" s="57" t="n"/>
      <c r="E4374" s="56" t="n"/>
      <c r="F4374" s="57" t="n"/>
      <c r="G4374" s="57" t="n"/>
      <c r="H4374" s="56" t="n"/>
      <c r="I4374" s="56" t="n"/>
      <c r="J4374" s="58" t="n"/>
      <c r="K4374" s="58" t="n"/>
      <c r="L4374" s="13">
        <f>IF(OR($A4374="",AND($J4374="",$K4374="")),"",ROUND(N($J4374)-N($K4374),2))</f>
        <v/>
      </c>
      <c r="M4374" s="13">
        <f>IF(OR($A4374="",AND($J4374="",$K4374="")),"",MIN($J4374,$K4374))</f>
        <v/>
      </c>
      <c r="Q4374">
        <f>IF($A4374="","",$D4374&amp;"("&amp;SUBSTITUTE($E4374," ","")&amp;")")</f>
        <v/>
      </c>
      <c r="R4374">
        <f>IF($A4374="","",$B4374&amp;" - "&amp;$C4374)</f>
        <v/>
      </c>
      <c r="S4374">
        <f>IF($A4374="","",$R4374&amp;"|"&amp;$Q4374)</f>
        <v/>
      </c>
      <c r="T4374">
        <f>IF($A4374="","",$S4374&amp;"|"&amp;$F4374)</f>
        <v/>
      </c>
      <c r="U4374">
        <f>IF($A4374="","",$R4374&amp;"("&amp;$E4374&amp;")")</f>
        <v/>
      </c>
      <c r="V4374">
        <f>IF($A4374="","",$F4374&amp;"|"&amp;$U4374&amp;"|"&amp;$D4374)</f>
        <v/>
      </c>
      <c r="W4374">
        <f>IF($T4374="","",IF($X4374&gt;N($X4373),$X4374,""))</f>
        <v/>
      </c>
      <c r="X4374">
        <f>IF($T4374="",N($X4373),IF(MATCH($T4374,$T$6:$T$6005,0)=ROW()-5,N($X4373)+1,N($X4373)))</f>
        <v/>
      </c>
      <c r="Z4374">
        <f>IF($V4374="","",IF($AA4374&gt;N($AA4373),$AA4374,""))</f>
        <v/>
      </c>
      <c r="AA4374">
        <f>IF($V4374="",N($AA4373),IF(MATCH($V4374,$V$6:$V$6005,0)=ROW()-5,N($AA4373)+1,N($AA4373)))</f>
        <v/>
      </c>
    </row>
    <row r="4375" ht="21" customHeight="1" s="66">
      <c r="A4375" s="56" t="n"/>
      <c r="B4375" s="57" t="n"/>
      <c r="C4375" s="57" t="n"/>
      <c r="D4375" s="57" t="n"/>
      <c r="E4375" s="56" t="n"/>
      <c r="F4375" s="57" t="n"/>
      <c r="G4375" s="57" t="n"/>
      <c r="H4375" s="56" t="n"/>
      <c r="I4375" s="56" t="n"/>
      <c r="J4375" s="58" t="n"/>
      <c r="K4375" s="58" t="n"/>
      <c r="L4375" s="13">
        <f>IF(OR($A4375="",AND($J4375="",$K4375="")),"",ROUND(N($J4375)-N($K4375),2))</f>
        <v/>
      </c>
      <c r="M4375" s="13">
        <f>IF(OR($A4375="",AND($J4375="",$K4375="")),"",MIN($J4375,$K4375))</f>
        <v/>
      </c>
      <c r="Q4375">
        <f>IF($A4375="","",$D4375&amp;"("&amp;SUBSTITUTE($E4375," ","")&amp;")")</f>
        <v/>
      </c>
      <c r="R4375">
        <f>IF($A4375="","",$B4375&amp;" - "&amp;$C4375)</f>
        <v/>
      </c>
      <c r="S4375">
        <f>IF($A4375="","",$R4375&amp;"|"&amp;$Q4375)</f>
        <v/>
      </c>
      <c r="T4375">
        <f>IF($A4375="","",$S4375&amp;"|"&amp;$F4375)</f>
        <v/>
      </c>
      <c r="U4375">
        <f>IF($A4375="","",$R4375&amp;"("&amp;$E4375&amp;")")</f>
        <v/>
      </c>
      <c r="V4375">
        <f>IF($A4375="","",$F4375&amp;"|"&amp;$U4375&amp;"|"&amp;$D4375)</f>
        <v/>
      </c>
      <c r="W4375">
        <f>IF($T4375="","",IF($X4375&gt;N($X4374),$X4375,""))</f>
        <v/>
      </c>
      <c r="X4375">
        <f>IF($T4375="",N($X4374),IF(MATCH($T4375,$T$6:$T$6005,0)=ROW()-5,N($X4374)+1,N($X4374)))</f>
        <v/>
      </c>
      <c r="Z4375">
        <f>IF($V4375="","",IF($AA4375&gt;N($AA4374),$AA4375,""))</f>
        <v/>
      </c>
      <c r="AA4375">
        <f>IF($V4375="",N($AA4374),IF(MATCH($V4375,$V$6:$V$6005,0)=ROW()-5,N($AA4374)+1,N($AA4374)))</f>
        <v/>
      </c>
    </row>
    <row r="4376" ht="21" customHeight="1" s="66">
      <c r="A4376" s="56" t="n"/>
      <c r="B4376" s="57" t="n"/>
      <c r="C4376" s="57" t="n"/>
      <c r="D4376" s="57" t="n"/>
      <c r="E4376" s="56" t="n"/>
      <c r="F4376" s="57" t="n"/>
      <c r="G4376" s="57" t="n"/>
      <c r="H4376" s="56" t="n"/>
      <c r="I4376" s="56" t="n"/>
      <c r="J4376" s="58" t="n"/>
      <c r="K4376" s="58" t="n"/>
      <c r="L4376" s="13">
        <f>IF(OR($A4376="",AND($J4376="",$K4376="")),"",ROUND(N($J4376)-N($K4376),2))</f>
        <v/>
      </c>
      <c r="M4376" s="13">
        <f>IF(OR($A4376="",AND($J4376="",$K4376="")),"",MIN($J4376,$K4376))</f>
        <v/>
      </c>
      <c r="Q4376">
        <f>IF($A4376="","",$D4376&amp;"("&amp;SUBSTITUTE($E4376," ","")&amp;")")</f>
        <v/>
      </c>
      <c r="R4376">
        <f>IF($A4376="","",$B4376&amp;" - "&amp;$C4376)</f>
        <v/>
      </c>
      <c r="S4376">
        <f>IF($A4376="","",$R4376&amp;"|"&amp;$Q4376)</f>
        <v/>
      </c>
      <c r="T4376">
        <f>IF($A4376="","",$S4376&amp;"|"&amp;$F4376)</f>
        <v/>
      </c>
      <c r="U4376">
        <f>IF($A4376="","",$R4376&amp;"("&amp;$E4376&amp;")")</f>
        <v/>
      </c>
      <c r="V4376">
        <f>IF($A4376="","",$F4376&amp;"|"&amp;$U4376&amp;"|"&amp;$D4376)</f>
        <v/>
      </c>
      <c r="W4376">
        <f>IF($T4376="","",IF($X4376&gt;N($X4375),$X4376,""))</f>
        <v/>
      </c>
      <c r="X4376">
        <f>IF($T4376="",N($X4375),IF(MATCH($T4376,$T$6:$T$6005,0)=ROW()-5,N($X4375)+1,N($X4375)))</f>
        <v/>
      </c>
      <c r="Z4376">
        <f>IF($V4376="","",IF($AA4376&gt;N($AA4375),$AA4376,""))</f>
        <v/>
      </c>
      <c r="AA4376">
        <f>IF($V4376="",N($AA4375),IF(MATCH($V4376,$V$6:$V$6005,0)=ROW()-5,N($AA4375)+1,N($AA4375)))</f>
        <v/>
      </c>
    </row>
    <row r="4377" ht="21" customHeight="1" s="66">
      <c r="A4377" s="56" t="n"/>
      <c r="B4377" s="57" t="n"/>
      <c r="C4377" s="57" t="n"/>
      <c r="D4377" s="57" t="n"/>
      <c r="E4377" s="56" t="n"/>
      <c r="F4377" s="57" t="n"/>
      <c r="G4377" s="57" t="n"/>
      <c r="H4377" s="56" t="n"/>
      <c r="I4377" s="56" t="n"/>
      <c r="J4377" s="58" t="n"/>
      <c r="K4377" s="58" t="n"/>
      <c r="L4377" s="13">
        <f>IF(OR($A4377="",AND($J4377="",$K4377="")),"",ROUND(N($J4377)-N($K4377),2))</f>
        <v/>
      </c>
      <c r="M4377" s="13">
        <f>IF(OR($A4377="",AND($J4377="",$K4377="")),"",MIN($J4377,$K4377))</f>
        <v/>
      </c>
      <c r="Q4377">
        <f>IF($A4377="","",$D4377&amp;"("&amp;SUBSTITUTE($E4377," ","")&amp;")")</f>
        <v/>
      </c>
      <c r="R4377">
        <f>IF($A4377="","",$B4377&amp;" - "&amp;$C4377)</f>
        <v/>
      </c>
      <c r="S4377">
        <f>IF($A4377="","",$R4377&amp;"|"&amp;$Q4377)</f>
        <v/>
      </c>
      <c r="T4377">
        <f>IF($A4377="","",$S4377&amp;"|"&amp;$F4377)</f>
        <v/>
      </c>
      <c r="U4377">
        <f>IF($A4377="","",$R4377&amp;"("&amp;$E4377&amp;")")</f>
        <v/>
      </c>
      <c r="V4377">
        <f>IF($A4377="","",$F4377&amp;"|"&amp;$U4377&amp;"|"&amp;$D4377)</f>
        <v/>
      </c>
      <c r="W4377">
        <f>IF($T4377="","",IF($X4377&gt;N($X4376),$X4377,""))</f>
        <v/>
      </c>
      <c r="X4377">
        <f>IF($T4377="",N($X4376),IF(MATCH($T4377,$T$6:$T$6005,0)=ROW()-5,N($X4376)+1,N($X4376)))</f>
        <v/>
      </c>
      <c r="Z4377">
        <f>IF($V4377="","",IF($AA4377&gt;N($AA4376),$AA4377,""))</f>
        <v/>
      </c>
      <c r="AA4377">
        <f>IF($V4377="",N($AA4376),IF(MATCH($V4377,$V$6:$V$6005,0)=ROW()-5,N($AA4376)+1,N($AA4376)))</f>
        <v/>
      </c>
    </row>
    <row r="4378" ht="21" customHeight="1" s="66">
      <c r="A4378" s="56" t="n"/>
      <c r="B4378" s="57" t="n"/>
      <c r="C4378" s="57" t="n"/>
      <c r="D4378" s="57" t="n"/>
      <c r="E4378" s="56" t="n"/>
      <c r="F4378" s="57" t="n"/>
      <c r="G4378" s="57" t="n"/>
      <c r="H4378" s="56" t="n"/>
      <c r="I4378" s="56" t="n"/>
      <c r="J4378" s="58" t="n"/>
      <c r="K4378" s="58" t="n"/>
      <c r="L4378" s="13">
        <f>IF(OR($A4378="",AND($J4378="",$K4378="")),"",ROUND(N($J4378)-N($K4378),2))</f>
        <v/>
      </c>
      <c r="M4378" s="13">
        <f>IF(OR($A4378="",AND($J4378="",$K4378="")),"",MIN($J4378,$K4378))</f>
        <v/>
      </c>
      <c r="Q4378">
        <f>IF($A4378="","",$D4378&amp;"("&amp;SUBSTITUTE($E4378," ","")&amp;")")</f>
        <v/>
      </c>
      <c r="R4378">
        <f>IF($A4378="","",$B4378&amp;" - "&amp;$C4378)</f>
        <v/>
      </c>
      <c r="S4378">
        <f>IF($A4378="","",$R4378&amp;"|"&amp;$Q4378)</f>
        <v/>
      </c>
      <c r="T4378">
        <f>IF($A4378="","",$S4378&amp;"|"&amp;$F4378)</f>
        <v/>
      </c>
      <c r="U4378">
        <f>IF($A4378="","",$R4378&amp;"("&amp;$E4378&amp;")")</f>
        <v/>
      </c>
      <c r="V4378">
        <f>IF($A4378="","",$F4378&amp;"|"&amp;$U4378&amp;"|"&amp;$D4378)</f>
        <v/>
      </c>
      <c r="W4378">
        <f>IF($T4378="","",IF($X4378&gt;N($X4377),$X4378,""))</f>
        <v/>
      </c>
      <c r="X4378">
        <f>IF($T4378="",N($X4377),IF(MATCH($T4378,$T$6:$T$6005,0)=ROW()-5,N($X4377)+1,N($X4377)))</f>
        <v/>
      </c>
      <c r="Z4378">
        <f>IF($V4378="","",IF($AA4378&gt;N($AA4377),$AA4378,""))</f>
        <v/>
      </c>
      <c r="AA4378">
        <f>IF($V4378="",N($AA4377),IF(MATCH($V4378,$V$6:$V$6005,0)=ROW()-5,N($AA4377)+1,N($AA4377)))</f>
        <v/>
      </c>
    </row>
    <row r="4379" ht="21" customHeight="1" s="66">
      <c r="A4379" s="56" t="n"/>
      <c r="B4379" s="57" t="n"/>
      <c r="C4379" s="57" t="n"/>
      <c r="D4379" s="57" t="n"/>
      <c r="E4379" s="56" t="n"/>
      <c r="F4379" s="57" t="n"/>
      <c r="G4379" s="57" t="n"/>
      <c r="H4379" s="56" t="n"/>
      <c r="I4379" s="56" t="n"/>
      <c r="J4379" s="58" t="n"/>
      <c r="K4379" s="58" t="n"/>
      <c r="L4379" s="13">
        <f>IF(OR($A4379="",AND($J4379="",$K4379="")),"",ROUND(N($J4379)-N($K4379),2))</f>
        <v/>
      </c>
      <c r="M4379" s="13">
        <f>IF(OR($A4379="",AND($J4379="",$K4379="")),"",MIN($J4379,$K4379))</f>
        <v/>
      </c>
      <c r="Q4379">
        <f>IF($A4379="","",$D4379&amp;"("&amp;SUBSTITUTE($E4379," ","")&amp;")")</f>
        <v/>
      </c>
      <c r="R4379">
        <f>IF($A4379="","",$B4379&amp;" - "&amp;$C4379)</f>
        <v/>
      </c>
      <c r="S4379">
        <f>IF($A4379="","",$R4379&amp;"|"&amp;$Q4379)</f>
        <v/>
      </c>
      <c r="T4379">
        <f>IF($A4379="","",$S4379&amp;"|"&amp;$F4379)</f>
        <v/>
      </c>
      <c r="U4379">
        <f>IF($A4379="","",$R4379&amp;"("&amp;$E4379&amp;")")</f>
        <v/>
      </c>
      <c r="V4379">
        <f>IF($A4379="","",$F4379&amp;"|"&amp;$U4379&amp;"|"&amp;$D4379)</f>
        <v/>
      </c>
      <c r="W4379">
        <f>IF($T4379="","",IF($X4379&gt;N($X4378),$X4379,""))</f>
        <v/>
      </c>
      <c r="X4379">
        <f>IF($T4379="",N($X4378),IF(MATCH($T4379,$T$6:$T$6005,0)=ROW()-5,N($X4378)+1,N($X4378)))</f>
        <v/>
      </c>
      <c r="Z4379">
        <f>IF($V4379="","",IF($AA4379&gt;N($AA4378),$AA4379,""))</f>
        <v/>
      </c>
      <c r="AA4379">
        <f>IF($V4379="",N($AA4378),IF(MATCH($V4379,$V$6:$V$6005,0)=ROW()-5,N($AA4378)+1,N($AA4378)))</f>
        <v/>
      </c>
    </row>
    <row r="4380" ht="21" customHeight="1" s="66">
      <c r="A4380" s="56" t="n"/>
      <c r="B4380" s="57" t="n"/>
      <c r="C4380" s="57" t="n"/>
      <c r="D4380" s="57" t="n"/>
      <c r="E4380" s="56" t="n"/>
      <c r="F4380" s="57" t="n"/>
      <c r="G4380" s="57" t="n"/>
      <c r="H4380" s="56" t="n"/>
      <c r="I4380" s="56" t="n"/>
      <c r="J4380" s="58" t="n"/>
      <c r="K4380" s="58" t="n"/>
      <c r="L4380" s="13">
        <f>IF(OR($A4380="",AND($J4380="",$K4380="")),"",ROUND(N($J4380)-N($K4380),2))</f>
        <v/>
      </c>
      <c r="M4380" s="13">
        <f>IF(OR($A4380="",AND($J4380="",$K4380="")),"",MIN($J4380,$K4380))</f>
        <v/>
      </c>
      <c r="Q4380">
        <f>IF($A4380="","",$D4380&amp;"("&amp;SUBSTITUTE($E4380," ","")&amp;")")</f>
        <v/>
      </c>
      <c r="R4380">
        <f>IF($A4380="","",$B4380&amp;" - "&amp;$C4380)</f>
        <v/>
      </c>
      <c r="S4380">
        <f>IF($A4380="","",$R4380&amp;"|"&amp;$Q4380)</f>
        <v/>
      </c>
      <c r="T4380">
        <f>IF($A4380="","",$S4380&amp;"|"&amp;$F4380)</f>
        <v/>
      </c>
      <c r="U4380">
        <f>IF($A4380="","",$R4380&amp;"("&amp;$E4380&amp;")")</f>
        <v/>
      </c>
      <c r="V4380">
        <f>IF($A4380="","",$F4380&amp;"|"&amp;$U4380&amp;"|"&amp;$D4380)</f>
        <v/>
      </c>
      <c r="W4380">
        <f>IF($T4380="","",IF($X4380&gt;N($X4379),$X4380,""))</f>
        <v/>
      </c>
      <c r="X4380">
        <f>IF($T4380="",N($X4379),IF(MATCH($T4380,$T$6:$T$6005,0)=ROW()-5,N($X4379)+1,N($X4379)))</f>
        <v/>
      </c>
      <c r="Z4380">
        <f>IF($V4380="","",IF($AA4380&gt;N($AA4379),$AA4380,""))</f>
        <v/>
      </c>
      <c r="AA4380">
        <f>IF($V4380="",N($AA4379),IF(MATCH($V4380,$V$6:$V$6005,0)=ROW()-5,N($AA4379)+1,N($AA4379)))</f>
        <v/>
      </c>
    </row>
    <row r="4381" ht="21" customHeight="1" s="66">
      <c r="A4381" s="56" t="n"/>
      <c r="B4381" s="57" t="n"/>
      <c r="C4381" s="57" t="n"/>
      <c r="D4381" s="57" t="n"/>
      <c r="E4381" s="56" t="n"/>
      <c r="F4381" s="57" t="n"/>
      <c r="G4381" s="57" t="n"/>
      <c r="H4381" s="56" t="n"/>
      <c r="I4381" s="56" t="n"/>
      <c r="J4381" s="58" t="n"/>
      <c r="K4381" s="58" t="n"/>
      <c r="L4381" s="13">
        <f>IF(OR($A4381="",AND($J4381="",$K4381="")),"",ROUND(N($J4381)-N($K4381),2))</f>
        <v/>
      </c>
      <c r="M4381" s="13">
        <f>IF(OR($A4381="",AND($J4381="",$K4381="")),"",MIN($J4381,$K4381))</f>
        <v/>
      </c>
      <c r="Q4381">
        <f>IF($A4381="","",$D4381&amp;"("&amp;SUBSTITUTE($E4381," ","")&amp;")")</f>
        <v/>
      </c>
      <c r="R4381">
        <f>IF($A4381="","",$B4381&amp;" - "&amp;$C4381)</f>
        <v/>
      </c>
      <c r="S4381">
        <f>IF($A4381="","",$R4381&amp;"|"&amp;$Q4381)</f>
        <v/>
      </c>
      <c r="T4381">
        <f>IF($A4381="","",$S4381&amp;"|"&amp;$F4381)</f>
        <v/>
      </c>
      <c r="U4381">
        <f>IF($A4381="","",$R4381&amp;"("&amp;$E4381&amp;")")</f>
        <v/>
      </c>
      <c r="V4381">
        <f>IF($A4381="","",$F4381&amp;"|"&amp;$U4381&amp;"|"&amp;$D4381)</f>
        <v/>
      </c>
      <c r="W4381">
        <f>IF($T4381="","",IF($X4381&gt;N($X4380),$X4381,""))</f>
        <v/>
      </c>
      <c r="X4381">
        <f>IF($T4381="",N($X4380),IF(MATCH($T4381,$T$6:$T$6005,0)=ROW()-5,N($X4380)+1,N($X4380)))</f>
        <v/>
      </c>
      <c r="Z4381">
        <f>IF($V4381="","",IF($AA4381&gt;N($AA4380),$AA4381,""))</f>
        <v/>
      </c>
      <c r="AA4381">
        <f>IF($V4381="",N($AA4380),IF(MATCH($V4381,$V$6:$V$6005,0)=ROW()-5,N($AA4380)+1,N($AA4380)))</f>
        <v/>
      </c>
    </row>
    <row r="4382" ht="21" customHeight="1" s="66">
      <c r="A4382" s="56" t="n"/>
      <c r="B4382" s="57" t="n"/>
      <c r="C4382" s="57" t="n"/>
      <c r="D4382" s="57" t="n"/>
      <c r="E4382" s="56" t="n"/>
      <c r="F4382" s="57" t="n"/>
      <c r="G4382" s="57" t="n"/>
      <c r="H4382" s="56" t="n"/>
      <c r="I4382" s="56" t="n"/>
      <c r="J4382" s="58" t="n"/>
      <c r="K4382" s="58" t="n"/>
      <c r="L4382" s="13">
        <f>IF(OR($A4382="",AND($J4382="",$K4382="")),"",ROUND(N($J4382)-N($K4382),2))</f>
        <v/>
      </c>
      <c r="M4382" s="13">
        <f>IF(OR($A4382="",AND($J4382="",$K4382="")),"",MIN($J4382,$K4382))</f>
        <v/>
      </c>
      <c r="Q4382">
        <f>IF($A4382="","",$D4382&amp;"("&amp;SUBSTITUTE($E4382," ","")&amp;")")</f>
        <v/>
      </c>
      <c r="R4382">
        <f>IF($A4382="","",$B4382&amp;" - "&amp;$C4382)</f>
        <v/>
      </c>
      <c r="S4382">
        <f>IF($A4382="","",$R4382&amp;"|"&amp;$Q4382)</f>
        <v/>
      </c>
      <c r="T4382">
        <f>IF($A4382="","",$S4382&amp;"|"&amp;$F4382)</f>
        <v/>
      </c>
      <c r="U4382">
        <f>IF($A4382="","",$R4382&amp;"("&amp;$E4382&amp;")")</f>
        <v/>
      </c>
      <c r="V4382">
        <f>IF($A4382="","",$F4382&amp;"|"&amp;$U4382&amp;"|"&amp;$D4382)</f>
        <v/>
      </c>
      <c r="W4382">
        <f>IF($T4382="","",IF($X4382&gt;N($X4381),$X4382,""))</f>
        <v/>
      </c>
      <c r="X4382">
        <f>IF($T4382="",N($X4381),IF(MATCH($T4382,$T$6:$T$6005,0)=ROW()-5,N($X4381)+1,N($X4381)))</f>
        <v/>
      </c>
      <c r="Z4382">
        <f>IF($V4382="","",IF($AA4382&gt;N($AA4381),$AA4382,""))</f>
        <v/>
      </c>
      <c r="AA4382">
        <f>IF($V4382="",N($AA4381),IF(MATCH($V4382,$V$6:$V$6005,0)=ROW()-5,N($AA4381)+1,N($AA4381)))</f>
        <v/>
      </c>
    </row>
    <row r="4383" ht="21" customHeight="1" s="66">
      <c r="A4383" s="56" t="n"/>
      <c r="B4383" s="57" t="n"/>
      <c r="C4383" s="57" t="n"/>
      <c r="D4383" s="57" t="n"/>
      <c r="E4383" s="56" t="n"/>
      <c r="F4383" s="57" t="n"/>
      <c r="G4383" s="57" t="n"/>
      <c r="H4383" s="56" t="n"/>
      <c r="I4383" s="56" t="n"/>
      <c r="J4383" s="58" t="n"/>
      <c r="K4383" s="58" t="n"/>
      <c r="L4383" s="13">
        <f>IF(OR($A4383="",AND($J4383="",$K4383="")),"",ROUND(N($J4383)-N($K4383),2))</f>
        <v/>
      </c>
      <c r="M4383" s="13">
        <f>IF(OR($A4383="",AND($J4383="",$K4383="")),"",MIN($J4383,$K4383))</f>
        <v/>
      </c>
      <c r="Q4383">
        <f>IF($A4383="","",$D4383&amp;"("&amp;SUBSTITUTE($E4383," ","")&amp;")")</f>
        <v/>
      </c>
      <c r="R4383">
        <f>IF($A4383="","",$B4383&amp;" - "&amp;$C4383)</f>
        <v/>
      </c>
      <c r="S4383">
        <f>IF($A4383="","",$R4383&amp;"|"&amp;$Q4383)</f>
        <v/>
      </c>
      <c r="T4383">
        <f>IF($A4383="","",$S4383&amp;"|"&amp;$F4383)</f>
        <v/>
      </c>
      <c r="U4383">
        <f>IF($A4383="","",$R4383&amp;"("&amp;$E4383&amp;")")</f>
        <v/>
      </c>
      <c r="V4383">
        <f>IF($A4383="","",$F4383&amp;"|"&amp;$U4383&amp;"|"&amp;$D4383)</f>
        <v/>
      </c>
      <c r="W4383">
        <f>IF($T4383="","",IF($X4383&gt;N($X4382),$X4383,""))</f>
        <v/>
      </c>
      <c r="X4383">
        <f>IF($T4383="",N($X4382),IF(MATCH($T4383,$T$6:$T$6005,0)=ROW()-5,N($X4382)+1,N($X4382)))</f>
        <v/>
      </c>
      <c r="Z4383">
        <f>IF($V4383="","",IF($AA4383&gt;N($AA4382),$AA4383,""))</f>
        <v/>
      </c>
      <c r="AA4383">
        <f>IF($V4383="",N($AA4382),IF(MATCH($V4383,$V$6:$V$6005,0)=ROW()-5,N($AA4382)+1,N($AA4382)))</f>
        <v/>
      </c>
    </row>
    <row r="4384" ht="21" customHeight="1" s="66">
      <c r="A4384" s="56" t="n"/>
      <c r="B4384" s="57" t="n"/>
      <c r="C4384" s="57" t="n"/>
      <c r="D4384" s="57" t="n"/>
      <c r="E4384" s="56" t="n"/>
      <c r="F4384" s="57" t="n"/>
      <c r="G4384" s="57" t="n"/>
      <c r="H4384" s="56" t="n"/>
      <c r="I4384" s="56" t="n"/>
      <c r="J4384" s="58" t="n"/>
      <c r="K4384" s="58" t="n"/>
      <c r="L4384" s="13">
        <f>IF(OR($A4384="",AND($J4384="",$K4384="")),"",ROUND(N($J4384)-N($K4384),2))</f>
        <v/>
      </c>
      <c r="M4384" s="13">
        <f>IF(OR($A4384="",AND($J4384="",$K4384="")),"",MIN($J4384,$K4384))</f>
        <v/>
      </c>
      <c r="Q4384">
        <f>IF($A4384="","",$D4384&amp;"("&amp;SUBSTITUTE($E4384," ","")&amp;")")</f>
        <v/>
      </c>
      <c r="R4384">
        <f>IF($A4384="","",$B4384&amp;" - "&amp;$C4384)</f>
        <v/>
      </c>
      <c r="S4384">
        <f>IF($A4384="","",$R4384&amp;"|"&amp;$Q4384)</f>
        <v/>
      </c>
      <c r="T4384">
        <f>IF($A4384="","",$S4384&amp;"|"&amp;$F4384)</f>
        <v/>
      </c>
      <c r="U4384">
        <f>IF($A4384="","",$R4384&amp;"("&amp;$E4384&amp;")")</f>
        <v/>
      </c>
      <c r="V4384">
        <f>IF($A4384="","",$F4384&amp;"|"&amp;$U4384&amp;"|"&amp;$D4384)</f>
        <v/>
      </c>
      <c r="W4384">
        <f>IF($T4384="","",IF($X4384&gt;N($X4383),$X4384,""))</f>
        <v/>
      </c>
      <c r="X4384">
        <f>IF($T4384="",N($X4383),IF(MATCH($T4384,$T$6:$T$6005,0)=ROW()-5,N($X4383)+1,N($X4383)))</f>
        <v/>
      </c>
      <c r="Z4384">
        <f>IF($V4384="","",IF($AA4384&gt;N($AA4383),$AA4384,""))</f>
        <v/>
      </c>
      <c r="AA4384">
        <f>IF($V4384="",N($AA4383),IF(MATCH($V4384,$V$6:$V$6005,0)=ROW()-5,N($AA4383)+1,N($AA4383)))</f>
        <v/>
      </c>
    </row>
    <row r="4385" ht="21" customHeight="1" s="66">
      <c r="A4385" s="56" t="n"/>
      <c r="B4385" s="57" t="n"/>
      <c r="C4385" s="57" t="n"/>
      <c r="D4385" s="57" t="n"/>
      <c r="E4385" s="56" t="n"/>
      <c r="F4385" s="57" t="n"/>
      <c r="G4385" s="57" t="n"/>
      <c r="H4385" s="56" t="n"/>
      <c r="I4385" s="56" t="n"/>
      <c r="J4385" s="58" t="n"/>
      <c r="K4385" s="58" t="n"/>
      <c r="L4385" s="13">
        <f>IF(OR($A4385="",AND($J4385="",$K4385="")),"",ROUND(N($J4385)-N($K4385),2))</f>
        <v/>
      </c>
      <c r="M4385" s="13">
        <f>IF(OR($A4385="",AND($J4385="",$K4385="")),"",MIN($J4385,$K4385))</f>
        <v/>
      </c>
      <c r="Q4385">
        <f>IF($A4385="","",$D4385&amp;"("&amp;SUBSTITUTE($E4385," ","")&amp;")")</f>
        <v/>
      </c>
      <c r="R4385">
        <f>IF($A4385="","",$B4385&amp;" - "&amp;$C4385)</f>
        <v/>
      </c>
      <c r="S4385">
        <f>IF($A4385="","",$R4385&amp;"|"&amp;$Q4385)</f>
        <v/>
      </c>
      <c r="T4385">
        <f>IF($A4385="","",$S4385&amp;"|"&amp;$F4385)</f>
        <v/>
      </c>
      <c r="U4385">
        <f>IF($A4385="","",$R4385&amp;"("&amp;$E4385&amp;")")</f>
        <v/>
      </c>
      <c r="V4385">
        <f>IF($A4385="","",$F4385&amp;"|"&amp;$U4385&amp;"|"&amp;$D4385)</f>
        <v/>
      </c>
      <c r="W4385">
        <f>IF($T4385="","",IF($X4385&gt;N($X4384),$X4385,""))</f>
        <v/>
      </c>
      <c r="X4385">
        <f>IF($T4385="",N($X4384),IF(MATCH($T4385,$T$6:$T$6005,0)=ROW()-5,N($X4384)+1,N($X4384)))</f>
        <v/>
      </c>
      <c r="Z4385">
        <f>IF($V4385="","",IF($AA4385&gt;N($AA4384),$AA4385,""))</f>
        <v/>
      </c>
      <c r="AA4385">
        <f>IF($V4385="",N($AA4384),IF(MATCH($V4385,$V$6:$V$6005,0)=ROW()-5,N($AA4384)+1,N($AA4384)))</f>
        <v/>
      </c>
    </row>
    <row r="4386" ht="21" customHeight="1" s="66">
      <c r="A4386" s="56" t="n"/>
      <c r="B4386" s="57" t="n"/>
      <c r="C4386" s="57" t="n"/>
      <c r="D4386" s="57" t="n"/>
      <c r="E4386" s="56" t="n"/>
      <c r="F4386" s="57" t="n"/>
      <c r="G4386" s="57" t="n"/>
      <c r="H4386" s="56" t="n"/>
      <c r="I4386" s="56" t="n"/>
      <c r="J4386" s="58" t="n"/>
      <c r="K4386" s="58" t="n"/>
      <c r="L4386" s="13">
        <f>IF(OR($A4386="",AND($J4386="",$K4386="")),"",ROUND(N($J4386)-N($K4386),2))</f>
        <v/>
      </c>
      <c r="M4386" s="13">
        <f>IF(OR($A4386="",AND($J4386="",$K4386="")),"",MIN($J4386,$K4386))</f>
        <v/>
      </c>
      <c r="Q4386">
        <f>IF($A4386="","",$D4386&amp;"("&amp;SUBSTITUTE($E4386," ","")&amp;")")</f>
        <v/>
      </c>
      <c r="R4386">
        <f>IF($A4386="","",$B4386&amp;" - "&amp;$C4386)</f>
        <v/>
      </c>
      <c r="S4386">
        <f>IF($A4386="","",$R4386&amp;"|"&amp;$Q4386)</f>
        <v/>
      </c>
      <c r="T4386">
        <f>IF($A4386="","",$S4386&amp;"|"&amp;$F4386)</f>
        <v/>
      </c>
      <c r="U4386">
        <f>IF($A4386="","",$R4386&amp;"("&amp;$E4386&amp;")")</f>
        <v/>
      </c>
      <c r="V4386">
        <f>IF($A4386="","",$F4386&amp;"|"&amp;$U4386&amp;"|"&amp;$D4386)</f>
        <v/>
      </c>
      <c r="W4386">
        <f>IF($T4386="","",IF($X4386&gt;N($X4385),$X4386,""))</f>
        <v/>
      </c>
      <c r="X4386">
        <f>IF($T4386="",N($X4385),IF(MATCH($T4386,$T$6:$T$6005,0)=ROW()-5,N($X4385)+1,N($X4385)))</f>
        <v/>
      </c>
      <c r="Z4386">
        <f>IF($V4386="","",IF($AA4386&gt;N($AA4385),$AA4386,""))</f>
        <v/>
      </c>
      <c r="AA4386">
        <f>IF($V4386="",N($AA4385),IF(MATCH($V4386,$V$6:$V$6005,0)=ROW()-5,N($AA4385)+1,N($AA4385)))</f>
        <v/>
      </c>
    </row>
    <row r="4387" ht="21" customHeight="1" s="66">
      <c r="A4387" s="56" t="n"/>
      <c r="B4387" s="57" t="n"/>
      <c r="C4387" s="57" t="n"/>
      <c r="D4387" s="57" t="n"/>
      <c r="E4387" s="56" t="n"/>
      <c r="F4387" s="57" t="n"/>
      <c r="G4387" s="57" t="n"/>
      <c r="H4387" s="56" t="n"/>
      <c r="I4387" s="56" t="n"/>
      <c r="J4387" s="58" t="n"/>
      <c r="K4387" s="58" t="n"/>
      <c r="L4387" s="13">
        <f>IF(OR($A4387="",AND($J4387="",$K4387="")),"",ROUND(N($J4387)-N($K4387),2))</f>
        <v/>
      </c>
      <c r="M4387" s="13">
        <f>IF(OR($A4387="",AND($J4387="",$K4387="")),"",MIN($J4387,$K4387))</f>
        <v/>
      </c>
      <c r="Q4387">
        <f>IF($A4387="","",$D4387&amp;"("&amp;SUBSTITUTE($E4387," ","")&amp;")")</f>
        <v/>
      </c>
      <c r="R4387">
        <f>IF($A4387="","",$B4387&amp;" - "&amp;$C4387)</f>
        <v/>
      </c>
      <c r="S4387">
        <f>IF($A4387="","",$R4387&amp;"|"&amp;$Q4387)</f>
        <v/>
      </c>
      <c r="T4387">
        <f>IF($A4387="","",$S4387&amp;"|"&amp;$F4387)</f>
        <v/>
      </c>
      <c r="U4387">
        <f>IF($A4387="","",$R4387&amp;"("&amp;$E4387&amp;")")</f>
        <v/>
      </c>
      <c r="V4387">
        <f>IF($A4387="","",$F4387&amp;"|"&amp;$U4387&amp;"|"&amp;$D4387)</f>
        <v/>
      </c>
      <c r="W4387">
        <f>IF($T4387="","",IF($X4387&gt;N($X4386),$X4387,""))</f>
        <v/>
      </c>
      <c r="X4387">
        <f>IF($T4387="",N($X4386),IF(MATCH($T4387,$T$6:$T$6005,0)=ROW()-5,N($X4386)+1,N($X4386)))</f>
        <v/>
      </c>
      <c r="Z4387">
        <f>IF($V4387="","",IF($AA4387&gt;N($AA4386),$AA4387,""))</f>
        <v/>
      </c>
      <c r="AA4387">
        <f>IF($V4387="",N($AA4386),IF(MATCH($V4387,$V$6:$V$6005,0)=ROW()-5,N($AA4386)+1,N($AA4386)))</f>
        <v/>
      </c>
    </row>
    <row r="4388" ht="21" customHeight="1" s="66">
      <c r="A4388" s="56" t="n"/>
      <c r="B4388" s="57" t="n"/>
      <c r="C4388" s="57" t="n"/>
      <c r="D4388" s="57" t="n"/>
      <c r="E4388" s="56" t="n"/>
      <c r="F4388" s="57" t="n"/>
      <c r="G4388" s="57" t="n"/>
      <c r="H4388" s="56" t="n"/>
      <c r="I4388" s="56" t="n"/>
      <c r="J4388" s="58" t="n"/>
      <c r="K4388" s="58" t="n"/>
      <c r="L4388" s="13">
        <f>IF(OR($A4388="",AND($J4388="",$K4388="")),"",ROUND(N($J4388)-N($K4388),2))</f>
        <v/>
      </c>
      <c r="M4388" s="13">
        <f>IF(OR($A4388="",AND($J4388="",$K4388="")),"",MIN($J4388,$K4388))</f>
        <v/>
      </c>
      <c r="Q4388">
        <f>IF($A4388="","",$D4388&amp;"("&amp;SUBSTITUTE($E4388," ","")&amp;")")</f>
        <v/>
      </c>
      <c r="R4388">
        <f>IF($A4388="","",$B4388&amp;" - "&amp;$C4388)</f>
        <v/>
      </c>
      <c r="S4388">
        <f>IF($A4388="","",$R4388&amp;"|"&amp;$Q4388)</f>
        <v/>
      </c>
      <c r="T4388">
        <f>IF($A4388="","",$S4388&amp;"|"&amp;$F4388)</f>
        <v/>
      </c>
      <c r="U4388">
        <f>IF($A4388="","",$R4388&amp;"("&amp;$E4388&amp;")")</f>
        <v/>
      </c>
      <c r="V4388">
        <f>IF($A4388="","",$F4388&amp;"|"&amp;$U4388&amp;"|"&amp;$D4388)</f>
        <v/>
      </c>
      <c r="W4388">
        <f>IF($T4388="","",IF($X4388&gt;N($X4387),$X4388,""))</f>
        <v/>
      </c>
      <c r="X4388">
        <f>IF($T4388="",N($X4387),IF(MATCH($T4388,$T$6:$T$6005,0)=ROW()-5,N($X4387)+1,N($X4387)))</f>
        <v/>
      </c>
      <c r="Z4388">
        <f>IF($V4388="","",IF($AA4388&gt;N($AA4387),$AA4388,""))</f>
        <v/>
      </c>
      <c r="AA4388">
        <f>IF($V4388="",N($AA4387),IF(MATCH($V4388,$V$6:$V$6005,0)=ROW()-5,N($AA4387)+1,N($AA4387)))</f>
        <v/>
      </c>
    </row>
    <row r="4389" ht="21" customHeight="1" s="66">
      <c r="A4389" s="56" t="n"/>
      <c r="B4389" s="57" t="n"/>
      <c r="C4389" s="57" t="n"/>
      <c r="D4389" s="57" t="n"/>
      <c r="E4389" s="56" t="n"/>
      <c r="F4389" s="57" t="n"/>
      <c r="G4389" s="57" t="n"/>
      <c r="H4389" s="56" t="n"/>
      <c r="I4389" s="56" t="n"/>
      <c r="J4389" s="58" t="n"/>
      <c r="K4389" s="58" t="n"/>
      <c r="L4389" s="13">
        <f>IF(OR($A4389="",AND($J4389="",$K4389="")),"",ROUND(N($J4389)-N($K4389),2))</f>
        <v/>
      </c>
      <c r="M4389" s="13">
        <f>IF(OR($A4389="",AND($J4389="",$K4389="")),"",MIN($J4389,$K4389))</f>
        <v/>
      </c>
      <c r="Q4389">
        <f>IF($A4389="","",$D4389&amp;"("&amp;SUBSTITUTE($E4389," ","")&amp;")")</f>
        <v/>
      </c>
      <c r="R4389">
        <f>IF($A4389="","",$B4389&amp;" - "&amp;$C4389)</f>
        <v/>
      </c>
      <c r="S4389">
        <f>IF($A4389="","",$R4389&amp;"|"&amp;$Q4389)</f>
        <v/>
      </c>
      <c r="T4389">
        <f>IF($A4389="","",$S4389&amp;"|"&amp;$F4389)</f>
        <v/>
      </c>
      <c r="U4389">
        <f>IF($A4389="","",$R4389&amp;"("&amp;$E4389&amp;")")</f>
        <v/>
      </c>
      <c r="V4389">
        <f>IF($A4389="","",$F4389&amp;"|"&amp;$U4389&amp;"|"&amp;$D4389)</f>
        <v/>
      </c>
      <c r="W4389">
        <f>IF($T4389="","",IF($X4389&gt;N($X4388),$X4389,""))</f>
        <v/>
      </c>
      <c r="X4389">
        <f>IF($T4389="",N($X4388),IF(MATCH($T4389,$T$6:$T$6005,0)=ROW()-5,N($X4388)+1,N($X4388)))</f>
        <v/>
      </c>
      <c r="Z4389">
        <f>IF($V4389="","",IF($AA4389&gt;N($AA4388),$AA4389,""))</f>
        <v/>
      </c>
      <c r="AA4389">
        <f>IF($V4389="",N($AA4388),IF(MATCH($V4389,$V$6:$V$6005,0)=ROW()-5,N($AA4388)+1,N($AA4388)))</f>
        <v/>
      </c>
    </row>
    <row r="4390" ht="21" customHeight="1" s="66">
      <c r="A4390" s="56" t="n"/>
      <c r="B4390" s="57" t="n"/>
      <c r="C4390" s="57" t="n"/>
      <c r="D4390" s="57" t="n"/>
      <c r="E4390" s="56" t="n"/>
      <c r="F4390" s="57" t="n"/>
      <c r="G4390" s="57" t="n"/>
      <c r="H4390" s="56" t="n"/>
      <c r="I4390" s="56" t="n"/>
      <c r="J4390" s="58" t="n"/>
      <c r="K4390" s="58" t="n"/>
      <c r="L4390" s="13">
        <f>IF(OR($A4390="",AND($J4390="",$K4390="")),"",ROUND(N($J4390)-N($K4390),2))</f>
        <v/>
      </c>
      <c r="M4390" s="13">
        <f>IF(OR($A4390="",AND($J4390="",$K4390="")),"",MIN($J4390,$K4390))</f>
        <v/>
      </c>
      <c r="Q4390">
        <f>IF($A4390="","",$D4390&amp;"("&amp;SUBSTITUTE($E4390," ","")&amp;")")</f>
        <v/>
      </c>
      <c r="R4390">
        <f>IF($A4390="","",$B4390&amp;" - "&amp;$C4390)</f>
        <v/>
      </c>
      <c r="S4390">
        <f>IF($A4390="","",$R4390&amp;"|"&amp;$Q4390)</f>
        <v/>
      </c>
      <c r="T4390">
        <f>IF($A4390="","",$S4390&amp;"|"&amp;$F4390)</f>
        <v/>
      </c>
      <c r="U4390">
        <f>IF($A4390="","",$R4390&amp;"("&amp;$E4390&amp;")")</f>
        <v/>
      </c>
      <c r="V4390">
        <f>IF($A4390="","",$F4390&amp;"|"&amp;$U4390&amp;"|"&amp;$D4390)</f>
        <v/>
      </c>
      <c r="W4390">
        <f>IF($T4390="","",IF($X4390&gt;N($X4389),$X4390,""))</f>
        <v/>
      </c>
      <c r="X4390">
        <f>IF($T4390="",N($X4389),IF(MATCH($T4390,$T$6:$T$6005,0)=ROW()-5,N($X4389)+1,N($X4389)))</f>
        <v/>
      </c>
      <c r="Z4390">
        <f>IF($V4390="","",IF($AA4390&gt;N($AA4389),$AA4390,""))</f>
        <v/>
      </c>
      <c r="AA4390">
        <f>IF($V4390="",N($AA4389),IF(MATCH($V4390,$V$6:$V$6005,0)=ROW()-5,N($AA4389)+1,N($AA4389)))</f>
        <v/>
      </c>
    </row>
    <row r="4391" ht="21" customHeight="1" s="66">
      <c r="A4391" s="56" t="n"/>
      <c r="B4391" s="57" t="n"/>
      <c r="C4391" s="57" t="n"/>
      <c r="D4391" s="57" t="n"/>
      <c r="E4391" s="56" t="n"/>
      <c r="F4391" s="57" t="n"/>
      <c r="G4391" s="57" t="n"/>
      <c r="H4391" s="56" t="n"/>
      <c r="I4391" s="56" t="n"/>
      <c r="J4391" s="58" t="n"/>
      <c r="K4391" s="58" t="n"/>
      <c r="L4391" s="13">
        <f>IF(OR($A4391="",AND($J4391="",$K4391="")),"",ROUND(N($J4391)-N($K4391),2))</f>
        <v/>
      </c>
      <c r="M4391" s="13">
        <f>IF(OR($A4391="",AND($J4391="",$K4391="")),"",MIN($J4391,$K4391))</f>
        <v/>
      </c>
      <c r="Q4391">
        <f>IF($A4391="","",$D4391&amp;"("&amp;SUBSTITUTE($E4391," ","")&amp;")")</f>
        <v/>
      </c>
      <c r="R4391">
        <f>IF($A4391="","",$B4391&amp;" - "&amp;$C4391)</f>
        <v/>
      </c>
      <c r="S4391">
        <f>IF($A4391="","",$R4391&amp;"|"&amp;$Q4391)</f>
        <v/>
      </c>
      <c r="T4391">
        <f>IF($A4391="","",$S4391&amp;"|"&amp;$F4391)</f>
        <v/>
      </c>
      <c r="U4391">
        <f>IF($A4391="","",$R4391&amp;"("&amp;$E4391&amp;")")</f>
        <v/>
      </c>
      <c r="V4391">
        <f>IF($A4391="","",$F4391&amp;"|"&amp;$U4391&amp;"|"&amp;$D4391)</f>
        <v/>
      </c>
      <c r="W4391">
        <f>IF($T4391="","",IF($X4391&gt;N($X4390),$X4391,""))</f>
        <v/>
      </c>
      <c r="X4391">
        <f>IF($T4391="",N($X4390),IF(MATCH($T4391,$T$6:$T$6005,0)=ROW()-5,N($X4390)+1,N($X4390)))</f>
        <v/>
      </c>
      <c r="Z4391">
        <f>IF($V4391="","",IF($AA4391&gt;N($AA4390),$AA4391,""))</f>
        <v/>
      </c>
      <c r="AA4391">
        <f>IF($V4391="",N($AA4390),IF(MATCH($V4391,$V$6:$V$6005,0)=ROW()-5,N($AA4390)+1,N($AA4390)))</f>
        <v/>
      </c>
    </row>
    <row r="4392" ht="21" customHeight="1" s="66">
      <c r="A4392" s="56" t="n"/>
      <c r="B4392" s="57" t="n"/>
      <c r="C4392" s="57" t="n"/>
      <c r="D4392" s="57" t="n"/>
      <c r="E4392" s="56" t="n"/>
      <c r="F4392" s="57" t="n"/>
      <c r="G4392" s="57" t="n"/>
      <c r="H4392" s="56" t="n"/>
      <c r="I4392" s="56" t="n"/>
      <c r="J4392" s="58" t="n"/>
      <c r="K4392" s="58" t="n"/>
      <c r="L4392" s="13">
        <f>IF(OR($A4392="",AND($J4392="",$K4392="")),"",ROUND(N($J4392)-N($K4392),2))</f>
        <v/>
      </c>
      <c r="M4392" s="13">
        <f>IF(OR($A4392="",AND($J4392="",$K4392="")),"",MIN($J4392,$K4392))</f>
        <v/>
      </c>
      <c r="Q4392">
        <f>IF($A4392="","",$D4392&amp;"("&amp;SUBSTITUTE($E4392," ","")&amp;")")</f>
        <v/>
      </c>
      <c r="R4392">
        <f>IF($A4392="","",$B4392&amp;" - "&amp;$C4392)</f>
        <v/>
      </c>
      <c r="S4392">
        <f>IF($A4392="","",$R4392&amp;"|"&amp;$Q4392)</f>
        <v/>
      </c>
      <c r="T4392">
        <f>IF($A4392="","",$S4392&amp;"|"&amp;$F4392)</f>
        <v/>
      </c>
      <c r="U4392">
        <f>IF($A4392="","",$R4392&amp;"("&amp;$E4392&amp;")")</f>
        <v/>
      </c>
      <c r="V4392">
        <f>IF($A4392="","",$F4392&amp;"|"&amp;$U4392&amp;"|"&amp;$D4392)</f>
        <v/>
      </c>
      <c r="W4392">
        <f>IF($T4392="","",IF($X4392&gt;N($X4391),$X4392,""))</f>
        <v/>
      </c>
      <c r="X4392">
        <f>IF($T4392="",N($X4391),IF(MATCH($T4392,$T$6:$T$6005,0)=ROW()-5,N($X4391)+1,N($X4391)))</f>
        <v/>
      </c>
      <c r="Z4392">
        <f>IF($V4392="","",IF($AA4392&gt;N($AA4391),$AA4392,""))</f>
        <v/>
      </c>
      <c r="AA4392">
        <f>IF($V4392="",N($AA4391),IF(MATCH($V4392,$V$6:$V$6005,0)=ROW()-5,N($AA4391)+1,N($AA4391)))</f>
        <v/>
      </c>
    </row>
    <row r="4393" ht="21" customHeight="1" s="66">
      <c r="A4393" s="56" t="n"/>
      <c r="B4393" s="57" t="n"/>
      <c r="C4393" s="57" t="n"/>
      <c r="D4393" s="57" t="n"/>
      <c r="E4393" s="56" t="n"/>
      <c r="F4393" s="57" t="n"/>
      <c r="G4393" s="57" t="n"/>
      <c r="H4393" s="56" t="n"/>
      <c r="I4393" s="56" t="n"/>
      <c r="J4393" s="58" t="n"/>
      <c r="K4393" s="58" t="n"/>
      <c r="L4393" s="13">
        <f>IF(OR($A4393="",AND($J4393="",$K4393="")),"",ROUND(N($J4393)-N($K4393),2))</f>
        <v/>
      </c>
      <c r="M4393" s="13">
        <f>IF(OR($A4393="",AND($J4393="",$K4393="")),"",MIN($J4393,$K4393))</f>
        <v/>
      </c>
      <c r="Q4393">
        <f>IF($A4393="","",$D4393&amp;"("&amp;SUBSTITUTE($E4393," ","")&amp;")")</f>
        <v/>
      </c>
      <c r="R4393">
        <f>IF($A4393="","",$B4393&amp;" - "&amp;$C4393)</f>
        <v/>
      </c>
      <c r="S4393">
        <f>IF($A4393="","",$R4393&amp;"|"&amp;$Q4393)</f>
        <v/>
      </c>
      <c r="T4393">
        <f>IF($A4393="","",$S4393&amp;"|"&amp;$F4393)</f>
        <v/>
      </c>
      <c r="U4393">
        <f>IF($A4393="","",$R4393&amp;"("&amp;$E4393&amp;")")</f>
        <v/>
      </c>
      <c r="V4393">
        <f>IF($A4393="","",$F4393&amp;"|"&amp;$U4393&amp;"|"&amp;$D4393)</f>
        <v/>
      </c>
      <c r="W4393">
        <f>IF($T4393="","",IF($X4393&gt;N($X4392),$X4393,""))</f>
        <v/>
      </c>
      <c r="X4393">
        <f>IF($T4393="",N($X4392),IF(MATCH($T4393,$T$6:$T$6005,0)=ROW()-5,N($X4392)+1,N($X4392)))</f>
        <v/>
      </c>
      <c r="Z4393">
        <f>IF($V4393="","",IF($AA4393&gt;N($AA4392),$AA4393,""))</f>
        <v/>
      </c>
      <c r="AA4393">
        <f>IF($V4393="",N($AA4392),IF(MATCH($V4393,$V$6:$V$6005,0)=ROW()-5,N($AA4392)+1,N($AA4392)))</f>
        <v/>
      </c>
    </row>
    <row r="4394" ht="21" customHeight="1" s="66">
      <c r="A4394" s="56" t="n"/>
      <c r="B4394" s="57" t="n"/>
      <c r="C4394" s="57" t="n"/>
      <c r="D4394" s="57" t="n"/>
      <c r="E4394" s="56" t="n"/>
      <c r="F4394" s="57" t="n"/>
      <c r="G4394" s="57" t="n"/>
      <c r="H4394" s="56" t="n"/>
      <c r="I4394" s="56" t="n"/>
      <c r="J4394" s="58" t="n"/>
      <c r="K4394" s="58" t="n"/>
      <c r="L4394" s="13">
        <f>IF(OR($A4394="",AND($J4394="",$K4394="")),"",ROUND(N($J4394)-N($K4394),2))</f>
        <v/>
      </c>
      <c r="M4394" s="13">
        <f>IF(OR($A4394="",AND($J4394="",$K4394="")),"",MIN($J4394,$K4394))</f>
        <v/>
      </c>
      <c r="Q4394">
        <f>IF($A4394="","",$D4394&amp;"("&amp;SUBSTITUTE($E4394," ","")&amp;")")</f>
        <v/>
      </c>
      <c r="R4394">
        <f>IF($A4394="","",$B4394&amp;" - "&amp;$C4394)</f>
        <v/>
      </c>
      <c r="S4394">
        <f>IF($A4394="","",$R4394&amp;"|"&amp;$Q4394)</f>
        <v/>
      </c>
      <c r="T4394">
        <f>IF($A4394="","",$S4394&amp;"|"&amp;$F4394)</f>
        <v/>
      </c>
      <c r="U4394">
        <f>IF($A4394="","",$R4394&amp;"("&amp;$E4394&amp;")")</f>
        <v/>
      </c>
      <c r="V4394">
        <f>IF($A4394="","",$F4394&amp;"|"&amp;$U4394&amp;"|"&amp;$D4394)</f>
        <v/>
      </c>
      <c r="W4394">
        <f>IF($T4394="","",IF($X4394&gt;N($X4393),$X4394,""))</f>
        <v/>
      </c>
      <c r="X4394">
        <f>IF($T4394="",N($X4393),IF(MATCH($T4394,$T$6:$T$6005,0)=ROW()-5,N($X4393)+1,N($X4393)))</f>
        <v/>
      </c>
      <c r="Z4394">
        <f>IF($V4394="","",IF($AA4394&gt;N($AA4393),$AA4394,""))</f>
        <v/>
      </c>
      <c r="AA4394">
        <f>IF($V4394="",N($AA4393),IF(MATCH($V4394,$V$6:$V$6005,0)=ROW()-5,N($AA4393)+1,N($AA4393)))</f>
        <v/>
      </c>
    </row>
    <row r="4395" ht="21" customHeight="1" s="66">
      <c r="A4395" s="56" t="n"/>
      <c r="B4395" s="57" t="n"/>
      <c r="C4395" s="57" t="n"/>
      <c r="D4395" s="57" t="n"/>
      <c r="E4395" s="56" t="n"/>
      <c r="F4395" s="57" t="n"/>
      <c r="G4395" s="57" t="n"/>
      <c r="H4395" s="56" t="n"/>
      <c r="I4395" s="56" t="n"/>
      <c r="J4395" s="58" t="n"/>
      <c r="K4395" s="58" t="n"/>
      <c r="L4395" s="13">
        <f>IF(OR($A4395="",AND($J4395="",$K4395="")),"",ROUND(N($J4395)-N($K4395),2))</f>
        <v/>
      </c>
      <c r="M4395" s="13">
        <f>IF(OR($A4395="",AND($J4395="",$K4395="")),"",MIN($J4395,$K4395))</f>
        <v/>
      </c>
      <c r="Q4395">
        <f>IF($A4395="","",$D4395&amp;"("&amp;SUBSTITUTE($E4395," ","")&amp;")")</f>
        <v/>
      </c>
      <c r="R4395">
        <f>IF($A4395="","",$B4395&amp;" - "&amp;$C4395)</f>
        <v/>
      </c>
      <c r="S4395">
        <f>IF($A4395="","",$R4395&amp;"|"&amp;$Q4395)</f>
        <v/>
      </c>
      <c r="T4395">
        <f>IF($A4395="","",$S4395&amp;"|"&amp;$F4395)</f>
        <v/>
      </c>
      <c r="U4395">
        <f>IF($A4395="","",$R4395&amp;"("&amp;$E4395&amp;")")</f>
        <v/>
      </c>
      <c r="V4395">
        <f>IF($A4395="","",$F4395&amp;"|"&amp;$U4395&amp;"|"&amp;$D4395)</f>
        <v/>
      </c>
      <c r="W4395">
        <f>IF($T4395="","",IF($X4395&gt;N($X4394),$X4395,""))</f>
        <v/>
      </c>
      <c r="X4395">
        <f>IF($T4395="",N($X4394),IF(MATCH($T4395,$T$6:$T$6005,0)=ROW()-5,N($X4394)+1,N($X4394)))</f>
        <v/>
      </c>
      <c r="Z4395">
        <f>IF($V4395="","",IF($AA4395&gt;N($AA4394),$AA4395,""))</f>
        <v/>
      </c>
      <c r="AA4395">
        <f>IF($V4395="",N($AA4394),IF(MATCH($V4395,$V$6:$V$6005,0)=ROW()-5,N($AA4394)+1,N($AA4394)))</f>
        <v/>
      </c>
    </row>
    <row r="4396" ht="21" customHeight="1" s="66">
      <c r="A4396" s="56" t="n"/>
      <c r="B4396" s="57" t="n"/>
      <c r="C4396" s="57" t="n"/>
      <c r="D4396" s="57" t="n"/>
      <c r="E4396" s="56" t="n"/>
      <c r="F4396" s="57" t="n"/>
      <c r="G4396" s="57" t="n"/>
      <c r="H4396" s="56" t="n"/>
      <c r="I4396" s="56" t="n"/>
      <c r="J4396" s="58" t="n"/>
      <c r="K4396" s="58" t="n"/>
      <c r="L4396" s="13">
        <f>IF(OR($A4396="",AND($J4396="",$K4396="")),"",ROUND(N($J4396)-N($K4396),2))</f>
        <v/>
      </c>
      <c r="M4396" s="13">
        <f>IF(OR($A4396="",AND($J4396="",$K4396="")),"",MIN($J4396,$K4396))</f>
        <v/>
      </c>
      <c r="Q4396">
        <f>IF($A4396="","",$D4396&amp;"("&amp;SUBSTITUTE($E4396," ","")&amp;")")</f>
        <v/>
      </c>
      <c r="R4396">
        <f>IF($A4396="","",$B4396&amp;" - "&amp;$C4396)</f>
        <v/>
      </c>
      <c r="S4396">
        <f>IF($A4396="","",$R4396&amp;"|"&amp;$Q4396)</f>
        <v/>
      </c>
      <c r="T4396">
        <f>IF($A4396="","",$S4396&amp;"|"&amp;$F4396)</f>
        <v/>
      </c>
      <c r="U4396">
        <f>IF($A4396="","",$R4396&amp;"("&amp;$E4396&amp;")")</f>
        <v/>
      </c>
      <c r="V4396">
        <f>IF($A4396="","",$F4396&amp;"|"&amp;$U4396&amp;"|"&amp;$D4396)</f>
        <v/>
      </c>
      <c r="W4396">
        <f>IF($T4396="","",IF($X4396&gt;N($X4395),$X4396,""))</f>
        <v/>
      </c>
      <c r="X4396">
        <f>IF($T4396="",N($X4395),IF(MATCH($T4396,$T$6:$T$6005,0)=ROW()-5,N($X4395)+1,N($X4395)))</f>
        <v/>
      </c>
      <c r="Z4396">
        <f>IF($V4396="","",IF($AA4396&gt;N($AA4395),$AA4396,""))</f>
        <v/>
      </c>
      <c r="AA4396">
        <f>IF($V4396="",N($AA4395),IF(MATCH($V4396,$V$6:$V$6005,0)=ROW()-5,N($AA4395)+1,N($AA4395)))</f>
        <v/>
      </c>
    </row>
    <row r="4397" ht="21" customHeight="1" s="66">
      <c r="A4397" s="56" t="n"/>
      <c r="B4397" s="57" t="n"/>
      <c r="C4397" s="57" t="n"/>
      <c r="D4397" s="57" t="n"/>
      <c r="E4397" s="56" t="n"/>
      <c r="F4397" s="57" t="n"/>
      <c r="G4397" s="57" t="n"/>
      <c r="H4397" s="56" t="n"/>
      <c r="I4397" s="56" t="n"/>
      <c r="J4397" s="58" t="n"/>
      <c r="K4397" s="58" t="n"/>
      <c r="L4397" s="13">
        <f>IF(OR($A4397="",AND($J4397="",$K4397="")),"",ROUND(N($J4397)-N($K4397),2))</f>
        <v/>
      </c>
      <c r="M4397" s="13">
        <f>IF(OR($A4397="",AND($J4397="",$K4397="")),"",MIN($J4397,$K4397))</f>
        <v/>
      </c>
      <c r="Q4397">
        <f>IF($A4397="","",$D4397&amp;"("&amp;SUBSTITUTE($E4397," ","")&amp;")")</f>
        <v/>
      </c>
      <c r="R4397">
        <f>IF($A4397="","",$B4397&amp;" - "&amp;$C4397)</f>
        <v/>
      </c>
      <c r="S4397">
        <f>IF($A4397="","",$R4397&amp;"|"&amp;$Q4397)</f>
        <v/>
      </c>
      <c r="T4397">
        <f>IF($A4397="","",$S4397&amp;"|"&amp;$F4397)</f>
        <v/>
      </c>
      <c r="U4397">
        <f>IF($A4397="","",$R4397&amp;"("&amp;$E4397&amp;")")</f>
        <v/>
      </c>
      <c r="V4397">
        <f>IF($A4397="","",$F4397&amp;"|"&amp;$U4397&amp;"|"&amp;$D4397)</f>
        <v/>
      </c>
      <c r="W4397">
        <f>IF($T4397="","",IF($X4397&gt;N($X4396),$X4397,""))</f>
        <v/>
      </c>
      <c r="X4397">
        <f>IF($T4397="",N($X4396),IF(MATCH($T4397,$T$6:$T$6005,0)=ROW()-5,N($X4396)+1,N($X4396)))</f>
        <v/>
      </c>
      <c r="Z4397">
        <f>IF($V4397="","",IF($AA4397&gt;N($AA4396),$AA4397,""))</f>
        <v/>
      </c>
      <c r="AA4397">
        <f>IF($V4397="",N($AA4396),IF(MATCH($V4397,$V$6:$V$6005,0)=ROW()-5,N($AA4396)+1,N($AA4396)))</f>
        <v/>
      </c>
    </row>
    <row r="4398" ht="21" customHeight="1" s="66">
      <c r="A4398" s="56" t="n"/>
      <c r="B4398" s="57" t="n"/>
      <c r="C4398" s="57" t="n"/>
      <c r="D4398" s="57" t="n"/>
      <c r="E4398" s="56" t="n"/>
      <c r="F4398" s="57" t="n"/>
      <c r="G4398" s="57" t="n"/>
      <c r="H4398" s="56" t="n"/>
      <c r="I4398" s="56" t="n"/>
      <c r="J4398" s="58" t="n"/>
      <c r="K4398" s="58" t="n"/>
      <c r="L4398" s="13">
        <f>IF(OR($A4398="",AND($J4398="",$K4398="")),"",ROUND(N($J4398)-N($K4398),2))</f>
        <v/>
      </c>
      <c r="M4398" s="13">
        <f>IF(OR($A4398="",AND($J4398="",$K4398="")),"",MIN($J4398,$K4398))</f>
        <v/>
      </c>
      <c r="Q4398">
        <f>IF($A4398="","",$D4398&amp;"("&amp;SUBSTITUTE($E4398," ","")&amp;")")</f>
        <v/>
      </c>
      <c r="R4398">
        <f>IF($A4398="","",$B4398&amp;" - "&amp;$C4398)</f>
        <v/>
      </c>
      <c r="S4398">
        <f>IF($A4398="","",$R4398&amp;"|"&amp;$Q4398)</f>
        <v/>
      </c>
      <c r="T4398">
        <f>IF($A4398="","",$S4398&amp;"|"&amp;$F4398)</f>
        <v/>
      </c>
      <c r="U4398">
        <f>IF($A4398="","",$R4398&amp;"("&amp;$E4398&amp;")")</f>
        <v/>
      </c>
      <c r="V4398">
        <f>IF($A4398="","",$F4398&amp;"|"&amp;$U4398&amp;"|"&amp;$D4398)</f>
        <v/>
      </c>
      <c r="W4398">
        <f>IF($T4398="","",IF($X4398&gt;N($X4397),$X4398,""))</f>
        <v/>
      </c>
      <c r="X4398">
        <f>IF($T4398="",N($X4397),IF(MATCH($T4398,$T$6:$T$6005,0)=ROW()-5,N($X4397)+1,N($X4397)))</f>
        <v/>
      </c>
      <c r="Z4398">
        <f>IF($V4398="","",IF($AA4398&gt;N($AA4397),$AA4398,""))</f>
        <v/>
      </c>
      <c r="AA4398">
        <f>IF($V4398="",N($AA4397),IF(MATCH($V4398,$V$6:$V$6005,0)=ROW()-5,N($AA4397)+1,N($AA4397)))</f>
        <v/>
      </c>
    </row>
    <row r="4399" ht="21" customHeight="1" s="66">
      <c r="A4399" s="56" t="n"/>
      <c r="B4399" s="57" t="n"/>
      <c r="C4399" s="57" t="n"/>
      <c r="D4399" s="57" t="n"/>
      <c r="E4399" s="56" t="n"/>
      <c r="F4399" s="57" t="n"/>
      <c r="G4399" s="57" t="n"/>
      <c r="H4399" s="56" t="n"/>
      <c r="I4399" s="56" t="n"/>
      <c r="J4399" s="58" t="n"/>
      <c r="K4399" s="58" t="n"/>
      <c r="L4399" s="13">
        <f>IF(OR($A4399="",AND($J4399="",$K4399="")),"",ROUND(N($J4399)-N($K4399),2))</f>
        <v/>
      </c>
      <c r="M4399" s="13">
        <f>IF(OR($A4399="",AND($J4399="",$K4399="")),"",MIN($J4399,$K4399))</f>
        <v/>
      </c>
      <c r="Q4399">
        <f>IF($A4399="","",$D4399&amp;"("&amp;SUBSTITUTE($E4399," ","")&amp;")")</f>
        <v/>
      </c>
      <c r="R4399">
        <f>IF($A4399="","",$B4399&amp;" - "&amp;$C4399)</f>
        <v/>
      </c>
      <c r="S4399">
        <f>IF($A4399="","",$R4399&amp;"|"&amp;$Q4399)</f>
        <v/>
      </c>
      <c r="T4399">
        <f>IF($A4399="","",$S4399&amp;"|"&amp;$F4399)</f>
        <v/>
      </c>
      <c r="U4399">
        <f>IF($A4399="","",$R4399&amp;"("&amp;$E4399&amp;")")</f>
        <v/>
      </c>
      <c r="V4399">
        <f>IF($A4399="","",$F4399&amp;"|"&amp;$U4399&amp;"|"&amp;$D4399)</f>
        <v/>
      </c>
      <c r="W4399">
        <f>IF($T4399="","",IF($X4399&gt;N($X4398),$X4399,""))</f>
        <v/>
      </c>
      <c r="X4399">
        <f>IF($T4399="",N($X4398),IF(MATCH($T4399,$T$6:$T$6005,0)=ROW()-5,N($X4398)+1,N($X4398)))</f>
        <v/>
      </c>
      <c r="Z4399">
        <f>IF($V4399="","",IF($AA4399&gt;N($AA4398),$AA4399,""))</f>
        <v/>
      </c>
      <c r="AA4399">
        <f>IF($V4399="",N($AA4398),IF(MATCH($V4399,$V$6:$V$6005,0)=ROW()-5,N($AA4398)+1,N($AA4398)))</f>
        <v/>
      </c>
    </row>
    <row r="4400" ht="21" customHeight="1" s="66">
      <c r="A4400" s="56" t="n"/>
      <c r="B4400" s="57" t="n"/>
      <c r="C4400" s="57" t="n"/>
      <c r="D4400" s="57" t="n"/>
      <c r="E4400" s="56" t="n"/>
      <c r="F4400" s="57" t="n"/>
      <c r="G4400" s="57" t="n"/>
      <c r="H4400" s="56" t="n"/>
      <c r="I4400" s="56" t="n"/>
      <c r="J4400" s="58" t="n"/>
      <c r="K4400" s="58" t="n"/>
      <c r="L4400" s="13">
        <f>IF(OR($A4400="",AND($J4400="",$K4400="")),"",ROUND(N($J4400)-N($K4400),2))</f>
        <v/>
      </c>
      <c r="M4400" s="13">
        <f>IF(OR($A4400="",AND($J4400="",$K4400="")),"",MIN($J4400,$K4400))</f>
        <v/>
      </c>
      <c r="Q4400">
        <f>IF($A4400="","",$D4400&amp;"("&amp;SUBSTITUTE($E4400," ","")&amp;")")</f>
        <v/>
      </c>
      <c r="R4400">
        <f>IF($A4400="","",$B4400&amp;" - "&amp;$C4400)</f>
        <v/>
      </c>
      <c r="S4400">
        <f>IF($A4400="","",$R4400&amp;"|"&amp;$Q4400)</f>
        <v/>
      </c>
      <c r="T4400">
        <f>IF($A4400="","",$S4400&amp;"|"&amp;$F4400)</f>
        <v/>
      </c>
      <c r="U4400">
        <f>IF($A4400="","",$R4400&amp;"("&amp;$E4400&amp;")")</f>
        <v/>
      </c>
      <c r="V4400">
        <f>IF($A4400="","",$F4400&amp;"|"&amp;$U4400&amp;"|"&amp;$D4400)</f>
        <v/>
      </c>
      <c r="W4400">
        <f>IF($T4400="","",IF($X4400&gt;N($X4399),$X4400,""))</f>
        <v/>
      </c>
      <c r="X4400">
        <f>IF($T4400="",N($X4399),IF(MATCH($T4400,$T$6:$T$6005,0)=ROW()-5,N($X4399)+1,N($X4399)))</f>
        <v/>
      </c>
      <c r="Z4400">
        <f>IF($V4400="","",IF($AA4400&gt;N($AA4399),$AA4400,""))</f>
        <v/>
      </c>
      <c r="AA4400">
        <f>IF($V4400="",N($AA4399),IF(MATCH($V4400,$V$6:$V$6005,0)=ROW()-5,N($AA4399)+1,N($AA4399)))</f>
        <v/>
      </c>
    </row>
    <row r="4401" ht="21" customHeight="1" s="66">
      <c r="A4401" s="56" t="n"/>
      <c r="B4401" s="57" t="n"/>
      <c r="C4401" s="57" t="n"/>
      <c r="D4401" s="57" t="n"/>
      <c r="E4401" s="56" t="n"/>
      <c r="F4401" s="57" t="n"/>
      <c r="G4401" s="57" t="n"/>
      <c r="H4401" s="56" t="n"/>
      <c r="I4401" s="56" t="n"/>
      <c r="J4401" s="58" t="n"/>
      <c r="K4401" s="58" t="n"/>
      <c r="L4401" s="13">
        <f>IF(OR($A4401="",AND($J4401="",$K4401="")),"",ROUND(N($J4401)-N($K4401),2))</f>
        <v/>
      </c>
      <c r="M4401" s="13">
        <f>IF(OR($A4401="",AND($J4401="",$K4401="")),"",MIN($J4401,$K4401))</f>
        <v/>
      </c>
      <c r="Q4401">
        <f>IF($A4401="","",$D4401&amp;"("&amp;SUBSTITUTE($E4401," ","")&amp;")")</f>
        <v/>
      </c>
      <c r="R4401">
        <f>IF($A4401="","",$B4401&amp;" - "&amp;$C4401)</f>
        <v/>
      </c>
      <c r="S4401">
        <f>IF($A4401="","",$R4401&amp;"|"&amp;$Q4401)</f>
        <v/>
      </c>
      <c r="T4401">
        <f>IF($A4401="","",$S4401&amp;"|"&amp;$F4401)</f>
        <v/>
      </c>
      <c r="U4401">
        <f>IF($A4401="","",$R4401&amp;"("&amp;$E4401&amp;")")</f>
        <v/>
      </c>
      <c r="V4401">
        <f>IF($A4401="","",$F4401&amp;"|"&amp;$U4401&amp;"|"&amp;$D4401)</f>
        <v/>
      </c>
      <c r="W4401">
        <f>IF($T4401="","",IF($X4401&gt;N($X4400),$X4401,""))</f>
        <v/>
      </c>
      <c r="X4401">
        <f>IF($T4401="",N($X4400),IF(MATCH($T4401,$T$6:$T$6005,0)=ROW()-5,N($X4400)+1,N($X4400)))</f>
        <v/>
      </c>
      <c r="Z4401">
        <f>IF($V4401="","",IF($AA4401&gt;N($AA4400),$AA4401,""))</f>
        <v/>
      </c>
      <c r="AA4401">
        <f>IF($V4401="",N($AA4400),IF(MATCH($V4401,$V$6:$V$6005,0)=ROW()-5,N($AA4400)+1,N($AA4400)))</f>
        <v/>
      </c>
    </row>
    <row r="4402" ht="21" customHeight="1" s="66">
      <c r="A4402" s="56" t="n"/>
      <c r="B4402" s="57" t="n"/>
      <c r="C4402" s="57" t="n"/>
      <c r="D4402" s="57" t="n"/>
      <c r="E4402" s="56" t="n"/>
      <c r="F4402" s="57" t="n"/>
      <c r="G4402" s="57" t="n"/>
      <c r="H4402" s="56" t="n"/>
      <c r="I4402" s="56" t="n"/>
      <c r="J4402" s="58" t="n"/>
      <c r="K4402" s="58" t="n"/>
      <c r="L4402" s="13">
        <f>IF(OR($A4402="",AND($J4402="",$K4402="")),"",ROUND(N($J4402)-N($K4402),2))</f>
        <v/>
      </c>
      <c r="M4402" s="13">
        <f>IF(OR($A4402="",AND($J4402="",$K4402="")),"",MIN($J4402,$K4402))</f>
        <v/>
      </c>
      <c r="Q4402">
        <f>IF($A4402="","",$D4402&amp;"("&amp;SUBSTITUTE($E4402," ","")&amp;")")</f>
        <v/>
      </c>
      <c r="R4402">
        <f>IF($A4402="","",$B4402&amp;" - "&amp;$C4402)</f>
        <v/>
      </c>
      <c r="S4402">
        <f>IF($A4402="","",$R4402&amp;"|"&amp;$Q4402)</f>
        <v/>
      </c>
      <c r="T4402">
        <f>IF($A4402="","",$S4402&amp;"|"&amp;$F4402)</f>
        <v/>
      </c>
      <c r="U4402">
        <f>IF($A4402="","",$R4402&amp;"("&amp;$E4402&amp;")")</f>
        <v/>
      </c>
      <c r="V4402">
        <f>IF($A4402="","",$F4402&amp;"|"&amp;$U4402&amp;"|"&amp;$D4402)</f>
        <v/>
      </c>
      <c r="W4402">
        <f>IF($T4402="","",IF($X4402&gt;N($X4401),$X4402,""))</f>
        <v/>
      </c>
      <c r="X4402">
        <f>IF($T4402="",N($X4401),IF(MATCH($T4402,$T$6:$T$6005,0)=ROW()-5,N($X4401)+1,N($X4401)))</f>
        <v/>
      </c>
      <c r="Z4402">
        <f>IF($V4402="","",IF($AA4402&gt;N($AA4401),$AA4402,""))</f>
        <v/>
      </c>
      <c r="AA4402">
        <f>IF($V4402="",N($AA4401),IF(MATCH($V4402,$V$6:$V$6005,0)=ROW()-5,N($AA4401)+1,N($AA4401)))</f>
        <v/>
      </c>
    </row>
    <row r="4403" ht="21" customHeight="1" s="66">
      <c r="A4403" s="56" t="n"/>
      <c r="B4403" s="57" t="n"/>
      <c r="C4403" s="57" t="n"/>
      <c r="D4403" s="57" t="n"/>
      <c r="E4403" s="56" t="n"/>
      <c r="F4403" s="57" t="n"/>
      <c r="G4403" s="57" t="n"/>
      <c r="H4403" s="56" t="n"/>
      <c r="I4403" s="56" t="n"/>
      <c r="J4403" s="58" t="n"/>
      <c r="K4403" s="58" t="n"/>
      <c r="L4403" s="13">
        <f>IF(OR($A4403="",AND($J4403="",$K4403="")),"",ROUND(N($J4403)-N($K4403),2))</f>
        <v/>
      </c>
      <c r="M4403" s="13">
        <f>IF(OR($A4403="",AND($J4403="",$K4403="")),"",MIN($J4403,$K4403))</f>
        <v/>
      </c>
      <c r="Q4403">
        <f>IF($A4403="","",$D4403&amp;"("&amp;SUBSTITUTE($E4403," ","")&amp;")")</f>
        <v/>
      </c>
      <c r="R4403">
        <f>IF($A4403="","",$B4403&amp;" - "&amp;$C4403)</f>
        <v/>
      </c>
      <c r="S4403">
        <f>IF($A4403="","",$R4403&amp;"|"&amp;$Q4403)</f>
        <v/>
      </c>
      <c r="T4403">
        <f>IF($A4403="","",$S4403&amp;"|"&amp;$F4403)</f>
        <v/>
      </c>
      <c r="U4403">
        <f>IF($A4403="","",$R4403&amp;"("&amp;$E4403&amp;")")</f>
        <v/>
      </c>
      <c r="V4403">
        <f>IF($A4403="","",$F4403&amp;"|"&amp;$U4403&amp;"|"&amp;$D4403)</f>
        <v/>
      </c>
      <c r="W4403">
        <f>IF($T4403="","",IF($X4403&gt;N($X4402),$X4403,""))</f>
        <v/>
      </c>
      <c r="X4403">
        <f>IF($T4403="",N($X4402),IF(MATCH($T4403,$T$6:$T$6005,0)=ROW()-5,N($X4402)+1,N($X4402)))</f>
        <v/>
      </c>
      <c r="Z4403">
        <f>IF($V4403="","",IF($AA4403&gt;N($AA4402),$AA4403,""))</f>
        <v/>
      </c>
      <c r="AA4403">
        <f>IF($V4403="",N($AA4402),IF(MATCH($V4403,$V$6:$V$6005,0)=ROW()-5,N($AA4402)+1,N($AA4402)))</f>
        <v/>
      </c>
    </row>
    <row r="4404" ht="21" customHeight="1" s="66">
      <c r="A4404" s="56" t="n"/>
      <c r="B4404" s="57" t="n"/>
      <c r="C4404" s="57" t="n"/>
      <c r="D4404" s="57" t="n"/>
      <c r="E4404" s="56" t="n"/>
      <c r="F4404" s="57" t="n"/>
      <c r="G4404" s="57" t="n"/>
      <c r="H4404" s="56" t="n"/>
      <c r="I4404" s="56" t="n"/>
      <c r="J4404" s="58" t="n"/>
      <c r="K4404" s="58" t="n"/>
      <c r="L4404" s="13">
        <f>IF(OR($A4404="",AND($J4404="",$K4404="")),"",ROUND(N($J4404)-N($K4404),2))</f>
        <v/>
      </c>
      <c r="M4404" s="13">
        <f>IF(OR($A4404="",AND($J4404="",$K4404="")),"",MIN($J4404,$K4404))</f>
        <v/>
      </c>
      <c r="Q4404">
        <f>IF($A4404="","",$D4404&amp;"("&amp;SUBSTITUTE($E4404," ","")&amp;")")</f>
        <v/>
      </c>
      <c r="R4404">
        <f>IF($A4404="","",$B4404&amp;" - "&amp;$C4404)</f>
        <v/>
      </c>
      <c r="S4404">
        <f>IF($A4404="","",$R4404&amp;"|"&amp;$Q4404)</f>
        <v/>
      </c>
      <c r="T4404">
        <f>IF($A4404="","",$S4404&amp;"|"&amp;$F4404)</f>
        <v/>
      </c>
      <c r="U4404">
        <f>IF($A4404="","",$R4404&amp;"("&amp;$E4404&amp;")")</f>
        <v/>
      </c>
      <c r="V4404">
        <f>IF($A4404="","",$F4404&amp;"|"&amp;$U4404&amp;"|"&amp;$D4404)</f>
        <v/>
      </c>
      <c r="W4404">
        <f>IF($T4404="","",IF($X4404&gt;N($X4403),$X4404,""))</f>
        <v/>
      </c>
      <c r="X4404">
        <f>IF($T4404="",N($X4403),IF(MATCH($T4404,$T$6:$T$6005,0)=ROW()-5,N($X4403)+1,N($X4403)))</f>
        <v/>
      </c>
      <c r="Z4404">
        <f>IF($V4404="","",IF($AA4404&gt;N($AA4403),$AA4404,""))</f>
        <v/>
      </c>
      <c r="AA4404">
        <f>IF($V4404="",N($AA4403),IF(MATCH($V4404,$V$6:$V$6005,0)=ROW()-5,N($AA4403)+1,N($AA4403)))</f>
        <v/>
      </c>
    </row>
    <row r="4405" ht="21" customHeight="1" s="66">
      <c r="A4405" s="56" t="n"/>
      <c r="B4405" s="57" t="n"/>
      <c r="C4405" s="57" t="n"/>
      <c r="D4405" s="57" t="n"/>
      <c r="E4405" s="56" t="n"/>
      <c r="F4405" s="57" t="n"/>
      <c r="G4405" s="57" t="n"/>
      <c r="H4405" s="56" t="n"/>
      <c r="I4405" s="56" t="n"/>
      <c r="J4405" s="58" t="n"/>
      <c r="K4405" s="58" t="n"/>
      <c r="L4405" s="13">
        <f>IF(OR($A4405="",AND($J4405="",$K4405="")),"",ROUND(N($J4405)-N($K4405),2))</f>
        <v/>
      </c>
      <c r="M4405" s="13">
        <f>IF(OR($A4405="",AND($J4405="",$K4405="")),"",MIN($J4405,$K4405))</f>
        <v/>
      </c>
      <c r="Q4405">
        <f>IF($A4405="","",$D4405&amp;"("&amp;SUBSTITUTE($E4405," ","")&amp;")")</f>
        <v/>
      </c>
      <c r="R4405">
        <f>IF($A4405="","",$B4405&amp;" - "&amp;$C4405)</f>
        <v/>
      </c>
      <c r="S4405">
        <f>IF($A4405="","",$R4405&amp;"|"&amp;$Q4405)</f>
        <v/>
      </c>
      <c r="T4405">
        <f>IF($A4405="","",$S4405&amp;"|"&amp;$F4405)</f>
        <v/>
      </c>
      <c r="U4405">
        <f>IF($A4405="","",$R4405&amp;"("&amp;$E4405&amp;")")</f>
        <v/>
      </c>
      <c r="V4405">
        <f>IF($A4405="","",$F4405&amp;"|"&amp;$U4405&amp;"|"&amp;$D4405)</f>
        <v/>
      </c>
      <c r="W4405">
        <f>IF($T4405="","",IF($X4405&gt;N($X4404),$X4405,""))</f>
        <v/>
      </c>
      <c r="X4405">
        <f>IF($T4405="",N($X4404),IF(MATCH($T4405,$T$6:$T$6005,0)=ROW()-5,N($X4404)+1,N($X4404)))</f>
        <v/>
      </c>
      <c r="Z4405">
        <f>IF($V4405="","",IF($AA4405&gt;N($AA4404),$AA4405,""))</f>
        <v/>
      </c>
      <c r="AA4405">
        <f>IF($V4405="",N($AA4404),IF(MATCH($V4405,$V$6:$V$6005,0)=ROW()-5,N($AA4404)+1,N($AA4404)))</f>
        <v/>
      </c>
    </row>
    <row r="4406" ht="21" customHeight="1" s="66">
      <c r="A4406" s="56" t="n"/>
      <c r="B4406" s="57" t="n"/>
      <c r="C4406" s="57" t="n"/>
      <c r="D4406" s="57" t="n"/>
      <c r="E4406" s="56" t="n"/>
      <c r="F4406" s="57" t="n"/>
      <c r="G4406" s="57" t="n"/>
      <c r="H4406" s="56" t="n"/>
      <c r="I4406" s="56" t="n"/>
      <c r="J4406" s="58" t="n"/>
      <c r="K4406" s="58" t="n"/>
      <c r="L4406" s="13">
        <f>IF(OR($A4406="",AND($J4406="",$K4406="")),"",ROUND(N($J4406)-N($K4406),2))</f>
        <v/>
      </c>
      <c r="M4406" s="13">
        <f>IF(OR($A4406="",AND($J4406="",$K4406="")),"",MIN($J4406,$K4406))</f>
        <v/>
      </c>
      <c r="Q4406">
        <f>IF($A4406="","",$D4406&amp;"("&amp;SUBSTITUTE($E4406," ","")&amp;")")</f>
        <v/>
      </c>
      <c r="R4406">
        <f>IF($A4406="","",$B4406&amp;" - "&amp;$C4406)</f>
        <v/>
      </c>
      <c r="S4406">
        <f>IF($A4406="","",$R4406&amp;"|"&amp;$Q4406)</f>
        <v/>
      </c>
      <c r="T4406">
        <f>IF($A4406="","",$S4406&amp;"|"&amp;$F4406)</f>
        <v/>
      </c>
      <c r="U4406">
        <f>IF($A4406="","",$R4406&amp;"("&amp;$E4406&amp;")")</f>
        <v/>
      </c>
      <c r="V4406">
        <f>IF($A4406="","",$F4406&amp;"|"&amp;$U4406&amp;"|"&amp;$D4406)</f>
        <v/>
      </c>
      <c r="W4406">
        <f>IF($T4406="","",IF($X4406&gt;N($X4405),$X4406,""))</f>
        <v/>
      </c>
      <c r="X4406">
        <f>IF($T4406="",N($X4405),IF(MATCH($T4406,$T$6:$T$6005,0)=ROW()-5,N($X4405)+1,N($X4405)))</f>
        <v/>
      </c>
      <c r="Z4406">
        <f>IF($V4406="","",IF($AA4406&gt;N($AA4405),$AA4406,""))</f>
        <v/>
      </c>
      <c r="AA4406">
        <f>IF($V4406="",N($AA4405),IF(MATCH($V4406,$V$6:$V$6005,0)=ROW()-5,N($AA4405)+1,N($AA4405)))</f>
        <v/>
      </c>
    </row>
    <row r="4407" ht="21" customHeight="1" s="66">
      <c r="A4407" s="56" t="n"/>
      <c r="B4407" s="57" t="n"/>
      <c r="C4407" s="57" t="n"/>
      <c r="D4407" s="57" t="n"/>
      <c r="E4407" s="56" t="n"/>
      <c r="F4407" s="57" t="n"/>
      <c r="G4407" s="57" t="n"/>
      <c r="H4407" s="56" t="n"/>
      <c r="I4407" s="56" t="n"/>
      <c r="J4407" s="58" t="n"/>
      <c r="K4407" s="58" t="n"/>
      <c r="L4407" s="13">
        <f>IF(OR($A4407="",AND($J4407="",$K4407="")),"",ROUND(N($J4407)-N($K4407),2))</f>
        <v/>
      </c>
      <c r="M4407" s="13">
        <f>IF(OR($A4407="",AND($J4407="",$K4407="")),"",MIN($J4407,$K4407))</f>
        <v/>
      </c>
      <c r="Q4407">
        <f>IF($A4407="","",$D4407&amp;"("&amp;SUBSTITUTE($E4407," ","")&amp;")")</f>
        <v/>
      </c>
      <c r="R4407">
        <f>IF($A4407="","",$B4407&amp;" - "&amp;$C4407)</f>
        <v/>
      </c>
      <c r="S4407">
        <f>IF($A4407="","",$R4407&amp;"|"&amp;$Q4407)</f>
        <v/>
      </c>
      <c r="T4407">
        <f>IF($A4407="","",$S4407&amp;"|"&amp;$F4407)</f>
        <v/>
      </c>
      <c r="U4407">
        <f>IF($A4407="","",$R4407&amp;"("&amp;$E4407&amp;")")</f>
        <v/>
      </c>
      <c r="V4407">
        <f>IF($A4407="","",$F4407&amp;"|"&amp;$U4407&amp;"|"&amp;$D4407)</f>
        <v/>
      </c>
      <c r="W4407">
        <f>IF($T4407="","",IF($X4407&gt;N($X4406),$X4407,""))</f>
        <v/>
      </c>
      <c r="X4407">
        <f>IF($T4407="",N($X4406),IF(MATCH($T4407,$T$6:$T$6005,0)=ROW()-5,N($X4406)+1,N($X4406)))</f>
        <v/>
      </c>
      <c r="Z4407">
        <f>IF($V4407="","",IF($AA4407&gt;N($AA4406),$AA4407,""))</f>
        <v/>
      </c>
      <c r="AA4407">
        <f>IF($V4407="",N($AA4406),IF(MATCH($V4407,$V$6:$V$6005,0)=ROW()-5,N($AA4406)+1,N($AA4406)))</f>
        <v/>
      </c>
    </row>
    <row r="4408" ht="21" customHeight="1" s="66">
      <c r="A4408" s="56" t="n"/>
      <c r="B4408" s="57" t="n"/>
      <c r="C4408" s="57" t="n"/>
      <c r="D4408" s="57" t="n"/>
      <c r="E4408" s="56" t="n"/>
      <c r="F4408" s="57" t="n"/>
      <c r="G4408" s="57" t="n"/>
      <c r="H4408" s="56" t="n"/>
      <c r="I4408" s="56" t="n"/>
      <c r="J4408" s="58" t="n"/>
      <c r="K4408" s="58" t="n"/>
      <c r="L4408" s="13">
        <f>IF(OR($A4408="",AND($J4408="",$K4408="")),"",ROUND(N($J4408)-N($K4408),2))</f>
        <v/>
      </c>
      <c r="M4408" s="13">
        <f>IF(OR($A4408="",AND($J4408="",$K4408="")),"",MIN($J4408,$K4408))</f>
        <v/>
      </c>
      <c r="Q4408">
        <f>IF($A4408="","",$D4408&amp;"("&amp;SUBSTITUTE($E4408," ","")&amp;")")</f>
        <v/>
      </c>
      <c r="R4408">
        <f>IF($A4408="","",$B4408&amp;" - "&amp;$C4408)</f>
        <v/>
      </c>
      <c r="S4408">
        <f>IF($A4408="","",$R4408&amp;"|"&amp;$Q4408)</f>
        <v/>
      </c>
      <c r="T4408">
        <f>IF($A4408="","",$S4408&amp;"|"&amp;$F4408)</f>
        <v/>
      </c>
      <c r="U4408">
        <f>IF($A4408="","",$R4408&amp;"("&amp;$E4408&amp;")")</f>
        <v/>
      </c>
      <c r="V4408">
        <f>IF($A4408="","",$F4408&amp;"|"&amp;$U4408&amp;"|"&amp;$D4408)</f>
        <v/>
      </c>
      <c r="W4408">
        <f>IF($T4408="","",IF($X4408&gt;N($X4407),$X4408,""))</f>
        <v/>
      </c>
      <c r="X4408">
        <f>IF($T4408="",N($X4407),IF(MATCH($T4408,$T$6:$T$6005,0)=ROW()-5,N($X4407)+1,N($X4407)))</f>
        <v/>
      </c>
      <c r="Z4408">
        <f>IF($V4408="","",IF($AA4408&gt;N($AA4407),$AA4408,""))</f>
        <v/>
      </c>
      <c r="AA4408">
        <f>IF($V4408="",N($AA4407),IF(MATCH($V4408,$V$6:$V$6005,0)=ROW()-5,N($AA4407)+1,N($AA4407)))</f>
        <v/>
      </c>
    </row>
    <row r="4409" ht="21" customHeight="1" s="66">
      <c r="A4409" s="56" t="n"/>
      <c r="B4409" s="57" t="n"/>
      <c r="C4409" s="57" t="n"/>
      <c r="D4409" s="57" t="n"/>
      <c r="E4409" s="56" t="n"/>
      <c r="F4409" s="57" t="n"/>
      <c r="G4409" s="57" t="n"/>
      <c r="H4409" s="56" t="n"/>
      <c r="I4409" s="56" t="n"/>
      <c r="J4409" s="58" t="n"/>
      <c r="K4409" s="58" t="n"/>
      <c r="L4409" s="13">
        <f>IF(OR($A4409="",AND($J4409="",$K4409="")),"",ROUND(N($J4409)-N($K4409),2))</f>
        <v/>
      </c>
      <c r="M4409" s="13">
        <f>IF(OR($A4409="",AND($J4409="",$K4409="")),"",MIN($J4409,$K4409))</f>
        <v/>
      </c>
      <c r="Q4409">
        <f>IF($A4409="","",$D4409&amp;"("&amp;SUBSTITUTE($E4409," ","")&amp;")")</f>
        <v/>
      </c>
      <c r="R4409">
        <f>IF($A4409="","",$B4409&amp;" - "&amp;$C4409)</f>
        <v/>
      </c>
      <c r="S4409">
        <f>IF($A4409="","",$R4409&amp;"|"&amp;$Q4409)</f>
        <v/>
      </c>
      <c r="T4409">
        <f>IF($A4409="","",$S4409&amp;"|"&amp;$F4409)</f>
        <v/>
      </c>
      <c r="U4409">
        <f>IF($A4409="","",$R4409&amp;"("&amp;$E4409&amp;")")</f>
        <v/>
      </c>
      <c r="V4409">
        <f>IF($A4409="","",$F4409&amp;"|"&amp;$U4409&amp;"|"&amp;$D4409)</f>
        <v/>
      </c>
      <c r="W4409">
        <f>IF($T4409="","",IF($X4409&gt;N($X4408),$X4409,""))</f>
        <v/>
      </c>
      <c r="X4409">
        <f>IF($T4409="",N($X4408),IF(MATCH($T4409,$T$6:$T$6005,0)=ROW()-5,N($X4408)+1,N($X4408)))</f>
        <v/>
      </c>
      <c r="Z4409">
        <f>IF($V4409="","",IF($AA4409&gt;N($AA4408),$AA4409,""))</f>
        <v/>
      </c>
      <c r="AA4409">
        <f>IF($V4409="",N($AA4408),IF(MATCH($V4409,$V$6:$V$6005,0)=ROW()-5,N($AA4408)+1,N($AA4408)))</f>
        <v/>
      </c>
    </row>
    <row r="4410" ht="21" customHeight="1" s="66">
      <c r="A4410" s="56" t="n"/>
      <c r="B4410" s="57" t="n"/>
      <c r="C4410" s="57" t="n"/>
      <c r="D4410" s="57" t="n"/>
      <c r="E4410" s="56" t="n"/>
      <c r="F4410" s="57" t="n"/>
      <c r="G4410" s="57" t="n"/>
      <c r="H4410" s="56" t="n"/>
      <c r="I4410" s="56" t="n"/>
      <c r="J4410" s="58" t="n"/>
      <c r="K4410" s="58" t="n"/>
      <c r="L4410" s="13">
        <f>IF(OR($A4410="",AND($J4410="",$K4410="")),"",ROUND(N($J4410)-N($K4410),2))</f>
        <v/>
      </c>
      <c r="M4410" s="13">
        <f>IF(OR($A4410="",AND($J4410="",$K4410="")),"",MIN($J4410,$K4410))</f>
        <v/>
      </c>
      <c r="Q4410">
        <f>IF($A4410="","",$D4410&amp;"("&amp;SUBSTITUTE($E4410," ","")&amp;")")</f>
        <v/>
      </c>
      <c r="R4410">
        <f>IF($A4410="","",$B4410&amp;" - "&amp;$C4410)</f>
        <v/>
      </c>
      <c r="S4410">
        <f>IF($A4410="","",$R4410&amp;"|"&amp;$Q4410)</f>
        <v/>
      </c>
      <c r="T4410">
        <f>IF($A4410="","",$S4410&amp;"|"&amp;$F4410)</f>
        <v/>
      </c>
      <c r="U4410">
        <f>IF($A4410="","",$R4410&amp;"("&amp;$E4410&amp;")")</f>
        <v/>
      </c>
      <c r="V4410">
        <f>IF($A4410="","",$F4410&amp;"|"&amp;$U4410&amp;"|"&amp;$D4410)</f>
        <v/>
      </c>
      <c r="W4410">
        <f>IF($T4410="","",IF($X4410&gt;N($X4409),$X4410,""))</f>
        <v/>
      </c>
      <c r="X4410">
        <f>IF($T4410="",N($X4409),IF(MATCH($T4410,$T$6:$T$6005,0)=ROW()-5,N($X4409)+1,N($X4409)))</f>
        <v/>
      </c>
      <c r="Z4410">
        <f>IF($V4410="","",IF($AA4410&gt;N($AA4409),$AA4410,""))</f>
        <v/>
      </c>
      <c r="AA4410">
        <f>IF($V4410="",N($AA4409),IF(MATCH($V4410,$V$6:$V$6005,0)=ROW()-5,N($AA4409)+1,N($AA4409)))</f>
        <v/>
      </c>
    </row>
    <row r="4411" ht="21" customHeight="1" s="66">
      <c r="A4411" s="56" t="n"/>
      <c r="B4411" s="57" t="n"/>
      <c r="C4411" s="57" t="n"/>
      <c r="D4411" s="57" t="n"/>
      <c r="E4411" s="56" t="n"/>
      <c r="F4411" s="57" t="n"/>
      <c r="G4411" s="57" t="n"/>
      <c r="H4411" s="56" t="n"/>
      <c r="I4411" s="56" t="n"/>
      <c r="J4411" s="58" t="n"/>
      <c r="K4411" s="58" t="n"/>
      <c r="L4411" s="13">
        <f>IF(OR($A4411="",AND($J4411="",$K4411="")),"",ROUND(N($J4411)-N($K4411),2))</f>
        <v/>
      </c>
      <c r="M4411" s="13">
        <f>IF(OR($A4411="",AND($J4411="",$K4411="")),"",MIN($J4411,$K4411))</f>
        <v/>
      </c>
      <c r="Q4411">
        <f>IF($A4411="","",$D4411&amp;"("&amp;SUBSTITUTE($E4411," ","")&amp;")")</f>
        <v/>
      </c>
      <c r="R4411">
        <f>IF($A4411="","",$B4411&amp;" - "&amp;$C4411)</f>
        <v/>
      </c>
      <c r="S4411">
        <f>IF($A4411="","",$R4411&amp;"|"&amp;$Q4411)</f>
        <v/>
      </c>
      <c r="T4411">
        <f>IF($A4411="","",$S4411&amp;"|"&amp;$F4411)</f>
        <v/>
      </c>
      <c r="U4411">
        <f>IF($A4411="","",$R4411&amp;"("&amp;$E4411&amp;")")</f>
        <v/>
      </c>
      <c r="V4411">
        <f>IF($A4411="","",$F4411&amp;"|"&amp;$U4411&amp;"|"&amp;$D4411)</f>
        <v/>
      </c>
      <c r="W4411">
        <f>IF($T4411="","",IF($X4411&gt;N($X4410),$X4411,""))</f>
        <v/>
      </c>
      <c r="X4411">
        <f>IF($T4411="",N($X4410),IF(MATCH($T4411,$T$6:$T$6005,0)=ROW()-5,N($X4410)+1,N($X4410)))</f>
        <v/>
      </c>
      <c r="Z4411">
        <f>IF($V4411="","",IF($AA4411&gt;N($AA4410),$AA4411,""))</f>
        <v/>
      </c>
      <c r="AA4411">
        <f>IF($V4411="",N($AA4410),IF(MATCH($V4411,$V$6:$V$6005,0)=ROW()-5,N($AA4410)+1,N($AA4410)))</f>
        <v/>
      </c>
    </row>
    <row r="4412" ht="21" customHeight="1" s="66">
      <c r="A4412" s="56" t="n"/>
      <c r="B4412" s="57" t="n"/>
      <c r="C4412" s="57" t="n"/>
      <c r="D4412" s="57" t="n"/>
      <c r="E4412" s="56" t="n"/>
      <c r="F4412" s="57" t="n"/>
      <c r="G4412" s="57" t="n"/>
      <c r="H4412" s="56" t="n"/>
      <c r="I4412" s="56" t="n"/>
      <c r="J4412" s="58" t="n"/>
      <c r="K4412" s="58" t="n"/>
      <c r="L4412" s="13">
        <f>IF(OR($A4412="",AND($J4412="",$K4412="")),"",ROUND(N($J4412)-N($K4412),2))</f>
        <v/>
      </c>
      <c r="M4412" s="13">
        <f>IF(OR($A4412="",AND($J4412="",$K4412="")),"",MIN($J4412,$K4412))</f>
        <v/>
      </c>
      <c r="Q4412">
        <f>IF($A4412="","",$D4412&amp;"("&amp;SUBSTITUTE($E4412," ","")&amp;")")</f>
        <v/>
      </c>
      <c r="R4412">
        <f>IF($A4412="","",$B4412&amp;" - "&amp;$C4412)</f>
        <v/>
      </c>
      <c r="S4412">
        <f>IF($A4412="","",$R4412&amp;"|"&amp;$Q4412)</f>
        <v/>
      </c>
      <c r="T4412">
        <f>IF($A4412="","",$S4412&amp;"|"&amp;$F4412)</f>
        <v/>
      </c>
      <c r="U4412">
        <f>IF($A4412="","",$R4412&amp;"("&amp;$E4412&amp;")")</f>
        <v/>
      </c>
      <c r="V4412">
        <f>IF($A4412="","",$F4412&amp;"|"&amp;$U4412&amp;"|"&amp;$D4412)</f>
        <v/>
      </c>
      <c r="W4412">
        <f>IF($T4412="","",IF($X4412&gt;N($X4411),$X4412,""))</f>
        <v/>
      </c>
      <c r="X4412">
        <f>IF($T4412="",N($X4411),IF(MATCH($T4412,$T$6:$T$6005,0)=ROW()-5,N($X4411)+1,N($X4411)))</f>
        <v/>
      </c>
      <c r="Z4412">
        <f>IF($V4412="","",IF($AA4412&gt;N($AA4411),$AA4412,""))</f>
        <v/>
      </c>
      <c r="AA4412">
        <f>IF($V4412="",N($AA4411),IF(MATCH($V4412,$V$6:$V$6005,0)=ROW()-5,N($AA4411)+1,N($AA4411)))</f>
        <v/>
      </c>
    </row>
    <row r="4413" ht="21" customHeight="1" s="66">
      <c r="A4413" s="56" t="n"/>
      <c r="B4413" s="57" t="n"/>
      <c r="C4413" s="57" t="n"/>
      <c r="D4413" s="57" t="n"/>
      <c r="E4413" s="56" t="n"/>
      <c r="F4413" s="57" t="n"/>
      <c r="G4413" s="57" t="n"/>
      <c r="H4413" s="56" t="n"/>
      <c r="I4413" s="56" t="n"/>
      <c r="J4413" s="58" t="n"/>
      <c r="K4413" s="58" t="n"/>
      <c r="L4413" s="13">
        <f>IF(OR($A4413="",AND($J4413="",$K4413="")),"",ROUND(N($J4413)-N($K4413),2))</f>
        <v/>
      </c>
      <c r="M4413" s="13">
        <f>IF(OR($A4413="",AND($J4413="",$K4413="")),"",MIN($J4413,$K4413))</f>
        <v/>
      </c>
      <c r="Q4413">
        <f>IF($A4413="","",$D4413&amp;"("&amp;SUBSTITUTE($E4413," ","")&amp;")")</f>
        <v/>
      </c>
      <c r="R4413">
        <f>IF($A4413="","",$B4413&amp;" - "&amp;$C4413)</f>
        <v/>
      </c>
      <c r="S4413">
        <f>IF($A4413="","",$R4413&amp;"|"&amp;$Q4413)</f>
        <v/>
      </c>
      <c r="T4413">
        <f>IF($A4413="","",$S4413&amp;"|"&amp;$F4413)</f>
        <v/>
      </c>
      <c r="U4413">
        <f>IF($A4413="","",$R4413&amp;"("&amp;$E4413&amp;")")</f>
        <v/>
      </c>
      <c r="V4413">
        <f>IF($A4413="","",$F4413&amp;"|"&amp;$U4413&amp;"|"&amp;$D4413)</f>
        <v/>
      </c>
      <c r="W4413">
        <f>IF($T4413="","",IF($X4413&gt;N($X4412),$X4413,""))</f>
        <v/>
      </c>
      <c r="X4413">
        <f>IF($T4413="",N($X4412),IF(MATCH($T4413,$T$6:$T$6005,0)=ROW()-5,N($X4412)+1,N($X4412)))</f>
        <v/>
      </c>
      <c r="Z4413">
        <f>IF($V4413="","",IF($AA4413&gt;N($AA4412),$AA4413,""))</f>
        <v/>
      </c>
      <c r="AA4413">
        <f>IF($V4413="",N($AA4412),IF(MATCH($V4413,$V$6:$V$6005,0)=ROW()-5,N($AA4412)+1,N($AA4412)))</f>
        <v/>
      </c>
    </row>
    <row r="4414" ht="21" customHeight="1" s="66">
      <c r="A4414" s="56" t="n"/>
      <c r="B4414" s="57" t="n"/>
      <c r="C4414" s="57" t="n"/>
      <c r="D4414" s="57" t="n"/>
      <c r="E4414" s="56" t="n"/>
      <c r="F4414" s="57" t="n"/>
      <c r="G4414" s="57" t="n"/>
      <c r="H4414" s="56" t="n"/>
      <c r="I4414" s="56" t="n"/>
      <c r="J4414" s="58" t="n"/>
      <c r="K4414" s="58" t="n"/>
      <c r="L4414" s="13">
        <f>IF(OR($A4414="",AND($J4414="",$K4414="")),"",ROUND(N($J4414)-N($K4414),2))</f>
        <v/>
      </c>
      <c r="M4414" s="13">
        <f>IF(OR($A4414="",AND($J4414="",$K4414="")),"",MIN($J4414,$K4414))</f>
        <v/>
      </c>
      <c r="Q4414">
        <f>IF($A4414="","",$D4414&amp;"("&amp;SUBSTITUTE($E4414," ","")&amp;")")</f>
        <v/>
      </c>
      <c r="R4414">
        <f>IF($A4414="","",$B4414&amp;" - "&amp;$C4414)</f>
        <v/>
      </c>
      <c r="S4414">
        <f>IF($A4414="","",$R4414&amp;"|"&amp;$Q4414)</f>
        <v/>
      </c>
      <c r="T4414">
        <f>IF($A4414="","",$S4414&amp;"|"&amp;$F4414)</f>
        <v/>
      </c>
      <c r="U4414">
        <f>IF($A4414="","",$R4414&amp;"("&amp;$E4414&amp;")")</f>
        <v/>
      </c>
      <c r="V4414">
        <f>IF($A4414="","",$F4414&amp;"|"&amp;$U4414&amp;"|"&amp;$D4414)</f>
        <v/>
      </c>
      <c r="W4414">
        <f>IF($T4414="","",IF($X4414&gt;N($X4413),$X4414,""))</f>
        <v/>
      </c>
      <c r="X4414">
        <f>IF($T4414="",N($X4413),IF(MATCH($T4414,$T$6:$T$6005,0)=ROW()-5,N($X4413)+1,N($X4413)))</f>
        <v/>
      </c>
      <c r="Z4414">
        <f>IF($V4414="","",IF($AA4414&gt;N($AA4413),$AA4414,""))</f>
        <v/>
      </c>
      <c r="AA4414">
        <f>IF($V4414="",N($AA4413),IF(MATCH($V4414,$V$6:$V$6005,0)=ROW()-5,N($AA4413)+1,N($AA4413)))</f>
        <v/>
      </c>
    </row>
    <row r="4415" ht="21" customHeight="1" s="66">
      <c r="A4415" s="56" t="n"/>
      <c r="B4415" s="57" t="n"/>
      <c r="C4415" s="57" t="n"/>
      <c r="D4415" s="57" t="n"/>
      <c r="E4415" s="56" t="n"/>
      <c r="F4415" s="57" t="n"/>
      <c r="G4415" s="57" t="n"/>
      <c r="H4415" s="56" t="n"/>
      <c r="I4415" s="56" t="n"/>
      <c r="J4415" s="58" t="n"/>
      <c r="K4415" s="58" t="n"/>
      <c r="L4415" s="13">
        <f>IF(OR($A4415="",AND($J4415="",$K4415="")),"",ROUND(N($J4415)-N($K4415),2))</f>
        <v/>
      </c>
      <c r="M4415" s="13">
        <f>IF(OR($A4415="",AND($J4415="",$K4415="")),"",MIN($J4415,$K4415))</f>
        <v/>
      </c>
      <c r="Q4415">
        <f>IF($A4415="","",$D4415&amp;"("&amp;SUBSTITUTE($E4415," ","")&amp;")")</f>
        <v/>
      </c>
      <c r="R4415">
        <f>IF($A4415="","",$B4415&amp;" - "&amp;$C4415)</f>
        <v/>
      </c>
      <c r="S4415">
        <f>IF($A4415="","",$R4415&amp;"|"&amp;$Q4415)</f>
        <v/>
      </c>
      <c r="T4415">
        <f>IF($A4415="","",$S4415&amp;"|"&amp;$F4415)</f>
        <v/>
      </c>
      <c r="U4415">
        <f>IF($A4415="","",$R4415&amp;"("&amp;$E4415&amp;")")</f>
        <v/>
      </c>
      <c r="V4415">
        <f>IF($A4415="","",$F4415&amp;"|"&amp;$U4415&amp;"|"&amp;$D4415)</f>
        <v/>
      </c>
      <c r="W4415">
        <f>IF($T4415="","",IF($X4415&gt;N($X4414),$X4415,""))</f>
        <v/>
      </c>
      <c r="X4415">
        <f>IF($T4415="",N($X4414),IF(MATCH($T4415,$T$6:$T$6005,0)=ROW()-5,N($X4414)+1,N($X4414)))</f>
        <v/>
      </c>
      <c r="Z4415">
        <f>IF($V4415="","",IF($AA4415&gt;N($AA4414),$AA4415,""))</f>
        <v/>
      </c>
      <c r="AA4415">
        <f>IF($V4415="",N($AA4414),IF(MATCH($V4415,$V$6:$V$6005,0)=ROW()-5,N($AA4414)+1,N($AA4414)))</f>
        <v/>
      </c>
    </row>
    <row r="4416" ht="21" customHeight="1" s="66">
      <c r="A4416" s="56" t="n"/>
      <c r="B4416" s="57" t="n"/>
      <c r="C4416" s="57" t="n"/>
      <c r="D4416" s="57" t="n"/>
      <c r="E4416" s="56" t="n"/>
      <c r="F4416" s="57" t="n"/>
      <c r="G4416" s="57" t="n"/>
      <c r="H4416" s="56" t="n"/>
      <c r="I4416" s="56" t="n"/>
      <c r="J4416" s="58" t="n"/>
      <c r="K4416" s="58" t="n"/>
      <c r="L4416" s="13">
        <f>IF(OR($A4416="",AND($J4416="",$K4416="")),"",ROUND(N($J4416)-N($K4416),2))</f>
        <v/>
      </c>
      <c r="M4416" s="13">
        <f>IF(OR($A4416="",AND($J4416="",$K4416="")),"",MIN($J4416,$K4416))</f>
        <v/>
      </c>
      <c r="Q4416">
        <f>IF($A4416="","",$D4416&amp;"("&amp;SUBSTITUTE($E4416," ","")&amp;")")</f>
        <v/>
      </c>
      <c r="R4416">
        <f>IF($A4416="","",$B4416&amp;" - "&amp;$C4416)</f>
        <v/>
      </c>
      <c r="S4416">
        <f>IF($A4416="","",$R4416&amp;"|"&amp;$Q4416)</f>
        <v/>
      </c>
      <c r="T4416">
        <f>IF($A4416="","",$S4416&amp;"|"&amp;$F4416)</f>
        <v/>
      </c>
      <c r="U4416">
        <f>IF($A4416="","",$R4416&amp;"("&amp;$E4416&amp;")")</f>
        <v/>
      </c>
      <c r="V4416">
        <f>IF($A4416="","",$F4416&amp;"|"&amp;$U4416&amp;"|"&amp;$D4416)</f>
        <v/>
      </c>
      <c r="W4416">
        <f>IF($T4416="","",IF($X4416&gt;N($X4415),$X4416,""))</f>
        <v/>
      </c>
      <c r="X4416">
        <f>IF($T4416="",N($X4415),IF(MATCH($T4416,$T$6:$T$6005,0)=ROW()-5,N($X4415)+1,N($X4415)))</f>
        <v/>
      </c>
      <c r="Z4416">
        <f>IF($V4416="","",IF($AA4416&gt;N($AA4415),$AA4416,""))</f>
        <v/>
      </c>
      <c r="AA4416">
        <f>IF($V4416="",N($AA4415),IF(MATCH($V4416,$V$6:$V$6005,0)=ROW()-5,N($AA4415)+1,N($AA4415)))</f>
        <v/>
      </c>
    </row>
    <row r="4417" ht="21" customHeight="1" s="66">
      <c r="A4417" s="56" t="n"/>
      <c r="B4417" s="57" t="n"/>
      <c r="C4417" s="57" t="n"/>
      <c r="D4417" s="57" t="n"/>
      <c r="E4417" s="56" t="n"/>
      <c r="F4417" s="57" t="n"/>
      <c r="G4417" s="57" t="n"/>
      <c r="H4417" s="56" t="n"/>
      <c r="I4417" s="56" t="n"/>
      <c r="J4417" s="58" t="n"/>
      <c r="K4417" s="58" t="n"/>
      <c r="L4417" s="13">
        <f>IF(OR($A4417="",AND($J4417="",$K4417="")),"",ROUND(N($J4417)-N($K4417),2))</f>
        <v/>
      </c>
      <c r="M4417" s="13">
        <f>IF(OR($A4417="",AND($J4417="",$K4417="")),"",MIN($J4417,$K4417))</f>
        <v/>
      </c>
      <c r="Q4417">
        <f>IF($A4417="","",$D4417&amp;"("&amp;SUBSTITUTE($E4417," ","")&amp;")")</f>
        <v/>
      </c>
      <c r="R4417">
        <f>IF($A4417="","",$B4417&amp;" - "&amp;$C4417)</f>
        <v/>
      </c>
      <c r="S4417">
        <f>IF($A4417="","",$R4417&amp;"|"&amp;$Q4417)</f>
        <v/>
      </c>
      <c r="T4417">
        <f>IF($A4417="","",$S4417&amp;"|"&amp;$F4417)</f>
        <v/>
      </c>
      <c r="U4417">
        <f>IF($A4417="","",$R4417&amp;"("&amp;$E4417&amp;")")</f>
        <v/>
      </c>
      <c r="V4417">
        <f>IF($A4417="","",$F4417&amp;"|"&amp;$U4417&amp;"|"&amp;$D4417)</f>
        <v/>
      </c>
      <c r="W4417">
        <f>IF($T4417="","",IF($X4417&gt;N($X4416),$X4417,""))</f>
        <v/>
      </c>
      <c r="X4417">
        <f>IF($T4417="",N($X4416),IF(MATCH($T4417,$T$6:$T$6005,0)=ROW()-5,N($X4416)+1,N($X4416)))</f>
        <v/>
      </c>
      <c r="Z4417">
        <f>IF($V4417="","",IF($AA4417&gt;N($AA4416),$AA4417,""))</f>
        <v/>
      </c>
      <c r="AA4417">
        <f>IF($V4417="",N($AA4416),IF(MATCH($V4417,$V$6:$V$6005,0)=ROW()-5,N($AA4416)+1,N($AA4416)))</f>
        <v/>
      </c>
    </row>
    <row r="4418" ht="21" customHeight="1" s="66">
      <c r="A4418" s="56" t="n"/>
      <c r="B4418" s="57" t="n"/>
      <c r="C4418" s="57" t="n"/>
      <c r="D4418" s="57" t="n"/>
      <c r="E4418" s="56" t="n"/>
      <c r="F4418" s="57" t="n"/>
      <c r="G4418" s="57" t="n"/>
      <c r="H4418" s="56" t="n"/>
      <c r="I4418" s="56" t="n"/>
      <c r="J4418" s="58" t="n"/>
      <c r="K4418" s="58" t="n"/>
      <c r="L4418" s="13">
        <f>IF(OR($A4418="",AND($J4418="",$K4418="")),"",ROUND(N($J4418)-N($K4418),2))</f>
        <v/>
      </c>
      <c r="M4418" s="13">
        <f>IF(OR($A4418="",AND($J4418="",$K4418="")),"",MIN($J4418,$K4418))</f>
        <v/>
      </c>
      <c r="Q4418">
        <f>IF($A4418="","",$D4418&amp;"("&amp;SUBSTITUTE($E4418," ","")&amp;")")</f>
        <v/>
      </c>
      <c r="R4418">
        <f>IF($A4418="","",$B4418&amp;" - "&amp;$C4418)</f>
        <v/>
      </c>
      <c r="S4418">
        <f>IF($A4418="","",$R4418&amp;"|"&amp;$Q4418)</f>
        <v/>
      </c>
      <c r="T4418">
        <f>IF($A4418="","",$S4418&amp;"|"&amp;$F4418)</f>
        <v/>
      </c>
      <c r="U4418">
        <f>IF($A4418="","",$R4418&amp;"("&amp;$E4418&amp;")")</f>
        <v/>
      </c>
      <c r="V4418">
        <f>IF($A4418="","",$F4418&amp;"|"&amp;$U4418&amp;"|"&amp;$D4418)</f>
        <v/>
      </c>
      <c r="W4418">
        <f>IF($T4418="","",IF($X4418&gt;N($X4417),$X4418,""))</f>
        <v/>
      </c>
      <c r="X4418">
        <f>IF($T4418="",N($X4417),IF(MATCH($T4418,$T$6:$T$6005,0)=ROW()-5,N($X4417)+1,N($X4417)))</f>
        <v/>
      </c>
      <c r="Z4418">
        <f>IF($V4418="","",IF($AA4418&gt;N($AA4417),$AA4418,""))</f>
        <v/>
      </c>
      <c r="AA4418">
        <f>IF($V4418="",N($AA4417),IF(MATCH($V4418,$V$6:$V$6005,0)=ROW()-5,N($AA4417)+1,N($AA4417)))</f>
        <v/>
      </c>
    </row>
    <row r="4419" ht="21" customHeight="1" s="66">
      <c r="A4419" s="56" t="n"/>
      <c r="B4419" s="57" t="n"/>
      <c r="C4419" s="57" t="n"/>
      <c r="D4419" s="57" t="n"/>
      <c r="E4419" s="56" t="n"/>
      <c r="F4419" s="57" t="n"/>
      <c r="G4419" s="57" t="n"/>
      <c r="H4419" s="56" t="n"/>
      <c r="I4419" s="56" t="n"/>
      <c r="J4419" s="58" t="n"/>
      <c r="K4419" s="58" t="n"/>
      <c r="L4419" s="13">
        <f>IF(OR($A4419="",AND($J4419="",$K4419="")),"",ROUND(N($J4419)-N($K4419),2))</f>
        <v/>
      </c>
      <c r="M4419" s="13">
        <f>IF(OR($A4419="",AND($J4419="",$K4419="")),"",MIN($J4419,$K4419))</f>
        <v/>
      </c>
      <c r="Q4419">
        <f>IF($A4419="","",$D4419&amp;"("&amp;SUBSTITUTE($E4419," ","")&amp;")")</f>
        <v/>
      </c>
      <c r="R4419">
        <f>IF($A4419="","",$B4419&amp;" - "&amp;$C4419)</f>
        <v/>
      </c>
      <c r="S4419">
        <f>IF($A4419="","",$R4419&amp;"|"&amp;$Q4419)</f>
        <v/>
      </c>
      <c r="T4419">
        <f>IF($A4419="","",$S4419&amp;"|"&amp;$F4419)</f>
        <v/>
      </c>
      <c r="U4419">
        <f>IF($A4419="","",$R4419&amp;"("&amp;$E4419&amp;")")</f>
        <v/>
      </c>
      <c r="V4419">
        <f>IF($A4419="","",$F4419&amp;"|"&amp;$U4419&amp;"|"&amp;$D4419)</f>
        <v/>
      </c>
      <c r="W4419">
        <f>IF($T4419="","",IF($X4419&gt;N($X4418),$X4419,""))</f>
        <v/>
      </c>
      <c r="X4419">
        <f>IF($T4419="",N($X4418),IF(MATCH($T4419,$T$6:$T$6005,0)=ROW()-5,N($X4418)+1,N($X4418)))</f>
        <v/>
      </c>
      <c r="Z4419">
        <f>IF($V4419="","",IF($AA4419&gt;N($AA4418),$AA4419,""))</f>
        <v/>
      </c>
      <c r="AA4419">
        <f>IF($V4419="",N($AA4418),IF(MATCH($V4419,$V$6:$V$6005,0)=ROW()-5,N($AA4418)+1,N($AA4418)))</f>
        <v/>
      </c>
    </row>
    <row r="4420" ht="21" customHeight="1" s="66">
      <c r="A4420" s="56" t="n"/>
      <c r="B4420" s="57" t="n"/>
      <c r="C4420" s="57" t="n"/>
      <c r="D4420" s="57" t="n"/>
      <c r="E4420" s="56" t="n"/>
      <c r="F4420" s="57" t="n"/>
      <c r="G4420" s="57" t="n"/>
      <c r="H4420" s="56" t="n"/>
      <c r="I4420" s="56" t="n"/>
      <c r="J4420" s="58" t="n"/>
      <c r="K4420" s="58" t="n"/>
      <c r="L4420" s="13">
        <f>IF(OR($A4420="",AND($J4420="",$K4420="")),"",ROUND(N($J4420)-N($K4420),2))</f>
        <v/>
      </c>
      <c r="M4420" s="13">
        <f>IF(OR($A4420="",AND($J4420="",$K4420="")),"",MIN($J4420,$K4420))</f>
        <v/>
      </c>
      <c r="Q4420">
        <f>IF($A4420="","",$D4420&amp;"("&amp;SUBSTITUTE($E4420," ","")&amp;")")</f>
        <v/>
      </c>
      <c r="R4420">
        <f>IF($A4420="","",$B4420&amp;" - "&amp;$C4420)</f>
        <v/>
      </c>
      <c r="S4420">
        <f>IF($A4420="","",$R4420&amp;"|"&amp;$Q4420)</f>
        <v/>
      </c>
      <c r="T4420">
        <f>IF($A4420="","",$S4420&amp;"|"&amp;$F4420)</f>
        <v/>
      </c>
      <c r="U4420">
        <f>IF($A4420="","",$R4420&amp;"("&amp;$E4420&amp;")")</f>
        <v/>
      </c>
      <c r="V4420">
        <f>IF($A4420="","",$F4420&amp;"|"&amp;$U4420&amp;"|"&amp;$D4420)</f>
        <v/>
      </c>
      <c r="W4420">
        <f>IF($T4420="","",IF($X4420&gt;N($X4419),$X4420,""))</f>
        <v/>
      </c>
      <c r="X4420">
        <f>IF($T4420="",N($X4419),IF(MATCH($T4420,$T$6:$T$6005,0)=ROW()-5,N($X4419)+1,N($X4419)))</f>
        <v/>
      </c>
      <c r="Z4420">
        <f>IF($V4420="","",IF($AA4420&gt;N($AA4419),$AA4420,""))</f>
        <v/>
      </c>
      <c r="AA4420">
        <f>IF($V4420="",N($AA4419),IF(MATCH($V4420,$V$6:$V$6005,0)=ROW()-5,N($AA4419)+1,N($AA4419)))</f>
        <v/>
      </c>
    </row>
    <row r="4421" ht="21" customHeight="1" s="66">
      <c r="A4421" s="56" t="n"/>
      <c r="B4421" s="57" t="n"/>
      <c r="C4421" s="57" t="n"/>
      <c r="D4421" s="57" t="n"/>
      <c r="E4421" s="56" t="n"/>
      <c r="F4421" s="57" t="n"/>
      <c r="G4421" s="57" t="n"/>
      <c r="H4421" s="56" t="n"/>
      <c r="I4421" s="56" t="n"/>
      <c r="J4421" s="58" t="n"/>
      <c r="K4421" s="58" t="n"/>
      <c r="L4421" s="13">
        <f>IF(OR($A4421="",AND($J4421="",$K4421="")),"",ROUND(N($J4421)-N($K4421),2))</f>
        <v/>
      </c>
      <c r="M4421" s="13">
        <f>IF(OR($A4421="",AND($J4421="",$K4421="")),"",MIN($J4421,$K4421))</f>
        <v/>
      </c>
      <c r="Q4421">
        <f>IF($A4421="","",$D4421&amp;"("&amp;SUBSTITUTE($E4421," ","")&amp;")")</f>
        <v/>
      </c>
      <c r="R4421">
        <f>IF($A4421="","",$B4421&amp;" - "&amp;$C4421)</f>
        <v/>
      </c>
      <c r="S4421">
        <f>IF($A4421="","",$R4421&amp;"|"&amp;$Q4421)</f>
        <v/>
      </c>
      <c r="T4421">
        <f>IF($A4421="","",$S4421&amp;"|"&amp;$F4421)</f>
        <v/>
      </c>
      <c r="U4421">
        <f>IF($A4421="","",$R4421&amp;"("&amp;$E4421&amp;")")</f>
        <v/>
      </c>
      <c r="V4421">
        <f>IF($A4421="","",$F4421&amp;"|"&amp;$U4421&amp;"|"&amp;$D4421)</f>
        <v/>
      </c>
      <c r="W4421">
        <f>IF($T4421="","",IF($X4421&gt;N($X4420),$X4421,""))</f>
        <v/>
      </c>
      <c r="X4421">
        <f>IF($T4421="",N($X4420),IF(MATCH($T4421,$T$6:$T$6005,0)=ROW()-5,N($X4420)+1,N($X4420)))</f>
        <v/>
      </c>
      <c r="Z4421">
        <f>IF($V4421="","",IF($AA4421&gt;N($AA4420),$AA4421,""))</f>
        <v/>
      </c>
      <c r="AA4421">
        <f>IF($V4421="",N($AA4420),IF(MATCH($V4421,$V$6:$V$6005,0)=ROW()-5,N($AA4420)+1,N($AA4420)))</f>
        <v/>
      </c>
    </row>
    <row r="4422" ht="21" customHeight="1" s="66">
      <c r="A4422" s="56" t="n"/>
      <c r="B4422" s="57" t="n"/>
      <c r="C4422" s="57" t="n"/>
      <c r="D4422" s="57" t="n"/>
      <c r="E4422" s="56" t="n"/>
      <c r="F4422" s="57" t="n"/>
      <c r="G4422" s="57" t="n"/>
      <c r="H4422" s="56" t="n"/>
      <c r="I4422" s="56" t="n"/>
      <c r="J4422" s="58" t="n"/>
      <c r="K4422" s="58" t="n"/>
      <c r="L4422" s="13">
        <f>IF(OR($A4422="",AND($J4422="",$K4422="")),"",ROUND(N($J4422)-N($K4422),2))</f>
        <v/>
      </c>
      <c r="M4422" s="13">
        <f>IF(OR($A4422="",AND($J4422="",$K4422="")),"",MIN($J4422,$K4422))</f>
        <v/>
      </c>
      <c r="Q4422">
        <f>IF($A4422="","",$D4422&amp;"("&amp;SUBSTITUTE($E4422," ","")&amp;")")</f>
        <v/>
      </c>
      <c r="R4422">
        <f>IF($A4422="","",$B4422&amp;" - "&amp;$C4422)</f>
        <v/>
      </c>
      <c r="S4422">
        <f>IF($A4422="","",$R4422&amp;"|"&amp;$Q4422)</f>
        <v/>
      </c>
      <c r="T4422">
        <f>IF($A4422="","",$S4422&amp;"|"&amp;$F4422)</f>
        <v/>
      </c>
      <c r="U4422">
        <f>IF($A4422="","",$R4422&amp;"("&amp;$E4422&amp;")")</f>
        <v/>
      </c>
      <c r="V4422">
        <f>IF($A4422="","",$F4422&amp;"|"&amp;$U4422&amp;"|"&amp;$D4422)</f>
        <v/>
      </c>
      <c r="W4422">
        <f>IF($T4422="","",IF($X4422&gt;N($X4421),$X4422,""))</f>
        <v/>
      </c>
      <c r="X4422">
        <f>IF($T4422="",N($X4421),IF(MATCH($T4422,$T$6:$T$6005,0)=ROW()-5,N($X4421)+1,N($X4421)))</f>
        <v/>
      </c>
      <c r="Z4422">
        <f>IF($V4422="","",IF($AA4422&gt;N($AA4421),$AA4422,""))</f>
        <v/>
      </c>
      <c r="AA4422">
        <f>IF($V4422="",N($AA4421),IF(MATCH($V4422,$V$6:$V$6005,0)=ROW()-5,N($AA4421)+1,N($AA4421)))</f>
        <v/>
      </c>
    </row>
    <row r="4423" ht="21" customHeight="1" s="66">
      <c r="A4423" s="56" t="n"/>
      <c r="B4423" s="57" t="n"/>
      <c r="C4423" s="57" t="n"/>
      <c r="D4423" s="57" t="n"/>
      <c r="E4423" s="56" t="n"/>
      <c r="F4423" s="57" t="n"/>
      <c r="G4423" s="57" t="n"/>
      <c r="H4423" s="56" t="n"/>
      <c r="I4423" s="56" t="n"/>
      <c r="J4423" s="58" t="n"/>
      <c r="K4423" s="58" t="n"/>
      <c r="L4423" s="13">
        <f>IF(OR($A4423="",AND($J4423="",$K4423="")),"",ROUND(N($J4423)-N($K4423),2))</f>
        <v/>
      </c>
      <c r="M4423" s="13">
        <f>IF(OR($A4423="",AND($J4423="",$K4423="")),"",MIN($J4423,$K4423))</f>
        <v/>
      </c>
      <c r="Q4423">
        <f>IF($A4423="","",$D4423&amp;"("&amp;SUBSTITUTE($E4423," ","")&amp;")")</f>
        <v/>
      </c>
      <c r="R4423">
        <f>IF($A4423="","",$B4423&amp;" - "&amp;$C4423)</f>
        <v/>
      </c>
      <c r="S4423">
        <f>IF($A4423="","",$R4423&amp;"|"&amp;$Q4423)</f>
        <v/>
      </c>
      <c r="T4423">
        <f>IF($A4423="","",$S4423&amp;"|"&amp;$F4423)</f>
        <v/>
      </c>
      <c r="U4423">
        <f>IF($A4423="","",$R4423&amp;"("&amp;$E4423&amp;")")</f>
        <v/>
      </c>
      <c r="V4423">
        <f>IF($A4423="","",$F4423&amp;"|"&amp;$U4423&amp;"|"&amp;$D4423)</f>
        <v/>
      </c>
      <c r="W4423">
        <f>IF($T4423="","",IF($X4423&gt;N($X4422),$X4423,""))</f>
        <v/>
      </c>
      <c r="X4423">
        <f>IF($T4423="",N($X4422),IF(MATCH($T4423,$T$6:$T$6005,0)=ROW()-5,N($X4422)+1,N($X4422)))</f>
        <v/>
      </c>
      <c r="Z4423">
        <f>IF($V4423="","",IF($AA4423&gt;N($AA4422),$AA4423,""))</f>
        <v/>
      </c>
      <c r="AA4423">
        <f>IF($V4423="",N($AA4422),IF(MATCH($V4423,$V$6:$V$6005,0)=ROW()-5,N($AA4422)+1,N($AA4422)))</f>
        <v/>
      </c>
    </row>
    <row r="4424" ht="21" customHeight="1" s="66">
      <c r="A4424" s="56" t="n"/>
      <c r="B4424" s="57" t="n"/>
      <c r="C4424" s="57" t="n"/>
      <c r="D4424" s="57" t="n"/>
      <c r="E4424" s="56" t="n"/>
      <c r="F4424" s="57" t="n"/>
      <c r="G4424" s="57" t="n"/>
      <c r="H4424" s="56" t="n"/>
      <c r="I4424" s="56" t="n"/>
      <c r="J4424" s="58" t="n"/>
      <c r="K4424" s="58" t="n"/>
      <c r="L4424" s="13">
        <f>IF(OR($A4424="",AND($J4424="",$K4424="")),"",ROUND(N($J4424)-N($K4424),2))</f>
        <v/>
      </c>
      <c r="M4424" s="13">
        <f>IF(OR($A4424="",AND($J4424="",$K4424="")),"",MIN($J4424,$K4424))</f>
        <v/>
      </c>
      <c r="Q4424">
        <f>IF($A4424="","",$D4424&amp;"("&amp;SUBSTITUTE($E4424," ","")&amp;")")</f>
        <v/>
      </c>
      <c r="R4424">
        <f>IF($A4424="","",$B4424&amp;" - "&amp;$C4424)</f>
        <v/>
      </c>
      <c r="S4424">
        <f>IF($A4424="","",$R4424&amp;"|"&amp;$Q4424)</f>
        <v/>
      </c>
      <c r="T4424">
        <f>IF($A4424="","",$S4424&amp;"|"&amp;$F4424)</f>
        <v/>
      </c>
      <c r="U4424">
        <f>IF($A4424="","",$R4424&amp;"("&amp;$E4424&amp;")")</f>
        <v/>
      </c>
      <c r="V4424">
        <f>IF($A4424="","",$F4424&amp;"|"&amp;$U4424&amp;"|"&amp;$D4424)</f>
        <v/>
      </c>
      <c r="W4424">
        <f>IF($T4424="","",IF($X4424&gt;N($X4423),$X4424,""))</f>
        <v/>
      </c>
      <c r="X4424">
        <f>IF($T4424="",N($X4423),IF(MATCH($T4424,$T$6:$T$6005,0)=ROW()-5,N($X4423)+1,N($X4423)))</f>
        <v/>
      </c>
      <c r="Z4424">
        <f>IF($V4424="","",IF($AA4424&gt;N($AA4423),$AA4424,""))</f>
        <v/>
      </c>
      <c r="AA4424">
        <f>IF($V4424="",N($AA4423),IF(MATCH($V4424,$V$6:$V$6005,0)=ROW()-5,N($AA4423)+1,N($AA4423)))</f>
        <v/>
      </c>
    </row>
    <row r="4425" ht="21" customHeight="1" s="66">
      <c r="A4425" s="56" t="n"/>
      <c r="B4425" s="57" t="n"/>
      <c r="C4425" s="57" t="n"/>
      <c r="D4425" s="57" t="n"/>
      <c r="E4425" s="56" t="n"/>
      <c r="F4425" s="57" t="n"/>
      <c r="G4425" s="57" t="n"/>
      <c r="H4425" s="56" t="n"/>
      <c r="I4425" s="56" t="n"/>
      <c r="J4425" s="58" t="n"/>
      <c r="K4425" s="58" t="n"/>
      <c r="L4425" s="13">
        <f>IF(OR($A4425="",AND($J4425="",$K4425="")),"",ROUND(N($J4425)-N($K4425),2))</f>
        <v/>
      </c>
      <c r="M4425" s="13">
        <f>IF(OR($A4425="",AND($J4425="",$K4425="")),"",MIN($J4425,$K4425))</f>
        <v/>
      </c>
      <c r="Q4425">
        <f>IF($A4425="","",$D4425&amp;"("&amp;SUBSTITUTE($E4425," ","")&amp;")")</f>
        <v/>
      </c>
      <c r="R4425">
        <f>IF($A4425="","",$B4425&amp;" - "&amp;$C4425)</f>
        <v/>
      </c>
      <c r="S4425">
        <f>IF($A4425="","",$R4425&amp;"|"&amp;$Q4425)</f>
        <v/>
      </c>
      <c r="T4425">
        <f>IF($A4425="","",$S4425&amp;"|"&amp;$F4425)</f>
        <v/>
      </c>
      <c r="U4425">
        <f>IF($A4425="","",$R4425&amp;"("&amp;$E4425&amp;")")</f>
        <v/>
      </c>
      <c r="V4425">
        <f>IF($A4425="","",$F4425&amp;"|"&amp;$U4425&amp;"|"&amp;$D4425)</f>
        <v/>
      </c>
      <c r="W4425">
        <f>IF($T4425="","",IF($X4425&gt;N($X4424),$X4425,""))</f>
        <v/>
      </c>
      <c r="X4425">
        <f>IF($T4425="",N($X4424),IF(MATCH($T4425,$T$6:$T$6005,0)=ROW()-5,N($X4424)+1,N($X4424)))</f>
        <v/>
      </c>
      <c r="Z4425">
        <f>IF($V4425="","",IF($AA4425&gt;N($AA4424),$AA4425,""))</f>
        <v/>
      </c>
      <c r="AA4425">
        <f>IF($V4425="",N($AA4424),IF(MATCH($V4425,$V$6:$V$6005,0)=ROW()-5,N($AA4424)+1,N($AA4424)))</f>
        <v/>
      </c>
    </row>
    <row r="4426" ht="21" customHeight="1" s="66">
      <c r="A4426" s="56" t="n"/>
      <c r="B4426" s="57" t="n"/>
      <c r="C4426" s="57" t="n"/>
      <c r="D4426" s="57" t="n"/>
      <c r="E4426" s="56" t="n"/>
      <c r="F4426" s="57" t="n"/>
      <c r="G4426" s="57" t="n"/>
      <c r="H4426" s="56" t="n"/>
      <c r="I4426" s="56" t="n"/>
      <c r="J4426" s="58" t="n"/>
      <c r="K4426" s="58" t="n"/>
      <c r="L4426" s="13">
        <f>IF(OR($A4426="",AND($J4426="",$K4426="")),"",ROUND(N($J4426)-N($K4426),2))</f>
        <v/>
      </c>
      <c r="M4426" s="13">
        <f>IF(OR($A4426="",AND($J4426="",$K4426="")),"",MIN($J4426,$K4426))</f>
        <v/>
      </c>
      <c r="Q4426">
        <f>IF($A4426="","",$D4426&amp;"("&amp;SUBSTITUTE($E4426," ","")&amp;")")</f>
        <v/>
      </c>
      <c r="R4426">
        <f>IF($A4426="","",$B4426&amp;" - "&amp;$C4426)</f>
        <v/>
      </c>
      <c r="S4426">
        <f>IF($A4426="","",$R4426&amp;"|"&amp;$Q4426)</f>
        <v/>
      </c>
      <c r="T4426">
        <f>IF($A4426="","",$S4426&amp;"|"&amp;$F4426)</f>
        <v/>
      </c>
      <c r="U4426">
        <f>IF($A4426="","",$R4426&amp;"("&amp;$E4426&amp;")")</f>
        <v/>
      </c>
      <c r="V4426">
        <f>IF($A4426="","",$F4426&amp;"|"&amp;$U4426&amp;"|"&amp;$D4426)</f>
        <v/>
      </c>
      <c r="W4426">
        <f>IF($T4426="","",IF($X4426&gt;N($X4425),$X4426,""))</f>
        <v/>
      </c>
      <c r="X4426">
        <f>IF($T4426="",N($X4425),IF(MATCH($T4426,$T$6:$T$6005,0)=ROW()-5,N($X4425)+1,N($X4425)))</f>
        <v/>
      </c>
      <c r="Z4426">
        <f>IF($V4426="","",IF($AA4426&gt;N($AA4425),$AA4426,""))</f>
        <v/>
      </c>
      <c r="AA4426">
        <f>IF($V4426="",N($AA4425),IF(MATCH($V4426,$V$6:$V$6005,0)=ROW()-5,N($AA4425)+1,N($AA4425)))</f>
        <v/>
      </c>
    </row>
    <row r="4427" ht="21" customHeight="1" s="66">
      <c r="A4427" s="56" t="n"/>
      <c r="B4427" s="57" t="n"/>
      <c r="C4427" s="57" t="n"/>
      <c r="D4427" s="57" t="n"/>
      <c r="E4427" s="56" t="n"/>
      <c r="F4427" s="57" t="n"/>
      <c r="G4427" s="57" t="n"/>
      <c r="H4427" s="56" t="n"/>
      <c r="I4427" s="56" t="n"/>
      <c r="J4427" s="58" t="n"/>
      <c r="K4427" s="58" t="n"/>
      <c r="L4427" s="13">
        <f>IF(OR($A4427="",AND($J4427="",$K4427="")),"",ROUND(N($J4427)-N($K4427),2))</f>
        <v/>
      </c>
      <c r="M4427" s="13">
        <f>IF(OR($A4427="",AND($J4427="",$K4427="")),"",MIN($J4427,$K4427))</f>
        <v/>
      </c>
      <c r="Q4427">
        <f>IF($A4427="","",$D4427&amp;"("&amp;SUBSTITUTE($E4427," ","")&amp;")")</f>
        <v/>
      </c>
      <c r="R4427">
        <f>IF($A4427="","",$B4427&amp;" - "&amp;$C4427)</f>
        <v/>
      </c>
      <c r="S4427">
        <f>IF($A4427="","",$R4427&amp;"|"&amp;$Q4427)</f>
        <v/>
      </c>
      <c r="T4427">
        <f>IF($A4427="","",$S4427&amp;"|"&amp;$F4427)</f>
        <v/>
      </c>
      <c r="U4427">
        <f>IF($A4427="","",$R4427&amp;"("&amp;$E4427&amp;")")</f>
        <v/>
      </c>
      <c r="V4427">
        <f>IF($A4427="","",$F4427&amp;"|"&amp;$U4427&amp;"|"&amp;$D4427)</f>
        <v/>
      </c>
      <c r="W4427">
        <f>IF($T4427="","",IF($X4427&gt;N($X4426),$X4427,""))</f>
        <v/>
      </c>
      <c r="X4427">
        <f>IF($T4427="",N($X4426),IF(MATCH($T4427,$T$6:$T$6005,0)=ROW()-5,N($X4426)+1,N($X4426)))</f>
        <v/>
      </c>
      <c r="Z4427">
        <f>IF($V4427="","",IF($AA4427&gt;N($AA4426),$AA4427,""))</f>
        <v/>
      </c>
      <c r="AA4427">
        <f>IF($V4427="",N($AA4426),IF(MATCH($V4427,$V$6:$V$6005,0)=ROW()-5,N($AA4426)+1,N($AA4426)))</f>
        <v/>
      </c>
    </row>
    <row r="4428" ht="21" customHeight="1" s="66">
      <c r="A4428" s="56" t="n"/>
      <c r="B4428" s="57" t="n"/>
      <c r="C4428" s="57" t="n"/>
      <c r="D4428" s="57" t="n"/>
      <c r="E4428" s="56" t="n"/>
      <c r="F4428" s="57" t="n"/>
      <c r="G4428" s="57" t="n"/>
      <c r="H4428" s="56" t="n"/>
      <c r="I4428" s="56" t="n"/>
      <c r="J4428" s="58" t="n"/>
      <c r="K4428" s="58" t="n"/>
      <c r="L4428" s="13">
        <f>IF(OR($A4428="",AND($J4428="",$K4428="")),"",ROUND(N($J4428)-N($K4428),2))</f>
        <v/>
      </c>
      <c r="M4428" s="13">
        <f>IF(OR($A4428="",AND($J4428="",$K4428="")),"",MIN($J4428,$K4428))</f>
        <v/>
      </c>
      <c r="Q4428">
        <f>IF($A4428="","",$D4428&amp;"("&amp;SUBSTITUTE($E4428," ","")&amp;")")</f>
        <v/>
      </c>
      <c r="R4428">
        <f>IF($A4428="","",$B4428&amp;" - "&amp;$C4428)</f>
        <v/>
      </c>
      <c r="S4428">
        <f>IF($A4428="","",$R4428&amp;"|"&amp;$Q4428)</f>
        <v/>
      </c>
      <c r="T4428">
        <f>IF($A4428="","",$S4428&amp;"|"&amp;$F4428)</f>
        <v/>
      </c>
      <c r="U4428">
        <f>IF($A4428="","",$R4428&amp;"("&amp;$E4428&amp;")")</f>
        <v/>
      </c>
      <c r="V4428">
        <f>IF($A4428="","",$F4428&amp;"|"&amp;$U4428&amp;"|"&amp;$D4428)</f>
        <v/>
      </c>
      <c r="W4428">
        <f>IF($T4428="","",IF($X4428&gt;N($X4427),$X4428,""))</f>
        <v/>
      </c>
      <c r="X4428">
        <f>IF($T4428="",N($X4427),IF(MATCH($T4428,$T$6:$T$6005,0)=ROW()-5,N($X4427)+1,N($X4427)))</f>
        <v/>
      </c>
      <c r="Z4428">
        <f>IF($V4428="","",IF($AA4428&gt;N($AA4427),$AA4428,""))</f>
        <v/>
      </c>
      <c r="AA4428">
        <f>IF($V4428="",N($AA4427),IF(MATCH($V4428,$V$6:$V$6005,0)=ROW()-5,N($AA4427)+1,N($AA4427)))</f>
        <v/>
      </c>
    </row>
    <row r="4429" ht="21" customHeight="1" s="66">
      <c r="A4429" s="56" t="n"/>
      <c r="B4429" s="57" t="n"/>
      <c r="C4429" s="57" t="n"/>
      <c r="D4429" s="57" t="n"/>
      <c r="E4429" s="56" t="n"/>
      <c r="F4429" s="57" t="n"/>
      <c r="G4429" s="57" t="n"/>
      <c r="H4429" s="56" t="n"/>
      <c r="I4429" s="56" t="n"/>
      <c r="J4429" s="58" t="n"/>
      <c r="K4429" s="58" t="n"/>
      <c r="L4429" s="13">
        <f>IF(OR($A4429="",AND($J4429="",$K4429="")),"",ROUND(N($J4429)-N($K4429),2))</f>
        <v/>
      </c>
      <c r="M4429" s="13">
        <f>IF(OR($A4429="",AND($J4429="",$K4429="")),"",MIN($J4429,$K4429))</f>
        <v/>
      </c>
      <c r="Q4429">
        <f>IF($A4429="","",$D4429&amp;"("&amp;SUBSTITUTE($E4429," ","")&amp;")")</f>
        <v/>
      </c>
      <c r="R4429">
        <f>IF($A4429="","",$B4429&amp;" - "&amp;$C4429)</f>
        <v/>
      </c>
      <c r="S4429">
        <f>IF($A4429="","",$R4429&amp;"|"&amp;$Q4429)</f>
        <v/>
      </c>
      <c r="T4429">
        <f>IF($A4429="","",$S4429&amp;"|"&amp;$F4429)</f>
        <v/>
      </c>
      <c r="U4429">
        <f>IF($A4429="","",$R4429&amp;"("&amp;$E4429&amp;")")</f>
        <v/>
      </c>
      <c r="V4429">
        <f>IF($A4429="","",$F4429&amp;"|"&amp;$U4429&amp;"|"&amp;$D4429)</f>
        <v/>
      </c>
      <c r="W4429">
        <f>IF($T4429="","",IF($X4429&gt;N($X4428),$X4429,""))</f>
        <v/>
      </c>
      <c r="X4429">
        <f>IF($T4429="",N($X4428),IF(MATCH($T4429,$T$6:$T$6005,0)=ROW()-5,N($X4428)+1,N($X4428)))</f>
        <v/>
      </c>
      <c r="Z4429">
        <f>IF($V4429="","",IF($AA4429&gt;N($AA4428),$AA4429,""))</f>
        <v/>
      </c>
      <c r="AA4429">
        <f>IF($V4429="",N($AA4428),IF(MATCH($V4429,$V$6:$V$6005,0)=ROW()-5,N($AA4428)+1,N($AA4428)))</f>
        <v/>
      </c>
    </row>
    <row r="4430" ht="21" customHeight="1" s="66">
      <c r="A4430" s="56" t="n"/>
      <c r="B4430" s="57" t="n"/>
      <c r="C4430" s="57" t="n"/>
      <c r="D4430" s="57" t="n"/>
      <c r="E4430" s="56" t="n"/>
      <c r="F4430" s="57" t="n"/>
      <c r="G4430" s="57" t="n"/>
      <c r="H4430" s="56" t="n"/>
      <c r="I4430" s="56" t="n"/>
      <c r="J4430" s="58" t="n"/>
      <c r="K4430" s="58" t="n"/>
      <c r="L4430" s="13">
        <f>IF(OR($A4430="",AND($J4430="",$K4430="")),"",ROUND(N($J4430)-N($K4430),2))</f>
        <v/>
      </c>
      <c r="M4430" s="13">
        <f>IF(OR($A4430="",AND($J4430="",$K4430="")),"",MIN($J4430,$K4430))</f>
        <v/>
      </c>
      <c r="Q4430">
        <f>IF($A4430="","",$D4430&amp;"("&amp;SUBSTITUTE($E4430," ","")&amp;")")</f>
        <v/>
      </c>
      <c r="R4430">
        <f>IF($A4430="","",$B4430&amp;" - "&amp;$C4430)</f>
        <v/>
      </c>
      <c r="S4430">
        <f>IF($A4430="","",$R4430&amp;"|"&amp;$Q4430)</f>
        <v/>
      </c>
      <c r="T4430">
        <f>IF($A4430="","",$S4430&amp;"|"&amp;$F4430)</f>
        <v/>
      </c>
      <c r="U4430">
        <f>IF($A4430="","",$R4430&amp;"("&amp;$E4430&amp;")")</f>
        <v/>
      </c>
      <c r="V4430">
        <f>IF($A4430="","",$F4430&amp;"|"&amp;$U4430&amp;"|"&amp;$D4430)</f>
        <v/>
      </c>
      <c r="W4430">
        <f>IF($T4430="","",IF($X4430&gt;N($X4429),$X4430,""))</f>
        <v/>
      </c>
      <c r="X4430">
        <f>IF($T4430="",N($X4429),IF(MATCH($T4430,$T$6:$T$6005,0)=ROW()-5,N($X4429)+1,N($X4429)))</f>
        <v/>
      </c>
      <c r="Z4430">
        <f>IF($V4430="","",IF($AA4430&gt;N($AA4429),$AA4430,""))</f>
        <v/>
      </c>
      <c r="AA4430">
        <f>IF($V4430="",N($AA4429),IF(MATCH($V4430,$V$6:$V$6005,0)=ROW()-5,N($AA4429)+1,N($AA4429)))</f>
        <v/>
      </c>
    </row>
    <row r="4431" ht="21" customHeight="1" s="66">
      <c r="A4431" s="56" t="n"/>
      <c r="B4431" s="57" t="n"/>
      <c r="C4431" s="57" t="n"/>
      <c r="D4431" s="57" t="n"/>
      <c r="E4431" s="56" t="n"/>
      <c r="F4431" s="57" t="n"/>
      <c r="G4431" s="57" t="n"/>
      <c r="H4431" s="56" t="n"/>
      <c r="I4431" s="56" t="n"/>
      <c r="J4431" s="58" t="n"/>
      <c r="K4431" s="58" t="n"/>
      <c r="L4431" s="13">
        <f>IF(OR($A4431="",AND($J4431="",$K4431="")),"",ROUND(N($J4431)-N($K4431),2))</f>
        <v/>
      </c>
      <c r="M4431" s="13">
        <f>IF(OR($A4431="",AND($J4431="",$K4431="")),"",MIN($J4431,$K4431))</f>
        <v/>
      </c>
      <c r="Q4431">
        <f>IF($A4431="","",$D4431&amp;"("&amp;SUBSTITUTE($E4431," ","")&amp;")")</f>
        <v/>
      </c>
      <c r="R4431">
        <f>IF($A4431="","",$B4431&amp;" - "&amp;$C4431)</f>
        <v/>
      </c>
      <c r="S4431">
        <f>IF($A4431="","",$R4431&amp;"|"&amp;$Q4431)</f>
        <v/>
      </c>
      <c r="T4431">
        <f>IF($A4431="","",$S4431&amp;"|"&amp;$F4431)</f>
        <v/>
      </c>
      <c r="U4431">
        <f>IF($A4431="","",$R4431&amp;"("&amp;$E4431&amp;")")</f>
        <v/>
      </c>
      <c r="V4431">
        <f>IF($A4431="","",$F4431&amp;"|"&amp;$U4431&amp;"|"&amp;$D4431)</f>
        <v/>
      </c>
      <c r="W4431">
        <f>IF($T4431="","",IF($X4431&gt;N($X4430),$X4431,""))</f>
        <v/>
      </c>
      <c r="X4431">
        <f>IF($T4431="",N($X4430),IF(MATCH($T4431,$T$6:$T$6005,0)=ROW()-5,N($X4430)+1,N($X4430)))</f>
        <v/>
      </c>
      <c r="Z4431">
        <f>IF($V4431="","",IF($AA4431&gt;N($AA4430),$AA4431,""))</f>
        <v/>
      </c>
      <c r="AA4431">
        <f>IF($V4431="",N($AA4430),IF(MATCH($V4431,$V$6:$V$6005,0)=ROW()-5,N($AA4430)+1,N($AA4430)))</f>
        <v/>
      </c>
    </row>
    <row r="4432" ht="21" customHeight="1" s="66">
      <c r="A4432" s="56" t="n"/>
      <c r="B4432" s="57" t="n"/>
      <c r="C4432" s="57" t="n"/>
      <c r="D4432" s="57" t="n"/>
      <c r="E4432" s="56" t="n"/>
      <c r="F4432" s="57" t="n"/>
      <c r="G4432" s="57" t="n"/>
      <c r="H4432" s="56" t="n"/>
      <c r="I4432" s="56" t="n"/>
      <c r="J4432" s="58" t="n"/>
      <c r="K4432" s="58" t="n"/>
      <c r="L4432" s="13">
        <f>IF(OR($A4432="",AND($J4432="",$K4432="")),"",ROUND(N($J4432)-N($K4432),2))</f>
        <v/>
      </c>
      <c r="M4432" s="13">
        <f>IF(OR($A4432="",AND($J4432="",$K4432="")),"",MIN($J4432,$K4432))</f>
        <v/>
      </c>
      <c r="Q4432">
        <f>IF($A4432="","",$D4432&amp;"("&amp;SUBSTITUTE($E4432," ","")&amp;")")</f>
        <v/>
      </c>
      <c r="R4432">
        <f>IF($A4432="","",$B4432&amp;" - "&amp;$C4432)</f>
        <v/>
      </c>
      <c r="S4432">
        <f>IF($A4432="","",$R4432&amp;"|"&amp;$Q4432)</f>
        <v/>
      </c>
      <c r="T4432">
        <f>IF($A4432="","",$S4432&amp;"|"&amp;$F4432)</f>
        <v/>
      </c>
      <c r="U4432">
        <f>IF($A4432="","",$R4432&amp;"("&amp;$E4432&amp;")")</f>
        <v/>
      </c>
      <c r="V4432">
        <f>IF($A4432="","",$F4432&amp;"|"&amp;$U4432&amp;"|"&amp;$D4432)</f>
        <v/>
      </c>
      <c r="W4432">
        <f>IF($T4432="","",IF($X4432&gt;N($X4431),$X4432,""))</f>
        <v/>
      </c>
      <c r="X4432">
        <f>IF($T4432="",N($X4431),IF(MATCH($T4432,$T$6:$T$6005,0)=ROW()-5,N($X4431)+1,N($X4431)))</f>
        <v/>
      </c>
      <c r="Z4432">
        <f>IF($V4432="","",IF($AA4432&gt;N($AA4431),$AA4432,""))</f>
        <v/>
      </c>
      <c r="AA4432">
        <f>IF($V4432="",N($AA4431),IF(MATCH($V4432,$V$6:$V$6005,0)=ROW()-5,N($AA4431)+1,N($AA4431)))</f>
        <v/>
      </c>
    </row>
    <row r="4433" ht="21" customHeight="1" s="66">
      <c r="A4433" s="56" t="n"/>
      <c r="B4433" s="57" t="n"/>
      <c r="C4433" s="57" t="n"/>
      <c r="D4433" s="57" t="n"/>
      <c r="E4433" s="56" t="n"/>
      <c r="F4433" s="57" t="n"/>
      <c r="G4433" s="57" t="n"/>
      <c r="H4433" s="56" t="n"/>
      <c r="I4433" s="56" t="n"/>
      <c r="J4433" s="58" t="n"/>
      <c r="K4433" s="58" t="n"/>
      <c r="L4433" s="13">
        <f>IF(OR($A4433="",AND($J4433="",$K4433="")),"",ROUND(N($J4433)-N($K4433),2))</f>
        <v/>
      </c>
      <c r="M4433" s="13">
        <f>IF(OR($A4433="",AND($J4433="",$K4433="")),"",MIN($J4433,$K4433))</f>
        <v/>
      </c>
      <c r="Q4433">
        <f>IF($A4433="","",$D4433&amp;"("&amp;SUBSTITUTE($E4433," ","")&amp;")")</f>
        <v/>
      </c>
      <c r="R4433">
        <f>IF($A4433="","",$B4433&amp;" - "&amp;$C4433)</f>
        <v/>
      </c>
      <c r="S4433">
        <f>IF($A4433="","",$R4433&amp;"|"&amp;$Q4433)</f>
        <v/>
      </c>
      <c r="T4433">
        <f>IF($A4433="","",$S4433&amp;"|"&amp;$F4433)</f>
        <v/>
      </c>
      <c r="U4433">
        <f>IF($A4433="","",$R4433&amp;"("&amp;$E4433&amp;")")</f>
        <v/>
      </c>
      <c r="V4433">
        <f>IF($A4433="","",$F4433&amp;"|"&amp;$U4433&amp;"|"&amp;$D4433)</f>
        <v/>
      </c>
      <c r="W4433">
        <f>IF($T4433="","",IF($X4433&gt;N($X4432),$X4433,""))</f>
        <v/>
      </c>
      <c r="X4433">
        <f>IF($T4433="",N($X4432),IF(MATCH($T4433,$T$6:$T$6005,0)=ROW()-5,N($X4432)+1,N($X4432)))</f>
        <v/>
      </c>
      <c r="Z4433">
        <f>IF($V4433="","",IF($AA4433&gt;N($AA4432),$AA4433,""))</f>
        <v/>
      </c>
      <c r="AA4433">
        <f>IF($V4433="",N($AA4432),IF(MATCH($V4433,$V$6:$V$6005,0)=ROW()-5,N($AA4432)+1,N($AA4432)))</f>
        <v/>
      </c>
    </row>
    <row r="4434" ht="21" customHeight="1" s="66">
      <c r="A4434" s="56" t="n"/>
      <c r="B4434" s="57" t="n"/>
      <c r="C4434" s="57" t="n"/>
      <c r="D4434" s="57" t="n"/>
      <c r="E4434" s="56" t="n"/>
      <c r="F4434" s="57" t="n"/>
      <c r="G4434" s="57" t="n"/>
      <c r="H4434" s="56" t="n"/>
      <c r="I4434" s="56" t="n"/>
      <c r="J4434" s="58" t="n"/>
      <c r="K4434" s="58" t="n"/>
      <c r="L4434" s="13">
        <f>IF(OR($A4434="",AND($J4434="",$K4434="")),"",ROUND(N($J4434)-N($K4434),2))</f>
        <v/>
      </c>
      <c r="M4434" s="13">
        <f>IF(OR($A4434="",AND($J4434="",$K4434="")),"",MIN($J4434,$K4434))</f>
        <v/>
      </c>
      <c r="Q4434">
        <f>IF($A4434="","",$D4434&amp;"("&amp;SUBSTITUTE($E4434," ","")&amp;")")</f>
        <v/>
      </c>
      <c r="R4434">
        <f>IF($A4434="","",$B4434&amp;" - "&amp;$C4434)</f>
        <v/>
      </c>
      <c r="S4434">
        <f>IF($A4434="","",$R4434&amp;"|"&amp;$Q4434)</f>
        <v/>
      </c>
      <c r="T4434">
        <f>IF($A4434="","",$S4434&amp;"|"&amp;$F4434)</f>
        <v/>
      </c>
      <c r="U4434">
        <f>IF($A4434="","",$R4434&amp;"("&amp;$E4434&amp;")")</f>
        <v/>
      </c>
      <c r="V4434">
        <f>IF($A4434="","",$F4434&amp;"|"&amp;$U4434&amp;"|"&amp;$D4434)</f>
        <v/>
      </c>
      <c r="W4434">
        <f>IF($T4434="","",IF($X4434&gt;N($X4433),$X4434,""))</f>
        <v/>
      </c>
      <c r="X4434">
        <f>IF($T4434="",N($X4433),IF(MATCH($T4434,$T$6:$T$6005,0)=ROW()-5,N($X4433)+1,N($X4433)))</f>
        <v/>
      </c>
      <c r="Z4434">
        <f>IF($V4434="","",IF($AA4434&gt;N($AA4433),$AA4434,""))</f>
        <v/>
      </c>
      <c r="AA4434">
        <f>IF($V4434="",N($AA4433),IF(MATCH($V4434,$V$6:$V$6005,0)=ROW()-5,N($AA4433)+1,N($AA4433)))</f>
        <v/>
      </c>
    </row>
    <row r="4435" ht="21" customHeight="1" s="66">
      <c r="A4435" s="56" t="n"/>
      <c r="B4435" s="57" t="n"/>
      <c r="C4435" s="57" t="n"/>
      <c r="D4435" s="57" t="n"/>
      <c r="E4435" s="56" t="n"/>
      <c r="F4435" s="57" t="n"/>
      <c r="G4435" s="57" t="n"/>
      <c r="H4435" s="56" t="n"/>
      <c r="I4435" s="56" t="n"/>
      <c r="J4435" s="58" t="n"/>
      <c r="K4435" s="58" t="n"/>
      <c r="L4435" s="13">
        <f>IF(OR($A4435="",AND($J4435="",$K4435="")),"",ROUND(N($J4435)-N($K4435),2))</f>
        <v/>
      </c>
      <c r="M4435" s="13">
        <f>IF(OR($A4435="",AND($J4435="",$K4435="")),"",MIN($J4435,$K4435))</f>
        <v/>
      </c>
      <c r="Q4435">
        <f>IF($A4435="","",$D4435&amp;"("&amp;SUBSTITUTE($E4435," ","")&amp;")")</f>
        <v/>
      </c>
      <c r="R4435">
        <f>IF($A4435="","",$B4435&amp;" - "&amp;$C4435)</f>
        <v/>
      </c>
      <c r="S4435">
        <f>IF($A4435="","",$R4435&amp;"|"&amp;$Q4435)</f>
        <v/>
      </c>
      <c r="T4435">
        <f>IF($A4435="","",$S4435&amp;"|"&amp;$F4435)</f>
        <v/>
      </c>
      <c r="U4435">
        <f>IF($A4435="","",$R4435&amp;"("&amp;$E4435&amp;")")</f>
        <v/>
      </c>
      <c r="V4435">
        <f>IF($A4435="","",$F4435&amp;"|"&amp;$U4435&amp;"|"&amp;$D4435)</f>
        <v/>
      </c>
      <c r="W4435">
        <f>IF($T4435="","",IF($X4435&gt;N($X4434),$X4435,""))</f>
        <v/>
      </c>
      <c r="X4435">
        <f>IF($T4435="",N($X4434),IF(MATCH($T4435,$T$6:$T$6005,0)=ROW()-5,N($X4434)+1,N($X4434)))</f>
        <v/>
      </c>
      <c r="Z4435">
        <f>IF($V4435="","",IF($AA4435&gt;N($AA4434),$AA4435,""))</f>
        <v/>
      </c>
      <c r="AA4435">
        <f>IF($V4435="",N($AA4434),IF(MATCH($V4435,$V$6:$V$6005,0)=ROW()-5,N($AA4434)+1,N($AA4434)))</f>
        <v/>
      </c>
    </row>
    <row r="4436" ht="21" customHeight="1" s="66">
      <c r="A4436" s="56" t="n"/>
      <c r="B4436" s="57" t="n"/>
      <c r="C4436" s="57" t="n"/>
      <c r="D4436" s="57" t="n"/>
      <c r="E4436" s="56" t="n"/>
      <c r="F4436" s="57" t="n"/>
      <c r="G4436" s="57" t="n"/>
      <c r="H4436" s="56" t="n"/>
      <c r="I4436" s="56" t="n"/>
      <c r="J4436" s="58" t="n"/>
      <c r="K4436" s="58" t="n"/>
      <c r="L4436" s="13">
        <f>IF(OR($A4436="",AND($J4436="",$K4436="")),"",ROUND(N($J4436)-N($K4436),2))</f>
        <v/>
      </c>
      <c r="M4436" s="13">
        <f>IF(OR($A4436="",AND($J4436="",$K4436="")),"",MIN($J4436,$K4436))</f>
        <v/>
      </c>
      <c r="Q4436">
        <f>IF($A4436="","",$D4436&amp;"("&amp;SUBSTITUTE($E4436," ","")&amp;")")</f>
        <v/>
      </c>
      <c r="R4436">
        <f>IF($A4436="","",$B4436&amp;" - "&amp;$C4436)</f>
        <v/>
      </c>
      <c r="S4436">
        <f>IF($A4436="","",$R4436&amp;"|"&amp;$Q4436)</f>
        <v/>
      </c>
      <c r="T4436">
        <f>IF($A4436="","",$S4436&amp;"|"&amp;$F4436)</f>
        <v/>
      </c>
      <c r="U4436">
        <f>IF($A4436="","",$R4436&amp;"("&amp;$E4436&amp;")")</f>
        <v/>
      </c>
      <c r="V4436">
        <f>IF($A4436="","",$F4436&amp;"|"&amp;$U4436&amp;"|"&amp;$D4436)</f>
        <v/>
      </c>
      <c r="W4436">
        <f>IF($T4436="","",IF($X4436&gt;N($X4435),$X4436,""))</f>
        <v/>
      </c>
      <c r="X4436">
        <f>IF($T4436="",N($X4435),IF(MATCH($T4436,$T$6:$T$6005,0)=ROW()-5,N($X4435)+1,N($X4435)))</f>
        <v/>
      </c>
      <c r="Z4436">
        <f>IF($V4436="","",IF($AA4436&gt;N($AA4435),$AA4436,""))</f>
        <v/>
      </c>
      <c r="AA4436">
        <f>IF($V4436="",N($AA4435),IF(MATCH($V4436,$V$6:$V$6005,0)=ROW()-5,N($AA4435)+1,N($AA4435)))</f>
        <v/>
      </c>
    </row>
    <row r="4437" ht="21" customHeight="1" s="66">
      <c r="A4437" s="56" t="n"/>
      <c r="B4437" s="57" t="n"/>
      <c r="C4437" s="57" t="n"/>
      <c r="D4437" s="57" t="n"/>
      <c r="E4437" s="56" t="n"/>
      <c r="F4437" s="57" t="n"/>
      <c r="G4437" s="57" t="n"/>
      <c r="H4437" s="56" t="n"/>
      <c r="I4437" s="56" t="n"/>
      <c r="J4437" s="58" t="n"/>
      <c r="K4437" s="58" t="n"/>
      <c r="L4437" s="13">
        <f>IF(OR($A4437="",AND($J4437="",$K4437="")),"",ROUND(N($J4437)-N($K4437),2))</f>
        <v/>
      </c>
      <c r="M4437" s="13">
        <f>IF(OR($A4437="",AND($J4437="",$K4437="")),"",MIN($J4437,$K4437))</f>
        <v/>
      </c>
      <c r="Q4437">
        <f>IF($A4437="","",$D4437&amp;"("&amp;SUBSTITUTE($E4437," ","")&amp;")")</f>
        <v/>
      </c>
      <c r="R4437">
        <f>IF($A4437="","",$B4437&amp;" - "&amp;$C4437)</f>
        <v/>
      </c>
      <c r="S4437">
        <f>IF($A4437="","",$R4437&amp;"|"&amp;$Q4437)</f>
        <v/>
      </c>
      <c r="T4437">
        <f>IF($A4437="","",$S4437&amp;"|"&amp;$F4437)</f>
        <v/>
      </c>
      <c r="U4437">
        <f>IF($A4437="","",$R4437&amp;"("&amp;$E4437&amp;")")</f>
        <v/>
      </c>
      <c r="V4437">
        <f>IF($A4437="","",$F4437&amp;"|"&amp;$U4437&amp;"|"&amp;$D4437)</f>
        <v/>
      </c>
      <c r="W4437">
        <f>IF($T4437="","",IF($X4437&gt;N($X4436),$X4437,""))</f>
        <v/>
      </c>
      <c r="X4437">
        <f>IF($T4437="",N($X4436),IF(MATCH($T4437,$T$6:$T$6005,0)=ROW()-5,N($X4436)+1,N($X4436)))</f>
        <v/>
      </c>
      <c r="Z4437">
        <f>IF($V4437="","",IF($AA4437&gt;N($AA4436),$AA4437,""))</f>
        <v/>
      </c>
      <c r="AA4437">
        <f>IF($V4437="",N($AA4436),IF(MATCH($V4437,$V$6:$V$6005,0)=ROW()-5,N($AA4436)+1,N($AA4436)))</f>
        <v/>
      </c>
    </row>
    <row r="4438" ht="21" customHeight="1" s="66">
      <c r="A4438" s="56" t="n"/>
      <c r="B4438" s="57" t="n"/>
      <c r="C4438" s="57" t="n"/>
      <c r="D4438" s="57" t="n"/>
      <c r="E4438" s="56" t="n"/>
      <c r="F4438" s="57" t="n"/>
      <c r="G4438" s="57" t="n"/>
      <c r="H4438" s="56" t="n"/>
      <c r="I4438" s="56" t="n"/>
      <c r="J4438" s="58" t="n"/>
      <c r="K4438" s="58" t="n"/>
      <c r="L4438" s="13">
        <f>IF(OR($A4438="",AND($J4438="",$K4438="")),"",ROUND(N($J4438)-N($K4438),2))</f>
        <v/>
      </c>
      <c r="M4438" s="13">
        <f>IF(OR($A4438="",AND($J4438="",$K4438="")),"",MIN($J4438,$K4438))</f>
        <v/>
      </c>
      <c r="Q4438">
        <f>IF($A4438="","",$D4438&amp;"("&amp;SUBSTITUTE($E4438," ","")&amp;")")</f>
        <v/>
      </c>
      <c r="R4438">
        <f>IF($A4438="","",$B4438&amp;" - "&amp;$C4438)</f>
        <v/>
      </c>
      <c r="S4438">
        <f>IF($A4438="","",$R4438&amp;"|"&amp;$Q4438)</f>
        <v/>
      </c>
      <c r="T4438">
        <f>IF($A4438="","",$S4438&amp;"|"&amp;$F4438)</f>
        <v/>
      </c>
      <c r="U4438">
        <f>IF($A4438="","",$R4438&amp;"("&amp;$E4438&amp;")")</f>
        <v/>
      </c>
      <c r="V4438">
        <f>IF($A4438="","",$F4438&amp;"|"&amp;$U4438&amp;"|"&amp;$D4438)</f>
        <v/>
      </c>
      <c r="W4438">
        <f>IF($T4438="","",IF($X4438&gt;N($X4437),$X4438,""))</f>
        <v/>
      </c>
      <c r="X4438">
        <f>IF($T4438="",N($X4437),IF(MATCH($T4438,$T$6:$T$6005,0)=ROW()-5,N($X4437)+1,N($X4437)))</f>
        <v/>
      </c>
      <c r="Z4438">
        <f>IF($V4438="","",IF($AA4438&gt;N($AA4437),$AA4438,""))</f>
        <v/>
      </c>
      <c r="AA4438">
        <f>IF($V4438="",N($AA4437),IF(MATCH($V4438,$V$6:$V$6005,0)=ROW()-5,N($AA4437)+1,N($AA4437)))</f>
        <v/>
      </c>
    </row>
    <row r="4439" ht="21" customHeight="1" s="66">
      <c r="A4439" s="56" t="n"/>
      <c r="B4439" s="57" t="n"/>
      <c r="C4439" s="57" t="n"/>
      <c r="D4439" s="57" t="n"/>
      <c r="E4439" s="56" t="n"/>
      <c r="F4439" s="57" t="n"/>
      <c r="G4439" s="57" t="n"/>
      <c r="H4439" s="56" t="n"/>
      <c r="I4439" s="56" t="n"/>
      <c r="J4439" s="58" t="n"/>
      <c r="K4439" s="58" t="n"/>
      <c r="L4439" s="13">
        <f>IF(OR($A4439="",AND($J4439="",$K4439="")),"",ROUND(N($J4439)-N($K4439),2))</f>
        <v/>
      </c>
      <c r="M4439" s="13">
        <f>IF(OR($A4439="",AND($J4439="",$K4439="")),"",MIN($J4439,$K4439))</f>
        <v/>
      </c>
      <c r="Q4439">
        <f>IF($A4439="","",$D4439&amp;"("&amp;SUBSTITUTE($E4439," ","")&amp;")")</f>
        <v/>
      </c>
      <c r="R4439">
        <f>IF($A4439="","",$B4439&amp;" - "&amp;$C4439)</f>
        <v/>
      </c>
      <c r="S4439">
        <f>IF($A4439="","",$R4439&amp;"|"&amp;$Q4439)</f>
        <v/>
      </c>
      <c r="T4439">
        <f>IF($A4439="","",$S4439&amp;"|"&amp;$F4439)</f>
        <v/>
      </c>
      <c r="U4439">
        <f>IF($A4439="","",$R4439&amp;"("&amp;$E4439&amp;")")</f>
        <v/>
      </c>
      <c r="V4439">
        <f>IF($A4439="","",$F4439&amp;"|"&amp;$U4439&amp;"|"&amp;$D4439)</f>
        <v/>
      </c>
      <c r="W4439">
        <f>IF($T4439="","",IF($X4439&gt;N($X4438),$X4439,""))</f>
        <v/>
      </c>
      <c r="X4439">
        <f>IF($T4439="",N($X4438),IF(MATCH($T4439,$T$6:$T$6005,0)=ROW()-5,N($X4438)+1,N($X4438)))</f>
        <v/>
      </c>
      <c r="Z4439">
        <f>IF($V4439="","",IF($AA4439&gt;N($AA4438),$AA4439,""))</f>
        <v/>
      </c>
      <c r="AA4439">
        <f>IF($V4439="",N($AA4438),IF(MATCH($V4439,$V$6:$V$6005,0)=ROW()-5,N($AA4438)+1,N($AA4438)))</f>
        <v/>
      </c>
    </row>
    <row r="4440" ht="21" customHeight="1" s="66">
      <c r="A4440" s="56" t="n"/>
      <c r="B4440" s="57" t="n"/>
      <c r="C4440" s="57" t="n"/>
      <c r="D4440" s="57" t="n"/>
      <c r="E4440" s="56" t="n"/>
      <c r="F4440" s="57" t="n"/>
      <c r="G4440" s="57" t="n"/>
      <c r="H4440" s="56" t="n"/>
      <c r="I4440" s="56" t="n"/>
      <c r="J4440" s="58" t="n"/>
      <c r="K4440" s="58" t="n"/>
      <c r="L4440" s="13">
        <f>IF(OR($A4440="",AND($J4440="",$K4440="")),"",ROUND(N($J4440)-N($K4440),2))</f>
        <v/>
      </c>
      <c r="M4440" s="13">
        <f>IF(OR($A4440="",AND($J4440="",$K4440="")),"",MIN($J4440,$K4440))</f>
        <v/>
      </c>
      <c r="Q4440">
        <f>IF($A4440="","",$D4440&amp;"("&amp;SUBSTITUTE($E4440," ","")&amp;")")</f>
        <v/>
      </c>
      <c r="R4440">
        <f>IF($A4440="","",$B4440&amp;" - "&amp;$C4440)</f>
        <v/>
      </c>
      <c r="S4440">
        <f>IF($A4440="","",$R4440&amp;"|"&amp;$Q4440)</f>
        <v/>
      </c>
      <c r="T4440">
        <f>IF($A4440="","",$S4440&amp;"|"&amp;$F4440)</f>
        <v/>
      </c>
      <c r="U4440">
        <f>IF($A4440="","",$R4440&amp;"("&amp;$E4440&amp;")")</f>
        <v/>
      </c>
      <c r="V4440">
        <f>IF($A4440="","",$F4440&amp;"|"&amp;$U4440&amp;"|"&amp;$D4440)</f>
        <v/>
      </c>
      <c r="W4440">
        <f>IF($T4440="","",IF($X4440&gt;N($X4439),$X4440,""))</f>
        <v/>
      </c>
      <c r="X4440">
        <f>IF($T4440="",N($X4439),IF(MATCH($T4440,$T$6:$T$6005,0)=ROW()-5,N($X4439)+1,N($X4439)))</f>
        <v/>
      </c>
      <c r="Z4440">
        <f>IF($V4440="","",IF($AA4440&gt;N($AA4439),$AA4440,""))</f>
        <v/>
      </c>
      <c r="AA4440">
        <f>IF($V4440="",N($AA4439),IF(MATCH($V4440,$V$6:$V$6005,0)=ROW()-5,N($AA4439)+1,N($AA4439)))</f>
        <v/>
      </c>
    </row>
    <row r="4441" ht="21" customHeight="1" s="66">
      <c r="A4441" s="56" t="n"/>
      <c r="B4441" s="57" t="n"/>
      <c r="C4441" s="57" t="n"/>
      <c r="D4441" s="57" t="n"/>
      <c r="E4441" s="56" t="n"/>
      <c r="F4441" s="57" t="n"/>
      <c r="G4441" s="57" t="n"/>
      <c r="H4441" s="56" t="n"/>
      <c r="I4441" s="56" t="n"/>
      <c r="J4441" s="58" t="n"/>
      <c r="K4441" s="58" t="n"/>
      <c r="L4441" s="13">
        <f>IF(OR($A4441="",AND($J4441="",$K4441="")),"",ROUND(N($J4441)-N($K4441),2))</f>
        <v/>
      </c>
      <c r="M4441" s="13">
        <f>IF(OR($A4441="",AND($J4441="",$K4441="")),"",MIN($J4441,$K4441))</f>
        <v/>
      </c>
      <c r="Q4441">
        <f>IF($A4441="","",$D4441&amp;"("&amp;SUBSTITUTE($E4441," ","")&amp;")")</f>
        <v/>
      </c>
      <c r="R4441">
        <f>IF($A4441="","",$B4441&amp;" - "&amp;$C4441)</f>
        <v/>
      </c>
      <c r="S4441">
        <f>IF($A4441="","",$R4441&amp;"|"&amp;$Q4441)</f>
        <v/>
      </c>
      <c r="T4441">
        <f>IF($A4441="","",$S4441&amp;"|"&amp;$F4441)</f>
        <v/>
      </c>
      <c r="U4441">
        <f>IF($A4441="","",$R4441&amp;"("&amp;$E4441&amp;")")</f>
        <v/>
      </c>
      <c r="V4441">
        <f>IF($A4441="","",$F4441&amp;"|"&amp;$U4441&amp;"|"&amp;$D4441)</f>
        <v/>
      </c>
      <c r="W4441">
        <f>IF($T4441="","",IF($X4441&gt;N($X4440),$X4441,""))</f>
        <v/>
      </c>
      <c r="X4441">
        <f>IF($T4441="",N($X4440),IF(MATCH($T4441,$T$6:$T$6005,0)=ROW()-5,N($X4440)+1,N($X4440)))</f>
        <v/>
      </c>
      <c r="Z4441">
        <f>IF($V4441="","",IF($AA4441&gt;N($AA4440),$AA4441,""))</f>
        <v/>
      </c>
      <c r="AA4441">
        <f>IF($V4441="",N($AA4440),IF(MATCH($V4441,$V$6:$V$6005,0)=ROW()-5,N($AA4440)+1,N($AA4440)))</f>
        <v/>
      </c>
    </row>
    <row r="4442" ht="21" customHeight="1" s="66">
      <c r="A4442" s="56" t="n"/>
      <c r="B4442" s="57" t="n"/>
      <c r="C4442" s="57" t="n"/>
      <c r="D4442" s="57" t="n"/>
      <c r="E4442" s="56" t="n"/>
      <c r="F4442" s="57" t="n"/>
      <c r="G4442" s="57" t="n"/>
      <c r="H4442" s="56" t="n"/>
      <c r="I4442" s="56" t="n"/>
      <c r="J4442" s="58" t="n"/>
      <c r="K4442" s="58" t="n"/>
      <c r="L4442" s="13">
        <f>IF(OR($A4442="",AND($J4442="",$K4442="")),"",ROUND(N($J4442)-N($K4442),2))</f>
        <v/>
      </c>
      <c r="M4442" s="13">
        <f>IF(OR($A4442="",AND($J4442="",$K4442="")),"",MIN($J4442,$K4442))</f>
        <v/>
      </c>
      <c r="Q4442">
        <f>IF($A4442="","",$D4442&amp;"("&amp;SUBSTITUTE($E4442," ","")&amp;")")</f>
        <v/>
      </c>
      <c r="R4442">
        <f>IF($A4442="","",$B4442&amp;" - "&amp;$C4442)</f>
        <v/>
      </c>
      <c r="S4442">
        <f>IF($A4442="","",$R4442&amp;"|"&amp;$Q4442)</f>
        <v/>
      </c>
      <c r="T4442">
        <f>IF($A4442="","",$S4442&amp;"|"&amp;$F4442)</f>
        <v/>
      </c>
      <c r="U4442">
        <f>IF($A4442="","",$R4442&amp;"("&amp;$E4442&amp;")")</f>
        <v/>
      </c>
      <c r="V4442">
        <f>IF($A4442="","",$F4442&amp;"|"&amp;$U4442&amp;"|"&amp;$D4442)</f>
        <v/>
      </c>
      <c r="W4442">
        <f>IF($T4442="","",IF($X4442&gt;N($X4441),$X4442,""))</f>
        <v/>
      </c>
      <c r="X4442">
        <f>IF($T4442="",N($X4441),IF(MATCH($T4442,$T$6:$T$6005,0)=ROW()-5,N($X4441)+1,N($X4441)))</f>
        <v/>
      </c>
      <c r="Z4442">
        <f>IF($V4442="","",IF($AA4442&gt;N($AA4441),$AA4442,""))</f>
        <v/>
      </c>
      <c r="AA4442">
        <f>IF($V4442="",N($AA4441),IF(MATCH($V4442,$V$6:$V$6005,0)=ROW()-5,N($AA4441)+1,N($AA4441)))</f>
        <v/>
      </c>
    </row>
    <row r="4443" ht="21" customHeight="1" s="66">
      <c r="A4443" s="56" t="n"/>
      <c r="B4443" s="57" t="n"/>
      <c r="C4443" s="57" t="n"/>
      <c r="D4443" s="57" t="n"/>
      <c r="E4443" s="56" t="n"/>
      <c r="F4443" s="57" t="n"/>
      <c r="G4443" s="57" t="n"/>
      <c r="H4443" s="56" t="n"/>
      <c r="I4443" s="56" t="n"/>
      <c r="J4443" s="58" t="n"/>
      <c r="K4443" s="58" t="n"/>
      <c r="L4443" s="13">
        <f>IF(OR($A4443="",AND($J4443="",$K4443="")),"",ROUND(N($J4443)-N($K4443),2))</f>
        <v/>
      </c>
      <c r="M4443" s="13">
        <f>IF(OR($A4443="",AND($J4443="",$K4443="")),"",MIN($J4443,$K4443))</f>
        <v/>
      </c>
      <c r="Q4443">
        <f>IF($A4443="","",$D4443&amp;"("&amp;SUBSTITUTE($E4443," ","")&amp;")")</f>
        <v/>
      </c>
      <c r="R4443">
        <f>IF($A4443="","",$B4443&amp;" - "&amp;$C4443)</f>
        <v/>
      </c>
      <c r="S4443">
        <f>IF($A4443="","",$R4443&amp;"|"&amp;$Q4443)</f>
        <v/>
      </c>
      <c r="T4443">
        <f>IF($A4443="","",$S4443&amp;"|"&amp;$F4443)</f>
        <v/>
      </c>
      <c r="U4443">
        <f>IF($A4443="","",$R4443&amp;"("&amp;$E4443&amp;")")</f>
        <v/>
      </c>
      <c r="V4443">
        <f>IF($A4443="","",$F4443&amp;"|"&amp;$U4443&amp;"|"&amp;$D4443)</f>
        <v/>
      </c>
      <c r="W4443">
        <f>IF($T4443="","",IF($X4443&gt;N($X4442),$X4443,""))</f>
        <v/>
      </c>
      <c r="X4443">
        <f>IF($T4443="",N($X4442),IF(MATCH($T4443,$T$6:$T$6005,0)=ROW()-5,N($X4442)+1,N($X4442)))</f>
        <v/>
      </c>
      <c r="Z4443">
        <f>IF($V4443="","",IF($AA4443&gt;N($AA4442),$AA4443,""))</f>
        <v/>
      </c>
      <c r="AA4443">
        <f>IF($V4443="",N($AA4442),IF(MATCH($V4443,$V$6:$V$6005,0)=ROW()-5,N($AA4442)+1,N($AA4442)))</f>
        <v/>
      </c>
    </row>
    <row r="4444" ht="21" customHeight="1" s="66">
      <c r="A4444" s="56" t="n"/>
      <c r="B4444" s="57" t="n"/>
      <c r="C4444" s="57" t="n"/>
      <c r="D4444" s="57" t="n"/>
      <c r="E4444" s="56" t="n"/>
      <c r="F4444" s="57" t="n"/>
      <c r="G4444" s="57" t="n"/>
      <c r="H4444" s="56" t="n"/>
      <c r="I4444" s="56" t="n"/>
      <c r="J4444" s="58" t="n"/>
      <c r="K4444" s="58" t="n"/>
      <c r="L4444" s="13">
        <f>IF(OR($A4444="",AND($J4444="",$K4444="")),"",ROUND(N($J4444)-N($K4444),2))</f>
        <v/>
      </c>
      <c r="M4444" s="13">
        <f>IF(OR($A4444="",AND($J4444="",$K4444="")),"",MIN($J4444,$K4444))</f>
        <v/>
      </c>
      <c r="Q4444">
        <f>IF($A4444="","",$D4444&amp;"("&amp;SUBSTITUTE($E4444," ","")&amp;")")</f>
        <v/>
      </c>
      <c r="R4444">
        <f>IF($A4444="","",$B4444&amp;" - "&amp;$C4444)</f>
        <v/>
      </c>
      <c r="S4444">
        <f>IF($A4444="","",$R4444&amp;"|"&amp;$Q4444)</f>
        <v/>
      </c>
      <c r="T4444">
        <f>IF($A4444="","",$S4444&amp;"|"&amp;$F4444)</f>
        <v/>
      </c>
      <c r="U4444">
        <f>IF($A4444="","",$R4444&amp;"("&amp;$E4444&amp;")")</f>
        <v/>
      </c>
      <c r="V4444">
        <f>IF($A4444="","",$F4444&amp;"|"&amp;$U4444&amp;"|"&amp;$D4444)</f>
        <v/>
      </c>
      <c r="W4444">
        <f>IF($T4444="","",IF($X4444&gt;N($X4443),$X4444,""))</f>
        <v/>
      </c>
      <c r="X4444">
        <f>IF($T4444="",N($X4443),IF(MATCH($T4444,$T$6:$T$6005,0)=ROW()-5,N($X4443)+1,N($X4443)))</f>
        <v/>
      </c>
      <c r="Z4444">
        <f>IF($V4444="","",IF($AA4444&gt;N($AA4443),$AA4444,""))</f>
        <v/>
      </c>
      <c r="AA4444">
        <f>IF($V4444="",N($AA4443),IF(MATCH($V4444,$V$6:$V$6005,0)=ROW()-5,N($AA4443)+1,N($AA4443)))</f>
        <v/>
      </c>
    </row>
    <row r="4445" ht="21" customHeight="1" s="66">
      <c r="A4445" s="56" t="n"/>
      <c r="B4445" s="57" t="n"/>
      <c r="C4445" s="57" t="n"/>
      <c r="D4445" s="57" t="n"/>
      <c r="E4445" s="56" t="n"/>
      <c r="F4445" s="57" t="n"/>
      <c r="G4445" s="57" t="n"/>
      <c r="H4445" s="56" t="n"/>
      <c r="I4445" s="56" t="n"/>
      <c r="J4445" s="58" t="n"/>
      <c r="K4445" s="58" t="n"/>
      <c r="L4445" s="13">
        <f>IF(OR($A4445="",AND($J4445="",$K4445="")),"",ROUND(N($J4445)-N($K4445),2))</f>
        <v/>
      </c>
      <c r="M4445" s="13">
        <f>IF(OR($A4445="",AND($J4445="",$K4445="")),"",MIN($J4445,$K4445))</f>
        <v/>
      </c>
      <c r="Q4445">
        <f>IF($A4445="","",$D4445&amp;"("&amp;SUBSTITUTE($E4445," ","")&amp;")")</f>
        <v/>
      </c>
      <c r="R4445">
        <f>IF($A4445="","",$B4445&amp;" - "&amp;$C4445)</f>
        <v/>
      </c>
      <c r="S4445">
        <f>IF($A4445="","",$R4445&amp;"|"&amp;$Q4445)</f>
        <v/>
      </c>
      <c r="T4445">
        <f>IF($A4445="","",$S4445&amp;"|"&amp;$F4445)</f>
        <v/>
      </c>
      <c r="U4445">
        <f>IF($A4445="","",$R4445&amp;"("&amp;$E4445&amp;")")</f>
        <v/>
      </c>
      <c r="V4445">
        <f>IF($A4445="","",$F4445&amp;"|"&amp;$U4445&amp;"|"&amp;$D4445)</f>
        <v/>
      </c>
      <c r="W4445">
        <f>IF($T4445="","",IF($X4445&gt;N($X4444),$X4445,""))</f>
        <v/>
      </c>
      <c r="X4445">
        <f>IF($T4445="",N($X4444),IF(MATCH($T4445,$T$6:$T$6005,0)=ROW()-5,N($X4444)+1,N($X4444)))</f>
        <v/>
      </c>
      <c r="Z4445">
        <f>IF($V4445="","",IF($AA4445&gt;N($AA4444),$AA4445,""))</f>
        <v/>
      </c>
      <c r="AA4445">
        <f>IF($V4445="",N($AA4444),IF(MATCH($V4445,$V$6:$V$6005,0)=ROW()-5,N($AA4444)+1,N($AA4444)))</f>
        <v/>
      </c>
    </row>
    <row r="4446" ht="21" customHeight="1" s="66">
      <c r="A4446" s="56" t="n"/>
      <c r="B4446" s="57" t="n"/>
      <c r="C4446" s="57" t="n"/>
      <c r="D4446" s="57" t="n"/>
      <c r="E4446" s="56" t="n"/>
      <c r="F4446" s="57" t="n"/>
      <c r="G4446" s="57" t="n"/>
      <c r="H4446" s="56" t="n"/>
      <c r="I4446" s="56" t="n"/>
      <c r="J4446" s="58" t="n"/>
      <c r="K4446" s="58" t="n"/>
      <c r="L4446" s="13">
        <f>IF(OR($A4446="",AND($J4446="",$K4446="")),"",ROUND(N($J4446)-N($K4446),2))</f>
        <v/>
      </c>
      <c r="M4446" s="13">
        <f>IF(OR($A4446="",AND($J4446="",$K4446="")),"",MIN($J4446,$K4446))</f>
        <v/>
      </c>
      <c r="Q4446">
        <f>IF($A4446="","",$D4446&amp;"("&amp;SUBSTITUTE($E4446," ","")&amp;")")</f>
        <v/>
      </c>
      <c r="R4446">
        <f>IF($A4446="","",$B4446&amp;" - "&amp;$C4446)</f>
        <v/>
      </c>
      <c r="S4446">
        <f>IF($A4446="","",$R4446&amp;"|"&amp;$Q4446)</f>
        <v/>
      </c>
      <c r="T4446">
        <f>IF($A4446="","",$S4446&amp;"|"&amp;$F4446)</f>
        <v/>
      </c>
      <c r="U4446">
        <f>IF($A4446="","",$R4446&amp;"("&amp;$E4446&amp;")")</f>
        <v/>
      </c>
      <c r="V4446">
        <f>IF($A4446="","",$F4446&amp;"|"&amp;$U4446&amp;"|"&amp;$D4446)</f>
        <v/>
      </c>
      <c r="W4446">
        <f>IF($T4446="","",IF($X4446&gt;N($X4445),$X4446,""))</f>
        <v/>
      </c>
      <c r="X4446">
        <f>IF($T4446="",N($X4445),IF(MATCH($T4446,$T$6:$T$6005,0)=ROW()-5,N($X4445)+1,N($X4445)))</f>
        <v/>
      </c>
      <c r="Z4446">
        <f>IF($V4446="","",IF($AA4446&gt;N($AA4445),$AA4446,""))</f>
        <v/>
      </c>
      <c r="AA4446">
        <f>IF($V4446="",N($AA4445),IF(MATCH($V4446,$V$6:$V$6005,0)=ROW()-5,N($AA4445)+1,N($AA4445)))</f>
        <v/>
      </c>
    </row>
    <row r="4447" ht="21" customHeight="1" s="66">
      <c r="A4447" s="56" t="n"/>
      <c r="B4447" s="57" t="n"/>
      <c r="C4447" s="57" t="n"/>
      <c r="D4447" s="57" t="n"/>
      <c r="E4447" s="56" t="n"/>
      <c r="F4447" s="57" t="n"/>
      <c r="G4447" s="57" t="n"/>
      <c r="H4447" s="56" t="n"/>
      <c r="I4447" s="56" t="n"/>
      <c r="J4447" s="58" t="n"/>
      <c r="K4447" s="58" t="n"/>
      <c r="L4447" s="13">
        <f>IF(OR($A4447="",AND($J4447="",$K4447="")),"",ROUND(N($J4447)-N($K4447),2))</f>
        <v/>
      </c>
      <c r="M4447" s="13">
        <f>IF(OR($A4447="",AND($J4447="",$K4447="")),"",MIN($J4447,$K4447))</f>
        <v/>
      </c>
      <c r="Q4447">
        <f>IF($A4447="","",$D4447&amp;"("&amp;SUBSTITUTE($E4447," ","")&amp;")")</f>
        <v/>
      </c>
      <c r="R4447">
        <f>IF($A4447="","",$B4447&amp;" - "&amp;$C4447)</f>
        <v/>
      </c>
      <c r="S4447">
        <f>IF($A4447="","",$R4447&amp;"|"&amp;$Q4447)</f>
        <v/>
      </c>
      <c r="T4447">
        <f>IF($A4447="","",$S4447&amp;"|"&amp;$F4447)</f>
        <v/>
      </c>
      <c r="U4447">
        <f>IF($A4447="","",$R4447&amp;"("&amp;$E4447&amp;")")</f>
        <v/>
      </c>
      <c r="V4447">
        <f>IF($A4447="","",$F4447&amp;"|"&amp;$U4447&amp;"|"&amp;$D4447)</f>
        <v/>
      </c>
      <c r="W4447">
        <f>IF($T4447="","",IF($X4447&gt;N($X4446),$X4447,""))</f>
        <v/>
      </c>
      <c r="X4447">
        <f>IF($T4447="",N($X4446),IF(MATCH($T4447,$T$6:$T$6005,0)=ROW()-5,N($X4446)+1,N($X4446)))</f>
        <v/>
      </c>
      <c r="Z4447">
        <f>IF($V4447="","",IF($AA4447&gt;N($AA4446),$AA4447,""))</f>
        <v/>
      </c>
      <c r="AA4447">
        <f>IF($V4447="",N($AA4446),IF(MATCH($V4447,$V$6:$V$6005,0)=ROW()-5,N($AA4446)+1,N($AA4446)))</f>
        <v/>
      </c>
    </row>
    <row r="4448" ht="21" customHeight="1" s="66">
      <c r="A4448" s="56" t="n"/>
      <c r="B4448" s="57" t="n"/>
      <c r="C4448" s="57" t="n"/>
      <c r="D4448" s="57" t="n"/>
      <c r="E4448" s="56" t="n"/>
      <c r="F4448" s="57" t="n"/>
      <c r="G4448" s="57" t="n"/>
      <c r="H4448" s="56" t="n"/>
      <c r="I4448" s="56" t="n"/>
      <c r="J4448" s="58" t="n"/>
      <c r="K4448" s="58" t="n"/>
      <c r="L4448" s="13">
        <f>IF(OR($A4448="",AND($J4448="",$K4448="")),"",ROUND(N($J4448)-N($K4448),2))</f>
        <v/>
      </c>
      <c r="M4448" s="13">
        <f>IF(OR($A4448="",AND($J4448="",$K4448="")),"",MIN($J4448,$K4448))</f>
        <v/>
      </c>
      <c r="Q4448">
        <f>IF($A4448="","",$D4448&amp;"("&amp;SUBSTITUTE($E4448," ","")&amp;")")</f>
        <v/>
      </c>
      <c r="R4448">
        <f>IF($A4448="","",$B4448&amp;" - "&amp;$C4448)</f>
        <v/>
      </c>
      <c r="S4448">
        <f>IF($A4448="","",$R4448&amp;"|"&amp;$Q4448)</f>
        <v/>
      </c>
      <c r="T4448">
        <f>IF($A4448="","",$S4448&amp;"|"&amp;$F4448)</f>
        <v/>
      </c>
      <c r="U4448">
        <f>IF($A4448="","",$R4448&amp;"("&amp;$E4448&amp;")")</f>
        <v/>
      </c>
      <c r="V4448">
        <f>IF($A4448="","",$F4448&amp;"|"&amp;$U4448&amp;"|"&amp;$D4448)</f>
        <v/>
      </c>
      <c r="W4448">
        <f>IF($T4448="","",IF($X4448&gt;N($X4447),$X4448,""))</f>
        <v/>
      </c>
      <c r="X4448">
        <f>IF($T4448="",N($X4447),IF(MATCH($T4448,$T$6:$T$6005,0)=ROW()-5,N($X4447)+1,N($X4447)))</f>
        <v/>
      </c>
      <c r="Z4448">
        <f>IF($V4448="","",IF($AA4448&gt;N($AA4447),$AA4448,""))</f>
        <v/>
      </c>
      <c r="AA4448">
        <f>IF($V4448="",N($AA4447),IF(MATCH($V4448,$V$6:$V$6005,0)=ROW()-5,N($AA4447)+1,N($AA4447)))</f>
        <v/>
      </c>
    </row>
    <row r="4449" ht="21" customHeight="1" s="66">
      <c r="A4449" s="56" t="n"/>
      <c r="B4449" s="57" t="n"/>
      <c r="C4449" s="57" t="n"/>
      <c r="D4449" s="57" t="n"/>
      <c r="E4449" s="56" t="n"/>
      <c r="F4449" s="57" t="n"/>
      <c r="G4449" s="57" t="n"/>
      <c r="H4449" s="56" t="n"/>
      <c r="I4449" s="56" t="n"/>
      <c r="J4449" s="58" t="n"/>
      <c r="K4449" s="58" t="n"/>
      <c r="L4449" s="13">
        <f>IF(OR($A4449="",AND($J4449="",$K4449="")),"",ROUND(N($J4449)-N($K4449),2))</f>
        <v/>
      </c>
      <c r="M4449" s="13">
        <f>IF(OR($A4449="",AND($J4449="",$K4449="")),"",MIN($J4449,$K4449))</f>
        <v/>
      </c>
      <c r="Q4449">
        <f>IF($A4449="","",$D4449&amp;"("&amp;SUBSTITUTE($E4449," ","")&amp;")")</f>
        <v/>
      </c>
      <c r="R4449">
        <f>IF($A4449="","",$B4449&amp;" - "&amp;$C4449)</f>
        <v/>
      </c>
      <c r="S4449">
        <f>IF($A4449="","",$R4449&amp;"|"&amp;$Q4449)</f>
        <v/>
      </c>
      <c r="T4449">
        <f>IF($A4449="","",$S4449&amp;"|"&amp;$F4449)</f>
        <v/>
      </c>
      <c r="U4449">
        <f>IF($A4449="","",$R4449&amp;"("&amp;$E4449&amp;")")</f>
        <v/>
      </c>
      <c r="V4449">
        <f>IF($A4449="","",$F4449&amp;"|"&amp;$U4449&amp;"|"&amp;$D4449)</f>
        <v/>
      </c>
      <c r="W4449">
        <f>IF($T4449="","",IF($X4449&gt;N($X4448),$X4449,""))</f>
        <v/>
      </c>
      <c r="X4449">
        <f>IF($T4449="",N($X4448),IF(MATCH($T4449,$T$6:$T$6005,0)=ROW()-5,N($X4448)+1,N($X4448)))</f>
        <v/>
      </c>
      <c r="Z4449">
        <f>IF($V4449="","",IF($AA4449&gt;N($AA4448),$AA4449,""))</f>
        <v/>
      </c>
      <c r="AA4449">
        <f>IF($V4449="",N($AA4448),IF(MATCH($V4449,$V$6:$V$6005,0)=ROW()-5,N($AA4448)+1,N($AA4448)))</f>
        <v/>
      </c>
    </row>
    <row r="4450" ht="21" customHeight="1" s="66">
      <c r="A4450" s="56" t="n"/>
      <c r="B4450" s="57" t="n"/>
      <c r="C4450" s="57" t="n"/>
      <c r="D4450" s="57" t="n"/>
      <c r="E4450" s="56" t="n"/>
      <c r="F4450" s="57" t="n"/>
      <c r="G4450" s="57" t="n"/>
      <c r="H4450" s="56" t="n"/>
      <c r="I4450" s="56" t="n"/>
      <c r="J4450" s="58" t="n"/>
      <c r="K4450" s="58" t="n"/>
      <c r="L4450" s="13">
        <f>IF(OR($A4450="",AND($J4450="",$K4450="")),"",ROUND(N($J4450)-N($K4450),2))</f>
        <v/>
      </c>
      <c r="M4450" s="13">
        <f>IF(OR($A4450="",AND($J4450="",$K4450="")),"",MIN($J4450,$K4450))</f>
        <v/>
      </c>
      <c r="Q4450">
        <f>IF($A4450="","",$D4450&amp;"("&amp;SUBSTITUTE($E4450," ","")&amp;")")</f>
        <v/>
      </c>
      <c r="R4450">
        <f>IF($A4450="","",$B4450&amp;" - "&amp;$C4450)</f>
        <v/>
      </c>
      <c r="S4450">
        <f>IF($A4450="","",$R4450&amp;"|"&amp;$Q4450)</f>
        <v/>
      </c>
      <c r="T4450">
        <f>IF($A4450="","",$S4450&amp;"|"&amp;$F4450)</f>
        <v/>
      </c>
      <c r="U4450">
        <f>IF($A4450="","",$R4450&amp;"("&amp;$E4450&amp;")")</f>
        <v/>
      </c>
      <c r="V4450">
        <f>IF($A4450="","",$F4450&amp;"|"&amp;$U4450&amp;"|"&amp;$D4450)</f>
        <v/>
      </c>
      <c r="W4450">
        <f>IF($T4450="","",IF($X4450&gt;N($X4449),$X4450,""))</f>
        <v/>
      </c>
      <c r="X4450">
        <f>IF($T4450="",N($X4449),IF(MATCH($T4450,$T$6:$T$6005,0)=ROW()-5,N($X4449)+1,N($X4449)))</f>
        <v/>
      </c>
      <c r="Z4450">
        <f>IF($V4450="","",IF($AA4450&gt;N($AA4449),$AA4450,""))</f>
        <v/>
      </c>
      <c r="AA4450">
        <f>IF($V4450="",N($AA4449),IF(MATCH($V4450,$V$6:$V$6005,0)=ROW()-5,N($AA4449)+1,N($AA4449)))</f>
        <v/>
      </c>
    </row>
    <row r="4451" ht="21" customHeight="1" s="66">
      <c r="A4451" s="56" t="n"/>
      <c r="B4451" s="57" t="n"/>
      <c r="C4451" s="57" t="n"/>
      <c r="D4451" s="57" t="n"/>
      <c r="E4451" s="56" t="n"/>
      <c r="F4451" s="57" t="n"/>
      <c r="G4451" s="57" t="n"/>
      <c r="H4451" s="56" t="n"/>
      <c r="I4451" s="56" t="n"/>
      <c r="J4451" s="58" t="n"/>
      <c r="K4451" s="58" t="n"/>
      <c r="L4451" s="13">
        <f>IF(OR($A4451="",AND($J4451="",$K4451="")),"",ROUND(N($J4451)-N($K4451),2))</f>
        <v/>
      </c>
      <c r="M4451" s="13">
        <f>IF(OR($A4451="",AND($J4451="",$K4451="")),"",MIN($J4451,$K4451))</f>
        <v/>
      </c>
      <c r="Q4451">
        <f>IF($A4451="","",$D4451&amp;"("&amp;SUBSTITUTE($E4451," ","")&amp;")")</f>
        <v/>
      </c>
      <c r="R4451">
        <f>IF($A4451="","",$B4451&amp;" - "&amp;$C4451)</f>
        <v/>
      </c>
      <c r="S4451">
        <f>IF($A4451="","",$R4451&amp;"|"&amp;$Q4451)</f>
        <v/>
      </c>
      <c r="T4451">
        <f>IF($A4451="","",$S4451&amp;"|"&amp;$F4451)</f>
        <v/>
      </c>
      <c r="U4451">
        <f>IF($A4451="","",$R4451&amp;"("&amp;$E4451&amp;")")</f>
        <v/>
      </c>
      <c r="V4451">
        <f>IF($A4451="","",$F4451&amp;"|"&amp;$U4451&amp;"|"&amp;$D4451)</f>
        <v/>
      </c>
      <c r="W4451">
        <f>IF($T4451="","",IF($X4451&gt;N($X4450),$X4451,""))</f>
        <v/>
      </c>
      <c r="X4451">
        <f>IF($T4451="",N($X4450),IF(MATCH($T4451,$T$6:$T$6005,0)=ROW()-5,N($X4450)+1,N($X4450)))</f>
        <v/>
      </c>
      <c r="Z4451">
        <f>IF($V4451="","",IF($AA4451&gt;N($AA4450),$AA4451,""))</f>
        <v/>
      </c>
      <c r="AA4451">
        <f>IF($V4451="",N($AA4450),IF(MATCH($V4451,$V$6:$V$6005,0)=ROW()-5,N($AA4450)+1,N($AA4450)))</f>
        <v/>
      </c>
    </row>
    <row r="4452" ht="21" customHeight="1" s="66">
      <c r="A4452" s="56" t="n"/>
      <c r="B4452" s="57" t="n"/>
      <c r="C4452" s="57" t="n"/>
      <c r="D4452" s="57" t="n"/>
      <c r="E4452" s="56" t="n"/>
      <c r="F4452" s="57" t="n"/>
      <c r="G4452" s="57" t="n"/>
      <c r="H4452" s="56" t="n"/>
      <c r="I4452" s="56" t="n"/>
      <c r="J4452" s="58" t="n"/>
      <c r="K4452" s="58" t="n"/>
      <c r="L4452" s="13">
        <f>IF(OR($A4452="",AND($J4452="",$K4452="")),"",ROUND(N($J4452)-N($K4452),2))</f>
        <v/>
      </c>
      <c r="M4452" s="13">
        <f>IF(OR($A4452="",AND($J4452="",$K4452="")),"",MIN($J4452,$K4452))</f>
        <v/>
      </c>
      <c r="Q4452">
        <f>IF($A4452="","",$D4452&amp;"("&amp;SUBSTITUTE($E4452," ","")&amp;")")</f>
        <v/>
      </c>
      <c r="R4452">
        <f>IF($A4452="","",$B4452&amp;" - "&amp;$C4452)</f>
        <v/>
      </c>
      <c r="S4452">
        <f>IF($A4452="","",$R4452&amp;"|"&amp;$Q4452)</f>
        <v/>
      </c>
      <c r="T4452">
        <f>IF($A4452="","",$S4452&amp;"|"&amp;$F4452)</f>
        <v/>
      </c>
      <c r="U4452">
        <f>IF($A4452="","",$R4452&amp;"("&amp;$E4452&amp;")")</f>
        <v/>
      </c>
      <c r="V4452">
        <f>IF($A4452="","",$F4452&amp;"|"&amp;$U4452&amp;"|"&amp;$D4452)</f>
        <v/>
      </c>
      <c r="W4452">
        <f>IF($T4452="","",IF($X4452&gt;N($X4451),$X4452,""))</f>
        <v/>
      </c>
      <c r="X4452">
        <f>IF($T4452="",N($X4451),IF(MATCH($T4452,$T$6:$T$6005,0)=ROW()-5,N($X4451)+1,N($X4451)))</f>
        <v/>
      </c>
      <c r="Z4452">
        <f>IF($V4452="","",IF($AA4452&gt;N($AA4451),$AA4452,""))</f>
        <v/>
      </c>
      <c r="AA4452">
        <f>IF($V4452="",N($AA4451),IF(MATCH($V4452,$V$6:$V$6005,0)=ROW()-5,N($AA4451)+1,N($AA4451)))</f>
        <v/>
      </c>
    </row>
    <row r="4453" ht="21" customHeight="1" s="66">
      <c r="A4453" s="56" t="n"/>
      <c r="B4453" s="57" t="n"/>
      <c r="C4453" s="57" t="n"/>
      <c r="D4453" s="57" t="n"/>
      <c r="E4453" s="56" t="n"/>
      <c r="F4453" s="57" t="n"/>
      <c r="G4453" s="57" t="n"/>
      <c r="H4453" s="56" t="n"/>
      <c r="I4453" s="56" t="n"/>
      <c r="J4453" s="58" t="n"/>
      <c r="K4453" s="58" t="n"/>
      <c r="L4453" s="13">
        <f>IF(OR($A4453="",AND($J4453="",$K4453="")),"",ROUND(N($J4453)-N($K4453),2))</f>
        <v/>
      </c>
      <c r="M4453" s="13">
        <f>IF(OR($A4453="",AND($J4453="",$K4453="")),"",MIN($J4453,$K4453))</f>
        <v/>
      </c>
      <c r="Q4453">
        <f>IF($A4453="","",$D4453&amp;"("&amp;SUBSTITUTE($E4453," ","")&amp;")")</f>
        <v/>
      </c>
      <c r="R4453">
        <f>IF($A4453="","",$B4453&amp;" - "&amp;$C4453)</f>
        <v/>
      </c>
      <c r="S4453">
        <f>IF($A4453="","",$R4453&amp;"|"&amp;$Q4453)</f>
        <v/>
      </c>
      <c r="T4453">
        <f>IF($A4453="","",$S4453&amp;"|"&amp;$F4453)</f>
        <v/>
      </c>
      <c r="U4453">
        <f>IF($A4453="","",$R4453&amp;"("&amp;$E4453&amp;")")</f>
        <v/>
      </c>
      <c r="V4453">
        <f>IF($A4453="","",$F4453&amp;"|"&amp;$U4453&amp;"|"&amp;$D4453)</f>
        <v/>
      </c>
      <c r="W4453">
        <f>IF($T4453="","",IF($X4453&gt;N($X4452),$X4453,""))</f>
        <v/>
      </c>
      <c r="X4453">
        <f>IF($T4453="",N($X4452),IF(MATCH($T4453,$T$6:$T$6005,0)=ROW()-5,N($X4452)+1,N($X4452)))</f>
        <v/>
      </c>
      <c r="Z4453">
        <f>IF($V4453="","",IF($AA4453&gt;N($AA4452),$AA4453,""))</f>
        <v/>
      </c>
      <c r="AA4453">
        <f>IF($V4453="",N($AA4452),IF(MATCH($V4453,$V$6:$V$6005,0)=ROW()-5,N($AA4452)+1,N($AA4452)))</f>
        <v/>
      </c>
    </row>
    <row r="4454" ht="21" customHeight="1" s="66">
      <c r="A4454" s="56" t="n"/>
      <c r="B4454" s="57" t="n"/>
      <c r="C4454" s="57" t="n"/>
      <c r="D4454" s="57" t="n"/>
      <c r="E4454" s="56" t="n"/>
      <c r="F4454" s="57" t="n"/>
      <c r="G4454" s="57" t="n"/>
      <c r="H4454" s="56" t="n"/>
      <c r="I4454" s="56" t="n"/>
      <c r="J4454" s="58" t="n"/>
      <c r="K4454" s="58" t="n"/>
      <c r="L4454" s="13">
        <f>IF(OR($A4454="",AND($J4454="",$K4454="")),"",ROUND(N($J4454)-N($K4454),2))</f>
        <v/>
      </c>
      <c r="M4454" s="13">
        <f>IF(OR($A4454="",AND($J4454="",$K4454="")),"",MIN($J4454,$K4454))</f>
        <v/>
      </c>
      <c r="Q4454">
        <f>IF($A4454="","",$D4454&amp;"("&amp;SUBSTITUTE($E4454," ","")&amp;")")</f>
        <v/>
      </c>
      <c r="R4454">
        <f>IF($A4454="","",$B4454&amp;" - "&amp;$C4454)</f>
        <v/>
      </c>
      <c r="S4454">
        <f>IF($A4454="","",$R4454&amp;"|"&amp;$Q4454)</f>
        <v/>
      </c>
      <c r="T4454">
        <f>IF($A4454="","",$S4454&amp;"|"&amp;$F4454)</f>
        <v/>
      </c>
      <c r="U4454">
        <f>IF($A4454="","",$R4454&amp;"("&amp;$E4454&amp;")")</f>
        <v/>
      </c>
      <c r="V4454">
        <f>IF($A4454="","",$F4454&amp;"|"&amp;$U4454&amp;"|"&amp;$D4454)</f>
        <v/>
      </c>
      <c r="W4454">
        <f>IF($T4454="","",IF($X4454&gt;N($X4453),$X4454,""))</f>
        <v/>
      </c>
      <c r="X4454">
        <f>IF($T4454="",N($X4453),IF(MATCH($T4454,$T$6:$T$6005,0)=ROW()-5,N($X4453)+1,N($X4453)))</f>
        <v/>
      </c>
      <c r="Z4454">
        <f>IF($V4454="","",IF($AA4454&gt;N($AA4453),$AA4454,""))</f>
        <v/>
      </c>
      <c r="AA4454">
        <f>IF($V4454="",N($AA4453),IF(MATCH($V4454,$V$6:$V$6005,0)=ROW()-5,N($AA4453)+1,N($AA4453)))</f>
        <v/>
      </c>
    </row>
    <row r="4455" ht="21" customHeight="1" s="66">
      <c r="A4455" s="56" t="n"/>
      <c r="B4455" s="57" t="n"/>
      <c r="C4455" s="57" t="n"/>
      <c r="D4455" s="57" t="n"/>
      <c r="E4455" s="56" t="n"/>
      <c r="F4455" s="57" t="n"/>
      <c r="G4455" s="57" t="n"/>
      <c r="H4455" s="56" t="n"/>
      <c r="I4455" s="56" t="n"/>
      <c r="J4455" s="58" t="n"/>
      <c r="K4455" s="58" t="n"/>
      <c r="L4455" s="13">
        <f>IF(OR($A4455="",AND($J4455="",$K4455="")),"",ROUND(N($J4455)-N($K4455),2))</f>
        <v/>
      </c>
      <c r="M4455" s="13">
        <f>IF(OR($A4455="",AND($J4455="",$K4455="")),"",MIN($J4455,$K4455))</f>
        <v/>
      </c>
      <c r="Q4455">
        <f>IF($A4455="","",$D4455&amp;"("&amp;SUBSTITUTE($E4455," ","")&amp;")")</f>
        <v/>
      </c>
      <c r="R4455">
        <f>IF($A4455="","",$B4455&amp;" - "&amp;$C4455)</f>
        <v/>
      </c>
      <c r="S4455">
        <f>IF($A4455="","",$R4455&amp;"|"&amp;$Q4455)</f>
        <v/>
      </c>
      <c r="T4455">
        <f>IF($A4455="","",$S4455&amp;"|"&amp;$F4455)</f>
        <v/>
      </c>
      <c r="U4455">
        <f>IF($A4455="","",$R4455&amp;"("&amp;$E4455&amp;")")</f>
        <v/>
      </c>
      <c r="V4455">
        <f>IF($A4455="","",$F4455&amp;"|"&amp;$U4455&amp;"|"&amp;$D4455)</f>
        <v/>
      </c>
      <c r="W4455">
        <f>IF($T4455="","",IF($X4455&gt;N($X4454),$X4455,""))</f>
        <v/>
      </c>
      <c r="X4455">
        <f>IF($T4455="",N($X4454),IF(MATCH($T4455,$T$6:$T$6005,0)=ROW()-5,N($X4454)+1,N($X4454)))</f>
        <v/>
      </c>
      <c r="Z4455">
        <f>IF($V4455="","",IF($AA4455&gt;N($AA4454),$AA4455,""))</f>
        <v/>
      </c>
      <c r="AA4455">
        <f>IF($V4455="",N($AA4454),IF(MATCH($V4455,$V$6:$V$6005,0)=ROW()-5,N($AA4454)+1,N($AA4454)))</f>
        <v/>
      </c>
    </row>
    <row r="4456" ht="21" customHeight="1" s="66">
      <c r="A4456" s="56" t="n"/>
      <c r="B4456" s="57" t="n"/>
      <c r="C4456" s="57" t="n"/>
      <c r="D4456" s="57" t="n"/>
      <c r="E4456" s="56" t="n"/>
      <c r="F4456" s="57" t="n"/>
      <c r="G4456" s="57" t="n"/>
      <c r="H4456" s="56" t="n"/>
      <c r="I4456" s="56" t="n"/>
      <c r="J4456" s="58" t="n"/>
      <c r="K4456" s="58" t="n"/>
      <c r="L4456" s="13">
        <f>IF(OR($A4456="",AND($J4456="",$K4456="")),"",ROUND(N($J4456)-N($K4456),2))</f>
        <v/>
      </c>
      <c r="M4456" s="13">
        <f>IF(OR($A4456="",AND($J4456="",$K4456="")),"",MIN($J4456,$K4456))</f>
        <v/>
      </c>
      <c r="Q4456">
        <f>IF($A4456="","",$D4456&amp;"("&amp;SUBSTITUTE($E4456," ","")&amp;")")</f>
        <v/>
      </c>
      <c r="R4456">
        <f>IF($A4456="","",$B4456&amp;" - "&amp;$C4456)</f>
        <v/>
      </c>
      <c r="S4456">
        <f>IF($A4456="","",$R4456&amp;"|"&amp;$Q4456)</f>
        <v/>
      </c>
      <c r="T4456">
        <f>IF($A4456="","",$S4456&amp;"|"&amp;$F4456)</f>
        <v/>
      </c>
      <c r="U4456">
        <f>IF($A4456="","",$R4456&amp;"("&amp;$E4456&amp;")")</f>
        <v/>
      </c>
      <c r="V4456">
        <f>IF($A4456="","",$F4456&amp;"|"&amp;$U4456&amp;"|"&amp;$D4456)</f>
        <v/>
      </c>
      <c r="W4456">
        <f>IF($T4456="","",IF($X4456&gt;N($X4455),$X4456,""))</f>
        <v/>
      </c>
      <c r="X4456">
        <f>IF($T4456="",N($X4455),IF(MATCH($T4456,$T$6:$T$6005,0)=ROW()-5,N($X4455)+1,N($X4455)))</f>
        <v/>
      </c>
      <c r="Z4456">
        <f>IF($V4456="","",IF($AA4456&gt;N($AA4455),$AA4456,""))</f>
        <v/>
      </c>
      <c r="AA4456">
        <f>IF($V4456="",N($AA4455),IF(MATCH($V4456,$V$6:$V$6005,0)=ROW()-5,N($AA4455)+1,N($AA4455)))</f>
        <v/>
      </c>
    </row>
    <row r="4457" ht="21" customHeight="1" s="66">
      <c r="A4457" s="56" t="n"/>
      <c r="B4457" s="57" t="n"/>
      <c r="C4457" s="57" t="n"/>
      <c r="D4457" s="57" t="n"/>
      <c r="E4457" s="56" t="n"/>
      <c r="F4457" s="57" t="n"/>
      <c r="G4457" s="57" t="n"/>
      <c r="H4457" s="56" t="n"/>
      <c r="I4457" s="56" t="n"/>
      <c r="J4457" s="58" t="n"/>
      <c r="K4457" s="58" t="n"/>
      <c r="L4457" s="13">
        <f>IF(OR($A4457="",AND($J4457="",$K4457="")),"",ROUND(N($J4457)-N($K4457),2))</f>
        <v/>
      </c>
      <c r="M4457" s="13">
        <f>IF(OR($A4457="",AND($J4457="",$K4457="")),"",MIN($J4457,$K4457))</f>
        <v/>
      </c>
      <c r="Q4457">
        <f>IF($A4457="","",$D4457&amp;"("&amp;SUBSTITUTE($E4457," ","")&amp;")")</f>
        <v/>
      </c>
      <c r="R4457">
        <f>IF($A4457="","",$B4457&amp;" - "&amp;$C4457)</f>
        <v/>
      </c>
      <c r="S4457">
        <f>IF($A4457="","",$R4457&amp;"|"&amp;$Q4457)</f>
        <v/>
      </c>
      <c r="T4457">
        <f>IF($A4457="","",$S4457&amp;"|"&amp;$F4457)</f>
        <v/>
      </c>
      <c r="U4457">
        <f>IF($A4457="","",$R4457&amp;"("&amp;$E4457&amp;")")</f>
        <v/>
      </c>
      <c r="V4457">
        <f>IF($A4457="","",$F4457&amp;"|"&amp;$U4457&amp;"|"&amp;$D4457)</f>
        <v/>
      </c>
      <c r="W4457">
        <f>IF($T4457="","",IF($X4457&gt;N($X4456),$X4457,""))</f>
        <v/>
      </c>
      <c r="X4457">
        <f>IF($T4457="",N($X4456),IF(MATCH($T4457,$T$6:$T$6005,0)=ROW()-5,N($X4456)+1,N($X4456)))</f>
        <v/>
      </c>
      <c r="Z4457">
        <f>IF($V4457="","",IF($AA4457&gt;N($AA4456),$AA4457,""))</f>
        <v/>
      </c>
      <c r="AA4457">
        <f>IF($V4457="",N($AA4456),IF(MATCH($V4457,$V$6:$V$6005,0)=ROW()-5,N($AA4456)+1,N($AA4456)))</f>
        <v/>
      </c>
    </row>
    <row r="4458" ht="21" customHeight="1" s="66">
      <c r="A4458" s="56" t="n"/>
      <c r="B4458" s="57" t="n"/>
      <c r="C4458" s="57" t="n"/>
      <c r="D4458" s="57" t="n"/>
      <c r="E4458" s="56" t="n"/>
      <c r="F4458" s="57" t="n"/>
      <c r="G4458" s="57" t="n"/>
      <c r="H4458" s="56" t="n"/>
      <c r="I4458" s="56" t="n"/>
      <c r="J4458" s="58" t="n"/>
      <c r="K4458" s="58" t="n"/>
      <c r="L4458" s="13">
        <f>IF(OR($A4458="",AND($J4458="",$K4458="")),"",ROUND(N($J4458)-N($K4458),2))</f>
        <v/>
      </c>
      <c r="M4458" s="13">
        <f>IF(OR($A4458="",AND($J4458="",$K4458="")),"",MIN($J4458,$K4458))</f>
        <v/>
      </c>
      <c r="Q4458">
        <f>IF($A4458="","",$D4458&amp;"("&amp;SUBSTITUTE($E4458," ","")&amp;")")</f>
        <v/>
      </c>
      <c r="R4458">
        <f>IF($A4458="","",$B4458&amp;" - "&amp;$C4458)</f>
        <v/>
      </c>
      <c r="S4458">
        <f>IF($A4458="","",$R4458&amp;"|"&amp;$Q4458)</f>
        <v/>
      </c>
      <c r="T4458">
        <f>IF($A4458="","",$S4458&amp;"|"&amp;$F4458)</f>
        <v/>
      </c>
      <c r="U4458">
        <f>IF($A4458="","",$R4458&amp;"("&amp;$E4458&amp;")")</f>
        <v/>
      </c>
      <c r="V4458">
        <f>IF($A4458="","",$F4458&amp;"|"&amp;$U4458&amp;"|"&amp;$D4458)</f>
        <v/>
      </c>
      <c r="W4458">
        <f>IF($T4458="","",IF($X4458&gt;N($X4457),$X4458,""))</f>
        <v/>
      </c>
      <c r="X4458">
        <f>IF($T4458="",N($X4457),IF(MATCH($T4458,$T$6:$T$6005,0)=ROW()-5,N($X4457)+1,N($X4457)))</f>
        <v/>
      </c>
      <c r="Z4458">
        <f>IF($V4458="","",IF($AA4458&gt;N($AA4457),$AA4458,""))</f>
        <v/>
      </c>
      <c r="AA4458">
        <f>IF($V4458="",N($AA4457),IF(MATCH($V4458,$V$6:$V$6005,0)=ROW()-5,N($AA4457)+1,N($AA4457)))</f>
        <v/>
      </c>
    </row>
    <row r="4459" ht="21" customHeight="1" s="66">
      <c r="A4459" s="56" t="n"/>
      <c r="B4459" s="57" t="n"/>
      <c r="C4459" s="57" t="n"/>
      <c r="D4459" s="57" t="n"/>
      <c r="E4459" s="56" t="n"/>
      <c r="F4459" s="57" t="n"/>
      <c r="G4459" s="57" t="n"/>
      <c r="H4459" s="56" t="n"/>
      <c r="I4459" s="56" t="n"/>
      <c r="J4459" s="58" t="n"/>
      <c r="K4459" s="58" t="n"/>
      <c r="L4459" s="13">
        <f>IF(OR($A4459="",AND($J4459="",$K4459="")),"",ROUND(N($J4459)-N($K4459),2))</f>
        <v/>
      </c>
      <c r="M4459" s="13">
        <f>IF(OR($A4459="",AND($J4459="",$K4459="")),"",MIN($J4459,$K4459))</f>
        <v/>
      </c>
      <c r="Q4459">
        <f>IF($A4459="","",$D4459&amp;"("&amp;SUBSTITUTE($E4459," ","")&amp;")")</f>
        <v/>
      </c>
      <c r="R4459">
        <f>IF($A4459="","",$B4459&amp;" - "&amp;$C4459)</f>
        <v/>
      </c>
      <c r="S4459">
        <f>IF($A4459="","",$R4459&amp;"|"&amp;$Q4459)</f>
        <v/>
      </c>
      <c r="T4459">
        <f>IF($A4459="","",$S4459&amp;"|"&amp;$F4459)</f>
        <v/>
      </c>
      <c r="U4459">
        <f>IF($A4459="","",$R4459&amp;"("&amp;$E4459&amp;")")</f>
        <v/>
      </c>
      <c r="V4459">
        <f>IF($A4459="","",$F4459&amp;"|"&amp;$U4459&amp;"|"&amp;$D4459)</f>
        <v/>
      </c>
      <c r="W4459">
        <f>IF($T4459="","",IF($X4459&gt;N($X4458),$X4459,""))</f>
        <v/>
      </c>
      <c r="X4459">
        <f>IF($T4459="",N($X4458),IF(MATCH($T4459,$T$6:$T$6005,0)=ROW()-5,N($X4458)+1,N($X4458)))</f>
        <v/>
      </c>
      <c r="Z4459">
        <f>IF($V4459="","",IF($AA4459&gt;N($AA4458),$AA4459,""))</f>
        <v/>
      </c>
      <c r="AA4459">
        <f>IF($V4459="",N($AA4458),IF(MATCH($V4459,$V$6:$V$6005,0)=ROW()-5,N($AA4458)+1,N($AA4458)))</f>
        <v/>
      </c>
    </row>
    <row r="4460" ht="21" customHeight="1" s="66">
      <c r="A4460" s="56" t="n"/>
      <c r="B4460" s="57" t="n"/>
      <c r="C4460" s="57" t="n"/>
      <c r="D4460" s="57" t="n"/>
      <c r="E4460" s="56" t="n"/>
      <c r="F4460" s="57" t="n"/>
      <c r="G4460" s="57" t="n"/>
      <c r="H4460" s="56" t="n"/>
      <c r="I4460" s="56" t="n"/>
      <c r="J4460" s="58" t="n"/>
      <c r="K4460" s="58" t="n"/>
      <c r="L4460" s="13">
        <f>IF(OR($A4460="",AND($J4460="",$K4460="")),"",ROUND(N($J4460)-N($K4460),2))</f>
        <v/>
      </c>
      <c r="M4460" s="13">
        <f>IF(OR($A4460="",AND($J4460="",$K4460="")),"",MIN($J4460,$K4460))</f>
        <v/>
      </c>
      <c r="Q4460">
        <f>IF($A4460="","",$D4460&amp;"("&amp;SUBSTITUTE($E4460," ","")&amp;")")</f>
        <v/>
      </c>
      <c r="R4460">
        <f>IF($A4460="","",$B4460&amp;" - "&amp;$C4460)</f>
        <v/>
      </c>
      <c r="S4460">
        <f>IF($A4460="","",$R4460&amp;"|"&amp;$Q4460)</f>
        <v/>
      </c>
      <c r="T4460">
        <f>IF($A4460="","",$S4460&amp;"|"&amp;$F4460)</f>
        <v/>
      </c>
      <c r="U4460">
        <f>IF($A4460="","",$R4460&amp;"("&amp;$E4460&amp;")")</f>
        <v/>
      </c>
      <c r="V4460">
        <f>IF($A4460="","",$F4460&amp;"|"&amp;$U4460&amp;"|"&amp;$D4460)</f>
        <v/>
      </c>
      <c r="W4460">
        <f>IF($T4460="","",IF($X4460&gt;N($X4459),$X4460,""))</f>
        <v/>
      </c>
      <c r="X4460">
        <f>IF($T4460="",N($X4459),IF(MATCH($T4460,$T$6:$T$6005,0)=ROW()-5,N($X4459)+1,N($X4459)))</f>
        <v/>
      </c>
      <c r="Z4460">
        <f>IF($V4460="","",IF($AA4460&gt;N($AA4459),$AA4460,""))</f>
        <v/>
      </c>
      <c r="AA4460">
        <f>IF($V4460="",N($AA4459),IF(MATCH($V4460,$V$6:$V$6005,0)=ROW()-5,N($AA4459)+1,N($AA4459)))</f>
        <v/>
      </c>
    </row>
    <row r="4461" ht="21" customHeight="1" s="66">
      <c r="A4461" s="56" t="n"/>
      <c r="B4461" s="57" t="n"/>
      <c r="C4461" s="57" t="n"/>
      <c r="D4461" s="57" t="n"/>
      <c r="E4461" s="56" t="n"/>
      <c r="F4461" s="57" t="n"/>
      <c r="G4461" s="57" t="n"/>
      <c r="H4461" s="56" t="n"/>
      <c r="I4461" s="56" t="n"/>
      <c r="J4461" s="58" t="n"/>
      <c r="K4461" s="58" t="n"/>
      <c r="L4461" s="13">
        <f>IF(OR($A4461="",AND($J4461="",$K4461="")),"",ROUND(N($J4461)-N($K4461),2))</f>
        <v/>
      </c>
      <c r="M4461" s="13">
        <f>IF(OR($A4461="",AND($J4461="",$K4461="")),"",MIN($J4461,$K4461))</f>
        <v/>
      </c>
      <c r="Q4461">
        <f>IF($A4461="","",$D4461&amp;"("&amp;SUBSTITUTE($E4461," ","")&amp;")")</f>
        <v/>
      </c>
      <c r="R4461">
        <f>IF($A4461="","",$B4461&amp;" - "&amp;$C4461)</f>
        <v/>
      </c>
      <c r="S4461">
        <f>IF($A4461="","",$R4461&amp;"|"&amp;$Q4461)</f>
        <v/>
      </c>
      <c r="T4461">
        <f>IF($A4461="","",$S4461&amp;"|"&amp;$F4461)</f>
        <v/>
      </c>
      <c r="U4461">
        <f>IF($A4461="","",$R4461&amp;"("&amp;$E4461&amp;")")</f>
        <v/>
      </c>
      <c r="V4461">
        <f>IF($A4461="","",$F4461&amp;"|"&amp;$U4461&amp;"|"&amp;$D4461)</f>
        <v/>
      </c>
      <c r="W4461">
        <f>IF($T4461="","",IF($X4461&gt;N($X4460),$X4461,""))</f>
        <v/>
      </c>
      <c r="X4461">
        <f>IF($T4461="",N($X4460),IF(MATCH($T4461,$T$6:$T$6005,0)=ROW()-5,N($X4460)+1,N($X4460)))</f>
        <v/>
      </c>
      <c r="Z4461">
        <f>IF($V4461="","",IF($AA4461&gt;N($AA4460),$AA4461,""))</f>
        <v/>
      </c>
      <c r="AA4461">
        <f>IF($V4461="",N($AA4460),IF(MATCH($V4461,$V$6:$V$6005,0)=ROW()-5,N($AA4460)+1,N($AA4460)))</f>
        <v/>
      </c>
    </row>
    <row r="4462" ht="21" customHeight="1" s="66">
      <c r="A4462" s="56" t="n"/>
      <c r="B4462" s="57" t="n"/>
      <c r="C4462" s="57" t="n"/>
      <c r="D4462" s="57" t="n"/>
      <c r="E4462" s="56" t="n"/>
      <c r="F4462" s="57" t="n"/>
      <c r="G4462" s="57" t="n"/>
      <c r="H4462" s="56" t="n"/>
      <c r="I4462" s="56" t="n"/>
      <c r="J4462" s="58" t="n"/>
      <c r="K4462" s="58" t="n"/>
      <c r="L4462" s="13">
        <f>IF(OR($A4462="",AND($J4462="",$K4462="")),"",ROUND(N($J4462)-N($K4462),2))</f>
        <v/>
      </c>
      <c r="M4462" s="13">
        <f>IF(OR($A4462="",AND($J4462="",$K4462="")),"",MIN($J4462,$K4462))</f>
        <v/>
      </c>
      <c r="Q4462">
        <f>IF($A4462="","",$D4462&amp;"("&amp;SUBSTITUTE($E4462," ","")&amp;")")</f>
        <v/>
      </c>
      <c r="R4462">
        <f>IF($A4462="","",$B4462&amp;" - "&amp;$C4462)</f>
        <v/>
      </c>
      <c r="S4462">
        <f>IF($A4462="","",$R4462&amp;"|"&amp;$Q4462)</f>
        <v/>
      </c>
      <c r="T4462">
        <f>IF($A4462="","",$S4462&amp;"|"&amp;$F4462)</f>
        <v/>
      </c>
      <c r="U4462">
        <f>IF($A4462="","",$R4462&amp;"("&amp;$E4462&amp;")")</f>
        <v/>
      </c>
      <c r="V4462">
        <f>IF($A4462="","",$F4462&amp;"|"&amp;$U4462&amp;"|"&amp;$D4462)</f>
        <v/>
      </c>
      <c r="W4462">
        <f>IF($T4462="","",IF($X4462&gt;N($X4461),$X4462,""))</f>
        <v/>
      </c>
      <c r="X4462">
        <f>IF($T4462="",N($X4461),IF(MATCH($T4462,$T$6:$T$6005,0)=ROW()-5,N($X4461)+1,N($X4461)))</f>
        <v/>
      </c>
      <c r="Z4462">
        <f>IF($V4462="","",IF($AA4462&gt;N($AA4461),$AA4462,""))</f>
        <v/>
      </c>
      <c r="AA4462">
        <f>IF($V4462="",N($AA4461),IF(MATCH($V4462,$V$6:$V$6005,0)=ROW()-5,N($AA4461)+1,N($AA4461)))</f>
        <v/>
      </c>
    </row>
    <row r="4463" ht="21" customHeight="1" s="66">
      <c r="A4463" s="56" t="n"/>
      <c r="B4463" s="57" t="n"/>
      <c r="C4463" s="57" t="n"/>
      <c r="D4463" s="57" t="n"/>
      <c r="E4463" s="56" t="n"/>
      <c r="F4463" s="57" t="n"/>
      <c r="G4463" s="57" t="n"/>
      <c r="H4463" s="56" t="n"/>
      <c r="I4463" s="56" t="n"/>
      <c r="J4463" s="58" t="n"/>
      <c r="K4463" s="58" t="n"/>
      <c r="L4463" s="13">
        <f>IF(OR($A4463="",AND($J4463="",$K4463="")),"",ROUND(N($J4463)-N($K4463),2))</f>
        <v/>
      </c>
      <c r="M4463" s="13">
        <f>IF(OR($A4463="",AND($J4463="",$K4463="")),"",MIN($J4463,$K4463))</f>
        <v/>
      </c>
      <c r="Q4463">
        <f>IF($A4463="","",$D4463&amp;"("&amp;SUBSTITUTE($E4463," ","")&amp;")")</f>
        <v/>
      </c>
      <c r="R4463">
        <f>IF($A4463="","",$B4463&amp;" - "&amp;$C4463)</f>
        <v/>
      </c>
      <c r="S4463">
        <f>IF($A4463="","",$R4463&amp;"|"&amp;$Q4463)</f>
        <v/>
      </c>
      <c r="T4463">
        <f>IF($A4463="","",$S4463&amp;"|"&amp;$F4463)</f>
        <v/>
      </c>
      <c r="U4463">
        <f>IF($A4463="","",$R4463&amp;"("&amp;$E4463&amp;")")</f>
        <v/>
      </c>
      <c r="V4463">
        <f>IF($A4463="","",$F4463&amp;"|"&amp;$U4463&amp;"|"&amp;$D4463)</f>
        <v/>
      </c>
      <c r="W4463">
        <f>IF($T4463="","",IF($X4463&gt;N($X4462),$X4463,""))</f>
        <v/>
      </c>
      <c r="X4463">
        <f>IF($T4463="",N($X4462),IF(MATCH($T4463,$T$6:$T$6005,0)=ROW()-5,N($X4462)+1,N($X4462)))</f>
        <v/>
      </c>
      <c r="Z4463">
        <f>IF($V4463="","",IF($AA4463&gt;N($AA4462),$AA4463,""))</f>
        <v/>
      </c>
      <c r="AA4463">
        <f>IF($V4463="",N($AA4462),IF(MATCH($V4463,$V$6:$V$6005,0)=ROW()-5,N($AA4462)+1,N($AA4462)))</f>
        <v/>
      </c>
    </row>
    <row r="4464" ht="21" customHeight="1" s="66">
      <c r="A4464" s="56" t="n"/>
      <c r="B4464" s="57" t="n"/>
      <c r="C4464" s="57" t="n"/>
      <c r="D4464" s="57" t="n"/>
      <c r="E4464" s="56" t="n"/>
      <c r="F4464" s="57" t="n"/>
      <c r="G4464" s="57" t="n"/>
      <c r="H4464" s="56" t="n"/>
      <c r="I4464" s="56" t="n"/>
      <c r="J4464" s="58" t="n"/>
      <c r="K4464" s="58" t="n"/>
      <c r="L4464" s="13">
        <f>IF(OR($A4464="",AND($J4464="",$K4464="")),"",ROUND(N($J4464)-N($K4464),2))</f>
        <v/>
      </c>
      <c r="M4464" s="13">
        <f>IF(OR($A4464="",AND($J4464="",$K4464="")),"",MIN($J4464,$K4464))</f>
        <v/>
      </c>
      <c r="Q4464">
        <f>IF($A4464="","",$D4464&amp;"("&amp;SUBSTITUTE($E4464," ","")&amp;")")</f>
        <v/>
      </c>
      <c r="R4464">
        <f>IF($A4464="","",$B4464&amp;" - "&amp;$C4464)</f>
        <v/>
      </c>
      <c r="S4464">
        <f>IF($A4464="","",$R4464&amp;"|"&amp;$Q4464)</f>
        <v/>
      </c>
      <c r="T4464">
        <f>IF($A4464="","",$S4464&amp;"|"&amp;$F4464)</f>
        <v/>
      </c>
      <c r="U4464">
        <f>IF($A4464="","",$R4464&amp;"("&amp;$E4464&amp;")")</f>
        <v/>
      </c>
      <c r="V4464">
        <f>IF($A4464="","",$F4464&amp;"|"&amp;$U4464&amp;"|"&amp;$D4464)</f>
        <v/>
      </c>
      <c r="W4464">
        <f>IF($T4464="","",IF($X4464&gt;N($X4463),$X4464,""))</f>
        <v/>
      </c>
      <c r="X4464">
        <f>IF($T4464="",N($X4463),IF(MATCH($T4464,$T$6:$T$6005,0)=ROW()-5,N($X4463)+1,N($X4463)))</f>
        <v/>
      </c>
      <c r="Z4464">
        <f>IF($V4464="","",IF($AA4464&gt;N($AA4463),$AA4464,""))</f>
        <v/>
      </c>
      <c r="AA4464">
        <f>IF($V4464="",N($AA4463),IF(MATCH($V4464,$V$6:$V$6005,0)=ROW()-5,N($AA4463)+1,N($AA4463)))</f>
        <v/>
      </c>
    </row>
    <row r="4465" ht="21" customHeight="1" s="66">
      <c r="A4465" s="56" t="n"/>
      <c r="B4465" s="57" t="n"/>
      <c r="C4465" s="57" t="n"/>
      <c r="D4465" s="57" t="n"/>
      <c r="E4465" s="56" t="n"/>
      <c r="F4465" s="57" t="n"/>
      <c r="G4465" s="57" t="n"/>
      <c r="H4465" s="56" t="n"/>
      <c r="I4465" s="56" t="n"/>
      <c r="J4465" s="58" t="n"/>
      <c r="K4465" s="58" t="n"/>
      <c r="L4465" s="13">
        <f>IF(OR($A4465="",AND($J4465="",$K4465="")),"",ROUND(N($J4465)-N($K4465),2))</f>
        <v/>
      </c>
      <c r="M4465" s="13">
        <f>IF(OR($A4465="",AND($J4465="",$K4465="")),"",MIN($J4465,$K4465))</f>
        <v/>
      </c>
      <c r="Q4465">
        <f>IF($A4465="","",$D4465&amp;"("&amp;SUBSTITUTE($E4465," ","")&amp;")")</f>
        <v/>
      </c>
      <c r="R4465">
        <f>IF($A4465="","",$B4465&amp;" - "&amp;$C4465)</f>
        <v/>
      </c>
      <c r="S4465">
        <f>IF($A4465="","",$R4465&amp;"|"&amp;$Q4465)</f>
        <v/>
      </c>
      <c r="T4465">
        <f>IF($A4465="","",$S4465&amp;"|"&amp;$F4465)</f>
        <v/>
      </c>
      <c r="U4465">
        <f>IF($A4465="","",$R4465&amp;"("&amp;$E4465&amp;")")</f>
        <v/>
      </c>
      <c r="V4465">
        <f>IF($A4465="","",$F4465&amp;"|"&amp;$U4465&amp;"|"&amp;$D4465)</f>
        <v/>
      </c>
      <c r="W4465">
        <f>IF($T4465="","",IF($X4465&gt;N($X4464),$X4465,""))</f>
        <v/>
      </c>
      <c r="X4465">
        <f>IF($T4465="",N($X4464),IF(MATCH($T4465,$T$6:$T$6005,0)=ROW()-5,N($X4464)+1,N($X4464)))</f>
        <v/>
      </c>
      <c r="Z4465">
        <f>IF($V4465="","",IF($AA4465&gt;N($AA4464),$AA4465,""))</f>
        <v/>
      </c>
      <c r="AA4465">
        <f>IF($V4465="",N($AA4464),IF(MATCH($V4465,$V$6:$V$6005,0)=ROW()-5,N($AA4464)+1,N($AA4464)))</f>
        <v/>
      </c>
    </row>
    <row r="4466" ht="21" customHeight="1" s="66">
      <c r="A4466" s="56" t="n"/>
      <c r="B4466" s="57" t="n"/>
      <c r="C4466" s="57" t="n"/>
      <c r="D4466" s="57" t="n"/>
      <c r="E4466" s="56" t="n"/>
      <c r="F4466" s="57" t="n"/>
      <c r="G4466" s="57" t="n"/>
      <c r="H4466" s="56" t="n"/>
      <c r="I4466" s="56" t="n"/>
      <c r="J4466" s="58" t="n"/>
      <c r="K4466" s="58" t="n"/>
      <c r="L4466" s="13">
        <f>IF(OR($A4466="",AND($J4466="",$K4466="")),"",ROUND(N($J4466)-N($K4466),2))</f>
        <v/>
      </c>
      <c r="M4466" s="13">
        <f>IF(OR($A4466="",AND($J4466="",$K4466="")),"",MIN($J4466,$K4466))</f>
        <v/>
      </c>
      <c r="Q4466">
        <f>IF($A4466="","",$D4466&amp;"("&amp;SUBSTITUTE($E4466," ","")&amp;")")</f>
        <v/>
      </c>
      <c r="R4466">
        <f>IF($A4466="","",$B4466&amp;" - "&amp;$C4466)</f>
        <v/>
      </c>
      <c r="S4466">
        <f>IF($A4466="","",$R4466&amp;"|"&amp;$Q4466)</f>
        <v/>
      </c>
      <c r="T4466">
        <f>IF($A4466="","",$S4466&amp;"|"&amp;$F4466)</f>
        <v/>
      </c>
      <c r="U4466">
        <f>IF($A4466="","",$R4466&amp;"("&amp;$E4466&amp;")")</f>
        <v/>
      </c>
      <c r="V4466">
        <f>IF($A4466="","",$F4466&amp;"|"&amp;$U4466&amp;"|"&amp;$D4466)</f>
        <v/>
      </c>
      <c r="W4466">
        <f>IF($T4466="","",IF($X4466&gt;N($X4465),$X4466,""))</f>
        <v/>
      </c>
      <c r="X4466">
        <f>IF($T4466="",N($X4465),IF(MATCH($T4466,$T$6:$T$6005,0)=ROW()-5,N($X4465)+1,N($X4465)))</f>
        <v/>
      </c>
      <c r="Z4466">
        <f>IF($V4466="","",IF($AA4466&gt;N($AA4465),$AA4466,""))</f>
        <v/>
      </c>
      <c r="AA4466">
        <f>IF($V4466="",N($AA4465),IF(MATCH($V4466,$V$6:$V$6005,0)=ROW()-5,N($AA4465)+1,N($AA4465)))</f>
        <v/>
      </c>
    </row>
    <row r="4467" ht="21" customHeight="1" s="66">
      <c r="A4467" s="56" t="n"/>
      <c r="B4467" s="57" t="n"/>
      <c r="C4467" s="57" t="n"/>
      <c r="D4467" s="57" t="n"/>
      <c r="E4467" s="56" t="n"/>
      <c r="F4467" s="57" t="n"/>
      <c r="G4467" s="57" t="n"/>
      <c r="H4467" s="56" t="n"/>
      <c r="I4467" s="56" t="n"/>
      <c r="J4467" s="58" t="n"/>
      <c r="K4467" s="58" t="n"/>
      <c r="L4467" s="13">
        <f>IF(OR($A4467="",AND($J4467="",$K4467="")),"",ROUND(N($J4467)-N($K4467),2))</f>
        <v/>
      </c>
      <c r="M4467" s="13">
        <f>IF(OR($A4467="",AND($J4467="",$K4467="")),"",MIN($J4467,$K4467))</f>
        <v/>
      </c>
      <c r="Q4467">
        <f>IF($A4467="","",$D4467&amp;"("&amp;SUBSTITUTE($E4467," ","")&amp;")")</f>
        <v/>
      </c>
      <c r="R4467">
        <f>IF($A4467="","",$B4467&amp;" - "&amp;$C4467)</f>
        <v/>
      </c>
      <c r="S4467">
        <f>IF($A4467="","",$R4467&amp;"|"&amp;$Q4467)</f>
        <v/>
      </c>
      <c r="T4467">
        <f>IF($A4467="","",$S4467&amp;"|"&amp;$F4467)</f>
        <v/>
      </c>
      <c r="U4467">
        <f>IF($A4467="","",$R4467&amp;"("&amp;$E4467&amp;")")</f>
        <v/>
      </c>
      <c r="V4467">
        <f>IF($A4467="","",$F4467&amp;"|"&amp;$U4467&amp;"|"&amp;$D4467)</f>
        <v/>
      </c>
      <c r="W4467">
        <f>IF($T4467="","",IF($X4467&gt;N($X4466),$X4467,""))</f>
        <v/>
      </c>
      <c r="X4467">
        <f>IF($T4467="",N($X4466),IF(MATCH($T4467,$T$6:$T$6005,0)=ROW()-5,N($X4466)+1,N($X4466)))</f>
        <v/>
      </c>
      <c r="Z4467">
        <f>IF($V4467="","",IF($AA4467&gt;N($AA4466),$AA4467,""))</f>
        <v/>
      </c>
      <c r="AA4467">
        <f>IF($V4467="",N($AA4466),IF(MATCH($V4467,$V$6:$V$6005,0)=ROW()-5,N($AA4466)+1,N($AA4466)))</f>
        <v/>
      </c>
    </row>
    <row r="4468" ht="21" customHeight="1" s="66">
      <c r="A4468" s="56" t="n"/>
      <c r="B4468" s="57" t="n"/>
      <c r="C4468" s="57" t="n"/>
      <c r="D4468" s="57" t="n"/>
      <c r="E4468" s="56" t="n"/>
      <c r="F4468" s="57" t="n"/>
      <c r="G4468" s="57" t="n"/>
      <c r="H4468" s="56" t="n"/>
      <c r="I4468" s="56" t="n"/>
      <c r="J4468" s="58" t="n"/>
      <c r="K4468" s="58" t="n"/>
      <c r="L4468" s="13">
        <f>IF(OR($A4468="",AND($J4468="",$K4468="")),"",ROUND(N($J4468)-N($K4468),2))</f>
        <v/>
      </c>
      <c r="M4468" s="13">
        <f>IF(OR($A4468="",AND($J4468="",$K4468="")),"",MIN($J4468,$K4468))</f>
        <v/>
      </c>
      <c r="Q4468">
        <f>IF($A4468="","",$D4468&amp;"("&amp;SUBSTITUTE($E4468," ","")&amp;")")</f>
        <v/>
      </c>
      <c r="R4468">
        <f>IF($A4468="","",$B4468&amp;" - "&amp;$C4468)</f>
        <v/>
      </c>
      <c r="S4468">
        <f>IF($A4468="","",$R4468&amp;"|"&amp;$Q4468)</f>
        <v/>
      </c>
      <c r="T4468">
        <f>IF($A4468="","",$S4468&amp;"|"&amp;$F4468)</f>
        <v/>
      </c>
      <c r="U4468">
        <f>IF($A4468="","",$R4468&amp;"("&amp;$E4468&amp;")")</f>
        <v/>
      </c>
      <c r="V4468">
        <f>IF($A4468="","",$F4468&amp;"|"&amp;$U4468&amp;"|"&amp;$D4468)</f>
        <v/>
      </c>
      <c r="W4468">
        <f>IF($T4468="","",IF($X4468&gt;N($X4467),$X4468,""))</f>
        <v/>
      </c>
      <c r="X4468">
        <f>IF($T4468="",N($X4467),IF(MATCH($T4468,$T$6:$T$6005,0)=ROW()-5,N($X4467)+1,N($X4467)))</f>
        <v/>
      </c>
      <c r="Z4468">
        <f>IF($V4468="","",IF($AA4468&gt;N($AA4467),$AA4468,""))</f>
        <v/>
      </c>
      <c r="AA4468">
        <f>IF($V4468="",N($AA4467),IF(MATCH($V4468,$V$6:$V$6005,0)=ROW()-5,N($AA4467)+1,N($AA4467)))</f>
        <v/>
      </c>
    </row>
    <row r="4469" ht="21" customHeight="1" s="66">
      <c r="A4469" s="56" t="n"/>
      <c r="B4469" s="57" t="n"/>
      <c r="C4469" s="57" t="n"/>
      <c r="D4469" s="57" t="n"/>
      <c r="E4469" s="56" t="n"/>
      <c r="F4469" s="57" t="n"/>
      <c r="G4469" s="57" t="n"/>
      <c r="H4469" s="56" t="n"/>
      <c r="I4469" s="56" t="n"/>
      <c r="J4469" s="58" t="n"/>
      <c r="K4469" s="58" t="n"/>
      <c r="L4469" s="13">
        <f>IF(OR($A4469="",AND($J4469="",$K4469="")),"",ROUND(N($J4469)-N($K4469),2))</f>
        <v/>
      </c>
      <c r="M4469" s="13">
        <f>IF(OR($A4469="",AND($J4469="",$K4469="")),"",MIN($J4469,$K4469))</f>
        <v/>
      </c>
      <c r="Q4469">
        <f>IF($A4469="","",$D4469&amp;"("&amp;SUBSTITUTE($E4469," ","")&amp;")")</f>
        <v/>
      </c>
      <c r="R4469">
        <f>IF($A4469="","",$B4469&amp;" - "&amp;$C4469)</f>
        <v/>
      </c>
      <c r="S4469">
        <f>IF($A4469="","",$R4469&amp;"|"&amp;$Q4469)</f>
        <v/>
      </c>
      <c r="T4469">
        <f>IF($A4469="","",$S4469&amp;"|"&amp;$F4469)</f>
        <v/>
      </c>
      <c r="U4469">
        <f>IF($A4469="","",$R4469&amp;"("&amp;$E4469&amp;")")</f>
        <v/>
      </c>
      <c r="V4469">
        <f>IF($A4469="","",$F4469&amp;"|"&amp;$U4469&amp;"|"&amp;$D4469)</f>
        <v/>
      </c>
      <c r="W4469">
        <f>IF($T4469="","",IF($X4469&gt;N($X4468),$X4469,""))</f>
        <v/>
      </c>
      <c r="X4469">
        <f>IF($T4469="",N($X4468),IF(MATCH($T4469,$T$6:$T$6005,0)=ROW()-5,N($X4468)+1,N($X4468)))</f>
        <v/>
      </c>
      <c r="Z4469">
        <f>IF($V4469="","",IF($AA4469&gt;N($AA4468),$AA4469,""))</f>
        <v/>
      </c>
      <c r="AA4469">
        <f>IF($V4469="",N($AA4468),IF(MATCH($V4469,$V$6:$V$6005,0)=ROW()-5,N($AA4468)+1,N($AA4468)))</f>
        <v/>
      </c>
    </row>
    <row r="4470" ht="21" customHeight="1" s="66">
      <c r="A4470" s="56" t="n"/>
      <c r="B4470" s="57" t="n"/>
      <c r="C4470" s="57" t="n"/>
      <c r="D4470" s="57" t="n"/>
      <c r="E4470" s="56" t="n"/>
      <c r="F4470" s="57" t="n"/>
      <c r="G4470" s="57" t="n"/>
      <c r="H4470" s="56" t="n"/>
      <c r="I4470" s="56" t="n"/>
      <c r="J4470" s="58" t="n"/>
      <c r="K4470" s="58" t="n"/>
      <c r="L4470" s="13">
        <f>IF(OR($A4470="",AND($J4470="",$K4470="")),"",ROUND(N($J4470)-N($K4470),2))</f>
        <v/>
      </c>
      <c r="M4470" s="13">
        <f>IF(OR($A4470="",AND($J4470="",$K4470="")),"",MIN($J4470,$K4470))</f>
        <v/>
      </c>
      <c r="Q4470">
        <f>IF($A4470="","",$D4470&amp;"("&amp;SUBSTITUTE($E4470," ","")&amp;")")</f>
        <v/>
      </c>
      <c r="R4470">
        <f>IF($A4470="","",$B4470&amp;" - "&amp;$C4470)</f>
        <v/>
      </c>
      <c r="S4470">
        <f>IF($A4470="","",$R4470&amp;"|"&amp;$Q4470)</f>
        <v/>
      </c>
      <c r="T4470">
        <f>IF($A4470="","",$S4470&amp;"|"&amp;$F4470)</f>
        <v/>
      </c>
      <c r="U4470">
        <f>IF($A4470="","",$R4470&amp;"("&amp;$E4470&amp;")")</f>
        <v/>
      </c>
      <c r="V4470">
        <f>IF($A4470="","",$F4470&amp;"|"&amp;$U4470&amp;"|"&amp;$D4470)</f>
        <v/>
      </c>
      <c r="W4470">
        <f>IF($T4470="","",IF($X4470&gt;N($X4469),$X4470,""))</f>
        <v/>
      </c>
      <c r="X4470">
        <f>IF($T4470="",N($X4469),IF(MATCH($T4470,$T$6:$T$6005,0)=ROW()-5,N($X4469)+1,N($X4469)))</f>
        <v/>
      </c>
      <c r="Z4470">
        <f>IF($V4470="","",IF($AA4470&gt;N($AA4469),$AA4470,""))</f>
        <v/>
      </c>
      <c r="AA4470">
        <f>IF($V4470="",N($AA4469),IF(MATCH($V4470,$V$6:$V$6005,0)=ROW()-5,N($AA4469)+1,N($AA4469)))</f>
        <v/>
      </c>
    </row>
    <row r="4471" ht="21" customHeight="1" s="66">
      <c r="A4471" s="56" t="n"/>
      <c r="B4471" s="57" t="n"/>
      <c r="C4471" s="57" t="n"/>
      <c r="D4471" s="57" t="n"/>
      <c r="E4471" s="56" t="n"/>
      <c r="F4471" s="57" t="n"/>
      <c r="G4471" s="57" t="n"/>
      <c r="H4471" s="56" t="n"/>
      <c r="I4471" s="56" t="n"/>
      <c r="J4471" s="58" t="n"/>
      <c r="K4471" s="58" t="n"/>
      <c r="L4471" s="13">
        <f>IF(OR($A4471="",AND($J4471="",$K4471="")),"",ROUND(N($J4471)-N($K4471),2))</f>
        <v/>
      </c>
      <c r="M4471" s="13">
        <f>IF(OR($A4471="",AND($J4471="",$K4471="")),"",MIN($J4471,$K4471))</f>
        <v/>
      </c>
      <c r="Q4471">
        <f>IF($A4471="","",$D4471&amp;"("&amp;SUBSTITUTE($E4471," ","")&amp;")")</f>
        <v/>
      </c>
      <c r="R4471">
        <f>IF($A4471="","",$B4471&amp;" - "&amp;$C4471)</f>
        <v/>
      </c>
      <c r="S4471">
        <f>IF($A4471="","",$R4471&amp;"|"&amp;$Q4471)</f>
        <v/>
      </c>
      <c r="T4471">
        <f>IF($A4471="","",$S4471&amp;"|"&amp;$F4471)</f>
        <v/>
      </c>
      <c r="U4471">
        <f>IF($A4471="","",$R4471&amp;"("&amp;$E4471&amp;")")</f>
        <v/>
      </c>
      <c r="V4471">
        <f>IF($A4471="","",$F4471&amp;"|"&amp;$U4471&amp;"|"&amp;$D4471)</f>
        <v/>
      </c>
      <c r="W4471">
        <f>IF($T4471="","",IF($X4471&gt;N($X4470),$X4471,""))</f>
        <v/>
      </c>
      <c r="X4471">
        <f>IF($T4471="",N($X4470),IF(MATCH($T4471,$T$6:$T$6005,0)=ROW()-5,N($X4470)+1,N($X4470)))</f>
        <v/>
      </c>
      <c r="Z4471">
        <f>IF($V4471="","",IF($AA4471&gt;N($AA4470),$AA4471,""))</f>
        <v/>
      </c>
      <c r="AA4471">
        <f>IF($V4471="",N($AA4470),IF(MATCH($V4471,$V$6:$V$6005,0)=ROW()-5,N($AA4470)+1,N($AA4470)))</f>
        <v/>
      </c>
    </row>
    <row r="4472" ht="21" customHeight="1" s="66">
      <c r="A4472" s="56" t="n"/>
      <c r="B4472" s="57" t="n"/>
      <c r="C4472" s="57" t="n"/>
      <c r="D4472" s="57" t="n"/>
      <c r="E4472" s="56" t="n"/>
      <c r="F4472" s="57" t="n"/>
      <c r="G4472" s="57" t="n"/>
      <c r="H4472" s="56" t="n"/>
      <c r="I4472" s="56" t="n"/>
      <c r="J4472" s="58" t="n"/>
      <c r="K4472" s="58" t="n"/>
      <c r="L4472" s="13">
        <f>IF(OR($A4472="",AND($J4472="",$K4472="")),"",ROUND(N($J4472)-N($K4472),2))</f>
        <v/>
      </c>
      <c r="M4472" s="13">
        <f>IF(OR($A4472="",AND($J4472="",$K4472="")),"",MIN($J4472,$K4472))</f>
        <v/>
      </c>
      <c r="Q4472">
        <f>IF($A4472="","",$D4472&amp;"("&amp;SUBSTITUTE($E4472," ","")&amp;")")</f>
        <v/>
      </c>
      <c r="R4472">
        <f>IF($A4472="","",$B4472&amp;" - "&amp;$C4472)</f>
        <v/>
      </c>
      <c r="S4472">
        <f>IF($A4472="","",$R4472&amp;"|"&amp;$Q4472)</f>
        <v/>
      </c>
      <c r="T4472">
        <f>IF($A4472="","",$S4472&amp;"|"&amp;$F4472)</f>
        <v/>
      </c>
      <c r="U4472">
        <f>IF($A4472="","",$R4472&amp;"("&amp;$E4472&amp;")")</f>
        <v/>
      </c>
      <c r="V4472">
        <f>IF($A4472="","",$F4472&amp;"|"&amp;$U4472&amp;"|"&amp;$D4472)</f>
        <v/>
      </c>
      <c r="W4472">
        <f>IF($T4472="","",IF($X4472&gt;N($X4471),$X4472,""))</f>
        <v/>
      </c>
      <c r="X4472">
        <f>IF($T4472="",N($X4471),IF(MATCH($T4472,$T$6:$T$6005,0)=ROW()-5,N($X4471)+1,N($X4471)))</f>
        <v/>
      </c>
      <c r="Z4472">
        <f>IF($V4472="","",IF($AA4472&gt;N($AA4471),$AA4472,""))</f>
        <v/>
      </c>
      <c r="AA4472">
        <f>IF($V4472="",N($AA4471),IF(MATCH($V4472,$V$6:$V$6005,0)=ROW()-5,N($AA4471)+1,N($AA4471)))</f>
        <v/>
      </c>
    </row>
    <row r="4473" ht="21" customHeight="1" s="66">
      <c r="A4473" s="56" t="n"/>
      <c r="B4473" s="57" t="n"/>
      <c r="C4473" s="57" t="n"/>
      <c r="D4473" s="57" t="n"/>
      <c r="E4473" s="56" t="n"/>
      <c r="F4473" s="57" t="n"/>
      <c r="G4473" s="57" t="n"/>
      <c r="H4473" s="56" t="n"/>
      <c r="I4473" s="56" t="n"/>
      <c r="J4473" s="58" t="n"/>
      <c r="K4473" s="58" t="n"/>
      <c r="L4473" s="13">
        <f>IF(OR($A4473="",AND($J4473="",$K4473="")),"",ROUND(N($J4473)-N($K4473),2))</f>
        <v/>
      </c>
      <c r="M4473" s="13">
        <f>IF(OR($A4473="",AND($J4473="",$K4473="")),"",MIN($J4473,$K4473))</f>
        <v/>
      </c>
      <c r="Q4473">
        <f>IF($A4473="","",$D4473&amp;"("&amp;SUBSTITUTE($E4473," ","")&amp;")")</f>
        <v/>
      </c>
      <c r="R4473">
        <f>IF($A4473="","",$B4473&amp;" - "&amp;$C4473)</f>
        <v/>
      </c>
      <c r="S4473">
        <f>IF($A4473="","",$R4473&amp;"|"&amp;$Q4473)</f>
        <v/>
      </c>
      <c r="T4473">
        <f>IF($A4473="","",$S4473&amp;"|"&amp;$F4473)</f>
        <v/>
      </c>
      <c r="U4473">
        <f>IF($A4473="","",$R4473&amp;"("&amp;$E4473&amp;")")</f>
        <v/>
      </c>
      <c r="V4473">
        <f>IF($A4473="","",$F4473&amp;"|"&amp;$U4473&amp;"|"&amp;$D4473)</f>
        <v/>
      </c>
      <c r="W4473">
        <f>IF($T4473="","",IF($X4473&gt;N($X4472),$X4473,""))</f>
        <v/>
      </c>
      <c r="X4473">
        <f>IF($T4473="",N($X4472),IF(MATCH($T4473,$T$6:$T$6005,0)=ROW()-5,N($X4472)+1,N($X4472)))</f>
        <v/>
      </c>
      <c r="Z4473">
        <f>IF($V4473="","",IF($AA4473&gt;N($AA4472),$AA4473,""))</f>
        <v/>
      </c>
      <c r="AA4473">
        <f>IF($V4473="",N($AA4472),IF(MATCH($V4473,$V$6:$V$6005,0)=ROW()-5,N($AA4472)+1,N($AA4472)))</f>
        <v/>
      </c>
    </row>
    <row r="4474" ht="21" customHeight="1" s="66">
      <c r="A4474" s="56" t="n"/>
      <c r="B4474" s="57" t="n"/>
      <c r="C4474" s="57" t="n"/>
      <c r="D4474" s="57" t="n"/>
      <c r="E4474" s="56" t="n"/>
      <c r="F4474" s="57" t="n"/>
      <c r="G4474" s="57" t="n"/>
      <c r="H4474" s="56" t="n"/>
      <c r="I4474" s="56" t="n"/>
      <c r="J4474" s="58" t="n"/>
      <c r="K4474" s="58" t="n"/>
      <c r="L4474" s="13">
        <f>IF(OR($A4474="",AND($J4474="",$K4474="")),"",ROUND(N($J4474)-N($K4474),2))</f>
        <v/>
      </c>
      <c r="M4474" s="13">
        <f>IF(OR($A4474="",AND($J4474="",$K4474="")),"",MIN($J4474,$K4474))</f>
        <v/>
      </c>
      <c r="Q4474">
        <f>IF($A4474="","",$D4474&amp;"("&amp;SUBSTITUTE($E4474," ","")&amp;")")</f>
        <v/>
      </c>
      <c r="R4474">
        <f>IF($A4474="","",$B4474&amp;" - "&amp;$C4474)</f>
        <v/>
      </c>
      <c r="S4474">
        <f>IF($A4474="","",$R4474&amp;"|"&amp;$Q4474)</f>
        <v/>
      </c>
      <c r="T4474">
        <f>IF($A4474="","",$S4474&amp;"|"&amp;$F4474)</f>
        <v/>
      </c>
      <c r="U4474">
        <f>IF($A4474="","",$R4474&amp;"("&amp;$E4474&amp;")")</f>
        <v/>
      </c>
      <c r="V4474">
        <f>IF($A4474="","",$F4474&amp;"|"&amp;$U4474&amp;"|"&amp;$D4474)</f>
        <v/>
      </c>
      <c r="W4474">
        <f>IF($T4474="","",IF($X4474&gt;N($X4473),$X4474,""))</f>
        <v/>
      </c>
      <c r="X4474">
        <f>IF($T4474="",N($X4473),IF(MATCH($T4474,$T$6:$T$6005,0)=ROW()-5,N($X4473)+1,N($X4473)))</f>
        <v/>
      </c>
      <c r="Z4474">
        <f>IF($V4474="","",IF($AA4474&gt;N($AA4473),$AA4474,""))</f>
        <v/>
      </c>
      <c r="AA4474">
        <f>IF($V4474="",N($AA4473),IF(MATCH($V4474,$V$6:$V$6005,0)=ROW()-5,N($AA4473)+1,N($AA4473)))</f>
        <v/>
      </c>
    </row>
    <row r="4475" ht="21" customHeight="1" s="66">
      <c r="A4475" s="56" t="n"/>
      <c r="B4475" s="57" t="n"/>
      <c r="C4475" s="57" t="n"/>
      <c r="D4475" s="57" t="n"/>
      <c r="E4475" s="56" t="n"/>
      <c r="F4475" s="57" t="n"/>
      <c r="G4475" s="57" t="n"/>
      <c r="H4475" s="56" t="n"/>
      <c r="I4475" s="56" t="n"/>
      <c r="J4475" s="58" t="n"/>
      <c r="K4475" s="58" t="n"/>
      <c r="L4475" s="13">
        <f>IF(OR($A4475="",AND($J4475="",$K4475="")),"",ROUND(N($J4475)-N($K4475),2))</f>
        <v/>
      </c>
      <c r="M4475" s="13">
        <f>IF(OR($A4475="",AND($J4475="",$K4475="")),"",MIN($J4475,$K4475))</f>
        <v/>
      </c>
      <c r="Q4475">
        <f>IF($A4475="","",$D4475&amp;"("&amp;SUBSTITUTE($E4475," ","")&amp;")")</f>
        <v/>
      </c>
      <c r="R4475">
        <f>IF($A4475="","",$B4475&amp;" - "&amp;$C4475)</f>
        <v/>
      </c>
      <c r="S4475">
        <f>IF($A4475="","",$R4475&amp;"|"&amp;$Q4475)</f>
        <v/>
      </c>
      <c r="T4475">
        <f>IF($A4475="","",$S4475&amp;"|"&amp;$F4475)</f>
        <v/>
      </c>
      <c r="U4475">
        <f>IF($A4475="","",$R4475&amp;"("&amp;$E4475&amp;")")</f>
        <v/>
      </c>
      <c r="V4475">
        <f>IF($A4475="","",$F4475&amp;"|"&amp;$U4475&amp;"|"&amp;$D4475)</f>
        <v/>
      </c>
      <c r="W4475">
        <f>IF($T4475="","",IF($X4475&gt;N($X4474),$X4475,""))</f>
        <v/>
      </c>
      <c r="X4475">
        <f>IF($T4475="",N($X4474),IF(MATCH($T4475,$T$6:$T$6005,0)=ROW()-5,N($X4474)+1,N($X4474)))</f>
        <v/>
      </c>
      <c r="Z4475">
        <f>IF($V4475="","",IF($AA4475&gt;N($AA4474),$AA4475,""))</f>
        <v/>
      </c>
      <c r="AA4475">
        <f>IF($V4475="",N($AA4474),IF(MATCH($V4475,$V$6:$V$6005,0)=ROW()-5,N($AA4474)+1,N($AA4474)))</f>
        <v/>
      </c>
    </row>
    <row r="4476" ht="21" customHeight="1" s="66">
      <c r="A4476" s="56" t="n"/>
      <c r="B4476" s="57" t="n"/>
      <c r="C4476" s="57" t="n"/>
      <c r="D4476" s="57" t="n"/>
      <c r="E4476" s="56" t="n"/>
      <c r="F4476" s="57" t="n"/>
      <c r="G4476" s="57" t="n"/>
      <c r="H4476" s="56" t="n"/>
      <c r="I4476" s="56" t="n"/>
      <c r="J4476" s="58" t="n"/>
      <c r="K4476" s="58" t="n"/>
      <c r="L4476" s="13">
        <f>IF(OR($A4476="",AND($J4476="",$K4476="")),"",ROUND(N($J4476)-N($K4476),2))</f>
        <v/>
      </c>
      <c r="M4476" s="13">
        <f>IF(OR($A4476="",AND($J4476="",$K4476="")),"",MIN($J4476,$K4476))</f>
        <v/>
      </c>
      <c r="Q4476">
        <f>IF($A4476="","",$D4476&amp;"("&amp;SUBSTITUTE($E4476," ","")&amp;")")</f>
        <v/>
      </c>
      <c r="R4476">
        <f>IF($A4476="","",$B4476&amp;" - "&amp;$C4476)</f>
        <v/>
      </c>
      <c r="S4476">
        <f>IF($A4476="","",$R4476&amp;"|"&amp;$Q4476)</f>
        <v/>
      </c>
      <c r="T4476">
        <f>IF($A4476="","",$S4476&amp;"|"&amp;$F4476)</f>
        <v/>
      </c>
      <c r="U4476">
        <f>IF($A4476="","",$R4476&amp;"("&amp;$E4476&amp;")")</f>
        <v/>
      </c>
      <c r="V4476">
        <f>IF($A4476="","",$F4476&amp;"|"&amp;$U4476&amp;"|"&amp;$D4476)</f>
        <v/>
      </c>
      <c r="W4476">
        <f>IF($T4476="","",IF($X4476&gt;N($X4475),$X4476,""))</f>
        <v/>
      </c>
      <c r="X4476">
        <f>IF($T4476="",N($X4475),IF(MATCH($T4476,$T$6:$T$6005,0)=ROW()-5,N($X4475)+1,N($X4475)))</f>
        <v/>
      </c>
      <c r="Z4476">
        <f>IF($V4476="","",IF($AA4476&gt;N($AA4475),$AA4476,""))</f>
        <v/>
      </c>
      <c r="AA4476">
        <f>IF($V4476="",N($AA4475),IF(MATCH($V4476,$V$6:$V$6005,0)=ROW()-5,N($AA4475)+1,N($AA4475)))</f>
        <v/>
      </c>
    </row>
    <row r="4477" ht="21" customHeight="1" s="66">
      <c r="A4477" s="56" t="n"/>
      <c r="B4477" s="57" t="n"/>
      <c r="C4477" s="57" t="n"/>
      <c r="D4477" s="57" t="n"/>
      <c r="E4477" s="56" t="n"/>
      <c r="F4477" s="57" t="n"/>
      <c r="G4477" s="57" t="n"/>
      <c r="H4477" s="56" t="n"/>
      <c r="I4477" s="56" t="n"/>
      <c r="J4477" s="58" t="n"/>
      <c r="K4477" s="58" t="n"/>
      <c r="L4477" s="13">
        <f>IF(OR($A4477="",AND($J4477="",$K4477="")),"",ROUND(N($J4477)-N($K4477),2))</f>
        <v/>
      </c>
      <c r="M4477" s="13">
        <f>IF(OR($A4477="",AND($J4477="",$K4477="")),"",MIN($J4477,$K4477))</f>
        <v/>
      </c>
      <c r="Q4477">
        <f>IF($A4477="","",$D4477&amp;"("&amp;SUBSTITUTE($E4477," ","")&amp;")")</f>
        <v/>
      </c>
      <c r="R4477">
        <f>IF($A4477="","",$B4477&amp;" - "&amp;$C4477)</f>
        <v/>
      </c>
      <c r="S4477">
        <f>IF($A4477="","",$R4477&amp;"|"&amp;$Q4477)</f>
        <v/>
      </c>
      <c r="T4477">
        <f>IF($A4477="","",$S4477&amp;"|"&amp;$F4477)</f>
        <v/>
      </c>
      <c r="U4477">
        <f>IF($A4477="","",$R4477&amp;"("&amp;$E4477&amp;")")</f>
        <v/>
      </c>
      <c r="V4477">
        <f>IF($A4477="","",$F4477&amp;"|"&amp;$U4477&amp;"|"&amp;$D4477)</f>
        <v/>
      </c>
      <c r="W4477">
        <f>IF($T4477="","",IF($X4477&gt;N($X4476),$X4477,""))</f>
        <v/>
      </c>
      <c r="X4477">
        <f>IF($T4477="",N($X4476),IF(MATCH($T4477,$T$6:$T$6005,0)=ROW()-5,N($X4476)+1,N($X4476)))</f>
        <v/>
      </c>
      <c r="Z4477">
        <f>IF($V4477="","",IF($AA4477&gt;N($AA4476),$AA4477,""))</f>
        <v/>
      </c>
      <c r="AA4477">
        <f>IF($V4477="",N($AA4476),IF(MATCH($V4477,$V$6:$V$6005,0)=ROW()-5,N($AA4476)+1,N($AA4476)))</f>
        <v/>
      </c>
    </row>
    <row r="4478" ht="21" customHeight="1" s="66">
      <c r="A4478" s="56" t="n"/>
      <c r="B4478" s="57" t="n"/>
      <c r="C4478" s="57" t="n"/>
      <c r="D4478" s="57" t="n"/>
      <c r="E4478" s="56" t="n"/>
      <c r="F4478" s="57" t="n"/>
      <c r="G4478" s="57" t="n"/>
      <c r="H4478" s="56" t="n"/>
      <c r="I4478" s="56" t="n"/>
      <c r="J4478" s="58" t="n"/>
      <c r="K4478" s="58" t="n"/>
      <c r="L4478" s="13">
        <f>IF(OR($A4478="",AND($J4478="",$K4478="")),"",ROUND(N($J4478)-N($K4478),2))</f>
        <v/>
      </c>
      <c r="M4478" s="13">
        <f>IF(OR($A4478="",AND($J4478="",$K4478="")),"",MIN($J4478,$K4478))</f>
        <v/>
      </c>
      <c r="Q4478">
        <f>IF($A4478="","",$D4478&amp;"("&amp;SUBSTITUTE($E4478," ","")&amp;")")</f>
        <v/>
      </c>
      <c r="R4478">
        <f>IF($A4478="","",$B4478&amp;" - "&amp;$C4478)</f>
        <v/>
      </c>
      <c r="S4478">
        <f>IF($A4478="","",$R4478&amp;"|"&amp;$Q4478)</f>
        <v/>
      </c>
      <c r="T4478">
        <f>IF($A4478="","",$S4478&amp;"|"&amp;$F4478)</f>
        <v/>
      </c>
      <c r="U4478">
        <f>IF($A4478="","",$R4478&amp;"("&amp;$E4478&amp;")")</f>
        <v/>
      </c>
      <c r="V4478">
        <f>IF($A4478="","",$F4478&amp;"|"&amp;$U4478&amp;"|"&amp;$D4478)</f>
        <v/>
      </c>
      <c r="W4478">
        <f>IF($T4478="","",IF($X4478&gt;N($X4477),$X4478,""))</f>
        <v/>
      </c>
      <c r="X4478">
        <f>IF($T4478="",N($X4477),IF(MATCH($T4478,$T$6:$T$6005,0)=ROW()-5,N($X4477)+1,N($X4477)))</f>
        <v/>
      </c>
      <c r="Z4478">
        <f>IF($V4478="","",IF($AA4478&gt;N($AA4477),$AA4478,""))</f>
        <v/>
      </c>
      <c r="AA4478">
        <f>IF($V4478="",N($AA4477),IF(MATCH($V4478,$V$6:$V$6005,0)=ROW()-5,N($AA4477)+1,N($AA4477)))</f>
        <v/>
      </c>
    </row>
    <row r="4479" ht="21" customHeight="1" s="66">
      <c r="A4479" s="56" t="n"/>
      <c r="B4479" s="57" t="n"/>
      <c r="C4479" s="57" t="n"/>
      <c r="D4479" s="57" t="n"/>
      <c r="E4479" s="56" t="n"/>
      <c r="F4479" s="57" t="n"/>
      <c r="G4479" s="57" t="n"/>
      <c r="H4479" s="56" t="n"/>
      <c r="I4479" s="56" t="n"/>
      <c r="J4479" s="58" t="n"/>
      <c r="K4479" s="58" t="n"/>
      <c r="L4479" s="13">
        <f>IF(OR($A4479="",AND($J4479="",$K4479="")),"",ROUND(N($J4479)-N($K4479),2))</f>
        <v/>
      </c>
      <c r="M4479" s="13">
        <f>IF(OR($A4479="",AND($J4479="",$K4479="")),"",MIN($J4479,$K4479))</f>
        <v/>
      </c>
      <c r="Q4479">
        <f>IF($A4479="","",$D4479&amp;"("&amp;SUBSTITUTE($E4479," ","")&amp;")")</f>
        <v/>
      </c>
      <c r="R4479">
        <f>IF($A4479="","",$B4479&amp;" - "&amp;$C4479)</f>
        <v/>
      </c>
      <c r="S4479">
        <f>IF($A4479="","",$R4479&amp;"|"&amp;$Q4479)</f>
        <v/>
      </c>
      <c r="T4479">
        <f>IF($A4479="","",$S4479&amp;"|"&amp;$F4479)</f>
        <v/>
      </c>
      <c r="U4479">
        <f>IF($A4479="","",$R4479&amp;"("&amp;$E4479&amp;")")</f>
        <v/>
      </c>
      <c r="V4479">
        <f>IF($A4479="","",$F4479&amp;"|"&amp;$U4479&amp;"|"&amp;$D4479)</f>
        <v/>
      </c>
      <c r="W4479">
        <f>IF($T4479="","",IF($X4479&gt;N($X4478),$X4479,""))</f>
        <v/>
      </c>
      <c r="X4479">
        <f>IF($T4479="",N($X4478),IF(MATCH($T4479,$T$6:$T$6005,0)=ROW()-5,N($X4478)+1,N($X4478)))</f>
        <v/>
      </c>
      <c r="Z4479">
        <f>IF($V4479="","",IF($AA4479&gt;N($AA4478),$AA4479,""))</f>
        <v/>
      </c>
      <c r="AA4479">
        <f>IF($V4479="",N($AA4478),IF(MATCH($V4479,$V$6:$V$6005,0)=ROW()-5,N($AA4478)+1,N($AA4478)))</f>
        <v/>
      </c>
    </row>
    <row r="4480" ht="21" customHeight="1" s="66">
      <c r="A4480" s="56" t="n"/>
      <c r="B4480" s="57" t="n"/>
      <c r="C4480" s="57" t="n"/>
      <c r="D4480" s="57" t="n"/>
      <c r="E4480" s="56" t="n"/>
      <c r="F4480" s="57" t="n"/>
      <c r="G4480" s="57" t="n"/>
      <c r="H4480" s="56" t="n"/>
      <c r="I4480" s="56" t="n"/>
      <c r="J4480" s="58" t="n"/>
      <c r="K4480" s="58" t="n"/>
      <c r="L4480" s="13">
        <f>IF(OR($A4480="",AND($J4480="",$K4480="")),"",ROUND(N($J4480)-N($K4480),2))</f>
        <v/>
      </c>
      <c r="M4480" s="13">
        <f>IF(OR($A4480="",AND($J4480="",$K4480="")),"",MIN($J4480,$K4480))</f>
        <v/>
      </c>
      <c r="Q4480">
        <f>IF($A4480="","",$D4480&amp;"("&amp;SUBSTITUTE($E4480," ","")&amp;")")</f>
        <v/>
      </c>
      <c r="R4480">
        <f>IF($A4480="","",$B4480&amp;" - "&amp;$C4480)</f>
        <v/>
      </c>
      <c r="S4480">
        <f>IF($A4480="","",$R4480&amp;"|"&amp;$Q4480)</f>
        <v/>
      </c>
      <c r="T4480">
        <f>IF($A4480="","",$S4480&amp;"|"&amp;$F4480)</f>
        <v/>
      </c>
      <c r="U4480">
        <f>IF($A4480="","",$R4480&amp;"("&amp;$E4480&amp;")")</f>
        <v/>
      </c>
      <c r="V4480">
        <f>IF($A4480="","",$F4480&amp;"|"&amp;$U4480&amp;"|"&amp;$D4480)</f>
        <v/>
      </c>
      <c r="W4480">
        <f>IF($T4480="","",IF($X4480&gt;N($X4479),$X4480,""))</f>
        <v/>
      </c>
      <c r="X4480">
        <f>IF($T4480="",N($X4479),IF(MATCH($T4480,$T$6:$T$6005,0)=ROW()-5,N($X4479)+1,N($X4479)))</f>
        <v/>
      </c>
      <c r="Z4480">
        <f>IF($V4480="","",IF($AA4480&gt;N($AA4479),$AA4480,""))</f>
        <v/>
      </c>
      <c r="AA4480">
        <f>IF($V4480="",N($AA4479),IF(MATCH($V4480,$V$6:$V$6005,0)=ROW()-5,N($AA4479)+1,N($AA4479)))</f>
        <v/>
      </c>
    </row>
    <row r="4481" ht="21" customHeight="1" s="66">
      <c r="A4481" s="56" t="n"/>
      <c r="B4481" s="57" t="n"/>
      <c r="C4481" s="57" t="n"/>
      <c r="D4481" s="57" t="n"/>
      <c r="E4481" s="56" t="n"/>
      <c r="F4481" s="57" t="n"/>
      <c r="G4481" s="57" t="n"/>
      <c r="H4481" s="56" t="n"/>
      <c r="I4481" s="56" t="n"/>
      <c r="J4481" s="58" t="n"/>
      <c r="K4481" s="58" t="n"/>
      <c r="L4481" s="13">
        <f>IF(OR($A4481="",AND($J4481="",$K4481="")),"",ROUND(N($J4481)-N($K4481),2))</f>
        <v/>
      </c>
      <c r="M4481" s="13">
        <f>IF(OR($A4481="",AND($J4481="",$K4481="")),"",MIN($J4481,$K4481))</f>
        <v/>
      </c>
      <c r="Q4481">
        <f>IF($A4481="","",$D4481&amp;"("&amp;SUBSTITUTE($E4481," ","")&amp;")")</f>
        <v/>
      </c>
      <c r="R4481">
        <f>IF($A4481="","",$B4481&amp;" - "&amp;$C4481)</f>
        <v/>
      </c>
      <c r="S4481">
        <f>IF($A4481="","",$R4481&amp;"|"&amp;$Q4481)</f>
        <v/>
      </c>
      <c r="T4481">
        <f>IF($A4481="","",$S4481&amp;"|"&amp;$F4481)</f>
        <v/>
      </c>
      <c r="U4481">
        <f>IF($A4481="","",$R4481&amp;"("&amp;$E4481&amp;")")</f>
        <v/>
      </c>
      <c r="V4481">
        <f>IF($A4481="","",$F4481&amp;"|"&amp;$U4481&amp;"|"&amp;$D4481)</f>
        <v/>
      </c>
      <c r="W4481">
        <f>IF($T4481="","",IF($X4481&gt;N($X4480),$X4481,""))</f>
        <v/>
      </c>
      <c r="X4481">
        <f>IF($T4481="",N($X4480),IF(MATCH($T4481,$T$6:$T$6005,0)=ROW()-5,N($X4480)+1,N($X4480)))</f>
        <v/>
      </c>
      <c r="Z4481">
        <f>IF($V4481="","",IF($AA4481&gt;N($AA4480),$AA4481,""))</f>
        <v/>
      </c>
      <c r="AA4481">
        <f>IF($V4481="",N($AA4480),IF(MATCH($V4481,$V$6:$V$6005,0)=ROW()-5,N($AA4480)+1,N($AA4480)))</f>
        <v/>
      </c>
    </row>
    <row r="4482" ht="21" customHeight="1" s="66">
      <c r="A4482" s="56" t="n"/>
      <c r="B4482" s="57" t="n"/>
      <c r="C4482" s="57" t="n"/>
      <c r="D4482" s="57" t="n"/>
      <c r="E4482" s="56" t="n"/>
      <c r="F4482" s="57" t="n"/>
      <c r="G4482" s="57" t="n"/>
      <c r="H4482" s="56" t="n"/>
      <c r="I4482" s="56" t="n"/>
      <c r="J4482" s="58" t="n"/>
      <c r="K4482" s="58" t="n"/>
      <c r="L4482" s="13">
        <f>IF(OR($A4482="",AND($J4482="",$K4482="")),"",ROUND(N($J4482)-N($K4482),2))</f>
        <v/>
      </c>
      <c r="M4482" s="13">
        <f>IF(OR($A4482="",AND($J4482="",$K4482="")),"",MIN($J4482,$K4482))</f>
        <v/>
      </c>
      <c r="Q4482">
        <f>IF($A4482="","",$D4482&amp;"("&amp;SUBSTITUTE($E4482," ","")&amp;")")</f>
        <v/>
      </c>
      <c r="R4482">
        <f>IF($A4482="","",$B4482&amp;" - "&amp;$C4482)</f>
        <v/>
      </c>
      <c r="S4482">
        <f>IF($A4482="","",$R4482&amp;"|"&amp;$Q4482)</f>
        <v/>
      </c>
      <c r="T4482">
        <f>IF($A4482="","",$S4482&amp;"|"&amp;$F4482)</f>
        <v/>
      </c>
      <c r="U4482">
        <f>IF($A4482="","",$R4482&amp;"("&amp;$E4482&amp;")")</f>
        <v/>
      </c>
      <c r="V4482">
        <f>IF($A4482="","",$F4482&amp;"|"&amp;$U4482&amp;"|"&amp;$D4482)</f>
        <v/>
      </c>
      <c r="W4482">
        <f>IF($T4482="","",IF($X4482&gt;N($X4481),$X4482,""))</f>
        <v/>
      </c>
      <c r="X4482">
        <f>IF($T4482="",N($X4481),IF(MATCH($T4482,$T$6:$T$6005,0)=ROW()-5,N($X4481)+1,N($X4481)))</f>
        <v/>
      </c>
      <c r="Z4482">
        <f>IF($V4482="","",IF($AA4482&gt;N($AA4481),$AA4482,""))</f>
        <v/>
      </c>
      <c r="AA4482">
        <f>IF($V4482="",N($AA4481),IF(MATCH($V4482,$V$6:$V$6005,0)=ROW()-5,N($AA4481)+1,N($AA4481)))</f>
        <v/>
      </c>
    </row>
    <row r="4483" ht="21" customHeight="1" s="66">
      <c r="A4483" s="56" t="n"/>
      <c r="B4483" s="57" t="n"/>
      <c r="C4483" s="57" t="n"/>
      <c r="D4483" s="57" t="n"/>
      <c r="E4483" s="56" t="n"/>
      <c r="F4483" s="57" t="n"/>
      <c r="G4483" s="57" t="n"/>
      <c r="H4483" s="56" t="n"/>
      <c r="I4483" s="56" t="n"/>
      <c r="J4483" s="58" t="n"/>
      <c r="K4483" s="58" t="n"/>
      <c r="L4483" s="13">
        <f>IF(OR($A4483="",AND($J4483="",$K4483="")),"",ROUND(N($J4483)-N($K4483),2))</f>
        <v/>
      </c>
      <c r="M4483" s="13">
        <f>IF(OR($A4483="",AND($J4483="",$K4483="")),"",MIN($J4483,$K4483))</f>
        <v/>
      </c>
      <c r="Q4483">
        <f>IF($A4483="","",$D4483&amp;"("&amp;SUBSTITUTE($E4483," ","")&amp;")")</f>
        <v/>
      </c>
      <c r="R4483">
        <f>IF($A4483="","",$B4483&amp;" - "&amp;$C4483)</f>
        <v/>
      </c>
      <c r="S4483">
        <f>IF($A4483="","",$R4483&amp;"|"&amp;$Q4483)</f>
        <v/>
      </c>
      <c r="T4483">
        <f>IF($A4483="","",$S4483&amp;"|"&amp;$F4483)</f>
        <v/>
      </c>
      <c r="U4483">
        <f>IF($A4483="","",$R4483&amp;"("&amp;$E4483&amp;")")</f>
        <v/>
      </c>
      <c r="V4483">
        <f>IF($A4483="","",$F4483&amp;"|"&amp;$U4483&amp;"|"&amp;$D4483)</f>
        <v/>
      </c>
      <c r="W4483">
        <f>IF($T4483="","",IF($X4483&gt;N($X4482),$X4483,""))</f>
        <v/>
      </c>
      <c r="X4483">
        <f>IF($T4483="",N($X4482),IF(MATCH($T4483,$T$6:$T$6005,0)=ROW()-5,N($X4482)+1,N($X4482)))</f>
        <v/>
      </c>
      <c r="Z4483">
        <f>IF($V4483="","",IF($AA4483&gt;N($AA4482),$AA4483,""))</f>
        <v/>
      </c>
      <c r="AA4483">
        <f>IF($V4483="",N($AA4482),IF(MATCH($V4483,$V$6:$V$6005,0)=ROW()-5,N($AA4482)+1,N($AA4482)))</f>
        <v/>
      </c>
    </row>
    <row r="4484" ht="21" customHeight="1" s="66">
      <c r="A4484" s="56" t="n"/>
      <c r="B4484" s="57" t="n"/>
      <c r="C4484" s="57" t="n"/>
      <c r="D4484" s="57" t="n"/>
      <c r="E4484" s="56" t="n"/>
      <c r="F4484" s="57" t="n"/>
      <c r="G4484" s="57" t="n"/>
      <c r="H4484" s="56" t="n"/>
      <c r="I4484" s="56" t="n"/>
      <c r="J4484" s="58" t="n"/>
      <c r="K4484" s="58" t="n"/>
      <c r="L4484" s="13">
        <f>IF(OR($A4484="",AND($J4484="",$K4484="")),"",ROUND(N($J4484)-N($K4484),2))</f>
        <v/>
      </c>
      <c r="M4484" s="13">
        <f>IF(OR($A4484="",AND($J4484="",$K4484="")),"",MIN($J4484,$K4484))</f>
        <v/>
      </c>
      <c r="Q4484">
        <f>IF($A4484="","",$D4484&amp;"("&amp;SUBSTITUTE($E4484," ","")&amp;")")</f>
        <v/>
      </c>
      <c r="R4484">
        <f>IF($A4484="","",$B4484&amp;" - "&amp;$C4484)</f>
        <v/>
      </c>
      <c r="S4484">
        <f>IF($A4484="","",$R4484&amp;"|"&amp;$Q4484)</f>
        <v/>
      </c>
      <c r="T4484">
        <f>IF($A4484="","",$S4484&amp;"|"&amp;$F4484)</f>
        <v/>
      </c>
      <c r="U4484">
        <f>IF($A4484="","",$R4484&amp;"("&amp;$E4484&amp;")")</f>
        <v/>
      </c>
      <c r="V4484">
        <f>IF($A4484="","",$F4484&amp;"|"&amp;$U4484&amp;"|"&amp;$D4484)</f>
        <v/>
      </c>
      <c r="W4484">
        <f>IF($T4484="","",IF($X4484&gt;N($X4483),$X4484,""))</f>
        <v/>
      </c>
      <c r="X4484">
        <f>IF($T4484="",N($X4483),IF(MATCH($T4484,$T$6:$T$6005,0)=ROW()-5,N($X4483)+1,N($X4483)))</f>
        <v/>
      </c>
      <c r="Z4484">
        <f>IF($V4484="","",IF($AA4484&gt;N($AA4483),$AA4484,""))</f>
        <v/>
      </c>
      <c r="AA4484">
        <f>IF($V4484="",N($AA4483),IF(MATCH($V4484,$V$6:$V$6005,0)=ROW()-5,N($AA4483)+1,N($AA4483)))</f>
        <v/>
      </c>
    </row>
    <row r="4485" ht="21" customHeight="1" s="66">
      <c r="A4485" s="56" t="n"/>
      <c r="B4485" s="57" t="n"/>
      <c r="C4485" s="57" t="n"/>
      <c r="D4485" s="57" t="n"/>
      <c r="E4485" s="56" t="n"/>
      <c r="F4485" s="57" t="n"/>
      <c r="G4485" s="57" t="n"/>
      <c r="H4485" s="56" t="n"/>
      <c r="I4485" s="56" t="n"/>
      <c r="J4485" s="58" t="n"/>
      <c r="K4485" s="58" t="n"/>
      <c r="L4485" s="13">
        <f>IF(OR($A4485="",AND($J4485="",$K4485="")),"",ROUND(N($J4485)-N($K4485),2))</f>
        <v/>
      </c>
      <c r="M4485" s="13">
        <f>IF(OR($A4485="",AND($J4485="",$K4485="")),"",MIN($J4485,$K4485))</f>
        <v/>
      </c>
      <c r="Q4485">
        <f>IF($A4485="","",$D4485&amp;"("&amp;SUBSTITUTE($E4485," ","")&amp;")")</f>
        <v/>
      </c>
      <c r="R4485">
        <f>IF($A4485="","",$B4485&amp;" - "&amp;$C4485)</f>
        <v/>
      </c>
      <c r="S4485">
        <f>IF($A4485="","",$R4485&amp;"|"&amp;$Q4485)</f>
        <v/>
      </c>
      <c r="T4485">
        <f>IF($A4485="","",$S4485&amp;"|"&amp;$F4485)</f>
        <v/>
      </c>
      <c r="U4485">
        <f>IF($A4485="","",$R4485&amp;"("&amp;$E4485&amp;")")</f>
        <v/>
      </c>
      <c r="V4485">
        <f>IF($A4485="","",$F4485&amp;"|"&amp;$U4485&amp;"|"&amp;$D4485)</f>
        <v/>
      </c>
      <c r="W4485">
        <f>IF($T4485="","",IF($X4485&gt;N($X4484),$X4485,""))</f>
        <v/>
      </c>
      <c r="X4485">
        <f>IF($T4485="",N($X4484),IF(MATCH($T4485,$T$6:$T$6005,0)=ROW()-5,N($X4484)+1,N($X4484)))</f>
        <v/>
      </c>
      <c r="Z4485">
        <f>IF($V4485="","",IF($AA4485&gt;N($AA4484),$AA4485,""))</f>
        <v/>
      </c>
      <c r="AA4485">
        <f>IF($V4485="",N($AA4484),IF(MATCH($V4485,$V$6:$V$6005,0)=ROW()-5,N($AA4484)+1,N($AA4484)))</f>
        <v/>
      </c>
    </row>
    <row r="4486" ht="21" customHeight="1" s="66">
      <c r="A4486" s="56" t="n"/>
      <c r="B4486" s="57" t="n"/>
      <c r="C4486" s="57" t="n"/>
      <c r="D4486" s="57" t="n"/>
      <c r="E4486" s="56" t="n"/>
      <c r="F4486" s="57" t="n"/>
      <c r="G4486" s="57" t="n"/>
      <c r="H4486" s="56" t="n"/>
      <c r="I4486" s="56" t="n"/>
      <c r="J4486" s="58" t="n"/>
      <c r="K4486" s="58" t="n"/>
      <c r="L4486" s="13">
        <f>IF(OR($A4486="",AND($J4486="",$K4486="")),"",ROUND(N($J4486)-N($K4486),2))</f>
        <v/>
      </c>
      <c r="M4486" s="13">
        <f>IF(OR($A4486="",AND($J4486="",$K4486="")),"",MIN($J4486,$K4486))</f>
        <v/>
      </c>
      <c r="Q4486">
        <f>IF($A4486="","",$D4486&amp;"("&amp;SUBSTITUTE($E4486," ","")&amp;")")</f>
        <v/>
      </c>
      <c r="R4486">
        <f>IF($A4486="","",$B4486&amp;" - "&amp;$C4486)</f>
        <v/>
      </c>
      <c r="S4486">
        <f>IF($A4486="","",$R4486&amp;"|"&amp;$Q4486)</f>
        <v/>
      </c>
      <c r="T4486">
        <f>IF($A4486="","",$S4486&amp;"|"&amp;$F4486)</f>
        <v/>
      </c>
      <c r="U4486">
        <f>IF($A4486="","",$R4486&amp;"("&amp;$E4486&amp;")")</f>
        <v/>
      </c>
      <c r="V4486">
        <f>IF($A4486="","",$F4486&amp;"|"&amp;$U4486&amp;"|"&amp;$D4486)</f>
        <v/>
      </c>
      <c r="W4486">
        <f>IF($T4486="","",IF($X4486&gt;N($X4485),$X4486,""))</f>
        <v/>
      </c>
      <c r="X4486">
        <f>IF($T4486="",N($X4485),IF(MATCH($T4486,$T$6:$T$6005,0)=ROW()-5,N($X4485)+1,N($X4485)))</f>
        <v/>
      </c>
      <c r="Z4486">
        <f>IF($V4486="","",IF($AA4486&gt;N($AA4485),$AA4486,""))</f>
        <v/>
      </c>
      <c r="AA4486">
        <f>IF($V4486="",N($AA4485),IF(MATCH($V4486,$V$6:$V$6005,0)=ROW()-5,N($AA4485)+1,N($AA4485)))</f>
        <v/>
      </c>
    </row>
    <row r="4487" ht="21" customHeight="1" s="66">
      <c r="A4487" s="56" t="n"/>
      <c r="B4487" s="57" t="n"/>
      <c r="C4487" s="57" t="n"/>
      <c r="D4487" s="57" t="n"/>
      <c r="E4487" s="56" t="n"/>
      <c r="F4487" s="57" t="n"/>
      <c r="G4487" s="57" t="n"/>
      <c r="H4487" s="56" t="n"/>
      <c r="I4487" s="56" t="n"/>
      <c r="J4487" s="58" t="n"/>
      <c r="K4487" s="58" t="n"/>
      <c r="L4487" s="13">
        <f>IF(OR($A4487="",AND($J4487="",$K4487="")),"",ROUND(N($J4487)-N($K4487),2))</f>
        <v/>
      </c>
      <c r="M4487" s="13">
        <f>IF(OR($A4487="",AND($J4487="",$K4487="")),"",MIN($J4487,$K4487))</f>
        <v/>
      </c>
      <c r="Q4487">
        <f>IF($A4487="","",$D4487&amp;"("&amp;SUBSTITUTE($E4487," ","")&amp;")")</f>
        <v/>
      </c>
      <c r="R4487">
        <f>IF($A4487="","",$B4487&amp;" - "&amp;$C4487)</f>
        <v/>
      </c>
      <c r="S4487">
        <f>IF($A4487="","",$R4487&amp;"|"&amp;$Q4487)</f>
        <v/>
      </c>
      <c r="T4487">
        <f>IF($A4487="","",$S4487&amp;"|"&amp;$F4487)</f>
        <v/>
      </c>
      <c r="U4487">
        <f>IF($A4487="","",$R4487&amp;"("&amp;$E4487&amp;")")</f>
        <v/>
      </c>
      <c r="V4487">
        <f>IF($A4487="","",$F4487&amp;"|"&amp;$U4487&amp;"|"&amp;$D4487)</f>
        <v/>
      </c>
      <c r="W4487">
        <f>IF($T4487="","",IF($X4487&gt;N($X4486),$X4487,""))</f>
        <v/>
      </c>
      <c r="X4487">
        <f>IF($T4487="",N($X4486),IF(MATCH($T4487,$T$6:$T$6005,0)=ROW()-5,N($X4486)+1,N($X4486)))</f>
        <v/>
      </c>
      <c r="Z4487">
        <f>IF($V4487="","",IF($AA4487&gt;N($AA4486),$AA4487,""))</f>
        <v/>
      </c>
      <c r="AA4487">
        <f>IF($V4487="",N($AA4486),IF(MATCH($V4487,$V$6:$V$6005,0)=ROW()-5,N($AA4486)+1,N($AA4486)))</f>
        <v/>
      </c>
    </row>
    <row r="4488" ht="21" customHeight="1" s="66">
      <c r="A4488" s="56" t="n"/>
      <c r="B4488" s="57" t="n"/>
      <c r="C4488" s="57" t="n"/>
      <c r="D4488" s="57" t="n"/>
      <c r="E4488" s="56" t="n"/>
      <c r="F4488" s="57" t="n"/>
      <c r="G4488" s="57" t="n"/>
      <c r="H4488" s="56" t="n"/>
      <c r="I4488" s="56" t="n"/>
      <c r="J4488" s="58" t="n"/>
      <c r="K4488" s="58" t="n"/>
      <c r="L4488" s="13">
        <f>IF(OR($A4488="",AND($J4488="",$K4488="")),"",ROUND(N($J4488)-N($K4488),2))</f>
        <v/>
      </c>
      <c r="M4488" s="13">
        <f>IF(OR($A4488="",AND($J4488="",$K4488="")),"",MIN($J4488,$K4488))</f>
        <v/>
      </c>
      <c r="Q4488">
        <f>IF($A4488="","",$D4488&amp;"("&amp;SUBSTITUTE($E4488," ","")&amp;")")</f>
        <v/>
      </c>
      <c r="R4488">
        <f>IF($A4488="","",$B4488&amp;" - "&amp;$C4488)</f>
        <v/>
      </c>
      <c r="S4488">
        <f>IF($A4488="","",$R4488&amp;"|"&amp;$Q4488)</f>
        <v/>
      </c>
      <c r="T4488">
        <f>IF($A4488="","",$S4488&amp;"|"&amp;$F4488)</f>
        <v/>
      </c>
      <c r="U4488">
        <f>IF($A4488="","",$R4488&amp;"("&amp;$E4488&amp;")")</f>
        <v/>
      </c>
      <c r="V4488">
        <f>IF($A4488="","",$F4488&amp;"|"&amp;$U4488&amp;"|"&amp;$D4488)</f>
        <v/>
      </c>
      <c r="W4488">
        <f>IF($T4488="","",IF($X4488&gt;N($X4487),$X4488,""))</f>
        <v/>
      </c>
      <c r="X4488">
        <f>IF($T4488="",N($X4487),IF(MATCH($T4488,$T$6:$T$6005,0)=ROW()-5,N($X4487)+1,N($X4487)))</f>
        <v/>
      </c>
      <c r="Z4488">
        <f>IF($V4488="","",IF($AA4488&gt;N($AA4487),$AA4488,""))</f>
        <v/>
      </c>
      <c r="AA4488">
        <f>IF($V4488="",N($AA4487),IF(MATCH($V4488,$V$6:$V$6005,0)=ROW()-5,N($AA4487)+1,N($AA4487)))</f>
        <v/>
      </c>
    </row>
    <row r="4489" ht="21" customHeight="1" s="66">
      <c r="A4489" s="56" t="n"/>
      <c r="B4489" s="57" t="n"/>
      <c r="C4489" s="57" t="n"/>
      <c r="D4489" s="57" t="n"/>
      <c r="E4489" s="56" t="n"/>
      <c r="F4489" s="57" t="n"/>
      <c r="G4489" s="57" t="n"/>
      <c r="H4489" s="56" t="n"/>
      <c r="I4489" s="56" t="n"/>
      <c r="J4489" s="58" t="n"/>
      <c r="K4489" s="58" t="n"/>
      <c r="L4489" s="13">
        <f>IF(OR($A4489="",AND($J4489="",$K4489="")),"",ROUND(N($J4489)-N($K4489),2))</f>
        <v/>
      </c>
      <c r="M4489" s="13">
        <f>IF(OR($A4489="",AND($J4489="",$K4489="")),"",MIN($J4489,$K4489))</f>
        <v/>
      </c>
      <c r="Q4489">
        <f>IF($A4489="","",$D4489&amp;"("&amp;SUBSTITUTE($E4489," ","")&amp;")")</f>
        <v/>
      </c>
      <c r="R4489">
        <f>IF($A4489="","",$B4489&amp;" - "&amp;$C4489)</f>
        <v/>
      </c>
      <c r="S4489">
        <f>IF($A4489="","",$R4489&amp;"|"&amp;$Q4489)</f>
        <v/>
      </c>
      <c r="T4489">
        <f>IF($A4489="","",$S4489&amp;"|"&amp;$F4489)</f>
        <v/>
      </c>
      <c r="U4489">
        <f>IF($A4489="","",$R4489&amp;"("&amp;$E4489&amp;")")</f>
        <v/>
      </c>
      <c r="V4489">
        <f>IF($A4489="","",$F4489&amp;"|"&amp;$U4489&amp;"|"&amp;$D4489)</f>
        <v/>
      </c>
      <c r="W4489">
        <f>IF($T4489="","",IF($X4489&gt;N($X4488),$X4489,""))</f>
        <v/>
      </c>
      <c r="X4489">
        <f>IF($T4489="",N($X4488),IF(MATCH($T4489,$T$6:$T$6005,0)=ROW()-5,N($X4488)+1,N($X4488)))</f>
        <v/>
      </c>
      <c r="Z4489">
        <f>IF($V4489="","",IF($AA4489&gt;N($AA4488),$AA4489,""))</f>
        <v/>
      </c>
      <c r="AA4489">
        <f>IF($V4489="",N($AA4488),IF(MATCH($V4489,$V$6:$V$6005,0)=ROW()-5,N($AA4488)+1,N($AA4488)))</f>
        <v/>
      </c>
    </row>
    <row r="4490" ht="21" customHeight="1" s="66">
      <c r="A4490" s="56" t="n"/>
      <c r="B4490" s="57" t="n"/>
      <c r="C4490" s="57" t="n"/>
      <c r="D4490" s="57" t="n"/>
      <c r="E4490" s="56" t="n"/>
      <c r="F4490" s="57" t="n"/>
      <c r="G4490" s="57" t="n"/>
      <c r="H4490" s="56" t="n"/>
      <c r="I4490" s="56" t="n"/>
      <c r="J4490" s="58" t="n"/>
      <c r="K4490" s="58" t="n"/>
      <c r="L4490" s="13">
        <f>IF(OR($A4490="",AND($J4490="",$K4490="")),"",ROUND(N($J4490)-N($K4490),2))</f>
        <v/>
      </c>
      <c r="M4490" s="13">
        <f>IF(OR($A4490="",AND($J4490="",$K4490="")),"",MIN($J4490,$K4490))</f>
        <v/>
      </c>
      <c r="Q4490">
        <f>IF($A4490="","",$D4490&amp;"("&amp;SUBSTITUTE($E4490," ","")&amp;")")</f>
        <v/>
      </c>
      <c r="R4490">
        <f>IF($A4490="","",$B4490&amp;" - "&amp;$C4490)</f>
        <v/>
      </c>
      <c r="S4490">
        <f>IF($A4490="","",$R4490&amp;"|"&amp;$Q4490)</f>
        <v/>
      </c>
      <c r="T4490">
        <f>IF($A4490="","",$S4490&amp;"|"&amp;$F4490)</f>
        <v/>
      </c>
      <c r="U4490">
        <f>IF($A4490="","",$R4490&amp;"("&amp;$E4490&amp;")")</f>
        <v/>
      </c>
      <c r="V4490">
        <f>IF($A4490="","",$F4490&amp;"|"&amp;$U4490&amp;"|"&amp;$D4490)</f>
        <v/>
      </c>
      <c r="W4490">
        <f>IF($T4490="","",IF($X4490&gt;N($X4489),$X4490,""))</f>
        <v/>
      </c>
      <c r="X4490">
        <f>IF($T4490="",N($X4489),IF(MATCH($T4490,$T$6:$T$6005,0)=ROW()-5,N($X4489)+1,N($X4489)))</f>
        <v/>
      </c>
      <c r="Z4490">
        <f>IF($V4490="","",IF($AA4490&gt;N($AA4489),$AA4490,""))</f>
        <v/>
      </c>
      <c r="AA4490">
        <f>IF($V4490="",N($AA4489),IF(MATCH($V4490,$V$6:$V$6005,0)=ROW()-5,N($AA4489)+1,N($AA4489)))</f>
        <v/>
      </c>
    </row>
    <row r="4491" ht="21" customHeight="1" s="66">
      <c r="A4491" s="56" t="n"/>
      <c r="B4491" s="57" t="n"/>
      <c r="C4491" s="57" t="n"/>
      <c r="D4491" s="57" t="n"/>
      <c r="E4491" s="56" t="n"/>
      <c r="F4491" s="57" t="n"/>
      <c r="G4491" s="57" t="n"/>
      <c r="H4491" s="56" t="n"/>
      <c r="I4491" s="56" t="n"/>
      <c r="J4491" s="58" t="n"/>
      <c r="K4491" s="58" t="n"/>
      <c r="L4491" s="13">
        <f>IF(OR($A4491="",AND($J4491="",$K4491="")),"",ROUND(N($J4491)-N($K4491),2))</f>
        <v/>
      </c>
      <c r="M4491" s="13">
        <f>IF(OR($A4491="",AND($J4491="",$K4491="")),"",MIN($J4491,$K4491))</f>
        <v/>
      </c>
      <c r="Q4491">
        <f>IF($A4491="","",$D4491&amp;"("&amp;SUBSTITUTE($E4491," ","")&amp;")")</f>
        <v/>
      </c>
      <c r="R4491">
        <f>IF($A4491="","",$B4491&amp;" - "&amp;$C4491)</f>
        <v/>
      </c>
      <c r="S4491">
        <f>IF($A4491="","",$R4491&amp;"|"&amp;$Q4491)</f>
        <v/>
      </c>
      <c r="T4491">
        <f>IF($A4491="","",$S4491&amp;"|"&amp;$F4491)</f>
        <v/>
      </c>
      <c r="U4491">
        <f>IF($A4491="","",$R4491&amp;"("&amp;$E4491&amp;")")</f>
        <v/>
      </c>
      <c r="V4491">
        <f>IF($A4491="","",$F4491&amp;"|"&amp;$U4491&amp;"|"&amp;$D4491)</f>
        <v/>
      </c>
      <c r="W4491">
        <f>IF($T4491="","",IF($X4491&gt;N($X4490),$X4491,""))</f>
        <v/>
      </c>
      <c r="X4491">
        <f>IF($T4491="",N($X4490),IF(MATCH($T4491,$T$6:$T$6005,0)=ROW()-5,N($X4490)+1,N($X4490)))</f>
        <v/>
      </c>
      <c r="Z4491">
        <f>IF($V4491="","",IF($AA4491&gt;N($AA4490),$AA4491,""))</f>
        <v/>
      </c>
      <c r="AA4491">
        <f>IF($V4491="",N($AA4490),IF(MATCH($V4491,$V$6:$V$6005,0)=ROW()-5,N($AA4490)+1,N($AA4490)))</f>
        <v/>
      </c>
    </row>
    <row r="4492" ht="21" customHeight="1" s="66">
      <c r="A4492" s="56" t="n"/>
      <c r="B4492" s="57" t="n"/>
      <c r="C4492" s="57" t="n"/>
      <c r="D4492" s="57" t="n"/>
      <c r="E4492" s="56" t="n"/>
      <c r="F4492" s="57" t="n"/>
      <c r="G4492" s="57" t="n"/>
      <c r="H4492" s="56" t="n"/>
      <c r="I4492" s="56" t="n"/>
      <c r="J4492" s="58" t="n"/>
      <c r="K4492" s="58" t="n"/>
      <c r="L4492" s="13">
        <f>IF(OR($A4492="",AND($J4492="",$K4492="")),"",ROUND(N($J4492)-N($K4492),2))</f>
        <v/>
      </c>
      <c r="M4492" s="13">
        <f>IF(OR($A4492="",AND($J4492="",$K4492="")),"",MIN($J4492,$K4492))</f>
        <v/>
      </c>
      <c r="Q4492">
        <f>IF($A4492="","",$D4492&amp;"("&amp;SUBSTITUTE($E4492," ","")&amp;")")</f>
        <v/>
      </c>
      <c r="R4492">
        <f>IF($A4492="","",$B4492&amp;" - "&amp;$C4492)</f>
        <v/>
      </c>
      <c r="S4492">
        <f>IF($A4492="","",$R4492&amp;"|"&amp;$Q4492)</f>
        <v/>
      </c>
      <c r="T4492">
        <f>IF($A4492="","",$S4492&amp;"|"&amp;$F4492)</f>
        <v/>
      </c>
      <c r="U4492">
        <f>IF($A4492="","",$R4492&amp;"("&amp;$E4492&amp;")")</f>
        <v/>
      </c>
      <c r="V4492">
        <f>IF($A4492="","",$F4492&amp;"|"&amp;$U4492&amp;"|"&amp;$D4492)</f>
        <v/>
      </c>
      <c r="W4492">
        <f>IF($T4492="","",IF($X4492&gt;N($X4491),$X4492,""))</f>
        <v/>
      </c>
      <c r="X4492">
        <f>IF($T4492="",N($X4491),IF(MATCH($T4492,$T$6:$T$6005,0)=ROW()-5,N($X4491)+1,N($X4491)))</f>
        <v/>
      </c>
      <c r="Z4492">
        <f>IF($V4492="","",IF($AA4492&gt;N($AA4491),$AA4492,""))</f>
        <v/>
      </c>
      <c r="AA4492">
        <f>IF($V4492="",N($AA4491),IF(MATCH($V4492,$V$6:$V$6005,0)=ROW()-5,N($AA4491)+1,N($AA4491)))</f>
        <v/>
      </c>
    </row>
    <row r="4493" ht="21" customHeight="1" s="66">
      <c r="A4493" s="56" t="n"/>
      <c r="B4493" s="57" t="n"/>
      <c r="C4493" s="57" t="n"/>
      <c r="D4493" s="57" t="n"/>
      <c r="E4493" s="56" t="n"/>
      <c r="F4493" s="57" t="n"/>
      <c r="G4493" s="57" t="n"/>
      <c r="H4493" s="56" t="n"/>
      <c r="I4493" s="56" t="n"/>
      <c r="J4493" s="58" t="n"/>
      <c r="K4493" s="58" t="n"/>
      <c r="L4493" s="13">
        <f>IF(OR($A4493="",AND($J4493="",$K4493="")),"",ROUND(N($J4493)-N($K4493),2))</f>
        <v/>
      </c>
      <c r="M4493" s="13">
        <f>IF(OR($A4493="",AND($J4493="",$K4493="")),"",MIN($J4493,$K4493))</f>
        <v/>
      </c>
      <c r="Q4493">
        <f>IF($A4493="","",$D4493&amp;"("&amp;SUBSTITUTE($E4493," ","")&amp;")")</f>
        <v/>
      </c>
      <c r="R4493">
        <f>IF($A4493="","",$B4493&amp;" - "&amp;$C4493)</f>
        <v/>
      </c>
      <c r="S4493">
        <f>IF($A4493="","",$R4493&amp;"|"&amp;$Q4493)</f>
        <v/>
      </c>
      <c r="T4493">
        <f>IF($A4493="","",$S4493&amp;"|"&amp;$F4493)</f>
        <v/>
      </c>
      <c r="U4493">
        <f>IF($A4493="","",$R4493&amp;"("&amp;$E4493&amp;")")</f>
        <v/>
      </c>
      <c r="V4493">
        <f>IF($A4493="","",$F4493&amp;"|"&amp;$U4493&amp;"|"&amp;$D4493)</f>
        <v/>
      </c>
      <c r="W4493">
        <f>IF($T4493="","",IF($X4493&gt;N($X4492),$X4493,""))</f>
        <v/>
      </c>
      <c r="X4493">
        <f>IF($T4493="",N($X4492),IF(MATCH($T4493,$T$6:$T$6005,0)=ROW()-5,N($X4492)+1,N($X4492)))</f>
        <v/>
      </c>
      <c r="Z4493">
        <f>IF($V4493="","",IF($AA4493&gt;N($AA4492),$AA4493,""))</f>
        <v/>
      </c>
      <c r="AA4493">
        <f>IF($V4493="",N($AA4492),IF(MATCH($V4493,$V$6:$V$6005,0)=ROW()-5,N($AA4492)+1,N($AA4492)))</f>
        <v/>
      </c>
    </row>
    <row r="4494" ht="21" customHeight="1" s="66">
      <c r="A4494" s="56" t="n"/>
      <c r="B4494" s="57" t="n"/>
      <c r="C4494" s="57" t="n"/>
      <c r="D4494" s="57" t="n"/>
      <c r="E4494" s="56" t="n"/>
      <c r="F4494" s="57" t="n"/>
      <c r="G4494" s="57" t="n"/>
      <c r="H4494" s="56" t="n"/>
      <c r="I4494" s="56" t="n"/>
      <c r="J4494" s="58" t="n"/>
      <c r="K4494" s="58" t="n"/>
      <c r="L4494" s="13">
        <f>IF(OR($A4494="",AND($J4494="",$K4494="")),"",ROUND(N($J4494)-N($K4494),2))</f>
        <v/>
      </c>
      <c r="M4494" s="13">
        <f>IF(OR($A4494="",AND($J4494="",$K4494="")),"",MIN($J4494,$K4494))</f>
        <v/>
      </c>
      <c r="Q4494">
        <f>IF($A4494="","",$D4494&amp;"("&amp;SUBSTITUTE($E4494," ","")&amp;")")</f>
        <v/>
      </c>
      <c r="R4494">
        <f>IF($A4494="","",$B4494&amp;" - "&amp;$C4494)</f>
        <v/>
      </c>
      <c r="S4494">
        <f>IF($A4494="","",$R4494&amp;"|"&amp;$Q4494)</f>
        <v/>
      </c>
      <c r="T4494">
        <f>IF($A4494="","",$S4494&amp;"|"&amp;$F4494)</f>
        <v/>
      </c>
      <c r="U4494">
        <f>IF($A4494="","",$R4494&amp;"("&amp;$E4494&amp;")")</f>
        <v/>
      </c>
      <c r="V4494">
        <f>IF($A4494="","",$F4494&amp;"|"&amp;$U4494&amp;"|"&amp;$D4494)</f>
        <v/>
      </c>
      <c r="W4494">
        <f>IF($T4494="","",IF($X4494&gt;N($X4493),$X4494,""))</f>
        <v/>
      </c>
      <c r="X4494">
        <f>IF($T4494="",N($X4493),IF(MATCH($T4494,$T$6:$T$6005,0)=ROW()-5,N($X4493)+1,N($X4493)))</f>
        <v/>
      </c>
      <c r="Z4494">
        <f>IF($V4494="","",IF($AA4494&gt;N($AA4493),$AA4494,""))</f>
        <v/>
      </c>
      <c r="AA4494">
        <f>IF($V4494="",N($AA4493),IF(MATCH($V4494,$V$6:$V$6005,0)=ROW()-5,N($AA4493)+1,N($AA4493)))</f>
        <v/>
      </c>
    </row>
    <row r="4495" ht="21" customHeight="1" s="66">
      <c r="A4495" s="56" t="n"/>
      <c r="B4495" s="57" t="n"/>
      <c r="C4495" s="57" t="n"/>
      <c r="D4495" s="57" t="n"/>
      <c r="E4495" s="56" t="n"/>
      <c r="F4495" s="57" t="n"/>
      <c r="G4495" s="57" t="n"/>
      <c r="H4495" s="56" t="n"/>
      <c r="I4495" s="56" t="n"/>
      <c r="J4495" s="58" t="n"/>
      <c r="K4495" s="58" t="n"/>
      <c r="L4495" s="13">
        <f>IF(OR($A4495="",AND($J4495="",$K4495="")),"",ROUND(N($J4495)-N($K4495),2))</f>
        <v/>
      </c>
      <c r="M4495" s="13">
        <f>IF(OR($A4495="",AND($J4495="",$K4495="")),"",MIN($J4495,$K4495))</f>
        <v/>
      </c>
      <c r="Q4495">
        <f>IF($A4495="","",$D4495&amp;"("&amp;SUBSTITUTE($E4495," ","")&amp;")")</f>
        <v/>
      </c>
      <c r="R4495">
        <f>IF($A4495="","",$B4495&amp;" - "&amp;$C4495)</f>
        <v/>
      </c>
      <c r="S4495">
        <f>IF($A4495="","",$R4495&amp;"|"&amp;$Q4495)</f>
        <v/>
      </c>
      <c r="T4495">
        <f>IF($A4495="","",$S4495&amp;"|"&amp;$F4495)</f>
        <v/>
      </c>
      <c r="U4495">
        <f>IF($A4495="","",$R4495&amp;"("&amp;$E4495&amp;")")</f>
        <v/>
      </c>
      <c r="V4495">
        <f>IF($A4495="","",$F4495&amp;"|"&amp;$U4495&amp;"|"&amp;$D4495)</f>
        <v/>
      </c>
      <c r="W4495">
        <f>IF($T4495="","",IF($X4495&gt;N($X4494),$X4495,""))</f>
        <v/>
      </c>
      <c r="X4495">
        <f>IF($T4495="",N($X4494),IF(MATCH($T4495,$T$6:$T$6005,0)=ROW()-5,N($X4494)+1,N($X4494)))</f>
        <v/>
      </c>
      <c r="Z4495">
        <f>IF($V4495="","",IF($AA4495&gt;N($AA4494),$AA4495,""))</f>
        <v/>
      </c>
      <c r="AA4495">
        <f>IF($V4495="",N($AA4494),IF(MATCH($V4495,$V$6:$V$6005,0)=ROW()-5,N($AA4494)+1,N($AA4494)))</f>
        <v/>
      </c>
    </row>
    <row r="4496" ht="21" customHeight="1" s="66">
      <c r="A4496" s="56" t="n"/>
      <c r="B4496" s="57" t="n"/>
      <c r="C4496" s="57" t="n"/>
      <c r="D4496" s="57" t="n"/>
      <c r="E4496" s="56" t="n"/>
      <c r="F4496" s="57" t="n"/>
      <c r="G4496" s="57" t="n"/>
      <c r="H4496" s="56" t="n"/>
      <c r="I4496" s="56" t="n"/>
      <c r="J4496" s="58" t="n"/>
      <c r="K4496" s="58" t="n"/>
      <c r="L4496" s="13">
        <f>IF(OR($A4496="",AND($J4496="",$K4496="")),"",ROUND(N($J4496)-N($K4496),2))</f>
        <v/>
      </c>
      <c r="M4496" s="13">
        <f>IF(OR($A4496="",AND($J4496="",$K4496="")),"",MIN($J4496,$K4496))</f>
        <v/>
      </c>
      <c r="Q4496">
        <f>IF($A4496="","",$D4496&amp;"("&amp;SUBSTITUTE($E4496," ","")&amp;")")</f>
        <v/>
      </c>
      <c r="R4496">
        <f>IF($A4496="","",$B4496&amp;" - "&amp;$C4496)</f>
        <v/>
      </c>
      <c r="S4496">
        <f>IF($A4496="","",$R4496&amp;"|"&amp;$Q4496)</f>
        <v/>
      </c>
      <c r="T4496">
        <f>IF($A4496="","",$S4496&amp;"|"&amp;$F4496)</f>
        <v/>
      </c>
      <c r="U4496">
        <f>IF($A4496="","",$R4496&amp;"("&amp;$E4496&amp;")")</f>
        <v/>
      </c>
      <c r="V4496">
        <f>IF($A4496="","",$F4496&amp;"|"&amp;$U4496&amp;"|"&amp;$D4496)</f>
        <v/>
      </c>
      <c r="W4496">
        <f>IF($T4496="","",IF($X4496&gt;N($X4495),$X4496,""))</f>
        <v/>
      </c>
      <c r="X4496">
        <f>IF($T4496="",N($X4495),IF(MATCH($T4496,$T$6:$T$6005,0)=ROW()-5,N($X4495)+1,N($X4495)))</f>
        <v/>
      </c>
      <c r="Z4496">
        <f>IF($V4496="","",IF($AA4496&gt;N($AA4495),$AA4496,""))</f>
        <v/>
      </c>
      <c r="AA4496">
        <f>IF($V4496="",N($AA4495),IF(MATCH($V4496,$V$6:$V$6005,0)=ROW()-5,N($AA4495)+1,N($AA4495)))</f>
        <v/>
      </c>
    </row>
    <row r="4497" ht="21" customHeight="1" s="66">
      <c r="A4497" s="56" t="n"/>
      <c r="B4497" s="57" t="n"/>
      <c r="C4497" s="57" t="n"/>
      <c r="D4497" s="57" t="n"/>
      <c r="E4497" s="56" t="n"/>
      <c r="F4497" s="57" t="n"/>
      <c r="G4497" s="57" t="n"/>
      <c r="H4497" s="56" t="n"/>
      <c r="I4497" s="56" t="n"/>
      <c r="J4497" s="58" t="n"/>
      <c r="K4497" s="58" t="n"/>
      <c r="L4497" s="13">
        <f>IF(OR($A4497="",AND($J4497="",$K4497="")),"",ROUND(N($J4497)-N($K4497),2))</f>
        <v/>
      </c>
      <c r="M4497" s="13">
        <f>IF(OR($A4497="",AND($J4497="",$K4497="")),"",MIN($J4497,$K4497))</f>
        <v/>
      </c>
      <c r="Q4497">
        <f>IF($A4497="","",$D4497&amp;"("&amp;SUBSTITUTE($E4497," ","")&amp;")")</f>
        <v/>
      </c>
      <c r="R4497">
        <f>IF($A4497="","",$B4497&amp;" - "&amp;$C4497)</f>
        <v/>
      </c>
      <c r="S4497">
        <f>IF($A4497="","",$R4497&amp;"|"&amp;$Q4497)</f>
        <v/>
      </c>
      <c r="T4497">
        <f>IF($A4497="","",$S4497&amp;"|"&amp;$F4497)</f>
        <v/>
      </c>
      <c r="U4497">
        <f>IF($A4497="","",$R4497&amp;"("&amp;$E4497&amp;")")</f>
        <v/>
      </c>
      <c r="V4497">
        <f>IF($A4497="","",$F4497&amp;"|"&amp;$U4497&amp;"|"&amp;$D4497)</f>
        <v/>
      </c>
      <c r="W4497">
        <f>IF($T4497="","",IF($X4497&gt;N($X4496),$X4497,""))</f>
        <v/>
      </c>
      <c r="X4497">
        <f>IF($T4497="",N($X4496),IF(MATCH($T4497,$T$6:$T$6005,0)=ROW()-5,N($X4496)+1,N($X4496)))</f>
        <v/>
      </c>
      <c r="Z4497">
        <f>IF($V4497="","",IF($AA4497&gt;N($AA4496),$AA4497,""))</f>
        <v/>
      </c>
      <c r="AA4497">
        <f>IF($V4497="",N($AA4496),IF(MATCH($V4497,$V$6:$V$6005,0)=ROW()-5,N($AA4496)+1,N($AA4496)))</f>
        <v/>
      </c>
    </row>
    <row r="4498" ht="21" customHeight="1" s="66">
      <c r="A4498" s="56" t="n"/>
      <c r="B4498" s="57" t="n"/>
      <c r="C4498" s="57" t="n"/>
      <c r="D4498" s="57" t="n"/>
      <c r="E4498" s="56" t="n"/>
      <c r="F4498" s="57" t="n"/>
      <c r="G4498" s="57" t="n"/>
      <c r="H4498" s="56" t="n"/>
      <c r="I4498" s="56" t="n"/>
      <c r="J4498" s="58" t="n"/>
      <c r="K4498" s="58" t="n"/>
      <c r="L4498" s="13">
        <f>IF(OR($A4498="",AND($J4498="",$K4498="")),"",ROUND(N($J4498)-N($K4498),2))</f>
        <v/>
      </c>
      <c r="M4498" s="13">
        <f>IF(OR($A4498="",AND($J4498="",$K4498="")),"",MIN($J4498,$K4498))</f>
        <v/>
      </c>
      <c r="Q4498">
        <f>IF($A4498="","",$D4498&amp;"("&amp;SUBSTITUTE($E4498," ","")&amp;")")</f>
        <v/>
      </c>
      <c r="R4498">
        <f>IF($A4498="","",$B4498&amp;" - "&amp;$C4498)</f>
        <v/>
      </c>
      <c r="S4498">
        <f>IF($A4498="","",$R4498&amp;"|"&amp;$Q4498)</f>
        <v/>
      </c>
      <c r="T4498">
        <f>IF($A4498="","",$S4498&amp;"|"&amp;$F4498)</f>
        <v/>
      </c>
      <c r="U4498">
        <f>IF($A4498="","",$R4498&amp;"("&amp;$E4498&amp;")")</f>
        <v/>
      </c>
      <c r="V4498">
        <f>IF($A4498="","",$F4498&amp;"|"&amp;$U4498&amp;"|"&amp;$D4498)</f>
        <v/>
      </c>
      <c r="W4498">
        <f>IF($T4498="","",IF($X4498&gt;N($X4497),$X4498,""))</f>
        <v/>
      </c>
      <c r="X4498">
        <f>IF($T4498="",N($X4497),IF(MATCH($T4498,$T$6:$T$6005,0)=ROW()-5,N($X4497)+1,N($X4497)))</f>
        <v/>
      </c>
      <c r="Z4498">
        <f>IF($V4498="","",IF($AA4498&gt;N($AA4497),$AA4498,""))</f>
        <v/>
      </c>
      <c r="AA4498">
        <f>IF($V4498="",N($AA4497),IF(MATCH($V4498,$V$6:$V$6005,0)=ROW()-5,N($AA4497)+1,N($AA4497)))</f>
        <v/>
      </c>
    </row>
    <row r="4499" ht="21" customHeight="1" s="66">
      <c r="A4499" s="56" t="n"/>
      <c r="B4499" s="57" t="n"/>
      <c r="C4499" s="57" t="n"/>
      <c r="D4499" s="57" t="n"/>
      <c r="E4499" s="56" t="n"/>
      <c r="F4499" s="57" t="n"/>
      <c r="G4499" s="57" t="n"/>
      <c r="H4499" s="56" t="n"/>
      <c r="I4499" s="56" t="n"/>
      <c r="J4499" s="58" t="n"/>
      <c r="K4499" s="58" t="n"/>
      <c r="L4499" s="13">
        <f>IF(OR($A4499="",AND($J4499="",$K4499="")),"",ROUND(N($J4499)-N($K4499),2))</f>
        <v/>
      </c>
      <c r="M4499" s="13">
        <f>IF(OR($A4499="",AND($J4499="",$K4499="")),"",MIN($J4499,$K4499))</f>
        <v/>
      </c>
      <c r="Q4499">
        <f>IF($A4499="","",$D4499&amp;"("&amp;SUBSTITUTE($E4499," ","")&amp;")")</f>
        <v/>
      </c>
      <c r="R4499">
        <f>IF($A4499="","",$B4499&amp;" - "&amp;$C4499)</f>
        <v/>
      </c>
      <c r="S4499">
        <f>IF($A4499="","",$R4499&amp;"|"&amp;$Q4499)</f>
        <v/>
      </c>
      <c r="T4499">
        <f>IF($A4499="","",$S4499&amp;"|"&amp;$F4499)</f>
        <v/>
      </c>
      <c r="U4499">
        <f>IF($A4499="","",$R4499&amp;"("&amp;$E4499&amp;")")</f>
        <v/>
      </c>
      <c r="V4499">
        <f>IF($A4499="","",$F4499&amp;"|"&amp;$U4499&amp;"|"&amp;$D4499)</f>
        <v/>
      </c>
      <c r="W4499">
        <f>IF($T4499="","",IF($X4499&gt;N($X4498),$X4499,""))</f>
        <v/>
      </c>
      <c r="X4499">
        <f>IF($T4499="",N($X4498),IF(MATCH($T4499,$T$6:$T$6005,0)=ROW()-5,N($X4498)+1,N($X4498)))</f>
        <v/>
      </c>
      <c r="Z4499">
        <f>IF($V4499="","",IF($AA4499&gt;N($AA4498),$AA4499,""))</f>
        <v/>
      </c>
      <c r="AA4499">
        <f>IF($V4499="",N($AA4498),IF(MATCH($V4499,$V$6:$V$6005,0)=ROW()-5,N($AA4498)+1,N($AA4498)))</f>
        <v/>
      </c>
    </row>
    <row r="4500" ht="21" customHeight="1" s="66">
      <c r="A4500" s="56" t="n"/>
      <c r="B4500" s="57" t="n"/>
      <c r="C4500" s="57" t="n"/>
      <c r="D4500" s="57" t="n"/>
      <c r="E4500" s="56" t="n"/>
      <c r="F4500" s="57" t="n"/>
      <c r="G4500" s="57" t="n"/>
      <c r="H4500" s="56" t="n"/>
      <c r="I4500" s="56" t="n"/>
      <c r="J4500" s="58" t="n"/>
      <c r="K4500" s="58" t="n"/>
      <c r="L4500" s="13">
        <f>IF(OR($A4500="",AND($J4500="",$K4500="")),"",ROUND(N($J4500)-N($K4500),2))</f>
        <v/>
      </c>
      <c r="M4500" s="13">
        <f>IF(OR($A4500="",AND($J4500="",$K4500="")),"",MIN($J4500,$K4500))</f>
        <v/>
      </c>
      <c r="Q4500">
        <f>IF($A4500="","",$D4500&amp;"("&amp;SUBSTITUTE($E4500," ","")&amp;")")</f>
        <v/>
      </c>
      <c r="R4500">
        <f>IF($A4500="","",$B4500&amp;" - "&amp;$C4500)</f>
        <v/>
      </c>
      <c r="S4500">
        <f>IF($A4500="","",$R4500&amp;"|"&amp;$Q4500)</f>
        <v/>
      </c>
      <c r="T4500">
        <f>IF($A4500="","",$S4500&amp;"|"&amp;$F4500)</f>
        <v/>
      </c>
      <c r="U4500">
        <f>IF($A4500="","",$R4500&amp;"("&amp;$E4500&amp;")")</f>
        <v/>
      </c>
      <c r="V4500">
        <f>IF($A4500="","",$F4500&amp;"|"&amp;$U4500&amp;"|"&amp;$D4500)</f>
        <v/>
      </c>
      <c r="W4500">
        <f>IF($T4500="","",IF($X4500&gt;N($X4499),$X4500,""))</f>
        <v/>
      </c>
      <c r="X4500">
        <f>IF($T4500="",N($X4499),IF(MATCH($T4500,$T$6:$T$6005,0)=ROW()-5,N($X4499)+1,N($X4499)))</f>
        <v/>
      </c>
      <c r="Z4500">
        <f>IF($V4500="","",IF($AA4500&gt;N($AA4499),$AA4500,""))</f>
        <v/>
      </c>
      <c r="AA4500">
        <f>IF($V4500="",N($AA4499),IF(MATCH($V4500,$V$6:$V$6005,0)=ROW()-5,N($AA4499)+1,N($AA4499)))</f>
        <v/>
      </c>
    </row>
    <row r="4501" ht="21" customHeight="1" s="66">
      <c r="A4501" s="56" t="n"/>
      <c r="B4501" s="57" t="n"/>
      <c r="C4501" s="57" t="n"/>
      <c r="D4501" s="57" t="n"/>
      <c r="E4501" s="56" t="n"/>
      <c r="F4501" s="57" t="n"/>
      <c r="G4501" s="57" t="n"/>
      <c r="H4501" s="56" t="n"/>
      <c r="I4501" s="56" t="n"/>
      <c r="J4501" s="58" t="n"/>
      <c r="K4501" s="58" t="n"/>
      <c r="L4501" s="13">
        <f>IF(OR($A4501="",AND($J4501="",$K4501="")),"",ROUND(N($J4501)-N($K4501),2))</f>
        <v/>
      </c>
      <c r="M4501" s="13">
        <f>IF(OR($A4501="",AND($J4501="",$K4501="")),"",MIN($J4501,$K4501))</f>
        <v/>
      </c>
      <c r="Q4501">
        <f>IF($A4501="","",$D4501&amp;"("&amp;SUBSTITUTE($E4501," ","")&amp;")")</f>
        <v/>
      </c>
      <c r="R4501">
        <f>IF($A4501="","",$B4501&amp;" - "&amp;$C4501)</f>
        <v/>
      </c>
      <c r="S4501">
        <f>IF($A4501="","",$R4501&amp;"|"&amp;$Q4501)</f>
        <v/>
      </c>
      <c r="T4501">
        <f>IF($A4501="","",$S4501&amp;"|"&amp;$F4501)</f>
        <v/>
      </c>
      <c r="U4501">
        <f>IF($A4501="","",$R4501&amp;"("&amp;$E4501&amp;")")</f>
        <v/>
      </c>
      <c r="V4501">
        <f>IF($A4501="","",$F4501&amp;"|"&amp;$U4501&amp;"|"&amp;$D4501)</f>
        <v/>
      </c>
      <c r="W4501">
        <f>IF($T4501="","",IF($X4501&gt;N($X4500),$X4501,""))</f>
        <v/>
      </c>
      <c r="X4501">
        <f>IF($T4501="",N($X4500),IF(MATCH($T4501,$T$6:$T$6005,0)=ROW()-5,N($X4500)+1,N($X4500)))</f>
        <v/>
      </c>
      <c r="Z4501">
        <f>IF($V4501="","",IF($AA4501&gt;N($AA4500),$AA4501,""))</f>
        <v/>
      </c>
      <c r="AA4501">
        <f>IF($V4501="",N($AA4500),IF(MATCH($V4501,$V$6:$V$6005,0)=ROW()-5,N($AA4500)+1,N($AA4500)))</f>
        <v/>
      </c>
    </row>
    <row r="4502" ht="21" customHeight="1" s="66">
      <c r="A4502" s="56" t="n"/>
      <c r="B4502" s="57" t="n"/>
      <c r="C4502" s="57" t="n"/>
      <c r="D4502" s="57" t="n"/>
      <c r="E4502" s="56" t="n"/>
      <c r="F4502" s="57" t="n"/>
      <c r="G4502" s="57" t="n"/>
      <c r="H4502" s="56" t="n"/>
      <c r="I4502" s="56" t="n"/>
      <c r="J4502" s="58" t="n"/>
      <c r="K4502" s="58" t="n"/>
      <c r="L4502" s="13">
        <f>IF(OR($A4502="",AND($J4502="",$K4502="")),"",ROUND(N($J4502)-N($K4502),2))</f>
        <v/>
      </c>
      <c r="M4502" s="13">
        <f>IF(OR($A4502="",AND($J4502="",$K4502="")),"",MIN($J4502,$K4502))</f>
        <v/>
      </c>
      <c r="Q4502">
        <f>IF($A4502="","",$D4502&amp;"("&amp;SUBSTITUTE($E4502," ","")&amp;")")</f>
        <v/>
      </c>
      <c r="R4502">
        <f>IF($A4502="","",$B4502&amp;" - "&amp;$C4502)</f>
        <v/>
      </c>
      <c r="S4502">
        <f>IF($A4502="","",$R4502&amp;"|"&amp;$Q4502)</f>
        <v/>
      </c>
      <c r="T4502">
        <f>IF($A4502="","",$S4502&amp;"|"&amp;$F4502)</f>
        <v/>
      </c>
      <c r="U4502">
        <f>IF($A4502="","",$R4502&amp;"("&amp;$E4502&amp;")")</f>
        <v/>
      </c>
      <c r="V4502">
        <f>IF($A4502="","",$F4502&amp;"|"&amp;$U4502&amp;"|"&amp;$D4502)</f>
        <v/>
      </c>
      <c r="W4502">
        <f>IF($T4502="","",IF($X4502&gt;N($X4501),$X4502,""))</f>
        <v/>
      </c>
      <c r="X4502">
        <f>IF($T4502="",N($X4501),IF(MATCH($T4502,$T$6:$T$6005,0)=ROW()-5,N($X4501)+1,N($X4501)))</f>
        <v/>
      </c>
      <c r="Z4502">
        <f>IF($V4502="","",IF($AA4502&gt;N($AA4501),$AA4502,""))</f>
        <v/>
      </c>
      <c r="AA4502">
        <f>IF($V4502="",N($AA4501),IF(MATCH($V4502,$V$6:$V$6005,0)=ROW()-5,N($AA4501)+1,N($AA4501)))</f>
        <v/>
      </c>
    </row>
    <row r="4503" ht="21" customHeight="1" s="66">
      <c r="A4503" s="56" t="n"/>
      <c r="B4503" s="57" t="n"/>
      <c r="C4503" s="57" t="n"/>
      <c r="D4503" s="57" t="n"/>
      <c r="E4503" s="56" t="n"/>
      <c r="F4503" s="57" t="n"/>
      <c r="G4503" s="57" t="n"/>
      <c r="H4503" s="56" t="n"/>
      <c r="I4503" s="56" t="n"/>
      <c r="J4503" s="58" t="n"/>
      <c r="K4503" s="58" t="n"/>
      <c r="L4503" s="13">
        <f>IF(OR($A4503="",AND($J4503="",$K4503="")),"",ROUND(N($J4503)-N($K4503),2))</f>
        <v/>
      </c>
      <c r="M4503" s="13">
        <f>IF(OR($A4503="",AND($J4503="",$K4503="")),"",MIN($J4503,$K4503))</f>
        <v/>
      </c>
      <c r="Q4503">
        <f>IF($A4503="","",$D4503&amp;"("&amp;SUBSTITUTE($E4503," ","")&amp;")")</f>
        <v/>
      </c>
      <c r="R4503">
        <f>IF($A4503="","",$B4503&amp;" - "&amp;$C4503)</f>
        <v/>
      </c>
      <c r="S4503">
        <f>IF($A4503="","",$R4503&amp;"|"&amp;$Q4503)</f>
        <v/>
      </c>
      <c r="T4503">
        <f>IF($A4503="","",$S4503&amp;"|"&amp;$F4503)</f>
        <v/>
      </c>
      <c r="U4503">
        <f>IF($A4503="","",$R4503&amp;"("&amp;$E4503&amp;")")</f>
        <v/>
      </c>
      <c r="V4503">
        <f>IF($A4503="","",$F4503&amp;"|"&amp;$U4503&amp;"|"&amp;$D4503)</f>
        <v/>
      </c>
      <c r="W4503">
        <f>IF($T4503="","",IF($X4503&gt;N($X4502),$X4503,""))</f>
        <v/>
      </c>
      <c r="X4503">
        <f>IF($T4503="",N($X4502),IF(MATCH($T4503,$T$6:$T$6005,0)=ROW()-5,N($X4502)+1,N($X4502)))</f>
        <v/>
      </c>
      <c r="Z4503">
        <f>IF($V4503="","",IF($AA4503&gt;N($AA4502),$AA4503,""))</f>
        <v/>
      </c>
      <c r="AA4503">
        <f>IF($V4503="",N($AA4502),IF(MATCH($V4503,$V$6:$V$6005,0)=ROW()-5,N($AA4502)+1,N($AA4502)))</f>
        <v/>
      </c>
    </row>
    <row r="4504" ht="21" customHeight="1" s="66">
      <c r="A4504" s="56" t="n"/>
      <c r="B4504" s="57" t="n"/>
      <c r="C4504" s="57" t="n"/>
      <c r="D4504" s="57" t="n"/>
      <c r="E4504" s="56" t="n"/>
      <c r="F4504" s="57" t="n"/>
      <c r="G4504" s="57" t="n"/>
      <c r="H4504" s="56" t="n"/>
      <c r="I4504" s="56" t="n"/>
      <c r="J4504" s="58" t="n"/>
      <c r="K4504" s="58" t="n"/>
      <c r="L4504" s="13">
        <f>IF(OR($A4504="",AND($J4504="",$K4504="")),"",ROUND(N($J4504)-N($K4504),2))</f>
        <v/>
      </c>
      <c r="M4504" s="13">
        <f>IF(OR($A4504="",AND($J4504="",$K4504="")),"",MIN($J4504,$K4504))</f>
        <v/>
      </c>
      <c r="Q4504">
        <f>IF($A4504="","",$D4504&amp;"("&amp;SUBSTITUTE($E4504," ","")&amp;")")</f>
        <v/>
      </c>
      <c r="R4504">
        <f>IF($A4504="","",$B4504&amp;" - "&amp;$C4504)</f>
        <v/>
      </c>
      <c r="S4504">
        <f>IF($A4504="","",$R4504&amp;"|"&amp;$Q4504)</f>
        <v/>
      </c>
      <c r="T4504">
        <f>IF($A4504="","",$S4504&amp;"|"&amp;$F4504)</f>
        <v/>
      </c>
      <c r="U4504">
        <f>IF($A4504="","",$R4504&amp;"("&amp;$E4504&amp;")")</f>
        <v/>
      </c>
      <c r="V4504">
        <f>IF($A4504="","",$F4504&amp;"|"&amp;$U4504&amp;"|"&amp;$D4504)</f>
        <v/>
      </c>
      <c r="W4504">
        <f>IF($T4504="","",IF($X4504&gt;N($X4503),$X4504,""))</f>
        <v/>
      </c>
      <c r="X4504">
        <f>IF($T4504="",N($X4503),IF(MATCH($T4504,$T$6:$T$6005,0)=ROW()-5,N($X4503)+1,N($X4503)))</f>
        <v/>
      </c>
      <c r="Z4504">
        <f>IF($V4504="","",IF($AA4504&gt;N($AA4503),$AA4504,""))</f>
        <v/>
      </c>
      <c r="AA4504">
        <f>IF($V4504="",N($AA4503),IF(MATCH($V4504,$V$6:$V$6005,0)=ROW()-5,N($AA4503)+1,N($AA4503)))</f>
        <v/>
      </c>
    </row>
    <row r="4505" ht="21" customHeight="1" s="66">
      <c r="A4505" s="56" t="n"/>
      <c r="B4505" s="57" t="n"/>
      <c r="C4505" s="57" t="n"/>
      <c r="D4505" s="57" t="n"/>
      <c r="E4505" s="56" t="n"/>
      <c r="F4505" s="57" t="n"/>
      <c r="G4505" s="57" t="n"/>
      <c r="H4505" s="56" t="n"/>
      <c r="I4505" s="56" t="n"/>
      <c r="J4505" s="58" t="n"/>
      <c r="K4505" s="58" t="n"/>
      <c r="L4505" s="13">
        <f>IF(OR($A4505="",AND($J4505="",$K4505="")),"",ROUND(N($J4505)-N($K4505),2))</f>
        <v/>
      </c>
      <c r="M4505" s="13">
        <f>IF(OR($A4505="",AND($J4505="",$K4505="")),"",MIN($J4505,$K4505))</f>
        <v/>
      </c>
      <c r="Q4505">
        <f>IF($A4505="","",$D4505&amp;"("&amp;SUBSTITUTE($E4505," ","")&amp;")")</f>
        <v/>
      </c>
      <c r="R4505">
        <f>IF($A4505="","",$B4505&amp;" - "&amp;$C4505)</f>
        <v/>
      </c>
      <c r="S4505">
        <f>IF($A4505="","",$R4505&amp;"|"&amp;$Q4505)</f>
        <v/>
      </c>
      <c r="T4505">
        <f>IF($A4505="","",$S4505&amp;"|"&amp;$F4505)</f>
        <v/>
      </c>
      <c r="U4505">
        <f>IF($A4505="","",$R4505&amp;"("&amp;$E4505&amp;")")</f>
        <v/>
      </c>
      <c r="V4505">
        <f>IF($A4505="","",$F4505&amp;"|"&amp;$U4505&amp;"|"&amp;$D4505)</f>
        <v/>
      </c>
      <c r="W4505">
        <f>IF($T4505="","",IF($X4505&gt;N($X4504),$X4505,""))</f>
        <v/>
      </c>
      <c r="X4505">
        <f>IF($T4505="",N($X4504),IF(MATCH($T4505,$T$6:$T$6005,0)=ROW()-5,N($X4504)+1,N($X4504)))</f>
        <v/>
      </c>
      <c r="Z4505">
        <f>IF($V4505="","",IF($AA4505&gt;N($AA4504),$AA4505,""))</f>
        <v/>
      </c>
      <c r="AA4505">
        <f>IF($V4505="",N($AA4504),IF(MATCH($V4505,$V$6:$V$6005,0)=ROW()-5,N($AA4504)+1,N($AA4504)))</f>
        <v/>
      </c>
    </row>
    <row r="4506" ht="21" customHeight="1" s="66">
      <c r="A4506" s="56" t="n"/>
      <c r="B4506" s="57" t="n"/>
      <c r="C4506" s="57" t="n"/>
      <c r="D4506" s="57" t="n"/>
      <c r="E4506" s="56" t="n"/>
      <c r="F4506" s="57" t="n"/>
      <c r="G4506" s="57" t="n"/>
      <c r="H4506" s="56" t="n"/>
      <c r="I4506" s="56" t="n"/>
      <c r="J4506" s="58" t="n"/>
      <c r="K4506" s="58" t="n"/>
      <c r="L4506" s="13">
        <f>IF(OR($A4506="",AND($J4506="",$K4506="")),"",ROUND(N($J4506)-N($K4506),2))</f>
        <v/>
      </c>
      <c r="M4506" s="13">
        <f>IF(OR($A4506="",AND($J4506="",$K4506="")),"",MIN($J4506,$K4506))</f>
        <v/>
      </c>
      <c r="Q4506">
        <f>IF($A4506="","",$D4506&amp;"("&amp;SUBSTITUTE($E4506," ","")&amp;")")</f>
        <v/>
      </c>
      <c r="R4506">
        <f>IF($A4506="","",$B4506&amp;" - "&amp;$C4506)</f>
        <v/>
      </c>
      <c r="S4506">
        <f>IF($A4506="","",$R4506&amp;"|"&amp;$Q4506)</f>
        <v/>
      </c>
      <c r="T4506">
        <f>IF($A4506="","",$S4506&amp;"|"&amp;$F4506)</f>
        <v/>
      </c>
      <c r="U4506">
        <f>IF($A4506="","",$R4506&amp;"("&amp;$E4506&amp;")")</f>
        <v/>
      </c>
      <c r="V4506">
        <f>IF($A4506="","",$F4506&amp;"|"&amp;$U4506&amp;"|"&amp;$D4506)</f>
        <v/>
      </c>
      <c r="W4506">
        <f>IF($T4506="","",IF($X4506&gt;N($X4505),$X4506,""))</f>
        <v/>
      </c>
      <c r="X4506">
        <f>IF($T4506="",N($X4505),IF(MATCH($T4506,$T$6:$T$6005,0)=ROW()-5,N($X4505)+1,N($X4505)))</f>
        <v/>
      </c>
      <c r="Z4506">
        <f>IF($V4506="","",IF($AA4506&gt;N($AA4505),$AA4506,""))</f>
        <v/>
      </c>
      <c r="AA4506">
        <f>IF($V4506="",N($AA4505),IF(MATCH($V4506,$V$6:$V$6005,0)=ROW()-5,N($AA4505)+1,N($AA4505)))</f>
        <v/>
      </c>
    </row>
    <row r="4507" ht="21" customHeight="1" s="66">
      <c r="A4507" s="56" t="n"/>
      <c r="B4507" s="57" t="n"/>
      <c r="C4507" s="57" t="n"/>
      <c r="D4507" s="57" t="n"/>
      <c r="E4507" s="56" t="n"/>
      <c r="F4507" s="57" t="n"/>
      <c r="G4507" s="57" t="n"/>
      <c r="H4507" s="56" t="n"/>
      <c r="I4507" s="56" t="n"/>
      <c r="J4507" s="58" t="n"/>
      <c r="K4507" s="58" t="n"/>
      <c r="L4507" s="13">
        <f>IF(OR($A4507="",AND($J4507="",$K4507="")),"",ROUND(N($J4507)-N($K4507),2))</f>
        <v/>
      </c>
      <c r="M4507" s="13">
        <f>IF(OR($A4507="",AND($J4507="",$K4507="")),"",MIN($J4507,$K4507))</f>
        <v/>
      </c>
      <c r="Q4507">
        <f>IF($A4507="","",$D4507&amp;"("&amp;SUBSTITUTE($E4507," ","")&amp;")")</f>
        <v/>
      </c>
      <c r="R4507">
        <f>IF($A4507="","",$B4507&amp;" - "&amp;$C4507)</f>
        <v/>
      </c>
      <c r="S4507">
        <f>IF($A4507="","",$R4507&amp;"|"&amp;$Q4507)</f>
        <v/>
      </c>
      <c r="T4507">
        <f>IF($A4507="","",$S4507&amp;"|"&amp;$F4507)</f>
        <v/>
      </c>
      <c r="U4507">
        <f>IF($A4507="","",$R4507&amp;"("&amp;$E4507&amp;")")</f>
        <v/>
      </c>
      <c r="V4507">
        <f>IF($A4507="","",$F4507&amp;"|"&amp;$U4507&amp;"|"&amp;$D4507)</f>
        <v/>
      </c>
      <c r="W4507">
        <f>IF($T4507="","",IF($X4507&gt;N($X4506),$X4507,""))</f>
        <v/>
      </c>
      <c r="X4507">
        <f>IF($T4507="",N($X4506),IF(MATCH($T4507,$T$6:$T$6005,0)=ROW()-5,N($X4506)+1,N($X4506)))</f>
        <v/>
      </c>
      <c r="Z4507">
        <f>IF($V4507="","",IF($AA4507&gt;N($AA4506),$AA4507,""))</f>
        <v/>
      </c>
      <c r="AA4507">
        <f>IF($V4507="",N($AA4506),IF(MATCH($V4507,$V$6:$V$6005,0)=ROW()-5,N($AA4506)+1,N($AA4506)))</f>
        <v/>
      </c>
    </row>
    <row r="4508" ht="21" customHeight="1" s="66">
      <c r="A4508" s="56" t="n"/>
      <c r="B4508" s="57" t="n"/>
      <c r="C4508" s="57" t="n"/>
      <c r="D4508" s="57" t="n"/>
      <c r="E4508" s="56" t="n"/>
      <c r="F4508" s="57" t="n"/>
      <c r="G4508" s="57" t="n"/>
      <c r="H4508" s="56" t="n"/>
      <c r="I4508" s="56" t="n"/>
      <c r="J4508" s="58" t="n"/>
      <c r="K4508" s="58" t="n"/>
      <c r="L4508" s="13">
        <f>IF(OR($A4508="",AND($J4508="",$K4508="")),"",ROUND(N($J4508)-N($K4508),2))</f>
        <v/>
      </c>
      <c r="M4508" s="13">
        <f>IF(OR($A4508="",AND($J4508="",$K4508="")),"",MIN($J4508,$K4508))</f>
        <v/>
      </c>
      <c r="Q4508">
        <f>IF($A4508="","",$D4508&amp;"("&amp;SUBSTITUTE($E4508," ","")&amp;")")</f>
        <v/>
      </c>
      <c r="R4508">
        <f>IF($A4508="","",$B4508&amp;" - "&amp;$C4508)</f>
        <v/>
      </c>
      <c r="S4508">
        <f>IF($A4508="","",$R4508&amp;"|"&amp;$Q4508)</f>
        <v/>
      </c>
      <c r="T4508">
        <f>IF($A4508="","",$S4508&amp;"|"&amp;$F4508)</f>
        <v/>
      </c>
      <c r="U4508">
        <f>IF($A4508="","",$R4508&amp;"("&amp;$E4508&amp;")")</f>
        <v/>
      </c>
      <c r="V4508">
        <f>IF($A4508="","",$F4508&amp;"|"&amp;$U4508&amp;"|"&amp;$D4508)</f>
        <v/>
      </c>
      <c r="W4508">
        <f>IF($T4508="","",IF($X4508&gt;N($X4507),$X4508,""))</f>
        <v/>
      </c>
      <c r="X4508">
        <f>IF($T4508="",N($X4507),IF(MATCH($T4508,$T$6:$T$6005,0)=ROW()-5,N($X4507)+1,N($X4507)))</f>
        <v/>
      </c>
      <c r="Z4508">
        <f>IF($V4508="","",IF($AA4508&gt;N($AA4507),$AA4508,""))</f>
        <v/>
      </c>
      <c r="AA4508">
        <f>IF($V4508="",N($AA4507),IF(MATCH($V4508,$V$6:$V$6005,0)=ROW()-5,N($AA4507)+1,N($AA4507)))</f>
        <v/>
      </c>
    </row>
    <row r="4509" ht="21" customHeight="1" s="66">
      <c r="A4509" s="56" t="n"/>
      <c r="B4509" s="57" t="n"/>
      <c r="C4509" s="57" t="n"/>
      <c r="D4509" s="57" t="n"/>
      <c r="E4509" s="56" t="n"/>
      <c r="F4509" s="57" t="n"/>
      <c r="G4509" s="57" t="n"/>
      <c r="H4509" s="56" t="n"/>
      <c r="I4509" s="56" t="n"/>
      <c r="J4509" s="58" t="n"/>
      <c r="K4509" s="58" t="n"/>
      <c r="L4509" s="13">
        <f>IF(OR($A4509="",AND($J4509="",$K4509="")),"",ROUND(N($J4509)-N($K4509),2))</f>
        <v/>
      </c>
      <c r="M4509" s="13">
        <f>IF(OR($A4509="",AND($J4509="",$K4509="")),"",MIN($J4509,$K4509))</f>
        <v/>
      </c>
      <c r="Q4509">
        <f>IF($A4509="","",$D4509&amp;"("&amp;SUBSTITUTE($E4509," ","")&amp;")")</f>
        <v/>
      </c>
      <c r="R4509">
        <f>IF($A4509="","",$B4509&amp;" - "&amp;$C4509)</f>
        <v/>
      </c>
      <c r="S4509">
        <f>IF($A4509="","",$R4509&amp;"|"&amp;$Q4509)</f>
        <v/>
      </c>
      <c r="T4509">
        <f>IF($A4509="","",$S4509&amp;"|"&amp;$F4509)</f>
        <v/>
      </c>
      <c r="U4509">
        <f>IF($A4509="","",$R4509&amp;"("&amp;$E4509&amp;")")</f>
        <v/>
      </c>
      <c r="V4509">
        <f>IF($A4509="","",$F4509&amp;"|"&amp;$U4509&amp;"|"&amp;$D4509)</f>
        <v/>
      </c>
      <c r="W4509">
        <f>IF($T4509="","",IF($X4509&gt;N($X4508),$X4509,""))</f>
        <v/>
      </c>
      <c r="X4509">
        <f>IF($T4509="",N($X4508),IF(MATCH($T4509,$T$6:$T$6005,0)=ROW()-5,N($X4508)+1,N($X4508)))</f>
        <v/>
      </c>
      <c r="Z4509">
        <f>IF($V4509="","",IF($AA4509&gt;N($AA4508),$AA4509,""))</f>
        <v/>
      </c>
      <c r="AA4509">
        <f>IF($V4509="",N($AA4508),IF(MATCH($V4509,$V$6:$V$6005,0)=ROW()-5,N($AA4508)+1,N($AA4508)))</f>
        <v/>
      </c>
    </row>
    <row r="4510" ht="21" customHeight="1" s="66">
      <c r="A4510" s="56" t="n"/>
      <c r="B4510" s="57" t="n"/>
      <c r="C4510" s="57" t="n"/>
      <c r="D4510" s="57" t="n"/>
      <c r="E4510" s="56" t="n"/>
      <c r="F4510" s="57" t="n"/>
      <c r="G4510" s="57" t="n"/>
      <c r="H4510" s="56" t="n"/>
      <c r="I4510" s="56" t="n"/>
      <c r="J4510" s="58" t="n"/>
      <c r="K4510" s="58" t="n"/>
      <c r="L4510" s="13">
        <f>IF(OR($A4510="",AND($J4510="",$K4510="")),"",ROUND(N($J4510)-N($K4510),2))</f>
        <v/>
      </c>
      <c r="M4510" s="13">
        <f>IF(OR($A4510="",AND($J4510="",$K4510="")),"",MIN($J4510,$K4510))</f>
        <v/>
      </c>
      <c r="Q4510">
        <f>IF($A4510="","",$D4510&amp;"("&amp;SUBSTITUTE($E4510," ","")&amp;")")</f>
        <v/>
      </c>
      <c r="R4510">
        <f>IF($A4510="","",$B4510&amp;" - "&amp;$C4510)</f>
        <v/>
      </c>
      <c r="S4510">
        <f>IF($A4510="","",$R4510&amp;"|"&amp;$Q4510)</f>
        <v/>
      </c>
      <c r="T4510">
        <f>IF($A4510="","",$S4510&amp;"|"&amp;$F4510)</f>
        <v/>
      </c>
      <c r="U4510">
        <f>IF($A4510="","",$R4510&amp;"("&amp;$E4510&amp;")")</f>
        <v/>
      </c>
      <c r="V4510">
        <f>IF($A4510="","",$F4510&amp;"|"&amp;$U4510&amp;"|"&amp;$D4510)</f>
        <v/>
      </c>
      <c r="W4510">
        <f>IF($T4510="","",IF($X4510&gt;N($X4509),$X4510,""))</f>
        <v/>
      </c>
      <c r="X4510">
        <f>IF($T4510="",N($X4509),IF(MATCH($T4510,$T$6:$T$6005,0)=ROW()-5,N($X4509)+1,N($X4509)))</f>
        <v/>
      </c>
      <c r="Z4510">
        <f>IF($V4510="","",IF($AA4510&gt;N($AA4509),$AA4510,""))</f>
        <v/>
      </c>
      <c r="AA4510">
        <f>IF($V4510="",N($AA4509),IF(MATCH($V4510,$V$6:$V$6005,0)=ROW()-5,N($AA4509)+1,N($AA4509)))</f>
        <v/>
      </c>
    </row>
    <row r="4511" ht="21" customHeight="1" s="66">
      <c r="A4511" s="56" t="n"/>
      <c r="B4511" s="57" t="n"/>
      <c r="C4511" s="57" t="n"/>
      <c r="D4511" s="57" t="n"/>
      <c r="E4511" s="56" t="n"/>
      <c r="F4511" s="57" t="n"/>
      <c r="G4511" s="57" t="n"/>
      <c r="H4511" s="56" t="n"/>
      <c r="I4511" s="56" t="n"/>
      <c r="J4511" s="58" t="n"/>
      <c r="K4511" s="58" t="n"/>
      <c r="L4511" s="13">
        <f>IF(OR($A4511="",AND($J4511="",$K4511="")),"",ROUND(N($J4511)-N($K4511),2))</f>
        <v/>
      </c>
      <c r="M4511" s="13">
        <f>IF(OR($A4511="",AND($J4511="",$K4511="")),"",MIN($J4511,$K4511))</f>
        <v/>
      </c>
      <c r="Q4511">
        <f>IF($A4511="","",$D4511&amp;"("&amp;SUBSTITUTE($E4511," ","")&amp;")")</f>
        <v/>
      </c>
      <c r="R4511">
        <f>IF($A4511="","",$B4511&amp;" - "&amp;$C4511)</f>
        <v/>
      </c>
      <c r="S4511">
        <f>IF($A4511="","",$R4511&amp;"|"&amp;$Q4511)</f>
        <v/>
      </c>
      <c r="T4511">
        <f>IF($A4511="","",$S4511&amp;"|"&amp;$F4511)</f>
        <v/>
      </c>
      <c r="U4511">
        <f>IF($A4511="","",$R4511&amp;"("&amp;$E4511&amp;")")</f>
        <v/>
      </c>
      <c r="V4511">
        <f>IF($A4511="","",$F4511&amp;"|"&amp;$U4511&amp;"|"&amp;$D4511)</f>
        <v/>
      </c>
      <c r="W4511">
        <f>IF($T4511="","",IF($X4511&gt;N($X4510),$X4511,""))</f>
        <v/>
      </c>
      <c r="X4511">
        <f>IF($T4511="",N($X4510),IF(MATCH($T4511,$T$6:$T$6005,0)=ROW()-5,N($X4510)+1,N($X4510)))</f>
        <v/>
      </c>
      <c r="Z4511">
        <f>IF($V4511="","",IF($AA4511&gt;N($AA4510),$AA4511,""))</f>
        <v/>
      </c>
      <c r="AA4511">
        <f>IF($V4511="",N($AA4510),IF(MATCH($V4511,$V$6:$V$6005,0)=ROW()-5,N($AA4510)+1,N($AA4510)))</f>
        <v/>
      </c>
    </row>
    <row r="4512" ht="21" customHeight="1" s="66">
      <c r="A4512" s="56" t="n"/>
      <c r="B4512" s="57" t="n"/>
      <c r="C4512" s="57" t="n"/>
      <c r="D4512" s="57" t="n"/>
      <c r="E4512" s="56" t="n"/>
      <c r="F4512" s="57" t="n"/>
      <c r="G4512" s="57" t="n"/>
      <c r="H4512" s="56" t="n"/>
      <c r="I4512" s="56" t="n"/>
      <c r="J4512" s="58" t="n"/>
      <c r="K4512" s="58" t="n"/>
      <c r="L4512" s="13">
        <f>IF(OR($A4512="",AND($J4512="",$K4512="")),"",ROUND(N($J4512)-N($K4512),2))</f>
        <v/>
      </c>
      <c r="M4512" s="13">
        <f>IF(OR($A4512="",AND($J4512="",$K4512="")),"",MIN($J4512,$K4512))</f>
        <v/>
      </c>
      <c r="Q4512">
        <f>IF($A4512="","",$D4512&amp;"("&amp;SUBSTITUTE($E4512," ","")&amp;")")</f>
        <v/>
      </c>
      <c r="R4512">
        <f>IF($A4512="","",$B4512&amp;" - "&amp;$C4512)</f>
        <v/>
      </c>
      <c r="S4512">
        <f>IF($A4512="","",$R4512&amp;"|"&amp;$Q4512)</f>
        <v/>
      </c>
      <c r="T4512">
        <f>IF($A4512="","",$S4512&amp;"|"&amp;$F4512)</f>
        <v/>
      </c>
      <c r="U4512">
        <f>IF($A4512="","",$R4512&amp;"("&amp;$E4512&amp;")")</f>
        <v/>
      </c>
      <c r="V4512">
        <f>IF($A4512="","",$F4512&amp;"|"&amp;$U4512&amp;"|"&amp;$D4512)</f>
        <v/>
      </c>
      <c r="W4512">
        <f>IF($T4512="","",IF($X4512&gt;N($X4511),$X4512,""))</f>
        <v/>
      </c>
      <c r="X4512">
        <f>IF($T4512="",N($X4511),IF(MATCH($T4512,$T$6:$T$6005,0)=ROW()-5,N($X4511)+1,N($X4511)))</f>
        <v/>
      </c>
      <c r="Z4512">
        <f>IF($V4512="","",IF($AA4512&gt;N($AA4511),$AA4512,""))</f>
        <v/>
      </c>
      <c r="AA4512">
        <f>IF($V4512="",N($AA4511),IF(MATCH($V4512,$V$6:$V$6005,0)=ROW()-5,N($AA4511)+1,N($AA4511)))</f>
        <v/>
      </c>
    </row>
    <row r="4513" ht="21" customHeight="1" s="66">
      <c r="A4513" s="56" t="n"/>
      <c r="B4513" s="57" t="n"/>
      <c r="C4513" s="57" t="n"/>
      <c r="D4513" s="57" t="n"/>
      <c r="E4513" s="56" t="n"/>
      <c r="F4513" s="57" t="n"/>
      <c r="G4513" s="57" t="n"/>
      <c r="H4513" s="56" t="n"/>
      <c r="I4513" s="56" t="n"/>
      <c r="J4513" s="58" t="n"/>
      <c r="K4513" s="58" t="n"/>
      <c r="L4513" s="13">
        <f>IF(OR($A4513="",AND($J4513="",$K4513="")),"",ROUND(N($J4513)-N($K4513),2))</f>
        <v/>
      </c>
      <c r="M4513" s="13">
        <f>IF(OR($A4513="",AND($J4513="",$K4513="")),"",MIN($J4513,$K4513))</f>
        <v/>
      </c>
      <c r="Q4513">
        <f>IF($A4513="","",$D4513&amp;"("&amp;SUBSTITUTE($E4513," ","")&amp;")")</f>
        <v/>
      </c>
      <c r="R4513">
        <f>IF($A4513="","",$B4513&amp;" - "&amp;$C4513)</f>
        <v/>
      </c>
      <c r="S4513">
        <f>IF($A4513="","",$R4513&amp;"|"&amp;$Q4513)</f>
        <v/>
      </c>
      <c r="T4513">
        <f>IF($A4513="","",$S4513&amp;"|"&amp;$F4513)</f>
        <v/>
      </c>
      <c r="U4513">
        <f>IF($A4513="","",$R4513&amp;"("&amp;$E4513&amp;")")</f>
        <v/>
      </c>
      <c r="V4513">
        <f>IF($A4513="","",$F4513&amp;"|"&amp;$U4513&amp;"|"&amp;$D4513)</f>
        <v/>
      </c>
      <c r="W4513">
        <f>IF($T4513="","",IF($X4513&gt;N($X4512),$X4513,""))</f>
        <v/>
      </c>
      <c r="X4513">
        <f>IF($T4513="",N($X4512),IF(MATCH($T4513,$T$6:$T$6005,0)=ROW()-5,N($X4512)+1,N($X4512)))</f>
        <v/>
      </c>
      <c r="Z4513">
        <f>IF($V4513="","",IF($AA4513&gt;N($AA4512),$AA4513,""))</f>
        <v/>
      </c>
      <c r="AA4513">
        <f>IF($V4513="",N($AA4512),IF(MATCH($V4513,$V$6:$V$6005,0)=ROW()-5,N($AA4512)+1,N($AA4512)))</f>
        <v/>
      </c>
    </row>
    <row r="4514" ht="21" customHeight="1" s="66">
      <c r="A4514" s="56" t="n"/>
      <c r="B4514" s="57" t="n"/>
      <c r="C4514" s="57" t="n"/>
      <c r="D4514" s="57" t="n"/>
      <c r="E4514" s="56" t="n"/>
      <c r="F4514" s="57" t="n"/>
      <c r="G4514" s="57" t="n"/>
      <c r="H4514" s="56" t="n"/>
      <c r="I4514" s="56" t="n"/>
      <c r="J4514" s="58" t="n"/>
      <c r="K4514" s="58" t="n"/>
      <c r="L4514" s="13">
        <f>IF(OR($A4514="",AND($J4514="",$K4514="")),"",ROUND(N($J4514)-N($K4514),2))</f>
        <v/>
      </c>
      <c r="M4514" s="13">
        <f>IF(OR($A4514="",AND($J4514="",$K4514="")),"",MIN($J4514,$K4514))</f>
        <v/>
      </c>
      <c r="Q4514">
        <f>IF($A4514="","",$D4514&amp;"("&amp;SUBSTITUTE($E4514," ","")&amp;")")</f>
        <v/>
      </c>
      <c r="R4514">
        <f>IF($A4514="","",$B4514&amp;" - "&amp;$C4514)</f>
        <v/>
      </c>
      <c r="S4514">
        <f>IF($A4514="","",$R4514&amp;"|"&amp;$Q4514)</f>
        <v/>
      </c>
      <c r="T4514">
        <f>IF($A4514="","",$S4514&amp;"|"&amp;$F4514)</f>
        <v/>
      </c>
      <c r="U4514">
        <f>IF($A4514="","",$R4514&amp;"("&amp;$E4514&amp;")")</f>
        <v/>
      </c>
      <c r="V4514">
        <f>IF($A4514="","",$F4514&amp;"|"&amp;$U4514&amp;"|"&amp;$D4514)</f>
        <v/>
      </c>
      <c r="W4514">
        <f>IF($T4514="","",IF($X4514&gt;N($X4513),$X4514,""))</f>
        <v/>
      </c>
      <c r="X4514">
        <f>IF($T4514="",N($X4513),IF(MATCH($T4514,$T$6:$T$6005,0)=ROW()-5,N($X4513)+1,N($X4513)))</f>
        <v/>
      </c>
      <c r="Z4514">
        <f>IF($V4514="","",IF($AA4514&gt;N($AA4513),$AA4514,""))</f>
        <v/>
      </c>
      <c r="AA4514">
        <f>IF($V4514="",N($AA4513),IF(MATCH($V4514,$V$6:$V$6005,0)=ROW()-5,N($AA4513)+1,N($AA4513)))</f>
        <v/>
      </c>
    </row>
    <row r="4515" ht="21" customHeight="1" s="66">
      <c r="A4515" s="56" t="n"/>
      <c r="B4515" s="57" t="n"/>
      <c r="C4515" s="57" t="n"/>
      <c r="D4515" s="57" t="n"/>
      <c r="E4515" s="56" t="n"/>
      <c r="F4515" s="57" t="n"/>
      <c r="G4515" s="57" t="n"/>
      <c r="H4515" s="56" t="n"/>
      <c r="I4515" s="56" t="n"/>
      <c r="J4515" s="58" t="n"/>
      <c r="K4515" s="58" t="n"/>
      <c r="L4515" s="13">
        <f>IF(OR($A4515="",AND($J4515="",$K4515="")),"",ROUND(N($J4515)-N($K4515),2))</f>
        <v/>
      </c>
      <c r="M4515" s="13">
        <f>IF(OR($A4515="",AND($J4515="",$K4515="")),"",MIN($J4515,$K4515))</f>
        <v/>
      </c>
      <c r="Q4515">
        <f>IF($A4515="","",$D4515&amp;"("&amp;SUBSTITUTE($E4515," ","")&amp;")")</f>
        <v/>
      </c>
      <c r="R4515">
        <f>IF($A4515="","",$B4515&amp;" - "&amp;$C4515)</f>
        <v/>
      </c>
      <c r="S4515">
        <f>IF($A4515="","",$R4515&amp;"|"&amp;$Q4515)</f>
        <v/>
      </c>
      <c r="T4515">
        <f>IF($A4515="","",$S4515&amp;"|"&amp;$F4515)</f>
        <v/>
      </c>
      <c r="U4515">
        <f>IF($A4515="","",$R4515&amp;"("&amp;$E4515&amp;")")</f>
        <v/>
      </c>
      <c r="V4515">
        <f>IF($A4515="","",$F4515&amp;"|"&amp;$U4515&amp;"|"&amp;$D4515)</f>
        <v/>
      </c>
      <c r="W4515">
        <f>IF($T4515="","",IF($X4515&gt;N($X4514),$X4515,""))</f>
        <v/>
      </c>
      <c r="X4515">
        <f>IF($T4515="",N($X4514),IF(MATCH($T4515,$T$6:$T$6005,0)=ROW()-5,N($X4514)+1,N($X4514)))</f>
        <v/>
      </c>
      <c r="Z4515">
        <f>IF($V4515="","",IF($AA4515&gt;N($AA4514),$AA4515,""))</f>
        <v/>
      </c>
      <c r="AA4515">
        <f>IF($V4515="",N($AA4514),IF(MATCH($V4515,$V$6:$V$6005,0)=ROW()-5,N($AA4514)+1,N($AA4514)))</f>
        <v/>
      </c>
    </row>
    <row r="4516" ht="21" customHeight="1" s="66">
      <c r="A4516" s="56" t="n"/>
      <c r="B4516" s="57" t="n"/>
      <c r="C4516" s="57" t="n"/>
      <c r="D4516" s="57" t="n"/>
      <c r="E4516" s="56" t="n"/>
      <c r="F4516" s="57" t="n"/>
      <c r="G4516" s="57" t="n"/>
      <c r="H4516" s="56" t="n"/>
      <c r="I4516" s="56" t="n"/>
      <c r="J4516" s="58" t="n"/>
      <c r="K4516" s="58" t="n"/>
      <c r="L4516" s="13">
        <f>IF(OR($A4516="",AND($J4516="",$K4516="")),"",ROUND(N($J4516)-N($K4516),2))</f>
        <v/>
      </c>
      <c r="M4516" s="13">
        <f>IF(OR($A4516="",AND($J4516="",$K4516="")),"",MIN($J4516,$K4516))</f>
        <v/>
      </c>
      <c r="Q4516">
        <f>IF($A4516="","",$D4516&amp;"("&amp;SUBSTITUTE($E4516," ","")&amp;")")</f>
        <v/>
      </c>
      <c r="R4516">
        <f>IF($A4516="","",$B4516&amp;" - "&amp;$C4516)</f>
        <v/>
      </c>
      <c r="S4516">
        <f>IF($A4516="","",$R4516&amp;"|"&amp;$Q4516)</f>
        <v/>
      </c>
      <c r="T4516">
        <f>IF($A4516="","",$S4516&amp;"|"&amp;$F4516)</f>
        <v/>
      </c>
      <c r="U4516">
        <f>IF($A4516="","",$R4516&amp;"("&amp;$E4516&amp;")")</f>
        <v/>
      </c>
      <c r="V4516">
        <f>IF($A4516="","",$F4516&amp;"|"&amp;$U4516&amp;"|"&amp;$D4516)</f>
        <v/>
      </c>
      <c r="W4516">
        <f>IF($T4516="","",IF($X4516&gt;N($X4515),$X4516,""))</f>
        <v/>
      </c>
      <c r="X4516">
        <f>IF($T4516="",N($X4515),IF(MATCH($T4516,$T$6:$T$6005,0)=ROW()-5,N($X4515)+1,N($X4515)))</f>
        <v/>
      </c>
      <c r="Z4516">
        <f>IF($V4516="","",IF($AA4516&gt;N($AA4515),$AA4516,""))</f>
        <v/>
      </c>
      <c r="AA4516">
        <f>IF($V4516="",N($AA4515),IF(MATCH($V4516,$V$6:$V$6005,0)=ROW()-5,N($AA4515)+1,N($AA4515)))</f>
        <v/>
      </c>
    </row>
    <row r="4517" ht="21" customHeight="1" s="66">
      <c r="A4517" s="56" t="n"/>
      <c r="B4517" s="57" t="n"/>
      <c r="C4517" s="57" t="n"/>
      <c r="D4517" s="57" t="n"/>
      <c r="E4517" s="56" t="n"/>
      <c r="F4517" s="57" t="n"/>
      <c r="G4517" s="57" t="n"/>
      <c r="H4517" s="56" t="n"/>
      <c r="I4517" s="56" t="n"/>
      <c r="J4517" s="58" t="n"/>
      <c r="K4517" s="58" t="n"/>
      <c r="L4517" s="13">
        <f>IF(OR($A4517="",AND($J4517="",$K4517="")),"",ROUND(N($J4517)-N($K4517),2))</f>
        <v/>
      </c>
      <c r="M4517" s="13">
        <f>IF(OR($A4517="",AND($J4517="",$K4517="")),"",MIN($J4517,$K4517))</f>
        <v/>
      </c>
      <c r="Q4517">
        <f>IF($A4517="","",$D4517&amp;"("&amp;SUBSTITUTE($E4517," ","")&amp;")")</f>
        <v/>
      </c>
      <c r="R4517">
        <f>IF($A4517="","",$B4517&amp;" - "&amp;$C4517)</f>
        <v/>
      </c>
      <c r="S4517">
        <f>IF($A4517="","",$R4517&amp;"|"&amp;$Q4517)</f>
        <v/>
      </c>
      <c r="T4517">
        <f>IF($A4517="","",$S4517&amp;"|"&amp;$F4517)</f>
        <v/>
      </c>
      <c r="U4517">
        <f>IF($A4517="","",$R4517&amp;"("&amp;$E4517&amp;")")</f>
        <v/>
      </c>
      <c r="V4517">
        <f>IF($A4517="","",$F4517&amp;"|"&amp;$U4517&amp;"|"&amp;$D4517)</f>
        <v/>
      </c>
      <c r="W4517">
        <f>IF($T4517="","",IF($X4517&gt;N($X4516),$X4517,""))</f>
        <v/>
      </c>
      <c r="X4517">
        <f>IF($T4517="",N($X4516),IF(MATCH($T4517,$T$6:$T$6005,0)=ROW()-5,N($X4516)+1,N($X4516)))</f>
        <v/>
      </c>
      <c r="Z4517">
        <f>IF($V4517="","",IF($AA4517&gt;N($AA4516),$AA4517,""))</f>
        <v/>
      </c>
      <c r="AA4517">
        <f>IF($V4517="",N($AA4516),IF(MATCH($V4517,$V$6:$V$6005,0)=ROW()-5,N($AA4516)+1,N($AA4516)))</f>
        <v/>
      </c>
    </row>
    <row r="4518" ht="21" customHeight="1" s="66">
      <c r="A4518" s="56" t="n"/>
      <c r="B4518" s="57" t="n"/>
      <c r="C4518" s="57" t="n"/>
      <c r="D4518" s="57" t="n"/>
      <c r="E4518" s="56" t="n"/>
      <c r="F4518" s="57" t="n"/>
      <c r="G4518" s="57" t="n"/>
      <c r="H4518" s="56" t="n"/>
      <c r="I4518" s="56" t="n"/>
      <c r="J4518" s="58" t="n"/>
      <c r="K4518" s="58" t="n"/>
      <c r="L4518" s="13">
        <f>IF(OR($A4518="",AND($J4518="",$K4518="")),"",ROUND(N($J4518)-N($K4518),2))</f>
        <v/>
      </c>
      <c r="M4518" s="13">
        <f>IF(OR($A4518="",AND($J4518="",$K4518="")),"",MIN($J4518,$K4518))</f>
        <v/>
      </c>
      <c r="Q4518">
        <f>IF($A4518="","",$D4518&amp;"("&amp;SUBSTITUTE($E4518," ","")&amp;")")</f>
        <v/>
      </c>
      <c r="R4518">
        <f>IF($A4518="","",$B4518&amp;" - "&amp;$C4518)</f>
        <v/>
      </c>
      <c r="S4518">
        <f>IF($A4518="","",$R4518&amp;"|"&amp;$Q4518)</f>
        <v/>
      </c>
      <c r="T4518">
        <f>IF($A4518="","",$S4518&amp;"|"&amp;$F4518)</f>
        <v/>
      </c>
      <c r="U4518">
        <f>IF($A4518="","",$R4518&amp;"("&amp;$E4518&amp;")")</f>
        <v/>
      </c>
      <c r="V4518">
        <f>IF($A4518="","",$F4518&amp;"|"&amp;$U4518&amp;"|"&amp;$D4518)</f>
        <v/>
      </c>
      <c r="W4518">
        <f>IF($T4518="","",IF($X4518&gt;N($X4517),$X4518,""))</f>
        <v/>
      </c>
      <c r="X4518">
        <f>IF($T4518="",N($X4517),IF(MATCH($T4518,$T$6:$T$6005,0)=ROW()-5,N($X4517)+1,N($X4517)))</f>
        <v/>
      </c>
      <c r="Z4518">
        <f>IF($V4518="","",IF($AA4518&gt;N($AA4517),$AA4518,""))</f>
        <v/>
      </c>
      <c r="AA4518">
        <f>IF($V4518="",N($AA4517),IF(MATCH($V4518,$V$6:$V$6005,0)=ROW()-5,N($AA4517)+1,N($AA4517)))</f>
        <v/>
      </c>
    </row>
    <row r="4519" ht="21" customHeight="1" s="66">
      <c r="A4519" s="56" t="n"/>
      <c r="B4519" s="57" t="n"/>
      <c r="C4519" s="57" t="n"/>
      <c r="D4519" s="57" t="n"/>
      <c r="E4519" s="56" t="n"/>
      <c r="F4519" s="57" t="n"/>
      <c r="G4519" s="57" t="n"/>
      <c r="H4519" s="56" t="n"/>
      <c r="I4519" s="56" t="n"/>
      <c r="J4519" s="58" t="n"/>
      <c r="K4519" s="58" t="n"/>
      <c r="L4519" s="13">
        <f>IF(OR($A4519="",AND($J4519="",$K4519="")),"",ROUND(N($J4519)-N($K4519),2))</f>
        <v/>
      </c>
      <c r="M4519" s="13">
        <f>IF(OR($A4519="",AND($J4519="",$K4519="")),"",MIN($J4519,$K4519))</f>
        <v/>
      </c>
      <c r="Q4519">
        <f>IF($A4519="","",$D4519&amp;"("&amp;SUBSTITUTE($E4519," ","")&amp;")")</f>
        <v/>
      </c>
      <c r="R4519">
        <f>IF($A4519="","",$B4519&amp;" - "&amp;$C4519)</f>
        <v/>
      </c>
      <c r="S4519">
        <f>IF($A4519="","",$R4519&amp;"|"&amp;$Q4519)</f>
        <v/>
      </c>
      <c r="T4519">
        <f>IF($A4519="","",$S4519&amp;"|"&amp;$F4519)</f>
        <v/>
      </c>
      <c r="U4519">
        <f>IF($A4519="","",$R4519&amp;"("&amp;$E4519&amp;")")</f>
        <v/>
      </c>
      <c r="V4519">
        <f>IF($A4519="","",$F4519&amp;"|"&amp;$U4519&amp;"|"&amp;$D4519)</f>
        <v/>
      </c>
      <c r="W4519">
        <f>IF($T4519="","",IF($X4519&gt;N($X4518),$X4519,""))</f>
        <v/>
      </c>
      <c r="X4519">
        <f>IF($T4519="",N($X4518),IF(MATCH($T4519,$T$6:$T$6005,0)=ROW()-5,N($X4518)+1,N($X4518)))</f>
        <v/>
      </c>
      <c r="Z4519">
        <f>IF($V4519="","",IF($AA4519&gt;N($AA4518),$AA4519,""))</f>
        <v/>
      </c>
      <c r="AA4519">
        <f>IF($V4519="",N($AA4518),IF(MATCH($V4519,$V$6:$V$6005,0)=ROW()-5,N($AA4518)+1,N($AA4518)))</f>
        <v/>
      </c>
    </row>
    <row r="4520" ht="21" customHeight="1" s="66">
      <c r="A4520" s="56" t="n"/>
      <c r="B4520" s="57" t="n"/>
      <c r="C4520" s="57" t="n"/>
      <c r="D4520" s="57" t="n"/>
      <c r="E4520" s="56" t="n"/>
      <c r="F4520" s="57" t="n"/>
      <c r="G4520" s="57" t="n"/>
      <c r="H4520" s="56" t="n"/>
      <c r="I4520" s="56" t="n"/>
      <c r="J4520" s="58" t="n"/>
      <c r="K4520" s="58" t="n"/>
      <c r="L4520" s="13">
        <f>IF(OR($A4520="",AND($J4520="",$K4520="")),"",ROUND(N($J4520)-N($K4520),2))</f>
        <v/>
      </c>
      <c r="M4520" s="13">
        <f>IF(OR($A4520="",AND($J4520="",$K4520="")),"",MIN($J4520,$K4520))</f>
        <v/>
      </c>
      <c r="Q4520">
        <f>IF($A4520="","",$D4520&amp;"("&amp;SUBSTITUTE($E4520," ","")&amp;")")</f>
        <v/>
      </c>
      <c r="R4520">
        <f>IF($A4520="","",$B4520&amp;" - "&amp;$C4520)</f>
        <v/>
      </c>
      <c r="S4520">
        <f>IF($A4520="","",$R4520&amp;"|"&amp;$Q4520)</f>
        <v/>
      </c>
      <c r="T4520">
        <f>IF($A4520="","",$S4520&amp;"|"&amp;$F4520)</f>
        <v/>
      </c>
      <c r="U4520">
        <f>IF($A4520="","",$R4520&amp;"("&amp;$E4520&amp;")")</f>
        <v/>
      </c>
      <c r="V4520">
        <f>IF($A4520="","",$F4520&amp;"|"&amp;$U4520&amp;"|"&amp;$D4520)</f>
        <v/>
      </c>
      <c r="W4520">
        <f>IF($T4520="","",IF($X4520&gt;N($X4519),$X4520,""))</f>
        <v/>
      </c>
      <c r="X4520">
        <f>IF($T4520="",N($X4519),IF(MATCH($T4520,$T$6:$T$6005,0)=ROW()-5,N($X4519)+1,N($X4519)))</f>
        <v/>
      </c>
      <c r="Z4520">
        <f>IF($V4520="","",IF($AA4520&gt;N($AA4519),$AA4520,""))</f>
        <v/>
      </c>
      <c r="AA4520">
        <f>IF($V4520="",N($AA4519),IF(MATCH($V4520,$V$6:$V$6005,0)=ROW()-5,N($AA4519)+1,N($AA4519)))</f>
        <v/>
      </c>
    </row>
    <row r="4521" ht="21" customHeight="1" s="66">
      <c r="A4521" s="56" t="n"/>
      <c r="B4521" s="57" t="n"/>
      <c r="C4521" s="57" t="n"/>
      <c r="D4521" s="57" t="n"/>
      <c r="E4521" s="56" t="n"/>
      <c r="F4521" s="57" t="n"/>
      <c r="G4521" s="57" t="n"/>
      <c r="H4521" s="56" t="n"/>
      <c r="I4521" s="56" t="n"/>
      <c r="J4521" s="58" t="n"/>
      <c r="K4521" s="58" t="n"/>
      <c r="L4521" s="13">
        <f>IF(OR($A4521="",AND($J4521="",$K4521="")),"",ROUND(N($J4521)-N($K4521),2))</f>
        <v/>
      </c>
      <c r="M4521" s="13">
        <f>IF(OR($A4521="",AND($J4521="",$K4521="")),"",MIN($J4521,$K4521))</f>
        <v/>
      </c>
      <c r="Q4521">
        <f>IF($A4521="","",$D4521&amp;"("&amp;SUBSTITUTE($E4521," ","")&amp;")")</f>
        <v/>
      </c>
      <c r="R4521">
        <f>IF($A4521="","",$B4521&amp;" - "&amp;$C4521)</f>
        <v/>
      </c>
      <c r="S4521">
        <f>IF($A4521="","",$R4521&amp;"|"&amp;$Q4521)</f>
        <v/>
      </c>
      <c r="T4521">
        <f>IF($A4521="","",$S4521&amp;"|"&amp;$F4521)</f>
        <v/>
      </c>
      <c r="U4521">
        <f>IF($A4521="","",$R4521&amp;"("&amp;$E4521&amp;")")</f>
        <v/>
      </c>
      <c r="V4521">
        <f>IF($A4521="","",$F4521&amp;"|"&amp;$U4521&amp;"|"&amp;$D4521)</f>
        <v/>
      </c>
      <c r="W4521">
        <f>IF($T4521="","",IF($X4521&gt;N($X4520),$X4521,""))</f>
        <v/>
      </c>
      <c r="X4521">
        <f>IF($T4521="",N($X4520),IF(MATCH($T4521,$T$6:$T$6005,0)=ROW()-5,N($X4520)+1,N($X4520)))</f>
        <v/>
      </c>
      <c r="Z4521">
        <f>IF($V4521="","",IF($AA4521&gt;N($AA4520),$AA4521,""))</f>
        <v/>
      </c>
      <c r="AA4521">
        <f>IF($V4521="",N($AA4520),IF(MATCH($V4521,$V$6:$V$6005,0)=ROW()-5,N($AA4520)+1,N($AA4520)))</f>
        <v/>
      </c>
    </row>
    <row r="4522" ht="21" customHeight="1" s="66">
      <c r="A4522" s="56" t="n"/>
      <c r="B4522" s="57" t="n"/>
      <c r="C4522" s="57" t="n"/>
      <c r="D4522" s="57" t="n"/>
      <c r="E4522" s="56" t="n"/>
      <c r="F4522" s="57" t="n"/>
      <c r="G4522" s="57" t="n"/>
      <c r="H4522" s="56" t="n"/>
      <c r="I4522" s="56" t="n"/>
      <c r="J4522" s="58" t="n"/>
      <c r="K4522" s="58" t="n"/>
      <c r="L4522" s="13">
        <f>IF(OR($A4522="",AND($J4522="",$K4522="")),"",ROUND(N($J4522)-N($K4522),2))</f>
        <v/>
      </c>
      <c r="M4522" s="13">
        <f>IF(OR($A4522="",AND($J4522="",$K4522="")),"",MIN($J4522,$K4522))</f>
        <v/>
      </c>
      <c r="Q4522">
        <f>IF($A4522="","",$D4522&amp;"("&amp;SUBSTITUTE($E4522," ","")&amp;")")</f>
        <v/>
      </c>
      <c r="R4522">
        <f>IF($A4522="","",$B4522&amp;" - "&amp;$C4522)</f>
        <v/>
      </c>
      <c r="S4522">
        <f>IF($A4522="","",$R4522&amp;"|"&amp;$Q4522)</f>
        <v/>
      </c>
      <c r="T4522">
        <f>IF($A4522="","",$S4522&amp;"|"&amp;$F4522)</f>
        <v/>
      </c>
      <c r="U4522">
        <f>IF($A4522="","",$R4522&amp;"("&amp;$E4522&amp;")")</f>
        <v/>
      </c>
      <c r="V4522">
        <f>IF($A4522="","",$F4522&amp;"|"&amp;$U4522&amp;"|"&amp;$D4522)</f>
        <v/>
      </c>
      <c r="W4522">
        <f>IF($T4522="","",IF($X4522&gt;N($X4521),$X4522,""))</f>
        <v/>
      </c>
      <c r="X4522">
        <f>IF($T4522="",N($X4521),IF(MATCH($T4522,$T$6:$T$6005,0)=ROW()-5,N($X4521)+1,N($X4521)))</f>
        <v/>
      </c>
      <c r="Z4522">
        <f>IF($V4522="","",IF($AA4522&gt;N($AA4521),$AA4522,""))</f>
        <v/>
      </c>
      <c r="AA4522">
        <f>IF($V4522="",N($AA4521),IF(MATCH($V4522,$V$6:$V$6005,0)=ROW()-5,N($AA4521)+1,N($AA4521)))</f>
        <v/>
      </c>
    </row>
    <row r="4523" ht="21" customHeight="1" s="66">
      <c r="A4523" s="56" t="n"/>
      <c r="B4523" s="57" t="n"/>
      <c r="C4523" s="57" t="n"/>
      <c r="D4523" s="57" t="n"/>
      <c r="E4523" s="56" t="n"/>
      <c r="F4523" s="57" t="n"/>
      <c r="G4523" s="57" t="n"/>
      <c r="H4523" s="56" t="n"/>
      <c r="I4523" s="56" t="n"/>
      <c r="J4523" s="58" t="n"/>
      <c r="K4523" s="58" t="n"/>
      <c r="L4523" s="13">
        <f>IF(OR($A4523="",AND($J4523="",$K4523="")),"",ROUND(N($J4523)-N($K4523),2))</f>
        <v/>
      </c>
      <c r="M4523" s="13">
        <f>IF(OR($A4523="",AND($J4523="",$K4523="")),"",MIN($J4523,$K4523))</f>
        <v/>
      </c>
      <c r="Q4523">
        <f>IF($A4523="","",$D4523&amp;"("&amp;SUBSTITUTE($E4523," ","")&amp;")")</f>
        <v/>
      </c>
      <c r="R4523">
        <f>IF($A4523="","",$B4523&amp;" - "&amp;$C4523)</f>
        <v/>
      </c>
      <c r="S4523">
        <f>IF($A4523="","",$R4523&amp;"|"&amp;$Q4523)</f>
        <v/>
      </c>
      <c r="T4523">
        <f>IF($A4523="","",$S4523&amp;"|"&amp;$F4523)</f>
        <v/>
      </c>
      <c r="U4523">
        <f>IF($A4523="","",$R4523&amp;"("&amp;$E4523&amp;")")</f>
        <v/>
      </c>
      <c r="V4523">
        <f>IF($A4523="","",$F4523&amp;"|"&amp;$U4523&amp;"|"&amp;$D4523)</f>
        <v/>
      </c>
      <c r="W4523">
        <f>IF($T4523="","",IF($X4523&gt;N($X4522),$X4523,""))</f>
        <v/>
      </c>
      <c r="X4523">
        <f>IF($T4523="",N($X4522),IF(MATCH($T4523,$T$6:$T$6005,0)=ROW()-5,N($X4522)+1,N($X4522)))</f>
        <v/>
      </c>
      <c r="Z4523">
        <f>IF($V4523="","",IF($AA4523&gt;N($AA4522),$AA4523,""))</f>
        <v/>
      </c>
      <c r="AA4523">
        <f>IF($V4523="",N($AA4522),IF(MATCH($V4523,$V$6:$V$6005,0)=ROW()-5,N($AA4522)+1,N($AA4522)))</f>
        <v/>
      </c>
    </row>
    <row r="4524" ht="21" customHeight="1" s="66">
      <c r="A4524" s="56" t="n"/>
      <c r="B4524" s="57" t="n"/>
      <c r="C4524" s="57" t="n"/>
      <c r="D4524" s="57" t="n"/>
      <c r="E4524" s="56" t="n"/>
      <c r="F4524" s="57" t="n"/>
      <c r="G4524" s="57" t="n"/>
      <c r="H4524" s="56" t="n"/>
      <c r="I4524" s="56" t="n"/>
      <c r="J4524" s="58" t="n"/>
      <c r="K4524" s="58" t="n"/>
      <c r="L4524" s="13">
        <f>IF(OR($A4524="",AND($J4524="",$K4524="")),"",ROUND(N($J4524)-N($K4524),2))</f>
        <v/>
      </c>
      <c r="M4524" s="13">
        <f>IF(OR($A4524="",AND($J4524="",$K4524="")),"",MIN($J4524,$K4524))</f>
        <v/>
      </c>
      <c r="Q4524">
        <f>IF($A4524="","",$D4524&amp;"("&amp;SUBSTITUTE($E4524," ","")&amp;")")</f>
        <v/>
      </c>
      <c r="R4524">
        <f>IF($A4524="","",$B4524&amp;" - "&amp;$C4524)</f>
        <v/>
      </c>
      <c r="S4524">
        <f>IF($A4524="","",$R4524&amp;"|"&amp;$Q4524)</f>
        <v/>
      </c>
      <c r="T4524">
        <f>IF($A4524="","",$S4524&amp;"|"&amp;$F4524)</f>
        <v/>
      </c>
      <c r="U4524">
        <f>IF($A4524="","",$R4524&amp;"("&amp;$E4524&amp;")")</f>
        <v/>
      </c>
      <c r="V4524">
        <f>IF($A4524="","",$F4524&amp;"|"&amp;$U4524&amp;"|"&amp;$D4524)</f>
        <v/>
      </c>
      <c r="W4524">
        <f>IF($T4524="","",IF($X4524&gt;N($X4523),$X4524,""))</f>
        <v/>
      </c>
      <c r="X4524">
        <f>IF($T4524="",N($X4523),IF(MATCH($T4524,$T$6:$T$6005,0)=ROW()-5,N($X4523)+1,N($X4523)))</f>
        <v/>
      </c>
      <c r="Z4524">
        <f>IF($V4524="","",IF($AA4524&gt;N($AA4523),$AA4524,""))</f>
        <v/>
      </c>
      <c r="AA4524">
        <f>IF($V4524="",N($AA4523),IF(MATCH($V4524,$V$6:$V$6005,0)=ROW()-5,N($AA4523)+1,N($AA4523)))</f>
        <v/>
      </c>
    </row>
    <row r="4525" ht="21" customHeight="1" s="66">
      <c r="A4525" s="56" t="n"/>
      <c r="B4525" s="57" t="n"/>
      <c r="C4525" s="57" t="n"/>
      <c r="D4525" s="57" t="n"/>
      <c r="E4525" s="56" t="n"/>
      <c r="F4525" s="57" t="n"/>
      <c r="G4525" s="57" t="n"/>
      <c r="H4525" s="56" t="n"/>
      <c r="I4525" s="56" t="n"/>
      <c r="J4525" s="58" t="n"/>
      <c r="K4525" s="58" t="n"/>
      <c r="L4525" s="13">
        <f>IF(OR($A4525="",AND($J4525="",$K4525="")),"",ROUND(N($J4525)-N($K4525),2))</f>
        <v/>
      </c>
      <c r="M4525" s="13">
        <f>IF(OR($A4525="",AND($J4525="",$K4525="")),"",MIN($J4525,$K4525))</f>
        <v/>
      </c>
      <c r="Q4525">
        <f>IF($A4525="","",$D4525&amp;"("&amp;SUBSTITUTE($E4525," ","")&amp;")")</f>
        <v/>
      </c>
      <c r="R4525">
        <f>IF($A4525="","",$B4525&amp;" - "&amp;$C4525)</f>
        <v/>
      </c>
      <c r="S4525">
        <f>IF($A4525="","",$R4525&amp;"|"&amp;$Q4525)</f>
        <v/>
      </c>
      <c r="T4525">
        <f>IF($A4525="","",$S4525&amp;"|"&amp;$F4525)</f>
        <v/>
      </c>
      <c r="U4525">
        <f>IF($A4525="","",$R4525&amp;"("&amp;$E4525&amp;")")</f>
        <v/>
      </c>
      <c r="V4525">
        <f>IF($A4525="","",$F4525&amp;"|"&amp;$U4525&amp;"|"&amp;$D4525)</f>
        <v/>
      </c>
      <c r="W4525">
        <f>IF($T4525="","",IF($X4525&gt;N($X4524),$X4525,""))</f>
        <v/>
      </c>
      <c r="X4525">
        <f>IF($T4525="",N($X4524),IF(MATCH($T4525,$T$6:$T$6005,0)=ROW()-5,N($X4524)+1,N($X4524)))</f>
        <v/>
      </c>
      <c r="Z4525">
        <f>IF($V4525="","",IF($AA4525&gt;N($AA4524),$AA4525,""))</f>
        <v/>
      </c>
      <c r="AA4525">
        <f>IF($V4525="",N($AA4524),IF(MATCH($V4525,$V$6:$V$6005,0)=ROW()-5,N($AA4524)+1,N($AA4524)))</f>
        <v/>
      </c>
    </row>
    <row r="4526" ht="21" customHeight="1" s="66">
      <c r="A4526" s="56" t="n"/>
      <c r="B4526" s="57" t="n"/>
      <c r="C4526" s="57" t="n"/>
      <c r="D4526" s="57" t="n"/>
      <c r="E4526" s="56" t="n"/>
      <c r="F4526" s="57" t="n"/>
      <c r="G4526" s="57" t="n"/>
      <c r="H4526" s="56" t="n"/>
      <c r="I4526" s="56" t="n"/>
      <c r="J4526" s="58" t="n"/>
      <c r="K4526" s="58" t="n"/>
      <c r="L4526" s="13">
        <f>IF(OR($A4526="",AND($J4526="",$K4526="")),"",ROUND(N($J4526)-N($K4526),2))</f>
        <v/>
      </c>
      <c r="M4526" s="13">
        <f>IF(OR($A4526="",AND($J4526="",$K4526="")),"",MIN($J4526,$K4526))</f>
        <v/>
      </c>
      <c r="Q4526">
        <f>IF($A4526="","",$D4526&amp;"("&amp;SUBSTITUTE($E4526," ","")&amp;")")</f>
        <v/>
      </c>
      <c r="R4526">
        <f>IF($A4526="","",$B4526&amp;" - "&amp;$C4526)</f>
        <v/>
      </c>
      <c r="S4526">
        <f>IF($A4526="","",$R4526&amp;"|"&amp;$Q4526)</f>
        <v/>
      </c>
      <c r="T4526">
        <f>IF($A4526="","",$S4526&amp;"|"&amp;$F4526)</f>
        <v/>
      </c>
      <c r="U4526">
        <f>IF($A4526="","",$R4526&amp;"("&amp;$E4526&amp;")")</f>
        <v/>
      </c>
      <c r="V4526">
        <f>IF($A4526="","",$F4526&amp;"|"&amp;$U4526&amp;"|"&amp;$D4526)</f>
        <v/>
      </c>
      <c r="W4526">
        <f>IF($T4526="","",IF($X4526&gt;N($X4525),$X4526,""))</f>
        <v/>
      </c>
      <c r="X4526">
        <f>IF($T4526="",N($X4525),IF(MATCH($T4526,$T$6:$T$6005,0)=ROW()-5,N($X4525)+1,N($X4525)))</f>
        <v/>
      </c>
      <c r="Z4526">
        <f>IF($V4526="","",IF($AA4526&gt;N($AA4525),$AA4526,""))</f>
        <v/>
      </c>
      <c r="AA4526">
        <f>IF($V4526="",N($AA4525),IF(MATCH($V4526,$V$6:$V$6005,0)=ROW()-5,N($AA4525)+1,N($AA4525)))</f>
        <v/>
      </c>
    </row>
    <row r="4527" ht="21" customHeight="1" s="66">
      <c r="A4527" s="56" t="n"/>
      <c r="B4527" s="57" t="n"/>
      <c r="C4527" s="57" t="n"/>
      <c r="D4527" s="57" t="n"/>
      <c r="E4527" s="56" t="n"/>
      <c r="F4527" s="57" t="n"/>
      <c r="G4527" s="57" t="n"/>
      <c r="H4527" s="56" t="n"/>
      <c r="I4527" s="56" t="n"/>
      <c r="J4527" s="58" t="n"/>
      <c r="K4527" s="58" t="n"/>
      <c r="L4527" s="13">
        <f>IF(OR($A4527="",AND($J4527="",$K4527="")),"",ROUND(N($J4527)-N($K4527),2))</f>
        <v/>
      </c>
      <c r="M4527" s="13">
        <f>IF(OR($A4527="",AND($J4527="",$K4527="")),"",MIN($J4527,$K4527))</f>
        <v/>
      </c>
      <c r="Q4527">
        <f>IF($A4527="","",$D4527&amp;"("&amp;SUBSTITUTE($E4527," ","")&amp;")")</f>
        <v/>
      </c>
      <c r="R4527">
        <f>IF($A4527="","",$B4527&amp;" - "&amp;$C4527)</f>
        <v/>
      </c>
      <c r="S4527">
        <f>IF($A4527="","",$R4527&amp;"|"&amp;$Q4527)</f>
        <v/>
      </c>
      <c r="T4527">
        <f>IF($A4527="","",$S4527&amp;"|"&amp;$F4527)</f>
        <v/>
      </c>
      <c r="U4527">
        <f>IF($A4527="","",$R4527&amp;"("&amp;$E4527&amp;")")</f>
        <v/>
      </c>
      <c r="V4527">
        <f>IF($A4527="","",$F4527&amp;"|"&amp;$U4527&amp;"|"&amp;$D4527)</f>
        <v/>
      </c>
      <c r="W4527">
        <f>IF($T4527="","",IF($X4527&gt;N($X4526),$X4527,""))</f>
        <v/>
      </c>
      <c r="X4527">
        <f>IF($T4527="",N($X4526),IF(MATCH($T4527,$T$6:$T$6005,0)=ROW()-5,N($X4526)+1,N($X4526)))</f>
        <v/>
      </c>
      <c r="Z4527">
        <f>IF($V4527="","",IF($AA4527&gt;N($AA4526),$AA4527,""))</f>
        <v/>
      </c>
      <c r="AA4527">
        <f>IF($V4527="",N($AA4526),IF(MATCH($V4527,$V$6:$V$6005,0)=ROW()-5,N($AA4526)+1,N($AA4526)))</f>
        <v/>
      </c>
    </row>
    <row r="4528" ht="21" customHeight="1" s="66">
      <c r="A4528" s="56" t="n"/>
      <c r="B4528" s="57" t="n"/>
      <c r="C4528" s="57" t="n"/>
      <c r="D4528" s="57" t="n"/>
      <c r="E4528" s="56" t="n"/>
      <c r="F4528" s="57" t="n"/>
      <c r="G4528" s="57" t="n"/>
      <c r="H4528" s="56" t="n"/>
      <c r="I4528" s="56" t="n"/>
      <c r="J4528" s="58" t="n"/>
      <c r="K4528" s="58" t="n"/>
      <c r="L4528" s="13">
        <f>IF(OR($A4528="",AND($J4528="",$K4528="")),"",ROUND(N($J4528)-N($K4528),2))</f>
        <v/>
      </c>
      <c r="M4528" s="13">
        <f>IF(OR($A4528="",AND($J4528="",$K4528="")),"",MIN($J4528,$K4528))</f>
        <v/>
      </c>
      <c r="Q4528">
        <f>IF($A4528="","",$D4528&amp;"("&amp;SUBSTITUTE($E4528," ","")&amp;")")</f>
        <v/>
      </c>
      <c r="R4528">
        <f>IF($A4528="","",$B4528&amp;" - "&amp;$C4528)</f>
        <v/>
      </c>
      <c r="S4528">
        <f>IF($A4528="","",$R4528&amp;"|"&amp;$Q4528)</f>
        <v/>
      </c>
      <c r="T4528">
        <f>IF($A4528="","",$S4528&amp;"|"&amp;$F4528)</f>
        <v/>
      </c>
      <c r="U4528">
        <f>IF($A4528="","",$R4528&amp;"("&amp;$E4528&amp;")")</f>
        <v/>
      </c>
      <c r="V4528">
        <f>IF($A4528="","",$F4528&amp;"|"&amp;$U4528&amp;"|"&amp;$D4528)</f>
        <v/>
      </c>
      <c r="W4528">
        <f>IF($T4528="","",IF($X4528&gt;N($X4527),$X4528,""))</f>
        <v/>
      </c>
      <c r="X4528">
        <f>IF($T4528="",N($X4527),IF(MATCH($T4528,$T$6:$T$6005,0)=ROW()-5,N($X4527)+1,N($X4527)))</f>
        <v/>
      </c>
      <c r="Z4528">
        <f>IF($V4528="","",IF($AA4528&gt;N($AA4527),$AA4528,""))</f>
        <v/>
      </c>
      <c r="AA4528">
        <f>IF($V4528="",N($AA4527),IF(MATCH($V4528,$V$6:$V$6005,0)=ROW()-5,N($AA4527)+1,N($AA4527)))</f>
        <v/>
      </c>
    </row>
    <row r="4529" ht="21" customHeight="1" s="66">
      <c r="A4529" s="56" t="n"/>
      <c r="B4529" s="57" t="n"/>
      <c r="C4529" s="57" t="n"/>
      <c r="D4529" s="57" t="n"/>
      <c r="E4529" s="56" t="n"/>
      <c r="F4529" s="57" t="n"/>
      <c r="G4529" s="57" t="n"/>
      <c r="H4529" s="56" t="n"/>
      <c r="I4529" s="56" t="n"/>
      <c r="J4529" s="58" t="n"/>
      <c r="K4529" s="58" t="n"/>
      <c r="L4529" s="13">
        <f>IF(OR($A4529="",AND($J4529="",$K4529="")),"",ROUND(N($J4529)-N($K4529),2))</f>
        <v/>
      </c>
      <c r="M4529" s="13">
        <f>IF(OR($A4529="",AND($J4529="",$K4529="")),"",MIN($J4529,$K4529))</f>
        <v/>
      </c>
      <c r="Q4529">
        <f>IF($A4529="","",$D4529&amp;"("&amp;SUBSTITUTE($E4529," ","")&amp;")")</f>
        <v/>
      </c>
      <c r="R4529">
        <f>IF($A4529="","",$B4529&amp;" - "&amp;$C4529)</f>
        <v/>
      </c>
      <c r="S4529">
        <f>IF($A4529="","",$R4529&amp;"|"&amp;$Q4529)</f>
        <v/>
      </c>
      <c r="T4529">
        <f>IF($A4529="","",$S4529&amp;"|"&amp;$F4529)</f>
        <v/>
      </c>
      <c r="U4529">
        <f>IF($A4529="","",$R4529&amp;"("&amp;$E4529&amp;")")</f>
        <v/>
      </c>
      <c r="V4529">
        <f>IF($A4529="","",$F4529&amp;"|"&amp;$U4529&amp;"|"&amp;$D4529)</f>
        <v/>
      </c>
      <c r="W4529">
        <f>IF($T4529="","",IF($X4529&gt;N($X4528),$X4529,""))</f>
        <v/>
      </c>
      <c r="X4529">
        <f>IF($T4529="",N($X4528),IF(MATCH($T4529,$T$6:$T$6005,0)=ROW()-5,N($X4528)+1,N($X4528)))</f>
        <v/>
      </c>
      <c r="Z4529">
        <f>IF($V4529="","",IF($AA4529&gt;N($AA4528),$AA4529,""))</f>
        <v/>
      </c>
      <c r="AA4529">
        <f>IF($V4529="",N($AA4528),IF(MATCH($V4529,$V$6:$V$6005,0)=ROW()-5,N($AA4528)+1,N($AA4528)))</f>
        <v/>
      </c>
    </row>
    <row r="4530" ht="21" customHeight="1" s="66">
      <c r="A4530" s="56" t="n"/>
      <c r="B4530" s="57" t="n"/>
      <c r="C4530" s="57" t="n"/>
      <c r="D4530" s="57" t="n"/>
      <c r="E4530" s="56" t="n"/>
      <c r="F4530" s="57" t="n"/>
      <c r="G4530" s="57" t="n"/>
      <c r="H4530" s="56" t="n"/>
      <c r="I4530" s="56" t="n"/>
      <c r="J4530" s="58" t="n"/>
      <c r="K4530" s="58" t="n"/>
      <c r="L4530" s="13">
        <f>IF(OR($A4530="",AND($J4530="",$K4530="")),"",ROUND(N($J4530)-N($K4530),2))</f>
        <v/>
      </c>
      <c r="M4530" s="13">
        <f>IF(OR($A4530="",AND($J4530="",$K4530="")),"",MIN($J4530,$K4530))</f>
        <v/>
      </c>
      <c r="Q4530">
        <f>IF($A4530="","",$D4530&amp;"("&amp;SUBSTITUTE($E4530," ","")&amp;")")</f>
        <v/>
      </c>
      <c r="R4530">
        <f>IF($A4530="","",$B4530&amp;" - "&amp;$C4530)</f>
        <v/>
      </c>
      <c r="S4530">
        <f>IF($A4530="","",$R4530&amp;"|"&amp;$Q4530)</f>
        <v/>
      </c>
      <c r="T4530">
        <f>IF($A4530="","",$S4530&amp;"|"&amp;$F4530)</f>
        <v/>
      </c>
      <c r="U4530">
        <f>IF($A4530="","",$R4530&amp;"("&amp;$E4530&amp;")")</f>
        <v/>
      </c>
      <c r="V4530">
        <f>IF($A4530="","",$F4530&amp;"|"&amp;$U4530&amp;"|"&amp;$D4530)</f>
        <v/>
      </c>
      <c r="W4530">
        <f>IF($T4530="","",IF($X4530&gt;N($X4529),$X4530,""))</f>
        <v/>
      </c>
      <c r="X4530">
        <f>IF($T4530="",N($X4529),IF(MATCH($T4530,$T$6:$T$6005,0)=ROW()-5,N($X4529)+1,N($X4529)))</f>
        <v/>
      </c>
      <c r="Z4530">
        <f>IF($V4530="","",IF($AA4530&gt;N($AA4529),$AA4530,""))</f>
        <v/>
      </c>
      <c r="AA4530">
        <f>IF($V4530="",N($AA4529),IF(MATCH($V4530,$V$6:$V$6005,0)=ROW()-5,N($AA4529)+1,N($AA4529)))</f>
        <v/>
      </c>
    </row>
    <row r="4531" ht="21" customHeight="1" s="66">
      <c r="A4531" s="56" t="n"/>
      <c r="B4531" s="57" t="n"/>
      <c r="C4531" s="57" t="n"/>
      <c r="D4531" s="57" t="n"/>
      <c r="E4531" s="56" t="n"/>
      <c r="F4531" s="57" t="n"/>
      <c r="G4531" s="57" t="n"/>
      <c r="H4531" s="56" t="n"/>
      <c r="I4531" s="56" t="n"/>
      <c r="J4531" s="58" t="n"/>
      <c r="K4531" s="58" t="n"/>
      <c r="L4531" s="13">
        <f>IF(OR($A4531="",AND($J4531="",$K4531="")),"",ROUND(N($J4531)-N($K4531),2))</f>
        <v/>
      </c>
      <c r="M4531" s="13">
        <f>IF(OR($A4531="",AND($J4531="",$K4531="")),"",MIN($J4531,$K4531))</f>
        <v/>
      </c>
      <c r="Q4531">
        <f>IF($A4531="","",$D4531&amp;"("&amp;SUBSTITUTE($E4531," ","")&amp;")")</f>
        <v/>
      </c>
      <c r="R4531">
        <f>IF($A4531="","",$B4531&amp;" - "&amp;$C4531)</f>
        <v/>
      </c>
      <c r="S4531">
        <f>IF($A4531="","",$R4531&amp;"|"&amp;$Q4531)</f>
        <v/>
      </c>
      <c r="T4531">
        <f>IF($A4531="","",$S4531&amp;"|"&amp;$F4531)</f>
        <v/>
      </c>
      <c r="U4531">
        <f>IF($A4531="","",$R4531&amp;"("&amp;$E4531&amp;")")</f>
        <v/>
      </c>
      <c r="V4531">
        <f>IF($A4531="","",$F4531&amp;"|"&amp;$U4531&amp;"|"&amp;$D4531)</f>
        <v/>
      </c>
      <c r="W4531">
        <f>IF($T4531="","",IF($X4531&gt;N($X4530),$X4531,""))</f>
        <v/>
      </c>
      <c r="X4531">
        <f>IF($T4531="",N($X4530),IF(MATCH($T4531,$T$6:$T$6005,0)=ROW()-5,N($X4530)+1,N($X4530)))</f>
        <v/>
      </c>
      <c r="Z4531">
        <f>IF($V4531="","",IF($AA4531&gt;N($AA4530),$AA4531,""))</f>
        <v/>
      </c>
      <c r="AA4531">
        <f>IF($V4531="",N($AA4530),IF(MATCH($V4531,$V$6:$V$6005,0)=ROW()-5,N($AA4530)+1,N($AA4530)))</f>
        <v/>
      </c>
    </row>
    <row r="4532" ht="21" customHeight="1" s="66">
      <c r="A4532" s="56" t="n"/>
      <c r="B4532" s="57" t="n"/>
      <c r="C4532" s="57" t="n"/>
      <c r="D4532" s="57" t="n"/>
      <c r="E4532" s="56" t="n"/>
      <c r="F4532" s="57" t="n"/>
      <c r="G4532" s="57" t="n"/>
      <c r="H4532" s="56" t="n"/>
      <c r="I4532" s="56" t="n"/>
      <c r="J4532" s="58" t="n"/>
      <c r="K4532" s="58" t="n"/>
      <c r="L4532" s="13">
        <f>IF(OR($A4532="",AND($J4532="",$K4532="")),"",ROUND(N($J4532)-N($K4532),2))</f>
        <v/>
      </c>
      <c r="M4532" s="13">
        <f>IF(OR($A4532="",AND($J4532="",$K4532="")),"",MIN($J4532,$K4532))</f>
        <v/>
      </c>
      <c r="Q4532">
        <f>IF($A4532="","",$D4532&amp;"("&amp;SUBSTITUTE($E4532," ","")&amp;")")</f>
        <v/>
      </c>
      <c r="R4532">
        <f>IF($A4532="","",$B4532&amp;" - "&amp;$C4532)</f>
        <v/>
      </c>
      <c r="S4532">
        <f>IF($A4532="","",$R4532&amp;"|"&amp;$Q4532)</f>
        <v/>
      </c>
      <c r="T4532">
        <f>IF($A4532="","",$S4532&amp;"|"&amp;$F4532)</f>
        <v/>
      </c>
      <c r="U4532">
        <f>IF($A4532="","",$R4532&amp;"("&amp;$E4532&amp;")")</f>
        <v/>
      </c>
      <c r="V4532">
        <f>IF($A4532="","",$F4532&amp;"|"&amp;$U4532&amp;"|"&amp;$D4532)</f>
        <v/>
      </c>
      <c r="W4532">
        <f>IF($T4532="","",IF($X4532&gt;N($X4531),$X4532,""))</f>
        <v/>
      </c>
      <c r="X4532">
        <f>IF($T4532="",N($X4531),IF(MATCH($T4532,$T$6:$T$6005,0)=ROW()-5,N($X4531)+1,N($X4531)))</f>
        <v/>
      </c>
      <c r="Z4532">
        <f>IF($V4532="","",IF($AA4532&gt;N($AA4531),$AA4532,""))</f>
        <v/>
      </c>
      <c r="AA4532">
        <f>IF($V4532="",N($AA4531),IF(MATCH($V4532,$V$6:$V$6005,0)=ROW()-5,N($AA4531)+1,N($AA4531)))</f>
        <v/>
      </c>
    </row>
    <row r="4533" ht="21" customHeight="1" s="66">
      <c r="A4533" s="56" t="n"/>
      <c r="B4533" s="57" t="n"/>
      <c r="C4533" s="57" t="n"/>
      <c r="D4533" s="57" t="n"/>
      <c r="E4533" s="56" t="n"/>
      <c r="F4533" s="57" t="n"/>
      <c r="G4533" s="57" t="n"/>
      <c r="H4533" s="56" t="n"/>
      <c r="I4533" s="56" t="n"/>
      <c r="J4533" s="58" t="n"/>
      <c r="K4533" s="58" t="n"/>
      <c r="L4533" s="13">
        <f>IF(OR($A4533="",AND($J4533="",$K4533="")),"",ROUND(N($J4533)-N($K4533),2))</f>
        <v/>
      </c>
      <c r="M4533" s="13">
        <f>IF(OR($A4533="",AND($J4533="",$K4533="")),"",MIN($J4533,$K4533))</f>
        <v/>
      </c>
      <c r="Q4533">
        <f>IF($A4533="","",$D4533&amp;"("&amp;SUBSTITUTE($E4533," ","")&amp;")")</f>
        <v/>
      </c>
      <c r="R4533">
        <f>IF($A4533="","",$B4533&amp;" - "&amp;$C4533)</f>
        <v/>
      </c>
      <c r="S4533">
        <f>IF($A4533="","",$R4533&amp;"|"&amp;$Q4533)</f>
        <v/>
      </c>
      <c r="T4533">
        <f>IF($A4533="","",$S4533&amp;"|"&amp;$F4533)</f>
        <v/>
      </c>
      <c r="U4533">
        <f>IF($A4533="","",$R4533&amp;"("&amp;$E4533&amp;")")</f>
        <v/>
      </c>
      <c r="V4533">
        <f>IF($A4533="","",$F4533&amp;"|"&amp;$U4533&amp;"|"&amp;$D4533)</f>
        <v/>
      </c>
      <c r="W4533">
        <f>IF($T4533="","",IF($X4533&gt;N($X4532),$X4533,""))</f>
        <v/>
      </c>
      <c r="X4533">
        <f>IF($T4533="",N($X4532),IF(MATCH($T4533,$T$6:$T$6005,0)=ROW()-5,N($X4532)+1,N($X4532)))</f>
        <v/>
      </c>
      <c r="Z4533">
        <f>IF($V4533="","",IF($AA4533&gt;N($AA4532),$AA4533,""))</f>
        <v/>
      </c>
      <c r="AA4533">
        <f>IF($V4533="",N($AA4532),IF(MATCH($V4533,$V$6:$V$6005,0)=ROW()-5,N($AA4532)+1,N($AA4532)))</f>
        <v/>
      </c>
    </row>
    <row r="4534" ht="21" customHeight="1" s="66">
      <c r="A4534" s="56" t="n"/>
      <c r="B4534" s="57" t="n"/>
      <c r="C4534" s="57" t="n"/>
      <c r="D4534" s="57" t="n"/>
      <c r="E4534" s="56" t="n"/>
      <c r="F4534" s="57" t="n"/>
      <c r="G4534" s="57" t="n"/>
      <c r="H4534" s="56" t="n"/>
      <c r="I4534" s="56" t="n"/>
      <c r="J4534" s="58" t="n"/>
      <c r="K4534" s="58" t="n"/>
      <c r="L4534" s="13">
        <f>IF(OR($A4534="",AND($J4534="",$K4534="")),"",ROUND(N($J4534)-N($K4534),2))</f>
        <v/>
      </c>
      <c r="M4534" s="13">
        <f>IF(OR($A4534="",AND($J4534="",$K4534="")),"",MIN($J4534,$K4534))</f>
        <v/>
      </c>
      <c r="Q4534">
        <f>IF($A4534="","",$D4534&amp;"("&amp;SUBSTITUTE($E4534," ","")&amp;")")</f>
        <v/>
      </c>
      <c r="R4534">
        <f>IF($A4534="","",$B4534&amp;" - "&amp;$C4534)</f>
        <v/>
      </c>
      <c r="S4534">
        <f>IF($A4534="","",$R4534&amp;"|"&amp;$Q4534)</f>
        <v/>
      </c>
      <c r="T4534">
        <f>IF($A4534="","",$S4534&amp;"|"&amp;$F4534)</f>
        <v/>
      </c>
      <c r="U4534">
        <f>IF($A4534="","",$R4534&amp;"("&amp;$E4534&amp;")")</f>
        <v/>
      </c>
      <c r="V4534">
        <f>IF($A4534="","",$F4534&amp;"|"&amp;$U4534&amp;"|"&amp;$D4534)</f>
        <v/>
      </c>
      <c r="W4534">
        <f>IF($T4534="","",IF($X4534&gt;N($X4533),$X4534,""))</f>
        <v/>
      </c>
      <c r="X4534">
        <f>IF($T4534="",N($X4533),IF(MATCH($T4534,$T$6:$T$6005,0)=ROW()-5,N($X4533)+1,N($X4533)))</f>
        <v/>
      </c>
      <c r="Z4534">
        <f>IF($V4534="","",IF($AA4534&gt;N($AA4533),$AA4534,""))</f>
        <v/>
      </c>
      <c r="AA4534">
        <f>IF($V4534="",N($AA4533),IF(MATCH($V4534,$V$6:$V$6005,0)=ROW()-5,N($AA4533)+1,N($AA4533)))</f>
        <v/>
      </c>
    </row>
    <row r="4535" ht="21" customHeight="1" s="66">
      <c r="A4535" s="56" t="n"/>
      <c r="B4535" s="57" t="n"/>
      <c r="C4535" s="57" t="n"/>
      <c r="D4535" s="57" t="n"/>
      <c r="E4535" s="56" t="n"/>
      <c r="F4535" s="57" t="n"/>
      <c r="G4535" s="57" t="n"/>
      <c r="H4535" s="56" t="n"/>
      <c r="I4535" s="56" t="n"/>
      <c r="J4535" s="58" t="n"/>
      <c r="K4535" s="58" t="n"/>
      <c r="L4535" s="13">
        <f>IF(OR($A4535="",AND($J4535="",$K4535="")),"",ROUND(N($J4535)-N($K4535),2))</f>
        <v/>
      </c>
      <c r="M4535" s="13">
        <f>IF(OR($A4535="",AND($J4535="",$K4535="")),"",MIN($J4535,$K4535))</f>
        <v/>
      </c>
      <c r="Q4535">
        <f>IF($A4535="","",$D4535&amp;"("&amp;SUBSTITUTE($E4535," ","")&amp;")")</f>
        <v/>
      </c>
      <c r="R4535">
        <f>IF($A4535="","",$B4535&amp;" - "&amp;$C4535)</f>
        <v/>
      </c>
      <c r="S4535">
        <f>IF($A4535="","",$R4535&amp;"|"&amp;$Q4535)</f>
        <v/>
      </c>
      <c r="T4535">
        <f>IF($A4535="","",$S4535&amp;"|"&amp;$F4535)</f>
        <v/>
      </c>
      <c r="U4535">
        <f>IF($A4535="","",$R4535&amp;"("&amp;$E4535&amp;")")</f>
        <v/>
      </c>
      <c r="V4535">
        <f>IF($A4535="","",$F4535&amp;"|"&amp;$U4535&amp;"|"&amp;$D4535)</f>
        <v/>
      </c>
      <c r="W4535">
        <f>IF($T4535="","",IF($X4535&gt;N($X4534),$X4535,""))</f>
        <v/>
      </c>
      <c r="X4535">
        <f>IF($T4535="",N($X4534),IF(MATCH($T4535,$T$6:$T$6005,0)=ROW()-5,N($X4534)+1,N($X4534)))</f>
        <v/>
      </c>
      <c r="Z4535">
        <f>IF($V4535="","",IF($AA4535&gt;N($AA4534),$AA4535,""))</f>
        <v/>
      </c>
      <c r="AA4535">
        <f>IF($V4535="",N($AA4534),IF(MATCH($V4535,$V$6:$V$6005,0)=ROW()-5,N($AA4534)+1,N($AA4534)))</f>
        <v/>
      </c>
    </row>
    <row r="4536" ht="21" customHeight="1" s="66">
      <c r="A4536" s="56" t="n"/>
      <c r="B4536" s="57" t="n"/>
      <c r="C4536" s="57" t="n"/>
      <c r="D4536" s="57" t="n"/>
      <c r="E4536" s="56" t="n"/>
      <c r="F4536" s="57" t="n"/>
      <c r="G4536" s="57" t="n"/>
      <c r="H4536" s="56" t="n"/>
      <c r="I4536" s="56" t="n"/>
      <c r="J4536" s="58" t="n"/>
      <c r="K4536" s="58" t="n"/>
      <c r="L4536" s="13">
        <f>IF(OR($A4536="",AND($J4536="",$K4536="")),"",ROUND(N($J4536)-N($K4536),2))</f>
        <v/>
      </c>
      <c r="M4536" s="13">
        <f>IF(OR($A4536="",AND($J4536="",$K4536="")),"",MIN($J4536,$K4536))</f>
        <v/>
      </c>
      <c r="Q4536">
        <f>IF($A4536="","",$D4536&amp;"("&amp;SUBSTITUTE($E4536," ","")&amp;")")</f>
        <v/>
      </c>
      <c r="R4536">
        <f>IF($A4536="","",$B4536&amp;" - "&amp;$C4536)</f>
        <v/>
      </c>
      <c r="S4536">
        <f>IF($A4536="","",$R4536&amp;"|"&amp;$Q4536)</f>
        <v/>
      </c>
      <c r="T4536">
        <f>IF($A4536="","",$S4536&amp;"|"&amp;$F4536)</f>
        <v/>
      </c>
      <c r="U4536">
        <f>IF($A4536="","",$R4536&amp;"("&amp;$E4536&amp;")")</f>
        <v/>
      </c>
      <c r="V4536">
        <f>IF($A4536="","",$F4536&amp;"|"&amp;$U4536&amp;"|"&amp;$D4536)</f>
        <v/>
      </c>
      <c r="W4536">
        <f>IF($T4536="","",IF($X4536&gt;N($X4535),$X4536,""))</f>
        <v/>
      </c>
      <c r="X4536">
        <f>IF($T4536="",N($X4535),IF(MATCH($T4536,$T$6:$T$6005,0)=ROW()-5,N($X4535)+1,N($X4535)))</f>
        <v/>
      </c>
      <c r="Z4536">
        <f>IF($V4536="","",IF($AA4536&gt;N($AA4535),$AA4536,""))</f>
        <v/>
      </c>
      <c r="AA4536">
        <f>IF($V4536="",N($AA4535),IF(MATCH($V4536,$V$6:$V$6005,0)=ROW()-5,N($AA4535)+1,N($AA4535)))</f>
        <v/>
      </c>
    </row>
    <row r="4537" ht="21" customHeight="1" s="66">
      <c r="A4537" s="56" t="n"/>
      <c r="B4537" s="57" t="n"/>
      <c r="C4537" s="57" t="n"/>
      <c r="D4537" s="57" t="n"/>
      <c r="E4537" s="56" t="n"/>
      <c r="F4537" s="57" t="n"/>
      <c r="G4537" s="57" t="n"/>
      <c r="H4537" s="56" t="n"/>
      <c r="I4537" s="56" t="n"/>
      <c r="J4537" s="58" t="n"/>
      <c r="K4537" s="58" t="n"/>
      <c r="L4537" s="13">
        <f>IF(OR($A4537="",AND($J4537="",$K4537="")),"",ROUND(N($J4537)-N($K4537),2))</f>
        <v/>
      </c>
      <c r="M4537" s="13">
        <f>IF(OR($A4537="",AND($J4537="",$K4537="")),"",MIN($J4537,$K4537))</f>
        <v/>
      </c>
      <c r="Q4537">
        <f>IF($A4537="","",$D4537&amp;"("&amp;SUBSTITUTE($E4537," ","")&amp;")")</f>
        <v/>
      </c>
      <c r="R4537">
        <f>IF($A4537="","",$B4537&amp;" - "&amp;$C4537)</f>
        <v/>
      </c>
      <c r="S4537">
        <f>IF($A4537="","",$R4537&amp;"|"&amp;$Q4537)</f>
        <v/>
      </c>
      <c r="T4537">
        <f>IF($A4537="","",$S4537&amp;"|"&amp;$F4537)</f>
        <v/>
      </c>
      <c r="U4537">
        <f>IF($A4537="","",$R4537&amp;"("&amp;$E4537&amp;")")</f>
        <v/>
      </c>
      <c r="V4537">
        <f>IF($A4537="","",$F4537&amp;"|"&amp;$U4537&amp;"|"&amp;$D4537)</f>
        <v/>
      </c>
      <c r="W4537">
        <f>IF($T4537="","",IF($X4537&gt;N($X4536),$X4537,""))</f>
        <v/>
      </c>
      <c r="X4537">
        <f>IF($T4537="",N($X4536),IF(MATCH($T4537,$T$6:$T$6005,0)=ROW()-5,N($X4536)+1,N($X4536)))</f>
        <v/>
      </c>
      <c r="Z4537">
        <f>IF($V4537="","",IF($AA4537&gt;N($AA4536),$AA4537,""))</f>
        <v/>
      </c>
      <c r="AA4537">
        <f>IF($V4537="",N($AA4536),IF(MATCH($V4537,$V$6:$V$6005,0)=ROW()-5,N($AA4536)+1,N($AA4536)))</f>
        <v/>
      </c>
    </row>
    <row r="4538" ht="21" customHeight="1" s="66">
      <c r="A4538" s="56" t="n"/>
      <c r="B4538" s="57" t="n"/>
      <c r="C4538" s="57" t="n"/>
      <c r="D4538" s="57" t="n"/>
      <c r="E4538" s="56" t="n"/>
      <c r="F4538" s="57" t="n"/>
      <c r="G4538" s="57" t="n"/>
      <c r="H4538" s="56" t="n"/>
      <c r="I4538" s="56" t="n"/>
      <c r="J4538" s="58" t="n"/>
      <c r="K4538" s="58" t="n"/>
      <c r="L4538" s="13">
        <f>IF(OR($A4538="",AND($J4538="",$K4538="")),"",ROUND(N($J4538)-N($K4538),2))</f>
        <v/>
      </c>
      <c r="M4538" s="13">
        <f>IF(OR($A4538="",AND($J4538="",$K4538="")),"",MIN($J4538,$K4538))</f>
        <v/>
      </c>
      <c r="Q4538">
        <f>IF($A4538="","",$D4538&amp;"("&amp;SUBSTITUTE($E4538," ","")&amp;")")</f>
        <v/>
      </c>
      <c r="R4538">
        <f>IF($A4538="","",$B4538&amp;" - "&amp;$C4538)</f>
        <v/>
      </c>
      <c r="S4538">
        <f>IF($A4538="","",$R4538&amp;"|"&amp;$Q4538)</f>
        <v/>
      </c>
      <c r="T4538">
        <f>IF($A4538="","",$S4538&amp;"|"&amp;$F4538)</f>
        <v/>
      </c>
      <c r="U4538">
        <f>IF($A4538="","",$R4538&amp;"("&amp;$E4538&amp;")")</f>
        <v/>
      </c>
      <c r="V4538">
        <f>IF($A4538="","",$F4538&amp;"|"&amp;$U4538&amp;"|"&amp;$D4538)</f>
        <v/>
      </c>
      <c r="W4538">
        <f>IF($T4538="","",IF($X4538&gt;N($X4537),$X4538,""))</f>
        <v/>
      </c>
      <c r="X4538">
        <f>IF($T4538="",N($X4537),IF(MATCH($T4538,$T$6:$T$6005,0)=ROW()-5,N($X4537)+1,N($X4537)))</f>
        <v/>
      </c>
      <c r="Z4538">
        <f>IF($V4538="","",IF($AA4538&gt;N($AA4537),$AA4538,""))</f>
        <v/>
      </c>
      <c r="AA4538">
        <f>IF($V4538="",N($AA4537),IF(MATCH($V4538,$V$6:$V$6005,0)=ROW()-5,N($AA4537)+1,N($AA4537)))</f>
        <v/>
      </c>
    </row>
    <row r="4539" ht="21" customHeight="1" s="66">
      <c r="A4539" s="56" t="n"/>
      <c r="B4539" s="57" t="n"/>
      <c r="C4539" s="57" t="n"/>
      <c r="D4539" s="57" t="n"/>
      <c r="E4539" s="56" t="n"/>
      <c r="F4539" s="57" t="n"/>
      <c r="G4539" s="57" t="n"/>
      <c r="H4539" s="56" t="n"/>
      <c r="I4539" s="56" t="n"/>
      <c r="J4539" s="58" t="n"/>
      <c r="K4539" s="58" t="n"/>
      <c r="L4539" s="13">
        <f>IF(OR($A4539="",AND($J4539="",$K4539="")),"",ROUND(N($J4539)-N($K4539),2))</f>
        <v/>
      </c>
      <c r="M4539" s="13">
        <f>IF(OR($A4539="",AND($J4539="",$K4539="")),"",MIN($J4539,$K4539))</f>
        <v/>
      </c>
      <c r="Q4539">
        <f>IF($A4539="","",$D4539&amp;"("&amp;SUBSTITUTE($E4539," ","")&amp;")")</f>
        <v/>
      </c>
      <c r="R4539">
        <f>IF($A4539="","",$B4539&amp;" - "&amp;$C4539)</f>
        <v/>
      </c>
      <c r="S4539">
        <f>IF($A4539="","",$R4539&amp;"|"&amp;$Q4539)</f>
        <v/>
      </c>
      <c r="T4539">
        <f>IF($A4539="","",$S4539&amp;"|"&amp;$F4539)</f>
        <v/>
      </c>
      <c r="U4539">
        <f>IF($A4539="","",$R4539&amp;"("&amp;$E4539&amp;")")</f>
        <v/>
      </c>
      <c r="V4539">
        <f>IF($A4539="","",$F4539&amp;"|"&amp;$U4539&amp;"|"&amp;$D4539)</f>
        <v/>
      </c>
      <c r="W4539">
        <f>IF($T4539="","",IF($X4539&gt;N($X4538),$X4539,""))</f>
        <v/>
      </c>
      <c r="X4539">
        <f>IF($T4539="",N($X4538),IF(MATCH($T4539,$T$6:$T$6005,0)=ROW()-5,N($X4538)+1,N($X4538)))</f>
        <v/>
      </c>
      <c r="Z4539">
        <f>IF($V4539="","",IF($AA4539&gt;N($AA4538),$AA4539,""))</f>
        <v/>
      </c>
      <c r="AA4539">
        <f>IF($V4539="",N($AA4538),IF(MATCH($V4539,$V$6:$V$6005,0)=ROW()-5,N($AA4538)+1,N($AA4538)))</f>
        <v/>
      </c>
    </row>
    <row r="4540" ht="21" customHeight="1" s="66">
      <c r="A4540" s="56" t="n"/>
      <c r="B4540" s="57" t="n"/>
      <c r="C4540" s="57" t="n"/>
      <c r="D4540" s="57" t="n"/>
      <c r="E4540" s="56" t="n"/>
      <c r="F4540" s="57" t="n"/>
      <c r="G4540" s="57" t="n"/>
      <c r="H4540" s="56" t="n"/>
      <c r="I4540" s="56" t="n"/>
      <c r="J4540" s="58" t="n"/>
      <c r="K4540" s="58" t="n"/>
      <c r="L4540" s="13">
        <f>IF(OR($A4540="",AND($J4540="",$K4540="")),"",ROUND(N($J4540)-N($K4540),2))</f>
        <v/>
      </c>
      <c r="M4540" s="13">
        <f>IF(OR($A4540="",AND($J4540="",$K4540="")),"",MIN($J4540,$K4540))</f>
        <v/>
      </c>
      <c r="Q4540">
        <f>IF($A4540="","",$D4540&amp;"("&amp;SUBSTITUTE($E4540," ","")&amp;")")</f>
        <v/>
      </c>
      <c r="R4540">
        <f>IF($A4540="","",$B4540&amp;" - "&amp;$C4540)</f>
        <v/>
      </c>
      <c r="S4540">
        <f>IF($A4540="","",$R4540&amp;"|"&amp;$Q4540)</f>
        <v/>
      </c>
      <c r="T4540">
        <f>IF($A4540="","",$S4540&amp;"|"&amp;$F4540)</f>
        <v/>
      </c>
      <c r="U4540">
        <f>IF($A4540="","",$R4540&amp;"("&amp;$E4540&amp;")")</f>
        <v/>
      </c>
      <c r="V4540">
        <f>IF($A4540="","",$F4540&amp;"|"&amp;$U4540&amp;"|"&amp;$D4540)</f>
        <v/>
      </c>
      <c r="W4540">
        <f>IF($T4540="","",IF($X4540&gt;N($X4539),$X4540,""))</f>
        <v/>
      </c>
      <c r="X4540">
        <f>IF($T4540="",N($X4539),IF(MATCH($T4540,$T$6:$T$6005,0)=ROW()-5,N($X4539)+1,N($X4539)))</f>
        <v/>
      </c>
      <c r="Z4540">
        <f>IF($V4540="","",IF($AA4540&gt;N($AA4539),$AA4540,""))</f>
        <v/>
      </c>
      <c r="AA4540">
        <f>IF($V4540="",N($AA4539),IF(MATCH($V4540,$V$6:$V$6005,0)=ROW()-5,N($AA4539)+1,N($AA4539)))</f>
        <v/>
      </c>
    </row>
    <row r="4541" ht="21" customHeight="1" s="66">
      <c r="A4541" s="56" t="n"/>
      <c r="B4541" s="57" t="n"/>
      <c r="C4541" s="57" t="n"/>
      <c r="D4541" s="57" t="n"/>
      <c r="E4541" s="56" t="n"/>
      <c r="F4541" s="57" t="n"/>
      <c r="G4541" s="57" t="n"/>
      <c r="H4541" s="56" t="n"/>
      <c r="I4541" s="56" t="n"/>
      <c r="J4541" s="58" t="n"/>
      <c r="K4541" s="58" t="n"/>
      <c r="L4541" s="13">
        <f>IF(OR($A4541="",AND($J4541="",$K4541="")),"",ROUND(N($J4541)-N($K4541),2))</f>
        <v/>
      </c>
      <c r="M4541" s="13">
        <f>IF(OR($A4541="",AND($J4541="",$K4541="")),"",MIN($J4541,$K4541))</f>
        <v/>
      </c>
      <c r="Q4541">
        <f>IF($A4541="","",$D4541&amp;"("&amp;SUBSTITUTE($E4541," ","")&amp;")")</f>
        <v/>
      </c>
      <c r="R4541">
        <f>IF($A4541="","",$B4541&amp;" - "&amp;$C4541)</f>
        <v/>
      </c>
      <c r="S4541">
        <f>IF($A4541="","",$R4541&amp;"|"&amp;$Q4541)</f>
        <v/>
      </c>
      <c r="T4541">
        <f>IF($A4541="","",$S4541&amp;"|"&amp;$F4541)</f>
        <v/>
      </c>
      <c r="U4541">
        <f>IF($A4541="","",$R4541&amp;"("&amp;$E4541&amp;")")</f>
        <v/>
      </c>
      <c r="V4541">
        <f>IF($A4541="","",$F4541&amp;"|"&amp;$U4541&amp;"|"&amp;$D4541)</f>
        <v/>
      </c>
      <c r="W4541">
        <f>IF($T4541="","",IF($X4541&gt;N($X4540),$X4541,""))</f>
        <v/>
      </c>
      <c r="X4541">
        <f>IF($T4541="",N($X4540),IF(MATCH($T4541,$T$6:$T$6005,0)=ROW()-5,N($X4540)+1,N($X4540)))</f>
        <v/>
      </c>
      <c r="Z4541">
        <f>IF($V4541="","",IF($AA4541&gt;N($AA4540),$AA4541,""))</f>
        <v/>
      </c>
      <c r="AA4541">
        <f>IF($V4541="",N($AA4540),IF(MATCH($V4541,$V$6:$V$6005,0)=ROW()-5,N($AA4540)+1,N($AA4540)))</f>
        <v/>
      </c>
    </row>
    <row r="4542" ht="21" customHeight="1" s="66">
      <c r="A4542" s="56" t="n"/>
      <c r="B4542" s="57" t="n"/>
      <c r="C4542" s="57" t="n"/>
      <c r="D4542" s="57" t="n"/>
      <c r="E4542" s="56" t="n"/>
      <c r="F4542" s="57" t="n"/>
      <c r="G4542" s="57" t="n"/>
      <c r="H4542" s="56" t="n"/>
      <c r="I4542" s="56" t="n"/>
      <c r="J4542" s="58" t="n"/>
      <c r="K4542" s="58" t="n"/>
      <c r="L4542" s="13">
        <f>IF(OR($A4542="",AND($J4542="",$K4542="")),"",ROUND(N($J4542)-N($K4542),2))</f>
        <v/>
      </c>
      <c r="M4542" s="13">
        <f>IF(OR($A4542="",AND($J4542="",$K4542="")),"",MIN($J4542,$K4542))</f>
        <v/>
      </c>
      <c r="Q4542">
        <f>IF($A4542="","",$D4542&amp;"("&amp;SUBSTITUTE($E4542," ","")&amp;")")</f>
        <v/>
      </c>
      <c r="R4542">
        <f>IF($A4542="","",$B4542&amp;" - "&amp;$C4542)</f>
        <v/>
      </c>
      <c r="S4542">
        <f>IF($A4542="","",$R4542&amp;"|"&amp;$Q4542)</f>
        <v/>
      </c>
      <c r="T4542">
        <f>IF($A4542="","",$S4542&amp;"|"&amp;$F4542)</f>
        <v/>
      </c>
      <c r="U4542">
        <f>IF($A4542="","",$R4542&amp;"("&amp;$E4542&amp;")")</f>
        <v/>
      </c>
      <c r="V4542">
        <f>IF($A4542="","",$F4542&amp;"|"&amp;$U4542&amp;"|"&amp;$D4542)</f>
        <v/>
      </c>
      <c r="W4542">
        <f>IF($T4542="","",IF($X4542&gt;N($X4541),$X4542,""))</f>
        <v/>
      </c>
      <c r="X4542">
        <f>IF($T4542="",N($X4541),IF(MATCH($T4542,$T$6:$T$6005,0)=ROW()-5,N($X4541)+1,N($X4541)))</f>
        <v/>
      </c>
      <c r="Z4542">
        <f>IF($V4542="","",IF($AA4542&gt;N($AA4541),$AA4542,""))</f>
        <v/>
      </c>
      <c r="AA4542">
        <f>IF($V4542="",N($AA4541),IF(MATCH($V4542,$V$6:$V$6005,0)=ROW()-5,N($AA4541)+1,N($AA4541)))</f>
        <v/>
      </c>
    </row>
    <row r="4543" ht="21" customHeight="1" s="66">
      <c r="A4543" s="56" t="n"/>
      <c r="B4543" s="57" t="n"/>
      <c r="C4543" s="57" t="n"/>
      <c r="D4543" s="57" t="n"/>
      <c r="E4543" s="56" t="n"/>
      <c r="F4543" s="57" t="n"/>
      <c r="G4543" s="57" t="n"/>
      <c r="H4543" s="56" t="n"/>
      <c r="I4543" s="56" t="n"/>
      <c r="J4543" s="58" t="n"/>
      <c r="K4543" s="58" t="n"/>
      <c r="L4543" s="13">
        <f>IF(OR($A4543="",AND($J4543="",$K4543="")),"",ROUND(N($J4543)-N($K4543),2))</f>
        <v/>
      </c>
      <c r="M4543" s="13">
        <f>IF(OR($A4543="",AND($J4543="",$K4543="")),"",MIN($J4543,$K4543))</f>
        <v/>
      </c>
      <c r="Q4543">
        <f>IF($A4543="","",$D4543&amp;"("&amp;SUBSTITUTE($E4543," ","")&amp;")")</f>
        <v/>
      </c>
      <c r="R4543">
        <f>IF($A4543="","",$B4543&amp;" - "&amp;$C4543)</f>
        <v/>
      </c>
      <c r="S4543">
        <f>IF($A4543="","",$R4543&amp;"|"&amp;$Q4543)</f>
        <v/>
      </c>
      <c r="T4543">
        <f>IF($A4543="","",$S4543&amp;"|"&amp;$F4543)</f>
        <v/>
      </c>
      <c r="U4543">
        <f>IF($A4543="","",$R4543&amp;"("&amp;$E4543&amp;")")</f>
        <v/>
      </c>
      <c r="V4543">
        <f>IF($A4543="","",$F4543&amp;"|"&amp;$U4543&amp;"|"&amp;$D4543)</f>
        <v/>
      </c>
      <c r="W4543">
        <f>IF($T4543="","",IF($X4543&gt;N($X4542),$X4543,""))</f>
        <v/>
      </c>
      <c r="X4543">
        <f>IF($T4543="",N($X4542),IF(MATCH($T4543,$T$6:$T$6005,0)=ROW()-5,N($X4542)+1,N($X4542)))</f>
        <v/>
      </c>
      <c r="Z4543">
        <f>IF($V4543="","",IF($AA4543&gt;N($AA4542),$AA4543,""))</f>
        <v/>
      </c>
      <c r="AA4543">
        <f>IF($V4543="",N($AA4542),IF(MATCH($V4543,$V$6:$V$6005,0)=ROW()-5,N($AA4542)+1,N($AA4542)))</f>
        <v/>
      </c>
    </row>
    <row r="4544" ht="21" customHeight="1" s="66">
      <c r="A4544" s="56" t="n"/>
      <c r="B4544" s="57" t="n"/>
      <c r="C4544" s="57" t="n"/>
      <c r="D4544" s="57" t="n"/>
      <c r="E4544" s="56" t="n"/>
      <c r="F4544" s="57" t="n"/>
      <c r="G4544" s="57" t="n"/>
      <c r="H4544" s="56" t="n"/>
      <c r="I4544" s="56" t="n"/>
      <c r="J4544" s="58" t="n"/>
      <c r="K4544" s="58" t="n"/>
      <c r="L4544" s="13">
        <f>IF(OR($A4544="",AND($J4544="",$K4544="")),"",ROUND(N($J4544)-N($K4544),2))</f>
        <v/>
      </c>
      <c r="M4544" s="13">
        <f>IF(OR($A4544="",AND($J4544="",$K4544="")),"",MIN($J4544,$K4544))</f>
        <v/>
      </c>
      <c r="Q4544">
        <f>IF($A4544="","",$D4544&amp;"("&amp;SUBSTITUTE($E4544," ","")&amp;")")</f>
        <v/>
      </c>
      <c r="R4544">
        <f>IF($A4544="","",$B4544&amp;" - "&amp;$C4544)</f>
        <v/>
      </c>
      <c r="S4544">
        <f>IF($A4544="","",$R4544&amp;"|"&amp;$Q4544)</f>
        <v/>
      </c>
      <c r="T4544">
        <f>IF($A4544="","",$S4544&amp;"|"&amp;$F4544)</f>
        <v/>
      </c>
      <c r="U4544">
        <f>IF($A4544="","",$R4544&amp;"("&amp;$E4544&amp;")")</f>
        <v/>
      </c>
      <c r="V4544">
        <f>IF($A4544="","",$F4544&amp;"|"&amp;$U4544&amp;"|"&amp;$D4544)</f>
        <v/>
      </c>
      <c r="W4544">
        <f>IF($T4544="","",IF($X4544&gt;N($X4543),$X4544,""))</f>
        <v/>
      </c>
      <c r="X4544">
        <f>IF($T4544="",N($X4543),IF(MATCH($T4544,$T$6:$T$6005,0)=ROW()-5,N($X4543)+1,N($X4543)))</f>
        <v/>
      </c>
      <c r="Z4544">
        <f>IF($V4544="","",IF($AA4544&gt;N($AA4543),$AA4544,""))</f>
        <v/>
      </c>
      <c r="AA4544">
        <f>IF($V4544="",N($AA4543),IF(MATCH($V4544,$V$6:$V$6005,0)=ROW()-5,N($AA4543)+1,N($AA4543)))</f>
        <v/>
      </c>
    </row>
    <row r="4545" ht="21" customHeight="1" s="66">
      <c r="A4545" s="56" t="n"/>
      <c r="B4545" s="57" t="n"/>
      <c r="C4545" s="57" t="n"/>
      <c r="D4545" s="57" t="n"/>
      <c r="E4545" s="56" t="n"/>
      <c r="F4545" s="57" t="n"/>
      <c r="G4545" s="57" t="n"/>
      <c r="H4545" s="56" t="n"/>
      <c r="I4545" s="56" t="n"/>
      <c r="J4545" s="58" t="n"/>
      <c r="K4545" s="58" t="n"/>
      <c r="L4545" s="13">
        <f>IF(OR($A4545="",AND($J4545="",$K4545="")),"",ROUND(N($J4545)-N($K4545),2))</f>
        <v/>
      </c>
      <c r="M4545" s="13">
        <f>IF(OR($A4545="",AND($J4545="",$K4545="")),"",MIN($J4545,$K4545))</f>
        <v/>
      </c>
      <c r="Q4545">
        <f>IF($A4545="","",$D4545&amp;"("&amp;SUBSTITUTE($E4545," ","")&amp;")")</f>
        <v/>
      </c>
      <c r="R4545">
        <f>IF($A4545="","",$B4545&amp;" - "&amp;$C4545)</f>
        <v/>
      </c>
      <c r="S4545">
        <f>IF($A4545="","",$R4545&amp;"|"&amp;$Q4545)</f>
        <v/>
      </c>
      <c r="T4545">
        <f>IF($A4545="","",$S4545&amp;"|"&amp;$F4545)</f>
        <v/>
      </c>
      <c r="U4545">
        <f>IF($A4545="","",$R4545&amp;"("&amp;$E4545&amp;")")</f>
        <v/>
      </c>
      <c r="V4545">
        <f>IF($A4545="","",$F4545&amp;"|"&amp;$U4545&amp;"|"&amp;$D4545)</f>
        <v/>
      </c>
      <c r="W4545">
        <f>IF($T4545="","",IF($X4545&gt;N($X4544),$X4545,""))</f>
        <v/>
      </c>
      <c r="X4545">
        <f>IF($T4545="",N($X4544),IF(MATCH($T4545,$T$6:$T$6005,0)=ROW()-5,N($X4544)+1,N($X4544)))</f>
        <v/>
      </c>
      <c r="Z4545">
        <f>IF($V4545="","",IF($AA4545&gt;N($AA4544),$AA4545,""))</f>
        <v/>
      </c>
      <c r="AA4545">
        <f>IF($V4545="",N($AA4544),IF(MATCH($V4545,$V$6:$V$6005,0)=ROW()-5,N($AA4544)+1,N($AA4544)))</f>
        <v/>
      </c>
    </row>
    <row r="4546" ht="21" customHeight="1" s="66">
      <c r="A4546" s="56" t="n"/>
      <c r="B4546" s="57" t="n"/>
      <c r="C4546" s="57" t="n"/>
      <c r="D4546" s="57" t="n"/>
      <c r="E4546" s="56" t="n"/>
      <c r="F4546" s="57" t="n"/>
      <c r="G4546" s="57" t="n"/>
      <c r="H4546" s="56" t="n"/>
      <c r="I4546" s="56" t="n"/>
      <c r="J4546" s="58" t="n"/>
      <c r="K4546" s="58" t="n"/>
      <c r="L4546" s="13">
        <f>IF(OR($A4546="",AND($J4546="",$K4546="")),"",ROUND(N($J4546)-N($K4546),2))</f>
        <v/>
      </c>
      <c r="M4546" s="13">
        <f>IF(OR($A4546="",AND($J4546="",$K4546="")),"",MIN($J4546,$K4546))</f>
        <v/>
      </c>
      <c r="Q4546">
        <f>IF($A4546="","",$D4546&amp;"("&amp;SUBSTITUTE($E4546," ","")&amp;")")</f>
        <v/>
      </c>
      <c r="R4546">
        <f>IF($A4546="","",$B4546&amp;" - "&amp;$C4546)</f>
        <v/>
      </c>
      <c r="S4546">
        <f>IF($A4546="","",$R4546&amp;"|"&amp;$Q4546)</f>
        <v/>
      </c>
      <c r="T4546">
        <f>IF($A4546="","",$S4546&amp;"|"&amp;$F4546)</f>
        <v/>
      </c>
      <c r="U4546">
        <f>IF($A4546="","",$R4546&amp;"("&amp;$E4546&amp;")")</f>
        <v/>
      </c>
      <c r="V4546">
        <f>IF($A4546="","",$F4546&amp;"|"&amp;$U4546&amp;"|"&amp;$D4546)</f>
        <v/>
      </c>
      <c r="W4546">
        <f>IF($T4546="","",IF($X4546&gt;N($X4545),$X4546,""))</f>
        <v/>
      </c>
      <c r="X4546">
        <f>IF($T4546="",N($X4545),IF(MATCH($T4546,$T$6:$T$6005,0)=ROW()-5,N($X4545)+1,N($X4545)))</f>
        <v/>
      </c>
      <c r="Z4546">
        <f>IF($V4546="","",IF($AA4546&gt;N($AA4545),$AA4546,""))</f>
        <v/>
      </c>
      <c r="AA4546">
        <f>IF($V4546="",N($AA4545),IF(MATCH($V4546,$V$6:$V$6005,0)=ROW()-5,N($AA4545)+1,N($AA4545)))</f>
        <v/>
      </c>
    </row>
    <row r="4547" ht="21" customHeight="1" s="66">
      <c r="A4547" s="56" t="n"/>
      <c r="B4547" s="57" t="n"/>
      <c r="C4547" s="57" t="n"/>
      <c r="D4547" s="57" t="n"/>
      <c r="E4547" s="56" t="n"/>
      <c r="F4547" s="57" t="n"/>
      <c r="G4547" s="57" t="n"/>
      <c r="H4547" s="56" t="n"/>
      <c r="I4547" s="56" t="n"/>
      <c r="J4547" s="58" t="n"/>
      <c r="K4547" s="58" t="n"/>
      <c r="L4547" s="13">
        <f>IF(OR($A4547="",AND($J4547="",$K4547="")),"",ROUND(N($J4547)-N($K4547),2))</f>
        <v/>
      </c>
      <c r="M4547" s="13">
        <f>IF(OR($A4547="",AND($J4547="",$K4547="")),"",MIN($J4547,$K4547))</f>
        <v/>
      </c>
      <c r="Q4547">
        <f>IF($A4547="","",$D4547&amp;"("&amp;SUBSTITUTE($E4547," ","")&amp;")")</f>
        <v/>
      </c>
      <c r="R4547">
        <f>IF($A4547="","",$B4547&amp;" - "&amp;$C4547)</f>
        <v/>
      </c>
      <c r="S4547">
        <f>IF($A4547="","",$R4547&amp;"|"&amp;$Q4547)</f>
        <v/>
      </c>
      <c r="T4547">
        <f>IF($A4547="","",$S4547&amp;"|"&amp;$F4547)</f>
        <v/>
      </c>
      <c r="U4547">
        <f>IF($A4547="","",$R4547&amp;"("&amp;$E4547&amp;")")</f>
        <v/>
      </c>
      <c r="V4547">
        <f>IF($A4547="","",$F4547&amp;"|"&amp;$U4547&amp;"|"&amp;$D4547)</f>
        <v/>
      </c>
      <c r="W4547">
        <f>IF($T4547="","",IF($X4547&gt;N($X4546),$X4547,""))</f>
        <v/>
      </c>
      <c r="X4547">
        <f>IF($T4547="",N($X4546),IF(MATCH($T4547,$T$6:$T$6005,0)=ROW()-5,N($X4546)+1,N($X4546)))</f>
        <v/>
      </c>
      <c r="Z4547">
        <f>IF($V4547="","",IF($AA4547&gt;N($AA4546),$AA4547,""))</f>
        <v/>
      </c>
      <c r="AA4547">
        <f>IF($V4547="",N($AA4546),IF(MATCH($V4547,$V$6:$V$6005,0)=ROW()-5,N($AA4546)+1,N($AA4546)))</f>
        <v/>
      </c>
    </row>
    <row r="4548" ht="21" customHeight="1" s="66">
      <c r="A4548" s="56" t="n"/>
      <c r="B4548" s="57" t="n"/>
      <c r="C4548" s="57" t="n"/>
      <c r="D4548" s="57" t="n"/>
      <c r="E4548" s="56" t="n"/>
      <c r="F4548" s="57" t="n"/>
      <c r="G4548" s="57" t="n"/>
      <c r="H4548" s="56" t="n"/>
      <c r="I4548" s="56" t="n"/>
      <c r="J4548" s="58" t="n"/>
      <c r="K4548" s="58" t="n"/>
      <c r="L4548" s="13">
        <f>IF(OR($A4548="",AND($J4548="",$K4548="")),"",ROUND(N($J4548)-N($K4548),2))</f>
        <v/>
      </c>
      <c r="M4548" s="13">
        <f>IF(OR($A4548="",AND($J4548="",$K4548="")),"",MIN($J4548,$K4548))</f>
        <v/>
      </c>
      <c r="Q4548">
        <f>IF($A4548="","",$D4548&amp;"("&amp;SUBSTITUTE($E4548," ","")&amp;")")</f>
        <v/>
      </c>
      <c r="R4548">
        <f>IF($A4548="","",$B4548&amp;" - "&amp;$C4548)</f>
        <v/>
      </c>
      <c r="S4548">
        <f>IF($A4548="","",$R4548&amp;"|"&amp;$Q4548)</f>
        <v/>
      </c>
      <c r="T4548">
        <f>IF($A4548="","",$S4548&amp;"|"&amp;$F4548)</f>
        <v/>
      </c>
      <c r="U4548">
        <f>IF($A4548="","",$R4548&amp;"("&amp;$E4548&amp;")")</f>
        <v/>
      </c>
      <c r="V4548">
        <f>IF($A4548="","",$F4548&amp;"|"&amp;$U4548&amp;"|"&amp;$D4548)</f>
        <v/>
      </c>
      <c r="W4548">
        <f>IF($T4548="","",IF($X4548&gt;N($X4547),$X4548,""))</f>
        <v/>
      </c>
      <c r="X4548">
        <f>IF($T4548="",N($X4547),IF(MATCH($T4548,$T$6:$T$6005,0)=ROW()-5,N($X4547)+1,N($X4547)))</f>
        <v/>
      </c>
      <c r="Z4548">
        <f>IF($V4548="","",IF($AA4548&gt;N($AA4547),$AA4548,""))</f>
        <v/>
      </c>
      <c r="AA4548">
        <f>IF($V4548="",N($AA4547),IF(MATCH($V4548,$V$6:$V$6005,0)=ROW()-5,N($AA4547)+1,N($AA4547)))</f>
        <v/>
      </c>
    </row>
    <row r="4549" ht="21" customHeight="1" s="66">
      <c r="A4549" s="56" t="n"/>
      <c r="B4549" s="57" t="n"/>
      <c r="C4549" s="57" t="n"/>
      <c r="D4549" s="57" t="n"/>
      <c r="E4549" s="56" t="n"/>
      <c r="F4549" s="57" t="n"/>
      <c r="G4549" s="57" t="n"/>
      <c r="H4549" s="56" t="n"/>
      <c r="I4549" s="56" t="n"/>
      <c r="J4549" s="58" t="n"/>
      <c r="K4549" s="58" t="n"/>
      <c r="L4549" s="13">
        <f>IF(OR($A4549="",AND($J4549="",$K4549="")),"",ROUND(N($J4549)-N($K4549),2))</f>
        <v/>
      </c>
      <c r="M4549" s="13">
        <f>IF(OR($A4549="",AND($J4549="",$K4549="")),"",MIN($J4549,$K4549))</f>
        <v/>
      </c>
      <c r="Q4549">
        <f>IF($A4549="","",$D4549&amp;"("&amp;SUBSTITUTE($E4549," ","")&amp;")")</f>
        <v/>
      </c>
      <c r="R4549">
        <f>IF($A4549="","",$B4549&amp;" - "&amp;$C4549)</f>
        <v/>
      </c>
      <c r="S4549">
        <f>IF($A4549="","",$R4549&amp;"|"&amp;$Q4549)</f>
        <v/>
      </c>
      <c r="T4549">
        <f>IF($A4549="","",$S4549&amp;"|"&amp;$F4549)</f>
        <v/>
      </c>
      <c r="U4549">
        <f>IF($A4549="","",$R4549&amp;"("&amp;$E4549&amp;")")</f>
        <v/>
      </c>
      <c r="V4549">
        <f>IF($A4549="","",$F4549&amp;"|"&amp;$U4549&amp;"|"&amp;$D4549)</f>
        <v/>
      </c>
      <c r="W4549">
        <f>IF($T4549="","",IF($X4549&gt;N($X4548),$X4549,""))</f>
        <v/>
      </c>
      <c r="X4549">
        <f>IF($T4549="",N($X4548),IF(MATCH($T4549,$T$6:$T$6005,0)=ROW()-5,N($X4548)+1,N($X4548)))</f>
        <v/>
      </c>
      <c r="Z4549">
        <f>IF($V4549="","",IF($AA4549&gt;N($AA4548),$AA4549,""))</f>
        <v/>
      </c>
      <c r="AA4549">
        <f>IF($V4549="",N($AA4548),IF(MATCH($V4549,$V$6:$V$6005,0)=ROW()-5,N($AA4548)+1,N($AA4548)))</f>
        <v/>
      </c>
    </row>
    <row r="4550" ht="21" customHeight="1" s="66">
      <c r="A4550" s="56" t="n"/>
      <c r="B4550" s="57" t="n"/>
      <c r="C4550" s="57" t="n"/>
      <c r="D4550" s="57" t="n"/>
      <c r="E4550" s="56" t="n"/>
      <c r="F4550" s="57" t="n"/>
      <c r="G4550" s="57" t="n"/>
      <c r="H4550" s="56" t="n"/>
      <c r="I4550" s="56" t="n"/>
      <c r="J4550" s="58" t="n"/>
      <c r="K4550" s="58" t="n"/>
      <c r="L4550" s="13">
        <f>IF(OR($A4550="",AND($J4550="",$K4550="")),"",ROUND(N($J4550)-N($K4550),2))</f>
        <v/>
      </c>
      <c r="M4550" s="13">
        <f>IF(OR($A4550="",AND($J4550="",$K4550="")),"",MIN($J4550,$K4550))</f>
        <v/>
      </c>
      <c r="Q4550">
        <f>IF($A4550="","",$D4550&amp;"("&amp;SUBSTITUTE($E4550," ","")&amp;")")</f>
        <v/>
      </c>
      <c r="R4550">
        <f>IF($A4550="","",$B4550&amp;" - "&amp;$C4550)</f>
        <v/>
      </c>
      <c r="S4550">
        <f>IF($A4550="","",$R4550&amp;"|"&amp;$Q4550)</f>
        <v/>
      </c>
      <c r="T4550">
        <f>IF($A4550="","",$S4550&amp;"|"&amp;$F4550)</f>
        <v/>
      </c>
      <c r="U4550">
        <f>IF($A4550="","",$R4550&amp;"("&amp;$E4550&amp;")")</f>
        <v/>
      </c>
      <c r="V4550">
        <f>IF($A4550="","",$F4550&amp;"|"&amp;$U4550&amp;"|"&amp;$D4550)</f>
        <v/>
      </c>
      <c r="W4550">
        <f>IF($T4550="","",IF($X4550&gt;N($X4549),$X4550,""))</f>
        <v/>
      </c>
      <c r="X4550">
        <f>IF($T4550="",N($X4549),IF(MATCH($T4550,$T$6:$T$6005,0)=ROW()-5,N($X4549)+1,N($X4549)))</f>
        <v/>
      </c>
      <c r="Z4550">
        <f>IF($V4550="","",IF($AA4550&gt;N($AA4549),$AA4550,""))</f>
        <v/>
      </c>
      <c r="AA4550">
        <f>IF($V4550="",N($AA4549),IF(MATCH($V4550,$V$6:$V$6005,0)=ROW()-5,N($AA4549)+1,N($AA4549)))</f>
        <v/>
      </c>
    </row>
    <row r="4551" ht="21" customHeight="1" s="66">
      <c r="A4551" s="56" t="n"/>
      <c r="B4551" s="57" t="n"/>
      <c r="C4551" s="57" t="n"/>
      <c r="D4551" s="57" t="n"/>
      <c r="E4551" s="56" t="n"/>
      <c r="F4551" s="57" t="n"/>
      <c r="G4551" s="57" t="n"/>
      <c r="H4551" s="56" t="n"/>
      <c r="I4551" s="56" t="n"/>
      <c r="J4551" s="58" t="n"/>
      <c r="K4551" s="58" t="n"/>
      <c r="L4551" s="13">
        <f>IF(OR($A4551="",AND($J4551="",$K4551="")),"",ROUND(N($J4551)-N($K4551),2))</f>
        <v/>
      </c>
      <c r="M4551" s="13">
        <f>IF(OR($A4551="",AND($J4551="",$K4551="")),"",MIN($J4551,$K4551))</f>
        <v/>
      </c>
      <c r="Q4551">
        <f>IF($A4551="","",$D4551&amp;"("&amp;SUBSTITUTE($E4551," ","")&amp;")")</f>
        <v/>
      </c>
      <c r="R4551">
        <f>IF($A4551="","",$B4551&amp;" - "&amp;$C4551)</f>
        <v/>
      </c>
      <c r="S4551">
        <f>IF($A4551="","",$R4551&amp;"|"&amp;$Q4551)</f>
        <v/>
      </c>
      <c r="T4551">
        <f>IF($A4551="","",$S4551&amp;"|"&amp;$F4551)</f>
        <v/>
      </c>
      <c r="U4551">
        <f>IF($A4551="","",$R4551&amp;"("&amp;$E4551&amp;")")</f>
        <v/>
      </c>
      <c r="V4551">
        <f>IF($A4551="","",$F4551&amp;"|"&amp;$U4551&amp;"|"&amp;$D4551)</f>
        <v/>
      </c>
      <c r="W4551">
        <f>IF($T4551="","",IF($X4551&gt;N($X4550),$X4551,""))</f>
        <v/>
      </c>
      <c r="X4551">
        <f>IF($T4551="",N($X4550),IF(MATCH($T4551,$T$6:$T$6005,0)=ROW()-5,N($X4550)+1,N($X4550)))</f>
        <v/>
      </c>
      <c r="Z4551">
        <f>IF($V4551="","",IF($AA4551&gt;N($AA4550),$AA4551,""))</f>
        <v/>
      </c>
      <c r="AA4551">
        <f>IF($V4551="",N($AA4550),IF(MATCH($V4551,$V$6:$V$6005,0)=ROW()-5,N($AA4550)+1,N($AA4550)))</f>
        <v/>
      </c>
    </row>
    <row r="4552" ht="21" customHeight="1" s="66">
      <c r="A4552" s="56" t="n"/>
      <c r="B4552" s="57" t="n"/>
      <c r="C4552" s="57" t="n"/>
      <c r="D4552" s="57" t="n"/>
      <c r="E4552" s="56" t="n"/>
      <c r="F4552" s="57" t="n"/>
      <c r="G4552" s="57" t="n"/>
      <c r="H4552" s="56" t="n"/>
      <c r="I4552" s="56" t="n"/>
      <c r="J4552" s="58" t="n"/>
      <c r="K4552" s="58" t="n"/>
      <c r="L4552" s="13">
        <f>IF(OR($A4552="",AND($J4552="",$K4552="")),"",ROUND(N($J4552)-N($K4552),2))</f>
        <v/>
      </c>
      <c r="M4552" s="13">
        <f>IF(OR($A4552="",AND($J4552="",$K4552="")),"",MIN($J4552,$K4552))</f>
        <v/>
      </c>
      <c r="Q4552">
        <f>IF($A4552="","",$D4552&amp;"("&amp;SUBSTITUTE($E4552," ","")&amp;")")</f>
        <v/>
      </c>
      <c r="R4552">
        <f>IF($A4552="","",$B4552&amp;" - "&amp;$C4552)</f>
        <v/>
      </c>
      <c r="S4552">
        <f>IF($A4552="","",$R4552&amp;"|"&amp;$Q4552)</f>
        <v/>
      </c>
      <c r="T4552">
        <f>IF($A4552="","",$S4552&amp;"|"&amp;$F4552)</f>
        <v/>
      </c>
      <c r="U4552">
        <f>IF($A4552="","",$R4552&amp;"("&amp;$E4552&amp;")")</f>
        <v/>
      </c>
      <c r="V4552">
        <f>IF($A4552="","",$F4552&amp;"|"&amp;$U4552&amp;"|"&amp;$D4552)</f>
        <v/>
      </c>
      <c r="W4552">
        <f>IF($T4552="","",IF($X4552&gt;N($X4551),$X4552,""))</f>
        <v/>
      </c>
      <c r="X4552">
        <f>IF($T4552="",N($X4551),IF(MATCH($T4552,$T$6:$T$6005,0)=ROW()-5,N($X4551)+1,N($X4551)))</f>
        <v/>
      </c>
      <c r="Z4552">
        <f>IF($V4552="","",IF($AA4552&gt;N($AA4551),$AA4552,""))</f>
        <v/>
      </c>
      <c r="AA4552">
        <f>IF($V4552="",N($AA4551),IF(MATCH($V4552,$V$6:$V$6005,0)=ROW()-5,N($AA4551)+1,N($AA4551)))</f>
        <v/>
      </c>
    </row>
    <row r="4553" ht="21" customHeight="1" s="66">
      <c r="A4553" s="56" t="n"/>
      <c r="B4553" s="57" t="n"/>
      <c r="C4553" s="57" t="n"/>
      <c r="D4553" s="57" t="n"/>
      <c r="E4553" s="56" t="n"/>
      <c r="F4553" s="57" t="n"/>
      <c r="G4553" s="57" t="n"/>
      <c r="H4553" s="56" t="n"/>
      <c r="I4553" s="56" t="n"/>
      <c r="J4553" s="58" t="n"/>
      <c r="K4553" s="58" t="n"/>
      <c r="L4553" s="13">
        <f>IF(OR($A4553="",AND($J4553="",$K4553="")),"",ROUND(N($J4553)-N($K4553),2))</f>
        <v/>
      </c>
      <c r="M4553" s="13">
        <f>IF(OR($A4553="",AND($J4553="",$K4553="")),"",MIN($J4553,$K4553))</f>
        <v/>
      </c>
      <c r="Q4553">
        <f>IF($A4553="","",$D4553&amp;"("&amp;SUBSTITUTE($E4553," ","")&amp;")")</f>
        <v/>
      </c>
      <c r="R4553">
        <f>IF($A4553="","",$B4553&amp;" - "&amp;$C4553)</f>
        <v/>
      </c>
      <c r="S4553">
        <f>IF($A4553="","",$R4553&amp;"|"&amp;$Q4553)</f>
        <v/>
      </c>
      <c r="T4553">
        <f>IF($A4553="","",$S4553&amp;"|"&amp;$F4553)</f>
        <v/>
      </c>
      <c r="U4553">
        <f>IF($A4553="","",$R4553&amp;"("&amp;$E4553&amp;")")</f>
        <v/>
      </c>
      <c r="V4553">
        <f>IF($A4553="","",$F4553&amp;"|"&amp;$U4553&amp;"|"&amp;$D4553)</f>
        <v/>
      </c>
      <c r="W4553">
        <f>IF($T4553="","",IF($X4553&gt;N($X4552),$X4553,""))</f>
        <v/>
      </c>
      <c r="X4553">
        <f>IF($T4553="",N($X4552),IF(MATCH($T4553,$T$6:$T$6005,0)=ROW()-5,N($X4552)+1,N($X4552)))</f>
        <v/>
      </c>
      <c r="Z4553">
        <f>IF($V4553="","",IF($AA4553&gt;N($AA4552),$AA4553,""))</f>
        <v/>
      </c>
      <c r="AA4553">
        <f>IF($V4553="",N($AA4552),IF(MATCH($V4553,$V$6:$V$6005,0)=ROW()-5,N($AA4552)+1,N($AA4552)))</f>
        <v/>
      </c>
    </row>
    <row r="4554" ht="21" customHeight="1" s="66">
      <c r="A4554" s="56" t="n"/>
      <c r="B4554" s="57" t="n"/>
      <c r="C4554" s="57" t="n"/>
      <c r="D4554" s="57" t="n"/>
      <c r="E4554" s="56" t="n"/>
      <c r="F4554" s="57" t="n"/>
      <c r="G4554" s="57" t="n"/>
      <c r="H4554" s="56" t="n"/>
      <c r="I4554" s="56" t="n"/>
      <c r="J4554" s="58" t="n"/>
      <c r="K4554" s="58" t="n"/>
      <c r="L4554" s="13">
        <f>IF(OR($A4554="",AND($J4554="",$K4554="")),"",ROUND(N($J4554)-N($K4554),2))</f>
        <v/>
      </c>
      <c r="M4554" s="13">
        <f>IF(OR($A4554="",AND($J4554="",$K4554="")),"",MIN($J4554,$K4554))</f>
        <v/>
      </c>
      <c r="Q4554">
        <f>IF($A4554="","",$D4554&amp;"("&amp;SUBSTITUTE($E4554," ","")&amp;")")</f>
        <v/>
      </c>
      <c r="R4554">
        <f>IF($A4554="","",$B4554&amp;" - "&amp;$C4554)</f>
        <v/>
      </c>
      <c r="S4554">
        <f>IF($A4554="","",$R4554&amp;"|"&amp;$Q4554)</f>
        <v/>
      </c>
      <c r="T4554">
        <f>IF($A4554="","",$S4554&amp;"|"&amp;$F4554)</f>
        <v/>
      </c>
      <c r="U4554">
        <f>IF($A4554="","",$R4554&amp;"("&amp;$E4554&amp;")")</f>
        <v/>
      </c>
      <c r="V4554">
        <f>IF($A4554="","",$F4554&amp;"|"&amp;$U4554&amp;"|"&amp;$D4554)</f>
        <v/>
      </c>
      <c r="W4554">
        <f>IF($T4554="","",IF($X4554&gt;N($X4553),$X4554,""))</f>
        <v/>
      </c>
      <c r="X4554">
        <f>IF($T4554="",N($X4553),IF(MATCH($T4554,$T$6:$T$6005,0)=ROW()-5,N($X4553)+1,N($X4553)))</f>
        <v/>
      </c>
      <c r="Z4554">
        <f>IF($V4554="","",IF($AA4554&gt;N($AA4553),$AA4554,""))</f>
        <v/>
      </c>
      <c r="AA4554">
        <f>IF($V4554="",N($AA4553),IF(MATCH($V4554,$V$6:$V$6005,0)=ROW()-5,N($AA4553)+1,N($AA4553)))</f>
        <v/>
      </c>
    </row>
    <row r="4555" ht="21" customHeight="1" s="66">
      <c r="A4555" s="56" t="n"/>
      <c r="B4555" s="57" t="n"/>
      <c r="C4555" s="57" t="n"/>
      <c r="D4555" s="57" t="n"/>
      <c r="E4555" s="56" t="n"/>
      <c r="F4555" s="57" t="n"/>
      <c r="G4555" s="57" t="n"/>
      <c r="H4555" s="56" t="n"/>
      <c r="I4555" s="56" t="n"/>
      <c r="J4555" s="58" t="n"/>
      <c r="K4555" s="58" t="n"/>
      <c r="L4555" s="13">
        <f>IF(OR($A4555="",AND($J4555="",$K4555="")),"",ROUND(N($J4555)-N($K4555),2))</f>
        <v/>
      </c>
      <c r="M4555" s="13">
        <f>IF(OR($A4555="",AND($J4555="",$K4555="")),"",MIN($J4555,$K4555))</f>
        <v/>
      </c>
      <c r="Q4555">
        <f>IF($A4555="","",$D4555&amp;"("&amp;SUBSTITUTE($E4555," ","")&amp;")")</f>
        <v/>
      </c>
      <c r="R4555">
        <f>IF($A4555="","",$B4555&amp;" - "&amp;$C4555)</f>
        <v/>
      </c>
      <c r="S4555">
        <f>IF($A4555="","",$R4555&amp;"|"&amp;$Q4555)</f>
        <v/>
      </c>
      <c r="T4555">
        <f>IF($A4555="","",$S4555&amp;"|"&amp;$F4555)</f>
        <v/>
      </c>
      <c r="U4555">
        <f>IF($A4555="","",$R4555&amp;"("&amp;$E4555&amp;")")</f>
        <v/>
      </c>
      <c r="V4555">
        <f>IF($A4555="","",$F4555&amp;"|"&amp;$U4555&amp;"|"&amp;$D4555)</f>
        <v/>
      </c>
      <c r="W4555">
        <f>IF($T4555="","",IF($X4555&gt;N($X4554),$X4555,""))</f>
        <v/>
      </c>
      <c r="X4555">
        <f>IF($T4555="",N($X4554),IF(MATCH($T4555,$T$6:$T$6005,0)=ROW()-5,N($X4554)+1,N($X4554)))</f>
        <v/>
      </c>
      <c r="Z4555">
        <f>IF($V4555="","",IF($AA4555&gt;N($AA4554),$AA4555,""))</f>
        <v/>
      </c>
      <c r="AA4555">
        <f>IF($V4555="",N($AA4554),IF(MATCH($V4555,$V$6:$V$6005,0)=ROW()-5,N($AA4554)+1,N($AA4554)))</f>
        <v/>
      </c>
    </row>
    <row r="4556" ht="21" customHeight="1" s="66">
      <c r="A4556" s="56" t="n"/>
      <c r="B4556" s="57" t="n"/>
      <c r="C4556" s="57" t="n"/>
      <c r="D4556" s="57" t="n"/>
      <c r="E4556" s="56" t="n"/>
      <c r="F4556" s="57" t="n"/>
      <c r="G4556" s="57" t="n"/>
      <c r="H4556" s="56" t="n"/>
      <c r="I4556" s="56" t="n"/>
      <c r="J4556" s="58" t="n"/>
      <c r="K4556" s="58" t="n"/>
      <c r="L4556" s="13">
        <f>IF(OR($A4556="",AND($J4556="",$K4556="")),"",ROUND(N($J4556)-N($K4556),2))</f>
        <v/>
      </c>
      <c r="M4556" s="13">
        <f>IF(OR($A4556="",AND($J4556="",$K4556="")),"",MIN($J4556,$K4556))</f>
        <v/>
      </c>
      <c r="Q4556">
        <f>IF($A4556="","",$D4556&amp;"("&amp;SUBSTITUTE($E4556," ","")&amp;")")</f>
        <v/>
      </c>
      <c r="R4556">
        <f>IF($A4556="","",$B4556&amp;" - "&amp;$C4556)</f>
        <v/>
      </c>
      <c r="S4556">
        <f>IF($A4556="","",$R4556&amp;"|"&amp;$Q4556)</f>
        <v/>
      </c>
      <c r="T4556">
        <f>IF($A4556="","",$S4556&amp;"|"&amp;$F4556)</f>
        <v/>
      </c>
      <c r="U4556">
        <f>IF($A4556="","",$R4556&amp;"("&amp;$E4556&amp;")")</f>
        <v/>
      </c>
      <c r="V4556">
        <f>IF($A4556="","",$F4556&amp;"|"&amp;$U4556&amp;"|"&amp;$D4556)</f>
        <v/>
      </c>
      <c r="W4556">
        <f>IF($T4556="","",IF($X4556&gt;N($X4555),$X4556,""))</f>
        <v/>
      </c>
      <c r="X4556">
        <f>IF($T4556="",N($X4555),IF(MATCH($T4556,$T$6:$T$6005,0)=ROW()-5,N($X4555)+1,N($X4555)))</f>
        <v/>
      </c>
      <c r="Z4556">
        <f>IF($V4556="","",IF($AA4556&gt;N($AA4555),$AA4556,""))</f>
        <v/>
      </c>
      <c r="AA4556">
        <f>IF($V4556="",N($AA4555),IF(MATCH($V4556,$V$6:$V$6005,0)=ROW()-5,N($AA4555)+1,N($AA4555)))</f>
        <v/>
      </c>
    </row>
    <row r="4557" ht="21" customHeight="1" s="66">
      <c r="A4557" s="56" t="n"/>
      <c r="B4557" s="57" t="n"/>
      <c r="C4557" s="57" t="n"/>
      <c r="D4557" s="57" t="n"/>
      <c r="E4557" s="56" t="n"/>
      <c r="F4557" s="57" t="n"/>
      <c r="G4557" s="57" t="n"/>
      <c r="H4557" s="56" t="n"/>
      <c r="I4557" s="56" t="n"/>
      <c r="J4557" s="58" t="n"/>
      <c r="K4557" s="58" t="n"/>
      <c r="L4557" s="13">
        <f>IF(OR($A4557="",AND($J4557="",$K4557="")),"",ROUND(N($J4557)-N($K4557),2))</f>
        <v/>
      </c>
      <c r="M4557" s="13">
        <f>IF(OR($A4557="",AND($J4557="",$K4557="")),"",MIN($J4557,$K4557))</f>
        <v/>
      </c>
      <c r="Q4557">
        <f>IF($A4557="","",$D4557&amp;"("&amp;SUBSTITUTE($E4557," ","")&amp;")")</f>
        <v/>
      </c>
      <c r="R4557">
        <f>IF($A4557="","",$B4557&amp;" - "&amp;$C4557)</f>
        <v/>
      </c>
      <c r="S4557">
        <f>IF($A4557="","",$R4557&amp;"|"&amp;$Q4557)</f>
        <v/>
      </c>
      <c r="T4557">
        <f>IF($A4557="","",$S4557&amp;"|"&amp;$F4557)</f>
        <v/>
      </c>
      <c r="U4557">
        <f>IF($A4557="","",$R4557&amp;"("&amp;$E4557&amp;")")</f>
        <v/>
      </c>
      <c r="V4557">
        <f>IF($A4557="","",$F4557&amp;"|"&amp;$U4557&amp;"|"&amp;$D4557)</f>
        <v/>
      </c>
      <c r="W4557">
        <f>IF($T4557="","",IF($X4557&gt;N($X4556),$X4557,""))</f>
        <v/>
      </c>
      <c r="X4557">
        <f>IF($T4557="",N($X4556),IF(MATCH($T4557,$T$6:$T$6005,0)=ROW()-5,N($X4556)+1,N($X4556)))</f>
        <v/>
      </c>
      <c r="Z4557">
        <f>IF($V4557="","",IF($AA4557&gt;N($AA4556),$AA4557,""))</f>
        <v/>
      </c>
      <c r="AA4557">
        <f>IF($V4557="",N($AA4556),IF(MATCH($V4557,$V$6:$V$6005,0)=ROW()-5,N($AA4556)+1,N($AA4556)))</f>
        <v/>
      </c>
    </row>
    <row r="4558" ht="21" customHeight="1" s="66">
      <c r="A4558" s="56" t="n"/>
      <c r="B4558" s="57" t="n"/>
      <c r="C4558" s="57" t="n"/>
      <c r="D4558" s="57" t="n"/>
      <c r="E4558" s="56" t="n"/>
      <c r="F4558" s="57" t="n"/>
      <c r="G4558" s="57" t="n"/>
      <c r="H4558" s="56" t="n"/>
      <c r="I4558" s="56" t="n"/>
      <c r="J4558" s="58" t="n"/>
      <c r="K4558" s="58" t="n"/>
      <c r="L4558" s="13">
        <f>IF(OR($A4558="",AND($J4558="",$K4558="")),"",ROUND(N($J4558)-N($K4558),2))</f>
        <v/>
      </c>
      <c r="M4558" s="13">
        <f>IF(OR($A4558="",AND($J4558="",$K4558="")),"",MIN($J4558,$K4558))</f>
        <v/>
      </c>
      <c r="Q4558">
        <f>IF($A4558="","",$D4558&amp;"("&amp;SUBSTITUTE($E4558," ","")&amp;")")</f>
        <v/>
      </c>
      <c r="R4558">
        <f>IF($A4558="","",$B4558&amp;" - "&amp;$C4558)</f>
        <v/>
      </c>
      <c r="S4558">
        <f>IF($A4558="","",$R4558&amp;"|"&amp;$Q4558)</f>
        <v/>
      </c>
      <c r="T4558">
        <f>IF($A4558="","",$S4558&amp;"|"&amp;$F4558)</f>
        <v/>
      </c>
      <c r="U4558">
        <f>IF($A4558="","",$R4558&amp;"("&amp;$E4558&amp;")")</f>
        <v/>
      </c>
      <c r="V4558">
        <f>IF($A4558="","",$F4558&amp;"|"&amp;$U4558&amp;"|"&amp;$D4558)</f>
        <v/>
      </c>
      <c r="W4558">
        <f>IF($T4558="","",IF($X4558&gt;N($X4557),$X4558,""))</f>
        <v/>
      </c>
      <c r="X4558">
        <f>IF($T4558="",N($X4557),IF(MATCH($T4558,$T$6:$T$6005,0)=ROW()-5,N($X4557)+1,N($X4557)))</f>
        <v/>
      </c>
      <c r="Z4558">
        <f>IF($V4558="","",IF($AA4558&gt;N($AA4557),$AA4558,""))</f>
        <v/>
      </c>
      <c r="AA4558">
        <f>IF($V4558="",N($AA4557),IF(MATCH($V4558,$V$6:$V$6005,0)=ROW()-5,N($AA4557)+1,N($AA4557)))</f>
        <v/>
      </c>
    </row>
    <row r="4559" ht="21" customHeight="1" s="66">
      <c r="A4559" s="56" t="n"/>
      <c r="B4559" s="57" t="n"/>
      <c r="C4559" s="57" t="n"/>
      <c r="D4559" s="57" t="n"/>
      <c r="E4559" s="56" t="n"/>
      <c r="F4559" s="57" t="n"/>
      <c r="G4559" s="57" t="n"/>
      <c r="H4559" s="56" t="n"/>
      <c r="I4559" s="56" t="n"/>
      <c r="J4559" s="58" t="n"/>
      <c r="K4559" s="58" t="n"/>
      <c r="L4559" s="13">
        <f>IF(OR($A4559="",AND($J4559="",$K4559="")),"",ROUND(N($J4559)-N($K4559),2))</f>
        <v/>
      </c>
      <c r="M4559" s="13">
        <f>IF(OR($A4559="",AND($J4559="",$K4559="")),"",MIN($J4559,$K4559))</f>
        <v/>
      </c>
      <c r="Q4559">
        <f>IF($A4559="","",$D4559&amp;"("&amp;SUBSTITUTE($E4559," ","")&amp;")")</f>
        <v/>
      </c>
      <c r="R4559">
        <f>IF($A4559="","",$B4559&amp;" - "&amp;$C4559)</f>
        <v/>
      </c>
      <c r="S4559">
        <f>IF($A4559="","",$R4559&amp;"|"&amp;$Q4559)</f>
        <v/>
      </c>
      <c r="T4559">
        <f>IF($A4559="","",$S4559&amp;"|"&amp;$F4559)</f>
        <v/>
      </c>
      <c r="U4559">
        <f>IF($A4559="","",$R4559&amp;"("&amp;$E4559&amp;")")</f>
        <v/>
      </c>
      <c r="V4559">
        <f>IF($A4559="","",$F4559&amp;"|"&amp;$U4559&amp;"|"&amp;$D4559)</f>
        <v/>
      </c>
      <c r="W4559">
        <f>IF($T4559="","",IF($X4559&gt;N($X4558),$X4559,""))</f>
        <v/>
      </c>
      <c r="X4559">
        <f>IF($T4559="",N($X4558),IF(MATCH($T4559,$T$6:$T$6005,0)=ROW()-5,N($X4558)+1,N($X4558)))</f>
        <v/>
      </c>
      <c r="Z4559">
        <f>IF($V4559="","",IF($AA4559&gt;N($AA4558),$AA4559,""))</f>
        <v/>
      </c>
      <c r="AA4559">
        <f>IF($V4559="",N($AA4558),IF(MATCH($V4559,$V$6:$V$6005,0)=ROW()-5,N($AA4558)+1,N($AA4558)))</f>
        <v/>
      </c>
    </row>
    <row r="4560" ht="21" customHeight="1" s="66">
      <c r="A4560" s="56" t="n"/>
      <c r="B4560" s="57" t="n"/>
      <c r="C4560" s="57" t="n"/>
      <c r="D4560" s="57" t="n"/>
      <c r="E4560" s="56" t="n"/>
      <c r="F4560" s="57" t="n"/>
      <c r="G4560" s="57" t="n"/>
      <c r="H4560" s="56" t="n"/>
      <c r="I4560" s="56" t="n"/>
      <c r="J4560" s="58" t="n"/>
      <c r="K4560" s="58" t="n"/>
      <c r="L4560" s="13">
        <f>IF(OR($A4560="",AND($J4560="",$K4560="")),"",ROUND(N($J4560)-N($K4560),2))</f>
        <v/>
      </c>
      <c r="M4560" s="13">
        <f>IF(OR($A4560="",AND($J4560="",$K4560="")),"",MIN($J4560,$K4560))</f>
        <v/>
      </c>
      <c r="Q4560">
        <f>IF($A4560="","",$D4560&amp;"("&amp;SUBSTITUTE($E4560," ","")&amp;")")</f>
        <v/>
      </c>
      <c r="R4560">
        <f>IF($A4560="","",$B4560&amp;" - "&amp;$C4560)</f>
        <v/>
      </c>
      <c r="S4560">
        <f>IF($A4560="","",$R4560&amp;"|"&amp;$Q4560)</f>
        <v/>
      </c>
      <c r="T4560">
        <f>IF($A4560="","",$S4560&amp;"|"&amp;$F4560)</f>
        <v/>
      </c>
      <c r="U4560">
        <f>IF($A4560="","",$R4560&amp;"("&amp;$E4560&amp;")")</f>
        <v/>
      </c>
      <c r="V4560">
        <f>IF($A4560="","",$F4560&amp;"|"&amp;$U4560&amp;"|"&amp;$D4560)</f>
        <v/>
      </c>
      <c r="W4560">
        <f>IF($T4560="","",IF($X4560&gt;N($X4559),$X4560,""))</f>
        <v/>
      </c>
      <c r="X4560">
        <f>IF($T4560="",N($X4559),IF(MATCH($T4560,$T$6:$T$6005,0)=ROW()-5,N($X4559)+1,N($X4559)))</f>
        <v/>
      </c>
      <c r="Z4560">
        <f>IF($V4560="","",IF($AA4560&gt;N($AA4559),$AA4560,""))</f>
        <v/>
      </c>
      <c r="AA4560">
        <f>IF($V4560="",N($AA4559),IF(MATCH($V4560,$V$6:$V$6005,0)=ROW()-5,N($AA4559)+1,N($AA4559)))</f>
        <v/>
      </c>
    </row>
    <row r="4561" ht="21" customHeight="1" s="66">
      <c r="A4561" s="56" t="n"/>
      <c r="B4561" s="57" t="n"/>
      <c r="C4561" s="57" t="n"/>
      <c r="D4561" s="57" t="n"/>
      <c r="E4561" s="56" t="n"/>
      <c r="F4561" s="57" t="n"/>
      <c r="G4561" s="57" t="n"/>
      <c r="H4561" s="56" t="n"/>
      <c r="I4561" s="56" t="n"/>
      <c r="J4561" s="58" t="n"/>
      <c r="K4561" s="58" t="n"/>
      <c r="L4561" s="13">
        <f>IF(OR($A4561="",AND($J4561="",$K4561="")),"",ROUND(N($J4561)-N($K4561),2))</f>
        <v/>
      </c>
      <c r="M4561" s="13">
        <f>IF(OR($A4561="",AND($J4561="",$K4561="")),"",MIN($J4561,$K4561))</f>
        <v/>
      </c>
      <c r="Q4561">
        <f>IF($A4561="","",$D4561&amp;"("&amp;SUBSTITUTE($E4561," ","")&amp;")")</f>
        <v/>
      </c>
      <c r="R4561">
        <f>IF($A4561="","",$B4561&amp;" - "&amp;$C4561)</f>
        <v/>
      </c>
      <c r="S4561">
        <f>IF($A4561="","",$R4561&amp;"|"&amp;$Q4561)</f>
        <v/>
      </c>
      <c r="T4561">
        <f>IF($A4561="","",$S4561&amp;"|"&amp;$F4561)</f>
        <v/>
      </c>
      <c r="U4561">
        <f>IF($A4561="","",$R4561&amp;"("&amp;$E4561&amp;")")</f>
        <v/>
      </c>
      <c r="V4561">
        <f>IF($A4561="","",$F4561&amp;"|"&amp;$U4561&amp;"|"&amp;$D4561)</f>
        <v/>
      </c>
      <c r="W4561">
        <f>IF($T4561="","",IF($X4561&gt;N($X4560),$X4561,""))</f>
        <v/>
      </c>
      <c r="X4561">
        <f>IF($T4561="",N($X4560),IF(MATCH($T4561,$T$6:$T$6005,0)=ROW()-5,N($X4560)+1,N($X4560)))</f>
        <v/>
      </c>
      <c r="Z4561">
        <f>IF($V4561="","",IF($AA4561&gt;N($AA4560),$AA4561,""))</f>
        <v/>
      </c>
      <c r="AA4561">
        <f>IF($V4561="",N($AA4560),IF(MATCH($V4561,$V$6:$V$6005,0)=ROW()-5,N($AA4560)+1,N($AA4560)))</f>
        <v/>
      </c>
    </row>
    <row r="4562" ht="21" customHeight="1" s="66">
      <c r="A4562" s="56" t="n"/>
      <c r="B4562" s="57" t="n"/>
      <c r="C4562" s="57" t="n"/>
      <c r="D4562" s="57" t="n"/>
      <c r="E4562" s="56" t="n"/>
      <c r="F4562" s="57" t="n"/>
      <c r="G4562" s="57" t="n"/>
      <c r="H4562" s="56" t="n"/>
      <c r="I4562" s="56" t="n"/>
      <c r="J4562" s="58" t="n"/>
      <c r="K4562" s="58" t="n"/>
      <c r="L4562" s="13">
        <f>IF(OR($A4562="",AND($J4562="",$K4562="")),"",ROUND(N($J4562)-N($K4562),2))</f>
        <v/>
      </c>
      <c r="M4562" s="13">
        <f>IF(OR($A4562="",AND($J4562="",$K4562="")),"",MIN($J4562,$K4562))</f>
        <v/>
      </c>
      <c r="Q4562">
        <f>IF($A4562="","",$D4562&amp;"("&amp;SUBSTITUTE($E4562," ","")&amp;")")</f>
        <v/>
      </c>
      <c r="R4562">
        <f>IF($A4562="","",$B4562&amp;" - "&amp;$C4562)</f>
        <v/>
      </c>
      <c r="S4562">
        <f>IF($A4562="","",$R4562&amp;"|"&amp;$Q4562)</f>
        <v/>
      </c>
      <c r="T4562">
        <f>IF($A4562="","",$S4562&amp;"|"&amp;$F4562)</f>
        <v/>
      </c>
      <c r="U4562">
        <f>IF($A4562="","",$R4562&amp;"("&amp;$E4562&amp;")")</f>
        <v/>
      </c>
      <c r="V4562">
        <f>IF($A4562="","",$F4562&amp;"|"&amp;$U4562&amp;"|"&amp;$D4562)</f>
        <v/>
      </c>
      <c r="W4562">
        <f>IF($T4562="","",IF($X4562&gt;N($X4561),$X4562,""))</f>
        <v/>
      </c>
      <c r="X4562">
        <f>IF($T4562="",N($X4561),IF(MATCH($T4562,$T$6:$T$6005,0)=ROW()-5,N($X4561)+1,N($X4561)))</f>
        <v/>
      </c>
      <c r="Z4562">
        <f>IF($V4562="","",IF($AA4562&gt;N($AA4561),$AA4562,""))</f>
        <v/>
      </c>
      <c r="AA4562">
        <f>IF($V4562="",N($AA4561),IF(MATCH($V4562,$V$6:$V$6005,0)=ROW()-5,N($AA4561)+1,N($AA4561)))</f>
        <v/>
      </c>
    </row>
    <row r="4563" ht="21" customHeight="1" s="66">
      <c r="A4563" s="56" t="n"/>
      <c r="B4563" s="57" t="n"/>
      <c r="C4563" s="57" t="n"/>
      <c r="D4563" s="57" t="n"/>
      <c r="E4563" s="56" t="n"/>
      <c r="F4563" s="57" t="n"/>
      <c r="G4563" s="57" t="n"/>
      <c r="H4563" s="56" t="n"/>
      <c r="I4563" s="56" t="n"/>
      <c r="J4563" s="58" t="n"/>
      <c r="K4563" s="58" t="n"/>
      <c r="L4563" s="13">
        <f>IF(OR($A4563="",AND($J4563="",$K4563="")),"",ROUND(N($J4563)-N($K4563),2))</f>
        <v/>
      </c>
      <c r="M4563" s="13">
        <f>IF(OR($A4563="",AND($J4563="",$K4563="")),"",MIN($J4563,$K4563))</f>
        <v/>
      </c>
      <c r="Q4563">
        <f>IF($A4563="","",$D4563&amp;"("&amp;SUBSTITUTE($E4563," ","")&amp;")")</f>
        <v/>
      </c>
      <c r="R4563">
        <f>IF($A4563="","",$B4563&amp;" - "&amp;$C4563)</f>
        <v/>
      </c>
      <c r="S4563">
        <f>IF($A4563="","",$R4563&amp;"|"&amp;$Q4563)</f>
        <v/>
      </c>
      <c r="T4563">
        <f>IF($A4563="","",$S4563&amp;"|"&amp;$F4563)</f>
        <v/>
      </c>
      <c r="U4563">
        <f>IF($A4563="","",$R4563&amp;"("&amp;$E4563&amp;")")</f>
        <v/>
      </c>
      <c r="V4563">
        <f>IF($A4563="","",$F4563&amp;"|"&amp;$U4563&amp;"|"&amp;$D4563)</f>
        <v/>
      </c>
      <c r="W4563">
        <f>IF($T4563="","",IF($X4563&gt;N($X4562),$X4563,""))</f>
        <v/>
      </c>
      <c r="X4563">
        <f>IF($T4563="",N($X4562),IF(MATCH($T4563,$T$6:$T$6005,0)=ROW()-5,N($X4562)+1,N($X4562)))</f>
        <v/>
      </c>
      <c r="Z4563">
        <f>IF($V4563="","",IF($AA4563&gt;N($AA4562),$AA4563,""))</f>
        <v/>
      </c>
      <c r="AA4563">
        <f>IF($V4563="",N($AA4562),IF(MATCH($V4563,$V$6:$V$6005,0)=ROW()-5,N($AA4562)+1,N($AA4562)))</f>
        <v/>
      </c>
    </row>
    <row r="4564" ht="21" customHeight="1" s="66">
      <c r="A4564" s="56" t="n"/>
      <c r="B4564" s="57" t="n"/>
      <c r="C4564" s="57" t="n"/>
      <c r="D4564" s="57" t="n"/>
      <c r="E4564" s="56" t="n"/>
      <c r="F4564" s="57" t="n"/>
      <c r="G4564" s="57" t="n"/>
      <c r="H4564" s="56" t="n"/>
      <c r="I4564" s="56" t="n"/>
      <c r="J4564" s="58" t="n"/>
      <c r="K4564" s="58" t="n"/>
      <c r="L4564" s="13">
        <f>IF(OR($A4564="",AND($J4564="",$K4564="")),"",ROUND(N($J4564)-N($K4564),2))</f>
        <v/>
      </c>
      <c r="M4564" s="13">
        <f>IF(OR($A4564="",AND($J4564="",$K4564="")),"",MIN($J4564,$K4564))</f>
        <v/>
      </c>
      <c r="Q4564">
        <f>IF($A4564="","",$D4564&amp;"("&amp;SUBSTITUTE($E4564," ","")&amp;")")</f>
        <v/>
      </c>
      <c r="R4564">
        <f>IF($A4564="","",$B4564&amp;" - "&amp;$C4564)</f>
        <v/>
      </c>
      <c r="S4564">
        <f>IF($A4564="","",$R4564&amp;"|"&amp;$Q4564)</f>
        <v/>
      </c>
      <c r="T4564">
        <f>IF($A4564="","",$S4564&amp;"|"&amp;$F4564)</f>
        <v/>
      </c>
      <c r="U4564">
        <f>IF($A4564="","",$R4564&amp;"("&amp;$E4564&amp;")")</f>
        <v/>
      </c>
      <c r="V4564">
        <f>IF($A4564="","",$F4564&amp;"|"&amp;$U4564&amp;"|"&amp;$D4564)</f>
        <v/>
      </c>
      <c r="W4564">
        <f>IF($T4564="","",IF($X4564&gt;N($X4563),$X4564,""))</f>
        <v/>
      </c>
      <c r="X4564">
        <f>IF($T4564="",N($X4563),IF(MATCH($T4564,$T$6:$T$6005,0)=ROW()-5,N($X4563)+1,N($X4563)))</f>
        <v/>
      </c>
      <c r="Z4564">
        <f>IF($V4564="","",IF($AA4564&gt;N($AA4563),$AA4564,""))</f>
        <v/>
      </c>
      <c r="AA4564">
        <f>IF($V4564="",N($AA4563),IF(MATCH($V4564,$V$6:$V$6005,0)=ROW()-5,N($AA4563)+1,N($AA4563)))</f>
        <v/>
      </c>
    </row>
    <row r="4565" ht="21" customHeight="1" s="66">
      <c r="A4565" s="56" t="n"/>
      <c r="B4565" s="57" t="n"/>
      <c r="C4565" s="57" t="n"/>
      <c r="D4565" s="57" t="n"/>
      <c r="E4565" s="56" t="n"/>
      <c r="F4565" s="57" t="n"/>
      <c r="G4565" s="57" t="n"/>
      <c r="H4565" s="56" t="n"/>
      <c r="I4565" s="56" t="n"/>
      <c r="J4565" s="58" t="n"/>
      <c r="K4565" s="58" t="n"/>
      <c r="L4565" s="13">
        <f>IF(OR($A4565="",AND($J4565="",$K4565="")),"",ROUND(N($J4565)-N($K4565),2))</f>
        <v/>
      </c>
      <c r="M4565" s="13">
        <f>IF(OR($A4565="",AND($J4565="",$K4565="")),"",MIN($J4565,$K4565))</f>
        <v/>
      </c>
      <c r="Q4565">
        <f>IF($A4565="","",$D4565&amp;"("&amp;SUBSTITUTE($E4565," ","")&amp;")")</f>
        <v/>
      </c>
      <c r="R4565">
        <f>IF($A4565="","",$B4565&amp;" - "&amp;$C4565)</f>
        <v/>
      </c>
      <c r="S4565">
        <f>IF($A4565="","",$R4565&amp;"|"&amp;$Q4565)</f>
        <v/>
      </c>
      <c r="T4565">
        <f>IF($A4565="","",$S4565&amp;"|"&amp;$F4565)</f>
        <v/>
      </c>
      <c r="U4565">
        <f>IF($A4565="","",$R4565&amp;"("&amp;$E4565&amp;")")</f>
        <v/>
      </c>
      <c r="V4565">
        <f>IF($A4565="","",$F4565&amp;"|"&amp;$U4565&amp;"|"&amp;$D4565)</f>
        <v/>
      </c>
      <c r="W4565">
        <f>IF($T4565="","",IF($X4565&gt;N($X4564),$X4565,""))</f>
        <v/>
      </c>
      <c r="X4565">
        <f>IF($T4565="",N($X4564),IF(MATCH($T4565,$T$6:$T$6005,0)=ROW()-5,N($X4564)+1,N($X4564)))</f>
        <v/>
      </c>
      <c r="Z4565">
        <f>IF($V4565="","",IF($AA4565&gt;N($AA4564),$AA4565,""))</f>
        <v/>
      </c>
      <c r="AA4565">
        <f>IF($V4565="",N($AA4564),IF(MATCH($V4565,$V$6:$V$6005,0)=ROW()-5,N($AA4564)+1,N($AA4564)))</f>
        <v/>
      </c>
    </row>
    <row r="4566" ht="21" customHeight="1" s="66">
      <c r="A4566" s="56" t="n"/>
      <c r="B4566" s="57" t="n"/>
      <c r="C4566" s="57" t="n"/>
      <c r="D4566" s="57" t="n"/>
      <c r="E4566" s="56" t="n"/>
      <c r="F4566" s="57" t="n"/>
      <c r="G4566" s="57" t="n"/>
      <c r="H4566" s="56" t="n"/>
      <c r="I4566" s="56" t="n"/>
      <c r="J4566" s="58" t="n"/>
      <c r="K4566" s="58" t="n"/>
      <c r="L4566" s="13">
        <f>IF(OR($A4566="",AND($J4566="",$K4566="")),"",ROUND(N($J4566)-N($K4566),2))</f>
        <v/>
      </c>
      <c r="M4566" s="13">
        <f>IF(OR($A4566="",AND($J4566="",$K4566="")),"",MIN($J4566,$K4566))</f>
        <v/>
      </c>
      <c r="Q4566">
        <f>IF($A4566="","",$D4566&amp;"("&amp;SUBSTITUTE($E4566," ","")&amp;")")</f>
        <v/>
      </c>
      <c r="R4566">
        <f>IF($A4566="","",$B4566&amp;" - "&amp;$C4566)</f>
        <v/>
      </c>
      <c r="S4566">
        <f>IF($A4566="","",$R4566&amp;"|"&amp;$Q4566)</f>
        <v/>
      </c>
      <c r="T4566">
        <f>IF($A4566="","",$S4566&amp;"|"&amp;$F4566)</f>
        <v/>
      </c>
      <c r="U4566">
        <f>IF($A4566="","",$R4566&amp;"("&amp;$E4566&amp;")")</f>
        <v/>
      </c>
      <c r="V4566">
        <f>IF($A4566="","",$F4566&amp;"|"&amp;$U4566&amp;"|"&amp;$D4566)</f>
        <v/>
      </c>
      <c r="W4566">
        <f>IF($T4566="","",IF($X4566&gt;N($X4565),$X4566,""))</f>
        <v/>
      </c>
      <c r="X4566">
        <f>IF($T4566="",N($X4565),IF(MATCH($T4566,$T$6:$T$6005,0)=ROW()-5,N($X4565)+1,N($X4565)))</f>
        <v/>
      </c>
      <c r="Z4566">
        <f>IF($V4566="","",IF($AA4566&gt;N($AA4565),$AA4566,""))</f>
        <v/>
      </c>
      <c r="AA4566">
        <f>IF($V4566="",N($AA4565),IF(MATCH($V4566,$V$6:$V$6005,0)=ROW()-5,N($AA4565)+1,N($AA4565)))</f>
        <v/>
      </c>
    </row>
    <row r="4567" ht="21" customHeight="1" s="66">
      <c r="A4567" s="56" t="n"/>
      <c r="B4567" s="57" t="n"/>
      <c r="C4567" s="57" t="n"/>
      <c r="D4567" s="57" t="n"/>
      <c r="E4567" s="56" t="n"/>
      <c r="F4567" s="57" t="n"/>
      <c r="G4567" s="57" t="n"/>
      <c r="H4567" s="56" t="n"/>
      <c r="I4567" s="56" t="n"/>
      <c r="J4567" s="58" t="n"/>
      <c r="K4567" s="58" t="n"/>
      <c r="L4567" s="13">
        <f>IF(OR($A4567="",AND($J4567="",$K4567="")),"",ROUND(N($J4567)-N($K4567),2))</f>
        <v/>
      </c>
      <c r="M4567" s="13">
        <f>IF(OR($A4567="",AND($J4567="",$K4567="")),"",MIN($J4567,$K4567))</f>
        <v/>
      </c>
      <c r="Q4567">
        <f>IF($A4567="","",$D4567&amp;"("&amp;SUBSTITUTE($E4567," ","")&amp;")")</f>
        <v/>
      </c>
      <c r="R4567">
        <f>IF($A4567="","",$B4567&amp;" - "&amp;$C4567)</f>
        <v/>
      </c>
      <c r="S4567">
        <f>IF($A4567="","",$R4567&amp;"|"&amp;$Q4567)</f>
        <v/>
      </c>
      <c r="T4567">
        <f>IF($A4567="","",$S4567&amp;"|"&amp;$F4567)</f>
        <v/>
      </c>
      <c r="U4567">
        <f>IF($A4567="","",$R4567&amp;"("&amp;$E4567&amp;")")</f>
        <v/>
      </c>
      <c r="V4567">
        <f>IF($A4567="","",$F4567&amp;"|"&amp;$U4567&amp;"|"&amp;$D4567)</f>
        <v/>
      </c>
      <c r="W4567">
        <f>IF($T4567="","",IF($X4567&gt;N($X4566),$X4567,""))</f>
        <v/>
      </c>
      <c r="X4567">
        <f>IF($T4567="",N($X4566),IF(MATCH($T4567,$T$6:$T$6005,0)=ROW()-5,N($X4566)+1,N($X4566)))</f>
        <v/>
      </c>
      <c r="Z4567">
        <f>IF($V4567="","",IF($AA4567&gt;N($AA4566),$AA4567,""))</f>
        <v/>
      </c>
      <c r="AA4567">
        <f>IF($V4567="",N($AA4566),IF(MATCH($V4567,$V$6:$V$6005,0)=ROW()-5,N($AA4566)+1,N($AA4566)))</f>
        <v/>
      </c>
    </row>
    <row r="4568" ht="21" customHeight="1" s="66">
      <c r="A4568" s="56" t="n"/>
      <c r="B4568" s="57" t="n"/>
      <c r="C4568" s="57" t="n"/>
      <c r="D4568" s="57" t="n"/>
      <c r="E4568" s="56" t="n"/>
      <c r="F4568" s="57" t="n"/>
      <c r="G4568" s="57" t="n"/>
      <c r="H4568" s="56" t="n"/>
      <c r="I4568" s="56" t="n"/>
      <c r="J4568" s="58" t="n"/>
      <c r="K4568" s="58" t="n"/>
      <c r="L4568" s="13">
        <f>IF(OR($A4568="",AND($J4568="",$K4568="")),"",ROUND(N($J4568)-N($K4568),2))</f>
        <v/>
      </c>
      <c r="M4568" s="13">
        <f>IF(OR($A4568="",AND($J4568="",$K4568="")),"",MIN($J4568,$K4568))</f>
        <v/>
      </c>
      <c r="Q4568">
        <f>IF($A4568="","",$D4568&amp;"("&amp;SUBSTITUTE($E4568," ","")&amp;")")</f>
        <v/>
      </c>
      <c r="R4568">
        <f>IF($A4568="","",$B4568&amp;" - "&amp;$C4568)</f>
        <v/>
      </c>
      <c r="S4568">
        <f>IF($A4568="","",$R4568&amp;"|"&amp;$Q4568)</f>
        <v/>
      </c>
      <c r="T4568">
        <f>IF($A4568="","",$S4568&amp;"|"&amp;$F4568)</f>
        <v/>
      </c>
      <c r="U4568">
        <f>IF($A4568="","",$R4568&amp;"("&amp;$E4568&amp;")")</f>
        <v/>
      </c>
      <c r="V4568">
        <f>IF($A4568="","",$F4568&amp;"|"&amp;$U4568&amp;"|"&amp;$D4568)</f>
        <v/>
      </c>
      <c r="W4568">
        <f>IF($T4568="","",IF($X4568&gt;N($X4567),$X4568,""))</f>
        <v/>
      </c>
      <c r="X4568">
        <f>IF($T4568="",N($X4567),IF(MATCH($T4568,$T$6:$T$6005,0)=ROW()-5,N($X4567)+1,N($X4567)))</f>
        <v/>
      </c>
      <c r="Z4568">
        <f>IF($V4568="","",IF($AA4568&gt;N($AA4567),$AA4568,""))</f>
        <v/>
      </c>
      <c r="AA4568">
        <f>IF($V4568="",N($AA4567),IF(MATCH($V4568,$V$6:$V$6005,0)=ROW()-5,N($AA4567)+1,N($AA4567)))</f>
        <v/>
      </c>
    </row>
    <row r="4569" ht="21" customHeight="1" s="66">
      <c r="A4569" s="56" t="n"/>
      <c r="B4569" s="57" t="n"/>
      <c r="C4569" s="57" t="n"/>
      <c r="D4569" s="57" t="n"/>
      <c r="E4569" s="56" t="n"/>
      <c r="F4569" s="57" t="n"/>
      <c r="G4569" s="57" t="n"/>
      <c r="H4569" s="56" t="n"/>
      <c r="I4569" s="56" t="n"/>
      <c r="J4569" s="58" t="n"/>
      <c r="K4569" s="58" t="n"/>
      <c r="L4569" s="13">
        <f>IF(OR($A4569="",AND($J4569="",$K4569="")),"",ROUND(N($J4569)-N($K4569),2))</f>
        <v/>
      </c>
      <c r="M4569" s="13">
        <f>IF(OR($A4569="",AND($J4569="",$K4569="")),"",MIN($J4569,$K4569))</f>
        <v/>
      </c>
      <c r="Q4569">
        <f>IF($A4569="","",$D4569&amp;"("&amp;SUBSTITUTE($E4569," ","")&amp;")")</f>
        <v/>
      </c>
      <c r="R4569">
        <f>IF($A4569="","",$B4569&amp;" - "&amp;$C4569)</f>
        <v/>
      </c>
      <c r="S4569">
        <f>IF($A4569="","",$R4569&amp;"|"&amp;$Q4569)</f>
        <v/>
      </c>
      <c r="T4569">
        <f>IF($A4569="","",$S4569&amp;"|"&amp;$F4569)</f>
        <v/>
      </c>
      <c r="U4569">
        <f>IF($A4569="","",$R4569&amp;"("&amp;$E4569&amp;")")</f>
        <v/>
      </c>
      <c r="V4569">
        <f>IF($A4569="","",$F4569&amp;"|"&amp;$U4569&amp;"|"&amp;$D4569)</f>
        <v/>
      </c>
      <c r="W4569">
        <f>IF($T4569="","",IF($X4569&gt;N($X4568),$X4569,""))</f>
        <v/>
      </c>
      <c r="X4569">
        <f>IF($T4569="",N($X4568),IF(MATCH($T4569,$T$6:$T$6005,0)=ROW()-5,N($X4568)+1,N($X4568)))</f>
        <v/>
      </c>
      <c r="Z4569">
        <f>IF($V4569="","",IF($AA4569&gt;N($AA4568),$AA4569,""))</f>
        <v/>
      </c>
      <c r="AA4569">
        <f>IF($V4569="",N($AA4568),IF(MATCH($V4569,$V$6:$V$6005,0)=ROW()-5,N($AA4568)+1,N($AA4568)))</f>
        <v/>
      </c>
    </row>
    <row r="4570" ht="21" customHeight="1" s="66">
      <c r="A4570" s="56" t="n"/>
      <c r="B4570" s="57" t="n"/>
      <c r="C4570" s="57" t="n"/>
      <c r="D4570" s="57" t="n"/>
      <c r="E4570" s="56" t="n"/>
      <c r="F4570" s="57" t="n"/>
      <c r="G4570" s="57" t="n"/>
      <c r="H4570" s="56" t="n"/>
      <c r="I4570" s="56" t="n"/>
      <c r="J4570" s="58" t="n"/>
      <c r="K4570" s="58" t="n"/>
      <c r="L4570" s="13">
        <f>IF(OR($A4570="",AND($J4570="",$K4570="")),"",ROUND(N($J4570)-N($K4570),2))</f>
        <v/>
      </c>
      <c r="M4570" s="13">
        <f>IF(OR($A4570="",AND($J4570="",$K4570="")),"",MIN($J4570,$K4570))</f>
        <v/>
      </c>
      <c r="Q4570">
        <f>IF($A4570="","",$D4570&amp;"("&amp;SUBSTITUTE($E4570," ","")&amp;")")</f>
        <v/>
      </c>
      <c r="R4570">
        <f>IF($A4570="","",$B4570&amp;" - "&amp;$C4570)</f>
        <v/>
      </c>
      <c r="S4570">
        <f>IF($A4570="","",$R4570&amp;"|"&amp;$Q4570)</f>
        <v/>
      </c>
      <c r="T4570">
        <f>IF($A4570="","",$S4570&amp;"|"&amp;$F4570)</f>
        <v/>
      </c>
      <c r="U4570">
        <f>IF($A4570="","",$R4570&amp;"("&amp;$E4570&amp;")")</f>
        <v/>
      </c>
      <c r="V4570">
        <f>IF($A4570="","",$F4570&amp;"|"&amp;$U4570&amp;"|"&amp;$D4570)</f>
        <v/>
      </c>
      <c r="W4570">
        <f>IF($T4570="","",IF($X4570&gt;N($X4569),$X4570,""))</f>
        <v/>
      </c>
      <c r="X4570">
        <f>IF($T4570="",N($X4569),IF(MATCH($T4570,$T$6:$T$6005,0)=ROW()-5,N($X4569)+1,N($X4569)))</f>
        <v/>
      </c>
      <c r="Z4570">
        <f>IF($V4570="","",IF($AA4570&gt;N($AA4569),$AA4570,""))</f>
        <v/>
      </c>
      <c r="AA4570">
        <f>IF($V4570="",N($AA4569),IF(MATCH($V4570,$V$6:$V$6005,0)=ROW()-5,N($AA4569)+1,N($AA4569)))</f>
        <v/>
      </c>
    </row>
    <row r="4571" ht="21" customHeight="1" s="66">
      <c r="A4571" s="56" t="n"/>
      <c r="B4571" s="57" t="n"/>
      <c r="C4571" s="57" t="n"/>
      <c r="D4571" s="57" t="n"/>
      <c r="E4571" s="56" t="n"/>
      <c r="F4571" s="57" t="n"/>
      <c r="G4571" s="57" t="n"/>
      <c r="H4571" s="56" t="n"/>
      <c r="I4571" s="56" t="n"/>
      <c r="J4571" s="58" t="n"/>
      <c r="K4571" s="58" t="n"/>
      <c r="L4571" s="13">
        <f>IF(OR($A4571="",AND($J4571="",$K4571="")),"",ROUND(N($J4571)-N($K4571),2))</f>
        <v/>
      </c>
      <c r="M4571" s="13">
        <f>IF(OR($A4571="",AND($J4571="",$K4571="")),"",MIN($J4571,$K4571))</f>
        <v/>
      </c>
      <c r="Q4571">
        <f>IF($A4571="","",$D4571&amp;"("&amp;SUBSTITUTE($E4571," ","")&amp;")")</f>
        <v/>
      </c>
      <c r="R4571">
        <f>IF($A4571="","",$B4571&amp;" - "&amp;$C4571)</f>
        <v/>
      </c>
      <c r="S4571">
        <f>IF($A4571="","",$R4571&amp;"|"&amp;$Q4571)</f>
        <v/>
      </c>
      <c r="T4571">
        <f>IF($A4571="","",$S4571&amp;"|"&amp;$F4571)</f>
        <v/>
      </c>
      <c r="U4571">
        <f>IF($A4571="","",$R4571&amp;"("&amp;$E4571&amp;")")</f>
        <v/>
      </c>
      <c r="V4571">
        <f>IF($A4571="","",$F4571&amp;"|"&amp;$U4571&amp;"|"&amp;$D4571)</f>
        <v/>
      </c>
      <c r="W4571">
        <f>IF($T4571="","",IF($X4571&gt;N($X4570),$X4571,""))</f>
        <v/>
      </c>
      <c r="X4571">
        <f>IF($T4571="",N($X4570),IF(MATCH($T4571,$T$6:$T$6005,0)=ROW()-5,N($X4570)+1,N($X4570)))</f>
        <v/>
      </c>
      <c r="Z4571">
        <f>IF($V4571="","",IF($AA4571&gt;N($AA4570),$AA4571,""))</f>
        <v/>
      </c>
      <c r="AA4571">
        <f>IF($V4571="",N($AA4570),IF(MATCH($V4571,$V$6:$V$6005,0)=ROW()-5,N($AA4570)+1,N($AA4570)))</f>
        <v/>
      </c>
    </row>
    <row r="4572" ht="21" customHeight="1" s="66">
      <c r="A4572" s="56" t="n"/>
      <c r="B4572" s="57" t="n"/>
      <c r="C4572" s="57" t="n"/>
      <c r="D4572" s="57" t="n"/>
      <c r="E4572" s="56" t="n"/>
      <c r="F4572" s="57" t="n"/>
      <c r="G4572" s="57" t="n"/>
      <c r="H4572" s="56" t="n"/>
      <c r="I4572" s="56" t="n"/>
      <c r="J4572" s="58" t="n"/>
      <c r="K4572" s="58" t="n"/>
      <c r="L4572" s="13">
        <f>IF(OR($A4572="",AND($J4572="",$K4572="")),"",ROUND(N($J4572)-N($K4572),2))</f>
        <v/>
      </c>
      <c r="M4572" s="13">
        <f>IF(OR($A4572="",AND($J4572="",$K4572="")),"",MIN($J4572,$K4572))</f>
        <v/>
      </c>
      <c r="Q4572">
        <f>IF($A4572="","",$D4572&amp;"("&amp;SUBSTITUTE($E4572," ","")&amp;")")</f>
        <v/>
      </c>
      <c r="R4572">
        <f>IF($A4572="","",$B4572&amp;" - "&amp;$C4572)</f>
        <v/>
      </c>
      <c r="S4572">
        <f>IF($A4572="","",$R4572&amp;"|"&amp;$Q4572)</f>
        <v/>
      </c>
      <c r="T4572">
        <f>IF($A4572="","",$S4572&amp;"|"&amp;$F4572)</f>
        <v/>
      </c>
      <c r="U4572">
        <f>IF($A4572="","",$R4572&amp;"("&amp;$E4572&amp;")")</f>
        <v/>
      </c>
      <c r="V4572">
        <f>IF($A4572="","",$F4572&amp;"|"&amp;$U4572&amp;"|"&amp;$D4572)</f>
        <v/>
      </c>
      <c r="W4572">
        <f>IF($T4572="","",IF($X4572&gt;N($X4571),$X4572,""))</f>
        <v/>
      </c>
      <c r="X4572">
        <f>IF($T4572="",N($X4571),IF(MATCH($T4572,$T$6:$T$6005,0)=ROW()-5,N($X4571)+1,N($X4571)))</f>
        <v/>
      </c>
      <c r="Z4572">
        <f>IF($V4572="","",IF($AA4572&gt;N($AA4571),$AA4572,""))</f>
        <v/>
      </c>
      <c r="AA4572">
        <f>IF($V4572="",N($AA4571),IF(MATCH($V4572,$V$6:$V$6005,0)=ROW()-5,N($AA4571)+1,N($AA4571)))</f>
        <v/>
      </c>
    </row>
    <row r="4573" ht="21" customHeight="1" s="66">
      <c r="A4573" s="56" t="n"/>
      <c r="B4573" s="57" t="n"/>
      <c r="C4573" s="57" t="n"/>
      <c r="D4573" s="57" t="n"/>
      <c r="E4573" s="56" t="n"/>
      <c r="F4573" s="57" t="n"/>
      <c r="G4573" s="57" t="n"/>
      <c r="H4573" s="56" t="n"/>
      <c r="I4573" s="56" t="n"/>
      <c r="J4573" s="58" t="n"/>
      <c r="K4573" s="58" t="n"/>
      <c r="L4573" s="13">
        <f>IF(OR($A4573="",AND($J4573="",$K4573="")),"",ROUND(N($J4573)-N($K4573),2))</f>
        <v/>
      </c>
      <c r="M4573" s="13">
        <f>IF(OR($A4573="",AND($J4573="",$K4573="")),"",MIN($J4573,$K4573))</f>
        <v/>
      </c>
      <c r="Q4573">
        <f>IF($A4573="","",$D4573&amp;"("&amp;SUBSTITUTE($E4573," ","")&amp;")")</f>
        <v/>
      </c>
      <c r="R4573">
        <f>IF($A4573="","",$B4573&amp;" - "&amp;$C4573)</f>
        <v/>
      </c>
      <c r="S4573">
        <f>IF($A4573="","",$R4573&amp;"|"&amp;$Q4573)</f>
        <v/>
      </c>
      <c r="T4573">
        <f>IF($A4573="","",$S4573&amp;"|"&amp;$F4573)</f>
        <v/>
      </c>
      <c r="U4573">
        <f>IF($A4573="","",$R4573&amp;"("&amp;$E4573&amp;")")</f>
        <v/>
      </c>
      <c r="V4573">
        <f>IF($A4573="","",$F4573&amp;"|"&amp;$U4573&amp;"|"&amp;$D4573)</f>
        <v/>
      </c>
      <c r="W4573">
        <f>IF($T4573="","",IF($X4573&gt;N($X4572),$X4573,""))</f>
        <v/>
      </c>
      <c r="X4573">
        <f>IF($T4573="",N($X4572),IF(MATCH($T4573,$T$6:$T$6005,0)=ROW()-5,N($X4572)+1,N($X4572)))</f>
        <v/>
      </c>
      <c r="Z4573">
        <f>IF($V4573="","",IF($AA4573&gt;N($AA4572),$AA4573,""))</f>
        <v/>
      </c>
      <c r="AA4573">
        <f>IF($V4573="",N($AA4572),IF(MATCH($V4573,$V$6:$V$6005,0)=ROW()-5,N($AA4572)+1,N($AA4572)))</f>
        <v/>
      </c>
    </row>
    <row r="4574" ht="21" customHeight="1" s="66">
      <c r="A4574" s="56" t="n"/>
      <c r="B4574" s="57" t="n"/>
      <c r="C4574" s="57" t="n"/>
      <c r="D4574" s="57" t="n"/>
      <c r="E4574" s="56" t="n"/>
      <c r="F4574" s="57" t="n"/>
      <c r="G4574" s="57" t="n"/>
      <c r="H4574" s="56" t="n"/>
      <c r="I4574" s="56" t="n"/>
      <c r="J4574" s="58" t="n"/>
      <c r="K4574" s="58" t="n"/>
      <c r="L4574" s="13">
        <f>IF(OR($A4574="",AND($J4574="",$K4574="")),"",ROUND(N($J4574)-N($K4574),2))</f>
        <v/>
      </c>
      <c r="M4574" s="13">
        <f>IF(OR($A4574="",AND($J4574="",$K4574="")),"",MIN($J4574,$K4574))</f>
        <v/>
      </c>
      <c r="Q4574">
        <f>IF($A4574="","",$D4574&amp;"("&amp;SUBSTITUTE($E4574," ","")&amp;")")</f>
        <v/>
      </c>
      <c r="R4574">
        <f>IF($A4574="","",$B4574&amp;" - "&amp;$C4574)</f>
        <v/>
      </c>
      <c r="S4574">
        <f>IF($A4574="","",$R4574&amp;"|"&amp;$Q4574)</f>
        <v/>
      </c>
      <c r="T4574">
        <f>IF($A4574="","",$S4574&amp;"|"&amp;$F4574)</f>
        <v/>
      </c>
      <c r="U4574">
        <f>IF($A4574="","",$R4574&amp;"("&amp;$E4574&amp;")")</f>
        <v/>
      </c>
      <c r="V4574">
        <f>IF($A4574="","",$F4574&amp;"|"&amp;$U4574&amp;"|"&amp;$D4574)</f>
        <v/>
      </c>
      <c r="W4574">
        <f>IF($T4574="","",IF($X4574&gt;N($X4573),$X4574,""))</f>
        <v/>
      </c>
      <c r="X4574">
        <f>IF($T4574="",N($X4573),IF(MATCH($T4574,$T$6:$T$6005,0)=ROW()-5,N($X4573)+1,N($X4573)))</f>
        <v/>
      </c>
      <c r="Z4574">
        <f>IF($V4574="","",IF($AA4574&gt;N($AA4573),$AA4574,""))</f>
        <v/>
      </c>
      <c r="AA4574">
        <f>IF($V4574="",N($AA4573),IF(MATCH($V4574,$V$6:$V$6005,0)=ROW()-5,N($AA4573)+1,N($AA4573)))</f>
        <v/>
      </c>
    </row>
    <row r="4575" ht="21" customHeight="1" s="66">
      <c r="A4575" s="56" t="n"/>
      <c r="B4575" s="57" t="n"/>
      <c r="C4575" s="57" t="n"/>
      <c r="D4575" s="57" t="n"/>
      <c r="E4575" s="56" t="n"/>
      <c r="F4575" s="57" t="n"/>
      <c r="G4575" s="57" t="n"/>
      <c r="H4575" s="56" t="n"/>
      <c r="I4575" s="56" t="n"/>
      <c r="J4575" s="58" t="n"/>
      <c r="K4575" s="58" t="n"/>
      <c r="L4575" s="13">
        <f>IF(OR($A4575="",AND($J4575="",$K4575="")),"",ROUND(N($J4575)-N($K4575),2))</f>
        <v/>
      </c>
      <c r="M4575" s="13">
        <f>IF(OR($A4575="",AND($J4575="",$K4575="")),"",MIN($J4575,$K4575))</f>
        <v/>
      </c>
      <c r="Q4575">
        <f>IF($A4575="","",$D4575&amp;"("&amp;SUBSTITUTE($E4575," ","")&amp;")")</f>
        <v/>
      </c>
      <c r="R4575">
        <f>IF($A4575="","",$B4575&amp;" - "&amp;$C4575)</f>
        <v/>
      </c>
      <c r="S4575">
        <f>IF($A4575="","",$R4575&amp;"|"&amp;$Q4575)</f>
        <v/>
      </c>
      <c r="T4575">
        <f>IF($A4575="","",$S4575&amp;"|"&amp;$F4575)</f>
        <v/>
      </c>
      <c r="U4575">
        <f>IF($A4575="","",$R4575&amp;"("&amp;$E4575&amp;")")</f>
        <v/>
      </c>
      <c r="V4575">
        <f>IF($A4575="","",$F4575&amp;"|"&amp;$U4575&amp;"|"&amp;$D4575)</f>
        <v/>
      </c>
      <c r="W4575">
        <f>IF($T4575="","",IF($X4575&gt;N($X4574),$X4575,""))</f>
        <v/>
      </c>
      <c r="X4575">
        <f>IF($T4575="",N($X4574),IF(MATCH($T4575,$T$6:$T$6005,0)=ROW()-5,N($X4574)+1,N($X4574)))</f>
        <v/>
      </c>
      <c r="Z4575">
        <f>IF($V4575="","",IF($AA4575&gt;N($AA4574),$AA4575,""))</f>
        <v/>
      </c>
      <c r="AA4575">
        <f>IF($V4575="",N($AA4574),IF(MATCH($V4575,$V$6:$V$6005,0)=ROW()-5,N($AA4574)+1,N($AA4574)))</f>
        <v/>
      </c>
    </row>
    <row r="4576" ht="21" customHeight="1" s="66">
      <c r="A4576" s="56" t="n"/>
      <c r="B4576" s="57" t="n"/>
      <c r="C4576" s="57" t="n"/>
      <c r="D4576" s="57" t="n"/>
      <c r="E4576" s="56" t="n"/>
      <c r="F4576" s="57" t="n"/>
      <c r="G4576" s="57" t="n"/>
      <c r="H4576" s="56" t="n"/>
      <c r="I4576" s="56" t="n"/>
      <c r="J4576" s="58" t="n"/>
      <c r="K4576" s="58" t="n"/>
      <c r="L4576" s="13">
        <f>IF(OR($A4576="",AND($J4576="",$K4576="")),"",ROUND(N($J4576)-N($K4576),2))</f>
        <v/>
      </c>
      <c r="M4576" s="13">
        <f>IF(OR($A4576="",AND($J4576="",$K4576="")),"",MIN($J4576,$K4576))</f>
        <v/>
      </c>
      <c r="Q4576">
        <f>IF($A4576="","",$D4576&amp;"("&amp;SUBSTITUTE($E4576," ","")&amp;")")</f>
        <v/>
      </c>
      <c r="R4576">
        <f>IF($A4576="","",$B4576&amp;" - "&amp;$C4576)</f>
        <v/>
      </c>
      <c r="S4576">
        <f>IF($A4576="","",$R4576&amp;"|"&amp;$Q4576)</f>
        <v/>
      </c>
      <c r="T4576">
        <f>IF($A4576="","",$S4576&amp;"|"&amp;$F4576)</f>
        <v/>
      </c>
      <c r="U4576">
        <f>IF($A4576="","",$R4576&amp;"("&amp;$E4576&amp;")")</f>
        <v/>
      </c>
      <c r="V4576">
        <f>IF($A4576="","",$F4576&amp;"|"&amp;$U4576&amp;"|"&amp;$D4576)</f>
        <v/>
      </c>
      <c r="W4576">
        <f>IF($T4576="","",IF($X4576&gt;N($X4575),$X4576,""))</f>
        <v/>
      </c>
      <c r="X4576">
        <f>IF($T4576="",N($X4575),IF(MATCH($T4576,$T$6:$T$6005,0)=ROW()-5,N($X4575)+1,N($X4575)))</f>
        <v/>
      </c>
      <c r="Z4576">
        <f>IF($V4576="","",IF($AA4576&gt;N($AA4575),$AA4576,""))</f>
        <v/>
      </c>
      <c r="AA4576">
        <f>IF($V4576="",N($AA4575),IF(MATCH($V4576,$V$6:$V$6005,0)=ROW()-5,N($AA4575)+1,N($AA4575)))</f>
        <v/>
      </c>
    </row>
    <row r="4577" ht="21" customHeight="1" s="66">
      <c r="A4577" s="56" t="n"/>
      <c r="B4577" s="57" t="n"/>
      <c r="C4577" s="57" t="n"/>
      <c r="D4577" s="57" t="n"/>
      <c r="E4577" s="56" t="n"/>
      <c r="F4577" s="57" t="n"/>
      <c r="G4577" s="57" t="n"/>
      <c r="H4577" s="56" t="n"/>
      <c r="I4577" s="56" t="n"/>
      <c r="J4577" s="58" t="n"/>
      <c r="K4577" s="58" t="n"/>
      <c r="L4577" s="13">
        <f>IF(OR($A4577="",AND($J4577="",$K4577="")),"",ROUND(N($J4577)-N($K4577),2))</f>
        <v/>
      </c>
      <c r="M4577" s="13">
        <f>IF(OR($A4577="",AND($J4577="",$K4577="")),"",MIN($J4577,$K4577))</f>
        <v/>
      </c>
      <c r="Q4577">
        <f>IF($A4577="","",$D4577&amp;"("&amp;SUBSTITUTE($E4577," ","")&amp;")")</f>
        <v/>
      </c>
      <c r="R4577">
        <f>IF($A4577="","",$B4577&amp;" - "&amp;$C4577)</f>
        <v/>
      </c>
      <c r="S4577">
        <f>IF($A4577="","",$R4577&amp;"|"&amp;$Q4577)</f>
        <v/>
      </c>
      <c r="T4577">
        <f>IF($A4577="","",$S4577&amp;"|"&amp;$F4577)</f>
        <v/>
      </c>
      <c r="U4577">
        <f>IF($A4577="","",$R4577&amp;"("&amp;$E4577&amp;")")</f>
        <v/>
      </c>
      <c r="V4577">
        <f>IF($A4577="","",$F4577&amp;"|"&amp;$U4577&amp;"|"&amp;$D4577)</f>
        <v/>
      </c>
      <c r="W4577">
        <f>IF($T4577="","",IF($X4577&gt;N($X4576),$X4577,""))</f>
        <v/>
      </c>
      <c r="X4577">
        <f>IF($T4577="",N($X4576),IF(MATCH($T4577,$T$6:$T$6005,0)=ROW()-5,N($X4576)+1,N($X4576)))</f>
        <v/>
      </c>
      <c r="Z4577">
        <f>IF($V4577="","",IF($AA4577&gt;N($AA4576),$AA4577,""))</f>
        <v/>
      </c>
      <c r="AA4577">
        <f>IF($V4577="",N($AA4576),IF(MATCH($V4577,$V$6:$V$6005,0)=ROW()-5,N($AA4576)+1,N($AA4576)))</f>
        <v/>
      </c>
    </row>
    <row r="4578" ht="21" customHeight="1" s="66">
      <c r="A4578" s="56" t="n"/>
      <c r="B4578" s="57" t="n"/>
      <c r="C4578" s="57" t="n"/>
      <c r="D4578" s="57" t="n"/>
      <c r="E4578" s="56" t="n"/>
      <c r="F4578" s="57" t="n"/>
      <c r="G4578" s="57" t="n"/>
      <c r="H4578" s="56" t="n"/>
      <c r="I4578" s="56" t="n"/>
      <c r="J4578" s="58" t="n"/>
      <c r="K4578" s="58" t="n"/>
      <c r="L4578" s="13">
        <f>IF(OR($A4578="",AND($J4578="",$K4578="")),"",ROUND(N($J4578)-N($K4578),2))</f>
        <v/>
      </c>
      <c r="M4578" s="13">
        <f>IF(OR($A4578="",AND($J4578="",$K4578="")),"",MIN($J4578,$K4578))</f>
        <v/>
      </c>
      <c r="Q4578">
        <f>IF($A4578="","",$D4578&amp;"("&amp;SUBSTITUTE($E4578," ","")&amp;")")</f>
        <v/>
      </c>
      <c r="R4578">
        <f>IF($A4578="","",$B4578&amp;" - "&amp;$C4578)</f>
        <v/>
      </c>
      <c r="S4578">
        <f>IF($A4578="","",$R4578&amp;"|"&amp;$Q4578)</f>
        <v/>
      </c>
      <c r="T4578">
        <f>IF($A4578="","",$S4578&amp;"|"&amp;$F4578)</f>
        <v/>
      </c>
      <c r="U4578">
        <f>IF($A4578="","",$R4578&amp;"("&amp;$E4578&amp;")")</f>
        <v/>
      </c>
      <c r="V4578">
        <f>IF($A4578="","",$F4578&amp;"|"&amp;$U4578&amp;"|"&amp;$D4578)</f>
        <v/>
      </c>
      <c r="W4578">
        <f>IF($T4578="","",IF($X4578&gt;N($X4577),$X4578,""))</f>
        <v/>
      </c>
      <c r="X4578">
        <f>IF($T4578="",N($X4577),IF(MATCH($T4578,$T$6:$T$6005,0)=ROW()-5,N($X4577)+1,N($X4577)))</f>
        <v/>
      </c>
      <c r="Z4578">
        <f>IF($V4578="","",IF($AA4578&gt;N($AA4577),$AA4578,""))</f>
        <v/>
      </c>
      <c r="AA4578">
        <f>IF($V4578="",N($AA4577),IF(MATCH($V4578,$V$6:$V$6005,0)=ROW()-5,N($AA4577)+1,N($AA4577)))</f>
        <v/>
      </c>
    </row>
    <row r="4579" ht="21" customHeight="1" s="66">
      <c r="A4579" s="56" t="n"/>
      <c r="B4579" s="57" t="n"/>
      <c r="C4579" s="57" t="n"/>
      <c r="D4579" s="57" t="n"/>
      <c r="E4579" s="56" t="n"/>
      <c r="F4579" s="57" t="n"/>
      <c r="G4579" s="57" t="n"/>
      <c r="H4579" s="56" t="n"/>
      <c r="I4579" s="56" t="n"/>
      <c r="J4579" s="58" t="n"/>
      <c r="K4579" s="58" t="n"/>
      <c r="L4579" s="13">
        <f>IF(OR($A4579="",AND($J4579="",$K4579="")),"",ROUND(N($J4579)-N($K4579),2))</f>
        <v/>
      </c>
      <c r="M4579" s="13">
        <f>IF(OR($A4579="",AND($J4579="",$K4579="")),"",MIN($J4579,$K4579))</f>
        <v/>
      </c>
      <c r="Q4579">
        <f>IF($A4579="","",$D4579&amp;"("&amp;SUBSTITUTE($E4579," ","")&amp;")")</f>
        <v/>
      </c>
      <c r="R4579">
        <f>IF($A4579="","",$B4579&amp;" - "&amp;$C4579)</f>
        <v/>
      </c>
      <c r="S4579">
        <f>IF($A4579="","",$R4579&amp;"|"&amp;$Q4579)</f>
        <v/>
      </c>
      <c r="T4579">
        <f>IF($A4579="","",$S4579&amp;"|"&amp;$F4579)</f>
        <v/>
      </c>
      <c r="U4579">
        <f>IF($A4579="","",$R4579&amp;"("&amp;$E4579&amp;")")</f>
        <v/>
      </c>
      <c r="V4579">
        <f>IF($A4579="","",$F4579&amp;"|"&amp;$U4579&amp;"|"&amp;$D4579)</f>
        <v/>
      </c>
      <c r="W4579">
        <f>IF($T4579="","",IF($X4579&gt;N($X4578),$X4579,""))</f>
        <v/>
      </c>
      <c r="X4579">
        <f>IF($T4579="",N($X4578),IF(MATCH($T4579,$T$6:$T$6005,0)=ROW()-5,N($X4578)+1,N($X4578)))</f>
        <v/>
      </c>
      <c r="Z4579">
        <f>IF($V4579="","",IF($AA4579&gt;N($AA4578),$AA4579,""))</f>
        <v/>
      </c>
      <c r="AA4579">
        <f>IF($V4579="",N($AA4578),IF(MATCH($V4579,$V$6:$V$6005,0)=ROW()-5,N($AA4578)+1,N($AA4578)))</f>
        <v/>
      </c>
    </row>
    <row r="4580" ht="21" customHeight="1" s="66">
      <c r="A4580" s="56" t="n"/>
      <c r="B4580" s="57" t="n"/>
      <c r="C4580" s="57" t="n"/>
      <c r="D4580" s="57" t="n"/>
      <c r="E4580" s="56" t="n"/>
      <c r="F4580" s="57" t="n"/>
      <c r="G4580" s="57" t="n"/>
      <c r="H4580" s="56" t="n"/>
      <c r="I4580" s="56" t="n"/>
      <c r="J4580" s="58" t="n"/>
      <c r="K4580" s="58" t="n"/>
      <c r="L4580" s="13">
        <f>IF(OR($A4580="",AND($J4580="",$K4580="")),"",ROUND(N($J4580)-N($K4580),2))</f>
        <v/>
      </c>
      <c r="M4580" s="13">
        <f>IF(OR($A4580="",AND($J4580="",$K4580="")),"",MIN($J4580,$K4580))</f>
        <v/>
      </c>
      <c r="Q4580">
        <f>IF($A4580="","",$D4580&amp;"("&amp;SUBSTITUTE($E4580," ","")&amp;")")</f>
        <v/>
      </c>
      <c r="R4580">
        <f>IF($A4580="","",$B4580&amp;" - "&amp;$C4580)</f>
        <v/>
      </c>
      <c r="S4580">
        <f>IF($A4580="","",$R4580&amp;"|"&amp;$Q4580)</f>
        <v/>
      </c>
      <c r="T4580">
        <f>IF($A4580="","",$S4580&amp;"|"&amp;$F4580)</f>
        <v/>
      </c>
      <c r="U4580">
        <f>IF($A4580="","",$R4580&amp;"("&amp;$E4580&amp;")")</f>
        <v/>
      </c>
      <c r="V4580">
        <f>IF($A4580="","",$F4580&amp;"|"&amp;$U4580&amp;"|"&amp;$D4580)</f>
        <v/>
      </c>
      <c r="W4580">
        <f>IF($T4580="","",IF($X4580&gt;N($X4579),$X4580,""))</f>
        <v/>
      </c>
      <c r="X4580">
        <f>IF($T4580="",N($X4579),IF(MATCH($T4580,$T$6:$T$6005,0)=ROW()-5,N($X4579)+1,N($X4579)))</f>
        <v/>
      </c>
      <c r="Z4580">
        <f>IF($V4580="","",IF($AA4580&gt;N($AA4579),$AA4580,""))</f>
        <v/>
      </c>
      <c r="AA4580">
        <f>IF($V4580="",N($AA4579),IF(MATCH($V4580,$V$6:$V$6005,0)=ROW()-5,N($AA4579)+1,N($AA4579)))</f>
        <v/>
      </c>
    </row>
    <row r="4581" ht="21" customHeight="1" s="66">
      <c r="A4581" s="56" t="n"/>
      <c r="B4581" s="57" t="n"/>
      <c r="C4581" s="57" t="n"/>
      <c r="D4581" s="57" t="n"/>
      <c r="E4581" s="56" t="n"/>
      <c r="F4581" s="57" t="n"/>
      <c r="G4581" s="57" t="n"/>
      <c r="H4581" s="56" t="n"/>
      <c r="I4581" s="56" t="n"/>
      <c r="J4581" s="58" t="n"/>
      <c r="K4581" s="58" t="n"/>
      <c r="L4581" s="13">
        <f>IF(OR($A4581="",AND($J4581="",$K4581="")),"",ROUND(N($J4581)-N($K4581),2))</f>
        <v/>
      </c>
      <c r="M4581" s="13">
        <f>IF(OR($A4581="",AND($J4581="",$K4581="")),"",MIN($J4581,$K4581))</f>
        <v/>
      </c>
      <c r="Q4581">
        <f>IF($A4581="","",$D4581&amp;"("&amp;SUBSTITUTE($E4581," ","")&amp;")")</f>
        <v/>
      </c>
      <c r="R4581">
        <f>IF($A4581="","",$B4581&amp;" - "&amp;$C4581)</f>
        <v/>
      </c>
      <c r="S4581">
        <f>IF($A4581="","",$R4581&amp;"|"&amp;$Q4581)</f>
        <v/>
      </c>
      <c r="T4581">
        <f>IF($A4581="","",$S4581&amp;"|"&amp;$F4581)</f>
        <v/>
      </c>
      <c r="U4581">
        <f>IF($A4581="","",$R4581&amp;"("&amp;$E4581&amp;")")</f>
        <v/>
      </c>
      <c r="V4581">
        <f>IF($A4581="","",$F4581&amp;"|"&amp;$U4581&amp;"|"&amp;$D4581)</f>
        <v/>
      </c>
      <c r="W4581">
        <f>IF($T4581="","",IF($X4581&gt;N($X4580),$X4581,""))</f>
        <v/>
      </c>
      <c r="X4581">
        <f>IF($T4581="",N($X4580),IF(MATCH($T4581,$T$6:$T$6005,0)=ROW()-5,N($X4580)+1,N($X4580)))</f>
        <v/>
      </c>
      <c r="Z4581">
        <f>IF($V4581="","",IF($AA4581&gt;N($AA4580),$AA4581,""))</f>
        <v/>
      </c>
      <c r="AA4581">
        <f>IF($V4581="",N($AA4580),IF(MATCH($V4581,$V$6:$V$6005,0)=ROW()-5,N($AA4580)+1,N($AA4580)))</f>
        <v/>
      </c>
    </row>
    <row r="4582" ht="21" customHeight="1" s="66">
      <c r="A4582" s="56" t="n"/>
      <c r="B4582" s="57" t="n"/>
      <c r="C4582" s="57" t="n"/>
      <c r="D4582" s="57" t="n"/>
      <c r="E4582" s="56" t="n"/>
      <c r="F4582" s="57" t="n"/>
      <c r="G4582" s="57" t="n"/>
      <c r="H4582" s="56" t="n"/>
      <c r="I4582" s="56" t="n"/>
      <c r="J4582" s="58" t="n"/>
      <c r="K4582" s="58" t="n"/>
      <c r="L4582" s="13">
        <f>IF(OR($A4582="",AND($J4582="",$K4582="")),"",ROUND(N($J4582)-N($K4582),2))</f>
        <v/>
      </c>
      <c r="M4582" s="13">
        <f>IF(OR($A4582="",AND($J4582="",$K4582="")),"",MIN($J4582,$K4582))</f>
        <v/>
      </c>
      <c r="Q4582">
        <f>IF($A4582="","",$D4582&amp;"("&amp;SUBSTITUTE($E4582," ","")&amp;")")</f>
        <v/>
      </c>
      <c r="R4582">
        <f>IF($A4582="","",$B4582&amp;" - "&amp;$C4582)</f>
        <v/>
      </c>
      <c r="S4582">
        <f>IF($A4582="","",$R4582&amp;"|"&amp;$Q4582)</f>
        <v/>
      </c>
      <c r="T4582">
        <f>IF($A4582="","",$S4582&amp;"|"&amp;$F4582)</f>
        <v/>
      </c>
      <c r="U4582">
        <f>IF($A4582="","",$R4582&amp;"("&amp;$E4582&amp;")")</f>
        <v/>
      </c>
      <c r="V4582">
        <f>IF($A4582="","",$F4582&amp;"|"&amp;$U4582&amp;"|"&amp;$D4582)</f>
        <v/>
      </c>
      <c r="W4582">
        <f>IF($T4582="","",IF($X4582&gt;N($X4581),$X4582,""))</f>
        <v/>
      </c>
      <c r="X4582">
        <f>IF($T4582="",N($X4581),IF(MATCH($T4582,$T$6:$T$6005,0)=ROW()-5,N($X4581)+1,N($X4581)))</f>
        <v/>
      </c>
      <c r="Z4582">
        <f>IF($V4582="","",IF($AA4582&gt;N($AA4581),$AA4582,""))</f>
        <v/>
      </c>
      <c r="AA4582">
        <f>IF($V4582="",N($AA4581),IF(MATCH($V4582,$V$6:$V$6005,0)=ROW()-5,N($AA4581)+1,N($AA4581)))</f>
        <v/>
      </c>
    </row>
    <row r="4583" ht="21" customHeight="1" s="66">
      <c r="A4583" s="56" t="n"/>
      <c r="B4583" s="57" t="n"/>
      <c r="C4583" s="57" t="n"/>
      <c r="D4583" s="57" t="n"/>
      <c r="E4583" s="56" t="n"/>
      <c r="F4583" s="57" t="n"/>
      <c r="G4583" s="57" t="n"/>
      <c r="H4583" s="56" t="n"/>
      <c r="I4583" s="56" t="n"/>
      <c r="J4583" s="58" t="n"/>
      <c r="K4583" s="58" t="n"/>
      <c r="L4583" s="13">
        <f>IF(OR($A4583="",AND($J4583="",$K4583="")),"",ROUND(N($J4583)-N($K4583),2))</f>
        <v/>
      </c>
      <c r="M4583" s="13">
        <f>IF(OR($A4583="",AND($J4583="",$K4583="")),"",MIN($J4583,$K4583))</f>
        <v/>
      </c>
      <c r="Q4583">
        <f>IF($A4583="","",$D4583&amp;"("&amp;SUBSTITUTE($E4583," ","")&amp;")")</f>
        <v/>
      </c>
      <c r="R4583">
        <f>IF($A4583="","",$B4583&amp;" - "&amp;$C4583)</f>
        <v/>
      </c>
      <c r="S4583">
        <f>IF($A4583="","",$R4583&amp;"|"&amp;$Q4583)</f>
        <v/>
      </c>
      <c r="T4583">
        <f>IF($A4583="","",$S4583&amp;"|"&amp;$F4583)</f>
        <v/>
      </c>
      <c r="U4583">
        <f>IF($A4583="","",$R4583&amp;"("&amp;$E4583&amp;")")</f>
        <v/>
      </c>
      <c r="V4583">
        <f>IF($A4583="","",$F4583&amp;"|"&amp;$U4583&amp;"|"&amp;$D4583)</f>
        <v/>
      </c>
      <c r="W4583">
        <f>IF($T4583="","",IF($X4583&gt;N($X4582),$X4583,""))</f>
        <v/>
      </c>
      <c r="X4583">
        <f>IF($T4583="",N($X4582),IF(MATCH($T4583,$T$6:$T$6005,0)=ROW()-5,N($X4582)+1,N($X4582)))</f>
        <v/>
      </c>
      <c r="Z4583">
        <f>IF($V4583="","",IF($AA4583&gt;N($AA4582),$AA4583,""))</f>
        <v/>
      </c>
      <c r="AA4583">
        <f>IF($V4583="",N($AA4582),IF(MATCH($V4583,$V$6:$V$6005,0)=ROW()-5,N($AA4582)+1,N($AA4582)))</f>
        <v/>
      </c>
    </row>
    <row r="4584" ht="21" customHeight="1" s="66">
      <c r="A4584" s="56" t="n"/>
      <c r="B4584" s="57" t="n"/>
      <c r="C4584" s="57" t="n"/>
      <c r="D4584" s="57" t="n"/>
      <c r="E4584" s="56" t="n"/>
      <c r="F4584" s="57" t="n"/>
      <c r="G4584" s="57" t="n"/>
      <c r="H4584" s="56" t="n"/>
      <c r="I4584" s="56" t="n"/>
      <c r="J4584" s="58" t="n"/>
      <c r="K4584" s="58" t="n"/>
      <c r="L4584" s="13">
        <f>IF(OR($A4584="",AND($J4584="",$K4584="")),"",ROUND(N($J4584)-N($K4584),2))</f>
        <v/>
      </c>
      <c r="M4584" s="13">
        <f>IF(OR($A4584="",AND($J4584="",$K4584="")),"",MIN($J4584,$K4584))</f>
        <v/>
      </c>
      <c r="Q4584">
        <f>IF($A4584="","",$D4584&amp;"("&amp;SUBSTITUTE($E4584," ","")&amp;")")</f>
        <v/>
      </c>
      <c r="R4584">
        <f>IF($A4584="","",$B4584&amp;" - "&amp;$C4584)</f>
        <v/>
      </c>
      <c r="S4584">
        <f>IF($A4584="","",$R4584&amp;"|"&amp;$Q4584)</f>
        <v/>
      </c>
      <c r="T4584">
        <f>IF($A4584="","",$S4584&amp;"|"&amp;$F4584)</f>
        <v/>
      </c>
      <c r="U4584">
        <f>IF($A4584="","",$R4584&amp;"("&amp;$E4584&amp;")")</f>
        <v/>
      </c>
      <c r="V4584">
        <f>IF($A4584="","",$F4584&amp;"|"&amp;$U4584&amp;"|"&amp;$D4584)</f>
        <v/>
      </c>
      <c r="W4584">
        <f>IF($T4584="","",IF($X4584&gt;N($X4583),$X4584,""))</f>
        <v/>
      </c>
      <c r="X4584">
        <f>IF($T4584="",N($X4583),IF(MATCH($T4584,$T$6:$T$6005,0)=ROW()-5,N($X4583)+1,N($X4583)))</f>
        <v/>
      </c>
      <c r="Z4584">
        <f>IF($V4584="","",IF($AA4584&gt;N($AA4583),$AA4584,""))</f>
        <v/>
      </c>
      <c r="AA4584">
        <f>IF($V4584="",N($AA4583),IF(MATCH($V4584,$V$6:$V$6005,0)=ROW()-5,N($AA4583)+1,N($AA4583)))</f>
        <v/>
      </c>
    </row>
    <row r="4585" ht="21" customHeight="1" s="66">
      <c r="A4585" s="56" t="n"/>
      <c r="B4585" s="57" t="n"/>
      <c r="C4585" s="57" t="n"/>
      <c r="D4585" s="57" t="n"/>
      <c r="E4585" s="56" t="n"/>
      <c r="F4585" s="57" t="n"/>
      <c r="G4585" s="57" t="n"/>
      <c r="H4585" s="56" t="n"/>
      <c r="I4585" s="56" t="n"/>
      <c r="J4585" s="58" t="n"/>
      <c r="K4585" s="58" t="n"/>
      <c r="L4585" s="13">
        <f>IF(OR($A4585="",AND($J4585="",$K4585="")),"",ROUND(N($J4585)-N($K4585),2))</f>
        <v/>
      </c>
      <c r="M4585" s="13">
        <f>IF(OR($A4585="",AND($J4585="",$K4585="")),"",MIN($J4585,$K4585))</f>
        <v/>
      </c>
      <c r="Q4585">
        <f>IF($A4585="","",$D4585&amp;"("&amp;SUBSTITUTE($E4585," ","")&amp;")")</f>
        <v/>
      </c>
      <c r="R4585">
        <f>IF($A4585="","",$B4585&amp;" - "&amp;$C4585)</f>
        <v/>
      </c>
      <c r="S4585">
        <f>IF($A4585="","",$R4585&amp;"|"&amp;$Q4585)</f>
        <v/>
      </c>
      <c r="T4585">
        <f>IF($A4585="","",$S4585&amp;"|"&amp;$F4585)</f>
        <v/>
      </c>
      <c r="U4585">
        <f>IF($A4585="","",$R4585&amp;"("&amp;$E4585&amp;")")</f>
        <v/>
      </c>
      <c r="V4585">
        <f>IF($A4585="","",$F4585&amp;"|"&amp;$U4585&amp;"|"&amp;$D4585)</f>
        <v/>
      </c>
      <c r="W4585">
        <f>IF($T4585="","",IF($X4585&gt;N($X4584),$X4585,""))</f>
        <v/>
      </c>
      <c r="X4585">
        <f>IF($T4585="",N($X4584),IF(MATCH($T4585,$T$6:$T$6005,0)=ROW()-5,N($X4584)+1,N($X4584)))</f>
        <v/>
      </c>
      <c r="Z4585">
        <f>IF($V4585="","",IF($AA4585&gt;N($AA4584),$AA4585,""))</f>
        <v/>
      </c>
      <c r="AA4585">
        <f>IF($V4585="",N($AA4584),IF(MATCH($V4585,$V$6:$V$6005,0)=ROW()-5,N($AA4584)+1,N($AA4584)))</f>
        <v/>
      </c>
    </row>
    <row r="4586" ht="21" customHeight="1" s="66">
      <c r="A4586" s="56" t="n"/>
      <c r="B4586" s="57" t="n"/>
      <c r="C4586" s="57" t="n"/>
      <c r="D4586" s="57" t="n"/>
      <c r="E4586" s="56" t="n"/>
      <c r="F4586" s="57" t="n"/>
      <c r="G4586" s="57" t="n"/>
      <c r="H4586" s="56" t="n"/>
      <c r="I4586" s="56" t="n"/>
      <c r="J4586" s="58" t="n"/>
      <c r="K4586" s="58" t="n"/>
      <c r="L4586" s="13">
        <f>IF(OR($A4586="",AND($J4586="",$K4586="")),"",ROUND(N($J4586)-N($K4586),2))</f>
        <v/>
      </c>
      <c r="M4586" s="13">
        <f>IF(OR($A4586="",AND($J4586="",$K4586="")),"",MIN($J4586,$K4586))</f>
        <v/>
      </c>
      <c r="Q4586">
        <f>IF($A4586="","",$D4586&amp;"("&amp;SUBSTITUTE($E4586," ","")&amp;")")</f>
        <v/>
      </c>
      <c r="R4586">
        <f>IF($A4586="","",$B4586&amp;" - "&amp;$C4586)</f>
        <v/>
      </c>
      <c r="S4586">
        <f>IF($A4586="","",$R4586&amp;"|"&amp;$Q4586)</f>
        <v/>
      </c>
      <c r="T4586">
        <f>IF($A4586="","",$S4586&amp;"|"&amp;$F4586)</f>
        <v/>
      </c>
      <c r="U4586">
        <f>IF($A4586="","",$R4586&amp;"("&amp;$E4586&amp;")")</f>
        <v/>
      </c>
      <c r="V4586">
        <f>IF($A4586="","",$F4586&amp;"|"&amp;$U4586&amp;"|"&amp;$D4586)</f>
        <v/>
      </c>
      <c r="W4586">
        <f>IF($T4586="","",IF($X4586&gt;N($X4585),$X4586,""))</f>
        <v/>
      </c>
      <c r="X4586">
        <f>IF($T4586="",N($X4585),IF(MATCH($T4586,$T$6:$T$6005,0)=ROW()-5,N($X4585)+1,N($X4585)))</f>
        <v/>
      </c>
      <c r="Z4586">
        <f>IF($V4586="","",IF($AA4586&gt;N($AA4585),$AA4586,""))</f>
        <v/>
      </c>
      <c r="AA4586">
        <f>IF($V4586="",N($AA4585),IF(MATCH($V4586,$V$6:$V$6005,0)=ROW()-5,N($AA4585)+1,N($AA4585)))</f>
        <v/>
      </c>
    </row>
    <row r="4587" ht="21" customHeight="1" s="66">
      <c r="A4587" s="56" t="n"/>
      <c r="B4587" s="57" t="n"/>
      <c r="C4587" s="57" t="n"/>
      <c r="D4587" s="57" t="n"/>
      <c r="E4587" s="56" t="n"/>
      <c r="F4587" s="57" t="n"/>
      <c r="G4587" s="57" t="n"/>
      <c r="H4587" s="56" t="n"/>
      <c r="I4587" s="56" t="n"/>
      <c r="J4587" s="58" t="n"/>
      <c r="K4587" s="58" t="n"/>
      <c r="L4587" s="13">
        <f>IF(OR($A4587="",AND($J4587="",$K4587="")),"",ROUND(N($J4587)-N($K4587),2))</f>
        <v/>
      </c>
      <c r="M4587" s="13">
        <f>IF(OR($A4587="",AND($J4587="",$K4587="")),"",MIN($J4587,$K4587))</f>
        <v/>
      </c>
      <c r="Q4587">
        <f>IF($A4587="","",$D4587&amp;"("&amp;SUBSTITUTE($E4587," ","")&amp;")")</f>
        <v/>
      </c>
      <c r="R4587">
        <f>IF($A4587="","",$B4587&amp;" - "&amp;$C4587)</f>
        <v/>
      </c>
      <c r="S4587">
        <f>IF($A4587="","",$R4587&amp;"|"&amp;$Q4587)</f>
        <v/>
      </c>
      <c r="T4587">
        <f>IF($A4587="","",$S4587&amp;"|"&amp;$F4587)</f>
        <v/>
      </c>
      <c r="U4587">
        <f>IF($A4587="","",$R4587&amp;"("&amp;$E4587&amp;")")</f>
        <v/>
      </c>
      <c r="V4587">
        <f>IF($A4587="","",$F4587&amp;"|"&amp;$U4587&amp;"|"&amp;$D4587)</f>
        <v/>
      </c>
      <c r="W4587">
        <f>IF($T4587="","",IF($X4587&gt;N($X4586),$X4587,""))</f>
        <v/>
      </c>
      <c r="X4587">
        <f>IF($T4587="",N($X4586),IF(MATCH($T4587,$T$6:$T$6005,0)=ROW()-5,N($X4586)+1,N($X4586)))</f>
        <v/>
      </c>
      <c r="Z4587">
        <f>IF($V4587="","",IF($AA4587&gt;N($AA4586),$AA4587,""))</f>
        <v/>
      </c>
      <c r="AA4587">
        <f>IF($V4587="",N($AA4586),IF(MATCH($V4587,$V$6:$V$6005,0)=ROW()-5,N($AA4586)+1,N($AA4586)))</f>
        <v/>
      </c>
    </row>
    <row r="4588" ht="21" customHeight="1" s="66">
      <c r="A4588" s="56" t="n"/>
      <c r="B4588" s="57" t="n"/>
      <c r="C4588" s="57" t="n"/>
      <c r="D4588" s="57" t="n"/>
      <c r="E4588" s="56" t="n"/>
      <c r="F4588" s="57" t="n"/>
      <c r="G4588" s="57" t="n"/>
      <c r="H4588" s="56" t="n"/>
      <c r="I4588" s="56" t="n"/>
      <c r="J4588" s="58" t="n"/>
      <c r="K4588" s="58" t="n"/>
      <c r="L4588" s="13">
        <f>IF(OR($A4588="",AND($J4588="",$K4588="")),"",ROUND(N($J4588)-N($K4588),2))</f>
        <v/>
      </c>
      <c r="M4588" s="13">
        <f>IF(OR($A4588="",AND($J4588="",$K4588="")),"",MIN($J4588,$K4588))</f>
        <v/>
      </c>
      <c r="Q4588">
        <f>IF($A4588="","",$D4588&amp;"("&amp;SUBSTITUTE($E4588," ","")&amp;")")</f>
        <v/>
      </c>
      <c r="R4588">
        <f>IF($A4588="","",$B4588&amp;" - "&amp;$C4588)</f>
        <v/>
      </c>
      <c r="S4588">
        <f>IF($A4588="","",$R4588&amp;"|"&amp;$Q4588)</f>
        <v/>
      </c>
      <c r="T4588">
        <f>IF($A4588="","",$S4588&amp;"|"&amp;$F4588)</f>
        <v/>
      </c>
      <c r="U4588">
        <f>IF($A4588="","",$R4588&amp;"("&amp;$E4588&amp;")")</f>
        <v/>
      </c>
      <c r="V4588">
        <f>IF($A4588="","",$F4588&amp;"|"&amp;$U4588&amp;"|"&amp;$D4588)</f>
        <v/>
      </c>
      <c r="W4588">
        <f>IF($T4588="","",IF($X4588&gt;N($X4587),$X4588,""))</f>
        <v/>
      </c>
      <c r="X4588">
        <f>IF($T4588="",N($X4587),IF(MATCH($T4588,$T$6:$T$6005,0)=ROW()-5,N($X4587)+1,N($X4587)))</f>
        <v/>
      </c>
      <c r="Z4588">
        <f>IF($V4588="","",IF($AA4588&gt;N($AA4587),$AA4588,""))</f>
        <v/>
      </c>
      <c r="AA4588">
        <f>IF($V4588="",N($AA4587),IF(MATCH($V4588,$V$6:$V$6005,0)=ROW()-5,N($AA4587)+1,N($AA4587)))</f>
        <v/>
      </c>
    </row>
    <row r="4589" ht="21" customHeight="1" s="66">
      <c r="A4589" s="56" t="n"/>
      <c r="B4589" s="57" t="n"/>
      <c r="C4589" s="57" t="n"/>
      <c r="D4589" s="57" t="n"/>
      <c r="E4589" s="56" t="n"/>
      <c r="F4589" s="57" t="n"/>
      <c r="G4589" s="57" t="n"/>
      <c r="H4589" s="56" t="n"/>
      <c r="I4589" s="56" t="n"/>
      <c r="J4589" s="58" t="n"/>
      <c r="K4589" s="58" t="n"/>
      <c r="L4589" s="13">
        <f>IF(OR($A4589="",AND($J4589="",$K4589="")),"",ROUND(N($J4589)-N($K4589),2))</f>
        <v/>
      </c>
      <c r="M4589" s="13">
        <f>IF(OR($A4589="",AND($J4589="",$K4589="")),"",MIN($J4589,$K4589))</f>
        <v/>
      </c>
      <c r="Q4589">
        <f>IF($A4589="","",$D4589&amp;"("&amp;SUBSTITUTE($E4589," ","")&amp;")")</f>
        <v/>
      </c>
      <c r="R4589">
        <f>IF($A4589="","",$B4589&amp;" - "&amp;$C4589)</f>
        <v/>
      </c>
      <c r="S4589">
        <f>IF($A4589="","",$R4589&amp;"|"&amp;$Q4589)</f>
        <v/>
      </c>
      <c r="T4589">
        <f>IF($A4589="","",$S4589&amp;"|"&amp;$F4589)</f>
        <v/>
      </c>
      <c r="U4589">
        <f>IF($A4589="","",$R4589&amp;"("&amp;$E4589&amp;")")</f>
        <v/>
      </c>
      <c r="V4589">
        <f>IF($A4589="","",$F4589&amp;"|"&amp;$U4589&amp;"|"&amp;$D4589)</f>
        <v/>
      </c>
      <c r="W4589">
        <f>IF($T4589="","",IF($X4589&gt;N($X4588),$X4589,""))</f>
        <v/>
      </c>
      <c r="X4589">
        <f>IF($T4589="",N($X4588),IF(MATCH($T4589,$T$6:$T$6005,0)=ROW()-5,N($X4588)+1,N($X4588)))</f>
        <v/>
      </c>
      <c r="Z4589">
        <f>IF($V4589="","",IF($AA4589&gt;N($AA4588),$AA4589,""))</f>
        <v/>
      </c>
      <c r="AA4589">
        <f>IF($V4589="",N($AA4588),IF(MATCH($V4589,$V$6:$V$6005,0)=ROW()-5,N($AA4588)+1,N($AA4588)))</f>
        <v/>
      </c>
    </row>
    <row r="4590" ht="21" customHeight="1" s="66">
      <c r="A4590" s="56" t="n"/>
      <c r="B4590" s="57" t="n"/>
      <c r="C4590" s="57" t="n"/>
      <c r="D4590" s="57" t="n"/>
      <c r="E4590" s="56" t="n"/>
      <c r="F4590" s="57" t="n"/>
      <c r="G4590" s="57" t="n"/>
      <c r="H4590" s="56" t="n"/>
      <c r="I4590" s="56" t="n"/>
      <c r="J4590" s="58" t="n"/>
      <c r="K4590" s="58" t="n"/>
      <c r="L4590" s="13">
        <f>IF(OR($A4590="",AND($J4590="",$K4590="")),"",ROUND(N($J4590)-N($K4590),2))</f>
        <v/>
      </c>
      <c r="M4590" s="13">
        <f>IF(OR($A4590="",AND($J4590="",$K4590="")),"",MIN($J4590,$K4590))</f>
        <v/>
      </c>
      <c r="Q4590">
        <f>IF($A4590="","",$D4590&amp;"("&amp;SUBSTITUTE($E4590," ","")&amp;")")</f>
        <v/>
      </c>
      <c r="R4590">
        <f>IF($A4590="","",$B4590&amp;" - "&amp;$C4590)</f>
        <v/>
      </c>
      <c r="S4590">
        <f>IF($A4590="","",$R4590&amp;"|"&amp;$Q4590)</f>
        <v/>
      </c>
      <c r="T4590">
        <f>IF($A4590="","",$S4590&amp;"|"&amp;$F4590)</f>
        <v/>
      </c>
      <c r="U4590">
        <f>IF($A4590="","",$R4590&amp;"("&amp;$E4590&amp;")")</f>
        <v/>
      </c>
      <c r="V4590">
        <f>IF($A4590="","",$F4590&amp;"|"&amp;$U4590&amp;"|"&amp;$D4590)</f>
        <v/>
      </c>
      <c r="W4590">
        <f>IF($T4590="","",IF($X4590&gt;N($X4589),$X4590,""))</f>
        <v/>
      </c>
      <c r="X4590">
        <f>IF($T4590="",N($X4589),IF(MATCH($T4590,$T$6:$T$6005,0)=ROW()-5,N($X4589)+1,N($X4589)))</f>
        <v/>
      </c>
      <c r="Z4590">
        <f>IF($V4590="","",IF($AA4590&gt;N($AA4589),$AA4590,""))</f>
        <v/>
      </c>
      <c r="AA4590">
        <f>IF($V4590="",N($AA4589),IF(MATCH($V4590,$V$6:$V$6005,0)=ROW()-5,N($AA4589)+1,N($AA4589)))</f>
        <v/>
      </c>
    </row>
    <row r="4591" ht="21" customHeight="1" s="66">
      <c r="A4591" s="56" t="n"/>
      <c r="B4591" s="57" t="n"/>
      <c r="C4591" s="57" t="n"/>
      <c r="D4591" s="57" t="n"/>
      <c r="E4591" s="56" t="n"/>
      <c r="F4591" s="57" t="n"/>
      <c r="G4591" s="57" t="n"/>
      <c r="H4591" s="56" t="n"/>
      <c r="I4591" s="56" t="n"/>
      <c r="J4591" s="58" t="n"/>
      <c r="K4591" s="58" t="n"/>
      <c r="L4591" s="13">
        <f>IF(OR($A4591="",AND($J4591="",$K4591="")),"",ROUND(N($J4591)-N($K4591),2))</f>
        <v/>
      </c>
      <c r="M4591" s="13">
        <f>IF(OR($A4591="",AND($J4591="",$K4591="")),"",MIN($J4591,$K4591))</f>
        <v/>
      </c>
      <c r="Q4591">
        <f>IF($A4591="","",$D4591&amp;"("&amp;SUBSTITUTE($E4591," ","")&amp;")")</f>
        <v/>
      </c>
      <c r="R4591">
        <f>IF($A4591="","",$B4591&amp;" - "&amp;$C4591)</f>
        <v/>
      </c>
      <c r="S4591">
        <f>IF($A4591="","",$R4591&amp;"|"&amp;$Q4591)</f>
        <v/>
      </c>
      <c r="T4591">
        <f>IF($A4591="","",$S4591&amp;"|"&amp;$F4591)</f>
        <v/>
      </c>
      <c r="U4591">
        <f>IF($A4591="","",$R4591&amp;"("&amp;$E4591&amp;")")</f>
        <v/>
      </c>
      <c r="V4591">
        <f>IF($A4591="","",$F4591&amp;"|"&amp;$U4591&amp;"|"&amp;$D4591)</f>
        <v/>
      </c>
      <c r="W4591">
        <f>IF($T4591="","",IF($X4591&gt;N($X4590),$X4591,""))</f>
        <v/>
      </c>
      <c r="X4591">
        <f>IF($T4591="",N($X4590),IF(MATCH($T4591,$T$6:$T$6005,0)=ROW()-5,N($X4590)+1,N($X4590)))</f>
        <v/>
      </c>
      <c r="Z4591">
        <f>IF($V4591="","",IF($AA4591&gt;N($AA4590),$AA4591,""))</f>
        <v/>
      </c>
      <c r="AA4591">
        <f>IF($V4591="",N($AA4590),IF(MATCH($V4591,$V$6:$V$6005,0)=ROW()-5,N($AA4590)+1,N($AA4590)))</f>
        <v/>
      </c>
    </row>
    <row r="4592" ht="21" customHeight="1" s="66">
      <c r="A4592" s="56" t="n"/>
      <c r="B4592" s="57" t="n"/>
      <c r="C4592" s="57" t="n"/>
      <c r="D4592" s="57" t="n"/>
      <c r="E4592" s="56" t="n"/>
      <c r="F4592" s="57" t="n"/>
      <c r="G4592" s="57" t="n"/>
      <c r="H4592" s="56" t="n"/>
      <c r="I4592" s="56" t="n"/>
      <c r="J4592" s="58" t="n"/>
      <c r="K4592" s="58" t="n"/>
      <c r="L4592" s="13">
        <f>IF(OR($A4592="",AND($J4592="",$K4592="")),"",ROUND(N($J4592)-N($K4592),2))</f>
        <v/>
      </c>
      <c r="M4592" s="13">
        <f>IF(OR($A4592="",AND($J4592="",$K4592="")),"",MIN($J4592,$K4592))</f>
        <v/>
      </c>
      <c r="Q4592">
        <f>IF($A4592="","",$D4592&amp;"("&amp;SUBSTITUTE($E4592," ","")&amp;")")</f>
        <v/>
      </c>
      <c r="R4592">
        <f>IF($A4592="","",$B4592&amp;" - "&amp;$C4592)</f>
        <v/>
      </c>
      <c r="S4592">
        <f>IF($A4592="","",$R4592&amp;"|"&amp;$Q4592)</f>
        <v/>
      </c>
      <c r="T4592">
        <f>IF($A4592="","",$S4592&amp;"|"&amp;$F4592)</f>
        <v/>
      </c>
      <c r="U4592">
        <f>IF($A4592="","",$R4592&amp;"("&amp;$E4592&amp;")")</f>
        <v/>
      </c>
      <c r="V4592">
        <f>IF($A4592="","",$F4592&amp;"|"&amp;$U4592&amp;"|"&amp;$D4592)</f>
        <v/>
      </c>
      <c r="W4592">
        <f>IF($T4592="","",IF($X4592&gt;N($X4591),$X4592,""))</f>
        <v/>
      </c>
      <c r="X4592">
        <f>IF($T4592="",N($X4591),IF(MATCH($T4592,$T$6:$T$6005,0)=ROW()-5,N($X4591)+1,N($X4591)))</f>
        <v/>
      </c>
      <c r="Z4592">
        <f>IF($V4592="","",IF($AA4592&gt;N($AA4591),$AA4592,""))</f>
        <v/>
      </c>
      <c r="AA4592">
        <f>IF($V4592="",N($AA4591),IF(MATCH($V4592,$V$6:$V$6005,0)=ROW()-5,N($AA4591)+1,N($AA4591)))</f>
        <v/>
      </c>
    </row>
    <row r="4593" ht="21" customHeight="1" s="66">
      <c r="A4593" s="56" t="n"/>
      <c r="B4593" s="57" t="n"/>
      <c r="C4593" s="57" t="n"/>
      <c r="D4593" s="57" t="n"/>
      <c r="E4593" s="56" t="n"/>
      <c r="F4593" s="57" t="n"/>
      <c r="G4593" s="57" t="n"/>
      <c r="H4593" s="56" t="n"/>
      <c r="I4593" s="56" t="n"/>
      <c r="J4593" s="58" t="n"/>
      <c r="K4593" s="58" t="n"/>
      <c r="L4593" s="13">
        <f>IF(OR($A4593="",AND($J4593="",$K4593="")),"",ROUND(N($J4593)-N($K4593),2))</f>
        <v/>
      </c>
      <c r="M4593" s="13">
        <f>IF(OR($A4593="",AND($J4593="",$K4593="")),"",MIN($J4593,$K4593))</f>
        <v/>
      </c>
      <c r="Q4593">
        <f>IF($A4593="","",$D4593&amp;"("&amp;SUBSTITUTE($E4593," ","")&amp;")")</f>
        <v/>
      </c>
      <c r="R4593">
        <f>IF($A4593="","",$B4593&amp;" - "&amp;$C4593)</f>
        <v/>
      </c>
      <c r="S4593">
        <f>IF($A4593="","",$R4593&amp;"|"&amp;$Q4593)</f>
        <v/>
      </c>
      <c r="T4593">
        <f>IF($A4593="","",$S4593&amp;"|"&amp;$F4593)</f>
        <v/>
      </c>
      <c r="U4593">
        <f>IF($A4593="","",$R4593&amp;"("&amp;$E4593&amp;")")</f>
        <v/>
      </c>
      <c r="V4593">
        <f>IF($A4593="","",$F4593&amp;"|"&amp;$U4593&amp;"|"&amp;$D4593)</f>
        <v/>
      </c>
      <c r="W4593">
        <f>IF($T4593="","",IF($X4593&gt;N($X4592),$X4593,""))</f>
        <v/>
      </c>
      <c r="X4593">
        <f>IF($T4593="",N($X4592),IF(MATCH($T4593,$T$6:$T$6005,0)=ROW()-5,N($X4592)+1,N($X4592)))</f>
        <v/>
      </c>
      <c r="Z4593">
        <f>IF($V4593="","",IF($AA4593&gt;N($AA4592),$AA4593,""))</f>
        <v/>
      </c>
      <c r="AA4593">
        <f>IF($V4593="",N($AA4592),IF(MATCH($V4593,$V$6:$V$6005,0)=ROW()-5,N($AA4592)+1,N($AA4592)))</f>
        <v/>
      </c>
    </row>
    <row r="4594" ht="21" customHeight="1" s="66">
      <c r="A4594" s="56" t="n"/>
      <c r="B4594" s="57" t="n"/>
      <c r="C4594" s="57" t="n"/>
      <c r="D4594" s="57" t="n"/>
      <c r="E4594" s="56" t="n"/>
      <c r="F4594" s="57" t="n"/>
      <c r="G4594" s="57" t="n"/>
      <c r="H4594" s="56" t="n"/>
      <c r="I4594" s="56" t="n"/>
      <c r="J4594" s="58" t="n"/>
      <c r="K4594" s="58" t="n"/>
      <c r="L4594" s="13">
        <f>IF(OR($A4594="",AND($J4594="",$K4594="")),"",ROUND(N($J4594)-N($K4594),2))</f>
        <v/>
      </c>
      <c r="M4594" s="13">
        <f>IF(OR($A4594="",AND($J4594="",$K4594="")),"",MIN($J4594,$K4594))</f>
        <v/>
      </c>
      <c r="Q4594">
        <f>IF($A4594="","",$D4594&amp;"("&amp;SUBSTITUTE($E4594," ","")&amp;")")</f>
        <v/>
      </c>
      <c r="R4594">
        <f>IF($A4594="","",$B4594&amp;" - "&amp;$C4594)</f>
        <v/>
      </c>
      <c r="S4594">
        <f>IF($A4594="","",$R4594&amp;"|"&amp;$Q4594)</f>
        <v/>
      </c>
      <c r="T4594">
        <f>IF($A4594="","",$S4594&amp;"|"&amp;$F4594)</f>
        <v/>
      </c>
      <c r="U4594">
        <f>IF($A4594="","",$R4594&amp;"("&amp;$E4594&amp;")")</f>
        <v/>
      </c>
      <c r="V4594">
        <f>IF($A4594="","",$F4594&amp;"|"&amp;$U4594&amp;"|"&amp;$D4594)</f>
        <v/>
      </c>
      <c r="W4594">
        <f>IF($T4594="","",IF($X4594&gt;N($X4593),$X4594,""))</f>
        <v/>
      </c>
      <c r="X4594">
        <f>IF($T4594="",N($X4593),IF(MATCH($T4594,$T$6:$T$6005,0)=ROW()-5,N($X4593)+1,N($X4593)))</f>
        <v/>
      </c>
      <c r="Z4594">
        <f>IF($V4594="","",IF($AA4594&gt;N($AA4593),$AA4594,""))</f>
        <v/>
      </c>
      <c r="AA4594">
        <f>IF($V4594="",N($AA4593),IF(MATCH($V4594,$V$6:$V$6005,0)=ROW()-5,N($AA4593)+1,N($AA4593)))</f>
        <v/>
      </c>
    </row>
    <row r="4595" ht="21" customHeight="1" s="66">
      <c r="A4595" s="56" t="n"/>
      <c r="B4595" s="57" t="n"/>
      <c r="C4595" s="57" t="n"/>
      <c r="D4595" s="57" t="n"/>
      <c r="E4595" s="56" t="n"/>
      <c r="F4595" s="57" t="n"/>
      <c r="G4595" s="57" t="n"/>
      <c r="H4595" s="56" t="n"/>
      <c r="I4595" s="56" t="n"/>
      <c r="J4595" s="58" t="n"/>
      <c r="K4595" s="58" t="n"/>
      <c r="L4595" s="13">
        <f>IF(OR($A4595="",AND($J4595="",$K4595="")),"",ROUND(N($J4595)-N($K4595),2))</f>
        <v/>
      </c>
      <c r="M4595" s="13">
        <f>IF(OR($A4595="",AND($J4595="",$K4595="")),"",MIN($J4595,$K4595))</f>
        <v/>
      </c>
      <c r="Q4595">
        <f>IF($A4595="","",$D4595&amp;"("&amp;SUBSTITUTE($E4595," ","")&amp;")")</f>
        <v/>
      </c>
      <c r="R4595">
        <f>IF($A4595="","",$B4595&amp;" - "&amp;$C4595)</f>
        <v/>
      </c>
      <c r="S4595">
        <f>IF($A4595="","",$R4595&amp;"|"&amp;$Q4595)</f>
        <v/>
      </c>
      <c r="T4595">
        <f>IF($A4595="","",$S4595&amp;"|"&amp;$F4595)</f>
        <v/>
      </c>
      <c r="U4595">
        <f>IF($A4595="","",$R4595&amp;"("&amp;$E4595&amp;")")</f>
        <v/>
      </c>
      <c r="V4595">
        <f>IF($A4595="","",$F4595&amp;"|"&amp;$U4595&amp;"|"&amp;$D4595)</f>
        <v/>
      </c>
      <c r="W4595">
        <f>IF($T4595="","",IF($X4595&gt;N($X4594),$X4595,""))</f>
        <v/>
      </c>
      <c r="X4595">
        <f>IF($T4595="",N($X4594),IF(MATCH($T4595,$T$6:$T$6005,0)=ROW()-5,N($X4594)+1,N($X4594)))</f>
        <v/>
      </c>
      <c r="Z4595">
        <f>IF($V4595="","",IF($AA4595&gt;N($AA4594),$AA4595,""))</f>
        <v/>
      </c>
      <c r="AA4595">
        <f>IF($V4595="",N($AA4594),IF(MATCH($V4595,$V$6:$V$6005,0)=ROW()-5,N($AA4594)+1,N($AA4594)))</f>
        <v/>
      </c>
    </row>
    <row r="4596" ht="21" customHeight="1" s="66">
      <c r="A4596" s="56" t="n"/>
      <c r="B4596" s="57" t="n"/>
      <c r="C4596" s="57" t="n"/>
      <c r="D4596" s="57" t="n"/>
      <c r="E4596" s="56" t="n"/>
      <c r="F4596" s="57" t="n"/>
      <c r="G4596" s="57" t="n"/>
      <c r="H4596" s="56" t="n"/>
      <c r="I4596" s="56" t="n"/>
      <c r="J4596" s="58" t="n"/>
      <c r="K4596" s="58" t="n"/>
      <c r="L4596" s="13">
        <f>IF(OR($A4596="",AND($J4596="",$K4596="")),"",ROUND(N($J4596)-N($K4596),2))</f>
        <v/>
      </c>
      <c r="M4596" s="13">
        <f>IF(OR($A4596="",AND($J4596="",$K4596="")),"",MIN($J4596,$K4596))</f>
        <v/>
      </c>
      <c r="Q4596">
        <f>IF($A4596="","",$D4596&amp;"("&amp;SUBSTITUTE($E4596," ","")&amp;")")</f>
        <v/>
      </c>
      <c r="R4596">
        <f>IF($A4596="","",$B4596&amp;" - "&amp;$C4596)</f>
        <v/>
      </c>
      <c r="S4596">
        <f>IF($A4596="","",$R4596&amp;"|"&amp;$Q4596)</f>
        <v/>
      </c>
      <c r="T4596">
        <f>IF($A4596="","",$S4596&amp;"|"&amp;$F4596)</f>
        <v/>
      </c>
      <c r="U4596">
        <f>IF($A4596="","",$R4596&amp;"("&amp;$E4596&amp;")")</f>
        <v/>
      </c>
      <c r="V4596">
        <f>IF($A4596="","",$F4596&amp;"|"&amp;$U4596&amp;"|"&amp;$D4596)</f>
        <v/>
      </c>
      <c r="W4596">
        <f>IF($T4596="","",IF($X4596&gt;N($X4595),$X4596,""))</f>
        <v/>
      </c>
      <c r="X4596">
        <f>IF($T4596="",N($X4595),IF(MATCH($T4596,$T$6:$T$6005,0)=ROW()-5,N($X4595)+1,N($X4595)))</f>
        <v/>
      </c>
      <c r="Z4596">
        <f>IF($V4596="","",IF($AA4596&gt;N($AA4595),$AA4596,""))</f>
        <v/>
      </c>
      <c r="AA4596">
        <f>IF($V4596="",N($AA4595),IF(MATCH($V4596,$V$6:$V$6005,0)=ROW()-5,N($AA4595)+1,N($AA4595)))</f>
        <v/>
      </c>
    </row>
    <row r="4597" ht="21" customHeight="1" s="66">
      <c r="A4597" s="56" t="n"/>
      <c r="B4597" s="57" t="n"/>
      <c r="C4597" s="57" t="n"/>
      <c r="D4597" s="57" t="n"/>
      <c r="E4597" s="56" t="n"/>
      <c r="F4597" s="57" t="n"/>
      <c r="G4597" s="57" t="n"/>
      <c r="H4597" s="56" t="n"/>
      <c r="I4597" s="56" t="n"/>
      <c r="J4597" s="58" t="n"/>
      <c r="K4597" s="58" t="n"/>
      <c r="L4597" s="13">
        <f>IF(OR($A4597="",AND($J4597="",$K4597="")),"",ROUND(N($J4597)-N($K4597),2))</f>
        <v/>
      </c>
      <c r="M4597" s="13">
        <f>IF(OR($A4597="",AND($J4597="",$K4597="")),"",MIN($J4597,$K4597))</f>
        <v/>
      </c>
      <c r="Q4597">
        <f>IF($A4597="","",$D4597&amp;"("&amp;SUBSTITUTE($E4597," ","")&amp;")")</f>
        <v/>
      </c>
      <c r="R4597">
        <f>IF($A4597="","",$B4597&amp;" - "&amp;$C4597)</f>
        <v/>
      </c>
      <c r="S4597">
        <f>IF($A4597="","",$R4597&amp;"|"&amp;$Q4597)</f>
        <v/>
      </c>
      <c r="T4597">
        <f>IF($A4597="","",$S4597&amp;"|"&amp;$F4597)</f>
        <v/>
      </c>
      <c r="U4597">
        <f>IF($A4597="","",$R4597&amp;"("&amp;$E4597&amp;")")</f>
        <v/>
      </c>
      <c r="V4597">
        <f>IF($A4597="","",$F4597&amp;"|"&amp;$U4597&amp;"|"&amp;$D4597)</f>
        <v/>
      </c>
      <c r="W4597">
        <f>IF($T4597="","",IF($X4597&gt;N($X4596),$X4597,""))</f>
        <v/>
      </c>
      <c r="X4597">
        <f>IF($T4597="",N($X4596),IF(MATCH($T4597,$T$6:$T$6005,0)=ROW()-5,N($X4596)+1,N($X4596)))</f>
        <v/>
      </c>
      <c r="Z4597">
        <f>IF($V4597="","",IF($AA4597&gt;N($AA4596),$AA4597,""))</f>
        <v/>
      </c>
      <c r="AA4597">
        <f>IF($V4597="",N($AA4596),IF(MATCH($V4597,$V$6:$V$6005,0)=ROW()-5,N($AA4596)+1,N($AA4596)))</f>
        <v/>
      </c>
    </row>
    <row r="4598" ht="21" customHeight="1" s="66">
      <c r="A4598" s="56" t="n"/>
      <c r="B4598" s="57" t="n"/>
      <c r="C4598" s="57" t="n"/>
      <c r="D4598" s="57" t="n"/>
      <c r="E4598" s="56" t="n"/>
      <c r="F4598" s="57" t="n"/>
      <c r="G4598" s="57" t="n"/>
      <c r="H4598" s="56" t="n"/>
      <c r="I4598" s="56" t="n"/>
      <c r="J4598" s="58" t="n"/>
      <c r="K4598" s="58" t="n"/>
      <c r="L4598" s="13">
        <f>IF(OR($A4598="",AND($J4598="",$K4598="")),"",ROUND(N($J4598)-N($K4598),2))</f>
        <v/>
      </c>
      <c r="M4598" s="13">
        <f>IF(OR($A4598="",AND($J4598="",$K4598="")),"",MIN($J4598,$K4598))</f>
        <v/>
      </c>
      <c r="Q4598">
        <f>IF($A4598="","",$D4598&amp;"("&amp;SUBSTITUTE($E4598," ","")&amp;")")</f>
        <v/>
      </c>
      <c r="R4598">
        <f>IF($A4598="","",$B4598&amp;" - "&amp;$C4598)</f>
        <v/>
      </c>
      <c r="S4598">
        <f>IF($A4598="","",$R4598&amp;"|"&amp;$Q4598)</f>
        <v/>
      </c>
      <c r="T4598">
        <f>IF($A4598="","",$S4598&amp;"|"&amp;$F4598)</f>
        <v/>
      </c>
      <c r="U4598">
        <f>IF($A4598="","",$R4598&amp;"("&amp;$E4598&amp;")")</f>
        <v/>
      </c>
      <c r="V4598">
        <f>IF($A4598="","",$F4598&amp;"|"&amp;$U4598&amp;"|"&amp;$D4598)</f>
        <v/>
      </c>
      <c r="W4598">
        <f>IF($T4598="","",IF($X4598&gt;N($X4597),$X4598,""))</f>
        <v/>
      </c>
      <c r="X4598">
        <f>IF($T4598="",N($X4597),IF(MATCH($T4598,$T$6:$T$6005,0)=ROW()-5,N($X4597)+1,N($X4597)))</f>
        <v/>
      </c>
      <c r="Z4598">
        <f>IF($V4598="","",IF($AA4598&gt;N($AA4597),$AA4598,""))</f>
        <v/>
      </c>
      <c r="AA4598">
        <f>IF($V4598="",N($AA4597),IF(MATCH($V4598,$V$6:$V$6005,0)=ROW()-5,N($AA4597)+1,N($AA4597)))</f>
        <v/>
      </c>
    </row>
    <row r="4599" ht="21" customHeight="1" s="66">
      <c r="A4599" s="56" t="n"/>
      <c r="B4599" s="57" t="n"/>
      <c r="C4599" s="57" t="n"/>
      <c r="D4599" s="57" t="n"/>
      <c r="E4599" s="56" t="n"/>
      <c r="F4599" s="57" t="n"/>
      <c r="G4599" s="57" t="n"/>
      <c r="H4599" s="56" t="n"/>
      <c r="I4599" s="56" t="n"/>
      <c r="J4599" s="58" t="n"/>
      <c r="K4599" s="58" t="n"/>
      <c r="L4599" s="13">
        <f>IF(OR($A4599="",AND($J4599="",$K4599="")),"",ROUND(N($J4599)-N($K4599),2))</f>
        <v/>
      </c>
      <c r="M4599" s="13">
        <f>IF(OR($A4599="",AND($J4599="",$K4599="")),"",MIN($J4599,$K4599))</f>
        <v/>
      </c>
      <c r="Q4599">
        <f>IF($A4599="","",$D4599&amp;"("&amp;SUBSTITUTE($E4599," ","")&amp;")")</f>
        <v/>
      </c>
      <c r="R4599">
        <f>IF($A4599="","",$B4599&amp;" - "&amp;$C4599)</f>
        <v/>
      </c>
      <c r="S4599">
        <f>IF($A4599="","",$R4599&amp;"|"&amp;$Q4599)</f>
        <v/>
      </c>
      <c r="T4599">
        <f>IF($A4599="","",$S4599&amp;"|"&amp;$F4599)</f>
        <v/>
      </c>
      <c r="U4599">
        <f>IF($A4599="","",$R4599&amp;"("&amp;$E4599&amp;")")</f>
        <v/>
      </c>
      <c r="V4599">
        <f>IF($A4599="","",$F4599&amp;"|"&amp;$U4599&amp;"|"&amp;$D4599)</f>
        <v/>
      </c>
      <c r="W4599">
        <f>IF($T4599="","",IF($X4599&gt;N($X4598),$X4599,""))</f>
        <v/>
      </c>
      <c r="X4599">
        <f>IF($T4599="",N($X4598),IF(MATCH($T4599,$T$6:$T$6005,0)=ROW()-5,N($X4598)+1,N($X4598)))</f>
        <v/>
      </c>
      <c r="Z4599">
        <f>IF($V4599="","",IF($AA4599&gt;N($AA4598),$AA4599,""))</f>
        <v/>
      </c>
      <c r="AA4599">
        <f>IF($V4599="",N($AA4598),IF(MATCH($V4599,$V$6:$V$6005,0)=ROW()-5,N($AA4598)+1,N($AA4598)))</f>
        <v/>
      </c>
    </row>
    <row r="4600" ht="21" customHeight="1" s="66">
      <c r="A4600" s="56" t="n"/>
      <c r="B4600" s="57" t="n"/>
      <c r="C4600" s="57" t="n"/>
      <c r="D4600" s="57" t="n"/>
      <c r="E4600" s="56" t="n"/>
      <c r="F4600" s="57" t="n"/>
      <c r="G4600" s="57" t="n"/>
      <c r="H4600" s="56" t="n"/>
      <c r="I4600" s="56" t="n"/>
      <c r="J4600" s="58" t="n"/>
      <c r="K4600" s="58" t="n"/>
      <c r="L4600" s="13">
        <f>IF(OR($A4600="",AND($J4600="",$K4600="")),"",ROUND(N($J4600)-N($K4600),2))</f>
        <v/>
      </c>
      <c r="M4600" s="13">
        <f>IF(OR($A4600="",AND($J4600="",$K4600="")),"",MIN($J4600,$K4600))</f>
        <v/>
      </c>
      <c r="Q4600">
        <f>IF($A4600="","",$D4600&amp;"("&amp;SUBSTITUTE($E4600," ","")&amp;")")</f>
        <v/>
      </c>
      <c r="R4600">
        <f>IF($A4600="","",$B4600&amp;" - "&amp;$C4600)</f>
        <v/>
      </c>
      <c r="S4600">
        <f>IF($A4600="","",$R4600&amp;"|"&amp;$Q4600)</f>
        <v/>
      </c>
      <c r="T4600">
        <f>IF($A4600="","",$S4600&amp;"|"&amp;$F4600)</f>
        <v/>
      </c>
      <c r="U4600">
        <f>IF($A4600="","",$R4600&amp;"("&amp;$E4600&amp;")")</f>
        <v/>
      </c>
      <c r="V4600">
        <f>IF($A4600="","",$F4600&amp;"|"&amp;$U4600&amp;"|"&amp;$D4600)</f>
        <v/>
      </c>
      <c r="W4600">
        <f>IF($T4600="","",IF($X4600&gt;N($X4599),$X4600,""))</f>
        <v/>
      </c>
      <c r="X4600">
        <f>IF($T4600="",N($X4599),IF(MATCH($T4600,$T$6:$T$6005,0)=ROW()-5,N($X4599)+1,N($X4599)))</f>
        <v/>
      </c>
      <c r="Z4600">
        <f>IF($V4600="","",IF($AA4600&gt;N($AA4599),$AA4600,""))</f>
        <v/>
      </c>
      <c r="AA4600">
        <f>IF($V4600="",N($AA4599),IF(MATCH($V4600,$V$6:$V$6005,0)=ROW()-5,N($AA4599)+1,N($AA4599)))</f>
        <v/>
      </c>
    </row>
    <row r="4601" ht="21" customHeight="1" s="66">
      <c r="A4601" s="56" t="n"/>
      <c r="B4601" s="57" t="n"/>
      <c r="C4601" s="57" t="n"/>
      <c r="D4601" s="57" t="n"/>
      <c r="E4601" s="56" t="n"/>
      <c r="F4601" s="57" t="n"/>
      <c r="G4601" s="57" t="n"/>
      <c r="H4601" s="56" t="n"/>
      <c r="I4601" s="56" t="n"/>
      <c r="J4601" s="58" t="n"/>
      <c r="K4601" s="58" t="n"/>
      <c r="L4601" s="13">
        <f>IF(OR($A4601="",AND($J4601="",$K4601="")),"",ROUND(N($J4601)-N($K4601),2))</f>
        <v/>
      </c>
      <c r="M4601" s="13">
        <f>IF(OR($A4601="",AND($J4601="",$K4601="")),"",MIN($J4601,$K4601))</f>
        <v/>
      </c>
      <c r="Q4601">
        <f>IF($A4601="","",$D4601&amp;"("&amp;SUBSTITUTE($E4601," ","")&amp;")")</f>
        <v/>
      </c>
      <c r="R4601">
        <f>IF($A4601="","",$B4601&amp;" - "&amp;$C4601)</f>
        <v/>
      </c>
      <c r="S4601">
        <f>IF($A4601="","",$R4601&amp;"|"&amp;$Q4601)</f>
        <v/>
      </c>
      <c r="T4601">
        <f>IF($A4601="","",$S4601&amp;"|"&amp;$F4601)</f>
        <v/>
      </c>
      <c r="U4601">
        <f>IF($A4601="","",$R4601&amp;"("&amp;$E4601&amp;")")</f>
        <v/>
      </c>
      <c r="V4601">
        <f>IF($A4601="","",$F4601&amp;"|"&amp;$U4601&amp;"|"&amp;$D4601)</f>
        <v/>
      </c>
      <c r="W4601">
        <f>IF($T4601="","",IF($X4601&gt;N($X4600),$X4601,""))</f>
        <v/>
      </c>
      <c r="X4601">
        <f>IF($T4601="",N($X4600),IF(MATCH($T4601,$T$6:$T$6005,0)=ROW()-5,N($X4600)+1,N($X4600)))</f>
        <v/>
      </c>
      <c r="Z4601">
        <f>IF($V4601="","",IF($AA4601&gt;N($AA4600),$AA4601,""))</f>
        <v/>
      </c>
      <c r="AA4601">
        <f>IF($V4601="",N($AA4600),IF(MATCH($V4601,$V$6:$V$6005,0)=ROW()-5,N($AA4600)+1,N($AA4600)))</f>
        <v/>
      </c>
    </row>
    <row r="4602" ht="21" customHeight="1" s="66">
      <c r="A4602" s="56" t="n"/>
      <c r="B4602" s="57" t="n"/>
      <c r="C4602" s="57" t="n"/>
      <c r="D4602" s="57" t="n"/>
      <c r="E4602" s="56" t="n"/>
      <c r="F4602" s="57" t="n"/>
      <c r="G4602" s="57" t="n"/>
      <c r="H4602" s="56" t="n"/>
      <c r="I4602" s="56" t="n"/>
      <c r="J4602" s="58" t="n"/>
      <c r="K4602" s="58" t="n"/>
      <c r="L4602" s="13">
        <f>IF(OR($A4602="",AND($J4602="",$K4602="")),"",ROUND(N($J4602)-N($K4602),2))</f>
        <v/>
      </c>
      <c r="M4602" s="13">
        <f>IF(OR($A4602="",AND($J4602="",$K4602="")),"",MIN($J4602,$K4602))</f>
        <v/>
      </c>
      <c r="Q4602">
        <f>IF($A4602="","",$D4602&amp;"("&amp;SUBSTITUTE($E4602," ","")&amp;")")</f>
        <v/>
      </c>
      <c r="R4602">
        <f>IF($A4602="","",$B4602&amp;" - "&amp;$C4602)</f>
        <v/>
      </c>
      <c r="S4602">
        <f>IF($A4602="","",$R4602&amp;"|"&amp;$Q4602)</f>
        <v/>
      </c>
      <c r="T4602">
        <f>IF($A4602="","",$S4602&amp;"|"&amp;$F4602)</f>
        <v/>
      </c>
      <c r="U4602">
        <f>IF($A4602="","",$R4602&amp;"("&amp;$E4602&amp;")")</f>
        <v/>
      </c>
      <c r="V4602">
        <f>IF($A4602="","",$F4602&amp;"|"&amp;$U4602&amp;"|"&amp;$D4602)</f>
        <v/>
      </c>
      <c r="W4602">
        <f>IF($T4602="","",IF($X4602&gt;N($X4601),$X4602,""))</f>
        <v/>
      </c>
      <c r="X4602">
        <f>IF($T4602="",N($X4601),IF(MATCH($T4602,$T$6:$T$6005,0)=ROW()-5,N($X4601)+1,N($X4601)))</f>
        <v/>
      </c>
      <c r="Z4602">
        <f>IF($V4602="","",IF($AA4602&gt;N($AA4601),$AA4602,""))</f>
        <v/>
      </c>
      <c r="AA4602">
        <f>IF($V4602="",N($AA4601),IF(MATCH($V4602,$V$6:$V$6005,0)=ROW()-5,N($AA4601)+1,N($AA4601)))</f>
        <v/>
      </c>
    </row>
    <row r="4603" ht="21" customHeight="1" s="66">
      <c r="A4603" s="56" t="n"/>
      <c r="B4603" s="57" t="n"/>
      <c r="C4603" s="57" t="n"/>
      <c r="D4603" s="57" t="n"/>
      <c r="E4603" s="56" t="n"/>
      <c r="F4603" s="57" t="n"/>
      <c r="G4603" s="57" t="n"/>
      <c r="H4603" s="56" t="n"/>
      <c r="I4603" s="56" t="n"/>
      <c r="J4603" s="58" t="n"/>
      <c r="K4603" s="58" t="n"/>
      <c r="L4603" s="13">
        <f>IF(OR($A4603="",AND($J4603="",$K4603="")),"",ROUND(N($J4603)-N($K4603),2))</f>
        <v/>
      </c>
      <c r="M4603" s="13">
        <f>IF(OR($A4603="",AND($J4603="",$K4603="")),"",MIN($J4603,$K4603))</f>
        <v/>
      </c>
      <c r="Q4603">
        <f>IF($A4603="","",$D4603&amp;"("&amp;SUBSTITUTE($E4603," ","")&amp;")")</f>
        <v/>
      </c>
      <c r="R4603">
        <f>IF($A4603="","",$B4603&amp;" - "&amp;$C4603)</f>
        <v/>
      </c>
      <c r="S4603">
        <f>IF($A4603="","",$R4603&amp;"|"&amp;$Q4603)</f>
        <v/>
      </c>
      <c r="T4603">
        <f>IF($A4603="","",$S4603&amp;"|"&amp;$F4603)</f>
        <v/>
      </c>
      <c r="U4603">
        <f>IF($A4603="","",$R4603&amp;"("&amp;$E4603&amp;")")</f>
        <v/>
      </c>
      <c r="V4603">
        <f>IF($A4603="","",$F4603&amp;"|"&amp;$U4603&amp;"|"&amp;$D4603)</f>
        <v/>
      </c>
      <c r="W4603">
        <f>IF($T4603="","",IF($X4603&gt;N($X4602),$X4603,""))</f>
        <v/>
      </c>
      <c r="X4603">
        <f>IF($T4603="",N($X4602),IF(MATCH($T4603,$T$6:$T$6005,0)=ROW()-5,N($X4602)+1,N($X4602)))</f>
        <v/>
      </c>
      <c r="Z4603">
        <f>IF($V4603="","",IF($AA4603&gt;N($AA4602),$AA4603,""))</f>
        <v/>
      </c>
      <c r="AA4603">
        <f>IF($V4603="",N($AA4602),IF(MATCH($V4603,$V$6:$V$6005,0)=ROW()-5,N($AA4602)+1,N($AA4602)))</f>
        <v/>
      </c>
    </row>
    <row r="4604" ht="21" customHeight="1" s="66">
      <c r="A4604" s="56" t="n"/>
      <c r="B4604" s="57" t="n"/>
      <c r="C4604" s="57" t="n"/>
      <c r="D4604" s="57" t="n"/>
      <c r="E4604" s="56" t="n"/>
      <c r="F4604" s="57" t="n"/>
      <c r="G4604" s="57" t="n"/>
      <c r="H4604" s="56" t="n"/>
      <c r="I4604" s="56" t="n"/>
      <c r="J4604" s="58" t="n"/>
      <c r="K4604" s="58" t="n"/>
      <c r="L4604" s="13">
        <f>IF(OR($A4604="",AND($J4604="",$K4604="")),"",ROUND(N($J4604)-N($K4604),2))</f>
        <v/>
      </c>
      <c r="M4604" s="13">
        <f>IF(OR($A4604="",AND($J4604="",$K4604="")),"",MIN($J4604,$K4604))</f>
        <v/>
      </c>
      <c r="Q4604">
        <f>IF($A4604="","",$D4604&amp;"("&amp;SUBSTITUTE($E4604," ","")&amp;")")</f>
        <v/>
      </c>
      <c r="R4604">
        <f>IF($A4604="","",$B4604&amp;" - "&amp;$C4604)</f>
        <v/>
      </c>
      <c r="S4604">
        <f>IF($A4604="","",$R4604&amp;"|"&amp;$Q4604)</f>
        <v/>
      </c>
      <c r="T4604">
        <f>IF($A4604="","",$S4604&amp;"|"&amp;$F4604)</f>
        <v/>
      </c>
      <c r="U4604">
        <f>IF($A4604="","",$R4604&amp;"("&amp;$E4604&amp;")")</f>
        <v/>
      </c>
      <c r="V4604">
        <f>IF($A4604="","",$F4604&amp;"|"&amp;$U4604&amp;"|"&amp;$D4604)</f>
        <v/>
      </c>
      <c r="W4604">
        <f>IF($T4604="","",IF($X4604&gt;N($X4603),$X4604,""))</f>
        <v/>
      </c>
      <c r="X4604">
        <f>IF($T4604="",N($X4603),IF(MATCH($T4604,$T$6:$T$6005,0)=ROW()-5,N($X4603)+1,N($X4603)))</f>
        <v/>
      </c>
      <c r="Z4604">
        <f>IF($V4604="","",IF($AA4604&gt;N($AA4603),$AA4604,""))</f>
        <v/>
      </c>
      <c r="AA4604">
        <f>IF($V4604="",N($AA4603),IF(MATCH($V4604,$V$6:$V$6005,0)=ROW()-5,N($AA4603)+1,N($AA4603)))</f>
        <v/>
      </c>
    </row>
    <row r="4605" ht="21" customHeight="1" s="66">
      <c r="A4605" s="56" t="n"/>
      <c r="B4605" s="57" t="n"/>
      <c r="C4605" s="57" t="n"/>
      <c r="D4605" s="57" t="n"/>
      <c r="E4605" s="56" t="n"/>
      <c r="F4605" s="57" t="n"/>
      <c r="G4605" s="57" t="n"/>
      <c r="H4605" s="56" t="n"/>
      <c r="I4605" s="56" t="n"/>
      <c r="J4605" s="58" t="n"/>
      <c r="K4605" s="58" t="n"/>
      <c r="L4605" s="13">
        <f>IF(OR($A4605="",AND($J4605="",$K4605="")),"",ROUND(N($J4605)-N($K4605),2))</f>
        <v/>
      </c>
      <c r="M4605" s="13">
        <f>IF(OR($A4605="",AND($J4605="",$K4605="")),"",MIN($J4605,$K4605))</f>
        <v/>
      </c>
      <c r="Q4605">
        <f>IF($A4605="","",$D4605&amp;"("&amp;SUBSTITUTE($E4605," ","")&amp;")")</f>
        <v/>
      </c>
      <c r="R4605">
        <f>IF($A4605="","",$B4605&amp;" - "&amp;$C4605)</f>
        <v/>
      </c>
      <c r="S4605">
        <f>IF($A4605="","",$R4605&amp;"|"&amp;$Q4605)</f>
        <v/>
      </c>
      <c r="T4605">
        <f>IF($A4605="","",$S4605&amp;"|"&amp;$F4605)</f>
        <v/>
      </c>
      <c r="U4605">
        <f>IF($A4605="","",$R4605&amp;"("&amp;$E4605&amp;")")</f>
        <v/>
      </c>
      <c r="V4605">
        <f>IF($A4605="","",$F4605&amp;"|"&amp;$U4605&amp;"|"&amp;$D4605)</f>
        <v/>
      </c>
      <c r="W4605">
        <f>IF($T4605="","",IF($X4605&gt;N($X4604),$X4605,""))</f>
        <v/>
      </c>
      <c r="X4605">
        <f>IF($T4605="",N($X4604),IF(MATCH($T4605,$T$6:$T$6005,0)=ROW()-5,N($X4604)+1,N($X4604)))</f>
        <v/>
      </c>
      <c r="Z4605">
        <f>IF($V4605="","",IF($AA4605&gt;N($AA4604),$AA4605,""))</f>
        <v/>
      </c>
      <c r="AA4605">
        <f>IF($V4605="",N($AA4604),IF(MATCH($V4605,$V$6:$V$6005,0)=ROW()-5,N($AA4604)+1,N($AA4604)))</f>
        <v/>
      </c>
    </row>
    <row r="4606" ht="21" customHeight="1" s="66">
      <c r="A4606" s="56" t="n"/>
      <c r="B4606" s="57" t="n"/>
      <c r="C4606" s="57" t="n"/>
      <c r="D4606" s="57" t="n"/>
      <c r="E4606" s="56" t="n"/>
      <c r="F4606" s="57" t="n"/>
      <c r="G4606" s="57" t="n"/>
      <c r="H4606" s="56" t="n"/>
      <c r="I4606" s="56" t="n"/>
      <c r="J4606" s="58" t="n"/>
      <c r="K4606" s="58" t="n"/>
      <c r="L4606" s="13">
        <f>IF(OR($A4606="",AND($J4606="",$K4606="")),"",ROUND(N($J4606)-N($K4606),2))</f>
        <v/>
      </c>
      <c r="M4606" s="13">
        <f>IF(OR($A4606="",AND($J4606="",$K4606="")),"",MIN($J4606,$K4606))</f>
        <v/>
      </c>
      <c r="Q4606">
        <f>IF($A4606="","",$D4606&amp;"("&amp;SUBSTITUTE($E4606," ","")&amp;")")</f>
        <v/>
      </c>
      <c r="R4606">
        <f>IF($A4606="","",$B4606&amp;" - "&amp;$C4606)</f>
        <v/>
      </c>
      <c r="S4606">
        <f>IF($A4606="","",$R4606&amp;"|"&amp;$Q4606)</f>
        <v/>
      </c>
      <c r="T4606">
        <f>IF($A4606="","",$S4606&amp;"|"&amp;$F4606)</f>
        <v/>
      </c>
      <c r="U4606">
        <f>IF($A4606="","",$R4606&amp;"("&amp;$E4606&amp;")")</f>
        <v/>
      </c>
      <c r="V4606">
        <f>IF($A4606="","",$F4606&amp;"|"&amp;$U4606&amp;"|"&amp;$D4606)</f>
        <v/>
      </c>
      <c r="W4606">
        <f>IF($T4606="","",IF($X4606&gt;N($X4605),$X4606,""))</f>
        <v/>
      </c>
      <c r="X4606">
        <f>IF($T4606="",N($X4605),IF(MATCH($T4606,$T$6:$T$6005,0)=ROW()-5,N($X4605)+1,N($X4605)))</f>
        <v/>
      </c>
      <c r="Z4606">
        <f>IF($V4606="","",IF($AA4606&gt;N($AA4605),$AA4606,""))</f>
        <v/>
      </c>
      <c r="AA4606">
        <f>IF($V4606="",N($AA4605),IF(MATCH($V4606,$V$6:$V$6005,0)=ROW()-5,N($AA4605)+1,N($AA4605)))</f>
        <v/>
      </c>
    </row>
    <row r="4607" ht="21" customHeight="1" s="66">
      <c r="A4607" s="56" t="n"/>
      <c r="B4607" s="57" t="n"/>
      <c r="C4607" s="57" t="n"/>
      <c r="D4607" s="57" t="n"/>
      <c r="E4607" s="56" t="n"/>
      <c r="F4607" s="57" t="n"/>
      <c r="G4607" s="57" t="n"/>
      <c r="H4607" s="56" t="n"/>
      <c r="I4607" s="56" t="n"/>
      <c r="J4607" s="58" t="n"/>
      <c r="K4607" s="58" t="n"/>
      <c r="L4607" s="13">
        <f>IF(OR($A4607="",AND($J4607="",$K4607="")),"",ROUND(N($J4607)-N($K4607),2))</f>
        <v/>
      </c>
      <c r="M4607" s="13">
        <f>IF(OR($A4607="",AND($J4607="",$K4607="")),"",MIN($J4607,$K4607))</f>
        <v/>
      </c>
      <c r="Q4607">
        <f>IF($A4607="","",$D4607&amp;"("&amp;SUBSTITUTE($E4607," ","")&amp;")")</f>
        <v/>
      </c>
      <c r="R4607">
        <f>IF($A4607="","",$B4607&amp;" - "&amp;$C4607)</f>
        <v/>
      </c>
      <c r="S4607">
        <f>IF($A4607="","",$R4607&amp;"|"&amp;$Q4607)</f>
        <v/>
      </c>
      <c r="T4607">
        <f>IF($A4607="","",$S4607&amp;"|"&amp;$F4607)</f>
        <v/>
      </c>
      <c r="U4607">
        <f>IF($A4607="","",$R4607&amp;"("&amp;$E4607&amp;")")</f>
        <v/>
      </c>
      <c r="V4607">
        <f>IF($A4607="","",$F4607&amp;"|"&amp;$U4607&amp;"|"&amp;$D4607)</f>
        <v/>
      </c>
      <c r="W4607">
        <f>IF($T4607="","",IF($X4607&gt;N($X4606),$X4607,""))</f>
        <v/>
      </c>
      <c r="X4607">
        <f>IF($T4607="",N($X4606),IF(MATCH($T4607,$T$6:$T$6005,0)=ROW()-5,N($X4606)+1,N($X4606)))</f>
        <v/>
      </c>
      <c r="Z4607">
        <f>IF($V4607="","",IF($AA4607&gt;N($AA4606),$AA4607,""))</f>
        <v/>
      </c>
      <c r="AA4607">
        <f>IF($V4607="",N($AA4606),IF(MATCH($V4607,$V$6:$V$6005,0)=ROW()-5,N($AA4606)+1,N($AA4606)))</f>
        <v/>
      </c>
    </row>
    <row r="4608" ht="21" customHeight="1" s="66">
      <c r="A4608" s="56" t="n"/>
      <c r="B4608" s="57" t="n"/>
      <c r="C4608" s="57" t="n"/>
      <c r="D4608" s="57" t="n"/>
      <c r="E4608" s="56" t="n"/>
      <c r="F4608" s="57" t="n"/>
      <c r="G4608" s="57" t="n"/>
      <c r="H4608" s="56" t="n"/>
      <c r="I4608" s="56" t="n"/>
      <c r="J4608" s="58" t="n"/>
      <c r="K4608" s="58" t="n"/>
      <c r="L4608" s="13">
        <f>IF(OR($A4608="",AND($J4608="",$K4608="")),"",ROUND(N($J4608)-N($K4608),2))</f>
        <v/>
      </c>
      <c r="M4608" s="13">
        <f>IF(OR($A4608="",AND($J4608="",$K4608="")),"",MIN($J4608,$K4608))</f>
        <v/>
      </c>
      <c r="Q4608">
        <f>IF($A4608="","",$D4608&amp;"("&amp;SUBSTITUTE($E4608," ","")&amp;")")</f>
        <v/>
      </c>
      <c r="R4608">
        <f>IF($A4608="","",$B4608&amp;" - "&amp;$C4608)</f>
        <v/>
      </c>
      <c r="S4608">
        <f>IF($A4608="","",$R4608&amp;"|"&amp;$Q4608)</f>
        <v/>
      </c>
      <c r="T4608">
        <f>IF($A4608="","",$S4608&amp;"|"&amp;$F4608)</f>
        <v/>
      </c>
      <c r="U4608">
        <f>IF($A4608="","",$R4608&amp;"("&amp;$E4608&amp;")")</f>
        <v/>
      </c>
      <c r="V4608">
        <f>IF($A4608="","",$F4608&amp;"|"&amp;$U4608&amp;"|"&amp;$D4608)</f>
        <v/>
      </c>
      <c r="W4608">
        <f>IF($T4608="","",IF($X4608&gt;N($X4607),$X4608,""))</f>
        <v/>
      </c>
      <c r="X4608">
        <f>IF($T4608="",N($X4607),IF(MATCH($T4608,$T$6:$T$6005,0)=ROW()-5,N($X4607)+1,N($X4607)))</f>
        <v/>
      </c>
      <c r="Z4608">
        <f>IF($V4608="","",IF($AA4608&gt;N($AA4607),$AA4608,""))</f>
        <v/>
      </c>
      <c r="AA4608">
        <f>IF($V4608="",N($AA4607),IF(MATCH($V4608,$V$6:$V$6005,0)=ROW()-5,N($AA4607)+1,N($AA4607)))</f>
        <v/>
      </c>
    </row>
    <row r="4609" ht="21" customHeight="1" s="66">
      <c r="A4609" s="56" t="n"/>
      <c r="B4609" s="57" t="n"/>
      <c r="C4609" s="57" t="n"/>
      <c r="D4609" s="57" t="n"/>
      <c r="E4609" s="56" t="n"/>
      <c r="F4609" s="57" t="n"/>
      <c r="G4609" s="57" t="n"/>
      <c r="H4609" s="56" t="n"/>
      <c r="I4609" s="56" t="n"/>
      <c r="J4609" s="58" t="n"/>
      <c r="K4609" s="58" t="n"/>
      <c r="L4609" s="13">
        <f>IF(OR($A4609="",AND($J4609="",$K4609="")),"",ROUND(N($J4609)-N($K4609),2))</f>
        <v/>
      </c>
      <c r="M4609" s="13">
        <f>IF(OR($A4609="",AND($J4609="",$K4609="")),"",MIN($J4609,$K4609))</f>
        <v/>
      </c>
      <c r="Q4609">
        <f>IF($A4609="","",$D4609&amp;"("&amp;SUBSTITUTE($E4609," ","")&amp;")")</f>
        <v/>
      </c>
      <c r="R4609">
        <f>IF($A4609="","",$B4609&amp;" - "&amp;$C4609)</f>
        <v/>
      </c>
      <c r="S4609">
        <f>IF($A4609="","",$R4609&amp;"|"&amp;$Q4609)</f>
        <v/>
      </c>
      <c r="T4609">
        <f>IF($A4609="","",$S4609&amp;"|"&amp;$F4609)</f>
        <v/>
      </c>
      <c r="U4609">
        <f>IF($A4609="","",$R4609&amp;"("&amp;$E4609&amp;")")</f>
        <v/>
      </c>
      <c r="V4609">
        <f>IF($A4609="","",$F4609&amp;"|"&amp;$U4609&amp;"|"&amp;$D4609)</f>
        <v/>
      </c>
      <c r="W4609">
        <f>IF($T4609="","",IF($X4609&gt;N($X4608),$X4609,""))</f>
        <v/>
      </c>
      <c r="X4609">
        <f>IF($T4609="",N($X4608),IF(MATCH($T4609,$T$6:$T$6005,0)=ROW()-5,N($X4608)+1,N($X4608)))</f>
        <v/>
      </c>
      <c r="Z4609">
        <f>IF($V4609="","",IF($AA4609&gt;N($AA4608),$AA4609,""))</f>
        <v/>
      </c>
      <c r="AA4609">
        <f>IF($V4609="",N($AA4608),IF(MATCH($V4609,$V$6:$V$6005,0)=ROW()-5,N($AA4608)+1,N($AA4608)))</f>
        <v/>
      </c>
    </row>
    <row r="4610" ht="21" customHeight="1" s="66">
      <c r="A4610" s="56" t="n"/>
      <c r="B4610" s="57" t="n"/>
      <c r="C4610" s="57" t="n"/>
      <c r="D4610" s="57" t="n"/>
      <c r="E4610" s="56" t="n"/>
      <c r="F4610" s="57" t="n"/>
      <c r="G4610" s="57" t="n"/>
      <c r="H4610" s="56" t="n"/>
      <c r="I4610" s="56" t="n"/>
      <c r="J4610" s="58" t="n"/>
      <c r="K4610" s="58" t="n"/>
      <c r="L4610" s="13">
        <f>IF(OR($A4610="",AND($J4610="",$K4610="")),"",ROUND(N($J4610)-N($K4610),2))</f>
        <v/>
      </c>
      <c r="M4610" s="13">
        <f>IF(OR($A4610="",AND($J4610="",$K4610="")),"",MIN($J4610,$K4610))</f>
        <v/>
      </c>
      <c r="Q4610">
        <f>IF($A4610="","",$D4610&amp;"("&amp;SUBSTITUTE($E4610," ","")&amp;")")</f>
        <v/>
      </c>
      <c r="R4610">
        <f>IF($A4610="","",$B4610&amp;" - "&amp;$C4610)</f>
        <v/>
      </c>
      <c r="S4610">
        <f>IF($A4610="","",$R4610&amp;"|"&amp;$Q4610)</f>
        <v/>
      </c>
      <c r="T4610">
        <f>IF($A4610="","",$S4610&amp;"|"&amp;$F4610)</f>
        <v/>
      </c>
      <c r="U4610">
        <f>IF($A4610="","",$R4610&amp;"("&amp;$E4610&amp;")")</f>
        <v/>
      </c>
      <c r="V4610">
        <f>IF($A4610="","",$F4610&amp;"|"&amp;$U4610&amp;"|"&amp;$D4610)</f>
        <v/>
      </c>
      <c r="W4610">
        <f>IF($T4610="","",IF($X4610&gt;N($X4609),$X4610,""))</f>
        <v/>
      </c>
      <c r="X4610">
        <f>IF($T4610="",N($X4609),IF(MATCH($T4610,$T$6:$T$6005,0)=ROW()-5,N($X4609)+1,N($X4609)))</f>
        <v/>
      </c>
      <c r="Z4610">
        <f>IF($V4610="","",IF($AA4610&gt;N($AA4609),$AA4610,""))</f>
        <v/>
      </c>
      <c r="AA4610">
        <f>IF($V4610="",N($AA4609),IF(MATCH($V4610,$V$6:$V$6005,0)=ROW()-5,N($AA4609)+1,N($AA4609)))</f>
        <v/>
      </c>
    </row>
    <row r="4611" ht="21" customHeight="1" s="66">
      <c r="A4611" s="56" t="n"/>
      <c r="B4611" s="57" t="n"/>
      <c r="C4611" s="57" t="n"/>
      <c r="D4611" s="57" t="n"/>
      <c r="E4611" s="56" t="n"/>
      <c r="F4611" s="57" t="n"/>
      <c r="G4611" s="57" t="n"/>
      <c r="H4611" s="56" t="n"/>
      <c r="I4611" s="56" t="n"/>
      <c r="J4611" s="58" t="n"/>
      <c r="K4611" s="58" t="n"/>
      <c r="L4611" s="13">
        <f>IF(OR($A4611="",AND($J4611="",$K4611="")),"",ROUND(N($J4611)-N($K4611),2))</f>
        <v/>
      </c>
      <c r="M4611" s="13">
        <f>IF(OR($A4611="",AND($J4611="",$K4611="")),"",MIN($J4611,$K4611))</f>
        <v/>
      </c>
      <c r="Q4611">
        <f>IF($A4611="","",$D4611&amp;"("&amp;SUBSTITUTE($E4611," ","")&amp;")")</f>
        <v/>
      </c>
      <c r="R4611">
        <f>IF($A4611="","",$B4611&amp;" - "&amp;$C4611)</f>
        <v/>
      </c>
      <c r="S4611">
        <f>IF($A4611="","",$R4611&amp;"|"&amp;$Q4611)</f>
        <v/>
      </c>
      <c r="T4611">
        <f>IF($A4611="","",$S4611&amp;"|"&amp;$F4611)</f>
        <v/>
      </c>
      <c r="U4611">
        <f>IF($A4611="","",$R4611&amp;"("&amp;$E4611&amp;")")</f>
        <v/>
      </c>
      <c r="V4611">
        <f>IF($A4611="","",$F4611&amp;"|"&amp;$U4611&amp;"|"&amp;$D4611)</f>
        <v/>
      </c>
      <c r="W4611">
        <f>IF($T4611="","",IF($X4611&gt;N($X4610),$X4611,""))</f>
        <v/>
      </c>
      <c r="X4611">
        <f>IF($T4611="",N($X4610),IF(MATCH($T4611,$T$6:$T$6005,0)=ROW()-5,N($X4610)+1,N($X4610)))</f>
        <v/>
      </c>
      <c r="Z4611">
        <f>IF($V4611="","",IF($AA4611&gt;N($AA4610),$AA4611,""))</f>
        <v/>
      </c>
      <c r="AA4611">
        <f>IF($V4611="",N($AA4610),IF(MATCH($V4611,$V$6:$V$6005,0)=ROW()-5,N($AA4610)+1,N($AA4610)))</f>
        <v/>
      </c>
    </row>
    <row r="4612" ht="21" customHeight="1" s="66">
      <c r="A4612" s="56" t="n"/>
      <c r="B4612" s="57" t="n"/>
      <c r="C4612" s="57" t="n"/>
      <c r="D4612" s="57" t="n"/>
      <c r="E4612" s="56" t="n"/>
      <c r="F4612" s="57" t="n"/>
      <c r="G4612" s="57" t="n"/>
      <c r="H4612" s="56" t="n"/>
      <c r="I4612" s="56" t="n"/>
      <c r="J4612" s="58" t="n"/>
      <c r="K4612" s="58" t="n"/>
      <c r="L4612" s="13">
        <f>IF(OR($A4612="",AND($J4612="",$K4612="")),"",ROUND(N($J4612)-N($K4612),2))</f>
        <v/>
      </c>
      <c r="M4612" s="13">
        <f>IF(OR($A4612="",AND($J4612="",$K4612="")),"",MIN($J4612,$K4612))</f>
        <v/>
      </c>
      <c r="Q4612">
        <f>IF($A4612="","",$D4612&amp;"("&amp;SUBSTITUTE($E4612," ","")&amp;")")</f>
        <v/>
      </c>
      <c r="R4612">
        <f>IF($A4612="","",$B4612&amp;" - "&amp;$C4612)</f>
        <v/>
      </c>
      <c r="S4612">
        <f>IF($A4612="","",$R4612&amp;"|"&amp;$Q4612)</f>
        <v/>
      </c>
      <c r="T4612">
        <f>IF($A4612="","",$S4612&amp;"|"&amp;$F4612)</f>
        <v/>
      </c>
      <c r="U4612">
        <f>IF($A4612="","",$R4612&amp;"("&amp;$E4612&amp;")")</f>
        <v/>
      </c>
      <c r="V4612">
        <f>IF($A4612="","",$F4612&amp;"|"&amp;$U4612&amp;"|"&amp;$D4612)</f>
        <v/>
      </c>
      <c r="W4612">
        <f>IF($T4612="","",IF($X4612&gt;N($X4611),$X4612,""))</f>
        <v/>
      </c>
      <c r="X4612">
        <f>IF($T4612="",N($X4611),IF(MATCH($T4612,$T$6:$T$6005,0)=ROW()-5,N($X4611)+1,N($X4611)))</f>
        <v/>
      </c>
      <c r="Z4612">
        <f>IF($V4612="","",IF($AA4612&gt;N($AA4611),$AA4612,""))</f>
        <v/>
      </c>
      <c r="AA4612">
        <f>IF($V4612="",N($AA4611),IF(MATCH($V4612,$V$6:$V$6005,0)=ROW()-5,N($AA4611)+1,N($AA4611)))</f>
        <v/>
      </c>
    </row>
    <row r="4613" ht="21" customHeight="1" s="66">
      <c r="A4613" s="56" t="n"/>
      <c r="B4613" s="57" t="n"/>
      <c r="C4613" s="57" t="n"/>
      <c r="D4613" s="57" t="n"/>
      <c r="E4613" s="56" t="n"/>
      <c r="F4613" s="57" t="n"/>
      <c r="G4613" s="57" t="n"/>
      <c r="H4613" s="56" t="n"/>
      <c r="I4613" s="56" t="n"/>
      <c r="J4613" s="58" t="n"/>
      <c r="K4613" s="58" t="n"/>
      <c r="L4613" s="13">
        <f>IF(OR($A4613="",AND($J4613="",$K4613="")),"",ROUND(N($J4613)-N($K4613),2))</f>
        <v/>
      </c>
      <c r="M4613" s="13">
        <f>IF(OR($A4613="",AND($J4613="",$K4613="")),"",MIN($J4613,$K4613))</f>
        <v/>
      </c>
      <c r="Q4613">
        <f>IF($A4613="","",$D4613&amp;"("&amp;SUBSTITUTE($E4613," ","")&amp;")")</f>
        <v/>
      </c>
      <c r="R4613">
        <f>IF($A4613="","",$B4613&amp;" - "&amp;$C4613)</f>
        <v/>
      </c>
      <c r="S4613">
        <f>IF($A4613="","",$R4613&amp;"|"&amp;$Q4613)</f>
        <v/>
      </c>
      <c r="T4613">
        <f>IF($A4613="","",$S4613&amp;"|"&amp;$F4613)</f>
        <v/>
      </c>
      <c r="U4613">
        <f>IF($A4613="","",$R4613&amp;"("&amp;$E4613&amp;")")</f>
        <v/>
      </c>
      <c r="V4613">
        <f>IF($A4613="","",$F4613&amp;"|"&amp;$U4613&amp;"|"&amp;$D4613)</f>
        <v/>
      </c>
      <c r="W4613">
        <f>IF($T4613="","",IF($X4613&gt;N($X4612),$X4613,""))</f>
        <v/>
      </c>
      <c r="X4613">
        <f>IF($T4613="",N($X4612),IF(MATCH($T4613,$T$6:$T$6005,0)=ROW()-5,N($X4612)+1,N($X4612)))</f>
        <v/>
      </c>
      <c r="Z4613">
        <f>IF($V4613="","",IF($AA4613&gt;N($AA4612),$AA4613,""))</f>
        <v/>
      </c>
      <c r="AA4613">
        <f>IF($V4613="",N($AA4612),IF(MATCH($V4613,$V$6:$V$6005,0)=ROW()-5,N($AA4612)+1,N($AA4612)))</f>
        <v/>
      </c>
    </row>
    <row r="4614" ht="21" customHeight="1" s="66">
      <c r="A4614" s="56" t="n"/>
      <c r="B4614" s="57" t="n"/>
      <c r="C4614" s="57" t="n"/>
      <c r="D4614" s="57" t="n"/>
      <c r="E4614" s="56" t="n"/>
      <c r="F4614" s="57" t="n"/>
      <c r="G4614" s="57" t="n"/>
      <c r="H4614" s="56" t="n"/>
      <c r="I4614" s="56" t="n"/>
      <c r="J4614" s="58" t="n"/>
      <c r="K4614" s="58" t="n"/>
      <c r="L4614" s="13">
        <f>IF(OR($A4614="",AND($J4614="",$K4614="")),"",ROUND(N($J4614)-N($K4614),2))</f>
        <v/>
      </c>
      <c r="M4614" s="13">
        <f>IF(OR($A4614="",AND($J4614="",$K4614="")),"",MIN($J4614,$K4614))</f>
        <v/>
      </c>
      <c r="Q4614">
        <f>IF($A4614="","",$D4614&amp;"("&amp;SUBSTITUTE($E4614," ","")&amp;")")</f>
        <v/>
      </c>
      <c r="R4614">
        <f>IF($A4614="","",$B4614&amp;" - "&amp;$C4614)</f>
        <v/>
      </c>
      <c r="S4614">
        <f>IF($A4614="","",$R4614&amp;"|"&amp;$Q4614)</f>
        <v/>
      </c>
      <c r="T4614">
        <f>IF($A4614="","",$S4614&amp;"|"&amp;$F4614)</f>
        <v/>
      </c>
      <c r="U4614">
        <f>IF($A4614="","",$R4614&amp;"("&amp;$E4614&amp;")")</f>
        <v/>
      </c>
      <c r="V4614">
        <f>IF($A4614="","",$F4614&amp;"|"&amp;$U4614&amp;"|"&amp;$D4614)</f>
        <v/>
      </c>
      <c r="W4614">
        <f>IF($T4614="","",IF($X4614&gt;N($X4613),$X4614,""))</f>
        <v/>
      </c>
      <c r="X4614">
        <f>IF($T4614="",N($X4613),IF(MATCH($T4614,$T$6:$T$6005,0)=ROW()-5,N($X4613)+1,N($X4613)))</f>
        <v/>
      </c>
      <c r="Z4614">
        <f>IF($V4614="","",IF($AA4614&gt;N($AA4613),$AA4614,""))</f>
        <v/>
      </c>
      <c r="AA4614">
        <f>IF($V4614="",N($AA4613),IF(MATCH($V4614,$V$6:$V$6005,0)=ROW()-5,N($AA4613)+1,N($AA4613)))</f>
        <v/>
      </c>
    </row>
    <row r="4615" ht="21" customHeight="1" s="66">
      <c r="A4615" s="56" t="n"/>
      <c r="B4615" s="57" t="n"/>
      <c r="C4615" s="57" t="n"/>
      <c r="D4615" s="57" t="n"/>
      <c r="E4615" s="56" t="n"/>
      <c r="F4615" s="57" t="n"/>
      <c r="G4615" s="57" t="n"/>
      <c r="H4615" s="56" t="n"/>
      <c r="I4615" s="56" t="n"/>
      <c r="J4615" s="58" t="n"/>
      <c r="K4615" s="58" t="n"/>
      <c r="L4615" s="13">
        <f>IF(OR($A4615="",AND($J4615="",$K4615="")),"",ROUND(N($J4615)-N($K4615),2))</f>
        <v/>
      </c>
      <c r="M4615" s="13">
        <f>IF(OR($A4615="",AND($J4615="",$K4615="")),"",MIN($J4615,$K4615))</f>
        <v/>
      </c>
      <c r="Q4615">
        <f>IF($A4615="","",$D4615&amp;"("&amp;SUBSTITUTE($E4615," ","")&amp;")")</f>
        <v/>
      </c>
      <c r="R4615">
        <f>IF($A4615="","",$B4615&amp;" - "&amp;$C4615)</f>
        <v/>
      </c>
      <c r="S4615">
        <f>IF($A4615="","",$R4615&amp;"|"&amp;$Q4615)</f>
        <v/>
      </c>
      <c r="T4615">
        <f>IF($A4615="","",$S4615&amp;"|"&amp;$F4615)</f>
        <v/>
      </c>
      <c r="U4615">
        <f>IF($A4615="","",$R4615&amp;"("&amp;$E4615&amp;")")</f>
        <v/>
      </c>
      <c r="V4615">
        <f>IF($A4615="","",$F4615&amp;"|"&amp;$U4615&amp;"|"&amp;$D4615)</f>
        <v/>
      </c>
      <c r="W4615">
        <f>IF($T4615="","",IF($X4615&gt;N($X4614),$X4615,""))</f>
        <v/>
      </c>
      <c r="X4615">
        <f>IF($T4615="",N($X4614),IF(MATCH($T4615,$T$6:$T$6005,0)=ROW()-5,N($X4614)+1,N($X4614)))</f>
        <v/>
      </c>
      <c r="Z4615">
        <f>IF($V4615="","",IF($AA4615&gt;N($AA4614),$AA4615,""))</f>
        <v/>
      </c>
      <c r="AA4615">
        <f>IF($V4615="",N($AA4614),IF(MATCH($V4615,$V$6:$V$6005,0)=ROW()-5,N($AA4614)+1,N($AA4614)))</f>
        <v/>
      </c>
    </row>
    <row r="4616" ht="21" customHeight="1" s="66">
      <c r="A4616" s="56" t="n"/>
      <c r="B4616" s="57" t="n"/>
      <c r="C4616" s="57" t="n"/>
      <c r="D4616" s="57" t="n"/>
      <c r="E4616" s="56" t="n"/>
      <c r="F4616" s="57" t="n"/>
      <c r="G4616" s="57" t="n"/>
      <c r="H4616" s="56" t="n"/>
      <c r="I4616" s="56" t="n"/>
      <c r="J4616" s="58" t="n"/>
      <c r="K4616" s="58" t="n"/>
      <c r="L4616" s="13">
        <f>IF(OR($A4616="",AND($J4616="",$K4616="")),"",ROUND(N($J4616)-N($K4616),2))</f>
        <v/>
      </c>
      <c r="M4616" s="13">
        <f>IF(OR($A4616="",AND($J4616="",$K4616="")),"",MIN($J4616,$K4616))</f>
        <v/>
      </c>
      <c r="Q4616">
        <f>IF($A4616="","",$D4616&amp;"("&amp;SUBSTITUTE($E4616," ","")&amp;")")</f>
        <v/>
      </c>
      <c r="R4616">
        <f>IF($A4616="","",$B4616&amp;" - "&amp;$C4616)</f>
        <v/>
      </c>
      <c r="S4616">
        <f>IF($A4616="","",$R4616&amp;"|"&amp;$Q4616)</f>
        <v/>
      </c>
      <c r="T4616">
        <f>IF($A4616="","",$S4616&amp;"|"&amp;$F4616)</f>
        <v/>
      </c>
      <c r="U4616">
        <f>IF($A4616="","",$R4616&amp;"("&amp;$E4616&amp;")")</f>
        <v/>
      </c>
      <c r="V4616">
        <f>IF($A4616="","",$F4616&amp;"|"&amp;$U4616&amp;"|"&amp;$D4616)</f>
        <v/>
      </c>
      <c r="W4616">
        <f>IF($T4616="","",IF($X4616&gt;N($X4615),$X4616,""))</f>
        <v/>
      </c>
      <c r="X4616">
        <f>IF($T4616="",N($X4615),IF(MATCH($T4616,$T$6:$T$6005,0)=ROW()-5,N($X4615)+1,N($X4615)))</f>
        <v/>
      </c>
      <c r="Z4616">
        <f>IF($V4616="","",IF($AA4616&gt;N($AA4615),$AA4616,""))</f>
        <v/>
      </c>
      <c r="AA4616">
        <f>IF($V4616="",N($AA4615),IF(MATCH($V4616,$V$6:$V$6005,0)=ROW()-5,N($AA4615)+1,N($AA4615)))</f>
        <v/>
      </c>
    </row>
    <row r="4617" ht="21" customHeight="1" s="66">
      <c r="A4617" s="56" t="n"/>
      <c r="B4617" s="57" t="n"/>
      <c r="C4617" s="57" t="n"/>
      <c r="D4617" s="57" t="n"/>
      <c r="E4617" s="56" t="n"/>
      <c r="F4617" s="57" t="n"/>
      <c r="G4617" s="57" t="n"/>
      <c r="H4617" s="56" t="n"/>
      <c r="I4617" s="56" t="n"/>
      <c r="J4617" s="58" t="n"/>
      <c r="K4617" s="58" t="n"/>
      <c r="L4617" s="13">
        <f>IF(OR($A4617="",AND($J4617="",$K4617="")),"",ROUND(N($J4617)-N($K4617),2))</f>
        <v/>
      </c>
      <c r="M4617" s="13">
        <f>IF(OR($A4617="",AND($J4617="",$K4617="")),"",MIN($J4617,$K4617))</f>
        <v/>
      </c>
      <c r="Q4617">
        <f>IF($A4617="","",$D4617&amp;"("&amp;SUBSTITUTE($E4617," ","")&amp;")")</f>
        <v/>
      </c>
      <c r="R4617">
        <f>IF($A4617="","",$B4617&amp;" - "&amp;$C4617)</f>
        <v/>
      </c>
      <c r="S4617">
        <f>IF($A4617="","",$R4617&amp;"|"&amp;$Q4617)</f>
        <v/>
      </c>
      <c r="T4617">
        <f>IF($A4617="","",$S4617&amp;"|"&amp;$F4617)</f>
        <v/>
      </c>
      <c r="U4617">
        <f>IF($A4617="","",$R4617&amp;"("&amp;$E4617&amp;")")</f>
        <v/>
      </c>
      <c r="V4617">
        <f>IF($A4617="","",$F4617&amp;"|"&amp;$U4617&amp;"|"&amp;$D4617)</f>
        <v/>
      </c>
      <c r="W4617">
        <f>IF($T4617="","",IF($X4617&gt;N($X4616),$X4617,""))</f>
        <v/>
      </c>
      <c r="X4617">
        <f>IF($T4617="",N($X4616),IF(MATCH($T4617,$T$6:$T$6005,0)=ROW()-5,N($X4616)+1,N($X4616)))</f>
        <v/>
      </c>
      <c r="Z4617">
        <f>IF($V4617="","",IF($AA4617&gt;N($AA4616),$AA4617,""))</f>
        <v/>
      </c>
      <c r="AA4617">
        <f>IF($V4617="",N($AA4616),IF(MATCH($V4617,$V$6:$V$6005,0)=ROW()-5,N($AA4616)+1,N($AA4616)))</f>
        <v/>
      </c>
    </row>
    <row r="4618" ht="21" customHeight="1" s="66">
      <c r="A4618" s="56" t="n"/>
      <c r="B4618" s="57" t="n"/>
      <c r="C4618" s="57" t="n"/>
      <c r="D4618" s="57" t="n"/>
      <c r="E4618" s="56" t="n"/>
      <c r="F4618" s="57" t="n"/>
      <c r="G4618" s="57" t="n"/>
      <c r="H4618" s="56" t="n"/>
      <c r="I4618" s="56" t="n"/>
      <c r="J4618" s="58" t="n"/>
      <c r="K4618" s="58" t="n"/>
      <c r="L4618" s="13">
        <f>IF(OR($A4618="",AND($J4618="",$K4618="")),"",ROUND(N($J4618)-N($K4618),2))</f>
        <v/>
      </c>
      <c r="M4618" s="13">
        <f>IF(OR($A4618="",AND($J4618="",$K4618="")),"",MIN($J4618,$K4618))</f>
        <v/>
      </c>
      <c r="Q4618">
        <f>IF($A4618="","",$D4618&amp;"("&amp;SUBSTITUTE($E4618," ","")&amp;")")</f>
        <v/>
      </c>
      <c r="R4618">
        <f>IF($A4618="","",$B4618&amp;" - "&amp;$C4618)</f>
        <v/>
      </c>
      <c r="S4618">
        <f>IF($A4618="","",$R4618&amp;"|"&amp;$Q4618)</f>
        <v/>
      </c>
      <c r="T4618">
        <f>IF($A4618="","",$S4618&amp;"|"&amp;$F4618)</f>
        <v/>
      </c>
      <c r="U4618">
        <f>IF($A4618="","",$R4618&amp;"("&amp;$E4618&amp;")")</f>
        <v/>
      </c>
      <c r="V4618">
        <f>IF($A4618="","",$F4618&amp;"|"&amp;$U4618&amp;"|"&amp;$D4618)</f>
        <v/>
      </c>
      <c r="W4618">
        <f>IF($T4618="","",IF($X4618&gt;N($X4617),$X4618,""))</f>
        <v/>
      </c>
      <c r="X4618">
        <f>IF($T4618="",N($X4617),IF(MATCH($T4618,$T$6:$T$6005,0)=ROW()-5,N($X4617)+1,N($X4617)))</f>
        <v/>
      </c>
      <c r="Z4618">
        <f>IF($V4618="","",IF($AA4618&gt;N($AA4617),$AA4618,""))</f>
        <v/>
      </c>
      <c r="AA4618">
        <f>IF($V4618="",N($AA4617),IF(MATCH($V4618,$V$6:$V$6005,0)=ROW()-5,N($AA4617)+1,N($AA4617)))</f>
        <v/>
      </c>
    </row>
    <row r="4619" ht="21" customHeight="1" s="66">
      <c r="A4619" s="56" t="n"/>
      <c r="B4619" s="57" t="n"/>
      <c r="C4619" s="57" t="n"/>
      <c r="D4619" s="57" t="n"/>
      <c r="E4619" s="56" t="n"/>
      <c r="F4619" s="57" t="n"/>
      <c r="G4619" s="57" t="n"/>
      <c r="H4619" s="56" t="n"/>
      <c r="I4619" s="56" t="n"/>
      <c r="J4619" s="58" t="n"/>
      <c r="K4619" s="58" t="n"/>
      <c r="L4619" s="13">
        <f>IF(OR($A4619="",AND($J4619="",$K4619="")),"",ROUND(N($J4619)-N($K4619),2))</f>
        <v/>
      </c>
      <c r="M4619" s="13">
        <f>IF(OR($A4619="",AND($J4619="",$K4619="")),"",MIN($J4619,$K4619))</f>
        <v/>
      </c>
      <c r="Q4619">
        <f>IF($A4619="","",$D4619&amp;"("&amp;SUBSTITUTE($E4619," ","")&amp;")")</f>
        <v/>
      </c>
      <c r="R4619">
        <f>IF($A4619="","",$B4619&amp;" - "&amp;$C4619)</f>
        <v/>
      </c>
      <c r="S4619">
        <f>IF($A4619="","",$R4619&amp;"|"&amp;$Q4619)</f>
        <v/>
      </c>
      <c r="T4619">
        <f>IF($A4619="","",$S4619&amp;"|"&amp;$F4619)</f>
        <v/>
      </c>
      <c r="U4619">
        <f>IF($A4619="","",$R4619&amp;"("&amp;$E4619&amp;")")</f>
        <v/>
      </c>
      <c r="V4619">
        <f>IF($A4619="","",$F4619&amp;"|"&amp;$U4619&amp;"|"&amp;$D4619)</f>
        <v/>
      </c>
      <c r="W4619">
        <f>IF($T4619="","",IF($X4619&gt;N($X4618),$X4619,""))</f>
        <v/>
      </c>
      <c r="X4619">
        <f>IF($T4619="",N($X4618),IF(MATCH($T4619,$T$6:$T$6005,0)=ROW()-5,N($X4618)+1,N($X4618)))</f>
        <v/>
      </c>
      <c r="Z4619">
        <f>IF($V4619="","",IF($AA4619&gt;N($AA4618),$AA4619,""))</f>
        <v/>
      </c>
      <c r="AA4619">
        <f>IF($V4619="",N($AA4618),IF(MATCH($V4619,$V$6:$V$6005,0)=ROW()-5,N($AA4618)+1,N($AA4618)))</f>
        <v/>
      </c>
    </row>
    <row r="4620" ht="21" customHeight="1" s="66">
      <c r="A4620" s="56" t="n"/>
      <c r="B4620" s="57" t="n"/>
      <c r="C4620" s="57" t="n"/>
      <c r="D4620" s="57" t="n"/>
      <c r="E4620" s="56" t="n"/>
      <c r="F4620" s="57" t="n"/>
      <c r="G4620" s="57" t="n"/>
      <c r="H4620" s="56" t="n"/>
      <c r="I4620" s="56" t="n"/>
      <c r="J4620" s="58" t="n"/>
      <c r="K4620" s="58" t="n"/>
      <c r="L4620" s="13">
        <f>IF(OR($A4620="",AND($J4620="",$K4620="")),"",ROUND(N($J4620)-N($K4620),2))</f>
        <v/>
      </c>
      <c r="M4620" s="13">
        <f>IF(OR($A4620="",AND($J4620="",$K4620="")),"",MIN($J4620,$K4620))</f>
        <v/>
      </c>
      <c r="Q4620">
        <f>IF($A4620="","",$D4620&amp;"("&amp;SUBSTITUTE($E4620," ","")&amp;")")</f>
        <v/>
      </c>
      <c r="R4620">
        <f>IF($A4620="","",$B4620&amp;" - "&amp;$C4620)</f>
        <v/>
      </c>
      <c r="S4620">
        <f>IF($A4620="","",$R4620&amp;"|"&amp;$Q4620)</f>
        <v/>
      </c>
      <c r="T4620">
        <f>IF($A4620="","",$S4620&amp;"|"&amp;$F4620)</f>
        <v/>
      </c>
      <c r="U4620">
        <f>IF($A4620="","",$R4620&amp;"("&amp;$E4620&amp;")")</f>
        <v/>
      </c>
      <c r="V4620">
        <f>IF($A4620="","",$F4620&amp;"|"&amp;$U4620&amp;"|"&amp;$D4620)</f>
        <v/>
      </c>
      <c r="W4620">
        <f>IF($T4620="","",IF($X4620&gt;N($X4619),$X4620,""))</f>
        <v/>
      </c>
      <c r="X4620">
        <f>IF($T4620="",N($X4619),IF(MATCH($T4620,$T$6:$T$6005,0)=ROW()-5,N($X4619)+1,N($X4619)))</f>
        <v/>
      </c>
      <c r="Z4620">
        <f>IF($V4620="","",IF($AA4620&gt;N($AA4619),$AA4620,""))</f>
        <v/>
      </c>
      <c r="AA4620">
        <f>IF($V4620="",N($AA4619),IF(MATCH($V4620,$V$6:$V$6005,0)=ROW()-5,N($AA4619)+1,N($AA4619)))</f>
        <v/>
      </c>
    </row>
    <row r="4621" ht="21" customHeight="1" s="66">
      <c r="A4621" s="56" t="n"/>
      <c r="B4621" s="57" t="n"/>
      <c r="C4621" s="57" t="n"/>
      <c r="D4621" s="57" t="n"/>
      <c r="E4621" s="56" t="n"/>
      <c r="F4621" s="57" t="n"/>
      <c r="G4621" s="57" t="n"/>
      <c r="H4621" s="56" t="n"/>
      <c r="I4621" s="56" t="n"/>
      <c r="J4621" s="58" t="n"/>
      <c r="K4621" s="58" t="n"/>
      <c r="L4621" s="13">
        <f>IF(OR($A4621="",AND($J4621="",$K4621="")),"",ROUND(N($J4621)-N($K4621),2))</f>
        <v/>
      </c>
      <c r="M4621" s="13">
        <f>IF(OR($A4621="",AND($J4621="",$K4621="")),"",MIN($J4621,$K4621))</f>
        <v/>
      </c>
      <c r="Q4621">
        <f>IF($A4621="","",$D4621&amp;"("&amp;SUBSTITUTE($E4621," ","")&amp;")")</f>
        <v/>
      </c>
      <c r="R4621">
        <f>IF($A4621="","",$B4621&amp;" - "&amp;$C4621)</f>
        <v/>
      </c>
      <c r="S4621">
        <f>IF($A4621="","",$R4621&amp;"|"&amp;$Q4621)</f>
        <v/>
      </c>
      <c r="T4621">
        <f>IF($A4621="","",$S4621&amp;"|"&amp;$F4621)</f>
        <v/>
      </c>
      <c r="U4621">
        <f>IF($A4621="","",$R4621&amp;"("&amp;$E4621&amp;")")</f>
        <v/>
      </c>
      <c r="V4621">
        <f>IF($A4621="","",$F4621&amp;"|"&amp;$U4621&amp;"|"&amp;$D4621)</f>
        <v/>
      </c>
      <c r="W4621">
        <f>IF($T4621="","",IF($X4621&gt;N($X4620),$X4621,""))</f>
        <v/>
      </c>
      <c r="X4621">
        <f>IF($T4621="",N($X4620),IF(MATCH($T4621,$T$6:$T$6005,0)=ROW()-5,N($X4620)+1,N($X4620)))</f>
        <v/>
      </c>
      <c r="Z4621">
        <f>IF($V4621="","",IF($AA4621&gt;N($AA4620),$AA4621,""))</f>
        <v/>
      </c>
      <c r="AA4621">
        <f>IF($V4621="",N($AA4620),IF(MATCH($V4621,$V$6:$V$6005,0)=ROW()-5,N($AA4620)+1,N($AA4620)))</f>
        <v/>
      </c>
    </row>
    <row r="4622" ht="21" customHeight="1" s="66">
      <c r="A4622" s="56" t="n"/>
      <c r="B4622" s="57" t="n"/>
      <c r="C4622" s="57" t="n"/>
      <c r="D4622" s="57" t="n"/>
      <c r="E4622" s="56" t="n"/>
      <c r="F4622" s="57" t="n"/>
      <c r="G4622" s="57" t="n"/>
      <c r="H4622" s="56" t="n"/>
      <c r="I4622" s="56" t="n"/>
      <c r="J4622" s="58" t="n"/>
      <c r="K4622" s="58" t="n"/>
      <c r="L4622" s="13">
        <f>IF(OR($A4622="",AND($J4622="",$K4622="")),"",ROUND(N($J4622)-N($K4622),2))</f>
        <v/>
      </c>
      <c r="M4622" s="13">
        <f>IF(OR($A4622="",AND($J4622="",$K4622="")),"",MIN($J4622,$K4622))</f>
        <v/>
      </c>
      <c r="Q4622">
        <f>IF($A4622="","",$D4622&amp;"("&amp;SUBSTITUTE($E4622," ","")&amp;")")</f>
        <v/>
      </c>
      <c r="R4622">
        <f>IF($A4622="","",$B4622&amp;" - "&amp;$C4622)</f>
        <v/>
      </c>
      <c r="S4622">
        <f>IF($A4622="","",$R4622&amp;"|"&amp;$Q4622)</f>
        <v/>
      </c>
      <c r="T4622">
        <f>IF($A4622="","",$S4622&amp;"|"&amp;$F4622)</f>
        <v/>
      </c>
      <c r="U4622">
        <f>IF($A4622="","",$R4622&amp;"("&amp;$E4622&amp;")")</f>
        <v/>
      </c>
      <c r="V4622">
        <f>IF($A4622="","",$F4622&amp;"|"&amp;$U4622&amp;"|"&amp;$D4622)</f>
        <v/>
      </c>
      <c r="W4622">
        <f>IF($T4622="","",IF($X4622&gt;N($X4621),$X4622,""))</f>
        <v/>
      </c>
      <c r="X4622">
        <f>IF($T4622="",N($X4621),IF(MATCH($T4622,$T$6:$T$6005,0)=ROW()-5,N($X4621)+1,N($X4621)))</f>
        <v/>
      </c>
      <c r="Z4622">
        <f>IF($V4622="","",IF($AA4622&gt;N($AA4621),$AA4622,""))</f>
        <v/>
      </c>
      <c r="AA4622">
        <f>IF($V4622="",N($AA4621),IF(MATCH($V4622,$V$6:$V$6005,0)=ROW()-5,N($AA4621)+1,N($AA4621)))</f>
        <v/>
      </c>
    </row>
    <row r="4623" ht="21" customHeight="1" s="66">
      <c r="A4623" s="56" t="n"/>
      <c r="B4623" s="57" t="n"/>
      <c r="C4623" s="57" t="n"/>
      <c r="D4623" s="57" t="n"/>
      <c r="E4623" s="56" t="n"/>
      <c r="F4623" s="57" t="n"/>
      <c r="G4623" s="57" t="n"/>
      <c r="H4623" s="56" t="n"/>
      <c r="I4623" s="56" t="n"/>
      <c r="J4623" s="58" t="n"/>
      <c r="K4623" s="58" t="n"/>
      <c r="L4623" s="13">
        <f>IF(OR($A4623="",AND($J4623="",$K4623="")),"",ROUND(N($J4623)-N($K4623),2))</f>
        <v/>
      </c>
      <c r="M4623" s="13">
        <f>IF(OR($A4623="",AND($J4623="",$K4623="")),"",MIN($J4623,$K4623))</f>
        <v/>
      </c>
      <c r="Q4623">
        <f>IF($A4623="","",$D4623&amp;"("&amp;SUBSTITUTE($E4623," ","")&amp;")")</f>
        <v/>
      </c>
      <c r="R4623">
        <f>IF($A4623="","",$B4623&amp;" - "&amp;$C4623)</f>
        <v/>
      </c>
      <c r="S4623">
        <f>IF($A4623="","",$R4623&amp;"|"&amp;$Q4623)</f>
        <v/>
      </c>
      <c r="T4623">
        <f>IF($A4623="","",$S4623&amp;"|"&amp;$F4623)</f>
        <v/>
      </c>
      <c r="U4623">
        <f>IF($A4623="","",$R4623&amp;"("&amp;$E4623&amp;")")</f>
        <v/>
      </c>
      <c r="V4623">
        <f>IF($A4623="","",$F4623&amp;"|"&amp;$U4623&amp;"|"&amp;$D4623)</f>
        <v/>
      </c>
      <c r="W4623">
        <f>IF($T4623="","",IF($X4623&gt;N($X4622),$X4623,""))</f>
        <v/>
      </c>
      <c r="X4623">
        <f>IF($T4623="",N($X4622),IF(MATCH($T4623,$T$6:$T$6005,0)=ROW()-5,N($X4622)+1,N($X4622)))</f>
        <v/>
      </c>
      <c r="Z4623">
        <f>IF($V4623="","",IF($AA4623&gt;N($AA4622),$AA4623,""))</f>
        <v/>
      </c>
      <c r="AA4623">
        <f>IF($V4623="",N($AA4622),IF(MATCH($V4623,$V$6:$V$6005,0)=ROW()-5,N($AA4622)+1,N($AA4622)))</f>
        <v/>
      </c>
    </row>
    <row r="4624" ht="21" customHeight="1" s="66">
      <c r="A4624" s="56" t="n"/>
      <c r="B4624" s="57" t="n"/>
      <c r="C4624" s="57" t="n"/>
      <c r="D4624" s="57" t="n"/>
      <c r="E4624" s="56" t="n"/>
      <c r="F4624" s="57" t="n"/>
      <c r="G4624" s="57" t="n"/>
      <c r="H4624" s="56" t="n"/>
      <c r="I4624" s="56" t="n"/>
      <c r="J4624" s="58" t="n"/>
      <c r="K4624" s="58" t="n"/>
      <c r="L4624" s="13">
        <f>IF(OR($A4624="",AND($J4624="",$K4624="")),"",ROUND(N($J4624)-N($K4624),2))</f>
        <v/>
      </c>
      <c r="M4624" s="13">
        <f>IF(OR($A4624="",AND($J4624="",$K4624="")),"",MIN($J4624,$K4624))</f>
        <v/>
      </c>
      <c r="Q4624">
        <f>IF($A4624="","",$D4624&amp;"("&amp;SUBSTITUTE($E4624," ","")&amp;")")</f>
        <v/>
      </c>
      <c r="R4624">
        <f>IF($A4624="","",$B4624&amp;" - "&amp;$C4624)</f>
        <v/>
      </c>
      <c r="S4624">
        <f>IF($A4624="","",$R4624&amp;"|"&amp;$Q4624)</f>
        <v/>
      </c>
      <c r="T4624">
        <f>IF($A4624="","",$S4624&amp;"|"&amp;$F4624)</f>
        <v/>
      </c>
      <c r="U4624">
        <f>IF($A4624="","",$R4624&amp;"("&amp;$E4624&amp;")")</f>
        <v/>
      </c>
      <c r="V4624">
        <f>IF($A4624="","",$F4624&amp;"|"&amp;$U4624&amp;"|"&amp;$D4624)</f>
        <v/>
      </c>
      <c r="W4624">
        <f>IF($T4624="","",IF($X4624&gt;N($X4623),$X4624,""))</f>
        <v/>
      </c>
      <c r="X4624">
        <f>IF($T4624="",N($X4623),IF(MATCH($T4624,$T$6:$T$6005,0)=ROW()-5,N($X4623)+1,N($X4623)))</f>
        <v/>
      </c>
      <c r="Z4624">
        <f>IF($V4624="","",IF($AA4624&gt;N($AA4623),$AA4624,""))</f>
        <v/>
      </c>
      <c r="AA4624">
        <f>IF($V4624="",N($AA4623),IF(MATCH($V4624,$V$6:$V$6005,0)=ROW()-5,N($AA4623)+1,N($AA4623)))</f>
        <v/>
      </c>
    </row>
    <row r="4625" ht="21" customHeight="1" s="66">
      <c r="A4625" s="56" t="n"/>
      <c r="B4625" s="57" t="n"/>
      <c r="C4625" s="57" t="n"/>
      <c r="D4625" s="57" t="n"/>
      <c r="E4625" s="56" t="n"/>
      <c r="F4625" s="57" t="n"/>
      <c r="G4625" s="57" t="n"/>
      <c r="H4625" s="56" t="n"/>
      <c r="I4625" s="56" t="n"/>
      <c r="J4625" s="58" t="n"/>
      <c r="K4625" s="58" t="n"/>
      <c r="L4625" s="13">
        <f>IF(OR($A4625="",AND($J4625="",$K4625="")),"",ROUND(N($J4625)-N($K4625),2))</f>
        <v/>
      </c>
      <c r="M4625" s="13">
        <f>IF(OR($A4625="",AND($J4625="",$K4625="")),"",MIN($J4625,$K4625))</f>
        <v/>
      </c>
      <c r="Q4625">
        <f>IF($A4625="","",$D4625&amp;"("&amp;SUBSTITUTE($E4625," ","")&amp;")")</f>
        <v/>
      </c>
      <c r="R4625">
        <f>IF($A4625="","",$B4625&amp;" - "&amp;$C4625)</f>
        <v/>
      </c>
      <c r="S4625">
        <f>IF($A4625="","",$R4625&amp;"|"&amp;$Q4625)</f>
        <v/>
      </c>
      <c r="T4625">
        <f>IF($A4625="","",$S4625&amp;"|"&amp;$F4625)</f>
        <v/>
      </c>
      <c r="U4625">
        <f>IF($A4625="","",$R4625&amp;"("&amp;$E4625&amp;")")</f>
        <v/>
      </c>
      <c r="V4625">
        <f>IF($A4625="","",$F4625&amp;"|"&amp;$U4625&amp;"|"&amp;$D4625)</f>
        <v/>
      </c>
      <c r="W4625">
        <f>IF($T4625="","",IF($X4625&gt;N($X4624),$X4625,""))</f>
        <v/>
      </c>
      <c r="X4625">
        <f>IF($T4625="",N($X4624),IF(MATCH($T4625,$T$6:$T$6005,0)=ROW()-5,N($X4624)+1,N($X4624)))</f>
        <v/>
      </c>
      <c r="Z4625">
        <f>IF($V4625="","",IF($AA4625&gt;N($AA4624),$AA4625,""))</f>
        <v/>
      </c>
      <c r="AA4625">
        <f>IF($V4625="",N($AA4624),IF(MATCH($V4625,$V$6:$V$6005,0)=ROW()-5,N($AA4624)+1,N($AA4624)))</f>
        <v/>
      </c>
    </row>
    <row r="4626" ht="21" customHeight="1" s="66">
      <c r="A4626" s="56" t="n"/>
      <c r="B4626" s="57" t="n"/>
      <c r="C4626" s="57" t="n"/>
      <c r="D4626" s="57" t="n"/>
      <c r="E4626" s="56" t="n"/>
      <c r="F4626" s="57" t="n"/>
      <c r="G4626" s="57" t="n"/>
      <c r="H4626" s="56" t="n"/>
      <c r="I4626" s="56" t="n"/>
      <c r="J4626" s="58" t="n"/>
      <c r="K4626" s="58" t="n"/>
      <c r="L4626" s="13">
        <f>IF(OR($A4626="",AND($J4626="",$K4626="")),"",ROUND(N($J4626)-N($K4626),2))</f>
        <v/>
      </c>
      <c r="M4626" s="13">
        <f>IF(OR($A4626="",AND($J4626="",$K4626="")),"",MIN($J4626,$K4626))</f>
        <v/>
      </c>
      <c r="Q4626">
        <f>IF($A4626="","",$D4626&amp;"("&amp;SUBSTITUTE($E4626," ","")&amp;")")</f>
        <v/>
      </c>
      <c r="R4626">
        <f>IF($A4626="","",$B4626&amp;" - "&amp;$C4626)</f>
        <v/>
      </c>
      <c r="S4626">
        <f>IF($A4626="","",$R4626&amp;"|"&amp;$Q4626)</f>
        <v/>
      </c>
      <c r="T4626">
        <f>IF($A4626="","",$S4626&amp;"|"&amp;$F4626)</f>
        <v/>
      </c>
      <c r="U4626">
        <f>IF($A4626="","",$R4626&amp;"("&amp;$E4626&amp;")")</f>
        <v/>
      </c>
      <c r="V4626">
        <f>IF($A4626="","",$F4626&amp;"|"&amp;$U4626&amp;"|"&amp;$D4626)</f>
        <v/>
      </c>
      <c r="W4626">
        <f>IF($T4626="","",IF($X4626&gt;N($X4625),$X4626,""))</f>
        <v/>
      </c>
      <c r="X4626">
        <f>IF($T4626="",N($X4625),IF(MATCH($T4626,$T$6:$T$6005,0)=ROW()-5,N($X4625)+1,N($X4625)))</f>
        <v/>
      </c>
      <c r="Z4626">
        <f>IF($V4626="","",IF($AA4626&gt;N($AA4625),$AA4626,""))</f>
        <v/>
      </c>
      <c r="AA4626">
        <f>IF($V4626="",N($AA4625),IF(MATCH($V4626,$V$6:$V$6005,0)=ROW()-5,N($AA4625)+1,N($AA4625)))</f>
        <v/>
      </c>
    </row>
    <row r="4627" ht="21" customHeight="1" s="66">
      <c r="A4627" s="56" t="n"/>
      <c r="B4627" s="57" t="n"/>
      <c r="C4627" s="57" t="n"/>
      <c r="D4627" s="57" t="n"/>
      <c r="E4627" s="56" t="n"/>
      <c r="F4627" s="57" t="n"/>
      <c r="G4627" s="57" t="n"/>
      <c r="H4627" s="56" t="n"/>
      <c r="I4627" s="56" t="n"/>
      <c r="J4627" s="58" t="n"/>
      <c r="K4627" s="58" t="n"/>
      <c r="L4627" s="13">
        <f>IF(OR($A4627="",AND($J4627="",$K4627="")),"",ROUND(N($J4627)-N($K4627),2))</f>
        <v/>
      </c>
      <c r="M4627" s="13">
        <f>IF(OR($A4627="",AND($J4627="",$K4627="")),"",MIN($J4627,$K4627))</f>
        <v/>
      </c>
      <c r="Q4627">
        <f>IF($A4627="","",$D4627&amp;"("&amp;SUBSTITUTE($E4627," ","")&amp;")")</f>
        <v/>
      </c>
      <c r="R4627">
        <f>IF($A4627="","",$B4627&amp;" - "&amp;$C4627)</f>
        <v/>
      </c>
      <c r="S4627">
        <f>IF($A4627="","",$R4627&amp;"|"&amp;$Q4627)</f>
        <v/>
      </c>
      <c r="T4627">
        <f>IF($A4627="","",$S4627&amp;"|"&amp;$F4627)</f>
        <v/>
      </c>
      <c r="U4627">
        <f>IF($A4627="","",$R4627&amp;"("&amp;$E4627&amp;")")</f>
        <v/>
      </c>
      <c r="V4627">
        <f>IF($A4627="","",$F4627&amp;"|"&amp;$U4627&amp;"|"&amp;$D4627)</f>
        <v/>
      </c>
      <c r="W4627">
        <f>IF($T4627="","",IF($X4627&gt;N($X4626),$X4627,""))</f>
        <v/>
      </c>
      <c r="X4627">
        <f>IF($T4627="",N($X4626),IF(MATCH($T4627,$T$6:$T$6005,0)=ROW()-5,N($X4626)+1,N($X4626)))</f>
        <v/>
      </c>
      <c r="Z4627">
        <f>IF($V4627="","",IF($AA4627&gt;N($AA4626),$AA4627,""))</f>
        <v/>
      </c>
      <c r="AA4627">
        <f>IF($V4627="",N($AA4626),IF(MATCH($V4627,$V$6:$V$6005,0)=ROW()-5,N($AA4626)+1,N($AA4626)))</f>
        <v/>
      </c>
    </row>
    <row r="4628" ht="21" customHeight="1" s="66">
      <c r="A4628" s="56" t="n"/>
      <c r="B4628" s="57" t="n"/>
      <c r="C4628" s="57" t="n"/>
      <c r="D4628" s="57" t="n"/>
      <c r="E4628" s="56" t="n"/>
      <c r="F4628" s="57" t="n"/>
      <c r="G4628" s="57" t="n"/>
      <c r="H4628" s="56" t="n"/>
      <c r="I4628" s="56" t="n"/>
      <c r="J4628" s="58" t="n"/>
      <c r="K4628" s="58" t="n"/>
      <c r="L4628" s="13">
        <f>IF(OR($A4628="",AND($J4628="",$K4628="")),"",ROUND(N($J4628)-N($K4628),2))</f>
        <v/>
      </c>
      <c r="M4628" s="13">
        <f>IF(OR($A4628="",AND($J4628="",$K4628="")),"",MIN($J4628,$K4628))</f>
        <v/>
      </c>
      <c r="Q4628">
        <f>IF($A4628="","",$D4628&amp;"("&amp;SUBSTITUTE($E4628," ","")&amp;")")</f>
        <v/>
      </c>
      <c r="R4628">
        <f>IF($A4628="","",$B4628&amp;" - "&amp;$C4628)</f>
        <v/>
      </c>
      <c r="S4628">
        <f>IF($A4628="","",$R4628&amp;"|"&amp;$Q4628)</f>
        <v/>
      </c>
      <c r="T4628">
        <f>IF($A4628="","",$S4628&amp;"|"&amp;$F4628)</f>
        <v/>
      </c>
      <c r="U4628">
        <f>IF($A4628="","",$R4628&amp;"("&amp;$E4628&amp;")")</f>
        <v/>
      </c>
      <c r="V4628">
        <f>IF($A4628="","",$F4628&amp;"|"&amp;$U4628&amp;"|"&amp;$D4628)</f>
        <v/>
      </c>
      <c r="W4628">
        <f>IF($T4628="","",IF($X4628&gt;N($X4627),$X4628,""))</f>
        <v/>
      </c>
      <c r="X4628">
        <f>IF($T4628="",N($X4627),IF(MATCH($T4628,$T$6:$T$6005,0)=ROW()-5,N($X4627)+1,N($X4627)))</f>
        <v/>
      </c>
      <c r="Z4628">
        <f>IF($V4628="","",IF($AA4628&gt;N($AA4627),$AA4628,""))</f>
        <v/>
      </c>
      <c r="AA4628">
        <f>IF($V4628="",N($AA4627),IF(MATCH($V4628,$V$6:$V$6005,0)=ROW()-5,N($AA4627)+1,N($AA4627)))</f>
        <v/>
      </c>
    </row>
    <row r="4629" ht="21" customHeight="1" s="66">
      <c r="A4629" s="56" t="n"/>
      <c r="B4629" s="57" t="n"/>
      <c r="C4629" s="57" t="n"/>
      <c r="D4629" s="57" t="n"/>
      <c r="E4629" s="56" t="n"/>
      <c r="F4629" s="57" t="n"/>
      <c r="G4629" s="57" t="n"/>
      <c r="H4629" s="56" t="n"/>
      <c r="I4629" s="56" t="n"/>
      <c r="J4629" s="58" t="n"/>
      <c r="K4629" s="58" t="n"/>
      <c r="L4629" s="13">
        <f>IF(OR($A4629="",AND($J4629="",$K4629="")),"",ROUND(N($J4629)-N($K4629),2))</f>
        <v/>
      </c>
      <c r="M4629" s="13">
        <f>IF(OR($A4629="",AND($J4629="",$K4629="")),"",MIN($J4629,$K4629))</f>
        <v/>
      </c>
      <c r="Q4629">
        <f>IF($A4629="","",$D4629&amp;"("&amp;SUBSTITUTE($E4629," ","")&amp;")")</f>
        <v/>
      </c>
      <c r="R4629">
        <f>IF($A4629="","",$B4629&amp;" - "&amp;$C4629)</f>
        <v/>
      </c>
      <c r="S4629">
        <f>IF($A4629="","",$R4629&amp;"|"&amp;$Q4629)</f>
        <v/>
      </c>
      <c r="T4629">
        <f>IF($A4629="","",$S4629&amp;"|"&amp;$F4629)</f>
        <v/>
      </c>
      <c r="U4629">
        <f>IF($A4629="","",$R4629&amp;"("&amp;$E4629&amp;")")</f>
        <v/>
      </c>
      <c r="V4629">
        <f>IF($A4629="","",$F4629&amp;"|"&amp;$U4629&amp;"|"&amp;$D4629)</f>
        <v/>
      </c>
      <c r="W4629">
        <f>IF($T4629="","",IF($X4629&gt;N($X4628),$X4629,""))</f>
        <v/>
      </c>
      <c r="X4629">
        <f>IF($T4629="",N($X4628),IF(MATCH($T4629,$T$6:$T$6005,0)=ROW()-5,N($X4628)+1,N($X4628)))</f>
        <v/>
      </c>
      <c r="Z4629">
        <f>IF($V4629="","",IF($AA4629&gt;N($AA4628),$AA4629,""))</f>
        <v/>
      </c>
      <c r="AA4629">
        <f>IF($V4629="",N($AA4628),IF(MATCH($V4629,$V$6:$V$6005,0)=ROW()-5,N($AA4628)+1,N($AA4628)))</f>
        <v/>
      </c>
    </row>
    <row r="4630" ht="21" customHeight="1" s="66">
      <c r="A4630" s="56" t="n"/>
      <c r="B4630" s="57" t="n"/>
      <c r="C4630" s="57" t="n"/>
      <c r="D4630" s="57" t="n"/>
      <c r="E4630" s="56" t="n"/>
      <c r="F4630" s="57" t="n"/>
      <c r="G4630" s="57" t="n"/>
      <c r="H4630" s="56" t="n"/>
      <c r="I4630" s="56" t="n"/>
      <c r="J4630" s="58" t="n"/>
      <c r="K4630" s="58" t="n"/>
      <c r="L4630" s="13">
        <f>IF(OR($A4630="",AND($J4630="",$K4630="")),"",ROUND(N($J4630)-N($K4630),2))</f>
        <v/>
      </c>
      <c r="M4630" s="13">
        <f>IF(OR($A4630="",AND($J4630="",$K4630="")),"",MIN($J4630,$K4630))</f>
        <v/>
      </c>
      <c r="Q4630">
        <f>IF($A4630="","",$D4630&amp;"("&amp;SUBSTITUTE($E4630," ","")&amp;")")</f>
        <v/>
      </c>
      <c r="R4630">
        <f>IF($A4630="","",$B4630&amp;" - "&amp;$C4630)</f>
        <v/>
      </c>
      <c r="S4630">
        <f>IF($A4630="","",$R4630&amp;"|"&amp;$Q4630)</f>
        <v/>
      </c>
      <c r="T4630">
        <f>IF($A4630="","",$S4630&amp;"|"&amp;$F4630)</f>
        <v/>
      </c>
      <c r="U4630">
        <f>IF($A4630="","",$R4630&amp;"("&amp;$E4630&amp;")")</f>
        <v/>
      </c>
      <c r="V4630">
        <f>IF($A4630="","",$F4630&amp;"|"&amp;$U4630&amp;"|"&amp;$D4630)</f>
        <v/>
      </c>
      <c r="W4630">
        <f>IF($T4630="","",IF($X4630&gt;N($X4629),$X4630,""))</f>
        <v/>
      </c>
      <c r="X4630">
        <f>IF($T4630="",N($X4629),IF(MATCH($T4630,$T$6:$T$6005,0)=ROW()-5,N($X4629)+1,N($X4629)))</f>
        <v/>
      </c>
      <c r="Z4630">
        <f>IF($V4630="","",IF($AA4630&gt;N($AA4629),$AA4630,""))</f>
        <v/>
      </c>
      <c r="AA4630">
        <f>IF($V4630="",N($AA4629),IF(MATCH($V4630,$V$6:$V$6005,0)=ROW()-5,N($AA4629)+1,N($AA4629)))</f>
        <v/>
      </c>
    </row>
    <row r="4631" ht="21" customHeight="1" s="66">
      <c r="A4631" s="56" t="n"/>
      <c r="B4631" s="57" t="n"/>
      <c r="C4631" s="57" t="n"/>
      <c r="D4631" s="57" t="n"/>
      <c r="E4631" s="56" t="n"/>
      <c r="F4631" s="57" t="n"/>
      <c r="G4631" s="57" t="n"/>
      <c r="H4631" s="56" t="n"/>
      <c r="I4631" s="56" t="n"/>
      <c r="J4631" s="58" t="n"/>
      <c r="K4631" s="58" t="n"/>
      <c r="L4631" s="13">
        <f>IF(OR($A4631="",AND($J4631="",$K4631="")),"",ROUND(N($J4631)-N($K4631),2))</f>
        <v/>
      </c>
      <c r="M4631" s="13">
        <f>IF(OR($A4631="",AND($J4631="",$K4631="")),"",MIN($J4631,$K4631))</f>
        <v/>
      </c>
      <c r="Q4631">
        <f>IF($A4631="","",$D4631&amp;"("&amp;SUBSTITUTE($E4631," ","")&amp;")")</f>
        <v/>
      </c>
      <c r="R4631">
        <f>IF($A4631="","",$B4631&amp;" - "&amp;$C4631)</f>
        <v/>
      </c>
      <c r="S4631">
        <f>IF($A4631="","",$R4631&amp;"|"&amp;$Q4631)</f>
        <v/>
      </c>
      <c r="T4631">
        <f>IF($A4631="","",$S4631&amp;"|"&amp;$F4631)</f>
        <v/>
      </c>
      <c r="U4631">
        <f>IF($A4631="","",$R4631&amp;"("&amp;$E4631&amp;")")</f>
        <v/>
      </c>
      <c r="V4631">
        <f>IF($A4631="","",$F4631&amp;"|"&amp;$U4631&amp;"|"&amp;$D4631)</f>
        <v/>
      </c>
      <c r="W4631">
        <f>IF($T4631="","",IF($X4631&gt;N($X4630),$X4631,""))</f>
        <v/>
      </c>
      <c r="X4631">
        <f>IF($T4631="",N($X4630),IF(MATCH($T4631,$T$6:$T$6005,0)=ROW()-5,N($X4630)+1,N($X4630)))</f>
        <v/>
      </c>
      <c r="Z4631">
        <f>IF($V4631="","",IF($AA4631&gt;N($AA4630),$AA4631,""))</f>
        <v/>
      </c>
      <c r="AA4631">
        <f>IF($V4631="",N($AA4630),IF(MATCH($V4631,$V$6:$V$6005,0)=ROW()-5,N($AA4630)+1,N($AA4630)))</f>
        <v/>
      </c>
    </row>
    <row r="4632" ht="21" customHeight="1" s="66">
      <c r="A4632" s="56" t="n"/>
      <c r="B4632" s="57" t="n"/>
      <c r="C4632" s="57" t="n"/>
      <c r="D4632" s="57" t="n"/>
      <c r="E4632" s="56" t="n"/>
      <c r="F4632" s="57" t="n"/>
      <c r="G4632" s="57" t="n"/>
      <c r="H4632" s="56" t="n"/>
      <c r="I4632" s="56" t="n"/>
      <c r="J4632" s="58" t="n"/>
      <c r="K4632" s="58" t="n"/>
      <c r="L4632" s="13">
        <f>IF(OR($A4632="",AND($J4632="",$K4632="")),"",ROUND(N($J4632)-N($K4632),2))</f>
        <v/>
      </c>
      <c r="M4632" s="13">
        <f>IF(OR($A4632="",AND($J4632="",$K4632="")),"",MIN($J4632,$K4632))</f>
        <v/>
      </c>
      <c r="Q4632">
        <f>IF($A4632="","",$D4632&amp;"("&amp;SUBSTITUTE($E4632," ","")&amp;")")</f>
        <v/>
      </c>
      <c r="R4632">
        <f>IF($A4632="","",$B4632&amp;" - "&amp;$C4632)</f>
        <v/>
      </c>
      <c r="S4632">
        <f>IF($A4632="","",$R4632&amp;"|"&amp;$Q4632)</f>
        <v/>
      </c>
      <c r="T4632">
        <f>IF($A4632="","",$S4632&amp;"|"&amp;$F4632)</f>
        <v/>
      </c>
      <c r="U4632">
        <f>IF($A4632="","",$R4632&amp;"("&amp;$E4632&amp;")")</f>
        <v/>
      </c>
      <c r="V4632">
        <f>IF($A4632="","",$F4632&amp;"|"&amp;$U4632&amp;"|"&amp;$D4632)</f>
        <v/>
      </c>
      <c r="W4632">
        <f>IF($T4632="","",IF($X4632&gt;N($X4631),$X4632,""))</f>
        <v/>
      </c>
      <c r="X4632">
        <f>IF($T4632="",N($X4631),IF(MATCH($T4632,$T$6:$T$6005,0)=ROW()-5,N($X4631)+1,N($X4631)))</f>
        <v/>
      </c>
      <c r="Z4632">
        <f>IF($V4632="","",IF($AA4632&gt;N($AA4631),$AA4632,""))</f>
        <v/>
      </c>
      <c r="AA4632">
        <f>IF($V4632="",N($AA4631),IF(MATCH($V4632,$V$6:$V$6005,0)=ROW()-5,N($AA4631)+1,N($AA4631)))</f>
        <v/>
      </c>
    </row>
    <row r="4633" ht="21" customHeight="1" s="66">
      <c r="A4633" s="56" t="n"/>
      <c r="B4633" s="57" t="n"/>
      <c r="C4633" s="57" t="n"/>
      <c r="D4633" s="57" t="n"/>
      <c r="E4633" s="56" t="n"/>
      <c r="F4633" s="57" t="n"/>
      <c r="G4633" s="57" t="n"/>
      <c r="H4633" s="56" t="n"/>
      <c r="I4633" s="56" t="n"/>
      <c r="J4633" s="58" t="n"/>
      <c r="K4633" s="58" t="n"/>
      <c r="L4633" s="13">
        <f>IF(OR($A4633="",AND($J4633="",$K4633="")),"",ROUND(N($J4633)-N($K4633),2))</f>
        <v/>
      </c>
      <c r="M4633" s="13">
        <f>IF(OR($A4633="",AND($J4633="",$K4633="")),"",MIN($J4633,$K4633))</f>
        <v/>
      </c>
      <c r="Q4633">
        <f>IF($A4633="","",$D4633&amp;"("&amp;SUBSTITUTE($E4633," ","")&amp;")")</f>
        <v/>
      </c>
      <c r="R4633">
        <f>IF($A4633="","",$B4633&amp;" - "&amp;$C4633)</f>
        <v/>
      </c>
      <c r="S4633">
        <f>IF($A4633="","",$R4633&amp;"|"&amp;$Q4633)</f>
        <v/>
      </c>
      <c r="T4633">
        <f>IF($A4633="","",$S4633&amp;"|"&amp;$F4633)</f>
        <v/>
      </c>
      <c r="U4633">
        <f>IF($A4633="","",$R4633&amp;"("&amp;$E4633&amp;")")</f>
        <v/>
      </c>
      <c r="V4633">
        <f>IF($A4633="","",$F4633&amp;"|"&amp;$U4633&amp;"|"&amp;$D4633)</f>
        <v/>
      </c>
      <c r="W4633">
        <f>IF($T4633="","",IF($X4633&gt;N($X4632),$X4633,""))</f>
        <v/>
      </c>
      <c r="X4633">
        <f>IF($T4633="",N($X4632),IF(MATCH($T4633,$T$6:$T$6005,0)=ROW()-5,N($X4632)+1,N($X4632)))</f>
        <v/>
      </c>
      <c r="Z4633">
        <f>IF($V4633="","",IF($AA4633&gt;N($AA4632),$AA4633,""))</f>
        <v/>
      </c>
      <c r="AA4633">
        <f>IF($V4633="",N($AA4632),IF(MATCH($V4633,$V$6:$V$6005,0)=ROW()-5,N($AA4632)+1,N($AA4632)))</f>
        <v/>
      </c>
    </row>
    <row r="4634" ht="21" customHeight="1" s="66">
      <c r="A4634" s="56" t="n"/>
      <c r="B4634" s="57" t="n"/>
      <c r="C4634" s="57" t="n"/>
      <c r="D4634" s="57" t="n"/>
      <c r="E4634" s="56" t="n"/>
      <c r="F4634" s="57" t="n"/>
      <c r="G4634" s="57" t="n"/>
      <c r="H4634" s="56" t="n"/>
      <c r="I4634" s="56" t="n"/>
      <c r="J4634" s="58" t="n"/>
      <c r="K4634" s="58" t="n"/>
      <c r="L4634" s="13">
        <f>IF(OR($A4634="",AND($J4634="",$K4634="")),"",ROUND(N($J4634)-N($K4634),2))</f>
        <v/>
      </c>
      <c r="M4634" s="13">
        <f>IF(OR($A4634="",AND($J4634="",$K4634="")),"",MIN($J4634,$K4634))</f>
        <v/>
      </c>
      <c r="Q4634">
        <f>IF($A4634="","",$D4634&amp;"("&amp;SUBSTITUTE($E4634," ","")&amp;")")</f>
        <v/>
      </c>
      <c r="R4634">
        <f>IF($A4634="","",$B4634&amp;" - "&amp;$C4634)</f>
        <v/>
      </c>
      <c r="S4634">
        <f>IF($A4634="","",$R4634&amp;"|"&amp;$Q4634)</f>
        <v/>
      </c>
      <c r="T4634">
        <f>IF($A4634="","",$S4634&amp;"|"&amp;$F4634)</f>
        <v/>
      </c>
      <c r="U4634">
        <f>IF($A4634="","",$R4634&amp;"("&amp;$E4634&amp;")")</f>
        <v/>
      </c>
      <c r="V4634">
        <f>IF($A4634="","",$F4634&amp;"|"&amp;$U4634&amp;"|"&amp;$D4634)</f>
        <v/>
      </c>
      <c r="W4634">
        <f>IF($T4634="","",IF($X4634&gt;N($X4633),$X4634,""))</f>
        <v/>
      </c>
      <c r="X4634">
        <f>IF($T4634="",N($X4633),IF(MATCH($T4634,$T$6:$T$6005,0)=ROW()-5,N($X4633)+1,N($X4633)))</f>
        <v/>
      </c>
      <c r="Z4634">
        <f>IF($V4634="","",IF($AA4634&gt;N($AA4633),$AA4634,""))</f>
        <v/>
      </c>
      <c r="AA4634">
        <f>IF($V4634="",N($AA4633),IF(MATCH($V4634,$V$6:$V$6005,0)=ROW()-5,N($AA4633)+1,N($AA4633)))</f>
        <v/>
      </c>
    </row>
    <row r="4635" ht="21" customHeight="1" s="66">
      <c r="A4635" s="56" t="n"/>
      <c r="B4635" s="57" t="n"/>
      <c r="C4635" s="57" t="n"/>
      <c r="D4635" s="57" t="n"/>
      <c r="E4635" s="56" t="n"/>
      <c r="F4635" s="57" t="n"/>
      <c r="G4635" s="57" t="n"/>
      <c r="H4635" s="56" t="n"/>
      <c r="I4635" s="56" t="n"/>
      <c r="J4635" s="58" t="n"/>
      <c r="K4635" s="58" t="n"/>
      <c r="L4635" s="13">
        <f>IF(OR($A4635="",AND($J4635="",$K4635="")),"",ROUND(N($J4635)-N($K4635),2))</f>
        <v/>
      </c>
      <c r="M4635" s="13">
        <f>IF(OR($A4635="",AND($J4635="",$K4635="")),"",MIN($J4635,$K4635))</f>
        <v/>
      </c>
      <c r="Q4635">
        <f>IF($A4635="","",$D4635&amp;"("&amp;SUBSTITUTE($E4635," ","")&amp;")")</f>
        <v/>
      </c>
      <c r="R4635">
        <f>IF($A4635="","",$B4635&amp;" - "&amp;$C4635)</f>
        <v/>
      </c>
      <c r="S4635">
        <f>IF($A4635="","",$R4635&amp;"|"&amp;$Q4635)</f>
        <v/>
      </c>
      <c r="T4635">
        <f>IF($A4635="","",$S4635&amp;"|"&amp;$F4635)</f>
        <v/>
      </c>
      <c r="U4635">
        <f>IF($A4635="","",$R4635&amp;"("&amp;$E4635&amp;")")</f>
        <v/>
      </c>
      <c r="V4635">
        <f>IF($A4635="","",$F4635&amp;"|"&amp;$U4635&amp;"|"&amp;$D4635)</f>
        <v/>
      </c>
      <c r="W4635">
        <f>IF($T4635="","",IF($X4635&gt;N($X4634),$X4635,""))</f>
        <v/>
      </c>
      <c r="X4635">
        <f>IF($T4635="",N($X4634),IF(MATCH($T4635,$T$6:$T$6005,0)=ROW()-5,N($X4634)+1,N($X4634)))</f>
        <v/>
      </c>
      <c r="Z4635">
        <f>IF($V4635="","",IF($AA4635&gt;N($AA4634),$AA4635,""))</f>
        <v/>
      </c>
      <c r="AA4635">
        <f>IF($V4635="",N($AA4634),IF(MATCH($V4635,$V$6:$V$6005,0)=ROW()-5,N($AA4634)+1,N($AA4634)))</f>
        <v/>
      </c>
    </row>
    <row r="4636" ht="21" customHeight="1" s="66">
      <c r="A4636" s="56" t="n"/>
      <c r="B4636" s="57" t="n"/>
      <c r="C4636" s="57" t="n"/>
      <c r="D4636" s="57" t="n"/>
      <c r="E4636" s="56" t="n"/>
      <c r="F4636" s="57" t="n"/>
      <c r="G4636" s="57" t="n"/>
      <c r="H4636" s="56" t="n"/>
      <c r="I4636" s="56" t="n"/>
      <c r="J4636" s="58" t="n"/>
      <c r="K4636" s="58" t="n"/>
      <c r="L4636" s="13">
        <f>IF(OR($A4636="",AND($J4636="",$K4636="")),"",ROUND(N($J4636)-N($K4636),2))</f>
        <v/>
      </c>
      <c r="M4636" s="13">
        <f>IF(OR($A4636="",AND($J4636="",$K4636="")),"",MIN($J4636,$K4636))</f>
        <v/>
      </c>
      <c r="Q4636">
        <f>IF($A4636="","",$D4636&amp;"("&amp;SUBSTITUTE($E4636," ","")&amp;")")</f>
        <v/>
      </c>
      <c r="R4636">
        <f>IF($A4636="","",$B4636&amp;" - "&amp;$C4636)</f>
        <v/>
      </c>
      <c r="S4636">
        <f>IF($A4636="","",$R4636&amp;"|"&amp;$Q4636)</f>
        <v/>
      </c>
      <c r="T4636">
        <f>IF($A4636="","",$S4636&amp;"|"&amp;$F4636)</f>
        <v/>
      </c>
      <c r="U4636">
        <f>IF($A4636="","",$R4636&amp;"("&amp;$E4636&amp;")")</f>
        <v/>
      </c>
      <c r="V4636">
        <f>IF($A4636="","",$F4636&amp;"|"&amp;$U4636&amp;"|"&amp;$D4636)</f>
        <v/>
      </c>
      <c r="W4636">
        <f>IF($T4636="","",IF($X4636&gt;N($X4635),$X4636,""))</f>
        <v/>
      </c>
      <c r="X4636">
        <f>IF($T4636="",N($X4635),IF(MATCH($T4636,$T$6:$T$6005,0)=ROW()-5,N($X4635)+1,N($X4635)))</f>
        <v/>
      </c>
      <c r="Z4636">
        <f>IF($V4636="","",IF($AA4636&gt;N($AA4635),$AA4636,""))</f>
        <v/>
      </c>
      <c r="AA4636">
        <f>IF($V4636="",N($AA4635),IF(MATCH($V4636,$V$6:$V$6005,0)=ROW()-5,N($AA4635)+1,N($AA4635)))</f>
        <v/>
      </c>
    </row>
    <row r="4637" ht="21" customHeight="1" s="66">
      <c r="A4637" s="56" t="n"/>
      <c r="B4637" s="57" t="n"/>
      <c r="C4637" s="57" t="n"/>
      <c r="D4637" s="57" t="n"/>
      <c r="E4637" s="56" t="n"/>
      <c r="F4637" s="57" t="n"/>
      <c r="G4637" s="57" t="n"/>
      <c r="H4637" s="56" t="n"/>
      <c r="I4637" s="56" t="n"/>
      <c r="J4637" s="58" t="n"/>
      <c r="K4637" s="58" t="n"/>
      <c r="L4637" s="13">
        <f>IF(OR($A4637="",AND($J4637="",$K4637="")),"",ROUND(N($J4637)-N($K4637),2))</f>
        <v/>
      </c>
      <c r="M4637" s="13">
        <f>IF(OR($A4637="",AND($J4637="",$K4637="")),"",MIN($J4637,$K4637))</f>
        <v/>
      </c>
      <c r="Q4637">
        <f>IF($A4637="","",$D4637&amp;"("&amp;SUBSTITUTE($E4637," ","")&amp;")")</f>
        <v/>
      </c>
      <c r="R4637">
        <f>IF($A4637="","",$B4637&amp;" - "&amp;$C4637)</f>
        <v/>
      </c>
      <c r="S4637">
        <f>IF($A4637="","",$R4637&amp;"|"&amp;$Q4637)</f>
        <v/>
      </c>
      <c r="T4637">
        <f>IF($A4637="","",$S4637&amp;"|"&amp;$F4637)</f>
        <v/>
      </c>
      <c r="U4637">
        <f>IF($A4637="","",$R4637&amp;"("&amp;$E4637&amp;")")</f>
        <v/>
      </c>
      <c r="V4637">
        <f>IF($A4637="","",$F4637&amp;"|"&amp;$U4637&amp;"|"&amp;$D4637)</f>
        <v/>
      </c>
      <c r="W4637">
        <f>IF($T4637="","",IF($X4637&gt;N($X4636),$X4637,""))</f>
        <v/>
      </c>
      <c r="X4637">
        <f>IF($T4637="",N($X4636),IF(MATCH($T4637,$T$6:$T$6005,0)=ROW()-5,N($X4636)+1,N($X4636)))</f>
        <v/>
      </c>
      <c r="Z4637">
        <f>IF($V4637="","",IF($AA4637&gt;N($AA4636),$AA4637,""))</f>
        <v/>
      </c>
      <c r="AA4637">
        <f>IF($V4637="",N($AA4636),IF(MATCH($V4637,$V$6:$V$6005,0)=ROW()-5,N($AA4636)+1,N($AA4636)))</f>
        <v/>
      </c>
    </row>
    <row r="4638" ht="21" customHeight="1" s="66">
      <c r="A4638" s="56" t="n"/>
      <c r="B4638" s="57" t="n"/>
      <c r="C4638" s="57" t="n"/>
      <c r="D4638" s="57" t="n"/>
      <c r="E4638" s="56" t="n"/>
      <c r="F4638" s="57" t="n"/>
      <c r="G4638" s="57" t="n"/>
      <c r="H4638" s="56" t="n"/>
      <c r="I4638" s="56" t="n"/>
      <c r="J4638" s="58" t="n"/>
      <c r="K4638" s="58" t="n"/>
      <c r="L4638" s="13">
        <f>IF(OR($A4638="",AND($J4638="",$K4638="")),"",ROUND(N($J4638)-N($K4638),2))</f>
        <v/>
      </c>
      <c r="M4638" s="13">
        <f>IF(OR($A4638="",AND($J4638="",$K4638="")),"",MIN($J4638,$K4638))</f>
        <v/>
      </c>
      <c r="Q4638">
        <f>IF($A4638="","",$D4638&amp;"("&amp;SUBSTITUTE($E4638," ","")&amp;")")</f>
        <v/>
      </c>
      <c r="R4638">
        <f>IF($A4638="","",$B4638&amp;" - "&amp;$C4638)</f>
        <v/>
      </c>
      <c r="S4638">
        <f>IF($A4638="","",$R4638&amp;"|"&amp;$Q4638)</f>
        <v/>
      </c>
      <c r="T4638">
        <f>IF($A4638="","",$S4638&amp;"|"&amp;$F4638)</f>
        <v/>
      </c>
      <c r="U4638">
        <f>IF($A4638="","",$R4638&amp;"("&amp;$E4638&amp;")")</f>
        <v/>
      </c>
      <c r="V4638">
        <f>IF($A4638="","",$F4638&amp;"|"&amp;$U4638&amp;"|"&amp;$D4638)</f>
        <v/>
      </c>
      <c r="W4638">
        <f>IF($T4638="","",IF($X4638&gt;N($X4637),$X4638,""))</f>
        <v/>
      </c>
      <c r="X4638">
        <f>IF($T4638="",N($X4637),IF(MATCH($T4638,$T$6:$T$6005,0)=ROW()-5,N($X4637)+1,N($X4637)))</f>
        <v/>
      </c>
      <c r="Z4638">
        <f>IF($V4638="","",IF($AA4638&gt;N($AA4637),$AA4638,""))</f>
        <v/>
      </c>
      <c r="AA4638">
        <f>IF($V4638="",N($AA4637),IF(MATCH($V4638,$V$6:$V$6005,0)=ROW()-5,N($AA4637)+1,N($AA4637)))</f>
        <v/>
      </c>
    </row>
    <row r="4639" ht="21" customHeight="1" s="66">
      <c r="A4639" s="56" t="n"/>
      <c r="B4639" s="57" t="n"/>
      <c r="C4639" s="57" t="n"/>
      <c r="D4639" s="57" t="n"/>
      <c r="E4639" s="56" t="n"/>
      <c r="F4639" s="57" t="n"/>
      <c r="G4639" s="57" t="n"/>
      <c r="H4639" s="56" t="n"/>
      <c r="I4639" s="56" t="n"/>
      <c r="J4639" s="58" t="n"/>
      <c r="K4639" s="58" t="n"/>
      <c r="L4639" s="13">
        <f>IF(OR($A4639="",AND($J4639="",$K4639="")),"",ROUND(N($J4639)-N($K4639),2))</f>
        <v/>
      </c>
      <c r="M4639" s="13">
        <f>IF(OR($A4639="",AND($J4639="",$K4639="")),"",MIN($J4639,$K4639))</f>
        <v/>
      </c>
      <c r="Q4639">
        <f>IF($A4639="","",$D4639&amp;"("&amp;SUBSTITUTE($E4639," ","")&amp;")")</f>
        <v/>
      </c>
      <c r="R4639">
        <f>IF($A4639="","",$B4639&amp;" - "&amp;$C4639)</f>
        <v/>
      </c>
      <c r="S4639">
        <f>IF($A4639="","",$R4639&amp;"|"&amp;$Q4639)</f>
        <v/>
      </c>
      <c r="T4639">
        <f>IF($A4639="","",$S4639&amp;"|"&amp;$F4639)</f>
        <v/>
      </c>
      <c r="U4639">
        <f>IF($A4639="","",$R4639&amp;"("&amp;$E4639&amp;")")</f>
        <v/>
      </c>
      <c r="V4639">
        <f>IF($A4639="","",$F4639&amp;"|"&amp;$U4639&amp;"|"&amp;$D4639)</f>
        <v/>
      </c>
      <c r="W4639">
        <f>IF($T4639="","",IF($X4639&gt;N($X4638),$X4639,""))</f>
        <v/>
      </c>
      <c r="X4639">
        <f>IF($T4639="",N($X4638),IF(MATCH($T4639,$T$6:$T$6005,0)=ROW()-5,N($X4638)+1,N($X4638)))</f>
        <v/>
      </c>
      <c r="Z4639">
        <f>IF($V4639="","",IF($AA4639&gt;N($AA4638),$AA4639,""))</f>
        <v/>
      </c>
      <c r="AA4639">
        <f>IF($V4639="",N($AA4638),IF(MATCH($V4639,$V$6:$V$6005,0)=ROW()-5,N($AA4638)+1,N($AA4638)))</f>
        <v/>
      </c>
    </row>
    <row r="4640" ht="21" customHeight="1" s="66">
      <c r="A4640" s="56" t="n"/>
      <c r="B4640" s="57" t="n"/>
      <c r="C4640" s="57" t="n"/>
      <c r="D4640" s="57" t="n"/>
      <c r="E4640" s="56" t="n"/>
      <c r="F4640" s="57" t="n"/>
      <c r="G4640" s="57" t="n"/>
      <c r="H4640" s="56" t="n"/>
      <c r="I4640" s="56" t="n"/>
      <c r="J4640" s="58" t="n"/>
      <c r="K4640" s="58" t="n"/>
      <c r="L4640" s="13">
        <f>IF(OR($A4640="",AND($J4640="",$K4640="")),"",ROUND(N($J4640)-N($K4640),2))</f>
        <v/>
      </c>
      <c r="M4640" s="13">
        <f>IF(OR($A4640="",AND($J4640="",$K4640="")),"",MIN($J4640,$K4640))</f>
        <v/>
      </c>
      <c r="Q4640">
        <f>IF($A4640="","",$D4640&amp;"("&amp;SUBSTITUTE($E4640," ","")&amp;")")</f>
        <v/>
      </c>
      <c r="R4640">
        <f>IF($A4640="","",$B4640&amp;" - "&amp;$C4640)</f>
        <v/>
      </c>
      <c r="S4640">
        <f>IF($A4640="","",$R4640&amp;"|"&amp;$Q4640)</f>
        <v/>
      </c>
      <c r="T4640">
        <f>IF($A4640="","",$S4640&amp;"|"&amp;$F4640)</f>
        <v/>
      </c>
      <c r="U4640">
        <f>IF($A4640="","",$R4640&amp;"("&amp;$E4640&amp;")")</f>
        <v/>
      </c>
      <c r="V4640">
        <f>IF($A4640="","",$F4640&amp;"|"&amp;$U4640&amp;"|"&amp;$D4640)</f>
        <v/>
      </c>
      <c r="W4640">
        <f>IF($T4640="","",IF($X4640&gt;N($X4639),$X4640,""))</f>
        <v/>
      </c>
      <c r="X4640">
        <f>IF($T4640="",N($X4639),IF(MATCH($T4640,$T$6:$T$6005,0)=ROW()-5,N($X4639)+1,N($X4639)))</f>
        <v/>
      </c>
      <c r="Z4640">
        <f>IF($V4640="","",IF($AA4640&gt;N($AA4639),$AA4640,""))</f>
        <v/>
      </c>
      <c r="AA4640">
        <f>IF($V4640="",N($AA4639),IF(MATCH($V4640,$V$6:$V$6005,0)=ROW()-5,N($AA4639)+1,N($AA4639)))</f>
        <v/>
      </c>
    </row>
    <row r="4641" ht="21" customHeight="1" s="66">
      <c r="A4641" s="56" t="n"/>
      <c r="B4641" s="57" t="n"/>
      <c r="C4641" s="57" t="n"/>
      <c r="D4641" s="57" t="n"/>
      <c r="E4641" s="56" t="n"/>
      <c r="F4641" s="57" t="n"/>
      <c r="G4641" s="57" t="n"/>
      <c r="H4641" s="56" t="n"/>
      <c r="I4641" s="56" t="n"/>
      <c r="J4641" s="58" t="n"/>
      <c r="K4641" s="58" t="n"/>
      <c r="L4641" s="13">
        <f>IF(OR($A4641="",AND($J4641="",$K4641="")),"",ROUND(N($J4641)-N($K4641),2))</f>
        <v/>
      </c>
      <c r="M4641" s="13">
        <f>IF(OR($A4641="",AND($J4641="",$K4641="")),"",MIN($J4641,$K4641))</f>
        <v/>
      </c>
      <c r="Q4641">
        <f>IF($A4641="","",$D4641&amp;"("&amp;SUBSTITUTE($E4641," ","")&amp;")")</f>
        <v/>
      </c>
      <c r="R4641">
        <f>IF($A4641="","",$B4641&amp;" - "&amp;$C4641)</f>
        <v/>
      </c>
      <c r="S4641">
        <f>IF($A4641="","",$R4641&amp;"|"&amp;$Q4641)</f>
        <v/>
      </c>
      <c r="T4641">
        <f>IF($A4641="","",$S4641&amp;"|"&amp;$F4641)</f>
        <v/>
      </c>
      <c r="U4641">
        <f>IF($A4641="","",$R4641&amp;"("&amp;$E4641&amp;")")</f>
        <v/>
      </c>
      <c r="V4641">
        <f>IF($A4641="","",$F4641&amp;"|"&amp;$U4641&amp;"|"&amp;$D4641)</f>
        <v/>
      </c>
      <c r="W4641">
        <f>IF($T4641="","",IF($X4641&gt;N($X4640),$X4641,""))</f>
        <v/>
      </c>
      <c r="X4641">
        <f>IF($T4641="",N($X4640),IF(MATCH($T4641,$T$6:$T$6005,0)=ROW()-5,N($X4640)+1,N($X4640)))</f>
        <v/>
      </c>
      <c r="Z4641">
        <f>IF($V4641="","",IF($AA4641&gt;N($AA4640),$AA4641,""))</f>
        <v/>
      </c>
      <c r="AA4641">
        <f>IF($V4641="",N($AA4640),IF(MATCH($V4641,$V$6:$V$6005,0)=ROW()-5,N($AA4640)+1,N($AA4640)))</f>
        <v/>
      </c>
    </row>
    <row r="4642" ht="21" customHeight="1" s="66">
      <c r="A4642" s="56" t="n"/>
      <c r="B4642" s="57" t="n"/>
      <c r="C4642" s="57" t="n"/>
      <c r="D4642" s="57" t="n"/>
      <c r="E4642" s="56" t="n"/>
      <c r="F4642" s="57" t="n"/>
      <c r="G4642" s="57" t="n"/>
      <c r="H4642" s="56" t="n"/>
      <c r="I4642" s="56" t="n"/>
      <c r="J4642" s="58" t="n"/>
      <c r="K4642" s="58" t="n"/>
      <c r="L4642" s="13">
        <f>IF(OR($A4642="",AND($J4642="",$K4642="")),"",ROUND(N($J4642)-N($K4642),2))</f>
        <v/>
      </c>
      <c r="M4642" s="13">
        <f>IF(OR($A4642="",AND($J4642="",$K4642="")),"",MIN($J4642,$K4642))</f>
        <v/>
      </c>
      <c r="Q4642">
        <f>IF($A4642="","",$D4642&amp;"("&amp;SUBSTITUTE($E4642," ","")&amp;")")</f>
        <v/>
      </c>
      <c r="R4642">
        <f>IF($A4642="","",$B4642&amp;" - "&amp;$C4642)</f>
        <v/>
      </c>
      <c r="S4642">
        <f>IF($A4642="","",$R4642&amp;"|"&amp;$Q4642)</f>
        <v/>
      </c>
      <c r="T4642">
        <f>IF($A4642="","",$S4642&amp;"|"&amp;$F4642)</f>
        <v/>
      </c>
      <c r="U4642">
        <f>IF($A4642="","",$R4642&amp;"("&amp;$E4642&amp;")")</f>
        <v/>
      </c>
      <c r="V4642">
        <f>IF($A4642="","",$F4642&amp;"|"&amp;$U4642&amp;"|"&amp;$D4642)</f>
        <v/>
      </c>
      <c r="W4642">
        <f>IF($T4642="","",IF($X4642&gt;N($X4641),$X4642,""))</f>
        <v/>
      </c>
      <c r="X4642">
        <f>IF($T4642="",N($X4641),IF(MATCH($T4642,$T$6:$T$6005,0)=ROW()-5,N($X4641)+1,N($X4641)))</f>
        <v/>
      </c>
      <c r="Z4642">
        <f>IF($V4642="","",IF($AA4642&gt;N($AA4641),$AA4642,""))</f>
        <v/>
      </c>
      <c r="AA4642">
        <f>IF($V4642="",N($AA4641),IF(MATCH($V4642,$V$6:$V$6005,0)=ROW()-5,N($AA4641)+1,N($AA4641)))</f>
        <v/>
      </c>
    </row>
    <row r="4643" ht="21" customHeight="1" s="66">
      <c r="A4643" s="56" t="n"/>
      <c r="B4643" s="57" t="n"/>
      <c r="C4643" s="57" t="n"/>
      <c r="D4643" s="57" t="n"/>
      <c r="E4643" s="56" t="n"/>
      <c r="F4643" s="57" t="n"/>
      <c r="G4643" s="57" t="n"/>
      <c r="H4643" s="56" t="n"/>
      <c r="I4643" s="56" t="n"/>
      <c r="J4643" s="58" t="n"/>
      <c r="K4643" s="58" t="n"/>
      <c r="L4643" s="13">
        <f>IF(OR($A4643="",AND($J4643="",$K4643="")),"",ROUND(N($J4643)-N($K4643),2))</f>
        <v/>
      </c>
      <c r="M4643" s="13">
        <f>IF(OR($A4643="",AND($J4643="",$K4643="")),"",MIN($J4643,$K4643))</f>
        <v/>
      </c>
      <c r="Q4643">
        <f>IF($A4643="","",$D4643&amp;"("&amp;SUBSTITUTE($E4643," ","")&amp;")")</f>
        <v/>
      </c>
      <c r="R4643">
        <f>IF($A4643="","",$B4643&amp;" - "&amp;$C4643)</f>
        <v/>
      </c>
      <c r="S4643">
        <f>IF($A4643="","",$R4643&amp;"|"&amp;$Q4643)</f>
        <v/>
      </c>
      <c r="T4643">
        <f>IF($A4643="","",$S4643&amp;"|"&amp;$F4643)</f>
        <v/>
      </c>
      <c r="U4643">
        <f>IF($A4643="","",$R4643&amp;"("&amp;$E4643&amp;")")</f>
        <v/>
      </c>
      <c r="V4643">
        <f>IF($A4643="","",$F4643&amp;"|"&amp;$U4643&amp;"|"&amp;$D4643)</f>
        <v/>
      </c>
      <c r="W4643">
        <f>IF($T4643="","",IF($X4643&gt;N($X4642),$X4643,""))</f>
        <v/>
      </c>
      <c r="X4643">
        <f>IF($T4643="",N($X4642),IF(MATCH($T4643,$T$6:$T$6005,0)=ROW()-5,N($X4642)+1,N($X4642)))</f>
        <v/>
      </c>
      <c r="Z4643">
        <f>IF($V4643="","",IF($AA4643&gt;N($AA4642),$AA4643,""))</f>
        <v/>
      </c>
      <c r="AA4643">
        <f>IF($V4643="",N($AA4642),IF(MATCH($V4643,$V$6:$V$6005,0)=ROW()-5,N($AA4642)+1,N($AA4642)))</f>
        <v/>
      </c>
    </row>
    <row r="4644" ht="21" customHeight="1" s="66">
      <c r="A4644" s="56" t="n"/>
      <c r="B4644" s="57" t="n"/>
      <c r="C4644" s="57" t="n"/>
      <c r="D4644" s="57" t="n"/>
      <c r="E4644" s="56" t="n"/>
      <c r="F4644" s="57" t="n"/>
      <c r="G4644" s="57" t="n"/>
      <c r="H4644" s="56" t="n"/>
      <c r="I4644" s="56" t="n"/>
      <c r="J4644" s="58" t="n"/>
      <c r="K4644" s="58" t="n"/>
      <c r="L4644" s="13">
        <f>IF(OR($A4644="",AND($J4644="",$K4644="")),"",ROUND(N($J4644)-N($K4644),2))</f>
        <v/>
      </c>
      <c r="M4644" s="13">
        <f>IF(OR($A4644="",AND($J4644="",$K4644="")),"",MIN($J4644,$K4644))</f>
        <v/>
      </c>
      <c r="Q4644">
        <f>IF($A4644="","",$D4644&amp;"("&amp;SUBSTITUTE($E4644," ","")&amp;")")</f>
        <v/>
      </c>
      <c r="R4644">
        <f>IF($A4644="","",$B4644&amp;" - "&amp;$C4644)</f>
        <v/>
      </c>
      <c r="S4644">
        <f>IF($A4644="","",$R4644&amp;"|"&amp;$Q4644)</f>
        <v/>
      </c>
      <c r="T4644">
        <f>IF($A4644="","",$S4644&amp;"|"&amp;$F4644)</f>
        <v/>
      </c>
      <c r="U4644">
        <f>IF($A4644="","",$R4644&amp;"("&amp;$E4644&amp;")")</f>
        <v/>
      </c>
      <c r="V4644">
        <f>IF($A4644="","",$F4644&amp;"|"&amp;$U4644&amp;"|"&amp;$D4644)</f>
        <v/>
      </c>
      <c r="W4644">
        <f>IF($T4644="","",IF($X4644&gt;N($X4643),$X4644,""))</f>
        <v/>
      </c>
      <c r="X4644">
        <f>IF($T4644="",N($X4643),IF(MATCH($T4644,$T$6:$T$6005,0)=ROW()-5,N($X4643)+1,N($X4643)))</f>
        <v/>
      </c>
      <c r="Z4644">
        <f>IF($V4644="","",IF($AA4644&gt;N($AA4643),$AA4644,""))</f>
        <v/>
      </c>
      <c r="AA4644">
        <f>IF($V4644="",N($AA4643),IF(MATCH($V4644,$V$6:$V$6005,0)=ROW()-5,N($AA4643)+1,N($AA4643)))</f>
        <v/>
      </c>
    </row>
    <row r="4645" ht="21" customHeight="1" s="66">
      <c r="A4645" s="56" t="n"/>
      <c r="B4645" s="57" t="n"/>
      <c r="C4645" s="57" t="n"/>
      <c r="D4645" s="57" t="n"/>
      <c r="E4645" s="56" t="n"/>
      <c r="F4645" s="57" t="n"/>
      <c r="G4645" s="57" t="n"/>
      <c r="H4645" s="56" t="n"/>
      <c r="I4645" s="56" t="n"/>
      <c r="J4645" s="58" t="n"/>
      <c r="K4645" s="58" t="n"/>
      <c r="L4645" s="13">
        <f>IF(OR($A4645="",AND($J4645="",$K4645="")),"",ROUND(N($J4645)-N($K4645),2))</f>
        <v/>
      </c>
      <c r="M4645" s="13">
        <f>IF(OR($A4645="",AND($J4645="",$K4645="")),"",MIN($J4645,$K4645))</f>
        <v/>
      </c>
      <c r="Q4645">
        <f>IF($A4645="","",$D4645&amp;"("&amp;SUBSTITUTE($E4645," ","")&amp;")")</f>
        <v/>
      </c>
      <c r="R4645">
        <f>IF($A4645="","",$B4645&amp;" - "&amp;$C4645)</f>
        <v/>
      </c>
      <c r="S4645">
        <f>IF($A4645="","",$R4645&amp;"|"&amp;$Q4645)</f>
        <v/>
      </c>
      <c r="T4645">
        <f>IF($A4645="","",$S4645&amp;"|"&amp;$F4645)</f>
        <v/>
      </c>
      <c r="U4645">
        <f>IF($A4645="","",$R4645&amp;"("&amp;$E4645&amp;")")</f>
        <v/>
      </c>
      <c r="V4645">
        <f>IF($A4645="","",$F4645&amp;"|"&amp;$U4645&amp;"|"&amp;$D4645)</f>
        <v/>
      </c>
      <c r="W4645">
        <f>IF($T4645="","",IF($X4645&gt;N($X4644),$X4645,""))</f>
        <v/>
      </c>
      <c r="X4645">
        <f>IF($T4645="",N($X4644),IF(MATCH($T4645,$T$6:$T$6005,0)=ROW()-5,N($X4644)+1,N($X4644)))</f>
        <v/>
      </c>
      <c r="Z4645">
        <f>IF($V4645="","",IF($AA4645&gt;N($AA4644),$AA4645,""))</f>
        <v/>
      </c>
      <c r="AA4645">
        <f>IF($V4645="",N($AA4644),IF(MATCH($V4645,$V$6:$V$6005,0)=ROW()-5,N($AA4644)+1,N($AA4644)))</f>
        <v/>
      </c>
    </row>
    <row r="4646" ht="21" customHeight="1" s="66">
      <c r="A4646" s="56" t="n"/>
      <c r="B4646" s="57" t="n"/>
      <c r="C4646" s="57" t="n"/>
      <c r="D4646" s="57" t="n"/>
      <c r="E4646" s="56" t="n"/>
      <c r="F4646" s="57" t="n"/>
      <c r="G4646" s="57" t="n"/>
      <c r="H4646" s="56" t="n"/>
      <c r="I4646" s="56" t="n"/>
      <c r="J4646" s="58" t="n"/>
      <c r="K4646" s="58" t="n"/>
      <c r="L4646" s="13">
        <f>IF(OR($A4646="",AND($J4646="",$K4646="")),"",ROUND(N($J4646)-N($K4646),2))</f>
        <v/>
      </c>
      <c r="M4646" s="13">
        <f>IF(OR($A4646="",AND($J4646="",$K4646="")),"",MIN($J4646,$K4646))</f>
        <v/>
      </c>
      <c r="Q4646">
        <f>IF($A4646="","",$D4646&amp;"("&amp;SUBSTITUTE($E4646," ","")&amp;")")</f>
        <v/>
      </c>
      <c r="R4646">
        <f>IF($A4646="","",$B4646&amp;" - "&amp;$C4646)</f>
        <v/>
      </c>
      <c r="S4646">
        <f>IF($A4646="","",$R4646&amp;"|"&amp;$Q4646)</f>
        <v/>
      </c>
      <c r="T4646">
        <f>IF($A4646="","",$S4646&amp;"|"&amp;$F4646)</f>
        <v/>
      </c>
      <c r="U4646">
        <f>IF($A4646="","",$R4646&amp;"("&amp;$E4646&amp;")")</f>
        <v/>
      </c>
      <c r="V4646">
        <f>IF($A4646="","",$F4646&amp;"|"&amp;$U4646&amp;"|"&amp;$D4646)</f>
        <v/>
      </c>
      <c r="W4646">
        <f>IF($T4646="","",IF($X4646&gt;N($X4645),$X4646,""))</f>
        <v/>
      </c>
      <c r="X4646">
        <f>IF($T4646="",N($X4645),IF(MATCH($T4646,$T$6:$T$6005,0)=ROW()-5,N($X4645)+1,N($X4645)))</f>
        <v/>
      </c>
      <c r="Z4646">
        <f>IF($V4646="","",IF($AA4646&gt;N($AA4645),$AA4646,""))</f>
        <v/>
      </c>
      <c r="AA4646">
        <f>IF($V4646="",N($AA4645),IF(MATCH($V4646,$V$6:$V$6005,0)=ROW()-5,N($AA4645)+1,N($AA4645)))</f>
        <v/>
      </c>
    </row>
    <row r="4647" ht="21" customHeight="1" s="66">
      <c r="A4647" s="56" t="n"/>
      <c r="B4647" s="57" t="n"/>
      <c r="C4647" s="57" t="n"/>
      <c r="D4647" s="57" t="n"/>
      <c r="E4647" s="56" t="n"/>
      <c r="F4647" s="57" t="n"/>
      <c r="G4647" s="57" t="n"/>
      <c r="H4647" s="56" t="n"/>
      <c r="I4647" s="56" t="n"/>
      <c r="J4647" s="58" t="n"/>
      <c r="K4647" s="58" t="n"/>
      <c r="L4647" s="13">
        <f>IF(OR($A4647="",AND($J4647="",$K4647="")),"",ROUND(N($J4647)-N($K4647),2))</f>
        <v/>
      </c>
      <c r="M4647" s="13">
        <f>IF(OR($A4647="",AND($J4647="",$K4647="")),"",MIN($J4647,$K4647))</f>
        <v/>
      </c>
      <c r="Q4647">
        <f>IF($A4647="","",$D4647&amp;"("&amp;SUBSTITUTE($E4647," ","")&amp;")")</f>
        <v/>
      </c>
      <c r="R4647">
        <f>IF($A4647="","",$B4647&amp;" - "&amp;$C4647)</f>
        <v/>
      </c>
      <c r="S4647">
        <f>IF($A4647="","",$R4647&amp;"|"&amp;$Q4647)</f>
        <v/>
      </c>
      <c r="T4647">
        <f>IF($A4647="","",$S4647&amp;"|"&amp;$F4647)</f>
        <v/>
      </c>
      <c r="U4647">
        <f>IF($A4647="","",$R4647&amp;"("&amp;$E4647&amp;")")</f>
        <v/>
      </c>
      <c r="V4647">
        <f>IF($A4647="","",$F4647&amp;"|"&amp;$U4647&amp;"|"&amp;$D4647)</f>
        <v/>
      </c>
      <c r="W4647">
        <f>IF($T4647="","",IF($X4647&gt;N($X4646),$X4647,""))</f>
        <v/>
      </c>
      <c r="X4647">
        <f>IF($T4647="",N($X4646),IF(MATCH($T4647,$T$6:$T$6005,0)=ROW()-5,N($X4646)+1,N($X4646)))</f>
        <v/>
      </c>
      <c r="Z4647">
        <f>IF($V4647="","",IF($AA4647&gt;N($AA4646),$AA4647,""))</f>
        <v/>
      </c>
      <c r="AA4647">
        <f>IF($V4647="",N($AA4646),IF(MATCH($V4647,$V$6:$V$6005,0)=ROW()-5,N($AA4646)+1,N($AA4646)))</f>
        <v/>
      </c>
    </row>
    <row r="4648" ht="21" customHeight="1" s="66">
      <c r="A4648" s="56" t="n"/>
      <c r="B4648" s="57" t="n"/>
      <c r="C4648" s="57" t="n"/>
      <c r="D4648" s="57" t="n"/>
      <c r="E4648" s="56" t="n"/>
      <c r="F4648" s="57" t="n"/>
      <c r="G4648" s="57" t="n"/>
      <c r="H4648" s="56" t="n"/>
      <c r="I4648" s="56" t="n"/>
      <c r="J4648" s="58" t="n"/>
      <c r="K4648" s="58" t="n"/>
      <c r="L4648" s="13">
        <f>IF(OR($A4648="",AND($J4648="",$K4648="")),"",ROUND(N($J4648)-N($K4648),2))</f>
        <v/>
      </c>
      <c r="M4648" s="13">
        <f>IF(OR($A4648="",AND($J4648="",$K4648="")),"",MIN($J4648,$K4648))</f>
        <v/>
      </c>
      <c r="Q4648">
        <f>IF($A4648="","",$D4648&amp;"("&amp;SUBSTITUTE($E4648," ","")&amp;")")</f>
        <v/>
      </c>
      <c r="R4648">
        <f>IF($A4648="","",$B4648&amp;" - "&amp;$C4648)</f>
        <v/>
      </c>
      <c r="S4648">
        <f>IF($A4648="","",$R4648&amp;"|"&amp;$Q4648)</f>
        <v/>
      </c>
      <c r="T4648">
        <f>IF($A4648="","",$S4648&amp;"|"&amp;$F4648)</f>
        <v/>
      </c>
      <c r="U4648">
        <f>IF($A4648="","",$R4648&amp;"("&amp;$E4648&amp;")")</f>
        <v/>
      </c>
      <c r="V4648">
        <f>IF($A4648="","",$F4648&amp;"|"&amp;$U4648&amp;"|"&amp;$D4648)</f>
        <v/>
      </c>
      <c r="W4648">
        <f>IF($T4648="","",IF($X4648&gt;N($X4647),$X4648,""))</f>
        <v/>
      </c>
      <c r="X4648">
        <f>IF($T4648="",N($X4647),IF(MATCH($T4648,$T$6:$T$6005,0)=ROW()-5,N($X4647)+1,N($X4647)))</f>
        <v/>
      </c>
      <c r="Z4648">
        <f>IF($V4648="","",IF($AA4648&gt;N($AA4647),$AA4648,""))</f>
        <v/>
      </c>
      <c r="AA4648">
        <f>IF($V4648="",N($AA4647),IF(MATCH($V4648,$V$6:$V$6005,0)=ROW()-5,N($AA4647)+1,N($AA4647)))</f>
        <v/>
      </c>
    </row>
    <row r="4649" ht="21" customHeight="1" s="66">
      <c r="A4649" s="56" t="n"/>
      <c r="B4649" s="57" t="n"/>
      <c r="C4649" s="57" t="n"/>
      <c r="D4649" s="57" t="n"/>
      <c r="E4649" s="56" t="n"/>
      <c r="F4649" s="57" t="n"/>
      <c r="G4649" s="57" t="n"/>
      <c r="H4649" s="56" t="n"/>
      <c r="I4649" s="56" t="n"/>
      <c r="J4649" s="58" t="n"/>
      <c r="K4649" s="58" t="n"/>
      <c r="L4649" s="13">
        <f>IF(OR($A4649="",AND($J4649="",$K4649="")),"",ROUND(N($J4649)-N($K4649),2))</f>
        <v/>
      </c>
      <c r="M4649" s="13">
        <f>IF(OR($A4649="",AND($J4649="",$K4649="")),"",MIN($J4649,$K4649))</f>
        <v/>
      </c>
      <c r="Q4649">
        <f>IF($A4649="","",$D4649&amp;"("&amp;SUBSTITUTE($E4649," ","")&amp;")")</f>
        <v/>
      </c>
      <c r="R4649">
        <f>IF($A4649="","",$B4649&amp;" - "&amp;$C4649)</f>
        <v/>
      </c>
      <c r="S4649">
        <f>IF($A4649="","",$R4649&amp;"|"&amp;$Q4649)</f>
        <v/>
      </c>
      <c r="T4649">
        <f>IF($A4649="","",$S4649&amp;"|"&amp;$F4649)</f>
        <v/>
      </c>
      <c r="U4649">
        <f>IF($A4649="","",$R4649&amp;"("&amp;$E4649&amp;")")</f>
        <v/>
      </c>
      <c r="V4649">
        <f>IF($A4649="","",$F4649&amp;"|"&amp;$U4649&amp;"|"&amp;$D4649)</f>
        <v/>
      </c>
      <c r="W4649">
        <f>IF($T4649="","",IF($X4649&gt;N($X4648),$X4649,""))</f>
        <v/>
      </c>
      <c r="X4649">
        <f>IF($T4649="",N($X4648),IF(MATCH($T4649,$T$6:$T$6005,0)=ROW()-5,N($X4648)+1,N($X4648)))</f>
        <v/>
      </c>
      <c r="Z4649">
        <f>IF($V4649="","",IF($AA4649&gt;N($AA4648),$AA4649,""))</f>
        <v/>
      </c>
      <c r="AA4649">
        <f>IF($V4649="",N($AA4648),IF(MATCH($V4649,$V$6:$V$6005,0)=ROW()-5,N($AA4648)+1,N($AA4648)))</f>
        <v/>
      </c>
    </row>
    <row r="4650" ht="21" customHeight="1" s="66">
      <c r="A4650" s="56" t="n"/>
      <c r="B4650" s="57" t="n"/>
      <c r="C4650" s="57" t="n"/>
      <c r="D4650" s="57" t="n"/>
      <c r="E4650" s="56" t="n"/>
      <c r="F4650" s="57" t="n"/>
      <c r="G4650" s="57" t="n"/>
      <c r="H4650" s="56" t="n"/>
      <c r="I4650" s="56" t="n"/>
      <c r="J4650" s="58" t="n"/>
      <c r="K4650" s="58" t="n"/>
      <c r="L4650" s="13">
        <f>IF(OR($A4650="",AND($J4650="",$K4650="")),"",ROUND(N($J4650)-N($K4650),2))</f>
        <v/>
      </c>
      <c r="M4650" s="13">
        <f>IF(OR($A4650="",AND($J4650="",$K4650="")),"",MIN($J4650,$K4650))</f>
        <v/>
      </c>
      <c r="Q4650">
        <f>IF($A4650="","",$D4650&amp;"("&amp;SUBSTITUTE($E4650," ","")&amp;")")</f>
        <v/>
      </c>
      <c r="R4650">
        <f>IF($A4650="","",$B4650&amp;" - "&amp;$C4650)</f>
        <v/>
      </c>
      <c r="S4650">
        <f>IF($A4650="","",$R4650&amp;"|"&amp;$Q4650)</f>
        <v/>
      </c>
      <c r="T4650">
        <f>IF($A4650="","",$S4650&amp;"|"&amp;$F4650)</f>
        <v/>
      </c>
      <c r="U4650">
        <f>IF($A4650="","",$R4650&amp;"("&amp;$E4650&amp;")")</f>
        <v/>
      </c>
      <c r="V4650">
        <f>IF($A4650="","",$F4650&amp;"|"&amp;$U4650&amp;"|"&amp;$D4650)</f>
        <v/>
      </c>
      <c r="W4650">
        <f>IF($T4650="","",IF($X4650&gt;N($X4649),$X4650,""))</f>
        <v/>
      </c>
      <c r="X4650">
        <f>IF($T4650="",N($X4649),IF(MATCH($T4650,$T$6:$T$6005,0)=ROW()-5,N($X4649)+1,N($X4649)))</f>
        <v/>
      </c>
      <c r="Z4650">
        <f>IF($V4650="","",IF($AA4650&gt;N($AA4649),$AA4650,""))</f>
        <v/>
      </c>
      <c r="AA4650">
        <f>IF($V4650="",N($AA4649),IF(MATCH($V4650,$V$6:$V$6005,0)=ROW()-5,N($AA4649)+1,N($AA4649)))</f>
        <v/>
      </c>
    </row>
    <row r="4651" ht="21" customHeight="1" s="66">
      <c r="A4651" s="56" t="n"/>
      <c r="B4651" s="57" t="n"/>
      <c r="C4651" s="57" t="n"/>
      <c r="D4651" s="57" t="n"/>
      <c r="E4651" s="56" t="n"/>
      <c r="F4651" s="57" t="n"/>
      <c r="G4651" s="57" t="n"/>
      <c r="H4651" s="56" t="n"/>
      <c r="I4651" s="56" t="n"/>
      <c r="J4651" s="58" t="n"/>
      <c r="K4651" s="58" t="n"/>
      <c r="L4651" s="13">
        <f>IF(OR($A4651="",AND($J4651="",$K4651="")),"",ROUND(N($J4651)-N($K4651),2))</f>
        <v/>
      </c>
      <c r="M4651" s="13">
        <f>IF(OR($A4651="",AND($J4651="",$K4651="")),"",MIN($J4651,$K4651))</f>
        <v/>
      </c>
      <c r="Q4651">
        <f>IF($A4651="","",$D4651&amp;"("&amp;SUBSTITUTE($E4651," ","")&amp;")")</f>
        <v/>
      </c>
      <c r="R4651">
        <f>IF($A4651="","",$B4651&amp;" - "&amp;$C4651)</f>
        <v/>
      </c>
      <c r="S4651">
        <f>IF($A4651="","",$R4651&amp;"|"&amp;$Q4651)</f>
        <v/>
      </c>
      <c r="T4651">
        <f>IF($A4651="","",$S4651&amp;"|"&amp;$F4651)</f>
        <v/>
      </c>
      <c r="U4651">
        <f>IF($A4651="","",$R4651&amp;"("&amp;$E4651&amp;")")</f>
        <v/>
      </c>
      <c r="V4651">
        <f>IF($A4651="","",$F4651&amp;"|"&amp;$U4651&amp;"|"&amp;$D4651)</f>
        <v/>
      </c>
      <c r="W4651">
        <f>IF($T4651="","",IF($X4651&gt;N($X4650),$X4651,""))</f>
        <v/>
      </c>
      <c r="X4651">
        <f>IF($T4651="",N($X4650),IF(MATCH($T4651,$T$6:$T$6005,0)=ROW()-5,N($X4650)+1,N($X4650)))</f>
        <v/>
      </c>
      <c r="Z4651">
        <f>IF($V4651="","",IF($AA4651&gt;N($AA4650),$AA4651,""))</f>
        <v/>
      </c>
      <c r="AA4651">
        <f>IF($V4651="",N($AA4650),IF(MATCH($V4651,$V$6:$V$6005,0)=ROW()-5,N($AA4650)+1,N($AA4650)))</f>
        <v/>
      </c>
    </row>
    <row r="4652" ht="21" customHeight="1" s="66">
      <c r="A4652" s="56" t="n"/>
      <c r="B4652" s="57" t="n"/>
      <c r="C4652" s="57" t="n"/>
      <c r="D4652" s="57" t="n"/>
      <c r="E4652" s="56" t="n"/>
      <c r="F4652" s="57" t="n"/>
      <c r="G4652" s="57" t="n"/>
      <c r="H4652" s="56" t="n"/>
      <c r="I4652" s="56" t="n"/>
      <c r="J4652" s="58" t="n"/>
      <c r="K4652" s="58" t="n"/>
      <c r="L4652" s="13">
        <f>IF(OR($A4652="",AND($J4652="",$K4652="")),"",ROUND(N($J4652)-N($K4652),2))</f>
        <v/>
      </c>
      <c r="M4652" s="13">
        <f>IF(OR($A4652="",AND($J4652="",$K4652="")),"",MIN($J4652,$K4652))</f>
        <v/>
      </c>
      <c r="Q4652">
        <f>IF($A4652="","",$D4652&amp;"("&amp;SUBSTITUTE($E4652," ","")&amp;")")</f>
        <v/>
      </c>
      <c r="R4652">
        <f>IF($A4652="","",$B4652&amp;" - "&amp;$C4652)</f>
        <v/>
      </c>
      <c r="S4652">
        <f>IF($A4652="","",$R4652&amp;"|"&amp;$Q4652)</f>
        <v/>
      </c>
      <c r="T4652">
        <f>IF($A4652="","",$S4652&amp;"|"&amp;$F4652)</f>
        <v/>
      </c>
      <c r="U4652">
        <f>IF($A4652="","",$R4652&amp;"("&amp;$E4652&amp;")")</f>
        <v/>
      </c>
      <c r="V4652">
        <f>IF($A4652="","",$F4652&amp;"|"&amp;$U4652&amp;"|"&amp;$D4652)</f>
        <v/>
      </c>
      <c r="W4652">
        <f>IF($T4652="","",IF($X4652&gt;N($X4651),$X4652,""))</f>
        <v/>
      </c>
      <c r="X4652">
        <f>IF($T4652="",N($X4651),IF(MATCH($T4652,$T$6:$T$6005,0)=ROW()-5,N($X4651)+1,N($X4651)))</f>
        <v/>
      </c>
      <c r="Z4652">
        <f>IF($V4652="","",IF($AA4652&gt;N($AA4651),$AA4652,""))</f>
        <v/>
      </c>
      <c r="AA4652">
        <f>IF($V4652="",N($AA4651),IF(MATCH($V4652,$V$6:$V$6005,0)=ROW()-5,N($AA4651)+1,N($AA4651)))</f>
        <v/>
      </c>
    </row>
    <row r="4653" ht="21" customHeight="1" s="66">
      <c r="A4653" s="56" t="n"/>
      <c r="B4653" s="57" t="n"/>
      <c r="C4653" s="57" t="n"/>
      <c r="D4653" s="57" t="n"/>
      <c r="E4653" s="56" t="n"/>
      <c r="F4653" s="57" t="n"/>
      <c r="G4653" s="57" t="n"/>
      <c r="H4653" s="56" t="n"/>
      <c r="I4653" s="56" t="n"/>
      <c r="J4653" s="58" t="n"/>
      <c r="K4653" s="58" t="n"/>
      <c r="L4653" s="13">
        <f>IF(OR($A4653="",AND($J4653="",$K4653="")),"",ROUND(N($J4653)-N($K4653),2))</f>
        <v/>
      </c>
      <c r="M4653" s="13">
        <f>IF(OR($A4653="",AND($J4653="",$K4653="")),"",MIN($J4653,$K4653))</f>
        <v/>
      </c>
      <c r="Q4653">
        <f>IF($A4653="","",$D4653&amp;"("&amp;SUBSTITUTE($E4653," ","")&amp;")")</f>
        <v/>
      </c>
      <c r="R4653">
        <f>IF($A4653="","",$B4653&amp;" - "&amp;$C4653)</f>
        <v/>
      </c>
      <c r="S4653">
        <f>IF($A4653="","",$R4653&amp;"|"&amp;$Q4653)</f>
        <v/>
      </c>
      <c r="T4653">
        <f>IF($A4653="","",$S4653&amp;"|"&amp;$F4653)</f>
        <v/>
      </c>
      <c r="U4653">
        <f>IF($A4653="","",$R4653&amp;"("&amp;$E4653&amp;")")</f>
        <v/>
      </c>
      <c r="V4653">
        <f>IF($A4653="","",$F4653&amp;"|"&amp;$U4653&amp;"|"&amp;$D4653)</f>
        <v/>
      </c>
      <c r="W4653">
        <f>IF($T4653="","",IF($X4653&gt;N($X4652),$X4653,""))</f>
        <v/>
      </c>
      <c r="X4653">
        <f>IF($T4653="",N($X4652),IF(MATCH($T4653,$T$6:$T$6005,0)=ROW()-5,N($X4652)+1,N($X4652)))</f>
        <v/>
      </c>
      <c r="Z4653">
        <f>IF($V4653="","",IF($AA4653&gt;N($AA4652),$AA4653,""))</f>
        <v/>
      </c>
      <c r="AA4653">
        <f>IF($V4653="",N($AA4652),IF(MATCH($V4653,$V$6:$V$6005,0)=ROW()-5,N($AA4652)+1,N($AA4652)))</f>
        <v/>
      </c>
    </row>
    <row r="4654" ht="21" customHeight="1" s="66">
      <c r="A4654" s="56" t="n"/>
      <c r="B4654" s="57" t="n"/>
      <c r="C4654" s="57" t="n"/>
      <c r="D4654" s="57" t="n"/>
      <c r="E4654" s="56" t="n"/>
      <c r="F4654" s="57" t="n"/>
      <c r="G4654" s="57" t="n"/>
      <c r="H4654" s="56" t="n"/>
      <c r="I4654" s="56" t="n"/>
      <c r="J4654" s="58" t="n"/>
      <c r="K4654" s="58" t="n"/>
      <c r="L4654" s="13">
        <f>IF(OR($A4654="",AND($J4654="",$K4654="")),"",ROUND(N($J4654)-N($K4654),2))</f>
        <v/>
      </c>
      <c r="M4654" s="13">
        <f>IF(OR($A4654="",AND($J4654="",$K4654="")),"",MIN($J4654,$K4654))</f>
        <v/>
      </c>
      <c r="Q4654">
        <f>IF($A4654="","",$D4654&amp;"("&amp;SUBSTITUTE($E4654," ","")&amp;")")</f>
        <v/>
      </c>
      <c r="R4654">
        <f>IF($A4654="","",$B4654&amp;" - "&amp;$C4654)</f>
        <v/>
      </c>
      <c r="S4654">
        <f>IF($A4654="","",$R4654&amp;"|"&amp;$Q4654)</f>
        <v/>
      </c>
      <c r="T4654">
        <f>IF($A4654="","",$S4654&amp;"|"&amp;$F4654)</f>
        <v/>
      </c>
      <c r="U4654">
        <f>IF($A4654="","",$R4654&amp;"("&amp;$E4654&amp;")")</f>
        <v/>
      </c>
      <c r="V4654">
        <f>IF($A4654="","",$F4654&amp;"|"&amp;$U4654&amp;"|"&amp;$D4654)</f>
        <v/>
      </c>
      <c r="W4654">
        <f>IF($T4654="","",IF($X4654&gt;N($X4653),$X4654,""))</f>
        <v/>
      </c>
      <c r="X4654">
        <f>IF($T4654="",N($X4653),IF(MATCH($T4654,$T$6:$T$6005,0)=ROW()-5,N($X4653)+1,N($X4653)))</f>
        <v/>
      </c>
      <c r="Z4654">
        <f>IF($V4654="","",IF($AA4654&gt;N($AA4653),$AA4654,""))</f>
        <v/>
      </c>
      <c r="AA4654">
        <f>IF($V4654="",N($AA4653),IF(MATCH($V4654,$V$6:$V$6005,0)=ROW()-5,N($AA4653)+1,N($AA4653)))</f>
        <v/>
      </c>
    </row>
    <row r="4655" ht="21" customHeight="1" s="66">
      <c r="A4655" s="56" t="n"/>
      <c r="B4655" s="57" t="n"/>
      <c r="C4655" s="57" t="n"/>
      <c r="D4655" s="57" t="n"/>
      <c r="E4655" s="56" t="n"/>
      <c r="F4655" s="57" t="n"/>
      <c r="G4655" s="57" t="n"/>
      <c r="H4655" s="56" t="n"/>
      <c r="I4655" s="56" t="n"/>
      <c r="J4655" s="58" t="n"/>
      <c r="K4655" s="58" t="n"/>
      <c r="L4655" s="13">
        <f>IF(OR($A4655="",AND($J4655="",$K4655="")),"",ROUND(N($J4655)-N($K4655),2))</f>
        <v/>
      </c>
      <c r="M4655" s="13">
        <f>IF(OR($A4655="",AND($J4655="",$K4655="")),"",MIN($J4655,$K4655))</f>
        <v/>
      </c>
      <c r="Q4655">
        <f>IF($A4655="","",$D4655&amp;"("&amp;SUBSTITUTE($E4655," ","")&amp;")")</f>
        <v/>
      </c>
      <c r="R4655">
        <f>IF($A4655="","",$B4655&amp;" - "&amp;$C4655)</f>
        <v/>
      </c>
      <c r="S4655">
        <f>IF($A4655="","",$R4655&amp;"|"&amp;$Q4655)</f>
        <v/>
      </c>
      <c r="T4655">
        <f>IF($A4655="","",$S4655&amp;"|"&amp;$F4655)</f>
        <v/>
      </c>
      <c r="U4655">
        <f>IF($A4655="","",$R4655&amp;"("&amp;$E4655&amp;")")</f>
        <v/>
      </c>
      <c r="V4655">
        <f>IF($A4655="","",$F4655&amp;"|"&amp;$U4655&amp;"|"&amp;$D4655)</f>
        <v/>
      </c>
      <c r="W4655">
        <f>IF($T4655="","",IF($X4655&gt;N($X4654),$X4655,""))</f>
        <v/>
      </c>
      <c r="X4655">
        <f>IF($T4655="",N($X4654),IF(MATCH($T4655,$T$6:$T$6005,0)=ROW()-5,N($X4654)+1,N($X4654)))</f>
        <v/>
      </c>
      <c r="Z4655">
        <f>IF($V4655="","",IF($AA4655&gt;N($AA4654),$AA4655,""))</f>
        <v/>
      </c>
      <c r="AA4655">
        <f>IF($V4655="",N($AA4654),IF(MATCH($V4655,$V$6:$V$6005,0)=ROW()-5,N($AA4654)+1,N($AA4654)))</f>
        <v/>
      </c>
    </row>
    <row r="4656" ht="21" customHeight="1" s="66">
      <c r="A4656" s="56" t="n"/>
      <c r="B4656" s="57" t="n"/>
      <c r="C4656" s="57" t="n"/>
      <c r="D4656" s="57" t="n"/>
      <c r="E4656" s="56" t="n"/>
      <c r="F4656" s="57" t="n"/>
      <c r="G4656" s="57" t="n"/>
      <c r="H4656" s="56" t="n"/>
      <c r="I4656" s="56" t="n"/>
      <c r="J4656" s="58" t="n"/>
      <c r="K4656" s="58" t="n"/>
      <c r="L4656" s="13">
        <f>IF(OR($A4656="",AND($J4656="",$K4656="")),"",ROUND(N($J4656)-N($K4656),2))</f>
        <v/>
      </c>
      <c r="M4656" s="13">
        <f>IF(OR($A4656="",AND($J4656="",$K4656="")),"",MIN($J4656,$K4656))</f>
        <v/>
      </c>
      <c r="Q4656">
        <f>IF($A4656="","",$D4656&amp;"("&amp;SUBSTITUTE($E4656," ","")&amp;")")</f>
        <v/>
      </c>
      <c r="R4656">
        <f>IF($A4656="","",$B4656&amp;" - "&amp;$C4656)</f>
        <v/>
      </c>
      <c r="S4656">
        <f>IF($A4656="","",$R4656&amp;"|"&amp;$Q4656)</f>
        <v/>
      </c>
      <c r="T4656">
        <f>IF($A4656="","",$S4656&amp;"|"&amp;$F4656)</f>
        <v/>
      </c>
      <c r="U4656">
        <f>IF($A4656="","",$R4656&amp;"("&amp;$E4656&amp;")")</f>
        <v/>
      </c>
      <c r="V4656">
        <f>IF($A4656="","",$F4656&amp;"|"&amp;$U4656&amp;"|"&amp;$D4656)</f>
        <v/>
      </c>
      <c r="W4656">
        <f>IF($T4656="","",IF($X4656&gt;N($X4655),$X4656,""))</f>
        <v/>
      </c>
      <c r="X4656">
        <f>IF($T4656="",N($X4655),IF(MATCH($T4656,$T$6:$T$6005,0)=ROW()-5,N($X4655)+1,N($X4655)))</f>
        <v/>
      </c>
      <c r="Z4656">
        <f>IF($V4656="","",IF($AA4656&gt;N($AA4655),$AA4656,""))</f>
        <v/>
      </c>
      <c r="AA4656">
        <f>IF($V4656="",N($AA4655),IF(MATCH($V4656,$V$6:$V$6005,0)=ROW()-5,N($AA4655)+1,N($AA4655)))</f>
        <v/>
      </c>
    </row>
    <row r="4657" ht="21" customHeight="1" s="66">
      <c r="A4657" s="56" t="n"/>
      <c r="B4657" s="57" t="n"/>
      <c r="C4657" s="57" t="n"/>
      <c r="D4657" s="57" t="n"/>
      <c r="E4657" s="56" t="n"/>
      <c r="F4657" s="57" t="n"/>
      <c r="G4657" s="57" t="n"/>
      <c r="H4657" s="56" t="n"/>
      <c r="I4657" s="56" t="n"/>
      <c r="J4657" s="58" t="n"/>
      <c r="K4657" s="58" t="n"/>
      <c r="L4657" s="13">
        <f>IF(OR($A4657="",AND($J4657="",$K4657="")),"",ROUND(N($J4657)-N($K4657),2))</f>
        <v/>
      </c>
      <c r="M4657" s="13">
        <f>IF(OR($A4657="",AND($J4657="",$K4657="")),"",MIN($J4657,$K4657))</f>
        <v/>
      </c>
      <c r="Q4657">
        <f>IF($A4657="","",$D4657&amp;"("&amp;SUBSTITUTE($E4657," ","")&amp;")")</f>
        <v/>
      </c>
      <c r="R4657">
        <f>IF($A4657="","",$B4657&amp;" - "&amp;$C4657)</f>
        <v/>
      </c>
      <c r="S4657">
        <f>IF($A4657="","",$R4657&amp;"|"&amp;$Q4657)</f>
        <v/>
      </c>
      <c r="T4657">
        <f>IF($A4657="","",$S4657&amp;"|"&amp;$F4657)</f>
        <v/>
      </c>
      <c r="U4657">
        <f>IF($A4657="","",$R4657&amp;"("&amp;$E4657&amp;")")</f>
        <v/>
      </c>
      <c r="V4657">
        <f>IF($A4657="","",$F4657&amp;"|"&amp;$U4657&amp;"|"&amp;$D4657)</f>
        <v/>
      </c>
      <c r="W4657">
        <f>IF($T4657="","",IF($X4657&gt;N($X4656),$X4657,""))</f>
        <v/>
      </c>
      <c r="X4657">
        <f>IF($T4657="",N($X4656),IF(MATCH($T4657,$T$6:$T$6005,0)=ROW()-5,N($X4656)+1,N($X4656)))</f>
        <v/>
      </c>
      <c r="Z4657">
        <f>IF($V4657="","",IF($AA4657&gt;N($AA4656),$AA4657,""))</f>
        <v/>
      </c>
      <c r="AA4657">
        <f>IF($V4657="",N($AA4656),IF(MATCH($V4657,$V$6:$V$6005,0)=ROW()-5,N($AA4656)+1,N($AA4656)))</f>
        <v/>
      </c>
    </row>
    <row r="4658" ht="21" customHeight="1" s="66">
      <c r="A4658" s="56" t="n"/>
      <c r="B4658" s="57" t="n"/>
      <c r="C4658" s="57" t="n"/>
      <c r="D4658" s="57" t="n"/>
      <c r="E4658" s="56" t="n"/>
      <c r="F4658" s="57" t="n"/>
      <c r="G4658" s="57" t="n"/>
      <c r="H4658" s="56" t="n"/>
      <c r="I4658" s="56" t="n"/>
      <c r="J4658" s="58" t="n"/>
      <c r="K4658" s="58" t="n"/>
      <c r="L4658" s="13">
        <f>IF(OR($A4658="",AND($J4658="",$K4658="")),"",ROUND(N($J4658)-N($K4658),2))</f>
        <v/>
      </c>
      <c r="M4658" s="13">
        <f>IF(OR($A4658="",AND($J4658="",$K4658="")),"",MIN($J4658,$K4658))</f>
        <v/>
      </c>
      <c r="Q4658">
        <f>IF($A4658="","",$D4658&amp;"("&amp;SUBSTITUTE($E4658," ","")&amp;")")</f>
        <v/>
      </c>
      <c r="R4658">
        <f>IF($A4658="","",$B4658&amp;" - "&amp;$C4658)</f>
        <v/>
      </c>
      <c r="S4658">
        <f>IF($A4658="","",$R4658&amp;"|"&amp;$Q4658)</f>
        <v/>
      </c>
      <c r="T4658">
        <f>IF($A4658="","",$S4658&amp;"|"&amp;$F4658)</f>
        <v/>
      </c>
      <c r="U4658">
        <f>IF($A4658="","",$R4658&amp;"("&amp;$E4658&amp;")")</f>
        <v/>
      </c>
      <c r="V4658">
        <f>IF($A4658="","",$F4658&amp;"|"&amp;$U4658&amp;"|"&amp;$D4658)</f>
        <v/>
      </c>
      <c r="W4658">
        <f>IF($T4658="","",IF($X4658&gt;N($X4657),$X4658,""))</f>
        <v/>
      </c>
      <c r="X4658">
        <f>IF($T4658="",N($X4657),IF(MATCH($T4658,$T$6:$T$6005,0)=ROW()-5,N($X4657)+1,N($X4657)))</f>
        <v/>
      </c>
      <c r="Z4658">
        <f>IF($V4658="","",IF($AA4658&gt;N($AA4657),$AA4658,""))</f>
        <v/>
      </c>
      <c r="AA4658">
        <f>IF($V4658="",N($AA4657),IF(MATCH($V4658,$V$6:$V$6005,0)=ROW()-5,N($AA4657)+1,N($AA4657)))</f>
        <v/>
      </c>
    </row>
    <row r="4659" ht="21" customHeight="1" s="66">
      <c r="A4659" s="56" t="n"/>
      <c r="B4659" s="57" t="n"/>
      <c r="C4659" s="57" t="n"/>
      <c r="D4659" s="57" t="n"/>
      <c r="E4659" s="56" t="n"/>
      <c r="F4659" s="57" t="n"/>
      <c r="G4659" s="57" t="n"/>
      <c r="H4659" s="56" t="n"/>
      <c r="I4659" s="56" t="n"/>
      <c r="J4659" s="58" t="n"/>
      <c r="K4659" s="58" t="n"/>
      <c r="L4659" s="13">
        <f>IF(OR($A4659="",AND($J4659="",$K4659="")),"",ROUND(N($J4659)-N($K4659),2))</f>
        <v/>
      </c>
      <c r="M4659" s="13">
        <f>IF(OR($A4659="",AND($J4659="",$K4659="")),"",MIN($J4659,$K4659))</f>
        <v/>
      </c>
      <c r="Q4659">
        <f>IF($A4659="","",$D4659&amp;"("&amp;SUBSTITUTE($E4659," ","")&amp;")")</f>
        <v/>
      </c>
      <c r="R4659">
        <f>IF($A4659="","",$B4659&amp;" - "&amp;$C4659)</f>
        <v/>
      </c>
      <c r="S4659">
        <f>IF($A4659="","",$R4659&amp;"|"&amp;$Q4659)</f>
        <v/>
      </c>
      <c r="T4659">
        <f>IF($A4659="","",$S4659&amp;"|"&amp;$F4659)</f>
        <v/>
      </c>
      <c r="U4659">
        <f>IF($A4659="","",$R4659&amp;"("&amp;$E4659&amp;")")</f>
        <v/>
      </c>
      <c r="V4659">
        <f>IF($A4659="","",$F4659&amp;"|"&amp;$U4659&amp;"|"&amp;$D4659)</f>
        <v/>
      </c>
      <c r="W4659">
        <f>IF($T4659="","",IF($X4659&gt;N($X4658),$X4659,""))</f>
        <v/>
      </c>
      <c r="X4659">
        <f>IF($T4659="",N($X4658),IF(MATCH($T4659,$T$6:$T$6005,0)=ROW()-5,N($X4658)+1,N($X4658)))</f>
        <v/>
      </c>
      <c r="Z4659">
        <f>IF($V4659="","",IF($AA4659&gt;N($AA4658),$AA4659,""))</f>
        <v/>
      </c>
      <c r="AA4659">
        <f>IF($V4659="",N($AA4658),IF(MATCH($V4659,$V$6:$V$6005,0)=ROW()-5,N($AA4658)+1,N($AA4658)))</f>
        <v/>
      </c>
    </row>
    <row r="4660" ht="21" customHeight="1" s="66">
      <c r="A4660" s="56" t="n"/>
      <c r="B4660" s="57" t="n"/>
      <c r="C4660" s="57" t="n"/>
      <c r="D4660" s="57" t="n"/>
      <c r="E4660" s="56" t="n"/>
      <c r="F4660" s="57" t="n"/>
      <c r="G4660" s="57" t="n"/>
      <c r="H4660" s="56" t="n"/>
      <c r="I4660" s="56" t="n"/>
      <c r="J4660" s="58" t="n"/>
      <c r="K4660" s="58" t="n"/>
      <c r="L4660" s="13">
        <f>IF(OR($A4660="",AND($J4660="",$K4660="")),"",ROUND(N($J4660)-N($K4660),2))</f>
        <v/>
      </c>
      <c r="M4660" s="13">
        <f>IF(OR($A4660="",AND($J4660="",$K4660="")),"",MIN($J4660,$K4660))</f>
        <v/>
      </c>
      <c r="Q4660">
        <f>IF($A4660="","",$D4660&amp;"("&amp;SUBSTITUTE($E4660," ","")&amp;")")</f>
        <v/>
      </c>
      <c r="R4660">
        <f>IF($A4660="","",$B4660&amp;" - "&amp;$C4660)</f>
        <v/>
      </c>
      <c r="S4660">
        <f>IF($A4660="","",$R4660&amp;"|"&amp;$Q4660)</f>
        <v/>
      </c>
      <c r="T4660">
        <f>IF($A4660="","",$S4660&amp;"|"&amp;$F4660)</f>
        <v/>
      </c>
      <c r="U4660">
        <f>IF($A4660="","",$R4660&amp;"("&amp;$E4660&amp;")")</f>
        <v/>
      </c>
      <c r="V4660">
        <f>IF($A4660="","",$F4660&amp;"|"&amp;$U4660&amp;"|"&amp;$D4660)</f>
        <v/>
      </c>
      <c r="W4660">
        <f>IF($T4660="","",IF($X4660&gt;N($X4659),$X4660,""))</f>
        <v/>
      </c>
      <c r="X4660">
        <f>IF($T4660="",N($X4659),IF(MATCH($T4660,$T$6:$T$6005,0)=ROW()-5,N($X4659)+1,N($X4659)))</f>
        <v/>
      </c>
      <c r="Z4660">
        <f>IF($V4660="","",IF($AA4660&gt;N($AA4659),$AA4660,""))</f>
        <v/>
      </c>
      <c r="AA4660">
        <f>IF($V4660="",N($AA4659),IF(MATCH($V4660,$V$6:$V$6005,0)=ROW()-5,N($AA4659)+1,N($AA4659)))</f>
        <v/>
      </c>
    </row>
    <row r="4661" ht="21" customHeight="1" s="66">
      <c r="A4661" s="56" t="n"/>
      <c r="B4661" s="57" t="n"/>
      <c r="C4661" s="57" t="n"/>
      <c r="D4661" s="57" t="n"/>
      <c r="E4661" s="56" t="n"/>
      <c r="F4661" s="57" t="n"/>
      <c r="G4661" s="57" t="n"/>
      <c r="H4661" s="56" t="n"/>
      <c r="I4661" s="56" t="n"/>
      <c r="J4661" s="58" t="n"/>
      <c r="K4661" s="58" t="n"/>
      <c r="L4661" s="13">
        <f>IF(OR($A4661="",AND($J4661="",$K4661="")),"",ROUND(N($J4661)-N($K4661),2))</f>
        <v/>
      </c>
      <c r="M4661" s="13">
        <f>IF(OR($A4661="",AND($J4661="",$K4661="")),"",MIN($J4661,$K4661))</f>
        <v/>
      </c>
      <c r="Q4661">
        <f>IF($A4661="","",$D4661&amp;"("&amp;SUBSTITUTE($E4661," ","")&amp;")")</f>
        <v/>
      </c>
      <c r="R4661">
        <f>IF($A4661="","",$B4661&amp;" - "&amp;$C4661)</f>
        <v/>
      </c>
      <c r="S4661">
        <f>IF($A4661="","",$R4661&amp;"|"&amp;$Q4661)</f>
        <v/>
      </c>
      <c r="T4661">
        <f>IF($A4661="","",$S4661&amp;"|"&amp;$F4661)</f>
        <v/>
      </c>
      <c r="U4661">
        <f>IF($A4661="","",$R4661&amp;"("&amp;$E4661&amp;")")</f>
        <v/>
      </c>
      <c r="V4661">
        <f>IF($A4661="","",$F4661&amp;"|"&amp;$U4661&amp;"|"&amp;$D4661)</f>
        <v/>
      </c>
      <c r="W4661">
        <f>IF($T4661="","",IF($X4661&gt;N($X4660),$X4661,""))</f>
        <v/>
      </c>
      <c r="X4661">
        <f>IF($T4661="",N($X4660),IF(MATCH($T4661,$T$6:$T$6005,0)=ROW()-5,N($X4660)+1,N($X4660)))</f>
        <v/>
      </c>
      <c r="Z4661">
        <f>IF($V4661="","",IF($AA4661&gt;N($AA4660),$AA4661,""))</f>
        <v/>
      </c>
      <c r="AA4661">
        <f>IF($V4661="",N($AA4660),IF(MATCH($V4661,$V$6:$V$6005,0)=ROW()-5,N($AA4660)+1,N($AA4660)))</f>
        <v/>
      </c>
    </row>
    <row r="4662" ht="21" customHeight="1" s="66">
      <c r="A4662" s="56" t="n"/>
      <c r="B4662" s="57" t="n"/>
      <c r="C4662" s="57" t="n"/>
      <c r="D4662" s="57" t="n"/>
      <c r="E4662" s="56" t="n"/>
      <c r="F4662" s="57" t="n"/>
      <c r="G4662" s="57" t="n"/>
      <c r="H4662" s="56" t="n"/>
      <c r="I4662" s="56" t="n"/>
      <c r="J4662" s="58" t="n"/>
      <c r="K4662" s="58" t="n"/>
      <c r="L4662" s="13">
        <f>IF(OR($A4662="",AND($J4662="",$K4662="")),"",ROUND(N($J4662)-N($K4662),2))</f>
        <v/>
      </c>
      <c r="M4662" s="13">
        <f>IF(OR($A4662="",AND($J4662="",$K4662="")),"",MIN($J4662,$K4662))</f>
        <v/>
      </c>
      <c r="Q4662">
        <f>IF($A4662="","",$D4662&amp;"("&amp;SUBSTITUTE($E4662," ","")&amp;")")</f>
        <v/>
      </c>
      <c r="R4662">
        <f>IF($A4662="","",$B4662&amp;" - "&amp;$C4662)</f>
        <v/>
      </c>
      <c r="S4662">
        <f>IF($A4662="","",$R4662&amp;"|"&amp;$Q4662)</f>
        <v/>
      </c>
      <c r="T4662">
        <f>IF($A4662="","",$S4662&amp;"|"&amp;$F4662)</f>
        <v/>
      </c>
      <c r="U4662">
        <f>IF($A4662="","",$R4662&amp;"("&amp;$E4662&amp;")")</f>
        <v/>
      </c>
      <c r="V4662">
        <f>IF($A4662="","",$F4662&amp;"|"&amp;$U4662&amp;"|"&amp;$D4662)</f>
        <v/>
      </c>
      <c r="W4662">
        <f>IF($T4662="","",IF($X4662&gt;N($X4661),$X4662,""))</f>
        <v/>
      </c>
      <c r="X4662">
        <f>IF($T4662="",N($X4661),IF(MATCH($T4662,$T$6:$T$6005,0)=ROW()-5,N($X4661)+1,N($X4661)))</f>
        <v/>
      </c>
      <c r="Z4662">
        <f>IF($V4662="","",IF($AA4662&gt;N($AA4661),$AA4662,""))</f>
        <v/>
      </c>
      <c r="AA4662">
        <f>IF($V4662="",N($AA4661),IF(MATCH($V4662,$V$6:$V$6005,0)=ROW()-5,N($AA4661)+1,N($AA4661)))</f>
        <v/>
      </c>
    </row>
    <row r="4663" ht="21" customHeight="1" s="66">
      <c r="A4663" s="56" t="n"/>
      <c r="B4663" s="57" t="n"/>
      <c r="C4663" s="57" t="n"/>
      <c r="D4663" s="57" t="n"/>
      <c r="E4663" s="56" t="n"/>
      <c r="F4663" s="57" t="n"/>
      <c r="G4663" s="57" t="n"/>
      <c r="H4663" s="56" t="n"/>
      <c r="I4663" s="56" t="n"/>
      <c r="J4663" s="58" t="n"/>
      <c r="K4663" s="58" t="n"/>
      <c r="L4663" s="13">
        <f>IF(OR($A4663="",AND($J4663="",$K4663="")),"",ROUND(N($J4663)-N($K4663),2))</f>
        <v/>
      </c>
      <c r="M4663" s="13">
        <f>IF(OR($A4663="",AND($J4663="",$K4663="")),"",MIN($J4663,$K4663))</f>
        <v/>
      </c>
      <c r="Q4663">
        <f>IF($A4663="","",$D4663&amp;"("&amp;SUBSTITUTE($E4663," ","")&amp;")")</f>
        <v/>
      </c>
      <c r="R4663">
        <f>IF($A4663="","",$B4663&amp;" - "&amp;$C4663)</f>
        <v/>
      </c>
      <c r="S4663">
        <f>IF($A4663="","",$R4663&amp;"|"&amp;$Q4663)</f>
        <v/>
      </c>
      <c r="T4663">
        <f>IF($A4663="","",$S4663&amp;"|"&amp;$F4663)</f>
        <v/>
      </c>
      <c r="U4663">
        <f>IF($A4663="","",$R4663&amp;"("&amp;$E4663&amp;")")</f>
        <v/>
      </c>
      <c r="V4663">
        <f>IF($A4663="","",$F4663&amp;"|"&amp;$U4663&amp;"|"&amp;$D4663)</f>
        <v/>
      </c>
      <c r="W4663">
        <f>IF($T4663="","",IF($X4663&gt;N($X4662),$X4663,""))</f>
        <v/>
      </c>
      <c r="X4663">
        <f>IF($T4663="",N($X4662),IF(MATCH($T4663,$T$6:$T$6005,0)=ROW()-5,N($X4662)+1,N($X4662)))</f>
        <v/>
      </c>
      <c r="Z4663">
        <f>IF($V4663="","",IF($AA4663&gt;N($AA4662),$AA4663,""))</f>
        <v/>
      </c>
      <c r="AA4663">
        <f>IF($V4663="",N($AA4662),IF(MATCH($V4663,$V$6:$V$6005,0)=ROW()-5,N($AA4662)+1,N($AA4662)))</f>
        <v/>
      </c>
    </row>
    <row r="4664" ht="21" customHeight="1" s="66">
      <c r="A4664" s="56" t="n"/>
      <c r="B4664" s="57" t="n"/>
      <c r="C4664" s="57" t="n"/>
      <c r="D4664" s="57" t="n"/>
      <c r="E4664" s="56" t="n"/>
      <c r="F4664" s="57" t="n"/>
      <c r="G4664" s="57" t="n"/>
      <c r="H4664" s="56" t="n"/>
      <c r="I4664" s="56" t="n"/>
      <c r="J4664" s="58" t="n"/>
      <c r="K4664" s="58" t="n"/>
      <c r="L4664" s="13">
        <f>IF(OR($A4664="",AND($J4664="",$K4664="")),"",ROUND(N($J4664)-N($K4664),2))</f>
        <v/>
      </c>
      <c r="M4664" s="13">
        <f>IF(OR($A4664="",AND($J4664="",$K4664="")),"",MIN($J4664,$K4664))</f>
        <v/>
      </c>
      <c r="Q4664">
        <f>IF($A4664="","",$D4664&amp;"("&amp;SUBSTITUTE($E4664," ","")&amp;")")</f>
        <v/>
      </c>
      <c r="R4664">
        <f>IF($A4664="","",$B4664&amp;" - "&amp;$C4664)</f>
        <v/>
      </c>
      <c r="S4664">
        <f>IF($A4664="","",$R4664&amp;"|"&amp;$Q4664)</f>
        <v/>
      </c>
      <c r="T4664">
        <f>IF($A4664="","",$S4664&amp;"|"&amp;$F4664)</f>
        <v/>
      </c>
      <c r="U4664">
        <f>IF($A4664="","",$R4664&amp;"("&amp;$E4664&amp;")")</f>
        <v/>
      </c>
      <c r="V4664">
        <f>IF($A4664="","",$F4664&amp;"|"&amp;$U4664&amp;"|"&amp;$D4664)</f>
        <v/>
      </c>
      <c r="W4664">
        <f>IF($T4664="","",IF($X4664&gt;N($X4663),$X4664,""))</f>
        <v/>
      </c>
      <c r="X4664">
        <f>IF($T4664="",N($X4663),IF(MATCH($T4664,$T$6:$T$6005,0)=ROW()-5,N($X4663)+1,N($X4663)))</f>
        <v/>
      </c>
      <c r="Z4664">
        <f>IF($V4664="","",IF($AA4664&gt;N($AA4663),$AA4664,""))</f>
        <v/>
      </c>
      <c r="AA4664">
        <f>IF($V4664="",N($AA4663),IF(MATCH($V4664,$V$6:$V$6005,0)=ROW()-5,N($AA4663)+1,N($AA4663)))</f>
        <v/>
      </c>
    </row>
    <row r="4665" ht="21" customHeight="1" s="66">
      <c r="A4665" s="56" t="n"/>
      <c r="B4665" s="57" t="n"/>
      <c r="C4665" s="57" t="n"/>
      <c r="D4665" s="57" t="n"/>
      <c r="E4665" s="56" t="n"/>
      <c r="F4665" s="57" t="n"/>
      <c r="G4665" s="57" t="n"/>
      <c r="H4665" s="56" t="n"/>
      <c r="I4665" s="56" t="n"/>
      <c r="J4665" s="58" t="n"/>
      <c r="K4665" s="58" t="n"/>
      <c r="L4665" s="13">
        <f>IF(OR($A4665="",AND($J4665="",$K4665="")),"",ROUND(N($J4665)-N($K4665),2))</f>
        <v/>
      </c>
      <c r="M4665" s="13">
        <f>IF(OR($A4665="",AND($J4665="",$K4665="")),"",MIN($J4665,$K4665))</f>
        <v/>
      </c>
      <c r="Q4665">
        <f>IF($A4665="","",$D4665&amp;"("&amp;SUBSTITUTE($E4665," ","")&amp;")")</f>
        <v/>
      </c>
      <c r="R4665">
        <f>IF($A4665="","",$B4665&amp;" - "&amp;$C4665)</f>
        <v/>
      </c>
      <c r="S4665">
        <f>IF($A4665="","",$R4665&amp;"|"&amp;$Q4665)</f>
        <v/>
      </c>
      <c r="T4665">
        <f>IF($A4665="","",$S4665&amp;"|"&amp;$F4665)</f>
        <v/>
      </c>
      <c r="U4665">
        <f>IF($A4665="","",$R4665&amp;"("&amp;$E4665&amp;")")</f>
        <v/>
      </c>
      <c r="V4665">
        <f>IF($A4665="","",$F4665&amp;"|"&amp;$U4665&amp;"|"&amp;$D4665)</f>
        <v/>
      </c>
      <c r="W4665">
        <f>IF($T4665="","",IF($X4665&gt;N($X4664),$X4665,""))</f>
        <v/>
      </c>
      <c r="X4665">
        <f>IF($T4665="",N($X4664),IF(MATCH($T4665,$T$6:$T$6005,0)=ROW()-5,N($X4664)+1,N($X4664)))</f>
        <v/>
      </c>
      <c r="Z4665">
        <f>IF($V4665="","",IF($AA4665&gt;N($AA4664),$AA4665,""))</f>
        <v/>
      </c>
      <c r="AA4665">
        <f>IF($V4665="",N($AA4664),IF(MATCH($V4665,$V$6:$V$6005,0)=ROW()-5,N($AA4664)+1,N($AA4664)))</f>
        <v/>
      </c>
    </row>
    <row r="4666" ht="21" customHeight="1" s="66">
      <c r="A4666" s="56" t="n"/>
      <c r="B4666" s="57" t="n"/>
      <c r="C4666" s="57" t="n"/>
      <c r="D4666" s="57" t="n"/>
      <c r="E4666" s="56" t="n"/>
      <c r="F4666" s="57" t="n"/>
      <c r="G4666" s="57" t="n"/>
      <c r="H4666" s="56" t="n"/>
      <c r="I4666" s="56" t="n"/>
      <c r="J4666" s="58" t="n"/>
      <c r="K4666" s="58" t="n"/>
      <c r="L4666" s="13">
        <f>IF(OR($A4666="",AND($J4666="",$K4666="")),"",ROUND(N($J4666)-N($K4666),2))</f>
        <v/>
      </c>
      <c r="M4666" s="13">
        <f>IF(OR($A4666="",AND($J4666="",$K4666="")),"",MIN($J4666,$K4666))</f>
        <v/>
      </c>
      <c r="Q4666">
        <f>IF($A4666="","",$D4666&amp;"("&amp;SUBSTITUTE($E4666," ","")&amp;")")</f>
        <v/>
      </c>
      <c r="R4666">
        <f>IF($A4666="","",$B4666&amp;" - "&amp;$C4666)</f>
        <v/>
      </c>
      <c r="S4666">
        <f>IF($A4666="","",$R4666&amp;"|"&amp;$Q4666)</f>
        <v/>
      </c>
      <c r="T4666">
        <f>IF($A4666="","",$S4666&amp;"|"&amp;$F4666)</f>
        <v/>
      </c>
      <c r="U4666">
        <f>IF($A4666="","",$R4666&amp;"("&amp;$E4666&amp;")")</f>
        <v/>
      </c>
      <c r="V4666">
        <f>IF($A4666="","",$F4666&amp;"|"&amp;$U4666&amp;"|"&amp;$D4666)</f>
        <v/>
      </c>
      <c r="W4666">
        <f>IF($T4666="","",IF($X4666&gt;N($X4665),$X4666,""))</f>
        <v/>
      </c>
      <c r="X4666">
        <f>IF($T4666="",N($X4665),IF(MATCH($T4666,$T$6:$T$6005,0)=ROW()-5,N($X4665)+1,N($X4665)))</f>
        <v/>
      </c>
      <c r="Z4666">
        <f>IF($V4666="","",IF($AA4666&gt;N($AA4665),$AA4666,""))</f>
        <v/>
      </c>
      <c r="AA4666">
        <f>IF($V4666="",N($AA4665),IF(MATCH($V4666,$V$6:$V$6005,0)=ROW()-5,N($AA4665)+1,N($AA4665)))</f>
        <v/>
      </c>
    </row>
    <row r="4667" ht="21" customHeight="1" s="66">
      <c r="A4667" s="56" t="n"/>
      <c r="B4667" s="57" t="n"/>
      <c r="C4667" s="57" t="n"/>
      <c r="D4667" s="57" t="n"/>
      <c r="E4667" s="56" t="n"/>
      <c r="F4667" s="57" t="n"/>
      <c r="G4667" s="57" t="n"/>
      <c r="H4667" s="56" t="n"/>
      <c r="I4667" s="56" t="n"/>
      <c r="J4667" s="58" t="n"/>
      <c r="K4667" s="58" t="n"/>
      <c r="L4667" s="13">
        <f>IF(OR($A4667="",AND($J4667="",$K4667="")),"",ROUND(N($J4667)-N($K4667),2))</f>
        <v/>
      </c>
      <c r="M4667" s="13">
        <f>IF(OR($A4667="",AND($J4667="",$K4667="")),"",MIN($J4667,$K4667))</f>
        <v/>
      </c>
      <c r="Q4667">
        <f>IF($A4667="","",$D4667&amp;"("&amp;SUBSTITUTE($E4667," ","")&amp;")")</f>
        <v/>
      </c>
      <c r="R4667">
        <f>IF($A4667="","",$B4667&amp;" - "&amp;$C4667)</f>
        <v/>
      </c>
      <c r="S4667">
        <f>IF($A4667="","",$R4667&amp;"|"&amp;$Q4667)</f>
        <v/>
      </c>
      <c r="T4667">
        <f>IF($A4667="","",$S4667&amp;"|"&amp;$F4667)</f>
        <v/>
      </c>
      <c r="U4667">
        <f>IF($A4667="","",$R4667&amp;"("&amp;$E4667&amp;")")</f>
        <v/>
      </c>
      <c r="V4667">
        <f>IF($A4667="","",$F4667&amp;"|"&amp;$U4667&amp;"|"&amp;$D4667)</f>
        <v/>
      </c>
      <c r="W4667">
        <f>IF($T4667="","",IF($X4667&gt;N($X4666),$X4667,""))</f>
        <v/>
      </c>
      <c r="X4667">
        <f>IF($T4667="",N($X4666),IF(MATCH($T4667,$T$6:$T$6005,0)=ROW()-5,N($X4666)+1,N($X4666)))</f>
        <v/>
      </c>
      <c r="Z4667">
        <f>IF($V4667="","",IF($AA4667&gt;N($AA4666),$AA4667,""))</f>
        <v/>
      </c>
      <c r="AA4667">
        <f>IF($V4667="",N($AA4666),IF(MATCH($V4667,$V$6:$V$6005,0)=ROW()-5,N($AA4666)+1,N($AA4666)))</f>
        <v/>
      </c>
    </row>
    <row r="4668" ht="21" customHeight="1" s="66">
      <c r="A4668" s="56" t="n"/>
      <c r="B4668" s="57" t="n"/>
      <c r="C4668" s="57" t="n"/>
      <c r="D4668" s="57" t="n"/>
      <c r="E4668" s="56" t="n"/>
      <c r="F4668" s="57" t="n"/>
      <c r="G4668" s="57" t="n"/>
      <c r="H4668" s="56" t="n"/>
      <c r="I4668" s="56" t="n"/>
      <c r="J4668" s="58" t="n"/>
      <c r="K4668" s="58" t="n"/>
      <c r="L4668" s="13">
        <f>IF(OR($A4668="",AND($J4668="",$K4668="")),"",ROUND(N($J4668)-N($K4668),2))</f>
        <v/>
      </c>
      <c r="M4668" s="13">
        <f>IF(OR($A4668="",AND($J4668="",$K4668="")),"",MIN($J4668,$K4668))</f>
        <v/>
      </c>
      <c r="Q4668">
        <f>IF($A4668="","",$D4668&amp;"("&amp;SUBSTITUTE($E4668," ","")&amp;")")</f>
        <v/>
      </c>
      <c r="R4668">
        <f>IF($A4668="","",$B4668&amp;" - "&amp;$C4668)</f>
        <v/>
      </c>
      <c r="S4668">
        <f>IF($A4668="","",$R4668&amp;"|"&amp;$Q4668)</f>
        <v/>
      </c>
      <c r="T4668">
        <f>IF($A4668="","",$S4668&amp;"|"&amp;$F4668)</f>
        <v/>
      </c>
      <c r="U4668">
        <f>IF($A4668="","",$R4668&amp;"("&amp;$E4668&amp;")")</f>
        <v/>
      </c>
      <c r="V4668">
        <f>IF($A4668="","",$F4668&amp;"|"&amp;$U4668&amp;"|"&amp;$D4668)</f>
        <v/>
      </c>
      <c r="W4668">
        <f>IF($T4668="","",IF($X4668&gt;N($X4667),$X4668,""))</f>
        <v/>
      </c>
      <c r="X4668">
        <f>IF($T4668="",N($X4667),IF(MATCH($T4668,$T$6:$T$6005,0)=ROW()-5,N($X4667)+1,N($X4667)))</f>
        <v/>
      </c>
      <c r="Z4668">
        <f>IF($V4668="","",IF($AA4668&gt;N($AA4667),$AA4668,""))</f>
        <v/>
      </c>
      <c r="AA4668">
        <f>IF($V4668="",N($AA4667),IF(MATCH($V4668,$V$6:$V$6005,0)=ROW()-5,N($AA4667)+1,N($AA4667)))</f>
        <v/>
      </c>
    </row>
    <row r="4669" ht="21" customHeight="1" s="66">
      <c r="A4669" s="56" t="n"/>
      <c r="B4669" s="57" t="n"/>
      <c r="C4669" s="57" t="n"/>
      <c r="D4669" s="57" t="n"/>
      <c r="E4669" s="56" t="n"/>
      <c r="F4669" s="57" t="n"/>
      <c r="G4669" s="57" t="n"/>
      <c r="H4669" s="56" t="n"/>
      <c r="I4669" s="56" t="n"/>
      <c r="J4669" s="58" t="n"/>
      <c r="K4669" s="58" t="n"/>
      <c r="L4669" s="13">
        <f>IF(OR($A4669="",AND($J4669="",$K4669="")),"",ROUND(N($J4669)-N($K4669),2))</f>
        <v/>
      </c>
      <c r="M4669" s="13">
        <f>IF(OR($A4669="",AND($J4669="",$K4669="")),"",MIN($J4669,$K4669))</f>
        <v/>
      </c>
      <c r="Q4669">
        <f>IF($A4669="","",$D4669&amp;"("&amp;SUBSTITUTE($E4669," ","")&amp;")")</f>
        <v/>
      </c>
      <c r="R4669">
        <f>IF($A4669="","",$B4669&amp;" - "&amp;$C4669)</f>
        <v/>
      </c>
      <c r="S4669">
        <f>IF($A4669="","",$R4669&amp;"|"&amp;$Q4669)</f>
        <v/>
      </c>
      <c r="T4669">
        <f>IF($A4669="","",$S4669&amp;"|"&amp;$F4669)</f>
        <v/>
      </c>
      <c r="U4669">
        <f>IF($A4669="","",$R4669&amp;"("&amp;$E4669&amp;")")</f>
        <v/>
      </c>
      <c r="V4669">
        <f>IF($A4669="","",$F4669&amp;"|"&amp;$U4669&amp;"|"&amp;$D4669)</f>
        <v/>
      </c>
      <c r="W4669">
        <f>IF($T4669="","",IF($X4669&gt;N($X4668),$X4669,""))</f>
        <v/>
      </c>
      <c r="X4669">
        <f>IF($T4669="",N($X4668),IF(MATCH($T4669,$T$6:$T$6005,0)=ROW()-5,N($X4668)+1,N($X4668)))</f>
        <v/>
      </c>
      <c r="Z4669">
        <f>IF($V4669="","",IF($AA4669&gt;N($AA4668),$AA4669,""))</f>
        <v/>
      </c>
      <c r="AA4669">
        <f>IF($V4669="",N($AA4668),IF(MATCH($V4669,$V$6:$V$6005,0)=ROW()-5,N($AA4668)+1,N($AA4668)))</f>
        <v/>
      </c>
    </row>
    <row r="4670" ht="21" customHeight="1" s="66">
      <c r="A4670" s="56" t="n"/>
      <c r="B4670" s="57" t="n"/>
      <c r="C4670" s="57" t="n"/>
      <c r="D4670" s="57" t="n"/>
      <c r="E4670" s="56" t="n"/>
      <c r="F4670" s="57" t="n"/>
      <c r="G4670" s="57" t="n"/>
      <c r="H4670" s="56" t="n"/>
      <c r="I4670" s="56" t="n"/>
      <c r="J4670" s="58" t="n"/>
      <c r="K4670" s="58" t="n"/>
      <c r="L4670" s="13">
        <f>IF(OR($A4670="",AND($J4670="",$K4670="")),"",ROUND(N($J4670)-N($K4670),2))</f>
        <v/>
      </c>
      <c r="M4670" s="13">
        <f>IF(OR($A4670="",AND($J4670="",$K4670="")),"",MIN($J4670,$K4670))</f>
        <v/>
      </c>
      <c r="Q4670">
        <f>IF($A4670="","",$D4670&amp;"("&amp;SUBSTITUTE($E4670," ","")&amp;")")</f>
        <v/>
      </c>
      <c r="R4670">
        <f>IF($A4670="","",$B4670&amp;" - "&amp;$C4670)</f>
        <v/>
      </c>
      <c r="S4670">
        <f>IF($A4670="","",$R4670&amp;"|"&amp;$Q4670)</f>
        <v/>
      </c>
      <c r="T4670">
        <f>IF($A4670="","",$S4670&amp;"|"&amp;$F4670)</f>
        <v/>
      </c>
      <c r="U4670">
        <f>IF($A4670="","",$R4670&amp;"("&amp;$E4670&amp;")")</f>
        <v/>
      </c>
      <c r="V4670">
        <f>IF($A4670="","",$F4670&amp;"|"&amp;$U4670&amp;"|"&amp;$D4670)</f>
        <v/>
      </c>
      <c r="W4670">
        <f>IF($T4670="","",IF($X4670&gt;N($X4669),$X4670,""))</f>
        <v/>
      </c>
      <c r="X4670">
        <f>IF($T4670="",N($X4669),IF(MATCH($T4670,$T$6:$T$6005,0)=ROW()-5,N($X4669)+1,N($X4669)))</f>
        <v/>
      </c>
      <c r="Z4670">
        <f>IF($V4670="","",IF($AA4670&gt;N($AA4669),$AA4670,""))</f>
        <v/>
      </c>
      <c r="AA4670">
        <f>IF($V4670="",N($AA4669),IF(MATCH($V4670,$V$6:$V$6005,0)=ROW()-5,N($AA4669)+1,N($AA4669)))</f>
        <v/>
      </c>
    </row>
    <row r="4671" ht="21" customHeight="1" s="66">
      <c r="A4671" s="56" t="n"/>
      <c r="B4671" s="57" t="n"/>
      <c r="C4671" s="57" t="n"/>
      <c r="D4671" s="57" t="n"/>
      <c r="E4671" s="56" t="n"/>
      <c r="F4671" s="57" t="n"/>
      <c r="G4671" s="57" t="n"/>
      <c r="H4671" s="56" t="n"/>
      <c r="I4671" s="56" t="n"/>
      <c r="J4671" s="58" t="n"/>
      <c r="K4671" s="58" t="n"/>
      <c r="L4671" s="13">
        <f>IF(OR($A4671="",AND($J4671="",$K4671="")),"",ROUND(N($J4671)-N($K4671),2))</f>
        <v/>
      </c>
      <c r="M4671" s="13">
        <f>IF(OR($A4671="",AND($J4671="",$K4671="")),"",MIN($J4671,$K4671))</f>
        <v/>
      </c>
      <c r="Q4671">
        <f>IF($A4671="","",$D4671&amp;"("&amp;SUBSTITUTE($E4671," ","")&amp;")")</f>
        <v/>
      </c>
      <c r="R4671">
        <f>IF($A4671="","",$B4671&amp;" - "&amp;$C4671)</f>
        <v/>
      </c>
      <c r="S4671">
        <f>IF($A4671="","",$R4671&amp;"|"&amp;$Q4671)</f>
        <v/>
      </c>
      <c r="T4671">
        <f>IF($A4671="","",$S4671&amp;"|"&amp;$F4671)</f>
        <v/>
      </c>
      <c r="U4671">
        <f>IF($A4671="","",$R4671&amp;"("&amp;$E4671&amp;")")</f>
        <v/>
      </c>
      <c r="V4671">
        <f>IF($A4671="","",$F4671&amp;"|"&amp;$U4671&amp;"|"&amp;$D4671)</f>
        <v/>
      </c>
      <c r="W4671">
        <f>IF($T4671="","",IF($X4671&gt;N($X4670),$X4671,""))</f>
        <v/>
      </c>
      <c r="X4671">
        <f>IF($T4671="",N($X4670),IF(MATCH($T4671,$T$6:$T$6005,0)=ROW()-5,N($X4670)+1,N($X4670)))</f>
        <v/>
      </c>
      <c r="Z4671">
        <f>IF($V4671="","",IF($AA4671&gt;N($AA4670),$AA4671,""))</f>
        <v/>
      </c>
      <c r="AA4671">
        <f>IF($V4671="",N($AA4670),IF(MATCH($V4671,$V$6:$V$6005,0)=ROW()-5,N($AA4670)+1,N($AA4670)))</f>
        <v/>
      </c>
    </row>
    <row r="4672" ht="21" customHeight="1" s="66">
      <c r="A4672" s="56" t="n"/>
      <c r="B4672" s="57" t="n"/>
      <c r="C4672" s="57" t="n"/>
      <c r="D4672" s="57" t="n"/>
      <c r="E4672" s="56" t="n"/>
      <c r="F4672" s="57" t="n"/>
      <c r="G4672" s="57" t="n"/>
      <c r="H4672" s="56" t="n"/>
      <c r="I4672" s="56" t="n"/>
      <c r="J4672" s="58" t="n"/>
      <c r="K4672" s="58" t="n"/>
      <c r="L4672" s="13">
        <f>IF(OR($A4672="",AND($J4672="",$K4672="")),"",ROUND(N($J4672)-N($K4672),2))</f>
        <v/>
      </c>
      <c r="M4672" s="13">
        <f>IF(OR($A4672="",AND($J4672="",$K4672="")),"",MIN($J4672,$K4672))</f>
        <v/>
      </c>
      <c r="Q4672">
        <f>IF($A4672="","",$D4672&amp;"("&amp;SUBSTITUTE($E4672," ","")&amp;")")</f>
        <v/>
      </c>
      <c r="R4672">
        <f>IF($A4672="","",$B4672&amp;" - "&amp;$C4672)</f>
        <v/>
      </c>
      <c r="S4672">
        <f>IF($A4672="","",$R4672&amp;"|"&amp;$Q4672)</f>
        <v/>
      </c>
      <c r="T4672">
        <f>IF($A4672="","",$S4672&amp;"|"&amp;$F4672)</f>
        <v/>
      </c>
      <c r="U4672">
        <f>IF($A4672="","",$R4672&amp;"("&amp;$E4672&amp;")")</f>
        <v/>
      </c>
      <c r="V4672">
        <f>IF($A4672="","",$F4672&amp;"|"&amp;$U4672&amp;"|"&amp;$D4672)</f>
        <v/>
      </c>
      <c r="W4672">
        <f>IF($T4672="","",IF($X4672&gt;N($X4671),$X4672,""))</f>
        <v/>
      </c>
      <c r="X4672">
        <f>IF($T4672="",N($X4671),IF(MATCH($T4672,$T$6:$T$6005,0)=ROW()-5,N($X4671)+1,N($X4671)))</f>
        <v/>
      </c>
      <c r="Z4672">
        <f>IF($V4672="","",IF($AA4672&gt;N($AA4671),$AA4672,""))</f>
        <v/>
      </c>
      <c r="AA4672">
        <f>IF($V4672="",N($AA4671),IF(MATCH($V4672,$V$6:$V$6005,0)=ROW()-5,N($AA4671)+1,N($AA4671)))</f>
        <v/>
      </c>
    </row>
    <row r="4673" ht="21" customHeight="1" s="66">
      <c r="A4673" s="56" t="n"/>
      <c r="B4673" s="57" t="n"/>
      <c r="C4673" s="57" t="n"/>
      <c r="D4673" s="57" t="n"/>
      <c r="E4673" s="56" t="n"/>
      <c r="F4673" s="57" t="n"/>
      <c r="G4673" s="57" t="n"/>
      <c r="H4673" s="56" t="n"/>
      <c r="I4673" s="56" t="n"/>
      <c r="J4673" s="58" t="n"/>
      <c r="K4673" s="58" t="n"/>
      <c r="L4673" s="13">
        <f>IF(OR($A4673="",AND($J4673="",$K4673="")),"",ROUND(N($J4673)-N($K4673),2))</f>
        <v/>
      </c>
      <c r="M4673" s="13">
        <f>IF(OR($A4673="",AND($J4673="",$K4673="")),"",MIN($J4673,$K4673))</f>
        <v/>
      </c>
      <c r="Q4673">
        <f>IF($A4673="","",$D4673&amp;"("&amp;SUBSTITUTE($E4673," ","")&amp;")")</f>
        <v/>
      </c>
      <c r="R4673">
        <f>IF($A4673="","",$B4673&amp;" - "&amp;$C4673)</f>
        <v/>
      </c>
      <c r="S4673">
        <f>IF($A4673="","",$R4673&amp;"|"&amp;$Q4673)</f>
        <v/>
      </c>
      <c r="T4673">
        <f>IF($A4673="","",$S4673&amp;"|"&amp;$F4673)</f>
        <v/>
      </c>
      <c r="U4673">
        <f>IF($A4673="","",$R4673&amp;"("&amp;$E4673&amp;")")</f>
        <v/>
      </c>
      <c r="V4673">
        <f>IF($A4673="","",$F4673&amp;"|"&amp;$U4673&amp;"|"&amp;$D4673)</f>
        <v/>
      </c>
      <c r="W4673">
        <f>IF($T4673="","",IF($X4673&gt;N($X4672),$X4673,""))</f>
        <v/>
      </c>
      <c r="X4673">
        <f>IF($T4673="",N($X4672),IF(MATCH($T4673,$T$6:$T$6005,0)=ROW()-5,N($X4672)+1,N($X4672)))</f>
        <v/>
      </c>
      <c r="Z4673">
        <f>IF($V4673="","",IF($AA4673&gt;N($AA4672),$AA4673,""))</f>
        <v/>
      </c>
      <c r="AA4673">
        <f>IF($V4673="",N($AA4672),IF(MATCH($V4673,$V$6:$V$6005,0)=ROW()-5,N($AA4672)+1,N($AA4672)))</f>
        <v/>
      </c>
    </row>
    <row r="4674" ht="21" customHeight="1" s="66">
      <c r="A4674" s="56" t="n"/>
      <c r="B4674" s="57" t="n"/>
      <c r="C4674" s="57" t="n"/>
      <c r="D4674" s="57" t="n"/>
      <c r="E4674" s="56" t="n"/>
      <c r="F4674" s="57" t="n"/>
      <c r="G4674" s="57" t="n"/>
      <c r="H4674" s="56" t="n"/>
      <c r="I4674" s="56" t="n"/>
      <c r="J4674" s="58" t="n"/>
      <c r="K4674" s="58" t="n"/>
      <c r="L4674" s="13">
        <f>IF(OR($A4674="",AND($J4674="",$K4674="")),"",ROUND(N($J4674)-N($K4674),2))</f>
        <v/>
      </c>
      <c r="M4674" s="13">
        <f>IF(OR($A4674="",AND($J4674="",$K4674="")),"",MIN($J4674,$K4674))</f>
        <v/>
      </c>
      <c r="Q4674">
        <f>IF($A4674="","",$D4674&amp;"("&amp;SUBSTITUTE($E4674," ","")&amp;")")</f>
        <v/>
      </c>
      <c r="R4674">
        <f>IF($A4674="","",$B4674&amp;" - "&amp;$C4674)</f>
        <v/>
      </c>
      <c r="S4674">
        <f>IF($A4674="","",$R4674&amp;"|"&amp;$Q4674)</f>
        <v/>
      </c>
      <c r="T4674">
        <f>IF($A4674="","",$S4674&amp;"|"&amp;$F4674)</f>
        <v/>
      </c>
      <c r="U4674">
        <f>IF($A4674="","",$R4674&amp;"("&amp;$E4674&amp;")")</f>
        <v/>
      </c>
      <c r="V4674">
        <f>IF($A4674="","",$F4674&amp;"|"&amp;$U4674&amp;"|"&amp;$D4674)</f>
        <v/>
      </c>
      <c r="W4674">
        <f>IF($T4674="","",IF($X4674&gt;N($X4673),$X4674,""))</f>
        <v/>
      </c>
      <c r="X4674">
        <f>IF($T4674="",N($X4673),IF(MATCH($T4674,$T$6:$T$6005,0)=ROW()-5,N($X4673)+1,N($X4673)))</f>
        <v/>
      </c>
      <c r="Z4674">
        <f>IF($V4674="","",IF($AA4674&gt;N($AA4673),$AA4674,""))</f>
        <v/>
      </c>
      <c r="AA4674">
        <f>IF($V4674="",N($AA4673),IF(MATCH($V4674,$V$6:$V$6005,0)=ROW()-5,N($AA4673)+1,N($AA4673)))</f>
        <v/>
      </c>
    </row>
    <row r="4675" ht="21" customHeight="1" s="66">
      <c r="A4675" s="56" t="n"/>
      <c r="B4675" s="57" t="n"/>
      <c r="C4675" s="57" t="n"/>
      <c r="D4675" s="57" t="n"/>
      <c r="E4675" s="56" t="n"/>
      <c r="F4675" s="57" t="n"/>
      <c r="G4675" s="57" t="n"/>
      <c r="H4675" s="56" t="n"/>
      <c r="I4675" s="56" t="n"/>
      <c r="J4675" s="58" t="n"/>
      <c r="K4675" s="58" t="n"/>
      <c r="L4675" s="13">
        <f>IF(OR($A4675="",AND($J4675="",$K4675="")),"",ROUND(N($J4675)-N($K4675),2))</f>
        <v/>
      </c>
      <c r="M4675" s="13">
        <f>IF(OR($A4675="",AND($J4675="",$K4675="")),"",MIN($J4675,$K4675))</f>
        <v/>
      </c>
      <c r="Q4675">
        <f>IF($A4675="","",$D4675&amp;"("&amp;SUBSTITUTE($E4675," ","")&amp;")")</f>
        <v/>
      </c>
      <c r="R4675">
        <f>IF($A4675="","",$B4675&amp;" - "&amp;$C4675)</f>
        <v/>
      </c>
      <c r="S4675">
        <f>IF($A4675="","",$R4675&amp;"|"&amp;$Q4675)</f>
        <v/>
      </c>
      <c r="T4675">
        <f>IF($A4675="","",$S4675&amp;"|"&amp;$F4675)</f>
        <v/>
      </c>
      <c r="U4675">
        <f>IF($A4675="","",$R4675&amp;"("&amp;$E4675&amp;")")</f>
        <v/>
      </c>
      <c r="V4675">
        <f>IF($A4675="","",$F4675&amp;"|"&amp;$U4675&amp;"|"&amp;$D4675)</f>
        <v/>
      </c>
      <c r="W4675">
        <f>IF($T4675="","",IF($X4675&gt;N($X4674),$X4675,""))</f>
        <v/>
      </c>
      <c r="X4675">
        <f>IF($T4675="",N($X4674),IF(MATCH($T4675,$T$6:$T$6005,0)=ROW()-5,N($X4674)+1,N($X4674)))</f>
        <v/>
      </c>
      <c r="Z4675">
        <f>IF($V4675="","",IF($AA4675&gt;N($AA4674),$AA4675,""))</f>
        <v/>
      </c>
      <c r="AA4675">
        <f>IF($V4675="",N($AA4674),IF(MATCH($V4675,$V$6:$V$6005,0)=ROW()-5,N($AA4674)+1,N($AA4674)))</f>
        <v/>
      </c>
    </row>
    <row r="4676" ht="21" customHeight="1" s="66">
      <c r="A4676" s="56" t="n"/>
      <c r="B4676" s="57" t="n"/>
      <c r="C4676" s="57" t="n"/>
      <c r="D4676" s="57" t="n"/>
      <c r="E4676" s="56" t="n"/>
      <c r="F4676" s="57" t="n"/>
      <c r="G4676" s="57" t="n"/>
      <c r="H4676" s="56" t="n"/>
      <c r="I4676" s="56" t="n"/>
      <c r="J4676" s="58" t="n"/>
      <c r="K4676" s="58" t="n"/>
      <c r="L4676" s="13">
        <f>IF(OR($A4676="",AND($J4676="",$K4676="")),"",ROUND(N($J4676)-N($K4676),2))</f>
        <v/>
      </c>
      <c r="M4676" s="13">
        <f>IF(OR($A4676="",AND($J4676="",$K4676="")),"",MIN($J4676,$K4676))</f>
        <v/>
      </c>
      <c r="Q4676">
        <f>IF($A4676="","",$D4676&amp;"("&amp;SUBSTITUTE($E4676," ","")&amp;")")</f>
        <v/>
      </c>
      <c r="R4676">
        <f>IF($A4676="","",$B4676&amp;" - "&amp;$C4676)</f>
        <v/>
      </c>
      <c r="S4676">
        <f>IF($A4676="","",$R4676&amp;"|"&amp;$Q4676)</f>
        <v/>
      </c>
      <c r="T4676">
        <f>IF($A4676="","",$S4676&amp;"|"&amp;$F4676)</f>
        <v/>
      </c>
      <c r="U4676">
        <f>IF($A4676="","",$R4676&amp;"("&amp;$E4676&amp;")")</f>
        <v/>
      </c>
      <c r="V4676">
        <f>IF($A4676="","",$F4676&amp;"|"&amp;$U4676&amp;"|"&amp;$D4676)</f>
        <v/>
      </c>
      <c r="W4676">
        <f>IF($T4676="","",IF($X4676&gt;N($X4675),$X4676,""))</f>
        <v/>
      </c>
      <c r="X4676">
        <f>IF($T4676="",N($X4675),IF(MATCH($T4676,$T$6:$T$6005,0)=ROW()-5,N($X4675)+1,N($X4675)))</f>
        <v/>
      </c>
      <c r="Z4676">
        <f>IF($V4676="","",IF($AA4676&gt;N($AA4675),$AA4676,""))</f>
        <v/>
      </c>
      <c r="AA4676">
        <f>IF($V4676="",N($AA4675),IF(MATCH($V4676,$V$6:$V$6005,0)=ROW()-5,N($AA4675)+1,N($AA4675)))</f>
        <v/>
      </c>
    </row>
    <row r="4677" ht="21" customHeight="1" s="66">
      <c r="A4677" s="56" t="n"/>
      <c r="B4677" s="57" t="n"/>
      <c r="C4677" s="57" t="n"/>
      <c r="D4677" s="57" t="n"/>
      <c r="E4677" s="56" t="n"/>
      <c r="F4677" s="57" t="n"/>
      <c r="G4677" s="57" t="n"/>
      <c r="H4677" s="56" t="n"/>
      <c r="I4677" s="56" t="n"/>
      <c r="J4677" s="58" t="n"/>
      <c r="K4677" s="58" t="n"/>
      <c r="L4677" s="13">
        <f>IF(OR($A4677="",AND($J4677="",$K4677="")),"",ROUND(N($J4677)-N($K4677),2))</f>
        <v/>
      </c>
      <c r="M4677" s="13">
        <f>IF(OR($A4677="",AND($J4677="",$K4677="")),"",MIN($J4677,$K4677))</f>
        <v/>
      </c>
      <c r="Q4677">
        <f>IF($A4677="","",$D4677&amp;"("&amp;SUBSTITUTE($E4677," ","")&amp;")")</f>
        <v/>
      </c>
      <c r="R4677">
        <f>IF($A4677="","",$B4677&amp;" - "&amp;$C4677)</f>
        <v/>
      </c>
      <c r="S4677">
        <f>IF($A4677="","",$R4677&amp;"|"&amp;$Q4677)</f>
        <v/>
      </c>
      <c r="T4677">
        <f>IF($A4677="","",$S4677&amp;"|"&amp;$F4677)</f>
        <v/>
      </c>
      <c r="U4677">
        <f>IF($A4677="","",$R4677&amp;"("&amp;$E4677&amp;")")</f>
        <v/>
      </c>
      <c r="V4677">
        <f>IF($A4677="","",$F4677&amp;"|"&amp;$U4677&amp;"|"&amp;$D4677)</f>
        <v/>
      </c>
      <c r="W4677">
        <f>IF($T4677="","",IF($X4677&gt;N($X4676),$X4677,""))</f>
        <v/>
      </c>
      <c r="X4677">
        <f>IF($T4677="",N($X4676),IF(MATCH($T4677,$T$6:$T$6005,0)=ROW()-5,N($X4676)+1,N($X4676)))</f>
        <v/>
      </c>
      <c r="Z4677">
        <f>IF($V4677="","",IF($AA4677&gt;N($AA4676),$AA4677,""))</f>
        <v/>
      </c>
      <c r="AA4677">
        <f>IF($V4677="",N($AA4676),IF(MATCH($V4677,$V$6:$V$6005,0)=ROW()-5,N($AA4676)+1,N($AA4676)))</f>
        <v/>
      </c>
    </row>
    <row r="4678" ht="21" customHeight="1" s="66">
      <c r="A4678" s="56" t="n"/>
      <c r="B4678" s="57" t="n"/>
      <c r="C4678" s="57" t="n"/>
      <c r="D4678" s="57" t="n"/>
      <c r="E4678" s="56" t="n"/>
      <c r="F4678" s="57" t="n"/>
      <c r="G4678" s="57" t="n"/>
      <c r="H4678" s="56" t="n"/>
      <c r="I4678" s="56" t="n"/>
      <c r="J4678" s="58" t="n"/>
      <c r="K4678" s="58" t="n"/>
      <c r="L4678" s="13">
        <f>IF(OR($A4678="",AND($J4678="",$K4678="")),"",ROUND(N($J4678)-N($K4678),2))</f>
        <v/>
      </c>
      <c r="M4678" s="13">
        <f>IF(OR($A4678="",AND($J4678="",$K4678="")),"",MIN($J4678,$K4678))</f>
        <v/>
      </c>
      <c r="Q4678">
        <f>IF($A4678="","",$D4678&amp;"("&amp;SUBSTITUTE($E4678," ","")&amp;")")</f>
        <v/>
      </c>
      <c r="R4678">
        <f>IF($A4678="","",$B4678&amp;" - "&amp;$C4678)</f>
        <v/>
      </c>
      <c r="S4678">
        <f>IF($A4678="","",$R4678&amp;"|"&amp;$Q4678)</f>
        <v/>
      </c>
      <c r="T4678">
        <f>IF($A4678="","",$S4678&amp;"|"&amp;$F4678)</f>
        <v/>
      </c>
      <c r="U4678">
        <f>IF($A4678="","",$R4678&amp;"("&amp;$E4678&amp;")")</f>
        <v/>
      </c>
      <c r="V4678">
        <f>IF($A4678="","",$F4678&amp;"|"&amp;$U4678&amp;"|"&amp;$D4678)</f>
        <v/>
      </c>
      <c r="W4678">
        <f>IF($T4678="","",IF($X4678&gt;N($X4677),$X4678,""))</f>
        <v/>
      </c>
      <c r="X4678">
        <f>IF($T4678="",N($X4677),IF(MATCH($T4678,$T$6:$T$6005,0)=ROW()-5,N($X4677)+1,N($X4677)))</f>
        <v/>
      </c>
      <c r="Z4678">
        <f>IF($V4678="","",IF($AA4678&gt;N($AA4677),$AA4678,""))</f>
        <v/>
      </c>
      <c r="AA4678">
        <f>IF($V4678="",N($AA4677),IF(MATCH($V4678,$V$6:$V$6005,0)=ROW()-5,N($AA4677)+1,N($AA4677)))</f>
        <v/>
      </c>
    </row>
    <row r="4679" ht="21" customHeight="1" s="66">
      <c r="A4679" s="56" t="n"/>
      <c r="B4679" s="57" t="n"/>
      <c r="C4679" s="57" t="n"/>
      <c r="D4679" s="57" t="n"/>
      <c r="E4679" s="56" t="n"/>
      <c r="F4679" s="57" t="n"/>
      <c r="G4679" s="57" t="n"/>
      <c r="H4679" s="56" t="n"/>
      <c r="I4679" s="56" t="n"/>
      <c r="J4679" s="58" t="n"/>
      <c r="K4679" s="58" t="n"/>
      <c r="L4679" s="13">
        <f>IF(OR($A4679="",AND($J4679="",$K4679="")),"",ROUND(N($J4679)-N($K4679),2))</f>
        <v/>
      </c>
      <c r="M4679" s="13">
        <f>IF(OR($A4679="",AND($J4679="",$K4679="")),"",MIN($J4679,$K4679))</f>
        <v/>
      </c>
      <c r="Q4679">
        <f>IF($A4679="","",$D4679&amp;"("&amp;SUBSTITUTE($E4679," ","")&amp;")")</f>
        <v/>
      </c>
      <c r="R4679">
        <f>IF($A4679="","",$B4679&amp;" - "&amp;$C4679)</f>
        <v/>
      </c>
      <c r="S4679">
        <f>IF($A4679="","",$R4679&amp;"|"&amp;$Q4679)</f>
        <v/>
      </c>
      <c r="T4679">
        <f>IF($A4679="","",$S4679&amp;"|"&amp;$F4679)</f>
        <v/>
      </c>
      <c r="U4679">
        <f>IF($A4679="","",$R4679&amp;"("&amp;$E4679&amp;")")</f>
        <v/>
      </c>
      <c r="V4679">
        <f>IF($A4679="","",$F4679&amp;"|"&amp;$U4679&amp;"|"&amp;$D4679)</f>
        <v/>
      </c>
      <c r="W4679">
        <f>IF($T4679="","",IF($X4679&gt;N($X4678),$X4679,""))</f>
        <v/>
      </c>
      <c r="X4679">
        <f>IF($T4679="",N($X4678),IF(MATCH($T4679,$T$6:$T$6005,0)=ROW()-5,N($X4678)+1,N($X4678)))</f>
        <v/>
      </c>
      <c r="Z4679">
        <f>IF($V4679="","",IF($AA4679&gt;N($AA4678),$AA4679,""))</f>
        <v/>
      </c>
      <c r="AA4679">
        <f>IF($V4679="",N($AA4678),IF(MATCH($V4679,$V$6:$V$6005,0)=ROW()-5,N($AA4678)+1,N($AA4678)))</f>
        <v/>
      </c>
    </row>
    <row r="4680" ht="21" customHeight="1" s="66">
      <c r="A4680" s="56" t="n"/>
      <c r="B4680" s="57" t="n"/>
      <c r="C4680" s="57" t="n"/>
      <c r="D4680" s="57" t="n"/>
      <c r="E4680" s="56" t="n"/>
      <c r="F4680" s="57" t="n"/>
      <c r="G4680" s="57" t="n"/>
      <c r="H4680" s="56" t="n"/>
      <c r="I4680" s="56" t="n"/>
      <c r="J4680" s="58" t="n"/>
      <c r="K4680" s="58" t="n"/>
      <c r="L4680" s="13">
        <f>IF(OR($A4680="",AND($J4680="",$K4680="")),"",ROUND(N($J4680)-N($K4680),2))</f>
        <v/>
      </c>
      <c r="M4680" s="13">
        <f>IF(OR($A4680="",AND($J4680="",$K4680="")),"",MIN($J4680,$K4680))</f>
        <v/>
      </c>
      <c r="Q4680">
        <f>IF($A4680="","",$D4680&amp;"("&amp;SUBSTITUTE($E4680," ","")&amp;")")</f>
        <v/>
      </c>
      <c r="R4680">
        <f>IF($A4680="","",$B4680&amp;" - "&amp;$C4680)</f>
        <v/>
      </c>
      <c r="S4680">
        <f>IF($A4680="","",$R4680&amp;"|"&amp;$Q4680)</f>
        <v/>
      </c>
      <c r="T4680">
        <f>IF($A4680="","",$S4680&amp;"|"&amp;$F4680)</f>
        <v/>
      </c>
      <c r="U4680">
        <f>IF($A4680="","",$R4680&amp;"("&amp;$E4680&amp;")")</f>
        <v/>
      </c>
      <c r="V4680">
        <f>IF($A4680="","",$F4680&amp;"|"&amp;$U4680&amp;"|"&amp;$D4680)</f>
        <v/>
      </c>
      <c r="W4680">
        <f>IF($T4680="","",IF($X4680&gt;N($X4679),$X4680,""))</f>
        <v/>
      </c>
      <c r="X4680">
        <f>IF($T4680="",N($X4679),IF(MATCH($T4680,$T$6:$T$6005,0)=ROW()-5,N($X4679)+1,N($X4679)))</f>
        <v/>
      </c>
      <c r="Z4680">
        <f>IF($V4680="","",IF($AA4680&gt;N($AA4679),$AA4680,""))</f>
        <v/>
      </c>
      <c r="AA4680">
        <f>IF($V4680="",N($AA4679),IF(MATCH($V4680,$V$6:$V$6005,0)=ROW()-5,N($AA4679)+1,N($AA4679)))</f>
        <v/>
      </c>
    </row>
    <row r="4681" ht="21" customHeight="1" s="66">
      <c r="A4681" s="56" t="n"/>
      <c r="B4681" s="57" t="n"/>
      <c r="C4681" s="57" t="n"/>
      <c r="D4681" s="57" t="n"/>
      <c r="E4681" s="56" t="n"/>
      <c r="F4681" s="57" t="n"/>
      <c r="G4681" s="57" t="n"/>
      <c r="H4681" s="56" t="n"/>
      <c r="I4681" s="56" t="n"/>
      <c r="J4681" s="58" t="n"/>
      <c r="K4681" s="58" t="n"/>
      <c r="L4681" s="13">
        <f>IF(OR($A4681="",AND($J4681="",$K4681="")),"",ROUND(N($J4681)-N($K4681),2))</f>
        <v/>
      </c>
      <c r="M4681" s="13">
        <f>IF(OR($A4681="",AND($J4681="",$K4681="")),"",MIN($J4681,$K4681))</f>
        <v/>
      </c>
      <c r="Q4681">
        <f>IF($A4681="","",$D4681&amp;"("&amp;SUBSTITUTE($E4681," ","")&amp;")")</f>
        <v/>
      </c>
      <c r="R4681">
        <f>IF($A4681="","",$B4681&amp;" - "&amp;$C4681)</f>
        <v/>
      </c>
      <c r="S4681">
        <f>IF($A4681="","",$R4681&amp;"|"&amp;$Q4681)</f>
        <v/>
      </c>
      <c r="T4681">
        <f>IF($A4681="","",$S4681&amp;"|"&amp;$F4681)</f>
        <v/>
      </c>
      <c r="U4681">
        <f>IF($A4681="","",$R4681&amp;"("&amp;$E4681&amp;")")</f>
        <v/>
      </c>
      <c r="V4681">
        <f>IF($A4681="","",$F4681&amp;"|"&amp;$U4681&amp;"|"&amp;$D4681)</f>
        <v/>
      </c>
      <c r="W4681">
        <f>IF($T4681="","",IF($X4681&gt;N($X4680),$X4681,""))</f>
        <v/>
      </c>
      <c r="X4681">
        <f>IF($T4681="",N($X4680),IF(MATCH($T4681,$T$6:$T$6005,0)=ROW()-5,N($X4680)+1,N($X4680)))</f>
        <v/>
      </c>
      <c r="Z4681">
        <f>IF($V4681="","",IF($AA4681&gt;N($AA4680),$AA4681,""))</f>
        <v/>
      </c>
      <c r="AA4681">
        <f>IF($V4681="",N($AA4680),IF(MATCH($V4681,$V$6:$V$6005,0)=ROW()-5,N($AA4680)+1,N($AA4680)))</f>
        <v/>
      </c>
    </row>
    <row r="4682" ht="21" customHeight="1" s="66">
      <c r="A4682" s="56" t="n"/>
      <c r="B4682" s="57" t="n"/>
      <c r="C4682" s="57" t="n"/>
      <c r="D4682" s="57" t="n"/>
      <c r="E4682" s="56" t="n"/>
      <c r="F4682" s="57" t="n"/>
      <c r="G4682" s="57" t="n"/>
      <c r="H4682" s="56" t="n"/>
      <c r="I4682" s="56" t="n"/>
      <c r="J4682" s="58" t="n"/>
      <c r="K4682" s="58" t="n"/>
      <c r="L4682" s="13">
        <f>IF(OR($A4682="",AND($J4682="",$K4682="")),"",ROUND(N($J4682)-N($K4682),2))</f>
        <v/>
      </c>
      <c r="M4682" s="13">
        <f>IF(OR($A4682="",AND($J4682="",$K4682="")),"",MIN($J4682,$K4682))</f>
        <v/>
      </c>
      <c r="Q4682">
        <f>IF($A4682="","",$D4682&amp;"("&amp;SUBSTITUTE($E4682," ","")&amp;")")</f>
        <v/>
      </c>
      <c r="R4682">
        <f>IF($A4682="","",$B4682&amp;" - "&amp;$C4682)</f>
        <v/>
      </c>
      <c r="S4682">
        <f>IF($A4682="","",$R4682&amp;"|"&amp;$Q4682)</f>
        <v/>
      </c>
      <c r="T4682">
        <f>IF($A4682="","",$S4682&amp;"|"&amp;$F4682)</f>
        <v/>
      </c>
      <c r="U4682">
        <f>IF($A4682="","",$R4682&amp;"("&amp;$E4682&amp;")")</f>
        <v/>
      </c>
      <c r="V4682">
        <f>IF($A4682="","",$F4682&amp;"|"&amp;$U4682&amp;"|"&amp;$D4682)</f>
        <v/>
      </c>
      <c r="W4682">
        <f>IF($T4682="","",IF($X4682&gt;N($X4681),$X4682,""))</f>
        <v/>
      </c>
      <c r="X4682">
        <f>IF($T4682="",N($X4681),IF(MATCH($T4682,$T$6:$T$6005,0)=ROW()-5,N($X4681)+1,N($X4681)))</f>
        <v/>
      </c>
      <c r="Z4682">
        <f>IF($V4682="","",IF($AA4682&gt;N($AA4681),$AA4682,""))</f>
        <v/>
      </c>
      <c r="AA4682">
        <f>IF($V4682="",N($AA4681),IF(MATCH($V4682,$V$6:$V$6005,0)=ROW()-5,N($AA4681)+1,N($AA4681)))</f>
        <v/>
      </c>
    </row>
    <row r="4683" ht="21" customHeight="1" s="66">
      <c r="A4683" s="56" t="n"/>
      <c r="B4683" s="57" t="n"/>
      <c r="C4683" s="57" t="n"/>
      <c r="D4683" s="57" t="n"/>
      <c r="E4683" s="56" t="n"/>
      <c r="F4683" s="57" t="n"/>
      <c r="G4683" s="57" t="n"/>
      <c r="H4683" s="56" t="n"/>
      <c r="I4683" s="56" t="n"/>
      <c r="J4683" s="58" t="n"/>
      <c r="K4683" s="58" t="n"/>
      <c r="L4683" s="13">
        <f>IF(OR($A4683="",AND($J4683="",$K4683="")),"",ROUND(N($J4683)-N($K4683),2))</f>
        <v/>
      </c>
      <c r="M4683" s="13">
        <f>IF(OR($A4683="",AND($J4683="",$K4683="")),"",MIN($J4683,$K4683))</f>
        <v/>
      </c>
      <c r="Q4683">
        <f>IF($A4683="","",$D4683&amp;"("&amp;SUBSTITUTE($E4683," ","")&amp;")")</f>
        <v/>
      </c>
      <c r="R4683">
        <f>IF($A4683="","",$B4683&amp;" - "&amp;$C4683)</f>
        <v/>
      </c>
      <c r="S4683">
        <f>IF($A4683="","",$R4683&amp;"|"&amp;$Q4683)</f>
        <v/>
      </c>
      <c r="T4683">
        <f>IF($A4683="","",$S4683&amp;"|"&amp;$F4683)</f>
        <v/>
      </c>
      <c r="U4683">
        <f>IF($A4683="","",$R4683&amp;"("&amp;$E4683&amp;")")</f>
        <v/>
      </c>
      <c r="V4683">
        <f>IF($A4683="","",$F4683&amp;"|"&amp;$U4683&amp;"|"&amp;$D4683)</f>
        <v/>
      </c>
      <c r="W4683">
        <f>IF($T4683="","",IF($X4683&gt;N($X4682),$X4683,""))</f>
        <v/>
      </c>
      <c r="X4683">
        <f>IF($T4683="",N($X4682),IF(MATCH($T4683,$T$6:$T$6005,0)=ROW()-5,N($X4682)+1,N($X4682)))</f>
        <v/>
      </c>
      <c r="Z4683">
        <f>IF($V4683="","",IF($AA4683&gt;N($AA4682),$AA4683,""))</f>
        <v/>
      </c>
      <c r="AA4683">
        <f>IF($V4683="",N($AA4682),IF(MATCH($V4683,$V$6:$V$6005,0)=ROW()-5,N($AA4682)+1,N($AA4682)))</f>
        <v/>
      </c>
    </row>
    <row r="4684" ht="21" customHeight="1" s="66">
      <c r="A4684" s="56" t="n"/>
      <c r="B4684" s="57" t="n"/>
      <c r="C4684" s="57" t="n"/>
      <c r="D4684" s="57" t="n"/>
      <c r="E4684" s="56" t="n"/>
      <c r="F4684" s="57" t="n"/>
      <c r="G4684" s="57" t="n"/>
      <c r="H4684" s="56" t="n"/>
      <c r="I4684" s="56" t="n"/>
      <c r="J4684" s="58" t="n"/>
      <c r="K4684" s="58" t="n"/>
      <c r="L4684" s="13">
        <f>IF(OR($A4684="",AND($J4684="",$K4684="")),"",ROUND(N($J4684)-N($K4684),2))</f>
        <v/>
      </c>
      <c r="M4684" s="13">
        <f>IF(OR($A4684="",AND($J4684="",$K4684="")),"",MIN($J4684,$K4684))</f>
        <v/>
      </c>
      <c r="Q4684">
        <f>IF($A4684="","",$D4684&amp;"("&amp;SUBSTITUTE($E4684," ","")&amp;")")</f>
        <v/>
      </c>
      <c r="R4684">
        <f>IF($A4684="","",$B4684&amp;" - "&amp;$C4684)</f>
        <v/>
      </c>
      <c r="S4684">
        <f>IF($A4684="","",$R4684&amp;"|"&amp;$Q4684)</f>
        <v/>
      </c>
      <c r="T4684">
        <f>IF($A4684="","",$S4684&amp;"|"&amp;$F4684)</f>
        <v/>
      </c>
      <c r="U4684">
        <f>IF($A4684="","",$R4684&amp;"("&amp;$E4684&amp;")")</f>
        <v/>
      </c>
      <c r="V4684">
        <f>IF($A4684="","",$F4684&amp;"|"&amp;$U4684&amp;"|"&amp;$D4684)</f>
        <v/>
      </c>
      <c r="W4684">
        <f>IF($T4684="","",IF($X4684&gt;N($X4683),$X4684,""))</f>
        <v/>
      </c>
      <c r="X4684">
        <f>IF($T4684="",N($X4683),IF(MATCH($T4684,$T$6:$T$6005,0)=ROW()-5,N($X4683)+1,N($X4683)))</f>
        <v/>
      </c>
      <c r="Z4684">
        <f>IF($V4684="","",IF($AA4684&gt;N($AA4683),$AA4684,""))</f>
        <v/>
      </c>
      <c r="AA4684">
        <f>IF($V4684="",N($AA4683),IF(MATCH($V4684,$V$6:$V$6005,0)=ROW()-5,N($AA4683)+1,N($AA4683)))</f>
        <v/>
      </c>
    </row>
    <row r="4685" ht="21" customHeight="1" s="66">
      <c r="A4685" s="56" t="n"/>
      <c r="B4685" s="57" t="n"/>
      <c r="C4685" s="57" t="n"/>
      <c r="D4685" s="57" t="n"/>
      <c r="E4685" s="56" t="n"/>
      <c r="F4685" s="57" t="n"/>
      <c r="G4685" s="57" t="n"/>
      <c r="H4685" s="56" t="n"/>
      <c r="I4685" s="56" t="n"/>
      <c r="J4685" s="58" t="n"/>
      <c r="K4685" s="58" t="n"/>
      <c r="L4685" s="13">
        <f>IF(OR($A4685="",AND($J4685="",$K4685="")),"",ROUND(N($J4685)-N($K4685),2))</f>
        <v/>
      </c>
      <c r="M4685" s="13">
        <f>IF(OR($A4685="",AND($J4685="",$K4685="")),"",MIN($J4685,$K4685))</f>
        <v/>
      </c>
      <c r="Q4685">
        <f>IF($A4685="","",$D4685&amp;"("&amp;SUBSTITUTE($E4685," ","")&amp;")")</f>
        <v/>
      </c>
      <c r="R4685">
        <f>IF($A4685="","",$B4685&amp;" - "&amp;$C4685)</f>
        <v/>
      </c>
      <c r="S4685">
        <f>IF($A4685="","",$R4685&amp;"|"&amp;$Q4685)</f>
        <v/>
      </c>
      <c r="T4685">
        <f>IF($A4685="","",$S4685&amp;"|"&amp;$F4685)</f>
        <v/>
      </c>
      <c r="U4685">
        <f>IF($A4685="","",$R4685&amp;"("&amp;$E4685&amp;")")</f>
        <v/>
      </c>
      <c r="V4685">
        <f>IF($A4685="","",$F4685&amp;"|"&amp;$U4685&amp;"|"&amp;$D4685)</f>
        <v/>
      </c>
      <c r="W4685">
        <f>IF($T4685="","",IF($X4685&gt;N($X4684),$X4685,""))</f>
        <v/>
      </c>
      <c r="X4685">
        <f>IF($T4685="",N($X4684),IF(MATCH($T4685,$T$6:$T$6005,0)=ROW()-5,N($X4684)+1,N($X4684)))</f>
        <v/>
      </c>
      <c r="Z4685">
        <f>IF($V4685="","",IF($AA4685&gt;N($AA4684),$AA4685,""))</f>
        <v/>
      </c>
      <c r="AA4685">
        <f>IF($V4685="",N($AA4684),IF(MATCH($V4685,$V$6:$V$6005,0)=ROW()-5,N($AA4684)+1,N($AA4684)))</f>
        <v/>
      </c>
    </row>
    <row r="4686" ht="21" customHeight="1" s="66">
      <c r="A4686" s="56" t="n"/>
      <c r="B4686" s="57" t="n"/>
      <c r="C4686" s="57" t="n"/>
      <c r="D4686" s="57" t="n"/>
      <c r="E4686" s="56" t="n"/>
      <c r="F4686" s="57" t="n"/>
      <c r="G4686" s="57" t="n"/>
      <c r="H4686" s="56" t="n"/>
      <c r="I4686" s="56" t="n"/>
      <c r="J4686" s="58" t="n"/>
      <c r="K4686" s="58" t="n"/>
      <c r="L4686" s="13">
        <f>IF(OR($A4686="",AND($J4686="",$K4686="")),"",ROUND(N($J4686)-N($K4686),2))</f>
        <v/>
      </c>
      <c r="M4686" s="13">
        <f>IF(OR($A4686="",AND($J4686="",$K4686="")),"",MIN($J4686,$K4686))</f>
        <v/>
      </c>
      <c r="Q4686">
        <f>IF($A4686="","",$D4686&amp;"("&amp;SUBSTITUTE($E4686," ","")&amp;")")</f>
        <v/>
      </c>
      <c r="R4686">
        <f>IF($A4686="","",$B4686&amp;" - "&amp;$C4686)</f>
        <v/>
      </c>
      <c r="S4686">
        <f>IF($A4686="","",$R4686&amp;"|"&amp;$Q4686)</f>
        <v/>
      </c>
      <c r="T4686">
        <f>IF($A4686="","",$S4686&amp;"|"&amp;$F4686)</f>
        <v/>
      </c>
      <c r="U4686">
        <f>IF($A4686="","",$R4686&amp;"("&amp;$E4686&amp;")")</f>
        <v/>
      </c>
      <c r="V4686">
        <f>IF($A4686="","",$F4686&amp;"|"&amp;$U4686&amp;"|"&amp;$D4686)</f>
        <v/>
      </c>
      <c r="W4686">
        <f>IF($T4686="","",IF($X4686&gt;N($X4685),$X4686,""))</f>
        <v/>
      </c>
      <c r="X4686">
        <f>IF($T4686="",N($X4685),IF(MATCH($T4686,$T$6:$T$6005,0)=ROW()-5,N($X4685)+1,N($X4685)))</f>
        <v/>
      </c>
      <c r="Z4686">
        <f>IF($V4686="","",IF($AA4686&gt;N($AA4685),$AA4686,""))</f>
        <v/>
      </c>
      <c r="AA4686">
        <f>IF($V4686="",N($AA4685),IF(MATCH($V4686,$V$6:$V$6005,0)=ROW()-5,N($AA4685)+1,N($AA4685)))</f>
        <v/>
      </c>
    </row>
    <row r="4687" ht="21" customHeight="1" s="66">
      <c r="A4687" s="56" t="n"/>
      <c r="B4687" s="57" t="n"/>
      <c r="C4687" s="57" t="n"/>
      <c r="D4687" s="57" t="n"/>
      <c r="E4687" s="56" t="n"/>
      <c r="F4687" s="57" t="n"/>
      <c r="G4687" s="57" t="n"/>
      <c r="H4687" s="56" t="n"/>
      <c r="I4687" s="56" t="n"/>
      <c r="J4687" s="58" t="n"/>
      <c r="K4687" s="58" t="n"/>
      <c r="L4687" s="13">
        <f>IF(OR($A4687="",AND($J4687="",$K4687="")),"",ROUND(N($J4687)-N($K4687),2))</f>
        <v/>
      </c>
      <c r="M4687" s="13">
        <f>IF(OR($A4687="",AND($J4687="",$K4687="")),"",MIN($J4687,$K4687))</f>
        <v/>
      </c>
      <c r="Q4687">
        <f>IF($A4687="","",$D4687&amp;"("&amp;SUBSTITUTE($E4687," ","")&amp;")")</f>
        <v/>
      </c>
      <c r="R4687">
        <f>IF($A4687="","",$B4687&amp;" - "&amp;$C4687)</f>
        <v/>
      </c>
      <c r="S4687">
        <f>IF($A4687="","",$R4687&amp;"|"&amp;$Q4687)</f>
        <v/>
      </c>
      <c r="T4687">
        <f>IF($A4687="","",$S4687&amp;"|"&amp;$F4687)</f>
        <v/>
      </c>
      <c r="U4687">
        <f>IF($A4687="","",$R4687&amp;"("&amp;$E4687&amp;")")</f>
        <v/>
      </c>
      <c r="V4687">
        <f>IF($A4687="","",$F4687&amp;"|"&amp;$U4687&amp;"|"&amp;$D4687)</f>
        <v/>
      </c>
      <c r="W4687">
        <f>IF($T4687="","",IF($X4687&gt;N($X4686),$X4687,""))</f>
        <v/>
      </c>
      <c r="X4687">
        <f>IF($T4687="",N($X4686),IF(MATCH($T4687,$T$6:$T$6005,0)=ROW()-5,N($X4686)+1,N($X4686)))</f>
        <v/>
      </c>
      <c r="Z4687">
        <f>IF($V4687="","",IF($AA4687&gt;N($AA4686),$AA4687,""))</f>
        <v/>
      </c>
      <c r="AA4687">
        <f>IF($V4687="",N($AA4686),IF(MATCH($V4687,$V$6:$V$6005,0)=ROW()-5,N($AA4686)+1,N($AA4686)))</f>
        <v/>
      </c>
    </row>
    <row r="4688" ht="21" customHeight="1" s="66">
      <c r="A4688" s="56" t="n"/>
      <c r="B4688" s="57" t="n"/>
      <c r="C4688" s="57" t="n"/>
      <c r="D4688" s="57" t="n"/>
      <c r="E4688" s="56" t="n"/>
      <c r="F4688" s="57" t="n"/>
      <c r="G4688" s="57" t="n"/>
      <c r="H4688" s="56" t="n"/>
      <c r="I4688" s="56" t="n"/>
      <c r="J4688" s="58" t="n"/>
      <c r="K4688" s="58" t="n"/>
      <c r="L4688" s="13">
        <f>IF(OR($A4688="",AND($J4688="",$K4688="")),"",ROUND(N($J4688)-N($K4688),2))</f>
        <v/>
      </c>
      <c r="M4688" s="13">
        <f>IF(OR($A4688="",AND($J4688="",$K4688="")),"",MIN($J4688,$K4688))</f>
        <v/>
      </c>
      <c r="Q4688">
        <f>IF($A4688="","",$D4688&amp;"("&amp;SUBSTITUTE($E4688," ","")&amp;")")</f>
        <v/>
      </c>
      <c r="R4688">
        <f>IF($A4688="","",$B4688&amp;" - "&amp;$C4688)</f>
        <v/>
      </c>
      <c r="S4688">
        <f>IF($A4688="","",$R4688&amp;"|"&amp;$Q4688)</f>
        <v/>
      </c>
      <c r="T4688">
        <f>IF($A4688="","",$S4688&amp;"|"&amp;$F4688)</f>
        <v/>
      </c>
      <c r="U4688">
        <f>IF($A4688="","",$R4688&amp;"("&amp;$E4688&amp;")")</f>
        <v/>
      </c>
      <c r="V4688">
        <f>IF($A4688="","",$F4688&amp;"|"&amp;$U4688&amp;"|"&amp;$D4688)</f>
        <v/>
      </c>
      <c r="W4688">
        <f>IF($T4688="","",IF($X4688&gt;N($X4687),$X4688,""))</f>
        <v/>
      </c>
      <c r="X4688">
        <f>IF($T4688="",N($X4687),IF(MATCH($T4688,$T$6:$T$6005,0)=ROW()-5,N($X4687)+1,N($X4687)))</f>
        <v/>
      </c>
      <c r="Z4688">
        <f>IF($V4688="","",IF($AA4688&gt;N($AA4687),$AA4688,""))</f>
        <v/>
      </c>
      <c r="AA4688">
        <f>IF($V4688="",N($AA4687),IF(MATCH($V4688,$V$6:$V$6005,0)=ROW()-5,N($AA4687)+1,N($AA4687)))</f>
        <v/>
      </c>
    </row>
    <row r="4689" ht="21" customHeight="1" s="66">
      <c r="A4689" s="56" t="n"/>
      <c r="B4689" s="57" t="n"/>
      <c r="C4689" s="57" t="n"/>
      <c r="D4689" s="57" t="n"/>
      <c r="E4689" s="56" t="n"/>
      <c r="F4689" s="57" t="n"/>
      <c r="G4689" s="57" t="n"/>
      <c r="H4689" s="56" t="n"/>
      <c r="I4689" s="56" t="n"/>
      <c r="J4689" s="58" t="n"/>
      <c r="K4689" s="58" t="n"/>
      <c r="L4689" s="13">
        <f>IF(OR($A4689="",AND($J4689="",$K4689="")),"",ROUND(N($J4689)-N($K4689),2))</f>
        <v/>
      </c>
      <c r="M4689" s="13">
        <f>IF(OR($A4689="",AND($J4689="",$K4689="")),"",MIN($J4689,$K4689))</f>
        <v/>
      </c>
      <c r="Q4689">
        <f>IF($A4689="","",$D4689&amp;"("&amp;SUBSTITUTE($E4689," ","")&amp;")")</f>
        <v/>
      </c>
      <c r="R4689">
        <f>IF($A4689="","",$B4689&amp;" - "&amp;$C4689)</f>
        <v/>
      </c>
      <c r="S4689">
        <f>IF($A4689="","",$R4689&amp;"|"&amp;$Q4689)</f>
        <v/>
      </c>
      <c r="T4689">
        <f>IF($A4689="","",$S4689&amp;"|"&amp;$F4689)</f>
        <v/>
      </c>
      <c r="U4689">
        <f>IF($A4689="","",$R4689&amp;"("&amp;$E4689&amp;")")</f>
        <v/>
      </c>
      <c r="V4689">
        <f>IF($A4689="","",$F4689&amp;"|"&amp;$U4689&amp;"|"&amp;$D4689)</f>
        <v/>
      </c>
      <c r="W4689">
        <f>IF($T4689="","",IF($X4689&gt;N($X4688),$X4689,""))</f>
        <v/>
      </c>
      <c r="X4689">
        <f>IF($T4689="",N($X4688),IF(MATCH($T4689,$T$6:$T$6005,0)=ROW()-5,N($X4688)+1,N($X4688)))</f>
        <v/>
      </c>
      <c r="Z4689">
        <f>IF($V4689="","",IF($AA4689&gt;N($AA4688),$AA4689,""))</f>
        <v/>
      </c>
      <c r="AA4689">
        <f>IF($V4689="",N($AA4688),IF(MATCH($V4689,$V$6:$V$6005,0)=ROW()-5,N($AA4688)+1,N($AA4688)))</f>
        <v/>
      </c>
    </row>
    <row r="4690" ht="21" customHeight="1" s="66">
      <c r="A4690" s="56" t="n"/>
      <c r="B4690" s="57" t="n"/>
      <c r="C4690" s="57" t="n"/>
      <c r="D4690" s="57" t="n"/>
      <c r="E4690" s="56" t="n"/>
      <c r="F4690" s="57" t="n"/>
      <c r="G4690" s="57" t="n"/>
      <c r="H4690" s="56" t="n"/>
      <c r="I4690" s="56" t="n"/>
      <c r="J4690" s="58" t="n"/>
      <c r="K4690" s="58" t="n"/>
      <c r="L4690" s="13">
        <f>IF(OR($A4690="",AND($J4690="",$K4690="")),"",ROUND(N($J4690)-N($K4690),2))</f>
        <v/>
      </c>
      <c r="M4690" s="13">
        <f>IF(OR($A4690="",AND($J4690="",$K4690="")),"",MIN($J4690,$K4690))</f>
        <v/>
      </c>
      <c r="Q4690">
        <f>IF($A4690="","",$D4690&amp;"("&amp;SUBSTITUTE($E4690," ","")&amp;")")</f>
        <v/>
      </c>
      <c r="R4690">
        <f>IF($A4690="","",$B4690&amp;" - "&amp;$C4690)</f>
        <v/>
      </c>
      <c r="S4690">
        <f>IF($A4690="","",$R4690&amp;"|"&amp;$Q4690)</f>
        <v/>
      </c>
      <c r="T4690">
        <f>IF($A4690="","",$S4690&amp;"|"&amp;$F4690)</f>
        <v/>
      </c>
      <c r="U4690">
        <f>IF($A4690="","",$R4690&amp;"("&amp;$E4690&amp;")")</f>
        <v/>
      </c>
      <c r="V4690">
        <f>IF($A4690="","",$F4690&amp;"|"&amp;$U4690&amp;"|"&amp;$D4690)</f>
        <v/>
      </c>
      <c r="W4690">
        <f>IF($T4690="","",IF($X4690&gt;N($X4689),$X4690,""))</f>
        <v/>
      </c>
      <c r="X4690">
        <f>IF($T4690="",N($X4689),IF(MATCH($T4690,$T$6:$T$6005,0)=ROW()-5,N($X4689)+1,N($X4689)))</f>
        <v/>
      </c>
      <c r="Z4690">
        <f>IF($V4690="","",IF($AA4690&gt;N($AA4689),$AA4690,""))</f>
        <v/>
      </c>
      <c r="AA4690">
        <f>IF($V4690="",N($AA4689),IF(MATCH($V4690,$V$6:$V$6005,0)=ROW()-5,N($AA4689)+1,N($AA4689)))</f>
        <v/>
      </c>
    </row>
    <row r="4691" ht="21" customHeight="1" s="66">
      <c r="A4691" s="56" t="n"/>
      <c r="B4691" s="57" t="n"/>
      <c r="C4691" s="57" t="n"/>
      <c r="D4691" s="57" t="n"/>
      <c r="E4691" s="56" t="n"/>
      <c r="F4691" s="57" t="n"/>
      <c r="G4691" s="57" t="n"/>
      <c r="H4691" s="56" t="n"/>
      <c r="I4691" s="56" t="n"/>
      <c r="J4691" s="58" t="n"/>
      <c r="K4691" s="58" t="n"/>
      <c r="L4691" s="13">
        <f>IF(OR($A4691="",AND($J4691="",$K4691="")),"",ROUND(N($J4691)-N($K4691),2))</f>
        <v/>
      </c>
      <c r="M4691" s="13">
        <f>IF(OR($A4691="",AND($J4691="",$K4691="")),"",MIN($J4691,$K4691))</f>
        <v/>
      </c>
      <c r="Q4691">
        <f>IF($A4691="","",$D4691&amp;"("&amp;SUBSTITUTE($E4691," ","")&amp;")")</f>
        <v/>
      </c>
      <c r="R4691">
        <f>IF($A4691="","",$B4691&amp;" - "&amp;$C4691)</f>
        <v/>
      </c>
      <c r="S4691">
        <f>IF($A4691="","",$R4691&amp;"|"&amp;$Q4691)</f>
        <v/>
      </c>
      <c r="T4691">
        <f>IF($A4691="","",$S4691&amp;"|"&amp;$F4691)</f>
        <v/>
      </c>
      <c r="U4691">
        <f>IF($A4691="","",$R4691&amp;"("&amp;$E4691&amp;")")</f>
        <v/>
      </c>
      <c r="V4691">
        <f>IF($A4691="","",$F4691&amp;"|"&amp;$U4691&amp;"|"&amp;$D4691)</f>
        <v/>
      </c>
      <c r="W4691">
        <f>IF($T4691="","",IF($X4691&gt;N($X4690),$X4691,""))</f>
        <v/>
      </c>
      <c r="X4691">
        <f>IF($T4691="",N($X4690),IF(MATCH($T4691,$T$6:$T$6005,0)=ROW()-5,N($X4690)+1,N($X4690)))</f>
        <v/>
      </c>
      <c r="Z4691">
        <f>IF($V4691="","",IF($AA4691&gt;N($AA4690),$AA4691,""))</f>
        <v/>
      </c>
      <c r="AA4691">
        <f>IF($V4691="",N($AA4690),IF(MATCH($V4691,$V$6:$V$6005,0)=ROW()-5,N($AA4690)+1,N($AA4690)))</f>
        <v/>
      </c>
    </row>
    <row r="4692" ht="21" customHeight="1" s="66">
      <c r="A4692" s="56" t="n"/>
      <c r="B4692" s="57" t="n"/>
      <c r="C4692" s="57" t="n"/>
      <c r="D4692" s="57" t="n"/>
      <c r="E4692" s="56" t="n"/>
      <c r="F4692" s="57" t="n"/>
      <c r="G4692" s="57" t="n"/>
      <c r="H4692" s="56" t="n"/>
      <c r="I4692" s="56" t="n"/>
      <c r="J4692" s="58" t="n"/>
      <c r="K4692" s="58" t="n"/>
      <c r="L4692" s="13">
        <f>IF(OR($A4692="",AND($J4692="",$K4692="")),"",ROUND(N($J4692)-N($K4692),2))</f>
        <v/>
      </c>
      <c r="M4692" s="13">
        <f>IF(OR($A4692="",AND($J4692="",$K4692="")),"",MIN($J4692,$K4692))</f>
        <v/>
      </c>
      <c r="Q4692">
        <f>IF($A4692="","",$D4692&amp;"("&amp;SUBSTITUTE($E4692," ","")&amp;")")</f>
        <v/>
      </c>
      <c r="R4692">
        <f>IF($A4692="","",$B4692&amp;" - "&amp;$C4692)</f>
        <v/>
      </c>
      <c r="S4692">
        <f>IF($A4692="","",$R4692&amp;"|"&amp;$Q4692)</f>
        <v/>
      </c>
      <c r="T4692">
        <f>IF($A4692="","",$S4692&amp;"|"&amp;$F4692)</f>
        <v/>
      </c>
      <c r="U4692">
        <f>IF($A4692="","",$R4692&amp;"("&amp;$E4692&amp;")")</f>
        <v/>
      </c>
      <c r="V4692">
        <f>IF($A4692="","",$F4692&amp;"|"&amp;$U4692&amp;"|"&amp;$D4692)</f>
        <v/>
      </c>
      <c r="W4692">
        <f>IF($T4692="","",IF($X4692&gt;N($X4691),$X4692,""))</f>
        <v/>
      </c>
      <c r="X4692">
        <f>IF($T4692="",N($X4691),IF(MATCH($T4692,$T$6:$T$6005,0)=ROW()-5,N($X4691)+1,N($X4691)))</f>
        <v/>
      </c>
      <c r="Z4692">
        <f>IF($V4692="","",IF($AA4692&gt;N($AA4691),$AA4692,""))</f>
        <v/>
      </c>
      <c r="AA4692">
        <f>IF($V4692="",N($AA4691),IF(MATCH($V4692,$V$6:$V$6005,0)=ROW()-5,N($AA4691)+1,N($AA4691)))</f>
        <v/>
      </c>
    </row>
    <row r="4693" ht="21" customHeight="1" s="66">
      <c r="A4693" s="56" t="n"/>
      <c r="B4693" s="57" t="n"/>
      <c r="C4693" s="57" t="n"/>
      <c r="D4693" s="57" t="n"/>
      <c r="E4693" s="56" t="n"/>
      <c r="F4693" s="57" t="n"/>
      <c r="G4693" s="57" t="n"/>
      <c r="H4693" s="56" t="n"/>
      <c r="I4693" s="56" t="n"/>
      <c r="J4693" s="58" t="n"/>
      <c r="K4693" s="58" t="n"/>
      <c r="L4693" s="13">
        <f>IF(OR($A4693="",AND($J4693="",$K4693="")),"",ROUND(N($J4693)-N($K4693),2))</f>
        <v/>
      </c>
      <c r="M4693" s="13">
        <f>IF(OR($A4693="",AND($J4693="",$K4693="")),"",MIN($J4693,$K4693))</f>
        <v/>
      </c>
      <c r="Q4693">
        <f>IF($A4693="","",$D4693&amp;"("&amp;SUBSTITUTE($E4693," ","")&amp;")")</f>
        <v/>
      </c>
      <c r="R4693">
        <f>IF($A4693="","",$B4693&amp;" - "&amp;$C4693)</f>
        <v/>
      </c>
      <c r="S4693">
        <f>IF($A4693="","",$R4693&amp;"|"&amp;$Q4693)</f>
        <v/>
      </c>
      <c r="T4693">
        <f>IF($A4693="","",$S4693&amp;"|"&amp;$F4693)</f>
        <v/>
      </c>
      <c r="U4693">
        <f>IF($A4693="","",$R4693&amp;"("&amp;$E4693&amp;")")</f>
        <v/>
      </c>
      <c r="V4693">
        <f>IF($A4693="","",$F4693&amp;"|"&amp;$U4693&amp;"|"&amp;$D4693)</f>
        <v/>
      </c>
      <c r="W4693">
        <f>IF($T4693="","",IF($X4693&gt;N($X4692),$X4693,""))</f>
        <v/>
      </c>
      <c r="X4693">
        <f>IF($T4693="",N($X4692),IF(MATCH($T4693,$T$6:$T$6005,0)=ROW()-5,N($X4692)+1,N($X4692)))</f>
        <v/>
      </c>
      <c r="Z4693">
        <f>IF($V4693="","",IF($AA4693&gt;N($AA4692),$AA4693,""))</f>
        <v/>
      </c>
      <c r="AA4693">
        <f>IF($V4693="",N($AA4692),IF(MATCH($V4693,$V$6:$V$6005,0)=ROW()-5,N($AA4692)+1,N($AA4692)))</f>
        <v/>
      </c>
    </row>
    <row r="4694" ht="21" customHeight="1" s="66">
      <c r="A4694" s="56" t="n"/>
      <c r="B4694" s="57" t="n"/>
      <c r="C4694" s="57" t="n"/>
      <c r="D4694" s="57" t="n"/>
      <c r="E4694" s="56" t="n"/>
      <c r="F4694" s="57" t="n"/>
      <c r="G4694" s="57" t="n"/>
      <c r="H4694" s="56" t="n"/>
      <c r="I4694" s="56" t="n"/>
      <c r="J4694" s="58" t="n"/>
      <c r="K4694" s="58" t="n"/>
      <c r="L4694" s="13">
        <f>IF(OR($A4694="",AND($J4694="",$K4694="")),"",ROUND(N($J4694)-N($K4694),2))</f>
        <v/>
      </c>
      <c r="M4694" s="13">
        <f>IF(OR($A4694="",AND($J4694="",$K4694="")),"",MIN($J4694,$K4694))</f>
        <v/>
      </c>
      <c r="Q4694">
        <f>IF($A4694="","",$D4694&amp;"("&amp;SUBSTITUTE($E4694," ","")&amp;")")</f>
        <v/>
      </c>
      <c r="R4694">
        <f>IF($A4694="","",$B4694&amp;" - "&amp;$C4694)</f>
        <v/>
      </c>
      <c r="S4694">
        <f>IF($A4694="","",$R4694&amp;"|"&amp;$Q4694)</f>
        <v/>
      </c>
      <c r="T4694">
        <f>IF($A4694="","",$S4694&amp;"|"&amp;$F4694)</f>
        <v/>
      </c>
      <c r="U4694">
        <f>IF($A4694="","",$R4694&amp;"("&amp;$E4694&amp;")")</f>
        <v/>
      </c>
      <c r="V4694">
        <f>IF($A4694="","",$F4694&amp;"|"&amp;$U4694&amp;"|"&amp;$D4694)</f>
        <v/>
      </c>
      <c r="W4694">
        <f>IF($T4694="","",IF($X4694&gt;N($X4693),$X4694,""))</f>
        <v/>
      </c>
      <c r="X4694">
        <f>IF($T4694="",N($X4693),IF(MATCH($T4694,$T$6:$T$6005,0)=ROW()-5,N($X4693)+1,N($X4693)))</f>
        <v/>
      </c>
      <c r="Z4694">
        <f>IF($V4694="","",IF($AA4694&gt;N($AA4693),$AA4694,""))</f>
        <v/>
      </c>
      <c r="AA4694">
        <f>IF($V4694="",N($AA4693),IF(MATCH($V4694,$V$6:$V$6005,0)=ROW()-5,N($AA4693)+1,N($AA4693)))</f>
        <v/>
      </c>
    </row>
    <row r="4695" ht="21" customHeight="1" s="66">
      <c r="A4695" s="56" t="n"/>
      <c r="B4695" s="57" t="n"/>
      <c r="C4695" s="57" t="n"/>
      <c r="D4695" s="57" t="n"/>
      <c r="E4695" s="56" t="n"/>
      <c r="F4695" s="57" t="n"/>
      <c r="G4695" s="57" t="n"/>
      <c r="H4695" s="56" t="n"/>
      <c r="I4695" s="56" t="n"/>
      <c r="J4695" s="58" t="n"/>
      <c r="K4695" s="58" t="n"/>
      <c r="L4695" s="13">
        <f>IF(OR($A4695="",AND($J4695="",$K4695="")),"",ROUND(N($J4695)-N($K4695),2))</f>
        <v/>
      </c>
      <c r="M4695" s="13">
        <f>IF(OR($A4695="",AND($J4695="",$K4695="")),"",MIN($J4695,$K4695))</f>
        <v/>
      </c>
      <c r="Q4695">
        <f>IF($A4695="","",$D4695&amp;"("&amp;SUBSTITUTE($E4695," ","")&amp;")")</f>
        <v/>
      </c>
      <c r="R4695">
        <f>IF($A4695="","",$B4695&amp;" - "&amp;$C4695)</f>
        <v/>
      </c>
      <c r="S4695">
        <f>IF($A4695="","",$R4695&amp;"|"&amp;$Q4695)</f>
        <v/>
      </c>
      <c r="T4695">
        <f>IF($A4695="","",$S4695&amp;"|"&amp;$F4695)</f>
        <v/>
      </c>
      <c r="U4695">
        <f>IF($A4695="","",$R4695&amp;"("&amp;$E4695&amp;")")</f>
        <v/>
      </c>
      <c r="V4695">
        <f>IF($A4695="","",$F4695&amp;"|"&amp;$U4695&amp;"|"&amp;$D4695)</f>
        <v/>
      </c>
      <c r="W4695">
        <f>IF($T4695="","",IF($X4695&gt;N($X4694),$X4695,""))</f>
        <v/>
      </c>
      <c r="X4695">
        <f>IF($T4695="",N($X4694),IF(MATCH($T4695,$T$6:$T$6005,0)=ROW()-5,N($X4694)+1,N($X4694)))</f>
        <v/>
      </c>
      <c r="Z4695">
        <f>IF($V4695="","",IF($AA4695&gt;N($AA4694),$AA4695,""))</f>
        <v/>
      </c>
      <c r="AA4695">
        <f>IF($V4695="",N($AA4694),IF(MATCH($V4695,$V$6:$V$6005,0)=ROW()-5,N($AA4694)+1,N($AA4694)))</f>
        <v/>
      </c>
    </row>
    <row r="4696" ht="21" customHeight="1" s="66">
      <c r="A4696" s="56" t="n"/>
      <c r="B4696" s="57" t="n"/>
      <c r="C4696" s="57" t="n"/>
      <c r="D4696" s="57" t="n"/>
      <c r="E4696" s="56" t="n"/>
      <c r="F4696" s="57" t="n"/>
      <c r="G4696" s="57" t="n"/>
      <c r="H4696" s="56" t="n"/>
      <c r="I4696" s="56" t="n"/>
      <c r="J4696" s="58" t="n"/>
      <c r="K4696" s="58" t="n"/>
      <c r="L4696" s="13">
        <f>IF(OR($A4696="",AND($J4696="",$K4696="")),"",ROUND(N($J4696)-N($K4696),2))</f>
        <v/>
      </c>
      <c r="M4696" s="13">
        <f>IF(OR($A4696="",AND($J4696="",$K4696="")),"",MIN($J4696,$K4696))</f>
        <v/>
      </c>
      <c r="Q4696">
        <f>IF($A4696="","",$D4696&amp;"("&amp;SUBSTITUTE($E4696," ","")&amp;")")</f>
        <v/>
      </c>
      <c r="R4696">
        <f>IF($A4696="","",$B4696&amp;" - "&amp;$C4696)</f>
        <v/>
      </c>
      <c r="S4696">
        <f>IF($A4696="","",$R4696&amp;"|"&amp;$Q4696)</f>
        <v/>
      </c>
      <c r="T4696">
        <f>IF($A4696="","",$S4696&amp;"|"&amp;$F4696)</f>
        <v/>
      </c>
      <c r="U4696">
        <f>IF($A4696="","",$R4696&amp;"("&amp;$E4696&amp;")")</f>
        <v/>
      </c>
      <c r="V4696">
        <f>IF($A4696="","",$F4696&amp;"|"&amp;$U4696&amp;"|"&amp;$D4696)</f>
        <v/>
      </c>
      <c r="W4696">
        <f>IF($T4696="","",IF($X4696&gt;N($X4695),$X4696,""))</f>
        <v/>
      </c>
      <c r="X4696">
        <f>IF($T4696="",N($X4695),IF(MATCH($T4696,$T$6:$T$6005,0)=ROW()-5,N($X4695)+1,N($X4695)))</f>
        <v/>
      </c>
      <c r="Z4696">
        <f>IF($V4696="","",IF($AA4696&gt;N($AA4695),$AA4696,""))</f>
        <v/>
      </c>
      <c r="AA4696">
        <f>IF($V4696="",N($AA4695),IF(MATCH($V4696,$V$6:$V$6005,0)=ROW()-5,N($AA4695)+1,N($AA4695)))</f>
        <v/>
      </c>
    </row>
    <row r="4697" ht="21" customHeight="1" s="66">
      <c r="A4697" s="56" t="n"/>
      <c r="B4697" s="57" t="n"/>
      <c r="C4697" s="57" t="n"/>
      <c r="D4697" s="57" t="n"/>
      <c r="E4697" s="56" t="n"/>
      <c r="F4697" s="57" t="n"/>
      <c r="G4697" s="57" t="n"/>
      <c r="H4697" s="56" t="n"/>
      <c r="I4697" s="56" t="n"/>
      <c r="J4697" s="58" t="n"/>
      <c r="K4697" s="58" t="n"/>
      <c r="L4697" s="13">
        <f>IF(OR($A4697="",AND($J4697="",$K4697="")),"",ROUND(N($J4697)-N($K4697),2))</f>
        <v/>
      </c>
      <c r="M4697" s="13">
        <f>IF(OR($A4697="",AND($J4697="",$K4697="")),"",MIN($J4697,$K4697))</f>
        <v/>
      </c>
      <c r="Q4697">
        <f>IF($A4697="","",$D4697&amp;"("&amp;SUBSTITUTE($E4697," ","")&amp;")")</f>
        <v/>
      </c>
      <c r="R4697">
        <f>IF($A4697="","",$B4697&amp;" - "&amp;$C4697)</f>
        <v/>
      </c>
      <c r="S4697">
        <f>IF($A4697="","",$R4697&amp;"|"&amp;$Q4697)</f>
        <v/>
      </c>
      <c r="T4697">
        <f>IF($A4697="","",$S4697&amp;"|"&amp;$F4697)</f>
        <v/>
      </c>
      <c r="U4697">
        <f>IF($A4697="","",$R4697&amp;"("&amp;$E4697&amp;")")</f>
        <v/>
      </c>
      <c r="V4697">
        <f>IF($A4697="","",$F4697&amp;"|"&amp;$U4697&amp;"|"&amp;$D4697)</f>
        <v/>
      </c>
      <c r="W4697">
        <f>IF($T4697="","",IF($X4697&gt;N($X4696),$X4697,""))</f>
        <v/>
      </c>
      <c r="X4697">
        <f>IF($T4697="",N($X4696),IF(MATCH($T4697,$T$6:$T$6005,0)=ROW()-5,N($X4696)+1,N($X4696)))</f>
        <v/>
      </c>
      <c r="Z4697">
        <f>IF($V4697="","",IF($AA4697&gt;N($AA4696),$AA4697,""))</f>
        <v/>
      </c>
      <c r="AA4697">
        <f>IF($V4697="",N($AA4696),IF(MATCH($V4697,$V$6:$V$6005,0)=ROW()-5,N($AA4696)+1,N($AA4696)))</f>
        <v/>
      </c>
    </row>
    <row r="4698" ht="21" customHeight="1" s="66">
      <c r="A4698" s="56" t="n"/>
      <c r="B4698" s="57" t="n"/>
      <c r="C4698" s="57" t="n"/>
      <c r="D4698" s="57" t="n"/>
      <c r="E4698" s="56" t="n"/>
      <c r="F4698" s="57" t="n"/>
      <c r="G4698" s="57" t="n"/>
      <c r="H4698" s="56" t="n"/>
      <c r="I4698" s="56" t="n"/>
      <c r="J4698" s="58" t="n"/>
      <c r="K4698" s="58" t="n"/>
      <c r="L4698" s="13">
        <f>IF(OR($A4698="",AND($J4698="",$K4698="")),"",ROUND(N($J4698)-N($K4698),2))</f>
        <v/>
      </c>
      <c r="M4698" s="13">
        <f>IF(OR($A4698="",AND($J4698="",$K4698="")),"",MIN($J4698,$K4698))</f>
        <v/>
      </c>
      <c r="Q4698">
        <f>IF($A4698="","",$D4698&amp;"("&amp;SUBSTITUTE($E4698," ","")&amp;")")</f>
        <v/>
      </c>
      <c r="R4698">
        <f>IF($A4698="","",$B4698&amp;" - "&amp;$C4698)</f>
        <v/>
      </c>
      <c r="S4698">
        <f>IF($A4698="","",$R4698&amp;"|"&amp;$Q4698)</f>
        <v/>
      </c>
      <c r="T4698">
        <f>IF($A4698="","",$S4698&amp;"|"&amp;$F4698)</f>
        <v/>
      </c>
      <c r="U4698">
        <f>IF($A4698="","",$R4698&amp;"("&amp;$E4698&amp;")")</f>
        <v/>
      </c>
      <c r="V4698">
        <f>IF($A4698="","",$F4698&amp;"|"&amp;$U4698&amp;"|"&amp;$D4698)</f>
        <v/>
      </c>
      <c r="W4698">
        <f>IF($T4698="","",IF($X4698&gt;N($X4697),$X4698,""))</f>
        <v/>
      </c>
      <c r="X4698">
        <f>IF($T4698="",N($X4697),IF(MATCH($T4698,$T$6:$T$6005,0)=ROW()-5,N($X4697)+1,N($X4697)))</f>
        <v/>
      </c>
      <c r="Z4698">
        <f>IF($V4698="","",IF($AA4698&gt;N($AA4697),$AA4698,""))</f>
        <v/>
      </c>
      <c r="AA4698">
        <f>IF($V4698="",N($AA4697),IF(MATCH($V4698,$V$6:$V$6005,0)=ROW()-5,N($AA4697)+1,N($AA4697)))</f>
        <v/>
      </c>
    </row>
    <row r="4699" ht="21" customHeight="1" s="66">
      <c r="A4699" s="56" t="n"/>
      <c r="B4699" s="57" t="n"/>
      <c r="C4699" s="57" t="n"/>
      <c r="D4699" s="57" t="n"/>
      <c r="E4699" s="56" t="n"/>
      <c r="F4699" s="57" t="n"/>
      <c r="G4699" s="57" t="n"/>
      <c r="H4699" s="56" t="n"/>
      <c r="I4699" s="56" t="n"/>
      <c r="J4699" s="58" t="n"/>
      <c r="K4699" s="58" t="n"/>
      <c r="L4699" s="13">
        <f>IF(OR($A4699="",AND($J4699="",$K4699="")),"",ROUND(N($J4699)-N($K4699),2))</f>
        <v/>
      </c>
      <c r="M4699" s="13">
        <f>IF(OR($A4699="",AND($J4699="",$K4699="")),"",MIN($J4699,$K4699))</f>
        <v/>
      </c>
      <c r="Q4699">
        <f>IF($A4699="","",$D4699&amp;"("&amp;SUBSTITUTE($E4699," ","")&amp;")")</f>
        <v/>
      </c>
      <c r="R4699">
        <f>IF($A4699="","",$B4699&amp;" - "&amp;$C4699)</f>
        <v/>
      </c>
      <c r="S4699">
        <f>IF($A4699="","",$R4699&amp;"|"&amp;$Q4699)</f>
        <v/>
      </c>
      <c r="T4699">
        <f>IF($A4699="","",$S4699&amp;"|"&amp;$F4699)</f>
        <v/>
      </c>
      <c r="U4699">
        <f>IF($A4699="","",$R4699&amp;"("&amp;$E4699&amp;")")</f>
        <v/>
      </c>
      <c r="V4699">
        <f>IF($A4699="","",$F4699&amp;"|"&amp;$U4699&amp;"|"&amp;$D4699)</f>
        <v/>
      </c>
      <c r="W4699">
        <f>IF($T4699="","",IF($X4699&gt;N($X4698),$X4699,""))</f>
        <v/>
      </c>
      <c r="X4699">
        <f>IF($T4699="",N($X4698),IF(MATCH($T4699,$T$6:$T$6005,0)=ROW()-5,N($X4698)+1,N($X4698)))</f>
        <v/>
      </c>
      <c r="Z4699">
        <f>IF($V4699="","",IF($AA4699&gt;N($AA4698),$AA4699,""))</f>
        <v/>
      </c>
      <c r="AA4699">
        <f>IF($V4699="",N($AA4698),IF(MATCH($V4699,$V$6:$V$6005,0)=ROW()-5,N($AA4698)+1,N($AA4698)))</f>
        <v/>
      </c>
    </row>
    <row r="4700" ht="21" customHeight="1" s="66">
      <c r="A4700" s="56" t="n"/>
      <c r="B4700" s="57" t="n"/>
      <c r="C4700" s="57" t="n"/>
      <c r="D4700" s="57" t="n"/>
      <c r="E4700" s="56" t="n"/>
      <c r="F4700" s="57" t="n"/>
      <c r="G4700" s="57" t="n"/>
      <c r="H4700" s="56" t="n"/>
      <c r="I4700" s="56" t="n"/>
      <c r="J4700" s="58" t="n"/>
      <c r="K4700" s="58" t="n"/>
      <c r="L4700" s="13">
        <f>IF(OR($A4700="",AND($J4700="",$K4700="")),"",ROUND(N($J4700)-N($K4700),2))</f>
        <v/>
      </c>
      <c r="M4700" s="13">
        <f>IF(OR($A4700="",AND($J4700="",$K4700="")),"",MIN($J4700,$K4700))</f>
        <v/>
      </c>
      <c r="Q4700">
        <f>IF($A4700="","",$D4700&amp;"("&amp;SUBSTITUTE($E4700," ","")&amp;")")</f>
        <v/>
      </c>
      <c r="R4700">
        <f>IF($A4700="","",$B4700&amp;" - "&amp;$C4700)</f>
        <v/>
      </c>
      <c r="S4700">
        <f>IF($A4700="","",$R4700&amp;"|"&amp;$Q4700)</f>
        <v/>
      </c>
      <c r="T4700">
        <f>IF($A4700="","",$S4700&amp;"|"&amp;$F4700)</f>
        <v/>
      </c>
      <c r="U4700">
        <f>IF($A4700="","",$R4700&amp;"("&amp;$E4700&amp;")")</f>
        <v/>
      </c>
      <c r="V4700">
        <f>IF($A4700="","",$F4700&amp;"|"&amp;$U4700&amp;"|"&amp;$D4700)</f>
        <v/>
      </c>
      <c r="W4700">
        <f>IF($T4700="","",IF($X4700&gt;N($X4699),$X4700,""))</f>
        <v/>
      </c>
      <c r="X4700">
        <f>IF($T4700="",N($X4699),IF(MATCH($T4700,$T$6:$T$6005,0)=ROW()-5,N($X4699)+1,N($X4699)))</f>
        <v/>
      </c>
      <c r="Z4700">
        <f>IF($V4700="","",IF($AA4700&gt;N($AA4699),$AA4700,""))</f>
        <v/>
      </c>
      <c r="AA4700">
        <f>IF($V4700="",N($AA4699),IF(MATCH($V4700,$V$6:$V$6005,0)=ROW()-5,N($AA4699)+1,N($AA4699)))</f>
        <v/>
      </c>
    </row>
    <row r="4701" ht="21" customHeight="1" s="66">
      <c r="A4701" s="56" t="n"/>
      <c r="B4701" s="57" t="n"/>
      <c r="C4701" s="57" t="n"/>
      <c r="D4701" s="57" t="n"/>
      <c r="E4701" s="56" t="n"/>
      <c r="F4701" s="57" t="n"/>
      <c r="G4701" s="57" t="n"/>
      <c r="H4701" s="56" t="n"/>
      <c r="I4701" s="56" t="n"/>
      <c r="J4701" s="58" t="n"/>
      <c r="K4701" s="58" t="n"/>
      <c r="L4701" s="13">
        <f>IF(OR($A4701="",AND($J4701="",$K4701="")),"",ROUND(N($J4701)-N($K4701),2))</f>
        <v/>
      </c>
      <c r="M4701" s="13">
        <f>IF(OR($A4701="",AND($J4701="",$K4701="")),"",MIN($J4701,$K4701))</f>
        <v/>
      </c>
      <c r="Q4701">
        <f>IF($A4701="","",$D4701&amp;"("&amp;SUBSTITUTE($E4701," ","")&amp;")")</f>
        <v/>
      </c>
      <c r="R4701">
        <f>IF($A4701="","",$B4701&amp;" - "&amp;$C4701)</f>
        <v/>
      </c>
      <c r="S4701">
        <f>IF($A4701="","",$R4701&amp;"|"&amp;$Q4701)</f>
        <v/>
      </c>
      <c r="T4701">
        <f>IF($A4701="","",$S4701&amp;"|"&amp;$F4701)</f>
        <v/>
      </c>
      <c r="U4701">
        <f>IF($A4701="","",$R4701&amp;"("&amp;$E4701&amp;")")</f>
        <v/>
      </c>
      <c r="V4701">
        <f>IF($A4701="","",$F4701&amp;"|"&amp;$U4701&amp;"|"&amp;$D4701)</f>
        <v/>
      </c>
      <c r="W4701">
        <f>IF($T4701="","",IF($X4701&gt;N($X4700),$X4701,""))</f>
        <v/>
      </c>
      <c r="X4701">
        <f>IF($T4701="",N($X4700),IF(MATCH($T4701,$T$6:$T$6005,0)=ROW()-5,N($X4700)+1,N($X4700)))</f>
        <v/>
      </c>
      <c r="Z4701">
        <f>IF($V4701="","",IF($AA4701&gt;N($AA4700),$AA4701,""))</f>
        <v/>
      </c>
      <c r="AA4701">
        <f>IF($V4701="",N($AA4700),IF(MATCH($V4701,$V$6:$V$6005,0)=ROW()-5,N($AA4700)+1,N($AA4700)))</f>
        <v/>
      </c>
    </row>
    <row r="4702" ht="21" customHeight="1" s="66">
      <c r="A4702" s="56" t="n"/>
      <c r="B4702" s="57" t="n"/>
      <c r="C4702" s="57" t="n"/>
      <c r="D4702" s="57" t="n"/>
      <c r="E4702" s="56" t="n"/>
      <c r="F4702" s="57" t="n"/>
      <c r="G4702" s="57" t="n"/>
      <c r="H4702" s="56" t="n"/>
      <c r="I4702" s="56" t="n"/>
      <c r="J4702" s="58" t="n"/>
      <c r="K4702" s="58" t="n"/>
      <c r="L4702" s="13">
        <f>IF(OR($A4702="",AND($J4702="",$K4702="")),"",ROUND(N($J4702)-N($K4702),2))</f>
        <v/>
      </c>
      <c r="M4702" s="13">
        <f>IF(OR($A4702="",AND($J4702="",$K4702="")),"",MIN($J4702,$K4702))</f>
        <v/>
      </c>
      <c r="Q4702">
        <f>IF($A4702="","",$D4702&amp;"("&amp;SUBSTITUTE($E4702," ","")&amp;")")</f>
        <v/>
      </c>
      <c r="R4702">
        <f>IF($A4702="","",$B4702&amp;" - "&amp;$C4702)</f>
        <v/>
      </c>
      <c r="S4702">
        <f>IF($A4702="","",$R4702&amp;"|"&amp;$Q4702)</f>
        <v/>
      </c>
      <c r="T4702">
        <f>IF($A4702="","",$S4702&amp;"|"&amp;$F4702)</f>
        <v/>
      </c>
      <c r="U4702">
        <f>IF($A4702="","",$R4702&amp;"("&amp;$E4702&amp;")")</f>
        <v/>
      </c>
      <c r="V4702">
        <f>IF($A4702="","",$F4702&amp;"|"&amp;$U4702&amp;"|"&amp;$D4702)</f>
        <v/>
      </c>
      <c r="W4702">
        <f>IF($T4702="","",IF($X4702&gt;N($X4701),$X4702,""))</f>
        <v/>
      </c>
      <c r="X4702">
        <f>IF($T4702="",N($X4701),IF(MATCH($T4702,$T$6:$T$6005,0)=ROW()-5,N($X4701)+1,N($X4701)))</f>
        <v/>
      </c>
      <c r="Z4702">
        <f>IF($V4702="","",IF($AA4702&gt;N($AA4701),$AA4702,""))</f>
        <v/>
      </c>
      <c r="AA4702">
        <f>IF($V4702="",N($AA4701),IF(MATCH($V4702,$V$6:$V$6005,0)=ROW()-5,N($AA4701)+1,N($AA4701)))</f>
        <v/>
      </c>
    </row>
    <row r="4703" ht="21" customHeight="1" s="66">
      <c r="A4703" s="56" t="n"/>
      <c r="B4703" s="57" t="n"/>
      <c r="C4703" s="57" t="n"/>
      <c r="D4703" s="57" t="n"/>
      <c r="E4703" s="56" t="n"/>
      <c r="F4703" s="57" t="n"/>
      <c r="G4703" s="57" t="n"/>
      <c r="H4703" s="56" t="n"/>
      <c r="I4703" s="56" t="n"/>
      <c r="J4703" s="58" t="n"/>
      <c r="K4703" s="58" t="n"/>
      <c r="L4703" s="13">
        <f>IF(OR($A4703="",AND($J4703="",$K4703="")),"",ROUND(N($J4703)-N($K4703),2))</f>
        <v/>
      </c>
      <c r="M4703" s="13">
        <f>IF(OR($A4703="",AND($J4703="",$K4703="")),"",MIN($J4703,$K4703))</f>
        <v/>
      </c>
      <c r="Q4703">
        <f>IF($A4703="","",$D4703&amp;"("&amp;SUBSTITUTE($E4703," ","")&amp;")")</f>
        <v/>
      </c>
      <c r="R4703">
        <f>IF($A4703="","",$B4703&amp;" - "&amp;$C4703)</f>
        <v/>
      </c>
      <c r="S4703">
        <f>IF($A4703="","",$R4703&amp;"|"&amp;$Q4703)</f>
        <v/>
      </c>
      <c r="T4703">
        <f>IF($A4703="","",$S4703&amp;"|"&amp;$F4703)</f>
        <v/>
      </c>
      <c r="U4703">
        <f>IF($A4703="","",$R4703&amp;"("&amp;$E4703&amp;")")</f>
        <v/>
      </c>
      <c r="V4703">
        <f>IF($A4703="","",$F4703&amp;"|"&amp;$U4703&amp;"|"&amp;$D4703)</f>
        <v/>
      </c>
      <c r="W4703">
        <f>IF($T4703="","",IF($X4703&gt;N($X4702),$X4703,""))</f>
        <v/>
      </c>
      <c r="X4703">
        <f>IF($T4703="",N($X4702),IF(MATCH($T4703,$T$6:$T$6005,0)=ROW()-5,N($X4702)+1,N($X4702)))</f>
        <v/>
      </c>
      <c r="Z4703">
        <f>IF($V4703="","",IF($AA4703&gt;N($AA4702),$AA4703,""))</f>
        <v/>
      </c>
      <c r="AA4703">
        <f>IF($V4703="",N($AA4702),IF(MATCH($V4703,$V$6:$V$6005,0)=ROW()-5,N($AA4702)+1,N($AA4702)))</f>
        <v/>
      </c>
    </row>
    <row r="4704" ht="21" customHeight="1" s="66">
      <c r="A4704" s="56" t="n"/>
      <c r="B4704" s="57" t="n"/>
      <c r="C4704" s="57" t="n"/>
      <c r="D4704" s="57" t="n"/>
      <c r="E4704" s="56" t="n"/>
      <c r="F4704" s="57" t="n"/>
      <c r="G4704" s="57" t="n"/>
      <c r="H4704" s="56" t="n"/>
      <c r="I4704" s="56" t="n"/>
      <c r="J4704" s="58" t="n"/>
      <c r="K4704" s="58" t="n"/>
      <c r="L4704" s="13">
        <f>IF(OR($A4704="",AND($J4704="",$K4704="")),"",ROUND(N($J4704)-N($K4704),2))</f>
        <v/>
      </c>
      <c r="M4704" s="13">
        <f>IF(OR($A4704="",AND($J4704="",$K4704="")),"",MIN($J4704,$K4704))</f>
        <v/>
      </c>
      <c r="Q4704">
        <f>IF($A4704="","",$D4704&amp;"("&amp;SUBSTITUTE($E4704," ","")&amp;")")</f>
        <v/>
      </c>
      <c r="R4704">
        <f>IF($A4704="","",$B4704&amp;" - "&amp;$C4704)</f>
        <v/>
      </c>
      <c r="S4704">
        <f>IF($A4704="","",$R4704&amp;"|"&amp;$Q4704)</f>
        <v/>
      </c>
      <c r="T4704">
        <f>IF($A4704="","",$S4704&amp;"|"&amp;$F4704)</f>
        <v/>
      </c>
      <c r="U4704">
        <f>IF($A4704="","",$R4704&amp;"("&amp;$E4704&amp;")")</f>
        <v/>
      </c>
      <c r="V4704">
        <f>IF($A4704="","",$F4704&amp;"|"&amp;$U4704&amp;"|"&amp;$D4704)</f>
        <v/>
      </c>
      <c r="W4704">
        <f>IF($T4704="","",IF($X4704&gt;N($X4703),$X4704,""))</f>
        <v/>
      </c>
      <c r="X4704">
        <f>IF($T4704="",N($X4703),IF(MATCH($T4704,$T$6:$T$6005,0)=ROW()-5,N($X4703)+1,N($X4703)))</f>
        <v/>
      </c>
      <c r="Z4704">
        <f>IF($V4704="","",IF($AA4704&gt;N($AA4703),$AA4704,""))</f>
        <v/>
      </c>
      <c r="AA4704">
        <f>IF($V4704="",N($AA4703),IF(MATCH($V4704,$V$6:$V$6005,0)=ROW()-5,N($AA4703)+1,N($AA4703)))</f>
        <v/>
      </c>
    </row>
    <row r="4705" ht="21" customHeight="1" s="66">
      <c r="A4705" s="56" t="n"/>
      <c r="B4705" s="57" t="n"/>
      <c r="C4705" s="57" t="n"/>
      <c r="D4705" s="57" t="n"/>
      <c r="E4705" s="56" t="n"/>
      <c r="F4705" s="57" t="n"/>
      <c r="G4705" s="57" t="n"/>
      <c r="H4705" s="56" t="n"/>
      <c r="I4705" s="56" t="n"/>
      <c r="J4705" s="58" t="n"/>
      <c r="K4705" s="58" t="n"/>
      <c r="L4705" s="13">
        <f>IF(OR($A4705="",AND($J4705="",$K4705="")),"",ROUND(N($J4705)-N($K4705),2))</f>
        <v/>
      </c>
      <c r="M4705" s="13">
        <f>IF(OR($A4705="",AND($J4705="",$K4705="")),"",MIN($J4705,$K4705))</f>
        <v/>
      </c>
      <c r="Q4705">
        <f>IF($A4705="","",$D4705&amp;"("&amp;SUBSTITUTE($E4705," ","")&amp;")")</f>
        <v/>
      </c>
      <c r="R4705">
        <f>IF($A4705="","",$B4705&amp;" - "&amp;$C4705)</f>
        <v/>
      </c>
      <c r="S4705">
        <f>IF($A4705="","",$R4705&amp;"|"&amp;$Q4705)</f>
        <v/>
      </c>
      <c r="T4705">
        <f>IF($A4705="","",$S4705&amp;"|"&amp;$F4705)</f>
        <v/>
      </c>
      <c r="U4705">
        <f>IF($A4705="","",$R4705&amp;"("&amp;$E4705&amp;")")</f>
        <v/>
      </c>
      <c r="V4705">
        <f>IF($A4705="","",$F4705&amp;"|"&amp;$U4705&amp;"|"&amp;$D4705)</f>
        <v/>
      </c>
      <c r="W4705">
        <f>IF($T4705="","",IF($X4705&gt;N($X4704),$X4705,""))</f>
        <v/>
      </c>
      <c r="X4705">
        <f>IF($T4705="",N($X4704),IF(MATCH($T4705,$T$6:$T$6005,0)=ROW()-5,N($X4704)+1,N($X4704)))</f>
        <v/>
      </c>
      <c r="Z4705">
        <f>IF($V4705="","",IF($AA4705&gt;N($AA4704),$AA4705,""))</f>
        <v/>
      </c>
      <c r="AA4705">
        <f>IF($V4705="",N($AA4704),IF(MATCH($V4705,$V$6:$V$6005,0)=ROW()-5,N($AA4704)+1,N($AA4704)))</f>
        <v/>
      </c>
    </row>
    <row r="4706" ht="21" customHeight="1" s="66">
      <c r="A4706" s="56" t="n"/>
      <c r="B4706" s="57" t="n"/>
      <c r="C4706" s="57" t="n"/>
      <c r="D4706" s="57" t="n"/>
      <c r="E4706" s="56" t="n"/>
      <c r="F4706" s="57" t="n"/>
      <c r="G4706" s="57" t="n"/>
      <c r="H4706" s="56" t="n"/>
      <c r="I4706" s="56" t="n"/>
      <c r="J4706" s="58" t="n"/>
      <c r="K4706" s="58" t="n"/>
      <c r="L4706" s="13">
        <f>IF(OR($A4706="",AND($J4706="",$K4706="")),"",ROUND(N($J4706)-N($K4706),2))</f>
        <v/>
      </c>
      <c r="M4706" s="13">
        <f>IF(OR($A4706="",AND($J4706="",$K4706="")),"",MIN($J4706,$K4706))</f>
        <v/>
      </c>
      <c r="Q4706">
        <f>IF($A4706="","",$D4706&amp;"("&amp;SUBSTITUTE($E4706," ","")&amp;")")</f>
        <v/>
      </c>
      <c r="R4706">
        <f>IF($A4706="","",$B4706&amp;" - "&amp;$C4706)</f>
        <v/>
      </c>
      <c r="S4706">
        <f>IF($A4706="","",$R4706&amp;"|"&amp;$Q4706)</f>
        <v/>
      </c>
      <c r="T4706">
        <f>IF($A4706="","",$S4706&amp;"|"&amp;$F4706)</f>
        <v/>
      </c>
      <c r="U4706">
        <f>IF($A4706="","",$R4706&amp;"("&amp;$E4706&amp;")")</f>
        <v/>
      </c>
      <c r="V4706">
        <f>IF($A4706="","",$F4706&amp;"|"&amp;$U4706&amp;"|"&amp;$D4706)</f>
        <v/>
      </c>
      <c r="W4706">
        <f>IF($T4706="","",IF($X4706&gt;N($X4705),$X4706,""))</f>
        <v/>
      </c>
      <c r="X4706">
        <f>IF($T4706="",N($X4705),IF(MATCH($T4706,$T$6:$T$6005,0)=ROW()-5,N($X4705)+1,N($X4705)))</f>
        <v/>
      </c>
      <c r="Z4706">
        <f>IF($V4706="","",IF($AA4706&gt;N($AA4705),$AA4706,""))</f>
        <v/>
      </c>
      <c r="AA4706">
        <f>IF($V4706="",N($AA4705),IF(MATCH($V4706,$V$6:$V$6005,0)=ROW()-5,N($AA4705)+1,N($AA4705)))</f>
        <v/>
      </c>
    </row>
    <row r="4707" ht="21" customHeight="1" s="66">
      <c r="A4707" s="56" t="n"/>
      <c r="B4707" s="57" t="n"/>
      <c r="C4707" s="57" t="n"/>
      <c r="D4707" s="57" t="n"/>
      <c r="E4707" s="56" t="n"/>
      <c r="F4707" s="57" t="n"/>
      <c r="G4707" s="57" t="n"/>
      <c r="H4707" s="56" t="n"/>
      <c r="I4707" s="56" t="n"/>
      <c r="J4707" s="58" t="n"/>
      <c r="K4707" s="58" t="n"/>
      <c r="L4707" s="13">
        <f>IF(OR($A4707="",AND($J4707="",$K4707="")),"",ROUND(N($J4707)-N($K4707),2))</f>
        <v/>
      </c>
      <c r="M4707" s="13">
        <f>IF(OR($A4707="",AND($J4707="",$K4707="")),"",MIN($J4707,$K4707))</f>
        <v/>
      </c>
      <c r="Q4707">
        <f>IF($A4707="","",$D4707&amp;"("&amp;SUBSTITUTE($E4707," ","")&amp;")")</f>
        <v/>
      </c>
      <c r="R4707">
        <f>IF($A4707="","",$B4707&amp;" - "&amp;$C4707)</f>
        <v/>
      </c>
      <c r="S4707">
        <f>IF($A4707="","",$R4707&amp;"|"&amp;$Q4707)</f>
        <v/>
      </c>
      <c r="T4707">
        <f>IF($A4707="","",$S4707&amp;"|"&amp;$F4707)</f>
        <v/>
      </c>
      <c r="U4707">
        <f>IF($A4707="","",$R4707&amp;"("&amp;$E4707&amp;")")</f>
        <v/>
      </c>
      <c r="V4707">
        <f>IF($A4707="","",$F4707&amp;"|"&amp;$U4707&amp;"|"&amp;$D4707)</f>
        <v/>
      </c>
      <c r="W4707">
        <f>IF($T4707="","",IF($X4707&gt;N($X4706),$X4707,""))</f>
        <v/>
      </c>
      <c r="X4707">
        <f>IF($T4707="",N($X4706),IF(MATCH($T4707,$T$6:$T$6005,0)=ROW()-5,N($X4706)+1,N($X4706)))</f>
        <v/>
      </c>
      <c r="Z4707">
        <f>IF($V4707="","",IF($AA4707&gt;N($AA4706),$AA4707,""))</f>
        <v/>
      </c>
      <c r="AA4707">
        <f>IF($V4707="",N($AA4706),IF(MATCH($V4707,$V$6:$V$6005,0)=ROW()-5,N($AA4706)+1,N($AA4706)))</f>
        <v/>
      </c>
    </row>
    <row r="4708" ht="21" customHeight="1" s="66">
      <c r="A4708" s="56" t="n"/>
      <c r="B4708" s="57" t="n"/>
      <c r="C4708" s="57" t="n"/>
      <c r="D4708" s="57" t="n"/>
      <c r="E4708" s="56" t="n"/>
      <c r="F4708" s="57" t="n"/>
      <c r="G4708" s="57" t="n"/>
      <c r="H4708" s="56" t="n"/>
      <c r="I4708" s="56" t="n"/>
      <c r="J4708" s="58" t="n"/>
      <c r="K4708" s="58" t="n"/>
      <c r="L4708" s="13">
        <f>IF(OR($A4708="",AND($J4708="",$K4708="")),"",ROUND(N($J4708)-N($K4708),2))</f>
        <v/>
      </c>
      <c r="M4708" s="13">
        <f>IF(OR($A4708="",AND($J4708="",$K4708="")),"",MIN($J4708,$K4708))</f>
        <v/>
      </c>
      <c r="Q4708">
        <f>IF($A4708="","",$D4708&amp;"("&amp;SUBSTITUTE($E4708," ","")&amp;")")</f>
        <v/>
      </c>
      <c r="R4708">
        <f>IF($A4708="","",$B4708&amp;" - "&amp;$C4708)</f>
        <v/>
      </c>
      <c r="S4708">
        <f>IF($A4708="","",$R4708&amp;"|"&amp;$Q4708)</f>
        <v/>
      </c>
      <c r="T4708">
        <f>IF($A4708="","",$S4708&amp;"|"&amp;$F4708)</f>
        <v/>
      </c>
      <c r="U4708">
        <f>IF($A4708="","",$R4708&amp;"("&amp;$E4708&amp;")")</f>
        <v/>
      </c>
      <c r="V4708">
        <f>IF($A4708="","",$F4708&amp;"|"&amp;$U4708&amp;"|"&amp;$D4708)</f>
        <v/>
      </c>
      <c r="W4708">
        <f>IF($T4708="","",IF($X4708&gt;N($X4707),$X4708,""))</f>
        <v/>
      </c>
      <c r="X4708">
        <f>IF($T4708="",N($X4707),IF(MATCH($T4708,$T$6:$T$6005,0)=ROW()-5,N($X4707)+1,N($X4707)))</f>
        <v/>
      </c>
      <c r="Z4708">
        <f>IF($V4708="","",IF($AA4708&gt;N($AA4707),$AA4708,""))</f>
        <v/>
      </c>
      <c r="AA4708">
        <f>IF($V4708="",N($AA4707),IF(MATCH($V4708,$V$6:$V$6005,0)=ROW()-5,N($AA4707)+1,N($AA4707)))</f>
        <v/>
      </c>
    </row>
    <row r="4709" ht="21" customHeight="1" s="66">
      <c r="A4709" s="56" t="n"/>
      <c r="B4709" s="57" t="n"/>
      <c r="C4709" s="57" t="n"/>
      <c r="D4709" s="57" t="n"/>
      <c r="E4709" s="56" t="n"/>
      <c r="F4709" s="57" t="n"/>
      <c r="G4709" s="57" t="n"/>
      <c r="H4709" s="56" t="n"/>
      <c r="I4709" s="56" t="n"/>
      <c r="J4709" s="58" t="n"/>
      <c r="K4709" s="58" t="n"/>
      <c r="L4709" s="13">
        <f>IF(OR($A4709="",AND($J4709="",$K4709="")),"",ROUND(N($J4709)-N($K4709),2))</f>
        <v/>
      </c>
      <c r="M4709" s="13">
        <f>IF(OR($A4709="",AND($J4709="",$K4709="")),"",MIN($J4709,$K4709))</f>
        <v/>
      </c>
      <c r="Q4709">
        <f>IF($A4709="","",$D4709&amp;"("&amp;SUBSTITUTE($E4709," ","")&amp;")")</f>
        <v/>
      </c>
      <c r="R4709">
        <f>IF($A4709="","",$B4709&amp;" - "&amp;$C4709)</f>
        <v/>
      </c>
      <c r="S4709">
        <f>IF($A4709="","",$R4709&amp;"|"&amp;$Q4709)</f>
        <v/>
      </c>
      <c r="T4709">
        <f>IF($A4709="","",$S4709&amp;"|"&amp;$F4709)</f>
        <v/>
      </c>
      <c r="U4709">
        <f>IF($A4709="","",$R4709&amp;"("&amp;$E4709&amp;")")</f>
        <v/>
      </c>
      <c r="V4709">
        <f>IF($A4709="","",$F4709&amp;"|"&amp;$U4709&amp;"|"&amp;$D4709)</f>
        <v/>
      </c>
      <c r="W4709">
        <f>IF($T4709="","",IF($X4709&gt;N($X4708),$X4709,""))</f>
        <v/>
      </c>
      <c r="X4709">
        <f>IF($T4709="",N($X4708),IF(MATCH($T4709,$T$6:$T$6005,0)=ROW()-5,N($X4708)+1,N($X4708)))</f>
        <v/>
      </c>
      <c r="Z4709">
        <f>IF($V4709="","",IF($AA4709&gt;N($AA4708),$AA4709,""))</f>
        <v/>
      </c>
      <c r="AA4709">
        <f>IF($V4709="",N($AA4708),IF(MATCH($V4709,$V$6:$V$6005,0)=ROW()-5,N($AA4708)+1,N($AA4708)))</f>
        <v/>
      </c>
    </row>
    <row r="4710" ht="21" customHeight="1" s="66">
      <c r="A4710" s="56" t="n"/>
      <c r="B4710" s="57" t="n"/>
      <c r="C4710" s="57" t="n"/>
      <c r="D4710" s="57" t="n"/>
      <c r="E4710" s="56" t="n"/>
      <c r="F4710" s="57" t="n"/>
      <c r="G4710" s="57" t="n"/>
      <c r="H4710" s="56" t="n"/>
      <c r="I4710" s="56" t="n"/>
      <c r="J4710" s="58" t="n"/>
      <c r="K4710" s="58" t="n"/>
      <c r="L4710" s="13">
        <f>IF(OR($A4710="",AND($J4710="",$K4710="")),"",ROUND(N($J4710)-N($K4710),2))</f>
        <v/>
      </c>
      <c r="M4710" s="13">
        <f>IF(OR($A4710="",AND($J4710="",$K4710="")),"",MIN($J4710,$K4710))</f>
        <v/>
      </c>
      <c r="Q4710">
        <f>IF($A4710="","",$D4710&amp;"("&amp;SUBSTITUTE($E4710," ","")&amp;")")</f>
        <v/>
      </c>
      <c r="R4710">
        <f>IF($A4710="","",$B4710&amp;" - "&amp;$C4710)</f>
        <v/>
      </c>
      <c r="S4710">
        <f>IF($A4710="","",$R4710&amp;"|"&amp;$Q4710)</f>
        <v/>
      </c>
      <c r="T4710">
        <f>IF($A4710="","",$S4710&amp;"|"&amp;$F4710)</f>
        <v/>
      </c>
      <c r="U4710">
        <f>IF($A4710="","",$R4710&amp;"("&amp;$E4710&amp;")")</f>
        <v/>
      </c>
      <c r="V4710">
        <f>IF($A4710="","",$F4710&amp;"|"&amp;$U4710&amp;"|"&amp;$D4710)</f>
        <v/>
      </c>
      <c r="W4710">
        <f>IF($T4710="","",IF($X4710&gt;N($X4709),$X4710,""))</f>
        <v/>
      </c>
      <c r="X4710">
        <f>IF($T4710="",N($X4709),IF(MATCH($T4710,$T$6:$T$6005,0)=ROW()-5,N($X4709)+1,N($X4709)))</f>
        <v/>
      </c>
      <c r="Z4710">
        <f>IF($V4710="","",IF($AA4710&gt;N($AA4709),$AA4710,""))</f>
        <v/>
      </c>
      <c r="AA4710">
        <f>IF($V4710="",N($AA4709),IF(MATCH($V4710,$V$6:$V$6005,0)=ROW()-5,N($AA4709)+1,N($AA4709)))</f>
        <v/>
      </c>
    </row>
    <row r="4711" ht="21" customHeight="1" s="66">
      <c r="A4711" s="56" t="n"/>
      <c r="B4711" s="57" t="n"/>
      <c r="C4711" s="57" t="n"/>
      <c r="D4711" s="57" t="n"/>
      <c r="E4711" s="56" t="n"/>
      <c r="F4711" s="57" t="n"/>
      <c r="G4711" s="57" t="n"/>
      <c r="H4711" s="56" t="n"/>
      <c r="I4711" s="56" t="n"/>
      <c r="J4711" s="58" t="n"/>
      <c r="K4711" s="58" t="n"/>
      <c r="L4711" s="13">
        <f>IF(OR($A4711="",AND($J4711="",$K4711="")),"",ROUND(N($J4711)-N($K4711),2))</f>
        <v/>
      </c>
      <c r="M4711" s="13">
        <f>IF(OR($A4711="",AND($J4711="",$K4711="")),"",MIN($J4711,$K4711))</f>
        <v/>
      </c>
      <c r="Q4711">
        <f>IF($A4711="","",$D4711&amp;"("&amp;SUBSTITUTE($E4711," ","")&amp;")")</f>
        <v/>
      </c>
      <c r="R4711">
        <f>IF($A4711="","",$B4711&amp;" - "&amp;$C4711)</f>
        <v/>
      </c>
      <c r="S4711">
        <f>IF($A4711="","",$R4711&amp;"|"&amp;$Q4711)</f>
        <v/>
      </c>
      <c r="T4711">
        <f>IF($A4711="","",$S4711&amp;"|"&amp;$F4711)</f>
        <v/>
      </c>
      <c r="U4711">
        <f>IF($A4711="","",$R4711&amp;"("&amp;$E4711&amp;")")</f>
        <v/>
      </c>
      <c r="V4711">
        <f>IF($A4711="","",$F4711&amp;"|"&amp;$U4711&amp;"|"&amp;$D4711)</f>
        <v/>
      </c>
      <c r="W4711">
        <f>IF($T4711="","",IF($X4711&gt;N($X4710),$X4711,""))</f>
        <v/>
      </c>
      <c r="X4711">
        <f>IF($T4711="",N($X4710),IF(MATCH($T4711,$T$6:$T$6005,0)=ROW()-5,N($X4710)+1,N($X4710)))</f>
        <v/>
      </c>
      <c r="Z4711">
        <f>IF($V4711="","",IF($AA4711&gt;N($AA4710),$AA4711,""))</f>
        <v/>
      </c>
      <c r="AA4711">
        <f>IF($V4711="",N($AA4710),IF(MATCH($V4711,$V$6:$V$6005,0)=ROW()-5,N($AA4710)+1,N($AA4710)))</f>
        <v/>
      </c>
    </row>
    <row r="4712" ht="21" customHeight="1" s="66">
      <c r="A4712" s="56" t="n"/>
      <c r="B4712" s="57" t="n"/>
      <c r="C4712" s="57" t="n"/>
      <c r="D4712" s="57" t="n"/>
      <c r="E4712" s="56" t="n"/>
      <c r="F4712" s="57" t="n"/>
      <c r="G4712" s="57" t="n"/>
      <c r="H4712" s="56" t="n"/>
      <c r="I4712" s="56" t="n"/>
      <c r="J4712" s="58" t="n"/>
      <c r="K4712" s="58" t="n"/>
      <c r="L4712" s="13">
        <f>IF(OR($A4712="",AND($J4712="",$K4712="")),"",ROUND(N($J4712)-N($K4712),2))</f>
        <v/>
      </c>
      <c r="M4712" s="13">
        <f>IF(OR($A4712="",AND($J4712="",$K4712="")),"",MIN($J4712,$K4712))</f>
        <v/>
      </c>
      <c r="Q4712">
        <f>IF($A4712="","",$D4712&amp;"("&amp;SUBSTITUTE($E4712," ","")&amp;")")</f>
        <v/>
      </c>
      <c r="R4712">
        <f>IF($A4712="","",$B4712&amp;" - "&amp;$C4712)</f>
        <v/>
      </c>
      <c r="S4712">
        <f>IF($A4712="","",$R4712&amp;"|"&amp;$Q4712)</f>
        <v/>
      </c>
      <c r="T4712">
        <f>IF($A4712="","",$S4712&amp;"|"&amp;$F4712)</f>
        <v/>
      </c>
      <c r="U4712">
        <f>IF($A4712="","",$R4712&amp;"("&amp;$E4712&amp;")")</f>
        <v/>
      </c>
      <c r="V4712">
        <f>IF($A4712="","",$F4712&amp;"|"&amp;$U4712&amp;"|"&amp;$D4712)</f>
        <v/>
      </c>
      <c r="W4712">
        <f>IF($T4712="","",IF($X4712&gt;N($X4711),$X4712,""))</f>
        <v/>
      </c>
      <c r="X4712">
        <f>IF($T4712="",N($X4711),IF(MATCH($T4712,$T$6:$T$6005,0)=ROW()-5,N($X4711)+1,N($X4711)))</f>
        <v/>
      </c>
      <c r="Z4712">
        <f>IF($V4712="","",IF($AA4712&gt;N($AA4711),$AA4712,""))</f>
        <v/>
      </c>
      <c r="AA4712">
        <f>IF($V4712="",N($AA4711),IF(MATCH($V4712,$V$6:$V$6005,0)=ROW()-5,N($AA4711)+1,N($AA4711)))</f>
        <v/>
      </c>
    </row>
    <row r="4713" ht="21" customHeight="1" s="66">
      <c r="A4713" s="56" t="n"/>
      <c r="B4713" s="57" t="n"/>
      <c r="C4713" s="57" t="n"/>
      <c r="D4713" s="57" t="n"/>
      <c r="E4713" s="56" t="n"/>
      <c r="F4713" s="57" t="n"/>
      <c r="G4713" s="57" t="n"/>
      <c r="H4713" s="56" t="n"/>
      <c r="I4713" s="56" t="n"/>
      <c r="J4713" s="58" t="n"/>
      <c r="K4713" s="58" t="n"/>
      <c r="L4713" s="13">
        <f>IF(OR($A4713="",AND($J4713="",$K4713="")),"",ROUND(N($J4713)-N($K4713),2))</f>
        <v/>
      </c>
      <c r="M4713" s="13">
        <f>IF(OR($A4713="",AND($J4713="",$K4713="")),"",MIN($J4713,$K4713))</f>
        <v/>
      </c>
      <c r="Q4713">
        <f>IF($A4713="","",$D4713&amp;"("&amp;SUBSTITUTE($E4713," ","")&amp;")")</f>
        <v/>
      </c>
      <c r="R4713">
        <f>IF($A4713="","",$B4713&amp;" - "&amp;$C4713)</f>
        <v/>
      </c>
      <c r="S4713">
        <f>IF($A4713="","",$R4713&amp;"|"&amp;$Q4713)</f>
        <v/>
      </c>
      <c r="T4713">
        <f>IF($A4713="","",$S4713&amp;"|"&amp;$F4713)</f>
        <v/>
      </c>
      <c r="U4713">
        <f>IF($A4713="","",$R4713&amp;"("&amp;$E4713&amp;")")</f>
        <v/>
      </c>
      <c r="V4713">
        <f>IF($A4713="","",$F4713&amp;"|"&amp;$U4713&amp;"|"&amp;$D4713)</f>
        <v/>
      </c>
      <c r="W4713">
        <f>IF($T4713="","",IF($X4713&gt;N($X4712),$X4713,""))</f>
        <v/>
      </c>
      <c r="X4713">
        <f>IF($T4713="",N($X4712),IF(MATCH($T4713,$T$6:$T$6005,0)=ROW()-5,N($X4712)+1,N($X4712)))</f>
        <v/>
      </c>
      <c r="Z4713">
        <f>IF($V4713="","",IF($AA4713&gt;N($AA4712),$AA4713,""))</f>
        <v/>
      </c>
      <c r="AA4713">
        <f>IF($V4713="",N($AA4712),IF(MATCH($V4713,$V$6:$V$6005,0)=ROW()-5,N($AA4712)+1,N($AA4712)))</f>
        <v/>
      </c>
    </row>
    <row r="4714" ht="21" customHeight="1" s="66">
      <c r="A4714" s="56" t="n"/>
      <c r="B4714" s="57" t="n"/>
      <c r="C4714" s="57" t="n"/>
      <c r="D4714" s="57" t="n"/>
      <c r="E4714" s="56" t="n"/>
      <c r="F4714" s="57" t="n"/>
      <c r="G4714" s="57" t="n"/>
      <c r="H4714" s="56" t="n"/>
      <c r="I4714" s="56" t="n"/>
      <c r="J4714" s="58" t="n"/>
      <c r="K4714" s="58" t="n"/>
      <c r="L4714" s="13">
        <f>IF(OR($A4714="",AND($J4714="",$K4714="")),"",ROUND(N($J4714)-N($K4714),2))</f>
        <v/>
      </c>
      <c r="M4714" s="13">
        <f>IF(OR($A4714="",AND($J4714="",$K4714="")),"",MIN($J4714,$K4714))</f>
        <v/>
      </c>
      <c r="Q4714">
        <f>IF($A4714="","",$D4714&amp;"("&amp;SUBSTITUTE($E4714," ","")&amp;")")</f>
        <v/>
      </c>
      <c r="R4714">
        <f>IF($A4714="","",$B4714&amp;" - "&amp;$C4714)</f>
        <v/>
      </c>
      <c r="S4714">
        <f>IF($A4714="","",$R4714&amp;"|"&amp;$Q4714)</f>
        <v/>
      </c>
      <c r="T4714">
        <f>IF($A4714="","",$S4714&amp;"|"&amp;$F4714)</f>
        <v/>
      </c>
      <c r="U4714">
        <f>IF($A4714="","",$R4714&amp;"("&amp;$E4714&amp;")")</f>
        <v/>
      </c>
      <c r="V4714">
        <f>IF($A4714="","",$F4714&amp;"|"&amp;$U4714&amp;"|"&amp;$D4714)</f>
        <v/>
      </c>
      <c r="W4714">
        <f>IF($T4714="","",IF($X4714&gt;N($X4713),$X4714,""))</f>
        <v/>
      </c>
      <c r="X4714">
        <f>IF($T4714="",N($X4713),IF(MATCH($T4714,$T$6:$T$6005,0)=ROW()-5,N($X4713)+1,N($X4713)))</f>
        <v/>
      </c>
      <c r="Z4714">
        <f>IF($V4714="","",IF($AA4714&gt;N($AA4713),$AA4714,""))</f>
        <v/>
      </c>
      <c r="AA4714">
        <f>IF($V4714="",N($AA4713),IF(MATCH($V4714,$V$6:$V$6005,0)=ROW()-5,N($AA4713)+1,N($AA4713)))</f>
        <v/>
      </c>
    </row>
    <row r="4715" ht="21" customHeight="1" s="66">
      <c r="A4715" s="56" t="n"/>
      <c r="B4715" s="57" t="n"/>
      <c r="C4715" s="57" t="n"/>
      <c r="D4715" s="57" t="n"/>
      <c r="E4715" s="56" t="n"/>
      <c r="F4715" s="57" t="n"/>
      <c r="G4715" s="57" t="n"/>
      <c r="H4715" s="56" t="n"/>
      <c r="I4715" s="56" t="n"/>
      <c r="J4715" s="58" t="n"/>
      <c r="K4715" s="58" t="n"/>
      <c r="L4715" s="13">
        <f>IF(OR($A4715="",AND($J4715="",$K4715="")),"",ROUND(N($J4715)-N($K4715),2))</f>
        <v/>
      </c>
      <c r="M4715" s="13">
        <f>IF(OR($A4715="",AND($J4715="",$K4715="")),"",MIN($J4715,$K4715))</f>
        <v/>
      </c>
      <c r="Q4715">
        <f>IF($A4715="","",$D4715&amp;"("&amp;SUBSTITUTE($E4715," ","")&amp;")")</f>
        <v/>
      </c>
      <c r="R4715">
        <f>IF($A4715="","",$B4715&amp;" - "&amp;$C4715)</f>
        <v/>
      </c>
      <c r="S4715">
        <f>IF($A4715="","",$R4715&amp;"|"&amp;$Q4715)</f>
        <v/>
      </c>
      <c r="T4715">
        <f>IF($A4715="","",$S4715&amp;"|"&amp;$F4715)</f>
        <v/>
      </c>
      <c r="U4715">
        <f>IF($A4715="","",$R4715&amp;"("&amp;$E4715&amp;")")</f>
        <v/>
      </c>
      <c r="V4715">
        <f>IF($A4715="","",$F4715&amp;"|"&amp;$U4715&amp;"|"&amp;$D4715)</f>
        <v/>
      </c>
      <c r="W4715">
        <f>IF($T4715="","",IF($X4715&gt;N($X4714),$X4715,""))</f>
        <v/>
      </c>
      <c r="X4715">
        <f>IF($T4715="",N($X4714),IF(MATCH($T4715,$T$6:$T$6005,0)=ROW()-5,N($X4714)+1,N($X4714)))</f>
        <v/>
      </c>
      <c r="Z4715">
        <f>IF($V4715="","",IF($AA4715&gt;N($AA4714),$AA4715,""))</f>
        <v/>
      </c>
      <c r="AA4715">
        <f>IF($V4715="",N($AA4714),IF(MATCH($V4715,$V$6:$V$6005,0)=ROW()-5,N($AA4714)+1,N($AA4714)))</f>
        <v/>
      </c>
    </row>
    <row r="4716" ht="21" customHeight="1" s="66">
      <c r="A4716" s="56" t="n"/>
      <c r="B4716" s="57" t="n"/>
      <c r="C4716" s="57" t="n"/>
      <c r="D4716" s="57" t="n"/>
      <c r="E4716" s="56" t="n"/>
      <c r="F4716" s="57" t="n"/>
      <c r="G4716" s="57" t="n"/>
      <c r="H4716" s="56" t="n"/>
      <c r="I4716" s="56" t="n"/>
      <c r="J4716" s="58" t="n"/>
      <c r="K4716" s="58" t="n"/>
      <c r="L4716" s="13">
        <f>IF(OR($A4716="",AND($J4716="",$K4716="")),"",ROUND(N($J4716)-N($K4716),2))</f>
        <v/>
      </c>
      <c r="M4716" s="13">
        <f>IF(OR($A4716="",AND($J4716="",$K4716="")),"",MIN($J4716,$K4716))</f>
        <v/>
      </c>
      <c r="Q4716">
        <f>IF($A4716="","",$D4716&amp;"("&amp;SUBSTITUTE($E4716," ","")&amp;")")</f>
        <v/>
      </c>
      <c r="R4716">
        <f>IF($A4716="","",$B4716&amp;" - "&amp;$C4716)</f>
        <v/>
      </c>
      <c r="S4716">
        <f>IF($A4716="","",$R4716&amp;"|"&amp;$Q4716)</f>
        <v/>
      </c>
      <c r="T4716">
        <f>IF($A4716="","",$S4716&amp;"|"&amp;$F4716)</f>
        <v/>
      </c>
      <c r="U4716">
        <f>IF($A4716="","",$R4716&amp;"("&amp;$E4716&amp;")")</f>
        <v/>
      </c>
      <c r="V4716">
        <f>IF($A4716="","",$F4716&amp;"|"&amp;$U4716&amp;"|"&amp;$D4716)</f>
        <v/>
      </c>
      <c r="W4716">
        <f>IF($T4716="","",IF($X4716&gt;N($X4715),$X4716,""))</f>
        <v/>
      </c>
      <c r="X4716">
        <f>IF($T4716="",N($X4715),IF(MATCH($T4716,$T$6:$T$6005,0)=ROW()-5,N($X4715)+1,N($X4715)))</f>
        <v/>
      </c>
      <c r="Z4716">
        <f>IF($V4716="","",IF($AA4716&gt;N($AA4715),$AA4716,""))</f>
        <v/>
      </c>
      <c r="AA4716">
        <f>IF($V4716="",N($AA4715),IF(MATCH($V4716,$V$6:$V$6005,0)=ROW()-5,N($AA4715)+1,N($AA4715)))</f>
        <v/>
      </c>
    </row>
    <row r="4717" ht="21" customHeight="1" s="66">
      <c r="A4717" s="56" t="n"/>
      <c r="B4717" s="57" t="n"/>
      <c r="C4717" s="57" t="n"/>
      <c r="D4717" s="57" t="n"/>
      <c r="E4717" s="56" t="n"/>
      <c r="F4717" s="57" t="n"/>
      <c r="G4717" s="57" t="n"/>
      <c r="H4717" s="56" t="n"/>
      <c r="I4717" s="56" t="n"/>
      <c r="J4717" s="58" t="n"/>
      <c r="K4717" s="58" t="n"/>
      <c r="L4717" s="13">
        <f>IF(OR($A4717="",AND($J4717="",$K4717="")),"",ROUND(N($J4717)-N($K4717),2))</f>
        <v/>
      </c>
      <c r="M4717" s="13">
        <f>IF(OR($A4717="",AND($J4717="",$K4717="")),"",MIN($J4717,$K4717))</f>
        <v/>
      </c>
      <c r="Q4717">
        <f>IF($A4717="","",$D4717&amp;"("&amp;SUBSTITUTE($E4717," ","")&amp;")")</f>
        <v/>
      </c>
      <c r="R4717">
        <f>IF($A4717="","",$B4717&amp;" - "&amp;$C4717)</f>
        <v/>
      </c>
      <c r="S4717">
        <f>IF($A4717="","",$R4717&amp;"|"&amp;$Q4717)</f>
        <v/>
      </c>
      <c r="T4717">
        <f>IF($A4717="","",$S4717&amp;"|"&amp;$F4717)</f>
        <v/>
      </c>
      <c r="U4717">
        <f>IF($A4717="","",$R4717&amp;"("&amp;$E4717&amp;")")</f>
        <v/>
      </c>
      <c r="V4717">
        <f>IF($A4717="","",$F4717&amp;"|"&amp;$U4717&amp;"|"&amp;$D4717)</f>
        <v/>
      </c>
      <c r="W4717">
        <f>IF($T4717="","",IF($X4717&gt;N($X4716),$X4717,""))</f>
        <v/>
      </c>
      <c r="X4717">
        <f>IF($T4717="",N($X4716),IF(MATCH($T4717,$T$6:$T$6005,0)=ROW()-5,N($X4716)+1,N($X4716)))</f>
        <v/>
      </c>
      <c r="Z4717">
        <f>IF($V4717="","",IF($AA4717&gt;N($AA4716),$AA4717,""))</f>
        <v/>
      </c>
      <c r="AA4717">
        <f>IF($V4717="",N($AA4716),IF(MATCH($V4717,$V$6:$V$6005,0)=ROW()-5,N($AA4716)+1,N($AA4716)))</f>
        <v/>
      </c>
    </row>
    <row r="4718" ht="21" customHeight="1" s="66">
      <c r="A4718" s="56" t="n"/>
      <c r="B4718" s="57" t="n"/>
      <c r="C4718" s="57" t="n"/>
      <c r="D4718" s="57" t="n"/>
      <c r="E4718" s="56" t="n"/>
      <c r="F4718" s="57" t="n"/>
      <c r="G4718" s="57" t="n"/>
      <c r="H4718" s="56" t="n"/>
      <c r="I4718" s="56" t="n"/>
      <c r="J4718" s="58" t="n"/>
      <c r="K4718" s="58" t="n"/>
      <c r="L4718" s="13">
        <f>IF(OR($A4718="",AND($J4718="",$K4718="")),"",ROUND(N($J4718)-N($K4718),2))</f>
        <v/>
      </c>
      <c r="M4718" s="13">
        <f>IF(OR($A4718="",AND($J4718="",$K4718="")),"",MIN($J4718,$K4718))</f>
        <v/>
      </c>
      <c r="Q4718">
        <f>IF($A4718="","",$D4718&amp;"("&amp;SUBSTITUTE($E4718," ","")&amp;")")</f>
        <v/>
      </c>
      <c r="R4718">
        <f>IF($A4718="","",$B4718&amp;" - "&amp;$C4718)</f>
        <v/>
      </c>
      <c r="S4718">
        <f>IF($A4718="","",$R4718&amp;"|"&amp;$Q4718)</f>
        <v/>
      </c>
      <c r="T4718">
        <f>IF($A4718="","",$S4718&amp;"|"&amp;$F4718)</f>
        <v/>
      </c>
      <c r="U4718">
        <f>IF($A4718="","",$R4718&amp;"("&amp;$E4718&amp;")")</f>
        <v/>
      </c>
      <c r="V4718">
        <f>IF($A4718="","",$F4718&amp;"|"&amp;$U4718&amp;"|"&amp;$D4718)</f>
        <v/>
      </c>
      <c r="W4718">
        <f>IF($T4718="","",IF($X4718&gt;N($X4717),$X4718,""))</f>
        <v/>
      </c>
      <c r="X4718">
        <f>IF($T4718="",N($X4717),IF(MATCH($T4718,$T$6:$T$6005,0)=ROW()-5,N($X4717)+1,N($X4717)))</f>
        <v/>
      </c>
      <c r="Z4718">
        <f>IF($V4718="","",IF($AA4718&gt;N($AA4717),$AA4718,""))</f>
        <v/>
      </c>
      <c r="AA4718">
        <f>IF($V4718="",N($AA4717),IF(MATCH($V4718,$V$6:$V$6005,0)=ROW()-5,N($AA4717)+1,N($AA4717)))</f>
        <v/>
      </c>
    </row>
    <row r="4719" ht="21" customHeight="1" s="66">
      <c r="A4719" s="56" t="n"/>
      <c r="B4719" s="57" t="n"/>
      <c r="C4719" s="57" t="n"/>
      <c r="D4719" s="57" t="n"/>
      <c r="E4719" s="56" t="n"/>
      <c r="F4719" s="57" t="n"/>
      <c r="G4719" s="57" t="n"/>
      <c r="H4719" s="56" t="n"/>
      <c r="I4719" s="56" t="n"/>
      <c r="J4719" s="58" t="n"/>
      <c r="K4719" s="58" t="n"/>
      <c r="L4719" s="13">
        <f>IF(OR($A4719="",AND($J4719="",$K4719="")),"",ROUND(N($J4719)-N($K4719),2))</f>
        <v/>
      </c>
      <c r="M4719" s="13">
        <f>IF(OR($A4719="",AND($J4719="",$K4719="")),"",MIN($J4719,$K4719))</f>
        <v/>
      </c>
      <c r="Q4719">
        <f>IF($A4719="","",$D4719&amp;"("&amp;SUBSTITUTE($E4719," ","")&amp;")")</f>
        <v/>
      </c>
      <c r="R4719">
        <f>IF($A4719="","",$B4719&amp;" - "&amp;$C4719)</f>
        <v/>
      </c>
      <c r="S4719">
        <f>IF($A4719="","",$R4719&amp;"|"&amp;$Q4719)</f>
        <v/>
      </c>
      <c r="T4719">
        <f>IF($A4719="","",$S4719&amp;"|"&amp;$F4719)</f>
        <v/>
      </c>
      <c r="U4719">
        <f>IF($A4719="","",$R4719&amp;"("&amp;$E4719&amp;")")</f>
        <v/>
      </c>
      <c r="V4719">
        <f>IF($A4719="","",$F4719&amp;"|"&amp;$U4719&amp;"|"&amp;$D4719)</f>
        <v/>
      </c>
      <c r="W4719">
        <f>IF($T4719="","",IF($X4719&gt;N($X4718),$X4719,""))</f>
        <v/>
      </c>
      <c r="X4719">
        <f>IF($T4719="",N($X4718),IF(MATCH($T4719,$T$6:$T$6005,0)=ROW()-5,N($X4718)+1,N($X4718)))</f>
        <v/>
      </c>
      <c r="Z4719">
        <f>IF($V4719="","",IF($AA4719&gt;N($AA4718),$AA4719,""))</f>
        <v/>
      </c>
      <c r="AA4719">
        <f>IF($V4719="",N($AA4718),IF(MATCH($V4719,$V$6:$V$6005,0)=ROW()-5,N($AA4718)+1,N($AA4718)))</f>
        <v/>
      </c>
    </row>
    <row r="4720" ht="21" customHeight="1" s="66">
      <c r="A4720" s="56" t="n"/>
      <c r="B4720" s="57" t="n"/>
      <c r="C4720" s="57" t="n"/>
      <c r="D4720" s="57" t="n"/>
      <c r="E4720" s="56" t="n"/>
      <c r="F4720" s="57" t="n"/>
      <c r="G4720" s="57" t="n"/>
      <c r="H4720" s="56" t="n"/>
      <c r="I4720" s="56" t="n"/>
      <c r="J4720" s="58" t="n"/>
      <c r="K4720" s="58" t="n"/>
      <c r="L4720" s="13">
        <f>IF(OR($A4720="",AND($J4720="",$K4720="")),"",ROUND(N($J4720)-N($K4720),2))</f>
        <v/>
      </c>
      <c r="M4720" s="13">
        <f>IF(OR($A4720="",AND($J4720="",$K4720="")),"",MIN($J4720,$K4720))</f>
        <v/>
      </c>
      <c r="Q4720">
        <f>IF($A4720="","",$D4720&amp;"("&amp;SUBSTITUTE($E4720," ","")&amp;")")</f>
        <v/>
      </c>
      <c r="R4720">
        <f>IF($A4720="","",$B4720&amp;" - "&amp;$C4720)</f>
        <v/>
      </c>
      <c r="S4720">
        <f>IF($A4720="","",$R4720&amp;"|"&amp;$Q4720)</f>
        <v/>
      </c>
      <c r="T4720">
        <f>IF($A4720="","",$S4720&amp;"|"&amp;$F4720)</f>
        <v/>
      </c>
      <c r="U4720">
        <f>IF($A4720="","",$R4720&amp;"("&amp;$E4720&amp;")")</f>
        <v/>
      </c>
      <c r="V4720">
        <f>IF($A4720="","",$F4720&amp;"|"&amp;$U4720&amp;"|"&amp;$D4720)</f>
        <v/>
      </c>
      <c r="W4720">
        <f>IF($T4720="","",IF($X4720&gt;N($X4719),$X4720,""))</f>
        <v/>
      </c>
      <c r="X4720">
        <f>IF($T4720="",N($X4719),IF(MATCH($T4720,$T$6:$T$6005,0)=ROW()-5,N($X4719)+1,N($X4719)))</f>
        <v/>
      </c>
      <c r="Z4720">
        <f>IF($V4720="","",IF($AA4720&gt;N($AA4719),$AA4720,""))</f>
        <v/>
      </c>
      <c r="AA4720">
        <f>IF($V4720="",N($AA4719),IF(MATCH($V4720,$V$6:$V$6005,0)=ROW()-5,N($AA4719)+1,N($AA4719)))</f>
        <v/>
      </c>
    </row>
    <row r="4721" ht="21" customHeight="1" s="66">
      <c r="A4721" s="56" t="n"/>
      <c r="B4721" s="57" t="n"/>
      <c r="C4721" s="57" t="n"/>
      <c r="D4721" s="57" t="n"/>
      <c r="E4721" s="56" t="n"/>
      <c r="F4721" s="57" t="n"/>
      <c r="G4721" s="57" t="n"/>
      <c r="H4721" s="56" t="n"/>
      <c r="I4721" s="56" t="n"/>
      <c r="J4721" s="58" t="n"/>
      <c r="K4721" s="58" t="n"/>
      <c r="L4721" s="13">
        <f>IF(OR($A4721="",AND($J4721="",$K4721="")),"",ROUND(N($J4721)-N($K4721),2))</f>
        <v/>
      </c>
      <c r="M4721" s="13">
        <f>IF(OR($A4721="",AND($J4721="",$K4721="")),"",MIN($J4721,$K4721))</f>
        <v/>
      </c>
      <c r="Q4721">
        <f>IF($A4721="","",$D4721&amp;"("&amp;SUBSTITUTE($E4721," ","")&amp;")")</f>
        <v/>
      </c>
      <c r="R4721">
        <f>IF($A4721="","",$B4721&amp;" - "&amp;$C4721)</f>
        <v/>
      </c>
      <c r="S4721">
        <f>IF($A4721="","",$R4721&amp;"|"&amp;$Q4721)</f>
        <v/>
      </c>
      <c r="T4721">
        <f>IF($A4721="","",$S4721&amp;"|"&amp;$F4721)</f>
        <v/>
      </c>
      <c r="U4721">
        <f>IF($A4721="","",$R4721&amp;"("&amp;$E4721&amp;")")</f>
        <v/>
      </c>
      <c r="V4721">
        <f>IF($A4721="","",$F4721&amp;"|"&amp;$U4721&amp;"|"&amp;$D4721)</f>
        <v/>
      </c>
      <c r="W4721">
        <f>IF($T4721="","",IF($X4721&gt;N($X4720),$X4721,""))</f>
        <v/>
      </c>
      <c r="X4721">
        <f>IF($T4721="",N($X4720),IF(MATCH($T4721,$T$6:$T$6005,0)=ROW()-5,N($X4720)+1,N($X4720)))</f>
        <v/>
      </c>
      <c r="Z4721">
        <f>IF($V4721="","",IF($AA4721&gt;N($AA4720),$AA4721,""))</f>
        <v/>
      </c>
      <c r="AA4721">
        <f>IF($V4721="",N($AA4720),IF(MATCH($V4721,$V$6:$V$6005,0)=ROW()-5,N($AA4720)+1,N($AA4720)))</f>
        <v/>
      </c>
    </row>
    <row r="4722" ht="21" customHeight="1" s="66">
      <c r="A4722" s="56" t="n"/>
      <c r="B4722" s="57" t="n"/>
      <c r="C4722" s="57" t="n"/>
      <c r="D4722" s="57" t="n"/>
      <c r="E4722" s="56" t="n"/>
      <c r="F4722" s="57" t="n"/>
      <c r="G4722" s="57" t="n"/>
      <c r="H4722" s="56" t="n"/>
      <c r="I4722" s="56" t="n"/>
      <c r="J4722" s="58" t="n"/>
      <c r="K4722" s="58" t="n"/>
      <c r="L4722" s="13">
        <f>IF(OR($A4722="",AND($J4722="",$K4722="")),"",ROUND(N($J4722)-N($K4722),2))</f>
        <v/>
      </c>
      <c r="M4722" s="13">
        <f>IF(OR($A4722="",AND($J4722="",$K4722="")),"",MIN($J4722,$K4722))</f>
        <v/>
      </c>
      <c r="Q4722">
        <f>IF($A4722="","",$D4722&amp;"("&amp;SUBSTITUTE($E4722," ","")&amp;")")</f>
        <v/>
      </c>
      <c r="R4722">
        <f>IF($A4722="","",$B4722&amp;" - "&amp;$C4722)</f>
        <v/>
      </c>
      <c r="S4722">
        <f>IF($A4722="","",$R4722&amp;"|"&amp;$Q4722)</f>
        <v/>
      </c>
      <c r="T4722">
        <f>IF($A4722="","",$S4722&amp;"|"&amp;$F4722)</f>
        <v/>
      </c>
      <c r="U4722">
        <f>IF($A4722="","",$R4722&amp;"("&amp;$E4722&amp;")")</f>
        <v/>
      </c>
      <c r="V4722">
        <f>IF($A4722="","",$F4722&amp;"|"&amp;$U4722&amp;"|"&amp;$D4722)</f>
        <v/>
      </c>
      <c r="W4722">
        <f>IF($T4722="","",IF($X4722&gt;N($X4721),$X4722,""))</f>
        <v/>
      </c>
      <c r="X4722">
        <f>IF($T4722="",N($X4721),IF(MATCH($T4722,$T$6:$T$6005,0)=ROW()-5,N($X4721)+1,N($X4721)))</f>
        <v/>
      </c>
      <c r="Z4722">
        <f>IF($V4722="","",IF($AA4722&gt;N($AA4721),$AA4722,""))</f>
        <v/>
      </c>
      <c r="AA4722">
        <f>IF($V4722="",N($AA4721),IF(MATCH($V4722,$V$6:$V$6005,0)=ROW()-5,N($AA4721)+1,N($AA4721)))</f>
        <v/>
      </c>
    </row>
    <row r="4723" ht="21" customHeight="1" s="66">
      <c r="A4723" s="56" t="n"/>
      <c r="B4723" s="57" t="n"/>
      <c r="C4723" s="57" t="n"/>
      <c r="D4723" s="57" t="n"/>
      <c r="E4723" s="56" t="n"/>
      <c r="F4723" s="57" t="n"/>
      <c r="G4723" s="57" t="n"/>
      <c r="H4723" s="56" t="n"/>
      <c r="I4723" s="56" t="n"/>
      <c r="J4723" s="58" t="n"/>
      <c r="K4723" s="58" t="n"/>
      <c r="L4723" s="13">
        <f>IF(OR($A4723="",AND($J4723="",$K4723="")),"",ROUND(N($J4723)-N($K4723),2))</f>
        <v/>
      </c>
      <c r="M4723" s="13">
        <f>IF(OR($A4723="",AND($J4723="",$K4723="")),"",MIN($J4723,$K4723))</f>
        <v/>
      </c>
      <c r="Q4723">
        <f>IF($A4723="","",$D4723&amp;"("&amp;SUBSTITUTE($E4723," ","")&amp;")")</f>
        <v/>
      </c>
      <c r="R4723">
        <f>IF($A4723="","",$B4723&amp;" - "&amp;$C4723)</f>
        <v/>
      </c>
      <c r="S4723">
        <f>IF($A4723="","",$R4723&amp;"|"&amp;$Q4723)</f>
        <v/>
      </c>
      <c r="T4723">
        <f>IF($A4723="","",$S4723&amp;"|"&amp;$F4723)</f>
        <v/>
      </c>
      <c r="U4723">
        <f>IF($A4723="","",$R4723&amp;"("&amp;$E4723&amp;")")</f>
        <v/>
      </c>
      <c r="V4723">
        <f>IF($A4723="","",$F4723&amp;"|"&amp;$U4723&amp;"|"&amp;$D4723)</f>
        <v/>
      </c>
      <c r="W4723">
        <f>IF($T4723="","",IF($X4723&gt;N($X4722),$X4723,""))</f>
        <v/>
      </c>
      <c r="X4723">
        <f>IF($T4723="",N($X4722),IF(MATCH($T4723,$T$6:$T$6005,0)=ROW()-5,N($X4722)+1,N($X4722)))</f>
        <v/>
      </c>
      <c r="Z4723">
        <f>IF($V4723="","",IF($AA4723&gt;N($AA4722),$AA4723,""))</f>
        <v/>
      </c>
      <c r="AA4723">
        <f>IF($V4723="",N($AA4722),IF(MATCH($V4723,$V$6:$V$6005,0)=ROW()-5,N($AA4722)+1,N($AA4722)))</f>
        <v/>
      </c>
    </row>
    <row r="4724" ht="21" customHeight="1" s="66">
      <c r="A4724" s="56" t="n"/>
      <c r="B4724" s="57" t="n"/>
      <c r="C4724" s="57" t="n"/>
      <c r="D4724" s="57" t="n"/>
      <c r="E4724" s="56" t="n"/>
      <c r="F4724" s="57" t="n"/>
      <c r="G4724" s="57" t="n"/>
      <c r="H4724" s="56" t="n"/>
      <c r="I4724" s="56" t="n"/>
      <c r="J4724" s="58" t="n"/>
      <c r="K4724" s="58" t="n"/>
      <c r="L4724" s="13">
        <f>IF(OR($A4724="",AND($J4724="",$K4724="")),"",ROUND(N($J4724)-N($K4724),2))</f>
        <v/>
      </c>
      <c r="M4724" s="13">
        <f>IF(OR($A4724="",AND($J4724="",$K4724="")),"",MIN($J4724,$K4724))</f>
        <v/>
      </c>
      <c r="Q4724">
        <f>IF($A4724="","",$D4724&amp;"("&amp;SUBSTITUTE($E4724," ","")&amp;")")</f>
        <v/>
      </c>
      <c r="R4724">
        <f>IF($A4724="","",$B4724&amp;" - "&amp;$C4724)</f>
        <v/>
      </c>
      <c r="S4724">
        <f>IF($A4724="","",$R4724&amp;"|"&amp;$Q4724)</f>
        <v/>
      </c>
      <c r="T4724">
        <f>IF($A4724="","",$S4724&amp;"|"&amp;$F4724)</f>
        <v/>
      </c>
      <c r="U4724">
        <f>IF($A4724="","",$R4724&amp;"("&amp;$E4724&amp;")")</f>
        <v/>
      </c>
      <c r="V4724">
        <f>IF($A4724="","",$F4724&amp;"|"&amp;$U4724&amp;"|"&amp;$D4724)</f>
        <v/>
      </c>
      <c r="W4724">
        <f>IF($T4724="","",IF($X4724&gt;N($X4723),$X4724,""))</f>
        <v/>
      </c>
      <c r="X4724">
        <f>IF($T4724="",N($X4723),IF(MATCH($T4724,$T$6:$T$6005,0)=ROW()-5,N($X4723)+1,N($X4723)))</f>
        <v/>
      </c>
      <c r="Z4724">
        <f>IF($V4724="","",IF($AA4724&gt;N($AA4723),$AA4724,""))</f>
        <v/>
      </c>
      <c r="AA4724">
        <f>IF($V4724="",N($AA4723),IF(MATCH($V4724,$V$6:$V$6005,0)=ROW()-5,N($AA4723)+1,N($AA4723)))</f>
        <v/>
      </c>
    </row>
    <row r="4725" ht="21" customHeight="1" s="66">
      <c r="A4725" s="56" t="n"/>
      <c r="B4725" s="57" t="n"/>
      <c r="C4725" s="57" t="n"/>
      <c r="D4725" s="57" t="n"/>
      <c r="E4725" s="56" t="n"/>
      <c r="F4725" s="57" t="n"/>
      <c r="G4725" s="57" t="n"/>
      <c r="H4725" s="56" t="n"/>
      <c r="I4725" s="56" t="n"/>
      <c r="J4725" s="58" t="n"/>
      <c r="K4725" s="58" t="n"/>
      <c r="L4725" s="13">
        <f>IF(OR($A4725="",AND($J4725="",$K4725="")),"",ROUND(N($J4725)-N($K4725),2))</f>
        <v/>
      </c>
      <c r="M4725" s="13">
        <f>IF(OR($A4725="",AND($J4725="",$K4725="")),"",MIN($J4725,$K4725))</f>
        <v/>
      </c>
      <c r="Q4725">
        <f>IF($A4725="","",$D4725&amp;"("&amp;SUBSTITUTE($E4725," ","")&amp;")")</f>
        <v/>
      </c>
      <c r="R4725">
        <f>IF($A4725="","",$B4725&amp;" - "&amp;$C4725)</f>
        <v/>
      </c>
      <c r="S4725">
        <f>IF($A4725="","",$R4725&amp;"|"&amp;$Q4725)</f>
        <v/>
      </c>
      <c r="T4725">
        <f>IF($A4725="","",$S4725&amp;"|"&amp;$F4725)</f>
        <v/>
      </c>
      <c r="U4725">
        <f>IF($A4725="","",$R4725&amp;"("&amp;$E4725&amp;")")</f>
        <v/>
      </c>
      <c r="V4725">
        <f>IF($A4725="","",$F4725&amp;"|"&amp;$U4725&amp;"|"&amp;$D4725)</f>
        <v/>
      </c>
      <c r="W4725">
        <f>IF($T4725="","",IF($X4725&gt;N($X4724),$X4725,""))</f>
        <v/>
      </c>
      <c r="X4725">
        <f>IF($T4725="",N($X4724),IF(MATCH($T4725,$T$6:$T$6005,0)=ROW()-5,N($X4724)+1,N($X4724)))</f>
        <v/>
      </c>
      <c r="Z4725">
        <f>IF($V4725="","",IF($AA4725&gt;N($AA4724),$AA4725,""))</f>
        <v/>
      </c>
      <c r="AA4725">
        <f>IF($V4725="",N($AA4724),IF(MATCH($V4725,$V$6:$V$6005,0)=ROW()-5,N($AA4724)+1,N($AA4724)))</f>
        <v/>
      </c>
    </row>
    <row r="4726" ht="21" customHeight="1" s="66">
      <c r="A4726" s="56" t="n"/>
      <c r="B4726" s="57" t="n"/>
      <c r="C4726" s="57" t="n"/>
      <c r="D4726" s="57" t="n"/>
      <c r="E4726" s="56" t="n"/>
      <c r="F4726" s="57" t="n"/>
      <c r="G4726" s="57" t="n"/>
      <c r="H4726" s="56" t="n"/>
      <c r="I4726" s="56" t="n"/>
      <c r="J4726" s="58" t="n"/>
      <c r="K4726" s="58" t="n"/>
      <c r="L4726" s="13">
        <f>IF(OR($A4726="",AND($J4726="",$K4726="")),"",ROUND(N($J4726)-N($K4726),2))</f>
        <v/>
      </c>
      <c r="M4726" s="13">
        <f>IF(OR($A4726="",AND($J4726="",$K4726="")),"",MIN($J4726,$K4726))</f>
        <v/>
      </c>
      <c r="Q4726">
        <f>IF($A4726="","",$D4726&amp;"("&amp;SUBSTITUTE($E4726," ","")&amp;")")</f>
        <v/>
      </c>
      <c r="R4726">
        <f>IF($A4726="","",$B4726&amp;" - "&amp;$C4726)</f>
        <v/>
      </c>
      <c r="S4726">
        <f>IF($A4726="","",$R4726&amp;"|"&amp;$Q4726)</f>
        <v/>
      </c>
      <c r="T4726">
        <f>IF($A4726="","",$S4726&amp;"|"&amp;$F4726)</f>
        <v/>
      </c>
      <c r="U4726">
        <f>IF($A4726="","",$R4726&amp;"("&amp;$E4726&amp;")")</f>
        <v/>
      </c>
      <c r="V4726">
        <f>IF($A4726="","",$F4726&amp;"|"&amp;$U4726&amp;"|"&amp;$D4726)</f>
        <v/>
      </c>
      <c r="W4726">
        <f>IF($T4726="","",IF($X4726&gt;N($X4725),$X4726,""))</f>
        <v/>
      </c>
      <c r="X4726">
        <f>IF($T4726="",N($X4725),IF(MATCH($T4726,$T$6:$T$6005,0)=ROW()-5,N($X4725)+1,N($X4725)))</f>
        <v/>
      </c>
      <c r="Z4726">
        <f>IF($V4726="","",IF($AA4726&gt;N($AA4725),$AA4726,""))</f>
        <v/>
      </c>
      <c r="AA4726">
        <f>IF($V4726="",N($AA4725),IF(MATCH($V4726,$V$6:$V$6005,0)=ROW()-5,N($AA4725)+1,N($AA4725)))</f>
        <v/>
      </c>
    </row>
    <row r="4727" ht="21" customHeight="1" s="66">
      <c r="A4727" s="56" t="n"/>
      <c r="B4727" s="57" t="n"/>
      <c r="C4727" s="57" t="n"/>
      <c r="D4727" s="57" t="n"/>
      <c r="E4727" s="56" t="n"/>
      <c r="F4727" s="57" t="n"/>
      <c r="G4727" s="57" t="n"/>
      <c r="H4727" s="56" t="n"/>
      <c r="I4727" s="56" t="n"/>
      <c r="J4727" s="58" t="n"/>
      <c r="K4727" s="58" t="n"/>
      <c r="L4727" s="13">
        <f>IF(OR($A4727="",AND($J4727="",$K4727="")),"",ROUND(N($J4727)-N($K4727),2))</f>
        <v/>
      </c>
      <c r="M4727" s="13">
        <f>IF(OR($A4727="",AND($J4727="",$K4727="")),"",MIN($J4727,$K4727))</f>
        <v/>
      </c>
      <c r="Q4727">
        <f>IF($A4727="","",$D4727&amp;"("&amp;SUBSTITUTE($E4727," ","")&amp;")")</f>
        <v/>
      </c>
      <c r="R4727">
        <f>IF($A4727="","",$B4727&amp;" - "&amp;$C4727)</f>
        <v/>
      </c>
      <c r="S4727">
        <f>IF($A4727="","",$R4727&amp;"|"&amp;$Q4727)</f>
        <v/>
      </c>
      <c r="T4727">
        <f>IF($A4727="","",$S4727&amp;"|"&amp;$F4727)</f>
        <v/>
      </c>
      <c r="U4727">
        <f>IF($A4727="","",$R4727&amp;"("&amp;$E4727&amp;")")</f>
        <v/>
      </c>
      <c r="V4727">
        <f>IF($A4727="","",$F4727&amp;"|"&amp;$U4727&amp;"|"&amp;$D4727)</f>
        <v/>
      </c>
      <c r="W4727">
        <f>IF($T4727="","",IF($X4727&gt;N($X4726),$X4727,""))</f>
        <v/>
      </c>
      <c r="X4727">
        <f>IF($T4727="",N($X4726),IF(MATCH($T4727,$T$6:$T$6005,0)=ROW()-5,N($X4726)+1,N($X4726)))</f>
        <v/>
      </c>
      <c r="Z4727">
        <f>IF($V4727="","",IF($AA4727&gt;N($AA4726),$AA4727,""))</f>
        <v/>
      </c>
      <c r="AA4727">
        <f>IF($V4727="",N($AA4726),IF(MATCH($V4727,$V$6:$V$6005,0)=ROW()-5,N($AA4726)+1,N($AA4726)))</f>
        <v/>
      </c>
    </row>
    <row r="4728" ht="21" customHeight="1" s="66">
      <c r="A4728" s="56" t="n"/>
      <c r="B4728" s="57" t="n"/>
      <c r="C4728" s="57" t="n"/>
      <c r="D4728" s="57" t="n"/>
      <c r="E4728" s="56" t="n"/>
      <c r="F4728" s="57" t="n"/>
      <c r="G4728" s="57" t="n"/>
      <c r="H4728" s="56" t="n"/>
      <c r="I4728" s="56" t="n"/>
      <c r="J4728" s="58" t="n"/>
      <c r="K4728" s="58" t="n"/>
      <c r="L4728" s="13">
        <f>IF(OR($A4728="",AND($J4728="",$K4728="")),"",ROUND(N($J4728)-N($K4728),2))</f>
        <v/>
      </c>
      <c r="M4728" s="13">
        <f>IF(OR($A4728="",AND($J4728="",$K4728="")),"",MIN($J4728,$K4728))</f>
        <v/>
      </c>
      <c r="Q4728">
        <f>IF($A4728="","",$D4728&amp;"("&amp;SUBSTITUTE($E4728," ","")&amp;")")</f>
        <v/>
      </c>
      <c r="R4728">
        <f>IF($A4728="","",$B4728&amp;" - "&amp;$C4728)</f>
        <v/>
      </c>
      <c r="S4728">
        <f>IF($A4728="","",$R4728&amp;"|"&amp;$Q4728)</f>
        <v/>
      </c>
      <c r="T4728">
        <f>IF($A4728="","",$S4728&amp;"|"&amp;$F4728)</f>
        <v/>
      </c>
      <c r="U4728">
        <f>IF($A4728="","",$R4728&amp;"("&amp;$E4728&amp;")")</f>
        <v/>
      </c>
      <c r="V4728">
        <f>IF($A4728="","",$F4728&amp;"|"&amp;$U4728&amp;"|"&amp;$D4728)</f>
        <v/>
      </c>
      <c r="W4728">
        <f>IF($T4728="","",IF($X4728&gt;N($X4727),$X4728,""))</f>
        <v/>
      </c>
      <c r="X4728">
        <f>IF($T4728="",N($X4727),IF(MATCH($T4728,$T$6:$T$6005,0)=ROW()-5,N($X4727)+1,N($X4727)))</f>
        <v/>
      </c>
      <c r="Z4728">
        <f>IF($V4728="","",IF($AA4728&gt;N($AA4727),$AA4728,""))</f>
        <v/>
      </c>
      <c r="AA4728">
        <f>IF($V4728="",N($AA4727),IF(MATCH($V4728,$V$6:$V$6005,0)=ROW()-5,N($AA4727)+1,N($AA4727)))</f>
        <v/>
      </c>
    </row>
    <row r="4729" ht="21" customHeight="1" s="66">
      <c r="A4729" s="56" t="n"/>
      <c r="B4729" s="57" t="n"/>
      <c r="C4729" s="57" t="n"/>
      <c r="D4729" s="57" t="n"/>
      <c r="E4729" s="56" t="n"/>
      <c r="F4729" s="57" t="n"/>
      <c r="G4729" s="57" t="n"/>
      <c r="H4729" s="56" t="n"/>
      <c r="I4729" s="56" t="n"/>
      <c r="J4729" s="58" t="n"/>
      <c r="K4729" s="58" t="n"/>
      <c r="L4729" s="13">
        <f>IF(OR($A4729="",AND($J4729="",$K4729="")),"",ROUND(N($J4729)-N($K4729),2))</f>
        <v/>
      </c>
      <c r="M4729" s="13">
        <f>IF(OR($A4729="",AND($J4729="",$K4729="")),"",MIN($J4729,$K4729))</f>
        <v/>
      </c>
      <c r="Q4729">
        <f>IF($A4729="","",$D4729&amp;"("&amp;SUBSTITUTE($E4729," ","")&amp;")")</f>
        <v/>
      </c>
      <c r="R4729">
        <f>IF($A4729="","",$B4729&amp;" - "&amp;$C4729)</f>
        <v/>
      </c>
      <c r="S4729">
        <f>IF($A4729="","",$R4729&amp;"|"&amp;$Q4729)</f>
        <v/>
      </c>
      <c r="T4729">
        <f>IF($A4729="","",$S4729&amp;"|"&amp;$F4729)</f>
        <v/>
      </c>
      <c r="U4729">
        <f>IF($A4729="","",$R4729&amp;"("&amp;$E4729&amp;")")</f>
        <v/>
      </c>
      <c r="V4729">
        <f>IF($A4729="","",$F4729&amp;"|"&amp;$U4729&amp;"|"&amp;$D4729)</f>
        <v/>
      </c>
      <c r="W4729">
        <f>IF($T4729="","",IF($X4729&gt;N($X4728),$X4729,""))</f>
        <v/>
      </c>
      <c r="X4729">
        <f>IF($T4729="",N($X4728),IF(MATCH($T4729,$T$6:$T$6005,0)=ROW()-5,N($X4728)+1,N($X4728)))</f>
        <v/>
      </c>
      <c r="Z4729">
        <f>IF($V4729="","",IF($AA4729&gt;N($AA4728),$AA4729,""))</f>
        <v/>
      </c>
      <c r="AA4729">
        <f>IF($V4729="",N($AA4728),IF(MATCH($V4729,$V$6:$V$6005,0)=ROW()-5,N($AA4728)+1,N($AA4728)))</f>
        <v/>
      </c>
    </row>
    <row r="4730" ht="21" customHeight="1" s="66">
      <c r="A4730" s="56" t="n"/>
      <c r="B4730" s="57" t="n"/>
      <c r="C4730" s="57" t="n"/>
      <c r="D4730" s="57" t="n"/>
      <c r="E4730" s="56" t="n"/>
      <c r="F4730" s="57" t="n"/>
      <c r="G4730" s="57" t="n"/>
      <c r="H4730" s="56" t="n"/>
      <c r="I4730" s="56" t="n"/>
      <c r="J4730" s="58" t="n"/>
      <c r="K4730" s="58" t="n"/>
      <c r="L4730" s="13">
        <f>IF(OR($A4730="",AND($J4730="",$K4730="")),"",ROUND(N($J4730)-N($K4730),2))</f>
        <v/>
      </c>
      <c r="M4730" s="13">
        <f>IF(OR($A4730="",AND($J4730="",$K4730="")),"",MIN($J4730,$K4730))</f>
        <v/>
      </c>
      <c r="Q4730">
        <f>IF($A4730="","",$D4730&amp;"("&amp;SUBSTITUTE($E4730," ","")&amp;")")</f>
        <v/>
      </c>
      <c r="R4730">
        <f>IF($A4730="","",$B4730&amp;" - "&amp;$C4730)</f>
        <v/>
      </c>
      <c r="S4730">
        <f>IF($A4730="","",$R4730&amp;"|"&amp;$Q4730)</f>
        <v/>
      </c>
      <c r="T4730">
        <f>IF($A4730="","",$S4730&amp;"|"&amp;$F4730)</f>
        <v/>
      </c>
      <c r="U4730">
        <f>IF($A4730="","",$R4730&amp;"("&amp;$E4730&amp;")")</f>
        <v/>
      </c>
      <c r="V4730">
        <f>IF($A4730="","",$F4730&amp;"|"&amp;$U4730&amp;"|"&amp;$D4730)</f>
        <v/>
      </c>
      <c r="W4730">
        <f>IF($T4730="","",IF($X4730&gt;N($X4729),$X4730,""))</f>
        <v/>
      </c>
      <c r="X4730">
        <f>IF($T4730="",N($X4729),IF(MATCH($T4730,$T$6:$T$6005,0)=ROW()-5,N($X4729)+1,N($X4729)))</f>
        <v/>
      </c>
      <c r="Z4730">
        <f>IF($V4730="","",IF($AA4730&gt;N($AA4729),$AA4730,""))</f>
        <v/>
      </c>
      <c r="AA4730">
        <f>IF($V4730="",N($AA4729),IF(MATCH($V4730,$V$6:$V$6005,0)=ROW()-5,N($AA4729)+1,N($AA4729)))</f>
        <v/>
      </c>
    </row>
    <row r="4731" ht="21" customHeight="1" s="66">
      <c r="A4731" s="56" t="n"/>
      <c r="B4731" s="57" t="n"/>
      <c r="C4731" s="57" t="n"/>
      <c r="D4731" s="57" t="n"/>
      <c r="E4731" s="56" t="n"/>
      <c r="F4731" s="57" t="n"/>
      <c r="G4731" s="57" t="n"/>
      <c r="H4731" s="56" t="n"/>
      <c r="I4731" s="56" t="n"/>
      <c r="J4731" s="58" t="n"/>
      <c r="K4731" s="58" t="n"/>
      <c r="L4731" s="13">
        <f>IF(OR($A4731="",AND($J4731="",$K4731="")),"",ROUND(N($J4731)-N($K4731),2))</f>
        <v/>
      </c>
      <c r="M4731" s="13">
        <f>IF(OR($A4731="",AND($J4731="",$K4731="")),"",MIN($J4731,$K4731))</f>
        <v/>
      </c>
      <c r="Q4731">
        <f>IF($A4731="","",$D4731&amp;"("&amp;SUBSTITUTE($E4731," ","")&amp;")")</f>
        <v/>
      </c>
      <c r="R4731">
        <f>IF($A4731="","",$B4731&amp;" - "&amp;$C4731)</f>
        <v/>
      </c>
      <c r="S4731">
        <f>IF($A4731="","",$R4731&amp;"|"&amp;$Q4731)</f>
        <v/>
      </c>
      <c r="T4731">
        <f>IF($A4731="","",$S4731&amp;"|"&amp;$F4731)</f>
        <v/>
      </c>
      <c r="U4731">
        <f>IF($A4731="","",$R4731&amp;"("&amp;$E4731&amp;")")</f>
        <v/>
      </c>
      <c r="V4731">
        <f>IF($A4731="","",$F4731&amp;"|"&amp;$U4731&amp;"|"&amp;$D4731)</f>
        <v/>
      </c>
      <c r="W4731">
        <f>IF($T4731="","",IF($X4731&gt;N($X4730),$X4731,""))</f>
        <v/>
      </c>
      <c r="X4731">
        <f>IF($T4731="",N($X4730),IF(MATCH($T4731,$T$6:$T$6005,0)=ROW()-5,N($X4730)+1,N($X4730)))</f>
        <v/>
      </c>
      <c r="Z4731">
        <f>IF($V4731="","",IF($AA4731&gt;N($AA4730),$AA4731,""))</f>
        <v/>
      </c>
      <c r="AA4731">
        <f>IF($V4731="",N($AA4730),IF(MATCH($V4731,$V$6:$V$6005,0)=ROW()-5,N($AA4730)+1,N($AA4730)))</f>
        <v/>
      </c>
    </row>
    <row r="4732" ht="21" customHeight="1" s="66">
      <c r="A4732" s="56" t="n"/>
      <c r="B4732" s="57" t="n"/>
      <c r="C4732" s="57" t="n"/>
      <c r="D4732" s="57" t="n"/>
      <c r="E4732" s="56" t="n"/>
      <c r="F4732" s="57" t="n"/>
      <c r="G4732" s="57" t="n"/>
      <c r="H4732" s="56" t="n"/>
      <c r="I4732" s="56" t="n"/>
      <c r="J4732" s="58" t="n"/>
      <c r="K4732" s="58" t="n"/>
      <c r="L4732" s="13">
        <f>IF(OR($A4732="",AND($J4732="",$K4732="")),"",ROUND(N($J4732)-N($K4732),2))</f>
        <v/>
      </c>
      <c r="M4732" s="13">
        <f>IF(OR($A4732="",AND($J4732="",$K4732="")),"",MIN($J4732,$K4732))</f>
        <v/>
      </c>
      <c r="Q4732">
        <f>IF($A4732="","",$D4732&amp;"("&amp;SUBSTITUTE($E4732," ","")&amp;")")</f>
        <v/>
      </c>
      <c r="R4732">
        <f>IF($A4732="","",$B4732&amp;" - "&amp;$C4732)</f>
        <v/>
      </c>
      <c r="S4732">
        <f>IF($A4732="","",$R4732&amp;"|"&amp;$Q4732)</f>
        <v/>
      </c>
      <c r="T4732">
        <f>IF($A4732="","",$S4732&amp;"|"&amp;$F4732)</f>
        <v/>
      </c>
      <c r="U4732">
        <f>IF($A4732="","",$R4732&amp;"("&amp;$E4732&amp;")")</f>
        <v/>
      </c>
      <c r="V4732">
        <f>IF($A4732="","",$F4732&amp;"|"&amp;$U4732&amp;"|"&amp;$D4732)</f>
        <v/>
      </c>
      <c r="W4732">
        <f>IF($T4732="","",IF($X4732&gt;N($X4731),$X4732,""))</f>
        <v/>
      </c>
      <c r="X4732">
        <f>IF($T4732="",N($X4731),IF(MATCH($T4732,$T$6:$T$6005,0)=ROW()-5,N($X4731)+1,N($X4731)))</f>
        <v/>
      </c>
      <c r="Z4732">
        <f>IF($V4732="","",IF($AA4732&gt;N($AA4731),$AA4732,""))</f>
        <v/>
      </c>
      <c r="AA4732">
        <f>IF($V4732="",N($AA4731),IF(MATCH($V4732,$V$6:$V$6005,0)=ROW()-5,N($AA4731)+1,N($AA4731)))</f>
        <v/>
      </c>
    </row>
    <row r="4733" ht="21" customHeight="1" s="66">
      <c r="A4733" s="56" t="n"/>
      <c r="B4733" s="57" t="n"/>
      <c r="C4733" s="57" t="n"/>
      <c r="D4733" s="57" t="n"/>
      <c r="E4733" s="56" t="n"/>
      <c r="F4733" s="57" t="n"/>
      <c r="G4733" s="57" t="n"/>
      <c r="H4733" s="56" t="n"/>
      <c r="I4733" s="56" t="n"/>
      <c r="J4733" s="58" t="n"/>
      <c r="K4733" s="58" t="n"/>
      <c r="L4733" s="13">
        <f>IF(OR($A4733="",AND($J4733="",$K4733="")),"",ROUND(N($J4733)-N($K4733),2))</f>
        <v/>
      </c>
      <c r="M4733" s="13">
        <f>IF(OR($A4733="",AND($J4733="",$K4733="")),"",MIN($J4733,$K4733))</f>
        <v/>
      </c>
      <c r="Q4733">
        <f>IF($A4733="","",$D4733&amp;"("&amp;SUBSTITUTE($E4733," ","")&amp;")")</f>
        <v/>
      </c>
      <c r="R4733">
        <f>IF($A4733="","",$B4733&amp;" - "&amp;$C4733)</f>
        <v/>
      </c>
      <c r="S4733">
        <f>IF($A4733="","",$R4733&amp;"|"&amp;$Q4733)</f>
        <v/>
      </c>
      <c r="T4733">
        <f>IF($A4733="","",$S4733&amp;"|"&amp;$F4733)</f>
        <v/>
      </c>
      <c r="U4733">
        <f>IF($A4733="","",$R4733&amp;"("&amp;$E4733&amp;")")</f>
        <v/>
      </c>
      <c r="V4733">
        <f>IF($A4733="","",$F4733&amp;"|"&amp;$U4733&amp;"|"&amp;$D4733)</f>
        <v/>
      </c>
      <c r="W4733">
        <f>IF($T4733="","",IF($X4733&gt;N($X4732),$X4733,""))</f>
        <v/>
      </c>
      <c r="X4733">
        <f>IF($T4733="",N($X4732),IF(MATCH($T4733,$T$6:$T$6005,0)=ROW()-5,N($X4732)+1,N($X4732)))</f>
        <v/>
      </c>
      <c r="Z4733">
        <f>IF($V4733="","",IF($AA4733&gt;N($AA4732),$AA4733,""))</f>
        <v/>
      </c>
      <c r="AA4733">
        <f>IF($V4733="",N($AA4732),IF(MATCH($V4733,$V$6:$V$6005,0)=ROW()-5,N($AA4732)+1,N($AA4732)))</f>
        <v/>
      </c>
    </row>
    <row r="4734" ht="21" customHeight="1" s="66">
      <c r="A4734" s="56" t="n"/>
      <c r="B4734" s="57" t="n"/>
      <c r="C4734" s="57" t="n"/>
      <c r="D4734" s="57" t="n"/>
      <c r="E4734" s="56" t="n"/>
      <c r="F4734" s="57" t="n"/>
      <c r="G4734" s="57" t="n"/>
      <c r="H4734" s="56" t="n"/>
      <c r="I4734" s="56" t="n"/>
      <c r="J4734" s="58" t="n"/>
      <c r="K4734" s="58" t="n"/>
      <c r="L4734" s="13">
        <f>IF(OR($A4734="",AND($J4734="",$K4734="")),"",ROUND(N($J4734)-N($K4734),2))</f>
        <v/>
      </c>
      <c r="M4734" s="13">
        <f>IF(OR($A4734="",AND($J4734="",$K4734="")),"",MIN($J4734,$K4734))</f>
        <v/>
      </c>
      <c r="Q4734">
        <f>IF($A4734="","",$D4734&amp;"("&amp;SUBSTITUTE($E4734," ","")&amp;")")</f>
        <v/>
      </c>
      <c r="R4734">
        <f>IF($A4734="","",$B4734&amp;" - "&amp;$C4734)</f>
        <v/>
      </c>
      <c r="S4734">
        <f>IF($A4734="","",$R4734&amp;"|"&amp;$Q4734)</f>
        <v/>
      </c>
      <c r="T4734">
        <f>IF($A4734="","",$S4734&amp;"|"&amp;$F4734)</f>
        <v/>
      </c>
      <c r="U4734">
        <f>IF($A4734="","",$R4734&amp;"("&amp;$E4734&amp;")")</f>
        <v/>
      </c>
      <c r="V4734">
        <f>IF($A4734="","",$F4734&amp;"|"&amp;$U4734&amp;"|"&amp;$D4734)</f>
        <v/>
      </c>
      <c r="W4734">
        <f>IF($T4734="","",IF($X4734&gt;N($X4733),$X4734,""))</f>
        <v/>
      </c>
      <c r="X4734">
        <f>IF($T4734="",N($X4733),IF(MATCH($T4734,$T$6:$T$6005,0)=ROW()-5,N($X4733)+1,N($X4733)))</f>
        <v/>
      </c>
      <c r="Z4734">
        <f>IF($V4734="","",IF($AA4734&gt;N($AA4733),$AA4734,""))</f>
        <v/>
      </c>
      <c r="AA4734">
        <f>IF($V4734="",N($AA4733),IF(MATCH($V4734,$V$6:$V$6005,0)=ROW()-5,N($AA4733)+1,N($AA4733)))</f>
        <v/>
      </c>
    </row>
    <row r="4735" ht="21" customHeight="1" s="66">
      <c r="A4735" s="56" t="n"/>
      <c r="B4735" s="57" t="n"/>
      <c r="C4735" s="57" t="n"/>
      <c r="D4735" s="57" t="n"/>
      <c r="E4735" s="56" t="n"/>
      <c r="F4735" s="57" t="n"/>
      <c r="G4735" s="57" t="n"/>
      <c r="H4735" s="56" t="n"/>
      <c r="I4735" s="56" t="n"/>
      <c r="J4735" s="58" t="n"/>
      <c r="K4735" s="58" t="n"/>
      <c r="L4735" s="13">
        <f>IF(OR($A4735="",AND($J4735="",$K4735="")),"",ROUND(N($J4735)-N($K4735),2))</f>
        <v/>
      </c>
      <c r="M4735" s="13">
        <f>IF(OR($A4735="",AND($J4735="",$K4735="")),"",MIN($J4735,$K4735))</f>
        <v/>
      </c>
      <c r="Q4735">
        <f>IF($A4735="","",$D4735&amp;"("&amp;SUBSTITUTE($E4735," ","")&amp;")")</f>
        <v/>
      </c>
      <c r="R4735">
        <f>IF($A4735="","",$B4735&amp;" - "&amp;$C4735)</f>
        <v/>
      </c>
      <c r="S4735">
        <f>IF($A4735="","",$R4735&amp;"|"&amp;$Q4735)</f>
        <v/>
      </c>
      <c r="T4735">
        <f>IF($A4735="","",$S4735&amp;"|"&amp;$F4735)</f>
        <v/>
      </c>
      <c r="U4735">
        <f>IF($A4735="","",$R4735&amp;"("&amp;$E4735&amp;")")</f>
        <v/>
      </c>
      <c r="V4735">
        <f>IF($A4735="","",$F4735&amp;"|"&amp;$U4735&amp;"|"&amp;$D4735)</f>
        <v/>
      </c>
      <c r="W4735">
        <f>IF($T4735="","",IF($X4735&gt;N($X4734),$X4735,""))</f>
        <v/>
      </c>
      <c r="X4735">
        <f>IF($T4735="",N($X4734),IF(MATCH($T4735,$T$6:$T$6005,0)=ROW()-5,N($X4734)+1,N($X4734)))</f>
        <v/>
      </c>
      <c r="Z4735">
        <f>IF($V4735="","",IF($AA4735&gt;N($AA4734),$AA4735,""))</f>
        <v/>
      </c>
      <c r="AA4735">
        <f>IF($V4735="",N($AA4734),IF(MATCH($V4735,$V$6:$V$6005,0)=ROW()-5,N($AA4734)+1,N($AA4734)))</f>
        <v/>
      </c>
    </row>
    <row r="4736" ht="21" customHeight="1" s="66">
      <c r="A4736" s="56" t="n"/>
      <c r="B4736" s="57" t="n"/>
      <c r="C4736" s="57" t="n"/>
      <c r="D4736" s="57" t="n"/>
      <c r="E4736" s="56" t="n"/>
      <c r="F4736" s="57" t="n"/>
      <c r="G4736" s="57" t="n"/>
      <c r="H4736" s="56" t="n"/>
      <c r="I4736" s="56" t="n"/>
      <c r="J4736" s="58" t="n"/>
      <c r="K4736" s="58" t="n"/>
      <c r="L4736" s="13">
        <f>IF(OR($A4736="",AND($J4736="",$K4736="")),"",ROUND(N($J4736)-N($K4736),2))</f>
        <v/>
      </c>
      <c r="M4736" s="13">
        <f>IF(OR($A4736="",AND($J4736="",$K4736="")),"",MIN($J4736,$K4736))</f>
        <v/>
      </c>
      <c r="Q4736">
        <f>IF($A4736="","",$D4736&amp;"("&amp;SUBSTITUTE($E4736," ","")&amp;")")</f>
        <v/>
      </c>
      <c r="R4736">
        <f>IF($A4736="","",$B4736&amp;" - "&amp;$C4736)</f>
        <v/>
      </c>
      <c r="S4736">
        <f>IF($A4736="","",$R4736&amp;"|"&amp;$Q4736)</f>
        <v/>
      </c>
      <c r="T4736">
        <f>IF($A4736="","",$S4736&amp;"|"&amp;$F4736)</f>
        <v/>
      </c>
      <c r="U4736">
        <f>IF($A4736="","",$R4736&amp;"("&amp;$E4736&amp;")")</f>
        <v/>
      </c>
      <c r="V4736">
        <f>IF($A4736="","",$F4736&amp;"|"&amp;$U4736&amp;"|"&amp;$D4736)</f>
        <v/>
      </c>
      <c r="W4736">
        <f>IF($T4736="","",IF($X4736&gt;N($X4735),$X4736,""))</f>
        <v/>
      </c>
      <c r="X4736">
        <f>IF($T4736="",N($X4735),IF(MATCH($T4736,$T$6:$T$6005,0)=ROW()-5,N($X4735)+1,N($X4735)))</f>
        <v/>
      </c>
      <c r="Z4736">
        <f>IF($V4736="","",IF($AA4736&gt;N($AA4735),$AA4736,""))</f>
        <v/>
      </c>
      <c r="AA4736">
        <f>IF($V4736="",N($AA4735),IF(MATCH($V4736,$V$6:$V$6005,0)=ROW()-5,N($AA4735)+1,N($AA4735)))</f>
        <v/>
      </c>
    </row>
    <row r="4737" ht="21" customHeight="1" s="66">
      <c r="A4737" s="56" t="n"/>
      <c r="B4737" s="57" t="n"/>
      <c r="C4737" s="57" t="n"/>
      <c r="D4737" s="57" t="n"/>
      <c r="E4737" s="56" t="n"/>
      <c r="F4737" s="57" t="n"/>
      <c r="G4737" s="57" t="n"/>
      <c r="H4737" s="56" t="n"/>
      <c r="I4737" s="56" t="n"/>
      <c r="J4737" s="58" t="n"/>
      <c r="K4737" s="58" t="n"/>
      <c r="L4737" s="13">
        <f>IF(OR($A4737="",AND($J4737="",$K4737="")),"",ROUND(N($J4737)-N($K4737),2))</f>
        <v/>
      </c>
      <c r="M4737" s="13">
        <f>IF(OR($A4737="",AND($J4737="",$K4737="")),"",MIN($J4737,$K4737))</f>
        <v/>
      </c>
      <c r="Q4737">
        <f>IF($A4737="","",$D4737&amp;"("&amp;SUBSTITUTE($E4737," ","")&amp;")")</f>
        <v/>
      </c>
      <c r="R4737">
        <f>IF($A4737="","",$B4737&amp;" - "&amp;$C4737)</f>
        <v/>
      </c>
      <c r="S4737">
        <f>IF($A4737="","",$R4737&amp;"|"&amp;$Q4737)</f>
        <v/>
      </c>
      <c r="T4737">
        <f>IF($A4737="","",$S4737&amp;"|"&amp;$F4737)</f>
        <v/>
      </c>
      <c r="U4737">
        <f>IF($A4737="","",$R4737&amp;"("&amp;$E4737&amp;")")</f>
        <v/>
      </c>
      <c r="V4737">
        <f>IF($A4737="","",$F4737&amp;"|"&amp;$U4737&amp;"|"&amp;$D4737)</f>
        <v/>
      </c>
      <c r="W4737">
        <f>IF($T4737="","",IF($X4737&gt;N($X4736),$X4737,""))</f>
        <v/>
      </c>
      <c r="X4737">
        <f>IF($T4737="",N($X4736),IF(MATCH($T4737,$T$6:$T$6005,0)=ROW()-5,N($X4736)+1,N($X4736)))</f>
        <v/>
      </c>
      <c r="Z4737">
        <f>IF($V4737="","",IF($AA4737&gt;N($AA4736),$AA4737,""))</f>
        <v/>
      </c>
      <c r="AA4737">
        <f>IF($V4737="",N($AA4736),IF(MATCH($V4737,$V$6:$V$6005,0)=ROW()-5,N($AA4736)+1,N($AA4736)))</f>
        <v/>
      </c>
    </row>
    <row r="4738" ht="21" customHeight="1" s="66">
      <c r="A4738" s="56" t="n"/>
      <c r="B4738" s="57" t="n"/>
      <c r="C4738" s="57" t="n"/>
      <c r="D4738" s="57" t="n"/>
      <c r="E4738" s="56" t="n"/>
      <c r="F4738" s="57" t="n"/>
      <c r="G4738" s="57" t="n"/>
      <c r="H4738" s="56" t="n"/>
      <c r="I4738" s="56" t="n"/>
      <c r="J4738" s="58" t="n"/>
      <c r="K4738" s="58" t="n"/>
      <c r="L4738" s="13">
        <f>IF(OR($A4738="",AND($J4738="",$K4738="")),"",ROUND(N($J4738)-N($K4738),2))</f>
        <v/>
      </c>
      <c r="M4738" s="13">
        <f>IF(OR($A4738="",AND($J4738="",$K4738="")),"",MIN($J4738,$K4738))</f>
        <v/>
      </c>
      <c r="Q4738">
        <f>IF($A4738="","",$D4738&amp;"("&amp;SUBSTITUTE($E4738," ","")&amp;")")</f>
        <v/>
      </c>
      <c r="R4738">
        <f>IF($A4738="","",$B4738&amp;" - "&amp;$C4738)</f>
        <v/>
      </c>
      <c r="S4738">
        <f>IF($A4738="","",$R4738&amp;"|"&amp;$Q4738)</f>
        <v/>
      </c>
      <c r="T4738">
        <f>IF($A4738="","",$S4738&amp;"|"&amp;$F4738)</f>
        <v/>
      </c>
      <c r="U4738">
        <f>IF($A4738="","",$R4738&amp;"("&amp;$E4738&amp;")")</f>
        <v/>
      </c>
      <c r="V4738">
        <f>IF($A4738="","",$F4738&amp;"|"&amp;$U4738&amp;"|"&amp;$D4738)</f>
        <v/>
      </c>
      <c r="W4738">
        <f>IF($T4738="","",IF($X4738&gt;N($X4737),$X4738,""))</f>
        <v/>
      </c>
      <c r="X4738">
        <f>IF($T4738="",N($X4737),IF(MATCH($T4738,$T$6:$T$6005,0)=ROW()-5,N($X4737)+1,N($X4737)))</f>
        <v/>
      </c>
      <c r="Z4738">
        <f>IF($V4738="","",IF($AA4738&gt;N($AA4737),$AA4738,""))</f>
        <v/>
      </c>
      <c r="AA4738">
        <f>IF($V4738="",N($AA4737),IF(MATCH($V4738,$V$6:$V$6005,0)=ROW()-5,N($AA4737)+1,N($AA4737)))</f>
        <v/>
      </c>
    </row>
    <row r="4739" ht="21" customHeight="1" s="66">
      <c r="A4739" s="56" t="n"/>
      <c r="B4739" s="57" t="n"/>
      <c r="C4739" s="57" t="n"/>
      <c r="D4739" s="57" t="n"/>
      <c r="E4739" s="56" t="n"/>
      <c r="F4739" s="57" t="n"/>
      <c r="G4739" s="57" t="n"/>
      <c r="H4739" s="56" t="n"/>
      <c r="I4739" s="56" t="n"/>
      <c r="J4739" s="58" t="n"/>
      <c r="K4739" s="58" t="n"/>
      <c r="L4739" s="13">
        <f>IF(OR($A4739="",AND($J4739="",$K4739="")),"",ROUND(N($J4739)-N($K4739),2))</f>
        <v/>
      </c>
      <c r="M4739" s="13">
        <f>IF(OR($A4739="",AND($J4739="",$K4739="")),"",MIN($J4739,$K4739))</f>
        <v/>
      </c>
      <c r="Q4739">
        <f>IF($A4739="","",$D4739&amp;"("&amp;SUBSTITUTE($E4739," ","")&amp;")")</f>
        <v/>
      </c>
      <c r="R4739">
        <f>IF($A4739="","",$B4739&amp;" - "&amp;$C4739)</f>
        <v/>
      </c>
      <c r="S4739">
        <f>IF($A4739="","",$R4739&amp;"|"&amp;$Q4739)</f>
        <v/>
      </c>
      <c r="T4739">
        <f>IF($A4739="","",$S4739&amp;"|"&amp;$F4739)</f>
        <v/>
      </c>
      <c r="U4739">
        <f>IF($A4739="","",$R4739&amp;"("&amp;$E4739&amp;")")</f>
        <v/>
      </c>
      <c r="V4739">
        <f>IF($A4739="","",$F4739&amp;"|"&amp;$U4739&amp;"|"&amp;$D4739)</f>
        <v/>
      </c>
      <c r="W4739">
        <f>IF($T4739="","",IF($X4739&gt;N($X4738),$X4739,""))</f>
        <v/>
      </c>
      <c r="X4739">
        <f>IF($T4739="",N($X4738),IF(MATCH($T4739,$T$6:$T$6005,0)=ROW()-5,N($X4738)+1,N($X4738)))</f>
        <v/>
      </c>
      <c r="Z4739">
        <f>IF($V4739="","",IF($AA4739&gt;N($AA4738),$AA4739,""))</f>
        <v/>
      </c>
      <c r="AA4739">
        <f>IF($V4739="",N($AA4738),IF(MATCH($V4739,$V$6:$V$6005,0)=ROW()-5,N($AA4738)+1,N($AA4738)))</f>
        <v/>
      </c>
    </row>
    <row r="4740" ht="21" customHeight="1" s="66">
      <c r="A4740" s="56" t="n"/>
      <c r="B4740" s="57" t="n"/>
      <c r="C4740" s="57" t="n"/>
      <c r="D4740" s="57" t="n"/>
      <c r="E4740" s="56" t="n"/>
      <c r="F4740" s="57" t="n"/>
      <c r="G4740" s="57" t="n"/>
      <c r="H4740" s="56" t="n"/>
      <c r="I4740" s="56" t="n"/>
      <c r="J4740" s="58" t="n"/>
      <c r="K4740" s="58" t="n"/>
      <c r="L4740" s="13">
        <f>IF(OR($A4740="",AND($J4740="",$K4740="")),"",ROUND(N($J4740)-N($K4740),2))</f>
        <v/>
      </c>
      <c r="M4740" s="13">
        <f>IF(OR($A4740="",AND($J4740="",$K4740="")),"",MIN($J4740,$K4740))</f>
        <v/>
      </c>
      <c r="Q4740">
        <f>IF($A4740="","",$D4740&amp;"("&amp;SUBSTITUTE($E4740," ","")&amp;")")</f>
        <v/>
      </c>
      <c r="R4740">
        <f>IF($A4740="","",$B4740&amp;" - "&amp;$C4740)</f>
        <v/>
      </c>
      <c r="S4740">
        <f>IF($A4740="","",$R4740&amp;"|"&amp;$Q4740)</f>
        <v/>
      </c>
      <c r="T4740">
        <f>IF($A4740="","",$S4740&amp;"|"&amp;$F4740)</f>
        <v/>
      </c>
      <c r="U4740">
        <f>IF($A4740="","",$R4740&amp;"("&amp;$E4740&amp;")")</f>
        <v/>
      </c>
      <c r="V4740">
        <f>IF($A4740="","",$F4740&amp;"|"&amp;$U4740&amp;"|"&amp;$D4740)</f>
        <v/>
      </c>
      <c r="W4740">
        <f>IF($T4740="","",IF($X4740&gt;N($X4739),$X4740,""))</f>
        <v/>
      </c>
      <c r="X4740">
        <f>IF($T4740="",N($X4739),IF(MATCH($T4740,$T$6:$T$6005,0)=ROW()-5,N($X4739)+1,N($X4739)))</f>
        <v/>
      </c>
      <c r="Z4740">
        <f>IF($V4740="","",IF($AA4740&gt;N($AA4739),$AA4740,""))</f>
        <v/>
      </c>
      <c r="AA4740">
        <f>IF($V4740="",N($AA4739),IF(MATCH($V4740,$V$6:$V$6005,0)=ROW()-5,N($AA4739)+1,N($AA4739)))</f>
        <v/>
      </c>
    </row>
    <row r="4741" ht="21" customHeight="1" s="66">
      <c r="A4741" s="56" t="n"/>
      <c r="B4741" s="57" t="n"/>
      <c r="C4741" s="57" t="n"/>
      <c r="D4741" s="57" t="n"/>
      <c r="E4741" s="56" t="n"/>
      <c r="F4741" s="57" t="n"/>
      <c r="G4741" s="57" t="n"/>
      <c r="H4741" s="56" t="n"/>
      <c r="I4741" s="56" t="n"/>
      <c r="J4741" s="58" t="n"/>
      <c r="K4741" s="58" t="n"/>
      <c r="L4741" s="13">
        <f>IF(OR($A4741="",AND($J4741="",$K4741="")),"",ROUND(N($J4741)-N($K4741),2))</f>
        <v/>
      </c>
      <c r="M4741" s="13">
        <f>IF(OR($A4741="",AND($J4741="",$K4741="")),"",MIN($J4741,$K4741))</f>
        <v/>
      </c>
      <c r="Q4741">
        <f>IF($A4741="","",$D4741&amp;"("&amp;SUBSTITUTE($E4741," ","")&amp;")")</f>
        <v/>
      </c>
      <c r="R4741">
        <f>IF($A4741="","",$B4741&amp;" - "&amp;$C4741)</f>
        <v/>
      </c>
      <c r="S4741">
        <f>IF($A4741="","",$R4741&amp;"|"&amp;$Q4741)</f>
        <v/>
      </c>
      <c r="T4741">
        <f>IF($A4741="","",$S4741&amp;"|"&amp;$F4741)</f>
        <v/>
      </c>
      <c r="U4741">
        <f>IF($A4741="","",$R4741&amp;"("&amp;$E4741&amp;")")</f>
        <v/>
      </c>
      <c r="V4741">
        <f>IF($A4741="","",$F4741&amp;"|"&amp;$U4741&amp;"|"&amp;$D4741)</f>
        <v/>
      </c>
      <c r="W4741">
        <f>IF($T4741="","",IF($X4741&gt;N($X4740),$X4741,""))</f>
        <v/>
      </c>
      <c r="X4741">
        <f>IF($T4741="",N($X4740),IF(MATCH($T4741,$T$6:$T$6005,0)=ROW()-5,N($X4740)+1,N($X4740)))</f>
        <v/>
      </c>
      <c r="Z4741">
        <f>IF($V4741="","",IF($AA4741&gt;N($AA4740),$AA4741,""))</f>
        <v/>
      </c>
      <c r="AA4741">
        <f>IF($V4741="",N($AA4740),IF(MATCH($V4741,$V$6:$V$6005,0)=ROW()-5,N($AA4740)+1,N($AA4740)))</f>
        <v/>
      </c>
    </row>
    <row r="4742" ht="21" customHeight="1" s="66">
      <c r="A4742" s="56" t="n"/>
      <c r="B4742" s="57" t="n"/>
      <c r="C4742" s="57" t="n"/>
      <c r="D4742" s="57" t="n"/>
      <c r="E4742" s="56" t="n"/>
      <c r="F4742" s="57" t="n"/>
      <c r="G4742" s="57" t="n"/>
      <c r="H4742" s="56" t="n"/>
      <c r="I4742" s="56" t="n"/>
      <c r="J4742" s="58" t="n"/>
      <c r="K4742" s="58" t="n"/>
      <c r="L4742" s="13">
        <f>IF(OR($A4742="",AND($J4742="",$K4742="")),"",ROUND(N($J4742)-N($K4742),2))</f>
        <v/>
      </c>
      <c r="M4742" s="13">
        <f>IF(OR($A4742="",AND($J4742="",$K4742="")),"",MIN($J4742,$K4742))</f>
        <v/>
      </c>
      <c r="Q4742">
        <f>IF($A4742="","",$D4742&amp;"("&amp;SUBSTITUTE($E4742," ","")&amp;")")</f>
        <v/>
      </c>
      <c r="R4742">
        <f>IF($A4742="","",$B4742&amp;" - "&amp;$C4742)</f>
        <v/>
      </c>
      <c r="S4742">
        <f>IF($A4742="","",$R4742&amp;"|"&amp;$Q4742)</f>
        <v/>
      </c>
      <c r="T4742">
        <f>IF($A4742="","",$S4742&amp;"|"&amp;$F4742)</f>
        <v/>
      </c>
      <c r="U4742">
        <f>IF($A4742="","",$R4742&amp;"("&amp;$E4742&amp;")")</f>
        <v/>
      </c>
      <c r="V4742">
        <f>IF($A4742="","",$F4742&amp;"|"&amp;$U4742&amp;"|"&amp;$D4742)</f>
        <v/>
      </c>
      <c r="W4742">
        <f>IF($T4742="","",IF($X4742&gt;N($X4741),$X4742,""))</f>
        <v/>
      </c>
      <c r="X4742">
        <f>IF($T4742="",N($X4741),IF(MATCH($T4742,$T$6:$T$6005,0)=ROW()-5,N($X4741)+1,N($X4741)))</f>
        <v/>
      </c>
      <c r="Z4742">
        <f>IF($V4742="","",IF($AA4742&gt;N($AA4741),$AA4742,""))</f>
        <v/>
      </c>
      <c r="AA4742">
        <f>IF($V4742="",N($AA4741),IF(MATCH($V4742,$V$6:$V$6005,0)=ROW()-5,N($AA4741)+1,N($AA4741)))</f>
        <v/>
      </c>
    </row>
    <row r="4743" ht="21" customHeight="1" s="66">
      <c r="A4743" s="56" t="n"/>
      <c r="B4743" s="57" t="n"/>
      <c r="C4743" s="57" t="n"/>
      <c r="D4743" s="57" t="n"/>
      <c r="E4743" s="56" t="n"/>
      <c r="F4743" s="57" t="n"/>
      <c r="G4743" s="57" t="n"/>
      <c r="H4743" s="56" t="n"/>
      <c r="I4743" s="56" t="n"/>
      <c r="J4743" s="58" t="n"/>
      <c r="K4743" s="58" t="n"/>
      <c r="L4743" s="13">
        <f>IF(OR($A4743="",AND($J4743="",$K4743="")),"",ROUND(N($J4743)-N($K4743),2))</f>
        <v/>
      </c>
      <c r="M4743" s="13">
        <f>IF(OR($A4743="",AND($J4743="",$K4743="")),"",MIN($J4743,$K4743))</f>
        <v/>
      </c>
      <c r="Q4743">
        <f>IF($A4743="","",$D4743&amp;"("&amp;SUBSTITUTE($E4743," ","")&amp;")")</f>
        <v/>
      </c>
      <c r="R4743">
        <f>IF($A4743="","",$B4743&amp;" - "&amp;$C4743)</f>
        <v/>
      </c>
      <c r="S4743">
        <f>IF($A4743="","",$R4743&amp;"|"&amp;$Q4743)</f>
        <v/>
      </c>
      <c r="T4743">
        <f>IF($A4743="","",$S4743&amp;"|"&amp;$F4743)</f>
        <v/>
      </c>
      <c r="U4743">
        <f>IF($A4743="","",$R4743&amp;"("&amp;$E4743&amp;")")</f>
        <v/>
      </c>
      <c r="V4743">
        <f>IF($A4743="","",$F4743&amp;"|"&amp;$U4743&amp;"|"&amp;$D4743)</f>
        <v/>
      </c>
      <c r="W4743">
        <f>IF($T4743="","",IF($X4743&gt;N($X4742),$X4743,""))</f>
        <v/>
      </c>
      <c r="X4743">
        <f>IF($T4743="",N($X4742),IF(MATCH($T4743,$T$6:$T$6005,0)=ROW()-5,N($X4742)+1,N($X4742)))</f>
        <v/>
      </c>
      <c r="Z4743">
        <f>IF($V4743="","",IF($AA4743&gt;N($AA4742),$AA4743,""))</f>
        <v/>
      </c>
      <c r="AA4743">
        <f>IF($V4743="",N($AA4742),IF(MATCH($V4743,$V$6:$V$6005,0)=ROW()-5,N($AA4742)+1,N($AA4742)))</f>
        <v/>
      </c>
    </row>
    <row r="4744" ht="21" customHeight="1" s="66">
      <c r="A4744" s="56" t="n"/>
      <c r="B4744" s="57" t="n"/>
      <c r="C4744" s="57" t="n"/>
      <c r="D4744" s="57" t="n"/>
      <c r="E4744" s="56" t="n"/>
      <c r="F4744" s="57" t="n"/>
      <c r="G4744" s="57" t="n"/>
      <c r="H4744" s="56" t="n"/>
      <c r="I4744" s="56" t="n"/>
      <c r="J4744" s="58" t="n"/>
      <c r="K4744" s="58" t="n"/>
      <c r="L4744" s="13">
        <f>IF(OR($A4744="",AND($J4744="",$K4744="")),"",ROUND(N($J4744)-N($K4744),2))</f>
        <v/>
      </c>
      <c r="M4744" s="13">
        <f>IF(OR($A4744="",AND($J4744="",$K4744="")),"",MIN($J4744,$K4744))</f>
        <v/>
      </c>
      <c r="Q4744">
        <f>IF($A4744="","",$D4744&amp;"("&amp;SUBSTITUTE($E4744," ","")&amp;")")</f>
        <v/>
      </c>
      <c r="R4744">
        <f>IF($A4744="","",$B4744&amp;" - "&amp;$C4744)</f>
        <v/>
      </c>
      <c r="S4744">
        <f>IF($A4744="","",$R4744&amp;"|"&amp;$Q4744)</f>
        <v/>
      </c>
      <c r="T4744">
        <f>IF($A4744="","",$S4744&amp;"|"&amp;$F4744)</f>
        <v/>
      </c>
      <c r="U4744">
        <f>IF($A4744="","",$R4744&amp;"("&amp;$E4744&amp;")")</f>
        <v/>
      </c>
      <c r="V4744">
        <f>IF($A4744="","",$F4744&amp;"|"&amp;$U4744&amp;"|"&amp;$D4744)</f>
        <v/>
      </c>
      <c r="W4744">
        <f>IF($T4744="","",IF($X4744&gt;N($X4743),$X4744,""))</f>
        <v/>
      </c>
      <c r="X4744">
        <f>IF($T4744="",N($X4743),IF(MATCH($T4744,$T$6:$T$6005,0)=ROW()-5,N($X4743)+1,N($X4743)))</f>
        <v/>
      </c>
      <c r="Z4744">
        <f>IF($V4744="","",IF($AA4744&gt;N($AA4743),$AA4744,""))</f>
        <v/>
      </c>
      <c r="AA4744">
        <f>IF($V4744="",N($AA4743),IF(MATCH($V4744,$V$6:$V$6005,0)=ROW()-5,N($AA4743)+1,N($AA4743)))</f>
        <v/>
      </c>
    </row>
    <row r="4745" ht="21" customHeight="1" s="66">
      <c r="A4745" s="56" t="n"/>
      <c r="B4745" s="57" t="n"/>
      <c r="C4745" s="57" t="n"/>
      <c r="D4745" s="57" t="n"/>
      <c r="E4745" s="56" t="n"/>
      <c r="F4745" s="57" t="n"/>
      <c r="G4745" s="57" t="n"/>
      <c r="H4745" s="56" t="n"/>
      <c r="I4745" s="56" t="n"/>
      <c r="J4745" s="58" t="n"/>
      <c r="K4745" s="58" t="n"/>
      <c r="L4745" s="13">
        <f>IF(OR($A4745="",AND($J4745="",$K4745="")),"",ROUND(N($J4745)-N($K4745),2))</f>
        <v/>
      </c>
      <c r="M4745" s="13">
        <f>IF(OR($A4745="",AND($J4745="",$K4745="")),"",MIN($J4745,$K4745))</f>
        <v/>
      </c>
      <c r="Q4745">
        <f>IF($A4745="","",$D4745&amp;"("&amp;SUBSTITUTE($E4745," ","")&amp;")")</f>
        <v/>
      </c>
      <c r="R4745">
        <f>IF($A4745="","",$B4745&amp;" - "&amp;$C4745)</f>
        <v/>
      </c>
      <c r="S4745">
        <f>IF($A4745="","",$R4745&amp;"|"&amp;$Q4745)</f>
        <v/>
      </c>
      <c r="T4745">
        <f>IF($A4745="","",$S4745&amp;"|"&amp;$F4745)</f>
        <v/>
      </c>
      <c r="U4745">
        <f>IF($A4745="","",$R4745&amp;"("&amp;$E4745&amp;")")</f>
        <v/>
      </c>
      <c r="V4745">
        <f>IF($A4745="","",$F4745&amp;"|"&amp;$U4745&amp;"|"&amp;$D4745)</f>
        <v/>
      </c>
      <c r="W4745">
        <f>IF($T4745="","",IF($X4745&gt;N($X4744),$X4745,""))</f>
        <v/>
      </c>
      <c r="X4745">
        <f>IF($T4745="",N($X4744),IF(MATCH($T4745,$T$6:$T$6005,0)=ROW()-5,N($X4744)+1,N($X4744)))</f>
        <v/>
      </c>
      <c r="Z4745">
        <f>IF($V4745="","",IF($AA4745&gt;N($AA4744),$AA4745,""))</f>
        <v/>
      </c>
      <c r="AA4745">
        <f>IF($V4745="",N($AA4744),IF(MATCH($V4745,$V$6:$V$6005,0)=ROW()-5,N($AA4744)+1,N($AA4744)))</f>
        <v/>
      </c>
    </row>
    <row r="4746" ht="21" customHeight="1" s="66">
      <c r="A4746" s="56" t="n"/>
      <c r="B4746" s="57" t="n"/>
      <c r="C4746" s="57" t="n"/>
      <c r="D4746" s="57" t="n"/>
      <c r="E4746" s="56" t="n"/>
      <c r="F4746" s="57" t="n"/>
      <c r="G4746" s="57" t="n"/>
      <c r="H4746" s="56" t="n"/>
      <c r="I4746" s="56" t="n"/>
      <c r="J4746" s="58" t="n"/>
      <c r="K4746" s="58" t="n"/>
      <c r="L4746" s="13">
        <f>IF(OR($A4746="",AND($J4746="",$K4746="")),"",ROUND(N($J4746)-N($K4746),2))</f>
        <v/>
      </c>
      <c r="M4746" s="13">
        <f>IF(OR($A4746="",AND($J4746="",$K4746="")),"",MIN($J4746,$K4746))</f>
        <v/>
      </c>
      <c r="Q4746">
        <f>IF($A4746="","",$D4746&amp;"("&amp;SUBSTITUTE($E4746," ","")&amp;")")</f>
        <v/>
      </c>
      <c r="R4746">
        <f>IF($A4746="","",$B4746&amp;" - "&amp;$C4746)</f>
        <v/>
      </c>
      <c r="S4746">
        <f>IF($A4746="","",$R4746&amp;"|"&amp;$Q4746)</f>
        <v/>
      </c>
      <c r="T4746">
        <f>IF($A4746="","",$S4746&amp;"|"&amp;$F4746)</f>
        <v/>
      </c>
      <c r="U4746">
        <f>IF($A4746="","",$R4746&amp;"("&amp;$E4746&amp;")")</f>
        <v/>
      </c>
      <c r="V4746">
        <f>IF($A4746="","",$F4746&amp;"|"&amp;$U4746&amp;"|"&amp;$D4746)</f>
        <v/>
      </c>
      <c r="W4746">
        <f>IF($T4746="","",IF($X4746&gt;N($X4745),$X4746,""))</f>
        <v/>
      </c>
      <c r="X4746">
        <f>IF($T4746="",N($X4745),IF(MATCH($T4746,$T$6:$T$6005,0)=ROW()-5,N($X4745)+1,N($X4745)))</f>
        <v/>
      </c>
      <c r="Z4746">
        <f>IF($V4746="","",IF($AA4746&gt;N($AA4745),$AA4746,""))</f>
        <v/>
      </c>
      <c r="AA4746">
        <f>IF($V4746="",N($AA4745),IF(MATCH($V4746,$V$6:$V$6005,0)=ROW()-5,N($AA4745)+1,N($AA4745)))</f>
        <v/>
      </c>
    </row>
    <row r="4747" ht="21" customHeight="1" s="66">
      <c r="A4747" s="56" t="n"/>
      <c r="B4747" s="57" t="n"/>
      <c r="C4747" s="57" t="n"/>
      <c r="D4747" s="57" t="n"/>
      <c r="E4747" s="56" t="n"/>
      <c r="F4747" s="57" t="n"/>
      <c r="G4747" s="57" t="n"/>
      <c r="H4747" s="56" t="n"/>
      <c r="I4747" s="56" t="n"/>
      <c r="J4747" s="58" t="n"/>
      <c r="K4747" s="58" t="n"/>
      <c r="L4747" s="13">
        <f>IF(OR($A4747="",AND($J4747="",$K4747="")),"",ROUND(N($J4747)-N($K4747),2))</f>
        <v/>
      </c>
      <c r="M4747" s="13">
        <f>IF(OR($A4747="",AND($J4747="",$K4747="")),"",MIN($J4747,$K4747))</f>
        <v/>
      </c>
      <c r="Q4747">
        <f>IF($A4747="","",$D4747&amp;"("&amp;SUBSTITUTE($E4747," ","")&amp;")")</f>
        <v/>
      </c>
      <c r="R4747">
        <f>IF($A4747="","",$B4747&amp;" - "&amp;$C4747)</f>
        <v/>
      </c>
      <c r="S4747">
        <f>IF($A4747="","",$R4747&amp;"|"&amp;$Q4747)</f>
        <v/>
      </c>
      <c r="T4747">
        <f>IF($A4747="","",$S4747&amp;"|"&amp;$F4747)</f>
        <v/>
      </c>
      <c r="U4747">
        <f>IF($A4747="","",$R4747&amp;"("&amp;$E4747&amp;")")</f>
        <v/>
      </c>
      <c r="V4747">
        <f>IF($A4747="","",$F4747&amp;"|"&amp;$U4747&amp;"|"&amp;$D4747)</f>
        <v/>
      </c>
      <c r="W4747">
        <f>IF($T4747="","",IF($X4747&gt;N($X4746),$X4747,""))</f>
        <v/>
      </c>
      <c r="X4747">
        <f>IF($T4747="",N($X4746),IF(MATCH($T4747,$T$6:$T$6005,0)=ROW()-5,N($X4746)+1,N($X4746)))</f>
        <v/>
      </c>
      <c r="Z4747">
        <f>IF($V4747="","",IF($AA4747&gt;N($AA4746),$AA4747,""))</f>
        <v/>
      </c>
      <c r="AA4747">
        <f>IF($V4747="",N($AA4746),IF(MATCH($V4747,$V$6:$V$6005,0)=ROW()-5,N($AA4746)+1,N($AA4746)))</f>
        <v/>
      </c>
    </row>
    <row r="4748" ht="21" customHeight="1" s="66">
      <c r="A4748" s="56" t="n"/>
      <c r="B4748" s="57" t="n"/>
      <c r="C4748" s="57" t="n"/>
      <c r="D4748" s="57" t="n"/>
      <c r="E4748" s="56" t="n"/>
      <c r="F4748" s="57" t="n"/>
      <c r="G4748" s="57" t="n"/>
      <c r="H4748" s="56" t="n"/>
      <c r="I4748" s="56" t="n"/>
      <c r="J4748" s="58" t="n"/>
      <c r="K4748" s="58" t="n"/>
      <c r="L4748" s="13">
        <f>IF(OR($A4748="",AND($J4748="",$K4748="")),"",ROUND(N($J4748)-N($K4748),2))</f>
        <v/>
      </c>
      <c r="M4748" s="13">
        <f>IF(OR($A4748="",AND($J4748="",$K4748="")),"",MIN($J4748,$K4748))</f>
        <v/>
      </c>
      <c r="Q4748">
        <f>IF($A4748="","",$D4748&amp;"("&amp;SUBSTITUTE($E4748," ","")&amp;")")</f>
        <v/>
      </c>
      <c r="R4748">
        <f>IF($A4748="","",$B4748&amp;" - "&amp;$C4748)</f>
        <v/>
      </c>
      <c r="S4748">
        <f>IF($A4748="","",$R4748&amp;"|"&amp;$Q4748)</f>
        <v/>
      </c>
      <c r="T4748">
        <f>IF($A4748="","",$S4748&amp;"|"&amp;$F4748)</f>
        <v/>
      </c>
      <c r="U4748">
        <f>IF($A4748="","",$R4748&amp;"("&amp;$E4748&amp;")")</f>
        <v/>
      </c>
      <c r="V4748">
        <f>IF($A4748="","",$F4748&amp;"|"&amp;$U4748&amp;"|"&amp;$D4748)</f>
        <v/>
      </c>
      <c r="W4748">
        <f>IF($T4748="","",IF($X4748&gt;N($X4747),$X4748,""))</f>
        <v/>
      </c>
      <c r="X4748">
        <f>IF($T4748="",N($X4747),IF(MATCH($T4748,$T$6:$T$6005,0)=ROW()-5,N($X4747)+1,N($X4747)))</f>
        <v/>
      </c>
      <c r="Z4748">
        <f>IF($V4748="","",IF($AA4748&gt;N($AA4747),$AA4748,""))</f>
        <v/>
      </c>
      <c r="AA4748">
        <f>IF($V4748="",N($AA4747),IF(MATCH($V4748,$V$6:$V$6005,0)=ROW()-5,N($AA4747)+1,N($AA4747)))</f>
        <v/>
      </c>
    </row>
    <row r="4749" ht="21" customHeight="1" s="66">
      <c r="A4749" s="56" t="n"/>
      <c r="B4749" s="57" t="n"/>
      <c r="C4749" s="57" t="n"/>
      <c r="D4749" s="57" t="n"/>
      <c r="E4749" s="56" t="n"/>
      <c r="F4749" s="57" t="n"/>
      <c r="G4749" s="57" t="n"/>
      <c r="H4749" s="56" t="n"/>
      <c r="I4749" s="56" t="n"/>
      <c r="J4749" s="58" t="n"/>
      <c r="K4749" s="58" t="n"/>
      <c r="L4749" s="13">
        <f>IF(OR($A4749="",AND($J4749="",$K4749="")),"",ROUND(N($J4749)-N($K4749),2))</f>
        <v/>
      </c>
      <c r="M4749" s="13">
        <f>IF(OR($A4749="",AND($J4749="",$K4749="")),"",MIN($J4749,$K4749))</f>
        <v/>
      </c>
      <c r="Q4749">
        <f>IF($A4749="","",$D4749&amp;"("&amp;SUBSTITUTE($E4749," ","")&amp;")")</f>
        <v/>
      </c>
      <c r="R4749">
        <f>IF($A4749="","",$B4749&amp;" - "&amp;$C4749)</f>
        <v/>
      </c>
      <c r="S4749">
        <f>IF($A4749="","",$R4749&amp;"|"&amp;$Q4749)</f>
        <v/>
      </c>
      <c r="T4749">
        <f>IF($A4749="","",$S4749&amp;"|"&amp;$F4749)</f>
        <v/>
      </c>
      <c r="U4749">
        <f>IF($A4749="","",$R4749&amp;"("&amp;$E4749&amp;")")</f>
        <v/>
      </c>
      <c r="V4749">
        <f>IF($A4749="","",$F4749&amp;"|"&amp;$U4749&amp;"|"&amp;$D4749)</f>
        <v/>
      </c>
      <c r="W4749">
        <f>IF($T4749="","",IF($X4749&gt;N($X4748),$X4749,""))</f>
        <v/>
      </c>
      <c r="X4749">
        <f>IF($T4749="",N($X4748),IF(MATCH($T4749,$T$6:$T$6005,0)=ROW()-5,N($X4748)+1,N($X4748)))</f>
        <v/>
      </c>
      <c r="Z4749">
        <f>IF($V4749="","",IF($AA4749&gt;N($AA4748),$AA4749,""))</f>
        <v/>
      </c>
      <c r="AA4749">
        <f>IF($V4749="",N($AA4748),IF(MATCH($V4749,$V$6:$V$6005,0)=ROW()-5,N($AA4748)+1,N($AA4748)))</f>
        <v/>
      </c>
    </row>
    <row r="4750" ht="21" customHeight="1" s="66">
      <c r="A4750" s="56" t="n"/>
      <c r="B4750" s="57" t="n"/>
      <c r="C4750" s="57" t="n"/>
      <c r="D4750" s="57" t="n"/>
      <c r="E4750" s="56" t="n"/>
      <c r="F4750" s="57" t="n"/>
      <c r="G4750" s="57" t="n"/>
      <c r="H4750" s="56" t="n"/>
      <c r="I4750" s="56" t="n"/>
      <c r="J4750" s="58" t="n"/>
      <c r="K4750" s="58" t="n"/>
      <c r="L4750" s="13">
        <f>IF(OR($A4750="",AND($J4750="",$K4750="")),"",ROUND(N($J4750)-N($K4750),2))</f>
        <v/>
      </c>
      <c r="M4750" s="13">
        <f>IF(OR($A4750="",AND($J4750="",$K4750="")),"",MIN($J4750,$K4750))</f>
        <v/>
      </c>
      <c r="Q4750">
        <f>IF($A4750="","",$D4750&amp;"("&amp;SUBSTITUTE($E4750," ","")&amp;")")</f>
        <v/>
      </c>
      <c r="R4750">
        <f>IF($A4750="","",$B4750&amp;" - "&amp;$C4750)</f>
        <v/>
      </c>
      <c r="S4750">
        <f>IF($A4750="","",$R4750&amp;"|"&amp;$Q4750)</f>
        <v/>
      </c>
      <c r="T4750">
        <f>IF($A4750="","",$S4750&amp;"|"&amp;$F4750)</f>
        <v/>
      </c>
      <c r="U4750">
        <f>IF($A4750="","",$R4750&amp;"("&amp;$E4750&amp;")")</f>
        <v/>
      </c>
      <c r="V4750">
        <f>IF($A4750="","",$F4750&amp;"|"&amp;$U4750&amp;"|"&amp;$D4750)</f>
        <v/>
      </c>
      <c r="W4750">
        <f>IF($T4750="","",IF($X4750&gt;N($X4749),$X4750,""))</f>
        <v/>
      </c>
      <c r="X4750">
        <f>IF($T4750="",N($X4749),IF(MATCH($T4750,$T$6:$T$6005,0)=ROW()-5,N($X4749)+1,N($X4749)))</f>
        <v/>
      </c>
      <c r="Z4750">
        <f>IF($V4750="","",IF($AA4750&gt;N($AA4749),$AA4750,""))</f>
        <v/>
      </c>
      <c r="AA4750">
        <f>IF($V4750="",N($AA4749),IF(MATCH($V4750,$V$6:$V$6005,0)=ROW()-5,N($AA4749)+1,N($AA4749)))</f>
        <v/>
      </c>
    </row>
    <row r="4751" ht="21" customHeight="1" s="66">
      <c r="A4751" s="56" t="n"/>
      <c r="B4751" s="57" t="n"/>
      <c r="C4751" s="57" t="n"/>
      <c r="D4751" s="57" t="n"/>
      <c r="E4751" s="56" t="n"/>
      <c r="F4751" s="57" t="n"/>
      <c r="G4751" s="57" t="n"/>
      <c r="H4751" s="56" t="n"/>
      <c r="I4751" s="56" t="n"/>
      <c r="J4751" s="58" t="n"/>
      <c r="K4751" s="58" t="n"/>
      <c r="L4751" s="13">
        <f>IF(OR($A4751="",AND($J4751="",$K4751="")),"",ROUND(N($J4751)-N($K4751),2))</f>
        <v/>
      </c>
      <c r="M4751" s="13">
        <f>IF(OR($A4751="",AND($J4751="",$K4751="")),"",MIN($J4751,$K4751))</f>
        <v/>
      </c>
      <c r="Q4751">
        <f>IF($A4751="","",$D4751&amp;"("&amp;SUBSTITUTE($E4751," ","")&amp;")")</f>
        <v/>
      </c>
      <c r="R4751">
        <f>IF($A4751="","",$B4751&amp;" - "&amp;$C4751)</f>
        <v/>
      </c>
      <c r="S4751">
        <f>IF($A4751="","",$R4751&amp;"|"&amp;$Q4751)</f>
        <v/>
      </c>
      <c r="T4751">
        <f>IF($A4751="","",$S4751&amp;"|"&amp;$F4751)</f>
        <v/>
      </c>
      <c r="U4751">
        <f>IF($A4751="","",$R4751&amp;"("&amp;$E4751&amp;")")</f>
        <v/>
      </c>
      <c r="V4751">
        <f>IF($A4751="","",$F4751&amp;"|"&amp;$U4751&amp;"|"&amp;$D4751)</f>
        <v/>
      </c>
      <c r="W4751">
        <f>IF($T4751="","",IF($X4751&gt;N($X4750),$X4751,""))</f>
        <v/>
      </c>
      <c r="X4751">
        <f>IF($T4751="",N($X4750),IF(MATCH($T4751,$T$6:$T$6005,0)=ROW()-5,N($X4750)+1,N($X4750)))</f>
        <v/>
      </c>
      <c r="Z4751">
        <f>IF($V4751="","",IF($AA4751&gt;N($AA4750),$AA4751,""))</f>
        <v/>
      </c>
      <c r="AA4751">
        <f>IF($V4751="",N($AA4750),IF(MATCH($V4751,$V$6:$V$6005,0)=ROW()-5,N($AA4750)+1,N($AA4750)))</f>
        <v/>
      </c>
    </row>
    <row r="4752" ht="21" customHeight="1" s="66">
      <c r="A4752" s="56" t="n"/>
      <c r="B4752" s="57" t="n"/>
      <c r="C4752" s="57" t="n"/>
      <c r="D4752" s="57" t="n"/>
      <c r="E4752" s="56" t="n"/>
      <c r="F4752" s="57" t="n"/>
      <c r="G4752" s="57" t="n"/>
      <c r="H4752" s="56" t="n"/>
      <c r="I4752" s="56" t="n"/>
      <c r="J4752" s="58" t="n"/>
      <c r="K4752" s="58" t="n"/>
      <c r="L4752" s="13">
        <f>IF(OR($A4752="",AND($J4752="",$K4752="")),"",ROUND(N($J4752)-N($K4752),2))</f>
        <v/>
      </c>
      <c r="M4752" s="13">
        <f>IF(OR($A4752="",AND($J4752="",$K4752="")),"",MIN($J4752,$K4752))</f>
        <v/>
      </c>
      <c r="Q4752">
        <f>IF($A4752="","",$D4752&amp;"("&amp;SUBSTITUTE($E4752," ","")&amp;")")</f>
        <v/>
      </c>
      <c r="R4752">
        <f>IF($A4752="","",$B4752&amp;" - "&amp;$C4752)</f>
        <v/>
      </c>
      <c r="S4752">
        <f>IF($A4752="","",$R4752&amp;"|"&amp;$Q4752)</f>
        <v/>
      </c>
      <c r="T4752">
        <f>IF($A4752="","",$S4752&amp;"|"&amp;$F4752)</f>
        <v/>
      </c>
      <c r="U4752">
        <f>IF($A4752="","",$R4752&amp;"("&amp;$E4752&amp;")")</f>
        <v/>
      </c>
      <c r="V4752">
        <f>IF($A4752="","",$F4752&amp;"|"&amp;$U4752&amp;"|"&amp;$D4752)</f>
        <v/>
      </c>
      <c r="W4752">
        <f>IF($T4752="","",IF($X4752&gt;N($X4751),$X4752,""))</f>
        <v/>
      </c>
      <c r="X4752">
        <f>IF($T4752="",N($X4751),IF(MATCH($T4752,$T$6:$T$6005,0)=ROW()-5,N($X4751)+1,N($X4751)))</f>
        <v/>
      </c>
      <c r="Z4752">
        <f>IF($V4752="","",IF($AA4752&gt;N($AA4751),$AA4752,""))</f>
        <v/>
      </c>
      <c r="AA4752">
        <f>IF($V4752="",N($AA4751),IF(MATCH($V4752,$V$6:$V$6005,0)=ROW()-5,N($AA4751)+1,N($AA4751)))</f>
        <v/>
      </c>
    </row>
    <row r="4753" ht="21" customHeight="1" s="66">
      <c r="A4753" s="56" t="n"/>
      <c r="B4753" s="57" t="n"/>
      <c r="C4753" s="57" t="n"/>
      <c r="D4753" s="57" t="n"/>
      <c r="E4753" s="56" t="n"/>
      <c r="F4753" s="57" t="n"/>
      <c r="G4753" s="57" t="n"/>
      <c r="H4753" s="56" t="n"/>
      <c r="I4753" s="56" t="n"/>
      <c r="J4753" s="58" t="n"/>
      <c r="K4753" s="58" t="n"/>
      <c r="L4753" s="13">
        <f>IF(OR($A4753="",AND($J4753="",$K4753="")),"",ROUND(N($J4753)-N($K4753),2))</f>
        <v/>
      </c>
      <c r="M4753" s="13">
        <f>IF(OR($A4753="",AND($J4753="",$K4753="")),"",MIN($J4753,$K4753))</f>
        <v/>
      </c>
      <c r="Q4753">
        <f>IF($A4753="","",$D4753&amp;"("&amp;SUBSTITUTE($E4753," ","")&amp;")")</f>
        <v/>
      </c>
      <c r="R4753">
        <f>IF($A4753="","",$B4753&amp;" - "&amp;$C4753)</f>
        <v/>
      </c>
      <c r="S4753">
        <f>IF($A4753="","",$R4753&amp;"|"&amp;$Q4753)</f>
        <v/>
      </c>
      <c r="T4753">
        <f>IF($A4753="","",$S4753&amp;"|"&amp;$F4753)</f>
        <v/>
      </c>
      <c r="U4753">
        <f>IF($A4753="","",$R4753&amp;"("&amp;$E4753&amp;")")</f>
        <v/>
      </c>
      <c r="V4753">
        <f>IF($A4753="","",$F4753&amp;"|"&amp;$U4753&amp;"|"&amp;$D4753)</f>
        <v/>
      </c>
      <c r="W4753">
        <f>IF($T4753="","",IF($X4753&gt;N($X4752),$X4753,""))</f>
        <v/>
      </c>
      <c r="X4753">
        <f>IF($T4753="",N($X4752),IF(MATCH($T4753,$T$6:$T$6005,0)=ROW()-5,N($X4752)+1,N($X4752)))</f>
        <v/>
      </c>
      <c r="Z4753">
        <f>IF($V4753="","",IF($AA4753&gt;N($AA4752),$AA4753,""))</f>
        <v/>
      </c>
      <c r="AA4753">
        <f>IF($V4753="",N($AA4752),IF(MATCH($V4753,$V$6:$V$6005,0)=ROW()-5,N($AA4752)+1,N($AA4752)))</f>
        <v/>
      </c>
    </row>
    <row r="4754" ht="21" customHeight="1" s="66">
      <c r="A4754" s="56" t="n"/>
      <c r="B4754" s="57" t="n"/>
      <c r="C4754" s="57" t="n"/>
      <c r="D4754" s="57" t="n"/>
      <c r="E4754" s="56" t="n"/>
      <c r="F4754" s="57" t="n"/>
      <c r="G4754" s="57" t="n"/>
      <c r="H4754" s="56" t="n"/>
      <c r="I4754" s="56" t="n"/>
      <c r="J4754" s="58" t="n"/>
      <c r="K4754" s="58" t="n"/>
      <c r="L4754" s="13">
        <f>IF(OR($A4754="",AND($J4754="",$K4754="")),"",ROUND(N($J4754)-N($K4754),2))</f>
        <v/>
      </c>
      <c r="M4754" s="13">
        <f>IF(OR($A4754="",AND($J4754="",$K4754="")),"",MIN($J4754,$K4754))</f>
        <v/>
      </c>
      <c r="Q4754">
        <f>IF($A4754="","",$D4754&amp;"("&amp;SUBSTITUTE($E4754," ","")&amp;")")</f>
        <v/>
      </c>
      <c r="R4754">
        <f>IF($A4754="","",$B4754&amp;" - "&amp;$C4754)</f>
        <v/>
      </c>
      <c r="S4754">
        <f>IF($A4754="","",$R4754&amp;"|"&amp;$Q4754)</f>
        <v/>
      </c>
      <c r="T4754">
        <f>IF($A4754="","",$S4754&amp;"|"&amp;$F4754)</f>
        <v/>
      </c>
      <c r="U4754">
        <f>IF($A4754="","",$R4754&amp;"("&amp;$E4754&amp;")")</f>
        <v/>
      </c>
      <c r="V4754">
        <f>IF($A4754="","",$F4754&amp;"|"&amp;$U4754&amp;"|"&amp;$D4754)</f>
        <v/>
      </c>
      <c r="W4754">
        <f>IF($T4754="","",IF($X4754&gt;N($X4753),$X4754,""))</f>
        <v/>
      </c>
      <c r="X4754">
        <f>IF($T4754="",N($X4753),IF(MATCH($T4754,$T$6:$T$6005,0)=ROW()-5,N($X4753)+1,N($X4753)))</f>
        <v/>
      </c>
      <c r="Z4754">
        <f>IF($V4754="","",IF($AA4754&gt;N($AA4753),$AA4754,""))</f>
        <v/>
      </c>
      <c r="AA4754">
        <f>IF($V4754="",N($AA4753),IF(MATCH($V4754,$V$6:$V$6005,0)=ROW()-5,N($AA4753)+1,N($AA4753)))</f>
        <v/>
      </c>
    </row>
    <row r="4755" ht="21" customHeight="1" s="66">
      <c r="A4755" s="56" t="n"/>
      <c r="B4755" s="57" t="n"/>
      <c r="C4755" s="57" t="n"/>
      <c r="D4755" s="57" t="n"/>
      <c r="E4755" s="56" t="n"/>
      <c r="F4755" s="57" t="n"/>
      <c r="G4755" s="57" t="n"/>
      <c r="H4755" s="56" t="n"/>
      <c r="I4755" s="56" t="n"/>
      <c r="J4755" s="58" t="n"/>
      <c r="K4755" s="58" t="n"/>
      <c r="L4755" s="13">
        <f>IF(OR($A4755="",AND($J4755="",$K4755="")),"",ROUND(N($J4755)-N($K4755),2))</f>
        <v/>
      </c>
      <c r="M4755" s="13">
        <f>IF(OR($A4755="",AND($J4755="",$K4755="")),"",MIN($J4755,$K4755))</f>
        <v/>
      </c>
      <c r="Q4755">
        <f>IF($A4755="","",$D4755&amp;"("&amp;SUBSTITUTE($E4755," ","")&amp;")")</f>
        <v/>
      </c>
      <c r="R4755">
        <f>IF($A4755="","",$B4755&amp;" - "&amp;$C4755)</f>
        <v/>
      </c>
      <c r="S4755">
        <f>IF($A4755="","",$R4755&amp;"|"&amp;$Q4755)</f>
        <v/>
      </c>
      <c r="T4755">
        <f>IF($A4755="","",$S4755&amp;"|"&amp;$F4755)</f>
        <v/>
      </c>
      <c r="U4755">
        <f>IF($A4755="","",$R4755&amp;"("&amp;$E4755&amp;")")</f>
        <v/>
      </c>
      <c r="V4755">
        <f>IF($A4755="","",$F4755&amp;"|"&amp;$U4755&amp;"|"&amp;$D4755)</f>
        <v/>
      </c>
      <c r="W4755">
        <f>IF($T4755="","",IF($X4755&gt;N($X4754),$X4755,""))</f>
        <v/>
      </c>
      <c r="X4755">
        <f>IF($T4755="",N($X4754),IF(MATCH($T4755,$T$6:$T$6005,0)=ROW()-5,N($X4754)+1,N($X4754)))</f>
        <v/>
      </c>
      <c r="Z4755">
        <f>IF($V4755="","",IF($AA4755&gt;N($AA4754),$AA4755,""))</f>
        <v/>
      </c>
      <c r="AA4755">
        <f>IF($V4755="",N($AA4754),IF(MATCH($V4755,$V$6:$V$6005,0)=ROW()-5,N($AA4754)+1,N($AA4754)))</f>
        <v/>
      </c>
    </row>
    <row r="4756" ht="21" customHeight="1" s="66">
      <c r="A4756" s="56" t="n"/>
      <c r="B4756" s="57" t="n"/>
      <c r="C4756" s="57" t="n"/>
      <c r="D4756" s="57" t="n"/>
      <c r="E4756" s="56" t="n"/>
      <c r="F4756" s="57" t="n"/>
      <c r="G4756" s="57" t="n"/>
      <c r="H4756" s="56" t="n"/>
      <c r="I4756" s="56" t="n"/>
      <c r="J4756" s="58" t="n"/>
      <c r="K4756" s="58" t="n"/>
      <c r="L4756" s="13">
        <f>IF(OR($A4756="",AND($J4756="",$K4756="")),"",ROUND(N($J4756)-N($K4756),2))</f>
        <v/>
      </c>
      <c r="M4756" s="13">
        <f>IF(OR($A4756="",AND($J4756="",$K4756="")),"",MIN($J4756,$K4756))</f>
        <v/>
      </c>
      <c r="Q4756">
        <f>IF($A4756="","",$D4756&amp;"("&amp;SUBSTITUTE($E4756," ","")&amp;")")</f>
        <v/>
      </c>
      <c r="R4756">
        <f>IF($A4756="","",$B4756&amp;" - "&amp;$C4756)</f>
        <v/>
      </c>
      <c r="S4756">
        <f>IF($A4756="","",$R4756&amp;"|"&amp;$Q4756)</f>
        <v/>
      </c>
      <c r="T4756">
        <f>IF($A4756="","",$S4756&amp;"|"&amp;$F4756)</f>
        <v/>
      </c>
      <c r="U4756">
        <f>IF($A4756="","",$R4756&amp;"("&amp;$E4756&amp;")")</f>
        <v/>
      </c>
      <c r="V4756">
        <f>IF($A4756="","",$F4756&amp;"|"&amp;$U4756&amp;"|"&amp;$D4756)</f>
        <v/>
      </c>
      <c r="W4756">
        <f>IF($T4756="","",IF($X4756&gt;N($X4755),$X4756,""))</f>
        <v/>
      </c>
      <c r="X4756">
        <f>IF($T4756="",N($X4755),IF(MATCH($T4756,$T$6:$T$6005,0)=ROW()-5,N($X4755)+1,N($X4755)))</f>
        <v/>
      </c>
      <c r="Z4756">
        <f>IF($V4756="","",IF($AA4756&gt;N($AA4755),$AA4756,""))</f>
        <v/>
      </c>
      <c r="AA4756">
        <f>IF($V4756="",N($AA4755),IF(MATCH($V4756,$V$6:$V$6005,0)=ROW()-5,N($AA4755)+1,N($AA4755)))</f>
        <v/>
      </c>
    </row>
    <row r="4757" ht="21" customHeight="1" s="66">
      <c r="A4757" s="56" t="n"/>
      <c r="B4757" s="57" t="n"/>
      <c r="C4757" s="57" t="n"/>
      <c r="D4757" s="57" t="n"/>
      <c r="E4757" s="56" t="n"/>
      <c r="F4757" s="57" t="n"/>
      <c r="G4757" s="57" t="n"/>
      <c r="H4757" s="56" t="n"/>
      <c r="I4757" s="56" t="n"/>
      <c r="J4757" s="58" t="n"/>
      <c r="K4757" s="58" t="n"/>
      <c r="L4757" s="13">
        <f>IF(OR($A4757="",AND($J4757="",$K4757="")),"",ROUND(N($J4757)-N($K4757),2))</f>
        <v/>
      </c>
      <c r="M4757" s="13">
        <f>IF(OR($A4757="",AND($J4757="",$K4757="")),"",MIN($J4757,$K4757))</f>
        <v/>
      </c>
      <c r="Q4757">
        <f>IF($A4757="","",$D4757&amp;"("&amp;SUBSTITUTE($E4757," ","")&amp;")")</f>
        <v/>
      </c>
      <c r="R4757">
        <f>IF($A4757="","",$B4757&amp;" - "&amp;$C4757)</f>
        <v/>
      </c>
      <c r="S4757">
        <f>IF($A4757="","",$R4757&amp;"|"&amp;$Q4757)</f>
        <v/>
      </c>
      <c r="T4757">
        <f>IF($A4757="","",$S4757&amp;"|"&amp;$F4757)</f>
        <v/>
      </c>
      <c r="U4757">
        <f>IF($A4757="","",$R4757&amp;"("&amp;$E4757&amp;")")</f>
        <v/>
      </c>
      <c r="V4757">
        <f>IF($A4757="","",$F4757&amp;"|"&amp;$U4757&amp;"|"&amp;$D4757)</f>
        <v/>
      </c>
      <c r="W4757">
        <f>IF($T4757="","",IF($X4757&gt;N($X4756),$X4757,""))</f>
        <v/>
      </c>
      <c r="X4757">
        <f>IF($T4757="",N($X4756),IF(MATCH($T4757,$T$6:$T$6005,0)=ROW()-5,N($X4756)+1,N($X4756)))</f>
        <v/>
      </c>
      <c r="Z4757">
        <f>IF($V4757="","",IF($AA4757&gt;N($AA4756),$AA4757,""))</f>
        <v/>
      </c>
      <c r="AA4757">
        <f>IF($V4757="",N($AA4756),IF(MATCH($V4757,$V$6:$V$6005,0)=ROW()-5,N($AA4756)+1,N($AA4756)))</f>
        <v/>
      </c>
    </row>
    <row r="4758" ht="21" customHeight="1" s="66">
      <c r="A4758" s="56" t="n"/>
      <c r="B4758" s="57" t="n"/>
      <c r="C4758" s="57" t="n"/>
      <c r="D4758" s="57" t="n"/>
      <c r="E4758" s="56" t="n"/>
      <c r="F4758" s="57" t="n"/>
      <c r="G4758" s="57" t="n"/>
      <c r="H4758" s="56" t="n"/>
      <c r="I4758" s="56" t="n"/>
      <c r="J4758" s="58" t="n"/>
      <c r="K4758" s="58" t="n"/>
      <c r="L4758" s="13">
        <f>IF(OR($A4758="",AND($J4758="",$K4758="")),"",ROUND(N($J4758)-N($K4758),2))</f>
        <v/>
      </c>
      <c r="M4758" s="13">
        <f>IF(OR($A4758="",AND($J4758="",$K4758="")),"",MIN($J4758,$K4758))</f>
        <v/>
      </c>
      <c r="Q4758">
        <f>IF($A4758="","",$D4758&amp;"("&amp;SUBSTITUTE($E4758," ","")&amp;")")</f>
        <v/>
      </c>
      <c r="R4758">
        <f>IF($A4758="","",$B4758&amp;" - "&amp;$C4758)</f>
        <v/>
      </c>
      <c r="S4758">
        <f>IF($A4758="","",$R4758&amp;"|"&amp;$Q4758)</f>
        <v/>
      </c>
      <c r="T4758">
        <f>IF($A4758="","",$S4758&amp;"|"&amp;$F4758)</f>
        <v/>
      </c>
      <c r="U4758">
        <f>IF($A4758="","",$R4758&amp;"("&amp;$E4758&amp;")")</f>
        <v/>
      </c>
      <c r="V4758">
        <f>IF($A4758="","",$F4758&amp;"|"&amp;$U4758&amp;"|"&amp;$D4758)</f>
        <v/>
      </c>
      <c r="W4758">
        <f>IF($T4758="","",IF($X4758&gt;N($X4757),$X4758,""))</f>
        <v/>
      </c>
      <c r="X4758">
        <f>IF($T4758="",N($X4757),IF(MATCH($T4758,$T$6:$T$6005,0)=ROW()-5,N($X4757)+1,N($X4757)))</f>
        <v/>
      </c>
      <c r="Z4758">
        <f>IF($V4758="","",IF($AA4758&gt;N($AA4757),$AA4758,""))</f>
        <v/>
      </c>
      <c r="AA4758">
        <f>IF($V4758="",N($AA4757),IF(MATCH($V4758,$V$6:$V$6005,0)=ROW()-5,N($AA4757)+1,N($AA4757)))</f>
        <v/>
      </c>
    </row>
    <row r="4759" ht="21" customHeight="1" s="66">
      <c r="A4759" s="56" t="n"/>
      <c r="B4759" s="57" t="n"/>
      <c r="C4759" s="57" t="n"/>
      <c r="D4759" s="57" t="n"/>
      <c r="E4759" s="56" t="n"/>
      <c r="F4759" s="57" t="n"/>
      <c r="G4759" s="57" t="n"/>
      <c r="H4759" s="56" t="n"/>
      <c r="I4759" s="56" t="n"/>
      <c r="J4759" s="58" t="n"/>
      <c r="K4759" s="58" t="n"/>
      <c r="L4759" s="13">
        <f>IF(OR($A4759="",AND($J4759="",$K4759="")),"",ROUND(N($J4759)-N($K4759),2))</f>
        <v/>
      </c>
      <c r="M4759" s="13">
        <f>IF(OR($A4759="",AND($J4759="",$K4759="")),"",MIN($J4759,$K4759))</f>
        <v/>
      </c>
      <c r="Q4759">
        <f>IF($A4759="","",$D4759&amp;"("&amp;SUBSTITUTE($E4759," ","")&amp;")")</f>
        <v/>
      </c>
      <c r="R4759">
        <f>IF($A4759="","",$B4759&amp;" - "&amp;$C4759)</f>
        <v/>
      </c>
      <c r="S4759">
        <f>IF($A4759="","",$R4759&amp;"|"&amp;$Q4759)</f>
        <v/>
      </c>
      <c r="T4759">
        <f>IF($A4759="","",$S4759&amp;"|"&amp;$F4759)</f>
        <v/>
      </c>
      <c r="U4759">
        <f>IF($A4759="","",$R4759&amp;"("&amp;$E4759&amp;")")</f>
        <v/>
      </c>
      <c r="V4759">
        <f>IF($A4759="","",$F4759&amp;"|"&amp;$U4759&amp;"|"&amp;$D4759)</f>
        <v/>
      </c>
      <c r="W4759">
        <f>IF($T4759="","",IF($X4759&gt;N($X4758),$X4759,""))</f>
        <v/>
      </c>
      <c r="X4759">
        <f>IF($T4759="",N($X4758),IF(MATCH($T4759,$T$6:$T$6005,0)=ROW()-5,N($X4758)+1,N($X4758)))</f>
        <v/>
      </c>
      <c r="Z4759">
        <f>IF($V4759="","",IF($AA4759&gt;N($AA4758),$AA4759,""))</f>
        <v/>
      </c>
      <c r="AA4759">
        <f>IF($V4759="",N($AA4758),IF(MATCH($V4759,$V$6:$V$6005,0)=ROW()-5,N($AA4758)+1,N($AA4758)))</f>
        <v/>
      </c>
    </row>
    <row r="4760" ht="21" customHeight="1" s="66">
      <c r="A4760" s="56" t="n"/>
      <c r="B4760" s="57" t="n"/>
      <c r="C4760" s="57" t="n"/>
      <c r="D4760" s="57" t="n"/>
      <c r="E4760" s="56" t="n"/>
      <c r="F4760" s="57" t="n"/>
      <c r="G4760" s="57" t="n"/>
      <c r="H4760" s="56" t="n"/>
      <c r="I4760" s="56" t="n"/>
      <c r="J4760" s="58" t="n"/>
      <c r="K4760" s="58" t="n"/>
      <c r="L4760" s="13">
        <f>IF(OR($A4760="",AND($J4760="",$K4760="")),"",ROUND(N($J4760)-N($K4760),2))</f>
        <v/>
      </c>
      <c r="M4760" s="13">
        <f>IF(OR($A4760="",AND($J4760="",$K4760="")),"",MIN($J4760,$K4760))</f>
        <v/>
      </c>
      <c r="Q4760">
        <f>IF($A4760="","",$D4760&amp;"("&amp;SUBSTITUTE($E4760," ","")&amp;")")</f>
        <v/>
      </c>
      <c r="R4760">
        <f>IF($A4760="","",$B4760&amp;" - "&amp;$C4760)</f>
        <v/>
      </c>
      <c r="S4760">
        <f>IF($A4760="","",$R4760&amp;"|"&amp;$Q4760)</f>
        <v/>
      </c>
      <c r="T4760">
        <f>IF($A4760="","",$S4760&amp;"|"&amp;$F4760)</f>
        <v/>
      </c>
      <c r="U4760">
        <f>IF($A4760="","",$R4760&amp;"("&amp;$E4760&amp;")")</f>
        <v/>
      </c>
      <c r="V4760">
        <f>IF($A4760="","",$F4760&amp;"|"&amp;$U4760&amp;"|"&amp;$D4760)</f>
        <v/>
      </c>
      <c r="W4760">
        <f>IF($T4760="","",IF($X4760&gt;N($X4759),$X4760,""))</f>
        <v/>
      </c>
      <c r="X4760">
        <f>IF($T4760="",N($X4759),IF(MATCH($T4760,$T$6:$T$6005,0)=ROW()-5,N($X4759)+1,N($X4759)))</f>
        <v/>
      </c>
      <c r="Z4760">
        <f>IF($V4760="","",IF($AA4760&gt;N($AA4759),$AA4760,""))</f>
        <v/>
      </c>
      <c r="AA4760">
        <f>IF($V4760="",N($AA4759),IF(MATCH($V4760,$V$6:$V$6005,0)=ROW()-5,N($AA4759)+1,N($AA4759)))</f>
        <v/>
      </c>
    </row>
    <row r="4761" ht="21" customHeight="1" s="66">
      <c r="A4761" s="56" t="n"/>
      <c r="B4761" s="57" t="n"/>
      <c r="C4761" s="57" t="n"/>
      <c r="D4761" s="57" t="n"/>
      <c r="E4761" s="56" t="n"/>
      <c r="F4761" s="57" t="n"/>
      <c r="G4761" s="57" t="n"/>
      <c r="H4761" s="56" t="n"/>
      <c r="I4761" s="56" t="n"/>
      <c r="J4761" s="58" t="n"/>
      <c r="K4761" s="58" t="n"/>
      <c r="L4761" s="13">
        <f>IF(OR($A4761="",AND($J4761="",$K4761="")),"",ROUND(N($J4761)-N($K4761),2))</f>
        <v/>
      </c>
      <c r="M4761" s="13">
        <f>IF(OR($A4761="",AND($J4761="",$K4761="")),"",MIN($J4761,$K4761))</f>
        <v/>
      </c>
      <c r="Q4761">
        <f>IF($A4761="","",$D4761&amp;"("&amp;SUBSTITUTE($E4761," ","")&amp;")")</f>
        <v/>
      </c>
      <c r="R4761">
        <f>IF($A4761="","",$B4761&amp;" - "&amp;$C4761)</f>
        <v/>
      </c>
      <c r="S4761">
        <f>IF($A4761="","",$R4761&amp;"|"&amp;$Q4761)</f>
        <v/>
      </c>
      <c r="T4761">
        <f>IF($A4761="","",$S4761&amp;"|"&amp;$F4761)</f>
        <v/>
      </c>
      <c r="U4761">
        <f>IF($A4761="","",$R4761&amp;"("&amp;$E4761&amp;")")</f>
        <v/>
      </c>
      <c r="V4761">
        <f>IF($A4761="","",$F4761&amp;"|"&amp;$U4761&amp;"|"&amp;$D4761)</f>
        <v/>
      </c>
      <c r="W4761">
        <f>IF($T4761="","",IF($X4761&gt;N($X4760),$X4761,""))</f>
        <v/>
      </c>
      <c r="X4761">
        <f>IF($T4761="",N($X4760),IF(MATCH($T4761,$T$6:$T$6005,0)=ROW()-5,N($X4760)+1,N($X4760)))</f>
        <v/>
      </c>
      <c r="Z4761">
        <f>IF($V4761="","",IF($AA4761&gt;N($AA4760),$AA4761,""))</f>
        <v/>
      </c>
      <c r="AA4761">
        <f>IF($V4761="",N($AA4760),IF(MATCH($V4761,$V$6:$V$6005,0)=ROW()-5,N($AA4760)+1,N($AA4760)))</f>
        <v/>
      </c>
    </row>
    <row r="4762" ht="21" customHeight="1" s="66">
      <c r="A4762" s="56" t="n"/>
      <c r="B4762" s="57" t="n"/>
      <c r="C4762" s="57" t="n"/>
      <c r="D4762" s="57" t="n"/>
      <c r="E4762" s="56" t="n"/>
      <c r="F4762" s="57" t="n"/>
      <c r="G4762" s="57" t="n"/>
      <c r="H4762" s="56" t="n"/>
      <c r="I4762" s="56" t="n"/>
      <c r="J4762" s="58" t="n"/>
      <c r="K4762" s="58" t="n"/>
      <c r="L4762" s="13">
        <f>IF(OR($A4762="",AND($J4762="",$K4762="")),"",ROUND(N($J4762)-N($K4762),2))</f>
        <v/>
      </c>
      <c r="M4762" s="13">
        <f>IF(OR($A4762="",AND($J4762="",$K4762="")),"",MIN($J4762,$K4762))</f>
        <v/>
      </c>
      <c r="Q4762">
        <f>IF($A4762="","",$D4762&amp;"("&amp;SUBSTITUTE($E4762," ","")&amp;")")</f>
        <v/>
      </c>
      <c r="R4762">
        <f>IF($A4762="","",$B4762&amp;" - "&amp;$C4762)</f>
        <v/>
      </c>
      <c r="S4762">
        <f>IF($A4762="","",$R4762&amp;"|"&amp;$Q4762)</f>
        <v/>
      </c>
      <c r="T4762">
        <f>IF($A4762="","",$S4762&amp;"|"&amp;$F4762)</f>
        <v/>
      </c>
      <c r="U4762">
        <f>IF($A4762="","",$R4762&amp;"("&amp;$E4762&amp;")")</f>
        <v/>
      </c>
      <c r="V4762">
        <f>IF($A4762="","",$F4762&amp;"|"&amp;$U4762&amp;"|"&amp;$D4762)</f>
        <v/>
      </c>
      <c r="W4762">
        <f>IF($T4762="","",IF($X4762&gt;N($X4761),$X4762,""))</f>
        <v/>
      </c>
      <c r="X4762">
        <f>IF($T4762="",N($X4761),IF(MATCH($T4762,$T$6:$T$6005,0)=ROW()-5,N($X4761)+1,N($X4761)))</f>
        <v/>
      </c>
      <c r="Z4762">
        <f>IF($V4762="","",IF($AA4762&gt;N($AA4761),$AA4762,""))</f>
        <v/>
      </c>
      <c r="AA4762">
        <f>IF($V4762="",N($AA4761),IF(MATCH($V4762,$V$6:$V$6005,0)=ROW()-5,N($AA4761)+1,N($AA4761)))</f>
        <v/>
      </c>
    </row>
    <row r="4763" ht="21" customHeight="1" s="66">
      <c r="A4763" s="56" t="n"/>
      <c r="B4763" s="57" t="n"/>
      <c r="C4763" s="57" t="n"/>
      <c r="D4763" s="57" t="n"/>
      <c r="E4763" s="56" t="n"/>
      <c r="F4763" s="57" t="n"/>
      <c r="G4763" s="57" t="n"/>
      <c r="H4763" s="56" t="n"/>
      <c r="I4763" s="56" t="n"/>
      <c r="J4763" s="58" t="n"/>
      <c r="K4763" s="58" t="n"/>
      <c r="L4763" s="13">
        <f>IF(OR($A4763="",AND($J4763="",$K4763="")),"",ROUND(N($J4763)-N($K4763),2))</f>
        <v/>
      </c>
      <c r="M4763" s="13">
        <f>IF(OR($A4763="",AND($J4763="",$K4763="")),"",MIN($J4763,$K4763))</f>
        <v/>
      </c>
      <c r="Q4763">
        <f>IF($A4763="","",$D4763&amp;"("&amp;SUBSTITUTE($E4763," ","")&amp;")")</f>
        <v/>
      </c>
      <c r="R4763">
        <f>IF($A4763="","",$B4763&amp;" - "&amp;$C4763)</f>
        <v/>
      </c>
      <c r="S4763">
        <f>IF($A4763="","",$R4763&amp;"|"&amp;$Q4763)</f>
        <v/>
      </c>
      <c r="T4763">
        <f>IF($A4763="","",$S4763&amp;"|"&amp;$F4763)</f>
        <v/>
      </c>
      <c r="U4763">
        <f>IF($A4763="","",$R4763&amp;"("&amp;$E4763&amp;")")</f>
        <v/>
      </c>
      <c r="V4763">
        <f>IF($A4763="","",$F4763&amp;"|"&amp;$U4763&amp;"|"&amp;$D4763)</f>
        <v/>
      </c>
      <c r="W4763">
        <f>IF($T4763="","",IF($X4763&gt;N($X4762),$X4763,""))</f>
        <v/>
      </c>
      <c r="X4763">
        <f>IF($T4763="",N($X4762),IF(MATCH($T4763,$T$6:$T$6005,0)=ROW()-5,N($X4762)+1,N($X4762)))</f>
        <v/>
      </c>
      <c r="Z4763">
        <f>IF($V4763="","",IF($AA4763&gt;N($AA4762),$AA4763,""))</f>
        <v/>
      </c>
      <c r="AA4763">
        <f>IF($V4763="",N($AA4762),IF(MATCH($V4763,$V$6:$V$6005,0)=ROW()-5,N($AA4762)+1,N($AA4762)))</f>
        <v/>
      </c>
    </row>
    <row r="4764" ht="21" customHeight="1" s="66">
      <c r="A4764" s="56" t="n"/>
      <c r="B4764" s="57" t="n"/>
      <c r="C4764" s="57" t="n"/>
      <c r="D4764" s="57" t="n"/>
      <c r="E4764" s="56" t="n"/>
      <c r="F4764" s="57" t="n"/>
      <c r="G4764" s="57" t="n"/>
      <c r="H4764" s="56" t="n"/>
      <c r="I4764" s="56" t="n"/>
      <c r="J4764" s="58" t="n"/>
      <c r="K4764" s="58" t="n"/>
      <c r="L4764" s="13">
        <f>IF(OR($A4764="",AND($J4764="",$K4764="")),"",ROUND(N($J4764)-N($K4764),2))</f>
        <v/>
      </c>
      <c r="M4764" s="13">
        <f>IF(OR($A4764="",AND($J4764="",$K4764="")),"",MIN($J4764,$K4764))</f>
        <v/>
      </c>
      <c r="Q4764">
        <f>IF($A4764="","",$D4764&amp;"("&amp;SUBSTITUTE($E4764," ","")&amp;")")</f>
        <v/>
      </c>
      <c r="R4764">
        <f>IF($A4764="","",$B4764&amp;" - "&amp;$C4764)</f>
        <v/>
      </c>
      <c r="S4764">
        <f>IF($A4764="","",$R4764&amp;"|"&amp;$Q4764)</f>
        <v/>
      </c>
      <c r="T4764">
        <f>IF($A4764="","",$S4764&amp;"|"&amp;$F4764)</f>
        <v/>
      </c>
      <c r="U4764">
        <f>IF($A4764="","",$R4764&amp;"("&amp;$E4764&amp;")")</f>
        <v/>
      </c>
      <c r="V4764">
        <f>IF($A4764="","",$F4764&amp;"|"&amp;$U4764&amp;"|"&amp;$D4764)</f>
        <v/>
      </c>
      <c r="W4764">
        <f>IF($T4764="","",IF($X4764&gt;N($X4763),$X4764,""))</f>
        <v/>
      </c>
      <c r="X4764">
        <f>IF($T4764="",N($X4763),IF(MATCH($T4764,$T$6:$T$6005,0)=ROW()-5,N($X4763)+1,N($X4763)))</f>
        <v/>
      </c>
      <c r="Z4764">
        <f>IF($V4764="","",IF($AA4764&gt;N($AA4763),$AA4764,""))</f>
        <v/>
      </c>
      <c r="AA4764">
        <f>IF($V4764="",N($AA4763),IF(MATCH($V4764,$V$6:$V$6005,0)=ROW()-5,N($AA4763)+1,N($AA4763)))</f>
        <v/>
      </c>
    </row>
    <row r="4765" ht="21" customHeight="1" s="66">
      <c r="A4765" s="56" t="n"/>
      <c r="B4765" s="57" t="n"/>
      <c r="C4765" s="57" t="n"/>
      <c r="D4765" s="57" t="n"/>
      <c r="E4765" s="56" t="n"/>
      <c r="F4765" s="57" t="n"/>
      <c r="G4765" s="57" t="n"/>
      <c r="H4765" s="56" t="n"/>
      <c r="I4765" s="56" t="n"/>
      <c r="J4765" s="58" t="n"/>
      <c r="K4765" s="58" t="n"/>
      <c r="L4765" s="13">
        <f>IF(OR($A4765="",AND($J4765="",$K4765="")),"",ROUND(N($J4765)-N($K4765),2))</f>
        <v/>
      </c>
      <c r="M4765" s="13">
        <f>IF(OR($A4765="",AND($J4765="",$K4765="")),"",MIN($J4765,$K4765))</f>
        <v/>
      </c>
      <c r="Q4765">
        <f>IF($A4765="","",$D4765&amp;"("&amp;SUBSTITUTE($E4765," ","")&amp;")")</f>
        <v/>
      </c>
      <c r="R4765">
        <f>IF($A4765="","",$B4765&amp;" - "&amp;$C4765)</f>
        <v/>
      </c>
      <c r="S4765">
        <f>IF($A4765="","",$R4765&amp;"|"&amp;$Q4765)</f>
        <v/>
      </c>
      <c r="T4765">
        <f>IF($A4765="","",$S4765&amp;"|"&amp;$F4765)</f>
        <v/>
      </c>
      <c r="U4765">
        <f>IF($A4765="","",$R4765&amp;"("&amp;$E4765&amp;")")</f>
        <v/>
      </c>
      <c r="V4765">
        <f>IF($A4765="","",$F4765&amp;"|"&amp;$U4765&amp;"|"&amp;$D4765)</f>
        <v/>
      </c>
      <c r="W4765">
        <f>IF($T4765="","",IF($X4765&gt;N($X4764),$X4765,""))</f>
        <v/>
      </c>
      <c r="X4765">
        <f>IF($T4765="",N($X4764),IF(MATCH($T4765,$T$6:$T$6005,0)=ROW()-5,N($X4764)+1,N($X4764)))</f>
        <v/>
      </c>
      <c r="Z4765">
        <f>IF($V4765="","",IF($AA4765&gt;N($AA4764),$AA4765,""))</f>
        <v/>
      </c>
      <c r="AA4765">
        <f>IF($V4765="",N($AA4764),IF(MATCH($V4765,$V$6:$V$6005,0)=ROW()-5,N($AA4764)+1,N($AA4764)))</f>
        <v/>
      </c>
    </row>
    <row r="4766" ht="21" customHeight="1" s="66">
      <c r="A4766" s="56" t="n"/>
      <c r="B4766" s="57" t="n"/>
      <c r="C4766" s="57" t="n"/>
      <c r="D4766" s="57" t="n"/>
      <c r="E4766" s="56" t="n"/>
      <c r="F4766" s="57" t="n"/>
      <c r="G4766" s="57" t="n"/>
      <c r="H4766" s="56" t="n"/>
      <c r="I4766" s="56" t="n"/>
      <c r="J4766" s="58" t="n"/>
      <c r="K4766" s="58" t="n"/>
      <c r="L4766" s="13">
        <f>IF(OR($A4766="",AND($J4766="",$K4766="")),"",ROUND(N($J4766)-N($K4766),2))</f>
        <v/>
      </c>
      <c r="M4766" s="13">
        <f>IF(OR($A4766="",AND($J4766="",$K4766="")),"",MIN($J4766,$K4766))</f>
        <v/>
      </c>
      <c r="Q4766">
        <f>IF($A4766="","",$D4766&amp;"("&amp;SUBSTITUTE($E4766," ","")&amp;")")</f>
        <v/>
      </c>
      <c r="R4766">
        <f>IF($A4766="","",$B4766&amp;" - "&amp;$C4766)</f>
        <v/>
      </c>
      <c r="S4766">
        <f>IF($A4766="","",$R4766&amp;"|"&amp;$Q4766)</f>
        <v/>
      </c>
      <c r="T4766">
        <f>IF($A4766="","",$S4766&amp;"|"&amp;$F4766)</f>
        <v/>
      </c>
      <c r="U4766">
        <f>IF($A4766="","",$R4766&amp;"("&amp;$E4766&amp;")")</f>
        <v/>
      </c>
      <c r="V4766">
        <f>IF($A4766="","",$F4766&amp;"|"&amp;$U4766&amp;"|"&amp;$D4766)</f>
        <v/>
      </c>
      <c r="W4766">
        <f>IF($T4766="","",IF($X4766&gt;N($X4765),$X4766,""))</f>
        <v/>
      </c>
      <c r="X4766">
        <f>IF($T4766="",N($X4765),IF(MATCH($T4766,$T$6:$T$6005,0)=ROW()-5,N($X4765)+1,N($X4765)))</f>
        <v/>
      </c>
      <c r="Z4766">
        <f>IF($V4766="","",IF($AA4766&gt;N($AA4765),$AA4766,""))</f>
        <v/>
      </c>
      <c r="AA4766">
        <f>IF($V4766="",N($AA4765),IF(MATCH($V4766,$V$6:$V$6005,0)=ROW()-5,N($AA4765)+1,N($AA4765)))</f>
        <v/>
      </c>
    </row>
    <row r="4767" ht="21" customHeight="1" s="66">
      <c r="A4767" s="56" t="n"/>
      <c r="B4767" s="57" t="n"/>
      <c r="C4767" s="57" t="n"/>
      <c r="D4767" s="57" t="n"/>
      <c r="E4767" s="56" t="n"/>
      <c r="F4767" s="57" t="n"/>
      <c r="G4767" s="57" t="n"/>
      <c r="H4767" s="56" t="n"/>
      <c r="I4767" s="56" t="n"/>
      <c r="J4767" s="58" t="n"/>
      <c r="K4767" s="58" t="n"/>
      <c r="L4767" s="13">
        <f>IF(OR($A4767="",AND($J4767="",$K4767="")),"",ROUND(N($J4767)-N($K4767),2))</f>
        <v/>
      </c>
      <c r="M4767" s="13">
        <f>IF(OR($A4767="",AND($J4767="",$K4767="")),"",MIN($J4767,$K4767))</f>
        <v/>
      </c>
      <c r="Q4767">
        <f>IF($A4767="","",$D4767&amp;"("&amp;SUBSTITUTE($E4767," ","")&amp;")")</f>
        <v/>
      </c>
      <c r="R4767">
        <f>IF($A4767="","",$B4767&amp;" - "&amp;$C4767)</f>
        <v/>
      </c>
      <c r="S4767">
        <f>IF($A4767="","",$R4767&amp;"|"&amp;$Q4767)</f>
        <v/>
      </c>
      <c r="T4767">
        <f>IF($A4767="","",$S4767&amp;"|"&amp;$F4767)</f>
        <v/>
      </c>
      <c r="U4767">
        <f>IF($A4767="","",$R4767&amp;"("&amp;$E4767&amp;")")</f>
        <v/>
      </c>
      <c r="V4767">
        <f>IF($A4767="","",$F4767&amp;"|"&amp;$U4767&amp;"|"&amp;$D4767)</f>
        <v/>
      </c>
      <c r="W4767">
        <f>IF($T4767="","",IF($X4767&gt;N($X4766),$X4767,""))</f>
        <v/>
      </c>
      <c r="X4767">
        <f>IF($T4767="",N($X4766),IF(MATCH($T4767,$T$6:$T$6005,0)=ROW()-5,N($X4766)+1,N($X4766)))</f>
        <v/>
      </c>
      <c r="Z4767">
        <f>IF($V4767="","",IF($AA4767&gt;N($AA4766),$AA4767,""))</f>
        <v/>
      </c>
      <c r="AA4767">
        <f>IF($V4767="",N($AA4766),IF(MATCH($V4767,$V$6:$V$6005,0)=ROW()-5,N($AA4766)+1,N($AA4766)))</f>
        <v/>
      </c>
    </row>
    <row r="4768" ht="21" customHeight="1" s="66">
      <c r="A4768" s="56" t="n"/>
      <c r="B4768" s="57" t="n"/>
      <c r="C4768" s="57" t="n"/>
      <c r="D4768" s="57" t="n"/>
      <c r="E4768" s="56" t="n"/>
      <c r="F4768" s="57" t="n"/>
      <c r="G4768" s="57" t="n"/>
      <c r="H4768" s="56" t="n"/>
      <c r="I4768" s="56" t="n"/>
      <c r="J4768" s="58" t="n"/>
      <c r="K4768" s="58" t="n"/>
      <c r="L4768" s="13">
        <f>IF(OR($A4768="",AND($J4768="",$K4768="")),"",ROUND(N($J4768)-N($K4768),2))</f>
        <v/>
      </c>
      <c r="M4768" s="13">
        <f>IF(OR($A4768="",AND($J4768="",$K4768="")),"",MIN($J4768,$K4768))</f>
        <v/>
      </c>
      <c r="Q4768">
        <f>IF($A4768="","",$D4768&amp;"("&amp;SUBSTITUTE($E4768," ","")&amp;")")</f>
        <v/>
      </c>
      <c r="R4768">
        <f>IF($A4768="","",$B4768&amp;" - "&amp;$C4768)</f>
        <v/>
      </c>
      <c r="S4768">
        <f>IF($A4768="","",$R4768&amp;"|"&amp;$Q4768)</f>
        <v/>
      </c>
      <c r="T4768">
        <f>IF($A4768="","",$S4768&amp;"|"&amp;$F4768)</f>
        <v/>
      </c>
      <c r="U4768">
        <f>IF($A4768="","",$R4768&amp;"("&amp;$E4768&amp;")")</f>
        <v/>
      </c>
      <c r="V4768">
        <f>IF($A4768="","",$F4768&amp;"|"&amp;$U4768&amp;"|"&amp;$D4768)</f>
        <v/>
      </c>
      <c r="W4768">
        <f>IF($T4768="","",IF($X4768&gt;N($X4767),$X4768,""))</f>
        <v/>
      </c>
      <c r="X4768">
        <f>IF($T4768="",N($X4767),IF(MATCH($T4768,$T$6:$T$6005,0)=ROW()-5,N($X4767)+1,N($X4767)))</f>
        <v/>
      </c>
      <c r="Z4768">
        <f>IF($V4768="","",IF($AA4768&gt;N($AA4767),$AA4768,""))</f>
        <v/>
      </c>
      <c r="AA4768">
        <f>IF($V4768="",N($AA4767),IF(MATCH($V4768,$V$6:$V$6005,0)=ROW()-5,N($AA4767)+1,N($AA4767)))</f>
        <v/>
      </c>
    </row>
    <row r="4769" ht="21" customHeight="1" s="66">
      <c r="A4769" s="56" t="n"/>
      <c r="B4769" s="57" t="n"/>
      <c r="C4769" s="57" t="n"/>
      <c r="D4769" s="57" t="n"/>
      <c r="E4769" s="56" t="n"/>
      <c r="F4769" s="57" t="n"/>
      <c r="G4769" s="57" t="n"/>
      <c r="H4769" s="56" t="n"/>
      <c r="I4769" s="56" t="n"/>
      <c r="J4769" s="58" t="n"/>
      <c r="K4769" s="58" t="n"/>
      <c r="L4769" s="13">
        <f>IF(OR($A4769="",AND($J4769="",$K4769="")),"",ROUND(N($J4769)-N($K4769),2))</f>
        <v/>
      </c>
      <c r="M4769" s="13">
        <f>IF(OR($A4769="",AND($J4769="",$K4769="")),"",MIN($J4769,$K4769))</f>
        <v/>
      </c>
      <c r="Q4769">
        <f>IF($A4769="","",$D4769&amp;"("&amp;SUBSTITUTE($E4769," ","")&amp;")")</f>
        <v/>
      </c>
      <c r="R4769">
        <f>IF($A4769="","",$B4769&amp;" - "&amp;$C4769)</f>
        <v/>
      </c>
      <c r="S4769">
        <f>IF($A4769="","",$R4769&amp;"|"&amp;$Q4769)</f>
        <v/>
      </c>
      <c r="T4769">
        <f>IF($A4769="","",$S4769&amp;"|"&amp;$F4769)</f>
        <v/>
      </c>
      <c r="U4769">
        <f>IF($A4769="","",$R4769&amp;"("&amp;$E4769&amp;")")</f>
        <v/>
      </c>
      <c r="V4769">
        <f>IF($A4769="","",$F4769&amp;"|"&amp;$U4769&amp;"|"&amp;$D4769)</f>
        <v/>
      </c>
      <c r="W4769">
        <f>IF($T4769="","",IF($X4769&gt;N($X4768),$X4769,""))</f>
        <v/>
      </c>
      <c r="X4769">
        <f>IF($T4769="",N($X4768),IF(MATCH($T4769,$T$6:$T$6005,0)=ROW()-5,N($X4768)+1,N($X4768)))</f>
        <v/>
      </c>
      <c r="Z4769">
        <f>IF($V4769="","",IF($AA4769&gt;N($AA4768),$AA4769,""))</f>
        <v/>
      </c>
      <c r="AA4769">
        <f>IF($V4769="",N($AA4768),IF(MATCH($V4769,$V$6:$V$6005,0)=ROW()-5,N($AA4768)+1,N($AA4768)))</f>
        <v/>
      </c>
    </row>
    <row r="4770" ht="21" customHeight="1" s="66">
      <c r="A4770" s="56" t="n"/>
      <c r="B4770" s="57" t="n"/>
      <c r="C4770" s="57" t="n"/>
      <c r="D4770" s="57" t="n"/>
      <c r="E4770" s="56" t="n"/>
      <c r="F4770" s="57" t="n"/>
      <c r="G4770" s="57" t="n"/>
      <c r="H4770" s="56" t="n"/>
      <c r="I4770" s="56" t="n"/>
      <c r="J4770" s="58" t="n"/>
      <c r="K4770" s="58" t="n"/>
      <c r="L4770" s="13">
        <f>IF(OR($A4770="",AND($J4770="",$K4770="")),"",ROUND(N($J4770)-N($K4770),2))</f>
        <v/>
      </c>
      <c r="M4770" s="13">
        <f>IF(OR($A4770="",AND($J4770="",$K4770="")),"",MIN($J4770,$K4770))</f>
        <v/>
      </c>
      <c r="Q4770">
        <f>IF($A4770="","",$D4770&amp;"("&amp;SUBSTITUTE($E4770," ","")&amp;")")</f>
        <v/>
      </c>
      <c r="R4770">
        <f>IF($A4770="","",$B4770&amp;" - "&amp;$C4770)</f>
        <v/>
      </c>
      <c r="S4770">
        <f>IF($A4770="","",$R4770&amp;"|"&amp;$Q4770)</f>
        <v/>
      </c>
      <c r="T4770">
        <f>IF($A4770="","",$S4770&amp;"|"&amp;$F4770)</f>
        <v/>
      </c>
      <c r="U4770">
        <f>IF($A4770="","",$R4770&amp;"("&amp;$E4770&amp;")")</f>
        <v/>
      </c>
      <c r="V4770">
        <f>IF($A4770="","",$F4770&amp;"|"&amp;$U4770&amp;"|"&amp;$D4770)</f>
        <v/>
      </c>
      <c r="W4770">
        <f>IF($T4770="","",IF($X4770&gt;N($X4769),$X4770,""))</f>
        <v/>
      </c>
      <c r="X4770">
        <f>IF($T4770="",N($X4769),IF(MATCH($T4770,$T$6:$T$6005,0)=ROW()-5,N($X4769)+1,N($X4769)))</f>
        <v/>
      </c>
      <c r="Z4770">
        <f>IF($V4770="","",IF($AA4770&gt;N($AA4769),$AA4770,""))</f>
        <v/>
      </c>
      <c r="AA4770">
        <f>IF($V4770="",N($AA4769),IF(MATCH($V4770,$V$6:$V$6005,0)=ROW()-5,N($AA4769)+1,N($AA4769)))</f>
        <v/>
      </c>
    </row>
    <row r="4771" ht="21" customHeight="1" s="66">
      <c r="A4771" s="56" t="n"/>
      <c r="B4771" s="57" t="n"/>
      <c r="C4771" s="57" t="n"/>
      <c r="D4771" s="57" t="n"/>
      <c r="E4771" s="56" t="n"/>
      <c r="F4771" s="57" t="n"/>
      <c r="G4771" s="57" t="n"/>
      <c r="H4771" s="56" t="n"/>
      <c r="I4771" s="56" t="n"/>
      <c r="J4771" s="58" t="n"/>
      <c r="K4771" s="58" t="n"/>
      <c r="L4771" s="13">
        <f>IF(OR($A4771="",AND($J4771="",$K4771="")),"",ROUND(N($J4771)-N($K4771),2))</f>
        <v/>
      </c>
      <c r="M4771" s="13">
        <f>IF(OR($A4771="",AND($J4771="",$K4771="")),"",MIN($J4771,$K4771))</f>
        <v/>
      </c>
      <c r="Q4771">
        <f>IF($A4771="","",$D4771&amp;"("&amp;SUBSTITUTE($E4771," ","")&amp;")")</f>
        <v/>
      </c>
      <c r="R4771">
        <f>IF($A4771="","",$B4771&amp;" - "&amp;$C4771)</f>
        <v/>
      </c>
      <c r="S4771">
        <f>IF($A4771="","",$R4771&amp;"|"&amp;$Q4771)</f>
        <v/>
      </c>
      <c r="T4771">
        <f>IF($A4771="","",$S4771&amp;"|"&amp;$F4771)</f>
        <v/>
      </c>
      <c r="U4771">
        <f>IF($A4771="","",$R4771&amp;"("&amp;$E4771&amp;")")</f>
        <v/>
      </c>
      <c r="V4771">
        <f>IF($A4771="","",$F4771&amp;"|"&amp;$U4771&amp;"|"&amp;$D4771)</f>
        <v/>
      </c>
      <c r="W4771">
        <f>IF($T4771="","",IF($X4771&gt;N($X4770),$X4771,""))</f>
        <v/>
      </c>
      <c r="X4771">
        <f>IF($T4771="",N($X4770),IF(MATCH($T4771,$T$6:$T$6005,0)=ROW()-5,N($X4770)+1,N($X4770)))</f>
        <v/>
      </c>
      <c r="Z4771">
        <f>IF($V4771="","",IF($AA4771&gt;N($AA4770),$AA4771,""))</f>
        <v/>
      </c>
      <c r="AA4771">
        <f>IF($V4771="",N($AA4770),IF(MATCH($V4771,$V$6:$V$6005,0)=ROW()-5,N($AA4770)+1,N($AA4770)))</f>
        <v/>
      </c>
    </row>
    <row r="4772" ht="21" customHeight="1" s="66">
      <c r="A4772" s="56" t="n"/>
      <c r="B4772" s="57" t="n"/>
      <c r="C4772" s="57" t="n"/>
      <c r="D4772" s="57" t="n"/>
      <c r="E4772" s="56" t="n"/>
      <c r="F4772" s="57" t="n"/>
      <c r="G4772" s="57" t="n"/>
      <c r="H4772" s="56" t="n"/>
      <c r="I4772" s="56" t="n"/>
      <c r="J4772" s="58" t="n"/>
      <c r="K4772" s="58" t="n"/>
      <c r="L4772" s="13">
        <f>IF(OR($A4772="",AND($J4772="",$K4772="")),"",ROUND(N($J4772)-N($K4772),2))</f>
        <v/>
      </c>
      <c r="M4772" s="13">
        <f>IF(OR($A4772="",AND($J4772="",$K4772="")),"",MIN($J4772,$K4772))</f>
        <v/>
      </c>
      <c r="Q4772">
        <f>IF($A4772="","",$D4772&amp;"("&amp;SUBSTITUTE($E4772," ","")&amp;")")</f>
        <v/>
      </c>
      <c r="R4772">
        <f>IF($A4772="","",$B4772&amp;" - "&amp;$C4772)</f>
        <v/>
      </c>
      <c r="S4772">
        <f>IF($A4772="","",$R4772&amp;"|"&amp;$Q4772)</f>
        <v/>
      </c>
      <c r="T4772">
        <f>IF($A4772="","",$S4772&amp;"|"&amp;$F4772)</f>
        <v/>
      </c>
      <c r="U4772">
        <f>IF($A4772="","",$R4772&amp;"("&amp;$E4772&amp;")")</f>
        <v/>
      </c>
      <c r="V4772">
        <f>IF($A4772="","",$F4772&amp;"|"&amp;$U4772&amp;"|"&amp;$D4772)</f>
        <v/>
      </c>
      <c r="W4772">
        <f>IF($T4772="","",IF($X4772&gt;N($X4771),$X4772,""))</f>
        <v/>
      </c>
      <c r="X4772">
        <f>IF($T4772="",N($X4771),IF(MATCH($T4772,$T$6:$T$6005,0)=ROW()-5,N($X4771)+1,N($X4771)))</f>
        <v/>
      </c>
      <c r="Z4772">
        <f>IF($V4772="","",IF($AA4772&gt;N($AA4771),$AA4772,""))</f>
        <v/>
      </c>
      <c r="AA4772">
        <f>IF($V4772="",N($AA4771),IF(MATCH($V4772,$V$6:$V$6005,0)=ROW()-5,N($AA4771)+1,N($AA4771)))</f>
        <v/>
      </c>
    </row>
    <row r="4773" ht="21" customHeight="1" s="66">
      <c r="A4773" s="56" t="n"/>
      <c r="B4773" s="57" t="n"/>
      <c r="C4773" s="57" t="n"/>
      <c r="D4773" s="57" t="n"/>
      <c r="E4773" s="56" t="n"/>
      <c r="F4773" s="57" t="n"/>
      <c r="G4773" s="57" t="n"/>
      <c r="H4773" s="56" t="n"/>
      <c r="I4773" s="56" t="n"/>
      <c r="J4773" s="58" t="n"/>
      <c r="K4773" s="58" t="n"/>
      <c r="L4773" s="13">
        <f>IF(OR($A4773="",AND($J4773="",$K4773="")),"",ROUND(N($J4773)-N($K4773),2))</f>
        <v/>
      </c>
      <c r="M4773" s="13">
        <f>IF(OR($A4773="",AND($J4773="",$K4773="")),"",MIN($J4773,$K4773))</f>
        <v/>
      </c>
      <c r="Q4773">
        <f>IF($A4773="","",$D4773&amp;"("&amp;SUBSTITUTE($E4773," ","")&amp;")")</f>
        <v/>
      </c>
      <c r="R4773">
        <f>IF($A4773="","",$B4773&amp;" - "&amp;$C4773)</f>
        <v/>
      </c>
      <c r="S4773">
        <f>IF($A4773="","",$R4773&amp;"|"&amp;$Q4773)</f>
        <v/>
      </c>
      <c r="T4773">
        <f>IF($A4773="","",$S4773&amp;"|"&amp;$F4773)</f>
        <v/>
      </c>
      <c r="U4773">
        <f>IF($A4773="","",$R4773&amp;"("&amp;$E4773&amp;")")</f>
        <v/>
      </c>
      <c r="V4773">
        <f>IF($A4773="","",$F4773&amp;"|"&amp;$U4773&amp;"|"&amp;$D4773)</f>
        <v/>
      </c>
      <c r="W4773">
        <f>IF($T4773="","",IF($X4773&gt;N($X4772),$X4773,""))</f>
        <v/>
      </c>
      <c r="X4773">
        <f>IF($T4773="",N($X4772),IF(MATCH($T4773,$T$6:$T$6005,0)=ROW()-5,N($X4772)+1,N($X4772)))</f>
        <v/>
      </c>
      <c r="Z4773">
        <f>IF($V4773="","",IF($AA4773&gt;N($AA4772),$AA4773,""))</f>
        <v/>
      </c>
      <c r="AA4773">
        <f>IF($V4773="",N($AA4772),IF(MATCH($V4773,$V$6:$V$6005,0)=ROW()-5,N($AA4772)+1,N($AA4772)))</f>
        <v/>
      </c>
    </row>
    <row r="4774" ht="21" customHeight="1" s="66">
      <c r="A4774" s="56" t="n"/>
      <c r="B4774" s="57" t="n"/>
      <c r="C4774" s="57" t="n"/>
      <c r="D4774" s="57" t="n"/>
      <c r="E4774" s="56" t="n"/>
      <c r="F4774" s="57" t="n"/>
      <c r="G4774" s="57" t="n"/>
      <c r="H4774" s="56" t="n"/>
      <c r="I4774" s="56" t="n"/>
      <c r="J4774" s="58" t="n"/>
      <c r="K4774" s="58" t="n"/>
      <c r="L4774" s="13">
        <f>IF(OR($A4774="",AND($J4774="",$K4774="")),"",ROUND(N($J4774)-N($K4774),2))</f>
        <v/>
      </c>
      <c r="M4774" s="13">
        <f>IF(OR($A4774="",AND($J4774="",$K4774="")),"",MIN($J4774,$K4774))</f>
        <v/>
      </c>
      <c r="Q4774">
        <f>IF($A4774="","",$D4774&amp;"("&amp;SUBSTITUTE($E4774," ","")&amp;")")</f>
        <v/>
      </c>
      <c r="R4774">
        <f>IF($A4774="","",$B4774&amp;" - "&amp;$C4774)</f>
        <v/>
      </c>
      <c r="S4774">
        <f>IF($A4774="","",$R4774&amp;"|"&amp;$Q4774)</f>
        <v/>
      </c>
      <c r="T4774">
        <f>IF($A4774="","",$S4774&amp;"|"&amp;$F4774)</f>
        <v/>
      </c>
      <c r="U4774">
        <f>IF($A4774="","",$R4774&amp;"("&amp;$E4774&amp;")")</f>
        <v/>
      </c>
      <c r="V4774">
        <f>IF($A4774="","",$F4774&amp;"|"&amp;$U4774&amp;"|"&amp;$D4774)</f>
        <v/>
      </c>
      <c r="W4774">
        <f>IF($T4774="","",IF($X4774&gt;N($X4773),$X4774,""))</f>
        <v/>
      </c>
      <c r="X4774">
        <f>IF($T4774="",N($X4773),IF(MATCH($T4774,$T$6:$T$6005,0)=ROW()-5,N($X4773)+1,N($X4773)))</f>
        <v/>
      </c>
      <c r="Z4774">
        <f>IF($V4774="","",IF($AA4774&gt;N($AA4773),$AA4774,""))</f>
        <v/>
      </c>
      <c r="AA4774">
        <f>IF($V4774="",N($AA4773),IF(MATCH($V4774,$V$6:$V$6005,0)=ROW()-5,N($AA4773)+1,N($AA4773)))</f>
        <v/>
      </c>
    </row>
    <row r="4775" ht="21" customHeight="1" s="66">
      <c r="A4775" s="56" t="n"/>
      <c r="B4775" s="57" t="n"/>
      <c r="C4775" s="57" t="n"/>
      <c r="D4775" s="57" t="n"/>
      <c r="E4775" s="56" t="n"/>
      <c r="F4775" s="57" t="n"/>
      <c r="G4775" s="57" t="n"/>
      <c r="H4775" s="56" t="n"/>
      <c r="I4775" s="56" t="n"/>
      <c r="J4775" s="58" t="n"/>
      <c r="K4775" s="58" t="n"/>
      <c r="L4775" s="13">
        <f>IF(OR($A4775="",AND($J4775="",$K4775="")),"",ROUND(N($J4775)-N($K4775),2))</f>
        <v/>
      </c>
      <c r="M4775" s="13">
        <f>IF(OR($A4775="",AND($J4775="",$K4775="")),"",MIN($J4775,$K4775))</f>
        <v/>
      </c>
      <c r="Q4775">
        <f>IF($A4775="","",$D4775&amp;"("&amp;SUBSTITUTE($E4775," ","")&amp;")")</f>
        <v/>
      </c>
      <c r="R4775">
        <f>IF($A4775="","",$B4775&amp;" - "&amp;$C4775)</f>
        <v/>
      </c>
      <c r="S4775">
        <f>IF($A4775="","",$R4775&amp;"|"&amp;$Q4775)</f>
        <v/>
      </c>
      <c r="T4775">
        <f>IF($A4775="","",$S4775&amp;"|"&amp;$F4775)</f>
        <v/>
      </c>
      <c r="U4775">
        <f>IF($A4775="","",$R4775&amp;"("&amp;$E4775&amp;")")</f>
        <v/>
      </c>
      <c r="V4775">
        <f>IF($A4775="","",$F4775&amp;"|"&amp;$U4775&amp;"|"&amp;$D4775)</f>
        <v/>
      </c>
      <c r="W4775">
        <f>IF($T4775="","",IF($X4775&gt;N($X4774),$X4775,""))</f>
        <v/>
      </c>
      <c r="X4775">
        <f>IF($T4775="",N($X4774),IF(MATCH($T4775,$T$6:$T$6005,0)=ROW()-5,N($X4774)+1,N($X4774)))</f>
        <v/>
      </c>
      <c r="Z4775">
        <f>IF($V4775="","",IF($AA4775&gt;N($AA4774),$AA4775,""))</f>
        <v/>
      </c>
      <c r="AA4775">
        <f>IF($V4775="",N($AA4774),IF(MATCH($V4775,$V$6:$V$6005,0)=ROW()-5,N($AA4774)+1,N($AA4774)))</f>
        <v/>
      </c>
    </row>
    <row r="4776" ht="21" customHeight="1" s="66">
      <c r="A4776" s="56" t="n"/>
      <c r="B4776" s="57" t="n"/>
      <c r="C4776" s="57" t="n"/>
      <c r="D4776" s="57" t="n"/>
      <c r="E4776" s="56" t="n"/>
      <c r="F4776" s="57" t="n"/>
      <c r="G4776" s="57" t="n"/>
      <c r="H4776" s="56" t="n"/>
      <c r="I4776" s="56" t="n"/>
      <c r="J4776" s="58" t="n"/>
      <c r="K4776" s="58" t="n"/>
      <c r="L4776" s="13">
        <f>IF(OR($A4776="",AND($J4776="",$K4776="")),"",ROUND(N($J4776)-N($K4776),2))</f>
        <v/>
      </c>
      <c r="M4776" s="13">
        <f>IF(OR($A4776="",AND($J4776="",$K4776="")),"",MIN($J4776,$K4776))</f>
        <v/>
      </c>
      <c r="Q4776">
        <f>IF($A4776="","",$D4776&amp;"("&amp;SUBSTITUTE($E4776," ","")&amp;")")</f>
        <v/>
      </c>
      <c r="R4776">
        <f>IF($A4776="","",$B4776&amp;" - "&amp;$C4776)</f>
        <v/>
      </c>
      <c r="S4776">
        <f>IF($A4776="","",$R4776&amp;"|"&amp;$Q4776)</f>
        <v/>
      </c>
      <c r="T4776">
        <f>IF($A4776="","",$S4776&amp;"|"&amp;$F4776)</f>
        <v/>
      </c>
      <c r="U4776">
        <f>IF($A4776="","",$R4776&amp;"("&amp;$E4776&amp;")")</f>
        <v/>
      </c>
      <c r="V4776">
        <f>IF($A4776="","",$F4776&amp;"|"&amp;$U4776&amp;"|"&amp;$D4776)</f>
        <v/>
      </c>
      <c r="W4776">
        <f>IF($T4776="","",IF($X4776&gt;N($X4775),$X4776,""))</f>
        <v/>
      </c>
      <c r="X4776">
        <f>IF($T4776="",N($X4775),IF(MATCH($T4776,$T$6:$T$6005,0)=ROW()-5,N($X4775)+1,N($X4775)))</f>
        <v/>
      </c>
      <c r="Z4776">
        <f>IF($V4776="","",IF($AA4776&gt;N($AA4775),$AA4776,""))</f>
        <v/>
      </c>
      <c r="AA4776">
        <f>IF($V4776="",N($AA4775),IF(MATCH($V4776,$V$6:$V$6005,0)=ROW()-5,N($AA4775)+1,N($AA4775)))</f>
        <v/>
      </c>
    </row>
    <row r="4777" ht="21" customHeight="1" s="66">
      <c r="A4777" s="56" t="n"/>
      <c r="B4777" s="57" t="n"/>
      <c r="C4777" s="57" t="n"/>
      <c r="D4777" s="57" t="n"/>
      <c r="E4777" s="56" t="n"/>
      <c r="F4777" s="57" t="n"/>
      <c r="G4777" s="57" t="n"/>
      <c r="H4777" s="56" t="n"/>
      <c r="I4777" s="56" t="n"/>
      <c r="J4777" s="58" t="n"/>
      <c r="K4777" s="58" t="n"/>
      <c r="L4777" s="13">
        <f>IF(OR($A4777="",AND($J4777="",$K4777="")),"",ROUND(N($J4777)-N($K4777),2))</f>
        <v/>
      </c>
      <c r="M4777" s="13">
        <f>IF(OR($A4777="",AND($J4777="",$K4777="")),"",MIN($J4777,$K4777))</f>
        <v/>
      </c>
      <c r="Q4777">
        <f>IF($A4777="","",$D4777&amp;"("&amp;SUBSTITUTE($E4777," ","")&amp;")")</f>
        <v/>
      </c>
      <c r="R4777">
        <f>IF($A4777="","",$B4777&amp;" - "&amp;$C4777)</f>
        <v/>
      </c>
      <c r="S4777">
        <f>IF($A4777="","",$R4777&amp;"|"&amp;$Q4777)</f>
        <v/>
      </c>
      <c r="T4777">
        <f>IF($A4777="","",$S4777&amp;"|"&amp;$F4777)</f>
        <v/>
      </c>
      <c r="U4777">
        <f>IF($A4777="","",$R4777&amp;"("&amp;$E4777&amp;")")</f>
        <v/>
      </c>
      <c r="V4777">
        <f>IF($A4777="","",$F4777&amp;"|"&amp;$U4777&amp;"|"&amp;$D4777)</f>
        <v/>
      </c>
      <c r="W4777">
        <f>IF($T4777="","",IF($X4777&gt;N($X4776),$X4777,""))</f>
        <v/>
      </c>
      <c r="X4777">
        <f>IF($T4777="",N($X4776),IF(MATCH($T4777,$T$6:$T$6005,0)=ROW()-5,N($X4776)+1,N($X4776)))</f>
        <v/>
      </c>
      <c r="Z4777">
        <f>IF($V4777="","",IF($AA4777&gt;N($AA4776),$AA4777,""))</f>
        <v/>
      </c>
      <c r="AA4777">
        <f>IF($V4777="",N($AA4776),IF(MATCH($V4777,$V$6:$V$6005,0)=ROW()-5,N($AA4776)+1,N($AA4776)))</f>
        <v/>
      </c>
    </row>
    <row r="4778" ht="21" customHeight="1" s="66">
      <c r="A4778" s="56" t="n"/>
      <c r="B4778" s="57" t="n"/>
      <c r="C4778" s="57" t="n"/>
      <c r="D4778" s="57" t="n"/>
      <c r="E4778" s="56" t="n"/>
      <c r="F4778" s="57" t="n"/>
      <c r="G4778" s="57" t="n"/>
      <c r="H4778" s="56" t="n"/>
      <c r="I4778" s="56" t="n"/>
      <c r="J4778" s="58" t="n"/>
      <c r="K4778" s="58" t="n"/>
      <c r="L4778" s="13">
        <f>IF(OR($A4778="",AND($J4778="",$K4778="")),"",ROUND(N($J4778)-N($K4778),2))</f>
        <v/>
      </c>
      <c r="M4778" s="13">
        <f>IF(OR($A4778="",AND($J4778="",$K4778="")),"",MIN($J4778,$K4778))</f>
        <v/>
      </c>
      <c r="Q4778">
        <f>IF($A4778="","",$D4778&amp;"("&amp;SUBSTITUTE($E4778," ","")&amp;")")</f>
        <v/>
      </c>
      <c r="R4778">
        <f>IF($A4778="","",$B4778&amp;" - "&amp;$C4778)</f>
        <v/>
      </c>
      <c r="S4778">
        <f>IF($A4778="","",$R4778&amp;"|"&amp;$Q4778)</f>
        <v/>
      </c>
      <c r="T4778">
        <f>IF($A4778="","",$S4778&amp;"|"&amp;$F4778)</f>
        <v/>
      </c>
      <c r="U4778">
        <f>IF($A4778="","",$R4778&amp;"("&amp;$E4778&amp;")")</f>
        <v/>
      </c>
      <c r="V4778">
        <f>IF($A4778="","",$F4778&amp;"|"&amp;$U4778&amp;"|"&amp;$D4778)</f>
        <v/>
      </c>
      <c r="W4778">
        <f>IF($T4778="","",IF($X4778&gt;N($X4777),$X4778,""))</f>
        <v/>
      </c>
      <c r="X4778">
        <f>IF($T4778="",N($X4777),IF(MATCH($T4778,$T$6:$T$6005,0)=ROW()-5,N($X4777)+1,N($X4777)))</f>
        <v/>
      </c>
      <c r="Z4778">
        <f>IF($V4778="","",IF($AA4778&gt;N($AA4777),$AA4778,""))</f>
        <v/>
      </c>
      <c r="AA4778">
        <f>IF($V4778="",N($AA4777),IF(MATCH($V4778,$V$6:$V$6005,0)=ROW()-5,N($AA4777)+1,N($AA4777)))</f>
        <v/>
      </c>
    </row>
    <row r="4779" ht="21" customHeight="1" s="66">
      <c r="A4779" s="56" t="n"/>
      <c r="B4779" s="57" t="n"/>
      <c r="C4779" s="57" t="n"/>
      <c r="D4779" s="57" t="n"/>
      <c r="E4779" s="56" t="n"/>
      <c r="F4779" s="57" t="n"/>
      <c r="G4779" s="57" t="n"/>
      <c r="H4779" s="56" t="n"/>
      <c r="I4779" s="56" t="n"/>
      <c r="J4779" s="58" t="n"/>
      <c r="K4779" s="58" t="n"/>
      <c r="L4779" s="13">
        <f>IF(OR($A4779="",AND($J4779="",$K4779="")),"",ROUND(N($J4779)-N($K4779),2))</f>
        <v/>
      </c>
      <c r="M4779" s="13">
        <f>IF(OR($A4779="",AND($J4779="",$K4779="")),"",MIN($J4779,$K4779))</f>
        <v/>
      </c>
      <c r="Q4779">
        <f>IF($A4779="","",$D4779&amp;"("&amp;SUBSTITUTE($E4779," ","")&amp;")")</f>
        <v/>
      </c>
      <c r="R4779">
        <f>IF($A4779="","",$B4779&amp;" - "&amp;$C4779)</f>
        <v/>
      </c>
      <c r="S4779">
        <f>IF($A4779="","",$R4779&amp;"|"&amp;$Q4779)</f>
        <v/>
      </c>
      <c r="T4779">
        <f>IF($A4779="","",$S4779&amp;"|"&amp;$F4779)</f>
        <v/>
      </c>
      <c r="U4779">
        <f>IF($A4779="","",$R4779&amp;"("&amp;$E4779&amp;")")</f>
        <v/>
      </c>
      <c r="V4779">
        <f>IF($A4779="","",$F4779&amp;"|"&amp;$U4779&amp;"|"&amp;$D4779)</f>
        <v/>
      </c>
      <c r="W4779">
        <f>IF($T4779="","",IF($X4779&gt;N($X4778),$X4779,""))</f>
        <v/>
      </c>
      <c r="X4779">
        <f>IF($T4779="",N($X4778),IF(MATCH($T4779,$T$6:$T$6005,0)=ROW()-5,N($X4778)+1,N($X4778)))</f>
        <v/>
      </c>
      <c r="Z4779">
        <f>IF($V4779="","",IF($AA4779&gt;N($AA4778),$AA4779,""))</f>
        <v/>
      </c>
      <c r="AA4779">
        <f>IF($V4779="",N($AA4778),IF(MATCH($V4779,$V$6:$V$6005,0)=ROW()-5,N($AA4778)+1,N($AA4778)))</f>
        <v/>
      </c>
    </row>
    <row r="4780" ht="21" customHeight="1" s="66">
      <c r="A4780" s="56" t="n"/>
      <c r="B4780" s="57" t="n"/>
      <c r="C4780" s="57" t="n"/>
      <c r="D4780" s="57" t="n"/>
      <c r="E4780" s="56" t="n"/>
      <c r="F4780" s="57" t="n"/>
      <c r="G4780" s="57" t="n"/>
      <c r="H4780" s="56" t="n"/>
      <c r="I4780" s="56" t="n"/>
      <c r="J4780" s="58" t="n"/>
      <c r="K4780" s="58" t="n"/>
      <c r="L4780" s="13">
        <f>IF(OR($A4780="",AND($J4780="",$K4780="")),"",ROUND(N($J4780)-N($K4780),2))</f>
        <v/>
      </c>
      <c r="M4780" s="13">
        <f>IF(OR($A4780="",AND($J4780="",$K4780="")),"",MIN($J4780,$K4780))</f>
        <v/>
      </c>
      <c r="Q4780">
        <f>IF($A4780="","",$D4780&amp;"("&amp;SUBSTITUTE($E4780," ","")&amp;")")</f>
        <v/>
      </c>
      <c r="R4780">
        <f>IF($A4780="","",$B4780&amp;" - "&amp;$C4780)</f>
        <v/>
      </c>
      <c r="S4780">
        <f>IF($A4780="","",$R4780&amp;"|"&amp;$Q4780)</f>
        <v/>
      </c>
      <c r="T4780">
        <f>IF($A4780="","",$S4780&amp;"|"&amp;$F4780)</f>
        <v/>
      </c>
      <c r="U4780">
        <f>IF($A4780="","",$R4780&amp;"("&amp;$E4780&amp;")")</f>
        <v/>
      </c>
      <c r="V4780">
        <f>IF($A4780="","",$F4780&amp;"|"&amp;$U4780&amp;"|"&amp;$D4780)</f>
        <v/>
      </c>
      <c r="W4780">
        <f>IF($T4780="","",IF($X4780&gt;N($X4779),$X4780,""))</f>
        <v/>
      </c>
      <c r="X4780">
        <f>IF($T4780="",N($X4779),IF(MATCH($T4780,$T$6:$T$6005,0)=ROW()-5,N($X4779)+1,N($X4779)))</f>
        <v/>
      </c>
      <c r="Z4780">
        <f>IF($V4780="","",IF($AA4780&gt;N($AA4779),$AA4780,""))</f>
        <v/>
      </c>
      <c r="AA4780">
        <f>IF($V4780="",N($AA4779),IF(MATCH($V4780,$V$6:$V$6005,0)=ROW()-5,N($AA4779)+1,N($AA4779)))</f>
        <v/>
      </c>
    </row>
    <row r="4781" ht="21" customHeight="1" s="66">
      <c r="A4781" s="56" t="n"/>
      <c r="B4781" s="57" t="n"/>
      <c r="C4781" s="57" t="n"/>
      <c r="D4781" s="57" t="n"/>
      <c r="E4781" s="56" t="n"/>
      <c r="F4781" s="57" t="n"/>
      <c r="G4781" s="57" t="n"/>
      <c r="H4781" s="56" t="n"/>
      <c r="I4781" s="56" t="n"/>
      <c r="J4781" s="58" t="n"/>
      <c r="K4781" s="58" t="n"/>
      <c r="L4781" s="13">
        <f>IF(OR($A4781="",AND($J4781="",$K4781="")),"",ROUND(N($J4781)-N($K4781),2))</f>
        <v/>
      </c>
      <c r="M4781" s="13">
        <f>IF(OR($A4781="",AND($J4781="",$K4781="")),"",MIN($J4781,$K4781))</f>
        <v/>
      </c>
      <c r="Q4781">
        <f>IF($A4781="","",$D4781&amp;"("&amp;SUBSTITUTE($E4781," ","")&amp;")")</f>
        <v/>
      </c>
      <c r="R4781">
        <f>IF($A4781="","",$B4781&amp;" - "&amp;$C4781)</f>
        <v/>
      </c>
      <c r="S4781">
        <f>IF($A4781="","",$R4781&amp;"|"&amp;$Q4781)</f>
        <v/>
      </c>
      <c r="T4781">
        <f>IF($A4781="","",$S4781&amp;"|"&amp;$F4781)</f>
        <v/>
      </c>
      <c r="U4781">
        <f>IF($A4781="","",$R4781&amp;"("&amp;$E4781&amp;")")</f>
        <v/>
      </c>
      <c r="V4781">
        <f>IF($A4781="","",$F4781&amp;"|"&amp;$U4781&amp;"|"&amp;$D4781)</f>
        <v/>
      </c>
      <c r="W4781">
        <f>IF($T4781="","",IF($X4781&gt;N($X4780),$X4781,""))</f>
        <v/>
      </c>
      <c r="X4781">
        <f>IF($T4781="",N($X4780),IF(MATCH($T4781,$T$6:$T$6005,0)=ROW()-5,N($X4780)+1,N($X4780)))</f>
        <v/>
      </c>
      <c r="Z4781">
        <f>IF($V4781="","",IF($AA4781&gt;N($AA4780),$AA4781,""))</f>
        <v/>
      </c>
      <c r="AA4781">
        <f>IF($V4781="",N($AA4780),IF(MATCH($V4781,$V$6:$V$6005,0)=ROW()-5,N($AA4780)+1,N($AA4780)))</f>
        <v/>
      </c>
    </row>
    <row r="4782" ht="21" customHeight="1" s="66">
      <c r="A4782" s="56" t="n"/>
      <c r="B4782" s="57" t="n"/>
      <c r="C4782" s="57" t="n"/>
      <c r="D4782" s="57" t="n"/>
      <c r="E4782" s="56" t="n"/>
      <c r="F4782" s="57" t="n"/>
      <c r="G4782" s="57" t="n"/>
      <c r="H4782" s="56" t="n"/>
      <c r="I4782" s="56" t="n"/>
      <c r="J4782" s="58" t="n"/>
      <c r="K4782" s="58" t="n"/>
      <c r="L4782" s="13">
        <f>IF(OR($A4782="",AND($J4782="",$K4782="")),"",ROUND(N($J4782)-N($K4782),2))</f>
        <v/>
      </c>
      <c r="M4782" s="13">
        <f>IF(OR($A4782="",AND($J4782="",$K4782="")),"",MIN($J4782,$K4782))</f>
        <v/>
      </c>
      <c r="Q4782">
        <f>IF($A4782="","",$D4782&amp;"("&amp;SUBSTITUTE($E4782," ","")&amp;")")</f>
        <v/>
      </c>
      <c r="R4782">
        <f>IF($A4782="","",$B4782&amp;" - "&amp;$C4782)</f>
        <v/>
      </c>
      <c r="S4782">
        <f>IF($A4782="","",$R4782&amp;"|"&amp;$Q4782)</f>
        <v/>
      </c>
      <c r="T4782">
        <f>IF($A4782="","",$S4782&amp;"|"&amp;$F4782)</f>
        <v/>
      </c>
      <c r="U4782">
        <f>IF($A4782="","",$R4782&amp;"("&amp;$E4782&amp;")")</f>
        <v/>
      </c>
      <c r="V4782">
        <f>IF($A4782="","",$F4782&amp;"|"&amp;$U4782&amp;"|"&amp;$D4782)</f>
        <v/>
      </c>
      <c r="W4782">
        <f>IF($T4782="","",IF($X4782&gt;N($X4781),$X4782,""))</f>
        <v/>
      </c>
      <c r="X4782">
        <f>IF($T4782="",N($X4781),IF(MATCH($T4782,$T$6:$T$6005,0)=ROW()-5,N($X4781)+1,N($X4781)))</f>
        <v/>
      </c>
      <c r="Z4782">
        <f>IF($V4782="","",IF($AA4782&gt;N($AA4781),$AA4782,""))</f>
        <v/>
      </c>
      <c r="AA4782">
        <f>IF($V4782="",N($AA4781),IF(MATCH($V4782,$V$6:$V$6005,0)=ROW()-5,N($AA4781)+1,N($AA4781)))</f>
        <v/>
      </c>
    </row>
    <row r="4783" ht="21" customHeight="1" s="66">
      <c r="A4783" s="56" t="n"/>
      <c r="B4783" s="57" t="n"/>
      <c r="C4783" s="57" t="n"/>
      <c r="D4783" s="57" t="n"/>
      <c r="E4783" s="56" t="n"/>
      <c r="F4783" s="57" t="n"/>
      <c r="G4783" s="57" t="n"/>
      <c r="H4783" s="56" t="n"/>
      <c r="I4783" s="56" t="n"/>
      <c r="J4783" s="58" t="n"/>
      <c r="K4783" s="58" t="n"/>
      <c r="L4783" s="13">
        <f>IF(OR($A4783="",AND($J4783="",$K4783="")),"",ROUND(N($J4783)-N($K4783),2))</f>
        <v/>
      </c>
      <c r="M4783" s="13">
        <f>IF(OR($A4783="",AND($J4783="",$K4783="")),"",MIN($J4783,$K4783))</f>
        <v/>
      </c>
      <c r="Q4783">
        <f>IF($A4783="","",$D4783&amp;"("&amp;SUBSTITUTE($E4783," ","")&amp;")")</f>
        <v/>
      </c>
      <c r="R4783">
        <f>IF($A4783="","",$B4783&amp;" - "&amp;$C4783)</f>
        <v/>
      </c>
      <c r="S4783">
        <f>IF($A4783="","",$R4783&amp;"|"&amp;$Q4783)</f>
        <v/>
      </c>
      <c r="T4783">
        <f>IF($A4783="","",$S4783&amp;"|"&amp;$F4783)</f>
        <v/>
      </c>
      <c r="U4783">
        <f>IF($A4783="","",$R4783&amp;"("&amp;$E4783&amp;")")</f>
        <v/>
      </c>
      <c r="V4783">
        <f>IF($A4783="","",$F4783&amp;"|"&amp;$U4783&amp;"|"&amp;$D4783)</f>
        <v/>
      </c>
      <c r="W4783">
        <f>IF($T4783="","",IF($X4783&gt;N($X4782),$X4783,""))</f>
        <v/>
      </c>
      <c r="X4783">
        <f>IF($T4783="",N($X4782),IF(MATCH($T4783,$T$6:$T$6005,0)=ROW()-5,N($X4782)+1,N($X4782)))</f>
        <v/>
      </c>
      <c r="Z4783">
        <f>IF($V4783="","",IF($AA4783&gt;N($AA4782),$AA4783,""))</f>
        <v/>
      </c>
      <c r="AA4783">
        <f>IF($V4783="",N($AA4782),IF(MATCH($V4783,$V$6:$V$6005,0)=ROW()-5,N($AA4782)+1,N($AA4782)))</f>
        <v/>
      </c>
    </row>
    <row r="4784" ht="21" customHeight="1" s="66">
      <c r="A4784" s="56" t="n"/>
      <c r="B4784" s="57" t="n"/>
      <c r="C4784" s="57" t="n"/>
      <c r="D4784" s="57" t="n"/>
      <c r="E4784" s="56" t="n"/>
      <c r="F4784" s="57" t="n"/>
      <c r="G4784" s="57" t="n"/>
      <c r="H4784" s="56" t="n"/>
      <c r="I4784" s="56" t="n"/>
      <c r="J4784" s="58" t="n"/>
      <c r="K4784" s="58" t="n"/>
      <c r="L4784" s="13">
        <f>IF(OR($A4784="",AND($J4784="",$K4784="")),"",ROUND(N($J4784)-N($K4784),2))</f>
        <v/>
      </c>
      <c r="M4784" s="13">
        <f>IF(OR($A4784="",AND($J4784="",$K4784="")),"",MIN($J4784,$K4784))</f>
        <v/>
      </c>
      <c r="Q4784">
        <f>IF($A4784="","",$D4784&amp;"("&amp;SUBSTITUTE($E4784," ","")&amp;")")</f>
        <v/>
      </c>
      <c r="R4784">
        <f>IF($A4784="","",$B4784&amp;" - "&amp;$C4784)</f>
        <v/>
      </c>
      <c r="S4784">
        <f>IF($A4784="","",$R4784&amp;"|"&amp;$Q4784)</f>
        <v/>
      </c>
      <c r="T4784">
        <f>IF($A4784="","",$S4784&amp;"|"&amp;$F4784)</f>
        <v/>
      </c>
      <c r="U4784">
        <f>IF($A4784="","",$R4784&amp;"("&amp;$E4784&amp;")")</f>
        <v/>
      </c>
      <c r="V4784">
        <f>IF($A4784="","",$F4784&amp;"|"&amp;$U4784&amp;"|"&amp;$D4784)</f>
        <v/>
      </c>
      <c r="W4784">
        <f>IF($T4784="","",IF($X4784&gt;N($X4783),$X4784,""))</f>
        <v/>
      </c>
      <c r="X4784">
        <f>IF($T4784="",N($X4783),IF(MATCH($T4784,$T$6:$T$6005,0)=ROW()-5,N($X4783)+1,N($X4783)))</f>
        <v/>
      </c>
      <c r="Z4784">
        <f>IF($V4784="","",IF($AA4784&gt;N($AA4783),$AA4784,""))</f>
        <v/>
      </c>
      <c r="AA4784">
        <f>IF($V4784="",N($AA4783),IF(MATCH($V4784,$V$6:$V$6005,0)=ROW()-5,N($AA4783)+1,N($AA4783)))</f>
        <v/>
      </c>
    </row>
    <row r="4785" ht="21" customHeight="1" s="66">
      <c r="A4785" s="56" t="n"/>
      <c r="B4785" s="57" t="n"/>
      <c r="C4785" s="57" t="n"/>
      <c r="D4785" s="57" t="n"/>
      <c r="E4785" s="56" t="n"/>
      <c r="F4785" s="57" t="n"/>
      <c r="G4785" s="57" t="n"/>
      <c r="H4785" s="56" t="n"/>
      <c r="I4785" s="56" t="n"/>
      <c r="J4785" s="58" t="n"/>
      <c r="K4785" s="58" t="n"/>
      <c r="L4785" s="13">
        <f>IF(OR($A4785="",AND($J4785="",$K4785="")),"",ROUND(N($J4785)-N($K4785),2))</f>
        <v/>
      </c>
      <c r="M4785" s="13">
        <f>IF(OR($A4785="",AND($J4785="",$K4785="")),"",MIN($J4785,$K4785))</f>
        <v/>
      </c>
      <c r="Q4785">
        <f>IF($A4785="","",$D4785&amp;"("&amp;SUBSTITUTE($E4785," ","")&amp;")")</f>
        <v/>
      </c>
      <c r="R4785">
        <f>IF($A4785="","",$B4785&amp;" - "&amp;$C4785)</f>
        <v/>
      </c>
      <c r="S4785">
        <f>IF($A4785="","",$R4785&amp;"|"&amp;$Q4785)</f>
        <v/>
      </c>
      <c r="T4785">
        <f>IF($A4785="","",$S4785&amp;"|"&amp;$F4785)</f>
        <v/>
      </c>
      <c r="U4785">
        <f>IF($A4785="","",$R4785&amp;"("&amp;$E4785&amp;")")</f>
        <v/>
      </c>
      <c r="V4785">
        <f>IF($A4785="","",$F4785&amp;"|"&amp;$U4785&amp;"|"&amp;$D4785)</f>
        <v/>
      </c>
      <c r="W4785">
        <f>IF($T4785="","",IF($X4785&gt;N($X4784),$X4785,""))</f>
        <v/>
      </c>
      <c r="X4785">
        <f>IF($T4785="",N($X4784),IF(MATCH($T4785,$T$6:$T$6005,0)=ROW()-5,N($X4784)+1,N($X4784)))</f>
        <v/>
      </c>
      <c r="Z4785">
        <f>IF($V4785="","",IF($AA4785&gt;N($AA4784),$AA4785,""))</f>
        <v/>
      </c>
      <c r="AA4785">
        <f>IF($V4785="",N($AA4784),IF(MATCH($V4785,$V$6:$V$6005,0)=ROW()-5,N($AA4784)+1,N($AA4784)))</f>
        <v/>
      </c>
    </row>
    <row r="4786" ht="21" customHeight="1" s="66">
      <c r="A4786" s="56" t="n"/>
      <c r="B4786" s="57" t="n"/>
      <c r="C4786" s="57" t="n"/>
      <c r="D4786" s="57" t="n"/>
      <c r="E4786" s="56" t="n"/>
      <c r="F4786" s="57" t="n"/>
      <c r="G4786" s="57" t="n"/>
      <c r="H4786" s="56" t="n"/>
      <c r="I4786" s="56" t="n"/>
      <c r="J4786" s="58" t="n"/>
      <c r="K4786" s="58" t="n"/>
      <c r="L4786" s="13">
        <f>IF(OR($A4786="",AND($J4786="",$K4786="")),"",ROUND(N($J4786)-N($K4786),2))</f>
        <v/>
      </c>
      <c r="M4786" s="13">
        <f>IF(OR($A4786="",AND($J4786="",$K4786="")),"",MIN($J4786,$K4786))</f>
        <v/>
      </c>
      <c r="Q4786">
        <f>IF($A4786="","",$D4786&amp;"("&amp;SUBSTITUTE($E4786," ","")&amp;")")</f>
        <v/>
      </c>
      <c r="R4786">
        <f>IF($A4786="","",$B4786&amp;" - "&amp;$C4786)</f>
        <v/>
      </c>
      <c r="S4786">
        <f>IF($A4786="","",$R4786&amp;"|"&amp;$Q4786)</f>
        <v/>
      </c>
      <c r="T4786">
        <f>IF($A4786="","",$S4786&amp;"|"&amp;$F4786)</f>
        <v/>
      </c>
      <c r="U4786">
        <f>IF($A4786="","",$R4786&amp;"("&amp;$E4786&amp;")")</f>
        <v/>
      </c>
      <c r="V4786">
        <f>IF($A4786="","",$F4786&amp;"|"&amp;$U4786&amp;"|"&amp;$D4786)</f>
        <v/>
      </c>
      <c r="W4786">
        <f>IF($T4786="","",IF($X4786&gt;N($X4785),$X4786,""))</f>
        <v/>
      </c>
      <c r="X4786">
        <f>IF($T4786="",N($X4785),IF(MATCH($T4786,$T$6:$T$6005,0)=ROW()-5,N($X4785)+1,N($X4785)))</f>
        <v/>
      </c>
      <c r="Z4786">
        <f>IF($V4786="","",IF($AA4786&gt;N($AA4785),$AA4786,""))</f>
        <v/>
      </c>
      <c r="AA4786">
        <f>IF($V4786="",N($AA4785),IF(MATCH($V4786,$V$6:$V$6005,0)=ROW()-5,N($AA4785)+1,N($AA4785)))</f>
        <v/>
      </c>
    </row>
    <row r="4787" ht="21" customHeight="1" s="66">
      <c r="A4787" s="56" t="n"/>
      <c r="B4787" s="57" t="n"/>
      <c r="C4787" s="57" t="n"/>
      <c r="D4787" s="57" t="n"/>
      <c r="E4787" s="56" t="n"/>
      <c r="F4787" s="57" t="n"/>
      <c r="G4787" s="57" t="n"/>
      <c r="H4787" s="56" t="n"/>
      <c r="I4787" s="56" t="n"/>
      <c r="J4787" s="58" t="n"/>
      <c r="K4787" s="58" t="n"/>
      <c r="L4787" s="13">
        <f>IF(OR($A4787="",AND($J4787="",$K4787="")),"",ROUND(N($J4787)-N($K4787),2))</f>
        <v/>
      </c>
      <c r="M4787" s="13">
        <f>IF(OR($A4787="",AND($J4787="",$K4787="")),"",MIN($J4787,$K4787))</f>
        <v/>
      </c>
      <c r="Q4787">
        <f>IF($A4787="","",$D4787&amp;"("&amp;SUBSTITUTE($E4787," ","")&amp;")")</f>
        <v/>
      </c>
      <c r="R4787">
        <f>IF($A4787="","",$B4787&amp;" - "&amp;$C4787)</f>
        <v/>
      </c>
      <c r="S4787">
        <f>IF($A4787="","",$R4787&amp;"|"&amp;$Q4787)</f>
        <v/>
      </c>
      <c r="T4787">
        <f>IF($A4787="","",$S4787&amp;"|"&amp;$F4787)</f>
        <v/>
      </c>
      <c r="U4787">
        <f>IF($A4787="","",$R4787&amp;"("&amp;$E4787&amp;")")</f>
        <v/>
      </c>
      <c r="V4787">
        <f>IF($A4787="","",$F4787&amp;"|"&amp;$U4787&amp;"|"&amp;$D4787)</f>
        <v/>
      </c>
      <c r="W4787">
        <f>IF($T4787="","",IF($X4787&gt;N($X4786),$X4787,""))</f>
        <v/>
      </c>
      <c r="X4787">
        <f>IF($T4787="",N($X4786),IF(MATCH($T4787,$T$6:$T$6005,0)=ROW()-5,N($X4786)+1,N($X4786)))</f>
        <v/>
      </c>
      <c r="Z4787">
        <f>IF($V4787="","",IF($AA4787&gt;N($AA4786),$AA4787,""))</f>
        <v/>
      </c>
      <c r="AA4787">
        <f>IF($V4787="",N($AA4786),IF(MATCH($V4787,$V$6:$V$6005,0)=ROW()-5,N($AA4786)+1,N($AA4786)))</f>
        <v/>
      </c>
    </row>
    <row r="4788" ht="21" customHeight="1" s="66">
      <c r="A4788" s="56" t="n"/>
      <c r="B4788" s="57" t="n"/>
      <c r="C4788" s="57" t="n"/>
      <c r="D4788" s="57" t="n"/>
      <c r="E4788" s="56" t="n"/>
      <c r="F4788" s="57" t="n"/>
      <c r="G4788" s="57" t="n"/>
      <c r="H4788" s="56" t="n"/>
      <c r="I4788" s="56" t="n"/>
      <c r="J4788" s="58" t="n"/>
      <c r="K4788" s="58" t="n"/>
      <c r="L4788" s="13">
        <f>IF(OR($A4788="",AND($J4788="",$K4788="")),"",ROUND(N($J4788)-N($K4788),2))</f>
        <v/>
      </c>
      <c r="M4788" s="13">
        <f>IF(OR($A4788="",AND($J4788="",$K4788="")),"",MIN($J4788,$K4788))</f>
        <v/>
      </c>
      <c r="Q4788">
        <f>IF($A4788="","",$D4788&amp;"("&amp;SUBSTITUTE($E4788," ","")&amp;")")</f>
        <v/>
      </c>
      <c r="R4788">
        <f>IF($A4788="","",$B4788&amp;" - "&amp;$C4788)</f>
        <v/>
      </c>
      <c r="S4788">
        <f>IF($A4788="","",$R4788&amp;"|"&amp;$Q4788)</f>
        <v/>
      </c>
      <c r="T4788">
        <f>IF($A4788="","",$S4788&amp;"|"&amp;$F4788)</f>
        <v/>
      </c>
      <c r="U4788">
        <f>IF($A4788="","",$R4788&amp;"("&amp;$E4788&amp;")")</f>
        <v/>
      </c>
      <c r="V4788">
        <f>IF($A4788="","",$F4788&amp;"|"&amp;$U4788&amp;"|"&amp;$D4788)</f>
        <v/>
      </c>
      <c r="W4788">
        <f>IF($T4788="","",IF($X4788&gt;N($X4787),$X4788,""))</f>
        <v/>
      </c>
      <c r="X4788">
        <f>IF($T4788="",N($X4787),IF(MATCH($T4788,$T$6:$T$6005,0)=ROW()-5,N($X4787)+1,N($X4787)))</f>
        <v/>
      </c>
      <c r="Z4788">
        <f>IF($V4788="","",IF($AA4788&gt;N($AA4787),$AA4788,""))</f>
        <v/>
      </c>
      <c r="AA4788">
        <f>IF($V4788="",N($AA4787),IF(MATCH($V4788,$V$6:$V$6005,0)=ROW()-5,N($AA4787)+1,N($AA4787)))</f>
        <v/>
      </c>
    </row>
    <row r="4789" ht="21" customHeight="1" s="66">
      <c r="A4789" s="56" t="n"/>
      <c r="B4789" s="57" t="n"/>
      <c r="C4789" s="57" t="n"/>
      <c r="D4789" s="57" t="n"/>
      <c r="E4789" s="56" t="n"/>
      <c r="F4789" s="57" t="n"/>
      <c r="G4789" s="57" t="n"/>
      <c r="H4789" s="56" t="n"/>
      <c r="I4789" s="56" t="n"/>
      <c r="J4789" s="58" t="n"/>
      <c r="K4789" s="58" t="n"/>
      <c r="L4789" s="13">
        <f>IF(OR($A4789="",AND($J4789="",$K4789="")),"",ROUND(N($J4789)-N($K4789),2))</f>
        <v/>
      </c>
      <c r="M4789" s="13">
        <f>IF(OR($A4789="",AND($J4789="",$K4789="")),"",MIN($J4789,$K4789))</f>
        <v/>
      </c>
      <c r="Q4789">
        <f>IF($A4789="","",$D4789&amp;"("&amp;SUBSTITUTE($E4789," ","")&amp;")")</f>
        <v/>
      </c>
      <c r="R4789">
        <f>IF($A4789="","",$B4789&amp;" - "&amp;$C4789)</f>
        <v/>
      </c>
      <c r="S4789">
        <f>IF($A4789="","",$R4789&amp;"|"&amp;$Q4789)</f>
        <v/>
      </c>
      <c r="T4789">
        <f>IF($A4789="","",$S4789&amp;"|"&amp;$F4789)</f>
        <v/>
      </c>
      <c r="U4789">
        <f>IF($A4789="","",$R4789&amp;"("&amp;$E4789&amp;")")</f>
        <v/>
      </c>
      <c r="V4789">
        <f>IF($A4789="","",$F4789&amp;"|"&amp;$U4789&amp;"|"&amp;$D4789)</f>
        <v/>
      </c>
      <c r="W4789">
        <f>IF($T4789="","",IF($X4789&gt;N($X4788),$X4789,""))</f>
        <v/>
      </c>
      <c r="X4789">
        <f>IF($T4789="",N($X4788),IF(MATCH($T4789,$T$6:$T$6005,0)=ROW()-5,N($X4788)+1,N($X4788)))</f>
        <v/>
      </c>
      <c r="Z4789">
        <f>IF($V4789="","",IF($AA4789&gt;N($AA4788),$AA4789,""))</f>
        <v/>
      </c>
      <c r="AA4789">
        <f>IF($V4789="",N($AA4788),IF(MATCH($V4789,$V$6:$V$6005,0)=ROW()-5,N($AA4788)+1,N($AA4788)))</f>
        <v/>
      </c>
    </row>
    <row r="4790" ht="21" customHeight="1" s="66">
      <c r="A4790" s="56" t="n"/>
      <c r="B4790" s="57" t="n"/>
      <c r="C4790" s="57" t="n"/>
      <c r="D4790" s="57" t="n"/>
      <c r="E4790" s="56" t="n"/>
      <c r="F4790" s="57" t="n"/>
      <c r="G4790" s="57" t="n"/>
      <c r="H4790" s="56" t="n"/>
      <c r="I4790" s="56" t="n"/>
      <c r="J4790" s="58" t="n"/>
      <c r="K4790" s="58" t="n"/>
      <c r="L4790" s="13">
        <f>IF(OR($A4790="",AND($J4790="",$K4790="")),"",ROUND(N($J4790)-N($K4790),2))</f>
        <v/>
      </c>
      <c r="M4790" s="13">
        <f>IF(OR($A4790="",AND($J4790="",$K4790="")),"",MIN($J4790,$K4790))</f>
        <v/>
      </c>
      <c r="Q4790">
        <f>IF($A4790="","",$D4790&amp;"("&amp;SUBSTITUTE($E4790," ","")&amp;")")</f>
        <v/>
      </c>
      <c r="R4790">
        <f>IF($A4790="","",$B4790&amp;" - "&amp;$C4790)</f>
        <v/>
      </c>
      <c r="S4790">
        <f>IF($A4790="","",$R4790&amp;"|"&amp;$Q4790)</f>
        <v/>
      </c>
      <c r="T4790">
        <f>IF($A4790="","",$S4790&amp;"|"&amp;$F4790)</f>
        <v/>
      </c>
      <c r="U4790">
        <f>IF($A4790="","",$R4790&amp;"("&amp;$E4790&amp;")")</f>
        <v/>
      </c>
      <c r="V4790">
        <f>IF($A4790="","",$F4790&amp;"|"&amp;$U4790&amp;"|"&amp;$D4790)</f>
        <v/>
      </c>
      <c r="W4790">
        <f>IF($T4790="","",IF($X4790&gt;N($X4789),$X4790,""))</f>
        <v/>
      </c>
      <c r="X4790">
        <f>IF($T4790="",N($X4789),IF(MATCH($T4790,$T$6:$T$6005,0)=ROW()-5,N($X4789)+1,N($X4789)))</f>
        <v/>
      </c>
      <c r="Z4790">
        <f>IF($V4790="","",IF($AA4790&gt;N($AA4789),$AA4790,""))</f>
        <v/>
      </c>
      <c r="AA4790">
        <f>IF($V4790="",N($AA4789),IF(MATCH($V4790,$V$6:$V$6005,0)=ROW()-5,N($AA4789)+1,N($AA4789)))</f>
        <v/>
      </c>
    </row>
    <row r="4791" ht="21" customHeight="1" s="66">
      <c r="A4791" s="56" t="n"/>
      <c r="B4791" s="57" t="n"/>
      <c r="C4791" s="57" t="n"/>
      <c r="D4791" s="57" t="n"/>
      <c r="E4791" s="56" t="n"/>
      <c r="F4791" s="57" t="n"/>
      <c r="G4791" s="57" t="n"/>
      <c r="H4791" s="56" t="n"/>
      <c r="I4791" s="56" t="n"/>
      <c r="J4791" s="58" t="n"/>
      <c r="K4791" s="58" t="n"/>
      <c r="L4791" s="13">
        <f>IF(OR($A4791="",AND($J4791="",$K4791="")),"",ROUND(N($J4791)-N($K4791),2))</f>
        <v/>
      </c>
      <c r="M4791" s="13">
        <f>IF(OR($A4791="",AND($J4791="",$K4791="")),"",MIN($J4791,$K4791))</f>
        <v/>
      </c>
      <c r="Q4791">
        <f>IF($A4791="","",$D4791&amp;"("&amp;SUBSTITUTE($E4791," ","")&amp;")")</f>
        <v/>
      </c>
      <c r="R4791">
        <f>IF($A4791="","",$B4791&amp;" - "&amp;$C4791)</f>
        <v/>
      </c>
      <c r="S4791">
        <f>IF($A4791="","",$R4791&amp;"|"&amp;$Q4791)</f>
        <v/>
      </c>
      <c r="T4791">
        <f>IF($A4791="","",$S4791&amp;"|"&amp;$F4791)</f>
        <v/>
      </c>
      <c r="U4791">
        <f>IF($A4791="","",$R4791&amp;"("&amp;$E4791&amp;")")</f>
        <v/>
      </c>
      <c r="V4791">
        <f>IF($A4791="","",$F4791&amp;"|"&amp;$U4791&amp;"|"&amp;$D4791)</f>
        <v/>
      </c>
      <c r="W4791">
        <f>IF($T4791="","",IF($X4791&gt;N($X4790),$X4791,""))</f>
        <v/>
      </c>
      <c r="X4791">
        <f>IF($T4791="",N($X4790),IF(MATCH($T4791,$T$6:$T$6005,0)=ROW()-5,N($X4790)+1,N($X4790)))</f>
        <v/>
      </c>
      <c r="Z4791">
        <f>IF($V4791="","",IF($AA4791&gt;N($AA4790),$AA4791,""))</f>
        <v/>
      </c>
      <c r="AA4791">
        <f>IF($V4791="",N($AA4790),IF(MATCH($V4791,$V$6:$V$6005,0)=ROW()-5,N($AA4790)+1,N($AA4790)))</f>
        <v/>
      </c>
    </row>
    <row r="4792" ht="21" customHeight="1" s="66">
      <c r="A4792" s="56" t="n"/>
      <c r="B4792" s="57" t="n"/>
      <c r="C4792" s="57" t="n"/>
      <c r="D4792" s="57" t="n"/>
      <c r="E4792" s="56" t="n"/>
      <c r="F4792" s="57" t="n"/>
      <c r="G4792" s="57" t="n"/>
      <c r="H4792" s="56" t="n"/>
      <c r="I4792" s="56" t="n"/>
      <c r="J4792" s="58" t="n"/>
      <c r="K4792" s="58" t="n"/>
      <c r="L4792" s="13">
        <f>IF(OR($A4792="",AND($J4792="",$K4792="")),"",ROUND(N($J4792)-N($K4792),2))</f>
        <v/>
      </c>
      <c r="M4792" s="13">
        <f>IF(OR($A4792="",AND($J4792="",$K4792="")),"",MIN($J4792,$K4792))</f>
        <v/>
      </c>
      <c r="Q4792">
        <f>IF($A4792="","",$D4792&amp;"("&amp;SUBSTITUTE($E4792," ","")&amp;")")</f>
        <v/>
      </c>
      <c r="R4792">
        <f>IF($A4792="","",$B4792&amp;" - "&amp;$C4792)</f>
        <v/>
      </c>
      <c r="S4792">
        <f>IF($A4792="","",$R4792&amp;"|"&amp;$Q4792)</f>
        <v/>
      </c>
      <c r="T4792">
        <f>IF($A4792="","",$S4792&amp;"|"&amp;$F4792)</f>
        <v/>
      </c>
      <c r="U4792">
        <f>IF($A4792="","",$R4792&amp;"("&amp;$E4792&amp;")")</f>
        <v/>
      </c>
      <c r="V4792">
        <f>IF($A4792="","",$F4792&amp;"|"&amp;$U4792&amp;"|"&amp;$D4792)</f>
        <v/>
      </c>
      <c r="W4792">
        <f>IF($T4792="","",IF($X4792&gt;N($X4791),$X4792,""))</f>
        <v/>
      </c>
      <c r="X4792">
        <f>IF($T4792="",N($X4791),IF(MATCH($T4792,$T$6:$T$6005,0)=ROW()-5,N($X4791)+1,N($X4791)))</f>
        <v/>
      </c>
      <c r="Z4792">
        <f>IF($V4792="","",IF($AA4792&gt;N($AA4791),$AA4792,""))</f>
        <v/>
      </c>
      <c r="AA4792">
        <f>IF($V4792="",N($AA4791),IF(MATCH($V4792,$V$6:$V$6005,0)=ROW()-5,N($AA4791)+1,N($AA4791)))</f>
        <v/>
      </c>
    </row>
    <row r="4793" ht="21" customHeight="1" s="66">
      <c r="A4793" s="56" t="n"/>
      <c r="B4793" s="57" t="n"/>
      <c r="C4793" s="57" t="n"/>
      <c r="D4793" s="57" t="n"/>
      <c r="E4793" s="56" t="n"/>
      <c r="F4793" s="57" t="n"/>
      <c r="G4793" s="57" t="n"/>
      <c r="H4793" s="56" t="n"/>
      <c r="I4793" s="56" t="n"/>
      <c r="J4793" s="58" t="n"/>
      <c r="K4793" s="58" t="n"/>
      <c r="L4793" s="13">
        <f>IF(OR($A4793="",AND($J4793="",$K4793="")),"",ROUND(N($J4793)-N($K4793),2))</f>
        <v/>
      </c>
      <c r="M4793" s="13">
        <f>IF(OR($A4793="",AND($J4793="",$K4793="")),"",MIN($J4793,$K4793))</f>
        <v/>
      </c>
      <c r="Q4793">
        <f>IF($A4793="","",$D4793&amp;"("&amp;SUBSTITUTE($E4793," ","")&amp;")")</f>
        <v/>
      </c>
      <c r="R4793">
        <f>IF($A4793="","",$B4793&amp;" - "&amp;$C4793)</f>
        <v/>
      </c>
      <c r="S4793">
        <f>IF($A4793="","",$R4793&amp;"|"&amp;$Q4793)</f>
        <v/>
      </c>
      <c r="T4793">
        <f>IF($A4793="","",$S4793&amp;"|"&amp;$F4793)</f>
        <v/>
      </c>
      <c r="U4793">
        <f>IF($A4793="","",$R4793&amp;"("&amp;$E4793&amp;")")</f>
        <v/>
      </c>
      <c r="V4793">
        <f>IF($A4793="","",$F4793&amp;"|"&amp;$U4793&amp;"|"&amp;$D4793)</f>
        <v/>
      </c>
      <c r="W4793">
        <f>IF($T4793="","",IF($X4793&gt;N($X4792),$X4793,""))</f>
        <v/>
      </c>
      <c r="X4793">
        <f>IF($T4793="",N($X4792),IF(MATCH($T4793,$T$6:$T$6005,0)=ROW()-5,N($X4792)+1,N($X4792)))</f>
        <v/>
      </c>
      <c r="Z4793">
        <f>IF($V4793="","",IF($AA4793&gt;N($AA4792),$AA4793,""))</f>
        <v/>
      </c>
      <c r="AA4793">
        <f>IF($V4793="",N($AA4792),IF(MATCH($V4793,$V$6:$V$6005,0)=ROW()-5,N($AA4792)+1,N($AA4792)))</f>
        <v/>
      </c>
    </row>
    <row r="4794" ht="21" customHeight="1" s="66">
      <c r="A4794" s="56" t="n"/>
      <c r="B4794" s="57" t="n"/>
      <c r="C4794" s="57" t="n"/>
      <c r="D4794" s="57" t="n"/>
      <c r="E4794" s="56" t="n"/>
      <c r="F4794" s="57" t="n"/>
      <c r="G4794" s="57" t="n"/>
      <c r="H4794" s="56" t="n"/>
      <c r="I4794" s="56" t="n"/>
      <c r="J4794" s="58" t="n"/>
      <c r="K4794" s="58" t="n"/>
      <c r="L4794" s="13">
        <f>IF(OR($A4794="",AND($J4794="",$K4794="")),"",ROUND(N($J4794)-N($K4794),2))</f>
        <v/>
      </c>
      <c r="M4794" s="13">
        <f>IF(OR($A4794="",AND($J4794="",$K4794="")),"",MIN($J4794,$K4794))</f>
        <v/>
      </c>
      <c r="Q4794">
        <f>IF($A4794="","",$D4794&amp;"("&amp;SUBSTITUTE($E4794," ","")&amp;")")</f>
        <v/>
      </c>
      <c r="R4794">
        <f>IF($A4794="","",$B4794&amp;" - "&amp;$C4794)</f>
        <v/>
      </c>
      <c r="S4794">
        <f>IF($A4794="","",$R4794&amp;"|"&amp;$Q4794)</f>
        <v/>
      </c>
      <c r="T4794">
        <f>IF($A4794="","",$S4794&amp;"|"&amp;$F4794)</f>
        <v/>
      </c>
      <c r="U4794">
        <f>IF($A4794="","",$R4794&amp;"("&amp;$E4794&amp;")")</f>
        <v/>
      </c>
      <c r="V4794">
        <f>IF($A4794="","",$F4794&amp;"|"&amp;$U4794&amp;"|"&amp;$D4794)</f>
        <v/>
      </c>
      <c r="W4794">
        <f>IF($T4794="","",IF($X4794&gt;N($X4793),$X4794,""))</f>
        <v/>
      </c>
      <c r="X4794">
        <f>IF($T4794="",N($X4793),IF(MATCH($T4794,$T$6:$T$6005,0)=ROW()-5,N($X4793)+1,N($X4793)))</f>
        <v/>
      </c>
      <c r="Z4794">
        <f>IF($V4794="","",IF($AA4794&gt;N($AA4793),$AA4794,""))</f>
        <v/>
      </c>
      <c r="AA4794">
        <f>IF($V4794="",N($AA4793),IF(MATCH($V4794,$V$6:$V$6005,0)=ROW()-5,N($AA4793)+1,N($AA4793)))</f>
        <v/>
      </c>
    </row>
    <row r="4795" ht="21" customHeight="1" s="66">
      <c r="A4795" s="56" t="n"/>
      <c r="B4795" s="57" t="n"/>
      <c r="C4795" s="57" t="n"/>
      <c r="D4795" s="57" t="n"/>
      <c r="E4795" s="56" t="n"/>
      <c r="F4795" s="57" t="n"/>
      <c r="G4795" s="57" t="n"/>
      <c r="H4795" s="56" t="n"/>
      <c r="I4795" s="56" t="n"/>
      <c r="J4795" s="58" t="n"/>
      <c r="K4795" s="58" t="n"/>
      <c r="L4795" s="13">
        <f>IF(OR($A4795="",AND($J4795="",$K4795="")),"",ROUND(N($J4795)-N($K4795),2))</f>
        <v/>
      </c>
      <c r="M4795" s="13">
        <f>IF(OR($A4795="",AND($J4795="",$K4795="")),"",MIN($J4795,$K4795))</f>
        <v/>
      </c>
      <c r="Q4795">
        <f>IF($A4795="","",$D4795&amp;"("&amp;SUBSTITUTE($E4795," ","")&amp;")")</f>
        <v/>
      </c>
      <c r="R4795">
        <f>IF($A4795="","",$B4795&amp;" - "&amp;$C4795)</f>
        <v/>
      </c>
      <c r="S4795">
        <f>IF($A4795="","",$R4795&amp;"|"&amp;$Q4795)</f>
        <v/>
      </c>
      <c r="T4795">
        <f>IF($A4795="","",$S4795&amp;"|"&amp;$F4795)</f>
        <v/>
      </c>
      <c r="U4795">
        <f>IF($A4795="","",$R4795&amp;"("&amp;$E4795&amp;")")</f>
        <v/>
      </c>
      <c r="V4795">
        <f>IF($A4795="","",$F4795&amp;"|"&amp;$U4795&amp;"|"&amp;$D4795)</f>
        <v/>
      </c>
      <c r="W4795">
        <f>IF($T4795="","",IF($X4795&gt;N($X4794),$X4795,""))</f>
        <v/>
      </c>
      <c r="X4795">
        <f>IF($T4795="",N($X4794),IF(MATCH($T4795,$T$6:$T$6005,0)=ROW()-5,N($X4794)+1,N($X4794)))</f>
        <v/>
      </c>
      <c r="Z4795">
        <f>IF($V4795="","",IF($AA4795&gt;N($AA4794),$AA4795,""))</f>
        <v/>
      </c>
      <c r="AA4795">
        <f>IF($V4795="",N($AA4794),IF(MATCH($V4795,$V$6:$V$6005,0)=ROW()-5,N($AA4794)+1,N($AA4794)))</f>
        <v/>
      </c>
    </row>
    <row r="4796" ht="21" customHeight="1" s="66">
      <c r="A4796" s="56" t="n"/>
      <c r="B4796" s="57" t="n"/>
      <c r="C4796" s="57" t="n"/>
      <c r="D4796" s="57" t="n"/>
      <c r="E4796" s="56" t="n"/>
      <c r="F4796" s="57" t="n"/>
      <c r="G4796" s="57" t="n"/>
      <c r="H4796" s="56" t="n"/>
      <c r="I4796" s="56" t="n"/>
      <c r="J4796" s="58" t="n"/>
      <c r="K4796" s="58" t="n"/>
      <c r="L4796" s="13">
        <f>IF(OR($A4796="",AND($J4796="",$K4796="")),"",ROUND(N($J4796)-N($K4796),2))</f>
        <v/>
      </c>
      <c r="M4796" s="13">
        <f>IF(OR($A4796="",AND($J4796="",$K4796="")),"",MIN($J4796,$K4796))</f>
        <v/>
      </c>
      <c r="Q4796">
        <f>IF($A4796="","",$D4796&amp;"("&amp;SUBSTITUTE($E4796," ","")&amp;")")</f>
        <v/>
      </c>
      <c r="R4796">
        <f>IF($A4796="","",$B4796&amp;" - "&amp;$C4796)</f>
        <v/>
      </c>
      <c r="S4796">
        <f>IF($A4796="","",$R4796&amp;"|"&amp;$Q4796)</f>
        <v/>
      </c>
      <c r="T4796">
        <f>IF($A4796="","",$S4796&amp;"|"&amp;$F4796)</f>
        <v/>
      </c>
      <c r="U4796">
        <f>IF($A4796="","",$R4796&amp;"("&amp;$E4796&amp;")")</f>
        <v/>
      </c>
      <c r="V4796">
        <f>IF($A4796="","",$F4796&amp;"|"&amp;$U4796&amp;"|"&amp;$D4796)</f>
        <v/>
      </c>
      <c r="W4796">
        <f>IF($T4796="","",IF($X4796&gt;N($X4795),$X4796,""))</f>
        <v/>
      </c>
      <c r="X4796">
        <f>IF($T4796="",N($X4795),IF(MATCH($T4796,$T$6:$T$6005,0)=ROW()-5,N($X4795)+1,N($X4795)))</f>
        <v/>
      </c>
      <c r="Z4796">
        <f>IF($V4796="","",IF($AA4796&gt;N($AA4795),$AA4796,""))</f>
        <v/>
      </c>
      <c r="AA4796">
        <f>IF($V4796="",N($AA4795),IF(MATCH($V4796,$V$6:$V$6005,0)=ROW()-5,N($AA4795)+1,N($AA4795)))</f>
        <v/>
      </c>
    </row>
    <row r="4797" ht="21" customHeight="1" s="66">
      <c r="A4797" s="56" t="n"/>
      <c r="B4797" s="57" t="n"/>
      <c r="C4797" s="57" t="n"/>
      <c r="D4797" s="57" t="n"/>
      <c r="E4797" s="56" t="n"/>
      <c r="F4797" s="57" t="n"/>
      <c r="G4797" s="57" t="n"/>
      <c r="H4797" s="56" t="n"/>
      <c r="I4797" s="56" t="n"/>
      <c r="J4797" s="58" t="n"/>
      <c r="K4797" s="58" t="n"/>
      <c r="L4797" s="13">
        <f>IF(OR($A4797="",AND($J4797="",$K4797="")),"",ROUND(N($J4797)-N($K4797),2))</f>
        <v/>
      </c>
      <c r="M4797" s="13">
        <f>IF(OR($A4797="",AND($J4797="",$K4797="")),"",MIN($J4797,$K4797))</f>
        <v/>
      </c>
      <c r="Q4797">
        <f>IF($A4797="","",$D4797&amp;"("&amp;SUBSTITUTE($E4797," ","")&amp;")")</f>
        <v/>
      </c>
      <c r="R4797">
        <f>IF($A4797="","",$B4797&amp;" - "&amp;$C4797)</f>
        <v/>
      </c>
      <c r="S4797">
        <f>IF($A4797="","",$R4797&amp;"|"&amp;$Q4797)</f>
        <v/>
      </c>
      <c r="T4797">
        <f>IF($A4797="","",$S4797&amp;"|"&amp;$F4797)</f>
        <v/>
      </c>
      <c r="U4797">
        <f>IF($A4797="","",$R4797&amp;"("&amp;$E4797&amp;")")</f>
        <v/>
      </c>
      <c r="V4797">
        <f>IF($A4797="","",$F4797&amp;"|"&amp;$U4797&amp;"|"&amp;$D4797)</f>
        <v/>
      </c>
      <c r="W4797">
        <f>IF($T4797="","",IF($X4797&gt;N($X4796),$X4797,""))</f>
        <v/>
      </c>
      <c r="X4797">
        <f>IF($T4797="",N($X4796),IF(MATCH($T4797,$T$6:$T$6005,0)=ROW()-5,N($X4796)+1,N($X4796)))</f>
        <v/>
      </c>
      <c r="Z4797">
        <f>IF($V4797="","",IF($AA4797&gt;N($AA4796),$AA4797,""))</f>
        <v/>
      </c>
      <c r="AA4797">
        <f>IF($V4797="",N($AA4796),IF(MATCH($V4797,$V$6:$V$6005,0)=ROW()-5,N($AA4796)+1,N($AA4796)))</f>
        <v/>
      </c>
    </row>
    <row r="4798" ht="21" customHeight="1" s="66">
      <c r="A4798" s="56" t="n"/>
      <c r="B4798" s="57" t="n"/>
      <c r="C4798" s="57" t="n"/>
      <c r="D4798" s="57" t="n"/>
      <c r="E4798" s="56" t="n"/>
      <c r="F4798" s="57" t="n"/>
      <c r="G4798" s="57" t="n"/>
      <c r="H4798" s="56" t="n"/>
      <c r="I4798" s="56" t="n"/>
      <c r="J4798" s="58" t="n"/>
      <c r="K4798" s="58" t="n"/>
      <c r="L4798" s="13">
        <f>IF(OR($A4798="",AND($J4798="",$K4798="")),"",ROUND(N($J4798)-N($K4798),2))</f>
        <v/>
      </c>
      <c r="M4798" s="13">
        <f>IF(OR($A4798="",AND($J4798="",$K4798="")),"",MIN($J4798,$K4798))</f>
        <v/>
      </c>
      <c r="Q4798">
        <f>IF($A4798="","",$D4798&amp;"("&amp;SUBSTITUTE($E4798," ","")&amp;")")</f>
        <v/>
      </c>
      <c r="R4798">
        <f>IF($A4798="","",$B4798&amp;" - "&amp;$C4798)</f>
        <v/>
      </c>
      <c r="S4798">
        <f>IF($A4798="","",$R4798&amp;"|"&amp;$Q4798)</f>
        <v/>
      </c>
      <c r="T4798">
        <f>IF($A4798="","",$S4798&amp;"|"&amp;$F4798)</f>
        <v/>
      </c>
      <c r="U4798">
        <f>IF($A4798="","",$R4798&amp;"("&amp;$E4798&amp;")")</f>
        <v/>
      </c>
      <c r="V4798">
        <f>IF($A4798="","",$F4798&amp;"|"&amp;$U4798&amp;"|"&amp;$D4798)</f>
        <v/>
      </c>
      <c r="W4798">
        <f>IF($T4798="","",IF($X4798&gt;N($X4797),$X4798,""))</f>
        <v/>
      </c>
      <c r="X4798">
        <f>IF($T4798="",N($X4797),IF(MATCH($T4798,$T$6:$T$6005,0)=ROW()-5,N($X4797)+1,N($X4797)))</f>
        <v/>
      </c>
      <c r="Z4798">
        <f>IF($V4798="","",IF($AA4798&gt;N($AA4797),$AA4798,""))</f>
        <v/>
      </c>
      <c r="AA4798">
        <f>IF($V4798="",N($AA4797),IF(MATCH($V4798,$V$6:$V$6005,0)=ROW()-5,N($AA4797)+1,N($AA4797)))</f>
        <v/>
      </c>
    </row>
    <row r="4799" ht="21" customHeight="1" s="66">
      <c r="A4799" s="56" t="n"/>
      <c r="B4799" s="57" t="n"/>
      <c r="C4799" s="57" t="n"/>
      <c r="D4799" s="57" t="n"/>
      <c r="E4799" s="56" t="n"/>
      <c r="F4799" s="57" t="n"/>
      <c r="G4799" s="57" t="n"/>
      <c r="H4799" s="56" t="n"/>
      <c r="I4799" s="56" t="n"/>
      <c r="J4799" s="58" t="n"/>
      <c r="K4799" s="58" t="n"/>
      <c r="L4799" s="13">
        <f>IF(OR($A4799="",AND($J4799="",$K4799="")),"",ROUND(N($J4799)-N($K4799),2))</f>
        <v/>
      </c>
      <c r="M4799" s="13">
        <f>IF(OR($A4799="",AND($J4799="",$K4799="")),"",MIN($J4799,$K4799))</f>
        <v/>
      </c>
      <c r="Q4799">
        <f>IF($A4799="","",$D4799&amp;"("&amp;SUBSTITUTE($E4799," ","")&amp;")")</f>
        <v/>
      </c>
      <c r="R4799">
        <f>IF($A4799="","",$B4799&amp;" - "&amp;$C4799)</f>
        <v/>
      </c>
      <c r="S4799">
        <f>IF($A4799="","",$R4799&amp;"|"&amp;$Q4799)</f>
        <v/>
      </c>
      <c r="T4799">
        <f>IF($A4799="","",$S4799&amp;"|"&amp;$F4799)</f>
        <v/>
      </c>
      <c r="U4799">
        <f>IF($A4799="","",$R4799&amp;"("&amp;$E4799&amp;")")</f>
        <v/>
      </c>
      <c r="V4799">
        <f>IF($A4799="","",$F4799&amp;"|"&amp;$U4799&amp;"|"&amp;$D4799)</f>
        <v/>
      </c>
      <c r="W4799">
        <f>IF($T4799="","",IF($X4799&gt;N($X4798),$X4799,""))</f>
        <v/>
      </c>
      <c r="X4799">
        <f>IF($T4799="",N($X4798),IF(MATCH($T4799,$T$6:$T$6005,0)=ROW()-5,N($X4798)+1,N($X4798)))</f>
        <v/>
      </c>
      <c r="Z4799">
        <f>IF($V4799="","",IF($AA4799&gt;N($AA4798),$AA4799,""))</f>
        <v/>
      </c>
      <c r="AA4799">
        <f>IF($V4799="",N($AA4798),IF(MATCH($V4799,$V$6:$V$6005,0)=ROW()-5,N($AA4798)+1,N($AA4798)))</f>
        <v/>
      </c>
    </row>
    <row r="4800" ht="21" customHeight="1" s="66">
      <c r="A4800" s="56" t="n"/>
      <c r="B4800" s="57" t="n"/>
      <c r="C4800" s="57" t="n"/>
      <c r="D4800" s="57" t="n"/>
      <c r="E4800" s="56" t="n"/>
      <c r="F4800" s="57" t="n"/>
      <c r="G4800" s="57" t="n"/>
      <c r="H4800" s="56" t="n"/>
      <c r="I4800" s="56" t="n"/>
      <c r="J4800" s="58" t="n"/>
      <c r="K4800" s="58" t="n"/>
      <c r="L4800" s="13">
        <f>IF(OR($A4800="",AND($J4800="",$K4800="")),"",ROUND(N($J4800)-N($K4800),2))</f>
        <v/>
      </c>
      <c r="M4800" s="13">
        <f>IF(OR($A4800="",AND($J4800="",$K4800="")),"",MIN($J4800,$K4800))</f>
        <v/>
      </c>
      <c r="Q4800">
        <f>IF($A4800="","",$D4800&amp;"("&amp;SUBSTITUTE($E4800," ","")&amp;")")</f>
        <v/>
      </c>
      <c r="R4800">
        <f>IF($A4800="","",$B4800&amp;" - "&amp;$C4800)</f>
        <v/>
      </c>
      <c r="S4800">
        <f>IF($A4800="","",$R4800&amp;"|"&amp;$Q4800)</f>
        <v/>
      </c>
      <c r="T4800">
        <f>IF($A4800="","",$S4800&amp;"|"&amp;$F4800)</f>
        <v/>
      </c>
      <c r="U4800">
        <f>IF($A4800="","",$R4800&amp;"("&amp;$E4800&amp;")")</f>
        <v/>
      </c>
      <c r="V4800">
        <f>IF($A4800="","",$F4800&amp;"|"&amp;$U4800&amp;"|"&amp;$D4800)</f>
        <v/>
      </c>
      <c r="W4800">
        <f>IF($T4800="","",IF($X4800&gt;N($X4799),$X4800,""))</f>
        <v/>
      </c>
      <c r="X4800">
        <f>IF($T4800="",N($X4799),IF(MATCH($T4800,$T$6:$T$6005,0)=ROW()-5,N($X4799)+1,N($X4799)))</f>
        <v/>
      </c>
      <c r="Z4800">
        <f>IF($V4800="","",IF($AA4800&gt;N($AA4799),$AA4800,""))</f>
        <v/>
      </c>
      <c r="AA4800">
        <f>IF($V4800="",N($AA4799),IF(MATCH($V4800,$V$6:$V$6005,0)=ROW()-5,N($AA4799)+1,N($AA4799)))</f>
        <v/>
      </c>
    </row>
    <row r="4801" ht="21" customHeight="1" s="66">
      <c r="A4801" s="56" t="n"/>
      <c r="B4801" s="57" t="n"/>
      <c r="C4801" s="57" t="n"/>
      <c r="D4801" s="57" t="n"/>
      <c r="E4801" s="56" t="n"/>
      <c r="F4801" s="57" t="n"/>
      <c r="G4801" s="57" t="n"/>
      <c r="H4801" s="56" t="n"/>
      <c r="I4801" s="56" t="n"/>
      <c r="J4801" s="58" t="n"/>
      <c r="K4801" s="58" t="n"/>
      <c r="L4801" s="13">
        <f>IF(OR($A4801="",AND($J4801="",$K4801="")),"",ROUND(N($J4801)-N($K4801),2))</f>
        <v/>
      </c>
      <c r="M4801" s="13">
        <f>IF(OR($A4801="",AND($J4801="",$K4801="")),"",MIN($J4801,$K4801))</f>
        <v/>
      </c>
      <c r="Q4801">
        <f>IF($A4801="","",$D4801&amp;"("&amp;SUBSTITUTE($E4801," ","")&amp;")")</f>
        <v/>
      </c>
      <c r="R4801">
        <f>IF($A4801="","",$B4801&amp;" - "&amp;$C4801)</f>
        <v/>
      </c>
      <c r="S4801">
        <f>IF($A4801="","",$R4801&amp;"|"&amp;$Q4801)</f>
        <v/>
      </c>
      <c r="T4801">
        <f>IF($A4801="","",$S4801&amp;"|"&amp;$F4801)</f>
        <v/>
      </c>
      <c r="U4801">
        <f>IF($A4801="","",$R4801&amp;"("&amp;$E4801&amp;")")</f>
        <v/>
      </c>
      <c r="V4801">
        <f>IF($A4801="","",$F4801&amp;"|"&amp;$U4801&amp;"|"&amp;$D4801)</f>
        <v/>
      </c>
      <c r="W4801">
        <f>IF($T4801="","",IF($X4801&gt;N($X4800),$X4801,""))</f>
        <v/>
      </c>
      <c r="X4801">
        <f>IF($T4801="",N($X4800),IF(MATCH($T4801,$T$6:$T$6005,0)=ROW()-5,N($X4800)+1,N($X4800)))</f>
        <v/>
      </c>
      <c r="Z4801">
        <f>IF($V4801="","",IF($AA4801&gt;N($AA4800),$AA4801,""))</f>
        <v/>
      </c>
      <c r="AA4801">
        <f>IF($V4801="",N($AA4800),IF(MATCH($V4801,$V$6:$V$6005,0)=ROW()-5,N($AA4800)+1,N($AA4800)))</f>
        <v/>
      </c>
    </row>
    <row r="4802" ht="21" customHeight="1" s="66">
      <c r="A4802" s="56" t="n"/>
      <c r="B4802" s="57" t="n"/>
      <c r="C4802" s="57" t="n"/>
      <c r="D4802" s="57" t="n"/>
      <c r="E4802" s="56" t="n"/>
      <c r="F4802" s="57" t="n"/>
      <c r="G4802" s="57" t="n"/>
      <c r="H4802" s="56" t="n"/>
      <c r="I4802" s="56" t="n"/>
      <c r="J4802" s="58" t="n"/>
      <c r="K4802" s="58" t="n"/>
      <c r="L4802" s="13">
        <f>IF(OR($A4802="",AND($J4802="",$K4802="")),"",ROUND(N($J4802)-N($K4802),2))</f>
        <v/>
      </c>
      <c r="M4802" s="13">
        <f>IF(OR($A4802="",AND($J4802="",$K4802="")),"",MIN($J4802,$K4802))</f>
        <v/>
      </c>
      <c r="Q4802">
        <f>IF($A4802="","",$D4802&amp;"("&amp;SUBSTITUTE($E4802," ","")&amp;")")</f>
        <v/>
      </c>
      <c r="R4802">
        <f>IF($A4802="","",$B4802&amp;" - "&amp;$C4802)</f>
        <v/>
      </c>
      <c r="S4802">
        <f>IF($A4802="","",$R4802&amp;"|"&amp;$Q4802)</f>
        <v/>
      </c>
      <c r="T4802">
        <f>IF($A4802="","",$S4802&amp;"|"&amp;$F4802)</f>
        <v/>
      </c>
      <c r="U4802">
        <f>IF($A4802="","",$R4802&amp;"("&amp;$E4802&amp;")")</f>
        <v/>
      </c>
      <c r="V4802">
        <f>IF($A4802="","",$F4802&amp;"|"&amp;$U4802&amp;"|"&amp;$D4802)</f>
        <v/>
      </c>
      <c r="W4802">
        <f>IF($T4802="","",IF($X4802&gt;N($X4801),$X4802,""))</f>
        <v/>
      </c>
      <c r="X4802">
        <f>IF($T4802="",N($X4801),IF(MATCH($T4802,$T$6:$T$6005,0)=ROW()-5,N($X4801)+1,N($X4801)))</f>
        <v/>
      </c>
      <c r="Z4802">
        <f>IF($V4802="","",IF($AA4802&gt;N($AA4801),$AA4802,""))</f>
        <v/>
      </c>
      <c r="AA4802">
        <f>IF($V4802="",N($AA4801),IF(MATCH($V4802,$V$6:$V$6005,0)=ROW()-5,N($AA4801)+1,N($AA4801)))</f>
        <v/>
      </c>
    </row>
    <row r="4803" ht="21" customHeight="1" s="66">
      <c r="A4803" s="56" t="n"/>
      <c r="B4803" s="57" t="n"/>
      <c r="C4803" s="57" t="n"/>
      <c r="D4803" s="57" t="n"/>
      <c r="E4803" s="56" t="n"/>
      <c r="F4803" s="57" t="n"/>
      <c r="G4803" s="57" t="n"/>
      <c r="H4803" s="56" t="n"/>
      <c r="I4803" s="56" t="n"/>
      <c r="J4803" s="58" t="n"/>
      <c r="K4803" s="58" t="n"/>
      <c r="L4803" s="13">
        <f>IF(OR($A4803="",AND($J4803="",$K4803="")),"",ROUND(N($J4803)-N($K4803),2))</f>
        <v/>
      </c>
      <c r="M4803" s="13">
        <f>IF(OR($A4803="",AND($J4803="",$K4803="")),"",MIN($J4803,$K4803))</f>
        <v/>
      </c>
      <c r="Q4803">
        <f>IF($A4803="","",$D4803&amp;"("&amp;SUBSTITUTE($E4803," ","")&amp;")")</f>
        <v/>
      </c>
      <c r="R4803">
        <f>IF($A4803="","",$B4803&amp;" - "&amp;$C4803)</f>
        <v/>
      </c>
      <c r="S4803">
        <f>IF($A4803="","",$R4803&amp;"|"&amp;$Q4803)</f>
        <v/>
      </c>
      <c r="T4803">
        <f>IF($A4803="","",$S4803&amp;"|"&amp;$F4803)</f>
        <v/>
      </c>
      <c r="U4803">
        <f>IF($A4803="","",$R4803&amp;"("&amp;$E4803&amp;")")</f>
        <v/>
      </c>
      <c r="V4803">
        <f>IF($A4803="","",$F4803&amp;"|"&amp;$U4803&amp;"|"&amp;$D4803)</f>
        <v/>
      </c>
      <c r="W4803">
        <f>IF($T4803="","",IF($X4803&gt;N($X4802),$X4803,""))</f>
        <v/>
      </c>
      <c r="X4803">
        <f>IF($T4803="",N($X4802),IF(MATCH($T4803,$T$6:$T$6005,0)=ROW()-5,N($X4802)+1,N($X4802)))</f>
        <v/>
      </c>
      <c r="Z4803">
        <f>IF($V4803="","",IF($AA4803&gt;N($AA4802),$AA4803,""))</f>
        <v/>
      </c>
      <c r="AA4803">
        <f>IF($V4803="",N($AA4802),IF(MATCH($V4803,$V$6:$V$6005,0)=ROW()-5,N($AA4802)+1,N($AA4802)))</f>
        <v/>
      </c>
    </row>
    <row r="4804" ht="21" customHeight="1" s="66">
      <c r="A4804" s="56" t="n"/>
      <c r="B4804" s="57" t="n"/>
      <c r="C4804" s="57" t="n"/>
      <c r="D4804" s="57" t="n"/>
      <c r="E4804" s="56" t="n"/>
      <c r="F4804" s="57" t="n"/>
      <c r="G4804" s="57" t="n"/>
      <c r="H4804" s="56" t="n"/>
      <c r="I4804" s="56" t="n"/>
      <c r="J4804" s="58" t="n"/>
      <c r="K4804" s="58" t="n"/>
      <c r="L4804" s="13">
        <f>IF(OR($A4804="",AND($J4804="",$K4804="")),"",ROUND(N($J4804)-N($K4804),2))</f>
        <v/>
      </c>
      <c r="M4804" s="13">
        <f>IF(OR($A4804="",AND($J4804="",$K4804="")),"",MIN($J4804,$K4804))</f>
        <v/>
      </c>
      <c r="Q4804">
        <f>IF($A4804="","",$D4804&amp;"("&amp;SUBSTITUTE($E4804," ","")&amp;")")</f>
        <v/>
      </c>
      <c r="R4804">
        <f>IF($A4804="","",$B4804&amp;" - "&amp;$C4804)</f>
        <v/>
      </c>
      <c r="S4804">
        <f>IF($A4804="","",$R4804&amp;"|"&amp;$Q4804)</f>
        <v/>
      </c>
      <c r="T4804">
        <f>IF($A4804="","",$S4804&amp;"|"&amp;$F4804)</f>
        <v/>
      </c>
      <c r="U4804">
        <f>IF($A4804="","",$R4804&amp;"("&amp;$E4804&amp;")")</f>
        <v/>
      </c>
      <c r="V4804">
        <f>IF($A4804="","",$F4804&amp;"|"&amp;$U4804&amp;"|"&amp;$D4804)</f>
        <v/>
      </c>
      <c r="W4804">
        <f>IF($T4804="","",IF($X4804&gt;N($X4803),$X4804,""))</f>
        <v/>
      </c>
      <c r="X4804">
        <f>IF($T4804="",N($X4803),IF(MATCH($T4804,$T$6:$T$6005,0)=ROW()-5,N($X4803)+1,N($X4803)))</f>
        <v/>
      </c>
      <c r="Z4804">
        <f>IF($V4804="","",IF($AA4804&gt;N($AA4803),$AA4804,""))</f>
        <v/>
      </c>
      <c r="AA4804">
        <f>IF($V4804="",N($AA4803),IF(MATCH($V4804,$V$6:$V$6005,0)=ROW()-5,N($AA4803)+1,N($AA4803)))</f>
        <v/>
      </c>
    </row>
    <row r="4805" ht="21" customHeight="1" s="66">
      <c r="A4805" s="56" t="n"/>
      <c r="B4805" s="57" t="n"/>
      <c r="C4805" s="57" t="n"/>
      <c r="D4805" s="57" t="n"/>
      <c r="E4805" s="56" t="n"/>
      <c r="F4805" s="57" t="n"/>
      <c r="G4805" s="57" t="n"/>
      <c r="H4805" s="56" t="n"/>
      <c r="I4805" s="56" t="n"/>
      <c r="J4805" s="58" t="n"/>
      <c r="K4805" s="58" t="n"/>
      <c r="L4805" s="13">
        <f>IF(OR($A4805="",AND($J4805="",$K4805="")),"",ROUND(N($J4805)-N($K4805),2))</f>
        <v/>
      </c>
      <c r="M4805" s="13">
        <f>IF(OR($A4805="",AND($J4805="",$K4805="")),"",MIN($J4805,$K4805))</f>
        <v/>
      </c>
      <c r="Q4805">
        <f>IF($A4805="","",$D4805&amp;"("&amp;SUBSTITUTE($E4805," ","")&amp;")")</f>
        <v/>
      </c>
      <c r="R4805">
        <f>IF($A4805="","",$B4805&amp;" - "&amp;$C4805)</f>
        <v/>
      </c>
      <c r="S4805">
        <f>IF($A4805="","",$R4805&amp;"|"&amp;$Q4805)</f>
        <v/>
      </c>
      <c r="T4805">
        <f>IF($A4805="","",$S4805&amp;"|"&amp;$F4805)</f>
        <v/>
      </c>
      <c r="U4805">
        <f>IF($A4805="","",$R4805&amp;"("&amp;$E4805&amp;")")</f>
        <v/>
      </c>
      <c r="V4805">
        <f>IF($A4805="","",$F4805&amp;"|"&amp;$U4805&amp;"|"&amp;$D4805)</f>
        <v/>
      </c>
      <c r="W4805">
        <f>IF($T4805="","",IF($X4805&gt;N($X4804),$X4805,""))</f>
        <v/>
      </c>
      <c r="X4805">
        <f>IF($T4805="",N($X4804),IF(MATCH($T4805,$T$6:$T$6005,0)=ROW()-5,N($X4804)+1,N($X4804)))</f>
        <v/>
      </c>
      <c r="Z4805">
        <f>IF($V4805="","",IF($AA4805&gt;N($AA4804),$AA4805,""))</f>
        <v/>
      </c>
      <c r="AA4805">
        <f>IF($V4805="",N($AA4804),IF(MATCH($V4805,$V$6:$V$6005,0)=ROW()-5,N($AA4804)+1,N($AA4804)))</f>
        <v/>
      </c>
    </row>
    <row r="4806" ht="21" customHeight="1" s="66">
      <c r="A4806" s="56" t="n"/>
      <c r="B4806" s="57" t="n"/>
      <c r="C4806" s="57" t="n"/>
      <c r="D4806" s="57" t="n"/>
      <c r="E4806" s="56" t="n"/>
      <c r="F4806" s="57" t="n"/>
      <c r="G4806" s="57" t="n"/>
      <c r="H4806" s="56" t="n"/>
      <c r="I4806" s="56" t="n"/>
      <c r="J4806" s="58" t="n"/>
      <c r="K4806" s="58" t="n"/>
      <c r="L4806" s="13">
        <f>IF(OR($A4806="",AND($J4806="",$K4806="")),"",ROUND(N($J4806)-N($K4806),2))</f>
        <v/>
      </c>
      <c r="M4806" s="13">
        <f>IF(OR($A4806="",AND($J4806="",$K4806="")),"",MIN($J4806,$K4806))</f>
        <v/>
      </c>
      <c r="Q4806">
        <f>IF($A4806="","",$D4806&amp;"("&amp;SUBSTITUTE($E4806," ","")&amp;")")</f>
        <v/>
      </c>
      <c r="R4806">
        <f>IF($A4806="","",$B4806&amp;" - "&amp;$C4806)</f>
        <v/>
      </c>
      <c r="S4806">
        <f>IF($A4806="","",$R4806&amp;"|"&amp;$Q4806)</f>
        <v/>
      </c>
      <c r="T4806">
        <f>IF($A4806="","",$S4806&amp;"|"&amp;$F4806)</f>
        <v/>
      </c>
      <c r="U4806">
        <f>IF($A4806="","",$R4806&amp;"("&amp;$E4806&amp;")")</f>
        <v/>
      </c>
      <c r="V4806">
        <f>IF($A4806="","",$F4806&amp;"|"&amp;$U4806&amp;"|"&amp;$D4806)</f>
        <v/>
      </c>
      <c r="W4806">
        <f>IF($T4806="","",IF($X4806&gt;N($X4805),$X4806,""))</f>
        <v/>
      </c>
      <c r="X4806">
        <f>IF($T4806="",N($X4805),IF(MATCH($T4806,$T$6:$T$6005,0)=ROW()-5,N($X4805)+1,N($X4805)))</f>
        <v/>
      </c>
      <c r="Z4806">
        <f>IF($V4806="","",IF($AA4806&gt;N($AA4805),$AA4806,""))</f>
        <v/>
      </c>
      <c r="AA4806">
        <f>IF($V4806="",N($AA4805),IF(MATCH($V4806,$V$6:$V$6005,0)=ROW()-5,N($AA4805)+1,N($AA4805)))</f>
        <v/>
      </c>
    </row>
    <row r="4807" ht="21" customHeight="1" s="66">
      <c r="A4807" s="56" t="n"/>
      <c r="B4807" s="57" t="n"/>
      <c r="C4807" s="57" t="n"/>
      <c r="D4807" s="57" t="n"/>
      <c r="E4807" s="56" t="n"/>
      <c r="F4807" s="57" t="n"/>
      <c r="G4807" s="57" t="n"/>
      <c r="H4807" s="56" t="n"/>
      <c r="I4807" s="56" t="n"/>
      <c r="J4807" s="58" t="n"/>
      <c r="K4807" s="58" t="n"/>
      <c r="L4807" s="13">
        <f>IF(OR($A4807="",AND($J4807="",$K4807="")),"",ROUND(N($J4807)-N($K4807),2))</f>
        <v/>
      </c>
      <c r="M4807" s="13">
        <f>IF(OR($A4807="",AND($J4807="",$K4807="")),"",MIN($J4807,$K4807))</f>
        <v/>
      </c>
      <c r="Q4807">
        <f>IF($A4807="","",$D4807&amp;"("&amp;SUBSTITUTE($E4807," ","")&amp;")")</f>
        <v/>
      </c>
      <c r="R4807">
        <f>IF($A4807="","",$B4807&amp;" - "&amp;$C4807)</f>
        <v/>
      </c>
      <c r="S4807">
        <f>IF($A4807="","",$R4807&amp;"|"&amp;$Q4807)</f>
        <v/>
      </c>
      <c r="T4807">
        <f>IF($A4807="","",$S4807&amp;"|"&amp;$F4807)</f>
        <v/>
      </c>
      <c r="U4807">
        <f>IF($A4807="","",$R4807&amp;"("&amp;$E4807&amp;")")</f>
        <v/>
      </c>
      <c r="V4807">
        <f>IF($A4807="","",$F4807&amp;"|"&amp;$U4807&amp;"|"&amp;$D4807)</f>
        <v/>
      </c>
      <c r="W4807">
        <f>IF($T4807="","",IF($X4807&gt;N($X4806),$X4807,""))</f>
        <v/>
      </c>
      <c r="X4807">
        <f>IF($T4807="",N($X4806),IF(MATCH($T4807,$T$6:$T$6005,0)=ROW()-5,N($X4806)+1,N($X4806)))</f>
        <v/>
      </c>
      <c r="Z4807">
        <f>IF($V4807="","",IF($AA4807&gt;N($AA4806),$AA4807,""))</f>
        <v/>
      </c>
      <c r="AA4807">
        <f>IF($V4807="",N($AA4806),IF(MATCH($V4807,$V$6:$V$6005,0)=ROW()-5,N($AA4806)+1,N($AA4806)))</f>
        <v/>
      </c>
    </row>
    <row r="4808" ht="21" customHeight="1" s="66">
      <c r="A4808" s="56" t="n"/>
      <c r="B4808" s="57" t="n"/>
      <c r="C4808" s="57" t="n"/>
      <c r="D4808" s="57" t="n"/>
      <c r="E4808" s="56" t="n"/>
      <c r="F4808" s="57" t="n"/>
      <c r="G4808" s="57" t="n"/>
      <c r="H4808" s="56" t="n"/>
      <c r="I4808" s="56" t="n"/>
      <c r="J4808" s="58" t="n"/>
      <c r="K4808" s="58" t="n"/>
      <c r="L4808" s="13">
        <f>IF(OR($A4808="",AND($J4808="",$K4808="")),"",ROUND(N($J4808)-N($K4808),2))</f>
        <v/>
      </c>
      <c r="M4808" s="13">
        <f>IF(OR($A4808="",AND($J4808="",$K4808="")),"",MIN($J4808,$K4808))</f>
        <v/>
      </c>
      <c r="Q4808">
        <f>IF($A4808="","",$D4808&amp;"("&amp;SUBSTITUTE($E4808," ","")&amp;")")</f>
        <v/>
      </c>
      <c r="R4808">
        <f>IF($A4808="","",$B4808&amp;" - "&amp;$C4808)</f>
        <v/>
      </c>
      <c r="S4808">
        <f>IF($A4808="","",$R4808&amp;"|"&amp;$Q4808)</f>
        <v/>
      </c>
      <c r="T4808">
        <f>IF($A4808="","",$S4808&amp;"|"&amp;$F4808)</f>
        <v/>
      </c>
      <c r="U4808">
        <f>IF($A4808="","",$R4808&amp;"("&amp;$E4808&amp;")")</f>
        <v/>
      </c>
      <c r="V4808">
        <f>IF($A4808="","",$F4808&amp;"|"&amp;$U4808&amp;"|"&amp;$D4808)</f>
        <v/>
      </c>
      <c r="W4808">
        <f>IF($T4808="","",IF($X4808&gt;N($X4807),$X4808,""))</f>
        <v/>
      </c>
      <c r="X4808">
        <f>IF($T4808="",N($X4807),IF(MATCH($T4808,$T$6:$T$6005,0)=ROW()-5,N($X4807)+1,N($X4807)))</f>
        <v/>
      </c>
      <c r="Z4808">
        <f>IF($V4808="","",IF($AA4808&gt;N($AA4807),$AA4808,""))</f>
        <v/>
      </c>
      <c r="AA4808">
        <f>IF($V4808="",N($AA4807),IF(MATCH($V4808,$V$6:$V$6005,0)=ROW()-5,N($AA4807)+1,N($AA4807)))</f>
        <v/>
      </c>
    </row>
    <row r="4809" ht="21" customHeight="1" s="66">
      <c r="A4809" s="56" t="n"/>
      <c r="B4809" s="57" t="n"/>
      <c r="C4809" s="57" t="n"/>
      <c r="D4809" s="57" t="n"/>
      <c r="E4809" s="56" t="n"/>
      <c r="F4809" s="57" t="n"/>
      <c r="G4809" s="57" t="n"/>
      <c r="H4809" s="56" t="n"/>
      <c r="I4809" s="56" t="n"/>
      <c r="J4809" s="58" t="n"/>
      <c r="K4809" s="58" t="n"/>
      <c r="L4809" s="13">
        <f>IF(OR($A4809="",AND($J4809="",$K4809="")),"",ROUND(N($J4809)-N($K4809),2))</f>
        <v/>
      </c>
      <c r="M4809" s="13">
        <f>IF(OR($A4809="",AND($J4809="",$K4809="")),"",MIN($J4809,$K4809))</f>
        <v/>
      </c>
      <c r="Q4809">
        <f>IF($A4809="","",$D4809&amp;"("&amp;SUBSTITUTE($E4809," ","")&amp;")")</f>
        <v/>
      </c>
      <c r="R4809">
        <f>IF($A4809="","",$B4809&amp;" - "&amp;$C4809)</f>
        <v/>
      </c>
      <c r="S4809">
        <f>IF($A4809="","",$R4809&amp;"|"&amp;$Q4809)</f>
        <v/>
      </c>
      <c r="T4809">
        <f>IF($A4809="","",$S4809&amp;"|"&amp;$F4809)</f>
        <v/>
      </c>
      <c r="U4809">
        <f>IF($A4809="","",$R4809&amp;"("&amp;$E4809&amp;")")</f>
        <v/>
      </c>
      <c r="V4809">
        <f>IF($A4809="","",$F4809&amp;"|"&amp;$U4809&amp;"|"&amp;$D4809)</f>
        <v/>
      </c>
      <c r="W4809">
        <f>IF($T4809="","",IF($X4809&gt;N($X4808),$X4809,""))</f>
        <v/>
      </c>
      <c r="X4809">
        <f>IF($T4809="",N($X4808),IF(MATCH($T4809,$T$6:$T$6005,0)=ROW()-5,N($X4808)+1,N($X4808)))</f>
        <v/>
      </c>
      <c r="Z4809">
        <f>IF($V4809="","",IF($AA4809&gt;N($AA4808),$AA4809,""))</f>
        <v/>
      </c>
      <c r="AA4809">
        <f>IF($V4809="",N($AA4808),IF(MATCH($V4809,$V$6:$V$6005,0)=ROW()-5,N($AA4808)+1,N($AA4808)))</f>
        <v/>
      </c>
    </row>
    <row r="4810" ht="21" customHeight="1" s="66">
      <c r="A4810" s="56" t="n"/>
      <c r="B4810" s="57" t="n"/>
      <c r="C4810" s="57" t="n"/>
      <c r="D4810" s="57" t="n"/>
      <c r="E4810" s="56" t="n"/>
      <c r="F4810" s="57" t="n"/>
      <c r="G4810" s="57" t="n"/>
      <c r="H4810" s="56" t="n"/>
      <c r="I4810" s="56" t="n"/>
      <c r="J4810" s="58" t="n"/>
      <c r="K4810" s="58" t="n"/>
      <c r="L4810" s="13">
        <f>IF(OR($A4810="",AND($J4810="",$K4810="")),"",ROUND(N($J4810)-N($K4810),2))</f>
        <v/>
      </c>
      <c r="M4810" s="13">
        <f>IF(OR($A4810="",AND($J4810="",$K4810="")),"",MIN($J4810,$K4810))</f>
        <v/>
      </c>
      <c r="Q4810">
        <f>IF($A4810="","",$D4810&amp;"("&amp;SUBSTITUTE($E4810," ","")&amp;")")</f>
        <v/>
      </c>
      <c r="R4810">
        <f>IF($A4810="","",$B4810&amp;" - "&amp;$C4810)</f>
        <v/>
      </c>
      <c r="S4810">
        <f>IF($A4810="","",$R4810&amp;"|"&amp;$Q4810)</f>
        <v/>
      </c>
      <c r="T4810">
        <f>IF($A4810="","",$S4810&amp;"|"&amp;$F4810)</f>
        <v/>
      </c>
      <c r="U4810">
        <f>IF($A4810="","",$R4810&amp;"("&amp;$E4810&amp;")")</f>
        <v/>
      </c>
      <c r="V4810">
        <f>IF($A4810="","",$F4810&amp;"|"&amp;$U4810&amp;"|"&amp;$D4810)</f>
        <v/>
      </c>
      <c r="W4810">
        <f>IF($T4810="","",IF($X4810&gt;N($X4809),$X4810,""))</f>
        <v/>
      </c>
      <c r="X4810">
        <f>IF($T4810="",N($X4809),IF(MATCH($T4810,$T$6:$T$6005,0)=ROW()-5,N($X4809)+1,N($X4809)))</f>
        <v/>
      </c>
      <c r="Z4810">
        <f>IF($V4810="","",IF($AA4810&gt;N($AA4809),$AA4810,""))</f>
        <v/>
      </c>
      <c r="AA4810">
        <f>IF($V4810="",N($AA4809),IF(MATCH($V4810,$V$6:$V$6005,0)=ROW()-5,N($AA4809)+1,N($AA4809)))</f>
        <v/>
      </c>
    </row>
    <row r="4811" ht="21" customHeight="1" s="66">
      <c r="A4811" s="56" t="n"/>
      <c r="B4811" s="57" t="n"/>
      <c r="C4811" s="57" t="n"/>
      <c r="D4811" s="57" t="n"/>
      <c r="E4811" s="56" t="n"/>
      <c r="F4811" s="57" t="n"/>
      <c r="G4811" s="57" t="n"/>
      <c r="H4811" s="56" t="n"/>
      <c r="I4811" s="56" t="n"/>
      <c r="J4811" s="58" t="n"/>
      <c r="K4811" s="58" t="n"/>
      <c r="L4811" s="13">
        <f>IF(OR($A4811="",AND($J4811="",$K4811="")),"",ROUND(N($J4811)-N($K4811),2))</f>
        <v/>
      </c>
      <c r="M4811" s="13">
        <f>IF(OR($A4811="",AND($J4811="",$K4811="")),"",MIN($J4811,$K4811))</f>
        <v/>
      </c>
      <c r="Q4811">
        <f>IF($A4811="","",$D4811&amp;"("&amp;SUBSTITUTE($E4811," ","")&amp;")")</f>
        <v/>
      </c>
      <c r="R4811">
        <f>IF($A4811="","",$B4811&amp;" - "&amp;$C4811)</f>
        <v/>
      </c>
      <c r="S4811">
        <f>IF($A4811="","",$R4811&amp;"|"&amp;$Q4811)</f>
        <v/>
      </c>
      <c r="T4811">
        <f>IF($A4811="","",$S4811&amp;"|"&amp;$F4811)</f>
        <v/>
      </c>
      <c r="U4811">
        <f>IF($A4811="","",$R4811&amp;"("&amp;$E4811&amp;")")</f>
        <v/>
      </c>
      <c r="V4811">
        <f>IF($A4811="","",$F4811&amp;"|"&amp;$U4811&amp;"|"&amp;$D4811)</f>
        <v/>
      </c>
      <c r="W4811">
        <f>IF($T4811="","",IF($X4811&gt;N($X4810),$X4811,""))</f>
        <v/>
      </c>
      <c r="X4811">
        <f>IF($T4811="",N($X4810),IF(MATCH($T4811,$T$6:$T$6005,0)=ROW()-5,N($X4810)+1,N($X4810)))</f>
        <v/>
      </c>
      <c r="Z4811">
        <f>IF($V4811="","",IF($AA4811&gt;N($AA4810),$AA4811,""))</f>
        <v/>
      </c>
      <c r="AA4811">
        <f>IF($V4811="",N($AA4810),IF(MATCH($V4811,$V$6:$V$6005,0)=ROW()-5,N($AA4810)+1,N($AA4810)))</f>
        <v/>
      </c>
    </row>
    <row r="4812" ht="21" customHeight="1" s="66">
      <c r="A4812" s="56" t="n"/>
      <c r="B4812" s="57" t="n"/>
      <c r="C4812" s="57" t="n"/>
      <c r="D4812" s="57" t="n"/>
      <c r="E4812" s="56" t="n"/>
      <c r="F4812" s="57" t="n"/>
      <c r="G4812" s="57" t="n"/>
      <c r="H4812" s="56" t="n"/>
      <c r="I4812" s="56" t="n"/>
      <c r="J4812" s="58" t="n"/>
      <c r="K4812" s="58" t="n"/>
      <c r="L4812" s="13">
        <f>IF(OR($A4812="",AND($J4812="",$K4812="")),"",ROUND(N($J4812)-N($K4812),2))</f>
        <v/>
      </c>
      <c r="M4812" s="13">
        <f>IF(OR($A4812="",AND($J4812="",$K4812="")),"",MIN($J4812,$K4812))</f>
        <v/>
      </c>
      <c r="Q4812">
        <f>IF($A4812="","",$D4812&amp;"("&amp;SUBSTITUTE($E4812," ","")&amp;")")</f>
        <v/>
      </c>
      <c r="R4812">
        <f>IF($A4812="","",$B4812&amp;" - "&amp;$C4812)</f>
        <v/>
      </c>
      <c r="S4812">
        <f>IF($A4812="","",$R4812&amp;"|"&amp;$Q4812)</f>
        <v/>
      </c>
      <c r="T4812">
        <f>IF($A4812="","",$S4812&amp;"|"&amp;$F4812)</f>
        <v/>
      </c>
      <c r="U4812">
        <f>IF($A4812="","",$R4812&amp;"("&amp;$E4812&amp;")")</f>
        <v/>
      </c>
      <c r="V4812">
        <f>IF($A4812="","",$F4812&amp;"|"&amp;$U4812&amp;"|"&amp;$D4812)</f>
        <v/>
      </c>
      <c r="W4812">
        <f>IF($T4812="","",IF($X4812&gt;N($X4811),$X4812,""))</f>
        <v/>
      </c>
      <c r="X4812">
        <f>IF($T4812="",N($X4811),IF(MATCH($T4812,$T$6:$T$6005,0)=ROW()-5,N($X4811)+1,N($X4811)))</f>
        <v/>
      </c>
      <c r="Z4812">
        <f>IF($V4812="","",IF($AA4812&gt;N($AA4811),$AA4812,""))</f>
        <v/>
      </c>
      <c r="AA4812">
        <f>IF($V4812="",N($AA4811),IF(MATCH($V4812,$V$6:$V$6005,0)=ROW()-5,N($AA4811)+1,N($AA4811)))</f>
        <v/>
      </c>
    </row>
    <row r="4813" ht="21" customHeight="1" s="66">
      <c r="A4813" s="56" t="n"/>
      <c r="B4813" s="57" t="n"/>
      <c r="C4813" s="57" t="n"/>
      <c r="D4813" s="57" t="n"/>
      <c r="E4813" s="56" t="n"/>
      <c r="F4813" s="57" t="n"/>
      <c r="G4813" s="57" t="n"/>
      <c r="H4813" s="56" t="n"/>
      <c r="I4813" s="56" t="n"/>
      <c r="J4813" s="58" t="n"/>
      <c r="K4813" s="58" t="n"/>
      <c r="L4813" s="13">
        <f>IF(OR($A4813="",AND($J4813="",$K4813="")),"",ROUND(N($J4813)-N($K4813),2))</f>
        <v/>
      </c>
      <c r="M4813" s="13">
        <f>IF(OR($A4813="",AND($J4813="",$K4813="")),"",MIN($J4813,$K4813))</f>
        <v/>
      </c>
      <c r="Q4813">
        <f>IF($A4813="","",$D4813&amp;"("&amp;SUBSTITUTE($E4813," ","")&amp;")")</f>
        <v/>
      </c>
      <c r="R4813">
        <f>IF($A4813="","",$B4813&amp;" - "&amp;$C4813)</f>
        <v/>
      </c>
      <c r="S4813">
        <f>IF($A4813="","",$R4813&amp;"|"&amp;$Q4813)</f>
        <v/>
      </c>
      <c r="T4813">
        <f>IF($A4813="","",$S4813&amp;"|"&amp;$F4813)</f>
        <v/>
      </c>
      <c r="U4813">
        <f>IF($A4813="","",$R4813&amp;"("&amp;$E4813&amp;")")</f>
        <v/>
      </c>
      <c r="V4813">
        <f>IF($A4813="","",$F4813&amp;"|"&amp;$U4813&amp;"|"&amp;$D4813)</f>
        <v/>
      </c>
      <c r="W4813">
        <f>IF($T4813="","",IF($X4813&gt;N($X4812),$X4813,""))</f>
        <v/>
      </c>
      <c r="X4813">
        <f>IF($T4813="",N($X4812),IF(MATCH($T4813,$T$6:$T$6005,0)=ROW()-5,N($X4812)+1,N($X4812)))</f>
        <v/>
      </c>
      <c r="Z4813">
        <f>IF($V4813="","",IF($AA4813&gt;N($AA4812),$AA4813,""))</f>
        <v/>
      </c>
      <c r="AA4813">
        <f>IF($V4813="",N($AA4812),IF(MATCH($V4813,$V$6:$V$6005,0)=ROW()-5,N($AA4812)+1,N($AA4812)))</f>
        <v/>
      </c>
    </row>
    <row r="4814" ht="21" customHeight="1" s="66">
      <c r="A4814" s="56" t="n"/>
      <c r="B4814" s="57" t="n"/>
      <c r="C4814" s="57" t="n"/>
      <c r="D4814" s="57" t="n"/>
      <c r="E4814" s="56" t="n"/>
      <c r="F4814" s="57" t="n"/>
      <c r="G4814" s="57" t="n"/>
      <c r="H4814" s="56" t="n"/>
      <c r="I4814" s="56" t="n"/>
      <c r="J4814" s="58" t="n"/>
      <c r="K4814" s="58" t="n"/>
      <c r="L4814" s="13">
        <f>IF(OR($A4814="",AND($J4814="",$K4814="")),"",ROUND(N($J4814)-N($K4814),2))</f>
        <v/>
      </c>
      <c r="M4814" s="13">
        <f>IF(OR($A4814="",AND($J4814="",$K4814="")),"",MIN($J4814,$K4814))</f>
        <v/>
      </c>
      <c r="Q4814">
        <f>IF($A4814="","",$D4814&amp;"("&amp;SUBSTITUTE($E4814," ","")&amp;")")</f>
        <v/>
      </c>
      <c r="R4814">
        <f>IF($A4814="","",$B4814&amp;" - "&amp;$C4814)</f>
        <v/>
      </c>
      <c r="S4814">
        <f>IF($A4814="","",$R4814&amp;"|"&amp;$Q4814)</f>
        <v/>
      </c>
      <c r="T4814">
        <f>IF($A4814="","",$S4814&amp;"|"&amp;$F4814)</f>
        <v/>
      </c>
      <c r="U4814">
        <f>IF($A4814="","",$R4814&amp;"("&amp;$E4814&amp;")")</f>
        <v/>
      </c>
      <c r="V4814">
        <f>IF($A4814="","",$F4814&amp;"|"&amp;$U4814&amp;"|"&amp;$D4814)</f>
        <v/>
      </c>
      <c r="W4814">
        <f>IF($T4814="","",IF($X4814&gt;N($X4813),$X4814,""))</f>
        <v/>
      </c>
      <c r="X4814">
        <f>IF($T4814="",N($X4813),IF(MATCH($T4814,$T$6:$T$6005,0)=ROW()-5,N($X4813)+1,N($X4813)))</f>
        <v/>
      </c>
      <c r="Z4814">
        <f>IF($V4814="","",IF($AA4814&gt;N($AA4813),$AA4814,""))</f>
        <v/>
      </c>
      <c r="AA4814">
        <f>IF($V4814="",N($AA4813),IF(MATCH($V4814,$V$6:$V$6005,0)=ROW()-5,N($AA4813)+1,N($AA4813)))</f>
        <v/>
      </c>
    </row>
    <row r="4815" ht="21" customHeight="1" s="66">
      <c r="A4815" s="56" t="n"/>
      <c r="B4815" s="57" t="n"/>
      <c r="C4815" s="57" t="n"/>
      <c r="D4815" s="57" t="n"/>
      <c r="E4815" s="56" t="n"/>
      <c r="F4815" s="57" t="n"/>
      <c r="G4815" s="57" t="n"/>
      <c r="H4815" s="56" t="n"/>
      <c r="I4815" s="56" t="n"/>
      <c r="J4815" s="58" t="n"/>
      <c r="K4815" s="58" t="n"/>
      <c r="L4815" s="13">
        <f>IF(OR($A4815="",AND($J4815="",$K4815="")),"",ROUND(N($J4815)-N($K4815),2))</f>
        <v/>
      </c>
      <c r="M4815" s="13">
        <f>IF(OR($A4815="",AND($J4815="",$K4815="")),"",MIN($J4815,$K4815))</f>
        <v/>
      </c>
      <c r="Q4815">
        <f>IF($A4815="","",$D4815&amp;"("&amp;SUBSTITUTE($E4815," ","")&amp;")")</f>
        <v/>
      </c>
      <c r="R4815">
        <f>IF($A4815="","",$B4815&amp;" - "&amp;$C4815)</f>
        <v/>
      </c>
      <c r="S4815">
        <f>IF($A4815="","",$R4815&amp;"|"&amp;$Q4815)</f>
        <v/>
      </c>
      <c r="T4815">
        <f>IF($A4815="","",$S4815&amp;"|"&amp;$F4815)</f>
        <v/>
      </c>
      <c r="U4815">
        <f>IF($A4815="","",$R4815&amp;"("&amp;$E4815&amp;")")</f>
        <v/>
      </c>
      <c r="V4815">
        <f>IF($A4815="","",$F4815&amp;"|"&amp;$U4815&amp;"|"&amp;$D4815)</f>
        <v/>
      </c>
      <c r="W4815">
        <f>IF($T4815="","",IF($X4815&gt;N($X4814),$X4815,""))</f>
        <v/>
      </c>
      <c r="X4815">
        <f>IF($T4815="",N($X4814),IF(MATCH($T4815,$T$6:$T$6005,0)=ROW()-5,N($X4814)+1,N($X4814)))</f>
        <v/>
      </c>
      <c r="Z4815">
        <f>IF($V4815="","",IF($AA4815&gt;N($AA4814),$AA4815,""))</f>
        <v/>
      </c>
      <c r="AA4815">
        <f>IF($V4815="",N($AA4814),IF(MATCH($V4815,$V$6:$V$6005,0)=ROW()-5,N($AA4814)+1,N($AA4814)))</f>
        <v/>
      </c>
    </row>
    <row r="4816" ht="21" customHeight="1" s="66">
      <c r="A4816" s="56" t="n"/>
      <c r="B4816" s="57" t="n"/>
      <c r="C4816" s="57" t="n"/>
      <c r="D4816" s="57" t="n"/>
      <c r="E4816" s="56" t="n"/>
      <c r="F4816" s="57" t="n"/>
      <c r="G4816" s="57" t="n"/>
      <c r="H4816" s="56" t="n"/>
      <c r="I4816" s="56" t="n"/>
      <c r="J4816" s="58" t="n"/>
      <c r="K4816" s="58" t="n"/>
      <c r="L4816" s="13">
        <f>IF(OR($A4816="",AND($J4816="",$K4816="")),"",ROUND(N($J4816)-N($K4816),2))</f>
        <v/>
      </c>
      <c r="M4816" s="13">
        <f>IF(OR($A4816="",AND($J4816="",$K4816="")),"",MIN($J4816,$K4816))</f>
        <v/>
      </c>
      <c r="Q4816">
        <f>IF($A4816="","",$D4816&amp;"("&amp;SUBSTITUTE($E4816," ","")&amp;")")</f>
        <v/>
      </c>
      <c r="R4816">
        <f>IF($A4816="","",$B4816&amp;" - "&amp;$C4816)</f>
        <v/>
      </c>
      <c r="S4816">
        <f>IF($A4816="","",$R4816&amp;"|"&amp;$Q4816)</f>
        <v/>
      </c>
      <c r="T4816">
        <f>IF($A4816="","",$S4816&amp;"|"&amp;$F4816)</f>
        <v/>
      </c>
      <c r="U4816">
        <f>IF($A4816="","",$R4816&amp;"("&amp;$E4816&amp;")")</f>
        <v/>
      </c>
      <c r="V4816">
        <f>IF($A4816="","",$F4816&amp;"|"&amp;$U4816&amp;"|"&amp;$D4816)</f>
        <v/>
      </c>
      <c r="W4816">
        <f>IF($T4816="","",IF($X4816&gt;N($X4815),$X4816,""))</f>
        <v/>
      </c>
      <c r="X4816">
        <f>IF($T4816="",N($X4815),IF(MATCH($T4816,$T$6:$T$6005,0)=ROW()-5,N($X4815)+1,N($X4815)))</f>
        <v/>
      </c>
      <c r="Z4816">
        <f>IF($V4816="","",IF($AA4816&gt;N($AA4815),$AA4816,""))</f>
        <v/>
      </c>
      <c r="AA4816">
        <f>IF($V4816="",N($AA4815),IF(MATCH($V4816,$V$6:$V$6005,0)=ROW()-5,N($AA4815)+1,N($AA4815)))</f>
        <v/>
      </c>
    </row>
    <row r="4817" ht="21" customHeight="1" s="66">
      <c r="A4817" s="56" t="n"/>
      <c r="B4817" s="57" t="n"/>
      <c r="C4817" s="57" t="n"/>
      <c r="D4817" s="57" t="n"/>
      <c r="E4817" s="56" t="n"/>
      <c r="F4817" s="57" t="n"/>
      <c r="G4817" s="57" t="n"/>
      <c r="H4817" s="56" t="n"/>
      <c r="I4817" s="56" t="n"/>
      <c r="J4817" s="58" t="n"/>
      <c r="K4817" s="58" t="n"/>
      <c r="L4817" s="13">
        <f>IF(OR($A4817="",AND($J4817="",$K4817="")),"",ROUND(N($J4817)-N($K4817),2))</f>
        <v/>
      </c>
      <c r="M4817" s="13">
        <f>IF(OR($A4817="",AND($J4817="",$K4817="")),"",MIN($J4817,$K4817))</f>
        <v/>
      </c>
      <c r="Q4817">
        <f>IF($A4817="","",$D4817&amp;"("&amp;SUBSTITUTE($E4817," ","")&amp;")")</f>
        <v/>
      </c>
      <c r="R4817">
        <f>IF($A4817="","",$B4817&amp;" - "&amp;$C4817)</f>
        <v/>
      </c>
      <c r="S4817">
        <f>IF($A4817="","",$R4817&amp;"|"&amp;$Q4817)</f>
        <v/>
      </c>
      <c r="T4817">
        <f>IF($A4817="","",$S4817&amp;"|"&amp;$F4817)</f>
        <v/>
      </c>
      <c r="U4817">
        <f>IF($A4817="","",$R4817&amp;"("&amp;$E4817&amp;")")</f>
        <v/>
      </c>
      <c r="V4817">
        <f>IF($A4817="","",$F4817&amp;"|"&amp;$U4817&amp;"|"&amp;$D4817)</f>
        <v/>
      </c>
      <c r="W4817">
        <f>IF($T4817="","",IF($X4817&gt;N($X4816),$X4817,""))</f>
        <v/>
      </c>
      <c r="X4817">
        <f>IF($T4817="",N($X4816),IF(MATCH($T4817,$T$6:$T$6005,0)=ROW()-5,N($X4816)+1,N($X4816)))</f>
        <v/>
      </c>
      <c r="Z4817">
        <f>IF($V4817="","",IF($AA4817&gt;N($AA4816),$AA4817,""))</f>
        <v/>
      </c>
      <c r="AA4817">
        <f>IF($V4817="",N($AA4816),IF(MATCH($V4817,$V$6:$V$6005,0)=ROW()-5,N($AA4816)+1,N($AA4816)))</f>
        <v/>
      </c>
    </row>
    <row r="4818" ht="21" customHeight="1" s="66">
      <c r="A4818" s="56" t="n"/>
      <c r="B4818" s="57" t="n"/>
      <c r="C4818" s="57" t="n"/>
      <c r="D4818" s="57" t="n"/>
      <c r="E4818" s="56" t="n"/>
      <c r="F4818" s="57" t="n"/>
      <c r="G4818" s="57" t="n"/>
      <c r="H4818" s="56" t="n"/>
      <c r="I4818" s="56" t="n"/>
      <c r="J4818" s="58" t="n"/>
      <c r="K4818" s="58" t="n"/>
      <c r="L4818" s="13">
        <f>IF(OR($A4818="",AND($J4818="",$K4818="")),"",ROUND(N($J4818)-N($K4818),2))</f>
        <v/>
      </c>
      <c r="M4818" s="13">
        <f>IF(OR($A4818="",AND($J4818="",$K4818="")),"",MIN($J4818,$K4818))</f>
        <v/>
      </c>
      <c r="Q4818">
        <f>IF($A4818="","",$D4818&amp;"("&amp;SUBSTITUTE($E4818," ","")&amp;")")</f>
        <v/>
      </c>
      <c r="R4818">
        <f>IF($A4818="","",$B4818&amp;" - "&amp;$C4818)</f>
        <v/>
      </c>
      <c r="S4818">
        <f>IF($A4818="","",$R4818&amp;"|"&amp;$Q4818)</f>
        <v/>
      </c>
      <c r="T4818">
        <f>IF($A4818="","",$S4818&amp;"|"&amp;$F4818)</f>
        <v/>
      </c>
      <c r="U4818">
        <f>IF($A4818="","",$R4818&amp;"("&amp;$E4818&amp;")")</f>
        <v/>
      </c>
      <c r="V4818">
        <f>IF($A4818="","",$F4818&amp;"|"&amp;$U4818&amp;"|"&amp;$D4818)</f>
        <v/>
      </c>
      <c r="W4818">
        <f>IF($T4818="","",IF($X4818&gt;N($X4817),$X4818,""))</f>
        <v/>
      </c>
      <c r="X4818">
        <f>IF($T4818="",N($X4817),IF(MATCH($T4818,$T$6:$T$6005,0)=ROW()-5,N($X4817)+1,N($X4817)))</f>
        <v/>
      </c>
      <c r="Z4818">
        <f>IF($V4818="","",IF($AA4818&gt;N($AA4817),$AA4818,""))</f>
        <v/>
      </c>
      <c r="AA4818">
        <f>IF($V4818="",N($AA4817),IF(MATCH($V4818,$V$6:$V$6005,0)=ROW()-5,N($AA4817)+1,N($AA4817)))</f>
        <v/>
      </c>
    </row>
    <row r="4819" ht="21" customHeight="1" s="66">
      <c r="A4819" s="56" t="n"/>
      <c r="B4819" s="57" t="n"/>
      <c r="C4819" s="57" t="n"/>
      <c r="D4819" s="57" t="n"/>
      <c r="E4819" s="56" t="n"/>
      <c r="F4819" s="57" t="n"/>
      <c r="G4819" s="57" t="n"/>
      <c r="H4819" s="56" t="n"/>
      <c r="I4819" s="56" t="n"/>
      <c r="J4819" s="58" t="n"/>
      <c r="K4819" s="58" t="n"/>
      <c r="L4819" s="13">
        <f>IF(OR($A4819="",AND($J4819="",$K4819="")),"",ROUND(N($J4819)-N($K4819),2))</f>
        <v/>
      </c>
      <c r="M4819" s="13">
        <f>IF(OR($A4819="",AND($J4819="",$K4819="")),"",MIN($J4819,$K4819))</f>
        <v/>
      </c>
      <c r="Q4819">
        <f>IF($A4819="","",$D4819&amp;"("&amp;SUBSTITUTE($E4819," ","")&amp;")")</f>
        <v/>
      </c>
      <c r="R4819">
        <f>IF($A4819="","",$B4819&amp;" - "&amp;$C4819)</f>
        <v/>
      </c>
      <c r="S4819">
        <f>IF($A4819="","",$R4819&amp;"|"&amp;$Q4819)</f>
        <v/>
      </c>
      <c r="T4819">
        <f>IF($A4819="","",$S4819&amp;"|"&amp;$F4819)</f>
        <v/>
      </c>
      <c r="U4819">
        <f>IF($A4819="","",$R4819&amp;"("&amp;$E4819&amp;")")</f>
        <v/>
      </c>
      <c r="V4819">
        <f>IF($A4819="","",$F4819&amp;"|"&amp;$U4819&amp;"|"&amp;$D4819)</f>
        <v/>
      </c>
      <c r="W4819">
        <f>IF($T4819="","",IF($X4819&gt;N($X4818),$X4819,""))</f>
        <v/>
      </c>
      <c r="X4819">
        <f>IF($T4819="",N($X4818),IF(MATCH($T4819,$T$6:$T$6005,0)=ROW()-5,N($X4818)+1,N($X4818)))</f>
        <v/>
      </c>
      <c r="Z4819">
        <f>IF($V4819="","",IF($AA4819&gt;N($AA4818),$AA4819,""))</f>
        <v/>
      </c>
      <c r="AA4819">
        <f>IF($V4819="",N($AA4818),IF(MATCH($V4819,$V$6:$V$6005,0)=ROW()-5,N($AA4818)+1,N($AA4818)))</f>
        <v/>
      </c>
    </row>
    <row r="4820" ht="21" customHeight="1" s="66">
      <c r="A4820" s="56" t="n"/>
      <c r="B4820" s="57" t="n"/>
      <c r="C4820" s="57" t="n"/>
      <c r="D4820" s="57" t="n"/>
      <c r="E4820" s="56" t="n"/>
      <c r="F4820" s="57" t="n"/>
      <c r="G4820" s="57" t="n"/>
      <c r="H4820" s="56" t="n"/>
      <c r="I4820" s="56" t="n"/>
      <c r="J4820" s="58" t="n"/>
      <c r="K4820" s="58" t="n"/>
      <c r="L4820" s="13">
        <f>IF(OR($A4820="",AND($J4820="",$K4820="")),"",ROUND(N($J4820)-N($K4820),2))</f>
        <v/>
      </c>
      <c r="M4820" s="13">
        <f>IF(OR($A4820="",AND($J4820="",$K4820="")),"",MIN($J4820,$K4820))</f>
        <v/>
      </c>
      <c r="Q4820">
        <f>IF($A4820="","",$D4820&amp;"("&amp;SUBSTITUTE($E4820," ","")&amp;")")</f>
        <v/>
      </c>
      <c r="R4820">
        <f>IF($A4820="","",$B4820&amp;" - "&amp;$C4820)</f>
        <v/>
      </c>
      <c r="S4820">
        <f>IF($A4820="","",$R4820&amp;"|"&amp;$Q4820)</f>
        <v/>
      </c>
      <c r="T4820">
        <f>IF($A4820="","",$S4820&amp;"|"&amp;$F4820)</f>
        <v/>
      </c>
      <c r="U4820">
        <f>IF($A4820="","",$R4820&amp;"("&amp;$E4820&amp;")")</f>
        <v/>
      </c>
      <c r="V4820">
        <f>IF($A4820="","",$F4820&amp;"|"&amp;$U4820&amp;"|"&amp;$D4820)</f>
        <v/>
      </c>
      <c r="W4820">
        <f>IF($T4820="","",IF($X4820&gt;N($X4819),$X4820,""))</f>
        <v/>
      </c>
      <c r="X4820">
        <f>IF($T4820="",N($X4819),IF(MATCH($T4820,$T$6:$T$6005,0)=ROW()-5,N($X4819)+1,N($X4819)))</f>
        <v/>
      </c>
      <c r="Z4820">
        <f>IF($V4820="","",IF($AA4820&gt;N($AA4819),$AA4820,""))</f>
        <v/>
      </c>
      <c r="AA4820">
        <f>IF($V4820="",N($AA4819),IF(MATCH($V4820,$V$6:$V$6005,0)=ROW()-5,N($AA4819)+1,N($AA4819)))</f>
        <v/>
      </c>
    </row>
    <row r="4821" ht="21" customHeight="1" s="66">
      <c r="A4821" s="56" t="n"/>
      <c r="B4821" s="57" t="n"/>
      <c r="C4821" s="57" t="n"/>
      <c r="D4821" s="57" t="n"/>
      <c r="E4821" s="56" t="n"/>
      <c r="F4821" s="57" t="n"/>
      <c r="G4821" s="57" t="n"/>
      <c r="H4821" s="56" t="n"/>
      <c r="I4821" s="56" t="n"/>
      <c r="J4821" s="58" t="n"/>
      <c r="K4821" s="58" t="n"/>
      <c r="L4821" s="13">
        <f>IF(OR($A4821="",AND($J4821="",$K4821="")),"",ROUND(N($J4821)-N($K4821),2))</f>
        <v/>
      </c>
      <c r="M4821" s="13">
        <f>IF(OR($A4821="",AND($J4821="",$K4821="")),"",MIN($J4821,$K4821))</f>
        <v/>
      </c>
      <c r="Q4821">
        <f>IF($A4821="","",$D4821&amp;"("&amp;SUBSTITUTE($E4821," ","")&amp;")")</f>
        <v/>
      </c>
      <c r="R4821">
        <f>IF($A4821="","",$B4821&amp;" - "&amp;$C4821)</f>
        <v/>
      </c>
      <c r="S4821">
        <f>IF($A4821="","",$R4821&amp;"|"&amp;$Q4821)</f>
        <v/>
      </c>
      <c r="T4821">
        <f>IF($A4821="","",$S4821&amp;"|"&amp;$F4821)</f>
        <v/>
      </c>
      <c r="U4821">
        <f>IF($A4821="","",$R4821&amp;"("&amp;$E4821&amp;")")</f>
        <v/>
      </c>
      <c r="V4821">
        <f>IF($A4821="","",$F4821&amp;"|"&amp;$U4821&amp;"|"&amp;$D4821)</f>
        <v/>
      </c>
      <c r="W4821">
        <f>IF($T4821="","",IF($X4821&gt;N($X4820),$X4821,""))</f>
        <v/>
      </c>
      <c r="X4821">
        <f>IF($T4821="",N($X4820),IF(MATCH($T4821,$T$6:$T$6005,0)=ROW()-5,N($X4820)+1,N($X4820)))</f>
        <v/>
      </c>
      <c r="Z4821">
        <f>IF($V4821="","",IF($AA4821&gt;N($AA4820),$AA4821,""))</f>
        <v/>
      </c>
      <c r="AA4821">
        <f>IF($V4821="",N($AA4820),IF(MATCH($V4821,$V$6:$V$6005,0)=ROW()-5,N($AA4820)+1,N($AA4820)))</f>
        <v/>
      </c>
    </row>
    <row r="4822" ht="21" customHeight="1" s="66">
      <c r="A4822" s="56" t="n"/>
      <c r="B4822" s="57" t="n"/>
      <c r="C4822" s="57" t="n"/>
      <c r="D4822" s="57" t="n"/>
      <c r="E4822" s="56" t="n"/>
      <c r="F4822" s="57" t="n"/>
      <c r="G4822" s="57" t="n"/>
      <c r="H4822" s="56" t="n"/>
      <c r="I4822" s="56" t="n"/>
      <c r="J4822" s="58" t="n"/>
      <c r="K4822" s="58" t="n"/>
      <c r="L4822" s="13">
        <f>IF(OR($A4822="",AND($J4822="",$K4822="")),"",ROUND(N($J4822)-N($K4822),2))</f>
        <v/>
      </c>
      <c r="M4822" s="13">
        <f>IF(OR($A4822="",AND($J4822="",$K4822="")),"",MIN($J4822,$K4822))</f>
        <v/>
      </c>
      <c r="Q4822">
        <f>IF($A4822="","",$D4822&amp;"("&amp;SUBSTITUTE($E4822," ","")&amp;")")</f>
        <v/>
      </c>
      <c r="R4822">
        <f>IF($A4822="","",$B4822&amp;" - "&amp;$C4822)</f>
        <v/>
      </c>
      <c r="S4822">
        <f>IF($A4822="","",$R4822&amp;"|"&amp;$Q4822)</f>
        <v/>
      </c>
      <c r="T4822">
        <f>IF($A4822="","",$S4822&amp;"|"&amp;$F4822)</f>
        <v/>
      </c>
      <c r="U4822">
        <f>IF($A4822="","",$R4822&amp;"("&amp;$E4822&amp;")")</f>
        <v/>
      </c>
      <c r="V4822">
        <f>IF($A4822="","",$F4822&amp;"|"&amp;$U4822&amp;"|"&amp;$D4822)</f>
        <v/>
      </c>
      <c r="W4822">
        <f>IF($T4822="","",IF($X4822&gt;N($X4821),$X4822,""))</f>
        <v/>
      </c>
      <c r="X4822">
        <f>IF($T4822="",N($X4821),IF(MATCH($T4822,$T$6:$T$6005,0)=ROW()-5,N($X4821)+1,N($X4821)))</f>
        <v/>
      </c>
      <c r="Z4822">
        <f>IF($V4822="","",IF($AA4822&gt;N($AA4821),$AA4822,""))</f>
        <v/>
      </c>
      <c r="AA4822">
        <f>IF($V4822="",N($AA4821),IF(MATCH($V4822,$V$6:$V$6005,0)=ROW()-5,N($AA4821)+1,N($AA4821)))</f>
        <v/>
      </c>
    </row>
    <row r="4823" ht="21" customHeight="1" s="66">
      <c r="A4823" s="56" t="n"/>
      <c r="B4823" s="57" t="n"/>
      <c r="C4823" s="57" t="n"/>
      <c r="D4823" s="57" t="n"/>
      <c r="E4823" s="56" t="n"/>
      <c r="F4823" s="57" t="n"/>
      <c r="G4823" s="57" t="n"/>
      <c r="H4823" s="56" t="n"/>
      <c r="I4823" s="56" t="n"/>
      <c r="J4823" s="58" t="n"/>
      <c r="K4823" s="58" t="n"/>
      <c r="L4823" s="13">
        <f>IF(OR($A4823="",AND($J4823="",$K4823="")),"",ROUND(N($J4823)-N($K4823),2))</f>
        <v/>
      </c>
      <c r="M4823" s="13">
        <f>IF(OR($A4823="",AND($J4823="",$K4823="")),"",MIN($J4823,$K4823))</f>
        <v/>
      </c>
      <c r="Q4823">
        <f>IF($A4823="","",$D4823&amp;"("&amp;SUBSTITUTE($E4823," ","")&amp;")")</f>
        <v/>
      </c>
      <c r="R4823">
        <f>IF($A4823="","",$B4823&amp;" - "&amp;$C4823)</f>
        <v/>
      </c>
      <c r="S4823">
        <f>IF($A4823="","",$R4823&amp;"|"&amp;$Q4823)</f>
        <v/>
      </c>
      <c r="T4823">
        <f>IF($A4823="","",$S4823&amp;"|"&amp;$F4823)</f>
        <v/>
      </c>
      <c r="U4823">
        <f>IF($A4823="","",$R4823&amp;"("&amp;$E4823&amp;")")</f>
        <v/>
      </c>
      <c r="V4823">
        <f>IF($A4823="","",$F4823&amp;"|"&amp;$U4823&amp;"|"&amp;$D4823)</f>
        <v/>
      </c>
      <c r="W4823">
        <f>IF($T4823="","",IF($X4823&gt;N($X4822),$X4823,""))</f>
        <v/>
      </c>
      <c r="X4823">
        <f>IF($T4823="",N($X4822),IF(MATCH($T4823,$T$6:$T$6005,0)=ROW()-5,N($X4822)+1,N($X4822)))</f>
        <v/>
      </c>
      <c r="Z4823">
        <f>IF($V4823="","",IF($AA4823&gt;N($AA4822),$AA4823,""))</f>
        <v/>
      </c>
      <c r="AA4823">
        <f>IF($V4823="",N($AA4822),IF(MATCH($V4823,$V$6:$V$6005,0)=ROW()-5,N($AA4822)+1,N($AA4822)))</f>
        <v/>
      </c>
    </row>
    <row r="4824" ht="21" customHeight="1" s="66">
      <c r="A4824" s="56" t="n"/>
      <c r="B4824" s="57" t="n"/>
      <c r="C4824" s="57" t="n"/>
      <c r="D4824" s="57" t="n"/>
      <c r="E4824" s="56" t="n"/>
      <c r="F4824" s="57" t="n"/>
      <c r="G4824" s="57" t="n"/>
      <c r="H4824" s="56" t="n"/>
      <c r="I4824" s="56" t="n"/>
      <c r="J4824" s="58" t="n"/>
      <c r="K4824" s="58" t="n"/>
      <c r="L4824" s="13">
        <f>IF(OR($A4824="",AND($J4824="",$K4824="")),"",ROUND(N($J4824)-N($K4824),2))</f>
        <v/>
      </c>
      <c r="M4824" s="13">
        <f>IF(OR($A4824="",AND($J4824="",$K4824="")),"",MIN($J4824,$K4824))</f>
        <v/>
      </c>
      <c r="Q4824">
        <f>IF($A4824="","",$D4824&amp;"("&amp;SUBSTITUTE($E4824," ","")&amp;")")</f>
        <v/>
      </c>
      <c r="R4824">
        <f>IF($A4824="","",$B4824&amp;" - "&amp;$C4824)</f>
        <v/>
      </c>
      <c r="S4824">
        <f>IF($A4824="","",$R4824&amp;"|"&amp;$Q4824)</f>
        <v/>
      </c>
      <c r="T4824">
        <f>IF($A4824="","",$S4824&amp;"|"&amp;$F4824)</f>
        <v/>
      </c>
      <c r="U4824">
        <f>IF($A4824="","",$R4824&amp;"("&amp;$E4824&amp;")")</f>
        <v/>
      </c>
      <c r="V4824">
        <f>IF($A4824="","",$F4824&amp;"|"&amp;$U4824&amp;"|"&amp;$D4824)</f>
        <v/>
      </c>
      <c r="W4824">
        <f>IF($T4824="","",IF($X4824&gt;N($X4823),$X4824,""))</f>
        <v/>
      </c>
      <c r="X4824">
        <f>IF($T4824="",N($X4823),IF(MATCH($T4824,$T$6:$T$6005,0)=ROW()-5,N($X4823)+1,N($X4823)))</f>
        <v/>
      </c>
      <c r="Z4824">
        <f>IF($V4824="","",IF($AA4824&gt;N($AA4823),$AA4824,""))</f>
        <v/>
      </c>
      <c r="AA4824">
        <f>IF($V4824="",N($AA4823),IF(MATCH($V4824,$V$6:$V$6005,0)=ROW()-5,N($AA4823)+1,N($AA4823)))</f>
        <v/>
      </c>
    </row>
    <row r="4825" ht="21" customHeight="1" s="66">
      <c r="A4825" s="56" t="n"/>
      <c r="B4825" s="57" t="n"/>
      <c r="C4825" s="57" t="n"/>
      <c r="D4825" s="57" t="n"/>
      <c r="E4825" s="56" t="n"/>
      <c r="F4825" s="57" t="n"/>
      <c r="G4825" s="57" t="n"/>
      <c r="H4825" s="56" t="n"/>
      <c r="I4825" s="56" t="n"/>
      <c r="J4825" s="58" t="n"/>
      <c r="K4825" s="58" t="n"/>
      <c r="L4825" s="13">
        <f>IF(OR($A4825="",AND($J4825="",$K4825="")),"",ROUND(N($J4825)-N($K4825),2))</f>
        <v/>
      </c>
      <c r="M4825" s="13">
        <f>IF(OR($A4825="",AND($J4825="",$K4825="")),"",MIN($J4825,$K4825))</f>
        <v/>
      </c>
      <c r="Q4825">
        <f>IF($A4825="","",$D4825&amp;"("&amp;SUBSTITUTE($E4825," ","")&amp;")")</f>
        <v/>
      </c>
      <c r="R4825">
        <f>IF($A4825="","",$B4825&amp;" - "&amp;$C4825)</f>
        <v/>
      </c>
      <c r="S4825">
        <f>IF($A4825="","",$R4825&amp;"|"&amp;$Q4825)</f>
        <v/>
      </c>
      <c r="T4825">
        <f>IF($A4825="","",$S4825&amp;"|"&amp;$F4825)</f>
        <v/>
      </c>
      <c r="U4825">
        <f>IF($A4825="","",$R4825&amp;"("&amp;$E4825&amp;")")</f>
        <v/>
      </c>
      <c r="V4825">
        <f>IF($A4825="","",$F4825&amp;"|"&amp;$U4825&amp;"|"&amp;$D4825)</f>
        <v/>
      </c>
      <c r="W4825">
        <f>IF($T4825="","",IF($X4825&gt;N($X4824),$X4825,""))</f>
        <v/>
      </c>
      <c r="X4825">
        <f>IF($T4825="",N($X4824),IF(MATCH($T4825,$T$6:$T$6005,0)=ROW()-5,N($X4824)+1,N($X4824)))</f>
        <v/>
      </c>
      <c r="Z4825">
        <f>IF($V4825="","",IF($AA4825&gt;N($AA4824),$AA4825,""))</f>
        <v/>
      </c>
      <c r="AA4825">
        <f>IF($V4825="",N($AA4824),IF(MATCH($V4825,$V$6:$V$6005,0)=ROW()-5,N($AA4824)+1,N($AA4824)))</f>
        <v/>
      </c>
    </row>
    <row r="4826" ht="21" customHeight="1" s="66">
      <c r="A4826" s="56" t="n"/>
      <c r="B4826" s="57" t="n"/>
      <c r="C4826" s="57" t="n"/>
      <c r="D4826" s="57" t="n"/>
      <c r="E4826" s="56" t="n"/>
      <c r="F4826" s="57" t="n"/>
      <c r="G4826" s="57" t="n"/>
      <c r="H4826" s="56" t="n"/>
      <c r="I4826" s="56" t="n"/>
      <c r="J4826" s="58" t="n"/>
      <c r="K4826" s="58" t="n"/>
      <c r="L4826" s="13">
        <f>IF(OR($A4826="",AND($J4826="",$K4826="")),"",ROUND(N($J4826)-N($K4826),2))</f>
        <v/>
      </c>
      <c r="M4826" s="13">
        <f>IF(OR($A4826="",AND($J4826="",$K4826="")),"",MIN($J4826,$K4826))</f>
        <v/>
      </c>
      <c r="Q4826">
        <f>IF($A4826="","",$D4826&amp;"("&amp;SUBSTITUTE($E4826," ","")&amp;")")</f>
        <v/>
      </c>
      <c r="R4826">
        <f>IF($A4826="","",$B4826&amp;" - "&amp;$C4826)</f>
        <v/>
      </c>
      <c r="S4826">
        <f>IF($A4826="","",$R4826&amp;"|"&amp;$Q4826)</f>
        <v/>
      </c>
      <c r="T4826">
        <f>IF($A4826="","",$S4826&amp;"|"&amp;$F4826)</f>
        <v/>
      </c>
      <c r="U4826">
        <f>IF($A4826="","",$R4826&amp;"("&amp;$E4826&amp;")")</f>
        <v/>
      </c>
      <c r="V4826">
        <f>IF($A4826="","",$F4826&amp;"|"&amp;$U4826&amp;"|"&amp;$D4826)</f>
        <v/>
      </c>
      <c r="W4826">
        <f>IF($T4826="","",IF($X4826&gt;N($X4825),$X4826,""))</f>
        <v/>
      </c>
      <c r="X4826">
        <f>IF($T4826="",N($X4825),IF(MATCH($T4826,$T$6:$T$6005,0)=ROW()-5,N($X4825)+1,N($X4825)))</f>
        <v/>
      </c>
      <c r="Z4826">
        <f>IF($V4826="","",IF($AA4826&gt;N($AA4825),$AA4826,""))</f>
        <v/>
      </c>
      <c r="AA4826">
        <f>IF($V4826="",N($AA4825),IF(MATCH($V4826,$V$6:$V$6005,0)=ROW()-5,N($AA4825)+1,N($AA4825)))</f>
        <v/>
      </c>
    </row>
    <row r="4827" ht="21" customHeight="1" s="66">
      <c r="A4827" s="56" t="n"/>
      <c r="B4827" s="57" t="n"/>
      <c r="C4827" s="57" t="n"/>
      <c r="D4827" s="57" t="n"/>
      <c r="E4827" s="56" t="n"/>
      <c r="F4827" s="57" t="n"/>
      <c r="G4827" s="57" t="n"/>
      <c r="H4827" s="56" t="n"/>
      <c r="I4827" s="56" t="n"/>
      <c r="J4827" s="58" t="n"/>
      <c r="K4827" s="58" t="n"/>
      <c r="L4827" s="13">
        <f>IF(OR($A4827="",AND($J4827="",$K4827="")),"",ROUND(N($J4827)-N($K4827),2))</f>
        <v/>
      </c>
      <c r="M4827" s="13">
        <f>IF(OR($A4827="",AND($J4827="",$K4827="")),"",MIN($J4827,$K4827))</f>
        <v/>
      </c>
      <c r="Q4827">
        <f>IF($A4827="","",$D4827&amp;"("&amp;SUBSTITUTE($E4827," ","")&amp;")")</f>
        <v/>
      </c>
      <c r="R4827">
        <f>IF($A4827="","",$B4827&amp;" - "&amp;$C4827)</f>
        <v/>
      </c>
      <c r="S4827">
        <f>IF($A4827="","",$R4827&amp;"|"&amp;$Q4827)</f>
        <v/>
      </c>
      <c r="T4827">
        <f>IF($A4827="","",$S4827&amp;"|"&amp;$F4827)</f>
        <v/>
      </c>
      <c r="U4827">
        <f>IF($A4827="","",$R4827&amp;"("&amp;$E4827&amp;")")</f>
        <v/>
      </c>
      <c r="V4827">
        <f>IF($A4827="","",$F4827&amp;"|"&amp;$U4827&amp;"|"&amp;$D4827)</f>
        <v/>
      </c>
      <c r="W4827">
        <f>IF($T4827="","",IF($X4827&gt;N($X4826),$X4827,""))</f>
        <v/>
      </c>
      <c r="X4827">
        <f>IF($T4827="",N($X4826),IF(MATCH($T4827,$T$6:$T$6005,0)=ROW()-5,N($X4826)+1,N($X4826)))</f>
        <v/>
      </c>
      <c r="Z4827">
        <f>IF($V4827="","",IF($AA4827&gt;N($AA4826),$AA4827,""))</f>
        <v/>
      </c>
      <c r="AA4827">
        <f>IF($V4827="",N($AA4826),IF(MATCH($V4827,$V$6:$V$6005,0)=ROW()-5,N($AA4826)+1,N($AA4826)))</f>
        <v/>
      </c>
    </row>
    <row r="4828" ht="21" customHeight="1" s="66">
      <c r="A4828" s="56" t="n"/>
      <c r="B4828" s="57" t="n"/>
      <c r="C4828" s="57" t="n"/>
      <c r="D4828" s="57" t="n"/>
      <c r="E4828" s="56" t="n"/>
      <c r="F4828" s="57" t="n"/>
      <c r="G4828" s="57" t="n"/>
      <c r="H4828" s="56" t="n"/>
      <c r="I4828" s="56" t="n"/>
      <c r="J4828" s="58" t="n"/>
      <c r="K4828" s="58" t="n"/>
      <c r="L4828" s="13">
        <f>IF(OR($A4828="",AND($J4828="",$K4828="")),"",ROUND(N($J4828)-N($K4828),2))</f>
        <v/>
      </c>
      <c r="M4828" s="13">
        <f>IF(OR($A4828="",AND($J4828="",$K4828="")),"",MIN($J4828,$K4828))</f>
        <v/>
      </c>
      <c r="Q4828">
        <f>IF($A4828="","",$D4828&amp;"("&amp;SUBSTITUTE($E4828," ","")&amp;")")</f>
        <v/>
      </c>
      <c r="R4828">
        <f>IF($A4828="","",$B4828&amp;" - "&amp;$C4828)</f>
        <v/>
      </c>
      <c r="S4828">
        <f>IF($A4828="","",$R4828&amp;"|"&amp;$Q4828)</f>
        <v/>
      </c>
      <c r="T4828">
        <f>IF($A4828="","",$S4828&amp;"|"&amp;$F4828)</f>
        <v/>
      </c>
      <c r="U4828">
        <f>IF($A4828="","",$R4828&amp;"("&amp;$E4828&amp;")")</f>
        <v/>
      </c>
      <c r="V4828">
        <f>IF($A4828="","",$F4828&amp;"|"&amp;$U4828&amp;"|"&amp;$D4828)</f>
        <v/>
      </c>
      <c r="W4828">
        <f>IF($T4828="","",IF($X4828&gt;N($X4827),$X4828,""))</f>
        <v/>
      </c>
      <c r="X4828">
        <f>IF($T4828="",N($X4827),IF(MATCH($T4828,$T$6:$T$6005,0)=ROW()-5,N($X4827)+1,N($X4827)))</f>
        <v/>
      </c>
      <c r="Z4828">
        <f>IF($V4828="","",IF($AA4828&gt;N($AA4827),$AA4828,""))</f>
        <v/>
      </c>
      <c r="AA4828">
        <f>IF($V4828="",N($AA4827),IF(MATCH($V4828,$V$6:$V$6005,0)=ROW()-5,N($AA4827)+1,N($AA4827)))</f>
        <v/>
      </c>
    </row>
    <row r="4829" ht="21" customHeight="1" s="66">
      <c r="A4829" s="56" t="n"/>
      <c r="B4829" s="57" t="n"/>
      <c r="C4829" s="57" t="n"/>
      <c r="D4829" s="57" t="n"/>
      <c r="E4829" s="56" t="n"/>
      <c r="F4829" s="57" t="n"/>
      <c r="G4829" s="57" t="n"/>
      <c r="H4829" s="56" t="n"/>
      <c r="I4829" s="56" t="n"/>
      <c r="J4829" s="58" t="n"/>
      <c r="K4829" s="58" t="n"/>
      <c r="L4829" s="13">
        <f>IF(OR($A4829="",AND($J4829="",$K4829="")),"",ROUND(N($J4829)-N($K4829),2))</f>
        <v/>
      </c>
      <c r="M4829" s="13">
        <f>IF(OR($A4829="",AND($J4829="",$K4829="")),"",MIN($J4829,$K4829))</f>
        <v/>
      </c>
      <c r="Q4829">
        <f>IF($A4829="","",$D4829&amp;"("&amp;SUBSTITUTE($E4829," ","")&amp;")")</f>
        <v/>
      </c>
      <c r="R4829">
        <f>IF($A4829="","",$B4829&amp;" - "&amp;$C4829)</f>
        <v/>
      </c>
      <c r="S4829">
        <f>IF($A4829="","",$R4829&amp;"|"&amp;$Q4829)</f>
        <v/>
      </c>
      <c r="T4829">
        <f>IF($A4829="","",$S4829&amp;"|"&amp;$F4829)</f>
        <v/>
      </c>
      <c r="U4829">
        <f>IF($A4829="","",$R4829&amp;"("&amp;$E4829&amp;")")</f>
        <v/>
      </c>
      <c r="V4829">
        <f>IF($A4829="","",$F4829&amp;"|"&amp;$U4829&amp;"|"&amp;$D4829)</f>
        <v/>
      </c>
      <c r="W4829">
        <f>IF($T4829="","",IF($X4829&gt;N($X4828),$X4829,""))</f>
        <v/>
      </c>
      <c r="X4829">
        <f>IF($T4829="",N($X4828),IF(MATCH($T4829,$T$6:$T$6005,0)=ROW()-5,N($X4828)+1,N($X4828)))</f>
        <v/>
      </c>
      <c r="Z4829">
        <f>IF($V4829="","",IF($AA4829&gt;N($AA4828),$AA4829,""))</f>
        <v/>
      </c>
      <c r="AA4829">
        <f>IF($V4829="",N($AA4828),IF(MATCH($V4829,$V$6:$V$6005,0)=ROW()-5,N($AA4828)+1,N($AA4828)))</f>
        <v/>
      </c>
    </row>
    <row r="4830" ht="21" customHeight="1" s="66">
      <c r="A4830" s="56" t="n"/>
      <c r="B4830" s="57" t="n"/>
      <c r="C4830" s="57" t="n"/>
      <c r="D4830" s="57" t="n"/>
      <c r="E4830" s="56" t="n"/>
      <c r="F4830" s="57" t="n"/>
      <c r="G4830" s="57" t="n"/>
      <c r="H4830" s="56" t="n"/>
      <c r="I4830" s="56" t="n"/>
      <c r="J4830" s="58" t="n"/>
      <c r="K4830" s="58" t="n"/>
      <c r="L4830" s="13">
        <f>IF(OR($A4830="",AND($J4830="",$K4830="")),"",ROUND(N($J4830)-N($K4830),2))</f>
        <v/>
      </c>
      <c r="M4830" s="13">
        <f>IF(OR($A4830="",AND($J4830="",$K4830="")),"",MIN($J4830,$K4830))</f>
        <v/>
      </c>
      <c r="Q4830">
        <f>IF($A4830="","",$D4830&amp;"("&amp;SUBSTITUTE($E4830," ","")&amp;")")</f>
        <v/>
      </c>
      <c r="R4830">
        <f>IF($A4830="","",$B4830&amp;" - "&amp;$C4830)</f>
        <v/>
      </c>
      <c r="S4830">
        <f>IF($A4830="","",$R4830&amp;"|"&amp;$Q4830)</f>
        <v/>
      </c>
      <c r="T4830">
        <f>IF($A4830="","",$S4830&amp;"|"&amp;$F4830)</f>
        <v/>
      </c>
      <c r="U4830">
        <f>IF($A4830="","",$R4830&amp;"("&amp;$E4830&amp;")")</f>
        <v/>
      </c>
      <c r="V4830">
        <f>IF($A4830="","",$F4830&amp;"|"&amp;$U4830&amp;"|"&amp;$D4830)</f>
        <v/>
      </c>
      <c r="W4830">
        <f>IF($T4830="","",IF($X4830&gt;N($X4829),$X4830,""))</f>
        <v/>
      </c>
      <c r="X4830">
        <f>IF($T4830="",N($X4829),IF(MATCH($T4830,$T$6:$T$6005,0)=ROW()-5,N($X4829)+1,N($X4829)))</f>
        <v/>
      </c>
      <c r="Z4830">
        <f>IF($V4830="","",IF($AA4830&gt;N($AA4829),$AA4830,""))</f>
        <v/>
      </c>
      <c r="AA4830">
        <f>IF($V4830="",N($AA4829),IF(MATCH($V4830,$V$6:$V$6005,0)=ROW()-5,N($AA4829)+1,N($AA4829)))</f>
        <v/>
      </c>
    </row>
    <row r="4831" ht="21" customHeight="1" s="66">
      <c r="A4831" s="56" t="n"/>
      <c r="B4831" s="57" t="n"/>
      <c r="C4831" s="57" t="n"/>
      <c r="D4831" s="57" t="n"/>
      <c r="E4831" s="56" t="n"/>
      <c r="F4831" s="57" t="n"/>
      <c r="G4831" s="57" t="n"/>
      <c r="H4831" s="56" t="n"/>
      <c r="I4831" s="56" t="n"/>
      <c r="J4831" s="58" t="n"/>
      <c r="K4831" s="58" t="n"/>
      <c r="L4831" s="13">
        <f>IF(OR($A4831="",AND($J4831="",$K4831="")),"",ROUND(N($J4831)-N($K4831),2))</f>
        <v/>
      </c>
      <c r="M4831" s="13">
        <f>IF(OR($A4831="",AND($J4831="",$K4831="")),"",MIN($J4831,$K4831))</f>
        <v/>
      </c>
      <c r="Q4831">
        <f>IF($A4831="","",$D4831&amp;"("&amp;SUBSTITUTE($E4831," ","")&amp;")")</f>
        <v/>
      </c>
      <c r="R4831">
        <f>IF($A4831="","",$B4831&amp;" - "&amp;$C4831)</f>
        <v/>
      </c>
      <c r="S4831">
        <f>IF($A4831="","",$R4831&amp;"|"&amp;$Q4831)</f>
        <v/>
      </c>
      <c r="T4831">
        <f>IF($A4831="","",$S4831&amp;"|"&amp;$F4831)</f>
        <v/>
      </c>
      <c r="U4831">
        <f>IF($A4831="","",$R4831&amp;"("&amp;$E4831&amp;")")</f>
        <v/>
      </c>
      <c r="V4831">
        <f>IF($A4831="","",$F4831&amp;"|"&amp;$U4831&amp;"|"&amp;$D4831)</f>
        <v/>
      </c>
      <c r="W4831">
        <f>IF($T4831="","",IF($X4831&gt;N($X4830),$X4831,""))</f>
        <v/>
      </c>
      <c r="X4831">
        <f>IF($T4831="",N($X4830),IF(MATCH($T4831,$T$6:$T$6005,0)=ROW()-5,N($X4830)+1,N($X4830)))</f>
        <v/>
      </c>
      <c r="Z4831">
        <f>IF($V4831="","",IF($AA4831&gt;N($AA4830),$AA4831,""))</f>
        <v/>
      </c>
      <c r="AA4831">
        <f>IF($V4831="",N($AA4830),IF(MATCH($V4831,$V$6:$V$6005,0)=ROW()-5,N($AA4830)+1,N($AA4830)))</f>
        <v/>
      </c>
    </row>
    <row r="4832" ht="21" customHeight="1" s="66">
      <c r="A4832" s="56" t="n"/>
      <c r="B4832" s="57" t="n"/>
      <c r="C4832" s="57" t="n"/>
      <c r="D4832" s="57" t="n"/>
      <c r="E4832" s="56" t="n"/>
      <c r="F4832" s="57" t="n"/>
      <c r="G4832" s="57" t="n"/>
      <c r="H4832" s="56" t="n"/>
      <c r="I4832" s="56" t="n"/>
      <c r="J4832" s="58" t="n"/>
      <c r="K4832" s="58" t="n"/>
      <c r="L4832" s="13">
        <f>IF(OR($A4832="",AND($J4832="",$K4832="")),"",ROUND(N($J4832)-N($K4832),2))</f>
        <v/>
      </c>
      <c r="M4832" s="13">
        <f>IF(OR($A4832="",AND($J4832="",$K4832="")),"",MIN($J4832,$K4832))</f>
        <v/>
      </c>
      <c r="Q4832">
        <f>IF($A4832="","",$D4832&amp;"("&amp;SUBSTITUTE($E4832," ","")&amp;")")</f>
        <v/>
      </c>
      <c r="R4832">
        <f>IF($A4832="","",$B4832&amp;" - "&amp;$C4832)</f>
        <v/>
      </c>
      <c r="S4832">
        <f>IF($A4832="","",$R4832&amp;"|"&amp;$Q4832)</f>
        <v/>
      </c>
      <c r="T4832">
        <f>IF($A4832="","",$S4832&amp;"|"&amp;$F4832)</f>
        <v/>
      </c>
      <c r="U4832">
        <f>IF($A4832="","",$R4832&amp;"("&amp;$E4832&amp;")")</f>
        <v/>
      </c>
      <c r="V4832">
        <f>IF($A4832="","",$F4832&amp;"|"&amp;$U4832&amp;"|"&amp;$D4832)</f>
        <v/>
      </c>
      <c r="W4832">
        <f>IF($T4832="","",IF($X4832&gt;N($X4831),$X4832,""))</f>
        <v/>
      </c>
      <c r="X4832">
        <f>IF($T4832="",N($X4831),IF(MATCH($T4832,$T$6:$T$6005,0)=ROW()-5,N($X4831)+1,N($X4831)))</f>
        <v/>
      </c>
      <c r="Z4832">
        <f>IF($V4832="","",IF($AA4832&gt;N($AA4831),$AA4832,""))</f>
        <v/>
      </c>
      <c r="AA4832">
        <f>IF($V4832="",N($AA4831),IF(MATCH($V4832,$V$6:$V$6005,0)=ROW()-5,N($AA4831)+1,N($AA4831)))</f>
        <v/>
      </c>
    </row>
    <row r="4833" ht="21" customHeight="1" s="66">
      <c r="A4833" s="56" t="n"/>
      <c r="B4833" s="57" t="n"/>
      <c r="C4833" s="57" t="n"/>
      <c r="D4833" s="57" t="n"/>
      <c r="E4833" s="56" t="n"/>
      <c r="F4833" s="57" t="n"/>
      <c r="G4833" s="57" t="n"/>
      <c r="H4833" s="56" t="n"/>
      <c r="I4833" s="56" t="n"/>
      <c r="J4833" s="58" t="n"/>
      <c r="K4833" s="58" t="n"/>
      <c r="L4833" s="13">
        <f>IF(OR($A4833="",AND($J4833="",$K4833="")),"",ROUND(N($J4833)-N($K4833),2))</f>
        <v/>
      </c>
      <c r="M4833" s="13">
        <f>IF(OR($A4833="",AND($J4833="",$K4833="")),"",MIN($J4833,$K4833))</f>
        <v/>
      </c>
      <c r="Q4833">
        <f>IF($A4833="","",$D4833&amp;"("&amp;SUBSTITUTE($E4833," ","")&amp;")")</f>
        <v/>
      </c>
      <c r="R4833">
        <f>IF($A4833="","",$B4833&amp;" - "&amp;$C4833)</f>
        <v/>
      </c>
      <c r="S4833">
        <f>IF($A4833="","",$R4833&amp;"|"&amp;$Q4833)</f>
        <v/>
      </c>
      <c r="T4833">
        <f>IF($A4833="","",$S4833&amp;"|"&amp;$F4833)</f>
        <v/>
      </c>
      <c r="U4833">
        <f>IF($A4833="","",$R4833&amp;"("&amp;$E4833&amp;")")</f>
        <v/>
      </c>
      <c r="V4833">
        <f>IF($A4833="","",$F4833&amp;"|"&amp;$U4833&amp;"|"&amp;$D4833)</f>
        <v/>
      </c>
      <c r="W4833">
        <f>IF($T4833="","",IF($X4833&gt;N($X4832),$X4833,""))</f>
        <v/>
      </c>
      <c r="X4833">
        <f>IF($T4833="",N($X4832),IF(MATCH($T4833,$T$6:$T$6005,0)=ROW()-5,N($X4832)+1,N($X4832)))</f>
        <v/>
      </c>
      <c r="Z4833">
        <f>IF($V4833="","",IF($AA4833&gt;N($AA4832),$AA4833,""))</f>
        <v/>
      </c>
      <c r="AA4833">
        <f>IF($V4833="",N($AA4832),IF(MATCH($V4833,$V$6:$V$6005,0)=ROW()-5,N($AA4832)+1,N($AA4832)))</f>
        <v/>
      </c>
    </row>
    <row r="4834" ht="21" customHeight="1" s="66">
      <c r="A4834" s="56" t="n"/>
      <c r="B4834" s="57" t="n"/>
      <c r="C4834" s="57" t="n"/>
      <c r="D4834" s="57" t="n"/>
      <c r="E4834" s="56" t="n"/>
      <c r="F4834" s="57" t="n"/>
      <c r="G4834" s="57" t="n"/>
      <c r="H4834" s="56" t="n"/>
      <c r="I4834" s="56" t="n"/>
      <c r="J4834" s="58" t="n"/>
      <c r="K4834" s="58" t="n"/>
      <c r="L4834" s="13">
        <f>IF(OR($A4834="",AND($J4834="",$K4834="")),"",ROUND(N($J4834)-N($K4834),2))</f>
        <v/>
      </c>
      <c r="M4834" s="13">
        <f>IF(OR($A4834="",AND($J4834="",$K4834="")),"",MIN($J4834,$K4834))</f>
        <v/>
      </c>
      <c r="Q4834">
        <f>IF($A4834="","",$D4834&amp;"("&amp;SUBSTITUTE($E4834," ","")&amp;")")</f>
        <v/>
      </c>
      <c r="R4834">
        <f>IF($A4834="","",$B4834&amp;" - "&amp;$C4834)</f>
        <v/>
      </c>
      <c r="S4834">
        <f>IF($A4834="","",$R4834&amp;"|"&amp;$Q4834)</f>
        <v/>
      </c>
      <c r="T4834">
        <f>IF($A4834="","",$S4834&amp;"|"&amp;$F4834)</f>
        <v/>
      </c>
      <c r="U4834">
        <f>IF($A4834="","",$R4834&amp;"("&amp;$E4834&amp;")")</f>
        <v/>
      </c>
      <c r="V4834">
        <f>IF($A4834="","",$F4834&amp;"|"&amp;$U4834&amp;"|"&amp;$D4834)</f>
        <v/>
      </c>
      <c r="W4834">
        <f>IF($T4834="","",IF($X4834&gt;N($X4833),$X4834,""))</f>
        <v/>
      </c>
      <c r="X4834">
        <f>IF($T4834="",N($X4833),IF(MATCH($T4834,$T$6:$T$6005,0)=ROW()-5,N($X4833)+1,N($X4833)))</f>
        <v/>
      </c>
      <c r="Z4834">
        <f>IF($V4834="","",IF($AA4834&gt;N($AA4833),$AA4834,""))</f>
        <v/>
      </c>
      <c r="AA4834">
        <f>IF($V4834="",N($AA4833),IF(MATCH($V4834,$V$6:$V$6005,0)=ROW()-5,N($AA4833)+1,N($AA4833)))</f>
        <v/>
      </c>
    </row>
    <row r="4835" ht="21" customHeight="1" s="66">
      <c r="A4835" s="56" t="n"/>
      <c r="B4835" s="57" t="n"/>
      <c r="C4835" s="57" t="n"/>
      <c r="D4835" s="57" t="n"/>
      <c r="E4835" s="56" t="n"/>
      <c r="F4835" s="57" t="n"/>
      <c r="G4835" s="57" t="n"/>
      <c r="H4835" s="56" t="n"/>
      <c r="I4835" s="56" t="n"/>
      <c r="J4835" s="58" t="n"/>
      <c r="K4835" s="58" t="n"/>
      <c r="L4835" s="13">
        <f>IF(OR($A4835="",AND($J4835="",$K4835="")),"",ROUND(N($J4835)-N($K4835),2))</f>
        <v/>
      </c>
      <c r="M4835" s="13">
        <f>IF(OR($A4835="",AND($J4835="",$K4835="")),"",MIN($J4835,$K4835))</f>
        <v/>
      </c>
      <c r="Q4835">
        <f>IF($A4835="","",$D4835&amp;"("&amp;SUBSTITUTE($E4835," ","")&amp;")")</f>
        <v/>
      </c>
      <c r="R4835">
        <f>IF($A4835="","",$B4835&amp;" - "&amp;$C4835)</f>
        <v/>
      </c>
      <c r="S4835">
        <f>IF($A4835="","",$R4835&amp;"|"&amp;$Q4835)</f>
        <v/>
      </c>
      <c r="T4835">
        <f>IF($A4835="","",$S4835&amp;"|"&amp;$F4835)</f>
        <v/>
      </c>
      <c r="U4835">
        <f>IF($A4835="","",$R4835&amp;"("&amp;$E4835&amp;")")</f>
        <v/>
      </c>
      <c r="V4835">
        <f>IF($A4835="","",$F4835&amp;"|"&amp;$U4835&amp;"|"&amp;$D4835)</f>
        <v/>
      </c>
      <c r="W4835">
        <f>IF($T4835="","",IF($X4835&gt;N($X4834),$X4835,""))</f>
        <v/>
      </c>
      <c r="X4835">
        <f>IF($T4835="",N($X4834),IF(MATCH($T4835,$T$6:$T$6005,0)=ROW()-5,N($X4834)+1,N($X4834)))</f>
        <v/>
      </c>
      <c r="Z4835">
        <f>IF($V4835="","",IF($AA4835&gt;N($AA4834),$AA4835,""))</f>
        <v/>
      </c>
      <c r="AA4835">
        <f>IF($V4835="",N($AA4834),IF(MATCH($V4835,$V$6:$V$6005,0)=ROW()-5,N($AA4834)+1,N($AA4834)))</f>
        <v/>
      </c>
    </row>
    <row r="4836" ht="21" customHeight="1" s="66">
      <c r="A4836" s="56" t="n"/>
      <c r="B4836" s="57" t="n"/>
      <c r="C4836" s="57" t="n"/>
      <c r="D4836" s="57" t="n"/>
      <c r="E4836" s="56" t="n"/>
      <c r="F4836" s="57" t="n"/>
      <c r="G4836" s="57" t="n"/>
      <c r="H4836" s="56" t="n"/>
      <c r="I4836" s="56" t="n"/>
      <c r="J4836" s="58" t="n"/>
      <c r="K4836" s="58" t="n"/>
      <c r="L4836" s="13">
        <f>IF(OR($A4836="",AND($J4836="",$K4836="")),"",ROUND(N($J4836)-N($K4836),2))</f>
        <v/>
      </c>
      <c r="M4836" s="13">
        <f>IF(OR($A4836="",AND($J4836="",$K4836="")),"",MIN($J4836,$K4836))</f>
        <v/>
      </c>
      <c r="Q4836">
        <f>IF($A4836="","",$D4836&amp;"("&amp;SUBSTITUTE($E4836," ","")&amp;")")</f>
        <v/>
      </c>
      <c r="R4836">
        <f>IF($A4836="","",$B4836&amp;" - "&amp;$C4836)</f>
        <v/>
      </c>
      <c r="S4836">
        <f>IF($A4836="","",$R4836&amp;"|"&amp;$Q4836)</f>
        <v/>
      </c>
      <c r="T4836">
        <f>IF($A4836="","",$S4836&amp;"|"&amp;$F4836)</f>
        <v/>
      </c>
      <c r="U4836">
        <f>IF($A4836="","",$R4836&amp;"("&amp;$E4836&amp;")")</f>
        <v/>
      </c>
      <c r="V4836">
        <f>IF($A4836="","",$F4836&amp;"|"&amp;$U4836&amp;"|"&amp;$D4836)</f>
        <v/>
      </c>
      <c r="W4836">
        <f>IF($T4836="","",IF($X4836&gt;N($X4835),$X4836,""))</f>
        <v/>
      </c>
      <c r="X4836">
        <f>IF($T4836="",N($X4835),IF(MATCH($T4836,$T$6:$T$6005,0)=ROW()-5,N($X4835)+1,N($X4835)))</f>
        <v/>
      </c>
      <c r="Z4836">
        <f>IF($V4836="","",IF($AA4836&gt;N($AA4835),$AA4836,""))</f>
        <v/>
      </c>
      <c r="AA4836">
        <f>IF($V4836="",N($AA4835),IF(MATCH($V4836,$V$6:$V$6005,0)=ROW()-5,N($AA4835)+1,N($AA4835)))</f>
        <v/>
      </c>
    </row>
    <row r="4837" ht="21" customHeight="1" s="66">
      <c r="A4837" s="56" t="n"/>
      <c r="B4837" s="57" t="n"/>
      <c r="C4837" s="57" t="n"/>
      <c r="D4837" s="57" t="n"/>
      <c r="E4837" s="56" t="n"/>
      <c r="F4837" s="57" t="n"/>
      <c r="G4837" s="57" t="n"/>
      <c r="H4837" s="56" t="n"/>
      <c r="I4837" s="56" t="n"/>
      <c r="J4837" s="58" t="n"/>
      <c r="K4837" s="58" t="n"/>
      <c r="L4837" s="13">
        <f>IF(OR($A4837="",AND($J4837="",$K4837="")),"",ROUND(N($J4837)-N($K4837),2))</f>
        <v/>
      </c>
      <c r="M4837" s="13">
        <f>IF(OR($A4837="",AND($J4837="",$K4837="")),"",MIN($J4837,$K4837))</f>
        <v/>
      </c>
      <c r="Q4837">
        <f>IF($A4837="","",$D4837&amp;"("&amp;SUBSTITUTE($E4837," ","")&amp;")")</f>
        <v/>
      </c>
      <c r="R4837">
        <f>IF($A4837="","",$B4837&amp;" - "&amp;$C4837)</f>
        <v/>
      </c>
      <c r="S4837">
        <f>IF($A4837="","",$R4837&amp;"|"&amp;$Q4837)</f>
        <v/>
      </c>
      <c r="T4837">
        <f>IF($A4837="","",$S4837&amp;"|"&amp;$F4837)</f>
        <v/>
      </c>
      <c r="U4837">
        <f>IF($A4837="","",$R4837&amp;"("&amp;$E4837&amp;")")</f>
        <v/>
      </c>
      <c r="V4837">
        <f>IF($A4837="","",$F4837&amp;"|"&amp;$U4837&amp;"|"&amp;$D4837)</f>
        <v/>
      </c>
      <c r="W4837">
        <f>IF($T4837="","",IF($X4837&gt;N($X4836),$X4837,""))</f>
        <v/>
      </c>
      <c r="X4837">
        <f>IF($T4837="",N($X4836),IF(MATCH($T4837,$T$6:$T$6005,0)=ROW()-5,N($X4836)+1,N($X4836)))</f>
        <v/>
      </c>
      <c r="Z4837">
        <f>IF($V4837="","",IF($AA4837&gt;N($AA4836),$AA4837,""))</f>
        <v/>
      </c>
      <c r="AA4837">
        <f>IF($V4837="",N($AA4836),IF(MATCH($V4837,$V$6:$V$6005,0)=ROW()-5,N($AA4836)+1,N($AA4836)))</f>
        <v/>
      </c>
    </row>
    <row r="4838" ht="21" customHeight="1" s="66">
      <c r="A4838" s="56" t="n"/>
      <c r="B4838" s="57" t="n"/>
      <c r="C4838" s="57" t="n"/>
      <c r="D4838" s="57" t="n"/>
      <c r="E4838" s="56" t="n"/>
      <c r="F4838" s="57" t="n"/>
      <c r="G4838" s="57" t="n"/>
      <c r="H4838" s="56" t="n"/>
      <c r="I4838" s="56" t="n"/>
      <c r="J4838" s="58" t="n"/>
      <c r="K4838" s="58" t="n"/>
      <c r="L4838" s="13">
        <f>IF(OR($A4838="",AND($J4838="",$K4838="")),"",ROUND(N($J4838)-N($K4838),2))</f>
        <v/>
      </c>
      <c r="M4838" s="13">
        <f>IF(OR($A4838="",AND($J4838="",$K4838="")),"",MIN($J4838,$K4838))</f>
        <v/>
      </c>
      <c r="Q4838">
        <f>IF($A4838="","",$D4838&amp;"("&amp;SUBSTITUTE($E4838," ","")&amp;")")</f>
        <v/>
      </c>
      <c r="R4838">
        <f>IF($A4838="","",$B4838&amp;" - "&amp;$C4838)</f>
        <v/>
      </c>
      <c r="S4838">
        <f>IF($A4838="","",$R4838&amp;"|"&amp;$Q4838)</f>
        <v/>
      </c>
      <c r="T4838">
        <f>IF($A4838="","",$S4838&amp;"|"&amp;$F4838)</f>
        <v/>
      </c>
      <c r="U4838">
        <f>IF($A4838="","",$R4838&amp;"("&amp;$E4838&amp;")")</f>
        <v/>
      </c>
      <c r="V4838">
        <f>IF($A4838="","",$F4838&amp;"|"&amp;$U4838&amp;"|"&amp;$D4838)</f>
        <v/>
      </c>
      <c r="W4838">
        <f>IF($T4838="","",IF($X4838&gt;N($X4837),$X4838,""))</f>
        <v/>
      </c>
      <c r="X4838">
        <f>IF($T4838="",N($X4837),IF(MATCH($T4838,$T$6:$T$6005,0)=ROW()-5,N($X4837)+1,N($X4837)))</f>
        <v/>
      </c>
      <c r="Z4838">
        <f>IF($V4838="","",IF($AA4838&gt;N($AA4837),$AA4838,""))</f>
        <v/>
      </c>
      <c r="AA4838">
        <f>IF($V4838="",N($AA4837),IF(MATCH($V4838,$V$6:$V$6005,0)=ROW()-5,N($AA4837)+1,N($AA4837)))</f>
        <v/>
      </c>
    </row>
    <row r="4839" ht="21" customHeight="1" s="66">
      <c r="A4839" s="56" t="n"/>
      <c r="B4839" s="57" t="n"/>
      <c r="C4839" s="57" t="n"/>
      <c r="D4839" s="57" t="n"/>
      <c r="E4839" s="56" t="n"/>
      <c r="F4839" s="57" t="n"/>
      <c r="G4839" s="57" t="n"/>
      <c r="H4839" s="56" t="n"/>
      <c r="I4839" s="56" t="n"/>
      <c r="J4839" s="58" t="n"/>
      <c r="K4839" s="58" t="n"/>
      <c r="L4839" s="13">
        <f>IF(OR($A4839="",AND($J4839="",$K4839="")),"",ROUND(N($J4839)-N($K4839),2))</f>
        <v/>
      </c>
      <c r="M4839" s="13">
        <f>IF(OR($A4839="",AND($J4839="",$K4839="")),"",MIN($J4839,$K4839))</f>
        <v/>
      </c>
      <c r="Q4839">
        <f>IF($A4839="","",$D4839&amp;"("&amp;SUBSTITUTE($E4839," ","")&amp;")")</f>
        <v/>
      </c>
      <c r="R4839">
        <f>IF($A4839="","",$B4839&amp;" - "&amp;$C4839)</f>
        <v/>
      </c>
      <c r="S4839">
        <f>IF($A4839="","",$R4839&amp;"|"&amp;$Q4839)</f>
        <v/>
      </c>
      <c r="T4839">
        <f>IF($A4839="","",$S4839&amp;"|"&amp;$F4839)</f>
        <v/>
      </c>
      <c r="U4839">
        <f>IF($A4839="","",$R4839&amp;"("&amp;$E4839&amp;")")</f>
        <v/>
      </c>
      <c r="V4839">
        <f>IF($A4839="","",$F4839&amp;"|"&amp;$U4839&amp;"|"&amp;$D4839)</f>
        <v/>
      </c>
      <c r="W4839">
        <f>IF($T4839="","",IF($X4839&gt;N($X4838),$X4839,""))</f>
        <v/>
      </c>
      <c r="X4839">
        <f>IF($T4839="",N($X4838),IF(MATCH($T4839,$T$6:$T$6005,0)=ROW()-5,N($X4838)+1,N($X4838)))</f>
        <v/>
      </c>
      <c r="Z4839">
        <f>IF($V4839="","",IF($AA4839&gt;N($AA4838),$AA4839,""))</f>
        <v/>
      </c>
      <c r="AA4839">
        <f>IF($V4839="",N($AA4838),IF(MATCH($V4839,$V$6:$V$6005,0)=ROW()-5,N($AA4838)+1,N($AA4838)))</f>
        <v/>
      </c>
    </row>
    <row r="4840" ht="21" customHeight="1" s="66">
      <c r="A4840" s="56" t="n"/>
      <c r="B4840" s="57" t="n"/>
      <c r="C4840" s="57" t="n"/>
      <c r="D4840" s="57" t="n"/>
      <c r="E4840" s="56" t="n"/>
      <c r="F4840" s="57" t="n"/>
      <c r="G4840" s="57" t="n"/>
      <c r="H4840" s="56" t="n"/>
      <c r="I4840" s="56" t="n"/>
      <c r="J4840" s="58" t="n"/>
      <c r="K4840" s="58" t="n"/>
      <c r="L4840" s="13">
        <f>IF(OR($A4840="",AND($J4840="",$K4840="")),"",ROUND(N($J4840)-N($K4840),2))</f>
        <v/>
      </c>
      <c r="M4840" s="13">
        <f>IF(OR($A4840="",AND($J4840="",$K4840="")),"",MIN($J4840,$K4840))</f>
        <v/>
      </c>
      <c r="Q4840">
        <f>IF($A4840="","",$D4840&amp;"("&amp;SUBSTITUTE($E4840," ","")&amp;")")</f>
        <v/>
      </c>
      <c r="R4840">
        <f>IF($A4840="","",$B4840&amp;" - "&amp;$C4840)</f>
        <v/>
      </c>
      <c r="S4840">
        <f>IF($A4840="","",$R4840&amp;"|"&amp;$Q4840)</f>
        <v/>
      </c>
      <c r="T4840">
        <f>IF($A4840="","",$S4840&amp;"|"&amp;$F4840)</f>
        <v/>
      </c>
      <c r="U4840">
        <f>IF($A4840="","",$R4840&amp;"("&amp;$E4840&amp;")")</f>
        <v/>
      </c>
      <c r="V4840">
        <f>IF($A4840="","",$F4840&amp;"|"&amp;$U4840&amp;"|"&amp;$D4840)</f>
        <v/>
      </c>
      <c r="W4840">
        <f>IF($T4840="","",IF($X4840&gt;N($X4839),$X4840,""))</f>
        <v/>
      </c>
      <c r="X4840">
        <f>IF($T4840="",N($X4839),IF(MATCH($T4840,$T$6:$T$6005,0)=ROW()-5,N($X4839)+1,N($X4839)))</f>
        <v/>
      </c>
      <c r="Z4840">
        <f>IF($V4840="","",IF($AA4840&gt;N($AA4839),$AA4840,""))</f>
        <v/>
      </c>
      <c r="AA4840">
        <f>IF($V4840="",N($AA4839),IF(MATCH($V4840,$V$6:$V$6005,0)=ROW()-5,N($AA4839)+1,N($AA4839)))</f>
        <v/>
      </c>
    </row>
    <row r="4841" ht="21" customHeight="1" s="66">
      <c r="A4841" s="56" t="n"/>
      <c r="B4841" s="57" t="n"/>
      <c r="C4841" s="57" t="n"/>
      <c r="D4841" s="57" t="n"/>
      <c r="E4841" s="56" t="n"/>
      <c r="F4841" s="57" t="n"/>
      <c r="G4841" s="57" t="n"/>
      <c r="H4841" s="56" t="n"/>
      <c r="I4841" s="56" t="n"/>
      <c r="J4841" s="58" t="n"/>
      <c r="K4841" s="58" t="n"/>
      <c r="L4841" s="13">
        <f>IF(OR($A4841="",AND($J4841="",$K4841="")),"",ROUND(N($J4841)-N($K4841),2))</f>
        <v/>
      </c>
      <c r="M4841" s="13">
        <f>IF(OR($A4841="",AND($J4841="",$K4841="")),"",MIN($J4841,$K4841))</f>
        <v/>
      </c>
      <c r="Q4841">
        <f>IF($A4841="","",$D4841&amp;"("&amp;SUBSTITUTE($E4841," ","")&amp;")")</f>
        <v/>
      </c>
      <c r="R4841">
        <f>IF($A4841="","",$B4841&amp;" - "&amp;$C4841)</f>
        <v/>
      </c>
      <c r="S4841">
        <f>IF($A4841="","",$R4841&amp;"|"&amp;$Q4841)</f>
        <v/>
      </c>
      <c r="T4841">
        <f>IF($A4841="","",$S4841&amp;"|"&amp;$F4841)</f>
        <v/>
      </c>
      <c r="U4841">
        <f>IF($A4841="","",$R4841&amp;"("&amp;$E4841&amp;")")</f>
        <v/>
      </c>
      <c r="V4841">
        <f>IF($A4841="","",$F4841&amp;"|"&amp;$U4841&amp;"|"&amp;$D4841)</f>
        <v/>
      </c>
      <c r="W4841">
        <f>IF($T4841="","",IF($X4841&gt;N($X4840),$X4841,""))</f>
        <v/>
      </c>
      <c r="X4841">
        <f>IF($T4841="",N($X4840),IF(MATCH($T4841,$T$6:$T$6005,0)=ROW()-5,N($X4840)+1,N($X4840)))</f>
        <v/>
      </c>
      <c r="Z4841">
        <f>IF($V4841="","",IF($AA4841&gt;N($AA4840),$AA4841,""))</f>
        <v/>
      </c>
      <c r="AA4841">
        <f>IF($V4841="",N($AA4840),IF(MATCH($V4841,$V$6:$V$6005,0)=ROW()-5,N($AA4840)+1,N($AA4840)))</f>
        <v/>
      </c>
    </row>
    <row r="4842" ht="21" customHeight="1" s="66">
      <c r="A4842" s="56" t="n"/>
      <c r="B4842" s="57" t="n"/>
      <c r="C4842" s="57" t="n"/>
      <c r="D4842" s="57" t="n"/>
      <c r="E4842" s="56" t="n"/>
      <c r="F4842" s="57" t="n"/>
      <c r="G4842" s="57" t="n"/>
      <c r="H4842" s="56" t="n"/>
      <c r="I4842" s="56" t="n"/>
      <c r="J4842" s="58" t="n"/>
      <c r="K4842" s="58" t="n"/>
      <c r="L4842" s="13">
        <f>IF(OR($A4842="",AND($J4842="",$K4842="")),"",ROUND(N($J4842)-N($K4842),2))</f>
        <v/>
      </c>
      <c r="M4842" s="13">
        <f>IF(OR($A4842="",AND($J4842="",$K4842="")),"",MIN($J4842,$K4842))</f>
        <v/>
      </c>
      <c r="Q4842">
        <f>IF($A4842="","",$D4842&amp;"("&amp;SUBSTITUTE($E4842," ","")&amp;")")</f>
        <v/>
      </c>
      <c r="R4842">
        <f>IF($A4842="","",$B4842&amp;" - "&amp;$C4842)</f>
        <v/>
      </c>
      <c r="S4842">
        <f>IF($A4842="","",$R4842&amp;"|"&amp;$Q4842)</f>
        <v/>
      </c>
      <c r="T4842">
        <f>IF($A4842="","",$S4842&amp;"|"&amp;$F4842)</f>
        <v/>
      </c>
      <c r="U4842">
        <f>IF($A4842="","",$R4842&amp;"("&amp;$E4842&amp;")")</f>
        <v/>
      </c>
      <c r="V4842">
        <f>IF($A4842="","",$F4842&amp;"|"&amp;$U4842&amp;"|"&amp;$D4842)</f>
        <v/>
      </c>
      <c r="W4842">
        <f>IF($T4842="","",IF($X4842&gt;N($X4841),$X4842,""))</f>
        <v/>
      </c>
      <c r="X4842">
        <f>IF($T4842="",N($X4841),IF(MATCH($T4842,$T$6:$T$6005,0)=ROW()-5,N($X4841)+1,N($X4841)))</f>
        <v/>
      </c>
      <c r="Z4842">
        <f>IF($V4842="","",IF($AA4842&gt;N($AA4841),$AA4842,""))</f>
        <v/>
      </c>
      <c r="AA4842">
        <f>IF($V4842="",N($AA4841),IF(MATCH($V4842,$V$6:$V$6005,0)=ROW()-5,N($AA4841)+1,N($AA4841)))</f>
        <v/>
      </c>
    </row>
    <row r="4843" ht="21" customHeight="1" s="66">
      <c r="A4843" s="56" t="n"/>
      <c r="B4843" s="57" t="n"/>
      <c r="C4843" s="57" t="n"/>
      <c r="D4843" s="57" t="n"/>
      <c r="E4843" s="56" t="n"/>
      <c r="F4843" s="57" t="n"/>
      <c r="G4843" s="57" t="n"/>
      <c r="H4843" s="56" t="n"/>
      <c r="I4843" s="56" t="n"/>
      <c r="J4843" s="58" t="n"/>
      <c r="K4843" s="58" t="n"/>
      <c r="L4843" s="13">
        <f>IF(OR($A4843="",AND($J4843="",$K4843="")),"",ROUND(N($J4843)-N($K4843),2))</f>
        <v/>
      </c>
      <c r="M4843" s="13">
        <f>IF(OR($A4843="",AND($J4843="",$K4843="")),"",MIN($J4843,$K4843))</f>
        <v/>
      </c>
      <c r="Q4843">
        <f>IF($A4843="","",$D4843&amp;"("&amp;SUBSTITUTE($E4843," ","")&amp;")")</f>
        <v/>
      </c>
      <c r="R4843">
        <f>IF($A4843="","",$B4843&amp;" - "&amp;$C4843)</f>
        <v/>
      </c>
      <c r="S4843">
        <f>IF($A4843="","",$R4843&amp;"|"&amp;$Q4843)</f>
        <v/>
      </c>
      <c r="T4843">
        <f>IF($A4843="","",$S4843&amp;"|"&amp;$F4843)</f>
        <v/>
      </c>
      <c r="U4843">
        <f>IF($A4843="","",$R4843&amp;"("&amp;$E4843&amp;")")</f>
        <v/>
      </c>
      <c r="V4843">
        <f>IF($A4843="","",$F4843&amp;"|"&amp;$U4843&amp;"|"&amp;$D4843)</f>
        <v/>
      </c>
      <c r="W4843">
        <f>IF($T4843="","",IF($X4843&gt;N($X4842),$X4843,""))</f>
        <v/>
      </c>
      <c r="X4843">
        <f>IF($T4843="",N($X4842),IF(MATCH($T4843,$T$6:$T$6005,0)=ROW()-5,N($X4842)+1,N($X4842)))</f>
        <v/>
      </c>
      <c r="Z4843">
        <f>IF($V4843="","",IF($AA4843&gt;N($AA4842),$AA4843,""))</f>
        <v/>
      </c>
      <c r="AA4843">
        <f>IF($V4843="",N($AA4842),IF(MATCH($V4843,$V$6:$V$6005,0)=ROW()-5,N($AA4842)+1,N($AA4842)))</f>
        <v/>
      </c>
    </row>
    <row r="4844" ht="21" customHeight="1" s="66">
      <c r="A4844" s="56" t="n"/>
      <c r="B4844" s="57" t="n"/>
      <c r="C4844" s="57" t="n"/>
      <c r="D4844" s="57" t="n"/>
      <c r="E4844" s="56" t="n"/>
      <c r="F4844" s="57" t="n"/>
      <c r="G4844" s="57" t="n"/>
      <c r="H4844" s="56" t="n"/>
      <c r="I4844" s="56" t="n"/>
      <c r="J4844" s="58" t="n"/>
      <c r="K4844" s="58" t="n"/>
      <c r="L4844" s="13">
        <f>IF(OR($A4844="",AND($J4844="",$K4844="")),"",ROUND(N($J4844)-N($K4844),2))</f>
        <v/>
      </c>
      <c r="M4844" s="13">
        <f>IF(OR($A4844="",AND($J4844="",$K4844="")),"",MIN($J4844,$K4844))</f>
        <v/>
      </c>
      <c r="Q4844">
        <f>IF($A4844="","",$D4844&amp;"("&amp;SUBSTITUTE($E4844," ","")&amp;")")</f>
        <v/>
      </c>
      <c r="R4844">
        <f>IF($A4844="","",$B4844&amp;" - "&amp;$C4844)</f>
        <v/>
      </c>
      <c r="S4844">
        <f>IF($A4844="","",$R4844&amp;"|"&amp;$Q4844)</f>
        <v/>
      </c>
      <c r="T4844">
        <f>IF($A4844="","",$S4844&amp;"|"&amp;$F4844)</f>
        <v/>
      </c>
      <c r="U4844">
        <f>IF($A4844="","",$R4844&amp;"("&amp;$E4844&amp;")")</f>
        <v/>
      </c>
      <c r="V4844">
        <f>IF($A4844="","",$F4844&amp;"|"&amp;$U4844&amp;"|"&amp;$D4844)</f>
        <v/>
      </c>
      <c r="W4844">
        <f>IF($T4844="","",IF($X4844&gt;N($X4843),$X4844,""))</f>
        <v/>
      </c>
      <c r="X4844">
        <f>IF($T4844="",N($X4843),IF(MATCH($T4844,$T$6:$T$6005,0)=ROW()-5,N($X4843)+1,N($X4843)))</f>
        <v/>
      </c>
      <c r="Z4844">
        <f>IF($V4844="","",IF($AA4844&gt;N($AA4843),$AA4844,""))</f>
        <v/>
      </c>
      <c r="AA4844">
        <f>IF($V4844="",N($AA4843),IF(MATCH($V4844,$V$6:$V$6005,0)=ROW()-5,N($AA4843)+1,N($AA4843)))</f>
        <v/>
      </c>
    </row>
    <row r="4845" ht="21" customHeight="1" s="66">
      <c r="A4845" s="56" t="n"/>
      <c r="B4845" s="57" t="n"/>
      <c r="C4845" s="57" t="n"/>
      <c r="D4845" s="57" t="n"/>
      <c r="E4845" s="56" t="n"/>
      <c r="F4845" s="57" t="n"/>
      <c r="G4845" s="57" t="n"/>
      <c r="H4845" s="56" t="n"/>
      <c r="I4845" s="56" t="n"/>
      <c r="J4845" s="58" t="n"/>
      <c r="K4845" s="58" t="n"/>
      <c r="L4845" s="13">
        <f>IF(OR($A4845="",AND($J4845="",$K4845="")),"",ROUND(N($J4845)-N($K4845),2))</f>
        <v/>
      </c>
      <c r="M4845" s="13">
        <f>IF(OR($A4845="",AND($J4845="",$K4845="")),"",MIN($J4845,$K4845))</f>
        <v/>
      </c>
      <c r="Q4845">
        <f>IF($A4845="","",$D4845&amp;"("&amp;SUBSTITUTE($E4845," ","")&amp;")")</f>
        <v/>
      </c>
      <c r="R4845">
        <f>IF($A4845="","",$B4845&amp;" - "&amp;$C4845)</f>
        <v/>
      </c>
      <c r="S4845">
        <f>IF($A4845="","",$R4845&amp;"|"&amp;$Q4845)</f>
        <v/>
      </c>
      <c r="T4845">
        <f>IF($A4845="","",$S4845&amp;"|"&amp;$F4845)</f>
        <v/>
      </c>
      <c r="U4845">
        <f>IF($A4845="","",$R4845&amp;"("&amp;$E4845&amp;")")</f>
        <v/>
      </c>
      <c r="V4845">
        <f>IF($A4845="","",$F4845&amp;"|"&amp;$U4845&amp;"|"&amp;$D4845)</f>
        <v/>
      </c>
      <c r="W4845">
        <f>IF($T4845="","",IF($X4845&gt;N($X4844),$X4845,""))</f>
        <v/>
      </c>
      <c r="X4845">
        <f>IF($T4845="",N($X4844),IF(MATCH($T4845,$T$6:$T$6005,0)=ROW()-5,N($X4844)+1,N($X4844)))</f>
        <v/>
      </c>
      <c r="Z4845">
        <f>IF($V4845="","",IF($AA4845&gt;N($AA4844),$AA4845,""))</f>
        <v/>
      </c>
      <c r="AA4845">
        <f>IF($V4845="",N($AA4844),IF(MATCH($V4845,$V$6:$V$6005,0)=ROW()-5,N($AA4844)+1,N($AA4844)))</f>
        <v/>
      </c>
    </row>
    <row r="4846" ht="21" customHeight="1" s="66">
      <c r="A4846" s="56" t="n"/>
      <c r="B4846" s="57" t="n"/>
      <c r="C4846" s="57" t="n"/>
      <c r="D4846" s="57" t="n"/>
      <c r="E4846" s="56" t="n"/>
      <c r="F4846" s="57" t="n"/>
      <c r="G4846" s="57" t="n"/>
      <c r="H4846" s="56" t="n"/>
      <c r="I4846" s="56" t="n"/>
      <c r="J4846" s="58" t="n"/>
      <c r="K4846" s="58" t="n"/>
      <c r="L4846" s="13">
        <f>IF(OR($A4846="",AND($J4846="",$K4846="")),"",ROUND(N($J4846)-N($K4846),2))</f>
        <v/>
      </c>
      <c r="M4846" s="13">
        <f>IF(OR($A4846="",AND($J4846="",$K4846="")),"",MIN($J4846,$K4846))</f>
        <v/>
      </c>
      <c r="Q4846">
        <f>IF($A4846="","",$D4846&amp;"("&amp;SUBSTITUTE($E4846," ","")&amp;")")</f>
        <v/>
      </c>
      <c r="R4846">
        <f>IF($A4846="","",$B4846&amp;" - "&amp;$C4846)</f>
        <v/>
      </c>
      <c r="S4846">
        <f>IF($A4846="","",$R4846&amp;"|"&amp;$Q4846)</f>
        <v/>
      </c>
      <c r="T4846">
        <f>IF($A4846="","",$S4846&amp;"|"&amp;$F4846)</f>
        <v/>
      </c>
      <c r="U4846">
        <f>IF($A4846="","",$R4846&amp;"("&amp;$E4846&amp;")")</f>
        <v/>
      </c>
      <c r="V4846">
        <f>IF($A4846="","",$F4846&amp;"|"&amp;$U4846&amp;"|"&amp;$D4846)</f>
        <v/>
      </c>
      <c r="W4846">
        <f>IF($T4846="","",IF($X4846&gt;N($X4845),$X4846,""))</f>
        <v/>
      </c>
      <c r="X4846">
        <f>IF($T4846="",N($X4845),IF(MATCH($T4846,$T$6:$T$6005,0)=ROW()-5,N($X4845)+1,N($X4845)))</f>
        <v/>
      </c>
      <c r="Z4846">
        <f>IF($V4846="","",IF($AA4846&gt;N($AA4845),$AA4846,""))</f>
        <v/>
      </c>
      <c r="AA4846">
        <f>IF($V4846="",N($AA4845),IF(MATCH($V4846,$V$6:$V$6005,0)=ROW()-5,N($AA4845)+1,N($AA4845)))</f>
        <v/>
      </c>
    </row>
    <row r="4847" ht="21" customHeight="1" s="66">
      <c r="A4847" s="56" t="n"/>
      <c r="B4847" s="57" t="n"/>
      <c r="C4847" s="57" t="n"/>
      <c r="D4847" s="57" t="n"/>
      <c r="E4847" s="56" t="n"/>
      <c r="F4847" s="57" t="n"/>
      <c r="G4847" s="57" t="n"/>
      <c r="H4847" s="56" t="n"/>
      <c r="I4847" s="56" t="n"/>
      <c r="J4847" s="58" t="n"/>
      <c r="K4847" s="58" t="n"/>
      <c r="L4847" s="13">
        <f>IF(OR($A4847="",AND($J4847="",$K4847="")),"",ROUND(N($J4847)-N($K4847),2))</f>
        <v/>
      </c>
      <c r="M4847" s="13">
        <f>IF(OR($A4847="",AND($J4847="",$K4847="")),"",MIN($J4847,$K4847))</f>
        <v/>
      </c>
      <c r="Q4847">
        <f>IF($A4847="","",$D4847&amp;"("&amp;SUBSTITUTE($E4847," ","")&amp;")")</f>
        <v/>
      </c>
      <c r="R4847">
        <f>IF($A4847="","",$B4847&amp;" - "&amp;$C4847)</f>
        <v/>
      </c>
      <c r="S4847">
        <f>IF($A4847="","",$R4847&amp;"|"&amp;$Q4847)</f>
        <v/>
      </c>
      <c r="T4847">
        <f>IF($A4847="","",$S4847&amp;"|"&amp;$F4847)</f>
        <v/>
      </c>
      <c r="U4847">
        <f>IF($A4847="","",$R4847&amp;"("&amp;$E4847&amp;")")</f>
        <v/>
      </c>
      <c r="V4847">
        <f>IF($A4847="","",$F4847&amp;"|"&amp;$U4847&amp;"|"&amp;$D4847)</f>
        <v/>
      </c>
      <c r="W4847">
        <f>IF($T4847="","",IF($X4847&gt;N($X4846),$X4847,""))</f>
        <v/>
      </c>
      <c r="X4847">
        <f>IF($T4847="",N($X4846),IF(MATCH($T4847,$T$6:$T$6005,0)=ROW()-5,N($X4846)+1,N($X4846)))</f>
        <v/>
      </c>
      <c r="Z4847">
        <f>IF($V4847="","",IF($AA4847&gt;N($AA4846),$AA4847,""))</f>
        <v/>
      </c>
      <c r="AA4847">
        <f>IF($V4847="",N($AA4846),IF(MATCH($V4847,$V$6:$V$6005,0)=ROW()-5,N($AA4846)+1,N($AA4846)))</f>
        <v/>
      </c>
    </row>
    <row r="4848" ht="21" customHeight="1" s="66">
      <c r="A4848" s="56" t="n"/>
      <c r="B4848" s="57" t="n"/>
      <c r="C4848" s="57" t="n"/>
      <c r="D4848" s="57" t="n"/>
      <c r="E4848" s="56" t="n"/>
      <c r="F4848" s="57" t="n"/>
      <c r="G4848" s="57" t="n"/>
      <c r="H4848" s="56" t="n"/>
      <c r="I4848" s="56" t="n"/>
      <c r="J4848" s="58" t="n"/>
      <c r="K4848" s="58" t="n"/>
      <c r="L4848" s="13">
        <f>IF(OR($A4848="",AND($J4848="",$K4848="")),"",ROUND(N($J4848)-N($K4848),2))</f>
        <v/>
      </c>
      <c r="M4848" s="13">
        <f>IF(OR($A4848="",AND($J4848="",$K4848="")),"",MIN($J4848,$K4848))</f>
        <v/>
      </c>
      <c r="Q4848">
        <f>IF($A4848="","",$D4848&amp;"("&amp;SUBSTITUTE($E4848," ","")&amp;")")</f>
        <v/>
      </c>
      <c r="R4848">
        <f>IF($A4848="","",$B4848&amp;" - "&amp;$C4848)</f>
        <v/>
      </c>
      <c r="S4848">
        <f>IF($A4848="","",$R4848&amp;"|"&amp;$Q4848)</f>
        <v/>
      </c>
      <c r="T4848">
        <f>IF($A4848="","",$S4848&amp;"|"&amp;$F4848)</f>
        <v/>
      </c>
      <c r="U4848">
        <f>IF($A4848="","",$R4848&amp;"("&amp;$E4848&amp;")")</f>
        <v/>
      </c>
      <c r="V4848">
        <f>IF($A4848="","",$F4848&amp;"|"&amp;$U4848&amp;"|"&amp;$D4848)</f>
        <v/>
      </c>
      <c r="W4848">
        <f>IF($T4848="","",IF($X4848&gt;N($X4847),$X4848,""))</f>
        <v/>
      </c>
      <c r="X4848">
        <f>IF($T4848="",N($X4847),IF(MATCH($T4848,$T$6:$T$6005,0)=ROW()-5,N($X4847)+1,N($X4847)))</f>
        <v/>
      </c>
      <c r="Z4848">
        <f>IF($V4848="","",IF($AA4848&gt;N($AA4847),$AA4848,""))</f>
        <v/>
      </c>
      <c r="AA4848">
        <f>IF($V4848="",N($AA4847),IF(MATCH($V4848,$V$6:$V$6005,0)=ROW()-5,N($AA4847)+1,N($AA4847)))</f>
        <v/>
      </c>
    </row>
    <row r="4849" ht="21" customHeight="1" s="66">
      <c r="A4849" s="56" t="n"/>
      <c r="B4849" s="57" t="n"/>
      <c r="C4849" s="57" t="n"/>
      <c r="D4849" s="57" t="n"/>
      <c r="E4849" s="56" t="n"/>
      <c r="F4849" s="57" t="n"/>
      <c r="G4849" s="57" t="n"/>
      <c r="H4849" s="56" t="n"/>
      <c r="I4849" s="56" t="n"/>
      <c r="J4849" s="58" t="n"/>
      <c r="K4849" s="58" t="n"/>
      <c r="L4849" s="13">
        <f>IF(OR($A4849="",AND($J4849="",$K4849="")),"",ROUND(N($J4849)-N($K4849),2))</f>
        <v/>
      </c>
      <c r="M4849" s="13">
        <f>IF(OR($A4849="",AND($J4849="",$K4849="")),"",MIN($J4849,$K4849))</f>
        <v/>
      </c>
      <c r="Q4849">
        <f>IF($A4849="","",$D4849&amp;"("&amp;SUBSTITUTE($E4849," ","")&amp;")")</f>
        <v/>
      </c>
      <c r="R4849">
        <f>IF($A4849="","",$B4849&amp;" - "&amp;$C4849)</f>
        <v/>
      </c>
      <c r="S4849">
        <f>IF($A4849="","",$R4849&amp;"|"&amp;$Q4849)</f>
        <v/>
      </c>
      <c r="T4849">
        <f>IF($A4849="","",$S4849&amp;"|"&amp;$F4849)</f>
        <v/>
      </c>
      <c r="U4849">
        <f>IF($A4849="","",$R4849&amp;"("&amp;$E4849&amp;")")</f>
        <v/>
      </c>
      <c r="V4849">
        <f>IF($A4849="","",$F4849&amp;"|"&amp;$U4849&amp;"|"&amp;$D4849)</f>
        <v/>
      </c>
      <c r="W4849">
        <f>IF($T4849="","",IF($X4849&gt;N($X4848),$X4849,""))</f>
        <v/>
      </c>
      <c r="X4849">
        <f>IF($T4849="",N($X4848),IF(MATCH($T4849,$T$6:$T$6005,0)=ROW()-5,N($X4848)+1,N($X4848)))</f>
        <v/>
      </c>
      <c r="Z4849">
        <f>IF($V4849="","",IF($AA4849&gt;N($AA4848),$AA4849,""))</f>
        <v/>
      </c>
      <c r="AA4849">
        <f>IF($V4849="",N($AA4848),IF(MATCH($V4849,$V$6:$V$6005,0)=ROW()-5,N($AA4848)+1,N($AA4848)))</f>
        <v/>
      </c>
    </row>
    <row r="4850" ht="21" customHeight="1" s="66">
      <c r="A4850" s="56" t="n"/>
      <c r="B4850" s="57" t="n"/>
      <c r="C4850" s="57" t="n"/>
      <c r="D4850" s="57" t="n"/>
      <c r="E4850" s="56" t="n"/>
      <c r="F4850" s="57" t="n"/>
      <c r="G4850" s="57" t="n"/>
      <c r="H4850" s="56" t="n"/>
      <c r="I4850" s="56" t="n"/>
      <c r="J4850" s="58" t="n"/>
      <c r="K4850" s="58" t="n"/>
      <c r="L4850" s="13">
        <f>IF(OR($A4850="",AND($J4850="",$K4850="")),"",ROUND(N($J4850)-N($K4850),2))</f>
        <v/>
      </c>
      <c r="M4850" s="13">
        <f>IF(OR($A4850="",AND($J4850="",$K4850="")),"",MIN($J4850,$K4850))</f>
        <v/>
      </c>
      <c r="Q4850">
        <f>IF($A4850="","",$D4850&amp;"("&amp;SUBSTITUTE($E4850," ","")&amp;")")</f>
        <v/>
      </c>
      <c r="R4850">
        <f>IF($A4850="","",$B4850&amp;" - "&amp;$C4850)</f>
        <v/>
      </c>
      <c r="S4850">
        <f>IF($A4850="","",$R4850&amp;"|"&amp;$Q4850)</f>
        <v/>
      </c>
      <c r="T4850">
        <f>IF($A4850="","",$S4850&amp;"|"&amp;$F4850)</f>
        <v/>
      </c>
      <c r="U4850">
        <f>IF($A4850="","",$R4850&amp;"("&amp;$E4850&amp;")")</f>
        <v/>
      </c>
      <c r="V4850">
        <f>IF($A4850="","",$F4850&amp;"|"&amp;$U4850&amp;"|"&amp;$D4850)</f>
        <v/>
      </c>
      <c r="W4850">
        <f>IF($T4850="","",IF($X4850&gt;N($X4849),$X4850,""))</f>
        <v/>
      </c>
      <c r="X4850">
        <f>IF($T4850="",N($X4849),IF(MATCH($T4850,$T$6:$T$6005,0)=ROW()-5,N($X4849)+1,N($X4849)))</f>
        <v/>
      </c>
      <c r="Z4850">
        <f>IF($V4850="","",IF($AA4850&gt;N($AA4849),$AA4850,""))</f>
        <v/>
      </c>
      <c r="AA4850">
        <f>IF($V4850="",N($AA4849),IF(MATCH($V4850,$V$6:$V$6005,0)=ROW()-5,N($AA4849)+1,N($AA4849)))</f>
        <v/>
      </c>
    </row>
    <row r="4851" ht="21" customHeight="1" s="66">
      <c r="A4851" s="56" t="n"/>
      <c r="B4851" s="57" t="n"/>
      <c r="C4851" s="57" t="n"/>
      <c r="D4851" s="57" t="n"/>
      <c r="E4851" s="56" t="n"/>
      <c r="F4851" s="57" t="n"/>
      <c r="G4851" s="57" t="n"/>
      <c r="H4851" s="56" t="n"/>
      <c r="I4851" s="56" t="n"/>
      <c r="J4851" s="58" t="n"/>
      <c r="K4851" s="58" t="n"/>
      <c r="L4851" s="13">
        <f>IF(OR($A4851="",AND($J4851="",$K4851="")),"",ROUND(N($J4851)-N($K4851),2))</f>
        <v/>
      </c>
      <c r="M4851" s="13">
        <f>IF(OR($A4851="",AND($J4851="",$K4851="")),"",MIN($J4851,$K4851))</f>
        <v/>
      </c>
      <c r="Q4851">
        <f>IF($A4851="","",$D4851&amp;"("&amp;SUBSTITUTE($E4851," ","")&amp;")")</f>
        <v/>
      </c>
      <c r="R4851">
        <f>IF($A4851="","",$B4851&amp;" - "&amp;$C4851)</f>
        <v/>
      </c>
      <c r="S4851">
        <f>IF($A4851="","",$R4851&amp;"|"&amp;$Q4851)</f>
        <v/>
      </c>
      <c r="T4851">
        <f>IF($A4851="","",$S4851&amp;"|"&amp;$F4851)</f>
        <v/>
      </c>
      <c r="U4851">
        <f>IF($A4851="","",$R4851&amp;"("&amp;$E4851&amp;")")</f>
        <v/>
      </c>
      <c r="V4851">
        <f>IF($A4851="","",$F4851&amp;"|"&amp;$U4851&amp;"|"&amp;$D4851)</f>
        <v/>
      </c>
      <c r="W4851">
        <f>IF($T4851="","",IF($X4851&gt;N($X4850),$X4851,""))</f>
        <v/>
      </c>
      <c r="X4851">
        <f>IF($T4851="",N($X4850),IF(MATCH($T4851,$T$6:$T$6005,0)=ROW()-5,N($X4850)+1,N($X4850)))</f>
        <v/>
      </c>
      <c r="Z4851">
        <f>IF($V4851="","",IF($AA4851&gt;N($AA4850),$AA4851,""))</f>
        <v/>
      </c>
      <c r="AA4851">
        <f>IF($V4851="",N($AA4850),IF(MATCH($V4851,$V$6:$V$6005,0)=ROW()-5,N($AA4850)+1,N($AA4850)))</f>
        <v/>
      </c>
    </row>
    <row r="4852" ht="21" customHeight="1" s="66">
      <c r="A4852" s="56" t="n"/>
      <c r="B4852" s="57" t="n"/>
      <c r="C4852" s="57" t="n"/>
      <c r="D4852" s="57" t="n"/>
      <c r="E4852" s="56" t="n"/>
      <c r="F4852" s="57" t="n"/>
      <c r="G4852" s="57" t="n"/>
      <c r="H4852" s="56" t="n"/>
      <c r="I4852" s="56" t="n"/>
      <c r="J4852" s="58" t="n"/>
      <c r="K4852" s="58" t="n"/>
      <c r="L4852" s="13">
        <f>IF(OR($A4852="",AND($J4852="",$K4852="")),"",ROUND(N($J4852)-N($K4852),2))</f>
        <v/>
      </c>
      <c r="M4852" s="13">
        <f>IF(OR($A4852="",AND($J4852="",$K4852="")),"",MIN($J4852,$K4852))</f>
        <v/>
      </c>
      <c r="Q4852">
        <f>IF($A4852="","",$D4852&amp;"("&amp;SUBSTITUTE($E4852," ","")&amp;")")</f>
        <v/>
      </c>
      <c r="R4852">
        <f>IF($A4852="","",$B4852&amp;" - "&amp;$C4852)</f>
        <v/>
      </c>
      <c r="S4852">
        <f>IF($A4852="","",$R4852&amp;"|"&amp;$Q4852)</f>
        <v/>
      </c>
      <c r="T4852">
        <f>IF($A4852="","",$S4852&amp;"|"&amp;$F4852)</f>
        <v/>
      </c>
      <c r="U4852">
        <f>IF($A4852="","",$R4852&amp;"("&amp;$E4852&amp;")")</f>
        <v/>
      </c>
      <c r="V4852">
        <f>IF($A4852="","",$F4852&amp;"|"&amp;$U4852&amp;"|"&amp;$D4852)</f>
        <v/>
      </c>
      <c r="W4852">
        <f>IF($T4852="","",IF($X4852&gt;N($X4851),$X4852,""))</f>
        <v/>
      </c>
      <c r="X4852">
        <f>IF($T4852="",N($X4851),IF(MATCH($T4852,$T$6:$T$6005,0)=ROW()-5,N($X4851)+1,N($X4851)))</f>
        <v/>
      </c>
      <c r="Z4852">
        <f>IF($V4852="","",IF($AA4852&gt;N($AA4851),$AA4852,""))</f>
        <v/>
      </c>
      <c r="AA4852">
        <f>IF($V4852="",N($AA4851),IF(MATCH($V4852,$V$6:$V$6005,0)=ROW()-5,N($AA4851)+1,N($AA4851)))</f>
        <v/>
      </c>
    </row>
    <row r="4853" ht="21" customHeight="1" s="66">
      <c r="A4853" s="56" t="n"/>
      <c r="B4853" s="57" t="n"/>
      <c r="C4853" s="57" t="n"/>
      <c r="D4853" s="57" t="n"/>
      <c r="E4853" s="56" t="n"/>
      <c r="F4853" s="57" t="n"/>
      <c r="G4853" s="57" t="n"/>
      <c r="H4853" s="56" t="n"/>
      <c r="I4853" s="56" t="n"/>
      <c r="J4853" s="58" t="n"/>
      <c r="K4853" s="58" t="n"/>
      <c r="L4853" s="13">
        <f>IF(OR($A4853="",AND($J4853="",$K4853="")),"",ROUND(N($J4853)-N($K4853),2))</f>
        <v/>
      </c>
      <c r="M4853" s="13">
        <f>IF(OR($A4853="",AND($J4853="",$K4853="")),"",MIN($J4853,$K4853))</f>
        <v/>
      </c>
      <c r="Q4853">
        <f>IF($A4853="","",$D4853&amp;"("&amp;SUBSTITUTE($E4853," ","")&amp;")")</f>
        <v/>
      </c>
      <c r="R4853">
        <f>IF($A4853="","",$B4853&amp;" - "&amp;$C4853)</f>
        <v/>
      </c>
      <c r="S4853">
        <f>IF($A4853="","",$R4853&amp;"|"&amp;$Q4853)</f>
        <v/>
      </c>
      <c r="T4853">
        <f>IF($A4853="","",$S4853&amp;"|"&amp;$F4853)</f>
        <v/>
      </c>
      <c r="U4853">
        <f>IF($A4853="","",$R4853&amp;"("&amp;$E4853&amp;")")</f>
        <v/>
      </c>
      <c r="V4853">
        <f>IF($A4853="","",$F4853&amp;"|"&amp;$U4853&amp;"|"&amp;$D4853)</f>
        <v/>
      </c>
      <c r="W4853">
        <f>IF($T4853="","",IF($X4853&gt;N($X4852),$X4853,""))</f>
        <v/>
      </c>
      <c r="X4853">
        <f>IF($T4853="",N($X4852),IF(MATCH($T4853,$T$6:$T$6005,0)=ROW()-5,N($X4852)+1,N($X4852)))</f>
        <v/>
      </c>
      <c r="Z4853">
        <f>IF($V4853="","",IF($AA4853&gt;N($AA4852),$AA4853,""))</f>
        <v/>
      </c>
      <c r="AA4853">
        <f>IF($V4853="",N($AA4852),IF(MATCH($V4853,$V$6:$V$6005,0)=ROW()-5,N($AA4852)+1,N($AA4852)))</f>
        <v/>
      </c>
    </row>
    <row r="4854" ht="21" customHeight="1" s="66">
      <c r="A4854" s="56" t="n"/>
      <c r="B4854" s="57" t="n"/>
      <c r="C4854" s="57" t="n"/>
      <c r="D4854" s="57" t="n"/>
      <c r="E4854" s="56" t="n"/>
      <c r="F4854" s="57" t="n"/>
      <c r="G4854" s="57" t="n"/>
      <c r="H4854" s="56" t="n"/>
      <c r="I4854" s="56" t="n"/>
      <c r="J4854" s="58" t="n"/>
      <c r="K4854" s="58" t="n"/>
      <c r="L4854" s="13">
        <f>IF(OR($A4854="",AND($J4854="",$K4854="")),"",ROUND(N($J4854)-N($K4854),2))</f>
        <v/>
      </c>
      <c r="M4854" s="13">
        <f>IF(OR($A4854="",AND($J4854="",$K4854="")),"",MIN($J4854,$K4854))</f>
        <v/>
      </c>
      <c r="Q4854">
        <f>IF($A4854="","",$D4854&amp;"("&amp;SUBSTITUTE($E4854," ","")&amp;")")</f>
        <v/>
      </c>
      <c r="R4854">
        <f>IF($A4854="","",$B4854&amp;" - "&amp;$C4854)</f>
        <v/>
      </c>
      <c r="S4854">
        <f>IF($A4854="","",$R4854&amp;"|"&amp;$Q4854)</f>
        <v/>
      </c>
      <c r="T4854">
        <f>IF($A4854="","",$S4854&amp;"|"&amp;$F4854)</f>
        <v/>
      </c>
      <c r="U4854">
        <f>IF($A4854="","",$R4854&amp;"("&amp;$E4854&amp;")")</f>
        <v/>
      </c>
      <c r="V4854">
        <f>IF($A4854="","",$F4854&amp;"|"&amp;$U4854&amp;"|"&amp;$D4854)</f>
        <v/>
      </c>
      <c r="W4854">
        <f>IF($T4854="","",IF($X4854&gt;N($X4853),$X4854,""))</f>
        <v/>
      </c>
      <c r="X4854">
        <f>IF($T4854="",N($X4853),IF(MATCH($T4854,$T$6:$T$6005,0)=ROW()-5,N($X4853)+1,N($X4853)))</f>
        <v/>
      </c>
      <c r="Z4854">
        <f>IF($V4854="","",IF($AA4854&gt;N($AA4853),$AA4854,""))</f>
        <v/>
      </c>
      <c r="AA4854">
        <f>IF($V4854="",N($AA4853),IF(MATCH($V4854,$V$6:$V$6005,0)=ROW()-5,N($AA4853)+1,N($AA4853)))</f>
        <v/>
      </c>
    </row>
    <row r="4855" ht="21" customHeight="1" s="66">
      <c r="A4855" s="56" t="n"/>
      <c r="B4855" s="57" t="n"/>
      <c r="C4855" s="57" t="n"/>
      <c r="D4855" s="57" t="n"/>
      <c r="E4855" s="56" t="n"/>
      <c r="F4855" s="57" t="n"/>
      <c r="G4855" s="57" t="n"/>
      <c r="H4855" s="56" t="n"/>
      <c r="I4855" s="56" t="n"/>
      <c r="J4855" s="58" t="n"/>
      <c r="K4855" s="58" t="n"/>
      <c r="L4855" s="13">
        <f>IF(OR($A4855="",AND($J4855="",$K4855="")),"",ROUND(N($J4855)-N($K4855),2))</f>
        <v/>
      </c>
      <c r="M4855" s="13">
        <f>IF(OR($A4855="",AND($J4855="",$K4855="")),"",MIN($J4855,$K4855))</f>
        <v/>
      </c>
      <c r="Q4855">
        <f>IF($A4855="","",$D4855&amp;"("&amp;SUBSTITUTE($E4855," ","")&amp;")")</f>
        <v/>
      </c>
      <c r="R4855">
        <f>IF($A4855="","",$B4855&amp;" - "&amp;$C4855)</f>
        <v/>
      </c>
      <c r="S4855">
        <f>IF($A4855="","",$R4855&amp;"|"&amp;$Q4855)</f>
        <v/>
      </c>
      <c r="T4855">
        <f>IF($A4855="","",$S4855&amp;"|"&amp;$F4855)</f>
        <v/>
      </c>
      <c r="U4855">
        <f>IF($A4855="","",$R4855&amp;"("&amp;$E4855&amp;")")</f>
        <v/>
      </c>
      <c r="V4855">
        <f>IF($A4855="","",$F4855&amp;"|"&amp;$U4855&amp;"|"&amp;$D4855)</f>
        <v/>
      </c>
      <c r="W4855">
        <f>IF($T4855="","",IF($X4855&gt;N($X4854),$X4855,""))</f>
        <v/>
      </c>
      <c r="X4855">
        <f>IF($T4855="",N($X4854),IF(MATCH($T4855,$T$6:$T$6005,0)=ROW()-5,N($X4854)+1,N($X4854)))</f>
        <v/>
      </c>
      <c r="Z4855">
        <f>IF($V4855="","",IF($AA4855&gt;N($AA4854),$AA4855,""))</f>
        <v/>
      </c>
      <c r="AA4855">
        <f>IF($V4855="",N($AA4854),IF(MATCH($V4855,$V$6:$V$6005,0)=ROW()-5,N($AA4854)+1,N($AA4854)))</f>
        <v/>
      </c>
    </row>
    <row r="4856" ht="21" customHeight="1" s="66">
      <c r="A4856" s="56" t="n"/>
      <c r="B4856" s="57" t="n"/>
      <c r="C4856" s="57" t="n"/>
      <c r="D4856" s="57" t="n"/>
      <c r="E4856" s="56" t="n"/>
      <c r="F4856" s="57" t="n"/>
      <c r="G4856" s="57" t="n"/>
      <c r="H4856" s="56" t="n"/>
      <c r="I4856" s="56" t="n"/>
      <c r="J4856" s="58" t="n"/>
      <c r="K4856" s="58" t="n"/>
      <c r="L4856" s="13">
        <f>IF(OR($A4856="",AND($J4856="",$K4856="")),"",ROUND(N($J4856)-N($K4856),2))</f>
        <v/>
      </c>
      <c r="M4856" s="13">
        <f>IF(OR($A4856="",AND($J4856="",$K4856="")),"",MIN($J4856,$K4856))</f>
        <v/>
      </c>
      <c r="Q4856">
        <f>IF($A4856="","",$D4856&amp;"("&amp;SUBSTITUTE($E4856," ","")&amp;")")</f>
        <v/>
      </c>
      <c r="R4856">
        <f>IF($A4856="","",$B4856&amp;" - "&amp;$C4856)</f>
        <v/>
      </c>
      <c r="S4856">
        <f>IF($A4856="","",$R4856&amp;"|"&amp;$Q4856)</f>
        <v/>
      </c>
      <c r="T4856">
        <f>IF($A4856="","",$S4856&amp;"|"&amp;$F4856)</f>
        <v/>
      </c>
      <c r="U4856">
        <f>IF($A4856="","",$R4856&amp;"("&amp;$E4856&amp;")")</f>
        <v/>
      </c>
      <c r="V4856">
        <f>IF($A4856="","",$F4856&amp;"|"&amp;$U4856&amp;"|"&amp;$D4856)</f>
        <v/>
      </c>
      <c r="W4856">
        <f>IF($T4856="","",IF($X4856&gt;N($X4855),$X4856,""))</f>
        <v/>
      </c>
      <c r="X4856">
        <f>IF($T4856="",N($X4855),IF(MATCH($T4856,$T$6:$T$6005,0)=ROW()-5,N($X4855)+1,N($X4855)))</f>
        <v/>
      </c>
      <c r="Z4856">
        <f>IF($V4856="","",IF($AA4856&gt;N($AA4855),$AA4856,""))</f>
        <v/>
      </c>
      <c r="AA4856">
        <f>IF($V4856="",N($AA4855),IF(MATCH($V4856,$V$6:$V$6005,0)=ROW()-5,N($AA4855)+1,N($AA4855)))</f>
        <v/>
      </c>
    </row>
    <row r="4857" ht="21" customHeight="1" s="66">
      <c r="A4857" s="56" t="n"/>
      <c r="B4857" s="57" t="n"/>
      <c r="C4857" s="57" t="n"/>
      <c r="D4857" s="57" t="n"/>
      <c r="E4857" s="56" t="n"/>
      <c r="F4857" s="57" t="n"/>
      <c r="G4857" s="57" t="n"/>
      <c r="H4857" s="56" t="n"/>
      <c r="I4857" s="56" t="n"/>
      <c r="J4857" s="58" t="n"/>
      <c r="K4857" s="58" t="n"/>
      <c r="L4857" s="13">
        <f>IF(OR($A4857="",AND($J4857="",$K4857="")),"",ROUND(N($J4857)-N($K4857),2))</f>
        <v/>
      </c>
      <c r="M4857" s="13">
        <f>IF(OR($A4857="",AND($J4857="",$K4857="")),"",MIN($J4857,$K4857))</f>
        <v/>
      </c>
      <c r="Q4857">
        <f>IF($A4857="","",$D4857&amp;"("&amp;SUBSTITUTE($E4857," ","")&amp;")")</f>
        <v/>
      </c>
      <c r="R4857">
        <f>IF($A4857="","",$B4857&amp;" - "&amp;$C4857)</f>
        <v/>
      </c>
      <c r="S4857">
        <f>IF($A4857="","",$R4857&amp;"|"&amp;$Q4857)</f>
        <v/>
      </c>
      <c r="T4857">
        <f>IF($A4857="","",$S4857&amp;"|"&amp;$F4857)</f>
        <v/>
      </c>
      <c r="U4857">
        <f>IF($A4857="","",$R4857&amp;"("&amp;$E4857&amp;")")</f>
        <v/>
      </c>
      <c r="V4857">
        <f>IF($A4857="","",$F4857&amp;"|"&amp;$U4857&amp;"|"&amp;$D4857)</f>
        <v/>
      </c>
      <c r="W4857">
        <f>IF($T4857="","",IF($X4857&gt;N($X4856),$X4857,""))</f>
        <v/>
      </c>
      <c r="X4857">
        <f>IF($T4857="",N($X4856),IF(MATCH($T4857,$T$6:$T$6005,0)=ROW()-5,N($X4856)+1,N($X4856)))</f>
        <v/>
      </c>
      <c r="Z4857">
        <f>IF($V4857="","",IF($AA4857&gt;N($AA4856),$AA4857,""))</f>
        <v/>
      </c>
      <c r="AA4857">
        <f>IF($V4857="",N($AA4856),IF(MATCH($V4857,$V$6:$V$6005,0)=ROW()-5,N($AA4856)+1,N($AA4856)))</f>
        <v/>
      </c>
    </row>
    <row r="4858" ht="21" customHeight="1" s="66">
      <c r="A4858" s="56" t="n"/>
      <c r="B4858" s="57" t="n"/>
      <c r="C4858" s="57" t="n"/>
      <c r="D4858" s="57" t="n"/>
      <c r="E4858" s="56" t="n"/>
      <c r="F4858" s="57" t="n"/>
      <c r="G4858" s="57" t="n"/>
      <c r="H4858" s="56" t="n"/>
      <c r="I4858" s="56" t="n"/>
      <c r="J4858" s="58" t="n"/>
      <c r="K4858" s="58" t="n"/>
      <c r="L4858" s="13">
        <f>IF(OR($A4858="",AND($J4858="",$K4858="")),"",ROUND(N($J4858)-N($K4858),2))</f>
        <v/>
      </c>
      <c r="M4858" s="13">
        <f>IF(OR($A4858="",AND($J4858="",$K4858="")),"",MIN($J4858,$K4858))</f>
        <v/>
      </c>
      <c r="Q4858">
        <f>IF($A4858="","",$D4858&amp;"("&amp;SUBSTITUTE($E4858," ","")&amp;")")</f>
        <v/>
      </c>
      <c r="R4858">
        <f>IF($A4858="","",$B4858&amp;" - "&amp;$C4858)</f>
        <v/>
      </c>
      <c r="S4858">
        <f>IF($A4858="","",$R4858&amp;"|"&amp;$Q4858)</f>
        <v/>
      </c>
      <c r="T4858">
        <f>IF($A4858="","",$S4858&amp;"|"&amp;$F4858)</f>
        <v/>
      </c>
      <c r="U4858">
        <f>IF($A4858="","",$R4858&amp;"("&amp;$E4858&amp;")")</f>
        <v/>
      </c>
      <c r="V4858">
        <f>IF($A4858="","",$F4858&amp;"|"&amp;$U4858&amp;"|"&amp;$D4858)</f>
        <v/>
      </c>
      <c r="W4858">
        <f>IF($T4858="","",IF($X4858&gt;N($X4857),$X4858,""))</f>
        <v/>
      </c>
      <c r="X4858">
        <f>IF($T4858="",N($X4857),IF(MATCH($T4858,$T$6:$T$6005,0)=ROW()-5,N($X4857)+1,N($X4857)))</f>
        <v/>
      </c>
      <c r="Z4858">
        <f>IF($V4858="","",IF($AA4858&gt;N($AA4857),$AA4858,""))</f>
        <v/>
      </c>
      <c r="AA4858">
        <f>IF($V4858="",N($AA4857),IF(MATCH($V4858,$V$6:$V$6005,0)=ROW()-5,N($AA4857)+1,N($AA4857)))</f>
        <v/>
      </c>
    </row>
    <row r="4859" ht="21" customHeight="1" s="66">
      <c r="A4859" s="56" t="n"/>
      <c r="B4859" s="57" t="n"/>
      <c r="C4859" s="57" t="n"/>
      <c r="D4859" s="57" t="n"/>
      <c r="E4859" s="56" t="n"/>
      <c r="F4859" s="57" t="n"/>
      <c r="G4859" s="57" t="n"/>
      <c r="H4859" s="56" t="n"/>
      <c r="I4859" s="56" t="n"/>
      <c r="J4859" s="58" t="n"/>
      <c r="K4859" s="58" t="n"/>
      <c r="L4859" s="13">
        <f>IF(OR($A4859="",AND($J4859="",$K4859="")),"",ROUND(N($J4859)-N($K4859),2))</f>
        <v/>
      </c>
      <c r="M4859" s="13">
        <f>IF(OR($A4859="",AND($J4859="",$K4859="")),"",MIN($J4859,$K4859))</f>
        <v/>
      </c>
      <c r="Q4859">
        <f>IF($A4859="","",$D4859&amp;"("&amp;SUBSTITUTE($E4859," ","")&amp;")")</f>
        <v/>
      </c>
      <c r="R4859">
        <f>IF($A4859="","",$B4859&amp;" - "&amp;$C4859)</f>
        <v/>
      </c>
      <c r="S4859">
        <f>IF($A4859="","",$R4859&amp;"|"&amp;$Q4859)</f>
        <v/>
      </c>
      <c r="T4859">
        <f>IF($A4859="","",$S4859&amp;"|"&amp;$F4859)</f>
        <v/>
      </c>
      <c r="U4859">
        <f>IF($A4859="","",$R4859&amp;"("&amp;$E4859&amp;")")</f>
        <v/>
      </c>
      <c r="V4859">
        <f>IF($A4859="","",$F4859&amp;"|"&amp;$U4859&amp;"|"&amp;$D4859)</f>
        <v/>
      </c>
      <c r="W4859">
        <f>IF($T4859="","",IF($X4859&gt;N($X4858),$X4859,""))</f>
        <v/>
      </c>
      <c r="X4859">
        <f>IF($T4859="",N($X4858),IF(MATCH($T4859,$T$6:$T$6005,0)=ROW()-5,N($X4858)+1,N($X4858)))</f>
        <v/>
      </c>
      <c r="Z4859">
        <f>IF($V4859="","",IF($AA4859&gt;N($AA4858),$AA4859,""))</f>
        <v/>
      </c>
      <c r="AA4859">
        <f>IF($V4859="",N($AA4858),IF(MATCH($V4859,$V$6:$V$6005,0)=ROW()-5,N($AA4858)+1,N($AA4858)))</f>
        <v/>
      </c>
    </row>
    <row r="4860" ht="21" customHeight="1" s="66">
      <c r="A4860" s="56" t="n"/>
      <c r="B4860" s="57" t="n"/>
      <c r="C4860" s="57" t="n"/>
      <c r="D4860" s="57" t="n"/>
      <c r="E4860" s="56" t="n"/>
      <c r="F4860" s="57" t="n"/>
      <c r="G4860" s="57" t="n"/>
      <c r="H4860" s="56" t="n"/>
      <c r="I4860" s="56" t="n"/>
      <c r="J4860" s="58" t="n"/>
      <c r="K4860" s="58" t="n"/>
      <c r="L4860" s="13">
        <f>IF(OR($A4860="",AND($J4860="",$K4860="")),"",ROUND(N($J4860)-N($K4860),2))</f>
        <v/>
      </c>
      <c r="M4860" s="13">
        <f>IF(OR($A4860="",AND($J4860="",$K4860="")),"",MIN($J4860,$K4860))</f>
        <v/>
      </c>
      <c r="Q4860">
        <f>IF($A4860="","",$D4860&amp;"("&amp;SUBSTITUTE($E4860," ","")&amp;")")</f>
        <v/>
      </c>
      <c r="R4860">
        <f>IF($A4860="","",$B4860&amp;" - "&amp;$C4860)</f>
        <v/>
      </c>
      <c r="S4860">
        <f>IF($A4860="","",$R4860&amp;"|"&amp;$Q4860)</f>
        <v/>
      </c>
      <c r="T4860">
        <f>IF($A4860="","",$S4860&amp;"|"&amp;$F4860)</f>
        <v/>
      </c>
      <c r="U4860">
        <f>IF($A4860="","",$R4860&amp;"("&amp;$E4860&amp;")")</f>
        <v/>
      </c>
      <c r="V4860">
        <f>IF($A4860="","",$F4860&amp;"|"&amp;$U4860&amp;"|"&amp;$D4860)</f>
        <v/>
      </c>
      <c r="W4860">
        <f>IF($T4860="","",IF($X4860&gt;N($X4859),$X4860,""))</f>
        <v/>
      </c>
      <c r="X4860">
        <f>IF($T4860="",N($X4859),IF(MATCH($T4860,$T$6:$T$6005,0)=ROW()-5,N($X4859)+1,N($X4859)))</f>
        <v/>
      </c>
      <c r="Z4860">
        <f>IF($V4860="","",IF($AA4860&gt;N($AA4859),$AA4860,""))</f>
        <v/>
      </c>
      <c r="AA4860">
        <f>IF($V4860="",N($AA4859),IF(MATCH($V4860,$V$6:$V$6005,0)=ROW()-5,N($AA4859)+1,N($AA4859)))</f>
        <v/>
      </c>
    </row>
    <row r="4861" ht="21" customHeight="1" s="66">
      <c r="A4861" s="56" t="n"/>
      <c r="B4861" s="57" t="n"/>
      <c r="C4861" s="57" t="n"/>
      <c r="D4861" s="57" t="n"/>
      <c r="E4861" s="56" t="n"/>
      <c r="F4861" s="57" t="n"/>
      <c r="G4861" s="57" t="n"/>
      <c r="H4861" s="56" t="n"/>
      <c r="I4861" s="56" t="n"/>
      <c r="J4861" s="58" t="n"/>
      <c r="K4861" s="58" t="n"/>
      <c r="L4861" s="13">
        <f>IF(OR($A4861="",AND($J4861="",$K4861="")),"",ROUND(N($J4861)-N($K4861),2))</f>
        <v/>
      </c>
      <c r="M4861" s="13">
        <f>IF(OR($A4861="",AND($J4861="",$K4861="")),"",MIN($J4861,$K4861))</f>
        <v/>
      </c>
      <c r="Q4861">
        <f>IF($A4861="","",$D4861&amp;"("&amp;SUBSTITUTE($E4861," ","")&amp;")")</f>
        <v/>
      </c>
      <c r="R4861">
        <f>IF($A4861="","",$B4861&amp;" - "&amp;$C4861)</f>
        <v/>
      </c>
      <c r="S4861">
        <f>IF($A4861="","",$R4861&amp;"|"&amp;$Q4861)</f>
        <v/>
      </c>
      <c r="T4861">
        <f>IF($A4861="","",$S4861&amp;"|"&amp;$F4861)</f>
        <v/>
      </c>
      <c r="U4861">
        <f>IF($A4861="","",$R4861&amp;"("&amp;$E4861&amp;")")</f>
        <v/>
      </c>
      <c r="V4861">
        <f>IF($A4861="","",$F4861&amp;"|"&amp;$U4861&amp;"|"&amp;$D4861)</f>
        <v/>
      </c>
      <c r="W4861">
        <f>IF($T4861="","",IF($X4861&gt;N($X4860),$X4861,""))</f>
        <v/>
      </c>
      <c r="X4861">
        <f>IF($T4861="",N($X4860),IF(MATCH($T4861,$T$6:$T$6005,0)=ROW()-5,N($X4860)+1,N($X4860)))</f>
        <v/>
      </c>
      <c r="Z4861">
        <f>IF($V4861="","",IF($AA4861&gt;N($AA4860),$AA4861,""))</f>
        <v/>
      </c>
      <c r="AA4861">
        <f>IF($V4861="",N($AA4860),IF(MATCH($V4861,$V$6:$V$6005,0)=ROW()-5,N($AA4860)+1,N($AA4860)))</f>
        <v/>
      </c>
    </row>
    <row r="4862" ht="21" customHeight="1" s="66">
      <c r="A4862" s="56" t="n"/>
      <c r="B4862" s="57" t="n"/>
      <c r="C4862" s="57" t="n"/>
      <c r="D4862" s="57" t="n"/>
      <c r="E4862" s="56" t="n"/>
      <c r="F4862" s="57" t="n"/>
      <c r="G4862" s="57" t="n"/>
      <c r="H4862" s="56" t="n"/>
      <c r="I4862" s="56" t="n"/>
      <c r="J4862" s="58" t="n"/>
      <c r="K4862" s="58" t="n"/>
      <c r="L4862" s="13">
        <f>IF(OR($A4862="",AND($J4862="",$K4862="")),"",ROUND(N($J4862)-N($K4862),2))</f>
        <v/>
      </c>
      <c r="M4862" s="13">
        <f>IF(OR($A4862="",AND($J4862="",$K4862="")),"",MIN($J4862,$K4862))</f>
        <v/>
      </c>
      <c r="Q4862">
        <f>IF($A4862="","",$D4862&amp;"("&amp;SUBSTITUTE($E4862," ","")&amp;")")</f>
        <v/>
      </c>
      <c r="R4862">
        <f>IF($A4862="","",$B4862&amp;" - "&amp;$C4862)</f>
        <v/>
      </c>
      <c r="S4862">
        <f>IF($A4862="","",$R4862&amp;"|"&amp;$Q4862)</f>
        <v/>
      </c>
      <c r="T4862">
        <f>IF($A4862="","",$S4862&amp;"|"&amp;$F4862)</f>
        <v/>
      </c>
      <c r="U4862">
        <f>IF($A4862="","",$R4862&amp;"("&amp;$E4862&amp;")")</f>
        <v/>
      </c>
      <c r="V4862">
        <f>IF($A4862="","",$F4862&amp;"|"&amp;$U4862&amp;"|"&amp;$D4862)</f>
        <v/>
      </c>
      <c r="W4862">
        <f>IF($T4862="","",IF($X4862&gt;N($X4861),$X4862,""))</f>
        <v/>
      </c>
      <c r="X4862">
        <f>IF($T4862="",N($X4861),IF(MATCH($T4862,$T$6:$T$6005,0)=ROW()-5,N($X4861)+1,N($X4861)))</f>
        <v/>
      </c>
      <c r="Z4862">
        <f>IF($V4862="","",IF($AA4862&gt;N($AA4861),$AA4862,""))</f>
        <v/>
      </c>
      <c r="AA4862">
        <f>IF($V4862="",N($AA4861),IF(MATCH($V4862,$V$6:$V$6005,0)=ROW()-5,N($AA4861)+1,N($AA4861)))</f>
        <v/>
      </c>
    </row>
    <row r="4863" ht="21" customHeight="1" s="66">
      <c r="A4863" s="56" t="n"/>
      <c r="B4863" s="57" t="n"/>
      <c r="C4863" s="57" t="n"/>
      <c r="D4863" s="57" t="n"/>
      <c r="E4863" s="56" t="n"/>
      <c r="F4863" s="57" t="n"/>
      <c r="G4863" s="57" t="n"/>
      <c r="H4863" s="56" t="n"/>
      <c r="I4863" s="56" t="n"/>
      <c r="J4863" s="58" t="n"/>
      <c r="K4863" s="58" t="n"/>
      <c r="L4863" s="13">
        <f>IF(OR($A4863="",AND($J4863="",$K4863="")),"",ROUND(N($J4863)-N($K4863),2))</f>
        <v/>
      </c>
      <c r="M4863" s="13">
        <f>IF(OR($A4863="",AND($J4863="",$K4863="")),"",MIN($J4863,$K4863))</f>
        <v/>
      </c>
      <c r="Q4863">
        <f>IF($A4863="","",$D4863&amp;"("&amp;SUBSTITUTE($E4863," ","")&amp;")")</f>
        <v/>
      </c>
      <c r="R4863">
        <f>IF($A4863="","",$B4863&amp;" - "&amp;$C4863)</f>
        <v/>
      </c>
      <c r="S4863">
        <f>IF($A4863="","",$R4863&amp;"|"&amp;$Q4863)</f>
        <v/>
      </c>
      <c r="T4863">
        <f>IF($A4863="","",$S4863&amp;"|"&amp;$F4863)</f>
        <v/>
      </c>
      <c r="U4863">
        <f>IF($A4863="","",$R4863&amp;"("&amp;$E4863&amp;")")</f>
        <v/>
      </c>
      <c r="V4863">
        <f>IF($A4863="","",$F4863&amp;"|"&amp;$U4863&amp;"|"&amp;$D4863)</f>
        <v/>
      </c>
      <c r="W4863">
        <f>IF($T4863="","",IF($X4863&gt;N($X4862),$X4863,""))</f>
        <v/>
      </c>
      <c r="X4863">
        <f>IF($T4863="",N($X4862),IF(MATCH($T4863,$T$6:$T$6005,0)=ROW()-5,N($X4862)+1,N($X4862)))</f>
        <v/>
      </c>
      <c r="Z4863">
        <f>IF($V4863="","",IF($AA4863&gt;N($AA4862),$AA4863,""))</f>
        <v/>
      </c>
      <c r="AA4863">
        <f>IF($V4863="",N($AA4862),IF(MATCH($V4863,$V$6:$V$6005,0)=ROW()-5,N($AA4862)+1,N($AA4862)))</f>
        <v/>
      </c>
    </row>
    <row r="4864" ht="21" customHeight="1" s="66">
      <c r="A4864" s="56" t="n"/>
      <c r="B4864" s="57" t="n"/>
      <c r="C4864" s="57" t="n"/>
      <c r="D4864" s="57" t="n"/>
      <c r="E4864" s="56" t="n"/>
      <c r="F4864" s="57" t="n"/>
      <c r="G4864" s="57" t="n"/>
      <c r="H4864" s="56" t="n"/>
      <c r="I4864" s="56" t="n"/>
      <c r="J4864" s="58" t="n"/>
      <c r="K4864" s="58" t="n"/>
      <c r="L4864" s="13">
        <f>IF(OR($A4864="",AND($J4864="",$K4864="")),"",ROUND(N($J4864)-N($K4864),2))</f>
        <v/>
      </c>
      <c r="M4864" s="13">
        <f>IF(OR($A4864="",AND($J4864="",$K4864="")),"",MIN($J4864,$K4864))</f>
        <v/>
      </c>
      <c r="Q4864">
        <f>IF($A4864="","",$D4864&amp;"("&amp;SUBSTITUTE($E4864," ","")&amp;")")</f>
        <v/>
      </c>
      <c r="R4864">
        <f>IF($A4864="","",$B4864&amp;" - "&amp;$C4864)</f>
        <v/>
      </c>
      <c r="S4864">
        <f>IF($A4864="","",$R4864&amp;"|"&amp;$Q4864)</f>
        <v/>
      </c>
      <c r="T4864">
        <f>IF($A4864="","",$S4864&amp;"|"&amp;$F4864)</f>
        <v/>
      </c>
      <c r="U4864">
        <f>IF($A4864="","",$R4864&amp;"("&amp;$E4864&amp;")")</f>
        <v/>
      </c>
      <c r="V4864">
        <f>IF($A4864="","",$F4864&amp;"|"&amp;$U4864&amp;"|"&amp;$D4864)</f>
        <v/>
      </c>
      <c r="W4864">
        <f>IF($T4864="","",IF($X4864&gt;N($X4863),$X4864,""))</f>
        <v/>
      </c>
      <c r="X4864">
        <f>IF($T4864="",N($X4863),IF(MATCH($T4864,$T$6:$T$6005,0)=ROW()-5,N($X4863)+1,N($X4863)))</f>
        <v/>
      </c>
      <c r="Z4864">
        <f>IF($V4864="","",IF($AA4864&gt;N($AA4863),$AA4864,""))</f>
        <v/>
      </c>
      <c r="AA4864">
        <f>IF($V4864="",N($AA4863),IF(MATCH($V4864,$V$6:$V$6005,0)=ROW()-5,N($AA4863)+1,N($AA4863)))</f>
        <v/>
      </c>
    </row>
    <row r="4865" ht="21" customHeight="1" s="66">
      <c r="A4865" s="56" t="n"/>
      <c r="B4865" s="57" t="n"/>
      <c r="C4865" s="57" t="n"/>
      <c r="D4865" s="57" t="n"/>
      <c r="E4865" s="56" t="n"/>
      <c r="F4865" s="57" t="n"/>
      <c r="G4865" s="57" t="n"/>
      <c r="H4865" s="56" t="n"/>
      <c r="I4865" s="56" t="n"/>
      <c r="J4865" s="58" t="n"/>
      <c r="K4865" s="58" t="n"/>
      <c r="L4865" s="13">
        <f>IF(OR($A4865="",AND($J4865="",$K4865="")),"",ROUND(N($J4865)-N($K4865),2))</f>
        <v/>
      </c>
      <c r="M4865" s="13">
        <f>IF(OR($A4865="",AND($J4865="",$K4865="")),"",MIN($J4865,$K4865))</f>
        <v/>
      </c>
      <c r="Q4865">
        <f>IF($A4865="","",$D4865&amp;"("&amp;SUBSTITUTE($E4865," ","")&amp;")")</f>
        <v/>
      </c>
      <c r="R4865">
        <f>IF($A4865="","",$B4865&amp;" - "&amp;$C4865)</f>
        <v/>
      </c>
      <c r="S4865">
        <f>IF($A4865="","",$R4865&amp;"|"&amp;$Q4865)</f>
        <v/>
      </c>
      <c r="T4865">
        <f>IF($A4865="","",$S4865&amp;"|"&amp;$F4865)</f>
        <v/>
      </c>
      <c r="U4865">
        <f>IF($A4865="","",$R4865&amp;"("&amp;$E4865&amp;")")</f>
        <v/>
      </c>
      <c r="V4865">
        <f>IF($A4865="","",$F4865&amp;"|"&amp;$U4865&amp;"|"&amp;$D4865)</f>
        <v/>
      </c>
      <c r="W4865">
        <f>IF($T4865="","",IF($X4865&gt;N($X4864),$X4865,""))</f>
        <v/>
      </c>
      <c r="X4865">
        <f>IF($T4865="",N($X4864),IF(MATCH($T4865,$T$6:$T$6005,0)=ROW()-5,N($X4864)+1,N($X4864)))</f>
        <v/>
      </c>
      <c r="Z4865">
        <f>IF($V4865="","",IF($AA4865&gt;N($AA4864),$AA4865,""))</f>
        <v/>
      </c>
      <c r="AA4865">
        <f>IF($V4865="",N($AA4864),IF(MATCH($V4865,$V$6:$V$6005,0)=ROW()-5,N($AA4864)+1,N($AA4864)))</f>
        <v/>
      </c>
    </row>
    <row r="4866" ht="21" customHeight="1" s="66">
      <c r="A4866" s="56" t="n"/>
      <c r="B4866" s="57" t="n"/>
      <c r="C4866" s="57" t="n"/>
      <c r="D4866" s="57" t="n"/>
      <c r="E4866" s="56" t="n"/>
      <c r="F4866" s="57" t="n"/>
      <c r="G4866" s="57" t="n"/>
      <c r="H4866" s="56" t="n"/>
      <c r="I4866" s="56" t="n"/>
      <c r="J4866" s="58" t="n"/>
      <c r="K4866" s="58" t="n"/>
      <c r="L4866" s="13">
        <f>IF(OR($A4866="",AND($J4866="",$K4866="")),"",ROUND(N($J4866)-N($K4866),2))</f>
        <v/>
      </c>
      <c r="M4866" s="13">
        <f>IF(OR($A4866="",AND($J4866="",$K4866="")),"",MIN($J4866,$K4866))</f>
        <v/>
      </c>
      <c r="Q4866">
        <f>IF($A4866="","",$D4866&amp;"("&amp;SUBSTITUTE($E4866," ","")&amp;")")</f>
        <v/>
      </c>
      <c r="R4866">
        <f>IF($A4866="","",$B4866&amp;" - "&amp;$C4866)</f>
        <v/>
      </c>
      <c r="S4866">
        <f>IF($A4866="","",$R4866&amp;"|"&amp;$Q4866)</f>
        <v/>
      </c>
      <c r="T4866">
        <f>IF($A4866="","",$S4866&amp;"|"&amp;$F4866)</f>
        <v/>
      </c>
      <c r="U4866">
        <f>IF($A4866="","",$R4866&amp;"("&amp;$E4866&amp;")")</f>
        <v/>
      </c>
      <c r="V4866">
        <f>IF($A4866="","",$F4866&amp;"|"&amp;$U4866&amp;"|"&amp;$D4866)</f>
        <v/>
      </c>
      <c r="W4866">
        <f>IF($T4866="","",IF($X4866&gt;N($X4865),$X4866,""))</f>
        <v/>
      </c>
      <c r="X4866">
        <f>IF($T4866="",N($X4865),IF(MATCH($T4866,$T$6:$T$6005,0)=ROW()-5,N($X4865)+1,N($X4865)))</f>
        <v/>
      </c>
      <c r="Z4866">
        <f>IF($V4866="","",IF($AA4866&gt;N($AA4865),$AA4866,""))</f>
        <v/>
      </c>
      <c r="AA4866">
        <f>IF($V4866="",N($AA4865),IF(MATCH($V4866,$V$6:$V$6005,0)=ROW()-5,N($AA4865)+1,N($AA4865)))</f>
        <v/>
      </c>
    </row>
    <row r="4867" ht="21" customHeight="1" s="66">
      <c r="A4867" s="56" t="n"/>
      <c r="B4867" s="57" t="n"/>
      <c r="C4867" s="57" t="n"/>
      <c r="D4867" s="57" t="n"/>
      <c r="E4867" s="56" t="n"/>
      <c r="F4867" s="57" t="n"/>
      <c r="G4867" s="57" t="n"/>
      <c r="H4867" s="56" t="n"/>
      <c r="I4867" s="56" t="n"/>
      <c r="J4867" s="58" t="n"/>
      <c r="K4867" s="58" t="n"/>
      <c r="L4867" s="13">
        <f>IF(OR($A4867="",AND($J4867="",$K4867="")),"",ROUND(N($J4867)-N($K4867),2))</f>
        <v/>
      </c>
      <c r="M4867" s="13">
        <f>IF(OR($A4867="",AND($J4867="",$K4867="")),"",MIN($J4867,$K4867))</f>
        <v/>
      </c>
      <c r="Q4867">
        <f>IF($A4867="","",$D4867&amp;"("&amp;SUBSTITUTE($E4867," ","")&amp;")")</f>
        <v/>
      </c>
      <c r="R4867">
        <f>IF($A4867="","",$B4867&amp;" - "&amp;$C4867)</f>
        <v/>
      </c>
      <c r="S4867">
        <f>IF($A4867="","",$R4867&amp;"|"&amp;$Q4867)</f>
        <v/>
      </c>
      <c r="T4867">
        <f>IF($A4867="","",$S4867&amp;"|"&amp;$F4867)</f>
        <v/>
      </c>
      <c r="U4867">
        <f>IF($A4867="","",$R4867&amp;"("&amp;$E4867&amp;")")</f>
        <v/>
      </c>
      <c r="V4867">
        <f>IF($A4867="","",$F4867&amp;"|"&amp;$U4867&amp;"|"&amp;$D4867)</f>
        <v/>
      </c>
      <c r="W4867">
        <f>IF($T4867="","",IF($X4867&gt;N($X4866),$X4867,""))</f>
        <v/>
      </c>
      <c r="X4867">
        <f>IF($T4867="",N($X4866),IF(MATCH($T4867,$T$6:$T$6005,0)=ROW()-5,N($X4866)+1,N($X4866)))</f>
        <v/>
      </c>
      <c r="Z4867">
        <f>IF($V4867="","",IF($AA4867&gt;N($AA4866),$AA4867,""))</f>
        <v/>
      </c>
      <c r="AA4867">
        <f>IF($V4867="",N($AA4866),IF(MATCH($V4867,$V$6:$V$6005,0)=ROW()-5,N($AA4866)+1,N($AA4866)))</f>
        <v/>
      </c>
    </row>
    <row r="4868" ht="21" customHeight="1" s="66">
      <c r="A4868" s="56" t="n"/>
      <c r="B4868" s="57" t="n"/>
      <c r="C4868" s="57" t="n"/>
      <c r="D4868" s="57" t="n"/>
      <c r="E4868" s="56" t="n"/>
      <c r="F4868" s="57" t="n"/>
      <c r="G4868" s="57" t="n"/>
      <c r="H4868" s="56" t="n"/>
      <c r="I4868" s="56" t="n"/>
      <c r="J4868" s="58" t="n"/>
      <c r="K4868" s="58" t="n"/>
      <c r="L4868" s="13">
        <f>IF(OR($A4868="",AND($J4868="",$K4868="")),"",ROUND(N($J4868)-N($K4868),2))</f>
        <v/>
      </c>
      <c r="M4868" s="13">
        <f>IF(OR($A4868="",AND($J4868="",$K4868="")),"",MIN($J4868,$K4868))</f>
        <v/>
      </c>
      <c r="Q4868">
        <f>IF($A4868="","",$D4868&amp;"("&amp;SUBSTITUTE($E4868," ","")&amp;")")</f>
        <v/>
      </c>
      <c r="R4868">
        <f>IF($A4868="","",$B4868&amp;" - "&amp;$C4868)</f>
        <v/>
      </c>
      <c r="S4868">
        <f>IF($A4868="","",$R4868&amp;"|"&amp;$Q4868)</f>
        <v/>
      </c>
      <c r="T4868">
        <f>IF($A4868="","",$S4868&amp;"|"&amp;$F4868)</f>
        <v/>
      </c>
      <c r="U4868">
        <f>IF($A4868="","",$R4868&amp;"("&amp;$E4868&amp;")")</f>
        <v/>
      </c>
      <c r="V4868">
        <f>IF($A4868="","",$F4868&amp;"|"&amp;$U4868&amp;"|"&amp;$D4868)</f>
        <v/>
      </c>
      <c r="W4868">
        <f>IF($T4868="","",IF($X4868&gt;N($X4867),$X4868,""))</f>
        <v/>
      </c>
      <c r="X4868">
        <f>IF($T4868="",N($X4867),IF(MATCH($T4868,$T$6:$T$6005,0)=ROW()-5,N($X4867)+1,N($X4867)))</f>
        <v/>
      </c>
      <c r="Z4868">
        <f>IF($V4868="","",IF($AA4868&gt;N($AA4867),$AA4868,""))</f>
        <v/>
      </c>
      <c r="AA4868">
        <f>IF($V4868="",N($AA4867),IF(MATCH($V4868,$V$6:$V$6005,0)=ROW()-5,N($AA4867)+1,N($AA4867)))</f>
        <v/>
      </c>
    </row>
    <row r="4869" ht="21" customHeight="1" s="66">
      <c r="A4869" s="56" t="n"/>
      <c r="B4869" s="57" t="n"/>
      <c r="C4869" s="57" t="n"/>
      <c r="D4869" s="57" t="n"/>
      <c r="E4869" s="56" t="n"/>
      <c r="F4869" s="57" t="n"/>
      <c r="G4869" s="57" t="n"/>
      <c r="H4869" s="56" t="n"/>
      <c r="I4869" s="56" t="n"/>
      <c r="J4869" s="58" t="n"/>
      <c r="K4869" s="58" t="n"/>
      <c r="L4869" s="13">
        <f>IF(OR($A4869="",AND($J4869="",$K4869="")),"",ROUND(N($J4869)-N($K4869),2))</f>
        <v/>
      </c>
      <c r="M4869" s="13">
        <f>IF(OR($A4869="",AND($J4869="",$K4869="")),"",MIN($J4869,$K4869))</f>
        <v/>
      </c>
      <c r="Q4869">
        <f>IF($A4869="","",$D4869&amp;"("&amp;SUBSTITUTE($E4869," ","")&amp;")")</f>
        <v/>
      </c>
      <c r="R4869">
        <f>IF($A4869="","",$B4869&amp;" - "&amp;$C4869)</f>
        <v/>
      </c>
      <c r="S4869">
        <f>IF($A4869="","",$R4869&amp;"|"&amp;$Q4869)</f>
        <v/>
      </c>
      <c r="T4869">
        <f>IF($A4869="","",$S4869&amp;"|"&amp;$F4869)</f>
        <v/>
      </c>
      <c r="U4869">
        <f>IF($A4869="","",$R4869&amp;"("&amp;$E4869&amp;")")</f>
        <v/>
      </c>
      <c r="V4869">
        <f>IF($A4869="","",$F4869&amp;"|"&amp;$U4869&amp;"|"&amp;$D4869)</f>
        <v/>
      </c>
      <c r="W4869">
        <f>IF($T4869="","",IF($X4869&gt;N($X4868),$X4869,""))</f>
        <v/>
      </c>
      <c r="X4869">
        <f>IF($T4869="",N($X4868),IF(MATCH($T4869,$T$6:$T$6005,0)=ROW()-5,N($X4868)+1,N($X4868)))</f>
        <v/>
      </c>
      <c r="Z4869">
        <f>IF($V4869="","",IF($AA4869&gt;N($AA4868),$AA4869,""))</f>
        <v/>
      </c>
      <c r="AA4869">
        <f>IF($V4869="",N($AA4868),IF(MATCH($V4869,$V$6:$V$6005,0)=ROW()-5,N($AA4868)+1,N($AA4868)))</f>
        <v/>
      </c>
    </row>
    <row r="4870" ht="21" customHeight="1" s="66">
      <c r="A4870" s="56" t="n"/>
      <c r="B4870" s="57" t="n"/>
      <c r="C4870" s="57" t="n"/>
      <c r="D4870" s="57" t="n"/>
      <c r="E4870" s="56" t="n"/>
      <c r="F4870" s="57" t="n"/>
      <c r="G4870" s="57" t="n"/>
      <c r="H4870" s="56" t="n"/>
      <c r="I4870" s="56" t="n"/>
      <c r="J4870" s="58" t="n"/>
      <c r="K4870" s="58" t="n"/>
      <c r="L4870" s="13">
        <f>IF(OR($A4870="",AND($J4870="",$K4870="")),"",ROUND(N($J4870)-N($K4870),2))</f>
        <v/>
      </c>
      <c r="M4870" s="13">
        <f>IF(OR($A4870="",AND($J4870="",$K4870="")),"",MIN($J4870,$K4870))</f>
        <v/>
      </c>
      <c r="Q4870">
        <f>IF($A4870="","",$D4870&amp;"("&amp;SUBSTITUTE($E4870," ","")&amp;")")</f>
        <v/>
      </c>
      <c r="R4870">
        <f>IF($A4870="","",$B4870&amp;" - "&amp;$C4870)</f>
        <v/>
      </c>
      <c r="S4870">
        <f>IF($A4870="","",$R4870&amp;"|"&amp;$Q4870)</f>
        <v/>
      </c>
      <c r="T4870">
        <f>IF($A4870="","",$S4870&amp;"|"&amp;$F4870)</f>
        <v/>
      </c>
      <c r="U4870">
        <f>IF($A4870="","",$R4870&amp;"("&amp;$E4870&amp;")")</f>
        <v/>
      </c>
      <c r="V4870">
        <f>IF($A4870="","",$F4870&amp;"|"&amp;$U4870&amp;"|"&amp;$D4870)</f>
        <v/>
      </c>
      <c r="W4870">
        <f>IF($T4870="","",IF($X4870&gt;N($X4869),$X4870,""))</f>
        <v/>
      </c>
      <c r="X4870">
        <f>IF($T4870="",N($X4869),IF(MATCH($T4870,$T$6:$T$6005,0)=ROW()-5,N($X4869)+1,N($X4869)))</f>
        <v/>
      </c>
      <c r="Z4870">
        <f>IF($V4870="","",IF($AA4870&gt;N($AA4869),$AA4870,""))</f>
        <v/>
      </c>
      <c r="AA4870">
        <f>IF($V4870="",N($AA4869),IF(MATCH($V4870,$V$6:$V$6005,0)=ROW()-5,N($AA4869)+1,N($AA4869)))</f>
        <v/>
      </c>
    </row>
    <row r="4871" ht="21" customHeight="1" s="66">
      <c r="A4871" s="56" t="n"/>
      <c r="B4871" s="57" t="n"/>
      <c r="C4871" s="57" t="n"/>
      <c r="D4871" s="57" t="n"/>
      <c r="E4871" s="56" t="n"/>
      <c r="F4871" s="57" t="n"/>
      <c r="G4871" s="57" t="n"/>
      <c r="H4871" s="56" t="n"/>
      <c r="I4871" s="56" t="n"/>
      <c r="J4871" s="58" t="n"/>
      <c r="K4871" s="58" t="n"/>
      <c r="L4871" s="13">
        <f>IF(OR($A4871="",AND($J4871="",$K4871="")),"",ROUND(N($J4871)-N($K4871),2))</f>
        <v/>
      </c>
      <c r="M4871" s="13">
        <f>IF(OR($A4871="",AND($J4871="",$K4871="")),"",MIN($J4871,$K4871))</f>
        <v/>
      </c>
      <c r="Q4871">
        <f>IF($A4871="","",$D4871&amp;"("&amp;SUBSTITUTE($E4871," ","")&amp;")")</f>
        <v/>
      </c>
      <c r="R4871">
        <f>IF($A4871="","",$B4871&amp;" - "&amp;$C4871)</f>
        <v/>
      </c>
      <c r="S4871">
        <f>IF($A4871="","",$R4871&amp;"|"&amp;$Q4871)</f>
        <v/>
      </c>
      <c r="T4871">
        <f>IF($A4871="","",$S4871&amp;"|"&amp;$F4871)</f>
        <v/>
      </c>
      <c r="U4871">
        <f>IF($A4871="","",$R4871&amp;"("&amp;$E4871&amp;")")</f>
        <v/>
      </c>
      <c r="V4871">
        <f>IF($A4871="","",$F4871&amp;"|"&amp;$U4871&amp;"|"&amp;$D4871)</f>
        <v/>
      </c>
      <c r="W4871">
        <f>IF($T4871="","",IF($X4871&gt;N($X4870),$X4871,""))</f>
        <v/>
      </c>
      <c r="X4871">
        <f>IF($T4871="",N($X4870),IF(MATCH($T4871,$T$6:$T$6005,0)=ROW()-5,N($X4870)+1,N($X4870)))</f>
        <v/>
      </c>
      <c r="Z4871">
        <f>IF($V4871="","",IF($AA4871&gt;N($AA4870),$AA4871,""))</f>
        <v/>
      </c>
      <c r="AA4871">
        <f>IF($V4871="",N($AA4870),IF(MATCH($V4871,$V$6:$V$6005,0)=ROW()-5,N($AA4870)+1,N($AA4870)))</f>
        <v/>
      </c>
    </row>
    <row r="4872" ht="21" customHeight="1" s="66">
      <c r="A4872" s="56" t="n"/>
      <c r="B4872" s="57" t="n"/>
      <c r="C4872" s="57" t="n"/>
      <c r="D4872" s="57" t="n"/>
      <c r="E4872" s="56" t="n"/>
      <c r="F4872" s="57" t="n"/>
      <c r="G4872" s="57" t="n"/>
      <c r="H4872" s="56" t="n"/>
      <c r="I4872" s="56" t="n"/>
      <c r="J4872" s="58" t="n"/>
      <c r="K4872" s="58" t="n"/>
      <c r="L4872" s="13">
        <f>IF(OR($A4872="",AND($J4872="",$K4872="")),"",ROUND(N($J4872)-N($K4872),2))</f>
        <v/>
      </c>
      <c r="M4872" s="13">
        <f>IF(OR($A4872="",AND($J4872="",$K4872="")),"",MIN($J4872,$K4872))</f>
        <v/>
      </c>
      <c r="Q4872">
        <f>IF($A4872="","",$D4872&amp;"("&amp;SUBSTITUTE($E4872," ","")&amp;")")</f>
        <v/>
      </c>
      <c r="R4872">
        <f>IF($A4872="","",$B4872&amp;" - "&amp;$C4872)</f>
        <v/>
      </c>
      <c r="S4872">
        <f>IF($A4872="","",$R4872&amp;"|"&amp;$Q4872)</f>
        <v/>
      </c>
      <c r="T4872">
        <f>IF($A4872="","",$S4872&amp;"|"&amp;$F4872)</f>
        <v/>
      </c>
      <c r="U4872">
        <f>IF($A4872="","",$R4872&amp;"("&amp;$E4872&amp;")")</f>
        <v/>
      </c>
      <c r="V4872">
        <f>IF($A4872="","",$F4872&amp;"|"&amp;$U4872&amp;"|"&amp;$D4872)</f>
        <v/>
      </c>
      <c r="W4872">
        <f>IF($T4872="","",IF($X4872&gt;N($X4871),$X4872,""))</f>
        <v/>
      </c>
      <c r="X4872">
        <f>IF($T4872="",N($X4871),IF(MATCH($T4872,$T$6:$T$6005,0)=ROW()-5,N($X4871)+1,N($X4871)))</f>
        <v/>
      </c>
      <c r="Z4872">
        <f>IF($V4872="","",IF($AA4872&gt;N($AA4871),$AA4872,""))</f>
        <v/>
      </c>
      <c r="AA4872">
        <f>IF($V4872="",N($AA4871),IF(MATCH($V4872,$V$6:$V$6005,0)=ROW()-5,N($AA4871)+1,N($AA4871)))</f>
        <v/>
      </c>
    </row>
    <row r="4873" ht="21" customHeight="1" s="66">
      <c r="A4873" s="56" t="n"/>
      <c r="B4873" s="57" t="n"/>
      <c r="C4873" s="57" t="n"/>
      <c r="D4873" s="57" t="n"/>
      <c r="E4873" s="56" t="n"/>
      <c r="F4873" s="57" t="n"/>
      <c r="G4873" s="57" t="n"/>
      <c r="H4873" s="56" t="n"/>
      <c r="I4873" s="56" t="n"/>
      <c r="J4873" s="58" t="n"/>
      <c r="K4873" s="58" t="n"/>
      <c r="L4873" s="13">
        <f>IF(OR($A4873="",AND($J4873="",$K4873="")),"",ROUND(N($J4873)-N($K4873),2))</f>
        <v/>
      </c>
      <c r="M4873" s="13">
        <f>IF(OR($A4873="",AND($J4873="",$K4873="")),"",MIN($J4873,$K4873))</f>
        <v/>
      </c>
      <c r="Q4873">
        <f>IF($A4873="","",$D4873&amp;"("&amp;SUBSTITUTE($E4873," ","")&amp;")")</f>
        <v/>
      </c>
      <c r="R4873">
        <f>IF($A4873="","",$B4873&amp;" - "&amp;$C4873)</f>
        <v/>
      </c>
      <c r="S4873">
        <f>IF($A4873="","",$R4873&amp;"|"&amp;$Q4873)</f>
        <v/>
      </c>
      <c r="T4873">
        <f>IF($A4873="","",$S4873&amp;"|"&amp;$F4873)</f>
        <v/>
      </c>
      <c r="U4873">
        <f>IF($A4873="","",$R4873&amp;"("&amp;$E4873&amp;")")</f>
        <v/>
      </c>
      <c r="V4873">
        <f>IF($A4873="","",$F4873&amp;"|"&amp;$U4873&amp;"|"&amp;$D4873)</f>
        <v/>
      </c>
      <c r="W4873">
        <f>IF($T4873="","",IF($X4873&gt;N($X4872),$X4873,""))</f>
        <v/>
      </c>
      <c r="X4873">
        <f>IF($T4873="",N($X4872),IF(MATCH($T4873,$T$6:$T$6005,0)=ROW()-5,N($X4872)+1,N($X4872)))</f>
        <v/>
      </c>
      <c r="Z4873">
        <f>IF($V4873="","",IF($AA4873&gt;N($AA4872),$AA4873,""))</f>
        <v/>
      </c>
      <c r="AA4873">
        <f>IF($V4873="",N($AA4872),IF(MATCH($V4873,$V$6:$V$6005,0)=ROW()-5,N($AA4872)+1,N($AA4872)))</f>
        <v/>
      </c>
    </row>
    <row r="4874" ht="21" customHeight="1" s="66">
      <c r="A4874" s="56" t="n"/>
      <c r="B4874" s="57" t="n"/>
      <c r="C4874" s="57" t="n"/>
      <c r="D4874" s="57" t="n"/>
      <c r="E4874" s="56" t="n"/>
      <c r="F4874" s="57" t="n"/>
      <c r="G4874" s="57" t="n"/>
      <c r="H4874" s="56" t="n"/>
      <c r="I4874" s="56" t="n"/>
      <c r="J4874" s="58" t="n"/>
      <c r="K4874" s="58" t="n"/>
      <c r="L4874" s="13">
        <f>IF(OR($A4874="",AND($J4874="",$K4874="")),"",ROUND(N($J4874)-N($K4874),2))</f>
        <v/>
      </c>
      <c r="M4874" s="13">
        <f>IF(OR($A4874="",AND($J4874="",$K4874="")),"",MIN($J4874,$K4874))</f>
        <v/>
      </c>
      <c r="Q4874">
        <f>IF($A4874="","",$D4874&amp;"("&amp;SUBSTITUTE($E4874," ","")&amp;")")</f>
        <v/>
      </c>
      <c r="R4874">
        <f>IF($A4874="","",$B4874&amp;" - "&amp;$C4874)</f>
        <v/>
      </c>
      <c r="S4874">
        <f>IF($A4874="","",$R4874&amp;"|"&amp;$Q4874)</f>
        <v/>
      </c>
      <c r="T4874">
        <f>IF($A4874="","",$S4874&amp;"|"&amp;$F4874)</f>
        <v/>
      </c>
      <c r="U4874">
        <f>IF($A4874="","",$R4874&amp;"("&amp;$E4874&amp;")")</f>
        <v/>
      </c>
      <c r="V4874">
        <f>IF($A4874="","",$F4874&amp;"|"&amp;$U4874&amp;"|"&amp;$D4874)</f>
        <v/>
      </c>
      <c r="W4874">
        <f>IF($T4874="","",IF($X4874&gt;N($X4873),$X4874,""))</f>
        <v/>
      </c>
      <c r="X4874">
        <f>IF($T4874="",N($X4873),IF(MATCH($T4874,$T$6:$T$6005,0)=ROW()-5,N($X4873)+1,N($X4873)))</f>
        <v/>
      </c>
      <c r="Z4874">
        <f>IF($V4874="","",IF($AA4874&gt;N($AA4873),$AA4874,""))</f>
        <v/>
      </c>
      <c r="AA4874">
        <f>IF($V4874="",N($AA4873),IF(MATCH($V4874,$V$6:$V$6005,0)=ROW()-5,N($AA4873)+1,N($AA4873)))</f>
        <v/>
      </c>
    </row>
    <row r="4875" ht="21" customHeight="1" s="66">
      <c r="A4875" s="56" t="n"/>
      <c r="B4875" s="57" t="n"/>
      <c r="C4875" s="57" t="n"/>
      <c r="D4875" s="57" t="n"/>
      <c r="E4875" s="56" t="n"/>
      <c r="F4875" s="57" t="n"/>
      <c r="G4875" s="57" t="n"/>
      <c r="H4875" s="56" t="n"/>
      <c r="I4875" s="56" t="n"/>
      <c r="J4875" s="58" t="n"/>
      <c r="K4875" s="58" t="n"/>
      <c r="L4875" s="13">
        <f>IF(OR($A4875="",AND($J4875="",$K4875="")),"",ROUND(N($J4875)-N($K4875),2))</f>
        <v/>
      </c>
      <c r="M4875" s="13">
        <f>IF(OR($A4875="",AND($J4875="",$K4875="")),"",MIN($J4875,$K4875))</f>
        <v/>
      </c>
      <c r="Q4875">
        <f>IF($A4875="","",$D4875&amp;"("&amp;SUBSTITUTE($E4875," ","")&amp;")")</f>
        <v/>
      </c>
      <c r="R4875">
        <f>IF($A4875="","",$B4875&amp;" - "&amp;$C4875)</f>
        <v/>
      </c>
      <c r="S4875">
        <f>IF($A4875="","",$R4875&amp;"|"&amp;$Q4875)</f>
        <v/>
      </c>
      <c r="T4875">
        <f>IF($A4875="","",$S4875&amp;"|"&amp;$F4875)</f>
        <v/>
      </c>
      <c r="U4875">
        <f>IF($A4875="","",$R4875&amp;"("&amp;$E4875&amp;")")</f>
        <v/>
      </c>
      <c r="V4875">
        <f>IF($A4875="","",$F4875&amp;"|"&amp;$U4875&amp;"|"&amp;$D4875)</f>
        <v/>
      </c>
      <c r="W4875">
        <f>IF($T4875="","",IF($X4875&gt;N($X4874),$X4875,""))</f>
        <v/>
      </c>
      <c r="X4875">
        <f>IF($T4875="",N($X4874),IF(MATCH($T4875,$T$6:$T$6005,0)=ROW()-5,N($X4874)+1,N($X4874)))</f>
        <v/>
      </c>
      <c r="Z4875">
        <f>IF($V4875="","",IF($AA4875&gt;N($AA4874),$AA4875,""))</f>
        <v/>
      </c>
      <c r="AA4875">
        <f>IF($V4875="",N($AA4874),IF(MATCH($V4875,$V$6:$V$6005,0)=ROW()-5,N($AA4874)+1,N($AA4874)))</f>
        <v/>
      </c>
    </row>
    <row r="4876" ht="21" customHeight="1" s="66">
      <c r="A4876" s="56" t="n"/>
      <c r="B4876" s="57" t="n"/>
      <c r="C4876" s="57" t="n"/>
      <c r="D4876" s="57" t="n"/>
      <c r="E4876" s="56" t="n"/>
      <c r="F4876" s="57" t="n"/>
      <c r="G4876" s="57" t="n"/>
      <c r="H4876" s="56" t="n"/>
      <c r="I4876" s="56" t="n"/>
      <c r="J4876" s="58" t="n"/>
      <c r="K4876" s="58" t="n"/>
      <c r="L4876" s="13">
        <f>IF(OR($A4876="",AND($J4876="",$K4876="")),"",ROUND(N($J4876)-N($K4876),2))</f>
        <v/>
      </c>
      <c r="M4876" s="13">
        <f>IF(OR($A4876="",AND($J4876="",$K4876="")),"",MIN($J4876,$K4876))</f>
        <v/>
      </c>
      <c r="Q4876">
        <f>IF($A4876="","",$D4876&amp;"("&amp;SUBSTITUTE($E4876," ","")&amp;")")</f>
        <v/>
      </c>
      <c r="R4876">
        <f>IF($A4876="","",$B4876&amp;" - "&amp;$C4876)</f>
        <v/>
      </c>
      <c r="S4876">
        <f>IF($A4876="","",$R4876&amp;"|"&amp;$Q4876)</f>
        <v/>
      </c>
      <c r="T4876">
        <f>IF($A4876="","",$S4876&amp;"|"&amp;$F4876)</f>
        <v/>
      </c>
      <c r="U4876">
        <f>IF($A4876="","",$R4876&amp;"("&amp;$E4876&amp;")")</f>
        <v/>
      </c>
      <c r="V4876">
        <f>IF($A4876="","",$F4876&amp;"|"&amp;$U4876&amp;"|"&amp;$D4876)</f>
        <v/>
      </c>
      <c r="W4876">
        <f>IF($T4876="","",IF($X4876&gt;N($X4875),$X4876,""))</f>
        <v/>
      </c>
      <c r="X4876">
        <f>IF($T4876="",N($X4875),IF(MATCH($T4876,$T$6:$T$6005,0)=ROW()-5,N($X4875)+1,N($X4875)))</f>
        <v/>
      </c>
      <c r="Z4876">
        <f>IF($V4876="","",IF($AA4876&gt;N($AA4875),$AA4876,""))</f>
        <v/>
      </c>
      <c r="AA4876">
        <f>IF($V4876="",N($AA4875),IF(MATCH($V4876,$V$6:$V$6005,0)=ROW()-5,N($AA4875)+1,N($AA4875)))</f>
        <v/>
      </c>
    </row>
    <row r="4877" ht="21" customHeight="1" s="66">
      <c r="A4877" s="56" t="n"/>
      <c r="B4877" s="57" t="n"/>
      <c r="C4877" s="57" t="n"/>
      <c r="D4877" s="57" t="n"/>
      <c r="E4877" s="56" t="n"/>
      <c r="F4877" s="57" t="n"/>
      <c r="G4877" s="57" t="n"/>
      <c r="H4877" s="56" t="n"/>
      <c r="I4877" s="56" t="n"/>
      <c r="J4877" s="58" t="n"/>
      <c r="K4877" s="58" t="n"/>
      <c r="L4877" s="13">
        <f>IF(OR($A4877="",AND($J4877="",$K4877="")),"",ROUND(N($J4877)-N($K4877),2))</f>
        <v/>
      </c>
      <c r="M4877" s="13">
        <f>IF(OR($A4877="",AND($J4877="",$K4877="")),"",MIN($J4877,$K4877))</f>
        <v/>
      </c>
      <c r="Q4877">
        <f>IF($A4877="","",$D4877&amp;"("&amp;SUBSTITUTE($E4877," ","")&amp;")")</f>
        <v/>
      </c>
      <c r="R4877">
        <f>IF($A4877="","",$B4877&amp;" - "&amp;$C4877)</f>
        <v/>
      </c>
      <c r="S4877">
        <f>IF($A4877="","",$R4877&amp;"|"&amp;$Q4877)</f>
        <v/>
      </c>
      <c r="T4877">
        <f>IF($A4877="","",$S4877&amp;"|"&amp;$F4877)</f>
        <v/>
      </c>
      <c r="U4877">
        <f>IF($A4877="","",$R4877&amp;"("&amp;$E4877&amp;")")</f>
        <v/>
      </c>
      <c r="V4877">
        <f>IF($A4877="","",$F4877&amp;"|"&amp;$U4877&amp;"|"&amp;$D4877)</f>
        <v/>
      </c>
      <c r="W4877">
        <f>IF($T4877="","",IF($X4877&gt;N($X4876),$X4877,""))</f>
        <v/>
      </c>
      <c r="X4877">
        <f>IF($T4877="",N($X4876),IF(MATCH($T4877,$T$6:$T$6005,0)=ROW()-5,N($X4876)+1,N($X4876)))</f>
        <v/>
      </c>
      <c r="Z4877">
        <f>IF($V4877="","",IF($AA4877&gt;N($AA4876),$AA4877,""))</f>
        <v/>
      </c>
      <c r="AA4877">
        <f>IF($V4877="",N($AA4876),IF(MATCH($V4877,$V$6:$V$6005,0)=ROW()-5,N($AA4876)+1,N($AA4876)))</f>
        <v/>
      </c>
    </row>
    <row r="4878" ht="21" customHeight="1" s="66">
      <c r="A4878" s="56" t="n"/>
      <c r="B4878" s="57" t="n"/>
      <c r="C4878" s="57" t="n"/>
      <c r="D4878" s="57" t="n"/>
      <c r="E4878" s="56" t="n"/>
      <c r="F4878" s="57" t="n"/>
      <c r="G4878" s="57" t="n"/>
      <c r="H4878" s="56" t="n"/>
      <c r="I4878" s="56" t="n"/>
      <c r="J4878" s="58" t="n"/>
      <c r="K4878" s="58" t="n"/>
      <c r="L4878" s="13">
        <f>IF(OR($A4878="",AND($J4878="",$K4878="")),"",ROUND(N($J4878)-N($K4878),2))</f>
        <v/>
      </c>
      <c r="M4878" s="13">
        <f>IF(OR($A4878="",AND($J4878="",$K4878="")),"",MIN($J4878,$K4878))</f>
        <v/>
      </c>
      <c r="Q4878">
        <f>IF($A4878="","",$D4878&amp;"("&amp;SUBSTITUTE($E4878," ","")&amp;")")</f>
        <v/>
      </c>
      <c r="R4878">
        <f>IF($A4878="","",$B4878&amp;" - "&amp;$C4878)</f>
        <v/>
      </c>
      <c r="S4878">
        <f>IF($A4878="","",$R4878&amp;"|"&amp;$Q4878)</f>
        <v/>
      </c>
      <c r="T4878">
        <f>IF($A4878="","",$S4878&amp;"|"&amp;$F4878)</f>
        <v/>
      </c>
      <c r="U4878">
        <f>IF($A4878="","",$R4878&amp;"("&amp;$E4878&amp;")")</f>
        <v/>
      </c>
      <c r="V4878">
        <f>IF($A4878="","",$F4878&amp;"|"&amp;$U4878&amp;"|"&amp;$D4878)</f>
        <v/>
      </c>
      <c r="W4878">
        <f>IF($T4878="","",IF($X4878&gt;N($X4877),$X4878,""))</f>
        <v/>
      </c>
      <c r="X4878">
        <f>IF($T4878="",N($X4877),IF(MATCH($T4878,$T$6:$T$6005,0)=ROW()-5,N($X4877)+1,N($X4877)))</f>
        <v/>
      </c>
      <c r="Z4878">
        <f>IF($V4878="","",IF($AA4878&gt;N($AA4877),$AA4878,""))</f>
        <v/>
      </c>
      <c r="AA4878">
        <f>IF($V4878="",N($AA4877),IF(MATCH($V4878,$V$6:$V$6005,0)=ROW()-5,N($AA4877)+1,N($AA4877)))</f>
        <v/>
      </c>
    </row>
    <row r="4879" ht="21" customHeight="1" s="66">
      <c r="A4879" s="56" t="n"/>
      <c r="B4879" s="57" t="n"/>
      <c r="C4879" s="57" t="n"/>
      <c r="D4879" s="57" t="n"/>
      <c r="E4879" s="56" t="n"/>
      <c r="F4879" s="57" t="n"/>
      <c r="G4879" s="57" t="n"/>
      <c r="H4879" s="56" t="n"/>
      <c r="I4879" s="56" t="n"/>
      <c r="J4879" s="58" t="n"/>
      <c r="K4879" s="58" t="n"/>
      <c r="L4879" s="13">
        <f>IF(OR($A4879="",AND($J4879="",$K4879="")),"",ROUND(N($J4879)-N($K4879),2))</f>
        <v/>
      </c>
      <c r="M4879" s="13">
        <f>IF(OR($A4879="",AND($J4879="",$K4879="")),"",MIN($J4879,$K4879))</f>
        <v/>
      </c>
      <c r="Q4879">
        <f>IF($A4879="","",$D4879&amp;"("&amp;SUBSTITUTE($E4879," ","")&amp;")")</f>
        <v/>
      </c>
      <c r="R4879">
        <f>IF($A4879="","",$B4879&amp;" - "&amp;$C4879)</f>
        <v/>
      </c>
      <c r="S4879">
        <f>IF($A4879="","",$R4879&amp;"|"&amp;$Q4879)</f>
        <v/>
      </c>
      <c r="T4879">
        <f>IF($A4879="","",$S4879&amp;"|"&amp;$F4879)</f>
        <v/>
      </c>
      <c r="U4879">
        <f>IF($A4879="","",$R4879&amp;"("&amp;$E4879&amp;")")</f>
        <v/>
      </c>
      <c r="V4879">
        <f>IF($A4879="","",$F4879&amp;"|"&amp;$U4879&amp;"|"&amp;$D4879)</f>
        <v/>
      </c>
      <c r="W4879">
        <f>IF($T4879="","",IF($X4879&gt;N($X4878),$X4879,""))</f>
        <v/>
      </c>
      <c r="X4879">
        <f>IF($T4879="",N($X4878),IF(MATCH($T4879,$T$6:$T$6005,0)=ROW()-5,N($X4878)+1,N($X4878)))</f>
        <v/>
      </c>
      <c r="Z4879">
        <f>IF($V4879="","",IF($AA4879&gt;N($AA4878),$AA4879,""))</f>
        <v/>
      </c>
      <c r="AA4879">
        <f>IF($V4879="",N($AA4878),IF(MATCH($V4879,$V$6:$V$6005,0)=ROW()-5,N($AA4878)+1,N($AA4878)))</f>
        <v/>
      </c>
    </row>
    <row r="4880" ht="21" customHeight="1" s="66">
      <c r="A4880" s="56" t="n"/>
      <c r="B4880" s="57" t="n"/>
      <c r="C4880" s="57" t="n"/>
      <c r="D4880" s="57" t="n"/>
      <c r="E4880" s="56" t="n"/>
      <c r="F4880" s="57" t="n"/>
      <c r="G4880" s="57" t="n"/>
      <c r="H4880" s="56" t="n"/>
      <c r="I4880" s="56" t="n"/>
      <c r="J4880" s="58" t="n"/>
      <c r="K4880" s="58" t="n"/>
      <c r="L4880" s="13">
        <f>IF(OR($A4880="",AND($J4880="",$K4880="")),"",ROUND(N($J4880)-N($K4880),2))</f>
        <v/>
      </c>
      <c r="M4880" s="13">
        <f>IF(OR($A4880="",AND($J4880="",$K4880="")),"",MIN($J4880,$K4880))</f>
        <v/>
      </c>
      <c r="Q4880">
        <f>IF($A4880="","",$D4880&amp;"("&amp;SUBSTITUTE($E4880," ","")&amp;")")</f>
        <v/>
      </c>
      <c r="R4880">
        <f>IF($A4880="","",$B4880&amp;" - "&amp;$C4880)</f>
        <v/>
      </c>
      <c r="S4880">
        <f>IF($A4880="","",$R4880&amp;"|"&amp;$Q4880)</f>
        <v/>
      </c>
      <c r="T4880">
        <f>IF($A4880="","",$S4880&amp;"|"&amp;$F4880)</f>
        <v/>
      </c>
      <c r="U4880">
        <f>IF($A4880="","",$R4880&amp;"("&amp;$E4880&amp;")")</f>
        <v/>
      </c>
      <c r="V4880">
        <f>IF($A4880="","",$F4880&amp;"|"&amp;$U4880&amp;"|"&amp;$D4880)</f>
        <v/>
      </c>
      <c r="W4880">
        <f>IF($T4880="","",IF($X4880&gt;N($X4879),$X4880,""))</f>
        <v/>
      </c>
      <c r="X4880">
        <f>IF($T4880="",N($X4879),IF(MATCH($T4880,$T$6:$T$6005,0)=ROW()-5,N($X4879)+1,N($X4879)))</f>
        <v/>
      </c>
      <c r="Z4880">
        <f>IF($V4880="","",IF($AA4880&gt;N($AA4879),$AA4880,""))</f>
        <v/>
      </c>
      <c r="AA4880">
        <f>IF($V4880="",N($AA4879),IF(MATCH($V4880,$V$6:$V$6005,0)=ROW()-5,N($AA4879)+1,N($AA4879)))</f>
        <v/>
      </c>
    </row>
    <row r="4881" ht="21" customHeight="1" s="66">
      <c r="A4881" s="56" t="n"/>
      <c r="B4881" s="57" t="n"/>
      <c r="C4881" s="57" t="n"/>
      <c r="D4881" s="57" t="n"/>
      <c r="E4881" s="56" t="n"/>
      <c r="F4881" s="57" t="n"/>
      <c r="G4881" s="57" t="n"/>
      <c r="H4881" s="56" t="n"/>
      <c r="I4881" s="56" t="n"/>
      <c r="J4881" s="58" t="n"/>
      <c r="K4881" s="58" t="n"/>
      <c r="L4881" s="13">
        <f>IF(OR($A4881="",AND($J4881="",$K4881="")),"",ROUND(N($J4881)-N($K4881),2))</f>
        <v/>
      </c>
      <c r="M4881" s="13">
        <f>IF(OR($A4881="",AND($J4881="",$K4881="")),"",MIN($J4881,$K4881))</f>
        <v/>
      </c>
      <c r="Q4881">
        <f>IF($A4881="","",$D4881&amp;"("&amp;SUBSTITUTE($E4881," ","")&amp;")")</f>
        <v/>
      </c>
      <c r="R4881">
        <f>IF($A4881="","",$B4881&amp;" - "&amp;$C4881)</f>
        <v/>
      </c>
      <c r="S4881">
        <f>IF($A4881="","",$R4881&amp;"|"&amp;$Q4881)</f>
        <v/>
      </c>
      <c r="T4881">
        <f>IF($A4881="","",$S4881&amp;"|"&amp;$F4881)</f>
        <v/>
      </c>
      <c r="U4881">
        <f>IF($A4881="","",$R4881&amp;"("&amp;$E4881&amp;")")</f>
        <v/>
      </c>
      <c r="V4881">
        <f>IF($A4881="","",$F4881&amp;"|"&amp;$U4881&amp;"|"&amp;$D4881)</f>
        <v/>
      </c>
      <c r="W4881">
        <f>IF($T4881="","",IF($X4881&gt;N($X4880),$X4881,""))</f>
        <v/>
      </c>
      <c r="X4881">
        <f>IF($T4881="",N($X4880),IF(MATCH($T4881,$T$6:$T$6005,0)=ROW()-5,N($X4880)+1,N($X4880)))</f>
        <v/>
      </c>
      <c r="Z4881">
        <f>IF($V4881="","",IF($AA4881&gt;N($AA4880),$AA4881,""))</f>
        <v/>
      </c>
      <c r="AA4881">
        <f>IF($V4881="",N($AA4880),IF(MATCH($V4881,$V$6:$V$6005,0)=ROW()-5,N($AA4880)+1,N($AA4880)))</f>
        <v/>
      </c>
    </row>
    <row r="4882" ht="21" customHeight="1" s="66">
      <c r="A4882" s="56" t="n"/>
      <c r="B4882" s="57" t="n"/>
      <c r="C4882" s="57" t="n"/>
      <c r="D4882" s="57" t="n"/>
      <c r="E4882" s="56" t="n"/>
      <c r="F4882" s="57" t="n"/>
      <c r="G4882" s="57" t="n"/>
      <c r="H4882" s="56" t="n"/>
      <c r="I4882" s="56" t="n"/>
      <c r="J4882" s="58" t="n"/>
      <c r="K4882" s="58" t="n"/>
      <c r="L4882" s="13">
        <f>IF(OR($A4882="",AND($J4882="",$K4882="")),"",ROUND(N($J4882)-N($K4882),2))</f>
        <v/>
      </c>
      <c r="M4882" s="13">
        <f>IF(OR($A4882="",AND($J4882="",$K4882="")),"",MIN($J4882,$K4882))</f>
        <v/>
      </c>
      <c r="Q4882">
        <f>IF($A4882="","",$D4882&amp;"("&amp;SUBSTITUTE($E4882," ","")&amp;")")</f>
        <v/>
      </c>
      <c r="R4882">
        <f>IF($A4882="","",$B4882&amp;" - "&amp;$C4882)</f>
        <v/>
      </c>
      <c r="S4882">
        <f>IF($A4882="","",$R4882&amp;"|"&amp;$Q4882)</f>
        <v/>
      </c>
      <c r="T4882">
        <f>IF($A4882="","",$S4882&amp;"|"&amp;$F4882)</f>
        <v/>
      </c>
      <c r="U4882">
        <f>IF($A4882="","",$R4882&amp;"("&amp;$E4882&amp;")")</f>
        <v/>
      </c>
      <c r="V4882">
        <f>IF($A4882="","",$F4882&amp;"|"&amp;$U4882&amp;"|"&amp;$D4882)</f>
        <v/>
      </c>
      <c r="W4882">
        <f>IF($T4882="","",IF($X4882&gt;N($X4881),$X4882,""))</f>
        <v/>
      </c>
      <c r="X4882">
        <f>IF($T4882="",N($X4881),IF(MATCH($T4882,$T$6:$T$6005,0)=ROW()-5,N($X4881)+1,N($X4881)))</f>
        <v/>
      </c>
      <c r="Z4882">
        <f>IF($V4882="","",IF($AA4882&gt;N($AA4881),$AA4882,""))</f>
        <v/>
      </c>
      <c r="AA4882">
        <f>IF($V4882="",N($AA4881),IF(MATCH($V4882,$V$6:$V$6005,0)=ROW()-5,N($AA4881)+1,N($AA4881)))</f>
        <v/>
      </c>
    </row>
    <row r="4883" ht="21" customHeight="1" s="66">
      <c r="A4883" s="56" t="n"/>
      <c r="B4883" s="57" t="n"/>
      <c r="C4883" s="57" t="n"/>
      <c r="D4883" s="57" t="n"/>
      <c r="E4883" s="56" t="n"/>
      <c r="F4883" s="57" t="n"/>
      <c r="G4883" s="57" t="n"/>
      <c r="H4883" s="56" t="n"/>
      <c r="I4883" s="56" t="n"/>
      <c r="J4883" s="58" t="n"/>
      <c r="K4883" s="58" t="n"/>
      <c r="L4883" s="13">
        <f>IF(OR($A4883="",AND($J4883="",$K4883="")),"",ROUND(N($J4883)-N($K4883),2))</f>
        <v/>
      </c>
      <c r="M4883" s="13">
        <f>IF(OR($A4883="",AND($J4883="",$K4883="")),"",MIN($J4883,$K4883))</f>
        <v/>
      </c>
      <c r="Q4883">
        <f>IF($A4883="","",$D4883&amp;"("&amp;SUBSTITUTE($E4883," ","")&amp;")")</f>
        <v/>
      </c>
      <c r="R4883">
        <f>IF($A4883="","",$B4883&amp;" - "&amp;$C4883)</f>
        <v/>
      </c>
      <c r="S4883">
        <f>IF($A4883="","",$R4883&amp;"|"&amp;$Q4883)</f>
        <v/>
      </c>
      <c r="T4883">
        <f>IF($A4883="","",$S4883&amp;"|"&amp;$F4883)</f>
        <v/>
      </c>
      <c r="U4883">
        <f>IF($A4883="","",$R4883&amp;"("&amp;$E4883&amp;")")</f>
        <v/>
      </c>
      <c r="V4883">
        <f>IF($A4883="","",$F4883&amp;"|"&amp;$U4883&amp;"|"&amp;$D4883)</f>
        <v/>
      </c>
      <c r="W4883">
        <f>IF($T4883="","",IF($X4883&gt;N($X4882),$X4883,""))</f>
        <v/>
      </c>
      <c r="X4883">
        <f>IF($T4883="",N($X4882),IF(MATCH($T4883,$T$6:$T$6005,0)=ROW()-5,N($X4882)+1,N($X4882)))</f>
        <v/>
      </c>
      <c r="Z4883">
        <f>IF($V4883="","",IF($AA4883&gt;N($AA4882),$AA4883,""))</f>
        <v/>
      </c>
      <c r="AA4883">
        <f>IF($V4883="",N($AA4882),IF(MATCH($V4883,$V$6:$V$6005,0)=ROW()-5,N($AA4882)+1,N($AA4882)))</f>
        <v/>
      </c>
    </row>
    <row r="4884" ht="21" customHeight="1" s="66">
      <c r="A4884" s="56" t="n"/>
      <c r="B4884" s="57" t="n"/>
      <c r="C4884" s="57" t="n"/>
      <c r="D4884" s="57" t="n"/>
      <c r="E4884" s="56" t="n"/>
      <c r="F4884" s="57" t="n"/>
      <c r="G4884" s="57" t="n"/>
      <c r="H4884" s="56" t="n"/>
      <c r="I4884" s="56" t="n"/>
      <c r="J4884" s="58" t="n"/>
      <c r="K4884" s="58" t="n"/>
      <c r="L4884" s="13">
        <f>IF(OR($A4884="",AND($J4884="",$K4884="")),"",ROUND(N($J4884)-N($K4884),2))</f>
        <v/>
      </c>
      <c r="M4884" s="13">
        <f>IF(OR($A4884="",AND($J4884="",$K4884="")),"",MIN($J4884,$K4884))</f>
        <v/>
      </c>
      <c r="Q4884">
        <f>IF($A4884="","",$D4884&amp;"("&amp;SUBSTITUTE($E4884," ","")&amp;")")</f>
        <v/>
      </c>
      <c r="R4884">
        <f>IF($A4884="","",$B4884&amp;" - "&amp;$C4884)</f>
        <v/>
      </c>
      <c r="S4884">
        <f>IF($A4884="","",$R4884&amp;"|"&amp;$Q4884)</f>
        <v/>
      </c>
      <c r="T4884">
        <f>IF($A4884="","",$S4884&amp;"|"&amp;$F4884)</f>
        <v/>
      </c>
      <c r="U4884">
        <f>IF($A4884="","",$R4884&amp;"("&amp;$E4884&amp;")")</f>
        <v/>
      </c>
      <c r="V4884">
        <f>IF($A4884="","",$F4884&amp;"|"&amp;$U4884&amp;"|"&amp;$D4884)</f>
        <v/>
      </c>
      <c r="W4884">
        <f>IF($T4884="","",IF($X4884&gt;N($X4883),$X4884,""))</f>
        <v/>
      </c>
      <c r="X4884">
        <f>IF($T4884="",N($X4883),IF(MATCH($T4884,$T$6:$T$6005,0)=ROW()-5,N($X4883)+1,N($X4883)))</f>
        <v/>
      </c>
      <c r="Z4884">
        <f>IF($V4884="","",IF($AA4884&gt;N($AA4883),$AA4884,""))</f>
        <v/>
      </c>
      <c r="AA4884">
        <f>IF($V4884="",N($AA4883),IF(MATCH($V4884,$V$6:$V$6005,0)=ROW()-5,N($AA4883)+1,N($AA4883)))</f>
        <v/>
      </c>
    </row>
    <row r="4885" ht="21" customHeight="1" s="66">
      <c r="A4885" s="56" t="n"/>
      <c r="B4885" s="57" t="n"/>
      <c r="C4885" s="57" t="n"/>
      <c r="D4885" s="57" t="n"/>
      <c r="E4885" s="56" t="n"/>
      <c r="F4885" s="57" t="n"/>
      <c r="G4885" s="57" t="n"/>
      <c r="H4885" s="56" t="n"/>
      <c r="I4885" s="56" t="n"/>
      <c r="J4885" s="58" t="n"/>
      <c r="K4885" s="58" t="n"/>
      <c r="L4885" s="13">
        <f>IF(OR($A4885="",AND($J4885="",$K4885="")),"",ROUND(N($J4885)-N($K4885),2))</f>
        <v/>
      </c>
      <c r="M4885" s="13">
        <f>IF(OR($A4885="",AND($J4885="",$K4885="")),"",MIN($J4885,$K4885))</f>
        <v/>
      </c>
      <c r="Q4885">
        <f>IF($A4885="","",$D4885&amp;"("&amp;SUBSTITUTE($E4885," ","")&amp;")")</f>
        <v/>
      </c>
      <c r="R4885">
        <f>IF($A4885="","",$B4885&amp;" - "&amp;$C4885)</f>
        <v/>
      </c>
      <c r="S4885">
        <f>IF($A4885="","",$R4885&amp;"|"&amp;$Q4885)</f>
        <v/>
      </c>
      <c r="T4885">
        <f>IF($A4885="","",$S4885&amp;"|"&amp;$F4885)</f>
        <v/>
      </c>
      <c r="U4885">
        <f>IF($A4885="","",$R4885&amp;"("&amp;$E4885&amp;")")</f>
        <v/>
      </c>
      <c r="V4885">
        <f>IF($A4885="","",$F4885&amp;"|"&amp;$U4885&amp;"|"&amp;$D4885)</f>
        <v/>
      </c>
      <c r="W4885">
        <f>IF($T4885="","",IF($X4885&gt;N($X4884),$X4885,""))</f>
        <v/>
      </c>
      <c r="X4885">
        <f>IF($T4885="",N($X4884),IF(MATCH($T4885,$T$6:$T$6005,0)=ROW()-5,N($X4884)+1,N($X4884)))</f>
        <v/>
      </c>
      <c r="Z4885">
        <f>IF($V4885="","",IF($AA4885&gt;N($AA4884),$AA4885,""))</f>
        <v/>
      </c>
      <c r="AA4885">
        <f>IF($V4885="",N($AA4884),IF(MATCH($V4885,$V$6:$V$6005,0)=ROW()-5,N($AA4884)+1,N($AA4884)))</f>
        <v/>
      </c>
    </row>
    <row r="4886" ht="21" customHeight="1" s="66">
      <c r="A4886" s="56" t="n"/>
      <c r="B4886" s="57" t="n"/>
      <c r="C4886" s="57" t="n"/>
      <c r="D4886" s="57" t="n"/>
      <c r="E4886" s="56" t="n"/>
      <c r="F4886" s="57" t="n"/>
      <c r="G4886" s="57" t="n"/>
      <c r="H4886" s="56" t="n"/>
      <c r="I4886" s="56" t="n"/>
      <c r="J4886" s="58" t="n"/>
      <c r="K4886" s="58" t="n"/>
      <c r="L4886" s="13">
        <f>IF(OR($A4886="",AND($J4886="",$K4886="")),"",ROUND(N($J4886)-N($K4886),2))</f>
        <v/>
      </c>
      <c r="M4886" s="13">
        <f>IF(OR($A4886="",AND($J4886="",$K4886="")),"",MIN($J4886,$K4886))</f>
        <v/>
      </c>
      <c r="Q4886">
        <f>IF($A4886="","",$D4886&amp;"("&amp;SUBSTITUTE($E4886," ","")&amp;")")</f>
        <v/>
      </c>
      <c r="R4886">
        <f>IF($A4886="","",$B4886&amp;" - "&amp;$C4886)</f>
        <v/>
      </c>
      <c r="S4886">
        <f>IF($A4886="","",$R4886&amp;"|"&amp;$Q4886)</f>
        <v/>
      </c>
      <c r="T4886">
        <f>IF($A4886="","",$S4886&amp;"|"&amp;$F4886)</f>
        <v/>
      </c>
      <c r="U4886">
        <f>IF($A4886="","",$R4886&amp;"("&amp;$E4886&amp;")")</f>
        <v/>
      </c>
      <c r="V4886">
        <f>IF($A4886="","",$F4886&amp;"|"&amp;$U4886&amp;"|"&amp;$D4886)</f>
        <v/>
      </c>
      <c r="W4886">
        <f>IF($T4886="","",IF($X4886&gt;N($X4885),$X4886,""))</f>
        <v/>
      </c>
      <c r="X4886">
        <f>IF($T4886="",N($X4885),IF(MATCH($T4886,$T$6:$T$6005,0)=ROW()-5,N($X4885)+1,N($X4885)))</f>
        <v/>
      </c>
      <c r="Z4886">
        <f>IF($V4886="","",IF($AA4886&gt;N($AA4885),$AA4886,""))</f>
        <v/>
      </c>
      <c r="AA4886">
        <f>IF($V4886="",N($AA4885),IF(MATCH($V4886,$V$6:$V$6005,0)=ROW()-5,N($AA4885)+1,N($AA4885)))</f>
        <v/>
      </c>
    </row>
    <row r="4887" ht="21" customHeight="1" s="66">
      <c r="A4887" s="56" t="n"/>
      <c r="B4887" s="57" t="n"/>
      <c r="C4887" s="57" t="n"/>
      <c r="D4887" s="57" t="n"/>
      <c r="E4887" s="56" t="n"/>
      <c r="F4887" s="57" t="n"/>
      <c r="G4887" s="57" t="n"/>
      <c r="H4887" s="56" t="n"/>
      <c r="I4887" s="56" t="n"/>
      <c r="J4887" s="58" t="n"/>
      <c r="K4887" s="58" t="n"/>
      <c r="L4887" s="13">
        <f>IF(OR($A4887="",AND($J4887="",$K4887="")),"",ROUND(N($J4887)-N($K4887),2))</f>
        <v/>
      </c>
      <c r="M4887" s="13">
        <f>IF(OR($A4887="",AND($J4887="",$K4887="")),"",MIN($J4887,$K4887))</f>
        <v/>
      </c>
      <c r="Q4887">
        <f>IF($A4887="","",$D4887&amp;"("&amp;SUBSTITUTE($E4887," ","")&amp;")")</f>
        <v/>
      </c>
      <c r="R4887">
        <f>IF($A4887="","",$B4887&amp;" - "&amp;$C4887)</f>
        <v/>
      </c>
      <c r="S4887">
        <f>IF($A4887="","",$R4887&amp;"|"&amp;$Q4887)</f>
        <v/>
      </c>
      <c r="T4887">
        <f>IF($A4887="","",$S4887&amp;"|"&amp;$F4887)</f>
        <v/>
      </c>
      <c r="U4887">
        <f>IF($A4887="","",$R4887&amp;"("&amp;$E4887&amp;")")</f>
        <v/>
      </c>
      <c r="V4887">
        <f>IF($A4887="","",$F4887&amp;"|"&amp;$U4887&amp;"|"&amp;$D4887)</f>
        <v/>
      </c>
      <c r="W4887">
        <f>IF($T4887="","",IF($X4887&gt;N($X4886),$X4887,""))</f>
        <v/>
      </c>
      <c r="X4887">
        <f>IF($T4887="",N($X4886),IF(MATCH($T4887,$T$6:$T$6005,0)=ROW()-5,N($X4886)+1,N($X4886)))</f>
        <v/>
      </c>
      <c r="Z4887">
        <f>IF($V4887="","",IF($AA4887&gt;N($AA4886),$AA4887,""))</f>
        <v/>
      </c>
      <c r="AA4887">
        <f>IF($V4887="",N($AA4886),IF(MATCH($V4887,$V$6:$V$6005,0)=ROW()-5,N($AA4886)+1,N($AA4886)))</f>
        <v/>
      </c>
    </row>
    <row r="4888" ht="21" customHeight="1" s="66">
      <c r="A4888" s="56" t="n"/>
      <c r="B4888" s="57" t="n"/>
      <c r="C4888" s="57" t="n"/>
      <c r="D4888" s="57" t="n"/>
      <c r="E4888" s="56" t="n"/>
      <c r="F4888" s="57" t="n"/>
      <c r="G4888" s="57" t="n"/>
      <c r="H4888" s="56" t="n"/>
      <c r="I4888" s="56" t="n"/>
      <c r="J4888" s="58" t="n"/>
      <c r="K4888" s="58" t="n"/>
      <c r="L4888" s="13">
        <f>IF(OR($A4888="",AND($J4888="",$K4888="")),"",ROUND(N($J4888)-N($K4888),2))</f>
        <v/>
      </c>
      <c r="M4888" s="13">
        <f>IF(OR($A4888="",AND($J4888="",$K4888="")),"",MIN($J4888,$K4888))</f>
        <v/>
      </c>
      <c r="Q4888">
        <f>IF($A4888="","",$D4888&amp;"("&amp;SUBSTITUTE($E4888," ","")&amp;")")</f>
        <v/>
      </c>
      <c r="R4888">
        <f>IF($A4888="","",$B4888&amp;" - "&amp;$C4888)</f>
        <v/>
      </c>
      <c r="S4888">
        <f>IF($A4888="","",$R4888&amp;"|"&amp;$Q4888)</f>
        <v/>
      </c>
      <c r="T4888">
        <f>IF($A4888="","",$S4888&amp;"|"&amp;$F4888)</f>
        <v/>
      </c>
      <c r="U4888">
        <f>IF($A4888="","",$R4888&amp;"("&amp;$E4888&amp;")")</f>
        <v/>
      </c>
      <c r="V4888">
        <f>IF($A4888="","",$F4888&amp;"|"&amp;$U4888&amp;"|"&amp;$D4888)</f>
        <v/>
      </c>
      <c r="W4888">
        <f>IF($T4888="","",IF($X4888&gt;N($X4887),$X4888,""))</f>
        <v/>
      </c>
      <c r="X4888">
        <f>IF($T4888="",N($X4887),IF(MATCH($T4888,$T$6:$T$6005,0)=ROW()-5,N($X4887)+1,N($X4887)))</f>
        <v/>
      </c>
      <c r="Z4888">
        <f>IF($V4888="","",IF($AA4888&gt;N($AA4887),$AA4888,""))</f>
        <v/>
      </c>
      <c r="AA4888">
        <f>IF($V4888="",N($AA4887),IF(MATCH($V4888,$V$6:$V$6005,0)=ROW()-5,N($AA4887)+1,N($AA4887)))</f>
        <v/>
      </c>
    </row>
    <row r="4889" ht="21" customHeight="1" s="66">
      <c r="A4889" s="56" t="n"/>
      <c r="B4889" s="57" t="n"/>
      <c r="C4889" s="57" t="n"/>
      <c r="D4889" s="57" t="n"/>
      <c r="E4889" s="56" t="n"/>
      <c r="F4889" s="57" t="n"/>
      <c r="G4889" s="57" t="n"/>
      <c r="H4889" s="56" t="n"/>
      <c r="I4889" s="56" t="n"/>
      <c r="J4889" s="58" t="n"/>
      <c r="K4889" s="58" t="n"/>
      <c r="L4889" s="13">
        <f>IF(OR($A4889="",AND($J4889="",$K4889="")),"",ROUND(N($J4889)-N($K4889),2))</f>
        <v/>
      </c>
      <c r="M4889" s="13">
        <f>IF(OR($A4889="",AND($J4889="",$K4889="")),"",MIN($J4889,$K4889))</f>
        <v/>
      </c>
      <c r="Q4889">
        <f>IF($A4889="","",$D4889&amp;"("&amp;SUBSTITUTE($E4889," ","")&amp;")")</f>
        <v/>
      </c>
      <c r="R4889">
        <f>IF($A4889="","",$B4889&amp;" - "&amp;$C4889)</f>
        <v/>
      </c>
      <c r="S4889">
        <f>IF($A4889="","",$R4889&amp;"|"&amp;$Q4889)</f>
        <v/>
      </c>
      <c r="T4889">
        <f>IF($A4889="","",$S4889&amp;"|"&amp;$F4889)</f>
        <v/>
      </c>
      <c r="U4889">
        <f>IF($A4889="","",$R4889&amp;"("&amp;$E4889&amp;")")</f>
        <v/>
      </c>
      <c r="V4889">
        <f>IF($A4889="","",$F4889&amp;"|"&amp;$U4889&amp;"|"&amp;$D4889)</f>
        <v/>
      </c>
      <c r="W4889">
        <f>IF($T4889="","",IF($X4889&gt;N($X4888),$X4889,""))</f>
        <v/>
      </c>
      <c r="X4889">
        <f>IF($T4889="",N($X4888),IF(MATCH($T4889,$T$6:$T$6005,0)=ROW()-5,N($X4888)+1,N($X4888)))</f>
        <v/>
      </c>
      <c r="Z4889">
        <f>IF($V4889="","",IF($AA4889&gt;N($AA4888),$AA4889,""))</f>
        <v/>
      </c>
      <c r="AA4889">
        <f>IF($V4889="",N($AA4888),IF(MATCH($V4889,$V$6:$V$6005,0)=ROW()-5,N($AA4888)+1,N($AA4888)))</f>
        <v/>
      </c>
    </row>
    <row r="4890" ht="21" customHeight="1" s="66">
      <c r="A4890" s="56" t="n"/>
      <c r="B4890" s="57" t="n"/>
      <c r="C4890" s="57" t="n"/>
      <c r="D4890" s="57" t="n"/>
      <c r="E4890" s="56" t="n"/>
      <c r="F4890" s="57" t="n"/>
      <c r="G4890" s="57" t="n"/>
      <c r="H4890" s="56" t="n"/>
      <c r="I4890" s="56" t="n"/>
      <c r="J4890" s="58" t="n"/>
      <c r="K4890" s="58" t="n"/>
      <c r="L4890" s="13">
        <f>IF(OR($A4890="",AND($J4890="",$K4890="")),"",ROUND(N($J4890)-N($K4890),2))</f>
        <v/>
      </c>
      <c r="M4890" s="13">
        <f>IF(OR($A4890="",AND($J4890="",$K4890="")),"",MIN($J4890,$K4890))</f>
        <v/>
      </c>
      <c r="Q4890">
        <f>IF($A4890="","",$D4890&amp;"("&amp;SUBSTITUTE($E4890," ","")&amp;")")</f>
        <v/>
      </c>
      <c r="R4890">
        <f>IF($A4890="","",$B4890&amp;" - "&amp;$C4890)</f>
        <v/>
      </c>
      <c r="S4890">
        <f>IF($A4890="","",$R4890&amp;"|"&amp;$Q4890)</f>
        <v/>
      </c>
      <c r="T4890">
        <f>IF($A4890="","",$S4890&amp;"|"&amp;$F4890)</f>
        <v/>
      </c>
      <c r="U4890">
        <f>IF($A4890="","",$R4890&amp;"("&amp;$E4890&amp;")")</f>
        <v/>
      </c>
      <c r="V4890">
        <f>IF($A4890="","",$F4890&amp;"|"&amp;$U4890&amp;"|"&amp;$D4890)</f>
        <v/>
      </c>
      <c r="W4890">
        <f>IF($T4890="","",IF($X4890&gt;N($X4889),$X4890,""))</f>
        <v/>
      </c>
      <c r="X4890">
        <f>IF($T4890="",N($X4889),IF(MATCH($T4890,$T$6:$T$6005,0)=ROW()-5,N($X4889)+1,N($X4889)))</f>
        <v/>
      </c>
      <c r="Z4890">
        <f>IF($V4890="","",IF($AA4890&gt;N($AA4889),$AA4890,""))</f>
        <v/>
      </c>
      <c r="AA4890">
        <f>IF($V4890="",N($AA4889),IF(MATCH($V4890,$V$6:$V$6005,0)=ROW()-5,N($AA4889)+1,N($AA4889)))</f>
        <v/>
      </c>
    </row>
    <row r="4891" ht="21" customHeight="1" s="66">
      <c r="A4891" s="56" t="n"/>
      <c r="B4891" s="57" t="n"/>
      <c r="C4891" s="57" t="n"/>
      <c r="D4891" s="57" t="n"/>
      <c r="E4891" s="56" t="n"/>
      <c r="F4891" s="57" t="n"/>
      <c r="G4891" s="57" t="n"/>
      <c r="H4891" s="56" t="n"/>
      <c r="I4891" s="56" t="n"/>
      <c r="J4891" s="58" t="n"/>
      <c r="K4891" s="58" t="n"/>
      <c r="L4891" s="13">
        <f>IF(OR($A4891="",AND($J4891="",$K4891="")),"",ROUND(N($J4891)-N($K4891),2))</f>
        <v/>
      </c>
      <c r="M4891" s="13">
        <f>IF(OR($A4891="",AND($J4891="",$K4891="")),"",MIN($J4891,$K4891))</f>
        <v/>
      </c>
      <c r="Q4891">
        <f>IF($A4891="","",$D4891&amp;"("&amp;SUBSTITUTE($E4891," ","")&amp;")")</f>
        <v/>
      </c>
      <c r="R4891">
        <f>IF($A4891="","",$B4891&amp;" - "&amp;$C4891)</f>
        <v/>
      </c>
      <c r="S4891">
        <f>IF($A4891="","",$R4891&amp;"|"&amp;$Q4891)</f>
        <v/>
      </c>
      <c r="T4891">
        <f>IF($A4891="","",$S4891&amp;"|"&amp;$F4891)</f>
        <v/>
      </c>
      <c r="U4891">
        <f>IF($A4891="","",$R4891&amp;"("&amp;$E4891&amp;")")</f>
        <v/>
      </c>
      <c r="V4891">
        <f>IF($A4891="","",$F4891&amp;"|"&amp;$U4891&amp;"|"&amp;$D4891)</f>
        <v/>
      </c>
      <c r="W4891">
        <f>IF($T4891="","",IF($X4891&gt;N($X4890),$X4891,""))</f>
        <v/>
      </c>
      <c r="X4891">
        <f>IF($T4891="",N($X4890),IF(MATCH($T4891,$T$6:$T$6005,0)=ROW()-5,N($X4890)+1,N($X4890)))</f>
        <v/>
      </c>
      <c r="Z4891">
        <f>IF($V4891="","",IF($AA4891&gt;N($AA4890),$AA4891,""))</f>
        <v/>
      </c>
      <c r="AA4891">
        <f>IF($V4891="",N($AA4890),IF(MATCH($V4891,$V$6:$V$6005,0)=ROW()-5,N($AA4890)+1,N($AA4890)))</f>
        <v/>
      </c>
    </row>
    <row r="4892" ht="21" customHeight="1" s="66">
      <c r="A4892" s="56" t="n"/>
      <c r="B4892" s="57" t="n"/>
      <c r="C4892" s="57" t="n"/>
      <c r="D4892" s="57" t="n"/>
      <c r="E4892" s="56" t="n"/>
      <c r="F4892" s="57" t="n"/>
      <c r="G4892" s="57" t="n"/>
      <c r="H4892" s="56" t="n"/>
      <c r="I4892" s="56" t="n"/>
      <c r="J4892" s="58" t="n"/>
      <c r="K4892" s="58" t="n"/>
      <c r="L4892" s="13">
        <f>IF(OR($A4892="",AND($J4892="",$K4892="")),"",ROUND(N($J4892)-N($K4892),2))</f>
        <v/>
      </c>
      <c r="M4892" s="13">
        <f>IF(OR($A4892="",AND($J4892="",$K4892="")),"",MIN($J4892,$K4892))</f>
        <v/>
      </c>
      <c r="Q4892">
        <f>IF($A4892="","",$D4892&amp;"("&amp;SUBSTITUTE($E4892," ","")&amp;")")</f>
        <v/>
      </c>
      <c r="R4892">
        <f>IF($A4892="","",$B4892&amp;" - "&amp;$C4892)</f>
        <v/>
      </c>
      <c r="S4892">
        <f>IF($A4892="","",$R4892&amp;"|"&amp;$Q4892)</f>
        <v/>
      </c>
      <c r="T4892">
        <f>IF($A4892="","",$S4892&amp;"|"&amp;$F4892)</f>
        <v/>
      </c>
      <c r="U4892">
        <f>IF($A4892="","",$R4892&amp;"("&amp;$E4892&amp;")")</f>
        <v/>
      </c>
      <c r="V4892">
        <f>IF($A4892="","",$F4892&amp;"|"&amp;$U4892&amp;"|"&amp;$D4892)</f>
        <v/>
      </c>
      <c r="W4892">
        <f>IF($T4892="","",IF($X4892&gt;N($X4891),$X4892,""))</f>
        <v/>
      </c>
      <c r="X4892">
        <f>IF($T4892="",N($X4891),IF(MATCH($T4892,$T$6:$T$6005,0)=ROW()-5,N($X4891)+1,N($X4891)))</f>
        <v/>
      </c>
      <c r="Z4892">
        <f>IF($V4892="","",IF($AA4892&gt;N($AA4891),$AA4892,""))</f>
        <v/>
      </c>
      <c r="AA4892">
        <f>IF($V4892="",N($AA4891),IF(MATCH($V4892,$V$6:$V$6005,0)=ROW()-5,N($AA4891)+1,N($AA4891)))</f>
        <v/>
      </c>
    </row>
    <row r="4893" ht="21" customHeight="1" s="66">
      <c r="A4893" s="56" t="n"/>
      <c r="B4893" s="57" t="n"/>
      <c r="C4893" s="57" t="n"/>
      <c r="D4893" s="57" t="n"/>
      <c r="E4893" s="56" t="n"/>
      <c r="F4893" s="57" t="n"/>
      <c r="G4893" s="57" t="n"/>
      <c r="H4893" s="56" t="n"/>
      <c r="I4893" s="56" t="n"/>
      <c r="J4893" s="58" t="n"/>
      <c r="K4893" s="58" t="n"/>
      <c r="L4893" s="13">
        <f>IF(OR($A4893="",AND($J4893="",$K4893="")),"",ROUND(N($J4893)-N($K4893),2))</f>
        <v/>
      </c>
      <c r="M4893" s="13">
        <f>IF(OR($A4893="",AND($J4893="",$K4893="")),"",MIN($J4893,$K4893))</f>
        <v/>
      </c>
      <c r="Q4893">
        <f>IF($A4893="","",$D4893&amp;"("&amp;SUBSTITUTE($E4893," ","")&amp;")")</f>
        <v/>
      </c>
      <c r="R4893">
        <f>IF($A4893="","",$B4893&amp;" - "&amp;$C4893)</f>
        <v/>
      </c>
      <c r="S4893">
        <f>IF($A4893="","",$R4893&amp;"|"&amp;$Q4893)</f>
        <v/>
      </c>
      <c r="T4893">
        <f>IF($A4893="","",$S4893&amp;"|"&amp;$F4893)</f>
        <v/>
      </c>
      <c r="U4893">
        <f>IF($A4893="","",$R4893&amp;"("&amp;$E4893&amp;")")</f>
        <v/>
      </c>
      <c r="V4893">
        <f>IF($A4893="","",$F4893&amp;"|"&amp;$U4893&amp;"|"&amp;$D4893)</f>
        <v/>
      </c>
      <c r="W4893">
        <f>IF($T4893="","",IF($X4893&gt;N($X4892),$X4893,""))</f>
        <v/>
      </c>
      <c r="X4893">
        <f>IF($T4893="",N($X4892),IF(MATCH($T4893,$T$6:$T$6005,0)=ROW()-5,N($X4892)+1,N($X4892)))</f>
        <v/>
      </c>
      <c r="Z4893">
        <f>IF($V4893="","",IF($AA4893&gt;N($AA4892),$AA4893,""))</f>
        <v/>
      </c>
      <c r="AA4893">
        <f>IF($V4893="",N($AA4892),IF(MATCH($V4893,$V$6:$V$6005,0)=ROW()-5,N($AA4892)+1,N($AA4892)))</f>
        <v/>
      </c>
    </row>
    <row r="4894" ht="21" customHeight="1" s="66">
      <c r="A4894" s="56" t="n"/>
      <c r="B4894" s="57" t="n"/>
      <c r="C4894" s="57" t="n"/>
      <c r="D4894" s="57" t="n"/>
      <c r="E4894" s="56" t="n"/>
      <c r="F4894" s="57" t="n"/>
      <c r="G4894" s="57" t="n"/>
      <c r="H4894" s="56" t="n"/>
      <c r="I4894" s="56" t="n"/>
      <c r="J4894" s="58" t="n"/>
      <c r="K4894" s="58" t="n"/>
      <c r="L4894" s="13">
        <f>IF(OR($A4894="",AND($J4894="",$K4894="")),"",ROUND(N($J4894)-N($K4894),2))</f>
        <v/>
      </c>
      <c r="M4894" s="13">
        <f>IF(OR($A4894="",AND($J4894="",$K4894="")),"",MIN($J4894,$K4894))</f>
        <v/>
      </c>
      <c r="Q4894">
        <f>IF($A4894="","",$D4894&amp;"("&amp;SUBSTITUTE($E4894," ","")&amp;")")</f>
        <v/>
      </c>
      <c r="R4894">
        <f>IF($A4894="","",$B4894&amp;" - "&amp;$C4894)</f>
        <v/>
      </c>
      <c r="S4894">
        <f>IF($A4894="","",$R4894&amp;"|"&amp;$Q4894)</f>
        <v/>
      </c>
      <c r="T4894">
        <f>IF($A4894="","",$S4894&amp;"|"&amp;$F4894)</f>
        <v/>
      </c>
      <c r="U4894">
        <f>IF($A4894="","",$R4894&amp;"("&amp;$E4894&amp;")")</f>
        <v/>
      </c>
      <c r="V4894">
        <f>IF($A4894="","",$F4894&amp;"|"&amp;$U4894&amp;"|"&amp;$D4894)</f>
        <v/>
      </c>
      <c r="W4894">
        <f>IF($T4894="","",IF($X4894&gt;N($X4893),$X4894,""))</f>
        <v/>
      </c>
      <c r="X4894">
        <f>IF($T4894="",N($X4893),IF(MATCH($T4894,$T$6:$T$6005,0)=ROW()-5,N($X4893)+1,N($X4893)))</f>
        <v/>
      </c>
      <c r="Z4894">
        <f>IF($V4894="","",IF($AA4894&gt;N($AA4893),$AA4894,""))</f>
        <v/>
      </c>
      <c r="AA4894">
        <f>IF($V4894="",N($AA4893),IF(MATCH($V4894,$V$6:$V$6005,0)=ROW()-5,N($AA4893)+1,N($AA4893)))</f>
        <v/>
      </c>
    </row>
    <row r="4895" ht="21" customHeight="1" s="66">
      <c r="A4895" s="56" t="n"/>
      <c r="B4895" s="57" t="n"/>
      <c r="C4895" s="57" t="n"/>
      <c r="D4895" s="57" t="n"/>
      <c r="E4895" s="56" t="n"/>
      <c r="F4895" s="57" t="n"/>
      <c r="G4895" s="57" t="n"/>
      <c r="H4895" s="56" t="n"/>
      <c r="I4895" s="56" t="n"/>
      <c r="J4895" s="58" t="n"/>
      <c r="K4895" s="58" t="n"/>
      <c r="L4895" s="13">
        <f>IF(OR($A4895="",AND($J4895="",$K4895="")),"",ROUND(N($J4895)-N($K4895),2))</f>
        <v/>
      </c>
      <c r="M4895" s="13">
        <f>IF(OR($A4895="",AND($J4895="",$K4895="")),"",MIN($J4895,$K4895))</f>
        <v/>
      </c>
      <c r="Q4895">
        <f>IF($A4895="","",$D4895&amp;"("&amp;SUBSTITUTE($E4895," ","")&amp;")")</f>
        <v/>
      </c>
      <c r="R4895">
        <f>IF($A4895="","",$B4895&amp;" - "&amp;$C4895)</f>
        <v/>
      </c>
      <c r="S4895">
        <f>IF($A4895="","",$R4895&amp;"|"&amp;$Q4895)</f>
        <v/>
      </c>
      <c r="T4895">
        <f>IF($A4895="","",$S4895&amp;"|"&amp;$F4895)</f>
        <v/>
      </c>
      <c r="U4895">
        <f>IF($A4895="","",$R4895&amp;"("&amp;$E4895&amp;")")</f>
        <v/>
      </c>
      <c r="V4895">
        <f>IF($A4895="","",$F4895&amp;"|"&amp;$U4895&amp;"|"&amp;$D4895)</f>
        <v/>
      </c>
      <c r="W4895">
        <f>IF($T4895="","",IF($X4895&gt;N($X4894),$X4895,""))</f>
        <v/>
      </c>
      <c r="X4895">
        <f>IF($T4895="",N($X4894),IF(MATCH($T4895,$T$6:$T$6005,0)=ROW()-5,N($X4894)+1,N($X4894)))</f>
        <v/>
      </c>
      <c r="Z4895">
        <f>IF($V4895="","",IF($AA4895&gt;N($AA4894),$AA4895,""))</f>
        <v/>
      </c>
      <c r="AA4895">
        <f>IF($V4895="",N($AA4894),IF(MATCH($V4895,$V$6:$V$6005,0)=ROW()-5,N($AA4894)+1,N($AA4894)))</f>
        <v/>
      </c>
    </row>
    <row r="4896" ht="21" customHeight="1" s="66">
      <c r="A4896" s="56" t="n"/>
      <c r="B4896" s="57" t="n"/>
      <c r="C4896" s="57" t="n"/>
      <c r="D4896" s="57" t="n"/>
      <c r="E4896" s="56" t="n"/>
      <c r="F4896" s="57" t="n"/>
      <c r="G4896" s="57" t="n"/>
      <c r="H4896" s="56" t="n"/>
      <c r="I4896" s="56" t="n"/>
      <c r="J4896" s="58" t="n"/>
      <c r="K4896" s="58" t="n"/>
      <c r="L4896" s="13">
        <f>IF(OR($A4896="",AND($J4896="",$K4896="")),"",ROUND(N($J4896)-N($K4896),2))</f>
        <v/>
      </c>
      <c r="M4896" s="13">
        <f>IF(OR($A4896="",AND($J4896="",$K4896="")),"",MIN($J4896,$K4896))</f>
        <v/>
      </c>
      <c r="Q4896">
        <f>IF($A4896="","",$D4896&amp;"("&amp;SUBSTITUTE($E4896," ","")&amp;")")</f>
        <v/>
      </c>
      <c r="R4896">
        <f>IF($A4896="","",$B4896&amp;" - "&amp;$C4896)</f>
        <v/>
      </c>
      <c r="S4896">
        <f>IF($A4896="","",$R4896&amp;"|"&amp;$Q4896)</f>
        <v/>
      </c>
      <c r="T4896">
        <f>IF($A4896="","",$S4896&amp;"|"&amp;$F4896)</f>
        <v/>
      </c>
      <c r="U4896">
        <f>IF($A4896="","",$R4896&amp;"("&amp;$E4896&amp;")")</f>
        <v/>
      </c>
      <c r="V4896">
        <f>IF($A4896="","",$F4896&amp;"|"&amp;$U4896&amp;"|"&amp;$D4896)</f>
        <v/>
      </c>
      <c r="W4896">
        <f>IF($T4896="","",IF($X4896&gt;N($X4895),$X4896,""))</f>
        <v/>
      </c>
      <c r="X4896">
        <f>IF($T4896="",N($X4895),IF(MATCH($T4896,$T$6:$T$6005,0)=ROW()-5,N($X4895)+1,N($X4895)))</f>
        <v/>
      </c>
      <c r="Z4896">
        <f>IF($V4896="","",IF($AA4896&gt;N($AA4895),$AA4896,""))</f>
        <v/>
      </c>
      <c r="AA4896">
        <f>IF($V4896="",N($AA4895),IF(MATCH($V4896,$V$6:$V$6005,0)=ROW()-5,N($AA4895)+1,N($AA4895)))</f>
        <v/>
      </c>
    </row>
    <row r="4897" ht="21" customHeight="1" s="66">
      <c r="A4897" s="56" t="n"/>
      <c r="B4897" s="57" t="n"/>
      <c r="C4897" s="57" t="n"/>
      <c r="D4897" s="57" t="n"/>
      <c r="E4897" s="56" t="n"/>
      <c r="F4897" s="57" t="n"/>
      <c r="G4897" s="57" t="n"/>
      <c r="H4897" s="56" t="n"/>
      <c r="I4897" s="56" t="n"/>
      <c r="J4897" s="58" t="n"/>
      <c r="K4897" s="58" t="n"/>
      <c r="L4897" s="13">
        <f>IF(OR($A4897="",AND($J4897="",$K4897="")),"",ROUND(N($J4897)-N($K4897),2))</f>
        <v/>
      </c>
      <c r="M4897" s="13">
        <f>IF(OR($A4897="",AND($J4897="",$K4897="")),"",MIN($J4897,$K4897))</f>
        <v/>
      </c>
      <c r="Q4897">
        <f>IF($A4897="","",$D4897&amp;"("&amp;SUBSTITUTE($E4897," ","")&amp;")")</f>
        <v/>
      </c>
      <c r="R4897">
        <f>IF($A4897="","",$B4897&amp;" - "&amp;$C4897)</f>
        <v/>
      </c>
      <c r="S4897">
        <f>IF($A4897="","",$R4897&amp;"|"&amp;$Q4897)</f>
        <v/>
      </c>
      <c r="T4897">
        <f>IF($A4897="","",$S4897&amp;"|"&amp;$F4897)</f>
        <v/>
      </c>
      <c r="U4897">
        <f>IF($A4897="","",$R4897&amp;"("&amp;$E4897&amp;")")</f>
        <v/>
      </c>
      <c r="V4897">
        <f>IF($A4897="","",$F4897&amp;"|"&amp;$U4897&amp;"|"&amp;$D4897)</f>
        <v/>
      </c>
      <c r="W4897">
        <f>IF($T4897="","",IF($X4897&gt;N($X4896),$X4897,""))</f>
        <v/>
      </c>
      <c r="X4897">
        <f>IF($T4897="",N($X4896),IF(MATCH($T4897,$T$6:$T$6005,0)=ROW()-5,N($X4896)+1,N($X4896)))</f>
        <v/>
      </c>
      <c r="Z4897">
        <f>IF($V4897="","",IF($AA4897&gt;N($AA4896),$AA4897,""))</f>
        <v/>
      </c>
      <c r="AA4897">
        <f>IF($V4897="",N($AA4896),IF(MATCH($V4897,$V$6:$V$6005,0)=ROW()-5,N($AA4896)+1,N($AA4896)))</f>
        <v/>
      </c>
    </row>
    <row r="4898" ht="21" customHeight="1" s="66">
      <c r="A4898" s="56" t="n"/>
      <c r="B4898" s="57" t="n"/>
      <c r="C4898" s="57" t="n"/>
      <c r="D4898" s="57" t="n"/>
      <c r="E4898" s="56" t="n"/>
      <c r="F4898" s="57" t="n"/>
      <c r="G4898" s="57" t="n"/>
      <c r="H4898" s="56" t="n"/>
      <c r="I4898" s="56" t="n"/>
      <c r="J4898" s="58" t="n"/>
      <c r="K4898" s="58" t="n"/>
      <c r="L4898" s="13">
        <f>IF(OR($A4898="",AND($J4898="",$K4898="")),"",ROUND(N($J4898)-N($K4898),2))</f>
        <v/>
      </c>
      <c r="M4898" s="13">
        <f>IF(OR($A4898="",AND($J4898="",$K4898="")),"",MIN($J4898,$K4898))</f>
        <v/>
      </c>
      <c r="Q4898">
        <f>IF($A4898="","",$D4898&amp;"("&amp;SUBSTITUTE($E4898," ","")&amp;")")</f>
        <v/>
      </c>
      <c r="R4898">
        <f>IF($A4898="","",$B4898&amp;" - "&amp;$C4898)</f>
        <v/>
      </c>
      <c r="S4898">
        <f>IF($A4898="","",$R4898&amp;"|"&amp;$Q4898)</f>
        <v/>
      </c>
      <c r="T4898">
        <f>IF($A4898="","",$S4898&amp;"|"&amp;$F4898)</f>
        <v/>
      </c>
      <c r="U4898">
        <f>IF($A4898="","",$R4898&amp;"("&amp;$E4898&amp;")")</f>
        <v/>
      </c>
      <c r="V4898">
        <f>IF($A4898="","",$F4898&amp;"|"&amp;$U4898&amp;"|"&amp;$D4898)</f>
        <v/>
      </c>
      <c r="W4898">
        <f>IF($T4898="","",IF($X4898&gt;N($X4897),$X4898,""))</f>
        <v/>
      </c>
      <c r="X4898">
        <f>IF($T4898="",N($X4897),IF(MATCH($T4898,$T$6:$T$6005,0)=ROW()-5,N($X4897)+1,N($X4897)))</f>
        <v/>
      </c>
      <c r="Z4898">
        <f>IF($V4898="","",IF($AA4898&gt;N($AA4897),$AA4898,""))</f>
        <v/>
      </c>
      <c r="AA4898">
        <f>IF($V4898="",N($AA4897),IF(MATCH($V4898,$V$6:$V$6005,0)=ROW()-5,N($AA4897)+1,N($AA4897)))</f>
        <v/>
      </c>
    </row>
    <row r="4899" ht="21" customHeight="1" s="66">
      <c r="A4899" s="56" t="n"/>
      <c r="B4899" s="57" t="n"/>
      <c r="C4899" s="57" t="n"/>
      <c r="D4899" s="57" t="n"/>
      <c r="E4899" s="56" t="n"/>
      <c r="F4899" s="57" t="n"/>
      <c r="G4899" s="57" t="n"/>
      <c r="H4899" s="56" t="n"/>
      <c r="I4899" s="56" t="n"/>
      <c r="J4899" s="58" t="n"/>
      <c r="K4899" s="58" t="n"/>
      <c r="L4899" s="13">
        <f>IF(OR($A4899="",AND($J4899="",$K4899="")),"",ROUND(N($J4899)-N($K4899),2))</f>
        <v/>
      </c>
      <c r="M4899" s="13">
        <f>IF(OR($A4899="",AND($J4899="",$K4899="")),"",MIN($J4899,$K4899))</f>
        <v/>
      </c>
      <c r="Q4899">
        <f>IF($A4899="","",$D4899&amp;"("&amp;SUBSTITUTE($E4899," ","")&amp;")")</f>
        <v/>
      </c>
      <c r="R4899">
        <f>IF($A4899="","",$B4899&amp;" - "&amp;$C4899)</f>
        <v/>
      </c>
      <c r="S4899">
        <f>IF($A4899="","",$R4899&amp;"|"&amp;$Q4899)</f>
        <v/>
      </c>
      <c r="T4899">
        <f>IF($A4899="","",$S4899&amp;"|"&amp;$F4899)</f>
        <v/>
      </c>
      <c r="U4899">
        <f>IF($A4899="","",$R4899&amp;"("&amp;$E4899&amp;")")</f>
        <v/>
      </c>
      <c r="V4899">
        <f>IF($A4899="","",$F4899&amp;"|"&amp;$U4899&amp;"|"&amp;$D4899)</f>
        <v/>
      </c>
      <c r="W4899">
        <f>IF($T4899="","",IF($X4899&gt;N($X4898),$X4899,""))</f>
        <v/>
      </c>
      <c r="X4899">
        <f>IF($T4899="",N($X4898),IF(MATCH($T4899,$T$6:$T$6005,0)=ROW()-5,N($X4898)+1,N($X4898)))</f>
        <v/>
      </c>
      <c r="Z4899">
        <f>IF($V4899="","",IF($AA4899&gt;N($AA4898),$AA4899,""))</f>
        <v/>
      </c>
      <c r="AA4899">
        <f>IF($V4899="",N($AA4898),IF(MATCH($V4899,$V$6:$V$6005,0)=ROW()-5,N($AA4898)+1,N($AA4898)))</f>
        <v/>
      </c>
    </row>
    <row r="4900" ht="21" customHeight="1" s="66">
      <c r="A4900" s="56" t="n"/>
      <c r="B4900" s="57" t="n"/>
      <c r="C4900" s="57" t="n"/>
      <c r="D4900" s="57" t="n"/>
      <c r="E4900" s="56" t="n"/>
      <c r="F4900" s="57" t="n"/>
      <c r="G4900" s="57" t="n"/>
      <c r="H4900" s="56" t="n"/>
      <c r="I4900" s="56" t="n"/>
      <c r="J4900" s="58" t="n"/>
      <c r="K4900" s="58" t="n"/>
      <c r="L4900" s="13">
        <f>IF(OR($A4900="",AND($J4900="",$K4900="")),"",ROUND(N($J4900)-N($K4900),2))</f>
        <v/>
      </c>
      <c r="M4900" s="13">
        <f>IF(OR($A4900="",AND($J4900="",$K4900="")),"",MIN($J4900,$K4900))</f>
        <v/>
      </c>
      <c r="Q4900">
        <f>IF($A4900="","",$D4900&amp;"("&amp;SUBSTITUTE($E4900," ","")&amp;")")</f>
        <v/>
      </c>
      <c r="R4900">
        <f>IF($A4900="","",$B4900&amp;" - "&amp;$C4900)</f>
        <v/>
      </c>
      <c r="S4900">
        <f>IF($A4900="","",$R4900&amp;"|"&amp;$Q4900)</f>
        <v/>
      </c>
      <c r="T4900">
        <f>IF($A4900="","",$S4900&amp;"|"&amp;$F4900)</f>
        <v/>
      </c>
      <c r="U4900">
        <f>IF($A4900="","",$R4900&amp;"("&amp;$E4900&amp;")")</f>
        <v/>
      </c>
      <c r="V4900">
        <f>IF($A4900="","",$F4900&amp;"|"&amp;$U4900&amp;"|"&amp;$D4900)</f>
        <v/>
      </c>
      <c r="W4900">
        <f>IF($T4900="","",IF($X4900&gt;N($X4899),$X4900,""))</f>
        <v/>
      </c>
      <c r="X4900">
        <f>IF($T4900="",N($X4899),IF(MATCH($T4900,$T$6:$T$6005,0)=ROW()-5,N($X4899)+1,N($X4899)))</f>
        <v/>
      </c>
      <c r="Z4900">
        <f>IF($V4900="","",IF($AA4900&gt;N($AA4899),$AA4900,""))</f>
        <v/>
      </c>
      <c r="AA4900">
        <f>IF($V4900="",N($AA4899),IF(MATCH($V4900,$V$6:$V$6005,0)=ROW()-5,N($AA4899)+1,N($AA4899)))</f>
        <v/>
      </c>
    </row>
    <row r="4901" ht="21" customHeight="1" s="66">
      <c r="A4901" s="56" t="n"/>
      <c r="B4901" s="57" t="n"/>
      <c r="C4901" s="57" t="n"/>
      <c r="D4901" s="57" t="n"/>
      <c r="E4901" s="56" t="n"/>
      <c r="F4901" s="57" t="n"/>
      <c r="G4901" s="57" t="n"/>
      <c r="H4901" s="56" t="n"/>
      <c r="I4901" s="56" t="n"/>
      <c r="J4901" s="58" t="n"/>
      <c r="K4901" s="58" t="n"/>
      <c r="L4901" s="13">
        <f>IF(OR($A4901="",AND($J4901="",$K4901="")),"",ROUND(N($J4901)-N($K4901),2))</f>
        <v/>
      </c>
      <c r="M4901" s="13">
        <f>IF(OR($A4901="",AND($J4901="",$K4901="")),"",MIN($J4901,$K4901))</f>
        <v/>
      </c>
      <c r="Q4901">
        <f>IF($A4901="","",$D4901&amp;"("&amp;SUBSTITUTE($E4901," ","")&amp;")")</f>
        <v/>
      </c>
      <c r="R4901">
        <f>IF($A4901="","",$B4901&amp;" - "&amp;$C4901)</f>
        <v/>
      </c>
      <c r="S4901">
        <f>IF($A4901="","",$R4901&amp;"|"&amp;$Q4901)</f>
        <v/>
      </c>
      <c r="T4901">
        <f>IF($A4901="","",$S4901&amp;"|"&amp;$F4901)</f>
        <v/>
      </c>
      <c r="U4901">
        <f>IF($A4901="","",$R4901&amp;"("&amp;$E4901&amp;")")</f>
        <v/>
      </c>
      <c r="V4901">
        <f>IF($A4901="","",$F4901&amp;"|"&amp;$U4901&amp;"|"&amp;$D4901)</f>
        <v/>
      </c>
      <c r="W4901">
        <f>IF($T4901="","",IF($X4901&gt;N($X4900),$X4901,""))</f>
        <v/>
      </c>
      <c r="X4901">
        <f>IF($T4901="",N($X4900),IF(MATCH($T4901,$T$6:$T$6005,0)=ROW()-5,N($X4900)+1,N($X4900)))</f>
        <v/>
      </c>
      <c r="Z4901">
        <f>IF($V4901="","",IF($AA4901&gt;N($AA4900),$AA4901,""))</f>
        <v/>
      </c>
      <c r="AA4901">
        <f>IF($V4901="",N($AA4900),IF(MATCH($V4901,$V$6:$V$6005,0)=ROW()-5,N($AA4900)+1,N($AA4900)))</f>
        <v/>
      </c>
    </row>
    <row r="4902" ht="21" customHeight="1" s="66">
      <c r="A4902" s="56" t="n"/>
      <c r="B4902" s="57" t="n"/>
      <c r="C4902" s="57" t="n"/>
      <c r="D4902" s="57" t="n"/>
      <c r="E4902" s="56" t="n"/>
      <c r="F4902" s="57" t="n"/>
      <c r="G4902" s="57" t="n"/>
      <c r="H4902" s="56" t="n"/>
      <c r="I4902" s="56" t="n"/>
      <c r="J4902" s="58" t="n"/>
      <c r="K4902" s="58" t="n"/>
      <c r="L4902" s="13">
        <f>IF(OR($A4902="",AND($J4902="",$K4902="")),"",ROUND(N($J4902)-N($K4902),2))</f>
        <v/>
      </c>
      <c r="M4902" s="13">
        <f>IF(OR($A4902="",AND($J4902="",$K4902="")),"",MIN($J4902,$K4902))</f>
        <v/>
      </c>
      <c r="Q4902">
        <f>IF($A4902="","",$D4902&amp;"("&amp;SUBSTITUTE($E4902," ","")&amp;")")</f>
        <v/>
      </c>
      <c r="R4902">
        <f>IF($A4902="","",$B4902&amp;" - "&amp;$C4902)</f>
        <v/>
      </c>
      <c r="S4902">
        <f>IF($A4902="","",$R4902&amp;"|"&amp;$Q4902)</f>
        <v/>
      </c>
      <c r="T4902">
        <f>IF($A4902="","",$S4902&amp;"|"&amp;$F4902)</f>
        <v/>
      </c>
      <c r="U4902">
        <f>IF($A4902="","",$R4902&amp;"("&amp;$E4902&amp;")")</f>
        <v/>
      </c>
      <c r="V4902">
        <f>IF($A4902="","",$F4902&amp;"|"&amp;$U4902&amp;"|"&amp;$D4902)</f>
        <v/>
      </c>
      <c r="W4902">
        <f>IF($T4902="","",IF($X4902&gt;N($X4901),$X4902,""))</f>
        <v/>
      </c>
      <c r="X4902">
        <f>IF($T4902="",N($X4901),IF(MATCH($T4902,$T$6:$T$6005,0)=ROW()-5,N($X4901)+1,N($X4901)))</f>
        <v/>
      </c>
      <c r="Z4902">
        <f>IF($V4902="","",IF($AA4902&gt;N($AA4901),$AA4902,""))</f>
        <v/>
      </c>
      <c r="AA4902">
        <f>IF($V4902="",N($AA4901),IF(MATCH($V4902,$V$6:$V$6005,0)=ROW()-5,N($AA4901)+1,N($AA4901)))</f>
        <v/>
      </c>
    </row>
    <row r="4903" ht="21" customHeight="1" s="66">
      <c r="A4903" s="56" t="n"/>
      <c r="B4903" s="57" t="n"/>
      <c r="C4903" s="57" t="n"/>
      <c r="D4903" s="57" t="n"/>
      <c r="E4903" s="56" t="n"/>
      <c r="F4903" s="57" t="n"/>
      <c r="G4903" s="57" t="n"/>
      <c r="H4903" s="56" t="n"/>
      <c r="I4903" s="56" t="n"/>
      <c r="J4903" s="58" t="n"/>
      <c r="K4903" s="58" t="n"/>
      <c r="L4903" s="13">
        <f>IF(OR($A4903="",AND($J4903="",$K4903="")),"",ROUND(N($J4903)-N($K4903),2))</f>
        <v/>
      </c>
      <c r="M4903" s="13">
        <f>IF(OR($A4903="",AND($J4903="",$K4903="")),"",MIN($J4903,$K4903))</f>
        <v/>
      </c>
      <c r="Q4903">
        <f>IF($A4903="","",$D4903&amp;"("&amp;SUBSTITUTE($E4903," ","")&amp;")")</f>
        <v/>
      </c>
      <c r="R4903">
        <f>IF($A4903="","",$B4903&amp;" - "&amp;$C4903)</f>
        <v/>
      </c>
      <c r="S4903">
        <f>IF($A4903="","",$R4903&amp;"|"&amp;$Q4903)</f>
        <v/>
      </c>
      <c r="T4903">
        <f>IF($A4903="","",$S4903&amp;"|"&amp;$F4903)</f>
        <v/>
      </c>
      <c r="U4903">
        <f>IF($A4903="","",$R4903&amp;"("&amp;$E4903&amp;")")</f>
        <v/>
      </c>
      <c r="V4903">
        <f>IF($A4903="","",$F4903&amp;"|"&amp;$U4903&amp;"|"&amp;$D4903)</f>
        <v/>
      </c>
      <c r="W4903">
        <f>IF($T4903="","",IF($X4903&gt;N($X4902),$X4903,""))</f>
        <v/>
      </c>
      <c r="X4903">
        <f>IF($T4903="",N($X4902),IF(MATCH($T4903,$T$6:$T$6005,0)=ROW()-5,N($X4902)+1,N($X4902)))</f>
        <v/>
      </c>
      <c r="Z4903">
        <f>IF($V4903="","",IF($AA4903&gt;N($AA4902),$AA4903,""))</f>
        <v/>
      </c>
      <c r="AA4903">
        <f>IF($V4903="",N($AA4902),IF(MATCH($V4903,$V$6:$V$6005,0)=ROW()-5,N($AA4902)+1,N($AA4902)))</f>
        <v/>
      </c>
    </row>
    <row r="4904" ht="21" customHeight="1" s="66">
      <c r="A4904" s="56" t="n"/>
      <c r="B4904" s="57" t="n"/>
      <c r="C4904" s="57" t="n"/>
      <c r="D4904" s="57" t="n"/>
      <c r="E4904" s="56" t="n"/>
      <c r="F4904" s="57" t="n"/>
      <c r="G4904" s="57" t="n"/>
      <c r="H4904" s="56" t="n"/>
      <c r="I4904" s="56" t="n"/>
      <c r="J4904" s="58" t="n"/>
      <c r="K4904" s="58" t="n"/>
      <c r="L4904" s="13">
        <f>IF(OR($A4904="",AND($J4904="",$K4904="")),"",ROUND(N($J4904)-N($K4904),2))</f>
        <v/>
      </c>
      <c r="M4904" s="13">
        <f>IF(OR($A4904="",AND($J4904="",$K4904="")),"",MIN($J4904,$K4904))</f>
        <v/>
      </c>
      <c r="Q4904">
        <f>IF($A4904="","",$D4904&amp;"("&amp;SUBSTITUTE($E4904," ","")&amp;")")</f>
        <v/>
      </c>
      <c r="R4904">
        <f>IF($A4904="","",$B4904&amp;" - "&amp;$C4904)</f>
        <v/>
      </c>
      <c r="S4904">
        <f>IF($A4904="","",$R4904&amp;"|"&amp;$Q4904)</f>
        <v/>
      </c>
      <c r="T4904">
        <f>IF($A4904="","",$S4904&amp;"|"&amp;$F4904)</f>
        <v/>
      </c>
      <c r="U4904">
        <f>IF($A4904="","",$R4904&amp;"("&amp;$E4904&amp;")")</f>
        <v/>
      </c>
      <c r="V4904">
        <f>IF($A4904="","",$F4904&amp;"|"&amp;$U4904&amp;"|"&amp;$D4904)</f>
        <v/>
      </c>
      <c r="W4904">
        <f>IF($T4904="","",IF($X4904&gt;N($X4903),$X4904,""))</f>
        <v/>
      </c>
      <c r="X4904">
        <f>IF($T4904="",N($X4903),IF(MATCH($T4904,$T$6:$T$6005,0)=ROW()-5,N($X4903)+1,N($X4903)))</f>
        <v/>
      </c>
      <c r="Z4904">
        <f>IF($V4904="","",IF($AA4904&gt;N($AA4903),$AA4904,""))</f>
        <v/>
      </c>
      <c r="AA4904">
        <f>IF($V4904="",N($AA4903),IF(MATCH($V4904,$V$6:$V$6005,0)=ROW()-5,N($AA4903)+1,N($AA4903)))</f>
        <v/>
      </c>
    </row>
    <row r="4905" ht="21" customHeight="1" s="66">
      <c r="A4905" s="56" t="n"/>
      <c r="B4905" s="57" t="n"/>
      <c r="C4905" s="57" t="n"/>
      <c r="D4905" s="57" t="n"/>
      <c r="E4905" s="56" t="n"/>
      <c r="F4905" s="57" t="n"/>
      <c r="G4905" s="57" t="n"/>
      <c r="H4905" s="56" t="n"/>
      <c r="I4905" s="56" t="n"/>
      <c r="J4905" s="58" t="n"/>
      <c r="K4905" s="58" t="n"/>
      <c r="L4905" s="13">
        <f>IF(OR($A4905="",AND($J4905="",$K4905="")),"",ROUND(N($J4905)-N($K4905),2))</f>
        <v/>
      </c>
      <c r="M4905" s="13">
        <f>IF(OR($A4905="",AND($J4905="",$K4905="")),"",MIN($J4905,$K4905))</f>
        <v/>
      </c>
      <c r="Q4905">
        <f>IF($A4905="","",$D4905&amp;"("&amp;SUBSTITUTE($E4905," ","")&amp;")")</f>
        <v/>
      </c>
      <c r="R4905">
        <f>IF($A4905="","",$B4905&amp;" - "&amp;$C4905)</f>
        <v/>
      </c>
      <c r="S4905">
        <f>IF($A4905="","",$R4905&amp;"|"&amp;$Q4905)</f>
        <v/>
      </c>
      <c r="T4905">
        <f>IF($A4905="","",$S4905&amp;"|"&amp;$F4905)</f>
        <v/>
      </c>
      <c r="U4905">
        <f>IF($A4905="","",$R4905&amp;"("&amp;$E4905&amp;")")</f>
        <v/>
      </c>
      <c r="V4905">
        <f>IF($A4905="","",$F4905&amp;"|"&amp;$U4905&amp;"|"&amp;$D4905)</f>
        <v/>
      </c>
      <c r="W4905">
        <f>IF($T4905="","",IF($X4905&gt;N($X4904),$X4905,""))</f>
        <v/>
      </c>
      <c r="X4905">
        <f>IF($T4905="",N($X4904),IF(MATCH($T4905,$T$6:$T$6005,0)=ROW()-5,N($X4904)+1,N($X4904)))</f>
        <v/>
      </c>
      <c r="Z4905">
        <f>IF($V4905="","",IF($AA4905&gt;N($AA4904),$AA4905,""))</f>
        <v/>
      </c>
      <c r="AA4905">
        <f>IF($V4905="",N($AA4904),IF(MATCH($V4905,$V$6:$V$6005,0)=ROW()-5,N($AA4904)+1,N($AA4904)))</f>
        <v/>
      </c>
    </row>
    <row r="4906" ht="21" customHeight="1" s="66">
      <c r="A4906" s="56" t="n"/>
      <c r="B4906" s="57" t="n"/>
      <c r="C4906" s="57" t="n"/>
      <c r="D4906" s="57" t="n"/>
      <c r="E4906" s="56" t="n"/>
      <c r="F4906" s="57" t="n"/>
      <c r="G4906" s="57" t="n"/>
      <c r="H4906" s="56" t="n"/>
      <c r="I4906" s="56" t="n"/>
      <c r="J4906" s="58" t="n"/>
      <c r="K4906" s="58" t="n"/>
      <c r="L4906" s="13">
        <f>IF(OR($A4906="",AND($J4906="",$K4906="")),"",ROUND(N($J4906)-N($K4906),2))</f>
        <v/>
      </c>
      <c r="M4906" s="13">
        <f>IF(OR($A4906="",AND($J4906="",$K4906="")),"",MIN($J4906,$K4906))</f>
        <v/>
      </c>
      <c r="Q4906">
        <f>IF($A4906="","",$D4906&amp;"("&amp;SUBSTITUTE($E4906," ","")&amp;")")</f>
        <v/>
      </c>
      <c r="R4906">
        <f>IF($A4906="","",$B4906&amp;" - "&amp;$C4906)</f>
        <v/>
      </c>
      <c r="S4906">
        <f>IF($A4906="","",$R4906&amp;"|"&amp;$Q4906)</f>
        <v/>
      </c>
      <c r="T4906">
        <f>IF($A4906="","",$S4906&amp;"|"&amp;$F4906)</f>
        <v/>
      </c>
      <c r="U4906">
        <f>IF($A4906="","",$R4906&amp;"("&amp;$E4906&amp;")")</f>
        <v/>
      </c>
      <c r="V4906">
        <f>IF($A4906="","",$F4906&amp;"|"&amp;$U4906&amp;"|"&amp;$D4906)</f>
        <v/>
      </c>
      <c r="W4906">
        <f>IF($T4906="","",IF($X4906&gt;N($X4905),$X4906,""))</f>
        <v/>
      </c>
      <c r="X4906">
        <f>IF($T4906="",N($X4905),IF(MATCH($T4906,$T$6:$T$6005,0)=ROW()-5,N($X4905)+1,N($X4905)))</f>
        <v/>
      </c>
      <c r="Z4906">
        <f>IF($V4906="","",IF($AA4906&gt;N($AA4905),$AA4906,""))</f>
        <v/>
      </c>
      <c r="AA4906">
        <f>IF($V4906="",N($AA4905),IF(MATCH($V4906,$V$6:$V$6005,0)=ROW()-5,N($AA4905)+1,N($AA4905)))</f>
        <v/>
      </c>
    </row>
    <row r="4907" ht="21" customHeight="1" s="66">
      <c r="A4907" s="56" t="n"/>
      <c r="B4907" s="57" t="n"/>
      <c r="C4907" s="57" t="n"/>
      <c r="D4907" s="57" t="n"/>
      <c r="E4907" s="56" t="n"/>
      <c r="F4907" s="57" t="n"/>
      <c r="G4907" s="57" t="n"/>
      <c r="H4907" s="56" t="n"/>
      <c r="I4907" s="56" t="n"/>
      <c r="J4907" s="58" t="n"/>
      <c r="K4907" s="58" t="n"/>
      <c r="L4907" s="13">
        <f>IF(OR($A4907="",AND($J4907="",$K4907="")),"",ROUND(N($J4907)-N($K4907),2))</f>
        <v/>
      </c>
      <c r="M4907" s="13">
        <f>IF(OR($A4907="",AND($J4907="",$K4907="")),"",MIN($J4907,$K4907))</f>
        <v/>
      </c>
      <c r="Q4907">
        <f>IF($A4907="","",$D4907&amp;"("&amp;SUBSTITUTE($E4907," ","")&amp;")")</f>
        <v/>
      </c>
      <c r="R4907">
        <f>IF($A4907="","",$B4907&amp;" - "&amp;$C4907)</f>
        <v/>
      </c>
      <c r="S4907">
        <f>IF($A4907="","",$R4907&amp;"|"&amp;$Q4907)</f>
        <v/>
      </c>
      <c r="T4907">
        <f>IF($A4907="","",$S4907&amp;"|"&amp;$F4907)</f>
        <v/>
      </c>
      <c r="U4907">
        <f>IF($A4907="","",$R4907&amp;"("&amp;$E4907&amp;")")</f>
        <v/>
      </c>
      <c r="V4907">
        <f>IF($A4907="","",$F4907&amp;"|"&amp;$U4907&amp;"|"&amp;$D4907)</f>
        <v/>
      </c>
      <c r="W4907">
        <f>IF($T4907="","",IF($X4907&gt;N($X4906),$X4907,""))</f>
        <v/>
      </c>
      <c r="X4907">
        <f>IF($T4907="",N($X4906),IF(MATCH($T4907,$T$6:$T$6005,0)=ROW()-5,N($X4906)+1,N($X4906)))</f>
        <v/>
      </c>
      <c r="Z4907">
        <f>IF($V4907="","",IF($AA4907&gt;N($AA4906),$AA4907,""))</f>
        <v/>
      </c>
      <c r="AA4907">
        <f>IF($V4907="",N($AA4906),IF(MATCH($V4907,$V$6:$V$6005,0)=ROW()-5,N($AA4906)+1,N($AA4906)))</f>
        <v/>
      </c>
    </row>
    <row r="4908" ht="21" customHeight="1" s="66">
      <c r="A4908" s="56" t="n"/>
      <c r="B4908" s="57" t="n"/>
      <c r="C4908" s="57" t="n"/>
      <c r="D4908" s="57" t="n"/>
      <c r="E4908" s="56" t="n"/>
      <c r="F4908" s="57" t="n"/>
      <c r="G4908" s="57" t="n"/>
      <c r="H4908" s="56" t="n"/>
      <c r="I4908" s="56" t="n"/>
      <c r="J4908" s="58" t="n"/>
      <c r="K4908" s="58" t="n"/>
      <c r="L4908" s="13">
        <f>IF(OR($A4908="",AND($J4908="",$K4908="")),"",ROUND(N($J4908)-N($K4908),2))</f>
        <v/>
      </c>
      <c r="M4908" s="13">
        <f>IF(OR($A4908="",AND($J4908="",$K4908="")),"",MIN($J4908,$K4908))</f>
        <v/>
      </c>
      <c r="Q4908">
        <f>IF($A4908="","",$D4908&amp;"("&amp;SUBSTITUTE($E4908," ","")&amp;")")</f>
        <v/>
      </c>
      <c r="R4908">
        <f>IF($A4908="","",$B4908&amp;" - "&amp;$C4908)</f>
        <v/>
      </c>
      <c r="S4908">
        <f>IF($A4908="","",$R4908&amp;"|"&amp;$Q4908)</f>
        <v/>
      </c>
      <c r="T4908">
        <f>IF($A4908="","",$S4908&amp;"|"&amp;$F4908)</f>
        <v/>
      </c>
      <c r="U4908">
        <f>IF($A4908="","",$R4908&amp;"("&amp;$E4908&amp;")")</f>
        <v/>
      </c>
      <c r="V4908">
        <f>IF($A4908="","",$F4908&amp;"|"&amp;$U4908&amp;"|"&amp;$D4908)</f>
        <v/>
      </c>
      <c r="W4908">
        <f>IF($T4908="","",IF($X4908&gt;N($X4907),$X4908,""))</f>
        <v/>
      </c>
      <c r="X4908">
        <f>IF($T4908="",N($X4907),IF(MATCH($T4908,$T$6:$T$6005,0)=ROW()-5,N($X4907)+1,N($X4907)))</f>
        <v/>
      </c>
      <c r="Z4908">
        <f>IF($V4908="","",IF($AA4908&gt;N($AA4907),$AA4908,""))</f>
        <v/>
      </c>
      <c r="AA4908">
        <f>IF($V4908="",N($AA4907),IF(MATCH($V4908,$V$6:$V$6005,0)=ROW()-5,N($AA4907)+1,N($AA4907)))</f>
        <v/>
      </c>
    </row>
    <row r="4909" ht="21" customHeight="1" s="66">
      <c r="A4909" s="56" t="n"/>
      <c r="B4909" s="57" t="n"/>
      <c r="C4909" s="57" t="n"/>
      <c r="D4909" s="57" t="n"/>
      <c r="E4909" s="56" t="n"/>
      <c r="F4909" s="57" t="n"/>
      <c r="G4909" s="57" t="n"/>
      <c r="H4909" s="56" t="n"/>
      <c r="I4909" s="56" t="n"/>
      <c r="J4909" s="58" t="n"/>
      <c r="K4909" s="58" t="n"/>
      <c r="L4909" s="13">
        <f>IF(OR($A4909="",AND($J4909="",$K4909="")),"",ROUND(N($J4909)-N($K4909),2))</f>
        <v/>
      </c>
      <c r="M4909" s="13">
        <f>IF(OR($A4909="",AND($J4909="",$K4909="")),"",MIN($J4909,$K4909))</f>
        <v/>
      </c>
      <c r="Q4909">
        <f>IF($A4909="","",$D4909&amp;"("&amp;SUBSTITUTE($E4909," ","")&amp;")")</f>
        <v/>
      </c>
      <c r="R4909">
        <f>IF($A4909="","",$B4909&amp;" - "&amp;$C4909)</f>
        <v/>
      </c>
      <c r="S4909">
        <f>IF($A4909="","",$R4909&amp;"|"&amp;$Q4909)</f>
        <v/>
      </c>
      <c r="T4909">
        <f>IF($A4909="","",$S4909&amp;"|"&amp;$F4909)</f>
        <v/>
      </c>
      <c r="U4909">
        <f>IF($A4909="","",$R4909&amp;"("&amp;$E4909&amp;")")</f>
        <v/>
      </c>
      <c r="V4909">
        <f>IF($A4909="","",$F4909&amp;"|"&amp;$U4909&amp;"|"&amp;$D4909)</f>
        <v/>
      </c>
      <c r="W4909">
        <f>IF($T4909="","",IF($X4909&gt;N($X4908),$X4909,""))</f>
        <v/>
      </c>
      <c r="X4909">
        <f>IF($T4909="",N($X4908),IF(MATCH($T4909,$T$6:$T$6005,0)=ROW()-5,N($X4908)+1,N($X4908)))</f>
        <v/>
      </c>
      <c r="Z4909">
        <f>IF($V4909="","",IF($AA4909&gt;N($AA4908),$AA4909,""))</f>
        <v/>
      </c>
      <c r="AA4909">
        <f>IF($V4909="",N($AA4908),IF(MATCH($V4909,$V$6:$V$6005,0)=ROW()-5,N($AA4908)+1,N($AA4908)))</f>
        <v/>
      </c>
    </row>
    <row r="4910" ht="21" customHeight="1" s="66">
      <c r="A4910" s="56" t="n"/>
      <c r="B4910" s="57" t="n"/>
      <c r="C4910" s="57" t="n"/>
      <c r="D4910" s="57" t="n"/>
      <c r="E4910" s="56" t="n"/>
      <c r="F4910" s="57" t="n"/>
      <c r="G4910" s="57" t="n"/>
      <c r="H4910" s="56" t="n"/>
      <c r="I4910" s="56" t="n"/>
      <c r="J4910" s="58" t="n"/>
      <c r="K4910" s="58" t="n"/>
      <c r="L4910" s="13">
        <f>IF(OR($A4910="",AND($J4910="",$K4910="")),"",ROUND(N($J4910)-N($K4910),2))</f>
        <v/>
      </c>
      <c r="M4910" s="13">
        <f>IF(OR($A4910="",AND($J4910="",$K4910="")),"",MIN($J4910,$K4910))</f>
        <v/>
      </c>
      <c r="Q4910">
        <f>IF($A4910="","",$D4910&amp;"("&amp;SUBSTITUTE($E4910," ","")&amp;")")</f>
        <v/>
      </c>
      <c r="R4910">
        <f>IF($A4910="","",$B4910&amp;" - "&amp;$C4910)</f>
        <v/>
      </c>
      <c r="S4910">
        <f>IF($A4910="","",$R4910&amp;"|"&amp;$Q4910)</f>
        <v/>
      </c>
      <c r="T4910">
        <f>IF($A4910="","",$S4910&amp;"|"&amp;$F4910)</f>
        <v/>
      </c>
      <c r="U4910">
        <f>IF($A4910="","",$R4910&amp;"("&amp;$E4910&amp;")")</f>
        <v/>
      </c>
      <c r="V4910">
        <f>IF($A4910="","",$F4910&amp;"|"&amp;$U4910&amp;"|"&amp;$D4910)</f>
        <v/>
      </c>
      <c r="W4910">
        <f>IF($T4910="","",IF($X4910&gt;N($X4909),$X4910,""))</f>
        <v/>
      </c>
      <c r="X4910">
        <f>IF($T4910="",N($X4909),IF(MATCH($T4910,$T$6:$T$6005,0)=ROW()-5,N($X4909)+1,N($X4909)))</f>
        <v/>
      </c>
      <c r="Z4910">
        <f>IF($V4910="","",IF($AA4910&gt;N($AA4909),$AA4910,""))</f>
        <v/>
      </c>
      <c r="AA4910">
        <f>IF($V4910="",N($AA4909),IF(MATCH($V4910,$V$6:$V$6005,0)=ROW()-5,N($AA4909)+1,N($AA4909)))</f>
        <v/>
      </c>
    </row>
    <row r="4911" ht="21" customHeight="1" s="66">
      <c r="A4911" s="56" t="n"/>
      <c r="B4911" s="57" t="n"/>
      <c r="C4911" s="57" t="n"/>
      <c r="D4911" s="57" t="n"/>
      <c r="E4911" s="56" t="n"/>
      <c r="F4911" s="57" t="n"/>
      <c r="G4911" s="57" t="n"/>
      <c r="H4911" s="56" t="n"/>
      <c r="I4911" s="56" t="n"/>
      <c r="J4911" s="58" t="n"/>
      <c r="K4911" s="58" t="n"/>
      <c r="L4911" s="13">
        <f>IF(OR($A4911="",AND($J4911="",$K4911="")),"",ROUND(N($J4911)-N($K4911),2))</f>
        <v/>
      </c>
      <c r="M4911" s="13">
        <f>IF(OR($A4911="",AND($J4911="",$K4911="")),"",MIN($J4911,$K4911))</f>
        <v/>
      </c>
      <c r="Q4911">
        <f>IF($A4911="","",$D4911&amp;"("&amp;SUBSTITUTE($E4911," ","")&amp;")")</f>
        <v/>
      </c>
      <c r="R4911">
        <f>IF($A4911="","",$B4911&amp;" - "&amp;$C4911)</f>
        <v/>
      </c>
      <c r="S4911">
        <f>IF($A4911="","",$R4911&amp;"|"&amp;$Q4911)</f>
        <v/>
      </c>
      <c r="T4911">
        <f>IF($A4911="","",$S4911&amp;"|"&amp;$F4911)</f>
        <v/>
      </c>
      <c r="U4911">
        <f>IF($A4911="","",$R4911&amp;"("&amp;$E4911&amp;")")</f>
        <v/>
      </c>
      <c r="V4911">
        <f>IF($A4911="","",$F4911&amp;"|"&amp;$U4911&amp;"|"&amp;$D4911)</f>
        <v/>
      </c>
      <c r="W4911">
        <f>IF($T4911="","",IF($X4911&gt;N($X4910),$X4911,""))</f>
        <v/>
      </c>
      <c r="X4911">
        <f>IF($T4911="",N($X4910),IF(MATCH($T4911,$T$6:$T$6005,0)=ROW()-5,N($X4910)+1,N($X4910)))</f>
        <v/>
      </c>
      <c r="Z4911">
        <f>IF($V4911="","",IF($AA4911&gt;N($AA4910),$AA4911,""))</f>
        <v/>
      </c>
      <c r="AA4911">
        <f>IF($V4911="",N($AA4910),IF(MATCH($V4911,$V$6:$V$6005,0)=ROW()-5,N($AA4910)+1,N($AA4910)))</f>
        <v/>
      </c>
    </row>
    <row r="4912" ht="21" customHeight="1" s="66">
      <c r="A4912" s="56" t="n"/>
      <c r="B4912" s="57" t="n"/>
      <c r="C4912" s="57" t="n"/>
      <c r="D4912" s="57" t="n"/>
      <c r="E4912" s="56" t="n"/>
      <c r="F4912" s="57" t="n"/>
      <c r="G4912" s="57" t="n"/>
      <c r="H4912" s="56" t="n"/>
      <c r="I4912" s="56" t="n"/>
      <c r="J4912" s="58" t="n"/>
      <c r="K4912" s="58" t="n"/>
      <c r="L4912" s="13">
        <f>IF(OR($A4912="",AND($J4912="",$K4912="")),"",ROUND(N($J4912)-N($K4912),2))</f>
        <v/>
      </c>
      <c r="M4912" s="13">
        <f>IF(OR($A4912="",AND($J4912="",$K4912="")),"",MIN($J4912,$K4912))</f>
        <v/>
      </c>
      <c r="Q4912">
        <f>IF($A4912="","",$D4912&amp;"("&amp;SUBSTITUTE($E4912," ","")&amp;")")</f>
        <v/>
      </c>
      <c r="R4912">
        <f>IF($A4912="","",$B4912&amp;" - "&amp;$C4912)</f>
        <v/>
      </c>
      <c r="S4912">
        <f>IF($A4912="","",$R4912&amp;"|"&amp;$Q4912)</f>
        <v/>
      </c>
      <c r="T4912">
        <f>IF($A4912="","",$S4912&amp;"|"&amp;$F4912)</f>
        <v/>
      </c>
      <c r="U4912">
        <f>IF($A4912="","",$R4912&amp;"("&amp;$E4912&amp;")")</f>
        <v/>
      </c>
      <c r="V4912">
        <f>IF($A4912="","",$F4912&amp;"|"&amp;$U4912&amp;"|"&amp;$D4912)</f>
        <v/>
      </c>
      <c r="W4912">
        <f>IF($T4912="","",IF($X4912&gt;N($X4911),$X4912,""))</f>
        <v/>
      </c>
      <c r="X4912">
        <f>IF($T4912="",N($X4911),IF(MATCH($T4912,$T$6:$T$6005,0)=ROW()-5,N($X4911)+1,N($X4911)))</f>
        <v/>
      </c>
      <c r="Z4912">
        <f>IF($V4912="","",IF($AA4912&gt;N($AA4911),$AA4912,""))</f>
        <v/>
      </c>
      <c r="AA4912">
        <f>IF($V4912="",N($AA4911),IF(MATCH($V4912,$V$6:$V$6005,0)=ROW()-5,N($AA4911)+1,N($AA4911)))</f>
        <v/>
      </c>
    </row>
    <row r="4913" ht="21" customHeight="1" s="66">
      <c r="A4913" s="56" t="n"/>
      <c r="B4913" s="57" t="n"/>
      <c r="C4913" s="57" t="n"/>
      <c r="D4913" s="57" t="n"/>
      <c r="E4913" s="56" t="n"/>
      <c r="F4913" s="57" t="n"/>
      <c r="G4913" s="57" t="n"/>
      <c r="H4913" s="56" t="n"/>
      <c r="I4913" s="56" t="n"/>
      <c r="J4913" s="58" t="n"/>
      <c r="K4913" s="58" t="n"/>
      <c r="L4913" s="13">
        <f>IF(OR($A4913="",AND($J4913="",$K4913="")),"",ROUND(N($J4913)-N($K4913),2))</f>
        <v/>
      </c>
      <c r="M4913" s="13">
        <f>IF(OR($A4913="",AND($J4913="",$K4913="")),"",MIN($J4913,$K4913))</f>
        <v/>
      </c>
      <c r="Q4913">
        <f>IF($A4913="","",$D4913&amp;"("&amp;SUBSTITUTE($E4913," ","")&amp;")")</f>
        <v/>
      </c>
      <c r="R4913">
        <f>IF($A4913="","",$B4913&amp;" - "&amp;$C4913)</f>
        <v/>
      </c>
      <c r="S4913">
        <f>IF($A4913="","",$R4913&amp;"|"&amp;$Q4913)</f>
        <v/>
      </c>
      <c r="T4913">
        <f>IF($A4913="","",$S4913&amp;"|"&amp;$F4913)</f>
        <v/>
      </c>
      <c r="U4913">
        <f>IF($A4913="","",$R4913&amp;"("&amp;$E4913&amp;")")</f>
        <v/>
      </c>
      <c r="V4913">
        <f>IF($A4913="","",$F4913&amp;"|"&amp;$U4913&amp;"|"&amp;$D4913)</f>
        <v/>
      </c>
      <c r="W4913">
        <f>IF($T4913="","",IF($X4913&gt;N($X4912),$X4913,""))</f>
        <v/>
      </c>
      <c r="X4913">
        <f>IF($T4913="",N($X4912),IF(MATCH($T4913,$T$6:$T$6005,0)=ROW()-5,N($X4912)+1,N($X4912)))</f>
        <v/>
      </c>
      <c r="Z4913">
        <f>IF($V4913="","",IF($AA4913&gt;N($AA4912),$AA4913,""))</f>
        <v/>
      </c>
      <c r="AA4913">
        <f>IF($V4913="",N($AA4912),IF(MATCH($V4913,$V$6:$V$6005,0)=ROW()-5,N($AA4912)+1,N($AA4912)))</f>
        <v/>
      </c>
    </row>
    <row r="4914" ht="21" customHeight="1" s="66">
      <c r="A4914" s="56" t="n"/>
      <c r="B4914" s="57" t="n"/>
      <c r="C4914" s="57" t="n"/>
      <c r="D4914" s="57" t="n"/>
      <c r="E4914" s="56" t="n"/>
      <c r="F4914" s="57" t="n"/>
      <c r="G4914" s="57" t="n"/>
      <c r="H4914" s="56" t="n"/>
      <c r="I4914" s="56" t="n"/>
      <c r="J4914" s="58" t="n"/>
      <c r="K4914" s="58" t="n"/>
      <c r="L4914" s="13">
        <f>IF(OR($A4914="",AND($J4914="",$K4914="")),"",ROUND(N($J4914)-N($K4914),2))</f>
        <v/>
      </c>
      <c r="M4914" s="13">
        <f>IF(OR($A4914="",AND($J4914="",$K4914="")),"",MIN($J4914,$K4914))</f>
        <v/>
      </c>
      <c r="Q4914">
        <f>IF($A4914="","",$D4914&amp;"("&amp;SUBSTITUTE($E4914," ","")&amp;")")</f>
        <v/>
      </c>
      <c r="R4914">
        <f>IF($A4914="","",$B4914&amp;" - "&amp;$C4914)</f>
        <v/>
      </c>
      <c r="S4914">
        <f>IF($A4914="","",$R4914&amp;"|"&amp;$Q4914)</f>
        <v/>
      </c>
      <c r="T4914">
        <f>IF($A4914="","",$S4914&amp;"|"&amp;$F4914)</f>
        <v/>
      </c>
      <c r="U4914">
        <f>IF($A4914="","",$R4914&amp;"("&amp;$E4914&amp;")")</f>
        <v/>
      </c>
      <c r="V4914">
        <f>IF($A4914="","",$F4914&amp;"|"&amp;$U4914&amp;"|"&amp;$D4914)</f>
        <v/>
      </c>
      <c r="W4914">
        <f>IF($T4914="","",IF($X4914&gt;N($X4913),$X4914,""))</f>
        <v/>
      </c>
      <c r="X4914">
        <f>IF($T4914="",N($X4913),IF(MATCH($T4914,$T$6:$T$6005,0)=ROW()-5,N($X4913)+1,N($X4913)))</f>
        <v/>
      </c>
      <c r="Z4914">
        <f>IF($V4914="","",IF($AA4914&gt;N($AA4913),$AA4914,""))</f>
        <v/>
      </c>
      <c r="AA4914">
        <f>IF($V4914="",N($AA4913),IF(MATCH($V4914,$V$6:$V$6005,0)=ROW()-5,N($AA4913)+1,N($AA4913)))</f>
        <v/>
      </c>
    </row>
    <row r="4915" ht="21" customHeight="1" s="66">
      <c r="A4915" s="56" t="n"/>
      <c r="B4915" s="57" t="n"/>
      <c r="C4915" s="57" t="n"/>
      <c r="D4915" s="57" t="n"/>
      <c r="E4915" s="56" t="n"/>
      <c r="F4915" s="57" t="n"/>
      <c r="G4915" s="57" t="n"/>
      <c r="H4915" s="56" t="n"/>
      <c r="I4915" s="56" t="n"/>
      <c r="J4915" s="58" t="n"/>
      <c r="K4915" s="58" t="n"/>
      <c r="L4915" s="13">
        <f>IF(OR($A4915="",AND($J4915="",$K4915="")),"",ROUND(N($J4915)-N($K4915),2))</f>
        <v/>
      </c>
      <c r="M4915" s="13">
        <f>IF(OR($A4915="",AND($J4915="",$K4915="")),"",MIN($J4915,$K4915))</f>
        <v/>
      </c>
      <c r="Q4915">
        <f>IF($A4915="","",$D4915&amp;"("&amp;SUBSTITUTE($E4915," ","")&amp;")")</f>
        <v/>
      </c>
      <c r="R4915">
        <f>IF($A4915="","",$B4915&amp;" - "&amp;$C4915)</f>
        <v/>
      </c>
      <c r="S4915">
        <f>IF($A4915="","",$R4915&amp;"|"&amp;$Q4915)</f>
        <v/>
      </c>
      <c r="T4915">
        <f>IF($A4915="","",$S4915&amp;"|"&amp;$F4915)</f>
        <v/>
      </c>
      <c r="U4915">
        <f>IF($A4915="","",$R4915&amp;"("&amp;$E4915&amp;")")</f>
        <v/>
      </c>
      <c r="V4915">
        <f>IF($A4915="","",$F4915&amp;"|"&amp;$U4915&amp;"|"&amp;$D4915)</f>
        <v/>
      </c>
      <c r="W4915">
        <f>IF($T4915="","",IF($X4915&gt;N($X4914),$X4915,""))</f>
        <v/>
      </c>
      <c r="X4915">
        <f>IF($T4915="",N($X4914),IF(MATCH($T4915,$T$6:$T$6005,0)=ROW()-5,N($X4914)+1,N($X4914)))</f>
        <v/>
      </c>
      <c r="Z4915">
        <f>IF($V4915="","",IF($AA4915&gt;N($AA4914),$AA4915,""))</f>
        <v/>
      </c>
      <c r="AA4915">
        <f>IF($V4915="",N($AA4914),IF(MATCH($V4915,$V$6:$V$6005,0)=ROW()-5,N($AA4914)+1,N($AA4914)))</f>
        <v/>
      </c>
    </row>
    <row r="4916" ht="21" customHeight="1" s="66">
      <c r="A4916" s="56" t="n"/>
      <c r="B4916" s="57" t="n"/>
      <c r="C4916" s="57" t="n"/>
      <c r="D4916" s="57" t="n"/>
      <c r="E4916" s="56" t="n"/>
      <c r="F4916" s="57" t="n"/>
      <c r="G4916" s="57" t="n"/>
      <c r="H4916" s="56" t="n"/>
      <c r="I4916" s="56" t="n"/>
      <c r="J4916" s="58" t="n"/>
      <c r="K4916" s="58" t="n"/>
      <c r="L4916" s="13">
        <f>IF(OR($A4916="",AND($J4916="",$K4916="")),"",ROUND(N($J4916)-N($K4916),2))</f>
        <v/>
      </c>
      <c r="M4916" s="13">
        <f>IF(OR($A4916="",AND($J4916="",$K4916="")),"",MIN($J4916,$K4916))</f>
        <v/>
      </c>
      <c r="Q4916">
        <f>IF($A4916="","",$D4916&amp;"("&amp;SUBSTITUTE($E4916," ","")&amp;")")</f>
        <v/>
      </c>
      <c r="R4916">
        <f>IF($A4916="","",$B4916&amp;" - "&amp;$C4916)</f>
        <v/>
      </c>
      <c r="S4916">
        <f>IF($A4916="","",$R4916&amp;"|"&amp;$Q4916)</f>
        <v/>
      </c>
      <c r="T4916">
        <f>IF($A4916="","",$S4916&amp;"|"&amp;$F4916)</f>
        <v/>
      </c>
      <c r="U4916">
        <f>IF($A4916="","",$R4916&amp;"("&amp;$E4916&amp;")")</f>
        <v/>
      </c>
      <c r="V4916">
        <f>IF($A4916="","",$F4916&amp;"|"&amp;$U4916&amp;"|"&amp;$D4916)</f>
        <v/>
      </c>
      <c r="W4916">
        <f>IF($T4916="","",IF($X4916&gt;N($X4915),$X4916,""))</f>
        <v/>
      </c>
      <c r="X4916">
        <f>IF($T4916="",N($X4915),IF(MATCH($T4916,$T$6:$T$6005,0)=ROW()-5,N($X4915)+1,N($X4915)))</f>
        <v/>
      </c>
      <c r="Z4916">
        <f>IF($V4916="","",IF($AA4916&gt;N($AA4915),$AA4916,""))</f>
        <v/>
      </c>
      <c r="AA4916">
        <f>IF($V4916="",N($AA4915),IF(MATCH($V4916,$V$6:$V$6005,0)=ROW()-5,N($AA4915)+1,N($AA4915)))</f>
        <v/>
      </c>
    </row>
    <row r="4917" ht="21" customHeight="1" s="66">
      <c r="A4917" s="56" t="n"/>
      <c r="B4917" s="57" t="n"/>
      <c r="C4917" s="57" t="n"/>
      <c r="D4917" s="57" t="n"/>
      <c r="E4917" s="56" t="n"/>
      <c r="F4917" s="57" t="n"/>
      <c r="G4917" s="57" t="n"/>
      <c r="H4917" s="56" t="n"/>
      <c r="I4917" s="56" t="n"/>
      <c r="J4917" s="58" t="n"/>
      <c r="K4917" s="58" t="n"/>
      <c r="L4917" s="13">
        <f>IF(OR($A4917="",AND($J4917="",$K4917="")),"",ROUND(N($J4917)-N($K4917),2))</f>
        <v/>
      </c>
      <c r="M4917" s="13">
        <f>IF(OR($A4917="",AND($J4917="",$K4917="")),"",MIN($J4917,$K4917))</f>
        <v/>
      </c>
      <c r="Q4917">
        <f>IF($A4917="","",$D4917&amp;"("&amp;SUBSTITUTE($E4917," ","")&amp;")")</f>
        <v/>
      </c>
      <c r="R4917">
        <f>IF($A4917="","",$B4917&amp;" - "&amp;$C4917)</f>
        <v/>
      </c>
      <c r="S4917">
        <f>IF($A4917="","",$R4917&amp;"|"&amp;$Q4917)</f>
        <v/>
      </c>
      <c r="T4917">
        <f>IF($A4917="","",$S4917&amp;"|"&amp;$F4917)</f>
        <v/>
      </c>
      <c r="U4917">
        <f>IF($A4917="","",$R4917&amp;"("&amp;$E4917&amp;")")</f>
        <v/>
      </c>
      <c r="V4917">
        <f>IF($A4917="","",$F4917&amp;"|"&amp;$U4917&amp;"|"&amp;$D4917)</f>
        <v/>
      </c>
      <c r="W4917">
        <f>IF($T4917="","",IF($X4917&gt;N($X4916),$X4917,""))</f>
        <v/>
      </c>
      <c r="X4917">
        <f>IF($T4917="",N($X4916),IF(MATCH($T4917,$T$6:$T$6005,0)=ROW()-5,N($X4916)+1,N($X4916)))</f>
        <v/>
      </c>
      <c r="Z4917">
        <f>IF($V4917="","",IF($AA4917&gt;N($AA4916),$AA4917,""))</f>
        <v/>
      </c>
      <c r="AA4917">
        <f>IF($V4917="",N($AA4916),IF(MATCH($V4917,$V$6:$V$6005,0)=ROW()-5,N($AA4916)+1,N($AA4916)))</f>
        <v/>
      </c>
    </row>
    <row r="4918" ht="21" customHeight="1" s="66">
      <c r="A4918" s="56" t="n"/>
      <c r="B4918" s="57" t="n"/>
      <c r="C4918" s="57" t="n"/>
      <c r="D4918" s="57" t="n"/>
      <c r="E4918" s="56" t="n"/>
      <c r="F4918" s="57" t="n"/>
      <c r="G4918" s="57" t="n"/>
      <c r="H4918" s="56" t="n"/>
      <c r="I4918" s="56" t="n"/>
      <c r="J4918" s="58" t="n"/>
      <c r="K4918" s="58" t="n"/>
      <c r="L4918" s="13">
        <f>IF(OR($A4918="",AND($J4918="",$K4918="")),"",ROUND(N($J4918)-N($K4918),2))</f>
        <v/>
      </c>
      <c r="M4918" s="13">
        <f>IF(OR($A4918="",AND($J4918="",$K4918="")),"",MIN($J4918,$K4918))</f>
        <v/>
      </c>
      <c r="Q4918">
        <f>IF($A4918="","",$D4918&amp;"("&amp;SUBSTITUTE($E4918," ","")&amp;")")</f>
        <v/>
      </c>
      <c r="R4918">
        <f>IF($A4918="","",$B4918&amp;" - "&amp;$C4918)</f>
        <v/>
      </c>
      <c r="S4918">
        <f>IF($A4918="","",$R4918&amp;"|"&amp;$Q4918)</f>
        <v/>
      </c>
      <c r="T4918">
        <f>IF($A4918="","",$S4918&amp;"|"&amp;$F4918)</f>
        <v/>
      </c>
      <c r="U4918">
        <f>IF($A4918="","",$R4918&amp;"("&amp;$E4918&amp;")")</f>
        <v/>
      </c>
      <c r="V4918">
        <f>IF($A4918="","",$F4918&amp;"|"&amp;$U4918&amp;"|"&amp;$D4918)</f>
        <v/>
      </c>
      <c r="W4918">
        <f>IF($T4918="","",IF($X4918&gt;N($X4917),$X4918,""))</f>
        <v/>
      </c>
      <c r="X4918">
        <f>IF($T4918="",N($X4917),IF(MATCH($T4918,$T$6:$T$6005,0)=ROW()-5,N($X4917)+1,N($X4917)))</f>
        <v/>
      </c>
      <c r="Z4918">
        <f>IF($V4918="","",IF($AA4918&gt;N($AA4917),$AA4918,""))</f>
        <v/>
      </c>
      <c r="AA4918">
        <f>IF($V4918="",N($AA4917),IF(MATCH($V4918,$V$6:$V$6005,0)=ROW()-5,N($AA4917)+1,N($AA4917)))</f>
        <v/>
      </c>
    </row>
    <row r="4919" ht="21" customHeight="1" s="66">
      <c r="A4919" s="56" t="n"/>
      <c r="B4919" s="57" t="n"/>
      <c r="C4919" s="57" t="n"/>
      <c r="D4919" s="57" t="n"/>
      <c r="E4919" s="56" t="n"/>
      <c r="F4919" s="57" t="n"/>
      <c r="G4919" s="57" t="n"/>
      <c r="H4919" s="56" t="n"/>
      <c r="I4919" s="56" t="n"/>
      <c r="J4919" s="58" t="n"/>
      <c r="K4919" s="58" t="n"/>
      <c r="L4919" s="13">
        <f>IF(OR($A4919="",AND($J4919="",$K4919="")),"",ROUND(N($J4919)-N($K4919),2))</f>
        <v/>
      </c>
      <c r="M4919" s="13">
        <f>IF(OR($A4919="",AND($J4919="",$K4919="")),"",MIN($J4919,$K4919))</f>
        <v/>
      </c>
      <c r="Q4919">
        <f>IF($A4919="","",$D4919&amp;"("&amp;SUBSTITUTE($E4919," ","")&amp;")")</f>
        <v/>
      </c>
      <c r="R4919">
        <f>IF($A4919="","",$B4919&amp;" - "&amp;$C4919)</f>
        <v/>
      </c>
      <c r="S4919">
        <f>IF($A4919="","",$R4919&amp;"|"&amp;$Q4919)</f>
        <v/>
      </c>
      <c r="T4919">
        <f>IF($A4919="","",$S4919&amp;"|"&amp;$F4919)</f>
        <v/>
      </c>
      <c r="U4919">
        <f>IF($A4919="","",$R4919&amp;"("&amp;$E4919&amp;")")</f>
        <v/>
      </c>
      <c r="V4919">
        <f>IF($A4919="","",$F4919&amp;"|"&amp;$U4919&amp;"|"&amp;$D4919)</f>
        <v/>
      </c>
      <c r="W4919">
        <f>IF($T4919="","",IF($X4919&gt;N($X4918),$X4919,""))</f>
        <v/>
      </c>
      <c r="X4919">
        <f>IF($T4919="",N($X4918),IF(MATCH($T4919,$T$6:$T$6005,0)=ROW()-5,N($X4918)+1,N($X4918)))</f>
        <v/>
      </c>
      <c r="Z4919">
        <f>IF($V4919="","",IF($AA4919&gt;N($AA4918),$AA4919,""))</f>
        <v/>
      </c>
      <c r="AA4919">
        <f>IF($V4919="",N($AA4918),IF(MATCH($V4919,$V$6:$V$6005,0)=ROW()-5,N($AA4918)+1,N($AA4918)))</f>
        <v/>
      </c>
    </row>
    <row r="4920" ht="21" customHeight="1" s="66">
      <c r="A4920" s="56" t="n"/>
      <c r="B4920" s="57" t="n"/>
      <c r="C4920" s="57" t="n"/>
      <c r="D4920" s="57" t="n"/>
      <c r="E4920" s="56" t="n"/>
      <c r="F4920" s="57" t="n"/>
      <c r="G4920" s="57" t="n"/>
      <c r="H4920" s="56" t="n"/>
      <c r="I4920" s="56" t="n"/>
      <c r="J4920" s="58" t="n"/>
      <c r="K4920" s="58" t="n"/>
      <c r="L4920" s="13">
        <f>IF(OR($A4920="",AND($J4920="",$K4920="")),"",ROUND(N($J4920)-N($K4920),2))</f>
        <v/>
      </c>
      <c r="M4920" s="13">
        <f>IF(OR($A4920="",AND($J4920="",$K4920="")),"",MIN($J4920,$K4920))</f>
        <v/>
      </c>
      <c r="Q4920">
        <f>IF($A4920="","",$D4920&amp;"("&amp;SUBSTITUTE($E4920," ","")&amp;")")</f>
        <v/>
      </c>
      <c r="R4920">
        <f>IF($A4920="","",$B4920&amp;" - "&amp;$C4920)</f>
        <v/>
      </c>
      <c r="S4920">
        <f>IF($A4920="","",$R4920&amp;"|"&amp;$Q4920)</f>
        <v/>
      </c>
      <c r="T4920">
        <f>IF($A4920="","",$S4920&amp;"|"&amp;$F4920)</f>
        <v/>
      </c>
      <c r="U4920">
        <f>IF($A4920="","",$R4920&amp;"("&amp;$E4920&amp;")")</f>
        <v/>
      </c>
      <c r="V4920">
        <f>IF($A4920="","",$F4920&amp;"|"&amp;$U4920&amp;"|"&amp;$D4920)</f>
        <v/>
      </c>
      <c r="W4920">
        <f>IF($T4920="","",IF($X4920&gt;N($X4919),$X4920,""))</f>
        <v/>
      </c>
      <c r="X4920">
        <f>IF($T4920="",N($X4919),IF(MATCH($T4920,$T$6:$T$6005,0)=ROW()-5,N($X4919)+1,N($X4919)))</f>
        <v/>
      </c>
      <c r="Z4920">
        <f>IF($V4920="","",IF($AA4920&gt;N($AA4919),$AA4920,""))</f>
        <v/>
      </c>
      <c r="AA4920">
        <f>IF($V4920="",N($AA4919),IF(MATCH($V4920,$V$6:$V$6005,0)=ROW()-5,N($AA4919)+1,N($AA4919)))</f>
        <v/>
      </c>
    </row>
    <row r="4921" ht="21" customHeight="1" s="66">
      <c r="A4921" s="56" t="n"/>
      <c r="B4921" s="57" t="n"/>
      <c r="C4921" s="57" t="n"/>
      <c r="D4921" s="57" t="n"/>
      <c r="E4921" s="56" t="n"/>
      <c r="F4921" s="57" t="n"/>
      <c r="G4921" s="57" t="n"/>
      <c r="H4921" s="56" t="n"/>
      <c r="I4921" s="56" t="n"/>
      <c r="J4921" s="58" t="n"/>
      <c r="K4921" s="58" t="n"/>
      <c r="L4921" s="13">
        <f>IF(OR($A4921="",AND($J4921="",$K4921="")),"",ROUND(N($J4921)-N($K4921),2))</f>
        <v/>
      </c>
      <c r="M4921" s="13">
        <f>IF(OR($A4921="",AND($J4921="",$K4921="")),"",MIN($J4921,$K4921))</f>
        <v/>
      </c>
      <c r="Q4921">
        <f>IF($A4921="","",$D4921&amp;"("&amp;SUBSTITUTE($E4921," ","")&amp;")")</f>
        <v/>
      </c>
      <c r="R4921">
        <f>IF($A4921="","",$B4921&amp;" - "&amp;$C4921)</f>
        <v/>
      </c>
      <c r="S4921">
        <f>IF($A4921="","",$R4921&amp;"|"&amp;$Q4921)</f>
        <v/>
      </c>
      <c r="T4921">
        <f>IF($A4921="","",$S4921&amp;"|"&amp;$F4921)</f>
        <v/>
      </c>
      <c r="U4921">
        <f>IF($A4921="","",$R4921&amp;"("&amp;$E4921&amp;")")</f>
        <v/>
      </c>
      <c r="V4921">
        <f>IF($A4921="","",$F4921&amp;"|"&amp;$U4921&amp;"|"&amp;$D4921)</f>
        <v/>
      </c>
      <c r="W4921">
        <f>IF($T4921="","",IF($X4921&gt;N($X4920),$X4921,""))</f>
        <v/>
      </c>
      <c r="X4921">
        <f>IF($T4921="",N($X4920),IF(MATCH($T4921,$T$6:$T$6005,0)=ROW()-5,N($X4920)+1,N($X4920)))</f>
        <v/>
      </c>
      <c r="Z4921">
        <f>IF($V4921="","",IF($AA4921&gt;N($AA4920),$AA4921,""))</f>
        <v/>
      </c>
      <c r="AA4921">
        <f>IF($V4921="",N($AA4920),IF(MATCH($V4921,$V$6:$V$6005,0)=ROW()-5,N($AA4920)+1,N($AA4920)))</f>
        <v/>
      </c>
    </row>
    <row r="4922" ht="21" customHeight="1" s="66">
      <c r="A4922" s="56" t="n"/>
      <c r="B4922" s="57" t="n"/>
      <c r="C4922" s="57" t="n"/>
      <c r="D4922" s="57" t="n"/>
      <c r="E4922" s="56" t="n"/>
      <c r="F4922" s="57" t="n"/>
      <c r="G4922" s="57" t="n"/>
      <c r="H4922" s="56" t="n"/>
      <c r="I4922" s="56" t="n"/>
      <c r="J4922" s="58" t="n"/>
      <c r="K4922" s="58" t="n"/>
      <c r="L4922" s="13">
        <f>IF(OR($A4922="",AND($J4922="",$K4922="")),"",ROUND(N($J4922)-N($K4922),2))</f>
        <v/>
      </c>
      <c r="M4922" s="13">
        <f>IF(OR($A4922="",AND($J4922="",$K4922="")),"",MIN($J4922,$K4922))</f>
        <v/>
      </c>
      <c r="Q4922">
        <f>IF($A4922="","",$D4922&amp;"("&amp;SUBSTITUTE($E4922," ","")&amp;")")</f>
        <v/>
      </c>
      <c r="R4922">
        <f>IF($A4922="","",$B4922&amp;" - "&amp;$C4922)</f>
        <v/>
      </c>
      <c r="S4922">
        <f>IF($A4922="","",$R4922&amp;"|"&amp;$Q4922)</f>
        <v/>
      </c>
      <c r="T4922">
        <f>IF($A4922="","",$S4922&amp;"|"&amp;$F4922)</f>
        <v/>
      </c>
      <c r="U4922">
        <f>IF($A4922="","",$R4922&amp;"("&amp;$E4922&amp;")")</f>
        <v/>
      </c>
      <c r="V4922">
        <f>IF($A4922="","",$F4922&amp;"|"&amp;$U4922&amp;"|"&amp;$D4922)</f>
        <v/>
      </c>
      <c r="W4922">
        <f>IF($T4922="","",IF($X4922&gt;N($X4921),$X4922,""))</f>
        <v/>
      </c>
      <c r="X4922">
        <f>IF($T4922="",N($X4921),IF(MATCH($T4922,$T$6:$T$6005,0)=ROW()-5,N($X4921)+1,N($X4921)))</f>
        <v/>
      </c>
      <c r="Z4922">
        <f>IF($V4922="","",IF($AA4922&gt;N($AA4921),$AA4922,""))</f>
        <v/>
      </c>
      <c r="AA4922">
        <f>IF($V4922="",N($AA4921),IF(MATCH($V4922,$V$6:$V$6005,0)=ROW()-5,N($AA4921)+1,N($AA4921)))</f>
        <v/>
      </c>
    </row>
    <row r="4923" ht="21" customHeight="1" s="66">
      <c r="A4923" s="56" t="n"/>
      <c r="B4923" s="57" t="n"/>
      <c r="C4923" s="57" t="n"/>
      <c r="D4923" s="57" t="n"/>
      <c r="E4923" s="56" t="n"/>
      <c r="F4923" s="57" t="n"/>
      <c r="G4923" s="57" t="n"/>
      <c r="H4923" s="56" t="n"/>
      <c r="I4923" s="56" t="n"/>
      <c r="J4923" s="58" t="n"/>
      <c r="K4923" s="58" t="n"/>
      <c r="L4923" s="13">
        <f>IF(OR($A4923="",AND($J4923="",$K4923="")),"",ROUND(N($J4923)-N($K4923),2))</f>
        <v/>
      </c>
      <c r="M4923" s="13">
        <f>IF(OR($A4923="",AND($J4923="",$K4923="")),"",MIN($J4923,$K4923))</f>
        <v/>
      </c>
      <c r="Q4923">
        <f>IF($A4923="","",$D4923&amp;"("&amp;SUBSTITUTE($E4923," ","")&amp;")")</f>
        <v/>
      </c>
      <c r="R4923">
        <f>IF($A4923="","",$B4923&amp;" - "&amp;$C4923)</f>
        <v/>
      </c>
      <c r="S4923">
        <f>IF($A4923="","",$R4923&amp;"|"&amp;$Q4923)</f>
        <v/>
      </c>
      <c r="T4923">
        <f>IF($A4923="","",$S4923&amp;"|"&amp;$F4923)</f>
        <v/>
      </c>
      <c r="U4923">
        <f>IF($A4923="","",$R4923&amp;"("&amp;$E4923&amp;")")</f>
        <v/>
      </c>
      <c r="V4923">
        <f>IF($A4923="","",$F4923&amp;"|"&amp;$U4923&amp;"|"&amp;$D4923)</f>
        <v/>
      </c>
      <c r="W4923">
        <f>IF($T4923="","",IF($X4923&gt;N($X4922),$X4923,""))</f>
        <v/>
      </c>
      <c r="X4923">
        <f>IF($T4923="",N($X4922),IF(MATCH($T4923,$T$6:$T$6005,0)=ROW()-5,N($X4922)+1,N($X4922)))</f>
        <v/>
      </c>
      <c r="Z4923">
        <f>IF($V4923="","",IF($AA4923&gt;N($AA4922),$AA4923,""))</f>
        <v/>
      </c>
      <c r="AA4923">
        <f>IF($V4923="",N($AA4922),IF(MATCH($V4923,$V$6:$V$6005,0)=ROW()-5,N($AA4922)+1,N($AA4922)))</f>
        <v/>
      </c>
    </row>
    <row r="4924" ht="21" customHeight="1" s="66">
      <c r="A4924" s="56" t="n"/>
      <c r="B4924" s="57" t="n"/>
      <c r="C4924" s="57" t="n"/>
      <c r="D4924" s="57" t="n"/>
      <c r="E4924" s="56" t="n"/>
      <c r="F4924" s="57" t="n"/>
      <c r="G4924" s="57" t="n"/>
      <c r="H4924" s="56" t="n"/>
      <c r="I4924" s="56" t="n"/>
      <c r="J4924" s="58" t="n"/>
      <c r="K4924" s="58" t="n"/>
      <c r="L4924" s="13">
        <f>IF(OR($A4924="",AND($J4924="",$K4924="")),"",ROUND(N($J4924)-N($K4924),2))</f>
        <v/>
      </c>
      <c r="M4924" s="13">
        <f>IF(OR($A4924="",AND($J4924="",$K4924="")),"",MIN($J4924,$K4924))</f>
        <v/>
      </c>
      <c r="Q4924">
        <f>IF($A4924="","",$D4924&amp;"("&amp;SUBSTITUTE($E4924," ","")&amp;")")</f>
        <v/>
      </c>
      <c r="R4924">
        <f>IF($A4924="","",$B4924&amp;" - "&amp;$C4924)</f>
        <v/>
      </c>
      <c r="S4924">
        <f>IF($A4924="","",$R4924&amp;"|"&amp;$Q4924)</f>
        <v/>
      </c>
      <c r="T4924">
        <f>IF($A4924="","",$S4924&amp;"|"&amp;$F4924)</f>
        <v/>
      </c>
      <c r="U4924">
        <f>IF($A4924="","",$R4924&amp;"("&amp;$E4924&amp;")")</f>
        <v/>
      </c>
      <c r="V4924">
        <f>IF($A4924="","",$F4924&amp;"|"&amp;$U4924&amp;"|"&amp;$D4924)</f>
        <v/>
      </c>
      <c r="W4924">
        <f>IF($T4924="","",IF($X4924&gt;N($X4923),$X4924,""))</f>
        <v/>
      </c>
      <c r="X4924">
        <f>IF($T4924="",N($X4923),IF(MATCH($T4924,$T$6:$T$6005,0)=ROW()-5,N($X4923)+1,N($X4923)))</f>
        <v/>
      </c>
      <c r="Z4924">
        <f>IF($V4924="","",IF($AA4924&gt;N($AA4923),$AA4924,""))</f>
        <v/>
      </c>
      <c r="AA4924">
        <f>IF($V4924="",N($AA4923),IF(MATCH($V4924,$V$6:$V$6005,0)=ROW()-5,N($AA4923)+1,N($AA4923)))</f>
        <v/>
      </c>
    </row>
    <row r="4925" ht="21" customHeight="1" s="66">
      <c r="A4925" s="56" t="n"/>
      <c r="B4925" s="57" t="n"/>
      <c r="C4925" s="57" t="n"/>
      <c r="D4925" s="57" t="n"/>
      <c r="E4925" s="56" t="n"/>
      <c r="F4925" s="57" t="n"/>
      <c r="G4925" s="57" t="n"/>
      <c r="H4925" s="56" t="n"/>
      <c r="I4925" s="56" t="n"/>
      <c r="J4925" s="58" t="n"/>
      <c r="K4925" s="58" t="n"/>
      <c r="L4925" s="13">
        <f>IF(OR($A4925="",AND($J4925="",$K4925="")),"",ROUND(N($J4925)-N($K4925),2))</f>
        <v/>
      </c>
      <c r="M4925" s="13">
        <f>IF(OR($A4925="",AND($J4925="",$K4925="")),"",MIN($J4925,$K4925))</f>
        <v/>
      </c>
      <c r="Q4925">
        <f>IF($A4925="","",$D4925&amp;"("&amp;SUBSTITUTE($E4925," ","")&amp;")")</f>
        <v/>
      </c>
      <c r="R4925">
        <f>IF($A4925="","",$B4925&amp;" - "&amp;$C4925)</f>
        <v/>
      </c>
      <c r="S4925">
        <f>IF($A4925="","",$R4925&amp;"|"&amp;$Q4925)</f>
        <v/>
      </c>
      <c r="T4925">
        <f>IF($A4925="","",$S4925&amp;"|"&amp;$F4925)</f>
        <v/>
      </c>
      <c r="U4925">
        <f>IF($A4925="","",$R4925&amp;"("&amp;$E4925&amp;")")</f>
        <v/>
      </c>
      <c r="V4925">
        <f>IF($A4925="","",$F4925&amp;"|"&amp;$U4925&amp;"|"&amp;$D4925)</f>
        <v/>
      </c>
      <c r="W4925">
        <f>IF($T4925="","",IF($X4925&gt;N($X4924),$X4925,""))</f>
        <v/>
      </c>
      <c r="X4925">
        <f>IF($T4925="",N($X4924),IF(MATCH($T4925,$T$6:$T$6005,0)=ROW()-5,N($X4924)+1,N($X4924)))</f>
        <v/>
      </c>
      <c r="Z4925">
        <f>IF($V4925="","",IF($AA4925&gt;N($AA4924),$AA4925,""))</f>
        <v/>
      </c>
      <c r="AA4925">
        <f>IF($V4925="",N($AA4924),IF(MATCH($V4925,$V$6:$V$6005,0)=ROW()-5,N($AA4924)+1,N($AA4924)))</f>
        <v/>
      </c>
    </row>
    <row r="4926" ht="21" customHeight="1" s="66">
      <c r="A4926" s="56" t="n"/>
      <c r="B4926" s="57" t="n"/>
      <c r="C4926" s="57" t="n"/>
      <c r="D4926" s="57" t="n"/>
      <c r="E4926" s="56" t="n"/>
      <c r="F4926" s="57" t="n"/>
      <c r="G4926" s="57" t="n"/>
      <c r="H4926" s="56" t="n"/>
      <c r="I4926" s="56" t="n"/>
      <c r="J4926" s="58" t="n"/>
      <c r="K4926" s="58" t="n"/>
      <c r="L4926" s="13">
        <f>IF(OR($A4926="",AND($J4926="",$K4926="")),"",ROUND(N($J4926)-N($K4926),2))</f>
        <v/>
      </c>
      <c r="M4926" s="13">
        <f>IF(OR($A4926="",AND($J4926="",$K4926="")),"",MIN($J4926,$K4926))</f>
        <v/>
      </c>
      <c r="Q4926">
        <f>IF($A4926="","",$D4926&amp;"("&amp;SUBSTITUTE($E4926," ","")&amp;")")</f>
        <v/>
      </c>
      <c r="R4926">
        <f>IF($A4926="","",$B4926&amp;" - "&amp;$C4926)</f>
        <v/>
      </c>
      <c r="S4926">
        <f>IF($A4926="","",$R4926&amp;"|"&amp;$Q4926)</f>
        <v/>
      </c>
      <c r="T4926">
        <f>IF($A4926="","",$S4926&amp;"|"&amp;$F4926)</f>
        <v/>
      </c>
      <c r="U4926">
        <f>IF($A4926="","",$R4926&amp;"("&amp;$E4926&amp;")")</f>
        <v/>
      </c>
      <c r="V4926">
        <f>IF($A4926="","",$F4926&amp;"|"&amp;$U4926&amp;"|"&amp;$D4926)</f>
        <v/>
      </c>
      <c r="W4926">
        <f>IF($T4926="","",IF($X4926&gt;N($X4925),$X4926,""))</f>
        <v/>
      </c>
      <c r="X4926">
        <f>IF($T4926="",N($X4925),IF(MATCH($T4926,$T$6:$T$6005,0)=ROW()-5,N($X4925)+1,N($X4925)))</f>
        <v/>
      </c>
      <c r="Z4926">
        <f>IF($V4926="","",IF($AA4926&gt;N($AA4925),$AA4926,""))</f>
        <v/>
      </c>
      <c r="AA4926">
        <f>IF($V4926="",N($AA4925),IF(MATCH($V4926,$V$6:$V$6005,0)=ROW()-5,N($AA4925)+1,N($AA4925)))</f>
        <v/>
      </c>
    </row>
    <row r="4927" ht="21" customHeight="1" s="66">
      <c r="A4927" s="56" t="n"/>
      <c r="B4927" s="57" t="n"/>
      <c r="C4927" s="57" t="n"/>
      <c r="D4927" s="57" t="n"/>
      <c r="E4927" s="56" t="n"/>
      <c r="F4927" s="57" t="n"/>
      <c r="G4927" s="57" t="n"/>
      <c r="H4927" s="56" t="n"/>
      <c r="I4927" s="56" t="n"/>
      <c r="J4927" s="58" t="n"/>
      <c r="K4927" s="58" t="n"/>
      <c r="L4927" s="13">
        <f>IF(OR($A4927="",AND($J4927="",$K4927="")),"",ROUND(N($J4927)-N($K4927),2))</f>
        <v/>
      </c>
      <c r="M4927" s="13">
        <f>IF(OR($A4927="",AND($J4927="",$K4927="")),"",MIN($J4927,$K4927))</f>
        <v/>
      </c>
      <c r="Q4927">
        <f>IF($A4927="","",$D4927&amp;"("&amp;SUBSTITUTE($E4927," ","")&amp;")")</f>
        <v/>
      </c>
      <c r="R4927">
        <f>IF($A4927="","",$B4927&amp;" - "&amp;$C4927)</f>
        <v/>
      </c>
      <c r="S4927">
        <f>IF($A4927="","",$R4927&amp;"|"&amp;$Q4927)</f>
        <v/>
      </c>
      <c r="T4927">
        <f>IF($A4927="","",$S4927&amp;"|"&amp;$F4927)</f>
        <v/>
      </c>
      <c r="U4927">
        <f>IF($A4927="","",$R4927&amp;"("&amp;$E4927&amp;")")</f>
        <v/>
      </c>
      <c r="V4927">
        <f>IF($A4927="","",$F4927&amp;"|"&amp;$U4927&amp;"|"&amp;$D4927)</f>
        <v/>
      </c>
      <c r="W4927">
        <f>IF($T4927="","",IF($X4927&gt;N($X4926),$X4927,""))</f>
        <v/>
      </c>
      <c r="X4927">
        <f>IF($T4927="",N($X4926),IF(MATCH($T4927,$T$6:$T$6005,0)=ROW()-5,N($X4926)+1,N($X4926)))</f>
        <v/>
      </c>
      <c r="Z4927">
        <f>IF($V4927="","",IF($AA4927&gt;N($AA4926),$AA4927,""))</f>
        <v/>
      </c>
      <c r="AA4927">
        <f>IF($V4927="",N($AA4926),IF(MATCH($V4927,$V$6:$V$6005,0)=ROW()-5,N($AA4926)+1,N($AA4926)))</f>
        <v/>
      </c>
    </row>
    <row r="4928" ht="21" customHeight="1" s="66">
      <c r="A4928" s="56" t="n"/>
      <c r="B4928" s="57" t="n"/>
      <c r="C4928" s="57" t="n"/>
      <c r="D4928" s="57" t="n"/>
      <c r="E4928" s="56" t="n"/>
      <c r="F4928" s="57" t="n"/>
      <c r="G4928" s="57" t="n"/>
      <c r="H4928" s="56" t="n"/>
      <c r="I4928" s="56" t="n"/>
      <c r="J4928" s="58" t="n"/>
      <c r="K4928" s="58" t="n"/>
      <c r="L4928" s="13">
        <f>IF(OR($A4928="",AND($J4928="",$K4928="")),"",ROUND(N($J4928)-N($K4928),2))</f>
        <v/>
      </c>
      <c r="M4928" s="13">
        <f>IF(OR($A4928="",AND($J4928="",$K4928="")),"",MIN($J4928,$K4928))</f>
        <v/>
      </c>
      <c r="Q4928">
        <f>IF($A4928="","",$D4928&amp;"("&amp;SUBSTITUTE($E4928," ","")&amp;")")</f>
        <v/>
      </c>
      <c r="R4928">
        <f>IF($A4928="","",$B4928&amp;" - "&amp;$C4928)</f>
        <v/>
      </c>
      <c r="S4928">
        <f>IF($A4928="","",$R4928&amp;"|"&amp;$Q4928)</f>
        <v/>
      </c>
      <c r="T4928">
        <f>IF($A4928="","",$S4928&amp;"|"&amp;$F4928)</f>
        <v/>
      </c>
      <c r="U4928">
        <f>IF($A4928="","",$R4928&amp;"("&amp;$E4928&amp;")")</f>
        <v/>
      </c>
      <c r="V4928">
        <f>IF($A4928="","",$F4928&amp;"|"&amp;$U4928&amp;"|"&amp;$D4928)</f>
        <v/>
      </c>
      <c r="W4928">
        <f>IF($T4928="","",IF($X4928&gt;N($X4927),$X4928,""))</f>
        <v/>
      </c>
      <c r="X4928">
        <f>IF($T4928="",N($X4927),IF(MATCH($T4928,$T$6:$T$6005,0)=ROW()-5,N($X4927)+1,N($X4927)))</f>
        <v/>
      </c>
      <c r="Z4928">
        <f>IF($V4928="","",IF($AA4928&gt;N($AA4927),$AA4928,""))</f>
        <v/>
      </c>
      <c r="AA4928">
        <f>IF($V4928="",N($AA4927),IF(MATCH($V4928,$V$6:$V$6005,0)=ROW()-5,N($AA4927)+1,N($AA4927)))</f>
        <v/>
      </c>
    </row>
    <row r="4929" ht="21" customHeight="1" s="66">
      <c r="A4929" s="56" t="n"/>
      <c r="B4929" s="57" t="n"/>
      <c r="C4929" s="57" t="n"/>
      <c r="D4929" s="57" t="n"/>
      <c r="E4929" s="56" t="n"/>
      <c r="F4929" s="57" t="n"/>
      <c r="G4929" s="57" t="n"/>
      <c r="H4929" s="56" t="n"/>
      <c r="I4929" s="56" t="n"/>
      <c r="J4929" s="58" t="n"/>
      <c r="K4929" s="58" t="n"/>
      <c r="L4929" s="13">
        <f>IF(OR($A4929="",AND($J4929="",$K4929="")),"",ROUND(N($J4929)-N($K4929),2))</f>
        <v/>
      </c>
      <c r="M4929" s="13">
        <f>IF(OR($A4929="",AND($J4929="",$K4929="")),"",MIN($J4929,$K4929))</f>
        <v/>
      </c>
      <c r="Q4929">
        <f>IF($A4929="","",$D4929&amp;"("&amp;SUBSTITUTE($E4929," ","")&amp;")")</f>
        <v/>
      </c>
      <c r="R4929">
        <f>IF($A4929="","",$B4929&amp;" - "&amp;$C4929)</f>
        <v/>
      </c>
      <c r="S4929">
        <f>IF($A4929="","",$R4929&amp;"|"&amp;$Q4929)</f>
        <v/>
      </c>
      <c r="T4929">
        <f>IF($A4929="","",$S4929&amp;"|"&amp;$F4929)</f>
        <v/>
      </c>
      <c r="U4929">
        <f>IF($A4929="","",$R4929&amp;"("&amp;$E4929&amp;")")</f>
        <v/>
      </c>
      <c r="V4929">
        <f>IF($A4929="","",$F4929&amp;"|"&amp;$U4929&amp;"|"&amp;$D4929)</f>
        <v/>
      </c>
      <c r="W4929">
        <f>IF($T4929="","",IF($X4929&gt;N($X4928),$X4929,""))</f>
        <v/>
      </c>
      <c r="X4929">
        <f>IF($T4929="",N($X4928),IF(MATCH($T4929,$T$6:$T$6005,0)=ROW()-5,N($X4928)+1,N($X4928)))</f>
        <v/>
      </c>
      <c r="Z4929">
        <f>IF($V4929="","",IF($AA4929&gt;N($AA4928),$AA4929,""))</f>
        <v/>
      </c>
      <c r="AA4929">
        <f>IF($V4929="",N($AA4928),IF(MATCH($V4929,$V$6:$V$6005,0)=ROW()-5,N($AA4928)+1,N($AA4928)))</f>
        <v/>
      </c>
    </row>
    <row r="4930" ht="21" customHeight="1" s="66">
      <c r="A4930" s="56" t="n"/>
      <c r="B4930" s="57" t="n"/>
      <c r="C4930" s="57" t="n"/>
      <c r="D4930" s="57" t="n"/>
      <c r="E4930" s="56" t="n"/>
      <c r="F4930" s="57" t="n"/>
      <c r="G4930" s="57" t="n"/>
      <c r="H4930" s="56" t="n"/>
      <c r="I4930" s="56" t="n"/>
      <c r="J4930" s="58" t="n"/>
      <c r="K4930" s="58" t="n"/>
      <c r="L4930" s="13">
        <f>IF(OR($A4930="",AND($J4930="",$K4930="")),"",ROUND(N($J4930)-N($K4930),2))</f>
        <v/>
      </c>
      <c r="M4930" s="13">
        <f>IF(OR($A4930="",AND($J4930="",$K4930="")),"",MIN($J4930,$K4930))</f>
        <v/>
      </c>
      <c r="Q4930">
        <f>IF($A4930="","",$D4930&amp;"("&amp;SUBSTITUTE($E4930," ","")&amp;")")</f>
        <v/>
      </c>
      <c r="R4930">
        <f>IF($A4930="","",$B4930&amp;" - "&amp;$C4930)</f>
        <v/>
      </c>
      <c r="S4930">
        <f>IF($A4930="","",$R4930&amp;"|"&amp;$Q4930)</f>
        <v/>
      </c>
      <c r="T4930">
        <f>IF($A4930="","",$S4930&amp;"|"&amp;$F4930)</f>
        <v/>
      </c>
      <c r="U4930">
        <f>IF($A4930="","",$R4930&amp;"("&amp;$E4930&amp;")")</f>
        <v/>
      </c>
      <c r="V4930">
        <f>IF($A4930="","",$F4930&amp;"|"&amp;$U4930&amp;"|"&amp;$D4930)</f>
        <v/>
      </c>
      <c r="W4930">
        <f>IF($T4930="","",IF($X4930&gt;N($X4929),$X4930,""))</f>
        <v/>
      </c>
      <c r="X4930">
        <f>IF($T4930="",N($X4929),IF(MATCH($T4930,$T$6:$T$6005,0)=ROW()-5,N($X4929)+1,N($X4929)))</f>
        <v/>
      </c>
      <c r="Z4930">
        <f>IF($V4930="","",IF($AA4930&gt;N($AA4929),$AA4930,""))</f>
        <v/>
      </c>
      <c r="AA4930">
        <f>IF($V4930="",N($AA4929),IF(MATCH($V4930,$V$6:$V$6005,0)=ROW()-5,N($AA4929)+1,N($AA4929)))</f>
        <v/>
      </c>
    </row>
    <row r="4931" ht="21" customHeight="1" s="66">
      <c r="A4931" s="56" t="n"/>
      <c r="B4931" s="57" t="n"/>
      <c r="C4931" s="57" t="n"/>
      <c r="D4931" s="57" t="n"/>
      <c r="E4931" s="56" t="n"/>
      <c r="F4931" s="57" t="n"/>
      <c r="G4931" s="57" t="n"/>
      <c r="H4931" s="56" t="n"/>
      <c r="I4931" s="56" t="n"/>
      <c r="J4931" s="58" t="n"/>
      <c r="K4931" s="58" t="n"/>
      <c r="L4931" s="13">
        <f>IF(OR($A4931="",AND($J4931="",$K4931="")),"",ROUND(N($J4931)-N($K4931),2))</f>
        <v/>
      </c>
      <c r="M4931" s="13">
        <f>IF(OR($A4931="",AND($J4931="",$K4931="")),"",MIN($J4931,$K4931))</f>
        <v/>
      </c>
      <c r="Q4931">
        <f>IF($A4931="","",$D4931&amp;"("&amp;SUBSTITUTE($E4931," ","")&amp;")")</f>
        <v/>
      </c>
      <c r="R4931">
        <f>IF($A4931="","",$B4931&amp;" - "&amp;$C4931)</f>
        <v/>
      </c>
      <c r="S4931">
        <f>IF($A4931="","",$R4931&amp;"|"&amp;$Q4931)</f>
        <v/>
      </c>
      <c r="T4931">
        <f>IF($A4931="","",$S4931&amp;"|"&amp;$F4931)</f>
        <v/>
      </c>
      <c r="U4931">
        <f>IF($A4931="","",$R4931&amp;"("&amp;$E4931&amp;")")</f>
        <v/>
      </c>
      <c r="V4931">
        <f>IF($A4931="","",$F4931&amp;"|"&amp;$U4931&amp;"|"&amp;$D4931)</f>
        <v/>
      </c>
      <c r="W4931">
        <f>IF($T4931="","",IF($X4931&gt;N($X4930),$X4931,""))</f>
        <v/>
      </c>
      <c r="X4931">
        <f>IF($T4931="",N($X4930),IF(MATCH($T4931,$T$6:$T$6005,0)=ROW()-5,N($X4930)+1,N($X4930)))</f>
        <v/>
      </c>
      <c r="Z4931">
        <f>IF($V4931="","",IF($AA4931&gt;N($AA4930),$AA4931,""))</f>
        <v/>
      </c>
      <c r="AA4931">
        <f>IF($V4931="",N($AA4930),IF(MATCH($V4931,$V$6:$V$6005,0)=ROW()-5,N($AA4930)+1,N($AA4930)))</f>
        <v/>
      </c>
    </row>
    <row r="4932" ht="21" customHeight="1" s="66">
      <c r="A4932" s="56" t="n"/>
      <c r="B4932" s="57" t="n"/>
      <c r="C4932" s="57" t="n"/>
      <c r="D4932" s="57" t="n"/>
      <c r="E4932" s="56" t="n"/>
      <c r="F4932" s="57" t="n"/>
      <c r="G4932" s="57" t="n"/>
      <c r="H4932" s="56" t="n"/>
      <c r="I4932" s="56" t="n"/>
      <c r="J4932" s="58" t="n"/>
      <c r="K4932" s="58" t="n"/>
      <c r="L4932" s="13">
        <f>IF(OR($A4932="",AND($J4932="",$K4932="")),"",ROUND(N($J4932)-N($K4932),2))</f>
        <v/>
      </c>
      <c r="M4932" s="13">
        <f>IF(OR($A4932="",AND($J4932="",$K4932="")),"",MIN($J4932,$K4932))</f>
        <v/>
      </c>
      <c r="Q4932">
        <f>IF($A4932="","",$D4932&amp;"("&amp;SUBSTITUTE($E4932," ","")&amp;")")</f>
        <v/>
      </c>
      <c r="R4932">
        <f>IF($A4932="","",$B4932&amp;" - "&amp;$C4932)</f>
        <v/>
      </c>
      <c r="S4932">
        <f>IF($A4932="","",$R4932&amp;"|"&amp;$Q4932)</f>
        <v/>
      </c>
      <c r="T4932">
        <f>IF($A4932="","",$S4932&amp;"|"&amp;$F4932)</f>
        <v/>
      </c>
      <c r="U4932">
        <f>IF($A4932="","",$R4932&amp;"("&amp;$E4932&amp;")")</f>
        <v/>
      </c>
      <c r="V4932">
        <f>IF($A4932="","",$F4932&amp;"|"&amp;$U4932&amp;"|"&amp;$D4932)</f>
        <v/>
      </c>
      <c r="W4932">
        <f>IF($T4932="","",IF($X4932&gt;N($X4931),$X4932,""))</f>
        <v/>
      </c>
      <c r="X4932">
        <f>IF($T4932="",N($X4931),IF(MATCH($T4932,$T$6:$T$6005,0)=ROW()-5,N($X4931)+1,N($X4931)))</f>
        <v/>
      </c>
      <c r="Z4932">
        <f>IF($V4932="","",IF($AA4932&gt;N($AA4931),$AA4932,""))</f>
        <v/>
      </c>
      <c r="AA4932">
        <f>IF($V4932="",N($AA4931),IF(MATCH($V4932,$V$6:$V$6005,0)=ROW()-5,N($AA4931)+1,N($AA4931)))</f>
        <v/>
      </c>
    </row>
    <row r="4933" ht="21" customHeight="1" s="66">
      <c r="A4933" s="56" t="n"/>
      <c r="B4933" s="57" t="n"/>
      <c r="C4933" s="57" t="n"/>
      <c r="D4933" s="57" t="n"/>
      <c r="E4933" s="56" t="n"/>
      <c r="F4933" s="57" t="n"/>
      <c r="G4933" s="57" t="n"/>
      <c r="H4933" s="56" t="n"/>
      <c r="I4933" s="56" t="n"/>
      <c r="J4933" s="58" t="n"/>
      <c r="K4933" s="58" t="n"/>
      <c r="L4933" s="13">
        <f>IF(OR($A4933="",AND($J4933="",$K4933="")),"",ROUND(N($J4933)-N($K4933),2))</f>
        <v/>
      </c>
      <c r="M4933" s="13">
        <f>IF(OR($A4933="",AND($J4933="",$K4933="")),"",MIN($J4933,$K4933))</f>
        <v/>
      </c>
      <c r="Q4933">
        <f>IF($A4933="","",$D4933&amp;"("&amp;SUBSTITUTE($E4933," ","")&amp;")")</f>
        <v/>
      </c>
      <c r="R4933">
        <f>IF($A4933="","",$B4933&amp;" - "&amp;$C4933)</f>
        <v/>
      </c>
      <c r="S4933">
        <f>IF($A4933="","",$R4933&amp;"|"&amp;$Q4933)</f>
        <v/>
      </c>
      <c r="T4933">
        <f>IF($A4933="","",$S4933&amp;"|"&amp;$F4933)</f>
        <v/>
      </c>
      <c r="U4933">
        <f>IF($A4933="","",$R4933&amp;"("&amp;$E4933&amp;")")</f>
        <v/>
      </c>
      <c r="V4933">
        <f>IF($A4933="","",$F4933&amp;"|"&amp;$U4933&amp;"|"&amp;$D4933)</f>
        <v/>
      </c>
      <c r="W4933">
        <f>IF($T4933="","",IF($X4933&gt;N($X4932),$X4933,""))</f>
        <v/>
      </c>
      <c r="X4933">
        <f>IF($T4933="",N($X4932),IF(MATCH($T4933,$T$6:$T$6005,0)=ROW()-5,N($X4932)+1,N($X4932)))</f>
        <v/>
      </c>
      <c r="Z4933">
        <f>IF($V4933="","",IF($AA4933&gt;N($AA4932),$AA4933,""))</f>
        <v/>
      </c>
      <c r="AA4933">
        <f>IF($V4933="",N($AA4932),IF(MATCH($V4933,$V$6:$V$6005,0)=ROW()-5,N($AA4932)+1,N($AA4932)))</f>
        <v/>
      </c>
    </row>
    <row r="4934" ht="21" customHeight="1" s="66">
      <c r="A4934" s="56" t="n"/>
      <c r="B4934" s="57" t="n"/>
      <c r="C4934" s="57" t="n"/>
      <c r="D4934" s="57" t="n"/>
      <c r="E4934" s="56" t="n"/>
      <c r="F4934" s="57" t="n"/>
      <c r="G4934" s="57" t="n"/>
      <c r="H4934" s="56" t="n"/>
      <c r="I4934" s="56" t="n"/>
      <c r="J4934" s="58" t="n"/>
      <c r="K4934" s="58" t="n"/>
      <c r="L4934" s="13">
        <f>IF(OR($A4934="",AND($J4934="",$K4934="")),"",ROUND(N($J4934)-N($K4934),2))</f>
        <v/>
      </c>
      <c r="M4934" s="13">
        <f>IF(OR($A4934="",AND($J4934="",$K4934="")),"",MIN($J4934,$K4934))</f>
        <v/>
      </c>
      <c r="Q4934">
        <f>IF($A4934="","",$D4934&amp;"("&amp;SUBSTITUTE($E4934," ","")&amp;")")</f>
        <v/>
      </c>
      <c r="R4934">
        <f>IF($A4934="","",$B4934&amp;" - "&amp;$C4934)</f>
        <v/>
      </c>
      <c r="S4934">
        <f>IF($A4934="","",$R4934&amp;"|"&amp;$Q4934)</f>
        <v/>
      </c>
      <c r="T4934">
        <f>IF($A4934="","",$S4934&amp;"|"&amp;$F4934)</f>
        <v/>
      </c>
      <c r="U4934">
        <f>IF($A4934="","",$R4934&amp;"("&amp;$E4934&amp;")")</f>
        <v/>
      </c>
      <c r="V4934">
        <f>IF($A4934="","",$F4934&amp;"|"&amp;$U4934&amp;"|"&amp;$D4934)</f>
        <v/>
      </c>
      <c r="W4934">
        <f>IF($T4934="","",IF($X4934&gt;N($X4933),$X4934,""))</f>
        <v/>
      </c>
      <c r="X4934">
        <f>IF($T4934="",N($X4933),IF(MATCH($T4934,$T$6:$T$6005,0)=ROW()-5,N($X4933)+1,N($X4933)))</f>
        <v/>
      </c>
      <c r="Z4934">
        <f>IF($V4934="","",IF($AA4934&gt;N($AA4933),$AA4934,""))</f>
        <v/>
      </c>
      <c r="AA4934">
        <f>IF($V4934="",N($AA4933),IF(MATCH($V4934,$V$6:$V$6005,0)=ROW()-5,N($AA4933)+1,N($AA4933)))</f>
        <v/>
      </c>
    </row>
    <row r="4935" ht="21" customHeight="1" s="66">
      <c r="A4935" s="56" t="n"/>
      <c r="B4935" s="57" t="n"/>
      <c r="C4935" s="57" t="n"/>
      <c r="D4935" s="57" t="n"/>
      <c r="E4935" s="56" t="n"/>
      <c r="F4935" s="57" t="n"/>
      <c r="G4935" s="57" t="n"/>
      <c r="H4935" s="56" t="n"/>
      <c r="I4935" s="56" t="n"/>
      <c r="J4935" s="58" t="n"/>
      <c r="K4935" s="58" t="n"/>
      <c r="L4935" s="13">
        <f>IF(OR($A4935="",AND($J4935="",$K4935="")),"",ROUND(N($J4935)-N($K4935),2))</f>
        <v/>
      </c>
      <c r="M4935" s="13">
        <f>IF(OR($A4935="",AND($J4935="",$K4935="")),"",MIN($J4935,$K4935))</f>
        <v/>
      </c>
      <c r="Q4935">
        <f>IF($A4935="","",$D4935&amp;"("&amp;SUBSTITUTE($E4935," ","")&amp;")")</f>
        <v/>
      </c>
      <c r="R4935">
        <f>IF($A4935="","",$B4935&amp;" - "&amp;$C4935)</f>
        <v/>
      </c>
      <c r="S4935">
        <f>IF($A4935="","",$R4935&amp;"|"&amp;$Q4935)</f>
        <v/>
      </c>
      <c r="T4935">
        <f>IF($A4935="","",$S4935&amp;"|"&amp;$F4935)</f>
        <v/>
      </c>
      <c r="U4935">
        <f>IF($A4935="","",$R4935&amp;"("&amp;$E4935&amp;")")</f>
        <v/>
      </c>
      <c r="V4935">
        <f>IF($A4935="","",$F4935&amp;"|"&amp;$U4935&amp;"|"&amp;$D4935)</f>
        <v/>
      </c>
      <c r="W4935">
        <f>IF($T4935="","",IF($X4935&gt;N($X4934),$X4935,""))</f>
        <v/>
      </c>
      <c r="X4935">
        <f>IF($T4935="",N($X4934),IF(MATCH($T4935,$T$6:$T$6005,0)=ROW()-5,N($X4934)+1,N($X4934)))</f>
        <v/>
      </c>
      <c r="Z4935">
        <f>IF($V4935="","",IF($AA4935&gt;N($AA4934),$AA4935,""))</f>
        <v/>
      </c>
      <c r="AA4935">
        <f>IF($V4935="",N($AA4934),IF(MATCH($V4935,$V$6:$V$6005,0)=ROW()-5,N($AA4934)+1,N($AA4934)))</f>
        <v/>
      </c>
    </row>
    <row r="4936" ht="21" customHeight="1" s="66">
      <c r="A4936" s="56" t="n"/>
      <c r="B4936" s="57" t="n"/>
      <c r="C4936" s="57" t="n"/>
      <c r="D4936" s="57" t="n"/>
      <c r="E4936" s="56" t="n"/>
      <c r="F4936" s="57" t="n"/>
      <c r="G4936" s="57" t="n"/>
      <c r="H4936" s="56" t="n"/>
      <c r="I4936" s="56" t="n"/>
      <c r="J4936" s="58" t="n"/>
      <c r="K4936" s="58" t="n"/>
      <c r="L4936" s="13">
        <f>IF(OR($A4936="",AND($J4936="",$K4936="")),"",ROUND(N($J4936)-N($K4936),2))</f>
        <v/>
      </c>
      <c r="M4936" s="13">
        <f>IF(OR($A4936="",AND($J4936="",$K4936="")),"",MIN($J4936,$K4936))</f>
        <v/>
      </c>
      <c r="Q4936">
        <f>IF($A4936="","",$D4936&amp;"("&amp;SUBSTITUTE($E4936," ","")&amp;")")</f>
        <v/>
      </c>
      <c r="R4936">
        <f>IF($A4936="","",$B4936&amp;" - "&amp;$C4936)</f>
        <v/>
      </c>
      <c r="S4936">
        <f>IF($A4936="","",$R4936&amp;"|"&amp;$Q4936)</f>
        <v/>
      </c>
      <c r="T4936">
        <f>IF($A4936="","",$S4936&amp;"|"&amp;$F4936)</f>
        <v/>
      </c>
      <c r="U4936">
        <f>IF($A4936="","",$R4936&amp;"("&amp;$E4936&amp;")")</f>
        <v/>
      </c>
      <c r="V4936">
        <f>IF($A4936="","",$F4936&amp;"|"&amp;$U4936&amp;"|"&amp;$D4936)</f>
        <v/>
      </c>
      <c r="W4936">
        <f>IF($T4936="","",IF($X4936&gt;N($X4935),$X4936,""))</f>
        <v/>
      </c>
      <c r="X4936">
        <f>IF($T4936="",N($X4935),IF(MATCH($T4936,$T$6:$T$6005,0)=ROW()-5,N($X4935)+1,N($X4935)))</f>
        <v/>
      </c>
      <c r="Z4936">
        <f>IF($V4936="","",IF($AA4936&gt;N($AA4935),$AA4936,""))</f>
        <v/>
      </c>
      <c r="AA4936">
        <f>IF($V4936="",N($AA4935),IF(MATCH($V4936,$V$6:$V$6005,0)=ROW()-5,N($AA4935)+1,N($AA4935)))</f>
        <v/>
      </c>
    </row>
    <row r="4937" ht="21" customHeight="1" s="66">
      <c r="A4937" s="56" t="n"/>
      <c r="B4937" s="57" t="n"/>
      <c r="C4937" s="57" t="n"/>
      <c r="D4937" s="57" t="n"/>
      <c r="E4937" s="56" t="n"/>
      <c r="F4937" s="57" t="n"/>
      <c r="G4937" s="57" t="n"/>
      <c r="H4937" s="56" t="n"/>
      <c r="I4937" s="56" t="n"/>
      <c r="J4937" s="58" t="n"/>
      <c r="K4937" s="58" t="n"/>
      <c r="L4937" s="13">
        <f>IF(OR($A4937="",AND($J4937="",$K4937="")),"",ROUND(N($J4937)-N($K4937),2))</f>
        <v/>
      </c>
      <c r="M4937" s="13">
        <f>IF(OR($A4937="",AND($J4937="",$K4937="")),"",MIN($J4937,$K4937))</f>
        <v/>
      </c>
      <c r="Q4937">
        <f>IF($A4937="","",$D4937&amp;"("&amp;SUBSTITUTE($E4937," ","")&amp;")")</f>
        <v/>
      </c>
      <c r="R4937">
        <f>IF($A4937="","",$B4937&amp;" - "&amp;$C4937)</f>
        <v/>
      </c>
      <c r="S4937">
        <f>IF($A4937="","",$R4937&amp;"|"&amp;$Q4937)</f>
        <v/>
      </c>
      <c r="T4937">
        <f>IF($A4937="","",$S4937&amp;"|"&amp;$F4937)</f>
        <v/>
      </c>
      <c r="U4937">
        <f>IF($A4937="","",$R4937&amp;"("&amp;$E4937&amp;")")</f>
        <v/>
      </c>
      <c r="V4937">
        <f>IF($A4937="","",$F4937&amp;"|"&amp;$U4937&amp;"|"&amp;$D4937)</f>
        <v/>
      </c>
      <c r="W4937">
        <f>IF($T4937="","",IF($X4937&gt;N($X4936),$X4937,""))</f>
        <v/>
      </c>
      <c r="X4937">
        <f>IF($T4937="",N($X4936),IF(MATCH($T4937,$T$6:$T$6005,0)=ROW()-5,N($X4936)+1,N($X4936)))</f>
        <v/>
      </c>
      <c r="Z4937">
        <f>IF($V4937="","",IF($AA4937&gt;N($AA4936),$AA4937,""))</f>
        <v/>
      </c>
      <c r="AA4937">
        <f>IF($V4937="",N($AA4936),IF(MATCH($V4937,$V$6:$V$6005,0)=ROW()-5,N($AA4936)+1,N($AA4936)))</f>
        <v/>
      </c>
    </row>
    <row r="4938" ht="21" customHeight="1" s="66">
      <c r="A4938" s="56" t="n"/>
      <c r="B4938" s="57" t="n"/>
      <c r="C4938" s="57" t="n"/>
      <c r="D4938" s="57" t="n"/>
      <c r="E4938" s="56" t="n"/>
      <c r="F4938" s="57" t="n"/>
      <c r="G4938" s="57" t="n"/>
      <c r="H4938" s="56" t="n"/>
      <c r="I4938" s="56" t="n"/>
      <c r="J4938" s="58" t="n"/>
      <c r="K4938" s="58" t="n"/>
      <c r="L4938" s="13">
        <f>IF(OR($A4938="",AND($J4938="",$K4938="")),"",ROUND(N($J4938)-N($K4938),2))</f>
        <v/>
      </c>
      <c r="M4938" s="13">
        <f>IF(OR($A4938="",AND($J4938="",$K4938="")),"",MIN($J4938,$K4938))</f>
        <v/>
      </c>
      <c r="Q4938">
        <f>IF($A4938="","",$D4938&amp;"("&amp;SUBSTITUTE($E4938," ","")&amp;")")</f>
        <v/>
      </c>
      <c r="R4938">
        <f>IF($A4938="","",$B4938&amp;" - "&amp;$C4938)</f>
        <v/>
      </c>
      <c r="S4938">
        <f>IF($A4938="","",$R4938&amp;"|"&amp;$Q4938)</f>
        <v/>
      </c>
      <c r="T4938">
        <f>IF($A4938="","",$S4938&amp;"|"&amp;$F4938)</f>
        <v/>
      </c>
      <c r="U4938">
        <f>IF($A4938="","",$R4938&amp;"("&amp;$E4938&amp;")")</f>
        <v/>
      </c>
      <c r="V4938">
        <f>IF($A4938="","",$F4938&amp;"|"&amp;$U4938&amp;"|"&amp;$D4938)</f>
        <v/>
      </c>
      <c r="W4938">
        <f>IF($T4938="","",IF($X4938&gt;N($X4937),$X4938,""))</f>
        <v/>
      </c>
      <c r="X4938">
        <f>IF($T4938="",N($X4937),IF(MATCH($T4938,$T$6:$T$6005,0)=ROW()-5,N($X4937)+1,N($X4937)))</f>
        <v/>
      </c>
      <c r="Z4938">
        <f>IF($V4938="","",IF($AA4938&gt;N($AA4937),$AA4938,""))</f>
        <v/>
      </c>
      <c r="AA4938">
        <f>IF($V4938="",N($AA4937),IF(MATCH($V4938,$V$6:$V$6005,0)=ROW()-5,N($AA4937)+1,N($AA4937)))</f>
        <v/>
      </c>
    </row>
    <row r="4939" ht="21" customHeight="1" s="66">
      <c r="A4939" s="56" t="n"/>
      <c r="B4939" s="57" t="n"/>
      <c r="C4939" s="57" t="n"/>
      <c r="D4939" s="57" t="n"/>
      <c r="E4939" s="56" t="n"/>
      <c r="F4939" s="57" t="n"/>
      <c r="G4939" s="57" t="n"/>
      <c r="H4939" s="56" t="n"/>
      <c r="I4939" s="56" t="n"/>
      <c r="J4939" s="58" t="n"/>
      <c r="K4939" s="58" t="n"/>
      <c r="L4939" s="13">
        <f>IF(OR($A4939="",AND($J4939="",$K4939="")),"",ROUND(N($J4939)-N($K4939),2))</f>
        <v/>
      </c>
      <c r="M4939" s="13">
        <f>IF(OR($A4939="",AND($J4939="",$K4939="")),"",MIN($J4939,$K4939))</f>
        <v/>
      </c>
      <c r="Q4939">
        <f>IF($A4939="","",$D4939&amp;"("&amp;SUBSTITUTE($E4939," ","")&amp;")")</f>
        <v/>
      </c>
      <c r="R4939">
        <f>IF($A4939="","",$B4939&amp;" - "&amp;$C4939)</f>
        <v/>
      </c>
      <c r="S4939">
        <f>IF($A4939="","",$R4939&amp;"|"&amp;$Q4939)</f>
        <v/>
      </c>
      <c r="T4939">
        <f>IF($A4939="","",$S4939&amp;"|"&amp;$F4939)</f>
        <v/>
      </c>
      <c r="U4939">
        <f>IF($A4939="","",$R4939&amp;"("&amp;$E4939&amp;")")</f>
        <v/>
      </c>
      <c r="V4939">
        <f>IF($A4939="","",$F4939&amp;"|"&amp;$U4939&amp;"|"&amp;$D4939)</f>
        <v/>
      </c>
      <c r="W4939">
        <f>IF($T4939="","",IF($X4939&gt;N($X4938),$X4939,""))</f>
        <v/>
      </c>
      <c r="X4939">
        <f>IF($T4939="",N($X4938),IF(MATCH($T4939,$T$6:$T$6005,0)=ROW()-5,N($X4938)+1,N($X4938)))</f>
        <v/>
      </c>
      <c r="Z4939">
        <f>IF($V4939="","",IF($AA4939&gt;N($AA4938),$AA4939,""))</f>
        <v/>
      </c>
      <c r="AA4939">
        <f>IF($V4939="",N($AA4938),IF(MATCH($V4939,$V$6:$V$6005,0)=ROW()-5,N($AA4938)+1,N($AA4938)))</f>
        <v/>
      </c>
    </row>
    <row r="4940" ht="21" customHeight="1" s="66">
      <c r="A4940" s="56" t="n"/>
      <c r="B4940" s="57" t="n"/>
      <c r="C4940" s="57" t="n"/>
      <c r="D4940" s="57" t="n"/>
      <c r="E4940" s="56" t="n"/>
      <c r="F4940" s="57" t="n"/>
      <c r="G4940" s="57" t="n"/>
      <c r="H4940" s="56" t="n"/>
      <c r="I4940" s="56" t="n"/>
      <c r="J4940" s="58" t="n"/>
      <c r="K4940" s="58" t="n"/>
      <c r="L4940" s="13">
        <f>IF(OR($A4940="",AND($J4940="",$K4940="")),"",ROUND(N($J4940)-N($K4940),2))</f>
        <v/>
      </c>
      <c r="M4940" s="13">
        <f>IF(OR($A4940="",AND($J4940="",$K4940="")),"",MIN($J4940,$K4940))</f>
        <v/>
      </c>
      <c r="Q4940">
        <f>IF($A4940="","",$D4940&amp;"("&amp;SUBSTITUTE($E4940," ","")&amp;")")</f>
        <v/>
      </c>
      <c r="R4940">
        <f>IF($A4940="","",$B4940&amp;" - "&amp;$C4940)</f>
        <v/>
      </c>
      <c r="S4940">
        <f>IF($A4940="","",$R4940&amp;"|"&amp;$Q4940)</f>
        <v/>
      </c>
      <c r="T4940">
        <f>IF($A4940="","",$S4940&amp;"|"&amp;$F4940)</f>
        <v/>
      </c>
      <c r="U4940">
        <f>IF($A4940="","",$R4940&amp;"("&amp;$E4940&amp;")")</f>
        <v/>
      </c>
      <c r="V4940">
        <f>IF($A4940="","",$F4940&amp;"|"&amp;$U4940&amp;"|"&amp;$D4940)</f>
        <v/>
      </c>
      <c r="W4940">
        <f>IF($T4940="","",IF($X4940&gt;N($X4939),$X4940,""))</f>
        <v/>
      </c>
      <c r="X4940">
        <f>IF($T4940="",N($X4939),IF(MATCH($T4940,$T$6:$T$6005,0)=ROW()-5,N($X4939)+1,N($X4939)))</f>
        <v/>
      </c>
      <c r="Z4940">
        <f>IF($V4940="","",IF($AA4940&gt;N($AA4939),$AA4940,""))</f>
        <v/>
      </c>
      <c r="AA4940">
        <f>IF($V4940="",N($AA4939),IF(MATCH($V4940,$V$6:$V$6005,0)=ROW()-5,N($AA4939)+1,N($AA4939)))</f>
        <v/>
      </c>
    </row>
    <row r="4941" ht="21" customHeight="1" s="66">
      <c r="A4941" s="56" t="n"/>
      <c r="B4941" s="57" t="n"/>
      <c r="C4941" s="57" t="n"/>
      <c r="D4941" s="57" t="n"/>
      <c r="E4941" s="56" t="n"/>
      <c r="F4941" s="57" t="n"/>
      <c r="G4941" s="57" t="n"/>
      <c r="H4941" s="56" t="n"/>
      <c r="I4941" s="56" t="n"/>
      <c r="J4941" s="58" t="n"/>
      <c r="K4941" s="58" t="n"/>
      <c r="L4941" s="13">
        <f>IF(OR($A4941="",AND($J4941="",$K4941="")),"",ROUND(N($J4941)-N($K4941),2))</f>
        <v/>
      </c>
      <c r="M4941" s="13">
        <f>IF(OR($A4941="",AND($J4941="",$K4941="")),"",MIN($J4941,$K4941))</f>
        <v/>
      </c>
      <c r="Q4941">
        <f>IF($A4941="","",$D4941&amp;"("&amp;SUBSTITUTE($E4941," ","")&amp;")")</f>
        <v/>
      </c>
      <c r="R4941">
        <f>IF($A4941="","",$B4941&amp;" - "&amp;$C4941)</f>
        <v/>
      </c>
      <c r="S4941">
        <f>IF($A4941="","",$R4941&amp;"|"&amp;$Q4941)</f>
        <v/>
      </c>
      <c r="T4941">
        <f>IF($A4941="","",$S4941&amp;"|"&amp;$F4941)</f>
        <v/>
      </c>
      <c r="U4941">
        <f>IF($A4941="","",$R4941&amp;"("&amp;$E4941&amp;")")</f>
        <v/>
      </c>
      <c r="V4941">
        <f>IF($A4941="","",$F4941&amp;"|"&amp;$U4941&amp;"|"&amp;$D4941)</f>
        <v/>
      </c>
      <c r="W4941">
        <f>IF($T4941="","",IF($X4941&gt;N($X4940),$X4941,""))</f>
        <v/>
      </c>
      <c r="X4941">
        <f>IF($T4941="",N($X4940),IF(MATCH($T4941,$T$6:$T$6005,0)=ROW()-5,N($X4940)+1,N($X4940)))</f>
        <v/>
      </c>
      <c r="Z4941">
        <f>IF($V4941="","",IF($AA4941&gt;N($AA4940),$AA4941,""))</f>
        <v/>
      </c>
      <c r="AA4941">
        <f>IF($V4941="",N($AA4940),IF(MATCH($V4941,$V$6:$V$6005,0)=ROW()-5,N($AA4940)+1,N($AA4940)))</f>
        <v/>
      </c>
    </row>
    <row r="4942" ht="21" customHeight="1" s="66">
      <c r="A4942" s="56" t="n"/>
      <c r="B4942" s="57" t="n"/>
      <c r="C4942" s="57" t="n"/>
      <c r="D4942" s="57" t="n"/>
      <c r="E4942" s="56" t="n"/>
      <c r="F4942" s="57" t="n"/>
      <c r="G4942" s="57" t="n"/>
      <c r="H4942" s="56" t="n"/>
      <c r="I4942" s="56" t="n"/>
      <c r="J4942" s="58" t="n"/>
      <c r="K4942" s="58" t="n"/>
      <c r="L4942" s="13">
        <f>IF(OR($A4942="",AND($J4942="",$K4942="")),"",ROUND(N($J4942)-N($K4942),2))</f>
        <v/>
      </c>
      <c r="M4942" s="13">
        <f>IF(OR($A4942="",AND($J4942="",$K4942="")),"",MIN($J4942,$K4942))</f>
        <v/>
      </c>
      <c r="Q4942">
        <f>IF($A4942="","",$D4942&amp;"("&amp;SUBSTITUTE($E4942," ","")&amp;")")</f>
        <v/>
      </c>
      <c r="R4942">
        <f>IF($A4942="","",$B4942&amp;" - "&amp;$C4942)</f>
        <v/>
      </c>
      <c r="S4942">
        <f>IF($A4942="","",$R4942&amp;"|"&amp;$Q4942)</f>
        <v/>
      </c>
      <c r="T4942">
        <f>IF($A4942="","",$S4942&amp;"|"&amp;$F4942)</f>
        <v/>
      </c>
      <c r="U4942">
        <f>IF($A4942="","",$R4942&amp;"("&amp;$E4942&amp;")")</f>
        <v/>
      </c>
      <c r="V4942">
        <f>IF($A4942="","",$F4942&amp;"|"&amp;$U4942&amp;"|"&amp;$D4942)</f>
        <v/>
      </c>
      <c r="W4942">
        <f>IF($T4942="","",IF($X4942&gt;N($X4941),$X4942,""))</f>
        <v/>
      </c>
      <c r="X4942">
        <f>IF($T4942="",N($X4941),IF(MATCH($T4942,$T$6:$T$6005,0)=ROW()-5,N($X4941)+1,N($X4941)))</f>
        <v/>
      </c>
      <c r="Z4942">
        <f>IF($V4942="","",IF($AA4942&gt;N($AA4941),$AA4942,""))</f>
        <v/>
      </c>
      <c r="AA4942">
        <f>IF($V4942="",N($AA4941),IF(MATCH($V4942,$V$6:$V$6005,0)=ROW()-5,N($AA4941)+1,N($AA4941)))</f>
        <v/>
      </c>
    </row>
    <row r="4943" ht="21" customHeight="1" s="66">
      <c r="A4943" s="56" t="n"/>
      <c r="B4943" s="57" t="n"/>
      <c r="C4943" s="57" t="n"/>
      <c r="D4943" s="57" t="n"/>
      <c r="E4943" s="56" t="n"/>
      <c r="F4943" s="57" t="n"/>
      <c r="G4943" s="57" t="n"/>
      <c r="H4943" s="56" t="n"/>
      <c r="I4943" s="56" t="n"/>
      <c r="J4943" s="58" t="n"/>
      <c r="K4943" s="58" t="n"/>
      <c r="L4943" s="13">
        <f>IF(OR($A4943="",AND($J4943="",$K4943="")),"",ROUND(N($J4943)-N($K4943),2))</f>
        <v/>
      </c>
      <c r="M4943" s="13">
        <f>IF(OR($A4943="",AND($J4943="",$K4943="")),"",MIN($J4943,$K4943))</f>
        <v/>
      </c>
      <c r="Q4943">
        <f>IF($A4943="","",$D4943&amp;"("&amp;SUBSTITUTE($E4943," ","")&amp;")")</f>
        <v/>
      </c>
      <c r="R4943">
        <f>IF($A4943="","",$B4943&amp;" - "&amp;$C4943)</f>
        <v/>
      </c>
      <c r="S4943">
        <f>IF($A4943="","",$R4943&amp;"|"&amp;$Q4943)</f>
        <v/>
      </c>
      <c r="T4943">
        <f>IF($A4943="","",$S4943&amp;"|"&amp;$F4943)</f>
        <v/>
      </c>
      <c r="U4943">
        <f>IF($A4943="","",$R4943&amp;"("&amp;$E4943&amp;")")</f>
        <v/>
      </c>
      <c r="V4943">
        <f>IF($A4943="","",$F4943&amp;"|"&amp;$U4943&amp;"|"&amp;$D4943)</f>
        <v/>
      </c>
      <c r="W4943">
        <f>IF($T4943="","",IF($X4943&gt;N($X4942),$X4943,""))</f>
        <v/>
      </c>
      <c r="X4943">
        <f>IF($T4943="",N($X4942),IF(MATCH($T4943,$T$6:$T$6005,0)=ROW()-5,N($X4942)+1,N($X4942)))</f>
        <v/>
      </c>
      <c r="Z4943">
        <f>IF($V4943="","",IF($AA4943&gt;N($AA4942),$AA4943,""))</f>
        <v/>
      </c>
      <c r="AA4943">
        <f>IF($V4943="",N($AA4942),IF(MATCH($V4943,$V$6:$V$6005,0)=ROW()-5,N($AA4942)+1,N($AA4942)))</f>
        <v/>
      </c>
    </row>
    <row r="4944" ht="21" customHeight="1" s="66">
      <c r="A4944" s="56" t="n"/>
      <c r="B4944" s="57" t="n"/>
      <c r="C4944" s="57" t="n"/>
      <c r="D4944" s="57" t="n"/>
      <c r="E4944" s="56" t="n"/>
      <c r="F4944" s="57" t="n"/>
      <c r="G4944" s="57" t="n"/>
      <c r="H4944" s="56" t="n"/>
      <c r="I4944" s="56" t="n"/>
      <c r="J4944" s="58" t="n"/>
      <c r="K4944" s="58" t="n"/>
      <c r="L4944" s="13">
        <f>IF(OR($A4944="",AND($J4944="",$K4944="")),"",ROUND(N($J4944)-N($K4944),2))</f>
        <v/>
      </c>
      <c r="M4944" s="13">
        <f>IF(OR($A4944="",AND($J4944="",$K4944="")),"",MIN($J4944,$K4944))</f>
        <v/>
      </c>
      <c r="Q4944">
        <f>IF($A4944="","",$D4944&amp;"("&amp;SUBSTITUTE($E4944," ","")&amp;")")</f>
        <v/>
      </c>
      <c r="R4944">
        <f>IF($A4944="","",$B4944&amp;" - "&amp;$C4944)</f>
        <v/>
      </c>
      <c r="S4944">
        <f>IF($A4944="","",$R4944&amp;"|"&amp;$Q4944)</f>
        <v/>
      </c>
      <c r="T4944">
        <f>IF($A4944="","",$S4944&amp;"|"&amp;$F4944)</f>
        <v/>
      </c>
      <c r="U4944">
        <f>IF($A4944="","",$R4944&amp;"("&amp;$E4944&amp;")")</f>
        <v/>
      </c>
      <c r="V4944">
        <f>IF($A4944="","",$F4944&amp;"|"&amp;$U4944&amp;"|"&amp;$D4944)</f>
        <v/>
      </c>
      <c r="W4944">
        <f>IF($T4944="","",IF($X4944&gt;N($X4943),$X4944,""))</f>
        <v/>
      </c>
      <c r="X4944">
        <f>IF($T4944="",N($X4943),IF(MATCH($T4944,$T$6:$T$6005,0)=ROW()-5,N($X4943)+1,N($X4943)))</f>
        <v/>
      </c>
      <c r="Z4944">
        <f>IF($V4944="","",IF($AA4944&gt;N($AA4943),$AA4944,""))</f>
        <v/>
      </c>
      <c r="AA4944">
        <f>IF($V4944="",N($AA4943),IF(MATCH($V4944,$V$6:$V$6005,0)=ROW()-5,N($AA4943)+1,N($AA4943)))</f>
        <v/>
      </c>
    </row>
    <row r="4945" ht="21" customHeight="1" s="66">
      <c r="A4945" s="56" t="n"/>
      <c r="B4945" s="57" t="n"/>
      <c r="C4945" s="57" t="n"/>
      <c r="D4945" s="57" t="n"/>
      <c r="E4945" s="56" t="n"/>
      <c r="F4945" s="57" t="n"/>
      <c r="G4945" s="57" t="n"/>
      <c r="H4945" s="56" t="n"/>
      <c r="I4945" s="56" t="n"/>
      <c r="J4945" s="58" t="n"/>
      <c r="K4945" s="58" t="n"/>
      <c r="L4945" s="13">
        <f>IF(OR($A4945="",AND($J4945="",$K4945="")),"",ROUND(N($J4945)-N($K4945),2))</f>
        <v/>
      </c>
      <c r="M4945" s="13">
        <f>IF(OR($A4945="",AND($J4945="",$K4945="")),"",MIN($J4945,$K4945))</f>
        <v/>
      </c>
      <c r="Q4945">
        <f>IF($A4945="","",$D4945&amp;"("&amp;SUBSTITUTE($E4945," ","")&amp;")")</f>
        <v/>
      </c>
      <c r="R4945">
        <f>IF($A4945="","",$B4945&amp;" - "&amp;$C4945)</f>
        <v/>
      </c>
      <c r="S4945">
        <f>IF($A4945="","",$R4945&amp;"|"&amp;$Q4945)</f>
        <v/>
      </c>
      <c r="T4945">
        <f>IF($A4945="","",$S4945&amp;"|"&amp;$F4945)</f>
        <v/>
      </c>
      <c r="U4945">
        <f>IF($A4945="","",$R4945&amp;"("&amp;$E4945&amp;")")</f>
        <v/>
      </c>
      <c r="V4945">
        <f>IF($A4945="","",$F4945&amp;"|"&amp;$U4945&amp;"|"&amp;$D4945)</f>
        <v/>
      </c>
      <c r="W4945">
        <f>IF($T4945="","",IF($X4945&gt;N($X4944),$X4945,""))</f>
        <v/>
      </c>
      <c r="X4945">
        <f>IF($T4945="",N($X4944),IF(MATCH($T4945,$T$6:$T$6005,0)=ROW()-5,N($X4944)+1,N($X4944)))</f>
        <v/>
      </c>
      <c r="Z4945">
        <f>IF($V4945="","",IF($AA4945&gt;N($AA4944),$AA4945,""))</f>
        <v/>
      </c>
      <c r="AA4945">
        <f>IF($V4945="",N($AA4944),IF(MATCH($V4945,$V$6:$V$6005,0)=ROW()-5,N($AA4944)+1,N($AA4944)))</f>
        <v/>
      </c>
    </row>
    <row r="4946" ht="21" customHeight="1" s="66">
      <c r="A4946" s="56" t="n"/>
      <c r="B4946" s="57" t="n"/>
      <c r="C4946" s="57" t="n"/>
      <c r="D4946" s="57" t="n"/>
      <c r="E4946" s="56" t="n"/>
      <c r="F4946" s="57" t="n"/>
      <c r="G4946" s="57" t="n"/>
      <c r="H4946" s="56" t="n"/>
      <c r="I4946" s="56" t="n"/>
      <c r="J4946" s="58" t="n"/>
      <c r="K4946" s="58" t="n"/>
      <c r="L4946" s="13">
        <f>IF(OR($A4946="",AND($J4946="",$K4946="")),"",ROUND(N($J4946)-N($K4946),2))</f>
        <v/>
      </c>
      <c r="M4946" s="13">
        <f>IF(OR($A4946="",AND($J4946="",$K4946="")),"",MIN($J4946,$K4946))</f>
        <v/>
      </c>
      <c r="Q4946">
        <f>IF($A4946="","",$D4946&amp;"("&amp;SUBSTITUTE($E4946," ","")&amp;")")</f>
        <v/>
      </c>
      <c r="R4946">
        <f>IF($A4946="","",$B4946&amp;" - "&amp;$C4946)</f>
        <v/>
      </c>
      <c r="S4946">
        <f>IF($A4946="","",$R4946&amp;"|"&amp;$Q4946)</f>
        <v/>
      </c>
      <c r="T4946">
        <f>IF($A4946="","",$S4946&amp;"|"&amp;$F4946)</f>
        <v/>
      </c>
      <c r="U4946">
        <f>IF($A4946="","",$R4946&amp;"("&amp;$E4946&amp;")")</f>
        <v/>
      </c>
      <c r="V4946">
        <f>IF($A4946="","",$F4946&amp;"|"&amp;$U4946&amp;"|"&amp;$D4946)</f>
        <v/>
      </c>
      <c r="W4946">
        <f>IF($T4946="","",IF($X4946&gt;N($X4945),$X4946,""))</f>
        <v/>
      </c>
      <c r="X4946">
        <f>IF($T4946="",N($X4945),IF(MATCH($T4946,$T$6:$T$6005,0)=ROW()-5,N($X4945)+1,N($X4945)))</f>
        <v/>
      </c>
      <c r="Z4946">
        <f>IF($V4946="","",IF($AA4946&gt;N($AA4945),$AA4946,""))</f>
        <v/>
      </c>
      <c r="AA4946">
        <f>IF($V4946="",N($AA4945),IF(MATCH($V4946,$V$6:$V$6005,0)=ROW()-5,N($AA4945)+1,N($AA4945)))</f>
        <v/>
      </c>
    </row>
    <row r="4947" ht="21" customHeight="1" s="66">
      <c r="A4947" s="56" t="n"/>
      <c r="B4947" s="57" t="n"/>
      <c r="C4947" s="57" t="n"/>
      <c r="D4947" s="57" t="n"/>
      <c r="E4947" s="56" t="n"/>
      <c r="F4947" s="57" t="n"/>
      <c r="G4947" s="57" t="n"/>
      <c r="H4947" s="56" t="n"/>
      <c r="I4947" s="56" t="n"/>
      <c r="J4947" s="58" t="n"/>
      <c r="K4947" s="58" t="n"/>
      <c r="L4947" s="13">
        <f>IF(OR($A4947="",AND($J4947="",$K4947="")),"",ROUND(N($J4947)-N($K4947),2))</f>
        <v/>
      </c>
      <c r="M4947" s="13">
        <f>IF(OR($A4947="",AND($J4947="",$K4947="")),"",MIN($J4947,$K4947))</f>
        <v/>
      </c>
      <c r="Q4947">
        <f>IF($A4947="","",$D4947&amp;"("&amp;SUBSTITUTE($E4947," ","")&amp;")")</f>
        <v/>
      </c>
      <c r="R4947">
        <f>IF($A4947="","",$B4947&amp;" - "&amp;$C4947)</f>
        <v/>
      </c>
      <c r="S4947">
        <f>IF($A4947="","",$R4947&amp;"|"&amp;$Q4947)</f>
        <v/>
      </c>
      <c r="T4947">
        <f>IF($A4947="","",$S4947&amp;"|"&amp;$F4947)</f>
        <v/>
      </c>
      <c r="U4947">
        <f>IF($A4947="","",$R4947&amp;"("&amp;$E4947&amp;")")</f>
        <v/>
      </c>
      <c r="V4947">
        <f>IF($A4947="","",$F4947&amp;"|"&amp;$U4947&amp;"|"&amp;$D4947)</f>
        <v/>
      </c>
      <c r="W4947">
        <f>IF($T4947="","",IF($X4947&gt;N($X4946),$X4947,""))</f>
        <v/>
      </c>
      <c r="X4947">
        <f>IF($T4947="",N($X4946),IF(MATCH($T4947,$T$6:$T$6005,0)=ROW()-5,N($X4946)+1,N($X4946)))</f>
        <v/>
      </c>
      <c r="Z4947">
        <f>IF($V4947="","",IF($AA4947&gt;N($AA4946),$AA4947,""))</f>
        <v/>
      </c>
      <c r="AA4947">
        <f>IF($V4947="",N($AA4946),IF(MATCH($V4947,$V$6:$V$6005,0)=ROW()-5,N($AA4946)+1,N($AA4946)))</f>
        <v/>
      </c>
    </row>
    <row r="4948" ht="21" customHeight="1" s="66">
      <c r="A4948" s="56" t="n"/>
      <c r="B4948" s="57" t="n"/>
      <c r="C4948" s="57" t="n"/>
      <c r="D4948" s="57" t="n"/>
      <c r="E4948" s="56" t="n"/>
      <c r="F4948" s="57" t="n"/>
      <c r="G4948" s="57" t="n"/>
      <c r="H4948" s="56" t="n"/>
      <c r="I4948" s="56" t="n"/>
      <c r="J4948" s="58" t="n"/>
      <c r="K4948" s="58" t="n"/>
      <c r="L4948" s="13">
        <f>IF(OR($A4948="",AND($J4948="",$K4948="")),"",ROUND(N($J4948)-N($K4948),2))</f>
        <v/>
      </c>
      <c r="M4948" s="13">
        <f>IF(OR($A4948="",AND($J4948="",$K4948="")),"",MIN($J4948,$K4948))</f>
        <v/>
      </c>
      <c r="Q4948">
        <f>IF($A4948="","",$D4948&amp;"("&amp;SUBSTITUTE($E4948," ","")&amp;")")</f>
        <v/>
      </c>
      <c r="R4948">
        <f>IF($A4948="","",$B4948&amp;" - "&amp;$C4948)</f>
        <v/>
      </c>
      <c r="S4948">
        <f>IF($A4948="","",$R4948&amp;"|"&amp;$Q4948)</f>
        <v/>
      </c>
      <c r="T4948">
        <f>IF($A4948="","",$S4948&amp;"|"&amp;$F4948)</f>
        <v/>
      </c>
      <c r="U4948">
        <f>IF($A4948="","",$R4948&amp;"("&amp;$E4948&amp;")")</f>
        <v/>
      </c>
      <c r="V4948">
        <f>IF($A4948="","",$F4948&amp;"|"&amp;$U4948&amp;"|"&amp;$D4948)</f>
        <v/>
      </c>
      <c r="W4948">
        <f>IF($T4948="","",IF($X4948&gt;N($X4947),$X4948,""))</f>
        <v/>
      </c>
      <c r="X4948">
        <f>IF($T4948="",N($X4947),IF(MATCH($T4948,$T$6:$T$6005,0)=ROW()-5,N($X4947)+1,N($X4947)))</f>
        <v/>
      </c>
      <c r="Z4948">
        <f>IF($V4948="","",IF($AA4948&gt;N($AA4947),$AA4948,""))</f>
        <v/>
      </c>
      <c r="AA4948">
        <f>IF($V4948="",N($AA4947),IF(MATCH($V4948,$V$6:$V$6005,0)=ROW()-5,N($AA4947)+1,N($AA4947)))</f>
        <v/>
      </c>
    </row>
    <row r="4949" ht="21" customHeight="1" s="66">
      <c r="A4949" s="56" t="n"/>
      <c r="B4949" s="57" t="n"/>
      <c r="C4949" s="57" t="n"/>
      <c r="D4949" s="57" t="n"/>
      <c r="E4949" s="56" t="n"/>
      <c r="F4949" s="57" t="n"/>
      <c r="G4949" s="57" t="n"/>
      <c r="H4949" s="56" t="n"/>
      <c r="I4949" s="56" t="n"/>
      <c r="J4949" s="58" t="n"/>
      <c r="K4949" s="58" t="n"/>
      <c r="L4949" s="13">
        <f>IF(OR($A4949="",AND($J4949="",$K4949="")),"",ROUND(N($J4949)-N($K4949),2))</f>
        <v/>
      </c>
      <c r="M4949" s="13">
        <f>IF(OR($A4949="",AND($J4949="",$K4949="")),"",MIN($J4949,$K4949))</f>
        <v/>
      </c>
      <c r="Q4949">
        <f>IF($A4949="","",$D4949&amp;"("&amp;SUBSTITUTE($E4949," ","")&amp;")")</f>
        <v/>
      </c>
      <c r="R4949">
        <f>IF($A4949="","",$B4949&amp;" - "&amp;$C4949)</f>
        <v/>
      </c>
      <c r="S4949">
        <f>IF($A4949="","",$R4949&amp;"|"&amp;$Q4949)</f>
        <v/>
      </c>
      <c r="T4949">
        <f>IF($A4949="","",$S4949&amp;"|"&amp;$F4949)</f>
        <v/>
      </c>
      <c r="U4949">
        <f>IF($A4949="","",$R4949&amp;"("&amp;$E4949&amp;")")</f>
        <v/>
      </c>
      <c r="V4949">
        <f>IF($A4949="","",$F4949&amp;"|"&amp;$U4949&amp;"|"&amp;$D4949)</f>
        <v/>
      </c>
      <c r="W4949">
        <f>IF($T4949="","",IF($X4949&gt;N($X4948),$X4949,""))</f>
        <v/>
      </c>
      <c r="X4949">
        <f>IF($T4949="",N($X4948),IF(MATCH($T4949,$T$6:$T$6005,0)=ROW()-5,N($X4948)+1,N($X4948)))</f>
        <v/>
      </c>
      <c r="Z4949">
        <f>IF($V4949="","",IF($AA4949&gt;N($AA4948),$AA4949,""))</f>
        <v/>
      </c>
      <c r="AA4949">
        <f>IF($V4949="",N($AA4948),IF(MATCH($V4949,$V$6:$V$6005,0)=ROW()-5,N($AA4948)+1,N($AA4948)))</f>
        <v/>
      </c>
    </row>
    <row r="4950" ht="21" customHeight="1" s="66">
      <c r="A4950" s="56" t="n"/>
      <c r="B4950" s="57" t="n"/>
      <c r="C4950" s="57" t="n"/>
      <c r="D4950" s="57" t="n"/>
      <c r="E4950" s="56" t="n"/>
      <c r="F4950" s="57" t="n"/>
      <c r="G4950" s="57" t="n"/>
      <c r="H4950" s="56" t="n"/>
      <c r="I4950" s="56" t="n"/>
      <c r="J4950" s="58" t="n"/>
      <c r="K4950" s="58" t="n"/>
      <c r="L4950" s="13">
        <f>IF(OR($A4950="",AND($J4950="",$K4950="")),"",ROUND(N($J4950)-N($K4950),2))</f>
        <v/>
      </c>
      <c r="M4950" s="13">
        <f>IF(OR($A4950="",AND($J4950="",$K4950="")),"",MIN($J4950,$K4950))</f>
        <v/>
      </c>
      <c r="Q4950">
        <f>IF($A4950="","",$D4950&amp;"("&amp;SUBSTITUTE($E4950," ","")&amp;")")</f>
        <v/>
      </c>
      <c r="R4950">
        <f>IF($A4950="","",$B4950&amp;" - "&amp;$C4950)</f>
        <v/>
      </c>
      <c r="S4950">
        <f>IF($A4950="","",$R4950&amp;"|"&amp;$Q4950)</f>
        <v/>
      </c>
      <c r="T4950">
        <f>IF($A4950="","",$S4950&amp;"|"&amp;$F4950)</f>
        <v/>
      </c>
      <c r="U4950">
        <f>IF($A4950="","",$R4950&amp;"("&amp;$E4950&amp;")")</f>
        <v/>
      </c>
      <c r="V4950">
        <f>IF($A4950="","",$F4950&amp;"|"&amp;$U4950&amp;"|"&amp;$D4950)</f>
        <v/>
      </c>
      <c r="W4950">
        <f>IF($T4950="","",IF($X4950&gt;N($X4949),$X4950,""))</f>
        <v/>
      </c>
      <c r="X4950">
        <f>IF($T4950="",N($X4949),IF(MATCH($T4950,$T$6:$T$6005,0)=ROW()-5,N($X4949)+1,N($X4949)))</f>
        <v/>
      </c>
      <c r="Z4950">
        <f>IF($V4950="","",IF($AA4950&gt;N($AA4949),$AA4950,""))</f>
        <v/>
      </c>
      <c r="AA4950">
        <f>IF($V4950="",N($AA4949),IF(MATCH($V4950,$V$6:$V$6005,0)=ROW()-5,N($AA4949)+1,N($AA4949)))</f>
        <v/>
      </c>
    </row>
    <row r="4951" ht="21" customHeight="1" s="66">
      <c r="A4951" s="56" t="n"/>
      <c r="B4951" s="57" t="n"/>
      <c r="C4951" s="57" t="n"/>
      <c r="D4951" s="57" t="n"/>
      <c r="E4951" s="56" t="n"/>
      <c r="F4951" s="57" t="n"/>
      <c r="G4951" s="57" t="n"/>
      <c r="H4951" s="56" t="n"/>
      <c r="I4951" s="56" t="n"/>
      <c r="J4951" s="58" t="n"/>
      <c r="K4951" s="58" t="n"/>
      <c r="L4951" s="13">
        <f>IF(OR($A4951="",AND($J4951="",$K4951="")),"",ROUND(N($J4951)-N($K4951),2))</f>
        <v/>
      </c>
      <c r="M4951" s="13">
        <f>IF(OR($A4951="",AND($J4951="",$K4951="")),"",MIN($J4951,$K4951))</f>
        <v/>
      </c>
      <c r="Q4951">
        <f>IF($A4951="","",$D4951&amp;"("&amp;SUBSTITUTE($E4951," ","")&amp;")")</f>
        <v/>
      </c>
      <c r="R4951">
        <f>IF($A4951="","",$B4951&amp;" - "&amp;$C4951)</f>
        <v/>
      </c>
      <c r="S4951">
        <f>IF($A4951="","",$R4951&amp;"|"&amp;$Q4951)</f>
        <v/>
      </c>
      <c r="T4951">
        <f>IF($A4951="","",$S4951&amp;"|"&amp;$F4951)</f>
        <v/>
      </c>
      <c r="U4951">
        <f>IF($A4951="","",$R4951&amp;"("&amp;$E4951&amp;")")</f>
        <v/>
      </c>
      <c r="V4951">
        <f>IF($A4951="","",$F4951&amp;"|"&amp;$U4951&amp;"|"&amp;$D4951)</f>
        <v/>
      </c>
      <c r="W4951">
        <f>IF($T4951="","",IF($X4951&gt;N($X4950),$X4951,""))</f>
        <v/>
      </c>
      <c r="X4951">
        <f>IF($T4951="",N($X4950),IF(MATCH($T4951,$T$6:$T$6005,0)=ROW()-5,N($X4950)+1,N($X4950)))</f>
        <v/>
      </c>
      <c r="Z4951">
        <f>IF($V4951="","",IF($AA4951&gt;N($AA4950),$AA4951,""))</f>
        <v/>
      </c>
      <c r="AA4951">
        <f>IF($V4951="",N($AA4950),IF(MATCH($V4951,$V$6:$V$6005,0)=ROW()-5,N($AA4950)+1,N($AA4950)))</f>
        <v/>
      </c>
    </row>
    <row r="4952" ht="21" customHeight="1" s="66">
      <c r="A4952" s="56" t="n"/>
      <c r="B4952" s="57" t="n"/>
      <c r="C4952" s="57" t="n"/>
      <c r="D4952" s="57" t="n"/>
      <c r="E4952" s="56" t="n"/>
      <c r="F4952" s="57" t="n"/>
      <c r="G4952" s="57" t="n"/>
      <c r="H4952" s="56" t="n"/>
      <c r="I4952" s="56" t="n"/>
      <c r="J4952" s="58" t="n"/>
      <c r="K4952" s="58" t="n"/>
      <c r="L4952" s="13">
        <f>IF(OR($A4952="",AND($J4952="",$K4952="")),"",ROUND(N($J4952)-N($K4952),2))</f>
        <v/>
      </c>
      <c r="M4952" s="13">
        <f>IF(OR($A4952="",AND($J4952="",$K4952="")),"",MIN($J4952,$K4952))</f>
        <v/>
      </c>
      <c r="Q4952">
        <f>IF($A4952="","",$D4952&amp;"("&amp;SUBSTITUTE($E4952," ","")&amp;")")</f>
        <v/>
      </c>
      <c r="R4952">
        <f>IF($A4952="","",$B4952&amp;" - "&amp;$C4952)</f>
        <v/>
      </c>
      <c r="S4952">
        <f>IF($A4952="","",$R4952&amp;"|"&amp;$Q4952)</f>
        <v/>
      </c>
      <c r="T4952">
        <f>IF($A4952="","",$S4952&amp;"|"&amp;$F4952)</f>
        <v/>
      </c>
      <c r="U4952">
        <f>IF($A4952="","",$R4952&amp;"("&amp;$E4952&amp;")")</f>
        <v/>
      </c>
      <c r="V4952">
        <f>IF($A4952="","",$F4952&amp;"|"&amp;$U4952&amp;"|"&amp;$D4952)</f>
        <v/>
      </c>
      <c r="W4952">
        <f>IF($T4952="","",IF($X4952&gt;N($X4951),$X4952,""))</f>
        <v/>
      </c>
      <c r="X4952">
        <f>IF($T4952="",N($X4951),IF(MATCH($T4952,$T$6:$T$6005,0)=ROW()-5,N($X4951)+1,N($X4951)))</f>
        <v/>
      </c>
      <c r="Z4952">
        <f>IF($V4952="","",IF($AA4952&gt;N($AA4951),$AA4952,""))</f>
        <v/>
      </c>
      <c r="AA4952">
        <f>IF($V4952="",N($AA4951),IF(MATCH($V4952,$V$6:$V$6005,0)=ROW()-5,N($AA4951)+1,N($AA4951)))</f>
        <v/>
      </c>
    </row>
    <row r="4953" ht="21" customHeight="1" s="66">
      <c r="A4953" s="56" t="n"/>
      <c r="B4953" s="57" t="n"/>
      <c r="C4953" s="57" t="n"/>
      <c r="D4953" s="57" t="n"/>
      <c r="E4953" s="56" t="n"/>
      <c r="F4953" s="57" t="n"/>
      <c r="G4953" s="57" t="n"/>
      <c r="H4953" s="56" t="n"/>
      <c r="I4953" s="56" t="n"/>
      <c r="J4953" s="58" t="n"/>
      <c r="K4953" s="58" t="n"/>
      <c r="L4953" s="13">
        <f>IF(OR($A4953="",AND($J4953="",$K4953="")),"",ROUND(N($J4953)-N($K4953),2))</f>
        <v/>
      </c>
      <c r="M4953" s="13">
        <f>IF(OR($A4953="",AND($J4953="",$K4953="")),"",MIN($J4953,$K4953))</f>
        <v/>
      </c>
      <c r="Q4953">
        <f>IF($A4953="","",$D4953&amp;"("&amp;SUBSTITUTE($E4953," ","")&amp;")")</f>
        <v/>
      </c>
      <c r="R4953">
        <f>IF($A4953="","",$B4953&amp;" - "&amp;$C4953)</f>
        <v/>
      </c>
      <c r="S4953">
        <f>IF($A4953="","",$R4953&amp;"|"&amp;$Q4953)</f>
        <v/>
      </c>
      <c r="T4953">
        <f>IF($A4953="","",$S4953&amp;"|"&amp;$F4953)</f>
        <v/>
      </c>
      <c r="U4953">
        <f>IF($A4953="","",$R4953&amp;"("&amp;$E4953&amp;")")</f>
        <v/>
      </c>
      <c r="V4953">
        <f>IF($A4953="","",$F4953&amp;"|"&amp;$U4953&amp;"|"&amp;$D4953)</f>
        <v/>
      </c>
      <c r="W4953">
        <f>IF($T4953="","",IF($X4953&gt;N($X4952),$X4953,""))</f>
        <v/>
      </c>
      <c r="X4953">
        <f>IF($T4953="",N($X4952),IF(MATCH($T4953,$T$6:$T$6005,0)=ROW()-5,N($X4952)+1,N($X4952)))</f>
        <v/>
      </c>
      <c r="Z4953">
        <f>IF($V4953="","",IF($AA4953&gt;N($AA4952),$AA4953,""))</f>
        <v/>
      </c>
      <c r="AA4953">
        <f>IF($V4953="",N($AA4952),IF(MATCH($V4953,$V$6:$V$6005,0)=ROW()-5,N($AA4952)+1,N($AA4952)))</f>
        <v/>
      </c>
    </row>
    <row r="4954" ht="21" customHeight="1" s="66">
      <c r="A4954" s="56" t="n"/>
      <c r="B4954" s="57" t="n"/>
      <c r="C4954" s="57" t="n"/>
      <c r="D4954" s="57" t="n"/>
      <c r="E4954" s="56" t="n"/>
      <c r="F4954" s="57" t="n"/>
      <c r="G4954" s="57" t="n"/>
      <c r="H4954" s="56" t="n"/>
      <c r="I4954" s="56" t="n"/>
      <c r="J4954" s="58" t="n"/>
      <c r="K4954" s="58" t="n"/>
      <c r="L4954" s="13">
        <f>IF(OR($A4954="",AND($J4954="",$K4954="")),"",ROUND(N($J4954)-N($K4954),2))</f>
        <v/>
      </c>
      <c r="M4954" s="13">
        <f>IF(OR($A4954="",AND($J4954="",$K4954="")),"",MIN($J4954,$K4954))</f>
        <v/>
      </c>
      <c r="Q4954">
        <f>IF($A4954="","",$D4954&amp;"("&amp;SUBSTITUTE($E4954," ","")&amp;")")</f>
        <v/>
      </c>
      <c r="R4954">
        <f>IF($A4954="","",$B4954&amp;" - "&amp;$C4954)</f>
        <v/>
      </c>
      <c r="S4954">
        <f>IF($A4954="","",$R4954&amp;"|"&amp;$Q4954)</f>
        <v/>
      </c>
      <c r="T4954">
        <f>IF($A4954="","",$S4954&amp;"|"&amp;$F4954)</f>
        <v/>
      </c>
      <c r="U4954">
        <f>IF($A4954="","",$R4954&amp;"("&amp;$E4954&amp;")")</f>
        <v/>
      </c>
      <c r="V4954">
        <f>IF($A4954="","",$F4954&amp;"|"&amp;$U4954&amp;"|"&amp;$D4954)</f>
        <v/>
      </c>
      <c r="W4954">
        <f>IF($T4954="","",IF($X4954&gt;N($X4953),$X4954,""))</f>
        <v/>
      </c>
      <c r="X4954">
        <f>IF($T4954="",N($X4953),IF(MATCH($T4954,$T$6:$T$6005,0)=ROW()-5,N($X4953)+1,N($X4953)))</f>
        <v/>
      </c>
      <c r="Z4954">
        <f>IF($V4954="","",IF($AA4954&gt;N($AA4953),$AA4954,""))</f>
        <v/>
      </c>
      <c r="AA4954">
        <f>IF($V4954="",N($AA4953),IF(MATCH($V4954,$V$6:$V$6005,0)=ROW()-5,N($AA4953)+1,N($AA4953)))</f>
        <v/>
      </c>
    </row>
    <row r="4955" ht="21" customHeight="1" s="66">
      <c r="A4955" s="56" t="n"/>
      <c r="B4955" s="57" t="n"/>
      <c r="C4955" s="57" t="n"/>
      <c r="D4955" s="57" t="n"/>
      <c r="E4955" s="56" t="n"/>
      <c r="F4955" s="57" t="n"/>
      <c r="G4955" s="57" t="n"/>
      <c r="H4955" s="56" t="n"/>
      <c r="I4955" s="56" t="n"/>
      <c r="J4955" s="58" t="n"/>
      <c r="K4955" s="58" t="n"/>
      <c r="L4955" s="13">
        <f>IF(OR($A4955="",AND($J4955="",$K4955="")),"",ROUND(N($J4955)-N($K4955),2))</f>
        <v/>
      </c>
      <c r="M4955" s="13">
        <f>IF(OR($A4955="",AND($J4955="",$K4955="")),"",MIN($J4955,$K4955))</f>
        <v/>
      </c>
      <c r="Q4955">
        <f>IF($A4955="","",$D4955&amp;"("&amp;SUBSTITUTE($E4955," ","")&amp;")")</f>
        <v/>
      </c>
      <c r="R4955">
        <f>IF($A4955="","",$B4955&amp;" - "&amp;$C4955)</f>
        <v/>
      </c>
      <c r="S4955">
        <f>IF($A4955="","",$R4955&amp;"|"&amp;$Q4955)</f>
        <v/>
      </c>
      <c r="T4955">
        <f>IF($A4955="","",$S4955&amp;"|"&amp;$F4955)</f>
        <v/>
      </c>
      <c r="U4955">
        <f>IF($A4955="","",$R4955&amp;"("&amp;$E4955&amp;")")</f>
        <v/>
      </c>
      <c r="V4955">
        <f>IF($A4955="","",$F4955&amp;"|"&amp;$U4955&amp;"|"&amp;$D4955)</f>
        <v/>
      </c>
      <c r="W4955">
        <f>IF($T4955="","",IF($X4955&gt;N($X4954),$X4955,""))</f>
        <v/>
      </c>
      <c r="X4955">
        <f>IF($T4955="",N($X4954),IF(MATCH($T4955,$T$6:$T$6005,0)=ROW()-5,N($X4954)+1,N($X4954)))</f>
        <v/>
      </c>
      <c r="Z4955">
        <f>IF($V4955="","",IF($AA4955&gt;N($AA4954),$AA4955,""))</f>
        <v/>
      </c>
      <c r="AA4955">
        <f>IF($V4955="",N($AA4954),IF(MATCH($V4955,$V$6:$V$6005,0)=ROW()-5,N($AA4954)+1,N($AA4954)))</f>
        <v/>
      </c>
    </row>
    <row r="4956" ht="21" customHeight="1" s="66">
      <c r="A4956" s="56" t="n"/>
      <c r="B4956" s="57" t="n"/>
      <c r="C4956" s="57" t="n"/>
      <c r="D4956" s="57" t="n"/>
      <c r="E4956" s="56" t="n"/>
      <c r="F4956" s="57" t="n"/>
      <c r="G4956" s="57" t="n"/>
      <c r="H4956" s="56" t="n"/>
      <c r="I4956" s="56" t="n"/>
      <c r="J4956" s="58" t="n"/>
      <c r="K4956" s="58" t="n"/>
      <c r="L4956" s="13">
        <f>IF(OR($A4956="",AND($J4956="",$K4956="")),"",ROUND(N($J4956)-N($K4956),2))</f>
        <v/>
      </c>
      <c r="M4956" s="13">
        <f>IF(OR($A4956="",AND($J4956="",$K4956="")),"",MIN($J4956,$K4956))</f>
        <v/>
      </c>
      <c r="Q4956">
        <f>IF($A4956="","",$D4956&amp;"("&amp;SUBSTITUTE($E4956," ","")&amp;")")</f>
        <v/>
      </c>
      <c r="R4956">
        <f>IF($A4956="","",$B4956&amp;" - "&amp;$C4956)</f>
        <v/>
      </c>
      <c r="S4956">
        <f>IF($A4956="","",$R4956&amp;"|"&amp;$Q4956)</f>
        <v/>
      </c>
      <c r="T4956">
        <f>IF($A4956="","",$S4956&amp;"|"&amp;$F4956)</f>
        <v/>
      </c>
      <c r="U4956">
        <f>IF($A4956="","",$R4956&amp;"("&amp;$E4956&amp;")")</f>
        <v/>
      </c>
      <c r="V4956">
        <f>IF($A4956="","",$F4956&amp;"|"&amp;$U4956&amp;"|"&amp;$D4956)</f>
        <v/>
      </c>
      <c r="W4956">
        <f>IF($T4956="","",IF($X4956&gt;N($X4955),$X4956,""))</f>
        <v/>
      </c>
      <c r="X4956">
        <f>IF($T4956="",N($X4955),IF(MATCH($T4956,$T$6:$T$6005,0)=ROW()-5,N($X4955)+1,N($X4955)))</f>
        <v/>
      </c>
      <c r="Z4956">
        <f>IF($V4956="","",IF($AA4956&gt;N($AA4955),$AA4956,""))</f>
        <v/>
      </c>
      <c r="AA4956">
        <f>IF($V4956="",N($AA4955),IF(MATCH($V4956,$V$6:$V$6005,0)=ROW()-5,N($AA4955)+1,N($AA4955)))</f>
        <v/>
      </c>
    </row>
    <row r="4957" ht="21" customHeight="1" s="66">
      <c r="A4957" s="56" t="n"/>
      <c r="B4957" s="57" t="n"/>
      <c r="C4957" s="57" t="n"/>
      <c r="D4957" s="57" t="n"/>
      <c r="E4957" s="56" t="n"/>
      <c r="F4957" s="57" t="n"/>
      <c r="G4957" s="57" t="n"/>
      <c r="H4957" s="56" t="n"/>
      <c r="I4957" s="56" t="n"/>
      <c r="J4957" s="58" t="n"/>
      <c r="K4957" s="58" t="n"/>
      <c r="L4957" s="13">
        <f>IF(OR($A4957="",AND($J4957="",$K4957="")),"",ROUND(N($J4957)-N($K4957),2))</f>
        <v/>
      </c>
      <c r="M4957" s="13">
        <f>IF(OR($A4957="",AND($J4957="",$K4957="")),"",MIN($J4957,$K4957))</f>
        <v/>
      </c>
      <c r="Q4957">
        <f>IF($A4957="","",$D4957&amp;"("&amp;SUBSTITUTE($E4957," ","")&amp;")")</f>
        <v/>
      </c>
      <c r="R4957">
        <f>IF($A4957="","",$B4957&amp;" - "&amp;$C4957)</f>
        <v/>
      </c>
      <c r="S4957">
        <f>IF($A4957="","",$R4957&amp;"|"&amp;$Q4957)</f>
        <v/>
      </c>
      <c r="T4957">
        <f>IF($A4957="","",$S4957&amp;"|"&amp;$F4957)</f>
        <v/>
      </c>
      <c r="U4957">
        <f>IF($A4957="","",$R4957&amp;"("&amp;$E4957&amp;")")</f>
        <v/>
      </c>
      <c r="V4957">
        <f>IF($A4957="","",$F4957&amp;"|"&amp;$U4957&amp;"|"&amp;$D4957)</f>
        <v/>
      </c>
      <c r="W4957">
        <f>IF($T4957="","",IF($X4957&gt;N($X4956),$X4957,""))</f>
        <v/>
      </c>
      <c r="X4957">
        <f>IF($T4957="",N($X4956),IF(MATCH($T4957,$T$6:$T$6005,0)=ROW()-5,N($X4956)+1,N($X4956)))</f>
        <v/>
      </c>
      <c r="Z4957">
        <f>IF($V4957="","",IF($AA4957&gt;N($AA4956),$AA4957,""))</f>
        <v/>
      </c>
      <c r="AA4957">
        <f>IF($V4957="",N($AA4956),IF(MATCH($V4957,$V$6:$V$6005,0)=ROW()-5,N($AA4956)+1,N($AA4956)))</f>
        <v/>
      </c>
    </row>
    <row r="4958" ht="21" customHeight="1" s="66">
      <c r="A4958" s="56" t="n"/>
      <c r="B4958" s="57" t="n"/>
      <c r="C4958" s="57" t="n"/>
      <c r="D4958" s="57" t="n"/>
      <c r="E4958" s="56" t="n"/>
      <c r="F4958" s="57" t="n"/>
      <c r="G4958" s="57" t="n"/>
      <c r="H4958" s="56" t="n"/>
      <c r="I4958" s="56" t="n"/>
      <c r="J4958" s="58" t="n"/>
      <c r="K4958" s="58" t="n"/>
      <c r="L4958" s="13">
        <f>IF(OR($A4958="",AND($J4958="",$K4958="")),"",ROUND(N($J4958)-N($K4958),2))</f>
        <v/>
      </c>
      <c r="M4958" s="13">
        <f>IF(OR($A4958="",AND($J4958="",$K4958="")),"",MIN($J4958,$K4958))</f>
        <v/>
      </c>
      <c r="Q4958">
        <f>IF($A4958="","",$D4958&amp;"("&amp;SUBSTITUTE($E4958," ","")&amp;")")</f>
        <v/>
      </c>
      <c r="R4958">
        <f>IF($A4958="","",$B4958&amp;" - "&amp;$C4958)</f>
        <v/>
      </c>
      <c r="S4958">
        <f>IF($A4958="","",$R4958&amp;"|"&amp;$Q4958)</f>
        <v/>
      </c>
      <c r="T4958">
        <f>IF($A4958="","",$S4958&amp;"|"&amp;$F4958)</f>
        <v/>
      </c>
      <c r="U4958">
        <f>IF($A4958="","",$R4958&amp;"("&amp;$E4958&amp;")")</f>
        <v/>
      </c>
      <c r="V4958">
        <f>IF($A4958="","",$F4958&amp;"|"&amp;$U4958&amp;"|"&amp;$D4958)</f>
        <v/>
      </c>
      <c r="W4958">
        <f>IF($T4958="","",IF($X4958&gt;N($X4957),$X4958,""))</f>
        <v/>
      </c>
      <c r="X4958">
        <f>IF($T4958="",N($X4957),IF(MATCH($T4958,$T$6:$T$6005,0)=ROW()-5,N($X4957)+1,N($X4957)))</f>
        <v/>
      </c>
      <c r="Z4958">
        <f>IF($V4958="","",IF($AA4958&gt;N($AA4957),$AA4958,""))</f>
        <v/>
      </c>
      <c r="AA4958">
        <f>IF($V4958="",N($AA4957),IF(MATCH($V4958,$V$6:$V$6005,0)=ROW()-5,N($AA4957)+1,N($AA4957)))</f>
        <v/>
      </c>
    </row>
    <row r="4959" ht="21" customHeight="1" s="66">
      <c r="A4959" s="56" t="n"/>
      <c r="B4959" s="57" t="n"/>
      <c r="C4959" s="57" t="n"/>
      <c r="D4959" s="57" t="n"/>
      <c r="E4959" s="56" t="n"/>
      <c r="F4959" s="57" t="n"/>
      <c r="G4959" s="57" t="n"/>
      <c r="H4959" s="56" t="n"/>
      <c r="I4959" s="56" t="n"/>
      <c r="J4959" s="58" t="n"/>
      <c r="K4959" s="58" t="n"/>
      <c r="L4959" s="13">
        <f>IF(OR($A4959="",AND($J4959="",$K4959="")),"",ROUND(N($J4959)-N($K4959),2))</f>
        <v/>
      </c>
      <c r="M4959" s="13">
        <f>IF(OR($A4959="",AND($J4959="",$K4959="")),"",MIN($J4959,$K4959))</f>
        <v/>
      </c>
      <c r="Q4959">
        <f>IF($A4959="","",$D4959&amp;"("&amp;SUBSTITUTE($E4959," ","")&amp;")")</f>
        <v/>
      </c>
      <c r="R4959">
        <f>IF($A4959="","",$B4959&amp;" - "&amp;$C4959)</f>
        <v/>
      </c>
      <c r="S4959">
        <f>IF($A4959="","",$R4959&amp;"|"&amp;$Q4959)</f>
        <v/>
      </c>
      <c r="T4959">
        <f>IF($A4959="","",$S4959&amp;"|"&amp;$F4959)</f>
        <v/>
      </c>
      <c r="U4959">
        <f>IF($A4959="","",$R4959&amp;"("&amp;$E4959&amp;")")</f>
        <v/>
      </c>
      <c r="V4959">
        <f>IF($A4959="","",$F4959&amp;"|"&amp;$U4959&amp;"|"&amp;$D4959)</f>
        <v/>
      </c>
      <c r="W4959">
        <f>IF($T4959="","",IF($X4959&gt;N($X4958),$X4959,""))</f>
        <v/>
      </c>
      <c r="X4959">
        <f>IF($T4959="",N($X4958),IF(MATCH($T4959,$T$6:$T$6005,0)=ROW()-5,N($X4958)+1,N($X4958)))</f>
        <v/>
      </c>
      <c r="Z4959">
        <f>IF($V4959="","",IF($AA4959&gt;N($AA4958),$AA4959,""))</f>
        <v/>
      </c>
      <c r="AA4959">
        <f>IF($V4959="",N($AA4958),IF(MATCH($V4959,$V$6:$V$6005,0)=ROW()-5,N($AA4958)+1,N($AA4958)))</f>
        <v/>
      </c>
    </row>
    <row r="4960" ht="21" customHeight="1" s="66">
      <c r="A4960" s="56" t="n"/>
      <c r="B4960" s="57" t="n"/>
      <c r="C4960" s="57" t="n"/>
      <c r="D4960" s="57" t="n"/>
      <c r="E4960" s="56" t="n"/>
      <c r="F4960" s="57" t="n"/>
      <c r="G4960" s="57" t="n"/>
      <c r="H4960" s="56" t="n"/>
      <c r="I4960" s="56" t="n"/>
      <c r="J4960" s="58" t="n"/>
      <c r="K4960" s="58" t="n"/>
      <c r="L4960" s="13">
        <f>IF(OR($A4960="",AND($J4960="",$K4960="")),"",ROUND(N($J4960)-N($K4960),2))</f>
        <v/>
      </c>
      <c r="M4960" s="13">
        <f>IF(OR($A4960="",AND($J4960="",$K4960="")),"",MIN($J4960,$K4960))</f>
        <v/>
      </c>
      <c r="Q4960">
        <f>IF($A4960="","",$D4960&amp;"("&amp;SUBSTITUTE($E4960," ","")&amp;")")</f>
        <v/>
      </c>
      <c r="R4960">
        <f>IF($A4960="","",$B4960&amp;" - "&amp;$C4960)</f>
        <v/>
      </c>
      <c r="S4960">
        <f>IF($A4960="","",$R4960&amp;"|"&amp;$Q4960)</f>
        <v/>
      </c>
      <c r="T4960">
        <f>IF($A4960="","",$S4960&amp;"|"&amp;$F4960)</f>
        <v/>
      </c>
      <c r="U4960">
        <f>IF($A4960="","",$R4960&amp;"("&amp;$E4960&amp;")")</f>
        <v/>
      </c>
      <c r="V4960">
        <f>IF($A4960="","",$F4960&amp;"|"&amp;$U4960&amp;"|"&amp;$D4960)</f>
        <v/>
      </c>
      <c r="W4960">
        <f>IF($T4960="","",IF($X4960&gt;N($X4959),$X4960,""))</f>
        <v/>
      </c>
      <c r="X4960">
        <f>IF($T4960="",N($X4959),IF(MATCH($T4960,$T$6:$T$6005,0)=ROW()-5,N($X4959)+1,N($X4959)))</f>
        <v/>
      </c>
      <c r="Z4960">
        <f>IF($V4960="","",IF($AA4960&gt;N($AA4959),$AA4960,""))</f>
        <v/>
      </c>
      <c r="AA4960">
        <f>IF($V4960="",N($AA4959),IF(MATCH($V4960,$V$6:$V$6005,0)=ROW()-5,N($AA4959)+1,N($AA4959)))</f>
        <v/>
      </c>
    </row>
    <row r="4961" ht="21" customHeight="1" s="66">
      <c r="A4961" s="56" t="n"/>
      <c r="B4961" s="57" t="n"/>
      <c r="C4961" s="57" t="n"/>
      <c r="D4961" s="57" t="n"/>
      <c r="E4961" s="56" t="n"/>
      <c r="F4961" s="57" t="n"/>
      <c r="G4961" s="57" t="n"/>
      <c r="H4961" s="56" t="n"/>
      <c r="I4961" s="56" t="n"/>
      <c r="J4961" s="58" t="n"/>
      <c r="K4961" s="58" t="n"/>
      <c r="L4961" s="13">
        <f>IF(OR($A4961="",AND($J4961="",$K4961="")),"",ROUND(N($J4961)-N($K4961),2))</f>
        <v/>
      </c>
      <c r="M4961" s="13">
        <f>IF(OR($A4961="",AND($J4961="",$K4961="")),"",MIN($J4961,$K4961))</f>
        <v/>
      </c>
      <c r="Q4961">
        <f>IF($A4961="","",$D4961&amp;"("&amp;SUBSTITUTE($E4961," ","")&amp;")")</f>
        <v/>
      </c>
      <c r="R4961">
        <f>IF($A4961="","",$B4961&amp;" - "&amp;$C4961)</f>
        <v/>
      </c>
      <c r="S4961">
        <f>IF($A4961="","",$R4961&amp;"|"&amp;$Q4961)</f>
        <v/>
      </c>
      <c r="T4961">
        <f>IF($A4961="","",$S4961&amp;"|"&amp;$F4961)</f>
        <v/>
      </c>
      <c r="U4961">
        <f>IF($A4961="","",$R4961&amp;"("&amp;$E4961&amp;")")</f>
        <v/>
      </c>
      <c r="V4961">
        <f>IF($A4961="","",$F4961&amp;"|"&amp;$U4961&amp;"|"&amp;$D4961)</f>
        <v/>
      </c>
      <c r="W4961">
        <f>IF($T4961="","",IF($X4961&gt;N($X4960),$X4961,""))</f>
        <v/>
      </c>
      <c r="X4961">
        <f>IF($T4961="",N($X4960),IF(MATCH($T4961,$T$6:$T$6005,0)=ROW()-5,N($X4960)+1,N($X4960)))</f>
        <v/>
      </c>
      <c r="Z4961">
        <f>IF($V4961="","",IF($AA4961&gt;N($AA4960),$AA4961,""))</f>
        <v/>
      </c>
      <c r="AA4961">
        <f>IF($V4961="",N($AA4960),IF(MATCH($V4961,$V$6:$V$6005,0)=ROW()-5,N($AA4960)+1,N($AA4960)))</f>
        <v/>
      </c>
    </row>
    <row r="4962" ht="21" customHeight="1" s="66">
      <c r="A4962" s="56" t="n"/>
      <c r="B4962" s="57" t="n"/>
      <c r="C4962" s="57" t="n"/>
      <c r="D4962" s="57" t="n"/>
      <c r="E4962" s="56" t="n"/>
      <c r="F4962" s="57" t="n"/>
      <c r="G4962" s="57" t="n"/>
      <c r="H4962" s="56" t="n"/>
      <c r="I4962" s="56" t="n"/>
      <c r="J4962" s="58" t="n"/>
      <c r="K4962" s="58" t="n"/>
      <c r="L4962" s="13">
        <f>IF(OR($A4962="",AND($J4962="",$K4962="")),"",ROUND(N($J4962)-N($K4962),2))</f>
        <v/>
      </c>
      <c r="M4962" s="13">
        <f>IF(OR($A4962="",AND($J4962="",$K4962="")),"",MIN($J4962,$K4962))</f>
        <v/>
      </c>
      <c r="Q4962">
        <f>IF($A4962="","",$D4962&amp;"("&amp;SUBSTITUTE($E4962," ","")&amp;")")</f>
        <v/>
      </c>
      <c r="R4962">
        <f>IF($A4962="","",$B4962&amp;" - "&amp;$C4962)</f>
        <v/>
      </c>
      <c r="S4962">
        <f>IF($A4962="","",$R4962&amp;"|"&amp;$Q4962)</f>
        <v/>
      </c>
      <c r="T4962">
        <f>IF($A4962="","",$S4962&amp;"|"&amp;$F4962)</f>
        <v/>
      </c>
      <c r="U4962">
        <f>IF($A4962="","",$R4962&amp;"("&amp;$E4962&amp;")")</f>
        <v/>
      </c>
      <c r="V4962">
        <f>IF($A4962="","",$F4962&amp;"|"&amp;$U4962&amp;"|"&amp;$D4962)</f>
        <v/>
      </c>
      <c r="W4962">
        <f>IF($T4962="","",IF($X4962&gt;N($X4961),$X4962,""))</f>
        <v/>
      </c>
      <c r="X4962">
        <f>IF($T4962="",N($X4961),IF(MATCH($T4962,$T$6:$T$6005,0)=ROW()-5,N($X4961)+1,N($X4961)))</f>
        <v/>
      </c>
      <c r="Z4962">
        <f>IF($V4962="","",IF($AA4962&gt;N($AA4961),$AA4962,""))</f>
        <v/>
      </c>
      <c r="AA4962">
        <f>IF($V4962="",N($AA4961),IF(MATCH($V4962,$V$6:$V$6005,0)=ROW()-5,N($AA4961)+1,N($AA4961)))</f>
        <v/>
      </c>
    </row>
    <row r="4963" ht="21" customHeight="1" s="66">
      <c r="A4963" s="56" t="n"/>
      <c r="B4963" s="57" t="n"/>
      <c r="C4963" s="57" t="n"/>
      <c r="D4963" s="57" t="n"/>
      <c r="E4963" s="56" t="n"/>
      <c r="F4963" s="57" t="n"/>
      <c r="G4963" s="57" t="n"/>
      <c r="H4963" s="56" t="n"/>
      <c r="I4963" s="56" t="n"/>
      <c r="J4963" s="58" t="n"/>
      <c r="K4963" s="58" t="n"/>
      <c r="L4963" s="13">
        <f>IF(OR($A4963="",AND($J4963="",$K4963="")),"",ROUND(N($J4963)-N($K4963),2))</f>
        <v/>
      </c>
      <c r="M4963" s="13">
        <f>IF(OR($A4963="",AND($J4963="",$K4963="")),"",MIN($J4963,$K4963))</f>
        <v/>
      </c>
      <c r="Q4963">
        <f>IF($A4963="","",$D4963&amp;"("&amp;SUBSTITUTE($E4963," ","")&amp;")")</f>
        <v/>
      </c>
      <c r="R4963">
        <f>IF($A4963="","",$B4963&amp;" - "&amp;$C4963)</f>
        <v/>
      </c>
      <c r="S4963">
        <f>IF($A4963="","",$R4963&amp;"|"&amp;$Q4963)</f>
        <v/>
      </c>
      <c r="T4963">
        <f>IF($A4963="","",$S4963&amp;"|"&amp;$F4963)</f>
        <v/>
      </c>
      <c r="U4963">
        <f>IF($A4963="","",$R4963&amp;"("&amp;$E4963&amp;")")</f>
        <v/>
      </c>
      <c r="V4963">
        <f>IF($A4963="","",$F4963&amp;"|"&amp;$U4963&amp;"|"&amp;$D4963)</f>
        <v/>
      </c>
      <c r="W4963">
        <f>IF($T4963="","",IF($X4963&gt;N($X4962),$X4963,""))</f>
        <v/>
      </c>
      <c r="X4963">
        <f>IF($T4963="",N($X4962),IF(MATCH($T4963,$T$6:$T$6005,0)=ROW()-5,N($X4962)+1,N($X4962)))</f>
        <v/>
      </c>
      <c r="Z4963">
        <f>IF($V4963="","",IF($AA4963&gt;N($AA4962),$AA4963,""))</f>
        <v/>
      </c>
      <c r="AA4963">
        <f>IF($V4963="",N($AA4962),IF(MATCH($V4963,$V$6:$V$6005,0)=ROW()-5,N($AA4962)+1,N($AA4962)))</f>
        <v/>
      </c>
    </row>
    <row r="4964" ht="21" customHeight="1" s="66">
      <c r="A4964" s="56" t="n"/>
      <c r="B4964" s="57" t="n"/>
      <c r="C4964" s="57" t="n"/>
      <c r="D4964" s="57" t="n"/>
      <c r="E4964" s="56" t="n"/>
      <c r="F4964" s="57" t="n"/>
      <c r="G4964" s="57" t="n"/>
      <c r="H4964" s="56" t="n"/>
      <c r="I4964" s="56" t="n"/>
      <c r="J4964" s="58" t="n"/>
      <c r="K4964" s="58" t="n"/>
      <c r="L4964" s="13">
        <f>IF(OR($A4964="",AND($J4964="",$K4964="")),"",ROUND(N($J4964)-N($K4964),2))</f>
        <v/>
      </c>
      <c r="M4964" s="13">
        <f>IF(OR($A4964="",AND($J4964="",$K4964="")),"",MIN($J4964,$K4964))</f>
        <v/>
      </c>
      <c r="Q4964">
        <f>IF($A4964="","",$D4964&amp;"("&amp;SUBSTITUTE($E4964," ","")&amp;")")</f>
        <v/>
      </c>
      <c r="R4964">
        <f>IF($A4964="","",$B4964&amp;" - "&amp;$C4964)</f>
        <v/>
      </c>
      <c r="S4964">
        <f>IF($A4964="","",$R4964&amp;"|"&amp;$Q4964)</f>
        <v/>
      </c>
      <c r="T4964">
        <f>IF($A4964="","",$S4964&amp;"|"&amp;$F4964)</f>
        <v/>
      </c>
      <c r="U4964">
        <f>IF($A4964="","",$R4964&amp;"("&amp;$E4964&amp;")")</f>
        <v/>
      </c>
      <c r="V4964">
        <f>IF($A4964="","",$F4964&amp;"|"&amp;$U4964&amp;"|"&amp;$D4964)</f>
        <v/>
      </c>
      <c r="W4964">
        <f>IF($T4964="","",IF($X4964&gt;N($X4963),$X4964,""))</f>
        <v/>
      </c>
      <c r="X4964">
        <f>IF($T4964="",N($X4963),IF(MATCH($T4964,$T$6:$T$6005,0)=ROW()-5,N($X4963)+1,N($X4963)))</f>
        <v/>
      </c>
      <c r="Z4964">
        <f>IF($V4964="","",IF($AA4964&gt;N($AA4963),$AA4964,""))</f>
        <v/>
      </c>
      <c r="AA4964">
        <f>IF($V4964="",N($AA4963),IF(MATCH($V4964,$V$6:$V$6005,0)=ROW()-5,N($AA4963)+1,N($AA4963)))</f>
        <v/>
      </c>
    </row>
    <row r="4965" ht="21" customHeight="1" s="66">
      <c r="A4965" s="56" t="n"/>
      <c r="B4965" s="57" t="n"/>
      <c r="C4965" s="57" t="n"/>
      <c r="D4965" s="57" t="n"/>
      <c r="E4965" s="56" t="n"/>
      <c r="F4965" s="57" t="n"/>
      <c r="G4965" s="57" t="n"/>
      <c r="H4965" s="56" t="n"/>
      <c r="I4965" s="56" t="n"/>
      <c r="J4965" s="58" t="n"/>
      <c r="K4965" s="58" t="n"/>
      <c r="L4965" s="13">
        <f>IF(OR($A4965="",AND($J4965="",$K4965="")),"",ROUND(N($J4965)-N($K4965),2))</f>
        <v/>
      </c>
      <c r="M4965" s="13">
        <f>IF(OR($A4965="",AND($J4965="",$K4965="")),"",MIN($J4965,$K4965))</f>
        <v/>
      </c>
      <c r="Q4965">
        <f>IF($A4965="","",$D4965&amp;"("&amp;SUBSTITUTE($E4965," ","")&amp;")")</f>
        <v/>
      </c>
      <c r="R4965">
        <f>IF($A4965="","",$B4965&amp;" - "&amp;$C4965)</f>
        <v/>
      </c>
      <c r="S4965">
        <f>IF($A4965="","",$R4965&amp;"|"&amp;$Q4965)</f>
        <v/>
      </c>
      <c r="T4965">
        <f>IF($A4965="","",$S4965&amp;"|"&amp;$F4965)</f>
        <v/>
      </c>
      <c r="U4965">
        <f>IF($A4965="","",$R4965&amp;"("&amp;$E4965&amp;")")</f>
        <v/>
      </c>
      <c r="V4965">
        <f>IF($A4965="","",$F4965&amp;"|"&amp;$U4965&amp;"|"&amp;$D4965)</f>
        <v/>
      </c>
      <c r="W4965">
        <f>IF($T4965="","",IF($X4965&gt;N($X4964),$X4965,""))</f>
        <v/>
      </c>
      <c r="X4965">
        <f>IF($T4965="",N($X4964),IF(MATCH($T4965,$T$6:$T$6005,0)=ROW()-5,N($X4964)+1,N($X4964)))</f>
        <v/>
      </c>
      <c r="Z4965">
        <f>IF($V4965="","",IF($AA4965&gt;N($AA4964),$AA4965,""))</f>
        <v/>
      </c>
      <c r="AA4965">
        <f>IF($V4965="",N($AA4964),IF(MATCH($V4965,$V$6:$V$6005,0)=ROW()-5,N($AA4964)+1,N($AA4964)))</f>
        <v/>
      </c>
    </row>
    <row r="4966" ht="21" customHeight="1" s="66">
      <c r="A4966" s="56" t="n"/>
      <c r="B4966" s="57" t="n"/>
      <c r="C4966" s="57" t="n"/>
      <c r="D4966" s="57" t="n"/>
      <c r="E4966" s="56" t="n"/>
      <c r="F4966" s="57" t="n"/>
      <c r="G4966" s="57" t="n"/>
      <c r="H4966" s="56" t="n"/>
      <c r="I4966" s="56" t="n"/>
      <c r="J4966" s="58" t="n"/>
      <c r="K4966" s="58" t="n"/>
      <c r="L4966" s="13">
        <f>IF(OR($A4966="",AND($J4966="",$K4966="")),"",ROUND(N($J4966)-N($K4966),2))</f>
        <v/>
      </c>
      <c r="M4966" s="13">
        <f>IF(OR($A4966="",AND($J4966="",$K4966="")),"",MIN($J4966,$K4966))</f>
        <v/>
      </c>
      <c r="Q4966">
        <f>IF($A4966="","",$D4966&amp;"("&amp;SUBSTITUTE($E4966," ","")&amp;")")</f>
        <v/>
      </c>
      <c r="R4966">
        <f>IF($A4966="","",$B4966&amp;" - "&amp;$C4966)</f>
        <v/>
      </c>
      <c r="S4966">
        <f>IF($A4966="","",$R4966&amp;"|"&amp;$Q4966)</f>
        <v/>
      </c>
      <c r="T4966">
        <f>IF($A4966="","",$S4966&amp;"|"&amp;$F4966)</f>
        <v/>
      </c>
      <c r="U4966">
        <f>IF($A4966="","",$R4966&amp;"("&amp;$E4966&amp;")")</f>
        <v/>
      </c>
      <c r="V4966">
        <f>IF($A4966="","",$F4966&amp;"|"&amp;$U4966&amp;"|"&amp;$D4966)</f>
        <v/>
      </c>
      <c r="W4966">
        <f>IF($T4966="","",IF($X4966&gt;N($X4965),$X4966,""))</f>
        <v/>
      </c>
      <c r="X4966">
        <f>IF($T4966="",N($X4965),IF(MATCH($T4966,$T$6:$T$6005,0)=ROW()-5,N($X4965)+1,N($X4965)))</f>
        <v/>
      </c>
      <c r="Z4966">
        <f>IF($V4966="","",IF($AA4966&gt;N($AA4965),$AA4966,""))</f>
        <v/>
      </c>
      <c r="AA4966">
        <f>IF($V4966="",N($AA4965),IF(MATCH($V4966,$V$6:$V$6005,0)=ROW()-5,N($AA4965)+1,N($AA4965)))</f>
        <v/>
      </c>
    </row>
    <row r="4967" ht="21" customHeight="1" s="66">
      <c r="A4967" s="56" t="n"/>
      <c r="B4967" s="57" t="n"/>
      <c r="C4967" s="57" t="n"/>
      <c r="D4967" s="57" t="n"/>
      <c r="E4967" s="56" t="n"/>
      <c r="F4967" s="57" t="n"/>
      <c r="G4967" s="57" t="n"/>
      <c r="H4967" s="56" t="n"/>
      <c r="I4967" s="56" t="n"/>
      <c r="J4967" s="58" t="n"/>
      <c r="K4967" s="58" t="n"/>
      <c r="L4967" s="13">
        <f>IF(OR($A4967="",AND($J4967="",$K4967="")),"",ROUND(N($J4967)-N($K4967),2))</f>
        <v/>
      </c>
      <c r="M4967" s="13">
        <f>IF(OR($A4967="",AND($J4967="",$K4967="")),"",MIN($J4967,$K4967))</f>
        <v/>
      </c>
      <c r="Q4967">
        <f>IF($A4967="","",$D4967&amp;"("&amp;SUBSTITUTE($E4967," ","")&amp;")")</f>
        <v/>
      </c>
      <c r="R4967">
        <f>IF($A4967="","",$B4967&amp;" - "&amp;$C4967)</f>
        <v/>
      </c>
      <c r="S4967">
        <f>IF($A4967="","",$R4967&amp;"|"&amp;$Q4967)</f>
        <v/>
      </c>
      <c r="T4967">
        <f>IF($A4967="","",$S4967&amp;"|"&amp;$F4967)</f>
        <v/>
      </c>
      <c r="U4967">
        <f>IF($A4967="","",$R4967&amp;"("&amp;$E4967&amp;")")</f>
        <v/>
      </c>
      <c r="V4967">
        <f>IF($A4967="","",$F4967&amp;"|"&amp;$U4967&amp;"|"&amp;$D4967)</f>
        <v/>
      </c>
      <c r="W4967">
        <f>IF($T4967="","",IF($X4967&gt;N($X4966),$X4967,""))</f>
        <v/>
      </c>
      <c r="X4967">
        <f>IF($T4967="",N($X4966),IF(MATCH($T4967,$T$6:$T$6005,0)=ROW()-5,N($X4966)+1,N($X4966)))</f>
        <v/>
      </c>
      <c r="Z4967">
        <f>IF($V4967="","",IF($AA4967&gt;N($AA4966),$AA4967,""))</f>
        <v/>
      </c>
      <c r="AA4967">
        <f>IF($V4967="",N($AA4966),IF(MATCH($V4967,$V$6:$V$6005,0)=ROW()-5,N($AA4966)+1,N($AA4966)))</f>
        <v/>
      </c>
    </row>
    <row r="4968" ht="21" customHeight="1" s="66">
      <c r="A4968" s="56" t="n"/>
      <c r="B4968" s="57" t="n"/>
      <c r="C4968" s="57" t="n"/>
      <c r="D4968" s="57" t="n"/>
      <c r="E4968" s="56" t="n"/>
      <c r="F4968" s="57" t="n"/>
      <c r="G4968" s="57" t="n"/>
      <c r="H4968" s="56" t="n"/>
      <c r="I4968" s="56" t="n"/>
      <c r="J4968" s="58" t="n"/>
      <c r="K4968" s="58" t="n"/>
      <c r="L4968" s="13">
        <f>IF(OR($A4968="",AND($J4968="",$K4968="")),"",ROUND(N($J4968)-N($K4968),2))</f>
        <v/>
      </c>
      <c r="M4968" s="13">
        <f>IF(OR($A4968="",AND($J4968="",$K4968="")),"",MIN($J4968,$K4968))</f>
        <v/>
      </c>
      <c r="Q4968">
        <f>IF($A4968="","",$D4968&amp;"("&amp;SUBSTITUTE($E4968," ","")&amp;")")</f>
        <v/>
      </c>
      <c r="R4968">
        <f>IF($A4968="","",$B4968&amp;" - "&amp;$C4968)</f>
        <v/>
      </c>
      <c r="S4968">
        <f>IF($A4968="","",$R4968&amp;"|"&amp;$Q4968)</f>
        <v/>
      </c>
      <c r="T4968">
        <f>IF($A4968="","",$S4968&amp;"|"&amp;$F4968)</f>
        <v/>
      </c>
      <c r="U4968">
        <f>IF($A4968="","",$R4968&amp;"("&amp;$E4968&amp;")")</f>
        <v/>
      </c>
      <c r="V4968">
        <f>IF($A4968="","",$F4968&amp;"|"&amp;$U4968&amp;"|"&amp;$D4968)</f>
        <v/>
      </c>
      <c r="W4968">
        <f>IF($T4968="","",IF($X4968&gt;N($X4967),$X4968,""))</f>
        <v/>
      </c>
      <c r="X4968">
        <f>IF($T4968="",N($X4967),IF(MATCH($T4968,$T$6:$T$6005,0)=ROW()-5,N($X4967)+1,N($X4967)))</f>
        <v/>
      </c>
      <c r="Z4968">
        <f>IF($V4968="","",IF($AA4968&gt;N($AA4967),$AA4968,""))</f>
        <v/>
      </c>
      <c r="AA4968">
        <f>IF($V4968="",N($AA4967),IF(MATCH($V4968,$V$6:$V$6005,0)=ROW()-5,N($AA4967)+1,N($AA4967)))</f>
        <v/>
      </c>
    </row>
    <row r="4969" ht="21" customHeight="1" s="66">
      <c r="A4969" s="56" t="n"/>
      <c r="B4969" s="57" t="n"/>
      <c r="C4969" s="57" t="n"/>
      <c r="D4969" s="57" t="n"/>
      <c r="E4969" s="56" t="n"/>
      <c r="F4969" s="57" t="n"/>
      <c r="G4969" s="57" t="n"/>
      <c r="H4969" s="56" t="n"/>
      <c r="I4969" s="56" t="n"/>
      <c r="J4969" s="58" t="n"/>
      <c r="K4969" s="58" t="n"/>
      <c r="L4969" s="13">
        <f>IF(OR($A4969="",AND($J4969="",$K4969="")),"",ROUND(N($J4969)-N($K4969),2))</f>
        <v/>
      </c>
      <c r="M4969" s="13">
        <f>IF(OR($A4969="",AND($J4969="",$K4969="")),"",MIN($J4969,$K4969))</f>
        <v/>
      </c>
      <c r="Q4969">
        <f>IF($A4969="","",$D4969&amp;"("&amp;SUBSTITUTE($E4969," ","")&amp;")")</f>
        <v/>
      </c>
      <c r="R4969">
        <f>IF($A4969="","",$B4969&amp;" - "&amp;$C4969)</f>
        <v/>
      </c>
      <c r="S4969">
        <f>IF($A4969="","",$R4969&amp;"|"&amp;$Q4969)</f>
        <v/>
      </c>
      <c r="T4969">
        <f>IF($A4969="","",$S4969&amp;"|"&amp;$F4969)</f>
        <v/>
      </c>
      <c r="U4969">
        <f>IF($A4969="","",$R4969&amp;"("&amp;$E4969&amp;")")</f>
        <v/>
      </c>
      <c r="V4969">
        <f>IF($A4969="","",$F4969&amp;"|"&amp;$U4969&amp;"|"&amp;$D4969)</f>
        <v/>
      </c>
      <c r="W4969">
        <f>IF($T4969="","",IF($X4969&gt;N($X4968),$X4969,""))</f>
        <v/>
      </c>
      <c r="X4969">
        <f>IF($T4969="",N($X4968),IF(MATCH($T4969,$T$6:$T$6005,0)=ROW()-5,N($X4968)+1,N($X4968)))</f>
        <v/>
      </c>
      <c r="Z4969">
        <f>IF($V4969="","",IF($AA4969&gt;N($AA4968),$AA4969,""))</f>
        <v/>
      </c>
      <c r="AA4969">
        <f>IF($V4969="",N($AA4968),IF(MATCH($V4969,$V$6:$V$6005,0)=ROW()-5,N($AA4968)+1,N($AA4968)))</f>
        <v/>
      </c>
    </row>
    <row r="4970" ht="21" customHeight="1" s="66">
      <c r="A4970" s="56" t="n"/>
      <c r="B4970" s="57" t="n"/>
      <c r="C4970" s="57" t="n"/>
      <c r="D4970" s="57" t="n"/>
      <c r="E4970" s="56" t="n"/>
      <c r="F4970" s="57" t="n"/>
      <c r="G4970" s="57" t="n"/>
      <c r="H4970" s="56" t="n"/>
      <c r="I4970" s="56" t="n"/>
      <c r="J4970" s="58" t="n"/>
      <c r="K4970" s="58" t="n"/>
      <c r="L4970" s="13">
        <f>IF(OR($A4970="",AND($J4970="",$K4970="")),"",ROUND(N($J4970)-N($K4970),2))</f>
        <v/>
      </c>
      <c r="M4970" s="13">
        <f>IF(OR($A4970="",AND($J4970="",$K4970="")),"",MIN($J4970,$K4970))</f>
        <v/>
      </c>
      <c r="Q4970">
        <f>IF($A4970="","",$D4970&amp;"("&amp;SUBSTITUTE($E4970," ","")&amp;")")</f>
        <v/>
      </c>
      <c r="R4970">
        <f>IF($A4970="","",$B4970&amp;" - "&amp;$C4970)</f>
        <v/>
      </c>
      <c r="S4970">
        <f>IF($A4970="","",$R4970&amp;"|"&amp;$Q4970)</f>
        <v/>
      </c>
      <c r="T4970">
        <f>IF($A4970="","",$S4970&amp;"|"&amp;$F4970)</f>
        <v/>
      </c>
      <c r="U4970">
        <f>IF($A4970="","",$R4970&amp;"("&amp;$E4970&amp;")")</f>
        <v/>
      </c>
      <c r="V4970">
        <f>IF($A4970="","",$F4970&amp;"|"&amp;$U4970&amp;"|"&amp;$D4970)</f>
        <v/>
      </c>
      <c r="W4970">
        <f>IF($T4970="","",IF($X4970&gt;N($X4969),$X4970,""))</f>
        <v/>
      </c>
      <c r="X4970">
        <f>IF($T4970="",N($X4969),IF(MATCH($T4970,$T$6:$T$6005,0)=ROW()-5,N($X4969)+1,N($X4969)))</f>
        <v/>
      </c>
      <c r="Z4970">
        <f>IF($V4970="","",IF($AA4970&gt;N($AA4969),$AA4970,""))</f>
        <v/>
      </c>
      <c r="AA4970">
        <f>IF($V4970="",N($AA4969),IF(MATCH($V4970,$V$6:$V$6005,0)=ROW()-5,N($AA4969)+1,N($AA4969)))</f>
        <v/>
      </c>
    </row>
    <row r="4971" ht="21" customHeight="1" s="66">
      <c r="A4971" s="56" t="n"/>
      <c r="B4971" s="57" t="n"/>
      <c r="C4971" s="57" t="n"/>
      <c r="D4971" s="57" t="n"/>
      <c r="E4971" s="56" t="n"/>
      <c r="F4971" s="57" t="n"/>
      <c r="G4971" s="57" t="n"/>
      <c r="H4971" s="56" t="n"/>
      <c r="I4971" s="56" t="n"/>
      <c r="J4971" s="58" t="n"/>
      <c r="K4971" s="58" t="n"/>
      <c r="L4971" s="13">
        <f>IF(OR($A4971="",AND($J4971="",$K4971="")),"",ROUND(N($J4971)-N($K4971),2))</f>
        <v/>
      </c>
      <c r="M4971" s="13">
        <f>IF(OR($A4971="",AND($J4971="",$K4971="")),"",MIN($J4971,$K4971))</f>
        <v/>
      </c>
      <c r="Q4971">
        <f>IF($A4971="","",$D4971&amp;"("&amp;SUBSTITUTE($E4971," ","")&amp;")")</f>
        <v/>
      </c>
      <c r="R4971">
        <f>IF($A4971="","",$B4971&amp;" - "&amp;$C4971)</f>
        <v/>
      </c>
      <c r="S4971">
        <f>IF($A4971="","",$R4971&amp;"|"&amp;$Q4971)</f>
        <v/>
      </c>
      <c r="T4971">
        <f>IF($A4971="","",$S4971&amp;"|"&amp;$F4971)</f>
        <v/>
      </c>
      <c r="U4971">
        <f>IF($A4971="","",$R4971&amp;"("&amp;$E4971&amp;")")</f>
        <v/>
      </c>
      <c r="V4971">
        <f>IF($A4971="","",$F4971&amp;"|"&amp;$U4971&amp;"|"&amp;$D4971)</f>
        <v/>
      </c>
      <c r="W4971">
        <f>IF($T4971="","",IF($X4971&gt;N($X4970),$X4971,""))</f>
        <v/>
      </c>
      <c r="X4971">
        <f>IF($T4971="",N($X4970),IF(MATCH($T4971,$T$6:$T$6005,0)=ROW()-5,N($X4970)+1,N($X4970)))</f>
        <v/>
      </c>
      <c r="Z4971">
        <f>IF($V4971="","",IF($AA4971&gt;N($AA4970),$AA4971,""))</f>
        <v/>
      </c>
      <c r="AA4971">
        <f>IF($V4971="",N($AA4970),IF(MATCH($V4971,$V$6:$V$6005,0)=ROW()-5,N($AA4970)+1,N($AA4970)))</f>
        <v/>
      </c>
    </row>
    <row r="4972" ht="21" customHeight="1" s="66">
      <c r="A4972" s="56" t="n"/>
      <c r="B4972" s="57" t="n"/>
      <c r="C4972" s="57" t="n"/>
      <c r="D4972" s="57" t="n"/>
      <c r="E4972" s="56" t="n"/>
      <c r="F4972" s="57" t="n"/>
      <c r="G4972" s="57" t="n"/>
      <c r="H4972" s="56" t="n"/>
      <c r="I4972" s="56" t="n"/>
      <c r="J4972" s="58" t="n"/>
      <c r="K4972" s="58" t="n"/>
      <c r="L4972" s="13">
        <f>IF(OR($A4972="",AND($J4972="",$K4972="")),"",ROUND(N($J4972)-N($K4972),2))</f>
        <v/>
      </c>
      <c r="M4972" s="13">
        <f>IF(OR($A4972="",AND($J4972="",$K4972="")),"",MIN($J4972,$K4972))</f>
        <v/>
      </c>
      <c r="Q4972">
        <f>IF($A4972="","",$D4972&amp;"("&amp;SUBSTITUTE($E4972," ","")&amp;")")</f>
        <v/>
      </c>
      <c r="R4972">
        <f>IF($A4972="","",$B4972&amp;" - "&amp;$C4972)</f>
        <v/>
      </c>
      <c r="S4972">
        <f>IF($A4972="","",$R4972&amp;"|"&amp;$Q4972)</f>
        <v/>
      </c>
      <c r="T4972">
        <f>IF($A4972="","",$S4972&amp;"|"&amp;$F4972)</f>
        <v/>
      </c>
      <c r="U4972">
        <f>IF($A4972="","",$R4972&amp;"("&amp;$E4972&amp;")")</f>
        <v/>
      </c>
      <c r="V4972">
        <f>IF($A4972="","",$F4972&amp;"|"&amp;$U4972&amp;"|"&amp;$D4972)</f>
        <v/>
      </c>
      <c r="W4972">
        <f>IF($T4972="","",IF($X4972&gt;N($X4971),$X4972,""))</f>
        <v/>
      </c>
      <c r="X4972">
        <f>IF($T4972="",N($X4971),IF(MATCH($T4972,$T$6:$T$6005,0)=ROW()-5,N($X4971)+1,N($X4971)))</f>
        <v/>
      </c>
      <c r="Z4972">
        <f>IF($V4972="","",IF($AA4972&gt;N($AA4971),$AA4972,""))</f>
        <v/>
      </c>
      <c r="AA4972">
        <f>IF($V4972="",N($AA4971),IF(MATCH($V4972,$V$6:$V$6005,0)=ROW()-5,N($AA4971)+1,N($AA4971)))</f>
        <v/>
      </c>
    </row>
    <row r="4973" ht="21" customHeight="1" s="66">
      <c r="A4973" s="56" t="n"/>
      <c r="B4973" s="57" t="n"/>
      <c r="C4973" s="57" t="n"/>
      <c r="D4973" s="57" t="n"/>
      <c r="E4973" s="56" t="n"/>
      <c r="F4973" s="57" t="n"/>
      <c r="G4973" s="57" t="n"/>
      <c r="H4973" s="56" t="n"/>
      <c r="I4973" s="56" t="n"/>
      <c r="J4973" s="58" t="n"/>
      <c r="K4973" s="58" t="n"/>
      <c r="L4973" s="13">
        <f>IF(OR($A4973="",AND($J4973="",$K4973="")),"",ROUND(N($J4973)-N($K4973),2))</f>
        <v/>
      </c>
      <c r="M4973" s="13">
        <f>IF(OR($A4973="",AND($J4973="",$K4973="")),"",MIN($J4973,$K4973))</f>
        <v/>
      </c>
      <c r="Q4973">
        <f>IF($A4973="","",$D4973&amp;"("&amp;SUBSTITUTE($E4973," ","")&amp;")")</f>
        <v/>
      </c>
      <c r="R4973">
        <f>IF($A4973="","",$B4973&amp;" - "&amp;$C4973)</f>
        <v/>
      </c>
      <c r="S4973">
        <f>IF($A4973="","",$R4973&amp;"|"&amp;$Q4973)</f>
        <v/>
      </c>
      <c r="T4973">
        <f>IF($A4973="","",$S4973&amp;"|"&amp;$F4973)</f>
        <v/>
      </c>
      <c r="U4973">
        <f>IF($A4973="","",$R4973&amp;"("&amp;$E4973&amp;")")</f>
        <v/>
      </c>
      <c r="V4973">
        <f>IF($A4973="","",$F4973&amp;"|"&amp;$U4973&amp;"|"&amp;$D4973)</f>
        <v/>
      </c>
      <c r="W4973">
        <f>IF($T4973="","",IF($X4973&gt;N($X4972),$X4973,""))</f>
        <v/>
      </c>
      <c r="X4973">
        <f>IF($T4973="",N($X4972),IF(MATCH($T4973,$T$6:$T$6005,0)=ROW()-5,N($X4972)+1,N($X4972)))</f>
        <v/>
      </c>
      <c r="Z4973">
        <f>IF($V4973="","",IF($AA4973&gt;N($AA4972),$AA4973,""))</f>
        <v/>
      </c>
      <c r="AA4973">
        <f>IF($V4973="",N($AA4972),IF(MATCH($V4973,$V$6:$V$6005,0)=ROW()-5,N($AA4972)+1,N($AA4972)))</f>
        <v/>
      </c>
    </row>
    <row r="4974" ht="21" customHeight="1" s="66">
      <c r="A4974" s="56" t="n"/>
      <c r="B4974" s="57" t="n"/>
      <c r="C4974" s="57" t="n"/>
      <c r="D4974" s="57" t="n"/>
      <c r="E4974" s="56" t="n"/>
      <c r="F4974" s="57" t="n"/>
      <c r="G4974" s="57" t="n"/>
      <c r="H4974" s="56" t="n"/>
      <c r="I4974" s="56" t="n"/>
      <c r="J4974" s="58" t="n"/>
      <c r="K4974" s="58" t="n"/>
      <c r="L4974" s="13">
        <f>IF(OR($A4974="",AND($J4974="",$K4974="")),"",ROUND(N($J4974)-N($K4974),2))</f>
        <v/>
      </c>
      <c r="M4974" s="13">
        <f>IF(OR($A4974="",AND($J4974="",$K4974="")),"",MIN($J4974,$K4974))</f>
        <v/>
      </c>
      <c r="Q4974">
        <f>IF($A4974="","",$D4974&amp;"("&amp;SUBSTITUTE($E4974," ","")&amp;")")</f>
        <v/>
      </c>
      <c r="R4974">
        <f>IF($A4974="","",$B4974&amp;" - "&amp;$C4974)</f>
        <v/>
      </c>
      <c r="S4974">
        <f>IF($A4974="","",$R4974&amp;"|"&amp;$Q4974)</f>
        <v/>
      </c>
      <c r="T4974">
        <f>IF($A4974="","",$S4974&amp;"|"&amp;$F4974)</f>
        <v/>
      </c>
      <c r="U4974">
        <f>IF($A4974="","",$R4974&amp;"("&amp;$E4974&amp;")")</f>
        <v/>
      </c>
      <c r="V4974">
        <f>IF($A4974="","",$F4974&amp;"|"&amp;$U4974&amp;"|"&amp;$D4974)</f>
        <v/>
      </c>
      <c r="W4974">
        <f>IF($T4974="","",IF($X4974&gt;N($X4973),$X4974,""))</f>
        <v/>
      </c>
      <c r="X4974">
        <f>IF($T4974="",N($X4973),IF(MATCH($T4974,$T$6:$T$6005,0)=ROW()-5,N($X4973)+1,N($X4973)))</f>
        <v/>
      </c>
      <c r="Z4974">
        <f>IF($V4974="","",IF($AA4974&gt;N($AA4973),$AA4974,""))</f>
        <v/>
      </c>
      <c r="AA4974">
        <f>IF($V4974="",N($AA4973),IF(MATCH($V4974,$V$6:$V$6005,0)=ROW()-5,N($AA4973)+1,N($AA4973)))</f>
        <v/>
      </c>
    </row>
    <row r="4975" ht="21" customHeight="1" s="66">
      <c r="A4975" s="56" t="n"/>
      <c r="B4975" s="57" t="n"/>
      <c r="C4975" s="57" t="n"/>
      <c r="D4975" s="57" t="n"/>
      <c r="E4975" s="56" t="n"/>
      <c r="F4975" s="57" t="n"/>
      <c r="G4975" s="57" t="n"/>
      <c r="H4975" s="56" t="n"/>
      <c r="I4975" s="56" t="n"/>
      <c r="J4975" s="58" t="n"/>
      <c r="K4975" s="58" t="n"/>
      <c r="L4975" s="13">
        <f>IF(OR($A4975="",AND($J4975="",$K4975="")),"",ROUND(N($J4975)-N($K4975),2))</f>
        <v/>
      </c>
      <c r="M4975" s="13">
        <f>IF(OR($A4975="",AND($J4975="",$K4975="")),"",MIN($J4975,$K4975))</f>
        <v/>
      </c>
      <c r="Q4975">
        <f>IF($A4975="","",$D4975&amp;"("&amp;SUBSTITUTE($E4975," ","")&amp;")")</f>
        <v/>
      </c>
      <c r="R4975">
        <f>IF($A4975="","",$B4975&amp;" - "&amp;$C4975)</f>
        <v/>
      </c>
      <c r="S4975">
        <f>IF($A4975="","",$R4975&amp;"|"&amp;$Q4975)</f>
        <v/>
      </c>
      <c r="T4975">
        <f>IF($A4975="","",$S4975&amp;"|"&amp;$F4975)</f>
        <v/>
      </c>
      <c r="U4975">
        <f>IF($A4975="","",$R4975&amp;"("&amp;$E4975&amp;")")</f>
        <v/>
      </c>
      <c r="V4975">
        <f>IF($A4975="","",$F4975&amp;"|"&amp;$U4975&amp;"|"&amp;$D4975)</f>
        <v/>
      </c>
      <c r="W4975">
        <f>IF($T4975="","",IF($X4975&gt;N($X4974),$X4975,""))</f>
        <v/>
      </c>
      <c r="X4975">
        <f>IF($T4975="",N($X4974),IF(MATCH($T4975,$T$6:$T$6005,0)=ROW()-5,N($X4974)+1,N($X4974)))</f>
        <v/>
      </c>
      <c r="Z4975">
        <f>IF($V4975="","",IF($AA4975&gt;N($AA4974),$AA4975,""))</f>
        <v/>
      </c>
      <c r="AA4975">
        <f>IF($V4975="",N($AA4974),IF(MATCH($V4975,$V$6:$V$6005,0)=ROW()-5,N($AA4974)+1,N($AA4974)))</f>
        <v/>
      </c>
    </row>
    <row r="4976" ht="21" customHeight="1" s="66">
      <c r="A4976" s="56" t="n"/>
      <c r="B4976" s="57" t="n"/>
      <c r="C4976" s="57" t="n"/>
      <c r="D4976" s="57" t="n"/>
      <c r="E4976" s="56" t="n"/>
      <c r="F4976" s="57" t="n"/>
      <c r="G4976" s="57" t="n"/>
      <c r="H4976" s="56" t="n"/>
      <c r="I4976" s="56" t="n"/>
      <c r="J4976" s="58" t="n"/>
      <c r="K4976" s="58" t="n"/>
      <c r="L4976" s="13">
        <f>IF(OR($A4976="",AND($J4976="",$K4976="")),"",ROUND(N($J4976)-N($K4976),2))</f>
        <v/>
      </c>
      <c r="M4976" s="13">
        <f>IF(OR($A4976="",AND($J4976="",$K4976="")),"",MIN($J4976,$K4976))</f>
        <v/>
      </c>
      <c r="Q4976">
        <f>IF($A4976="","",$D4976&amp;"("&amp;SUBSTITUTE($E4976," ","")&amp;")")</f>
        <v/>
      </c>
      <c r="R4976">
        <f>IF($A4976="","",$B4976&amp;" - "&amp;$C4976)</f>
        <v/>
      </c>
      <c r="S4976">
        <f>IF($A4976="","",$R4976&amp;"|"&amp;$Q4976)</f>
        <v/>
      </c>
      <c r="T4976">
        <f>IF($A4976="","",$S4976&amp;"|"&amp;$F4976)</f>
        <v/>
      </c>
      <c r="U4976">
        <f>IF($A4976="","",$R4976&amp;"("&amp;$E4976&amp;")")</f>
        <v/>
      </c>
      <c r="V4976">
        <f>IF($A4976="","",$F4976&amp;"|"&amp;$U4976&amp;"|"&amp;$D4976)</f>
        <v/>
      </c>
      <c r="W4976">
        <f>IF($T4976="","",IF($X4976&gt;N($X4975),$X4976,""))</f>
        <v/>
      </c>
      <c r="X4976">
        <f>IF($T4976="",N($X4975),IF(MATCH($T4976,$T$6:$T$6005,0)=ROW()-5,N($X4975)+1,N($X4975)))</f>
        <v/>
      </c>
      <c r="Z4976">
        <f>IF($V4976="","",IF($AA4976&gt;N($AA4975),$AA4976,""))</f>
        <v/>
      </c>
      <c r="AA4976">
        <f>IF($V4976="",N($AA4975),IF(MATCH($V4976,$V$6:$V$6005,0)=ROW()-5,N($AA4975)+1,N($AA4975)))</f>
        <v/>
      </c>
    </row>
    <row r="4977" ht="21" customHeight="1" s="66">
      <c r="A4977" s="56" t="n"/>
      <c r="B4977" s="57" t="n"/>
      <c r="C4977" s="57" t="n"/>
      <c r="D4977" s="57" t="n"/>
      <c r="E4977" s="56" t="n"/>
      <c r="F4977" s="57" t="n"/>
      <c r="G4977" s="57" t="n"/>
      <c r="H4977" s="56" t="n"/>
      <c r="I4977" s="56" t="n"/>
      <c r="J4977" s="58" t="n"/>
      <c r="K4977" s="58" t="n"/>
      <c r="L4977" s="13">
        <f>IF(OR($A4977="",AND($J4977="",$K4977="")),"",ROUND(N($J4977)-N($K4977),2))</f>
        <v/>
      </c>
      <c r="M4977" s="13">
        <f>IF(OR($A4977="",AND($J4977="",$K4977="")),"",MIN($J4977,$K4977))</f>
        <v/>
      </c>
      <c r="Q4977">
        <f>IF($A4977="","",$D4977&amp;"("&amp;SUBSTITUTE($E4977," ","")&amp;")")</f>
        <v/>
      </c>
      <c r="R4977">
        <f>IF($A4977="","",$B4977&amp;" - "&amp;$C4977)</f>
        <v/>
      </c>
      <c r="S4977">
        <f>IF($A4977="","",$R4977&amp;"|"&amp;$Q4977)</f>
        <v/>
      </c>
      <c r="T4977">
        <f>IF($A4977="","",$S4977&amp;"|"&amp;$F4977)</f>
        <v/>
      </c>
      <c r="U4977">
        <f>IF($A4977="","",$R4977&amp;"("&amp;$E4977&amp;")")</f>
        <v/>
      </c>
      <c r="V4977">
        <f>IF($A4977="","",$F4977&amp;"|"&amp;$U4977&amp;"|"&amp;$D4977)</f>
        <v/>
      </c>
      <c r="W4977">
        <f>IF($T4977="","",IF($X4977&gt;N($X4976),$X4977,""))</f>
        <v/>
      </c>
      <c r="X4977">
        <f>IF($T4977="",N($X4976),IF(MATCH($T4977,$T$6:$T$6005,0)=ROW()-5,N($X4976)+1,N($X4976)))</f>
        <v/>
      </c>
      <c r="Z4977">
        <f>IF($V4977="","",IF($AA4977&gt;N($AA4976),$AA4977,""))</f>
        <v/>
      </c>
      <c r="AA4977">
        <f>IF($V4977="",N($AA4976),IF(MATCH($V4977,$V$6:$V$6005,0)=ROW()-5,N($AA4976)+1,N($AA4976)))</f>
        <v/>
      </c>
    </row>
    <row r="4978" ht="21" customHeight="1" s="66">
      <c r="A4978" s="56" t="n"/>
      <c r="B4978" s="57" t="n"/>
      <c r="C4978" s="57" t="n"/>
      <c r="D4978" s="57" t="n"/>
      <c r="E4978" s="56" t="n"/>
      <c r="F4978" s="57" t="n"/>
      <c r="G4978" s="57" t="n"/>
      <c r="H4978" s="56" t="n"/>
      <c r="I4978" s="56" t="n"/>
      <c r="J4978" s="58" t="n"/>
      <c r="K4978" s="58" t="n"/>
      <c r="L4978" s="13">
        <f>IF(OR($A4978="",AND($J4978="",$K4978="")),"",ROUND(N($J4978)-N($K4978),2))</f>
        <v/>
      </c>
      <c r="M4978" s="13">
        <f>IF(OR($A4978="",AND($J4978="",$K4978="")),"",MIN($J4978,$K4978))</f>
        <v/>
      </c>
      <c r="Q4978">
        <f>IF($A4978="","",$D4978&amp;"("&amp;SUBSTITUTE($E4978," ","")&amp;")")</f>
        <v/>
      </c>
      <c r="R4978">
        <f>IF($A4978="","",$B4978&amp;" - "&amp;$C4978)</f>
        <v/>
      </c>
      <c r="S4978">
        <f>IF($A4978="","",$R4978&amp;"|"&amp;$Q4978)</f>
        <v/>
      </c>
      <c r="T4978">
        <f>IF($A4978="","",$S4978&amp;"|"&amp;$F4978)</f>
        <v/>
      </c>
      <c r="U4978">
        <f>IF($A4978="","",$R4978&amp;"("&amp;$E4978&amp;")")</f>
        <v/>
      </c>
      <c r="V4978">
        <f>IF($A4978="","",$F4978&amp;"|"&amp;$U4978&amp;"|"&amp;$D4978)</f>
        <v/>
      </c>
      <c r="W4978">
        <f>IF($T4978="","",IF($X4978&gt;N($X4977),$X4978,""))</f>
        <v/>
      </c>
      <c r="X4978">
        <f>IF($T4978="",N($X4977),IF(MATCH($T4978,$T$6:$T$6005,0)=ROW()-5,N($X4977)+1,N($X4977)))</f>
        <v/>
      </c>
      <c r="Z4978">
        <f>IF($V4978="","",IF($AA4978&gt;N($AA4977),$AA4978,""))</f>
        <v/>
      </c>
      <c r="AA4978">
        <f>IF($V4978="",N($AA4977),IF(MATCH($V4978,$V$6:$V$6005,0)=ROW()-5,N($AA4977)+1,N($AA4977)))</f>
        <v/>
      </c>
    </row>
    <row r="4979" ht="21" customHeight="1" s="66">
      <c r="A4979" s="56" t="n"/>
      <c r="B4979" s="57" t="n"/>
      <c r="C4979" s="57" t="n"/>
      <c r="D4979" s="57" t="n"/>
      <c r="E4979" s="56" t="n"/>
      <c r="F4979" s="57" t="n"/>
      <c r="G4979" s="57" t="n"/>
      <c r="H4979" s="56" t="n"/>
      <c r="I4979" s="56" t="n"/>
      <c r="J4979" s="58" t="n"/>
      <c r="K4979" s="58" t="n"/>
      <c r="L4979" s="13">
        <f>IF(OR($A4979="",AND($J4979="",$K4979="")),"",ROUND(N($J4979)-N($K4979),2))</f>
        <v/>
      </c>
      <c r="M4979" s="13">
        <f>IF(OR($A4979="",AND($J4979="",$K4979="")),"",MIN($J4979,$K4979))</f>
        <v/>
      </c>
      <c r="Q4979">
        <f>IF($A4979="","",$D4979&amp;"("&amp;SUBSTITUTE($E4979," ","")&amp;")")</f>
        <v/>
      </c>
      <c r="R4979">
        <f>IF($A4979="","",$B4979&amp;" - "&amp;$C4979)</f>
        <v/>
      </c>
      <c r="S4979">
        <f>IF($A4979="","",$R4979&amp;"|"&amp;$Q4979)</f>
        <v/>
      </c>
      <c r="T4979">
        <f>IF($A4979="","",$S4979&amp;"|"&amp;$F4979)</f>
        <v/>
      </c>
      <c r="U4979">
        <f>IF($A4979="","",$R4979&amp;"("&amp;$E4979&amp;")")</f>
        <v/>
      </c>
      <c r="V4979">
        <f>IF($A4979="","",$F4979&amp;"|"&amp;$U4979&amp;"|"&amp;$D4979)</f>
        <v/>
      </c>
      <c r="W4979">
        <f>IF($T4979="","",IF($X4979&gt;N($X4978),$X4979,""))</f>
        <v/>
      </c>
      <c r="X4979">
        <f>IF($T4979="",N($X4978),IF(MATCH($T4979,$T$6:$T$6005,0)=ROW()-5,N($X4978)+1,N($X4978)))</f>
        <v/>
      </c>
      <c r="Z4979">
        <f>IF($V4979="","",IF($AA4979&gt;N($AA4978),$AA4979,""))</f>
        <v/>
      </c>
      <c r="AA4979">
        <f>IF($V4979="",N($AA4978),IF(MATCH($V4979,$V$6:$V$6005,0)=ROW()-5,N($AA4978)+1,N($AA4978)))</f>
        <v/>
      </c>
    </row>
    <row r="4980" ht="21" customHeight="1" s="66">
      <c r="A4980" s="56" t="n"/>
      <c r="B4980" s="57" t="n"/>
      <c r="C4980" s="57" t="n"/>
      <c r="D4980" s="57" t="n"/>
      <c r="E4980" s="56" t="n"/>
      <c r="F4980" s="57" t="n"/>
      <c r="G4980" s="57" t="n"/>
      <c r="H4980" s="56" t="n"/>
      <c r="I4980" s="56" t="n"/>
      <c r="J4980" s="58" t="n"/>
      <c r="K4980" s="58" t="n"/>
      <c r="L4980" s="13">
        <f>IF(OR($A4980="",AND($J4980="",$K4980="")),"",ROUND(N($J4980)-N($K4980),2))</f>
        <v/>
      </c>
      <c r="M4980" s="13">
        <f>IF(OR($A4980="",AND($J4980="",$K4980="")),"",MIN($J4980,$K4980))</f>
        <v/>
      </c>
      <c r="Q4980">
        <f>IF($A4980="","",$D4980&amp;"("&amp;SUBSTITUTE($E4980," ","")&amp;")")</f>
        <v/>
      </c>
      <c r="R4980">
        <f>IF($A4980="","",$B4980&amp;" - "&amp;$C4980)</f>
        <v/>
      </c>
      <c r="S4980">
        <f>IF($A4980="","",$R4980&amp;"|"&amp;$Q4980)</f>
        <v/>
      </c>
      <c r="T4980">
        <f>IF($A4980="","",$S4980&amp;"|"&amp;$F4980)</f>
        <v/>
      </c>
      <c r="U4980">
        <f>IF($A4980="","",$R4980&amp;"("&amp;$E4980&amp;")")</f>
        <v/>
      </c>
      <c r="V4980">
        <f>IF($A4980="","",$F4980&amp;"|"&amp;$U4980&amp;"|"&amp;$D4980)</f>
        <v/>
      </c>
      <c r="W4980">
        <f>IF($T4980="","",IF($X4980&gt;N($X4979),$X4980,""))</f>
        <v/>
      </c>
      <c r="X4980">
        <f>IF($T4980="",N($X4979),IF(MATCH($T4980,$T$6:$T$6005,0)=ROW()-5,N($X4979)+1,N($X4979)))</f>
        <v/>
      </c>
      <c r="Z4980">
        <f>IF($V4980="","",IF($AA4980&gt;N($AA4979),$AA4980,""))</f>
        <v/>
      </c>
      <c r="AA4980">
        <f>IF($V4980="",N($AA4979),IF(MATCH($V4980,$V$6:$V$6005,0)=ROW()-5,N($AA4979)+1,N($AA4979)))</f>
        <v/>
      </c>
    </row>
    <row r="4981" ht="21" customHeight="1" s="66">
      <c r="A4981" s="56" t="n"/>
      <c r="B4981" s="57" t="n"/>
      <c r="C4981" s="57" t="n"/>
      <c r="D4981" s="57" t="n"/>
      <c r="E4981" s="56" t="n"/>
      <c r="F4981" s="57" t="n"/>
      <c r="G4981" s="57" t="n"/>
      <c r="H4981" s="56" t="n"/>
      <c r="I4981" s="56" t="n"/>
      <c r="J4981" s="58" t="n"/>
      <c r="K4981" s="58" t="n"/>
      <c r="L4981" s="13">
        <f>IF(OR($A4981="",AND($J4981="",$K4981="")),"",ROUND(N($J4981)-N($K4981),2))</f>
        <v/>
      </c>
      <c r="M4981" s="13">
        <f>IF(OR($A4981="",AND($J4981="",$K4981="")),"",MIN($J4981,$K4981))</f>
        <v/>
      </c>
      <c r="Q4981">
        <f>IF($A4981="","",$D4981&amp;"("&amp;SUBSTITUTE($E4981," ","")&amp;")")</f>
        <v/>
      </c>
      <c r="R4981">
        <f>IF($A4981="","",$B4981&amp;" - "&amp;$C4981)</f>
        <v/>
      </c>
      <c r="S4981">
        <f>IF($A4981="","",$R4981&amp;"|"&amp;$Q4981)</f>
        <v/>
      </c>
      <c r="T4981">
        <f>IF($A4981="","",$S4981&amp;"|"&amp;$F4981)</f>
        <v/>
      </c>
      <c r="U4981">
        <f>IF($A4981="","",$R4981&amp;"("&amp;$E4981&amp;")")</f>
        <v/>
      </c>
      <c r="V4981">
        <f>IF($A4981="","",$F4981&amp;"|"&amp;$U4981&amp;"|"&amp;$D4981)</f>
        <v/>
      </c>
      <c r="W4981">
        <f>IF($T4981="","",IF($X4981&gt;N($X4980),$X4981,""))</f>
        <v/>
      </c>
      <c r="X4981">
        <f>IF($T4981="",N($X4980),IF(MATCH($T4981,$T$6:$T$6005,0)=ROW()-5,N($X4980)+1,N($X4980)))</f>
        <v/>
      </c>
      <c r="Z4981">
        <f>IF($V4981="","",IF($AA4981&gt;N($AA4980),$AA4981,""))</f>
        <v/>
      </c>
      <c r="AA4981">
        <f>IF($V4981="",N($AA4980),IF(MATCH($V4981,$V$6:$V$6005,0)=ROW()-5,N($AA4980)+1,N($AA4980)))</f>
        <v/>
      </c>
    </row>
    <row r="4982" ht="21" customHeight="1" s="66">
      <c r="A4982" s="56" t="n"/>
      <c r="B4982" s="57" t="n"/>
      <c r="C4982" s="57" t="n"/>
      <c r="D4982" s="57" t="n"/>
      <c r="E4982" s="56" t="n"/>
      <c r="F4982" s="57" t="n"/>
      <c r="G4982" s="57" t="n"/>
      <c r="H4982" s="56" t="n"/>
      <c r="I4982" s="56" t="n"/>
      <c r="J4982" s="58" t="n"/>
      <c r="K4982" s="58" t="n"/>
      <c r="L4982" s="13">
        <f>IF(OR($A4982="",AND($J4982="",$K4982="")),"",ROUND(N($J4982)-N($K4982),2))</f>
        <v/>
      </c>
      <c r="M4982" s="13">
        <f>IF(OR($A4982="",AND($J4982="",$K4982="")),"",MIN($J4982,$K4982))</f>
        <v/>
      </c>
      <c r="Q4982">
        <f>IF($A4982="","",$D4982&amp;"("&amp;SUBSTITUTE($E4982," ","")&amp;")")</f>
        <v/>
      </c>
      <c r="R4982">
        <f>IF($A4982="","",$B4982&amp;" - "&amp;$C4982)</f>
        <v/>
      </c>
      <c r="S4982">
        <f>IF($A4982="","",$R4982&amp;"|"&amp;$Q4982)</f>
        <v/>
      </c>
      <c r="T4982">
        <f>IF($A4982="","",$S4982&amp;"|"&amp;$F4982)</f>
        <v/>
      </c>
      <c r="U4982">
        <f>IF($A4982="","",$R4982&amp;"("&amp;$E4982&amp;")")</f>
        <v/>
      </c>
      <c r="V4982">
        <f>IF($A4982="","",$F4982&amp;"|"&amp;$U4982&amp;"|"&amp;$D4982)</f>
        <v/>
      </c>
      <c r="W4982">
        <f>IF($T4982="","",IF($X4982&gt;N($X4981),$X4982,""))</f>
        <v/>
      </c>
      <c r="X4982">
        <f>IF($T4982="",N($X4981),IF(MATCH($T4982,$T$6:$T$6005,0)=ROW()-5,N($X4981)+1,N($X4981)))</f>
        <v/>
      </c>
      <c r="Z4982">
        <f>IF($V4982="","",IF($AA4982&gt;N($AA4981),$AA4982,""))</f>
        <v/>
      </c>
      <c r="AA4982">
        <f>IF($V4982="",N($AA4981),IF(MATCH($V4982,$V$6:$V$6005,0)=ROW()-5,N($AA4981)+1,N($AA4981)))</f>
        <v/>
      </c>
    </row>
    <row r="4983" ht="21" customHeight="1" s="66">
      <c r="A4983" s="56" t="n"/>
      <c r="B4983" s="57" t="n"/>
      <c r="C4983" s="57" t="n"/>
      <c r="D4983" s="57" t="n"/>
      <c r="E4983" s="56" t="n"/>
      <c r="F4983" s="57" t="n"/>
      <c r="G4983" s="57" t="n"/>
      <c r="H4983" s="56" t="n"/>
      <c r="I4983" s="56" t="n"/>
      <c r="J4983" s="58" t="n"/>
      <c r="K4983" s="58" t="n"/>
      <c r="L4983" s="13">
        <f>IF(OR($A4983="",AND($J4983="",$K4983="")),"",ROUND(N($J4983)-N($K4983),2))</f>
        <v/>
      </c>
      <c r="M4983" s="13">
        <f>IF(OR($A4983="",AND($J4983="",$K4983="")),"",MIN($J4983,$K4983))</f>
        <v/>
      </c>
      <c r="Q4983">
        <f>IF($A4983="","",$D4983&amp;"("&amp;SUBSTITUTE($E4983," ","")&amp;")")</f>
        <v/>
      </c>
      <c r="R4983">
        <f>IF($A4983="","",$B4983&amp;" - "&amp;$C4983)</f>
        <v/>
      </c>
      <c r="S4983">
        <f>IF($A4983="","",$R4983&amp;"|"&amp;$Q4983)</f>
        <v/>
      </c>
      <c r="T4983">
        <f>IF($A4983="","",$S4983&amp;"|"&amp;$F4983)</f>
        <v/>
      </c>
      <c r="U4983">
        <f>IF($A4983="","",$R4983&amp;"("&amp;$E4983&amp;")")</f>
        <v/>
      </c>
      <c r="V4983">
        <f>IF($A4983="","",$F4983&amp;"|"&amp;$U4983&amp;"|"&amp;$D4983)</f>
        <v/>
      </c>
      <c r="W4983">
        <f>IF($T4983="","",IF($X4983&gt;N($X4982),$X4983,""))</f>
        <v/>
      </c>
      <c r="X4983">
        <f>IF($T4983="",N($X4982),IF(MATCH($T4983,$T$6:$T$6005,0)=ROW()-5,N($X4982)+1,N($X4982)))</f>
        <v/>
      </c>
      <c r="Z4983">
        <f>IF($V4983="","",IF($AA4983&gt;N($AA4982),$AA4983,""))</f>
        <v/>
      </c>
      <c r="AA4983">
        <f>IF($V4983="",N($AA4982),IF(MATCH($V4983,$V$6:$V$6005,0)=ROW()-5,N($AA4982)+1,N($AA4982)))</f>
        <v/>
      </c>
    </row>
    <row r="4984" ht="21" customHeight="1" s="66">
      <c r="A4984" s="56" t="n"/>
      <c r="B4984" s="57" t="n"/>
      <c r="C4984" s="57" t="n"/>
      <c r="D4984" s="57" t="n"/>
      <c r="E4984" s="56" t="n"/>
      <c r="F4984" s="57" t="n"/>
      <c r="G4984" s="57" t="n"/>
      <c r="H4984" s="56" t="n"/>
      <c r="I4984" s="56" t="n"/>
      <c r="J4984" s="58" t="n"/>
      <c r="K4984" s="58" t="n"/>
      <c r="L4984" s="13">
        <f>IF(OR($A4984="",AND($J4984="",$K4984="")),"",ROUND(N($J4984)-N($K4984),2))</f>
        <v/>
      </c>
      <c r="M4984" s="13">
        <f>IF(OR($A4984="",AND($J4984="",$K4984="")),"",MIN($J4984,$K4984))</f>
        <v/>
      </c>
      <c r="Q4984">
        <f>IF($A4984="","",$D4984&amp;"("&amp;SUBSTITUTE($E4984," ","")&amp;")")</f>
        <v/>
      </c>
      <c r="R4984">
        <f>IF($A4984="","",$B4984&amp;" - "&amp;$C4984)</f>
        <v/>
      </c>
      <c r="S4984">
        <f>IF($A4984="","",$R4984&amp;"|"&amp;$Q4984)</f>
        <v/>
      </c>
      <c r="T4984">
        <f>IF($A4984="","",$S4984&amp;"|"&amp;$F4984)</f>
        <v/>
      </c>
      <c r="U4984">
        <f>IF($A4984="","",$R4984&amp;"("&amp;$E4984&amp;")")</f>
        <v/>
      </c>
      <c r="V4984">
        <f>IF($A4984="","",$F4984&amp;"|"&amp;$U4984&amp;"|"&amp;$D4984)</f>
        <v/>
      </c>
      <c r="W4984">
        <f>IF($T4984="","",IF($X4984&gt;N($X4983),$X4984,""))</f>
        <v/>
      </c>
      <c r="X4984">
        <f>IF($T4984="",N($X4983),IF(MATCH($T4984,$T$6:$T$6005,0)=ROW()-5,N($X4983)+1,N($X4983)))</f>
        <v/>
      </c>
      <c r="Z4984">
        <f>IF($V4984="","",IF($AA4984&gt;N($AA4983),$AA4984,""))</f>
        <v/>
      </c>
      <c r="AA4984">
        <f>IF($V4984="",N($AA4983),IF(MATCH($V4984,$V$6:$V$6005,0)=ROW()-5,N($AA4983)+1,N($AA4983)))</f>
        <v/>
      </c>
    </row>
    <row r="4985" ht="21" customHeight="1" s="66">
      <c r="A4985" s="56" t="n"/>
      <c r="B4985" s="57" t="n"/>
      <c r="C4985" s="57" t="n"/>
      <c r="D4985" s="57" t="n"/>
      <c r="E4985" s="56" t="n"/>
      <c r="F4985" s="57" t="n"/>
      <c r="G4985" s="57" t="n"/>
      <c r="H4985" s="56" t="n"/>
      <c r="I4985" s="56" t="n"/>
      <c r="J4985" s="58" t="n"/>
      <c r="K4985" s="58" t="n"/>
      <c r="L4985" s="13">
        <f>IF(OR($A4985="",AND($J4985="",$K4985="")),"",ROUND(N($J4985)-N($K4985),2))</f>
        <v/>
      </c>
      <c r="M4985" s="13">
        <f>IF(OR($A4985="",AND($J4985="",$K4985="")),"",MIN($J4985,$K4985))</f>
        <v/>
      </c>
      <c r="Q4985">
        <f>IF($A4985="","",$D4985&amp;"("&amp;SUBSTITUTE($E4985," ","")&amp;")")</f>
        <v/>
      </c>
      <c r="R4985">
        <f>IF($A4985="","",$B4985&amp;" - "&amp;$C4985)</f>
        <v/>
      </c>
      <c r="S4985">
        <f>IF($A4985="","",$R4985&amp;"|"&amp;$Q4985)</f>
        <v/>
      </c>
      <c r="T4985">
        <f>IF($A4985="","",$S4985&amp;"|"&amp;$F4985)</f>
        <v/>
      </c>
      <c r="U4985">
        <f>IF($A4985="","",$R4985&amp;"("&amp;$E4985&amp;")")</f>
        <v/>
      </c>
      <c r="V4985">
        <f>IF($A4985="","",$F4985&amp;"|"&amp;$U4985&amp;"|"&amp;$D4985)</f>
        <v/>
      </c>
      <c r="W4985">
        <f>IF($T4985="","",IF($X4985&gt;N($X4984),$X4985,""))</f>
        <v/>
      </c>
      <c r="X4985">
        <f>IF($T4985="",N($X4984),IF(MATCH($T4985,$T$6:$T$6005,0)=ROW()-5,N($X4984)+1,N($X4984)))</f>
        <v/>
      </c>
      <c r="Z4985">
        <f>IF($V4985="","",IF($AA4985&gt;N($AA4984),$AA4985,""))</f>
        <v/>
      </c>
      <c r="AA4985">
        <f>IF($V4985="",N($AA4984),IF(MATCH($V4985,$V$6:$V$6005,0)=ROW()-5,N($AA4984)+1,N($AA4984)))</f>
        <v/>
      </c>
    </row>
    <row r="4986" ht="21" customHeight="1" s="66">
      <c r="A4986" s="56" t="n"/>
      <c r="B4986" s="57" t="n"/>
      <c r="C4986" s="57" t="n"/>
      <c r="D4986" s="57" t="n"/>
      <c r="E4986" s="56" t="n"/>
      <c r="F4986" s="57" t="n"/>
      <c r="G4986" s="57" t="n"/>
      <c r="H4986" s="56" t="n"/>
      <c r="I4986" s="56" t="n"/>
      <c r="J4986" s="58" t="n"/>
      <c r="K4986" s="58" t="n"/>
      <c r="L4986" s="13">
        <f>IF(OR($A4986="",AND($J4986="",$K4986="")),"",ROUND(N($J4986)-N($K4986),2))</f>
        <v/>
      </c>
      <c r="M4986" s="13">
        <f>IF(OR($A4986="",AND($J4986="",$K4986="")),"",MIN($J4986,$K4986))</f>
        <v/>
      </c>
      <c r="Q4986">
        <f>IF($A4986="","",$D4986&amp;"("&amp;SUBSTITUTE($E4986," ","")&amp;")")</f>
        <v/>
      </c>
      <c r="R4986">
        <f>IF($A4986="","",$B4986&amp;" - "&amp;$C4986)</f>
        <v/>
      </c>
      <c r="S4986">
        <f>IF($A4986="","",$R4986&amp;"|"&amp;$Q4986)</f>
        <v/>
      </c>
      <c r="T4986">
        <f>IF($A4986="","",$S4986&amp;"|"&amp;$F4986)</f>
        <v/>
      </c>
      <c r="U4986">
        <f>IF($A4986="","",$R4986&amp;"("&amp;$E4986&amp;")")</f>
        <v/>
      </c>
      <c r="V4986">
        <f>IF($A4986="","",$F4986&amp;"|"&amp;$U4986&amp;"|"&amp;$D4986)</f>
        <v/>
      </c>
      <c r="W4986">
        <f>IF($T4986="","",IF($X4986&gt;N($X4985),$X4986,""))</f>
        <v/>
      </c>
      <c r="X4986">
        <f>IF($T4986="",N($X4985),IF(MATCH($T4986,$T$6:$T$6005,0)=ROW()-5,N($X4985)+1,N($X4985)))</f>
        <v/>
      </c>
      <c r="Z4986">
        <f>IF($V4986="","",IF($AA4986&gt;N($AA4985),$AA4986,""))</f>
        <v/>
      </c>
      <c r="AA4986">
        <f>IF($V4986="",N($AA4985),IF(MATCH($V4986,$V$6:$V$6005,0)=ROW()-5,N($AA4985)+1,N($AA4985)))</f>
        <v/>
      </c>
    </row>
    <row r="4987" ht="21" customHeight="1" s="66">
      <c r="A4987" s="56" t="n"/>
      <c r="B4987" s="57" t="n"/>
      <c r="C4987" s="57" t="n"/>
      <c r="D4987" s="57" t="n"/>
      <c r="E4987" s="56" t="n"/>
      <c r="F4987" s="57" t="n"/>
      <c r="G4987" s="57" t="n"/>
      <c r="H4987" s="56" t="n"/>
      <c r="I4987" s="56" t="n"/>
      <c r="J4987" s="58" t="n"/>
      <c r="K4987" s="58" t="n"/>
      <c r="L4987" s="13">
        <f>IF(OR($A4987="",AND($J4987="",$K4987="")),"",ROUND(N($J4987)-N($K4987),2))</f>
        <v/>
      </c>
      <c r="M4987" s="13">
        <f>IF(OR($A4987="",AND($J4987="",$K4987="")),"",MIN($J4987,$K4987))</f>
        <v/>
      </c>
      <c r="Q4987">
        <f>IF($A4987="","",$D4987&amp;"("&amp;SUBSTITUTE($E4987," ","")&amp;")")</f>
        <v/>
      </c>
      <c r="R4987">
        <f>IF($A4987="","",$B4987&amp;" - "&amp;$C4987)</f>
        <v/>
      </c>
      <c r="S4987">
        <f>IF($A4987="","",$R4987&amp;"|"&amp;$Q4987)</f>
        <v/>
      </c>
      <c r="T4987">
        <f>IF($A4987="","",$S4987&amp;"|"&amp;$F4987)</f>
        <v/>
      </c>
      <c r="U4987">
        <f>IF($A4987="","",$R4987&amp;"("&amp;$E4987&amp;")")</f>
        <v/>
      </c>
      <c r="V4987">
        <f>IF($A4987="","",$F4987&amp;"|"&amp;$U4987&amp;"|"&amp;$D4987)</f>
        <v/>
      </c>
      <c r="W4987">
        <f>IF($T4987="","",IF($X4987&gt;N($X4986),$X4987,""))</f>
        <v/>
      </c>
      <c r="X4987">
        <f>IF($T4987="",N($X4986),IF(MATCH($T4987,$T$6:$T$6005,0)=ROW()-5,N($X4986)+1,N($X4986)))</f>
        <v/>
      </c>
      <c r="Z4987">
        <f>IF($V4987="","",IF($AA4987&gt;N($AA4986),$AA4987,""))</f>
        <v/>
      </c>
      <c r="AA4987">
        <f>IF($V4987="",N($AA4986),IF(MATCH($V4987,$V$6:$V$6005,0)=ROW()-5,N($AA4986)+1,N($AA4986)))</f>
        <v/>
      </c>
    </row>
    <row r="4988" ht="21" customHeight="1" s="66">
      <c r="A4988" s="56" t="n"/>
      <c r="B4988" s="57" t="n"/>
      <c r="C4988" s="57" t="n"/>
      <c r="D4988" s="57" t="n"/>
      <c r="E4988" s="56" t="n"/>
      <c r="F4988" s="57" t="n"/>
      <c r="G4988" s="57" t="n"/>
      <c r="H4988" s="56" t="n"/>
      <c r="I4988" s="56" t="n"/>
      <c r="J4988" s="58" t="n"/>
      <c r="K4988" s="58" t="n"/>
      <c r="L4988" s="13">
        <f>IF(OR($A4988="",AND($J4988="",$K4988="")),"",ROUND(N($J4988)-N($K4988),2))</f>
        <v/>
      </c>
      <c r="M4988" s="13">
        <f>IF(OR($A4988="",AND($J4988="",$K4988="")),"",MIN($J4988,$K4988))</f>
        <v/>
      </c>
      <c r="Q4988">
        <f>IF($A4988="","",$D4988&amp;"("&amp;SUBSTITUTE($E4988," ","")&amp;")")</f>
        <v/>
      </c>
      <c r="R4988">
        <f>IF($A4988="","",$B4988&amp;" - "&amp;$C4988)</f>
        <v/>
      </c>
      <c r="S4988">
        <f>IF($A4988="","",$R4988&amp;"|"&amp;$Q4988)</f>
        <v/>
      </c>
      <c r="T4988">
        <f>IF($A4988="","",$S4988&amp;"|"&amp;$F4988)</f>
        <v/>
      </c>
      <c r="U4988">
        <f>IF($A4988="","",$R4988&amp;"("&amp;$E4988&amp;")")</f>
        <v/>
      </c>
      <c r="V4988">
        <f>IF($A4988="","",$F4988&amp;"|"&amp;$U4988&amp;"|"&amp;$D4988)</f>
        <v/>
      </c>
      <c r="W4988">
        <f>IF($T4988="","",IF($X4988&gt;N($X4987),$X4988,""))</f>
        <v/>
      </c>
      <c r="X4988">
        <f>IF($T4988="",N($X4987),IF(MATCH($T4988,$T$6:$T$6005,0)=ROW()-5,N($X4987)+1,N($X4987)))</f>
        <v/>
      </c>
      <c r="Z4988">
        <f>IF($V4988="","",IF($AA4988&gt;N($AA4987),$AA4988,""))</f>
        <v/>
      </c>
      <c r="AA4988">
        <f>IF($V4988="",N($AA4987),IF(MATCH($V4988,$V$6:$V$6005,0)=ROW()-5,N($AA4987)+1,N($AA4987)))</f>
        <v/>
      </c>
    </row>
    <row r="4989" ht="21" customHeight="1" s="66">
      <c r="A4989" s="56" t="n"/>
      <c r="B4989" s="57" t="n"/>
      <c r="C4989" s="57" t="n"/>
      <c r="D4989" s="57" t="n"/>
      <c r="E4989" s="56" t="n"/>
      <c r="F4989" s="57" t="n"/>
      <c r="G4989" s="57" t="n"/>
      <c r="H4989" s="56" t="n"/>
      <c r="I4989" s="56" t="n"/>
      <c r="J4989" s="58" t="n"/>
      <c r="K4989" s="58" t="n"/>
      <c r="L4989" s="13">
        <f>IF(OR($A4989="",AND($J4989="",$K4989="")),"",ROUND(N($J4989)-N($K4989),2))</f>
        <v/>
      </c>
      <c r="M4989" s="13">
        <f>IF(OR($A4989="",AND($J4989="",$K4989="")),"",MIN($J4989,$K4989))</f>
        <v/>
      </c>
      <c r="Q4989">
        <f>IF($A4989="","",$D4989&amp;"("&amp;SUBSTITUTE($E4989," ","")&amp;")")</f>
        <v/>
      </c>
      <c r="R4989">
        <f>IF($A4989="","",$B4989&amp;" - "&amp;$C4989)</f>
        <v/>
      </c>
      <c r="S4989">
        <f>IF($A4989="","",$R4989&amp;"|"&amp;$Q4989)</f>
        <v/>
      </c>
      <c r="T4989">
        <f>IF($A4989="","",$S4989&amp;"|"&amp;$F4989)</f>
        <v/>
      </c>
      <c r="U4989">
        <f>IF($A4989="","",$R4989&amp;"("&amp;$E4989&amp;")")</f>
        <v/>
      </c>
      <c r="V4989">
        <f>IF($A4989="","",$F4989&amp;"|"&amp;$U4989&amp;"|"&amp;$D4989)</f>
        <v/>
      </c>
      <c r="W4989">
        <f>IF($T4989="","",IF($X4989&gt;N($X4988),$X4989,""))</f>
        <v/>
      </c>
      <c r="X4989">
        <f>IF($T4989="",N($X4988),IF(MATCH($T4989,$T$6:$T$6005,0)=ROW()-5,N($X4988)+1,N($X4988)))</f>
        <v/>
      </c>
      <c r="Z4989">
        <f>IF($V4989="","",IF($AA4989&gt;N($AA4988),$AA4989,""))</f>
        <v/>
      </c>
      <c r="AA4989">
        <f>IF($V4989="",N($AA4988),IF(MATCH($V4989,$V$6:$V$6005,0)=ROW()-5,N($AA4988)+1,N($AA4988)))</f>
        <v/>
      </c>
    </row>
    <row r="4990" ht="21" customHeight="1" s="66">
      <c r="A4990" s="56" t="n"/>
      <c r="B4990" s="57" t="n"/>
      <c r="C4990" s="57" t="n"/>
      <c r="D4990" s="57" t="n"/>
      <c r="E4990" s="56" t="n"/>
      <c r="F4990" s="57" t="n"/>
      <c r="G4990" s="57" t="n"/>
      <c r="H4990" s="56" t="n"/>
      <c r="I4990" s="56" t="n"/>
      <c r="J4990" s="58" t="n"/>
      <c r="K4990" s="58" t="n"/>
      <c r="L4990" s="13">
        <f>IF(OR($A4990="",AND($J4990="",$K4990="")),"",ROUND(N($J4990)-N($K4990),2))</f>
        <v/>
      </c>
      <c r="M4990" s="13">
        <f>IF(OR($A4990="",AND($J4990="",$K4990="")),"",MIN($J4990,$K4990))</f>
        <v/>
      </c>
      <c r="Q4990">
        <f>IF($A4990="","",$D4990&amp;"("&amp;SUBSTITUTE($E4990," ","")&amp;")")</f>
        <v/>
      </c>
      <c r="R4990">
        <f>IF($A4990="","",$B4990&amp;" - "&amp;$C4990)</f>
        <v/>
      </c>
      <c r="S4990">
        <f>IF($A4990="","",$R4990&amp;"|"&amp;$Q4990)</f>
        <v/>
      </c>
      <c r="T4990">
        <f>IF($A4990="","",$S4990&amp;"|"&amp;$F4990)</f>
        <v/>
      </c>
      <c r="U4990">
        <f>IF($A4990="","",$R4990&amp;"("&amp;$E4990&amp;")")</f>
        <v/>
      </c>
      <c r="V4990">
        <f>IF($A4990="","",$F4990&amp;"|"&amp;$U4990&amp;"|"&amp;$D4990)</f>
        <v/>
      </c>
      <c r="W4990">
        <f>IF($T4990="","",IF($X4990&gt;N($X4989),$X4990,""))</f>
        <v/>
      </c>
      <c r="X4990">
        <f>IF($T4990="",N($X4989),IF(MATCH($T4990,$T$6:$T$6005,0)=ROW()-5,N($X4989)+1,N($X4989)))</f>
        <v/>
      </c>
      <c r="Z4990">
        <f>IF($V4990="","",IF($AA4990&gt;N($AA4989),$AA4990,""))</f>
        <v/>
      </c>
      <c r="AA4990">
        <f>IF($V4990="",N($AA4989),IF(MATCH($V4990,$V$6:$V$6005,0)=ROW()-5,N($AA4989)+1,N($AA4989)))</f>
        <v/>
      </c>
    </row>
    <row r="4991" ht="21" customHeight="1" s="66">
      <c r="A4991" s="56" t="n"/>
      <c r="B4991" s="57" t="n"/>
      <c r="C4991" s="57" t="n"/>
      <c r="D4991" s="57" t="n"/>
      <c r="E4991" s="56" t="n"/>
      <c r="F4991" s="57" t="n"/>
      <c r="G4991" s="57" t="n"/>
      <c r="H4991" s="56" t="n"/>
      <c r="I4991" s="56" t="n"/>
      <c r="J4991" s="58" t="n"/>
      <c r="K4991" s="58" t="n"/>
      <c r="L4991" s="13">
        <f>IF(OR($A4991="",AND($J4991="",$K4991="")),"",ROUND(N($J4991)-N($K4991),2))</f>
        <v/>
      </c>
      <c r="M4991" s="13">
        <f>IF(OR($A4991="",AND($J4991="",$K4991="")),"",MIN($J4991,$K4991))</f>
        <v/>
      </c>
      <c r="Q4991">
        <f>IF($A4991="","",$D4991&amp;"("&amp;SUBSTITUTE($E4991," ","")&amp;")")</f>
        <v/>
      </c>
      <c r="R4991">
        <f>IF($A4991="","",$B4991&amp;" - "&amp;$C4991)</f>
        <v/>
      </c>
      <c r="S4991">
        <f>IF($A4991="","",$R4991&amp;"|"&amp;$Q4991)</f>
        <v/>
      </c>
      <c r="T4991">
        <f>IF($A4991="","",$S4991&amp;"|"&amp;$F4991)</f>
        <v/>
      </c>
      <c r="U4991">
        <f>IF($A4991="","",$R4991&amp;"("&amp;$E4991&amp;")")</f>
        <v/>
      </c>
      <c r="V4991">
        <f>IF($A4991="","",$F4991&amp;"|"&amp;$U4991&amp;"|"&amp;$D4991)</f>
        <v/>
      </c>
      <c r="W4991">
        <f>IF($T4991="","",IF($X4991&gt;N($X4990),$X4991,""))</f>
        <v/>
      </c>
      <c r="X4991">
        <f>IF($T4991="",N($X4990),IF(MATCH($T4991,$T$6:$T$6005,0)=ROW()-5,N($X4990)+1,N($X4990)))</f>
        <v/>
      </c>
      <c r="Z4991">
        <f>IF($V4991="","",IF($AA4991&gt;N($AA4990),$AA4991,""))</f>
        <v/>
      </c>
      <c r="AA4991">
        <f>IF($V4991="",N($AA4990),IF(MATCH($V4991,$V$6:$V$6005,0)=ROW()-5,N($AA4990)+1,N($AA4990)))</f>
        <v/>
      </c>
    </row>
    <row r="4992" ht="21" customHeight="1" s="66">
      <c r="A4992" s="56" t="n"/>
      <c r="B4992" s="57" t="n"/>
      <c r="C4992" s="57" t="n"/>
      <c r="D4992" s="57" t="n"/>
      <c r="E4992" s="56" t="n"/>
      <c r="F4992" s="57" t="n"/>
      <c r="G4992" s="57" t="n"/>
      <c r="H4992" s="56" t="n"/>
      <c r="I4992" s="56" t="n"/>
      <c r="J4992" s="58" t="n"/>
      <c r="K4992" s="58" t="n"/>
      <c r="L4992" s="13">
        <f>IF(OR($A4992="",AND($J4992="",$K4992="")),"",ROUND(N($J4992)-N($K4992),2))</f>
        <v/>
      </c>
      <c r="M4992" s="13">
        <f>IF(OR($A4992="",AND($J4992="",$K4992="")),"",MIN($J4992,$K4992))</f>
        <v/>
      </c>
      <c r="Q4992">
        <f>IF($A4992="","",$D4992&amp;"("&amp;SUBSTITUTE($E4992," ","")&amp;")")</f>
        <v/>
      </c>
      <c r="R4992">
        <f>IF($A4992="","",$B4992&amp;" - "&amp;$C4992)</f>
        <v/>
      </c>
      <c r="S4992">
        <f>IF($A4992="","",$R4992&amp;"|"&amp;$Q4992)</f>
        <v/>
      </c>
      <c r="T4992">
        <f>IF($A4992="","",$S4992&amp;"|"&amp;$F4992)</f>
        <v/>
      </c>
      <c r="U4992">
        <f>IF($A4992="","",$R4992&amp;"("&amp;$E4992&amp;")")</f>
        <v/>
      </c>
      <c r="V4992">
        <f>IF($A4992="","",$F4992&amp;"|"&amp;$U4992&amp;"|"&amp;$D4992)</f>
        <v/>
      </c>
      <c r="W4992">
        <f>IF($T4992="","",IF($X4992&gt;N($X4991),$X4992,""))</f>
        <v/>
      </c>
      <c r="X4992">
        <f>IF($T4992="",N($X4991),IF(MATCH($T4992,$T$6:$T$6005,0)=ROW()-5,N($X4991)+1,N($X4991)))</f>
        <v/>
      </c>
      <c r="Z4992">
        <f>IF($V4992="","",IF($AA4992&gt;N($AA4991),$AA4992,""))</f>
        <v/>
      </c>
      <c r="AA4992">
        <f>IF($V4992="",N($AA4991),IF(MATCH($V4992,$V$6:$V$6005,0)=ROW()-5,N($AA4991)+1,N($AA4991)))</f>
        <v/>
      </c>
    </row>
    <row r="4993" ht="21" customHeight="1" s="66">
      <c r="A4993" s="56" t="n"/>
      <c r="B4993" s="57" t="n"/>
      <c r="C4993" s="57" t="n"/>
      <c r="D4993" s="57" t="n"/>
      <c r="E4993" s="56" t="n"/>
      <c r="F4993" s="57" t="n"/>
      <c r="G4993" s="57" t="n"/>
      <c r="H4993" s="56" t="n"/>
      <c r="I4993" s="56" t="n"/>
      <c r="J4993" s="58" t="n"/>
      <c r="K4993" s="58" t="n"/>
      <c r="L4993" s="13">
        <f>IF(OR($A4993="",AND($J4993="",$K4993="")),"",ROUND(N($J4993)-N($K4993),2))</f>
        <v/>
      </c>
      <c r="M4993" s="13">
        <f>IF(OR($A4993="",AND($J4993="",$K4993="")),"",MIN($J4993,$K4993))</f>
        <v/>
      </c>
      <c r="Q4993">
        <f>IF($A4993="","",$D4993&amp;"("&amp;SUBSTITUTE($E4993," ","")&amp;")")</f>
        <v/>
      </c>
      <c r="R4993">
        <f>IF($A4993="","",$B4993&amp;" - "&amp;$C4993)</f>
        <v/>
      </c>
      <c r="S4993">
        <f>IF($A4993="","",$R4993&amp;"|"&amp;$Q4993)</f>
        <v/>
      </c>
      <c r="T4993">
        <f>IF($A4993="","",$S4993&amp;"|"&amp;$F4993)</f>
        <v/>
      </c>
      <c r="U4993">
        <f>IF($A4993="","",$R4993&amp;"("&amp;$E4993&amp;")")</f>
        <v/>
      </c>
      <c r="V4993">
        <f>IF($A4993="","",$F4993&amp;"|"&amp;$U4993&amp;"|"&amp;$D4993)</f>
        <v/>
      </c>
      <c r="W4993">
        <f>IF($T4993="","",IF($X4993&gt;N($X4992),$X4993,""))</f>
        <v/>
      </c>
      <c r="X4993">
        <f>IF($T4993="",N($X4992),IF(MATCH($T4993,$T$6:$T$6005,0)=ROW()-5,N($X4992)+1,N($X4992)))</f>
        <v/>
      </c>
      <c r="Z4993">
        <f>IF($V4993="","",IF($AA4993&gt;N($AA4992),$AA4993,""))</f>
        <v/>
      </c>
      <c r="AA4993">
        <f>IF($V4993="",N($AA4992),IF(MATCH($V4993,$V$6:$V$6005,0)=ROW()-5,N($AA4992)+1,N($AA4992)))</f>
        <v/>
      </c>
    </row>
    <row r="4994" ht="21" customHeight="1" s="66">
      <c r="A4994" s="56" t="n"/>
      <c r="B4994" s="57" t="n"/>
      <c r="C4994" s="57" t="n"/>
      <c r="D4994" s="57" t="n"/>
      <c r="E4994" s="56" t="n"/>
      <c r="F4994" s="57" t="n"/>
      <c r="G4994" s="57" t="n"/>
      <c r="H4994" s="56" t="n"/>
      <c r="I4994" s="56" t="n"/>
      <c r="J4994" s="58" t="n"/>
      <c r="K4994" s="58" t="n"/>
      <c r="L4994" s="13">
        <f>IF(OR($A4994="",AND($J4994="",$K4994="")),"",ROUND(N($J4994)-N($K4994),2))</f>
        <v/>
      </c>
      <c r="M4994" s="13">
        <f>IF(OR($A4994="",AND($J4994="",$K4994="")),"",MIN($J4994,$K4994))</f>
        <v/>
      </c>
      <c r="Q4994">
        <f>IF($A4994="","",$D4994&amp;"("&amp;SUBSTITUTE($E4994," ","")&amp;")")</f>
        <v/>
      </c>
      <c r="R4994">
        <f>IF($A4994="","",$B4994&amp;" - "&amp;$C4994)</f>
        <v/>
      </c>
      <c r="S4994">
        <f>IF($A4994="","",$R4994&amp;"|"&amp;$Q4994)</f>
        <v/>
      </c>
      <c r="T4994">
        <f>IF($A4994="","",$S4994&amp;"|"&amp;$F4994)</f>
        <v/>
      </c>
      <c r="U4994">
        <f>IF($A4994="","",$R4994&amp;"("&amp;$E4994&amp;")")</f>
        <v/>
      </c>
      <c r="V4994">
        <f>IF($A4994="","",$F4994&amp;"|"&amp;$U4994&amp;"|"&amp;$D4994)</f>
        <v/>
      </c>
      <c r="W4994">
        <f>IF($T4994="","",IF($X4994&gt;N($X4993),$X4994,""))</f>
        <v/>
      </c>
      <c r="X4994">
        <f>IF($T4994="",N($X4993),IF(MATCH($T4994,$T$6:$T$6005,0)=ROW()-5,N($X4993)+1,N($X4993)))</f>
        <v/>
      </c>
      <c r="Z4994">
        <f>IF($V4994="","",IF($AA4994&gt;N($AA4993),$AA4994,""))</f>
        <v/>
      </c>
      <c r="AA4994">
        <f>IF($V4994="",N($AA4993),IF(MATCH($V4994,$V$6:$V$6005,0)=ROW()-5,N($AA4993)+1,N($AA4993)))</f>
        <v/>
      </c>
    </row>
    <row r="4995" ht="21" customHeight="1" s="66">
      <c r="A4995" s="56" t="n"/>
      <c r="B4995" s="57" t="n"/>
      <c r="C4995" s="57" t="n"/>
      <c r="D4995" s="57" t="n"/>
      <c r="E4995" s="56" t="n"/>
      <c r="F4995" s="57" t="n"/>
      <c r="G4995" s="57" t="n"/>
      <c r="H4995" s="56" t="n"/>
      <c r="I4995" s="56" t="n"/>
      <c r="J4995" s="58" t="n"/>
      <c r="K4995" s="58" t="n"/>
      <c r="L4995" s="13">
        <f>IF(OR($A4995="",AND($J4995="",$K4995="")),"",ROUND(N($J4995)-N($K4995),2))</f>
        <v/>
      </c>
      <c r="M4995" s="13">
        <f>IF(OR($A4995="",AND($J4995="",$K4995="")),"",MIN($J4995,$K4995))</f>
        <v/>
      </c>
      <c r="Q4995">
        <f>IF($A4995="","",$D4995&amp;"("&amp;SUBSTITUTE($E4995," ","")&amp;")")</f>
        <v/>
      </c>
      <c r="R4995">
        <f>IF($A4995="","",$B4995&amp;" - "&amp;$C4995)</f>
        <v/>
      </c>
      <c r="S4995">
        <f>IF($A4995="","",$R4995&amp;"|"&amp;$Q4995)</f>
        <v/>
      </c>
      <c r="T4995">
        <f>IF($A4995="","",$S4995&amp;"|"&amp;$F4995)</f>
        <v/>
      </c>
      <c r="U4995">
        <f>IF($A4995="","",$R4995&amp;"("&amp;$E4995&amp;")")</f>
        <v/>
      </c>
      <c r="V4995">
        <f>IF($A4995="","",$F4995&amp;"|"&amp;$U4995&amp;"|"&amp;$D4995)</f>
        <v/>
      </c>
      <c r="W4995">
        <f>IF($T4995="","",IF($X4995&gt;N($X4994),$X4995,""))</f>
        <v/>
      </c>
      <c r="X4995">
        <f>IF($T4995="",N($X4994),IF(MATCH($T4995,$T$6:$T$6005,0)=ROW()-5,N($X4994)+1,N($X4994)))</f>
        <v/>
      </c>
      <c r="Z4995">
        <f>IF($V4995="","",IF($AA4995&gt;N($AA4994),$AA4995,""))</f>
        <v/>
      </c>
      <c r="AA4995">
        <f>IF($V4995="",N($AA4994),IF(MATCH($V4995,$V$6:$V$6005,0)=ROW()-5,N($AA4994)+1,N($AA4994)))</f>
        <v/>
      </c>
    </row>
    <row r="4996" ht="21" customHeight="1" s="66">
      <c r="A4996" s="56" t="n"/>
      <c r="B4996" s="57" t="n"/>
      <c r="C4996" s="57" t="n"/>
      <c r="D4996" s="57" t="n"/>
      <c r="E4996" s="56" t="n"/>
      <c r="F4996" s="57" t="n"/>
      <c r="G4996" s="57" t="n"/>
      <c r="H4996" s="56" t="n"/>
      <c r="I4996" s="56" t="n"/>
      <c r="J4996" s="58" t="n"/>
      <c r="K4996" s="58" t="n"/>
      <c r="L4996" s="13">
        <f>IF(OR($A4996="",AND($J4996="",$K4996="")),"",ROUND(N($J4996)-N($K4996),2))</f>
        <v/>
      </c>
      <c r="M4996" s="13">
        <f>IF(OR($A4996="",AND($J4996="",$K4996="")),"",MIN($J4996,$K4996))</f>
        <v/>
      </c>
      <c r="Q4996">
        <f>IF($A4996="","",$D4996&amp;"("&amp;SUBSTITUTE($E4996," ","")&amp;")")</f>
        <v/>
      </c>
      <c r="R4996">
        <f>IF($A4996="","",$B4996&amp;" - "&amp;$C4996)</f>
        <v/>
      </c>
      <c r="S4996">
        <f>IF($A4996="","",$R4996&amp;"|"&amp;$Q4996)</f>
        <v/>
      </c>
      <c r="T4996">
        <f>IF($A4996="","",$S4996&amp;"|"&amp;$F4996)</f>
        <v/>
      </c>
      <c r="U4996">
        <f>IF($A4996="","",$R4996&amp;"("&amp;$E4996&amp;")")</f>
        <v/>
      </c>
      <c r="V4996">
        <f>IF($A4996="","",$F4996&amp;"|"&amp;$U4996&amp;"|"&amp;$D4996)</f>
        <v/>
      </c>
      <c r="W4996">
        <f>IF($T4996="","",IF($X4996&gt;N($X4995),$X4996,""))</f>
        <v/>
      </c>
      <c r="X4996">
        <f>IF($T4996="",N($X4995),IF(MATCH($T4996,$T$6:$T$6005,0)=ROW()-5,N($X4995)+1,N($X4995)))</f>
        <v/>
      </c>
      <c r="Z4996">
        <f>IF($V4996="","",IF($AA4996&gt;N($AA4995),$AA4996,""))</f>
        <v/>
      </c>
      <c r="AA4996">
        <f>IF($V4996="",N($AA4995),IF(MATCH($V4996,$V$6:$V$6005,0)=ROW()-5,N($AA4995)+1,N($AA4995)))</f>
        <v/>
      </c>
    </row>
    <row r="4997" ht="21" customHeight="1" s="66">
      <c r="A4997" s="56" t="n"/>
      <c r="B4997" s="57" t="n"/>
      <c r="C4997" s="57" t="n"/>
      <c r="D4997" s="57" t="n"/>
      <c r="E4997" s="56" t="n"/>
      <c r="F4997" s="57" t="n"/>
      <c r="G4997" s="57" t="n"/>
      <c r="H4997" s="56" t="n"/>
      <c r="I4997" s="56" t="n"/>
      <c r="J4997" s="58" t="n"/>
      <c r="K4997" s="58" t="n"/>
      <c r="L4997" s="13">
        <f>IF(OR($A4997="",AND($J4997="",$K4997="")),"",ROUND(N($J4997)-N($K4997),2))</f>
        <v/>
      </c>
      <c r="M4997" s="13">
        <f>IF(OR($A4997="",AND($J4997="",$K4997="")),"",MIN($J4997,$K4997))</f>
        <v/>
      </c>
      <c r="Q4997">
        <f>IF($A4997="","",$D4997&amp;"("&amp;SUBSTITUTE($E4997," ","")&amp;")")</f>
        <v/>
      </c>
      <c r="R4997">
        <f>IF($A4997="","",$B4997&amp;" - "&amp;$C4997)</f>
        <v/>
      </c>
      <c r="S4997">
        <f>IF($A4997="","",$R4997&amp;"|"&amp;$Q4997)</f>
        <v/>
      </c>
      <c r="T4997">
        <f>IF($A4997="","",$S4997&amp;"|"&amp;$F4997)</f>
        <v/>
      </c>
      <c r="U4997">
        <f>IF($A4997="","",$R4997&amp;"("&amp;$E4997&amp;")")</f>
        <v/>
      </c>
      <c r="V4997">
        <f>IF($A4997="","",$F4997&amp;"|"&amp;$U4997&amp;"|"&amp;$D4997)</f>
        <v/>
      </c>
      <c r="W4997">
        <f>IF($T4997="","",IF($X4997&gt;N($X4996),$X4997,""))</f>
        <v/>
      </c>
      <c r="X4997">
        <f>IF($T4997="",N($X4996),IF(MATCH($T4997,$T$6:$T$6005,0)=ROW()-5,N($X4996)+1,N($X4996)))</f>
        <v/>
      </c>
      <c r="Z4997">
        <f>IF($V4997="","",IF($AA4997&gt;N($AA4996),$AA4997,""))</f>
        <v/>
      </c>
      <c r="AA4997">
        <f>IF($V4997="",N($AA4996),IF(MATCH($V4997,$V$6:$V$6005,0)=ROW()-5,N($AA4996)+1,N($AA4996)))</f>
        <v/>
      </c>
    </row>
    <row r="4998" ht="21" customHeight="1" s="66">
      <c r="A4998" s="56" t="n"/>
      <c r="B4998" s="57" t="n"/>
      <c r="C4998" s="57" t="n"/>
      <c r="D4998" s="57" t="n"/>
      <c r="E4998" s="56" t="n"/>
      <c r="F4998" s="57" t="n"/>
      <c r="G4998" s="57" t="n"/>
      <c r="H4998" s="56" t="n"/>
      <c r="I4998" s="56" t="n"/>
      <c r="J4998" s="58" t="n"/>
      <c r="K4998" s="58" t="n"/>
      <c r="L4998" s="13">
        <f>IF(OR($A4998="",AND($J4998="",$K4998="")),"",ROUND(N($J4998)-N($K4998),2))</f>
        <v/>
      </c>
      <c r="M4998" s="13">
        <f>IF(OR($A4998="",AND($J4998="",$K4998="")),"",MIN($J4998,$K4998))</f>
        <v/>
      </c>
      <c r="Q4998">
        <f>IF($A4998="","",$D4998&amp;"("&amp;SUBSTITUTE($E4998," ","")&amp;")")</f>
        <v/>
      </c>
      <c r="R4998">
        <f>IF($A4998="","",$B4998&amp;" - "&amp;$C4998)</f>
        <v/>
      </c>
      <c r="S4998">
        <f>IF($A4998="","",$R4998&amp;"|"&amp;$Q4998)</f>
        <v/>
      </c>
      <c r="T4998">
        <f>IF($A4998="","",$S4998&amp;"|"&amp;$F4998)</f>
        <v/>
      </c>
      <c r="U4998">
        <f>IF($A4998="","",$R4998&amp;"("&amp;$E4998&amp;")")</f>
        <v/>
      </c>
      <c r="V4998">
        <f>IF($A4998="","",$F4998&amp;"|"&amp;$U4998&amp;"|"&amp;$D4998)</f>
        <v/>
      </c>
      <c r="W4998">
        <f>IF($T4998="","",IF($X4998&gt;N($X4997),$X4998,""))</f>
        <v/>
      </c>
      <c r="X4998">
        <f>IF($T4998="",N($X4997),IF(MATCH($T4998,$T$6:$T$6005,0)=ROW()-5,N($X4997)+1,N($X4997)))</f>
        <v/>
      </c>
      <c r="Z4998">
        <f>IF($V4998="","",IF($AA4998&gt;N($AA4997),$AA4998,""))</f>
        <v/>
      </c>
      <c r="AA4998">
        <f>IF($V4998="",N($AA4997),IF(MATCH($V4998,$V$6:$V$6005,0)=ROW()-5,N($AA4997)+1,N($AA4997)))</f>
        <v/>
      </c>
    </row>
    <row r="4999" ht="21" customHeight="1" s="66">
      <c r="A4999" s="56" t="n"/>
      <c r="B4999" s="57" t="n"/>
      <c r="C4999" s="57" t="n"/>
      <c r="D4999" s="57" t="n"/>
      <c r="E4999" s="56" t="n"/>
      <c r="F4999" s="57" t="n"/>
      <c r="G4999" s="57" t="n"/>
      <c r="H4999" s="56" t="n"/>
      <c r="I4999" s="56" t="n"/>
      <c r="J4999" s="58" t="n"/>
      <c r="K4999" s="58" t="n"/>
      <c r="L4999" s="13">
        <f>IF(OR($A4999="",AND($J4999="",$K4999="")),"",ROUND(N($J4999)-N($K4999),2))</f>
        <v/>
      </c>
      <c r="M4999" s="13">
        <f>IF(OR($A4999="",AND($J4999="",$K4999="")),"",MIN($J4999,$K4999))</f>
        <v/>
      </c>
      <c r="Q4999">
        <f>IF($A4999="","",$D4999&amp;"("&amp;SUBSTITUTE($E4999," ","")&amp;")")</f>
        <v/>
      </c>
      <c r="R4999">
        <f>IF($A4999="","",$B4999&amp;" - "&amp;$C4999)</f>
        <v/>
      </c>
      <c r="S4999">
        <f>IF($A4999="","",$R4999&amp;"|"&amp;$Q4999)</f>
        <v/>
      </c>
      <c r="T4999">
        <f>IF($A4999="","",$S4999&amp;"|"&amp;$F4999)</f>
        <v/>
      </c>
      <c r="U4999">
        <f>IF($A4999="","",$R4999&amp;"("&amp;$E4999&amp;")")</f>
        <v/>
      </c>
      <c r="V4999">
        <f>IF($A4999="","",$F4999&amp;"|"&amp;$U4999&amp;"|"&amp;$D4999)</f>
        <v/>
      </c>
      <c r="W4999">
        <f>IF($T4999="","",IF($X4999&gt;N($X4998),$X4999,""))</f>
        <v/>
      </c>
      <c r="X4999">
        <f>IF($T4999="",N($X4998),IF(MATCH($T4999,$T$6:$T$6005,0)=ROW()-5,N($X4998)+1,N($X4998)))</f>
        <v/>
      </c>
      <c r="Z4999">
        <f>IF($V4999="","",IF($AA4999&gt;N($AA4998),$AA4999,""))</f>
        <v/>
      </c>
      <c r="AA4999">
        <f>IF($V4999="",N($AA4998),IF(MATCH($V4999,$V$6:$V$6005,0)=ROW()-5,N($AA4998)+1,N($AA4998)))</f>
        <v/>
      </c>
    </row>
    <row r="5000" ht="21" customHeight="1" s="66">
      <c r="A5000" s="56" t="n"/>
      <c r="B5000" s="57" t="n"/>
      <c r="C5000" s="57" t="n"/>
      <c r="D5000" s="57" t="n"/>
      <c r="E5000" s="56" t="n"/>
      <c r="F5000" s="57" t="n"/>
      <c r="G5000" s="57" t="n"/>
      <c r="H5000" s="56" t="n"/>
      <c r="I5000" s="56" t="n"/>
      <c r="J5000" s="58" t="n"/>
      <c r="K5000" s="58" t="n"/>
      <c r="L5000" s="13">
        <f>IF(OR($A5000="",AND($J5000="",$K5000="")),"",ROUND(N($J5000)-N($K5000),2))</f>
        <v/>
      </c>
      <c r="M5000" s="13">
        <f>IF(OR($A5000="",AND($J5000="",$K5000="")),"",MIN($J5000,$K5000))</f>
        <v/>
      </c>
      <c r="Q5000">
        <f>IF($A5000="","",$D5000&amp;"("&amp;SUBSTITUTE($E5000," ","")&amp;")")</f>
        <v/>
      </c>
      <c r="R5000">
        <f>IF($A5000="","",$B5000&amp;" - "&amp;$C5000)</f>
        <v/>
      </c>
      <c r="S5000">
        <f>IF($A5000="","",$R5000&amp;"|"&amp;$Q5000)</f>
        <v/>
      </c>
      <c r="T5000">
        <f>IF($A5000="","",$S5000&amp;"|"&amp;$F5000)</f>
        <v/>
      </c>
      <c r="U5000">
        <f>IF($A5000="","",$R5000&amp;"("&amp;$E5000&amp;")")</f>
        <v/>
      </c>
      <c r="V5000">
        <f>IF($A5000="","",$F5000&amp;"|"&amp;$U5000&amp;"|"&amp;$D5000)</f>
        <v/>
      </c>
      <c r="W5000">
        <f>IF($T5000="","",IF($X5000&gt;N($X4999),$X5000,""))</f>
        <v/>
      </c>
      <c r="X5000">
        <f>IF($T5000="",N($X4999),IF(MATCH($T5000,$T$6:$T$6005,0)=ROW()-5,N($X4999)+1,N($X4999)))</f>
        <v/>
      </c>
      <c r="Z5000">
        <f>IF($V5000="","",IF($AA5000&gt;N($AA4999),$AA5000,""))</f>
        <v/>
      </c>
      <c r="AA5000">
        <f>IF($V5000="",N($AA4999),IF(MATCH($V5000,$V$6:$V$6005,0)=ROW()-5,N($AA4999)+1,N($AA4999)))</f>
        <v/>
      </c>
    </row>
    <row r="5001" ht="21" customHeight="1" s="66">
      <c r="A5001" s="56" t="n"/>
      <c r="B5001" s="57" t="n"/>
      <c r="C5001" s="57" t="n"/>
      <c r="D5001" s="57" t="n"/>
      <c r="E5001" s="56" t="n"/>
      <c r="F5001" s="57" t="n"/>
      <c r="G5001" s="57" t="n"/>
      <c r="H5001" s="56" t="n"/>
      <c r="I5001" s="56" t="n"/>
      <c r="J5001" s="58" t="n"/>
      <c r="K5001" s="58" t="n"/>
      <c r="L5001" s="13">
        <f>IF(OR($A5001="",AND($J5001="",$K5001="")),"",ROUND(N($J5001)-N($K5001),2))</f>
        <v/>
      </c>
      <c r="M5001" s="13">
        <f>IF(OR($A5001="",AND($J5001="",$K5001="")),"",MIN($J5001,$K5001))</f>
        <v/>
      </c>
      <c r="Q5001">
        <f>IF($A5001="","",$D5001&amp;"("&amp;SUBSTITUTE($E5001," ","")&amp;")")</f>
        <v/>
      </c>
      <c r="R5001">
        <f>IF($A5001="","",$B5001&amp;" - "&amp;$C5001)</f>
        <v/>
      </c>
      <c r="S5001">
        <f>IF($A5001="","",$R5001&amp;"|"&amp;$Q5001)</f>
        <v/>
      </c>
      <c r="T5001">
        <f>IF($A5001="","",$S5001&amp;"|"&amp;$F5001)</f>
        <v/>
      </c>
      <c r="U5001">
        <f>IF($A5001="","",$R5001&amp;"("&amp;$E5001&amp;")")</f>
        <v/>
      </c>
      <c r="V5001">
        <f>IF($A5001="","",$F5001&amp;"|"&amp;$U5001&amp;"|"&amp;$D5001)</f>
        <v/>
      </c>
      <c r="W5001">
        <f>IF($T5001="","",IF($X5001&gt;N($X5000),$X5001,""))</f>
        <v/>
      </c>
      <c r="X5001">
        <f>IF($T5001="",N($X5000),IF(MATCH($T5001,$T$6:$T$6005,0)=ROW()-5,N($X5000)+1,N($X5000)))</f>
        <v/>
      </c>
      <c r="Z5001">
        <f>IF($V5001="","",IF($AA5001&gt;N($AA5000),$AA5001,""))</f>
        <v/>
      </c>
      <c r="AA5001">
        <f>IF($V5001="",N($AA5000),IF(MATCH($V5001,$V$6:$V$6005,0)=ROW()-5,N($AA5000)+1,N($AA5000)))</f>
        <v/>
      </c>
    </row>
    <row r="5002" ht="21" customHeight="1" s="66">
      <c r="A5002" s="56" t="n"/>
      <c r="B5002" s="57" t="n"/>
      <c r="C5002" s="57" t="n"/>
      <c r="D5002" s="57" t="n"/>
      <c r="E5002" s="56" t="n"/>
      <c r="F5002" s="57" t="n"/>
      <c r="G5002" s="57" t="n"/>
      <c r="H5002" s="56" t="n"/>
      <c r="I5002" s="56" t="n"/>
      <c r="J5002" s="58" t="n"/>
      <c r="K5002" s="58" t="n"/>
      <c r="L5002" s="13">
        <f>IF(OR($A5002="",AND($J5002="",$K5002="")),"",ROUND(N($J5002)-N($K5002),2))</f>
        <v/>
      </c>
      <c r="M5002" s="13">
        <f>IF(OR($A5002="",AND($J5002="",$K5002="")),"",MIN($J5002,$K5002))</f>
        <v/>
      </c>
      <c r="Q5002">
        <f>IF($A5002="","",$D5002&amp;"("&amp;SUBSTITUTE($E5002," ","")&amp;")")</f>
        <v/>
      </c>
      <c r="R5002">
        <f>IF($A5002="","",$B5002&amp;" - "&amp;$C5002)</f>
        <v/>
      </c>
      <c r="S5002">
        <f>IF($A5002="","",$R5002&amp;"|"&amp;$Q5002)</f>
        <v/>
      </c>
      <c r="T5002">
        <f>IF($A5002="","",$S5002&amp;"|"&amp;$F5002)</f>
        <v/>
      </c>
      <c r="U5002">
        <f>IF($A5002="","",$R5002&amp;"("&amp;$E5002&amp;")")</f>
        <v/>
      </c>
      <c r="V5002">
        <f>IF($A5002="","",$F5002&amp;"|"&amp;$U5002&amp;"|"&amp;$D5002)</f>
        <v/>
      </c>
      <c r="W5002">
        <f>IF($T5002="","",IF($X5002&gt;N($X5001),$X5002,""))</f>
        <v/>
      </c>
      <c r="X5002">
        <f>IF($T5002="",N($X5001),IF(MATCH($T5002,$T$6:$T$6005,0)=ROW()-5,N($X5001)+1,N($X5001)))</f>
        <v/>
      </c>
      <c r="Z5002">
        <f>IF($V5002="","",IF($AA5002&gt;N($AA5001),$AA5002,""))</f>
        <v/>
      </c>
      <c r="AA5002">
        <f>IF($V5002="",N($AA5001),IF(MATCH($V5002,$V$6:$V$6005,0)=ROW()-5,N($AA5001)+1,N($AA5001)))</f>
        <v/>
      </c>
    </row>
    <row r="5003" ht="21" customHeight="1" s="66">
      <c r="A5003" s="56" t="n"/>
      <c r="B5003" s="57" t="n"/>
      <c r="C5003" s="57" t="n"/>
      <c r="D5003" s="57" t="n"/>
      <c r="E5003" s="56" t="n"/>
      <c r="F5003" s="57" t="n"/>
      <c r="G5003" s="57" t="n"/>
      <c r="H5003" s="56" t="n"/>
      <c r="I5003" s="56" t="n"/>
      <c r="J5003" s="58" t="n"/>
      <c r="K5003" s="58" t="n"/>
      <c r="L5003" s="13">
        <f>IF(OR($A5003="",AND($J5003="",$K5003="")),"",ROUND(N($J5003)-N($K5003),2))</f>
        <v/>
      </c>
      <c r="M5003" s="13">
        <f>IF(OR($A5003="",AND($J5003="",$K5003="")),"",MIN($J5003,$K5003))</f>
        <v/>
      </c>
      <c r="Q5003">
        <f>IF($A5003="","",$D5003&amp;"("&amp;SUBSTITUTE($E5003," ","")&amp;")")</f>
        <v/>
      </c>
      <c r="R5003">
        <f>IF($A5003="","",$B5003&amp;" - "&amp;$C5003)</f>
        <v/>
      </c>
      <c r="S5003">
        <f>IF($A5003="","",$R5003&amp;"|"&amp;$Q5003)</f>
        <v/>
      </c>
      <c r="T5003">
        <f>IF($A5003="","",$S5003&amp;"|"&amp;$F5003)</f>
        <v/>
      </c>
      <c r="U5003">
        <f>IF($A5003="","",$R5003&amp;"("&amp;$E5003&amp;")")</f>
        <v/>
      </c>
      <c r="V5003">
        <f>IF($A5003="","",$F5003&amp;"|"&amp;$U5003&amp;"|"&amp;$D5003)</f>
        <v/>
      </c>
      <c r="W5003">
        <f>IF($T5003="","",IF($X5003&gt;N($X5002),$X5003,""))</f>
        <v/>
      </c>
      <c r="X5003">
        <f>IF($T5003="",N($X5002),IF(MATCH($T5003,$T$6:$T$6005,0)=ROW()-5,N($X5002)+1,N($X5002)))</f>
        <v/>
      </c>
      <c r="Z5003">
        <f>IF($V5003="","",IF($AA5003&gt;N($AA5002),$AA5003,""))</f>
        <v/>
      </c>
      <c r="AA5003">
        <f>IF($V5003="",N($AA5002),IF(MATCH($V5003,$V$6:$V$6005,0)=ROW()-5,N($AA5002)+1,N($AA5002)))</f>
        <v/>
      </c>
    </row>
    <row r="5004" ht="21" customHeight="1" s="66">
      <c r="A5004" s="56" t="n"/>
      <c r="B5004" s="57" t="n"/>
      <c r="C5004" s="57" t="n"/>
      <c r="D5004" s="57" t="n"/>
      <c r="E5004" s="56" t="n"/>
      <c r="F5004" s="57" t="n"/>
      <c r="G5004" s="57" t="n"/>
      <c r="H5004" s="56" t="n"/>
      <c r="I5004" s="56" t="n"/>
      <c r="J5004" s="58" t="n"/>
      <c r="K5004" s="58" t="n"/>
      <c r="L5004" s="13">
        <f>IF(OR($A5004="",AND($J5004="",$K5004="")),"",ROUND(N($J5004)-N($K5004),2))</f>
        <v/>
      </c>
      <c r="M5004" s="13">
        <f>IF(OR($A5004="",AND($J5004="",$K5004="")),"",MIN($J5004,$K5004))</f>
        <v/>
      </c>
      <c r="Q5004">
        <f>IF($A5004="","",$D5004&amp;"("&amp;SUBSTITUTE($E5004," ","")&amp;")")</f>
        <v/>
      </c>
      <c r="R5004">
        <f>IF($A5004="","",$B5004&amp;" - "&amp;$C5004)</f>
        <v/>
      </c>
      <c r="S5004">
        <f>IF($A5004="","",$R5004&amp;"|"&amp;$Q5004)</f>
        <v/>
      </c>
      <c r="T5004">
        <f>IF($A5004="","",$S5004&amp;"|"&amp;$F5004)</f>
        <v/>
      </c>
      <c r="U5004">
        <f>IF($A5004="","",$R5004&amp;"("&amp;$E5004&amp;")")</f>
        <v/>
      </c>
      <c r="V5004">
        <f>IF($A5004="","",$F5004&amp;"|"&amp;$U5004&amp;"|"&amp;$D5004)</f>
        <v/>
      </c>
      <c r="W5004">
        <f>IF($T5004="","",IF($X5004&gt;N($X5003),$X5004,""))</f>
        <v/>
      </c>
      <c r="X5004">
        <f>IF($T5004="",N($X5003),IF(MATCH($T5004,$T$6:$T$6005,0)=ROW()-5,N($X5003)+1,N($X5003)))</f>
        <v/>
      </c>
      <c r="Z5004">
        <f>IF($V5004="","",IF($AA5004&gt;N($AA5003),$AA5004,""))</f>
        <v/>
      </c>
      <c r="AA5004">
        <f>IF($V5004="",N($AA5003),IF(MATCH($V5004,$V$6:$V$6005,0)=ROW()-5,N($AA5003)+1,N($AA5003)))</f>
        <v/>
      </c>
    </row>
    <row r="5005" ht="21" customHeight="1" s="66">
      <c r="A5005" s="56" t="n"/>
      <c r="B5005" s="57" t="n"/>
      <c r="C5005" s="57" t="n"/>
      <c r="D5005" s="57" t="n"/>
      <c r="E5005" s="56" t="n"/>
      <c r="F5005" s="57" t="n"/>
      <c r="G5005" s="57" t="n"/>
      <c r="H5005" s="56" t="n"/>
      <c r="I5005" s="56" t="n"/>
      <c r="J5005" s="58" t="n"/>
      <c r="K5005" s="58" t="n"/>
      <c r="L5005" s="13">
        <f>IF(OR($A5005="",AND($J5005="",$K5005="")),"",ROUND(N($J5005)-N($K5005),2))</f>
        <v/>
      </c>
      <c r="M5005" s="13">
        <f>IF(OR($A5005="",AND($J5005="",$K5005="")),"",MIN($J5005,$K5005))</f>
        <v/>
      </c>
      <c r="Q5005">
        <f>IF($A5005="","",$D5005&amp;"("&amp;SUBSTITUTE($E5005," ","")&amp;")")</f>
        <v/>
      </c>
      <c r="R5005">
        <f>IF($A5005="","",$B5005&amp;" - "&amp;$C5005)</f>
        <v/>
      </c>
      <c r="S5005">
        <f>IF($A5005="","",$R5005&amp;"|"&amp;$Q5005)</f>
        <v/>
      </c>
      <c r="T5005">
        <f>IF($A5005="","",$S5005&amp;"|"&amp;$F5005)</f>
        <v/>
      </c>
      <c r="U5005">
        <f>IF($A5005="","",$R5005&amp;"("&amp;$E5005&amp;")")</f>
        <v/>
      </c>
      <c r="V5005">
        <f>IF($A5005="","",$F5005&amp;"|"&amp;$U5005&amp;"|"&amp;$D5005)</f>
        <v/>
      </c>
      <c r="W5005">
        <f>IF($T5005="","",IF($X5005&gt;N($X5004),$X5005,""))</f>
        <v/>
      </c>
      <c r="X5005">
        <f>IF($T5005="",N($X5004),IF(MATCH($T5005,$T$6:$T$6005,0)=ROW()-5,N($X5004)+1,N($X5004)))</f>
        <v/>
      </c>
      <c r="Z5005">
        <f>IF($V5005="","",IF($AA5005&gt;N($AA5004),$AA5005,""))</f>
        <v/>
      </c>
      <c r="AA5005">
        <f>IF($V5005="",N($AA5004),IF(MATCH($V5005,$V$6:$V$6005,0)=ROW()-5,N($AA5004)+1,N($AA5004)))</f>
        <v/>
      </c>
    </row>
    <row r="5006" ht="21" customHeight="1" s="66">
      <c r="A5006" s="56" t="n"/>
      <c r="B5006" s="57" t="n"/>
      <c r="C5006" s="57" t="n"/>
      <c r="D5006" s="57" t="n"/>
      <c r="E5006" s="56" t="n"/>
      <c r="F5006" s="57" t="n"/>
      <c r="G5006" s="57" t="n"/>
      <c r="H5006" s="56" t="n"/>
      <c r="I5006" s="56" t="n"/>
      <c r="J5006" s="58" t="n"/>
      <c r="K5006" s="58" t="n"/>
      <c r="L5006" s="13">
        <f>IF(OR($A5006="",AND($J5006="",$K5006="")),"",ROUND(N($J5006)-N($K5006),2))</f>
        <v/>
      </c>
      <c r="M5006" s="13">
        <f>IF(OR($A5006="",AND($J5006="",$K5006="")),"",MIN($J5006,$K5006))</f>
        <v/>
      </c>
      <c r="Q5006">
        <f>IF($A5006="","",$D5006&amp;"("&amp;SUBSTITUTE($E5006," ","")&amp;")")</f>
        <v/>
      </c>
      <c r="R5006">
        <f>IF($A5006="","",$B5006&amp;" - "&amp;$C5006)</f>
        <v/>
      </c>
      <c r="S5006">
        <f>IF($A5006="","",$R5006&amp;"|"&amp;$Q5006)</f>
        <v/>
      </c>
      <c r="T5006">
        <f>IF($A5006="","",$S5006&amp;"|"&amp;$F5006)</f>
        <v/>
      </c>
      <c r="U5006">
        <f>IF($A5006="","",$R5006&amp;"("&amp;$E5006&amp;")")</f>
        <v/>
      </c>
      <c r="V5006">
        <f>IF($A5006="","",$F5006&amp;"|"&amp;$U5006&amp;"|"&amp;$D5006)</f>
        <v/>
      </c>
      <c r="W5006">
        <f>IF($T5006="","",IF($X5006&gt;N($X5005),$X5006,""))</f>
        <v/>
      </c>
      <c r="X5006">
        <f>IF($T5006="",N($X5005),IF(MATCH($T5006,$T$6:$T$6005,0)=ROW()-5,N($X5005)+1,N($X5005)))</f>
        <v/>
      </c>
      <c r="Z5006">
        <f>IF($V5006="","",IF($AA5006&gt;N($AA5005),$AA5006,""))</f>
        <v/>
      </c>
      <c r="AA5006">
        <f>IF($V5006="",N($AA5005),IF(MATCH($V5006,$V$6:$V$6005,0)=ROW()-5,N($AA5005)+1,N($AA5005)))</f>
        <v/>
      </c>
    </row>
    <row r="5007" ht="21" customHeight="1" s="66">
      <c r="A5007" s="56" t="n"/>
      <c r="B5007" s="57" t="n"/>
      <c r="C5007" s="57" t="n"/>
      <c r="D5007" s="57" t="n"/>
      <c r="E5007" s="56" t="n"/>
      <c r="F5007" s="57" t="n"/>
      <c r="G5007" s="57" t="n"/>
      <c r="H5007" s="56" t="n"/>
      <c r="I5007" s="56" t="n"/>
      <c r="J5007" s="58" t="n"/>
      <c r="K5007" s="58" t="n"/>
      <c r="L5007" s="13">
        <f>IF(OR($A5007="",AND($J5007="",$K5007="")),"",ROUND(N($J5007)-N($K5007),2))</f>
        <v/>
      </c>
      <c r="M5007" s="13">
        <f>IF(OR($A5007="",AND($J5007="",$K5007="")),"",MIN($J5007,$K5007))</f>
        <v/>
      </c>
      <c r="Q5007">
        <f>IF($A5007="","",$D5007&amp;"("&amp;SUBSTITUTE($E5007," ","")&amp;")")</f>
        <v/>
      </c>
      <c r="R5007">
        <f>IF($A5007="","",$B5007&amp;" - "&amp;$C5007)</f>
        <v/>
      </c>
      <c r="S5007">
        <f>IF($A5007="","",$R5007&amp;"|"&amp;$Q5007)</f>
        <v/>
      </c>
      <c r="T5007">
        <f>IF($A5007="","",$S5007&amp;"|"&amp;$F5007)</f>
        <v/>
      </c>
      <c r="U5007">
        <f>IF($A5007="","",$R5007&amp;"("&amp;$E5007&amp;")")</f>
        <v/>
      </c>
      <c r="V5007">
        <f>IF($A5007="","",$F5007&amp;"|"&amp;$U5007&amp;"|"&amp;$D5007)</f>
        <v/>
      </c>
      <c r="W5007">
        <f>IF($T5007="","",IF($X5007&gt;N($X5006),$X5007,""))</f>
        <v/>
      </c>
      <c r="X5007">
        <f>IF($T5007="",N($X5006),IF(MATCH($T5007,$T$6:$T$6005,0)=ROW()-5,N($X5006)+1,N($X5006)))</f>
        <v/>
      </c>
      <c r="Z5007">
        <f>IF($V5007="","",IF($AA5007&gt;N($AA5006),$AA5007,""))</f>
        <v/>
      </c>
      <c r="AA5007">
        <f>IF($V5007="",N($AA5006),IF(MATCH($V5007,$V$6:$V$6005,0)=ROW()-5,N($AA5006)+1,N($AA5006)))</f>
        <v/>
      </c>
    </row>
    <row r="5008" ht="21" customHeight="1" s="66">
      <c r="A5008" s="56" t="n"/>
      <c r="B5008" s="57" t="n"/>
      <c r="C5008" s="57" t="n"/>
      <c r="D5008" s="57" t="n"/>
      <c r="E5008" s="56" t="n"/>
      <c r="F5008" s="57" t="n"/>
      <c r="G5008" s="57" t="n"/>
      <c r="H5008" s="56" t="n"/>
      <c r="I5008" s="56" t="n"/>
      <c r="J5008" s="58" t="n"/>
      <c r="K5008" s="58" t="n"/>
      <c r="L5008" s="13">
        <f>IF(OR($A5008="",AND($J5008="",$K5008="")),"",ROUND(N($J5008)-N($K5008),2))</f>
        <v/>
      </c>
      <c r="M5008" s="13">
        <f>IF(OR($A5008="",AND($J5008="",$K5008="")),"",MIN($J5008,$K5008))</f>
        <v/>
      </c>
      <c r="Q5008">
        <f>IF($A5008="","",$D5008&amp;"("&amp;SUBSTITUTE($E5008," ","")&amp;")")</f>
        <v/>
      </c>
      <c r="R5008">
        <f>IF($A5008="","",$B5008&amp;" - "&amp;$C5008)</f>
        <v/>
      </c>
      <c r="S5008">
        <f>IF($A5008="","",$R5008&amp;"|"&amp;$Q5008)</f>
        <v/>
      </c>
      <c r="T5008">
        <f>IF($A5008="","",$S5008&amp;"|"&amp;$F5008)</f>
        <v/>
      </c>
      <c r="U5008">
        <f>IF($A5008="","",$R5008&amp;"("&amp;$E5008&amp;")")</f>
        <v/>
      </c>
      <c r="V5008">
        <f>IF($A5008="","",$F5008&amp;"|"&amp;$U5008&amp;"|"&amp;$D5008)</f>
        <v/>
      </c>
      <c r="W5008">
        <f>IF($T5008="","",IF($X5008&gt;N($X5007),$X5008,""))</f>
        <v/>
      </c>
      <c r="X5008">
        <f>IF($T5008="",N($X5007),IF(MATCH($T5008,$T$6:$T$6005,0)=ROW()-5,N($X5007)+1,N($X5007)))</f>
        <v/>
      </c>
      <c r="Z5008">
        <f>IF($V5008="","",IF($AA5008&gt;N($AA5007),$AA5008,""))</f>
        <v/>
      </c>
      <c r="AA5008">
        <f>IF($V5008="",N($AA5007),IF(MATCH($V5008,$V$6:$V$6005,0)=ROW()-5,N($AA5007)+1,N($AA5007)))</f>
        <v/>
      </c>
    </row>
    <row r="5009" ht="21" customHeight="1" s="66">
      <c r="A5009" s="56" t="n"/>
      <c r="B5009" s="57" t="n"/>
      <c r="C5009" s="57" t="n"/>
      <c r="D5009" s="57" t="n"/>
      <c r="E5009" s="56" t="n"/>
      <c r="F5009" s="57" t="n"/>
      <c r="G5009" s="57" t="n"/>
      <c r="H5009" s="56" t="n"/>
      <c r="I5009" s="56" t="n"/>
      <c r="J5009" s="58" t="n"/>
      <c r="K5009" s="58" t="n"/>
      <c r="L5009" s="13">
        <f>IF(OR($A5009="",AND($J5009="",$K5009="")),"",ROUND(N($J5009)-N($K5009),2))</f>
        <v/>
      </c>
      <c r="M5009" s="13">
        <f>IF(OR($A5009="",AND($J5009="",$K5009="")),"",MIN($J5009,$K5009))</f>
        <v/>
      </c>
      <c r="Q5009">
        <f>IF($A5009="","",$D5009&amp;"("&amp;SUBSTITUTE($E5009," ","")&amp;")")</f>
        <v/>
      </c>
      <c r="R5009">
        <f>IF($A5009="","",$B5009&amp;" - "&amp;$C5009)</f>
        <v/>
      </c>
      <c r="S5009">
        <f>IF($A5009="","",$R5009&amp;"|"&amp;$Q5009)</f>
        <v/>
      </c>
      <c r="T5009">
        <f>IF($A5009="","",$S5009&amp;"|"&amp;$F5009)</f>
        <v/>
      </c>
      <c r="U5009">
        <f>IF($A5009="","",$R5009&amp;"("&amp;$E5009&amp;")")</f>
        <v/>
      </c>
      <c r="V5009">
        <f>IF($A5009="","",$F5009&amp;"|"&amp;$U5009&amp;"|"&amp;$D5009)</f>
        <v/>
      </c>
      <c r="W5009">
        <f>IF($T5009="","",IF($X5009&gt;N($X5008),$X5009,""))</f>
        <v/>
      </c>
      <c r="X5009">
        <f>IF($T5009="",N($X5008),IF(MATCH($T5009,$T$6:$T$6005,0)=ROW()-5,N($X5008)+1,N($X5008)))</f>
        <v/>
      </c>
      <c r="Z5009">
        <f>IF($V5009="","",IF($AA5009&gt;N($AA5008),$AA5009,""))</f>
        <v/>
      </c>
      <c r="AA5009">
        <f>IF($V5009="",N($AA5008),IF(MATCH($V5009,$V$6:$V$6005,0)=ROW()-5,N($AA5008)+1,N($AA5008)))</f>
        <v/>
      </c>
    </row>
    <row r="5010" ht="21" customHeight="1" s="66">
      <c r="A5010" s="56" t="n"/>
      <c r="B5010" s="57" t="n"/>
      <c r="C5010" s="57" t="n"/>
      <c r="D5010" s="57" t="n"/>
      <c r="E5010" s="56" t="n"/>
      <c r="F5010" s="57" t="n"/>
      <c r="G5010" s="57" t="n"/>
      <c r="H5010" s="56" t="n"/>
      <c r="I5010" s="56" t="n"/>
      <c r="J5010" s="58" t="n"/>
      <c r="K5010" s="58" t="n"/>
      <c r="L5010" s="13">
        <f>IF(OR($A5010="",AND($J5010="",$K5010="")),"",ROUND(N($J5010)-N($K5010),2))</f>
        <v/>
      </c>
      <c r="M5010" s="13">
        <f>IF(OR($A5010="",AND($J5010="",$K5010="")),"",MIN($J5010,$K5010))</f>
        <v/>
      </c>
      <c r="Q5010">
        <f>IF($A5010="","",$D5010&amp;"("&amp;SUBSTITUTE($E5010," ","")&amp;")")</f>
        <v/>
      </c>
      <c r="R5010">
        <f>IF($A5010="","",$B5010&amp;" - "&amp;$C5010)</f>
        <v/>
      </c>
      <c r="S5010">
        <f>IF($A5010="","",$R5010&amp;"|"&amp;$Q5010)</f>
        <v/>
      </c>
      <c r="T5010">
        <f>IF($A5010="","",$S5010&amp;"|"&amp;$F5010)</f>
        <v/>
      </c>
      <c r="U5010">
        <f>IF($A5010="","",$R5010&amp;"("&amp;$E5010&amp;")")</f>
        <v/>
      </c>
      <c r="V5010">
        <f>IF($A5010="","",$F5010&amp;"|"&amp;$U5010&amp;"|"&amp;$D5010)</f>
        <v/>
      </c>
      <c r="W5010">
        <f>IF($T5010="","",IF($X5010&gt;N($X5009),$X5010,""))</f>
        <v/>
      </c>
      <c r="X5010">
        <f>IF($T5010="",N($X5009),IF(MATCH($T5010,$T$6:$T$6005,0)=ROW()-5,N($X5009)+1,N($X5009)))</f>
        <v/>
      </c>
      <c r="Z5010">
        <f>IF($V5010="","",IF($AA5010&gt;N($AA5009),$AA5010,""))</f>
        <v/>
      </c>
      <c r="AA5010">
        <f>IF($V5010="",N($AA5009),IF(MATCH($V5010,$V$6:$V$6005,0)=ROW()-5,N($AA5009)+1,N($AA5009)))</f>
        <v/>
      </c>
    </row>
    <row r="5011" ht="21" customHeight="1" s="66">
      <c r="A5011" s="56" t="n"/>
      <c r="B5011" s="57" t="n"/>
      <c r="C5011" s="57" t="n"/>
      <c r="D5011" s="57" t="n"/>
      <c r="E5011" s="56" t="n"/>
      <c r="F5011" s="57" t="n"/>
      <c r="G5011" s="57" t="n"/>
      <c r="H5011" s="56" t="n"/>
      <c r="I5011" s="56" t="n"/>
      <c r="J5011" s="58" t="n"/>
      <c r="K5011" s="58" t="n"/>
      <c r="L5011" s="13">
        <f>IF(OR($A5011="",AND($J5011="",$K5011="")),"",ROUND(N($J5011)-N($K5011),2))</f>
        <v/>
      </c>
      <c r="M5011" s="13">
        <f>IF(OR($A5011="",AND($J5011="",$K5011="")),"",MIN($J5011,$K5011))</f>
        <v/>
      </c>
      <c r="Q5011">
        <f>IF($A5011="","",$D5011&amp;"("&amp;SUBSTITUTE($E5011," ","")&amp;")")</f>
        <v/>
      </c>
      <c r="R5011">
        <f>IF($A5011="","",$B5011&amp;" - "&amp;$C5011)</f>
        <v/>
      </c>
      <c r="S5011">
        <f>IF($A5011="","",$R5011&amp;"|"&amp;$Q5011)</f>
        <v/>
      </c>
      <c r="T5011">
        <f>IF($A5011="","",$S5011&amp;"|"&amp;$F5011)</f>
        <v/>
      </c>
      <c r="U5011">
        <f>IF($A5011="","",$R5011&amp;"("&amp;$E5011&amp;")")</f>
        <v/>
      </c>
      <c r="V5011">
        <f>IF($A5011="","",$F5011&amp;"|"&amp;$U5011&amp;"|"&amp;$D5011)</f>
        <v/>
      </c>
      <c r="W5011">
        <f>IF($T5011="","",IF($X5011&gt;N($X5010),$X5011,""))</f>
        <v/>
      </c>
      <c r="X5011">
        <f>IF($T5011="",N($X5010),IF(MATCH($T5011,$T$6:$T$6005,0)=ROW()-5,N($X5010)+1,N($X5010)))</f>
        <v/>
      </c>
      <c r="Z5011">
        <f>IF($V5011="","",IF($AA5011&gt;N($AA5010),$AA5011,""))</f>
        <v/>
      </c>
      <c r="AA5011">
        <f>IF($V5011="",N($AA5010),IF(MATCH($V5011,$V$6:$V$6005,0)=ROW()-5,N($AA5010)+1,N($AA5010)))</f>
        <v/>
      </c>
    </row>
    <row r="5012" ht="21" customHeight="1" s="66">
      <c r="A5012" s="56" t="n"/>
      <c r="B5012" s="57" t="n"/>
      <c r="C5012" s="57" t="n"/>
      <c r="D5012" s="57" t="n"/>
      <c r="E5012" s="56" t="n"/>
      <c r="F5012" s="57" t="n"/>
      <c r="G5012" s="57" t="n"/>
      <c r="H5012" s="56" t="n"/>
      <c r="I5012" s="56" t="n"/>
      <c r="J5012" s="58" t="n"/>
      <c r="K5012" s="58" t="n"/>
      <c r="L5012" s="13">
        <f>IF(OR($A5012="",AND($J5012="",$K5012="")),"",ROUND(N($J5012)-N($K5012),2))</f>
        <v/>
      </c>
      <c r="M5012" s="13">
        <f>IF(OR($A5012="",AND($J5012="",$K5012="")),"",MIN($J5012,$K5012))</f>
        <v/>
      </c>
      <c r="Q5012">
        <f>IF($A5012="","",$D5012&amp;"("&amp;SUBSTITUTE($E5012," ","")&amp;")")</f>
        <v/>
      </c>
      <c r="R5012">
        <f>IF($A5012="","",$B5012&amp;" - "&amp;$C5012)</f>
        <v/>
      </c>
      <c r="S5012">
        <f>IF($A5012="","",$R5012&amp;"|"&amp;$Q5012)</f>
        <v/>
      </c>
      <c r="T5012">
        <f>IF($A5012="","",$S5012&amp;"|"&amp;$F5012)</f>
        <v/>
      </c>
      <c r="U5012">
        <f>IF($A5012="","",$R5012&amp;"("&amp;$E5012&amp;")")</f>
        <v/>
      </c>
      <c r="V5012">
        <f>IF($A5012="","",$F5012&amp;"|"&amp;$U5012&amp;"|"&amp;$D5012)</f>
        <v/>
      </c>
      <c r="W5012">
        <f>IF($T5012="","",IF($X5012&gt;N($X5011),$X5012,""))</f>
        <v/>
      </c>
      <c r="X5012">
        <f>IF($T5012="",N($X5011),IF(MATCH($T5012,$T$6:$T$6005,0)=ROW()-5,N($X5011)+1,N($X5011)))</f>
        <v/>
      </c>
      <c r="Z5012">
        <f>IF($V5012="","",IF($AA5012&gt;N($AA5011),$AA5012,""))</f>
        <v/>
      </c>
      <c r="AA5012">
        <f>IF($V5012="",N($AA5011),IF(MATCH($V5012,$V$6:$V$6005,0)=ROW()-5,N($AA5011)+1,N($AA5011)))</f>
        <v/>
      </c>
    </row>
    <row r="5013" ht="21" customHeight="1" s="66">
      <c r="A5013" s="56" t="n"/>
      <c r="B5013" s="57" t="n"/>
      <c r="C5013" s="57" t="n"/>
      <c r="D5013" s="57" t="n"/>
      <c r="E5013" s="56" t="n"/>
      <c r="F5013" s="57" t="n"/>
      <c r="G5013" s="57" t="n"/>
      <c r="H5013" s="56" t="n"/>
      <c r="I5013" s="56" t="n"/>
      <c r="J5013" s="58" t="n"/>
      <c r="K5013" s="58" t="n"/>
      <c r="L5013" s="13">
        <f>IF(OR($A5013="",AND($J5013="",$K5013="")),"",ROUND(N($J5013)-N($K5013),2))</f>
        <v/>
      </c>
      <c r="M5013" s="13">
        <f>IF(OR($A5013="",AND($J5013="",$K5013="")),"",MIN($J5013,$K5013))</f>
        <v/>
      </c>
      <c r="Q5013">
        <f>IF($A5013="","",$D5013&amp;"("&amp;SUBSTITUTE($E5013," ","")&amp;")")</f>
        <v/>
      </c>
      <c r="R5013">
        <f>IF($A5013="","",$B5013&amp;" - "&amp;$C5013)</f>
        <v/>
      </c>
      <c r="S5013">
        <f>IF($A5013="","",$R5013&amp;"|"&amp;$Q5013)</f>
        <v/>
      </c>
      <c r="T5013">
        <f>IF($A5013="","",$S5013&amp;"|"&amp;$F5013)</f>
        <v/>
      </c>
      <c r="U5013">
        <f>IF($A5013="","",$R5013&amp;"("&amp;$E5013&amp;")")</f>
        <v/>
      </c>
      <c r="V5013">
        <f>IF($A5013="","",$F5013&amp;"|"&amp;$U5013&amp;"|"&amp;$D5013)</f>
        <v/>
      </c>
      <c r="W5013">
        <f>IF($T5013="","",IF($X5013&gt;N($X5012),$X5013,""))</f>
        <v/>
      </c>
      <c r="X5013">
        <f>IF($T5013="",N($X5012),IF(MATCH($T5013,$T$6:$T$6005,0)=ROW()-5,N($X5012)+1,N($X5012)))</f>
        <v/>
      </c>
      <c r="Z5013">
        <f>IF($V5013="","",IF($AA5013&gt;N($AA5012),$AA5013,""))</f>
        <v/>
      </c>
      <c r="AA5013">
        <f>IF($V5013="",N($AA5012),IF(MATCH($V5013,$V$6:$V$6005,0)=ROW()-5,N($AA5012)+1,N($AA5012)))</f>
        <v/>
      </c>
    </row>
    <row r="5014" ht="21" customHeight="1" s="66">
      <c r="A5014" s="56" t="n"/>
      <c r="B5014" s="57" t="n"/>
      <c r="C5014" s="57" t="n"/>
      <c r="D5014" s="57" t="n"/>
      <c r="E5014" s="56" t="n"/>
      <c r="F5014" s="57" t="n"/>
      <c r="G5014" s="57" t="n"/>
      <c r="H5014" s="56" t="n"/>
      <c r="I5014" s="56" t="n"/>
      <c r="J5014" s="58" t="n"/>
      <c r="K5014" s="58" t="n"/>
      <c r="L5014" s="13">
        <f>IF(OR($A5014="",AND($J5014="",$K5014="")),"",ROUND(N($J5014)-N($K5014),2))</f>
        <v/>
      </c>
      <c r="M5014" s="13">
        <f>IF(OR($A5014="",AND($J5014="",$K5014="")),"",MIN($J5014,$K5014))</f>
        <v/>
      </c>
      <c r="Q5014">
        <f>IF($A5014="","",$D5014&amp;"("&amp;SUBSTITUTE($E5014," ","")&amp;")")</f>
        <v/>
      </c>
      <c r="R5014">
        <f>IF($A5014="","",$B5014&amp;" - "&amp;$C5014)</f>
        <v/>
      </c>
      <c r="S5014">
        <f>IF($A5014="","",$R5014&amp;"|"&amp;$Q5014)</f>
        <v/>
      </c>
      <c r="T5014">
        <f>IF($A5014="","",$S5014&amp;"|"&amp;$F5014)</f>
        <v/>
      </c>
      <c r="U5014">
        <f>IF($A5014="","",$R5014&amp;"("&amp;$E5014&amp;")")</f>
        <v/>
      </c>
      <c r="V5014">
        <f>IF($A5014="","",$F5014&amp;"|"&amp;$U5014&amp;"|"&amp;$D5014)</f>
        <v/>
      </c>
      <c r="W5014">
        <f>IF($T5014="","",IF($X5014&gt;N($X5013),$X5014,""))</f>
        <v/>
      </c>
      <c r="X5014">
        <f>IF($T5014="",N($X5013),IF(MATCH($T5014,$T$6:$T$6005,0)=ROW()-5,N($X5013)+1,N($X5013)))</f>
        <v/>
      </c>
      <c r="Z5014">
        <f>IF($V5014="","",IF($AA5014&gt;N($AA5013),$AA5014,""))</f>
        <v/>
      </c>
      <c r="AA5014">
        <f>IF($V5014="",N($AA5013),IF(MATCH($V5014,$V$6:$V$6005,0)=ROW()-5,N($AA5013)+1,N($AA5013)))</f>
        <v/>
      </c>
    </row>
    <row r="5015" ht="21" customHeight="1" s="66">
      <c r="A5015" s="56" t="n"/>
      <c r="B5015" s="57" t="n"/>
      <c r="C5015" s="57" t="n"/>
      <c r="D5015" s="57" t="n"/>
      <c r="E5015" s="56" t="n"/>
      <c r="F5015" s="57" t="n"/>
      <c r="G5015" s="57" t="n"/>
      <c r="H5015" s="56" t="n"/>
      <c r="I5015" s="56" t="n"/>
      <c r="J5015" s="58" t="n"/>
      <c r="K5015" s="58" t="n"/>
      <c r="L5015" s="13">
        <f>IF(OR($A5015="",AND($J5015="",$K5015="")),"",ROUND(N($J5015)-N($K5015),2))</f>
        <v/>
      </c>
      <c r="M5015" s="13">
        <f>IF(OR($A5015="",AND($J5015="",$K5015="")),"",MIN($J5015,$K5015))</f>
        <v/>
      </c>
      <c r="Q5015">
        <f>IF($A5015="","",$D5015&amp;"("&amp;SUBSTITUTE($E5015," ","")&amp;")")</f>
        <v/>
      </c>
      <c r="R5015">
        <f>IF($A5015="","",$B5015&amp;" - "&amp;$C5015)</f>
        <v/>
      </c>
      <c r="S5015">
        <f>IF($A5015="","",$R5015&amp;"|"&amp;$Q5015)</f>
        <v/>
      </c>
      <c r="T5015">
        <f>IF($A5015="","",$S5015&amp;"|"&amp;$F5015)</f>
        <v/>
      </c>
      <c r="U5015">
        <f>IF($A5015="","",$R5015&amp;"("&amp;$E5015&amp;")")</f>
        <v/>
      </c>
      <c r="V5015">
        <f>IF($A5015="","",$F5015&amp;"|"&amp;$U5015&amp;"|"&amp;$D5015)</f>
        <v/>
      </c>
      <c r="W5015">
        <f>IF($T5015="","",IF($X5015&gt;N($X5014),$X5015,""))</f>
        <v/>
      </c>
      <c r="X5015">
        <f>IF($T5015="",N($X5014),IF(MATCH($T5015,$T$6:$T$6005,0)=ROW()-5,N($X5014)+1,N($X5014)))</f>
        <v/>
      </c>
      <c r="Z5015">
        <f>IF($V5015="","",IF($AA5015&gt;N($AA5014),$AA5015,""))</f>
        <v/>
      </c>
      <c r="AA5015">
        <f>IF($V5015="",N($AA5014),IF(MATCH($V5015,$V$6:$V$6005,0)=ROW()-5,N($AA5014)+1,N($AA5014)))</f>
        <v/>
      </c>
    </row>
    <row r="5016" ht="21" customHeight="1" s="66">
      <c r="A5016" s="56" t="n"/>
      <c r="B5016" s="57" t="n"/>
      <c r="C5016" s="57" t="n"/>
      <c r="D5016" s="57" t="n"/>
      <c r="E5016" s="56" t="n"/>
      <c r="F5016" s="57" t="n"/>
      <c r="G5016" s="57" t="n"/>
      <c r="H5016" s="56" t="n"/>
      <c r="I5016" s="56" t="n"/>
      <c r="J5016" s="58" t="n"/>
      <c r="K5016" s="58" t="n"/>
      <c r="L5016" s="13">
        <f>IF(OR($A5016="",AND($J5016="",$K5016="")),"",ROUND(N($J5016)-N($K5016),2))</f>
        <v/>
      </c>
      <c r="M5016" s="13">
        <f>IF(OR($A5016="",AND($J5016="",$K5016="")),"",MIN($J5016,$K5016))</f>
        <v/>
      </c>
      <c r="Q5016">
        <f>IF($A5016="","",$D5016&amp;"("&amp;SUBSTITUTE($E5016," ","")&amp;")")</f>
        <v/>
      </c>
      <c r="R5016">
        <f>IF($A5016="","",$B5016&amp;" - "&amp;$C5016)</f>
        <v/>
      </c>
      <c r="S5016">
        <f>IF($A5016="","",$R5016&amp;"|"&amp;$Q5016)</f>
        <v/>
      </c>
      <c r="T5016">
        <f>IF($A5016="","",$S5016&amp;"|"&amp;$F5016)</f>
        <v/>
      </c>
      <c r="U5016">
        <f>IF($A5016="","",$R5016&amp;"("&amp;$E5016&amp;")")</f>
        <v/>
      </c>
      <c r="V5016">
        <f>IF($A5016="","",$F5016&amp;"|"&amp;$U5016&amp;"|"&amp;$D5016)</f>
        <v/>
      </c>
      <c r="W5016">
        <f>IF($T5016="","",IF($X5016&gt;N($X5015),$X5016,""))</f>
        <v/>
      </c>
      <c r="X5016">
        <f>IF($T5016="",N($X5015),IF(MATCH($T5016,$T$6:$T$6005,0)=ROW()-5,N($X5015)+1,N($X5015)))</f>
        <v/>
      </c>
      <c r="Z5016">
        <f>IF($V5016="","",IF($AA5016&gt;N($AA5015),$AA5016,""))</f>
        <v/>
      </c>
      <c r="AA5016">
        <f>IF($V5016="",N($AA5015),IF(MATCH($V5016,$V$6:$V$6005,0)=ROW()-5,N($AA5015)+1,N($AA5015)))</f>
        <v/>
      </c>
    </row>
    <row r="5017" ht="21" customHeight="1" s="66">
      <c r="A5017" s="56" t="n"/>
      <c r="B5017" s="57" t="n"/>
      <c r="C5017" s="57" t="n"/>
      <c r="D5017" s="57" t="n"/>
      <c r="E5017" s="56" t="n"/>
      <c r="F5017" s="57" t="n"/>
      <c r="G5017" s="57" t="n"/>
      <c r="H5017" s="56" t="n"/>
      <c r="I5017" s="56" t="n"/>
      <c r="J5017" s="58" t="n"/>
      <c r="K5017" s="58" t="n"/>
      <c r="L5017" s="13">
        <f>IF(OR($A5017="",AND($J5017="",$K5017="")),"",ROUND(N($J5017)-N($K5017),2))</f>
        <v/>
      </c>
      <c r="M5017" s="13">
        <f>IF(OR($A5017="",AND($J5017="",$K5017="")),"",MIN($J5017,$K5017))</f>
        <v/>
      </c>
      <c r="Q5017">
        <f>IF($A5017="","",$D5017&amp;"("&amp;SUBSTITUTE($E5017," ","")&amp;")")</f>
        <v/>
      </c>
      <c r="R5017">
        <f>IF($A5017="","",$B5017&amp;" - "&amp;$C5017)</f>
        <v/>
      </c>
      <c r="S5017">
        <f>IF($A5017="","",$R5017&amp;"|"&amp;$Q5017)</f>
        <v/>
      </c>
      <c r="T5017">
        <f>IF($A5017="","",$S5017&amp;"|"&amp;$F5017)</f>
        <v/>
      </c>
      <c r="U5017">
        <f>IF($A5017="","",$R5017&amp;"("&amp;$E5017&amp;")")</f>
        <v/>
      </c>
      <c r="V5017">
        <f>IF($A5017="","",$F5017&amp;"|"&amp;$U5017&amp;"|"&amp;$D5017)</f>
        <v/>
      </c>
      <c r="W5017">
        <f>IF($T5017="","",IF($X5017&gt;N($X5016),$X5017,""))</f>
        <v/>
      </c>
      <c r="X5017">
        <f>IF($T5017="",N($X5016),IF(MATCH($T5017,$T$6:$T$6005,0)=ROW()-5,N($X5016)+1,N($X5016)))</f>
        <v/>
      </c>
      <c r="Z5017">
        <f>IF($V5017="","",IF($AA5017&gt;N($AA5016),$AA5017,""))</f>
        <v/>
      </c>
      <c r="AA5017">
        <f>IF($V5017="",N($AA5016),IF(MATCH($V5017,$V$6:$V$6005,0)=ROW()-5,N($AA5016)+1,N($AA5016)))</f>
        <v/>
      </c>
    </row>
    <row r="5018" ht="21" customHeight="1" s="66">
      <c r="A5018" s="56" t="n"/>
      <c r="B5018" s="57" t="n"/>
      <c r="C5018" s="57" t="n"/>
      <c r="D5018" s="57" t="n"/>
      <c r="E5018" s="56" t="n"/>
      <c r="F5018" s="57" t="n"/>
      <c r="G5018" s="57" t="n"/>
      <c r="H5018" s="56" t="n"/>
      <c r="I5018" s="56" t="n"/>
      <c r="J5018" s="58" t="n"/>
      <c r="K5018" s="58" t="n"/>
      <c r="L5018" s="13">
        <f>IF(OR($A5018="",AND($J5018="",$K5018="")),"",ROUND(N($J5018)-N($K5018),2))</f>
        <v/>
      </c>
      <c r="M5018" s="13">
        <f>IF(OR($A5018="",AND($J5018="",$K5018="")),"",MIN($J5018,$K5018))</f>
        <v/>
      </c>
      <c r="Q5018">
        <f>IF($A5018="","",$D5018&amp;"("&amp;SUBSTITUTE($E5018," ","")&amp;")")</f>
        <v/>
      </c>
      <c r="R5018">
        <f>IF($A5018="","",$B5018&amp;" - "&amp;$C5018)</f>
        <v/>
      </c>
      <c r="S5018">
        <f>IF($A5018="","",$R5018&amp;"|"&amp;$Q5018)</f>
        <v/>
      </c>
      <c r="T5018">
        <f>IF($A5018="","",$S5018&amp;"|"&amp;$F5018)</f>
        <v/>
      </c>
      <c r="U5018">
        <f>IF($A5018="","",$R5018&amp;"("&amp;$E5018&amp;")")</f>
        <v/>
      </c>
      <c r="V5018">
        <f>IF($A5018="","",$F5018&amp;"|"&amp;$U5018&amp;"|"&amp;$D5018)</f>
        <v/>
      </c>
      <c r="W5018">
        <f>IF($T5018="","",IF($X5018&gt;N($X5017),$X5018,""))</f>
        <v/>
      </c>
      <c r="X5018">
        <f>IF($T5018="",N($X5017),IF(MATCH($T5018,$T$6:$T$6005,0)=ROW()-5,N($X5017)+1,N($X5017)))</f>
        <v/>
      </c>
      <c r="Z5018">
        <f>IF($V5018="","",IF($AA5018&gt;N($AA5017),$AA5018,""))</f>
        <v/>
      </c>
      <c r="AA5018">
        <f>IF($V5018="",N($AA5017),IF(MATCH($V5018,$V$6:$V$6005,0)=ROW()-5,N($AA5017)+1,N($AA5017)))</f>
        <v/>
      </c>
    </row>
    <row r="5019" ht="21" customHeight="1" s="66">
      <c r="A5019" s="56" t="n"/>
      <c r="B5019" s="57" t="n"/>
      <c r="C5019" s="57" t="n"/>
      <c r="D5019" s="57" t="n"/>
      <c r="E5019" s="56" t="n"/>
      <c r="F5019" s="57" t="n"/>
      <c r="G5019" s="57" t="n"/>
      <c r="H5019" s="56" t="n"/>
      <c r="I5019" s="56" t="n"/>
      <c r="J5019" s="58" t="n"/>
      <c r="K5019" s="58" t="n"/>
      <c r="L5019" s="13">
        <f>IF(OR($A5019="",AND($J5019="",$K5019="")),"",ROUND(N($J5019)-N($K5019),2))</f>
        <v/>
      </c>
      <c r="M5019" s="13">
        <f>IF(OR($A5019="",AND($J5019="",$K5019="")),"",MIN($J5019,$K5019))</f>
        <v/>
      </c>
      <c r="Q5019">
        <f>IF($A5019="","",$D5019&amp;"("&amp;SUBSTITUTE($E5019," ","")&amp;")")</f>
        <v/>
      </c>
      <c r="R5019">
        <f>IF($A5019="","",$B5019&amp;" - "&amp;$C5019)</f>
        <v/>
      </c>
      <c r="S5019">
        <f>IF($A5019="","",$R5019&amp;"|"&amp;$Q5019)</f>
        <v/>
      </c>
      <c r="T5019">
        <f>IF($A5019="","",$S5019&amp;"|"&amp;$F5019)</f>
        <v/>
      </c>
      <c r="U5019">
        <f>IF($A5019="","",$R5019&amp;"("&amp;$E5019&amp;")")</f>
        <v/>
      </c>
      <c r="V5019">
        <f>IF($A5019="","",$F5019&amp;"|"&amp;$U5019&amp;"|"&amp;$D5019)</f>
        <v/>
      </c>
      <c r="W5019">
        <f>IF($T5019="","",IF($X5019&gt;N($X5018),$X5019,""))</f>
        <v/>
      </c>
      <c r="X5019">
        <f>IF($T5019="",N($X5018),IF(MATCH($T5019,$T$6:$T$6005,0)=ROW()-5,N($X5018)+1,N($X5018)))</f>
        <v/>
      </c>
      <c r="Z5019">
        <f>IF($V5019="","",IF($AA5019&gt;N($AA5018),$AA5019,""))</f>
        <v/>
      </c>
      <c r="AA5019">
        <f>IF($V5019="",N($AA5018),IF(MATCH($V5019,$V$6:$V$6005,0)=ROW()-5,N($AA5018)+1,N($AA5018)))</f>
        <v/>
      </c>
    </row>
    <row r="5020" ht="21" customHeight="1" s="66">
      <c r="A5020" s="56" t="n"/>
      <c r="B5020" s="57" t="n"/>
      <c r="C5020" s="57" t="n"/>
      <c r="D5020" s="57" t="n"/>
      <c r="E5020" s="56" t="n"/>
      <c r="F5020" s="57" t="n"/>
      <c r="G5020" s="57" t="n"/>
      <c r="H5020" s="56" t="n"/>
      <c r="I5020" s="56" t="n"/>
      <c r="J5020" s="58" t="n"/>
      <c r="K5020" s="58" t="n"/>
      <c r="L5020" s="13">
        <f>IF(OR($A5020="",AND($J5020="",$K5020="")),"",ROUND(N($J5020)-N($K5020),2))</f>
        <v/>
      </c>
      <c r="M5020" s="13">
        <f>IF(OR($A5020="",AND($J5020="",$K5020="")),"",MIN($J5020,$K5020))</f>
        <v/>
      </c>
      <c r="Q5020">
        <f>IF($A5020="","",$D5020&amp;"("&amp;SUBSTITUTE($E5020," ","")&amp;")")</f>
        <v/>
      </c>
      <c r="R5020">
        <f>IF($A5020="","",$B5020&amp;" - "&amp;$C5020)</f>
        <v/>
      </c>
      <c r="S5020">
        <f>IF($A5020="","",$R5020&amp;"|"&amp;$Q5020)</f>
        <v/>
      </c>
      <c r="T5020">
        <f>IF($A5020="","",$S5020&amp;"|"&amp;$F5020)</f>
        <v/>
      </c>
      <c r="U5020">
        <f>IF($A5020="","",$R5020&amp;"("&amp;$E5020&amp;")")</f>
        <v/>
      </c>
      <c r="V5020">
        <f>IF($A5020="","",$F5020&amp;"|"&amp;$U5020&amp;"|"&amp;$D5020)</f>
        <v/>
      </c>
      <c r="W5020">
        <f>IF($T5020="","",IF($X5020&gt;N($X5019),$X5020,""))</f>
        <v/>
      </c>
      <c r="X5020">
        <f>IF($T5020="",N($X5019),IF(MATCH($T5020,$T$6:$T$6005,0)=ROW()-5,N($X5019)+1,N($X5019)))</f>
        <v/>
      </c>
      <c r="Z5020">
        <f>IF($V5020="","",IF($AA5020&gt;N($AA5019),$AA5020,""))</f>
        <v/>
      </c>
      <c r="AA5020">
        <f>IF($V5020="",N($AA5019),IF(MATCH($V5020,$V$6:$V$6005,0)=ROW()-5,N($AA5019)+1,N($AA5019)))</f>
        <v/>
      </c>
    </row>
    <row r="5021" ht="21" customHeight="1" s="66">
      <c r="A5021" s="56" t="n"/>
      <c r="B5021" s="57" t="n"/>
      <c r="C5021" s="57" t="n"/>
      <c r="D5021" s="57" t="n"/>
      <c r="E5021" s="56" t="n"/>
      <c r="F5021" s="57" t="n"/>
      <c r="G5021" s="57" t="n"/>
      <c r="H5021" s="56" t="n"/>
      <c r="I5021" s="56" t="n"/>
      <c r="J5021" s="58" t="n"/>
      <c r="K5021" s="58" t="n"/>
      <c r="L5021" s="13">
        <f>IF(OR($A5021="",AND($J5021="",$K5021="")),"",ROUND(N($J5021)-N($K5021),2))</f>
        <v/>
      </c>
      <c r="M5021" s="13">
        <f>IF(OR($A5021="",AND($J5021="",$K5021="")),"",MIN($J5021,$K5021))</f>
        <v/>
      </c>
      <c r="Q5021">
        <f>IF($A5021="","",$D5021&amp;"("&amp;SUBSTITUTE($E5021," ","")&amp;")")</f>
        <v/>
      </c>
      <c r="R5021">
        <f>IF($A5021="","",$B5021&amp;" - "&amp;$C5021)</f>
        <v/>
      </c>
      <c r="S5021">
        <f>IF($A5021="","",$R5021&amp;"|"&amp;$Q5021)</f>
        <v/>
      </c>
      <c r="T5021">
        <f>IF($A5021="","",$S5021&amp;"|"&amp;$F5021)</f>
        <v/>
      </c>
      <c r="U5021">
        <f>IF($A5021="","",$R5021&amp;"("&amp;$E5021&amp;")")</f>
        <v/>
      </c>
      <c r="V5021">
        <f>IF($A5021="","",$F5021&amp;"|"&amp;$U5021&amp;"|"&amp;$D5021)</f>
        <v/>
      </c>
      <c r="W5021">
        <f>IF($T5021="","",IF($X5021&gt;N($X5020),$X5021,""))</f>
        <v/>
      </c>
      <c r="X5021">
        <f>IF($T5021="",N($X5020),IF(MATCH($T5021,$T$6:$T$6005,0)=ROW()-5,N($X5020)+1,N($X5020)))</f>
        <v/>
      </c>
      <c r="Z5021">
        <f>IF($V5021="","",IF($AA5021&gt;N($AA5020),$AA5021,""))</f>
        <v/>
      </c>
      <c r="AA5021">
        <f>IF($V5021="",N($AA5020),IF(MATCH($V5021,$V$6:$V$6005,0)=ROW()-5,N($AA5020)+1,N($AA5020)))</f>
        <v/>
      </c>
    </row>
    <row r="5022" ht="21" customHeight="1" s="66">
      <c r="A5022" s="56" t="n"/>
      <c r="B5022" s="57" t="n"/>
      <c r="C5022" s="57" t="n"/>
      <c r="D5022" s="57" t="n"/>
      <c r="E5022" s="56" t="n"/>
      <c r="F5022" s="57" t="n"/>
      <c r="G5022" s="57" t="n"/>
      <c r="H5022" s="56" t="n"/>
      <c r="I5022" s="56" t="n"/>
      <c r="J5022" s="58" t="n"/>
      <c r="K5022" s="58" t="n"/>
      <c r="L5022" s="13">
        <f>IF(OR($A5022="",AND($J5022="",$K5022="")),"",ROUND(N($J5022)-N($K5022),2))</f>
        <v/>
      </c>
      <c r="M5022" s="13">
        <f>IF(OR($A5022="",AND($J5022="",$K5022="")),"",MIN($J5022,$K5022))</f>
        <v/>
      </c>
      <c r="Q5022">
        <f>IF($A5022="","",$D5022&amp;"("&amp;SUBSTITUTE($E5022," ","")&amp;")")</f>
        <v/>
      </c>
      <c r="R5022">
        <f>IF($A5022="","",$B5022&amp;" - "&amp;$C5022)</f>
        <v/>
      </c>
      <c r="S5022">
        <f>IF($A5022="","",$R5022&amp;"|"&amp;$Q5022)</f>
        <v/>
      </c>
      <c r="T5022">
        <f>IF($A5022="","",$S5022&amp;"|"&amp;$F5022)</f>
        <v/>
      </c>
      <c r="U5022">
        <f>IF($A5022="","",$R5022&amp;"("&amp;$E5022&amp;")")</f>
        <v/>
      </c>
      <c r="V5022">
        <f>IF($A5022="","",$F5022&amp;"|"&amp;$U5022&amp;"|"&amp;$D5022)</f>
        <v/>
      </c>
      <c r="W5022">
        <f>IF($T5022="","",IF($X5022&gt;N($X5021),$X5022,""))</f>
        <v/>
      </c>
      <c r="X5022">
        <f>IF($T5022="",N($X5021),IF(MATCH($T5022,$T$6:$T$6005,0)=ROW()-5,N($X5021)+1,N($X5021)))</f>
        <v/>
      </c>
      <c r="Z5022">
        <f>IF($V5022="","",IF($AA5022&gt;N($AA5021),$AA5022,""))</f>
        <v/>
      </c>
      <c r="AA5022">
        <f>IF($V5022="",N($AA5021),IF(MATCH($V5022,$V$6:$V$6005,0)=ROW()-5,N($AA5021)+1,N($AA5021)))</f>
        <v/>
      </c>
    </row>
    <row r="5023" ht="21" customHeight="1" s="66">
      <c r="A5023" s="56" t="n"/>
      <c r="B5023" s="57" t="n"/>
      <c r="C5023" s="57" t="n"/>
      <c r="D5023" s="57" t="n"/>
      <c r="E5023" s="56" t="n"/>
      <c r="F5023" s="57" t="n"/>
      <c r="G5023" s="57" t="n"/>
      <c r="H5023" s="56" t="n"/>
      <c r="I5023" s="56" t="n"/>
      <c r="J5023" s="58" t="n"/>
      <c r="K5023" s="58" t="n"/>
      <c r="L5023" s="13">
        <f>IF(OR($A5023="",AND($J5023="",$K5023="")),"",ROUND(N($J5023)-N($K5023),2))</f>
        <v/>
      </c>
      <c r="M5023" s="13">
        <f>IF(OR($A5023="",AND($J5023="",$K5023="")),"",MIN($J5023,$K5023))</f>
        <v/>
      </c>
      <c r="Q5023">
        <f>IF($A5023="","",$D5023&amp;"("&amp;SUBSTITUTE($E5023," ","")&amp;")")</f>
        <v/>
      </c>
      <c r="R5023">
        <f>IF($A5023="","",$B5023&amp;" - "&amp;$C5023)</f>
        <v/>
      </c>
      <c r="S5023">
        <f>IF($A5023="","",$R5023&amp;"|"&amp;$Q5023)</f>
        <v/>
      </c>
      <c r="T5023">
        <f>IF($A5023="","",$S5023&amp;"|"&amp;$F5023)</f>
        <v/>
      </c>
      <c r="U5023">
        <f>IF($A5023="","",$R5023&amp;"("&amp;$E5023&amp;")")</f>
        <v/>
      </c>
      <c r="V5023">
        <f>IF($A5023="","",$F5023&amp;"|"&amp;$U5023&amp;"|"&amp;$D5023)</f>
        <v/>
      </c>
      <c r="W5023">
        <f>IF($T5023="","",IF($X5023&gt;N($X5022),$X5023,""))</f>
        <v/>
      </c>
      <c r="X5023">
        <f>IF($T5023="",N($X5022),IF(MATCH($T5023,$T$6:$T$6005,0)=ROW()-5,N($X5022)+1,N($X5022)))</f>
        <v/>
      </c>
      <c r="Z5023">
        <f>IF($V5023="","",IF($AA5023&gt;N($AA5022),$AA5023,""))</f>
        <v/>
      </c>
      <c r="AA5023">
        <f>IF($V5023="",N($AA5022),IF(MATCH($V5023,$V$6:$V$6005,0)=ROW()-5,N($AA5022)+1,N($AA5022)))</f>
        <v/>
      </c>
    </row>
    <row r="5024" ht="21" customHeight="1" s="66">
      <c r="A5024" s="56" t="n"/>
      <c r="B5024" s="57" t="n"/>
      <c r="C5024" s="57" t="n"/>
      <c r="D5024" s="57" t="n"/>
      <c r="E5024" s="56" t="n"/>
      <c r="F5024" s="57" t="n"/>
      <c r="G5024" s="57" t="n"/>
      <c r="H5024" s="56" t="n"/>
      <c r="I5024" s="56" t="n"/>
      <c r="J5024" s="58" t="n"/>
      <c r="K5024" s="58" t="n"/>
      <c r="L5024" s="13">
        <f>IF(OR($A5024="",AND($J5024="",$K5024="")),"",ROUND(N($J5024)-N($K5024),2))</f>
        <v/>
      </c>
      <c r="M5024" s="13">
        <f>IF(OR($A5024="",AND($J5024="",$K5024="")),"",MIN($J5024,$K5024))</f>
        <v/>
      </c>
      <c r="Q5024">
        <f>IF($A5024="","",$D5024&amp;"("&amp;SUBSTITUTE($E5024," ","")&amp;")")</f>
        <v/>
      </c>
      <c r="R5024">
        <f>IF($A5024="","",$B5024&amp;" - "&amp;$C5024)</f>
        <v/>
      </c>
      <c r="S5024">
        <f>IF($A5024="","",$R5024&amp;"|"&amp;$Q5024)</f>
        <v/>
      </c>
      <c r="T5024">
        <f>IF($A5024="","",$S5024&amp;"|"&amp;$F5024)</f>
        <v/>
      </c>
      <c r="U5024">
        <f>IF($A5024="","",$R5024&amp;"("&amp;$E5024&amp;")")</f>
        <v/>
      </c>
      <c r="V5024">
        <f>IF($A5024="","",$F5024&amp;"|"&amp;$U5024&amp;"|"&amp;$D5024)</f>
        <v/>
      </c>
      <c r="W5024">
        <f>IF($T5024="","",IF($X5024&gt;N($X5023),$X5024,""))</f>
        <v/>
      </c>
      <c r="X5024">
        <f>IF($T5024="",N($X5023),IF(MATCH($T5024,$T$6:$T$6005,0)=ROW()-5,N($X5023)+1,N($X5023)))</f>
        <v/>
      </c>
      <c r="Z5024">
        <f>IF($V5024="","",IF($AA5024&gt;N($AA5023),$AA5024,""))</f>
        <v/>
      </c>
      <c r="AA5024">
        <f>IF($V5024="",N($AA5023),IF(MATCH($V5024,$V$6:$V$6005,0)=ROW()-5,N($AA5023)+1,N($AA5023)))</f>
        <v/>
      </c>
    </row>
    <row r="5025" ht="21" customHeight="1" s="66">
      <c r="A5025" s="56" t="n"/>
      <c r="B5025" s="57" t="n"/>
      <c r="C5025" s="57" t="n"/>
      <c r="D5025" s="57" t="n"/>
      <c r="E5025" s="56" t="n"/>
      <c r="F5025" s="57" t="n"/>
      <c r="G5025" s="57" t="n"/>
      <c r="H5025" s="56" t="n"/>
      <c r="I5025" s="56" t="n"/>
      <c r="J5025" s="58" t="n"/>
      <c r="K5025" s="58" t="n"/>
      <c r="L5025" s="13">
        <f>IF(OR($A5025="",AND($J5025="",$K5025="")),"",ROUND(N($J5025)-N($K5025),2))</f>
        <v/>
      </c>
      <c r="M5025" s="13">
        <f>IF(OR($A5025="",AND($J5025="",$K5025="")),"",MIN($J5025,$K5025))</f>
        <v/>
      </c>
      <c r="Q5025">
        <f>IF($A5025="","",$D5025&amp;"("&amp;SUBSTITUTE($E5025," ","")&amp;")")</f>
        <v/>
      </c>
      <c r="R5025">
        <f>IF($A5025="","",$B5025&amp;" - "&amp;$C5025)</f>
        <v/>
      </c>
      <c r="S5025">
        <f>IF($A5025="","",$R5025&amp;"|"&amp;$Q5025)</f>
        <v/>
      </c>
      <c r="T5025">
        <f>IF($A5025="","",$S5025&amp;"|"&amp;$F5025)</f>
        <v/>
      </c>
      <c r="U5025">
        <f>IF($A5025="","",$R5025&amp;"("&amp;$E5025&amp;")")</f>
        <v/>
      </c>
      <c r="V5025">
        <f>IF($A5025="","",$F5025&amp;"|"&amp;$U5025&amp;"|"&amp;$D5025)</f>
        <v/>
      </c>
      <c r="W5025">
        <f>IF($T5025="","",IF($X5025&gt;N($X5024),$X5025,""))</f>
        <v/>
      </c>
      <c r="X5025">
        <f>IF($T5025="",N($X5024),IF(MATCH($T5025,$T$6:$T$6005,0)=ROW()-5,N($X5024)+1,N($X5024)))</f>
        <v/>
      </c>
      <c r="Z5025">
        <f>IF($V5025="","",IF($AA5025&gt;N($AA5024),$AA5025,""))</f>
        <v/>
      </c>
      <c r="AA5025">
        <f>IF($V5025="",N($AA5024),IF(MATCH($V5025,$V$6:$V$6005,0)=ROW()-5,N($AA5024)+1,N($AA5024)))</f>
        <v/>
      </c>
    </row>
    <row r="5026" ht="21" customHeight="1" s="66">
      <c r="A5026" s="56" t="n"/>
      <c r="B5026" s="57" t="n"/>
      <c r="C5026" s="57" t="n"/>
      <c r="D5026" s="57" t="n"/>
      <c r="E5026" s="56" t="n"/>
      <c r="F5026" s="57" t="n"/>
      <c r="G5026" s="57" t="n"/>
      <c r="H5026" s="56" t="n"/>
      <c r="I5026" s="56" t="n"/>
      <c r="J5026" s="58" t="n"/>
      <c r="K5026" s="58" t="n"/>
      <c r="L5026" s="13">
        <f>IF(OR($A5026="",AND($J5026="",$K5026="")),"",ROUND(N($J5026)-N($K5026),2))</f>
        <v/>
      </c>
      <c r="M5026" s="13">
        <f>IF(OR($A5026="",AND($J5026="",$K5026="")),"",MIN($J5026,$K5026))</f>
        <v/>
      </c>
      <c r="Q5026">
        <f>IF($A5026="","",$D5026&amp;"("&amp;SUBSTITUTE($E5026," ","")&amp;")")</f>
        <v/>
      </c>
      <c r="R5026">
        <f>IF($A5026="","",$B5026&amp;" - "&amp;$C5026)</f>
        <v/>
      </c>
      <c r="S5026">
        <f>IF($A5026="","",$R5026&amp;"|"&amp;$Q5026)</f>
        <v/>
      </c>
      <c r="T5026">
        <f>IF($A5026="","",$S5026&amp;"|"&amp;$F5026)</f>
        <v/>
      </c>
      <c r="U5026">
        <f>IF($A5026="","",$R5026&amp;"("&amp;$E5026&amp;")")</f>
        <v/>
      </c>
      <c r="V5026">
        <f>IF($A5026="","",$F5026&amp;"|"&amp;$U5026&amp;"|"&amp;$D5026)</f>
        <v/>
      </c>
      <c r="W5026">
        <f>IF($T5026="","",IF($X5026&gt;N($X5025),$X5026,""))</f>
        <v/>
      </c>
      <c r="X5026">
        <f>IF($T5026="",N($X5025),IF(MATCH($T5026,$T$6:$T$6005,0)=ROW()-5,N($X5025)+1,N($X5025)))</f>
        <v/>
      </c>
      <c r="Z5026">
        <f>IF($V5026="","",IF($AA5026&gt;N($AA5025),$AA5026,""))</f>
        <v/>
      </c>
      <c r="AA5026">
        <f>IF($V5026="",N($AA5025),IF(MATCH($V5026,$V$6:$V$6005,0)=ROW()-5,N($AA5025)+1,N($AA5025)))</f>
        <v/>
      </c>
    </row>
    <row r="5027" ht="21" customHeight="1" s="66">
      <c r="A5027" s="56" t="n"/>
      <c r="B5027" s="57" t="n"/>
      <c r="C5027" s="57" t="n"/>
      <c r="D5027" s="57" t="n"/>
      <c r="E5027" s="56" t="n"/>
      <c r="F5027" s="57" t="n"/>
      <c r="G5027" s="57" t="n"/>
      <c r="H5027" s="56" t="n"/>
      <c r="I5027" s="56" t="n"/>
      <c r="J5027" s="58" t="n"/>
      <c r="K5027" s="58" t="n"/>
      <c r="L5027" s="13">
        <f>IF(OR($A5027="",AND($J5027="",$K5027="")),"",ROUND(N($J5027)-N($K5027),2))</f>
        <v/>
      </c>
      <c r="M5027" s="13">
        <f>IF(OR($A5027="",AND($J5027="",$K5027="")),"",MIN($J5027,$K5027))</f>
        <v/>
      </c>
      <c r="Q5027">
        <f>IF($A5027="","",$D5027&amp;"("&amp;SUBSTITUTE($E5027," ","")&amp;")")</f>
        <v/>
      </c>
      <c r="R5027">
        <f>IF($A5027="","",$B5027&amp;" - "&amp;$C5027)</f>
        <v/>
      </c>
      <c r="S5027">
        <f>IF($A5027="","",$R5027&amp;"|"&amp;$Q5027)</f>
        <v/>
      </c>
      <c r="T5027">
        <f>IF($A5027="","",$S5027&amp;"|"&amp;$F5027)</f>
        <v/>
      </c>
      <c r="U5027">
        <f>IF($A5027="","",$R5027&amp;"("&amp;$E5027&amp;")")</f>
        <v/>
      </c>
      <c r="V5027">
        <f>IF($A5027="","",$F5027&amp;"|"&amp;$U5027&amp;"|"&amp;$D5027)</f>
        <v/>
      </c>
      <c r="W5027">
        <f>IF($T5027="","",IF($X5027&gt;N($X5026),$X5027,""))</f>
        <v/>
      </c>
      <c r="X5027">
        <f>IF($T5027="",N($X5026),IF(MATCH($T5027,$T$6:$T$6005,0)=ROW()-5,N($X5026)+1,N($X5026)))</f>
        <v/>
      </c>
      <c r="Z5027">
        <f>IF($V5027="","",IF($AA5027&gt;N($AA5026),$AA5027,""))</f>
        <v/>
      </c>
      <c r="AA5027">
        <f>IF($V5027="",N($AA5026),IF(MATCH($V5027,$V$6:$V$6005,0)=ROW()-5,N($AA5026)+1,N($AA5026)))</f>
        <v/>
      </c>
    </row>
    <row r="5028" ht="21" customHeight="1" s="66">
      <c r="A5028" s="56" t="n"/>
      <c r="B5028" s="57" t="n"/>
      <c r="C5028" s="57" t="n"/>
      <c r="D5028" s="57" t="n"/>
      <c r="E5028" s="56" t="n"/>
      <c r="F5028" s="57" t="n"/>
      <c r="G5028" s="57" t="n"/>
      <c r="H5028" s="56" t="n"/>
      <c r="I5028" s="56" t="n"/>
      <c r="J5028" s="58" t="n"/>
      <c r="K5028" s="58" t="n"/>
      <c r="L5028" s="13">
        <f>IF(OR($A5028="",AND($J5028="",$K5028="")),"",ROUND(N($J5028)-N($K5028),2))</f>
        <v/>
      </c>
      <c r="M5028" s="13">
        <f>IF(OR($A5028="",AND($J5028="",$K5028="")),"",MIN($J5028,$K5028))</f>
        <v/>
      </c>
      <c r="Q5028">
        <f>IF($A5028="","",$D5028&amp;"("&amp;SUBSTITUTE($E5028," ","")&amp;")")</f>
        <v/>
      </c>
      <c r="R5028">
        <f>IF($A5028="","",$B5028&amp;" - "&amp;$C5028)</f>
        <v/>
      </c>
      <c r="S5028">
        <f>IF($A5028="","",$R5028&amp;"|"&amp;$Q5028)</f>
        <v/>
      </c>
      <c r="T5028">
        <f>IF($A5028="","",$S5028&amp;"|"&amp;$F5028)</f>
        <v/>
      </c>
      <c r="U5028">
        <f>IF($A5028="","",$R5028&amp;"("&amp;$E5028&amp;")")</f>
        <v/>
      </c>
      <c r="V5028">
        <f>IF($A5028="","",$F5028&amp;"|"&amp;$U5028&amp;"|"&amp;$D5028)</f>
        <v/>
      </c>
      <c r="W5028">
        <f>IF($T5028="","",IF($X5028&gt;N($X5027),$X5028,""))</f>
        <v/>
      </c>
      <c r="X5028">
        <f>IF($T5028="",N($X5027),IF(MATCH($T5028,$T$6:$T$6005,0)=ROW()-5,N($X5027)+1,N($X5027)))</f>
        <v/>
      </c>
      <c r="Z5028">
        <f>IF($V5028="","",IF($AA5028&gt;N($AA5027),$AA5028,""))</f>
        <v/>
      </c>
      <c r="AA5028">
        <f>IF($V5028="",N($AA5027),IF(MATCH($V5028,$V$6:$V$6005,0)=ROW()-5,N($AA5027)+1,N($AA5027)))</f>
        <v/>
      </c>
    </row>
    <row r="5029" ht="21" customHeight="1" s="66">
      <c r="A5029" s="56" t="n"/>
      <c r="B5029" s="57" t="n"/>
      <c r="C5029" s="57" t="n"/>
      <c r="D5029" s="57" t="n"/>
      <c r="E5029" s="56" t="n"/>
      <c r="F5029" s="57" t="n"/>
      <c r="G5029" s="57" t="n"/>
      <c r="H5029" s="56" t="n"/>
      <c r="I5029" s="56" t="n"/>
      <c r="J5029" s="58" t="n"/>
      <c r="K5029" s="58" t="n"/>
      <c r="L5029" s="13">
        <f>IF(OR($A5029="",AND($J5029="",$K5029="")),"",ROUND(N($J5029)-N($K5029),2))</f>
        <v/>
      </c>
      <c r="M5029" s="13">
        <f>IF(OR($A5029="",AND($J5029="",$K5029="")),"",MIN($J5029,$K5029))</f>
        <v/>
      </c>
      <c r="Q5029">
        <f>IF($A5029="","",$D5029&amp;"("&amp;SUBSTITUTE($E5029," ","")&amp;")")</f>
        <v/>
      </c>
      <c r="R5029">
        <f>IF($A5029="","",$B5029&amp;" - "&amp;$C5029)</f>
        <v/>
      </c>
      <c r="S5029">
        <f>IF($A5029="","",$R5029&amp;"|"&amp;$Q5029)</f>
        <v/>
      </c>
      <c r="T5029">
        <f>IF($A5029="","",$S5029&amp;"|"&amp;$F5029)</f>
        <v/>
      </c>
      <c r="U5029">
        <f>IF($A5029="","",$R5029&amp;"("&amp;$E5029&amp;")")</f>
        <v/>
      </c>
      <c r="V5029">
        <f>IF($A5029="","",$F5029&amp;"|"&amp;$U5029&amp;"|"&amp;$D5029)</f>
        <v/>
      </c>
      <c r="W5029">
        <f>IF($T5029="","",IF($X5029&gt;N($X5028),$X5029,""))</f>
        <v/>
      </c>
      <c r="X5029">
        <f>IF($T5029="",N($X5028),IF(MATCH($T5029,$T$6:$T$6005,0)=ROW()-5,N($X5028)+1,N($X5028)))</f>
        <v/>
      </c>
      <c r="Z5029">
        <f>IF($V5029="","",IF($AA5029&gt;N($AA5028),$AA5029,""))</f>
        <v/>
      </c>
      <c r="AA5029">
        <f>IF($V5029="",N($AA5028),IF(MATCH($V5029,$V$6:$V$6005,0)=ROW()-5,N($AA5028)+1,N($AA5028)))</f>
        <v/>
      </c>
    </row>
    <row r="5030" ht="21" customHeight="1" s="66">
      <c r="A5030" s="56" t="n"/>
      <c r="B5030" s="57" t="n"/>
      <c r="C5030" s="57" t="n"/>
      <c r="D5030" s="57" t="n"/>
      <c r="E5030" s="56" t="n"/>
      <c r="F5030" s="57" t="n"/>
      <c r="G5030" s="57" t="n"/>
      <c r="H5030" s="56" t="n"/>
      <c r="I5030" s="56" t="n"/>
      <c r="J5030" s="58" t="n"/>
      <c r="K5030" s="58" t="n"/>
      <c r="L5030" s="13">
        <f>IF(OR($A5030="",AND($J5030="",$K5030="")),"",ROUND(N($J5030)-N($K5030),2))</f>
        <v/>
      </c>
      <c r="M5030" s="13">
        <f>IF(OR($A5030="",AND($J5030="",$K5030="")),"",MIN($J5030,$K5030))</f>
        <v/>
      </c>
      <c r="Q5030">
        <f>IF($A5030="","",$D5030&amp;"("&amp;SUBSTITUTE($E5030," ","")&amp;")")</f>
        <v/>
      </c>
      <c r="R5030">
        <f>IF($A5030="","",$B5030&amp;" - "&amp;$C5030)</f>
        <v/>
      </c>
      <c r="S5030">
        <f>IF($A5030="","",$R5030&amp;"|"&amp;$Q5030)</f>
        <v/>
      </c>
      <c r="T5030">
        <f>IF($A5030="","",$S5030&amp;"|"&amp;$F5030)</f>
        <v/>
      </c>
      <c r="U5030">
        <f>IF($A5030="","",$R5030&amp;"("&amp;$E5030&amp;")")</f>
        <v/>
      </c>
      <c r="V5030">
        <f>IF($A5030="","",$F5030&amp;"|"&amp;$U5030&amp;"|"&amp;$D5030)</f>
        <v/>
      </c>
      <c r="W5030">
        <f>IF($T5030="","",IF($X5030&gt;N($X5029),$X5030,""))</f>
        <v/>
      </c>
      <c r="X5030">
        <f>IF($T5030="",N($X5029),IF(MATCH($T5030,$T$6:$T$6005,0)=ROW()-5,N($X5029)+1,N($X5029)))</f>
        <v/>
      </c>
      <c r="Z5030">
        <f>IF($V5030="","",IF($AA5030&gt;N($AA5029),$AA5030,""))</f>
        <v/>
      </c>
      <c r="AA5030">
        <f>IF($V5030="",N($AA5029),IF(MATCH($V5030,$V$6:$V$6005,0)=ROW()-5,N($AA5029)+1,N($AA5029)))</f>
        <v/>
      </c>
    </row>
    <row r="5031" ht="21" customHeight="1" s="66">
      <c r="A5031" s="56" t="n"/>
      <c r="B5031" s="57" t="n"/>
      <c r="C5031" s="57" t="n"/>
      <c r="D5031" s="57" t="n"/>
      <c r="E5031" s="56" t="n"/>
      <c r="F5031" s="57" t="n"/>
      <c r="G5031" s="57" t="n"/>
      <c r="H5031" s="56" t="n"/>
      <c r="I5031" s="56" t="n"/>
      <c r="J5031" s="58" t="n"/>
      <c r="K5031" s="58" t="n"/>
      <c r="L5031" s="13">
        <f>IF(OR($A5031="",AND($J5031="",$K5031="")),"",ROUND(N($J5031)-N($K5031),2))</f>
        <v/>
      </c>
      <c r="M5031" s="13">
        <f>IF(OR($A5031="",AND($J5031="",$K5031="")),"",MIN($J5031,$K5031))</f>
        <v/>
      </c>
      <c r="Q5031">
        <f>IF($A5031="","",$D5031&amp;"("&amp;SUBSTITUTE($E5031," ","")&amp;")")</f>
        <v/>
      </c>
      <c r="R5031">
        <f>IF($A5031="","",$B5031&amp;" - "&amp;$C5031)</f>
        <v/>
      </c>
      <c r="S5031">
        <f>IF($A5031="","",$R5031&amp;"|"&amp;$Q5031)</f>
        <v/>
      </c>
      <c r="T5031">
        <f>IF($A5031="","",$S5031&amp;"|"&amp;$F5031)</f>
        <v/>
      </c>
      <c r="U5031">
        <f>IF($A5031="","",$R5031&amp;"("&amp;$E5031&amp;")")</f>
        <v/>
      </c>
      <c r="V5031">
        <f>IF($A5031="","",$F5031&amp;"|"&amp;$U5031&amp;"|"&amp;$D5031)</f>
        <v/>
      </c>
      <c r="W5031">
        <f>IF($T5031="","",IF($X5031&gt;N($X5030),$X5031,""))</f>
        <v/>
      </c>
      <c r="X5031">
        <f>IF($T5031="",N($X5030),IF(MATCH($T5031,$T$6:$T$6005,0)=ROW()-5,N($X5030)+1,N($X5030)))</f>
        <v/>
      </c>
      <c r="Z5031">
        <f>IF($V5031="","",IF($AA5031&gt;N($AA5030),$AA5031,""))</f>
        <v/>
      </c>
      <c r="AA5031">
        <f>IF($V5031="",N($AA5030),IF(MATCH($V5031,$V$6:$V$6005,0)=ROW()-5,N($AA5030)+1,N($AA5030)))</f>
        <v/>
      </c>
    </row>
    <row r="5032" ht="21" customHeight="1" s="66">
      <c r="A5032" s="56" t="n"/>
      <c r="B5032" s="57" t="n"/>
      <c r="C5032" s="57" t="n"/>
      <c r="D5032" s="57" t="n"/>
      <c r="E5032" s="56" t="n"/>
      <c r="F5032" s="57" t="n"/>
      <c r="G5032" s="57" t="n"/>
      <c r="H5032" s="56" t="n"/>
      <c r="I5032" s="56" t="n"/>
      <c r="J5032" s="58" t="n"/>
      <c r="K5032" s="58" t="n"/>
      <c r="L5032" s="13">
        <f>IF(OR($A5032="",AND($J5032="",$K5032="")),"",ROUND(N($J5032)-N($K5032),2))</f>
        <v/>
      </c>
      <c r="M5032" s="13">
        <f>IF(OR($A5032="",AND($J5032="",$K5032="")),"",MIN($J5032,$K5032))</f>
        <v/>
      </c>
      <c r="Q5032">
        <f>IF($A5032="","",$D5032&amp;"("&amp;SUBSTITUTE($E5032," ","")&amp;")")</f>
        <v/>
      </c>
      <c r="R5032">
        <f>IF($A5032="","",$B5032&amp;" - "&amp;$C5032)</f>
        <v/>
      </c>
      <c r="S5032">
        <f>IF($A5032="","",$R5032&amp;"|"&amp;$Q5032)</f>
        <v/>
      </c>
      <c r="T5032">
        <f>IF($A5032="","",$S5032&amp;"|"&amp;$F5032)</f>
        <v/>
      </c>
      <c r="U5032">
        <f>IF($A5032="","",$R5032&amp;"("&amp;$E5032&amp;")")</f>
        <v/>
      </c>
      <c r="V5032">
        <f>IF($A5032="","",$F5032&amp;"|"&amp;$U5032&amp;"|"&amp;$D5032)</f>
        <v/>
      </c>
      <c r="W5032">
        <f>IF($T5032="","",IF($X5032&gt;N($X5031),$X5032,""))</f>
        <v/>
      </c>
      <c r="X5032">
        <f>IF($T5032="",N($X5031),IF(MATCH($T5032,$T$6:$T$6005,0)=ROW()-5,N($X5031)+1,N($X5031)))</f>
        <v/>
      </c>
      <c r="Z5032">
        <f>IF($V5032="","",IF($AA5032&gt;N($AA5031),$AA5032,""))</f>
        <v/>
      </c>
      <c r="AA5032">
        <f>IF($V5032="",N($AA5031),IF(MATCH($V5032,$V$6:$V$6005,0)=ROW()-5,N($AA5031)+1,N($AA5031)))</f>
        <v/>
      </c>
    </row>
    <row r="5033" ht="21" customHeight="1" s="66">
      <c r="A5033" s="56" t="n"/>
      <c r="B5033" s="57" t="n"/>
      <c r="C5033" s="57" t="n"/>
      <c r="D5033" s="57" t="n"/>
      <c r="E5033" s="56" t="n"/>
      <c r="F5033" s="57" t="n"/>
      <c r="G5033" s="57" t="n"/>
      <c r="H5033" s="56" t="n"/>
      <c r="I5033" s="56" t="n"/>
      <c r="J5033" s="58" t="n"/>
      <c r="K5033" s="58" t="n"/>
      <c r="L5033" s="13">
        <f>IF(OR($A5033="",AND($J5033="",$K5033="")),"",ROUND(N($J5033)-N($K5033),2))</f>
        <v/>
      </c>
      <c r="M5033" s="13">
        <f>IF(OR($A5033="",AND($J5033="",$K5033="")),"",MIN($J5033,$K5033))</f>
        <v/>
      </c>
      <c r="Q5033">
        <f>IF($A5033="","",$D5033&amp;"("&amp;SUBSTITUTE($E5033," ","")&amp;")")</f>
        <v/>
      </c>
      <c r="R5033">
        <f>IF($A5033="","",$B5033&amp;" - "&amp;$C5033)</f>
        <v/>
      </c>
      <c r="S5033">
        <f>IF($A5033="","",$R5033&amp;"|"&amp;$Q5033)</f>
        <v/>
      </c>
      <c r="T5033">
        <f>IF($A5033="","",$S5033&amp;"|"&amp;$F5033)</f>
        <v/>
      </c>
      <c r="U5033">
        <f>IF($A5033="","",$R5033&amp;"("&amp;$E5033&amp;")")</f>
        <v/>
      </c>
      <c r="V5033">
        <f>IF($A5033="","",$F5033&amp;"|"&amp;$U5033&amp;"|"&amp;$D5033)</f>
        <v/>
      </c>
      <c r="W5033">
        <f>IF($T5033="","",IF($X5033&gt;N($X5032),$X5033,""))</f>
        <v/>
      </c>
      <c r="X5033">
        <f>IF($T5033="",N($X5032),IF(MATCH($T5033,$T$6:$T$6005,0)=ROW()-5,N($X5032)+1,N($X5032)))</f>
        <v/>
      </c>
      <c r="Z5033">
        <f>IF($V5033="","",IF($AA5033&gt;N($AA5032),$AA5033,""))</f>
        <v/>
      </c>
      <c r="AA5033">
        <f>IF($V5033="",N($AA5032),IF(MATCH($V5033,$V$6:$V$6005,0)=ROW()-5,N($AA5032)+1,N($AA5032)))</f>
        <v/>
      </c>
    </row>
    <row r="5034" ht="21" customHeight="1" s="66">
      <c r="A5034" s="56" t="n"/>
      <c r="B5034" s="57" t="n"/>
      <c r="C5034" s="57" t="n"/>
      <c r="D5034" s="57" t="n"/>
      <c r="E5034" s="56" t="n"/>
      <c r="F5034" s="57" t="n"/>
      <c r="G5034" s="57" t="n"/>
      <c r="H5034" s="56" t="n"/>
      <c r="I5034" s="56" t="n"/>
      <c r="J5034" s="58" t="n"/>
      <c r="K5034" s="58" t="n"/>
      <c r="L5034" s="13">
        <f>IF(OR($A5034="",AND($J5034="",$K5034="")),"",ROUND(N($J5034)-N($K5034),2))</f>
        <v/>
      </c>
      <c r="M5034" s="13">
        <f>IF(OR($A5034="",AND($J5034="",$K5034="")),"",MIN($J5034,$K5034))</f>
        <v/>
      </c>
      <c r="Q5034">
        <f>IF($A5034="","",$D5034&amp;"("&amp;SUBSTITUTE($E5034," ","")&amp;")")</f>
        <v/>
      </c>
      <c r="R5034">
        <f>IF($A5034="","",$B5034&amp;" - "&amp;$C5034)</f>
        <v/>
      </c>
      <c r="S5034">
        <f>IF($A5034="","",$R5034&amp;"|"&amp;$Q5034)</f>
        <v/>
      </c>
      <c r="T5034">
        <f>IF($A5034="","",$S5034&amp;"|"&amp;$F5034)</f>
        <v/>
      </c>
      <c r="U5034">
        <f>IF($A5034="","",$R5034&amp;"("&amp;$E5034&amp;")")</f>
        <v/>
      </c>
      <c r="V5034">
        <f>IF($A5034="","",$F5034&amp;"|"&amp;$U5034&amp;"|"&amp;$D5034)</f>
        <v/>
      </c>
      <c r="W5034">
        <f>IF($T5034="","",IF($X5034&gt;N($X5033),$X5034,""))</f>
        <v/>
      </c>
      <c r="X5034">
        <f>IF($T5034="",N($X5033),IF(MATCH($T5034,$T$6:$T$6005,0)=ROW()-5,N($X5033)+1,N($X5033)))</f>
        <v/>
      </c>
      <c r="Z5034">
        <f>IF($V5034="","",IF($AA5034&gt;N($AA5033),$AA5034,""))</f>
        <v/>
      </c>
      <c r="AA5034">
        <f>IF($V5034="",N($AA5033),IF(MATCH($V5034,$V$6:$V$6005,0)=ROW()-5,N($AA5033)+1,N($AA5033)))</f>
        <v/>
      </c>
    </row>
    <row r="5035" ht="21" customHeight="1" s="66">
      <c r="A5035" s="56" t="n"/>
      <c r="B5035" s="57" t="n"/>
      <c r="C5035" s="57" t="n"/>
      <c r="D5035" s="57" t="n"/>
      <c r="E5035" s="56" t="n"/>
      <c r="F5035" s="57" t="n"/>
      <c r="G5035" s="57" t="n"/>
      <c r="H5035" s="56" t="n"/>
      <c r="I5035" s="56" t="n"/>
      <c r="J5035" s="58" t="n"/>
      <c r="K5035" s="58" t="n"/>
      <c r="L5035" s="13">
        <f>IF(OR($A5035="",AND($J5035="",$K5035="")),"",ROUND(N($J5035)-N($K5035),2))</f>
        <v/>
      </c>
      <c r="M5035" s="13">
        <f>IF(OR($A5035="",AND($J5035="",$K5035="")),"",MIN($J5035,$K5035))</f>
        <v/>
      </c>
      <c r="Q5035">
        <f>IF($A5035="","",$D5035&amp;"("&amp;SUBSTITUTE($E5035," ","")&amp;")")</f>
        <v/>
      </c>
      <c r="R5035">
        <f>IF($A5035="","",$B5035&amp;" - "&amp;$C5035)</f>
        <v/>
      </c>
      <c r="S5035">
        <f>IF($A5035="","",$R5035&amp;"|"&amp;$Q5035)</f>
        <v/>
      </c>
      <c r="T5035">
        <f>IF($A5035="","",$S5035&amp;"|"&amp;$F5035)</f>
        <v/>
      </c>
      <c r="U5035">
        <f>IF($A5035="","",$R5035&amp;"("&amp;$E5035&amp;")")</f>
        <v/>
      </c>
      <c r="V5035">
        <f>IF($A5035="","",$F5035&amp;"|"&amp;$U5035&amp;"|"&amp;$D5035)</f>
        <v/>
      </c>
      <c r="W5035">
        <f>IF($T5035="","",IF($X5035&gt;N($X5034),$X5035,""))</f>
        <v/>
      </c>
      <c r="X5035">
        <f>IF($T5035="",N($X5034),IF(MATCH($T5035,$T$6:$T$6005,0)=ROW()-5,N($X5034)+1,N($X5034)))</f>
        <v/>
      </c>
      <c r="Z5035">
        <f>IF($V5035="","",IF($AA5035&gt;N($AA5034),$AA5035,""))</f>
        <v/>
      </c>
      <c r="AA5035">
        <f>IF($V5035="",N($AA5034),IF(MATCH($V5035,$V$6:$V$6005,0)=ROW()-5,N($AA5034)+1,N($AA5034)))</f>
        <v/>
      </c>
    </row>
    <row r="5036" ht="21" customHeight="1" s="66">
      <c r="A5036" s="56" t="n"/>
      <c r="B5036" s="57" t="n"/>
      <c r="C5036" s="57" t="n"/>
      <c r="D5036" s="57" t="n"/>
      <c r="E5036" s="56" t="n"/>
      <c r="F5036" s="57" t="n"/>
      <c r="G5036" s="57" t="n"/>
      <c r="H5036" s="56" t="n"/>
      <c r="I5036" s="56" t="n"/>
      <c r="J5036" s="58" t="n"/>
      <c r="K5036" s="58" t="n"/>
      <c r="L5036" s="13">
        <f>IF(OR($A5036="",AND($J5036="",$K5036="")),"",ROUND(N($J5036)-N($K5036),2))</f>
        <v/>
      </c>
      <c r="M5036" s="13">
        <f>IF(OR($A5036="",AND($J5036="",$K5036="")),"",MIN($J5036,$K5036))</f>
        <v/>
      </c>
      <c r="Q5036">
        <f>IF($A5036="","",$D5036&amp;"("&amp;SUBSTITUTE($E5036," ","")&amp;")")</f>
        <v/>
      </c>
      <c r="R5036">
        <f>IF($A5036="","",$B5036&amp;" - "&amp;$C5036)</f>
        <v/>
      </c>
      <c r="S5036">
        <f>IF($A5036="","",$R5036&amp;"|"&amp;$Q5036)</f>
        <v/>
      </c>
      <c r="T5036">
        <f>IF($A5036="","",$S5036&amp;"|"&amp;$F5036)</f>
        <v/>
      </c>
      <c r="U5036">
        <f>IF($A5036="","",$R5036&amp;"("&amp;$E5036&amp;")")</f>
        <v/>
      </c>
      <c r="V5036">
        <f>IF($A5036="","",$F5036&amp;"|"&amp;$U5036&amp;"|"&amp;$D5036)</f>
        <v/>
      </c>
      <c r="W5036">
        <f>IF($T5036="","",IF($X5036&gt;N($X5035),$X5036,""))</f>
        <v/>
      </c>
      <c r="X5036">
        <f>IF($T5036="",N($X5035),IF(MATCH($T5036,$T$6:$T$6005,0)=ROW()-5,N($X5035)+1,N($X5035)))</f>
        <v/>
      </c>
      <c r="Z5036">
        <f>IF($V5036="","",IF($AA5036&gt;N($AA5035),$AA5036,""))</f>
        <v/>
      </c>
      <c r="AA5036">
        <f>IF($V5036="",N($AA5035),IF(MATCH($V5036,$V$6:$V$6005,0)=ROW()-5,N($AA5035)+1,N($AA5035)))</f>
        <v/>
      </c>
    </row>
    <row r="5037" ht="21" customHeight="1" s="66">
      <c r="A5037" s="56" t="n"/>
      <c r="B5037" s="57" t="n"/>
      <c r="C5037" s="57" t="n"/>
      <c r="D5037" s="57" t="n"/>
      <c r="E5037" s="56" t="n"/>
      <c r="F5037" s="57" t="n"/>
      <c r="G5037" s="57" t="n"/>
      <c r="H5037" s="56" t="n"/>
      <c r="I5037" s="56" t="n"/>
      <c r="J5037" s="58" t="n"/>
      <c r="K5037" s="58" t="n"/>
      <c r="L5037" s="13">
        <f>IF(OR($A5037="",AND($J5037="",$K5037="")),"",ROUND(N($J5037)-N($K5037),2))</f>
        <v/>
      </c>
      <c r="M5037" s="13">
        <f>IF(OR($A5037="",AND($J5037="",$K5037="")),"",MIN($J5037,$K5037))</f>
        <v/>
      </c>
      <c r="Q5037">
        <f>IF($A5037="","",$D5037&amp;"("&amp;SUBSTITUTE($E5037," ","")&amp;")")</f>
        <v/>
      </c>
      <c r="R5037">
        <f>IF($A5037="","",$B5037&amp;" - "&amp;$C5037)</f>
        <v/>
      </c>
      <c r="S5037">
        <f>IF($A5037="","",$R5037&amp;"|"&amp;$Q5037)</f>
        <v/>
      </c>
      <c r="T5037">
        <f>IF($A5037="","",$S5037&amp;"|"&amp;$F5037)</f>
        <v/>
      </c>
      <c r="U5037">
        <f>IF($A5037="","",$R5037&amp;"("&amp;$E5037&amp;")")</f>
        <v/>
      </c>
      <c r="V5037">
        <f>IF($A5037="","",$F5037&amp;"|"&amp;$U5037&amp;"|"&amp;$D5037)</f>
        <v/>
      </c>
      <c r="W5037">
        <f>IF($T5037="","",IF($X5037&gt;N($X5036),$X5037,""))</f>
        <v/>
      </c>
      <c r="X5037">
        <f>IF($T5037="",N($X5036),IF(MATCH($T5037,$T$6:$T$6005,0)=ROW()-5,N($X5036)+1,N($X5036)))</f>
        <v/>
      </c>
      <c r="Z5037">
        <f>IF($V5037="","",IF($AA5037&gt;N($AA5036),$AA5037,""))</f>
        <v/>
      </c>
      <c r="AA5037">
        <f>IF($V5037="",N($AA5036),IF(MATCH($V5037,$V$6:$V$6005,0)=ROW()-5,N($AA5036)+1,N($AA5036)))</f>
        <v/>
      </c>
    </row>
    <row r="5038" ht="21" customHeight="1" s="66">
      <c r="A5038" s="56" t="n"/>
      <c r="B5038" s="57" t="n"/>
      <c r="C5038" s="57" t="n"/>
      <c r="D5038" s="57" t="n"/>
      <c r="E5038" s="56" t="n"/>
      <c r="F5038" s="57" t="n"/>
      <c r="G5038" s="57" t="n"/>
      <c r="H5038" s="56" t="n"/>
      <c r="I5038" s="56" t="n"/>
      <c r="J5038" s="58" t="n"/>
      <c r="K5038" s="58" t="n"/>
      <c r="L5038" s="13">
        <f>IF(OR($A5038="",AND($J5038="",$K5038="")),"",ROUND(N($J5038)-N($K5038),2))</f>
        <v/>
      </c>
      <c r="M5038" s="13">
        <f>IF(OR($A5038="",AND($J5038="",$K5038="")),"",MIN($J5038,$K5038))</f>
        <v/>
      </c>
      <c r="Q5038">
        <f>IF($A5038="","",$D5038&amp;"("&amp;SUBSTITUTE($E5038," ","")&amp;")")</f>
        <v/>
      </c>
      <c r="R5038">
        <f>IF($A5038="","",$B5038&amp;" - "&amp;$C5038)</f>
        <v/>
      </c>
      <c r="S5038">
        <f>IF($A5038="","",$R5038&amp;"|"&amp;$Q5038)</f>
        <v/>
      </c>
      <c r="T5038">
        <f>IF($A5038="","",$S5038&amp;"|"&amp;$F5038)</f>
        <v/>
      </c>
      <c r="U5038">
        <f>IF($A5038="","",$R5038&amp;"("&amp;$E5038&amp;")")</f>
        <v/>
      </c>
      <c r="V5038">
        <f>IF($A5038="","",$F5038&amp;"|"&amp;$U5038&amp;"|"&amp;$D5038)</f>
        <v/>
      </c>
      <c r="W5038">
        <f>IF($T5038="","",IF($X5038&gt;N($X5037),$X5038,""))</f>
        <v/>
      </c>
      <c r="X5038">
        <f>IF($T5038="",N($X5037),IF(MATCH($T5038,$T$6:$T$6005,0)=ROW()-5,N($X5037)+1,N($X5037)))</f>
        <v/>
      </c>
      <c r="Z5038">
        <f>IF($V5038="","",IF($AA5038&gt;N($AA5037),$AA5038,""))</f>
        <v/>
      </c>
      <c r="AA5038">
        <f>IF($V5038="",N($AA5037),IF(MATCH($V5038,$V$6:$V$6005,0)=ROW()-5,N($AA5037)+1,N($AA5037)))</f>
        <v/>
      </c>
    </row>
    <row r="5039" ht="21" customHeight="1" s="66">
      <c r="A5039" s="56" t="n"/>
      <c r="B5039" s="57" t="n"/>
      <c r="C5039" s="57" t="n"/>
      <c r="D5039" s="57" t="n"/>
      <c r="E5039" s="56" t="n"/>
      <c r="F5039" s="57" t="n"/>
      <c r="G5039" s="57" t="n"/>
      <c r="H5039" s="56" t="n"/>
      <c r="I5039" s="56" t="n"/>
      <c r="J5039" s="58" t="n"/>
      <c r="K5039" s="58" t="n"/>
      <c r="L5039" s="13">
        <f>IF(OR($A5039="",AND($J5039="",$K5039="")),"",ROUND(N($J5039)-N($K5039),2))</f>
        <v/>
      </c>
      <c r="M5039" s="13">
        <f>IF(OR($A5039="",AND($J5039="",$K5039="")),"",MIN($J5039,$K5039))</f>
        <v/>
      </c>
      <c r="Q5039">
        <f>IF($A5039="","",$D5039&amp;"("&amp;SUBSTITUTE($E5039," ","")&amp;")")</f>
        <v/>
      </c>
      <c r="R5039">
        <f>IF($A5039="","",$B5039&amp;" - "&amp;$C5039)</f>
        <v/>
      </c>
      <c r="S5039">
        <f>IF($A5039="","",$R5039&amp;"|"&amp;$Q5039)</f>
        <v/>
      </c>
      <c r="T5039">
        <f>IF($A5039="","",$S5039&amp;"|"&amp;$F5039)</f>
        <v/>
      </c>
      <c r="U5039">
        <f>IF($A5039="","",$R5039&amp;"("&amp;$E5039&amp;")")</f>
        <v/>
      </c>
      <c r="V5039">
        <f>IF($A5039="","",$F5039&amp;"|"&amp;$U5039&amp;"|"&amp;$D5039)</f>
        <v/>
      </c>
      <c r="W5039">
        <f>IF($T5039="","",IF($X5039&gt;N($X5038),$X5039,""))</f>
        <v/>
      </c>
      <c r="X5039">
        <f>IF($T5039="",N($X5038),IF(MATCH($T5039,$T$6:$T$6005,0)=ROW()-5,N($X5038)+1,N($X5038)))</f>
        <v/>
      </c>
      <c r="Z5039">
        <f>IF($V5039="","",IF($AA5039&gt;N($AA5038),$AA5039,""))</f>
        <v/>
      </c>
      <c r="AA5039">
        <f>IF($V5039="",N($AA5038),IF(MATCH($V5039,$V$6:$V$6005,0)=ROW()-5,N($AA5038)+1,N($AA5038)))</f>
        <v/>
      </c>
    </row>
    <row r="5040" ht="21" customHeight="1" s="66">
      <c r="A5040" s="56" t="n"/>
      <c r="B5040" s="57" t="n"/>
      <c r="C5040" s="57" t="n"/>
      <c r="D5040" s="57" t="n"/>
      <c r="E5040" s="56" t="n"/>
      <c r="F5040" s="57" t="n"/>
      <c r="G5040" s="57" t="n"/>
      <c r="H5040" s="56" t="n"/>
      <c r="I5040" s="56" t="n"/>
      <c r="J5040" s="58" t="n"/>
      <c r="K5040" s="58" t="n"/>
      <c r="L5040" s="13">
        <f>IF(OR($A5040="",AND($J5040="",$K5040="")),"",ROUND(N($J5040)-N($K5040),2))</f>
        <v/>
      </c>
      <c r="M5040" s="13">
        <f>IF(OR($A5040="",AND($J5040="",$K5040="")),"",MIN($J5040,$K5040))</f>
        <v/>
      </c>
      <c r="Q5040">
        <f>IF($A5040="","",$D5040&amp;"("&amp;SUBSTITUTE($E5040," ","")&amp;")")</f>
        <v/>
      </c>
      <c r="R5040">
        <f>IF($A5040="","",$B5040&amp;" - "&amp;$C5040)</f>
        <v/>
      </c>
      <c r="S5040">
        <f>IF($A5040="","",$R5040&amp;"|"&amp;$Q5040)</f>
        <v/>
      </c>
      <c r="T5040">
        <f>IF($A5040="","",$S5040&amp;"|"&amp;$F5040)</f>
        <v/>
      </c>
      <c r="U5040">
        <f>IF($A5040="","",$R5040&amp;"("&amp;$E5040&amp;")")</f>
        <v/>
      </c>
      <c r="V5040">
        <f>IF($A5040="","",$F5040&amp;"|"&amp;$U5040&amp;"|"&amp;$D5040)</f>
        <v/>
      </c>
      <c r="W5040">
        <f>IF($T5040="","",IF($X5040&gt;N($X5039),$X5040,""))</f>
        <v/>
      </c>
      <c r="X5040">
        <f>IF($T5040="",N($X5039),IF(MATCH($T5040,$T$6:$T$6005,0)=ROW()-5,N($X5039)+1,N($X5039)))</f>
        <v/>
      </c>
      <c r="Z5040">
        <f>IF($V5040="","",IF($AA5040&gt;N($AA5039),$AA5040,""))</f>
        <v/>
      </c>
      <c r="AA5040">
        <f>IF($V5040="",N($AA5039),IF(MATCH($V5040,$V$6:$V$6005,0)=ROW()-5,N($AA5039)+1,N($AA5039)))</f>
        <v/>
      </c>
    </row>
    <row r="5041" ht="21" customHeight="1" s="66">
      <c r="A5041" s="56" t="n"/>
      <c r="B5041" s="57" t="n"/>
      <c r="C5041" s="57" t="n"/>
      <c r="D5041" s="57" t="n"/>
      <c r="E5041" s="56" t="n"/>
      <c r="F5041" s="57" t="n"/>
      <c r="G5041" s="57" t="n"/>
      <c r="H5041" s="56" t="n"/>
      <c r="I5041" s="56" t="n"/>
      <c r="J5041" s="58" t="n"/>
      <c r="K5041" s="58" t="n"/>
      <c r="L5041" s="13">
        <f>IF(OR($A5041="",AND($J5041="",$K5041="")),"",ROUND(N($J5041)-N($K5041),2))</f>
        <v/>
      </c>
      <c r="M5041" s="13">
        <f>IF(OR($A5041="",AND($J5041="",$K5041="")),"",MIN($J5041,$K5041))</f>
        <v/>
      </c>
      <c r="Q5041">
        <f>IF($A5041="","",$D5041&amp;"("&amp;SUBSTITUTE($E5041," ","")&amp;")")</f>
        <v/>
      </c>
      <c r="R5041">
        <f>IF($A5041="","",$B5041&amp;" - "&amp;$C5041)</f>
        <v/>
      </c>
      <c r="S5041">
        <f>IF($A5041="","",$R5041&amp;"|"&amp;$Q5041)</f>
        <v/>
      </c>
      <c r="T5041">
        <f>IF($A5041="","",$S5041&amp;"|"&amp;$F5041)</f>
        <v/>
      </c>
      <c r="U5041">
        <f>IF($A5041="","",$R5041&amp;"("&amp;$E5041&amp;")")</f>
        <v/>
      </c>
      <c r="V5041">
        <f>IF($A5041="","",$F5041&amp;"|"&amp;$U5041&amp;"|"&amp;$D5041)</f>
        <v/>
      </c>
      <c r="W5041">
        <f>IF($T5041="","",IF($X5041&gt;N($X5040),$X5041,""))</f>
        <v/>
      </c>
      <c r="X5041">
        <f>IF($T5041="",N($X5040),IF(MATCH($T5041,$T$6:$T$6005,0)=ROW()-5,N($X5040)+1,N($X5040)))</f>
        <v/>
      </c>
      <c r="Z5041">
        <f>IF($V5041="","",IF($AA5041&gt;N($AA5040),$AA5041,""))</f>
        <v/>
      </c>
      <c r="AA5041">
        <f>IF($V5041="",N($AA5040),IF(MATCH($V5041,$V$6:$V$6005,0)=ROW()-5,N($AA5040)+1,N($AA5040)))</f>
        <v/>
      </c>
    </row>
    <row r="5042" ht="21" customHeight="1" s="66">
      <c r="A5042" s="56" t="n"/>
      <c r="B5042" s="57" t="n"/>
      <c r="C5042" s="57" t="n"/>
      <c r="D5042" s="57" t="n"/>
      <c r="E5042" s="56" t="n"/>
      <c r="F5042" s="57" t="n"/>
      <c r="G5042" s="57" t="n"/>
      <c r="H5042" s="56" t="n"/>
      <c r="I5042" s="56" t="n"/>
      <c r="J5042" s="58" t="n"/>
      <c r="K5042" s="58" t="n"/>
      <c r="L5042" s="13">
        <f>IF(OR($A5042="",AND($J5042="",$K5042="")),"",ROUND(N($J5042)-N($K5042),2))</f>
        <v/>
      </c>
      <c r="M5042" s="13">
        <f>IF(OR($A5042="",AND($J5042="",$K5042="")),"",MIN($J5042,$K5042))</f>
        <v/>
      </c>
      <c r="Q5042">
        <f>IF($A5042="","",$D5042&amp;"("&amp;SUBSTITUTE($E5042," ","")&amp;")")</f>
        <v/>
      </c>
      <c r="R5042">
        <f>IF($A5042="","",$B5042&amp;" - "&amp;$C5042)</f>
        <v/>
      </c>
      <c r="S5042">
        <f>IF($A5042="","",$R5042&amp;"|"&amp;$Q5042)</f>
        <v/>
      </c>
      <c r="T5042">
        <f>IF($A5042="","",$S5042&amp;"|"&amp;$F5042)</f>
        <v/>
      </c>
      <c r="U5042">
        <f>IF($A5042="","",$R5042&amp;"("&amp;$E5042&amp;")")</f>
        <v/>
      </c>
      <c r="V5042">
        <f>IF($A5042="","",$F5042&amp;"|"&amp;$U5042&amp;"|"&amp;$D5042)</f>
        <v/>
      </c>
      <c r="W5042">
        <f>IF($T5042="","",IF($X5042&gt;N($X5041),$X5042,""))</f>
        <v/>
      </c>
      <c r="X5042">
        <f>IF($T5042="",N($X5041),IF(MATCH($T5042,$T$6:$T$6005,0)=ROW()-5,N($X5041)+1,N($X5041)))</f>
        <v/>
      </c>
      <c r="Z5042">
        <f>IF($V5042="","",IF($AA5042&gt;N($AA5041),$AA5042,""))</f>
        <v/>
      </c>
      <c r="AA5042">
        <f>IF($V5042="",N($AA5041),IF(MATCH($V5042,$V$6:$V$6005,0)=ROW()-5,N($AA5041)+1,N($AA5041)))</f>
        <v/>
      </c>
    </row>
    <row r="5043" ht="21" customHeight="1" s="66">
      <c r="A5043" s="56" t="n"/>
      <c r="B5043" s="57" t="n"/>
      <c r="C5043" s="57" t="n"/>
      <c r="D5043" s="57" t="n"/>
      <c r="E5043" s="56" t="n"/>
      <c r="F5043" s="57" t="n"/>
      <c r="G5043" s="57" t="n"/>
      <c r="H5043" s="56" t="n"/>
      <c r="I5043" s="56" t="n"/>
      <c r="J5043" s="58" t="n"/>
      <c r="K5043" s="58" t="n"/>
      <c r="L5043" s="13">
        <f>IF(OR($A5043="",AND($J5043="",$K5043="")),"",ROUND(N($J5043)-N($K5043),2))</f>
        <v/>
      </c>
      <c r="M5043" s="13">
        <f>IF(OR($A5043="",AND($J5043="",$K5043="")),"",MIN($J5043,$K5043))</f>
        <v/>
      </c>
      <c r="Q5043">
        <f>IF($A5043="","",$D5043&amp;"("&amp;SUBSTITUTE($E5043," ","")&amp;")")</f>
        <v/>
      </c>
      <c r="R5043">
        <f>IF($A5043="","",$B5043&amp;" - "&amp;$C5043)</f>
        <v/>
      </c>
      <c r="S5043">
        <f>IF($A5043="","",$R5043&amp;"|"&amp;$Q5043)</f>
        <v/>
      </c>
      <c r="T5043">
        <f>IF($A5043="","",$S5043&amp;"|"&amp;$F5043)</f>
        <v/>
      </c>
      <c r="U5043">
        <f>IF($A5043="","",$R5043&amp;"("&amp;$E5043&amp;")")</f>
        <v/>
      </c>
      <c r="V5043">
        <f>IF($A5043="","",$F5043&amp;"|"&amp;$U5043&amp;"|"&amp;$D5043)</f>
        <v/>
      </c>
      <c r="W5043">
        <f>IF($T5043="","",IF($X5043&gt;N($X5042),$X5043,""))</f>
        <v/>
      </c>
      <c r="X5043">
        <f>IF($T5043="",N($X5042),IF(MATCH($T5043,$T$6:$T$6005,0)=ROW()-5,N($X5042)+1,N($X5042)))</f>
        <v/>
      </c>
      <c r="Z5043">
        <f>IF($V5043="","",IF($AA5043&gt;N($AA5042),$AA5043,""))</f>
        <v/>
      </c>
      <c r="AA5043">
        <f>IF($V5043="",N($AA5042),IF(MATCH($V5043,$V$6:$V$6005,0)=ROW()-5,N($AA5042)+1,N($AA5042)))</f>
        <v/>
      </c>
    </row>
    <row r="5044" ht="21" customHeight="1" s="66">
      <c r="A5044" s="56" t="n"/>
      <c r="B5044" s="57" t="n"/>
      <c r="C5044" s="57" t="n"/>
      <c r="D5044" s="57" t="n"/>
      <c r="E5044" s="56" t="n"/>
      <c r="F5044" s="57" t="n"/>
      <c r="G5044" s="57" t="n"/>
      <c r="H5044" s="56" t="n"/>
      <c r="I5044" s="56" t="n"/>
      <c r="J5044" s="58" t="n"/>
      <c r="K5044" s="58" t="n"/>
      <c r="L5044" s="13">
        <f>IF(OR($A5044="",AND($J5044="",$K5044="")),"",ROUND(N($J5044)-N($K5044),2))</f>
        <v/>
      </c>
      <c r="M5044" s="13">
        <f>IF(OR($A5044="",AND($J5044="",$K5044="")),"",MIN($J5044,$K5044))</f>
        <v/>
      </c>
      <c r="Q5044">
        <f>IF($A5044="","",$D5044&amp;"("&amp;SUBSTITUTE($E5044," ","")&amp;")")</f>
        <v/>
      </c>
      <c r="R5044">
        <f>IF($A5044="","",$B5044&amp;" - "&amp;$C5044)</f>
        <v/>
      </c>
      <c r="S5044">
        <f>IF($A5044="","",$R5044&amp;"|"&amp;$Q5044)</f>
        <v/>
      </c>
      <c r="T5044">
        <f>IF($A5044="","",$S5044&amp;"|"&amp;$F5044)</f>
        <v/>
      </c>
      <c r="U5044">
        <f>IF($A5044="","",$R5044&amp;"("&amp;$E5044&amp;")")</f>
        <v/>
      </c>
      <c r="V5044">
        <f>IF($A5044="","",$F5044&amp;"|"&amp;$U5044&amp;"|"&amp;$D5044)</f>
        <v/>
      </c>
      <c r="W5044">
        <f>IF($T5044="","",IF($X5044&gt;N($X5043),$X5044,""))</f>
        <v/>
      </c>
      <c r="X5044">
        <f>IF($T5044="",N($X5043),IF(MATCH($T5044,$T$6:$T$6005,0)=ROW()-5,N($X5043)+1,N($X5043)))</f>
        <v/>
      </c>
      <c r="Z5044">
        <f>IF($V5044="","",IF($AA5044&gt;N($AA5043),$AA5044,""))</f>
        <v/>
      </c>
      <c r="AA5044">
        <f>IF($V5044="",N($AA5043),IF(MATCH($V5044,$V$6:$V$6005,0)=ROW()-5,N($AA5043)+1,N($AA5043)))</f>
        <v/>
      </c>
    </row>
    <row r="5045" ht="21" customHeight="1" s="66">
      <c r="A5045" s="56" t="n"/>
      <c r="B5045" s="57" t="n"/>
      <c r="C5045" s="57" t="n"/>
      <c r="D5045" s="57" t="n"/>
      <c r="E5045" s="56" t="n"/>
      <c r="F5045" s="57" t="n"/>
      <c r="G5045" s="57" t="n"/>
      <c r="H5045" s="56" t="n"/>
      <c r="I5045" s="56" t="n"/>
      <c r="J5045" s="58" t="n"/>
      <c r="K5045" s="58" t="n"/>
      <c r="L5045" s="13">
        <f>IF(OR($A5045="",AND($J5045="",$K5045="")),"",ROUND(N($J5045)-N($K5045),2))</f>
        <v/>
      </c>
      <c r="M5045" s="13">
        <f>IF(OR($A5045="",AND($J5045="",$K5045="")),"",MIN($J5045,$K5045))</f>
        <v/>
      </c>
      <c r="Q5045">
        <f>IF($A5045="","",$D5045&amp;"("&amp;SUBSTITUTE($E5045," ","")&amp;")")</f>
        <v/>
      </c>
      <c r="R5045">
        <f>IF($A5045="","",$B5045&amp;" - "&amp;$C5045)</f>
        <v/>
      </c>
      <c r="S5045">
        <f>IF($A5045="","",$R5045&amp;"|"&amp;$Q5045)</f>
        <v/>
      </c>
      <c r="T5045">
        <f>IF($A5045="","",$S5045&amp;"|"&amp;$F5045)</f>
        <v/>
      </c>
      <c r="U5045">
        <f>IF($A5045="","",$R5045&amp;"("&amp;$E5045&amp;")")</f>
        <v/>
      </c>
      <c r="V5045">
        <f>IF($A5045="","",$F5045&amp;"|"&amp;$U5045&amp;"|"&amp;$D5045)</f>
        <v/>
      </c>
      <c r="W5045">
        <f>IF($T5045="","",IF($X5045&gt;N($X5044),$X5045,""))</f>
        <v/>
      </c>
      <c r="X5045">
        <f>IF($T5045="",N($X5044),IF(MATCH($T5045,$T$6:$T$6005,0)=ROW()-5,N($X5044)+1,N($X5044)))</f>
        <v/>
      </c>
      <c r="Z5045">
        <f>IF($V5045="","",IF($AA5045&gt;N($AA5044),$AA5045,""))</f>
        <v/>
      </c>
      <c r="AA5045">
        <f>IF($V5045="",N($AA5044),IF(MATCH($V5045,$V$6:$V$6005,0)=ROW()-5,N($AA5044)+1,N($AA5044)))</f>
        <v/>
      </c>
    </row>
    <row r="5046" ht="21" customHeight="1" s="66">
      <c r="A5046" s="56" t="n"/>
      <c r="B5046" s="57" t="n"/>
      <c r="C5046" s="57" t="n"/>
      <c r="D5046" s="57" t="n"/>
      <c r="E5046" s="56" t="n"/>
      <c r="F5046" s="57" t="n"/>
      <c r="G5046" s="57" t="n"/>
      <c r="H5046" s="56" t="n"/>
      <c r="I5046" s="56" t="n"/>
      <c r="J5046" s="58" t="n"/>
      <c r="K5046" s="58" t="n"/>
      <c r="L5046" s="13">
        <f>IF(OR($A5046="",AND($J5046="",$K5046="")),"",ROUND(N($J5046)-N($K5046),2))</f>
        <v/>
      </c>
      <c r="M5046" s="13">
        <f>IF(OR($A5046="",AND($J5046="",$K5046="")),"",MIN($J5046,$K5046))</f>
        <v/>
      </c>
      <c r="Q5046">
        <f>IF($A5046="","",$D5046&amp;"("&amp;SUBSTITUTE($E5046," ","")&amp;")")</f>
        <v/>
      </c>
      <c r="R5046">
        <f>IF($A5046="","",$B5046&amp;" - "&amp;$C5046)</f>
        <v/>
      </c>
      <c r="S5046">
        <f>IF($A5046="","",$R5046&amp;"|"&amp;$Q5046)</f>
        <v/>
      </c>
      <c r="T5046">
        <f>IF($A5046="","",$S5046&amp;"|"&amp;$F5046)</f>
        <v/>
      </c>
      <c r="U5046">
        <f>IF($A5046="","",$R5046&amp;"("&amp;$E5046&amp;")")</f>
        <v/>
      </c>
      <c r="V5046">
        <f>IF($A5046="","",$F5046&amp;"|"&amp;$U5046&amp;"|"&amp;$D5046)</f>
        <v/>
      </c>
      <c r="W5046">
        <f>IF($T5046="","",IF($X5046&gt;N($X5045),$X5046,""))</f>
        <v/>
      </c>
      <c r="X5046">
        <f>IF($T5046="",N($X5045),IF(MATCH($T5046,$T$6:$T$6005,0)=ROW()-5,N($X5045)+1,N($X5045)))</f>
        <v/>
      </c>
      <c r="Z5046">
        <f>IF($V5046="","",IF($AA5046&gt;N($AA5045),$AA5046,""))</f>
        <v/>
      </c>
      <c r="AA5046">
        <f>IF($V5046="",N($AA5045),IF(MATCH($V5046,$V$6:$V$6005,0)=ROW()-5,N($AA5045)+1,N($AA5045)))</f>
        <v/>
      </c>
    </row>
    <row r="5047" ht="21" customHeight="1" s="66">
      <c r="A5047" s="56" t="n"/>
      <c r="B5047" s="57" t="n"/>
      <c r="C5047" s="57" t="n"/>
      <c r="D5047" s="57" t="n"/>
      <c r="E5047" s="56" t="n"/>
      <c r="F5047" s="57" t="n"/>
      <c r="G5047" s="57" t="n"/>
      <c r="H5047" s="56" t="n"/>
      <c r="I5047" s="56" t="n"/>
      <c r="J5047" s="58" t="n"/>
      <c r="K5047" s="58" t="n"/>
      <c r="L5047" s="13">
        <f>IF(OR($A5047="",AND($J5047="",$K5047="")),"",ROUND(N($J5047)-N($K5047),2))</f>
        <v/>
      </c>
      <c r="M5047" s="13">
        <f>IF(OR($A5047="",AND($J5047="",$K5047="")),"",MIN($J5047,$K5047))</f>
        <v/>
      </c>
      <c r="Q5047">
        <f>IF($A5047="","",$D5047&amp;"("&amp;SUBSTITUTE($E5047," ","")&amp;")")</f>
        <v/>
      </c>
      <c r="R5047">
        <f>IF($A5047="","",$B5047&amp;" - "&amp;$C5047)</f>
        <v/>
      </c>
      <c r="S5047">
        <f>IF($A5047="","",$R5047&amp;"|"&amp;$Q5047)</f>
        <v/>
      </c>
      <c r="T5047">
        <f>IF($A5047="","",$S5047&amp;"|"&amp;$F5047)</f>
        <v/>
      </c>
      <c r="U5047">
        <f>IF($A5047="","",$R5047&amp;"("&amp;$E5047&amp;")")</f>
        <v/>
      </c>
      <c r="V5047">
        <f>IF($A5047="","",$F5047&amp;"|"&amp;$U5047&amp;"|"&amp;$D5047)</f>
        <v/>
      </c>
      <c r="W5047">
        <f>IF($T5047="","",IF($X5047&gt;N($X5046),$X5047,""))</f>
        <v/>
      </c>
      <c r="X5047">
        <f>IF($T5047="",N($X5046),IF(MATCH($T5047,$T$6:$T$6005,0)=ROW()-5,N($X5046)+1,N($X5046)))</f>
        <v/>
      </c>
      <c r="Z5047">
        <f>IF($V5047="","",IF($AA5047&gt;N($AA5046),$AA5047,""))</f>
        <v/>
      </c>
      <c r="AA5047">
        <f>IF($V5047="",N($AA5046),IF(MATCH($V5047,$V$6:$V$6005,0)=ROW()-5,N($AA5046)+1,N($AA5046)))</f>
        <v/>
      </c>
    </row>
    <row r="5048" ht="21" customHeight="1" s="66">
      <c r="A5048" s="56" t="n"/>
      <c r="B5048" s="57" t="n"/>
      <c r="C5048" s="57" t="n"/>
      <c r="D5048" s="57" t="n"/>
      <c r="E5048" s="56" t="n"/>
      <c r="F5048" s="57" t="n"/>
      <c r="G5048" s="57" t="n"/>
      <c r="H5048" s="56" t="n"/>
      <c r="I5048" s="56" t="n"/>
      <c r="J5048" s="58" t="n"/>
      <c r="K5048" s="58" t="n"/>
      <c r="L5048" s="13">
        <f>IF(OR($A5048="",AND($J5048="",$K5048="")),"",ROUND(N($J5048)-N($K5048),2))</f>
        <v/>
      </c>
      <c r="M5048" s="13">
        <f>IF(OR($A5048="",AND($J5048="",$K5048="")),"",MIN($J5048,$K5048))</f>
        <v/>
      </c>
      <c r="Q5048">
        <f>IF($A5048="","",$D5048&amp;"("&amp;SUBSTITUTE($E5048," ","")&amp;")")</f>
        <v/>
      </c>
      <c r="R5048">
        <f>IF($A5048="","",$B5048&amp;" - "&amp;$C5048)</f>
        <v/>
      </c>
      <c r="S5048">
        <f>IF($A5048="","",$R5048&amp;"|"&amp;$Q5048)</f>
        <v/>
      </c>
      <c r="T5048">
        <f>IF($A5048="","",$S5048&amp;"|"&amp;$F5048)</f>
        <v/>
      </c>
      <c r="U5048">
        <f>IF($A5048="","",$R5048&amp;"("&amp;$E5048&amp;")")</f>
        <v/>
      </c>
      <c r="V5048">
        <f>IF($A5048="","",$F5048&amp;"|"&amp;$U5048&amp;"|"&amp;$D5048)</f>
        <v/>
      </c>
      <c r="W5048">
        <f>IF($T5048="","",IF($X5048&gt;N($X5047),$X5048,""))</f>
        <v/>
      </c>
      <c r="X5048">
        <f>IF($T5048="",N($X5047),IF(MATCH($T5048,$T$6:$T$6005,0)=ROW()-5,N($X5047)+1,N($X5047)))</f>
        <v/>
      </c>
      <c r="Z5048">
        <f>IF($V5048="","",IF($AA5048&gt;N($AA5047),$AA5048,""))</f>
        <v/>
      </c>
      <c r="AA5048">
        <f>IF($V5048="",N($AA5047),IF(MATCH($V5048,$V$6:$V$6005,0)=ROW()-5,N($AA5047)+1,N($AA5047)))</f>
        <v/>
      </c>
    </row>
    <row r="5049" ht="21" customHeight="1" s="66">
      <c r="A5049" s="56" t="n"/>
      <c r="B5049" s="57" t="n"/>
      <c r="C5049" s="57" t="n"/>
      <c r="D5049" s="57" t="n"/>
      <c r="E5049" s="56" t="n"/>
      <c r="F5049" s="57" t="n"/>
      <c r="G5049" s="57" t="n"/>
      <c r="H5049" s="56" t="n"/>
      <c r="I5049" s="56" t="n"/>
      <c r="J5049" s="58" t="n"/>
      <c r="K5049" s="58" t="n"/>
      <c r="L5049" s="13">
        <f>IF(OR($A5049="",AND($J5049="",$K5049="")),"",ROUND(N($J5049)-N($K5049),2))</f>
        <v/>
      </c>
      <c r="M5049" s="13">
        <f>IF(OR($A5049="",AND($J5049="",$K5049="")),"",MIN($J5049,$K5049))</f>
        <v/>
      </c>
      <c r="Q5049">
        <f>IF($A5049="","",$D5049&amp;"("&amp;SUBSTITUTE($E5049," ","")&amp;")")</f>
        <v/>
      </c>
      <c r="R5049">
        <f>IF($A5049="","",$B5049&amp;" - "&amp;$C5049)</f>
        <v/>
      </c>
      <c r="S5049">
        <f>IF($A5049="","",$R5049&amp;"|"&amp;$Q5049)</f>
        <v/>
      </c>
      <c r="T5049">
        <f>IF($A5049="","",$S5049&amp;"|"&amp;$F5049)</f>
        <v/>
      </c>
      <c r="U5049">
        <f>IF($A5049="","",$R5049&amp;"("&amp;$E5049&amp;")")</f>
        <v/>
      </c>
      <c r="V5049">
        <f>IF($A5049="","",$F5049&amp;"|"&amp;$U5049&amp;"|"&amp;$D5049)</f>
        <v/>
      </c>
      <c r="W5049">
        <f>IF($T5049="","",IF($X5049&gt;N($X5048),$X5049,""))</f>
        <v/>
      </c>
      <c r="X5049">
        <f>IF($T5049="",N($X5048),IF(MATCH($T5049,$T$6:$T$6005,0)=ROW()-5,N($X5048)+1,N($X5048)))</f>
        <v/>
      </c>
      <c r="Z5049">
        <f>IF($V5049="","",IF($AA5049&gt;N($AA5048),$AA5049,""))</f>
        <v/>
      </c>
      <c r="AA5049">
        <f>IF($V5049="",N($AA5048),IF(MATCH($V5049,$V$6:$V$6005,0)=ROW()-5,N($AA5048)+1,N($AA5048)))</f>
        <v/>
      </c>
    </row>
    <row r="5050" ht="21" customHeight="1" s="66">
      <c r="A5050" s="56" t="n"/>
      <c r="B5050" s="57" t="n"/>
      <c r="C5050" s="57" t="n"/>
      <c r="D5050" s="57" t="n"/>
      <c r="E5050" s="56" t="n"/>
      <c r="F5050" s="57" t="n"/>
      <c r="G5050" s="57" t="n"/>
      <c r="H5050" s="56" t="n"/>
      <c r="I5050" s="56" t="n"/>
      <c r="J5050" s="58" t="n"/>
      <c r="K5050" s="58" t="n"/>
      <c r="L5050" s="13">
        <f>IF(OR($A5050="",AND($J5050="",$K5050="")),"",ROUND(N($J5050)-N($K5050),2))</f>
        <v/>
      </c>
      <c r="M5050" s="13">
        <f>IF(OR($A5050="",AND($J5050="",$K5050="")),"",MIN($J5050,$K5050))</f>
        <v/>
      </c>
      <c r="Q5050">
        <f>IF($A5050="","",$D5050&amp;"("&amp;SUBSTITUTE($E5050," ","")&amp;")")</f>
        <v/>
      </c>
      <c r="R5050">
        <f>IF($A5050="","",$B5050&amp;" - "&amp;$C5050)</f>
        <v/>
      </c>
      <c r="S5050">
        <f>IF($A5050="","",$R5050&amp;"|"&amp;$Q5050)</f>
        <v/>
      </c>
      <c r="T5050">
        <f>IF($A5050="","",$S5050&amp;"|"&amp;$F5050)</f>
        <v/>
      </c>
      <c r="U5050">
        <f>IF($A5050="","",$R5050&amp;"("&amp;$E5050&amp;")")</f>
        <v/>
      </c>
      <c r="V5050">
        <f>IF($A5050="","",$F5050&amp;"|"&amp;$U5050&amp;"|"&amp;$D5050)</f>
        <v/>
      </c>
      <c r="W5050">
        <f>IF($T5050="","",IF($X5050&gt;N($X5049),$X5050,""))</f>
        <v/>
      </c>
      <c r="X5050">
        <f>IF($T5050="",N($X5049),IF(MATCH($T5050,$T$6:$T$6005,0)=ROW()-5,N($X5049)+1,N($X5049)))</f>
        <v/>
      </c>
      <c r="Z5050">
        <f>IF($V5050="","",IF($AA5050&gt;N($AA5049),$AA5050,""))</f>
        <v/>
      </c>
      <c r="AA5050">
        <f>IF($V5050="",N($AA5049),IF(MATCH($V5050,$V$6:$V$6005,0)=ROW()-5,N($AA5049)+1,N($AA5049)))</f>
        <v/>
      </c>
    </row>
    <row r="5051" ht="21" customHeight="1" s="66">
      <c r="A5051" s="56" t="n"/>
      <c r="B5051" s="57" t="n"/>
      <c r="C5051" s="57" t="n"/>
      <c r="D5051" s="57" t="n"/>
      <c r="E5051" s="56" t="n"/>
      <c r="F5051" s="57" t="n"/>
      <c r="G5051" s="57" t="n"/>
      <c r="H5051" s="56" t="n"/>
      <c r="I5051" s="56" t="n"/>
      <c r="J5051" s="58" t="n"/>
      <c r="K5051" s="58" t="n"/>
      <c r="L5051" s="13">
        <f>IF(OR($A5051="",AND($J5051="",$K5051="")),"",ROUND(N($J5051)-N($K5051),2))</f>
        <v/>
      </c>
      <c r="M5051" s="13">
        <f>IF(OR($A5051="",AND($J5051="",$K5051="")),"",MIN($J5051,$K5051))</f>
        <v/>
      </c>
      <c r="Q5051">
        <f>IF($A5051="","",$D5051&amp;"("&amp;SUBSTITUTE($E5051," ","")&amp;")")</f>
        <v/>
      </c>
      <c r="R5051">
        <f>IF($A5051="","",$B5051&amp;" - "&amp;$C5051)</f>
        <v/>
      </c>
      <c r="S5051">
        <f>IF($A5051="","",$R5051&amp;"|"&amp;$Q5051)</f>
        <v/>
      </c>
      <c r="T5051">
        <f>IF($A5051="","",$S5051&amp;"|"&amp;$F5051)</f>
        <v/>
      </c>
      <c r="U5051">
        <f>IF($A5051="","",$R5051&amp;"("&amp;$E5051&amp;")")</f>
        <v/>
      </c>
      <c r="V5051">
        <f>IF($A5051="","",$F5051&amp;"|"&amp;$U5051&amp;"|"&amp;$D5051)</f>
        <v/>
      </c>
      <c r="W5051">
        <f>IF($T5051="","",IF($X5051&gt;N($X5050),$X5051,""))</f>
        <v/>
      </c>
      <c r="X5051">
        <f>IF($T5051="",N($X5050),IF(MATCH($T5051,$T$6:$T$6005,0)=ROW()-5,N($X5050)+1,N($X5050)))</f>
        <v/>
      </c>
      <c r="Z5051">
        <f>IF($V5051="","",IF($AA5051&gt;N($AA5050),$AA5051,""))</f>
        <v/>
      </c>
      <c r="AA5051">
        <f>IF($V5051="",N($AA5050),IF(MATCH($V5051,$V$6:$V$6005,0)=ROW()-5,N($AA5050)+1,N($AA5050)))</f>
        <v/>
      </c>
    </row>
    <row r="5052" ht="21" customHeight="1" s="66">
      <c r="A5052" s="56" t="n"/>
      <c r="B5052" s="57" t="n"/>
      <c r="C5052" s="57" t="n"/>
      <c r="D5052" s="57" t="n"/>
      <c r="E5052" s="56" t="n"/>
      <c r="F5052" s="57" t="n"/>
      <c r="G5052" s="57" t="n"/>
      <c r="H5052" s="56" t="n"/>
      <c r="I5052" s="56" t="n"/>
      <c r="J5052" s="58" t="n"/>
      <c r="K5052" s="58" t="n"/>
      <c r="L5052" s="13">
        <f>IF(OR($A5052="",AND($J5052="",$K5052="")),"",ROUND(N($J5052)-N($K5052),2))</f>
        <v/>
      </c>
      <c r="M5052" s="13">
        <f>IF(OR($A5052="",AND($J5052="",$K5052="")),"",MIN($J5052,$K5052))</f>
        <v/>
      </c>
      <c r="Q5052">
        <f>IF($A5052="","",$D5052&amp;"("&amp;SUBSTITUTE($E5052," ","")&amp;")")</f>
        <v/>
      </c>
      <c r="R5052">
        <f>IF($A5052="","",$B5052&amp;" - "&amp;$C5052)</f>
        <v/>
      </c>
      <c r="S5052">
        <f>IF($A5052="","",$R5052&amp;"|"&amp;$Q5052)</f>
        <v/>
      </c>
      <c r="T5052">
        <f>IF($A5052="","",$S5052&amp;"|"&amp;$F5052)</f>
        <v/>
      </c>
      <c r="U5052">
        <f>IF($A5052="","",$R5052&amp;"("&amp;$E5052&amp;")")</f>
        <v/>
      </c>
      <c r="V5052">
        <f>IF($A5052="","",$F5052&amp;"|"&amp;$U5052&amp;"|"&amp;$D5052)</f>
        <v/>
      </c>
      <c r="W5052">
        <f>IF($T5052="","",IF($X5052&gt;N($X5051),$X5052,""))</f>
        <v/>
      </c>
      <c r="X5052">
        <f>IF($T5052="",N($X5051),IF(MATCH($T5052,$T$6:$T$6005,0)=ROW()-5,N($X5051)+1,N($X5051)))</f>
        <v/>
      </c>
      <c r="Z5052">
        <f>IF($V5052="","",IF($AA5052&gt;N($AA5051),$AA5052,""))</f>
        <v/>
      </c>
      <c r="AA5052">
        <f>IF($V5052="",N($AA5051),IF(MATCH($V5052,$V$6:$V$6005,0)=ROW()-5,N($AA5051)+1,N($AA5051)))</f>
        <v/>
      </c>
    </row>
    <row r="5053" ht="21" customHeight="1" s="66">
      <c r="A5053" s="56" t="n"/>
      <c r="B5053" s="57" t="n"/>
      <c r="C5053" s="57" t="n"/>
      <c r="D5053" s="57" t="n"/>
      <c r="E5053" s="56" t="n"/>
      <c r="F5053" s="57" t="n"/>
      <c r="G5053" s="57" t="n"/>
      <c r="H5053" s="56" t="n"/>
      <c r="I5053" s="56" t="n"/>
      <c r="J5053" s="58" t="n"/>
      <c r="K5053" s="58" t="n"/>
      <c r="L5053" s="13">
        <f>IF(OR($A5053="",AND($J5053="",$K5053="")),"",ROUND(N($J5053)-N($K5053),2))</f>
        <v/>
      </c>
      <c r="M5053" s="13">
        <f>IF(OR($A5053="",AND($J5053="",$K5053="")),"",MIN($J5053,$K5053))</f>
        <v/>
      </c>
      <c r="Q5053">
        <f>IF($A5053="","",$D5053&amp;"("&amp;SUBSTITUTE($E5053," ","")&amp;")")</f>
        <v/>
      </c>
      <c r="R5053">
        <f>IF($A5053="","",$B5053&amp;" - "&amp;$C5053)</f>
        <v/>
      </c>
      <c r="S5053">
        <f>IF($A5053="","",$R5053&amp;"|"&amp;$Q5053)</f>
        <v/>
      </c>
      <c r="T5053">
        <f>IF($A5053="","",$S5053&amp;"|"&amp;$F5053)</f>
        <v/>
      </c>
      <c r="U5053">
        <f>IF($A5053="","",$R5053&amp;"("&amp;$E5053&amp;")")</f>
        <v/>
      </c>
      <c r="V5053">
        <f>IF($A5053="","",$F5053&amp;"|"&amp;$U5053&amp;"|"&amp;$D5053)</f>
        <v/>
      </c>
      <c r="W5053">
        <f>IF($T5053="","",IF($X5053&gt;N($X5052),$X5053,""))</f>
        <v/>
      </c>
      <c r="X5053">
        <f>IF($T5053="",N($X5052),IF(MATCH($T5053,$T$6:$T$6005,0)=ROW()-5,N($X5052)+1,N($X5052)))</f>
        <v/>
      </c>
      <c r="Z5053">
        <f>IF($V5053="","",IF($AA5053&gt;N($AA5052),$AA5053,""))</f>
        <v/>
      </c>
      <c r="AA5053">
        <f>IF($V5053="",N($AA5052),IF(MATCH($V5053,$V$6:$V$6005,0)=ROW()-5,N($AA5052)+1,N($AA5052)))</f>
        <v/>
      </c>
    </row>
    <row r="5054" ht="21" customHeight="1" s="66">
      <c r="A5054" s="56" t="n"/>
      <c r="B5054" s="57" t="n"/>
      <c r="C5054" s="57" t="n"/>
      <c r="D5054" s="57" t="n"/>
      <c r="E5054" s="56" t="n"/>
      <c r="F5054" s="57" t="n"/>
      <c r="G5054" s="57" t="n"/>
      <c r="H5054" s="56" t="n"/>
      <c r="I5054" s="56" t="n"/>
      <c r="J5054" s="58" t="n"/>
      <c r="K5054" s="58" t="n"/>
      <c r="L5054" s="13">
        <f>IF(OR($A5054="",AND($J5054="",$K5054="")),"",ROUND(N($J5054)-N($K5054),2))</f>
        <v/>
      </c>
      <c r="M5054" s="13">
        <f>IF(OR($A5054="",AND($J5054="",$K5054="")),"",MIN($J5054,$K5054))</f>
        <v/>
      </c>
      <c r="Q5054">
        <f>IF($A5054="","",$D5054&amp;"("&amp;SUBSTITUTE($E5054," ","")&amp;")")</f>
        <v/>
      </c>
      <c r="R5054">
        <f>IF($A5054="","",$B5054&amp;" - "&amp;$C5054)</f>
        <v/>
      </c>
      <c r="S5054">
        <f>IF($A5054="","",$R5054&amp;"|"&amp;$Q5054)</f>
        <v/>
      </c>
      <c r="T5054">
        <f>IF($A5054="","",$S5054&amp;"|"&amp;$F5054)</f>
        <v/>
      </c>
      <c r="U5054">
        <f>IF($A5054="","",$R5054&amp;"("&amp;$E5054&amp;")")</f>
        <v/>
      </c>
      <c r="V5054">
        <f>IF($A5054="","",$F5054&amp;"|"&amp;$U5054&amp;"|"&amp;$D5054)</f>
        <v/>
      </c>
      <c r="W5054">
        <f>IF($T5054="","",IF($X5054&gt;N($X5053),$X5054,""))</f>
        <v/>
      </c>
      <c r="X5054">
        <f>IF($T5054="",N($X5053),IF(MATCH($T5054,$T$6:$T$6005,0)=ROW()-5,N($X5053)+1,N($X5053)))</f>
        <v/>
      </c>
      <c r="Z5054">
        <f>IF($V5054="","",IF($AA5054&gt;N($AA5053),$AA5054,""))</f>
        <v/>
      </c>
      <c r="AA5054">
        <f>IF($V5054="",N($AA5053),IF(MATCH($V5054,$V$6:$V$6005,0)=ROW()-5,N($AA5053)+1,N($AA5053)))</f>
        <v/>
      </c>
    </row>
    <row r="5055" ht="21" customHeight="1" s="66">
      <c r="A5055" s="56" t="n"/>
      <c r="B5055" s="57" t="n"/>
      <c r="C5055" s="57" t="n"/>
      <c r="D5055" s="57" t="n"/>
      <c r="E5055" s="56" t="n"/>
      <c r="F5055" s="57" t="n"/>
      <c r="G5055" s="57" t="n"/>
      <c r="H5055" s="56" t="n"/>
      <c r="I5055" s="56" t="n"/>
      <c r="J5055" s="58" t="n"/>
      <c r="K5055" s="58" t="n"/>
      <c r="L5055" s="13">
        <f>IF(OR($A5055="",AND($J5055="",$K5055="")),"",ROUND(N($J5055)-N($K5055),2))</f>
        <v/>
      </c>
      <c r="M5055" s="13">
        <f>IF(OR($A5055="",AND($J5055="",$K5055="")),"",MIN($J5055,$K5055))</f>
        <v/>
      </c>
      <c r="Q5055">
        <f>IF($A5055="","",$D5055&amp;"("&amp;SUBSTITUTE($E5055," ","")&amp;")")</f>
        <v/>
      </c>
      <c r="R5055">
        <f>IF($A5055="","",$B5055&amp;" - "&amp;$C5055)</f>
        <v/>
      </c>
      <c r="S5055">
        <f>IF($A5055="","",$R5055&amp;"|"&amp;$Q5055)</f>
        <v/>
      </c>
      <c r="T5055">
        <f>IF($A5055="","",$S5055&amp;"|"&amp;$F5055)</f>
        <v/>
      </c>
      <c r="U5055">
        <f>IF($A5055="","",$R5055&amp;"("&amp;$E5055&amp;")")</f>
        <v/>
      </c>
      <c r="V5055">
        <f>IF($A5055="","",$F5055&amp;"|"&amp;$U5055&amp;"|"&amp;$D5055)</f>
        <v/>
      </c>
      <c r="W5055">
        <f>IF($T5055="","",IF($X5055&gt;N($X5054),$X5055,""))</f>
        <v/>
      </c>
      <c r="X5055">
        <f>IF($T5055="",N($X5054),IF(MATCH($T5055,$T$6:$T$6005,0)=ROW()-5,N($X5054)+1,N($X5054)))</f>
        <v/>
      </c>
      <c r="Z5055">
        <f>IF($V5055="","",IF($AA5055&gt;N($AA5054),$AA5055,""))</f>
        <v/>
      </c>
      <c r="AA5055">
        <f>IF($V5055="",N($AA5054),IF(MATCH($V5055,$V$6:$V$6005,0)=ROW()-5,N($AA5054)+1,N($AA5054)))</f>
        <v/>
      </c>
    </row>
    <row r="5056" ht="21" customHeight="1" s="66">
      <c r="A5056" s="56" t="n"/>
      <c r="B5056" s="57" t="n"/>
      <c r="C5056" s="57" t="n"/>
      <c r="D5056" s="57" t="n"/>
      <c r="E5056" s="56" t="n"/>
      <c r="F5056" s="57" t="n"/>
      <c r="G5056" s="57" t="n"/>
      <c r="H5056" s="56" t="n"/>
      <c r="I5056" s="56" t="n"/>
      <c r="J5056" s="58" t="n"/>
      <c r="K5056" s="58" t="n"/>
      <c r="L5056" s="13">
        <f>IF(OR($A5056="",AND($J5056="",$K5056="")),"",ROUND(N($J5056)-N($K5056),2))</f>
        <v/>
      </c>
      <c r="M5056" s="13">
        <f>IF(OR($A5056="",AND($J5056="",$K5056="")),"",MIN($J5056,$K5056))</f>
        <v/>
      </c>
      <c r="Q5056">
        <f>IF($A5056="","",$D5056&amp;"("&amp;SUBSTITUTE($E5056," ","")&amp;")")</f>
        <v/>
      </c>
      <c r="R5056">
        <f>IF($A5056="","",$B5056&amp;" - "&amp;$C5056)</f>
        <v/>
      </c>
      <c r="S5056">
        <f>IF($A5056="","",$R5056&amp;"|"&amp;$Q5056)</f>
        <v/>
      </c>
      <c r="T5056">
        <f>IF($A5056="","",$S5056&amp;"|"&amp;$F5056)</f>
        <v/>
      </c>
      <c r="U5056">
        <f>IF($A5056="","",$R5056&amp;"("&amp;$E5056&amp;")")</f>
        <v/>
      </c>
      <c r="V5056">
        <f>IF($A5056="","",$F5056&amp;"|"&amp;$U5056&amp;"|"&amp;$D5056)</f>
        <v/>
      </c>
      <c r="W5056">
        <f>IF($T5056="","",IF($X5056&gt;N($X5055),$X5056,""))</f>
        <v/>
      </c>
      <c r="X5056">
        <f>IF($T5056="",N($X5055),IF(MATCH($T5056,$T$6:$T$6005,0)=ROW()-5,N($X5055)+1,N($X5055)))</f>
        <v/>
      </c>
      <c r="Z5056">
        <f>IF($V5056="","",IF($AA5056&gt;N($AA5055),$AA5056,""))</f>
        <v/>
      </c>
      <c r="AA5056">
        <f>IF($V5056="",N($AA5055),IF(MATCH($V5056,$V$6:$V$6005,0)=ROW()-5,N($AA5055)+1,N($AA5055)))</f>
        <v/>
      </c>
    </row>
    <row r="5057" ht="21" customHeight="1" s="66">
      <c r="A5057" s="56" t="n"/>
      <c r="B5057" s="57" t="n"/>
      <c r="C5057" s="57" t="n"/>
      <c r="D5057" s="57" t="n"/>
      <c r="E5057" s="56" t="n"/>
      <c r="F5057" s="57" t="n"/>
      <c r="G5057" s="57" t="n"/>
      <c r="H5057" s="56" t="n"/>
      <c r="I5057" s="56" t="n"/>
      <c r="J5057" s="58" t="n"/>
      <c r="K5057" s="58" t="n"/>
      <c r="L5057" s="13">
        <f>IF(OR($A5057="",AND($J5057="",$K5057="")),"",ROUND(N($J5057)-N($K5057),2))</f>
        <v/>
      </c>
      <c r="M5057" s="13">
        <f>IF(OR($A5057="",AND($J5057="",$K5057="")),"",MIN($J5057,$K5057))</f>
        <v/>
      </c>
      <c r="Q5057">
        <f>IF($A5057="","",$D5057&amp;"("&amp;SUBSTITUTE($E5057," ","")&amp;")")</f>
        <v/>
      </c>
      <c r="R5057">
        <f>IF($A5057="","",$B5057&amp;" - "&amp;$C5057)</f>
        <v/>
      </c>
      <c r="S5057">
        <f>IF($A5057="","",$R5057&amp;"|"&amp;$Q5057)</f>
        <v/>
      </c>
      <c r="T5057">
        <f>IF($A5057="","",$S5057&amp;"|"&amp;$F5057)</f>
        <v/>
      </c>
      <c r="U5057">
        <f>IF($A5057="","",$R5057&amp;"("&amp;$E5057&amp;")")</f>
        <v/>
      </c>
      <c r="V5057">
        <f>IF($A5057="","",$F5057&amp;"|"&amp;$U5057&amp;"|"&amp;$D5057)</f>
        <v/>
      </c>
      <c r="W5057">
        <f>IF($T5057="","",IF($X5057&gt;N($X5056),$X5057,""))</f>
        <v/>
      </c>
      <c r="X5057">
        <f>IF($T5057="",N($X5056),IF(MATCH($T5057,$T$6:$T$6005,0)=ROW()-5,N($X5056)+1,N($X5056)))</f>
        <v/>
      </c>
      <c r="Z5057">
        <f>IF($V5057="","",IF($AA5057&gt;N($AA5056),$AA5057,""))</f>
        <v/>
      </c>
      <c r="AA5057">
        <f>IF($V5057="",N($AA5056),IF(MATCH($V5057,$V$6:$V$6005,0)=ROW()-5,N($AA5056)+1,N($AA5056)))</f>
        <v/>
      </c>
    </row>
    <row r="5058" ht="21" customHeight="1" s="66">
      <c r="A5058" s="56" t="n"/>
      <c r="B5058" s="57" t="n"/>
      <c r="C5058" s="57" t="n"/>
      <c r="D5058" s="57" t="n"/>
      <c r="E5058" s="56" t="n"/>
      <c r="F5058" s="57" t="n"/>
      <c r="G5058" s="57" t="n"/>
      <c r="H5058" s="56" t="n"/>
      <c r="I5058" s="56" t="n"/>
      <c r="J5058" s="58" t="n"/>
      <c r="K5058" s="58" t="n"/>
      <c r="L5058" s="13">
        <f>IF(OR($A5058="",AND($J5058="",$K5058="")),"",ROUND(N($J5058)-N($K5058),2))</f>
        <v/>
      </c>
      <c r="M5058" s="13">
        <f>IF(OR($A5058="",AND($J5058="",$K5058="")),"",MIN($J5058,$K5058))</f>
        <v/>
      </c>
      <c r="Q5058">
        <f>IF($A5058="","",$D5058&amp;"("&amp;SUBSTITUTE($E5058," ","")&amp;")")</f>
        <v/>
      </c>
      <c r="R5058">
        <f>IF($A5058="","",$B5058&amp;" - "&amp;$C5058)</f>
        <v/>
      </c>
      <c r="S5058">
        <f>IF($A5058="","",$R5058&amp;"|"&amp;$Q5058)</f>
        <v/>
      </c>
      <c r="T5058">
        <f>IF($A5058="","",$S5058&amp;"|"&amp;$F5058)</f>
        <v/>
      </c>
      <c r="U5058">
        <f>IF($A5058="","",$R5058&amp;"("&amp;$E5058&amp;")")</f>
        <v/>
      </c>
      <c r="V5058">
        <f>IF($A5058="","",$F5058&amp;"|"&amp;$U5058&amp;"|"&amp;$D5058)</f>
        <v/>
      </c>
      <c r="W5058">
        <f>IF($T5058="","",IF($X5058&gt;N($X5057),$X5058,""))</f>
        <v/>
      </c>
      <c r="X5058">
        <f>IF($T5058="",N($X5057),IF(MATCH($T5058,$T$6:$T$6005,0)=ROW()-5,N($X5057)+1,N($X5057)))</f>
        <v/>
      </c>
      <c r="Z5058">
        <f>IF($V5058="","",IF($AA5058&gt;N($AA5057),$AA5058,""))</f>
        <v/>
      </c>
      <c r="AA5058">
        <f>IF($V5058="",N($AA5057),IF(MATCH($V5058,$V$6:$V$6005,0)=ROW()-5,N($AA5057)+1,N($AA5057)))</f>
        <v/>
      </c>
    </row>
    <row r="5059" ht="21" customHeight="1" s="66">
      <c r="A5059" s="56" t="n"/>
      <c r="B5059" s="57" t="n"/>
      <c r="C5059" s="57" t="n"/>
      <c r="D5059" s="57" t="n"/>
      <c r="E5059" s="56" t="n"/>
      <c r="F5059" s="57" t="n"/>
      <c r="G5059" s="57" t="n"/>
      <c r="H5059" s="56" t="n"/>
      <c r="I5059" s="56" t="n"/>
      <c r="J5059" s="58" t="n"/>
      <c r="K5059" s="58" t="n"/>
      <c r="L5059" s="13">
        <f>IF(OR($A5059="",AND($J5059="",$K5059="")),"",ROUND(N($J5059)-N($K5059),2))</f>
        <v/>
      </c>
      <c r="M5059" s="13">
        <f>IF(OR($A5059="",AND($J5059="",$K5059="")),"",MIN($J5059,$K5059))</f>
        <v/>
      </c>
      <c r="Q5059">
        <f>IF($A5059="","",$D5059&amp;"("&amp;SUBSTITUTE($E5059," ","")&amp;")")</f>
        <v/>
      </c>
      <c r="R5059">
        <f>IF($A5059="","",$B5059&amp;" - "&amp;$C5059)</f>
        <v/>
      </c>
      <c r="S5059">
        <f>IF($A5059="","",$R5059&amp;"|"&amp;$Q5059)</f>
        <v/>
      </c>
      <c r="T5059">
        <f>IF($A5059="","",$S5059&amp;"|"&amp;$F5059)</f>
        <v/>
      </c>
      <c r="U5059">
        <f>IF($A5059="","",$R5059&amp;"("&amp;$E5059&amp;")")</f>
        <v/>
      </c>
      <c r="V5059">
        <f>IF($A5059="","",$F5059&amp;"|"&amp;$U5059&amp;"|"&amp;$D5059)</f>
        <v/>
      </c>
      <c r="W5059">
        <f>IF($T5059="","",IF($X5059&gt;N($X5058),$X5059,""))</f>
        <v/>
      </c>
      <c r="X5059">
        <f>IF($T5059="",N($X5058),IF(MATCH($T5059,$T$6:$T$6005,0)=ROW()-5,N($X5058)+1,N($X5058)))</f>
        <v/>
      </c>
      <c r="Z5059">
        <f>IF($V5059="","",IF($AA5059&gt;N($AA5058),$AA5059,""))</f>
        <v/>
      </c>
      <c r="AA5059">
        <f>IF($V5059="",N($AA5058),IF(MATCH($V5059,$V$6:$V$6005,0)=ROW()-5,N($AA5058)+1,N($AA5058)))</f>
        <v/>
      </c>
    </row>
    <row r="5060" ht="21" customHeight="1" s="66">
      <c r="A5060" s="56" t="n"/>
      <c r="B5060" s="57" t="n"/>
      <c r="C5060" s="57" t="n"/>
      <c r="D5060" s="57" t="n"/>
      <c r="E5060" s="56" t="n"/>
      <c r="F5060" s="57" t="n"/>
      <c r="G5060" s="57" t="n"/>
      <c r="H5060" s="56" t="n"/>
      <c r="I5060" s="56" t="n"/>
      <c r="J5060" s="58" t="n"/>
      <c r="K5060" s="58" t="n"/>
      <c r="L5060" s="13">
        <f>IF(OR($A5060="",AND($J5060="",$K5060="")),"",ROUND(N($J5060)-N($K5060),2))</f>
        <v/>
      </c>
      <c r="M5060" s="13">
        <f>IF(OR($A5060="",AND($J5060="",$K5060="")),"",MIN($J5060,$K5060))</f>
        <v/>
      </c>
      <c r="Q5060">
        <f>IF($A5060="","",$D5060&amp;"("&amp;SUBSTITUTE($E5060," ","")&amp;")")</f>
        <v/>
      </c>
      <c r="R5060">
        <f>IF($A5060="","",$B5060&amp;" - "&amp;$C5060)</f>
        <v/>
      </c>
      <c r="S5060">
        <f>IF($A5060="","",$R5060&amp;"|"&amp;$Q5060)</f>
        <v/>
      </c>
      <c r="T5060">
        <f>IF($A5060="","",$S5060&amp;"|"&amp;$F5060)</f>
        <v/>
      </c>
      <c r="U5060">
        <f>IF($A5060="","",$R5060&amp;"("&amp;$E5060&amp;")")</f>
        <v/>
      </c>
      <c r="V5060">
        <f>IF($A5060="","",$F5060&amp;"|"&amp;$U5060&amp;"|"&amp;$D5060)</f>
        <v/>
      </c>
      <c r="W5060">
        <f>IF($T5060="","",IF($X5060&gt;N($X5059),$X5060,""))</f>
        <v/>
      </c>
      <c r="X5060">
        <f>IF($T5060="",N($X5059),IF(MATCH($T5060,$T$6:$T$6005,0)=ROW()-5,N($X5059)+1,N($X5059)))</f>
        <v/>
      </c>
      <c r="Z5060">
        <f>IF($V5060="","",IF($AA5060&gt;N($AA5059),$AA5060,""))</f>
        <v/>
      </c>
      <c r="AA5060">
        <f>IF($V5060="",N($AA5059),IF(MATCH($V5060,$V$6:$V$6005,0)=ROW()-5,N($AA5059)+1,N($AA5059)))</f>
        <v/>
      </c>
    </row>
    <row r="5061" ht="21" customHeight="1" s="66">
      <c r="A5061" s="56" t="n"/>
      <c r="B5061" s="57" t="n"/>
      <c r="C5061" s="57" t="n"/>
      <c r="D5061" s="57" t="n"/>
      <c r="E5061" s="56" t="n"/>
      <c r="F5061" s="57" t="n"/>
      <c r="G5061" s="57" t="n"/>
      <c r="H5061" s="56" t="n"/>
      <c r="I5061" s="56" t="n"/>
      <c r="J5061" s="58" t="n"/>
      <c r="K5061" s="58" t="n"/>
      <c r="L5061" s="13">
        <f>IF(OR($A5061="",AND($J5061="",$K5061="")),"",ROUND(N($J5061)-N($K5061),2))</f>
        <v/>
      </c>
      <c r="M5061" s="13">
        <f>IF(OR($A5061="",AND($J5061="",$K5061="")),"",MIN($J5061,$K5061))</f>
        <v/>
      </c>
      <c r="Q5061">
        <f>IF($A5061="","",$D5061&amp;"("&amp;SUBSTITUTE($E5061," ","")&amp;")")</f>
        <v/>
      </c>
      <c r="R5061">
        <f>IF($A5061="","",$B5061&amp;" - "&amp;$C5061)</f>
        <v/>
      </c>
      <c r="S5061">
        <f>IF($A5061="","",$R5061&amp;"|"&amp;$Q5061)</f>
        <v/>
      </c>
      <c r="T5061">
        <f>IF($A5061="","",$S5061&amp;"|"&amp;$F5061)</f>
        <v/>
      </c>
      <c r="U5061">
        <f>IF($A5061="","",$R5061&amp;"("&amp;$E5061&amp;")")</f>
        <v/>
      </c>
      <c r="V5061">
        <f>IF($A5061="","",$F5061&amp;"|"&amp;$U5061&amp;"|"&amp;$D5061)</f>
        <v/>
      </c>
      <c r="W5061">
        <f>IF($T5061="","",IF($X5061&gt;N($X5060),$X5061,""))</f>
        <v/>
      </c>
      <c r="X5061">
        <f>IF($T5061="",N($X5060),IF(MATCH($T5061,$T$6:$T$6005,0)=ROW()-5,N($X5060)+1,N($X5060)))</f>
        <v/>
      </c>
      <c r="Z5061">
        <f>IF($V5061="","",IF($AA5061&gt;N($AA5060),$AA5061,""))</f>
        <v/>
      </c>
      <c r="AA5061">
        <f>IF($V5061="",N($AA5060),IF(MATCH($V5061,$V$6:$V$6005,0)=ROW()-5,N($AA5060)+1,N($AA5060)))</f>
        <v/>
      </c>
    </row>
    <row r="5062" ht="21" customHeight="1" s="66">
      <c r="A5062" s="56" t="n"/>
      <c r="B5062" s="57" t="n"/>
      <c r="C5062" s="57" t="n"/>
      <c r="D5062" s="57" t="n"/>
      <c r="E5062" s="56" t="n"/>
      <c r="F5062" s="57" t="n"/>
      <c r="G5062" s="57" t="n"/>
      <c r="H5062" s="56" t="n"/>
      <c r="I5062" s="56" t="n"/>
      <c r="J5062" s="58" t="n"/>
      <c r="K5062" s="58" t="n"/>
      <c r="L5062" s="13">
        <f>IF(OR($A5062="",AND($J5062="",$K5062="")),"",ROUND(N($J5062)-N($K5062),2))</f>
        <v/>
      </c>
      <c r="M5062" s="13">
        <f>IF(OR($A5062="",AND($J5062="",$K5062="")),"",MIN($J5062,$K5062))</f>
        <v/>
      </c>
      <c r="Q5062">
        <f>IF($A5062="","",$D5062&amp;"("&amp;SUBSTITUTE($E5062," ","")&amp;")")</f>
        <v/>
      </c>
      <c r="R5062">
        <f>IF($A5062="","",$B5062&amp;" - "&amp;$C5062)</f>
        <v/>
      </c>
      <c r="S5062">
        <f>IF($A5062="","",$R5062&amp;"|"&amp;$Q5062)</f>
        <v/>
      </c>
      <c r="T5062">
        <f>IF($A5062="","",$S5062&amp;"|"&amp;$F5062)</f>
        <v/>
      </c>
      <c r="U5062">
        <f>IF($A5062="","",$R5062&amp;"("&amp;$E5062&amp;")")</f>
        <v/>
      </c>
      <c r="V5062">
        <f>IF($A5062="","",$F5062&amp;"|"&amp;$U5062&amp;"|"&amp;$D5062)</f>
        <v/>
      </c>
      <c r="W5062">
        <f>IF($T5062="","",IF($X5062&gt;N($X5061),$X5062,""))</f>
        <v/>
      </c>
      <c r="X5062">
        <f>IF($T5062="",N($X5061),IF(MATCH($T5062,$T$6:$T$6005,0)=ROW()-5,N($X5061)+1,N($X5061)))</f>
        <v/>
      </c>
      <c r="Z5062">
        <f>IF($V5062="","",IF($AA5062&gt;N($AA5061),$AA5062,""))</f>
        <v/>
      </c>
      <c r="AA5062">
        <f>IF($V5062="",N($AA5061),IF(MATCH($V5062,$V$6:$V$6005,0)=ROW()-5,N($AA5061)+1,N($AA5061)))</f>
        <v/>
      </c>
    </row>
    <row r="5063" ht="21" customHeight="1" s="66">
      <c r="A5063" s="56" t="n"/>
      <c r="B5063" s="57" t="n"/>
      <c r="C5063" s="57" t="n"/>
      <c r="D5063" s="57" t="n"/>
      <c r="E5063" s="56" t="n"/>
      <c r="F5063" s="57" t="n"/>
      <c r="G5063" s="57" t="n"/>
      <c r="H5063" s="56" t="n"/>
      <c r="I5063" s="56" t="n"/>
      <c r="J5063" s="58" t="n"/>
      <c r="K5063" s="58" t="n"/>
      <c r="L5063" s="13">
        <f>IF(OR($A5063="",AND($J5063="",$K5063="")),"",ROUND(N($J5063)-N($K5063),2))</f>
        <v/>
      </c>
      <c r="M5063" s="13">
        <f>IF(OR($A5063="",AND($J5063="",$K5063="")),"",MIN($J5063,$K5063))</f>
        <v/>
      </c>
      <c r="Q5063">
        <f>IF($A5063="","",$D5063&amp;"("&amp;SUBSTITUTE($E5063," ","")&amp;")")</f>
        <v/>
      </c>
      <c r="R5063">
        <f>IF($A5063="","",$B5063&amp;" - "&amp;$C5063)</f>
        <v/>
      </c>
      <c r="S5063">
        <f>IF($A5063="","",$R5063&amp;"|"&amp;$Q5063)</f>
        <v/>
      </c>
      <c r="T5063">
        <f>IF($A5063="","",$S5063&amp;"|"&amp;$F5063)</f>
        <v/>
      </c>
      <c r="U5063">
        <f>IF($A5063="","",$R5063&amp;"("&amp;$E5063&amp;")")</f>
        <v/>
      </c>
      <c r="V5063">
        <f>IF($A5063="","",$F5063&amp;"|"&amp;$U5063&amp;"|"&amp;$D5063)</f>
        <v/>
      </c>
      <c r="W5063">
        <f>IF($T5063="","",IF($X5063&gt;N($X5062),$X5063,""))</f>
        <v/>
      </c>
      <c r="X5063">
        <f>IF($T5063="",N($X5062),IF(MATCH($T5063,$T$6:$T$6005,0)=ROW()-5,N($X5062)+1,N($X5062)))</f>
        <v/>
      </c>
      <c r="Z5063">
        <f>IF($V5063="","",IF($AA5063&gt;N($AA5062),$AA5063,""))</f>
        <v/>
      </c>
      <c r="AA5063">
        <f>IF($V5063="",N($AA5062),IF(MATCH($V5063,$V$6:$V$6005,0)=ROW()-5,N($AA5062)+1,N($AA5062)))</f>
        <v/>
      </c>
    </row>
    <row r="5064" ht="21" customHeight="1" s="66">
      <c r="A5064" s="56" t="n"/>
      <c r="B5064" s="57" t="n"/>
      <c r="C5064" s="57" t="n"/>
      <c r="D5064" s="57" t="n"/>
      <c r="E5064" s="56" t="n"/>
      <c r="F5064" s="57" t="n"/>
      <c r="G5064" s="57" t="n"/>
      <c r="H5064" s="56" t="n"/>
      <c r="I5064" s="56" t="n"/>
      <c r="J5064" s="58" t="n"/>
      <c r="K5064" s="58" t="n"/>
      <c r="L5064" s="13">
        <f>IF(OR($A5064="",AND($J5064="",$K5064="")),"",ROUND(N($J5064)-N($K5064),2))</f>
        <v/>
      </c>
      <c r="M5064" s="13">
        <f>IF(OR($A5064="",AND($J5064="",$K5064="")),"",MIN($J5064,$K5064))</f>
        <v/>
      </c>
      <c r="Q5064">
        <f>IF($A5064="","",$D5064&amp;"("&amp;SUBSTITUTE($E5064," ","")&amp;")")</f>
        <v/>
      </c>
      <c r="R5064">
        <f>IF($A5064="","",$B5064&amp;" - "&amp;$C5064)</f>
        <v/>
      </c>
      <c r="S5064">
        <f>IF($A5064="","",$R5064&amp;"|"&amp;$Q5064)</f>
        <v/>
      </c>
      <c r="T5064">
        <f>IF($A5064="","",$S5064&amp;"|"&amp;$F5064)</f>
        <v/>
      </c>
      <c r="U5064">
        <f>IF($A5064="","",$R5064&amp;"("&amp;$E5064&amp;")")</f>
        <v/>
      </c>
      <c r="V5064">
        <f>IF($A5064="","",$F5064&amp;"|"&amp;$U5064&amp;"|"&amp;$D5064)</f>
        <v/>
      </c>
      <c r="W5064">
        <f>IF($T5064="","",IF($X5064&gt;N($X5063),$X5064,""))</f>
        <v/>
      </c>
      <c r="X5064">
        <f>IF($T5064="",N($X5063),IF(MATCH($T5064,$T$6:$T$6005,0)=ROW()-5,N($X5063)+1,N($X5063)))</f>
        <v/>
      </c>
      <c r="Z5064">
        <f>IF($V5064="","",IF($AA5064&gt;N($AA5063),$AA5064,""))</f>
        <v/>
      </c>
      <c r="AA5064">
        <f>IF($V5064="",N($AA5063),IF(MATCH($V5064,$V$6:$V$6005,0)=ROW()-5,N($AA5063)+1,N($AA5063)))</f>
        <v/>
      </c>
    </row>
    <row r="5065" ht="21" customHeight="1" s="66">
      <c r="A5065" s="56" t="n"/>
      <c r="B5065" s="57" t="n"/>
      <c r="C5065" s="57" t="n"/>
      <c r="D5065" s="57" t="n"/>
      <c r="E5065" s="56" t="n"/>
      <c r="F5065" s="57" t="n"/>
      <c r="G5065" s="57" t="n"/>
      <c r="H5065" s="56" t="n"/>
      <c r="I5065" s="56" t="n"/>
      <c r="J5065" s="58" t="n"/>
      <c r="K5065" s="58" t="n"/>
      <c r="L5065" s="13">
        <f>IF(OR($A5065="",AND($J5065="",$K5065="")),"",ROUND(N($J5065)-N($K5065),2))</f>
        <v/>
      </c>
      <c r="M5065" s="13">
        <f>IF(OR($A5065="",AND($J5065="",$K5065="")),"",MIN($J5065,$K5065))</f>
        <v/>
      </c>
      <c r="Q5065">
        <f>IF($A5065="","",$D5065&amp;"("&amp;SUBSTITUTE($E5065," ","")&amp;")")</f>
        <v/>
      </c>
      <c r="R5065">
        <f>IF($A5065="","",$B5065&amp;" - "&amp;$C5065)</f>
        <v/>
      </c>
      <c r="S5065">
        <f>IF($A5065="","",$R5065&amp;"|"&amp;$Q5065)</f>
        <v/>
      </c>
      <c r="T5065">
        <f>IF($A5065="","",$S5065&amp;"|"&amp;$F5065)</f>
        <v/>
      </c>
      <c r="U5065">
        <f>IF($A5065="","",$R5065&amp;"("&amp;$E5065&amp;")")</f>
        <v/>
      </c>
      <c r="V5065">
        <f>IF($A5065="","",$F5065&amp;"|"&amp;$U5065&amp;"|"&amp;$D5065)</f>
        <v/>
      </c>
      <c r="W5065">
        <f>IF($T5065="","",IF($X5065&gt;N($X5064),$X5065,""))</f>
        <v/>
      </c>
      <c r="X5065">
        <f>IF($T5065="",N($X5064),IF(MATCH($T5065,$T$6:$T$6005,0)=ROW()-5,N($X5064)+1,N($X5064)))</f>
        <v/>
      </c>
      <c r="Z5065">
        <f>IF($V5065="","",IF($AA5065&gt;N($AA5064),$AA5065,""))</f>
        <v/>
      </c>
      <c r="AA5065">
        <f>IF($V5065="",N($AA5064),IF(MATCH($V5065,$V$6:$V$6005,0)=ROW()-5,N($AA5064)+1,N($AA5064)))</f>
        <v/>
      </c>
    </row>
    <row r="5066" ht="21" customHeight="1" s="66">
      <c r="A5066" s="56" t="n"/>
      <c r="B5066" s="57" t="n"/>
      <c r="C5066" s="57" t="n"/>
      <c r="D5066" s="57" t="n"/>
      <c r="E5066" s="56" t="n"/>
      <c r="F5066" s="57" t="n"/>
      <c r="G5066" s="57" t="n"/>
      <c r="H5066" s="56" t="n"/>
      <c r="I5066" s="56" t="n"/>
      <c r="J5066" s="58" t="n"/>
      <c r="K5066" s="58" t="n"/>
      <c r="L5066" s="13">
        <f>IF(OR($A5066="",AND($J5066="",$K5066="")),"",ROUND(N($J5066)-N($K5066),2))</f>
        <v/>
      </c>
      <c r="M5066" s="13">
        <f>IF(OR($A5066="",AND($J5066="",$K5066="")),"",MIN($J5066,$K5066))</f>
        <v/>
      </c>
      <c r="Q5066">
        <f>IF($A5066="","",$D5066&amp;"("&amp;SUBSTITUTE($E5066," ","")&amp;")")</f>
        <v/>
      </c>
      <c r="R5066">
        <f>IF($A5066="","",$B5066&amp;" - "&amp;$C5066)</f>
        <v/>
      </c>
      <c r="S5066">
        <f>IF($A5066="","",$R5066&amp;"|"&amp;$Q5066)</f>
        <v/>
      </c>
      <c r="T5066">
        <f>IF($A5066="","",$S5066&amp;"|"&amp;$F5066)</f>
        <v/>
      </c>
      <c r="U5066">
        <f>IF($A5066="","",$R5066&amp;"("&amp;$E5066&amp;")")</f>
        <v/>
      </c>
      <c r="V5066">
        <f>IF($A5066="","",$F5066&amp;"|"&amp;$U5066&amp;"|"&amp;$D5066)</f>
        <v/>
      </c>
      <c r="W5066">
        <f>IF($T5066="","",IF($X5066&gt;N($X5065),$X5066,""))</f>
        <v/>
      </c>
      <c r="X5066">
        <f>IF($T5066="",N($X5065),IF(MATCH($T5066,$T$6:$T$6005,0)=ROW()-5,N($X5065)+1,N($X5065)))</f>
        <v/>
      </c>
      <c r="Z5066">
        <f>IF($V5066="","",IF($AA5066&gt;N($AA5065),$AA5066,""))</f>
        <v/>
      </c>
      <c r="AA5066">
        <f>IF($V5066="",N($AA5065),IF(MATCH($V5066,$V$6:$V$6005,0)=ROW()-5,N($AA5065)+1,N($AA5065)))</f>
        <v/>
      </c>
    </row>
    <row r="5067" ht="21" customHeight="1" s="66">
      <c r="A5067" s="56" t="n"/>
      <c r="B5067" s="57" t="n"/>
      <c r="C5067" s="57" t="n"/>
      <c r="D5067" s="57" t="n"/>
      <c r="E5067" s="56" t="n"/>
      <c r="F5067" s="57" t="n"/>
      <c r="G5067" s="57" t="n"/>
      <c r="H5067" s="56" t="n"/>
      <c r="I5067" s="56" t="n"/>
      <c r="J5067" s="58" t="n"/>
      <c r="K5067" s="58" t="n"/>
      <c r="L5067" s="13">
        <f>IF(OR($A5067="",AND($J5067="",$K5067="")),"",ROUND(N($J5067)-N($K5067),2))</f>
        <v/>
      </c>
      <c r="M5067" s="13">
        <f>IF(OR($A5067="",AND($J5067="",$K5067="")),"",MIN($J5067,$K5067))</f>
        <v/>
      </c>
      <c r="Q5067">
        <f>IF($A5067="","",$D5067&amp;"("&amp;SUBSTITUTE($E5067," ","")&amp;")")</f>
        <v/>
      </c>
      <c r="R5067">
        <f>IF($A5067="","",$B5067&amp;" - "&amp;$C5067)</f>
        <v/>
      </c>
      <c r="S5067">
        <f>IF($A5067="","",$R5067&amp;"|"&amp;$Q5067)</f>
        <v/>
      </c>
      <c r="T5067">
        <f>IF($A5067="","",$S5067&amp;"|"&amp;$F5067)</f>
        <v/>
      </c>
      <c r="U5067">
        <f>IF($A5067="","",$R5067&amp;"("&amp;$E5067&amp;")")</f>
        <v/>
      </c>
      <c r="V5067">
        <f>IF($A5067="","",$F5067&amp;"|"&amp;$U5067&amp;"|"&amp;$D5067)</f>
        <v/>
      </c>
      <c r="W5067">
        <f>IF($T5067="","",IF($X5067&gt;N($X5066),$X5067,""))</f>
        <v/>
      </c>
      <c r="X5067">
        <f>IF($T5067="",N($X5066),IF(MATCH($T5067,$T$6:$T$6005,0)=ROW()-5,N($X5066)+1,N($X5066)))</f>
        <v/>
      </c>
      <c r="Z5067">
        <f>IF($V5067="","",IF($AA5067&gt;N($AA5066),$AA5067,""))</f>
        <v/>
      </c>
      <c r="AA5067">
        <f>IF($V5067="",N($AA5066),IF(MATCH($V5067,$V$6:$V$6005,0)=ROW()-5,N($AA5066)+1,N($AA5066)))</f>
        <v/>
      </c>
    </row>
    <row r="5068" ht="21" customHeight="1" s="66">
      <c r="A5068" s="56" t="n"/>
      <c r="B5068" s="57" t="n"/>
      <c r="C5068" s="57" t="n"/>
      <c r="D5068" s="57" t="n"/>
      <c r="E5068" s="56" t="n"/>
      <c r="F5068" s="57" t="n"/>
      <c r="G5068" s="57" t="n"/>
      <c r="H5068" s="56" t="n"/>
      <c r="I5068" s="56" t="n"/>
      <c r="J5068" s="58" t="n"/>
      <c r="K5068" s="58" t="n"/>
      <c r="L5068" s="13">
        <f>IF(OR($A5068="",AND($J5068="",$K5068="")),"",ROUND(N($J5068)-N($K5068),2))</f>
        <v/>
      </c>
      <c r="M5068" s="13">
        <f>IF(OR($A5068="",AND($J5068="",$K5068="")),"",MIN($J5068,$K5068))</f>
        <v/>
      </c>
      <c r="Q5068">
        <f>IF($A5068="","",$D5068&amp;"("&amp;SUBSTITUTE($E5068," ","")&amp;")")</f>
        <v/>
      </c>
      <c r="R5068">
        <f>IF($A5068="","",$B5068&amp;" - "&amp;$C5068)</f>
        <v/>
      </c>
      <c r="S5068">
        <f>IF($A5068="","",$R5068&amp;"|"&amp;$Q5068)</f>
        <v/>
      </c>
      <c r="T5068">
        <f>IF($A5068="","",$S5068&amp;"|"&amp;$F5068)</f>
        <v/>
      </c>
      <c r="U5068">
        <f>IF($A5068="","",$R5068&amp;"("&amp;$E5068&amp;")")</f>
        <v/>
      </c>
      <c r="V5068">
        <f>IF($A5068="","",$F5068&amp;"|"&amp;$U5068&amp;"|"&amp;$D5068)</f>
        <v/>
      </c>
      <c r="W5068">
        <f>IF($T5068="","",IF($X5068&gt;N($X5067),$X5068,""))</f>
        <v/>
      </c>
      <c r="X5068">
        <f>IF($T5068="",N($X5067),IF(MATCH($T5068,$T$6:$T$6005,0)=ROW()-5,N($X5067)+1,N($X5067)))</f>
        <v/>
      </c>
      <c r="Z5068">
        <f>IF($V5068="","",IF($AA5068&gt;N($AA5067),$AA5068,""))</f>
        <v/>
      </c>
      <c r="AA5068">
        <f>IF($V5068="",N($AA5067),IF(MATCH($V5068,$V$6:$V$6005,0)=ROW()-5,N($AA5067)+1,N($AA5067)))</f>
        <v/>
      </c>
    </row>
    <row r="5069" ht="21" customHeight="1" s="66">
      <c r="A5069" s="56" t="n"/>
      <c r="B5069" s="57" t="n"/>
      <c r="C5069" s="57" t="n"/>
      <c r="D5069" s="57" t="n"/>
      <c r="E5069" s="56" t="n"/>
      <c r="F5069" s="57" t="n"/>
      <c r="G5069" s="57" t="n"/>
      <c r="H5069" s="56" t="n"/>
      <c r="I5069" s="56" t="n"/>
      <c r="J5069" s="58" t="n"/>
      <c r="K5069" s="58" t="n"/>
      <c r="L5069" s="13">
        <f>IF(OR($A5069="",AND($J5069="",$K5069="")),"",ROUND(N($J5069)-N($K5069),2))</f>
        <v/>
      </c>
      <c r="M5069" s="13">
        <f>IF(OR($A5069="",AND($J5069="",$K5069="")),"",MIN($J5069,$K5069))</f>
        <v/>
      </c>
      <c r="Q5069">
        <f>IF($A5069="","",$D5069&amp;"("&amp;SUBSTITUTE($E5069," ","")&amp;")")</f>
        <v/>
      </c>
      <c r="R5069">
        <f>IF($A5069="","",$B5069&amp;" - "&amp;$C5069)</f>
        <v/>
      </c>
      <c r="S5069">
        <f>IF($A5069="","",$R5069&amp;"|"&amp;$Q5069)</f>
        <v/>
      </c>
      <c r="T5069">
        <f>IF($A5069="","",$S5069&amp;"|"&amp;$F5069)</f>
        <v/>
      </c>
      <c r="U5069">
        <f>IF($A5069="","",$R5069&amp;"("&amp;$E5069&amp;")")</f>
        <v/>
      </c>
      <c r="V5069">
        <f>IF($A5069="","",$F5069&amp;"|"&amp;$U5069&amp;"|"&amp;$D5069)</f>
        <v/>
      </c>
      <c r="W5069">
        <f>IF($T5069="","",IF($X5069&gt;N($X5068),$X5069,""))</f>
        <v/>
      </c>
      <c r="X5069">
        <f>IF($T5069="",N($X5068),IF(MATCH($T5069,$T$6:$T$6005,0)=ROW()-5,N($X5068)+1,N($X5068)))</f>
        <v/>
      </c>
      <c r="Z5069">
        <f>IF($V5069="","",IF($AA5069&gt;N($AA5068),$AA5069,""))</f>
        <v/>
      </c>
      <c r="AA5069">
        <f>IF($V5069="",N($AA5068),IF(MATCH($V5069,$V$6:$V$6005,0)=ROW()-5,N($AA5068)+1,N($AA5068)))</f>
        <v/>
      </c>
    </row>
    <row r="5070" ht="21" customHeight="1" s="66">
      <c r="A5070" s="56" t="n"/>
      <c r="B5070" s="57" t="n"/>
      <c r="C5070" s="57" t="n"/>
      <c r="D5070" s="57" t="n"/>
      <c r="E5070" s="56" t="n"/>
      <c r="F5070" s="57" t="n"/>
      <c r="G5070" s="57" t="n"/>
      <c r="H5070" s="56" t="n"/>
      <c r="I5070" s="56" t="n"/>
      <c r="J5070" s="58" t="n"/>
      <c r="K5070" s="58" t="n"/>
      <c r="L5070" s="13">
        <f>IF(OR($A5070="",AND($J5070="",$K5070="")),"",ROUND(N($J5070)-N($K5070),2))</f>
        <v/>
      </c>
      <c r="M5070" s="13">
        <f>IF(OR($A5070="",AND($J5070="",$K5070="")),"",MIN($J5070,$K5070))</f>
        <v/>
      </c>
      <c r="Q5070">
        <f>IF($A5070="","",$D5070&amp;"("&amp;SUBSTITUTE($E5070," ","")&amp;")")</f>
        <v/>
      </c>
      <c r="R5070">
        <f>IF($A5070="","",$B5070&amp;" - "&amp;$C5070)</f>
        <v/>
      </c>
      <c r="S5070">
        <f>IF($A5070="","",$R5070&amp;"|"&amp;$Q5070)</f>
        <v/>
      </c>
      <c r="T5070">
        <f>IF($A5070="","",$S5070&amp;"|"&amp;$F5070)</f>
        <v/>
      </c>
      <c r="U5070">
        <f>IF($A5070="","",$R5070&amp;"("&amp;$E5070&amp;")")</f>
        <v/>
      </c>
      <c r="V5070">
        <f>IF($A5070="","",$F5070&amp;"|"&amp;$U5070&amp;"|"&amp;$D5070)</f>
        <v/>
      </c>
      <c r="W5070">
        <f>IF($T5070="","",IF($X5070&gt;N($X5069),$X5070,""))</f>
        <v/>
      </c>
      <c r="X5070">
        <f>IF($T5070="",N($X5069),IF(MATCH($T5070,$T$6:$T$6005,0)=ROW()-5,N($X5069)+1,N($X5069)))</f>
        <v/>
      </c>
      <c r="Z5070">
        <f>IF($V5070="","",IF($AA5070&gt;N($AA5069),$AA5070,""))</f>
        <v/>
      </c>
      <c r="AA5070">
        <f>IF($V5070="",N($AA5069),IF(MATCH($V5070,$V$6:$V$6005,0)=ROW()-5,N($AA5069)+1,N($AA5069)))</f>
        <v/>
      </c>
    </row>
    <row r="5071" ht="21" customHeight="1" s="66">
      <c r="A5071" s="56" t="n"/>
      <c r="B5071" s="57" t="n"/>
      <c r="C5071" s="57" t="n"/>
      <c r="D5071" s="57" t="n"/>
      <c r="E5071" s="56" t="n"/>
      <c r="F5071" s="57" t="n"/>
      <c r="G5071" s="57" t="n"/>
      <c r="H5071" s="56" t="n"/>
      <c r="I5071" s="56" t="n"/>
      <c r="J5071" s="58" t="n"/>
      <c r="K5071" s="58" t="n"/>
      <c r="L5071" s="13">
        <f>IF(OR($A5071="",AND($J5071="",$K5071="")),"",ROUND(N($J5071)-N($K5071),2))</f>
        <v/>
      </c>
      <c r="M5071" s="13">
        <f>IF(OR($A5071="",AND($J5071="",$K5071="")),"",MIN($J5071,$K5071))</f>
        <v/>
      </c>
      <c r="Q5071">
        <f>IF($A5071="","",$D5071&amp;"("&amp;SUBSTITUTE($E5071," ","")&amp;")")</f>
        <v/>
      </c>
      <c r="R5071">
        <f>IF($A5071="","",$B5071&amp;" - "&amp;$C5071)</f>
        <v/>
      </c>
      <c r="S5071">
        <f>IF($A5071="","",$R5071&amp;"|"&amp;$Q5071)</f>
        <v/>
      </c>
      <c r="T5071">
        <f>IF($A5071="","",$S5071&amp;"|"&amp;$F5071)</f>
        <v/>
      </c>
      <c r="U5071">
        <f>IF($A5071="","",$R5071&amp;"("&amp;$E5071&amp;")")</f>
        <v/>
      </c>
      <c r="V5071">
        <f>IF($A5071="","",$F5071&amp;"|"&amp;$U5071&amp;"|"&amp;$D5071)</f>
        <v/>
      </c>
      <c r="W5071">
        <f>IF($T5071="","",IF($X5071&gt;N($X5070),$X5071,""))</f>
        <v/>
      </c>
      <c r="X5071">
        <f>IF($T5071="",N($X5070),IF(MATCH($T5071,$T$6:$T$6005,0)=ROW()-5,N($X5070)+1,N($X5070)))</f>
        <v/>
      </c>
      <c r="Z5071">
        <f>IF($V5071="","",IF($AA5071&gt;N($AA5070),$AA5071,""))</f>
        <v/>
      </c>
      <c r="AA5071">
        <f>IF($V5071="",N($AA5070),IF(MATCH($V5071,$V$6:$V$6005,0)=ROW()-5,N($AA5070)+1,N($AA5070)))</f>
        <v/>
      </c>
    </row>
    <row r="5072" ht="21" customHeight="1" s="66">
      <c r="A5072" s="56" t="n"/>
      <c r="B5072" s="57" t="n"/>
      <c r="C5072" s="57" t="n"/>
      <c r="D5072" s="57" t="n"/>
      <c r="E5072" s="56" t="n"/>
      <c r="F5072" s="57" t="n"/>
      <c r="G5072" s="57" t="n"/>
      <c r="H5072" s="56" t="n"/>
      <c r="I5072" s="56" t="n"/>
      <c r="J5072" s="58" t="n"/>
      <c r="K5072" s="58" t="n"/>
      <c r="L5072" s="13">
        <f>IF(OR($A5072="",AND($J5072="",$K5072="")),"",ROUND(N($J5072)-N($K5072),2))</f>
        <v/>
      </c>
      <c r="M5072" s="13">
        <f>IF(OR($A5072="",AND($J5072="",$K5072="")),"",MIN($J5072,$K5072))</f>
        <v/>
      </c>
      <c r="Q5072">
        <f>IF($A5072="","",$D5072&amp;"("&amp;SUBSTITUTE($E5072," ","")&amp;")")</f>
        <v/>
      </c>
      <c r="R5072">
        <f>IF($A5072="","",$B5072&amp;" - "&amp;$C5072)</f>
        <v/>
      </c>
      <c r="S5072">
        <f>IF($A5072="","",$R5072&amp;"|"&amp;$Q5072)</f>
        <v/>
      </c>
      <c r="T5072">
        <f>IF($A5072="","",$S5072&amp;"|"&amp;$F5072)</f>
        <v/>
      </c>
      <c r="U5072">
        <f>IF($A5072="","",$R5072&amp;"("&amp;$E5072&amp;")")</f>
        <v/>
      </c>
      <c r="V5072">
        <f>IF($A5072="","",$F5072&amp;"|"&amp;$U5072&amp;"|"&amp;$D5072)</f>
        <v/>
      </c>
      <c r="W5072">
        <f>IF($T5072="","",IF($X5072&gt;N($X5071),$X5072,""))</f>
        <v/>
      </c>
      <c r="X5072">
        <f>IF($T5072="",N($X5071),IF(MATCH($T5072,$T$6:$T$6005,0)=ROW()-5,N($X5071)+1,N($X5071)))</f>
        <v/>
      </c>
      <c r="Z5072">
        <f>IF($V5072="","",IF($AA5072&gt;N($AA5071),$AA5072,""))</f>
        <v/>
      </c>
      <c r="AA5072">
        <f>IF($V5072="",N($AA5071),IF(MATCH($V5072,$V$6:$V$6005,0)=ROW()-5,N($AA5071)+1,N($AA5071)))</f>
        <v/>
      </c>
    </row>
    <row r="5073" ht="21" customHeight="1" s="66">
      <c r="A5073" s="56" t="n"/>
      <c r="B5073" s="57" t="n"/>
      <c r="C5073" s="57" t="n"/>
      <c r="D5073" s="57" t="n"/>
      <c r="E5073" s="56" t="n"/>
      <c r="F5073" s="57" t="n"/>
      <c r="G5073" s="57" t="n"/>
      <c r="H5073" s="56" t="n"/>
      <c r="I5073" s="56" t="n"/>
      <c r="J5073" s="58" t="n"/>
      <c r="K5073" s="58" t="n"/>
      <c r="L5073" s="13">
        <f>IF(OR($A5073="",AND($J5073="",$K5073="")),"",ROUND(N($J5073)-N($K5073),2))</f>
        <v/>
      </c>
      <c r="M5073" s="13">
        <f>IF(OR($A5073="",AND($J5073="",$K5073="")),"",MIN($J5073,$K5073))</f>
        <v/>
      </c>
      <c r="Q5073">
        <f>IF($A5073="","",$D5073&amp;"("&amp;SUBSTITUTE($E5073," ","")&amp;")")</f>
        <v/>
      </c>
      <c r="R5073">
        <f>IF($A5073="","",$B5073&amp;" - "&amp;$C5073)</f>
        <v/>
      </c>
      <c r="S5073">
        <f>IF($A5073="","",$R5073&amp;"|"&amp;$Q5073)</f>
        <v/>
      </c>
      <c r="T5073">
        <f>IF($A5073="","",$S5073&amp;"|"&amp;$F5073)</f>
        <v/>
      </c>
      <c r="U5073">
        <f>IF($A5073="","",$R5073&amp;"("&amp;$E5073&amp;")")</f>
        <v/>
      </c>
      <c r="V5073">
        <f>IF($A5073="","",$F5073&amp;"|"&amp;$U5073&amp;"|"&amp;$D5073)</f>
        <v/>
      </c>
      <c r="W5073">
        <f>IF($T5073="","",IF($X5073&gt;N($X5072),$X5073,""))</f>
        <v/>
      </c>
      <c r="X5073">
        <f>IF($T5073="",N($X5072),IF(MATCH($T5073,$T$6:$T$6005,0)=ROW()-5,N($X5072)+1,N($X5072)))</f>
        <v/>
      </c>
      <c r="Z5073">
        <f>IF($V5073="","",IF($AA5073&gt;N($AA5072),$AA5073,""))</f>
        <v/>
      </c>
      <c r="AA5073">
        <f>IF($V5073="",N($AA5072),IF(MATCH($V5073,$V$6:$V$6005,0)=ROW()-5,N($AA5072)+1,N($AA5072)))</f>
        <v/>
      </c>
    </row>
    <row r="5074" ht="21" customHeight="1" s="66">
      <c r="A5074" s="56" t="n"/>
      <c r="B5074" s="57" t="n"/>
      <c r="C5074" s="57" t="n"/>
      <c r="D5074" s="57" t="n"/>
      <c r="E5074" s="56" t="n"/>
      <c r="F5074" s="57" t="n"/>
      <c r="G5074" s="57" t="n"/>
      <c r="H5074" s="56" t="n"/>
      <c r="I5074" s="56" t="n"/>
      <c r="J5074" s="58" t="n"/>
      <c r="K5074" s="58" t="n"/>
      <c r="L5074" s="13">
        <f>IF(OR($A5074="",AND($J5074="",$K5074="")),"",ROUND(N($J5074)-N($K5074),2))</f>
        <v/>
      </c>
      <c r="M5074" s="13">
        <f>IF(OR($A5074="",AND($J5074="",$K5074="")),"",MIN($J5074,$K5074))</f>
        <v/>
      </c>
      <c r="Q5074">
        <f>IF($A5074="","",$D5074&amp;"("&amp;SUBSTITUTE($E5074," ","")&amp;")")</f>
        <v/>
      </c>
      <c r="R5074">
        <f>IF($A5074="","",$B5074&amp;" - "&amp;$C5074)</f>
        <v/>
      </c>
      <c r="S5074">
        <f>IF($A5074="","",$R5074&amp;"|"&amp;$Q5074)</f>
        <v/>
      </c>
      <c r="T5074">
        <f>IF($A5074="","",$S5074&amp;"|"&amp;$F5074)</f>
        <v/>
      </c>
      <c r="U5074">
        <f>IF($A5074="","",$R5074&amp;"("&amp;$E5074&amp;")")</f>
        <v/>
      </c>
      <c r="V5074">
        <f>IF($A5074="","",$F5074&amp;"|"&amp;$U5074&amp;"|"&amp;$D5074)</f>
        <v/>
      </c>
      <c r="W5074">
        <f>IF($T5074="","",IF($X5074&gt;N($X5073),$X5074,""))</f>
        <v/>
      </c>
      <c r="X5074">
        <f>IF($T5074="",N($X5073),IF(MATCH($T5074,$T$6:$T$6005,0)=ROW()-5,N($X5073)+1,N($X5073)))</f>
        <v/>
      </c>
      <c r="Z5074">
        <f>IF($V5074="","",IF($AA5074&gt;N($AA5073),$AA5074,""))</f>
        <v/>
      </c>
      <c r="AA5074">
        <f>IF($V5074="",N($AA5073),IF(MATCH($V5074,$V$6:$V$6005,0)=ROW()-5,N($AA5073)+1,N($AA5073)))</f>
        <v/>
      </c>
    </row>
    <row r="5075" ht="21" customHeight="1" s="66">
      <c r="A5075" s="56" t="n"/>
      <c r="B5075" s="57" t="n"/>
      <c r="C5075" s="57" t="n"/>
      <c r="D5075" s="57" t="n"/>
      <c r="E5075" s="56" t="n"/>
      <c r="F5075" s="57" t="n"/>
      <c r="G5075" s="57" t="n"/>
      <c r="H5075" s="56" t="n"/>
      <c r="I5075" s="56" t="n"/>
      <c r="J5075" s="58" t="n"/>
      <c r="K5075" s="58" t="n"/>
      <c r="L5075" s="13">
        <f>IF(OR($A5075="",AND($J5075="",$K5075="")),"",ROUND(N($J5075)-N($K5075),2))</f>
        <v/>
      </c>
      <c r="M5075" s="13">
        <f>IF(OR($A5075="",AND($J5075="",$K5075="")),"",MIN($J5075,$K5075))</f>
        <v/>
      </c>
      <c r="Q5075">
        <f>IF($A5075="","",$D5075&amp;"("&amp;SUBSTITUTE($E5075," ","")&amp;")")</f>
        <v/>
      </c>
      <c r="R5075">
        <f>IF($A5075="","",$B5075&amp;" - "&amp;$C5075)</f>
        <v/>
      </c>
      <c r="S5075">
        <f>IF($A5075="","",$R5075&amp;"|"&amp;$Q5075)</f>
        <v/>
      </c>
      <c r="T5075">
        <f>IF($A5075="","",$S5075&amp;"|"&amp;$F5075)</f>
        <v/>
      </c>
      <c r="U5075">
        <f>IF($A5075="","",$R5075&amp;"("&amp;$E5075&amp;")")</f>
        <v/>
      </c>
      <c r="V5075">
        <f>IF($A5075="","",$F5075&amp;"|"&amp;$U5075&amp;"|"&amp;$D5075)</f>
        <v/>
      </c>
      <c r="W5075">
        <f>IF($T5075="","",IF($X5075&gt;N($X5074),$X5075,""))</f>
        <v/>
      </c>
      <c r="X5075">
        <f>IF($T5075="",N($X5074),IF(MATCH($T5075,$T$6:$T$6005,0)=ROW()-5,N($X5074)+1,N($X5074)))</f>
        <v/>
      </c>
      <c r="Z5075">
        <f>IF($V5075="","",IF($AA5075&gt;N($AA5074),$AA5075,""))</f>
        <v/>
      </c>
      <c r="AA5075">
        <f>IF($V5075="",N($AA5074),IF(MATCH($V5075,$V$6:$V$6005,0)=ROW()-5,N($AA5074)+1,N($AA5074)))</f>
        <v/>
      </c>
    </row>
    <row r="5076" ht="21" customHeight="1" s="66">
      <c r="A5076" s="56" t="n"/>
      <c r="B5076" s="57" t="n"/>
      <c r="C5076" s="57" t="n"/>
      <c r="D5076" s="57" t="n"/>
      <c r="E5076" s="56" t="n"/>
      <c r="F5076" s="57" t="n"/>
      <c r="G5076" s="57" t="n"/>
      <c r="H5076" s="56" t="n"/>
      <c r="I5076" s="56" t="n"/>
      <c r="J5076" s="58" t="n"/>
      <c r="K5076" s="58" t="n"/>
      <c r="L5076" s="13">
        <f>IF(OR($A5076="",AND($J5076="",$K5076="")),"",ROUND(N($J5076)-N($K5076),2))</f>
        <v/>
      </c>
      <c r="M5076" s="13">
        <f>IF(OR($A5076="",AND($J5076="",$K5076="")),"",MIN($J5076,$K5076))</f>
        <v/>
      </c>
      <c r="Q5076">
        <f>IF($A5076="","",$D5076&amp;"("&amp;SUBSTITUTE($E5076," ","")&amp;")")</f>
        <v/>
      </c>
      <c r="R5076">
        <f>IF($A5076="","",$B5076&amp;" - "&amp;$C5076)</f>
        <v/>
      </c>
      <c r="S5076">
        <f>IF($A5076="","",$R5076&amp;"|"&amp;$Q5076)</f>
        <v/>
      </c>
      <c r="T5076">
        <f>IF($A5076="","",$S5076&amp;"|"&amp;$F5076)</f>
        <v/>
      </c>
      <c r="U5076">
        <f>IF($A5076="","",$R5076&amp;"("&amp;$E5076&amp;")")</f>
        <v/>
      </c>
      <c r="V5076">
        <f>IF($A5076="","",$F5076&amp;"|"&amp;$U5076&amp;"|"&amp;$D5076)</f>
        <v/>
      </c>
      <c r="W5076">
        <f>IF($T5076="","",IF($X5076&gt;N($X5075),$X5076,""))</f>
        <v/>
      </c>
      <c r="X5076">
        <f>IF($T5076="",N($X5075),IF(MATCH($T5076,$T$6:$T$6005,0)=ROW()-5,N($X5075)+1,N($X5075)))</f>
        <v/>
      </c>
      <c r="Z5076">
        <f>IF($V5076="","",IF($AA5076&gt;N($AA5075),$AA5076,""))</f>
        <v/>
      </c>
      <c r="AA5076">
        <f>IF($V5076="",N($AA5075),IF(MATCH($V5076,$V$6:$V$6005,0)=ROW()-5,N($AA5075)+1,N($AA5075)))</f>
        <v/>
      </c>
    </row>
    <row r="5077" ht="21" customHeight="1" s="66">
      <c r="A5077" s="56" t="n"/>
      <c r="B5077" s="57" t="n"/>
      <c r="C5077" s="57" t="n"/>
      <c r="D5077" s="57" t="n"/>
      <c r="E5077" s="56" t="n"/>
      <c r="F5077" s="57" t="n"/>
      <c r="G5077" s="57" t="n"/>
      <c r="H5077" s="56" t="n"/>
      <c r="I5077" s="56" t="n"/>
      <c r="J5077" s="58" t="n"/>
      <c r="K5077" s="58" t="n"/>
      <c r="L5077" s="13">
        <f>IF(OR($A5077="",AND($J5077="",$K5077="")),"",ROUND(N($J5077)-N($K5077),2))</f>
        <v/>
      </c>
      <c r="M5077" s="13">
        <f>IF(OR($A5077="",AND($J5077="",$K5077="")),"",MIN($J5077,$K5077))</f>
        <v/>
      </c>
      <c r="Q5077">
        <f>IF($A5077="","",$D5077&amp;"("&amp;SUBSTITUTE($E5077," ","")&amp;")")</f>
        <v/>
      </c>
      <c r="R5077">
        <f>IF($A5077="","",$B5077&amp;" - "&amp;$C5077)</f>
        <v/>
      </c>
      <c r="S5077">
        <f>IF($A5077="","",$R5077&amp;"|"&amp;$Q5077)</f>
        <v/>
      </c>
      <c r="T5077">
        <f>IF($A5077="","",$S5077&amp;"|"&amp;$F5077)</f>
        <v/>
      </c>
      <c r="U5077">
        <f>IF($A5077="","",$R5077&amp;"("&amp;$E5077&amp;")")</f>
        <v/>
      </c>
      <c r="V5077">
        <f>IF($A5077="","",$F5077&amp;"|"&amp;$U5077&amp;"|"&amp;$D5077)</f>
        <v/>
      </c>
      <c r="W5077">
        <f>IF($T5077="","",IF($X5077&gt;N($X5076),$X5077,""))</f>
        <v/>
      </c>
      <c r="X5077">
        <f>IF($T5077="",N($X5076),IF(MATCH($T5077,$T$6:$T$6005,0)=ROW()-5,N($X5076)+1,N($X5076)))</f>
        <v/>
      </c>
      <c r="Z5077">
        <f>IF($V5077="","",IF($AA5077&gt;N($AA5076),$AA5077,""))</f>
        <v/>
      </c>
      <c r="AA5077">
        <f>IF($V5077="",N($AA5076),IF(MATCH($V5077,$V$6:$V$6005,0)=ROW()-5,N($AA5076)+1,N($AA5076)))</f>
        <v/>
      </c>
    </row>
    <row r="5078" ht="21" customHeight="1" s="66">
      <c r="A5078" s="56" t="n"/>
      <c r="B5078" s="57" t="n"/>
      <c r="C5078" s="57" t="n"/>
      <c r="D5078" s="57" t="n"/>
      <c r="E5078" s="56" t="n"/>
      <c r="F5078" s="57" t="n"/>
      <c r="G5078" s="57" t="n"/>
      <c r="H5078" s="56" t="n"/>
      <c r="I5078" s="56" t="n"/>
      <c r="J5078" s="58" t="n"/>
      <c r="K5078" s="58" t="n"/>
      <c r="L5078" s="13">
        <f>IF(OR($A5078="",AND($J5078="",$K5078="")),"",ROUND(N($J5078)-N($K5078),2))</f>
        <v/>
      </c>
      <c r="M5078" s="13">
        <f>IF(OR($A5078="",AND($J5078="",$K5078="")),"",MIN($J5078,$K5078))</f>
        <v/>
      </c>
      <c r="Q5078">
        <f>IF($A5078="","",$D5078&amp;"("&amp;SUBSTITUTE($E5078," ","")&amp;")")</f>
        <v/>
      </c>
      <c r="R5078">
        <f>IF($A5078="","",$B5078&amp;" - "&amp;$C5078)</f>
        <v/>
      </c>
      <c r="S5078">
        <f>IF($A5078="","",$R5078&amp;"|"&amp;$Q5078)</f>
        <v/>
      </c>
      <c r="T5078">
        <f>IF($A5078="","",$S5078&amp;"|"&amp;$F5078)</f>
        <v/>
      </c>
      <c r="U5078">
        <f>IF($A5078="","",$R5078&amp;"("&amp;$E5078&amp;")")</f>
        <v/>
      </c>
      <c r="V5078">
        <f>IF($A5078="","",$F5078&amp;"|"&amp;$U5078&amp;"|"&amp;$D5078)</f>
        <v/>
      </c>
      <c r="W5078">
        <f>IF($T5078="","",IF($X5078&gt;N($X5077),$X5078,""))</f>
        <v/>
      </c>
      <c r="X5078">
        <f>IF($T5078="",N($X5077),IF(MATCH($T5078,$T$6:$T$6005,0)=ROW()-5,N($X5077)+1,N($X5077)))</f>
        <v/>
      </c>
      <c r="Z5078">
        <f>IF($V5078="","",IF($AA5078&gt;N($AA5077),$AA5078,""))</f>
        <v/>
      </c>
      <c r="AA5078">
        <f>IF($V5078="",N($AA5077),IF(MATCH($V5078,$V$6:$V$6005,0)=ROW()-5,N($AA5077)+1,N($AA5077)))</f>
        <v/>
      </c>
    </row>
    <row r="5079" ht="21" customHeight="1" s="66">
      <c r="A5079" s="56" t="n"/>
      <c r="B5079" s="57" t="n"/>
      <c r="C5079" s="57" t="n"/>
      <c r="D5079" s="57" t="n"/>
      <c r="E5079" s="56" t="n"/>
      <c r="F5079" s="57" t="n"/>
      <c r="G5079" s="57" t="n"/>
      <c r="H5079" s="56" t="n"/>
      <c r="I5079" s="56" t="n"/>
      <c r="J5079" s="58" t="n"/>
      <c r="K5079" s="58" t="n"/>
      <c r="L5079" s="13">
        <f>IF(OR($A5079="",AND($J5079="",$K5079="")),"",ROUND(N($J5079)-N($K5079),2))</f>
        <v/>
      </c>
      <c r="M5079" s="13">
        <f>IF(OR($A5079="",AND($J5079="",$K5079="")),"",MIN($J5079,$K5079))</f>
        <v/>
      </c>
      <c r="Q5079">
        <f>IF($A5079="","",$D5079&amp;"("&amp;SUBSTITUTE($E5079," ","")&amp;")")</f>
        <v/>
      </c>
      <c r="R5079">
        <f>IF($A5079="","",$B5079&amp;" - "&amp;$C5079)</f>
        <v/>
      </c>
      <c r="S5079">
        <f>IF($A5079="","",$R5079&amp;"|"&amp;$Q5079)</f>
        <v/>
      </c>
      <c r="T5079">
        <f>IF($A5079="","",$S5079&amp;"|"&amp;$F5079)</f>
        <v/>
      </c>
      <c r="U5079">
        <f>IF($A5079="","",$R5079&amp;"("&amp;$E5079&amp;")")</f>
        <v/>
      </c>
      <c r="V5079">
        <f>IF($A5079="","",$F5079&amp;"|"&amp;$U5079&amp;"|"&amp;$D5079)</f>
        <v/>
      </c>
      <c r="W5079">
        <f>IF($T5079="","",IF($X5079&gt;N($X5078),$X5079,""))</f>
        <v/>
      </c>
      <c r="X5079">
        <f>IF($T5079="",N($X5078),IF(MATCH($T5079,$T$6:$T$6005,0)=ROW()-5,N($X5078)+1,N($X5078)))</f>
        <v/>
      </c>
      <c r="Z5079">
        <f>IF($V5079="","",IF($AA5079&gt;N($AA5078),$AA5079,""))</f>
        <v/>
      </c>
      <c r="AA5079">
        <f>IF($V5079="",N($AA5078),IF(MATCH($V5079,$V$6:$V$6005,0)=ROW()-5,N($AA5078)+1,N($AA5078)))</f>
        <v/>
      </c>
    </row>
    <row r="5080" ht="21" customHeight="1" s="66">
      <c r="A5080" s="56" t="n"/>
      <c r="B5080" s="57" t="n"/>
      <c r="C5080" s="57" t="n"/>
      <c r="D5080" s="57" t="n"/>
      <c r="E5080" s="56" t="n"/>
      <c r="F5080" s="57" t="n"/>
      <c r="G5080" s="57" t="n"/>
      <c r="H5080" s="56" t="n"/>
      <c r="I5080" s="56" t="n"/>
      <c r="J5080" s="58" t="n"/>
      <c r="K5080" s="58" t="n"/>
      <c r="L5080" s="13">
        <f>IF(OR($A5080="",AND($J5080="",$K5080="")),"",ROUND(N($J5080)-N($K5080),2))</f>
        <v/>
      </c>
      <c r="M5080" s="13">
        <f>IF(OR($A5080="",AND($J5080="",$K5080="")),"",MIN($J5080,$K5080))</f>
        <v/>
      </c>
      <c r="Q5080">
        <f>IF($A5080="","",$D5080&amp;"("&amp;SUBSTITUTE($E5080," ","")&amp;")")</f>
        <v/>
      </c>
      <c r="R5080">
        <f>IF($A5080="","",$B5080&amp;" - "&amp;$C5080)</f>
        <v/>
      </c>
      <c r="S5080">
        <f>IF($A5080="","",$R5080&amp;"|"&amp;$Q5080)</f>
        <v/>
      </c>
      <c r="T5080">
        <f>IF($A5080="","",$S5080&amp;"|"&amp;$F5080)</f>
        <v/>
      </c>
      <c r="U5080">
        <f>IF($A5080="","",$R5080&amp;"("&amp;$E5080&amp;")")</f>
        <v/>
      </c>
      <c r="V5080">
        <f>IF($A5080="","",$F5080&amp;"|"&amp;$U5080&amp;"|"&amp;$D5080)</f>
        <v/>
      </c>
      <c r="W5080">
        <f>IF($T5080="","",IF($X5080&gt;N($X5079),$X5080,""))</f>
        <v/>
      </c>
      <c r="X5080">
        <f>IF($T5080="",N($X5079),IF(MATCH($T5080,$T$6:$T$6005,0)=ROW()-5,N($X5079)+1,N($X5079)))</f>
        <v/>
      </c>
      <c r="Z5080">
        <f>IF($V5080="","",IF($AA5080&gt;N($AA5079),$AA5080,""))</f>
        <v/>
      </c>
      <c r="AA5080">
        <f>IF($V5080="",N($AA5079),IF(MATCH($V5080,$V$6:$V$6005,0)=ROW()-5,N($AA5079)+1,N($AA5079)))</f>
        <v/>
      </c>
    </row>
    <row r="5081" ht="21" customHeight="1" s="66">
      <c r="A5081" s="56" t="n"/>
      <c r="B5081" s="57" t="n"/>
      <c r="C5081" s="57" t="n"/>
      <c r="D5081" s="57" t="n"/>
      <c r="E5081" s="56" t="n"/>
      <c r="F5081" s="57" t="n"/>
      <c r="G5081" s="57" t="n"/>
      <c r="H5081" s="56" t="n"/>
      <c r="I5081" s="56" t="n"/>
      <c r="J5081" s="58" t="n"/>
      <c r="K5081" s="58" t="n"/>
      <c r="L5081" s="13">
        <f>IF(OR($A5081="",AND($J5081="",$K5081="")),"",ROUND(N($J5081)-N($K5081),2))</f>
        <v/>
      </c>
      <c r="M5081" s="13">
        <f>IF(OR($A5081="",AND($J5081="",$K5081="")),"",MIN($J5081,$K5081))</f>
        <v/>
      </c>
      <c r="Q5081">
        <f>IF($A5081="","",$D5081&amp;"("&amp;SUBSTITUTE($E5081," ","")&amp;")")</f>
        <v/>
      </c>
      <c r="R5081">
        <f>IF($A5081="","",$B5081&amp;" - "&amp;$C5081)</f>
        <v/>
      </c>
      <c r="S5081">
        <f>IF($A5081="","",$R5081&amp;"|"&amp;$Q5081)</f>
        <v/>
      </c>
      <c r="T5081">
        <f>IF($A5081="","",$S5081&amp;"|"&amp;$F5081)</f>
        <v/>
      </c>
      <c r="U5081">
        <f>IF($A5081="","",$R5081&amp;"("&amp;$E5081&amp;")")</f>
        <v/>
      </c>
      <c r="V5081">
        <f>IF($A5081="","",$F5081&amp;"|"&amp;$U5081&amp;"|"&amp;$D5081)</f>
        <v/>
      </c>
      <c r="W5081">
        <f>IF($T5081="","",IF($X5081&gt;N($X5080),$X5081,""))</f>
        <v/>
      </c>
      <c r="X5081">
        <f>IF($T5081="",N($X5080),IF(MATCH($T5081,$T$6:$T$6005,0)=ROW()-5,N($X5080)+1,N($X5080)))</f>
        <v/>
      </c>
      <c r="Z5081">
        <f>IF($V5081="","",IF($AA5081&gt;N($AA5080),$AA5081,""))</f>
        <v/>
      </c>
      <c r="AA5081">
        <f>IF($V5081="",N($AA5080),IF(MATCH($V5081,$V$6:$V$6005,0)=ROW()-5,N($AA5080)+1,N($AA5080)))</f>
        <v/>
      </c>
    </row>
    <row r="5082" ht="21" customHeight="1" s="66">
      <c r="A5082" s="56" t="n"/>
      <c r="B5082" s="57" t="n"/>
      <c r="C5082" s="57" t="n"/>
      <c r="D5082" s="57" t="n"/>
      <c r="E5082" s="56" t="n"/>
      <c r="F5082" s="57" t="n"/>
      <c r="G5082" s="57" t="n"/>
      <c r="H5082" s="56" t="n"/>
      <c r="I5082" s="56" t="n"/>
      <c r="J5082" s="58" t="n"/>
      <c r="K5082" s="58" t="n"/>
      <c r="L5082" s="13">
        <f>IF(OR($A5082="",AND($J5082="",$K5082="")),"",ROUND(N($J5082)-N($K5082),2))</f>
        <v/>
      </c>
      <c r="M5082" s="13">
        <f>IF(OR($A5082="",AND($J5082="",$K5082="")),"",MIN($J5082,$K5082))</f>
        <v/>
      </c>
      <c r="Q5082">
        <f>IF($A5082="","",$D5082&amp;"("&amp;SUBSTITUTE($E5082," ","")&amp;")")</f>
        <v/>
      </c>
      <c r="R5082">
        <f>IF($A5082="","",$B5082&amp;" - "&amp;$C5082)</f>
        <v/>
      </c>
      <c r="S5082">
        <f>IF($A5082="","",$R5082&amp;"|"&amp;$Q5082)</f>
        <v/>
      </c>
      <c r="T5082">
        <f>IF($A5082="","",$S5082&amp;"|"&amp;$F5082)</f>
        <v/>
      </c>
      <c r="U5082">
        <f>IF($A5082="","",$R5082&amp;"("&amp;$E5082&amp;")")</f>
        <v/>
      </c>
      <c r="V5082">
        <f>IF($A5082="","",$F5082&amp;"|"&amp;$U5082&amp;"|"&amp;$D5082)</f>
        <v/>
      </c>
      <c r="W5082">
        <f>IF($T5082="","",IF($X5082&gt;N($X5081),$X5082,""))</f>
        <v/>
      </c>
      <c r="X5082">
        <f>IF($T5082="",N($X5081),IF(MATCH($T5082,$T$6:$T$6005,0)=ROW()-5,N($X5081)+1,N($X5081)))</f>
        <v/>
      </c>
      <c r="Z5082">
        <f>IF($V5082="","",IF($AA5082&gt;N($AA5081),$AA5082,""))</f>
        <v/>
      </c>
      <c r="AA5082">
        <f>IF($V5082="",N($AA5081),IF(MATCH($V5082,$V$6:$V$6005,0)=ROW()-5,N($AA5081)+1,N($AA5081)))</f>
        <v/>
      </c>
    </row>
    <row r="5083" ht="21" customHeight="1" s="66">
      <c r="A5083" s="56" t="n"/>
      <c r="B5083" s="57" t="n"/>
      <c r="C5083" s="57" t="n"/>
      <c r="D5083" s="57" t="n"/>
      <c r="E5083" s="56" t="n"/>
      <c r="F5083" s="57" t="n"/>
      <c r="G5083" s="57" t="n"/>
      <c r="H5083" s="56" t="n"/>
      <c r="I5083" s="56" t="n"/>
      <c r="J5083" s="58" t="n"/>
      <c r="K5083" s="58" t="n"/>
      <c r="L5083" s="13">
        <f>IF(OR($A5083="",AND($J5083="",$K5083="")),"",ROUND(N($J5083)-N($K5083),2))</f>
        <v/>
      </c>
      <c r="M5083" s="13">
        <f>IF(OR($A5083="",AND($J5083="",$K5083="")),"",MIN($J5083,$K5083))</f>
        <v/>
      </c>
      <c r="Q5083">
        <f>IF($A5083="","",$D5083&amp;"("&amp;SUBSTITUTE($E5083," ","")&amp;")")</f>
        <v/>
      </c>
      <c r="R5083">
        <f>IF($A5083="","",$B5083&amp;" - "&amp;$C5083)</f>
        <v/>
      </c>
      <c r="S5083">
        <f>IF($A5083="","",$R5083&amp;"|"&amp;$Q5083)</f>
        <v/>
      </c>
      <c r="T5083">
        <f>IF($A5083="","",$S5083&amp;"|"&amp;$F5083)</f>
        <v/>
      </c>
      <c r="U5083">
        <f>IF($A5083="","",$R5083&amp;"("&amp;$E5083&amp;")")</f>
        <v/>
      </c>
      <c r="V5083">
        <f>IF($A5083="","",$F5083&amp;"|"&amp;$U5083&amp;"|"&amp;$D5083)</f>
        <v/>
      </c>
      <c r="W5083">
        <f>IF($T5083="","",IF($X5083&gt;N($X5082),$X5083,""))</f>
        <v/>
      </c>
      <c r="X5083">
        <f>IF($T5083="",N($X5082),IF(MATCH($T5083,$T$6:$T$6005,0)=ROW()-5,N($X5082)+1,N($X5082)))</f>
        <v/>
      </c>
      <c r="Z5083">
        <f>IF($V5083="","",IF($AA5083&gt;N($AA5082),$AA5083,""))</f>
        <v/>
      </c>
      <c r="AA5083">
        <f>IF($V5083="",N($AA5082),IF(MATCH($V5083,$V$6:$V$6005,0)=ROW()-5,N($AA5082)+1,N($AA5082)))</f>
        <v/>
      </c>
    </row>
    <row r="5084" ht="21" customHeight="1" s="66">
      <c r="A5084" s="56" t="n"/>
      <c r="B5084" s="57" t="n"/>
      <c r="C5084" s="57" t="n"/>
      <c r="D5084" s="57" t="n"/>
      <c r="E5084" s="56" t="n"/>
      <c r="F5084" s="57" t="n"/>
      <c r="G5084" s="57" t="n"/>
      <c r="H5084" s="56" t="n"/>
      <c r="I5084" s="56" t="n"/>
      <c r="J5084" s="58" t="n"/>
      <c r="K5084" s="58" t="n"/>
      <c r="L5084" s="13">
        <f>IF(OR($A5084="",AND($J5084="",$K5084="")),"",ROUND(N($J5084)-N($K5084),2))</f>
        <v/>
      </c>
      <c r="M5084" s="13">
        <f>IF(OR($A5084="",AND($J5084="",$K5084="")),"",MIN($J5084,$K5084))</f>
        <v/>
      </c>
      <c r="Q5084">
        <f>IF($A5084="","",$D5084&amp;"("&amp;SUBSTITUTE($E5084," ","")&amp;")")</f>
        <v/>
      </c>
      <c r="R5084">
        <f>IF($A5084="","",$B5084&amp;" - "&amp;$C5084)</f>
        <v/>
      </c>
      <c r="S5084">
        <f>IF($A5084="","",$R5084&amp;"|"&amp;$Q5084)</f>
        <v/>
      </c>
      <c r="T5084">
        <f>IF($A5084="","",$S5084&amp;"|"&amp;$F5084)</f>
        <v/>
      </c>
      <c r="U5084">
        <f>IF($A5084="","",$R5084&amp;"("&amp;$E5084&amp;")")</f>
        <v/>
      </c>
      <c r="V5084">
        <f>IF($A5084="","",$F5084&amp;"|"&amp;$U5084&amp;"|"&amp;$D5084)</f>
        <v/>
      </c>
      <c r="W5084">
        <f>IF($T5084="","",IF($X5084&gt;N($X5083),$X5084,""))</f>
        <v/>
      </c>
      <c r="X5084">
        <f>IF($T5084="",N($X5083),IF(MATCH($T5084,$T$6:$T$6005,0)=ROW()-5,N($X5083)+1,N($X5083)))</f>
        <v/>
      </c>
      <c r="Z5084">
        <f>IF($V5084="","",IF($AA5084&gt;N($AA5083),$AA5084,""))</f>
        <v/>
      </c>
      <c r="AA5084">
        <f>IF($V5084="",N($AA5083),IF(MATCH($V5084,$V$6:$V$6005,0)=ROW()-5,N($AA5083)+1,N($AA5083)))</f>
        <v/>
      </c>
    </row>
    <row r="5085" ht="21" customHeight="1" s="66">
      <c r="A5085" s="56" t="n"/>
      <c r="B5085" s="57" t="n"/>
      <c r="C5085" s="57" t="n"/>
      <c r="D5085" s="57" t="n"/>
      <c r="E5085" s="56" t="n"/>
      <c r="F5085" s="57" t="n"/>
      <c r="G5085" s="57" t="n"/>
      <c r="H5085" s="56" t="n"/>
      <c r="I5085" s="56" t="n"/>
      <c r="J5085" s="58" t="n"/>
      <c r="K5085" s="58" t="n"/>
      <c r="L5085" s="13">
        <f>IF(OR($A5085="",AND($J5085="",$K5085="")),"",ROUND(N($J5085)-N($K5085),2))</f>
        <v/>
      </c>
      <c r="M5085" s="13">
        <f>IF(OR($A5085="",AND($J5085="",$K5085="")),"",MIN($J5085,$K5085))</f>
        <v/>
      </c>
      <c r="Q5085">
        <f>IF($A5085="","",$D5085&amp;"("&amp;SUBSTITUTE($E5085," ","")&amp;")")</f>
        <v/>
      </c>
      <c r="R5085">
        <f>IF($A5085="","",$B5085&amp;" - "&amp;$C5085)</f>
        <v/>
      </c>
      <c r="S5085">
        <f>IF($A5085="","",$R5085&amp;"|"&amp;$Q5085)</f>
        <v/>
      </c>
      <c r="T5085">
        <f>IF($A5085="","",$S5085&amp;"|"&amp;$F5085)</f>
        <v/>
      </c>
      <c r="U5085">
        <f>IF($A5085="","",$R5085&amp;"("&amp;$E5085&amp;")")</f>
        <v/>
      </c>
      <c r="V5085">
        <f>IF($A5085="","",$F5085&amp;"|"&amp;$U5085&amp;"|"&amp;$D5085)</f>
        <v/>
      </c>
      <c r="W5085">
        <f>IF($T5085="","",IF($X5085&gt;N($X5084),$X5085,""))</f>
        <v/>
      </c>
      <c r="X5085">
        <f>IF($T5085="",N($X5084),IF(MATCH($T5085,$T$6:$T$6005,0)=ROW()-5,N($X5084)+1,N($X5084)))</f>
        <v/>
      </c>
      <c r="Z5085">
        <f>IF($V5085="","",IF($AA5085&gt;N($AA5084),$AA5085,""))</f>
        <v/>
      </c>
      <c r="AA5085">
        <f>IF($V5085="",N($AA5084),IF(MATCH($V5085,$V$6:$V$6005,0)=ROW()-5,N($AA5084)+1,N($AA5084)))</f>
        <v/>
      </c>
    </row>
    <row r="5086" ht="21" customHeight="1" s="66">
      <c r="A5086" s="56" t="n"/>
      <c r="B5086" s="57" t="n"/>
      <c r="C5086" s="57" t="n"/>
      <c r="D5086" s="57" t="n"/>
      <c r="E5086" s="56" t="n"/>
      <c r="F5086" s="57" t="n"/>
      <c r="G5086" s="57" t="n"/>
      <c r="H5086" s="56" t="n"/>
      <c r="I5086" s="56" t="n"/>
      <c r="J5086" s="58" t="n"/>
      <c r="K5086" s="58" t="n"/>
      <c r="L5086" s="13">
        <f>IF(OR($A5086="",AND($J5086="",$K5086="")),"",ROUND(N($J5086)-N($K5086),2))</f>
        <v/>
      </c>
      <c r="M5086" s="13">
        <f>IF(OR($A5086="",AND($J5086="",$K5086="")),"",MIN($J5086,$K5086))</f>
        <v/>
      </c>
      <c r="Q5086">
        <f>IF($A5086="","",$D5086&amp;"("&amp;SUBSTITUTE($E5086," ","")&amp;")")</f>
        <v/>
      </c>
      <c r="R5086">
        <f>IF($A5086="","",$B5086&amp;" - "&amp;$C5086)</f>
        <v/>
      </c>
      <c r="S5086">
        <f>IF($A5086="","",$R5086&amp;"|"&amp;$Q5086)</f>
        <v/>
      </c>
      <c r="T5086">
        <f>IF($A5086="","",$S5086&amp;"|"&amp;$F5086)</f>
        <v/>
      </c>
      <c r="U5086">
        <f>IF($A5086="","",$R5086&amp;"("&amp;$E5086&amp;")")</f>
        <v/>
      </c>
      <c r="V5086">
        <f>IF($A5086="","",$F5086&amp;"|"&amp;$U5086&amp;"|"&amp;$D5086)</f>
        <v/>
      </c>
      <c r="W5086">
        <f>IF($T5086="","",IF($X5086&gt;N($X5085),$X5086,""))</f>
        <v/>
      </c>
      <c r="X5086">
        <f>IF($T5086="",N($X5085),IF(MATCH($T5086,$T$6:$T$6005,0)=ROW()-5,N($X5085)+1,N($X5085)))</f>
        <v/>
      </c>
      <c r="Z5086">
        <f>IF($V5086="","",IF($AA5086&gt;N($AA5085),$AA5086,""))</f>
        <v/>
      </c>
      <c r="AA5086">
        <f>IF($V5086="",N($AA5085),IF(MATCH($V5086,$V$6:$V$6005,0)=ROW()-5,N($AA5085)+1,N($AA5085)))</f>
        <v/>
      </c>
    </row>
    <row r="5087" ht="21" customHeight="1" s="66">
      <c r="A5087" s="56" t="n"/>
      <c r="B5087" s="57" t="n"/>
      <c r="C5087" s="57" t="n"/>
      <c r="D5087" s="57" t="n"/>
      <c r="E5087" s="56" t="n"/>
      <c r="F5087" s="57" t="n"/>
      <c r="G5087" s="57" t="n"/>
      <c r="H5087" s="56" t="n"/>
      <c r="I5087" s="56" t="n"/>
      <c r="J5087" s="58" t="n"/>
      <c r="K5087" s="58" t="n"/>
      <c r="L5087" s="13">
        <f>IF(OR($A5087="",AND($J5087="",$K5087="")),"",ROUND(N($J5087)-N($K5087),2))</f>
        <v/>
      </c>
      <c r="M5087" s="13">
        <f>IF(OR($A5087="",AND($J5087="",$K5087="")),"",MIN($J5087,$K5087))</f>
        <v/>
      </c>
      <c r="Q5087">
        <f>IF($A5087="","",$D5087&amp;"("&amp;SUBSTITUTE($E5087," ","")&amp;")")</f>
        <v/>
      </c>
      <c r="R5087">
        <f>IF($A5087="","",$B5087&amp;" - "&amp;$C5087)</f>
        <v/>
      </c>
      <c r="S5087">
        <f>IF($A5087="","",$R5087&amp;"|"&amp;$Q5087)</f>
        <v/>
      </c>
      <c r="T5087">
        <f>IF($A5087="","",$S5087&amp;"|"&amp;$F5087)</f>
        <v/>
      </c>
      <c r="U5087">
        <f>IF($A5087="","",$R5087&amp;"("&amp;$E5087&amp;")")</f>
        <v/>
      </c>
      <c r="V5087">
        <f>IF($A5087="","",$F5087&amp;"|"&amp;$U5087&amp;"|"&amp;$D5087)</f>
        <v/>
      </c>
      <c r="W5087">
        <f>IF($T5087="","",IF($X5087&gt;N($X5086),$X5087,""))</f>
        <v/>
      </c>
      <c r="X5087">
        <f>IF($T5087="",N($X5086),IF(MATCH($T5087,$T$6:$T$6005,0)=ROW()-5,N($X5086)+1,N($X5086)))</f>
        <v/>
      </c>
      <c r="Z5087">
        <f>IF($V5087="","",IF($AA5087&gt;N($AA5086),$AA5087,""))</f>
        <v/>
      </c>
      <c r="AA5087">
        <f>IF($V5087="",N($AA5086),IF(MATCH($V5087,$V$6:$V$6005,0)=ROW()-5,N($AA5086)+1,N($AA5086)))</f>
        <v/>
      </c>
    </row>
    <row r="5088" ht="21" customHeight="1" s="66">
      <c r="A5088" s="56" t="n"/>
      <c r="B5088" s="57" t="n"/>
      <c r="C5088" s="57" t="n"/>
      <c r="D5088" s="57" t="n"/>
      <c r="E5088" s="56" t="n"/>
      <c r="F5088" s="57" t="n"/>
      <c r="G5088" s="57" t="n"/>
      <c r="H5088" s="56" t="n"/>
      <c r="I5088" s="56" t="n"/>
      <c r="J5088" s="58" t="n"/>
      <c r="K5088" s="58" t="n"/>
      <c r="L5088" s="13">
        <f>IF(OR($A5088="",AND($J5088="",$K5088="")),"",ROUND(N($J5088)-N($K5088),2))</f>
        <v/>
      </c>
      <c r="M5088" s="13">
        <f>IF(OR($A5088="",AND($J5088="",$K5088="")),"",MIN($J5088,$K5088))</f>
        <v/>
      </c>
      <c r="Q5088">
        <f>IF($A5088="","",$D5088&amp;"("&amp;SUBSTITUTE($E5088," ","")&amp;")")</f>
        <v/>
      </c>
      <c r="R5088">
        <f>IF($A5088="","",$B5088&amp;" - "&amp;$C5088)</f>
        <v/>
      </c>
      <c r="S5088">
        <f>IF($A5088="","",$R5088&amp;"|"&amp;$Q5088)</f>
        <v/>
      </c>
      <c r="T5088">
        <f>IF($A5088="","",$S5088&amp;"|"&amp;$F5088)</f>
        <v/>
      </c>
      <c r="U5088">
        <f>IF($A5088="","",$R5088&amp;"("&amp;$E5088&amp;")")</f>
        <v/>
      </c>
      <c r="V5088">
        <f>IF($A5088="","",$F5088&amp;"|"&amp;$U5088&amp;"|"&amp;$D5088)</f>
        <v/>
      </c>
      <c r="W5088">
        <f>IF($T5088="","",IF($X5088&gt;N($X5087),$X5088,""))</f>
        <v/>
      </c>
      <c r="X5088">
        <f>IF($T5088="",N($X5087),IF(MATCH($T5088,$T$6:$T$6005,0)=ROW()-5,N($X5087)+1,N($X5087)))</f>
        <v/>
      </c>
      <c r="Z5088">
        <f>IF($V5088="","",IF($AA5088&gt;N($AA5087),$AA5088,""))</f>
        <v/>
      </c>
      <c r="AA5088">
        <f>IF($V5088="",N($AA5087),IF(MATCH($V5088,$V$6:$V$6005,0)=ROW()-5,N($AA5087)+1,N($AA5087)))</f>
        <v/>
      </c>
    </row>
    <row r="5089" ht="21" customHeight="1" s="66">
      <c r="A5089" s="56" t="n"/>
      <c r="B5089" s="57" t="n"/>
      <c r="C5089" s="57" t="n"/>
      <c r="D5089" s="57" t="n"/>
      <c r="E5089" s="56" t="n"/>
      <c r="F5089" s="57" t="n"/>
      <c r="G5089" s="57" t="n"/>
      <c r="H5089" s="56" t="n"/>
      <c r="I5089" s="56" t="n"/>
      <c r="J5089" s="58" t="n"/>
      <c r="K5089" s="58" t="n"/>
      <c r="L5089" s="13">
        <f>IF(OR($A5089="",AND($J5089="",$K5089="")),"",ROUND(N($J5089)-N($K5089),2))</f>
        <v/>
      </c>
      <c r="M5089" s="13">
        <f>IF(OR($A5089="",AND($J5089="",$K5089="")),"",MIN($J5089,$K5089))</f>
        <v/>
      </c>
      <c r="Q5089">
        <f>IF($A5089="","",$D5089&amp;"("&amp;SUBSTITUTE($E5089," ","")&amp;")")</f>
        <v/>
      </c>
      <c r="R5089">
        <f>IF($A5089="","",$B5089&amp;" - "&amp;$C5089)</f>
        <v/>
      </c>
      <c r="S5089">
        <f>IF($A5089="","",$R5089&amp;"|"&amp;$Q5089)</f>
        <v/>
      </c>
      <c r="T5089">
        <f>IF($A5089="","",$S5089&amp;"|"&amp;$F5089)</f>
        <v/>
      </c>
      <c r="U5089">
        <f>IF($A5089="","",$R5089&amp;"("&amp;$E5089&amp;")")</f>
        <v/>
      </c>
      <c r="V5089">
        <f>IF($A5089="","",$F5089&amp;"|"&amp;$U5089&amp;"|"&amp;$D5089)</f>
        <v/>
      </c>
      <c r="W5089">
        <f>IF($T5089="","",IF($X5089&gt;N($X5088),$X5089,""))</f>
        <v/>
      </c>
      <c r="X5089">
        <f>IF($T5089="",N($X5088),IF(MATCH($T5089,$T$6:$T$6005,0)=ROW()-5,N($X5088)+1,N($X5088)))</f>
        <v/>
      </c>
      <c r="Z5089">
        <f>IF($V5089="","",IF($AA5089&gt;N($AA5088),$AA5089,""))</f>
        <v/>
      </c>
      <c r="AA5089">
        <f>IF($V5089="",N($AA5088),IF(MATCH($V5089,$V$6:$V$6005,0)=ROW()-5,N($AA5088)+1,N($AA5088)))</f>
        <v/>
      </c>
    </row>
    <row r="5090" ht="21" customHeight="1" s="66">
      <c r="A5090" s="56" t="n"/>
      <c r="B5090" s="57" t="n"/>
      <c r="C5090" s="57" t="n"/>
      <c r="D5090" s="57" t="n"/>
      <c r="E5090" s="56" t="n"/>
      <c r="F5090" s="57" t="n"/>
      <c r="G5090" s="57" t="n"/>
      <c r="H5090" s="56" t="n"/>
      <c r="I5090" s="56" t="n"/>
      <c r="J5090" s="58" t="n"/>
      <c r="K5090" s="58" t="n"/>
      <c r="L5090" s="13">
        <f>IF(OR($A5090="",AND($J5090="",$K5090="")),"",ROUND(N($J5090)-N($K5090),2))</f>
        <v/>
      </c>
      <c r="M5090" s="13">
        <f>IF(OR($A5090="",AND($J5090="",$K5090="")),"",MIN($J5090,$K5090))</f>
        <v/>
      </c>
      <c r="Q5090">
        <f>IF($A5090="","",$D5090&amp;"("&amp;SUBSTITUTE($E5090," ","")&amp;")")</f>
        <v/>
      </c>
      <c r="R5090">
        <f>IF($A5090="","",$B5090&amp;" - "&amp;$C5090)</f>
        <v/>
      </c>
      <c r="S5090">
        <f>IF($A5090="","",$R5090&amp;"|"&amp;$Q5090)</f>
        <v/>
      </c>
      <c r="T5090">
        <f>IF($A5090="","",$S5090&amp;"|"&amp;$F5090)</f>
        <v/>
      </c>
      <c r="U5090">
        <f>IF($A5090="","",$R5090&amp;"("&amp;$E5090&amp;")")</f>
        <v/>
      </c>
      <c r="V5090">
        <f>IF($A5090="","",$F5090&amp;"|"&amp;$U5090&amp;"|"&amp;$D5090)</f>
        <v/>
      </c>
      <c r="W5090">
        <f>IF($T5090="","",IF($X5090&gt;N($X5089),$X5090,""))</f>
        <v/>
      </c>
      <c r="X5090">
        <f>IF($T5090="",N($X5089),IF(MATCH($T5090,$T$6:$T$6005,0)=ROW()-5,N($X5089)+1,N($X5089)))</f>
        <v/>
      </c>
      <c r="Z5090">
        <f>IF($V5090="","",IF($AA5090&gt;N($AA5089),$AA5090,""))</f>
        <v/>
      </c>
      <c r="AA5090">
        <f>IF($V5090="",N($AA5089),IF(MATCH($V5090,$V$6:$V$6005,0)=ROW()-5,N($AA5089)+1,N($AA5089)))</f>
        <v/>
      </c>
    </row>
    <row r="5091" ht="21" customHeight="1" s="66">
      <c r="A5091" s="56" t="n"/>
      <c r="B5091" s="57" t="n"/>
      <c r="C5091" s="57" t="n"/>
      <c r="D5091" s="57" t="n"/>
      <c r="E5091" s="56" t="n"/>
      <c r="F5091" s="57" t="n"/>
      <c r="G5091" s="57" t="n"/>
      <c r="H5091" s="56" t="n"/>
      <c r="I5091" s="56" t="n"/>
      <c r="J5091" s="58" t="n"/>
      <c r="K5091" s="58" t="n"/>
      <c r="L5091" s="13">
        <f>IF(OR($A5091="",AND($J5091="",$K5091="")),"",ROUND(N($J5091)-N($K5091),2))</f>
        <v/>
      </c>
      <c r="M5091" s="13">
        <f>IF(OR($A5091="",AND($J5091="",$K5091="")),"",MIN($J5091,$K5091))</f>
        <v/>
      </c>
      <c r="Q5091">
        <f>IF($A5091="","",$D5091&amp;"("&amp;SUBSTITUTE($E5091," ","")&amp;")")</f>
        <v/>
      </c>
      <c r="R5091">
        <f>IF($A5091="","",$B5091&amp;" - "&amp;$C5091)</f>
        <v/>
      </c>
      <c r="S5091">
        <f>IF($A5091="","",$R5091&amp;"|"&amp;$Q5091)</f>
        <v/>
      </c>
      <c r="T5091">
        <f>IF($A5091="","",$S5091&amp;"|"&amp;$F5091)</f>
        <v/>
      </c>
      <c r="U5091">
        <f>IF($A5091="","",$R5091&amp;"("&amp;$E5091&amp;")")</f>
        <v/>
      </c>
      <c r="V5091">
        <f>IF($A5091="","",$F5091&amp;"|"&amp;$U5091&amp;"|"&amp;$D5091)</f>
        <v/>
      </c>
      <c r="W5091">
        <f>IF($T5091="","",IF($X5091&gt;N($X5090),$X5091,""))</f>
        <v/>
      </c>
      <c r="X5091">
        <f>IF($T5091="",N($X5090),IF(MATCH($T5091,$T$6:$T$6005,0)=ROW()-5,N($X5090)+1,N($X5090)))</f>
        <v/>
      </c>
      <c r="Z5091">
        <f>IF($V5091="","",IF($AA5091&gt;N($AA5090),$AA5091,""))</f>
        <v/>
      </c>
      <c r="AA5091">
        <f>IF($V5091="",N($AA5090),IF(MATCH($V5091,$V$6:$V$6005,0)=ROW()-5,N($AA5090)+1,N($AA5090)))</f>
        <v/>
      </c>
    </row>
    <row r="5092" ht="21" customHeight="1" s="66">
      <c r="A5092" s="56" t="n"/>
      <c r="B5092" s="57" t="n"/>
      <c r="C5092" s="57" t="n"/>
      <c r="D5092" s="57" t="n"/>
      <c r="E5092" s="56" t="n"/>
      <c r="F5092" s="57" t="n"/>
      <c r="G5092" s="57" t="n"/>
      <c r="H5092" s="56" t="n"/>
      <c r="I5092" s="56" t="n"/>
      <c r="J5092" s="58" t="n"/>
      <c r="K5092" s="58" t="n"/>
      <c r="L5092" s="13">
        <f>IF(OR($A5092="",AND($J5092="",$K5092="")),"",ROUND(N($J5092)-N($K5092),2))</f>
        <v/>
      </c>
      <c r="M5092" s="13">
        <f>IF(OR($A5092="",AND($J5092="",$K5092="")),"",MIN($J5092,$K5092))</f>
        <v/>
      </c>
      <c r="Q5092">
        <f>IF($A5092="","",$D5092&amp;"("&amp;SUBSTITUTE($E5092," ","")&amp;")")</f>
        <v/>
      </c>
      <c r="R5092">
        <f>IF($A5092="","",$B5092&amp;" - "&amp;$C5092)</f>
        <v/>
      </c>
      <c r="S5092">
        <f>IF($A5092="","",$R5092&amp;"|"&amp;$Q5092)</f>
        <v/>
      </c>
      <c r="T5092">
        <f>IF($A5092="","",$S5092&amp;"|"&amp;$F5092)</f>
        <v/>
      </c>
      <c r="U5092">
        <f>IF($A5092="","",$R5092&amp;"("&amp;$E5092&amp;")")</f>
        <v/>
      </c>
      <c r="V5092">
        <f>IF($A5092="","",$F5092&amp;"|"&amp;$U5092&amp;"|"&amp;$D5092)</f>
        <v/>
      </c>
      <c r="W5092">
        <f>IF($T5092="","",IF($X5092&gt;N($X5091),$X5092,""))</f>
        <v/>
      </c>
      <c r="X5092">
        <f>IF($T5092="",N($X5091),IF(MATCH($T5092,$T$6:$T$6005,0)=ROW()-5,N($X5091)+1,N($X5091)))</f>
        <v/>
      </c>
      <c r="Z5092">
        <f>IF($V5092="","",IF($AA5092&gt;N($AA5091),$AA5092,""))</f>
        <v/>
      </c>
      <c r="AA5092">
        <f>IF($V5092="",N($AA5091),IF(MATCH($V5092,$V$6:$V$6005,0)=ROW()-5,N($AA5091)+1,N($AA5091)))</f>
        <v/>
      </c>
    </row>
    <row r="5093" ht="21" customHeight="1" s="66">
      <c r="A5093" s="56" t="n"/>
      <c r="B5093" s="57" t="n"/>
      <c r="C5093" s="57" t="n"/>
      <c r="D5093" s="57" t="n"/>
      <c r="E5093" s="56" t="n"/>
      <c r="F5093" s="57" t="n"/>
      <c r="G5093" s="57" t="n"/>
      <c r="H5093" s="56" t="n"/>
      <c r="I5093" s="56" t="n"/>
      <c r="J5093" s="58" t="n"/>
      <c r="K5093" s="58" t="n"/>
      <c r="L5093" s="13">
        <f>IF(OR($A5093="",AND($J5093="",$K5093="")),"",ROUND(N($J5093)-N($K5093),2))</f>
        <v/>
      </c>
      <c r="M5093" s="13">
        <f>IF(OR($A5093="",AND($J5093="",$K5093="")),"",MIN($J5093,$K5093))</f>
        <v/>
      </c>
      <c r="Q5093">
        <f>IF($A5093="","",$D5093&amp;"("&amp;SUBSTITUTE($E5093," ","")&amp;")")</f>
        <v/>
      </c>
      <c r="R5093">
        <f>IF($A5093="","",$B5093&amp;" - "&amp;$C5093)</f>
        <v/>
      </c>
      <c r="S5093">
        <f>IF($A5093="","",$R5093&amp;"|"&amp;$Q5093)</f>
        <v/>
      </c>
      <c r="T5093">
        <f>IF($A5093="","",$S5093&amp;"|"&amp;$F5093)</f>
        <v/>
      </c>
      <c r="U5093">
        <f>IF($A5093="","",$R5093&amp;"("&amp;$E5093&amp;")")</f>
        <v/>
      </c>
      <c r="V5093">
        <f>IF($A5093="","",$F5093&amp;"|"&amp;$U5093&amp;"|"&amp;$D5093)</f>
        <v/>
      </c>
      <c r="W5093">
        <f>IF($T5093="","",IF($X5093&gt;N($X5092),$X5093,""))</f>
        <v/>
      </c>
      <c r="X5093">
        <f>IF($T5093="",N($X5092),IF(MATCH($T5093,$T$6:$T$6005,0)=ROW()-5,N($X5092)+1,N($X5092)))</f>
        <v/>
      </c>
      <c r="Z5093">
        <f>IF($V5093="","",IF($AA5093&gt;N($AA5092),$AA5093,""))</f>
        <v/>
      </c>
      <c r="AA5093">
        <f>IF($V5093="",N($AA5092),IF(MATCH($V5093,$V$6:$V$6005,0)=ROW()-5,N($AA5092)+1,N($AA5092)))</f>
        <v/>
      </c>
    </row>
    <row r="5094" ht="21" customHeight="1" s="66">
      <c r="A5094" s="56" t="n"/>
      <c r="B5094" s="57" t="n"/>
      <c r="C5094" s="57" t="n"/>
      <c r="D5094" s="57" t="n"/>
      <c r="E5094" s="56" t="n"/>
      <c r="F5094" s="57" t="n"/>
      <c r="G5094" s="57" t="n"/>
      <c r="H5094" s="56" t="n"/>
      <c r="I5094" s="56" t="n"/>
      <c r="J5094" s="58" t="n"/>
      <c r="K5094" s="58" t="n"/>
      <c r="L5094" s="13">
        <f>IF(OR($A5094="",AND($J5094="",$K5094="")),"",ROUND(N($J5094)-N($K5094),2))</f>
        <v/>
      </c>
      <c r="M5094" s="13">
        <f>IF(OR($A5094="",AND($J5094="",$K5094="")),"",MIN($J5094,$K5094))</f>
        <v/>
      </c>
      <c r="Q5094">
        <f>IF($A5094="","",$D5094&amp;"("&amp;SUBSTITUTE($E5094," ","")&amp;")")</f>
        <v/>
      </c>
      <c r="R5094">
        <f>IF($A5094="","",$B5094&amp;" - "&amp;$C5094)</f>
        <v/>
      </c>
      <c r="S5094">
        <f>IF($A5094="","",$R5094&amp;"|"&amp;$Q5094)</f>
        <v/>
      </c>
      <c r="T5094">
        <f>IF($A5094="","",$S5094&amp;"|"&amp;$F5094)</f>
        <v/>
      </c>
      <c r="U5094">
        <f>IF($A5094="","",$R5094&amp;"("&amp;$E5094&amp;")")</f>
        <v/>
      </c>
      <c r="V5094">
        <f>IF($A5094="","",$F5094&amp;"|"&amp;$U5094&amp;"|"&amp;$D5094)</f>
        <v/>
      </c>
      <c r="W5094">
        <f>IF($T5094="","",IF($X5094&gt;N($X5093),$X5094,""))</f>
        <v/>
      </c>
      <c r="X5094">
        <f>IF($T5094="",N($X5093),IF(MATCH($T5094,$T$6:$T$6005,0)=ROW()-5,N($X5093)+1,N($X5093)))</f>
        <v/>
      </c>
      <c r="Z5094">
        <f>IF($V5094="","",IF($AA5094&gt;N($AA5093),$AA5094,""))</f>
        <v/>
      </c>
      <c r="AA5094">
        <f>IF($V5094="",N($AA5093),IF(MATCH($V5094,$V$6:$V$6005,0)=ROW()-5,N($AA5093)+1,N($AA5093)))</f>
        <v/>
      </c>
    </row>
    <row r="5095" ht="21" customHeight="1" s="66">
      <c r="A5095" s="56" t="n"/>
      <c r="B5095" s="57" t="n"/>
      <c r="C5095" s="57" t="n"/>
      <c r="D5095" s="57" t="n"/>
      <c r="E5095" s="56" t="n"/>
      <c r="F5095" s="57" t="n"/>
      <c r="G5095" s="57" t="n"/>
      <c r="H5095" s="56" t="n"/>
      <c r="I5095" s="56" t="n"/>
      <c r="J5095" s="58" t="n"/>
      <c r="K5095" s="58" t="n"/>
      <c r="L5095" s="13">
        <f>IF(OR($A5095="",AND($J5095="",$K5095="")),"",ROUND(N($J5095)-N($K5095),2))</f>
        <v/>
      </c>
      <c r="M5095" s="13">
        <f>IF(OR($A5095="",AND($J5095="",$K5095="")),"",MIN($J5095,$K5095))</f>
        <v/>
      </c>
      <c r="Q5095">
        <f>IF($A5095="","",$D5095&amp;"("&amp;SUBSTITUTE($E5095," ","")&amp;")")</f>
        <v/>
      </c>
      <c r="R5095">
        <f>IF($A5095="","",$B5095&amp;" - "&amp;$C5095)</f>
        <v/>
      </c>
      <c r="S5095">
        <f>IF($A5095="","",$R5095&amp;"|"&amp;$Q5095)</f>
        <v/>
      </c>
      <c r="T5095">
        <f>IF($A5095="","",$S5095&amp;"|"&amp;$F5095)</f>
        <v/>
      </c>
      <c r="U5095">
        <f>IF($A5095="","",$R5095&amp;"("&amp;$E5095&amp;")")</f>
        <v/>
      </c>
      <c r="V5095">
        <f>IF($A5095="","",$F5095&amp;"|"&amp;$U5095&amp;"|"&amp;$D5095)</f>
        <v/>
      </c>
      <c r="W5095">
        <f>IF($T5095="","",IF($X5095&gt;N($X5094),$X5095,""))</f>
        <v/>
      </c>
      <c r="X5095">
        <f>IF($T5095="",N($X5094),IF(MATCH($T5095,$T$6:$T$6005,0)=ROW()-5,N($X5094)+1,N($X5094)))</f>
        <v/>
      </c>
      <c r="Z5095">
        <f>IF($V5095="","",IF($AA5095&gt;N($AA5094),$AA5095,""))</f>
        <v/>
      </c>
      <c r="AA5095">
        <f>IF($V5095="",N($AA5094),IF(MATCH($V5095,$V$6:$V$6005,0)=ROW()-5,N($AA5094)+1,N($AA5094)))</f>
        <v/>
      </c>
    </row>
    <row r="5096" ht="21" customHeight="1" s="66">
      <c r="A5096" s="56" t="n"/>
      <c r="B5096" s="57" t="n"/>
      <c r="C5096" s="57" t="n"/>
      <c r="D5096" s="57" t="n"/>
      <c r="E5096" s="56" t="n"/>
      <c r="F5096" s="57" t="n"/>
      <c r="G5096" s="57" t="n"/>
      <c r="H5096" s="56" t="n"/>
      <c r="I5096" s="56" t="n"/>
      <c r="J5096" s="58" t="n"/>
      <c r="K5096" s="58" t="n"/>
      <c r="L5096" s="13">
        <f>IF(OR($A5096="",AND($J5096="",$K5096="")),"",ROUND(N($J5096)-N($K5096),2))</f>
        <v/>
      </c>
      <c r="M5096" s="13">
        <f>IF(OR($A5096="",AND($J5096="",$K5096="")),"",MIN($J5096,$K5096))</f>
        <v/>
      </c>
      <c r="Q5096">
        <f>IF($A5096="","",$D5096&amp;"("&amp;SUBSTITUTE($E5096," ","")&amp;")")</f>
        <v/>
      </c>
      <c r="R5096">
        <f>IF($A5096="","",$B5096&amp;" - "&amp;$C5096)</f>
        <v/>
      </c>
      <c r="S5096">
        <f>IF($A5096="","",$R5096&amp;"|"&amp;$Q5096)</f>
        <v/>
      </c>
      <c r="T5096">
        <f>IF($A5096="","",$S5096&amp;"|"&amp;$F5096)</f>
        <v/>
      </c>
      <c r="U5096">
        <f>IF($A5096="","",$R5096&amp;"("&amp;$E5096&amp;")")</f>
        <v/>
      </c>
      <c r="V5096">
        <f>IF($A5096="","",$F5096&amp;"|"&amp;$U5096&amp;"|"&amp;$D5096)</f>
        <v/>
      </c>
      <c r="W5096">
        <f>IF($T5096="","",IF($X5096&gt;N($X5095),$X5096,""))</f>
        <v/>
      </c>
      <c r="X5096">
        <f>IF($T5096="",N($X5095),IF(MATCH($T5096,$T$6:$T$6005,0)=ROW()-5,N($X5095)+1,N($X5095)))</f>
        <v/>
      </c>
      <c r="Z5096">
        <f>IF($V5096="","",IF($AA5096&gt;N($AA5095),$AA5096,""))</f>
        <v/>
      </c>
      <c r="AA5096">
        <f>IF($V5096="",N($AA5095),IF(MATCH($V5096,$V$6:$V$6005,0)=ROW()-5,N($AA5095)+1,N($AA5095)))</f>
        <v/>
      </c>
    </row>
    <row r="5097" ht="21" customHeight="1" s="66">
      <c r="A5097" s="56" t="n"/>
      <c r="B5097" s="57" t="n"/>
      <c r="C5097" s="57" t="n"/>
      <c r="D5097" s="57" t="n"/>
      <c r="E5097" s="56" t="n"/>
      <c r="F5097" s="57" t="n"/>
      <c r="G5097" s="57" t="n"/>
      <c r="H5097" s="56" t="n"/>
      <c r="I5097" s="56" t="n"/>
      <c r="J5097" s="58" t="n"/>
      <c r="K5097" s="58" t="n"/>
      <c r="L5097" s="13">
        <f>IF(OR($A5097="",AND($J5097="",$K5097="")),"",ROUND(N($J5097)-N($K5097),2))</f>
        <v/>
      </c>
      <c r="M5097" s="13">
        <f>IF(OR($A5097="",AND($J5097="",$K5097="")),"",MIN($J5097,$K5097))</f>
        <v/>
      </c>
      <c r="Q5097">
        <f>IF($A5097="","",$D5097&amp;"("&amp;SUBSTITUTE($E5097," ","")&amp;")")</f>
        <v/>
      </c>
      <c r="R5097">
        <f>IF($A5097="","",$B5097&amp;" - "&amp;$C5097)</f>
        <v/>
      </c>
      <c r="S5097">
        <f>IF($A5097="","",$R5097&amp;"|"&amp;$Q5097)</f>
        <v/>
      </c>
      <c r="T5097">
        <f>IF($A5097="","",$S5097&amp;"|"&amp;$F5097)</f>
        <v/>
      </c>
      <c r="U5097">
        <f>IF($A5097="","",$R5097&amp;"("&amp;$E5097&amp;")")</f>
        <v/>
      </c>
      <c r="V5097">
        <f>IF($A5097="","",$F5097&amp;"|"&amp;$U5097&amp;"|"&amp;$D5097)</f>
        <v/>
      </c>
      <c r="W5097">
        <f>IF($T5097="","",IF($X5097&gt;N($X5096),$X5097,""))</f>
        <v/>
      </c>
      <c r="X5097">
        <f>IF($T5097="",N($X5096),IF(MATCH($T5097,$T$6:$T$6005,0)=ROW()-5,N($X5096)+1,N($X5096)))</f>
        <v/>
      </c>
      <c r="Z5097">
        <f>IF($V5097="","",IF($AA5097&gt;N($AA5096),$AA5097,""))</f>
        <v/>
      </c>
      <c r="AA5097">
        <f>IF($V5097="",N($AA5096),IF(MATCH($V5097,$V$6:$V$6005,0)=ROW()-5,N($AA5096)+1,N($AA5096)))</f>
        <v/>
      </c>
    </row>
    <row r="5098" ht="21" customHeight="1" s="66">
      <c r="A5098" s="56" t="n"/>
      <c r="B5098" s="57" t="n"/>
      <c r="C5098" s="57" t="n"/>
      <c r="D5098" s="57" t="n"/>
      <c r="E5098" s="56" t="n"/>
      <c r="F5098" s="57" t="n"/>
      <c r="G5098" s="57" t="n"/>
      <c r="H5098" s="56" t="n"/>
      <c r="I5098" s="56" t="n"/>
      <c r="J5098" s="58" t="n"/>
      <c r="K5098" s="58" t="n"/>
      <c r="L5098" s="13">
        <f>IF(OR($A5098="",AND($J5098="",$K5098="")),"",ROUND(N($J5098)-N($K5098),2))</f>
        <v/>
      </c>
      <c r="M5098" s="13">
        <f>IF(OR($A5098="",AND($J5098="",$K5098="")),"",MIN($J5098,$K5098))</f>
        <v/>
      </c>
      <c r="Q5098">
        <f>IF($A5098="","",$D5098&amp;"("&amp;SUBSTITUTE($E5098," ","")&amp;")")</f>
        <v/>
      </c>
      <c r="R5098">
        <f>IF($A5098="","",$B5098&amp;" - "&amp;$C5098)</f>
        <v/>
      </c>
      <c r="S5098">
        <f>IF($A5098="","",$R5098&amp;"|"&amp;$Q5098)</f>
        <v/>
      </c>
      <c r="T5098">
        <f>IF($A5098="","",$S5098&amp;"|"&amp;$F5098)</f>
        <v/>
      </c>
      <c r="U5098">
        <f>IF($A5098="","",$R5098&amp;"("&amp;$E5098&amp;")")</f>
        <v/>
      </c>
      <c r="V5098">
        <f>IF($A5098="","",$F5098&amp;"|"&amp;$U5098&amp;"|"&amp;$D5098)</f>
        <v/>
      </c>
      <c r="W5098">
        <f>IF($T5098="","",IF($X5098&gt;N($X5097),$X5098,""))</f>
        <v/>
      </c>
      <c r="X5098">
        <f>IF($T5098="",N($X5097),IF(MATCH($T5098,$T$6:$T$6005,0)=ROW()-5,N($X5097)+1,N($X5097)))</f>
        <v/>
      </c>
      <c r="Z5098">
        <f>IF($V5098="","",IF($AA5098&gt;N($AA5097),$AA5098,""))</f>
        <v/>
      </c>
      <c r="AA5098">
        <f>IF($V5098="",N($AA5097),IF(MATCH($V5098,$V$6:$V$6005,0)=ROW()-5,N($AA5097)+1,N($AA5097)))</f>
        <v/>
      </c>
    </row>
    <row r="5099" ht="21" customHeight="1" s="66">
      <c r="A5099" s="56" t="n"/>
      <c r="B5099" s="57" t="n"/>
      <c r="C5099" s="57" t="n"/>
      <c r="D5099" s="57" t="n"/>
      <c r="E5099" s="56" t="n"/>
      <c r="F5099" s="57" t="n"/>
      <c r="G5099" s="57" t="n"/>
      <c r="H5099" s="56" t="n"/>
      <c r="I5099" s="56" t="n"/>
      <c r="J5099" s="58" t="n"/>
      <c r="K5099" s="58" t="n"/>
      <c r="L5099" s="13">
        <f>IF(OR($A5099="",AND($J5099="",$K5099="")),"",ROUND(N($J5099)-N($K5099),2))</f>
        <v/>
      </c>
      <c r="M5099" s="13">
        <f>IF(OR($A5099="",AND($J5099="",$K5099="")),"",MIN($J5099,$K5099))</f>
        <v/>
      </c>
      <c r="Q5099">
        <f>IF($A5099="","",$D5099&amp;"("&amp;SUBSTITUTE($E5099," ","")&amp;")")</f>
        <v/>
      </c>
      <c r="R5099">
        <f>IF($A5099="","",$B5099&amp;" - "&amp;$C5099)</f>
        <v/>
      </c>
      <c r="S5099">
        <f>IF($A5099="","",$R5099&amp;"|"&amp;$Q5099)</f>
        <v/>
      </c>
      <c r="T5099">
        <f>IF($A5099="","",$S5099&amp;"|"&amp;$F5099)</f>
        <v/>
      </c>
      <c r="U5099">
        <f>IF($A5099="","",$R5099&amp;"("&amp;$E5099&amp;")")</f>
        <v/>
      </c>
      <c r="V5099">
        <f>IF($A5099="","",$F5099&amp;"|"&amp;$U5099&amp;"|"&amp;$D5099)</f>
        <v/>
      </c>
      <c r="W5099">
        <f>IF($T5099="","",IF($X5099&gt;N($X5098),$X5099,""))</f>
        <v/>
      </c>
      <c r="X5099">
        <f>IF($T5099="",N($X5098),IF(MATCH($T5099,$T$6:$T$6005,0)=ROW()-5,N($X5098)+1,N($X5098)))</f>
        <v/>
      </c>
      <c r="Z5099">
        <f>IF($V5099="","",IF($AA5099&gt;N($AA5098),$AA5099,""))</f>
        <v/>
      </c>
      <c r="AA5099">
        <f>IF($V5099="",N($AA5098),IF(MATCH($V5099,$V$6:$V$6005,0)=ROW()-5,N($AA5098)+1,N($AA5098)))</f>
        <v/>
      </c>
    </row>
    <row r="5100" ht="21" customHeight="1" s="66">
      <c r="A5100" s="56" t="n"/>
      <c r="B5100" s="57" t="n"/>
      <c r="C5100" s="57" t="n"/>
      <c r="D5100" s="57" t="n"/>
      <c r="E5100" s="56" t="n"/>
      <c r="F5100" s="57" t="n"/>
      <c r="G5100" s="57" t="n"/>
      <c r="H5100" s="56" t="n"/>
      <c r="I5100" s="56" t="n"/>
      <c r="J5100" s="58" t="n"/>
      <c r="K5100" s="58" t="n"/>
      <c r="L5100" s="13">
        <f>IF(OR($A5100="",AND($J5100="",$K5100="")),"",ROUND(N($J5100)-N($K5100),2))</f>
        <v/>
      </c>
      <c r="M5100" s="13">
        <f>IF(OR($A5100="",AND($J5100="",$K5100="")),"",MIN($J5100,$K5100))</f>
        <v/>
      </c>
      <c r="Q5100">
        <f>IF($A5100="","",$D5100&amp;"("&amp;SUBSTITUTE($E5100," ","")&amp;")")</f>
        <v/>
      </c>
      <c r="R5100">
        <f>IF($A5100="","",$B5100&amp;" - "&amp;$C5100)</f>
        <v/>
      </c>
      <c r="S5100">
        <f>IF($A5100="","",$R5100&amp;"|"&amp;$Q5100)</f>
        <v/>
      </c>
      <c r="T5100">
        <f>IF($A5100="","",$S5100&amp;"|"&amp;$F5100)</f>
        <v/>
      </c>
      <c r="U5100">
        <f>IF($A5100="","",$R5100&amp;"("&amp;$E5100&amp;")")</f>
        <v/>
      </c>
      <c r="V5100">
        <f>IF($A5100="","",$F5100&amp;"|"&amp;$U5100&amp;"|"&amp;$D5100)</f>
        <v/>
      </c>
      <c r="W5100">
        <f>IF($T5100="","",IF($X5100&gt;N($X5099),$X5100,""))</f>
        <v/>
      </c>
      <c r="X5100">
        <f>IF($T5100="",N($X5099),IF(MATCH($T5100,$T$6:$T$6005,0)=ROW()-5,N($X5099)+1,N($X5099)))</f>
        <v/>
      </c>
      <c r="Z5100">
        <f>IF($V5100="","",IF($AA5100&gt;N($AA5099),$AA5100,""))</f>
        <v/>
      </c>
      <c r="AA5100">
        <f>IF($V5100="",N($AA5099),IF(MATCH($V5100,$V$6:$V$6005,0)=ROW()-5,N($AA5099)+1,N($AA5099)))</f>
        <v/>
      </c>
    </row>
    <row r="5101" ht="21" customHeight="1" s="66">
      <c r="A5101" s="56" t="n"/>
      <c r="B5101" s="57" t="n"/>
      <c r="C5101" s="57" t="n"/>
      <c r="D5101" s="57" t="n"/>
      <c r="E5101" s="56" t="n"/>
      <c r="F5101" s="57" t="n"/>
      <c r="G5101" s="57" t="n"/>
      <c r="H5101" s="56" t="n"/>
      <c r="I5101" s="56" t="n"/>
      <c r="J5101" s="58" t="n"/>
      <c r="K5101" s="58" t="n"/>
      <c r="L5101" s="13">
        <f>IF(OR($A5101="",AND($J5101="",$K5101="")),"",ROUND(N($J5101)-N($K5101),2))</f>
        <v/>
      </c>
      <c r="M5101" s="13">
        <f>IF(OR($A5101="",AND($J5101="",$K5101="")),"",MIN($J5101,$K5101))</f>
        <v/>
      </c>
      <c r="Q5101">
        <f>IF($A5101="","",$D5101&amp;"("&amp;SUBSTITUTE($E5101," ","")&amp;")")</f>
        <v/>
      </c>
      <c r="R5101">
        <f>IF($A5101="","",$B5101&amp;" - "&amp;$C5101)</f>
        <v/>
      </c>
      <c r="S5101">
        <f>IF($A5101="","",$R5101&amp;"|"&amp;$Q5101)</f>
        <v/>
      </c>
      <c r="T5101">
        <f>IF($A5101="","",$S5101&amp;"|"&amp;$F5101)</f>
        <v/>
      </c>
      <c r="U5101">
        <f>IF($A5101="","",$R5101&amp;"("&amp;$E5101&amp;")")</f>
        <v/>
      </c>
      <c r="V5101">
        <f>IF($A5101="","",$F5101&amp;"|"&amp;$U5101&amp;"|"&amp;$D5101)</f>
        <v/>
      </c>
      <c r="W5101">
        <f>IF($T5101="","",IF($X5101&gt;N($X5100),$X5101,""))</f>
        <v/>
      </c>
      <c r="X5101">
        <f>IF($T5101="",N($X5100),IF(MATCH($T5101,$T$6:$T$6005,0)=ROW()-5,N($X5100)+1,N($X5100)))</f>
        <v/>
      </c>
      <c r="Z5101">
        <f>IF($V5101="","",IF($AA5101&gt;N($AA5100),$AA5101,""))</f>
        <v/>
      </c>
      <c r="AA5101">
        <f>IF($V5101="",N($AA5100),IF(MATCH($V5101,$V$6:$V$6005,0)=ROW()-5,N($AA5100)+1,N($AA5100)))</f>
        <v/>
      </c>
    </row>
    <row r="5102" ht="21" customHeight="1" s="66">
      <c r="A5102" s="56" t="n"/>
      <c r="B5102" s="57" t="n"/>
      <c r="C5102" s="57" t="n"/>
      <c r="D5102" s="57" t="n"/>
      <c r="E5102" s="56" t="n"/>
      <c r="F5102" s="57" t="n"/>
      <c r="G5102" s="57" t="n"/>
      <c r="H5102" s="56" t="n"/>
      <c r="I5102" s="56" t="n"/>
      <c r="J5102" s="58" t="n"/>
      <c r="K5102" s="58" t="n"/>
      <c r="L5102" s="13">
        <f>IF(OR($A5102="",AND($J5102="",$K5102="")),"",ROUND(N($J5102)-N($K5102),2))</f>
        <v/>
      </c>
      <c r="M5102" s="13">
        <f>IF(OR($A5102="",AND($J5102="",$K5102="")),"",MIN($J5102,$K5102))</f>
        <v/>
      </c>
      <c r="Q5102">
        <f>IF($A5102="","",$D5102&amp;"("&amp;SUBSTITUTE($E5102," ","")&amp;")")</f>
        <v/>
      </c>
      <c r="R5102">
        <f>IF($A5102="","",$B5102&amp;" - "&amp;$C5102)</f>
        <v/>
      </c>
      <c r="S5102">
        <f>IF($A5102="","",$R5102&amp;"|"&amp;$Q5102)</f>
        <v/>
      </c>
      <c r="T5102">
        <f>IF($A5102="","",$S5102&amp;"|"&amp;$F5102)</f>
        <v/>
      </c>
      <c r="U5102">
        <f>IF($A5102="","",$R5102&amp;"("&amp;$E5102&amp;")")</f>
        <v/>
      </c>
      <c r="V5102">
        <f>IF($A5102="","",$F5102&amp;"|"&amp;$U5102&amp;"|"&amp;$D5102)</f>
        <v/>
      </c>
      <c r="W5102">
        <f>IF($T5102="","",IF($X5102&gt;N($X5101),$X5102,""))</f>
        <v/>
      </c>
      <c r="X5102">
        <f>IF($T5102="",N($X5101),IF(MATCH($T5102,$T$6:$T$6005,0)=ROW()-5,N($X5101)+1,N($X5101)))</f>
        <v/>
      </c>
      <c r="Z5102">
        <f>IF($V5102="","",IF($AA5102&gt;N($AA5101),$AA5102,""))</f>
        <v/>
      </c>
      <c r="AA5102">
        <f>IF($V5102="",N($AA5101),IF(MATCH($V5102,$V$6:$V$6005,0)=ROW()-5,N($AA5101)+1,N($AA5101)))</f>
        <v/>
      </c>
    </row>
    <row r="5103" ht="21" customHeight="1" s="66">
      <c r="A5103" s="56" t="n"/>
      <c r="B5103" s="57" t="n"/>
      <c r="C5103" s="57" t="n"/>
      <c r="D5103" s="57" t="n"/>
      <c r="E5103" s="56" t="n"/>
      <c r="F5103" s="57" t="n"/>
      <c r="G5103" s="57" t="n"/>
      <c r="H5103" s="56" t="n"/>
      <c r="I5103" s="56" t="n"/>
      <c r="J5103" s="58" t="n"/>
      <c r="K5103" s="58" t="n"/>
      <c r="L5103" s="13">
        <f>IF(OR($A5103="",AND($J5103="",$K5103="")),"",ROUND(N($J5103)-N($K5103),2))</f>
        <v/>
      </c>
      <c r="M5103" s="13">
        <f>IF(OR($A5103="",AND($J5103="",$K5103="")),"",MIN($J5103,$K5103))</f>
        <v/>
      </c>
      <c r="Q5103">
        <f>IF($A5103="","",$D5103&amp;"("&amp;SUBSTITUTE($E5103," ","")&amp;")")</f>
        <v/>
      </c>
      <c r="R5103">
        <f>IF($A5103="","",$B5103&amp;" - "&amp;$C5103)</f>
        <v/>
      </c>
      <c r="S5103">
        <f>IF($A5103="","",$R5103&amp;"|"&amp;$Q5103)</f>
        <v/>
      </c>
      <c r="T5103">
        <f>IF($A5103="","",$S5103&amp;"|"&amp;$F5103)</f>
        <v/>
      </c>
      <c r="U5103">
        <f>IF($A5103="","",$R5103&amp;"("&amp;$E5103&amp;")")</f>
        <v/>
      </c>
      <c r="V5103">
        <f>IF($A5103="","",$F5103&amp;"|"&amp;$U5103&amp;"|"&amp;$D5103)</f>
        <v/>
      </c>
      <c r="W5103">
        <f>IF($T5103="","",IF($X5103&gt;N($X5102),$X5103,""))</f>
        <v/>
      </c>
      <c r="X5103">
        <f>IF($T5103="",N($X5102),IF(MATCH($T5103,$T$6:$T$6005,0)=ROW()-5,N($X5102)+1,N($X5102)))</f>
        <v/>
      </c>
      <c r="Z5103">
        <f>IF($V5103="","",IF($AA5103&gt;N($AA5102),$AA5103,""))</f>
        <v/>
      </c>
      <c r="AA5103">
        <f>IF($V5103="",N($AA5102),IF(MATCH($V5103,$V$6:$V$6005,0)=ROW()-5,N($AA5102)+1,N($AA5102)))</f>
        <v/>
      </c>
    </row>
    <row r="5104" ht="21" customHeight="1" s="66">
      <c r="A5104" s="56" t="n"/>
      <c r="B5104" s="57" t="n"/>
      <c r="C5104" s="57" t="n"/>
      <c r="D5104" s="57" t="n"/>
      <c r="E5104" s="56" t="n"/>
      <c r="F5104" s="57" t="n"/>
      <c r="G5104" s="57" t="n"/>
      <c r="H5104" s="56" t="n"/>
      <c r="I5104" s="56" t="n"/>
      <c r="J5104" s="58" t="n"/>
      <c r="K5104" s="58" t="n"/>
      <c r="L5104" s="13">
        <f>IF(OR($A5104="",AND($J5104="",$K5104="")),"",ROUND(N($J5104)-N($K5104),2))</f>
        <v/>
      </c>
      <c r="M5104" s="13">
        <f>IF(OR($A5104="",AND($J5104="",$K5104="")),"",MIN($J5104,$K5104))</f>
        <v/>
      </c>
      <c r="Q5104">
        <f>IF($A5104="","",$D5104&amp;"("&amp;SUBSTITUTE($E5104," ","")&amp;")")</f>
        <v/>
      </c>
      <c r="R5104">
        <f>IF($A5104="","",$B5104&amp;" - "&amp;$C5104)</f>
        <v/>
      </c>
      <c r="S5104">
        <f>IF($A5104="","",$R5104&amp;"|"&amp;$Q5104)</f>
        <v/>
      </c>
      <c r="T5104">
        <f>IF($A5104="","",$S5104&amp;"|"&amp;$F5104)</f>
        <v/>
      </c>
      <c r="U5104">
        <f>IF($A5104="","",$R5104&amp;"("&amp;$E5104&amp;")")</f>
        <v/>
      </c>
      <c r="V5104">
        <f>IF($A5104="","",$F5104&amp;"|"&amp;$U5104&amp;"|"&amp;$D5104)</f>
        <v/>
      </c>
      <c r="W5104">
        <f>IF($T5104="","",IF($X5104&gt;N($X5103),$X5104,""))</f>
        <v/>
      </c>
      <c r="X5104">
        <f>IF($T5104="",N($X5103),IF(MATCH($T5104,$T$6:$T$6005,0)=ROW()-5,N($X5103)+1,N($X5103)))</f>
        <v/>
      </c>
      <c r="Z5104">
        <f>IF($V5104="","",IF($AA5104&gt;N($AA5103),$AA5104,""))</f>
        <v/>
      </c>
      <c r="AA5104">
        <f>IF($V5104="",N($AA5103),IF(MATCH($V5104,$V$6:$V$6005,0)=ROW()-5,N($AA5103)+1,N($AA5103)))</f>
        <v/>
      </c>
    </row>
    <row r="5105" ht="21" customHeight="1" s="66">
      <c r="A5105" s="56" t="n"/>
      <c r="B5105" s="57" t="n"/>
      <c r="C5105" s="57" t="n"/>
      <c r="D5105" s="57" t="n"/>
      <c r="E5105" s="56" t="n"/>
      <c r="F5105" s="57" t="n"/>
      <c r="G5105" s="57" t="n"/>
      <c r="H5105" s="56" t="n"/>
      <c r="I5105" s="56" t="n"/>
      <c r="J5105" s="58" t="n"/>
      <c r="K5105" s="58" t="n"/>
      <c r="L5105" s="13">
        <f>IF(OR($A5105="",AND($J5105="",$K5105="")),"",ROUND(N($J5105)-N($K5105),2))</f>
        <v/>
      </c>
      <c r="M5105" s="13">
        <f>IF(OR($A5105="",AND($J5105="",$K5105="")),"",MIN($J5105,$K5105))</f>
        <v/>
      </c>
      <c r="Q5105">
        <f>IF($A5105="","",$D5105&amp;"("&amp;SUBSTITUTE($E5105," ","")&amp;")")</f>
        <v/>
      </c>
      <c r="R5105">
        <f>IF($A5105="","",$B5105&amp;" - "&amp;$C5105)</f>
        <v/>
      </c>
      <c r="S5105">
        <f>IF($A5105="","",$R5105&amp;"|"&amp;$Q5105)</f>
        <v/>
      </c>
      <c r="T5105">
        <f>IF($A5105="","",$S5105&amp;"|"&amp;$F5105)</f>
        <v/>
      </c>
      <c r="U5105">
        <f>IF($A5105="","",$R5105&amp;"("&amp;$E5105&amp;")")</f>
        <v/>
      </c>
      <c r="V5105">
        <f>IF($A5105="","",$F5105&amp;"|"&amp;$U5105&amp;"|"&amp;$D5105)</f>
        <v/>
      </c>
      <c r="W5105">
        <f>IF($T5105="","",IF($X5105&gt;N($X5104),$X5105,""))</f>
        <v/>
      </c>
      <c r="X5105">
        <f>IF($T5105="",N($X5104),IF(MATCH($T5105,$T$6:$T$6005,0)=ROW()-5,N($X5104)+1,N($X5104)))</f>
        <v/>
      </c>
      <c r="Z5105">
        <f>IF($V5105="","",IF($AA5105&gt;N($AA5104),$AA5105,""))</f>
        <v/>
      </c>
      <c r="AA5105">
        <f>IF($V5105="",N($AA5104),IF(MATCH($V5105,$V$6:$V$6005,0)=ROW()-5,N($AA5104)+1,N($AA5104)))</f>
        <v/>
      </c>
    </row>
    <row r="5106" ht="21" customHeight="1" s="66">
      <c r="A5106" s="56" t="n"/>
      <c r="B5106" s="57" t="n"/>
      <c r="C5106" s="57" t="n"/>
      <c r="D5106" s="57" t="n"/>
      <c r="E5106" s="56" t="n"/>
      <c r="F5106" s="57" t="n"/>
      <c r="G5106" s="57" t="n"/>
      <c r="H5106" s="56" t="n"/>
      <c r="I5106" s="56" t="n"/>
      <c r="J5106" s="58" t="n"/>
      <c r="K5106" s="58" t="n"/>
      <c r="L5106" s="13">
        <f>IF(OR($A5106="",AND($J5106="",$K5106="")),"",ROUND(N($J5106)-N($K5106),2))</f>
        <v/>
      </c>
      <c r="M5106" s="13">
        <f>IF(OR($A5106="",AND($J5106="",$K5106="")),"",MIN($J5106,$K5106))</f>
        <v/>
      </c>
      <c r="Q5106">
        <f>IF($A5106="","",$D5106&amp;"("&amp;SUBSTITUTE($E5106," ","")&amp;")")</f>
        <v/>
      </c>
      <c r="R5106">
        <f>IF($A5106="","",$B5106&amp;" - "&amp;$C5106)</f>
        <v/>
      </c>
      <c r="S5106">
        <f>IF($A5106="","",$R5106&amp;"|"&amp;$Q5106)</f>
        <v/>
      </c>
      <c r="T5106">
        <f>IF($A5106="","",$S5106&amp;"|"&amp;$F5106)</f>
        <v/>
      </c>
      <c r="U5106">
        <f>IF($A5106="","",$R5106&amp;"("&amp;$E5106&amp;")")</f>
        <v/>
      </c>
      <c r="V5106">
        <f>IF($A5106="","",$F5106&amp;"|"&amp;$U5106&amp;"|"&amp;$D5106)</f>
        <v/>
      </c>
      <c r="W5106">
        <f>IF($T5106="","",IF($X5106&gt;N($X5105),$X5106,""))</f>
        <v/>
      </c>
      <c r="X5106">
        <f>IF($T5106="",N($X5105),IF(MATCH($T5106,$T$6:$T$6005,0)=ROW()-5,N($X5105)+1,N($X5105)))</f>
        <v/>
      </c>
      <c r="Z5106">
        <f>IF($V5106="","",IF($AA5106&gt;N($AA5105),$AA5106,""))</f>
        <v/>
      </c>
      <c r="AA5106">
        <f>IF($V5106="",N($AA5105),IF(MATCH($V5106,$V$6:$V$6005,0)=ROW()-5,N($AA5105)+1,N($AA5105)))</f>
        <v/>
      </c>
    </row>
    <row r="5107" ht="21" customHeight="1" s="66">
      <c r="A5107" s="56" t="n"/>
      <c r="B5107" s="57" t="n"/>
      <c r="C5107" s="57" t="n"/>
      <c r="D5107" s="57" t="n"/>
      <c r="E5107" s="56" t="n"/>
      <c r="F5107" s="57" t="n"/>
      <c r="G5107" s="57" t="n"/>
      <c r="H5107" s="56" t="n"/>
      <c r="I5107" s="56" t="n"/>
      <c r="J5107" s="58" t="n"/>
      <c r="K5107" s="58" t="n"/>
      <c r="L5107" s="13">
        <f>IF(OR($A5107="",AND($J5107="",$K5107="")),"",ROUND(N($J5107)-N($K5107),2))</f>
        <v/>
      </c>
      <c r="M5107" s="13">
        <f>IF(OR($A5107="",AND($J5107="",$K5107="")),"",MIN($J5107,$K5107))</f>
        <v/>
      </c>
      <c r="Q5107">
        <f>IF($A5107="","",$D5107&amp;"("&amp;SUBSTITUTE($E5107," ","")&amp;")")</f>
        <v/>
      </c>
      <c r="R5107">
        <f>IF($A5107="","",$B5107&amp;" - "&amp;$C5107)</f>
        <v/>
      </c>
      <c r="S5107">
        <f>IF($A5107="","",$R5107&amp;"|"&amp;$Q5107)</f>
        <v/>
      </c>
      <c r="T5107">
        <f>IF($A5107="","",$S5107&amp;"|"&amp;$F5107)</f>
        <v/>
      </c>
      <c r="U5107">
        <f>IF($A5107="","",$R5107&amp;"("&amp;$E5107&amp;")")</f>
        <v/>
      </c>
      <c r="V5107">
        <f>IF($A5107="","",$F5107&amp;"|"&amp;$U5107&amp;"|"&amp;$D5107)</f>
        <v/>
      </c>
      <c r="W5107">
        <f>IF($T5107="","",IF($X5107&gt;N($X5106),$X5107,""))</f>
        <v/>
      </c>
      <c r="X5107">
        <f>IF($T5107="",N($X5106),IF(MATCH($T5107,$T$6:$T$6005,0)=ROW()-5,N($X5106)+1,N($X5106)))</f>
        <v/>
      </c>
      <c r="Z5107">
        <f>IF($V5107="","",IF($AA5107&gt;N($AA5106),$AA5107,""))</f>
        <v/>
      </c>
      <c r="AA5107">
        <f>IF($V5107="",N($AA5106),IF(MATCH($V5107,$V$6:$V$6005,0)=ROW()-5,N($AA5106)+1,N($AA5106)))</f>
        <v/>
      </c>
    </row>
    <row r="5108" ht="21" customHeight="1" s="66">
      <c r="A5108" s="56" t="n"/>
      <c r="B5108" s="57" t="n"/>
      <c r="C5108" s="57" t="n"/>
      <c r="D5108" s="57" t="n"/>
      <c r="E5108" s="56" t="n"/>
      <c r="F5108" s="57" t="n"/>
      <c r="G5108" s="57" t="n"/>
      <c r="H5108" s="56" t="n"/>
      <c r="I5108" s="56" t="n"/>
      <c r="J5108" s="58" t="n"/>
      <c r="K5108" s="58" t="n"/>
      <c r="L5108" s="13">
        <f>IF(OR($A5108="",AND($J5108="",$K5108="")),"",ROUND(N($J5108)-N($K5108),2))</f>
        <v/>
      </c>
      <c r="M5108" s="13">
        <f>IF(OR($A5108="",AND($J5108="",$K5108="")),"",MIN($J5108,$K5108))</f>
        <v/>
      </c>
      <c r="Q5108">
        <f>IF($A5108="","",$D5108&amp;"("&amp;SUBSTITUTE($E5108," ","")&amp;")")</f>
        <v/>
      </c>
      <c r="R5108">
        <f>IF($A5108="","",$B5108&amp;" - "&amp;$C5108)</f>
        <v/>
      </c>
      <c r="S5108">
        <f>IF($A5108="","",$R5108&amp;"|"&amp;$Q5108)</f>
        <v/>
      </c>
      <c r="T5108">
        <f>IF($A5108="","",$S5108&amp;"|"&amp;$F5108)</f>
        <v/>
      </c>
      <c r="U5108">
        <f>IF($A5108="","",$R5108&amp;"("&amp;$E5108&amp;")")</f>
        <v/>
      </c>
      <c r="V5108">
        <f>IF($A5108="","",$F5108&amp;"|"&amp;$U5108&amp;"|"&amp;$D5108)</f>
        <v/>
      </c>
      <c r="W5108">
        <f>IF($T5108="","",IF($X5108&gt;N($X5107),$X5108,""))</f>
        <v/>
      </c>
      <c r="X5108">
        <f>IF($T5108="",N($X5107),IF(MATCH($T5108,$T$6:$T$6005,0)=ROW()-5,N($X5107)+1,N($X5107)))</f>
        <v/>
      </c>
      <c r="Z5108">
        <f>IF($V5108="","",IF($AA5108&gt;N($AA5107),$AA5108,""))</f>
        <v/>
      </c>
      <c r="AA5108">
        <f>IF($V5108="",N($AA5107),IF(MATCH($V5108,$V$6:$V$6005,0)=ROW()-5,N($AA5107)+1,N($AA5107)))</f>
        <v/>
      </c>
    </row>
    <row r="5109" ht="21" customHeight="1" s="66">
      <c r="A5109" s="56" t="n"/>
      <c r="B5109" s="57" t="n"/>
      <c r="C5109" s="57" t="n"/>
      <c r="D5109" s="57" t="n"/>
      <c r="E5109" s="56" t="n"/>
      <c r="F5109" s="57" t="n"/>
      <c r="G5109" s="57" t="n"/>
      <c r="H5109" s="56" t="n"/>
      <c r="I5109" s="56" t="n"/>
      <c r="J5109" s="58" t="n"/>
      <c r="K5109" s="58" t="n"/>
      <c r="L5109" s="13">
        <f>IF(OR($A5109="",AND($J5109="",$K5109="")),"",ROUND(N($J5109)-N($K5109),2))</f>
        <v/>
      </c>
      <c r="M5109" s="13">
        <f>IF(OR($A5109="",AND($J5109="",$K5109="")),"",MIN($J5109,$K5109))</f>
        <v/>
      </c>
      <c r="Q5109">
        <f>IF($A5109="","",$D5109&amp;"("&amp;SUBSTITUTE($E5109," ","")&amp;")")</f>
        <v/>
      </c>
      <c r="R5109">
        <f>IF($A5109="","",$B5109&amp;" - "&amp;$C5109)</f>
        <v/>
      </c>
      <c r="S5109">
        <f>IF($A5109="","",$R5109&amp;"|"&amp;$Q5109)</f>
        <v/>
      </c>
      <c r="T5109">
        <f>IF($A5109="","",$S5109&amp;"|"&amp;$F5109)</f>
        <v/>
      </c>
      <c r="U5109">
        <f>IF($A5109="","",$R5109&amp;"("&amp;$E5109&amp;")")</f>
        <v/>
      </c>
      <c r="V5109">
        <f>IF($A5109="","",$F5109&amp;"|"&amp;$U5109&amp;"|"&amp;$D5109)</f>
        <v/>
      </c>
      <c r="W5109">
        <f>IF($T5109="","",IF($X5109&gt;N($X5108),$X5109,""))</f>
        <v/>
      </c>
      <c r="X5109">
        <f>IF($T5109="",N($X5108),IF(MATCH($T5109,$T$6:$T$6005,0)=ROW()-5,N($X5108)+1,N($X5108)))</f>
        <v/>
      </c>
      <c r="Z5109">
        <f>IF($V5109="","",IF($AA5109&gt;N($AA5108),$AA5109,""))</f>
        <v/>
      </c>
      <c r="AA5109">
        <f>IF($V5109="",N($AA5108),IF(MATCH($V5109,$V$6:$V$6005,0)=ROW()-5,N($AA5108)+1,N($AA5108)))</f>
        <v/>
      </c>
    </row>
    <row r="5110" ht="21" customHeight="1" s="66">
      <c r="A5110" s="56" t="n"/>
      <c r="B5110" s="57" t="n"/>
      <c r="C5110" s="57" t="n"/>
      <c r="D5110" s="57" t="n"/>
      <c r="E5110" s="56" t="n"/>
      <c r="F5110" s="57" t="n"/>
      <c r="G5110" s="57" t="n"/>
      <c r="H5110" s="56" t="n"/>
      <c r="I5110" s="56" t="n"/>
      <c r="J5110" s="58" t="n"/>
      <c r="K5110" s="58" t="n"/>
      <c r="L5110" s="13">
        <f>IF(OR($A5110="",AND($J5110="",$K5110="")),"",ROUND(N($J5110)-N($K5110),2))</f>
        <v/>
      </c>
      <c r="M5110" s="13">
        <f>IF(OR($A5110="",AND($J5110="",$K5110="")),"",MIN($J5110,$K5110))</f>
        <v/>
      </c>
      <c r="Q5110">
        <f>IF($A5110="","",$D5110&amp;"("&amp;SUBSTITUTE($E5110," ","")&amp;")")</f>
        <v/>
      </c>
      <c r="R5110">
        <f>IF($A5110="","",$B5110&amp;" - "&amp;$C5110)</f>
        <v/>
      </c>
      <c r="S5110">
        <f>IF($A5110="","",$R5110&amp;"|"&amp;$Q5110)</f>
        <v/>
      </c>
      <c r="T5110">
        <f>IF($A5110="","",$S5110&amp;"|"&amp;$F5110)</f>
        <v/>
      </c>
      <c r="U5110">
        <f>IF($A5110="","",$R5110&amp;"("&amp;$E5110&amp;")")</f>
        <v/>
      </c>
      <c r="V5110">
        <f>IF($A5110="","",$F5110&amp;"|"&amp;$U5110&amp;"|"&amp;$D5110)</f>
        <v/>
      </c>
      <c r="W5110">
        <f>IF($T5110="","",IF($X5110&gt;N($X5109),$X5110,""))</f>
        <v/>
      </c>
      <c r="X5110">
        <f>IF($T5110="",N($X5109),IF(MATCH($T5110,$T$6:$T$6005,0)=ROW()-5,N($X5109)+1,N($X5109)))</f>
        <v/>
      </c>
      <c r="Z5110">
        <f>IF($V5110="","",IF($AA5110&gt;N($AA5109),$AA5110,""))</f>
        <v/>
      </c>
      <c r="AA5110">
        <f>IF($V5110="",N($AA5109),IF(MATCH($V5110,$V$6:$V$6005,0)=ROW()-5,N($AA5109)+1,N($AA5109)))</f>
        <v/>
      </c>
    </row>
    <row r="5111" ht="21" customHeight="1" s="66">
      <c r="A5111" s="56" t="n"/>
      <c r="B5111" s="57" t="n"/>
      <c r="C5111" s="57" t="n"/>
      <c r="D5111" s="57" t="n"/>
      <c r="E5111" s="56" t="n"/>
      <c r="F5111" s="57" t="n"/>
      <c r="G5111" s="57" t="n"/>
      <c r="H5111" s="56" t="n"/>
      <c r="I5111" s="56" t="n"/>
      <c r="J5111" s="58" t="n"/>
      <c r="K5111" s="58" t="n"/>
      <c r="L5111" s="13">
        <f>IF(OR($A5111="",AND($J5111="",$K5111="")),"",ROUND(N($J5111)-N($K5111),2))</f>
        <v/>
      </c>
      <c r="M5111" s="13">
        <f>IF(OR($A5111="",AND($J5111="",$K5111="")),"",MIN($J5111,$K5111))</f>
        <v/>
      </c>
      <c r="Q5111">
        <f>IF($A5111="","",$D5111&amp;"("&amp;SUBSTITUTE($E5111," ","")&amp;")")</f>
        <v/>
      </c>
      <c r="R5111">
        <f>IF($A5111="","",$B5111&amp;" - "&amp;$C5111)</f>
        <v/>
      </c>
      <c r="S5111">
        <f>IF($A5111="","",$R5111&amp;"|"&amp;$Q5111)</f>
        <v/>
      </c>
      <c r="T5111">
        <f>IF($A5111="","",$S5111&amp;"|"&amp;$F5111)</f>
        <v/>
      </c>
      <c r="U5111">
        <f>IF($A5111="","",$R5111&amp;"("&amp;$E5111&amp;")")</f>
        <v/>
      </c>
      <c r="V5111">
        <f>IF($A5111="","",$F5111&amp;"|"&amp;$U5111&amp;"|"&amp;$D5111)</f>
        <v/>
      </c>
      <c r="W5111">
        <f>IF($T5111="","",IF($X5111&gt;N($X5110),$X5111,""))</f>
        <v/>
      </c>
      <c r="X5111">
        <f>IF($T5111="",N($X5110),IF(MATCH($T5111,$T$6:$T$6005,0)=ROW()-5,N($X5110)+1,N($X5110)))</f>
        <v/>
      </c>
      <c r="Z5111">
        <f>IF($V5111="","",IF($AA5111&gt;N($AA5110),$AA5111,""))</f>
        <v/>
      </c>
      <c r="AA5111">
        <f>IF($V5111="",N($AA5110),IF(MATCH($V5111,$V$6:$V$6005,0)=ROW()-5,N($AA5110)+1,N($AA5110)))</f>
        <v/>
      </c>
    </row>
    <row r="5112" ht="21" customHeight="1" s="66">
      <c r="A5112" s="56" t="n"/>
      <c r="B5112" s="57" t="n"/>
      <c r="C5112" s="57" t="n"/>
      <c r="D5112" s="57" t="n"/>
      <c r="E5112" s="56" t="n"/>
      <c r="F5112" s="57" t="n"/>
      <c r="G5112" s="57" t="n"/>
      <c r="H5112" s="56" t="n"/>
      <c r="I5112" s="56" t="n"/>
      <c r="J5112" s="58" t="n"/>
      <c r="K5112" s="58" t="n"/>
      <c r="L5112" s="13">
        <f>IF(OR($A5112="",AND($J5112="",$K5112="")),"",ROUND(N($J5112)-N($K5112),2))</f>
        <v/>
      </c>
      <c r="M5112" s="13">
        <f>IF(OR($A5112="",AND($J5112="",$K5112="")),"",MIN($J5112,$K5112))</f>
        <v/>
      </c>
      <c r="Q5112">
        <f>IF($A5112="","",$D5112&amp;"("&amp;SUBSTITUTE($E5112," ","")&amp;")")</f>
        <v/>
      </c>
      <c r="R5112">
        <f>IF($A5112="","",$B5112&amp;" - "&amp;$C5112)</f>
        <v/>
      </c>
      <c r="S5112">
        <f>IF($A5112="","",$R5112&amp;"|"&amp;$Q5112)</f>
        <v/>
      </c>
      <c r="T5112">
        <f>IF($A5112="","",$S5112&amp;"|"&amp;$F5112)</f>
        <v/>
      </c>
      <c r="U5112">
        <f>IF($A5112="","",$R5112&amp;"("&amp;$E5112&amp;")")</f>
        <v/>
      </c>
      <c r="V5112">
        <f>IF($A5112="","",$F5112&amp;"|"&amp;$U5112&amp;"|"&amp;$D5112)</f>
        <v/>
      </c>
      <c r="W5112">
        <f>IF($T5112="","",IF($X5112&gt;N($X5111),$X5112,""))</f>
        <v/>
      </c>
      <c r="X5112">
        <f>IF($T5112="",N($X5111),IF(MATCH($T5112,$T$6:$T$6005,0)=ROW()-5,N($X5111)+1,N($X5111)))</f>
        <v/>
      </c>
      <c r="Z5112">
        <f>IF($V5112="","",IF($AA5112&gt;N($AA5111),$AA5112,""))</f>
        <v/>
      </c>
      <c r="AA5112">
        <f>IF($V5112="",N($AA5111),IF(MATCH($V5112,$V$6:$V$6005,0)=ROW()-5,N($AA5111)+1,N($AA5111)))</f>
        <v/>
      </c>
    </row>
    <row r="5113" ht="21" customHeight="1" s="66">
      <c r="A5113" s="56" t="n"/>
      <c r="B5113" s="57" t="n"/>
      <c r="C5113" s="57" t="n"/>
      <c r="D5113" s="57" t="n"/>
      <c r="E5113" s="56" t="n"/>
      <c r="F5113" s="57" t="n"/>
      <c r="G5113" s="57" t="n"/>
      <c r="H5113" s="56" t="n"/>
      <c r="I5113" s="56" t="n"/>
      <c r="J5113" s="58" t="n"/>
      <c r="K5113" s="58" t="n"/>
      <c r="L5113" s="13">
        <f>IF(OR($A5113="",AND($J5113="",$K5113="")),"",ROUND(N($J5113)-N($K5113),2))</f>
        <v/>
      </c>
      <c r="M5113" s="13">
        <f>IF(OR($A5113="",AND($J5113="",$K5113="")),"",MIN($J5113,$K5113))</f>
        <v/>
      </c>
      <c r="Q5113">
        <f>IF($A5113="","",$D5113&amp;"("&amp;SUBSTITUTE($E5113," ","")&amp;")")</f>
        <v/>
      </c>
      <c r="R5113">
        <f>IF($A5113="","",$B5113&amp;" - "&amp;$C5113)</f>
        <v/>
      </c>
      <c r="S5113">
        <f>IF($A5113="","",$R5113&amp;"|"&amp;$Q5113)</f>
        <v/>
      </c>
      <c r="T5113">
        <f>IF($A5113="","",$S5113&amp;"|"&amp;$F5113)</f>
        <v/>
      </c>
      <c r="U5113">
        <f>IF($A5113="","",$R5113&amp;"("&amp;$E5113&amp;")")</f>
        <v/>
      </c>
      <c r="V5113">
        <f>IF($A5113="","",$F5113&amp;"|"&amp;$U5113&amp;"|"&amp;$D5113)</f>
        <v/>
      </c>
      <c r="W5113">
        <f>IF($T5113="","",IF($X5113&gt;N($X5112),$X5113,""))</f>
        <v/>
      </c>
      <c r="X5113">
        <f>IF($T5113="",N($X5112),IF(MATCH($T5113,$T$6:$T$6005,0)=ROW()-5,N($X5112)+1,N($X5112)))</f>
        <v/>
      </c>
      <c r="Z5113">
        <f>IF($V5113="","",IF($AA5113&gt;N($AA5112),$AA5113,""))</f>
        <v/>
      </c>
      <c r="AA5113">
        <f>IF($V5113="",N($AA5112),IF(MATCH($V5113,$V$6:$V$6005,0)=ROW()-5,N($AA5112)+1,N($AA5112)))</f>
        <v/>
      </c>
    </row>
    <row r="5114" ht="21" customHeight="1" s="66">
      <c r="A5114" s="56" t="n"/>
      <c r="B5114" s="57" t="n"/>
      <c r="C5114" s="57" t="n"/>
      <c r="D5114" s="57" t="n"/>
      <c r="E5114" s="56" t="n"/>
      <c r="F5114" s="57" t="n"/>
      <c r="G5114" s="57" t="n"/>
      <c r="H5114" s="56" t="n"/>
      <c r="I5114" s="56" t="n"/>
      <c r="J5114" s="58" t="n"/>
      <c r="K5114" s="58" t="n"/>
      <c r="L5114" s="13">
        <f>IF(OR($A5114="",AND($J5114="",$K5114="")),"",ROUND(N($J5114)-N($K5114),2))</f>
        <v/>
      </c>
      <c r="M5114" s="13">
        <f>IF(OR($A5114="",AND($J5114="",$K5114="")),"",MIN($J5114,$K5114))</f>
        <v/>
      </c>
      <c r="Q5114">
        <f>IF($A5114="","",$D5114&amp;"("&amp;SUBSTITUTE($E5114," ","")&amp;")")</f>
        <v/>
      </c>
      <c r="R5114">
        <f>IF($A5114="","",$B5114&amp;" - "&amp;$C5114)</f>
        <v/>
      </c>
      <c r="S5114">
        <f>IF($A5114="","",$R5114&amp;"|"&amp;$Q5114)</f>
        <v/>
      </c>
      <c r="T5114">
        <f>IF($A5114="","",$S5114&amp;"|"&amp;$F5114)</f>
        <v/>
      </c>
      <c r="U5114">
        <f>IF($A5114="","",$R5114&amp;"("&amp;$E5114&amp;")")</f>
        <v/>
      </c>
      <c r="V5114">
        <f>IF($A5114="","",$F5114&amp;"|"&amp;$U5114&amp;"|"&amp;$D5114)</f>
        <v/>
      </c>
      <c r="W5114">
        <f>IF($T5114="","",IF($X5114&gt;N($X5113),$X5114,""))</f>
        <v/>
      </c>
      <c r="X5114">
        <f>IF($T5114="",N($X5113),IF(MATCH($T5114,$T$6:$T$6005,0)=ROW()-5,N($X5113)+1,N($X5113)))</f>
        <v/>
      </c>
      <c r="Z5114">
        <f>IF($V5114="","",IF($AA5114&gt;N($AA5113),$AA5114,""))</f>
        <v/>
      </c>
      <c r="AA5114">
        <f>IF($V5114="",N($AA5113),IF(MATCH($V5114,$V$6:$V$6005,0)=ROW()-5,N($AA5113)+1,N($AA5113)))</f>
        <v/>
      </c>
    </row>
    <row r="5115" ht="21" customHeight="1" s="66">
      <c r="A5115" s="56" t="n"/>
      <c r="B5115" s="57" t="n"/>
      <c r="C5115" s="57" t="n"/>
      <c r="D5115" s="57" t="n"/>
      <c r="E5115" s="56" t="n"/>
      <c r="F5115" s="57" t="n"/>
      <c r="G5115" s="57" t="n"/>
      <c r="H5115" s="56" t="n"/>
      <c r="I5115" s="56" t="n"/>
      <c r="J5115" s="58" t="n"/>
      <c r="K5115" s="58" t="n"/>
      <c r="L5115" s="13">
        <f>IF(OR($A5115="",AND($J5115="",$K5115="")),"",ROUND(N($J5115)-N($K5115),2))</f>
        <v/>
      </c>
      <c r="M5115" s="13">
        <f>IF(OR($A5115="",AND($J5115="",$K5115="")),"",MIN($J5115,$K5115))</f>
        <v/>
      </c>
      <c r="Q5115">
        <f>IF($A5115="","",$D5115&amp;"("&amp;SUBSTITUTE($E5115," ","")&amp;")")</f>
        <v/>
      </c>
      <c r="R5115">
        <f>IF($A5115="","",$B5115&amp;" - "&amp;$C5115)</f>
        <v/>
      </c>
      <c r="S5115">
        <f>IF($A5115="","",$R5115&amp;"|"&amp;$Q5115)</f>
        <v/>
      </c>
      <c r="T5115">
        <f>IF($A5115="","",$S5115&amp;"|"&amp;$F5115)</f>
        <v/>
      </c>
      <c r="U5115">
        <f>IF($A5115="","",$R5115&amp;"("&amp;$E5115&amp;")")</f>
        <v/>
      </c>
      <c r="V5115">
        <f>IF($A5115="","",$F5115&amp;"|"&amp;$U5115&amp;"|"&amp;$D5115)</f>
        <v/>
      </c>
      <c r="W5115">
        <f>IF($T5115="","",IF($X5115&gt;N($X5114),$X5115,""))</f>
        <v/>
      </c>
      <c r="X5115">
        <f>IF($T5115="",N($X5114),IF(MATCH($T5115,$T$6:$T$6005,0)=ROW()-5,N($X5114)+1,N($X5114)))</f>
        <v/>
      </c>
      <c r="Z5115">
        <f>IF($V5115="","",IF($AA5115&gt;N($AA5114),$AA5115,""))</f>
        <v/>
      </c>
      <c r="AA5115">
        <f>IF($V5115="",N($AA5114),IF(MATCH($V5115,$V$6:$V$6005,0)=ROW()-5,N($AA5114)+1,N($AA5114)))</f>
        <v/>
      </c>
    </row>
    <row r="5116" ht="21" customHeight="1" s="66">
      <c r="A5116" s="56" t="n"/>
      <c r="B5116" s="57" t="n"/>
      <c r="C5116" s="57" t="n"/>
      <c r="D5116" s="57" t="n"/>
      <c r="E5116" s="56" t="n"/>
      <c r="F5116" s="57" t="n"/>
      <c r="G5116" s="57" t="n"/>
      <c r="H5116" s="56" t="n"/>
      <c r="I5116" s="56" t="n"/>
      <c r="J5116" s="58" t="n"/>
      <c r="K5116" s="58" t="n"/>
      <c r="L5116" s="13">
        <f>IF(OR($A5116="",AND($J5116="",$K5116="")),"",ROUND(N($J5116)-N($K5116),2))</f>
        <v/>
      </c>
      <c r="M5116" s="13">
        <f>IF(OR($A5116="",AND($J5116="",$K5116="")),"",MIN($J5116,$K5116))</f>
        <v/>
      </c>
      <c r="Q5116">
        <f>IF($A5116="","",$D5116&amp;"("&amp;SUBSTITUTE($E5116," ","")&amp;")")</f>
        <v/>
      </c>
      <c r="R5116">
        <f>IF($A5116="","",$B5116&amp;" - "&amp;$C5116)</f>
        <v/>
      </c>
      <c r="S5116">
        <f>IF($A5116="","",$R5116&amp;"|"&amp;$Q5116)</f>
        <v/>
      </c>
      <c r="T5116">
        <f>IF($A5116="","",$S5116&amp;"|"&amp;$F5116)</f>
        <v/>
      </c>
      <c r="U5116">
        <f>IF($A5116="","",$R5116&amp;"("&amp;$E5116&amp;")")</f>
        <v/>
      </c>
      <c r="V5116">
        <f>IF($A5116="","",$F5116&amp;"|"&amp;$U5116&amp;"|"&amp;$D5116)</f>
        <v/>
      </c>
      <c r="W5116">
        <f>IF($T5116="","",IF($X5116&gt;N($X5115),$X5116,""))</f>
        <v/>
      </c>
      <c r="X5116">
        <f>IF($T5116="",N($X5115),IF(MATCH($T5116,$T$6:$T$6005,0)=ROW()-5,N($X5115)+1,N($X5115)))</f>
        <v/>
      </c>
      <c r="Z5116">
        <f>IF($V5116="","",IF($AA5116&gt;N($AA5115),$AA5116,""))</f>
        <v/>
      </c>
      <c r="AA5116">
        <f>IF($V5116="",N($AA5115),IF(MATCH($V5116,$V$6:$V$6005,0)=ROW()-5,N($AA5115)+1,N($AA5115)))</f>
        <v/>
      </c>
    </row>
    <row r="5117" ht="21" customHeight="1" s="66">
      <c r="A5117" s="56" t="n"/>
      <c r="B5117" s="57" t="n"/>
      <c r="C5117" s="57" t="n"/>
      <c r="D5117" s="57" t="n"/>
      <c r="E5117" s="56" t="n"/>
      <c r="F5117" s="57" t="n"/>
      <c r="G5117" s="57" t="n"/>
      <c r="H5117" s="56" t="n"/>
      <c r="I5117" s="56" t="n"/>
      <c r="J5117" s="58" t="n"/>
      <c r="K5117" s="58" t="n"/>
      <c r="L5117" s="13">
        <f>IF(OR($A5117="",AND($J5117="",$K5117="")),"",ROUND(N($J5117)-N($K5117),2))</f>
        <v/>
      </c>
      <c r="M5117" s="13">
        <f>IF(OR($A5117="",AND($J5117="",$K5117="")),"",MIN($J5117,$K5117))</f>
        <v/>
      </c>
      <c r="Q5117">
        <f>IF($A5117="","",$D5117&amp;"("&amp;SUBSTITUTE($E5117," ","")&amp;")")</f>
        <v/>
      </c>
      <c r="R5117">
        <f>IF($A5117="","",$B5117&amp;" - "&amp;$C5117)</f>
        <v/>
      </c>
      <c r="S5117">
        <f>IF($A5117="","",$R5117&amp;"|"&amp;$Q5117)</f>
        <v/>
      </c>
      <c r="T5117">
        <f>IF($A5117="","",$S5117&amp;"|"&amp;$F5117)</f>
        <v/>
      </c>
      <c r="U5117">
        <f>IF($A5117="","",$R5117&amp;"("&amp;$E5117&amp;")")</f>
        <v/>
      </c>
      <c r="V5117">
        <f>IF($A5117="","",$F5117&amp;"|"&amp;$U5117&amp;"|"&amp;$D5117)</f>
        <v/>
      </c>
      <c r="W5117">
        <f>IF($T5117="","",IF($X5117&gt;N($X5116),$X5117,""))</f>
        <v/>
      </c>
      <c r="X5117">
        <f>IF($T5117="",N($X5116),IF(MATCH($T5117,$T$6:$T$6005,0)=ROW()-5,N($X5116)+1,N($X5116)))</f>
        <v/>
      </c>
      <c r="Z5117">
        <f>IF($V5117="","",IF($AA5117&gt;N($AA5116),$AA5117,""))</f>
        <v/>
      </c>
      <c r="AA5117">
        <f>IF($V5117="",N($AA5116),IF(MATCH($V5117,$V$6:$V$6005,0)=ROW()-5,N($AA5116)+1,N($AA5116)))</f>
        <v/>
      </c>
    </row>
    <row r="5118" ht="21" customHeight="1" s="66">
      <c r="A5118" s="56" t="n"/>
      <c r="B5118" s="57" t="n"/>
      <c r="C5118" s="57" t="n"/>
      <c r="D5118" s="57" t="n"/>
      <c r="E5118" s="56" t="n"/>
      <c r="F5118" s="57" t="n"/>
      <c r="G5118" s="57" t="n"/>
      <c r="H5118" s="56" t="n"/>
      <c r="I5118" s="56" t="n"/>
      <c r="J5118" s="58" t="n"/>
      <c r="K5118" s="58" t="n"/>
      <c r="L5118" s="13">
        <f>IF(OR($A5118="",AND($J5118="",$K5118="")),"",ROUND(N($J5118)-N($K5118),2))</f>
        <v/>
      </c>
      <c r="M5118" s="13">
        <f>IF(OR($A5118="",AND($J5118="",$K5118="")),"",MIN($J5118,$K5118))</f>
        <v/>
      </c>
      <c r="Q5118">
        <f>IF($A5118="","",$D5118&amp;"("&amp;SUBSTITUTE($E5118," ","")&amp;")")</f>
        <v/>
      </c>
      <c r="R5118">
        <f>IF($A5118="","",$B5118&amp;" - "&amp;$C5118)</f>
        <v/>
      </c>
      <c r="S5118">
        <f>IF($A5118="","",$R5118&amp;"|"&amp;$Q5118)</f>
        <v/>
      </c>
      <c r="T5118">
        <f>IF($A5118="","",$S5118&amp;"|"&amp;$F5118)</f>
        <v/>
      </c>
      <c r="U5118">
        <f>IF($A5118="","",$R5118&amp;"("&amp;$E5118&amp;")")</f>
        <v/>
      </c>
      <c r="V5118">
        <f>IF($A5118="","",$F5118&amp;"|"&amp;$U5118&amp;"|"&amp;$D5118)</f>
        <v/>
      </c>
      <c r="W5118">
        <f>IF($T5118="","",IF($X5118&gt;N($X5117),$X5118,""))</f>
        <v/>
      </c>
      <c r="X5118">
        <f>IF($T5118="",N($X5117),IF(MATCH($T5118,$T$6:$T$6005,0)=ROW()-5,N($X5117)+1,N($X5117)))</f>
        <v/>
      </c>
      <c r="Z5118">
        <f>IF($V5118="","",IF($AA5118&gt;N($AA5117),$AA5118,""))</f>
        <v/>
      </c>
      <c r="AA5118">
        <f>IF($V5118="",N($AA5117),IF(MATCH($V5118,$V$6:$V$6005,0)=ROW()-5,N($AA5117)+1,N($AA5117)))</f>
        <v/>
      </c>
    </row>
    <row r="5119" ht="21" customHeight="1" s="66">
      <c r="A5119" s="56" t="n"/>
      <c r="B5119" s="57" t="n"/>
      <c r="C5119" s="57" t="n"/>
      <c r="D5119" s="57" t="n"/>
      <c r="E5119" s="56" t="n"/>
      <c r="F5119" s="57" t="n"/>
      <c r="G5119" s="57" t="n"/>
      <c r="H5119" s="56" t="n"/>
      <c r="I5119" s="56" t="n"/>
      <c r="J5119" s="58" t="n"/>
      <c r="K5119" s="58" t="n"/>
      <c r="L5119" s="13">
        <f>IF(OR($A5119="",AND($J5119="",$K5119="")),"",ROUND(N($J5119)-N($K5119),2))</f>
        <v/>
      </c>
      <c r="M5119" s="13">
        <f>IF(OR($A5119="",AND($J5119="",$K5119="")),"",MIN($J5119,$K5119))</f>
        <v/>
      </c>
      <c r="Q5119">
        <f>IF($A5119="","",$D5119&amp;"("&amp;SUBSTITUTE($E5119," ","")&amp;")")</f>
        <v/>
      </c>
      <c r="R5119">
        <f>IF($A5119="","",$B5119&amp;" - "&amp;$C5119)</f>
        <v/>
      </c>
      <c r="S5119">
        <f>IF($A5119="","",$R5119&amp;"|"&amp;$Q5119)</f>
        <v/>
      </c>
      <c r="T5119">
        <f>IF($A5119="","",$S5119&amp;"|"&amp;$F5119)</f>
        <v/>
      </c>
      <c r="U5119">
        <f>IF($A5119="","",$R5119&amp;"("&amp;$E5119&amp;")")</f>
        <v/>
      </c>
      <c r="V5119">
        <f>IF($A5119="","",$F5119&amp;"|"&amp;$U5119&amp;"|"&amp;$D5119)</f>
        <v/>
      </c>
      <c r="W5119">
        <f>IF($T5119="","",IF($X5119&gt;N($X5118),$X5119,""))</f>
        <v/>
      </c>
      <c r="X5119">
        <f>IF($T5119="",N($X5118),IF(MATCH($T5119,$T$6:$T$6005,0)=ROW()-5,N($X5118)+1,N($X5118)))</f>
        <v/>
      </c>
      <c r="Z5119">
        <f>IF($V5119="","",IF($AA5119&gt;N($AA5118),$AA5119,""))</f>
        <v/>
      </c>
      <c r="AA5119">
        <f>IF($V5119="",N($AA5118),IF(MATCH($V5119,$V$6:$V$6005,0)=ROW()-5,N($AA5118)+1,N($AA5118)))</f>
        <v/>
      </c>
    </row>
    <row r="5120" ht="21" customHeight="1" s="66">
      <c r="A5120" s="56" t="n"/>
      <c r="B5120" s="57" t="n"/>
      <c r="C5120" s="57" t="n"/>
      <c r="D5120" s="57" t="n"/>
      <c r="E5120" s="56" t="n"/>
      <c r="F5120" s="57" t="n"/>
      <c r="G5120" s="57" t="n"/>
      <c r="H5120" s="56" t="n"/>
      <c r="I5120" s="56" t="n"/>
      <c r="J5120" s="58" t="n"/>
      <c r="K5120" s="58" t="n"/>
      <c r="L5120" s="13">
        <f>IF(OR($A5120="",AND($J5120="",$K5120="")),"",ROUND(N($J5120)-N($K5120),2))</f>
        <v/>
      </c>
      <c r="M5120" s="13">
        <f>IF(OR($A5120="",AND($J5120="",$K5120="")),"",MIN($J5120,$K5120))</f>
        <v/>
      </c>
      <c r="Q5120">
        <f>IF($A5120="","",$D5120&amp;"("&amp;SUBSTITUTE($E5120," ","")&amp;")")</f>
        <v/>
      </c>
      <c r="R5120">
        <f>IF($A5120="","",$B5120&amp;" - "&amp;$C5120)</f>
        <v/>
      </c>
      <c r="S5120">
        <f>IF($A5120="","",$R5120&amp;"|"&amp;$Q5120)</f>
        <v/>
      </c>
      <c r="T5120">
        <f>IF($A5120="","",$S5120&amp;"|"&amp;$F5120)</f>
        <v/>
      </c>
      <c r="U5120">
        <f>IF($A5120="","",$R5120&amp;"("&amp;$E5120&amp;")")</f>
        <v/>
      </c>
      <c r="V5120">
        <f>IF($A5120="","",$F5120&amp;"|"&amp;$U5120&amp;"|"&amp;$D5120)</f>
        <v/>
      </c>
      <c r="W5120">
        <f>IF($T5120="","",IF($X5120&gt;N($X5119),$X5120,""))</f>
        <v/>
      </c>
      <c r="X5120">
        <f>IF($T5120="",N($X5119),IF(MATCH($T5120,$T$6:$T$6005,0)=ROW()-5,N($X5119)+1,N($X5119)))</f>
        <v/>
      </c>
      <c r="Z5120">
        <f>IF($V5120="","",IF($AA5120&gt;N($AA5119),$AA5120,""))</f>
        <v/>
      </c>
      <c r="AA5120">
        <f>IF($V5120="",N($AA5119),IF(MATCH($V5120,$V$6:$V$6005,0)=ROW()-5,N($AA5119)+1,N($AA5119)))</f>
        <v/>
      </c>
    </row>
    <row r="5121" ht="21" customHeight="1" s="66">
      <c r="A5121" s="56" t="n"/>
      <c r="B5121" s="57" t="n"/>
      <c r="C5121" s="57" t="n"/>
      <c r="D5121" s="57" t="n"/>
      <c r="E5121" s="56" t="n"/>
      <c r="F5121" s="57" t="n"/>
      <c r="G5121" s="57" t="n"/>
      <c r="H5121" s="56" t="n"/>
      <c r="I5121" s="56" t="n"/>
      <c r="J5121" s="58" t="n"/>
      <c r="K5121" s="58" t="n"/>
      <c r="L5121" s="13">
        <f>IF(OR($A5121="",AND($J5121="",$K5121="")),"",ROUND(N($J5121)-N($K5121),2))</f>
        <v/>
      </c>
      <c r="M5121" s="13">
        <f>IF(OR($A5121="",AND($J5121="",$K5121="")),"",MIN($J5121,$K5121))</f>
        <v/>
      </c>
      <c r="Q5121">
        <f>IF($A5121="","",$D5121&amp;"("&amp;SUBSTITUTE($E5121," ","")&amp;")")</f>
        <v/>
      </c>
      <c r="R5121">
        <f>IF($A5121="","",$B5121&amp;" - "&amp;$C5121)</f>
        <v/>
      </c>
      <c r="S5121">
        <f>IF($A5121="","",$R5121&amp;"|"&amp;$Q5121)</f>
        <v/>
      </c>
      <c r="T5121">
        <f>IF($A5121="","",$S5121&amp;"|"&amp;$F5121)</f>
        <v/>
      </c>
      <c r="U5121">
        <f>IF($A5121="","",$R5121&amp;"("&amp;$E5121&amp;")")</f>
        <v/>
      </c>
      <c r="V5121">
        <f>IF($A5121="","",$F5121&amp;"|"&amp;$U5121&amp;"|"&amp;$D5121)</f>
        <v/>
      </c>
      <c r="W5121">
        <f>IF($T5121="","",IF($X5121&gt;N($X5120),$X5121,""))</f>
        <v/>
      </c>
      <c r="X5121">
        <f>IF($T5121="",N($X5120),IF(MATCH($T5121,$T$6:$T$6005,0)=ROW()-5,N($X5120)+1,N($X5120)))</f>
        <v/>
      </c>
      <c r="Z5121">
        <f>IF($V5121="","",IF($AA5121&gt;N($AA5120),$AA5121,""))</f>
        <v/>
      </c>
      <c r="AA5121">
        <f>IF($V5121="",N($AA5120),IF(MATCH($V5121,$V$6:$V$6005,0)=ROW()-5,N($AA5120)+1,N($AA5120)))</f>
        <v/>
      </c>
    </row>
    <row r="5122" ht="21" customHeight="1" s="66">
      <c r="A5122" s="56" t="n"/>
      <c r="B5122" s="57" t="n"/>
      <c r="C5122" s="57" t="n"/>
      <c r="D5122" s="57" t="n"/>
      <c r="E5122" s="56" t="n"/>
      <c r="F5122" s="57" t="n"/>
      <c r="G5122" s="57" t="n"/>
      <c r="H5122" s="56" t="n"/>
      <c r="I5122" s="56" t="n"/>
      <c r="J5122" s="58" t="n"/>
      <c r="K5122" s="58" t="n"/>
      <c r="L5122" s="13">
        <f>IF(OR($A5122="",AND($J5122="",$K5122="")),"",ROUND(N($J5122)-N($K5122),2))</f>
        <v/>
      </c>
      <c r="M5122" s="13">
        <f>IF(OR($A5122="",AND($J5122="",$K5122="")),"",MIN($J5122,$K5122))</f>
        <v/>
      </c>
      <c r="Q5122">
        <f>IF($A5122="","",$D5122&amp;"("&amp;SUBSTITUTE($E5122," ","")&amp;")")</f>
        <v/>
      </c>
      <c r="R5122">
        <f>IF($A5122="","",$B5122&amp;" - "&amp;$C5122)</f>
        <v/>
      </c>
      <c r="S5122">
        <f>IF($A5122="","",$R5122&amp;"|"&amp;$Q5122)</f>
        <v/>
      </c>
      <c r="T5122">
        <f>IF($A5122="","",$S5122&amp;"|"&amp;$F5122)</f>
        <v/>
      </c>
      <c r="U5122">
        <f>IF($A5122="","",$R5122&amp;"("&amp;$E5122&amp;")")</f>
        <v/>
      </c>
      <c r="V5122">
        <f>IF($A5122="","",$F5122&amp;"|"&amp;$U5122&amp;"|"&amp;$D5122)</f>
        <v/>
      </c>
      <c r="W5122">
        <f>IF($T5122="","",IF($X5122&gt;N($X5121),$X5122,""))</f>
        <v/>
      </c>
      <c r="X5122">
        <f>IF($T5122="",N($X5121),IF(MATCH($T5122,$T$6:$T$6005,0)=ROW()-5,N($X5121)+1,N($X5121)))</f>
        <v/>
      </c>
      <c r="Z5122">
        <f>IF($V5122="","",IF($AA5122&gt;N($AA5121),$AA5122,""))</f>
        <v/>
      </c>
      <c r="AA5122">
        <f>IF($V5122="",N($AA5121),IF(MATCH($V5122,$V$6:$V$6005,0)=ROW()-5,N($AA5121)+1,N($AA5121)))</f>
        <v/>
      </c>
    </row>
    <row r="5123" ht="21" customHeight="1" s="66">
      <c r="A5123" s="56" t="n"/>
      <c r="B5123" s="57" t="n"/>
      <c r="C5123" s="57" t="n"/>
      <c r="D5123" s="57" t="n"/>
      <c r="E5123" s="56" t="n"/>
      <c r="F5123" s="57" t="n"/>
      <c r="G5123" s="57" t="n"/>
      <c r="H5123" s="56" t="n"/>
      <c r="I5123" s="56" t="n"/>
      <c r="J5123" s="58" t="n"/>
      <c r="K5123" s="58" t="n"/>
      <c r="L5123" s="13">
        <f>IF(OR($A5123="",AND($J5123="",$K5123="")),"",ROUND(N($J5123)-N($K5123),2))</f>
        <v/>
      </c>
      <c r="M5123" s="13">
        <f>IF(OR($A5123="",AND($J5123="",$K5123="")),"",MIN($J5123,$K5123))</f>
        <v/>
      </c>
      <c r="Q5123">
        <f>IF($A5123="","",$D5123&amp;"("&amp;SUBSTITUTE($E5123," ","")&amp;")")</f>
        <v/>
      </c>
      <c r="R5123">
        <f>IF($A5123="","",$B5123&amp;" - "&amp;$C5123)</f>
        <v/>
      </c>
      <c r="S5123">
        <f>IF($A5123="","",$R5123&amp;"|"&amp;$Q5123)</f>
        <v/>
      </c>
      <c r="T5123">
        <f>IF($A5123="","",$S5123&amp;"|"&amp;$F5123)</f>
        <v/>
      </c>
      <c r="U5123">
        <f>IF($A5123="","",$R5123&amp;"("&amp;$E5123&amp;")")</f>
        <v/>
      </c>
      <c r="V5123">
        <f>IF($A5123="","",$F5123&amp;"|"&amp;$U5123&amp;"|"&amp;$D5123)</f>
        <v/>
      </c>
      <c r="W5123">
        <f>IF($T5123="","",IF($X5123&gt;N($X5122),$X5123,""))</f>
        <v/>
      </c>
      <c r="X5123">
        <f>IF($T5123="",N($X5122),IF(MATCH($T5123,$T$6:$T$6005,0)=ROW()-5,N($X5122)+1,N($X5122)))</f>
        <v/>
      </c>
      <c r="Z5123">
        <f>IF($V5123="","",IF($AA5123&gt;N($AA5122),$AA5123,""))</f>
        <v/>
      </c>
      <c r="AA5123">
        <f>IF($V5123="",N($AA5122),IF(MATCH($V5123,$V$6:$V$6005,0)=ROW()-5,N($AA5122)+1,N($AA5122)))</f>
        <v/>
      </c>
    </row>
    <row r="5124" ht="21" customHeight="1" s="66">
      <c r="A5124" s="56" t="n"/>
      <c r="B5124" s="57" t="n"/>
      <c r="C5124" s="57" t="n"/>
      <c r="D5124" s="57" t="n"/>
      <c r="E5124" s="56" t="n"/>
      <c r="F5124" s="57" t="n"/>
      <c r="G5124" s="57" t="n"/>
      <c r="H5124" s="56" t="n"/>
      <c r="I5124" s="56" t="n"/>
      <c r="J5124" s="58" t="n"/>
      <c r="K5124" s="58" t="n"/>
      <c r="L5124" s="13">
        <f>IF(OR($A5124="",AND($J5124="",$K5124="")),"",ROUND(N($J5124)-N($K5124),2))</f>
        <v/>
      </c>
      <c r="M5124" s="13">
        <f>IF(OR($A5124="",AND($J5124="",$K5124="")),"",MIN($J5124,$K5124))</f>
        <v/>
      </c>
      <c r="Q5124">
        <f>IF($A5124="","",$D5124&amp;"("&amp;SUBSTITUTE($E5124," ","")&amp;")")</f>
        <v/>
      </c>
      <c r="R5124">
        <f>IF($A5124="","",$B5124&amp;" - "&amp;$C5124)</f>
        <v/>
      </c>
      <c r="S5124">
        <f>IF($A5124="","",$R5124&amp;"|"&amp;$Q5124)</f>
        <v/>
      </c>
      <c r="T5124">
        <f>IF($A5124="","",$S5124&amp;"|"&amp;$F5124)</f>
        <v/>
      </c>
      <c r="U5124">
        <f>IF($A5124="","",$R5124&amp;"("&amp;$E5124&amp;")")</f>
        <v/>
      </c>
      <c r="V5124">
        <f>IF($A5124="","",$F5124&amp;"|"&amp;$U5124&amp;"|"&amp;$D5124)</f>
        <v/>
      </c>
      <c r="W5124">
        <f>IF($T5124="","",IF($X5124&gt;N($X5123),$X5124,""))</f>
        <v/>
      </c>
      <c r="X5124">
        <f>IF($T5124="",N($X5123),IF(MATCH($T5124,$T$6:$T$6005,0)=ROW()-5,N($X5123)+1,N($X5123)))</f>
        <v/>
      </c>
      <c r="Z5124">
        <f>IF($V5124="","",IF($AA5124&gt;N($AA5123),$AA5124,""))</f>
        <v/>
      </c>
      <c r="AA5124">
        <f>IF($V5124="",N($AA5123),IF(MATCH($V5124,$V$6:$V$6005,0)=ROW()-5,N($AA5123)+1,N($AA5123)))</f>
        <v/>
      </c>
    </row>
    <row r="5125" ht="21" customHeight="1" s="66">
      <c r="A5125" s="56" t="n"/>
      <c r="B5125" s="57" t="n"/>
      <c r="C5125" s="57" t="n"/>
      <c r="D5125" s="57" t="n"/>
      <c r="E5125" s="56" t="n"/>
      <c r="F5125" s="57" t="n"/>
      <c r="G5125" s="57" t="n"/>
      <c r="H5125" s="56" t="n"/>
      <c r="I5125" s="56" t="n"/>
      <c r="J5125" s="58" t="n"/>
      <c r="K5125" s="58" t="n"/>
      <c r="L5125" s="13">
        <f>IF(OR($A5125="",AND($J5125="",$K5125="")),"",ROUND(N($J5125)-N($K5125),2))</f>
        <v/>
      </c>
      <c r="M5125" s="13">
        <f>IF(OR($A5125="",AND($J5125="",$K5125="")),"",MIN($J5125,$K5125))</f>
        <v/>
      </c>
      <c r="Q5125">
        <f>IF($A5125="","",$D5125&amp;"("&amp;SUBSTITUTE($E5125," ","")&amp;")")</f>
        <v/>
      </c>
      <c r="R5125">
        <f>IF($A5125="","",$B5125&amp;" - "&amp;$C5125)</f>
        <v/>
      </c>
      <c r="S5125">
        <f>IF($A5125="","",$R5125&amp;"|"&amp;$Q5125)</f>
        <v/>
      </c>
      <c r="T5125">
        <f>IF($A5125="","",$S5125&amp;"|"&amp;$F5125)</f>
        <v/>
      </c>
      <c r="U5125">
        <f>IF($A5125="","",$R5125&amp;"("&amp;$E5125&amp;")")</f>
        <v/>
      </c>
      <c r="V5125">
        <f>IF($A5125="","",$F5125&amp;"|"&amp;$U5125&amp;"|"&amp;$D5125)</f>
        <v/>
      </c>
      <c r="W5125">
        <f>IF($T5125="","",IF($X5125&gt;N($X5124),$X5125,""))</f>
        <v/>
      </c>
      <c r="X5125">
        <f>IF($T5125="",N($X5124),IF(MATCH($T5125,$T$6:$T$6005,0)=ROW()-5,N($X5124)+1,N($X5124)))</f>
        <v/>
      </c>
      <c r="Z5125">
        <f>IF($V5125="","",IF($AA5125&gt;N($AA5124),$AA5125,""))</f>
        <v/>
      </c>
      <c r="AA5125">
        <f>IF($V5125="",N($AA5124),IF(MATCH($V5125,$V$6:$V$6005,0)=ROW()-5,N($AA5124)+1,N($AA5124)))</f>
        <v/>
      </c>
    </row>
    <row r="5126" ht="21" customHeight="1" s="66">
      <c r="A5126" s="56" t="n"/>
      <c r="B5126" s="57" t="n"/>
      <c r="C5126" s="57" t="n"/>
      <c r="D5126" s="57" t="n"/>
      <c r="E5126" s="56" t="n"/>
      <c r="F5126" s="57" t="n"/>
      <c r="G5126" s="57" t="n"/>
      <c r="H5126" s="56" t="n"/>
      <c r="I5126" s="56" t="n"/>
      <c r="J5126" s="58" t="n"/>
      <c r="K5126" s="58" t="n"/>
      <c r="L5126" s="13">
        <f>IF(OR($A5126="",AND($J5126="",$K5126="")),"",ROUND(N($J5126)-N($K5126),2))</f>
        <v/>
      </c>
      <c r="M5126" s="13">
        <f>IF(OR($A5126="",AND($J5126="",$K5126="")),"",MIN($J5126,$K5126))</f>
        <v/>
      </c>
      <c r="Q5126">
        <f>IF($A5126="","",$D5126&amp;"("&amp;SUBSTITUTE($E5126," ","")&amp;")")</f>
        <v/>
      </c>
      <c r="R5126">
        <f>IF($A5126="","",$B5126&amp;" - "&amp;$C5126)</f>
        <v/>
      </c>
      <c r="S5126">
        <f>IF($A5126="","",$R5126&amp;"|"&amp;$Q5126)</f>
        <v/>
      </c>
      <c r="T5126">
        <f>IF($A5126="","",$S5126&amp;"|"&amp;$F5126)</f>
        <v/>
      </c>
      <c r="U5126">
        <f>IF($A5126="","",$R5126&amp;"("&amp;$E5126&amp;")")</f>
        <v/>
      </c>
      <c r="V5126">
        <f>IF($A5126="","",$F5126&amp;"|"&amp;$U5126&amp;"|"&amp;$D5126)</f>
        <v/>
      </c>
      <c r="W5126">
        <f>IF($T5126="","",IF($X5126&gt;N($X5125),$X5126,""))</f>
        <v/>
      </c>
      <c r="X5126">
        <f>IF($T5126="",N($X5125),IF(MATCH($T5126,$T$6:$T$6005,0)=ROW()-5,N($X5125)+1,N($X5125)))</f>
        <v/>
      </c>
      <c r="Z5126">
        <f>IF($V5126="","",IF($AA5126&gt;N($AA5125),$AA5126,""))</f>
        <v/>
      </c>
      <c r="AA5126">
        <f>IF($V5126="",N($AA5125),IF(MATCH($V5126,$V$6:$V$6005,0)=ROW()-5,N($AA5125)+1,N($AA5125)))</f>
        <v/>
      </c>
    </row>
    <row r="5127" ht="21" customHeight="1" s="66">
      <c r="A5127" s="56" t="n"/>
      <c r="B5127" s="57" t="n"/>
      <c r="C5127" s="57" t="n"/>
      <c r="D5127" s="57" t="n"/>
      <c r="E5127" s="56" t="n"/>
      <c r="F5127" s="57" t="n"/>
      <c r="G5127" s="57" t="n"/>
      <c r="H5127" s="56" t="n"/>
      <c r="I5127" s="56" t="n"/>
      <c r="J5127" s="58" t="n"/>
      <c r="K5127" s="58" t="n"/>
      <c r="L5127" s="13">
        <f>IF(OR($A5127="",AND($J5127="",$K5127="")),"",ROUND(N($J5127)-N($K5127),2))</f>
        <v/>
      </c>
      <c r="M5127" s="13">
        <f>IF(OR($A5127="",AND($J5127="",$K5127="")),"",MIN($J5127,$K5127))</f>
        <v/>
      </c>
      <c r="Q5127">
        <f>IF($A5127="","",$D5127&amp;"("&amp;SUBSTITUTE($E5127," ","")&amp;")")</f>
        <v/>
      </c>
      <c r="R5127">
        <f>IF($A5127="","",$B5127&amp;" - "&amp;$C5127)</f>
        <v/>
      </c>
      <c r="S5127">
        <f>IF($A5127="","",$R5127&amp;"|"&amp;$Q5127)</f>
        <v/>
      </c>
      <c r="T5127">
        <f>IF($A5127="","",$S5127&amp;"|"&amp;$F5127)</f>
        <v/>
      </c>
      <c r="U5127">
        <f>IF($A5127="","",$R5127&amp;"("&amp;$E5127&amp;")")</f>
        <v/>
      </c>
      <c r="V5127">
        <f>IF($A5127="","",$F5127&amp;"|"&amp;$U5127&amp;"|"&amp;$D5127)</f>
        <v/>
      </c>
      <c r="W5127">
        <f>IF($T5127="","",IF($X5127&gt;N($X5126),$X5127,""))</f>
        <v/>
      </c>
      <c r="X5127">
        <f>IF($T5127="",N($X5126),IF(MATCH($T5127,$T$6:$T$6005,0)=ROW()-5,N($X5126)+1,N($X5126)))</f>
        <v/>
      </c>
      <c r="Z5127">
        <f>IF($V5127="","",IF($AA5127&gt;N($AA5126),$AA5127,""))</f>
        <v/>
      </c>
      <c r="AA5127">
        <f>IF($V5127="",N($AA5126),IF(MATCH($V5127,$V$6:$V$6005,0)=ROW()-5,N($AA5126)+1,N($AA5126)))</f>
        <v/>
      </c>
    </row>
    <row r="5128" ht="21" customHeight="1" s="66">
      <c r="A5128" s="56" t="n"/>
      <c r="B5128" s="57" t="n"/>
      <c r="C5128" s="57" t="n"/>
      <c r="D5128" s="57" t="n"/>
      <c r="E5128" s="56" t="n"/>
      <c r="F5128" s="57" t="n"/>
      <c r="G5128" s="57" t="n"/>
      <c r="H5128" s="56" t="n"/>
      <c r="I5128" s="56" t="n"/>
      <c r="J5128" s="58" t="n"/>
      <c r="K5128" s="58" t="n"/>
      <c r="L5128" s="13">
        <f>IF(OR($A5128="",AND($J5128="",$K5128="")),"",ROUND(N($J5128)-N($K5128),2))</f>
        <v/>
      </c>
      <c r="M5128" s="13">
        <f>IF(OR($A5128="",AND($J5128="",$K5128="")),"",MIN($J5128,$K5128))</f>
        <v/>
      </c>
      <c r="Q5128">
        <f>IF($A5128="","",$D5128&amp;"("&amp;SUBSTITUTE($E5128," ","")&amp;")")</f>
        <v/>
      </c>
      <c r="R5128">
        <f>IF($A5128="","",$B5128&amp;" - "&amp;$C5128)</f>
        <v/>
      </c>
      <c r="S5128">
        <f>IF($A5128="","",$R5128&amp;"|"&amp;$Q5128)</f>
        <v/>
      </c>
      <c r="T5128">
        <f>IF($A5128="","",$S5128&amp;"|"&amp;$F5128)</f>
        <v/>
      </c>
      <c r="U5128">
        <f>IF($A5128="","",$R5128&amp;"("&amp;$E5128&amp;")")</f>
        <v/>
      </c>
      <c r="V5128">
        <f>IF($A5128="","",$F5128&amp;"|"&amp;$U5128&amp;"|"&amp;$D5128)</f>
        <v/>
      </c>
      <c r="W5128">
        <f>IF($T5128="","",IF($X5128&gt;N($X5127),$X5128,""))</f>
        <v/>
      </c>
      <c r="X5128">
        <f>IF($T5128="",N($X5127),IF(MATCH($T5128,$T$6:$T$6005,0)=ROW()-5,N($X5127)+1,N($X5127)))</f>
        <v/>
      </c>
      <c r="Z5128">
        <f>IF($V5128="","",IF($AA5128&gt;N($AA5127),$AA5128,""))</f>
        <v/>
      </c>
      <c r="AA5128">
        <f>IF($V5128="",N($AA5127),IF(MATCH($V5128,$V$6:$V$6005,0)=ROW()-5,N($AA5127)+1,N($AA5127)))</f>
        <v/>
      </c>
    </row>
    <row r="5129" ht="21" customHeight="1" s="66">
      <c r="A5129" s="56" t="n"/>
      <c r="B5129" s="57" t="n"/>
      <c r="C5129" s="57" t="n"/>
      <c r="D5129" s="57" t="n"/>
      <c r="E5129" s="56" t="n"/>
      <c r="F5129" s="57" t="n"/>
      <c r="G5129" s="57" t="n"/>
      <c r="H5129" s="56" t="n"/>
      <c r="I5129" s="56" t="n"/>
      <c r="J5129" s="58" t="n"/>
      <c r="K5129" s="58" t="n"/>
      <c r="L5129" s="13">
        <f>IF(OR($A5129="",AND($J5129="",$K5129="")),"",ROUND(N($J5129)-N($K5129),2))</f>
        <v/>
      </c>
      <c r="M5129" s="13">
        <f>IF(OR($A5129="",AND($J5129="",$K5129="")),"",MIN($J5129,$K5129))</f>
        <v/>
      </c>
      <c r="Q5129">
        <f>IF($A5129="","",$D5129&amp;"("&amp;SUBSTITUTE($E5129," ","")&amp;")")</f>
        <v/>
      </c>
      <c r="R5129">
        <f>IF($A5129="","",$B5129&amp;" - "&amp;$C5129)</f>
        <v/>
      </c>
      <c r="S5129">
        <f>IF($A5129="","",$R5129&amp;"|"&amp;$Q5129)</f>
        <v/>
      </c>
      <c r="T5129">
        <f>IF($A5129="","",$S5129&amp;"|"&amp;$F5129)</f>
        <v/>
      </c>
      <c r="U5129">
        <f>IF($A5129="","",$R5129&amp;"("&amp;$E5129&amp;")")</f>
        <v/>
      </c>
      <c r="V5129">
        <f>IF($A5129="","",$F5129&amp;"|"&amp;$U5129&amp;"|"&amp;$D5129)</f>
        <v/>
      </c>
      <c r="W5129">
        <f>IF($T5129="","",IF($X5129&gt;N($X5128),$X5129,""))</f>
        <v/>
      </c>
      <c r="X5129">
        <f>IF($T5129="",N($X5128),IF(MATCH($T5129,$T$6:$T$6005,0)=ROW()-5,N($X5128)+1,N($X5128)))</f>
        <v/>
      </c>
      <c r="Z5129">
        <f>IF($V5129="","",IF($AA5129&gt;N($AA5128),$AA5129,""))</f>
        <v/>
      </c>
      <c r="AA5129">
        <f>IF($V5129="",N($AA5128),IF(MATCH($V5129,$V$6:$V$6005,0)=ROW()-5,N($AA5128)+1,N($AA5128)))</f>
        <v/>
      </c>
    </row>
    <row r="5130" ht="21" customHeight="1" s="66">
      <c r="A5130" s="56" t="n"/>
      <c r="B5130" s="57" t="n"/>
      <c r="C5130" s="57" t="n"/>
      <c r="D5130" s="57" t="n"/>
      <c r="E5130" s="56" t="n"/>
      <c r="F5130" s="57" t="n"/>
      <c r="G5130" s="57" t="n"/>
      <c r="H5130" s="56" t="n"/>
      <c r="I5130" s="56" t="n"/>
      <c r="J5130" s="58" t="n"/>
      <c r="K5130" s="58" t="n"/>
      <c r="L5130" s="13">
        <f>IF(OR($A5130="",AND($J5130="",$K5130="")),"",ROUND(N($J5130)-N($K5130),2))</f>
        <v/>
      </c>
      <c r="M5130" s="13">
        <f>IF(OR($A5130="",AND($J5130="",$K5130="")),"",MIN($J5130,$K5130))</f>
        <v/>
      </c>
      <c r="Q5130">
        <f>IF($A5130="","",$D5130&amp;"("&amp;SUBSTITUTE($E5130," ","")&amp;")")</f>
        <v/>
      </c>
      <c r="R5130">
        <f>IF($A5130="","",$B5130&amp;" - "&amp;$C5130)</f>
        <v/>
      </c>
      <c r="S5130">
        <f>IF($A5130="","",$R5130&amp;"|"&amp;$Q5130)</f>
        <v/>
      </c>
      <c r="T5130">
        <f>IF($A5130="","",$S5130&amp;"|"&amp;$F5130)</f>
        <v/>
      </c>
      <c r="U5130">
        <f>IF($A5130="","",$R5130&amp;"("&amp;$E5130&amp;")")</f>
        <v/>
      </c>
      <c r="V5130">
        <f>IF($A5130="","",$F5130&amp;"|"&amp;$U5130&amp;"|"&amp;$D5130)</f>
        <v/>
      </c>
      <c r="W5130">
        <f>IF($T5130="","",IF($X5130&gt;N($X5129),$X5130,""))</f>
        <v/>
      </c>
      <c r="X5130">
        <f>IF($T5130="",N($X5129),IF(MATCH($T5130,$T$6:$T$6005,0)=ROW()-5,N($X5129)+1,N($X5129)))</f>
        <v/>
      </c>
      <c r="Z5130">
        <f>IF($V5130="","",IF($AA5130&gt;N($AA5129),$AA5130,""))</f>
        <v/>
      </c>
      <c r="AA5130">
        <f>IF($V5130="",N($AA5129),IF(MATCH($V5130,$V$6:$V$6005,0)=ROW()-5,N($AA5129)+1,N($AA5129)))</f>
        <v/>
      </c>
    </row>
    <row r="5131" ht="21" customHeight="1" s="66">
      <c r="A5131" s="56" t="n"/>
      <c r="B5131" s="57" t="n"/>
      <c r="C5131" s="57" t="n"/>
      <c r="D5131" s="57" t="n"/>
      <c r="E5131" s="56" t="n"/>
      <c r="F5131" s="57" t="n"/>
      <c r="G5131" s="57" t="n"/>
      <c r="H5131" s="56" t="n"/>
      <c r="I5131" s="56" t="n"/>
      <c r="J5131" s="58" t="n"/>
      <c r="K5131" s="58" t="n"/>
      <c r="L5131" s="13">
        <f>IF(OR($A5131="",AND($J5131="",$K5131="")),"",ROUND(N($J5131)-N($K5131),2))</f>
        <v/>
      </c>
      <c r="M5131" s="13">
        <f>IF(OR($A5131="",AND($J5131="",$K5131="")),"",MIN($J5131,$K5131))</f>
        <v/>
      </c>
      <c r="Q5131">
        <f>IF($A5131="","",$D5131&amp;"("&amp;SUBSTITUTE($E5131," ","")&amp;")")</f>
        <v/>
      </c>
      <c r="R5131">
        <f>IF($A5131="","",$B5131&amp;" - "&amp;$C5131)</f>
        <v/>
      </c>
      <c r="S5131">
        <f>IF($A5131="","",$R5131&amp;"|"&amp;$Q5131)</f>
        <v/>
      </c>
      <c r="T5131">
        <f>IF($A5131="","",$S5131&amp;"|"&amp;$F5131)</f>
        <v/>
      </c>
      <c r="U5131">
        <f>IF($A5131="","",$R5131&amp;"("&amp;$E5131&amp;")")</f>
        <v/>
      </c>
      <c r="V5131">
        <f>IF($A5131="","",$F5131&amp;"|"&amp;$U5131&amp;"|"&amp;$D5131)</f>
        <v/>
      </c>
      <c r="W5131">
        <f>IF($T5131="","",IF($X5131&gt;N($X5130),$X5131,""))</f>
        <v/>
      </c>
      <c r="X5131">
        <f>IF($T5131="",N($X5130),IF(MATCH($T5131,$T$6:$T$6005,0)=ROW()-5,N($X5130)+1,N($X5130)))</f>
        <v/>
      </c>
      <c r="Z5131">
        <f>IF($V5131="","",IF($AA5131&gt;N($AA5130),$AA5131,""))</f>
        <v/>
      </c>
      <c r="AA5131">
        <f>IF($V5131="",N($AA5130),IF(MATCH($V5131,$V$6:$V$6005,0)=ROW()-5,N($AA5130)+1,N($AA5130)))</f>
        <v/>
      </c>
    </row>
    <row r="5132" ht="21" customHeight="1" s="66">
      <c r="A5132" s="56" t="n"/>
      <c r="B5132" s="57" t="n"/>
      <c r="C5132" s="57" t="n"/>
      <c r="D5132" s="57" t="n"/>
      <c r="E5132" s="56" t="n"/>
      <c r="F5132" s="57" t="n"/>
      <c r="G5132" s="57" t="n"/>
      <c r="H5132" s="56" t="n"/>
      <c r="I5132" s="56" t="n"/>
      <c r="J5132" s="58" t="n"/>
      <c r="K5132" s="58" t="n"/>
      <c r="L5132" s="13">
        <f>IF(OR($A5132="",AND($J5132="",$K5132="")),"",ROUND(N($J5132)-N($K5132),2))</f>
        <v/>
      </c>
      <c r="M5132" s="13">
        <f>IF(OR($A5132="",AND($J5132="",$K5132="")),"",MIN($J5132,$K5132))</f>
        <v/>
      </c>
      <c r="Q5132">
        <f>IF($A5132="","",$D5132&amp;"("&amp;SUBSTITUTE($E5132," ","")&amp;")")</f>
        <v/>
      </c>
      <c r="R5132">
        <f>IF($A5132="","",$B5132&amp;" - "&amp;$C5132)</f>
        <v/>
      </c>
      <c r="S5132">
        <f>IF($A5132="","",$R5132&amp;"|"&amp;$Q5132)</f>
        <v/>
      </c>
      <c r="T5132">
        <f>IF($A5132="","",$S5132&amp;"|"&amp;$F5132)</f>
        <v/>
      </c>
      <c r="U5132">
        <f>IF($A5132="","",$R5132&amp;"("&amp;$E5132&amp;")")</f>
        <v/>
      </c>
      <c r="V5132">
        <f>IF($A5132="","",$F5132&amp;"|"&amp;$U5132&amp;"|"&amp;$D5132)</f>
        <v/>
      </c>
      <c r="W5132">
        <f>IF($T5132="","",IF($X5132&gt;N($X5131),$X5132,""))</f>
        <v/>
      </c>
      <c r="X5132">
        <f>IF($T5132="",N($X5131),IF(MATCH($T5132,$T$6:$T$6005,0)=ROW()-5,N($X5131)+1,N($X5131)))</f>
        <v/>
      </c>
      <c r="Z5132">
        <f>IF($V5132="","",IF($AA5132&gt;N($AA5131),$AA5132,""))</f>
        <v/>
      </c>
      <c r="AA5132">
        <f>IF($V5132="",N($AA5131),IF(MATCH($V5132,$V$6:$V$6005,0)=ROW()-5,N($AA5131)+1,N($AA5131)))</f>
        <v/>
      </c>
    </row>
    <row r="5133" ht="21" customHeight="1" s="66">
      <c r="A5133" s="56" t="n"/>
      <c r="B5133" s="57" t="n"/>
      <c r="C5133" s="57" t="n"/>
      <c r="D5133" s="57" t="n"/>
      <c r="E5133" s="56" t="n"/>
      <c r="F5133" s="57" t="n"/>
      <c r="G5133" s="57" t="n"/>
      <c r="H5133" s="56" t="n"/>
      <c r="I5133" s="56" t="n"/>
      <c r="J5133" s="58" t="n"/>
      <c r="K5133" s="58" t="n"/>
      <c r="L5133" s="13">
        <f>IF(OR($A5133="",AND($J5133="",$K5133="")),"",ROUND(N($J5133)-N($K5133),2))</f>
        <v/>
      </c>
      <c r="M5133" s="13">
        <f>IF(OR($A5133="",AND($J5133="",$K5133="")),"",MIN($J5133,$K5133))</f>
        <v/>
      </c>
      <c r="Q5133">
        <f>IF($A5133="","",$D5133&amp;"("&amp;SUBSTITUTE($E5133," ","")&amp;")")</f>
        <v/>
      </c>
      <c r="R5133">
        <f>IF($A5133="","",$B5133&amp;" - "&amp;$C5133)</f>
        <v/>
      </c>
      <c r="S5133">
        <f>IF($A5133="","",$R5133&amp;"|"&amp;$Q5133)</f>
        <v/>
      </c>
      <c r="T5133">
        <f>IF($A5133="","",$S5133&amp;"|"&amp;$F5133)</f>
        <v/>
      </c>
      <c r="U5133">
        <f>IF($A5133="","",$R5133&amp;"("&amp;$E5133&amp;")")</f>
        <v/>
      </c>
      <c r="V5133">
        <f>IF($A5133="","",$F5133&amp;"|"&amp;$U5133&amp;"|"&amp;$D5133)</f>
        <v/>
      </c>
      <c r="W5133">
        <f>IF($T5133="","",IF($X5133&gt;N($X5132),$X5133,""))</f>
        <v/>
      </c>
      <c r="X5133">
        <f>IF($T5133="",N($X5132),IF(MATCH($T5133,$T$6:$T$6005,0)=ROW()-5,N($X5132)+1,N($X5132)))</f>
        <v/>
      </c>
      <c r="Z5133">
        <f>IF($V5133="","",IF($AA5133&gt;N($AA5132),$AA5133,""))</f>
        <v/>
      </c>
      <c r="AA5133">
        <f>IF($V5133="",N($AA5132),IF(MATCH($V5133,$V$6:$V$6005,0)=ROW()-5,N($AA5132)+1,N($AA5132)))</f>
        <v/>
      </c>
    </row>
    <row r="5134" ht="21" customHeight="1" s="66">
      <c r="A5134" s="56" t="n"/>
      <c r="B5134" s="57" t="n"/>
      <c r="C5134" s="57" t="n"/>
      <c r="D5134" s="57" t="n"/>
      <c r="E5134" s="56" t="n"/>
      <c r="F5134" s="57" t="n"/>
      <c r="G5134" s="57" t="n"/>
      <c r="H5134" s="56" t="n"/>
      <c r="I5134" s="56" t="n"/>
      <c r="J5134" s="58" t="n"/>
      <c r="K5134" s="58" t="n"/>
      <c r="L5134" s="13">
        <f>IF(OR($A5134="",AND($J5134="",$K5134="")),"",ROUND(N($J5134)-N($K5134),2))</f>
        <v/>
      </c>
      <c r="M5134" s="13">
        <f>IF(OR($A5134="",AND($J5134="",$K5134="")),"",MIN($J5134,$K5134))</f>
        <v/>
      </c>
      <c r="Q5134">
        <f>IF($A5134="","",$D5134&amp;"("&amp;SUBSTITUTE($E5134," ","")&amp;")")</f>
        <v/>
      </c>
      <c r="R5134">
        <f>IF($A5134="","",$B5134&amp;" - "&amp;$C5134)</f>
        <v/>
      </c>
      <c r="S5134">
        <f>IF($A5134="","",$R5134&amp;"|"&amp;$Q5134)</f>
        <v/>
      </c>
      <c r="T5134">
        <f>IF($A5134="","",$S5134&amp;"|"&amp;$F5134)</f>
        <v/>
      </c>
      <c r="U5134">
        <f>IF($A5134="","",$R5134&amp;"("&amp;$E5134&amp;")")</f>
        <v/>
      </c>
      <c r="V5134">
        <f>IF($A5134="","",$F5134&amp;"|"&amp;$U5134&amp;"|"&amp;$D5134)</f>
        <v/>
      </c>
      <c r="W5134">
        <f>IF($T5134="","",IF($X5134&gt;N($X5133),$X5134,""))</f>
        <v/>
      </c>
      <c r="X5134">
        <f>IF($T5134="",N($X5133),IF(MATCH($T5134,$T$6:$T$6005,0)=ROW()-5,N($X5133)+1,N($X5133)))</f>
        <v/>
      </c>
      <c r="Z5134">
        <f>IF($V5134="","",IF($AA5134&gt;N($AA5133),$AA5134,""))</f>
        <v/>
      </c>
      <c r="AA5134">
        <f>IF($V5134="",N($AA5133),IF(MATCH($V5134,$V$6:$V$6005,0)=ROW()-5,N($AA5133)+1,N($AA5133)))</f>
        <v/>
      </c>
    </row>
    <row r="5135" ht="21" customHeight="1" s="66">
      <c r="A5135" s="56" t="n"/>
      <c r="B5135" s="57" t="n"/>
      <c r="C5135" s="57" t="n"/>
      <c r="D5135" s="57" t="n"/>
      <c r="E5135" s="56" t="n"/>
      <c r="F5135" s="57" t="n"/>
      <c r="G5135" s="57" t="n"/>
      <c r="H5135" s="56" t="n"/>
      <c r="I5135" s="56" t="n"/>
      <c r="J5135" s="58" t="n"/>
      <c r="K5135" s="58" t="n"/>
      <c r="L5135" s="13">
        <f>IF(OR($A5135="",AND($J5135="",$K5135="")),"",ROUND(N($J5135)-N($K5135),2))</f>
        <v/>
      </c>
      <c r="M5135" s="13">
        <f>IF(OR($A5135="",AND($J5135="",$K5135="")),"",MIN($J5135,$K5135))</f>
        <v/>
      </c>
      <c r="Q5135">
        <f>IF($A5135="","",$D5135&amp;"("&amp;SUBSTITUTE($E5135," ","")&amp;")")</f>
        <v/>
      </c>
      <c r="R5135">
        <f>IF($A5135="","",$B5135&amp;" - "&amp;$C5135)</f>
        <v/>
      </c>
      <c r="S5135">
        <f>IF($A5135="","",$R5135&amp;"|"&amp;$Q5135)</f>
        <v/>
      </c>
      <c r="T5135">
        <f>IF($A5135="","",$S5135&amp;"|"&amp;$F5135)</f>
        <v/>
      </c>
      <c r="U5135">
        <f>IF($A5135="","",$R5135&amp;"("&amp;$E5135&amp;")")</f>
        <v/>
      </c>
      <c r="V5135">
        <f>IF($A5135="","",$F5135&amp;"|"&amp;$U5135&amp;"|"&amp;$D5135)</f>
        <v/>
      </c>
      <c r="W5135">
        <f>IF($T5135="","",IF($X5135&gt;N($X5134),$X5135,""))</f>
        <v/>
      </c>
      <c r="X5135">
        <f>IF($T5135="",N($X5134),IF(MATCH($T5135,$T$6:$T$6005,0)=ROW()-5,N($X5134)+1,N($X5134)))</f>
        <v/>
      </c>
      <c r="Z5135">
        <f>IF($V5135="","",IF($AA5135&gt;N($AA5134),$AA5135,""))</f>
        <v/>
      </c>
      <c r="AA5135">
        <f>IF($V5135="",N($AA5134),IF(MATCH($V5135,$V$6:$V$6005,0)=ROW()-5,N($AA5134)+1,N($AA5134)))</f>
        <v/>
      </c>
    </row>
    <row r="5136" ht="21" customHeight="1" s="66">
      <c r="A5136" s="56" t="n"/>
      <c r="B5136" s="57" t="n"/>
      <c r="C5136" s="57" t="n"/>
      <c r="D5136" s="57" t="n"/>
      <c r="E5136" s="56" t="n"/>
      <c r="F5136" s="57" t="n"/>
      <c r="G5136" s="57" t="n"/>
      <c r="H5136" s="56" t="n"/>
      <c r="I5136" s="56" t="n"/>
      <c r="J5136" s="58" t="n"/>
      <c r="K5136" s="58" t="n"/>
      <c r="L5136" s="13">
        <f>IF(OR($A5136="",AND($J5136="",$K5136="")),"",ROUND(N($J5136)-N($K5136),2))</f>
        <v/>
      </c>
      <c r="M5136" s="13">
        <f>IF(OR($A5136="",AND($J5136="",$K5136="")),"",MIN($J5136,$K5136))</f>
        <v/>
      </c>
      <c r="Q5136">
        <f>IF($A5136="","",$D5136&amp;"("&amp;SUBSTITUTE($E5136," ","")&amp;")")</f>
        <v/>
      </c>
      <c r="R5136">
        <f>IF($A5136="","",$B5136&amp;" - "&amp;$C5136)</f>
        <v/>
      </c>
      <c r="S5136">
        <f>IF($A5136="","",$R5136&amp;"|"&amp;$Q5136)</f>
        <v/>
      </c>
      <c r="T5136">
        <f>IF($A5136="","",$S5136&amp;"|"&amp;$F5136)</f>
        <v/>
      </c>
      <c r="U5136">
        <f>IF($A5136="","",$R5136&amp;"("&amp;$E5136&amp;")")</f>
        <v/>
      </c>
      <c r="V5136">
        <f>IF($A5136="","",$F5136&amp;"|"&amp;$U5136&amp;"|"&amp;$D5136)</f>
        <v/>
      </c>
      <c r="W5136">
        <f>IF($T5136="","",IF($X5136&gt;N($X5135),$X5136,""))</f>
        <v/>
      </c>
      <c r="X5136">
        <f>IF($T5136="",N($X5135),IF(MATCH($T5136,$T$6:$T$6005,0)=ROW()-5,N($X5135)+1,N($X5135)))</f>
        <v/>
      </c>
      <c r="Z5136">
        <f>IF($V5136="","",IF($AA5136&gt;N($AA5135),$AA5136,""))</f>
        <v/>
      </c>
      <c r="AA5136">
        <f>IF($V5136="",N($AA5135),IF(MATCH($V5136,$V$6:$V$6005,0)=ROW()-5,N($AA5135)+1,N($AA5135)))</f>
        <v/>
      </c>
    </row>
    <row r="5137" ht="21" customHeight="1" s="66">
      <c r="A5137" s="56" t="n"/>
      <c r="B5137" s="57" t="n"/>
      <c r="C5137" s="57" t="n"/>
      <c r="D5137" s="57" t="n"/>
      <c r="E5137" s="56" t="n"/>
      <c r="F5137" s="57" t="n"/>
      <c r="G5137" s="57" t="n"/>
      <c r="H5137" s="56" t="n"/>
      <c r="I5137" s="56" t="n"/>
      <c r="J5137" s="58" t="n"/>
      <c r="K5137" s="58" t="n"/>
      <c r="L5137" s="13">
        <f>IF(OR($A5137="",AND($J5137="",$K5137="")),"",ROUND(N($J5137)-N($K5137),2))</f>
        <v/>
      </c>
      <c r="M5137" s="13">
        <f>IF(OR($A5137="",AND($J5137="",$K5137="")),"",MIN($J5137,$K5137))</f>
        <v/>
      </c>
      <c r="Q5137">
        <f>IF($A5137="","",$D5137&amp;"("&amp;SUBSTITUTE($E5137," ","")&amp;")")</f>
        <v/>
      </c>
      <c r="R5137">
        <f>IF($A5137="","",$B5137&amp;" - "&amp;$C5137)</f>
        <v/>
      </c>
      <c r="S5137">
        <f>IF($A5137="","",$R5137&amp;"|"&amp;$Q5137)</f>
        <v/>
      </c>
      <c r="T5137">
        <f>IF($A5137="","",$S5137&amp;"|"&amp;$F5137)</f>
        <v/>
      </c>
      <c r="U5137">
        <f>IF($A5137="","",$R5137&amp;"("&amp;$E5137&amp;")")</f>
        <v/>
      </c>
      <c r="V5137">
        <f>IF($A5137="","",$F5137&amp;"|"&amp;$U5137&amp;"|"&amp;$D5137)</f>
        <v/>
      </c>
      <c r="W5137">
        <f>IF($T5137="","",IF($X5137&gt;N($X5136),$X5137,""))</f>
        <v/>
      </c>
      <c r="X5137">
        <f>IF($T5137="",N($X5136),IF(MATCH($T5137,$T$6:$T$6005,0)=ROW()-5,N($X5136)+1,N($X5136)))</f>
        <v/>
      </c>
      <c r="Z5137">
        <f>IF($V5137="","",IF($AA5137&gt;N($AA5136),$AA5137,""))</f>
        <v/>
      </c>
      <c r="AA5137">
        <f>IF($V5137="",N($AA5136),IF(MATCH($V5137,$V$6:$V$6005,0)=ROW()-5,N($AA5136)+1,N($AA5136)))</f>
        <v/>
      </c>
    </row>
    <row r="5138" ht="21" customHeight="1" s="66">
      <c r="A5138" s="56" t="n"/>
      <c r="B5138" s="57" t="n"/>
      <c r="C5138" s="57" t="n"/>
      <c r="D5138" s="57" t="n"/>
      <c r="E5138" s="56" t="n"/>
      <c r="F5138" s="57" t="n"/>
      <c r="G5138" s="57" t="n"/>
      <c r="H5138" s="56" t="n"/>
      <c r="I5138" s="56" t="n"/>
      <c r="J5138" s="58" t="n"/>
      <c r="K5138" s="58" t="n"/>
      <c r="L5138" s="13">
        <f>IF(OR($A5138="",AND($J5138="",$K5138="")),"",ROUND(N($J5138)-N($K5138),2))</f>
        <v/>
      </c>
      <c r="M5138" s="13">
        <f>IF(OR($A5138="",AND($J5138="",$K5138="")),"",MIN($J5138,$K5138))</f>
        <v/>
      </c>
      <c r="Q5138">
        <f>IF($A5138="","",$D5138&amp;"("&amp;SUBSTITUTE($E5138," ","")&amp;")")</f>
        <v/>
      </c>
      <c r="R5138">
        <f>IF($A5138="","",$B5138&amp;" - "&amp;$C5138)</f>
        <v/>
      </c>
      <c r="S5138">
        <f>IF($A5138="","",$R5138&amp;"|"&amp;$Q5138)</f>
        <v/>
      </c>
      <c r="T5138">
        <f>IF($A5138="","",$S5138&amp;"|"&amp;$F5138)</f>
        <v/>
      </c>
      <c r="U5138">
        <f>IF($A5138="","",$R5138&amp;"("&amp;$E5138&amp;")")</f>
        <v/>
      </c>
      <c r="V5138">
        <f>IF($A5138="","",$F5138&amp;"|"&amp;$U5138&amp;"|"&amp;$D5138)</f>
        <v/>
      </c>
      <c r="W5138">
        <f>IF($T5138="","",IF($X5138&gt;N($X5137),$X5138,""))</f>
        <v/>
      </c>
      <c r="X5138">
        <f>IF($T5138="",N($X5137),IF(MATCH($T5138,$T$6:$T$6005,0)=ROW()-5,N($X5137)+1,N($X5137)))</f>
        <v/>
      </c>
      <c r="Z5138">
        <f>IF($V5138="","",IF($AA5138&gt;N($AA5137),$AA5138,""))</f>
        <v/>
      </c>
      <c r="AA5138">
        <f>IF($V5138="",N($AA5137),IF(MATCH($V5138,$V$6:$V$6005,0)=ROW()-5,N($AA5137)+1,N($AA5137)))</f>
        <v/>
      </c>
    </row>
    <row r="5139" ht="21" customHeight="1" s="66">
      <c r="A5139" s="56" t="n"/>
      <c r="B5139" s="57" t="n"/>
      <c r="C5139" s="57" t="n"/>
      <c r="D5139" s="57" t="n"/>
      <c r="E5139" s="56" t="n"/>
      <c r="F5139" s="57" t="n"/>
      <c r="G5139" s="57" t="n"/>
      <c r="H5139" s="56" t="n"/>
      <c r="I5139" s="56" t="n"/>
      <c r="J5139" s="58" t="n"/>
      <c r="K5139" s="58" t="n"/>
      <c r="L5139" s="13">
        <f>IF(OR($A5139="",AND($J5139="",$K5139="")),"",ROUND(N($J5139)-N($K5139),2))</f>
        <v/>
      </c>
      <c r="M5139" s="13">
        <f>IF(OR($A5139="",AND($J5139="",$K5139="")),"",MIN($J5139,$K5139))</f>
        <v/>
      </c>
      <c r="Q5139">
        <f>IF($A5139="","",$D5139&amp;"("&amp;SUBSTITUTE($E5139," ","")&amp;")")</f>
        <v/>
      </c>
      <c r="R5139">
        <f>IF($A5139="","",$B5139&amp;" - "&amp;$C5139)</f>
        <v/>
      </c>
      <c r="S5139">
        <f>IF($A5139="","",$R5139&amp;"|"&amp;$Q5139)</f>
        <v/>
      </c>
      <c r="T5139">
        <f>IF($A5139="","",$S5139&amp;"|"&amp;$F5139)</f>
        <v/>
      </c>
      <c r="U5139">
        <f>IF($A5139="","",$R5139&amp;"("&amp;$E5139&amp;")")</f>
        <v/>
      </c>
      <c r="V5139">
        <f>IF($A5139="","",$F5139&amp;"|"&amp;$U5139&amp;"|"&amp;$D5139)</f>
        <v/>
      </c>
      <c r="W5139">
        <f>IF($T5139="","",IF($X5139&gt;N($X5138),$X5139,""))</f>
        <v/>
      </c>
      <c r="X5139">
        <f>IF($T5139="",N($X5138),IF(MATCH($T5139,$T$6:$T$6005,0)=ROW()-5,N($X5138)+1,N($X5138)))</f>
        <v/>
      </c>
      <c r="Z5139">
        <f>IF($V5139="","",IF($AA5139&gt;N($AA5138),$AA5139,""))</f>
        <v/>
      </c>
      <c r="AA5139">
        <f>IF($V5139="",N($AA5138),IF(MATCH($V5139,$V$6:$V$6005,0)=ROW()-5,N($AA5138)+1,N($AA5138)))</f>
        <v/>
      </c>
    </row>
    <row r="5140" ht="21" customHeight="1" s="66">
      <c r="A5140" s="56" t="n"/>
      <c r="B5140" s="57" t="n"/>
      <c r="C5140" s="57" t="n"/>
      <c r="D5140" s="57" t="n"/>
      <c r="E5140" s="56" t="n"/>
      <c r="F5140" s="57" t="n"/>
      <c r="G5140" s="57" t="n"/>
      <c r="H5140" s="56" t="n"/>
      <c r="I5140" s="56" t="n"/>
      <c r="J5140" s="58" t="n"/>
      <c r="K5140" s="58" t="n"/>
      <c r="L5140" s="13">
        <f>IF(OR($A5140="",AND($J5140="",$K5140="")),"",ROUND(N($J5140)-N($K5140),2))</f>
        <v/>
      </c>
      <c r="M5140" s="13">
        <f>IF(OR($A5140="",AND($J5140="",$K5140="")),"",MIN($J5140,$K5140))</f>
        <v/>
      </c>
      <c r="Q5140">
        <f>IF($A5140="","",$D5140&amp;"("&amp;SUBSTITUTE($E5140," ","")&amp;")")</f>
        <v/>
      </c>
      <c r="R5140">
        <f>IF($A5140="","",$B5140&amp;" - "&amp;$C5140)</f>
        <v/>
      </c>
      <c r="S5140">
        <f>IF($A5140="","",$R5140&amp;"|"&amp;$Q5140)</f>
        <v/>
      </c>
      <c r="T5140">
        <f>IF($A5140="","",$S5140&amp;"|"&amp;$F5140)</f>
        <v/>
      </c>
      <c r="U5140">
        <f>IF($A5140="","",$R5140&amp;"("&amp;$E5140&amp;")")</f>
        <v/>
      </c>
      <c r="V5140">
        <f>IF($A5140="","",$F5140&amp;"|"&amp;$U5140&amp;"|"&amp;$D5140)</f>
        <v/>
      </c>
      <c r="W5140">
        <f>IF($T5140="","",IF($X5140&gt;N($X5139),$X5140,""))</f>
        <v/>
      </c>
      <c r="X5140">
        <f>IF($T5140="",N($X5139),IF(MATCH($T5140,$T$6:$T$6005,0)=ROW()-5,N($X5139)+1,N($X5139)))</f>
        <v/>
      </c>
      <c r="Z5140">
        <f>IF($V5140="","",IF($AA5140&gt;N($AA5139),$AA5140,""))</f>
        <v/>
      </c>
      <c r="AA5140">
        <f>IF($V5140="",N($AA5139),IF(MATCH($V5140,$V$6:$V$6005,0)=ROW()-5,N($AA5139)+1,N($AA5139)))</f>
        <v/>
      </c>
    </row>
    <row r="5141" ht="21" customHeight="1" s="66">
      <c r="A5141" s="56" t="n"/>
      <c r="B5141" s="57" t="n"/>
      <c r="C5141" s="57" t="n"/>
      <c r="D5141" s="57" t="n"/>
      <c r="E5141" s="56" t="n"/>
      <c r="F5141" s="57" t="n"/>
      <c r="G5141" s="57" t="n"/>
      <c r="H5141" s="56" t="n"/>
      <c r="I5141" s="56" t="n"/>
      <c r="J5141" s="58" t="n"/>
      <c r="K5141" s="58" t="n"/>
      <c r="L5141" s="13">
        <f>IF(OR($A5141="",AND($J5141="",$K5141="")),"",ROUND(N($J5141)-N($K5141),2))</f>
        <v/>
      </c>
      <c r="M5141" s="13">
        <f>IF(OR($A5141="",AND($J5141="",$K5141="")),"",MIN($J5141,$K5141))</f>
        <v/>
      </c>
      <c r="Q5141">
        <f>IF($A5141="","",$D5141&amp;"("&amp;SUBSTITUTE($E5141," ","")&amp;")")</f>
        <v/>
      </c>
      <c r="R5141">
        <f>IF($A5141="","",$B5141&amp;" - "&amp;$C5141)</f>
        <v/>
      </c>
      <c r="S5141">
        <f>IF($A5141="","",$R5141&amp;"|"&amp;$Q5141)</f>
        <v/>
      </c>
      <c r="T5141">
        <f>IF($A5141="","",$S5141&amp;"|"&amp;$F5141)</f>
        <v/>
      </c>
      <c r="U5141">
        <f>IF($A5141="","",$R5141&amp;"("&amp;$E5141&amp;")")</f>
        <v/>
      </c>
      <c r="V5141">
        <f>IF($A5141="","",$F5141&amp;"|"&amp;$U5141&amp;"|"&amp;$D5141)</f>
        <v/>
      </c>
      <c r="W5141">
        <f>IF($T5141="","",IF($X5141&gt;N($X5140),$X5141,""))</f>
        <v/>
      </c>
      <c r="X5141">
        <f>IF($T5141="",N($X5140),IF(MATCH($T5141,$T$6:$T$6005,0)=ROW()-5,N($X5140)+1,N($X5140)))</f>
        <v/>
      </c>
      <c r="Z5141">
        <f>IF($V5141="","",IF($AA5141&gt;N($AA5140),$AA5141,""))</f>
        <v/>
      </c>
      <c r="AA5141">
        <f>IF($V5141="",N($AA5140),IF(MATCH($V5141,$V$6:$V$6005,0)=ROW()-5,N($AA5140)+1,N($AA5140)))</f>
        <v/>
      </c>
    </row>
    <row r="5142" ht="21" customHeight="1" s="66">
      <c r="A5142" s="56" t="n"/>
      <c r="B5142" s="57" t="n"/>
      <c r="C5142" s="57" t="n"/>
      <c r="D5142" s="57" t="n"/>
      <c r="E5142" s="56" t="n"/>
      <c r="F5142" s="57" t="n"/>
      <c r="G5142" s="57" t="n"/>
      <c r="H5142" s="56" t="n"/>
      <c r="I5142" s="56" t="n"/>
      <c r="J5142" s="58" t="n"/>
      <c r="K5142" s="58" t="n"/>
      <c r="L5142" s="13">
        <f>IF(OR($A5142="",AND($J5142="",$K5142="")),"",ROUND(N($J5142)-N($K5142),2))</f>
        <v/>
      </c>
      <c r="M5142" s="13">
        <f>IF(OR($A5142="",AND($J5142="",$K5142="")),"",MIN($J5142,$K5142))</f>
        <v/>
      </c>
      <c r="Q5142">
        <f>IF($A5142="","",$D5142&amp;"("&amp;SUBSTITUTE($E5142," ","")&amp;")")</f>
        <v/>
      </c>
      <c r="R5142">
        <f>IF($A5142="","",$B5142&amp;" - "&amp;$C5142)</f>
        <v/>
      </c>
      <c r="S5142">
        <f>IF($A5142="","",$R5142&amp;"|"&amp;$Q5142)</f>
        <v/>
      </c>
      <c r="T5142">
        <f>IF($A5142="","",$S5142&amp;"|"&amp;$F5142)</f>
        <v/>
      </c>
      <c r="U5142">
        <f>IF($A5142="","",$R5142&amp;"("&amp;$E5142&amp;")")</f>
        <v/>
      </c>
      <c r="V5142">
        <f>IF($A5142="","",$F5142&amp;"|"&amp;$U5142&amp;"|"&amp;$D5142)</f>
        <v/>
      </c>
      <c r="W5142">
        <f>IF($T5142="","",IF($X5142&gt;N($X5141),$X5142,""))</f>
        <v/>
      </c>
      <c r="X5142">
        <f>IF($T5142="",N($X5141),IF(MATCH($T5142,$T$6:$T$6005,0)=ROW()-5,N($X5141)+1,N($X5141)))</f>
        <v/>
      </c>
      <c r="Z5142">
        <f>IF($V5142="","",IF($AA5142&gt;N($AA5141),$AA5142,""))</f>
        <v/>
      </c>
      <c r="AA5142">
        <f>IF($V5142="",N($AA5141),IF(MATCH($V5142,$V$6:$V$6005,0)=ROW()-5,N($AA5141)+1,N($AA5141)))</f>
        <v/>
      </c>
    </row>
    <row r="5143" ht="21" customHeight="1" s="66">
      <c r="A5143" s="56" t="n"/>
      <c r="B5143" s="57" t="n"/>
      <c r="C5143" s="57" t="n"/>
      <c r="D5143" s="57" t="n"/>
      <c r="E5143" s="56" t="n"/>
      <c r="F5143" s="57" t="n"/>
      <c r="G5143" s="57" t="n"/>
      <c r="H5143" s="56" t="n"/>
      <c r="I5143" s="56" t="n"/>
      <c r="J5143" s="58" t="n"/>
      <c r="K5143" s="58" t="n"/>
      <c r="L5143" s="13">
        <f>IF(OR($A5143="",AND($J5143="",$K5143="")),"",ROUND(N($J5143)-N($K5143),2))</f>
        <v/>
      </c>
      <c r="M5143" s="13">
        <f>IF(OR($A5143="",AND($J5143="",$K5143="")),"",MIN($J5143,$K5143))</f>
        <v/>
      </c>
      <c r="Q5143">
        <f>IF($A5143="","",$D5143&amp;"("&amp;SUBSTITUTE($E5143," ","")&amp;")")</f>
        <v/>
      </c>
      <c r="R5143">
        <f>IF($A5143="","",$B5143&amp;" - "&amp;$C5143)</f>
        <v/>
      </c>
      <c r="S5143">
        <f>IF($A5143="","",$R5143&amp;"|"&amp;$Q5143)</f>
        <v/>
      </c>
      <c r="T5143">
        <f>IF($A5143="","",$S5143&amp;"|"&amp;$F5143)</f>
        <v/>
      </c>
      <c r="U5143">
        <f>IF($A5143="","",$R5143&amp;"("&amp;$E5143&amp;")")</f>
        <v/>
      </c>
      <c r="V5143">
        <f>IF($A5143="","",$F5143&amp;"|"&amp;$U5143&amp;"|"&amp;$D5143)</f>
        <v/>
      </c>
      <c r="W5143">
        <f>IF($T5143="","",IF($X5143&gt;N($X5142),$X5143,""))</f>
        <v/>
      </c>
      <c r="X5143">
        <f>IF($T5143="",N($X5142),IF(MATCH($T5143,$T$6:$T$6005,0)=ROW()-5,N($X5142)+1,N($X5142)))</f>
        <v/>
      </c>
      <c r="Z5143">
        <f>IF($V5143="","",IF($AA5143&gt;N($AA5142),$AA5143,""))</f>
        <v/>
      </c>
      <c r="AA5143">
        <f>IF($V5143="",N($AA5142),IF(MATCH($V5143,$V$6:$V$6005,0)=ROW()-5,N($AA5142)+1,N($AA5142)))</f>
        <v/>
      </c>
    </row>
    <row r="5144" ht="21" customHeight="1" s="66">
      <c r="A5144" s="56" t="n"/>
      <c r="B5144" s="57" t="n"/>
      <c r="C5144" s="57" t="n"/>
      <c r="D5144" s="57" t="n"/>
      <c r="E5144" s="56" t="n"/>
      <c r="F5144" s="57" t="n"/>
      <c r="G5144" s="57" t="n"/>
      <c r="H5144" s="56" t="n"/>
      <c r="I5144" s="56" t="n"/>
      <c r="J5144" s="58" t="n"/>
      <c r="K5144" s="58" t="n"/>
      <c r="L5144" s="13">
        <f>IF(OR($A5144="",AND($J5144="",$K5144="")),"",ROUND(N($J5144)-N($K5144),2))</f>
        <v/>
      </c>
      <c r="M5144" s="13">
        <f>IF(OR($A5144="",AND($J5144="",$K5144="")),"",MIN($J5144,$K5144))</f>
        <v/>
      </c>
      <c r="Q5144">
        <f>IF($A5144="","",$D5144&amp;"("&amp;SUBSTITUTE($E5144," ","")&amp;")")</f>
        <v/>
      </c>
      <c r="R5144">
        <f>IF($A5144="","",$B5144&amp;" - "&amp;$C5144)</f>
        <v/>
      </c>
      <c r="S5144">
        <f>IF($A5144="","",$R5144&amp;"|"&amp;$Q5144)</f>
        <v/>
      </c>
      <c r="T5144">
        <f>IF($A5144="","",$S5144&amp;"|"&amp;$F5144)</f>
        <v/>
      </c>
      <c r="U5144">
        <f>IF($A5144="","",$R5144&amp;"("&amp;$E5144&amp;")")</f>
        <v/>
      </c>
      <c r="V5144">
        <f>IF($A5144="","",$F5144&amp;"|"&amp;$U5144&amp;"|"&amp;$D5144)</f>
        <v/>
      </c>
      <c r="W5144">
        <f>IF($T5144="","",IF($X5144&gt;N($X5143),$X5144,""))</f>
        <v/>
      </c>
      <c r="X5144">
        <f>IF($T5144="",N($X5143),IF(MATCH($T5144,$T$6:$T$6005,0)=ROW()-5,N($X5143)+1,N($X5143)))</f>
        <v/>
      </c>
      <c r="Z5144">
        <f>IF($V5144="","",IF($AA5144&gt;N($AA5143),$AA5144,""))</f>
        <v/>
      </c>
      <c r="AA5144">
        <f>IF($V5144="",N($AA5143),IF(MATCH($V5144,$V$6:$V$6005,0)=ROW()-5,N($AA5143)+1,N($AA5143)))</f>
        <v/>
      </c>
    </row>
    <row r="5145" ht="21" customHeight="1" s="66">
      <c r="A5145" s="56" t="n"/>
      <c r="B5145" s="57" t="n"/>
      <c r="C5145" s="57" t="n"/>
      <c r="D5145" s="57" t="n"/>
      <c r="E5145" s="56" t="n"/>
      <c r="F5145" s="57" t="n"/>
      <c r="G5145" s="57" t="n"/>
      <c r="H5145" s="56" t="n"/>
      <c r="I5145" s="56" t="n"/>
      <c r="J5145" s="58" t="n"/>
      <c r="K5145" s="58" t="n"/>
      <c r="L5145" s="13">
        <f>IF(OR($A5145="",AND($J5145="",$K5145="")),"",ROUND(N($J5145)-N($K5145),2))</f>
        <v/>
      </c>
      <c r="M5145" s="13">
        <f>IF(OR($A5145="",AND($J5145="",$K5145="")),"",MIN($J5145,$K5145))</f>
        <v/>
      </c>
      <c r="Q5145">
        <f>IF($A5145="","",$D5145&amp;"("&amp;SUBSTITUTE($E5145," ","")&amp;")")</f>
        <v/>
      </c>
      <c r="R5145">
        <f>IF($A5145="","",$B5145&amp;" - "&amp;$C5145)</f>
        <v/>
      </c>
      <c r="S5145">
        <f>IF($A5145="","",$R5145&amp;"|"&amp;$Q5145)</f>
        <v/>
      </c>
      <c r="T5145">
        <f>IF($A5145="","",$S5145&amp;"|"&amp;$F5145)</f>
        <v/>
      </c>
      <c r="U5145">
        <f>IF($A5145="","",$R5145&amp;"("&amp;$E5145&amp;")")</f>
        <v/>
      </c>
      <c r="V5145">
        <f>IF($A5145="","",$F5145&amp;"|"&amp;$U5145&amp;"|"&amp;$D5145)</f>
        <v/>
      </c>
      <c r="W5145">
        <f>IF($T5145="","",IF($X5145&gt;N($X5144),$X5145,""))</f>
        <v/>
      </c>
      <c r="X5145">
        <f>IF($T5145="",N($X5144),IF(MATCH($T5145,$T$6:$T$6005,0)=ROW()-5,N($X5144)+1,N($X5144)))</f>
        <v/>
      </c>
      <c r="Z5145">
        <f>IF($V5145="","",IF($AA5145&gt;N($AA5144),$AA5145,""))</f>
        <v/>
      </c>
      <c r="AA5145">
        <f>IF($V5145="",N($AA5144),IF(MATCH($V5145,$V$6:$V$6005,0)=ROW()-5,N($AA5144)+1,N($AA5144)))</f>
        <v/>
      </c>
    </row>
    <row r="5146" ht="21" customHeight="1" s="66">
      <c r="A5146" s="56" t="n"/>
      <c r="B5146" s="57" t="n"/>
      <c r="C5146" s="57" t="n"/>
      <c r="D5146" s="57" t="n"/>
      <c r="E5146" s="56" t="n"/>
      <c r="F5146" s="57" t="n"/>
      <c r="G5146" s="57" t="n"/>
      <c r="H5146" s="56" t="n"/>
      <c r="I5146" s="56" t="n"/>
      <c r="J5146" s="58" t="n"/>
      <c r="K5146" s="58" t="n"/>
      <c r="L5146" s="13">
        <f>IF(OR($A5146="",AND($J5146="",$K5146="")),"",ROUND(N($J5146)-N($K5146),2))</f>
        <v/>
      </c>
      <c r="M5146" s="13">
        <f>IF(OR($A5146="",AND($J5146="",$K5146="")),"",MIN($J5146,$K5146))</f>
        <v/>
      </c>
      <c r="Q5146">
        <f>IF($A5146="","",$D5146&amp;"("&amp;SUBSTITUTE($E5146," ","")&amp;")")</f>
        <v/>
      </c>
      <c r="R5146">
        <f>IF($A5146="","",$B5146&amp;" - "&amp;$C5146)</f>
        <v/>
      </c>
      <c r="S5146">
        <f>IF($A5146="","",$R5146&amp;"|"&amp;$Q5146)</f>
        <v/>
      </c>
      <c r="T5146">
        <f>IF($A5146="","",$S5146&amp;"|"&amp;$F5146)</f>
        <v/>
      </c>
      <c r="U5146">
        <f>IF($A5146="","",$R5146&amp;"("&amp;$E5146&amp;")")</f>
        <v/>
      </c>
      <c r="V5146">
        <f>IF($A5146="","",$F5146&amp;"|"&amp;$U5146&amp;"|"&amp;$D5146)</f>
        <v/>
      </c>
      <c r="W5146">
        <f>IF($T5146="","",IF($X5146&gt;N($X5145),$X5146,""))</f>
        <v/>
      </c>
      <c r="X5146">
        <f>IF($T5146="",N($X5145),IF(MATCH($T5146,$T$6:$T$6005,0)=ROW()-5,N($X5145)+1,N($X5145)))</f>
        <v/>
      </c>
      <c r="Z5146">
        <f>IF($V5146="","",IF($AA5146&gt;N($AA5145),$AA5146,""))</f>
        <v/>
      </c>
      <c r="AA5146">
        <f>IF($V5146="",N($AA5145),IF(MATCH($V5146,$V$6:$V$6005,0)=ROW()-5,N($AA5145)+1,N($AA5145)))</f>
        <v/>
      </c>
    </row>
    <row r="5147" ht="21" customHeight="1" s="66">
      <c r="A5147" s="56" t="n"/>
      <c r="B5147" s="57" t="n"/>
      <c r="C5147" s="57" t="n"/>
      <c r="D5147" s="57" t="n"/>
      <c r="E5147" s="56" t="n"/>
      <c r="F5147" s="57" t="n"/>
      <c r="G5147" s="57" t="n"/>
      <c r="H5147" s="56" t="n"/>
      <c r="I5147" s="56" t="n"/>
      <c r="J5147" s="58" t="n"/>
      <c r="K5147" s="58" t="n"/>
      <c r="L5147" s="13">
        <f>IF(OR($A5147="",AND($J5147="",$K5147="")),"",ROUND(N($J5147)-N($K5147),2))</f>
        <v/>
      </c>
      <c r="M5147" s="13">
        <f>IF(OR($A5147="",AND($J5147="",$K5147="")),"",MIN($J5147,$K5147))</f>
        <v/>
      </c>
      <c r="Q5147">
        <f>IF($A5147="","",$D5147&amp;"("&amp;SUBSTITUTE($E5147," ","")&amp;")")</f>
        <v/>
      </c>
      <c r="R5147">
        <f>IF($A5147="","",$B5147&amp;" - "&amp;$C5147)</f>
        <v/>
      </c>
      <c r="S5147">
        <f>IF($A5147="","",$R5147&amp;"|"&amp;$Q5147)</f>
        <v/>
      </c>
      <c r="T5147">
        <f>IF($A5147="","",$S5147&amp;"|"&amp;$F5147)</f>
        <v/>
      </c>
      <c r="U5147">
        <f>IF($A5147="","",$R5147&amp;"("&amp;$E5147&amp;")")</f>
        <v/>
      </c>
      <c r="V5147">
        <f>IF($A5147="","",$F5147&amp;"|"&amp;$U5147&amp;"|"&amp;$D5147)</f>
        <v/>
      </c>
      <c r="W5147">
        <f>IF($T5147="","",IF($X5147&gt;N($X5146),$X5147,""))</f>
        <v/>
      </c>
      <c r="X5147">
        <f>IF($T5147="",N($X5146),IF(MATCH($T5147,$T$6:$T$6005,0)=ROW()-5,N($X5146)+1,N($X5146)))</f>
        <v/>
      </c>
      <c r="Z5147">
        <f>IF($V5147="","",IF($AA5147&gt;N($AA5146),$AA5147,""))</f>
        <v/>
      </c>
      <c r="AA5147">
        <f>IF($V5147="",N($AA5146),IF(MATCH($V5147,$V$6:$V$6005,0)=ROW()-5,N($AA5146)+1,N($AA5146)))</f>
        <v/>
      </c>
    </row>
    <row r="5148" ht="21" customHeight="1" s="66">
      <c r="A5148" s="56" t="n"/>
      <c r="B5148" s="57" t="n"/>
      <c r="C5148" s="57" t="n"/>
      <c r="D5148" s="57" t="n"/>
      <c r="E5148" s="56" t="n"/>
      <c r="F5148" s="57" t="n"/>
      <c r="G5148" s="57" t="n"/>
      <c r="H5148" s="56" t="n"/>
      <c r="I5148" s="56" t="n"/>
      <c r="J5148" s="58" t="n"/>
      <c r="K5148" s="58" t="n"/>
      <c r="L5148" s="13">
        <f>IF(OR($A5148="",AND($J5148="",$K5148="")),"",ROUND(N($J5148)-N($K5148),2))</f>
        <v/>
      </c>
      <c r="M5148" s="13">
        <f>IF(OR($A5148="",AND($J5148="",$K5148="")),"",MIN($J5148,$K5148))</f>
        <v/>
      </c>
      <c r="Q5148">
        <f>IF($A5148="","",$D5148&amp;"("&amp;SUBSTITUTE($E5148," ","")&amp;")")</f>
        <v/>
      </c>
      <c r="R5148">
        <f>IF($A5148="","",$B5148&amp;" - "&amp;$C5148)</f>
        <v/>
      </c>
      <c r="S5148">
        <f>IF($A5148="","",$R5148&amp;"|"&amp;$Q5148)</f>
        <v/>
      </c>
      <c r="T5148">
        <f>IF($A5148="","",$S5148&amp;"|"&amp;$F5148)</f>
        <v/>
      </c>
      <c r="U5148">
        <f>IF($A5148="","",$R5148&amp;"("&amp;$E5148&amp;")")</f>
        <v/>
      </c>
      <c r="V5148">
        <f>IF($A5148="","",$F5148&amp;"|"&amp;$U5148&amp;"|"&amp;$D5148)</f>
        <v/>
      </c>
      <c r="W5148">
        <f>IF($T5148="","",IF($X5148&gt;N($X5147),$X5148,""))</f>
        <v/>
      </c>
      <c r="X5148">
        <f>IF($T5148="",N($X5147),IF(MATCH($T5148,$T$6:$T$6005,0)=ROW()-5,N($X5147)+1,N($X5147)))</f>
        <v/>
      </c>
      <c r="Z5148">
        <f>IF($V5148="","",IF($AA5148&gt;N($AA5147),$AA5148,""))</f>
        <v/>
      </c>
      <c r="AA5148">
        <f>IF($V5148="",N($AA5147),IF(MATCH($V5148,$V$6:$V$6005,0)=ROW()-5,N($AA5147)+1,N($AA5147)))</f>
        <v/>
      </c>
    </row>
    <row r="5149" ht="21" customHeight="1" s="66">
      <c r="A5149" s="56" t="n"/>
      <c r="B5149" s="57" t="n"/>
      <c r="C5149" s="57" t="n"/>
      <c r="D5149" s="57" t="n"/>
      <c r="E5149" s="56" t="n"/>
      <c r="F5149" s="57" t="n"/>
      <c r="G5149" s="57" t="n"/>
      <c r="H5149" s="56" t="n"/>
      <c r="I5149" s="56" t="n"/>
      <c r="J5149" s="58" t="n"/>
      <c r="K5149" s="58" t="n"/>
      <c r="L5149" s="13">
        <f>IF(OR($A5149="",AND($J5149="",$K5149="")),"",ROUND(N($J5149)-N($K5149),2))</f>
        <v/>
      </c>
      <c r="M5149" s="13">
        <f>IF(OR($A5149="",AND($J5149="",$K5149="")),"",MIN($J5149,$K5149))</f>
        <v/>
      </c>
      <c r="Q5149">
        <f>IF($A5149="","",$D5149&amp;"("&amp;SUBSTITUTE($E5149," ","")&amp;")")</f>
        <v/>
      </c>
      <c r="R5149">
        <f>IF($A5149="","",$B5149&amp;" - "&amp;$C5149)</f>
        <v/>
      </c>
      <c r="S5149">
        <f>IF($A5149="","",$R5149&amp;"|"&amp;$Q5149)</f>
        <v/>
      </c>
      <c r="T5149">
        <f>IF($A5149="","",$S5149&amp;"|"&amp;$F5149)</f>
        <v/>
      </c>
      <c r="U5149">
        <f>IF($A5149="","",$R5149&amp;"("&amp;$E5149&amp;")")</f>
        <v/>
      </c>
      <c r="V5149">
        <f>IF($A5149="","",$F5149&amp;"|"&amp;$U5149&amp;"|"&amp;$D5149)</f>
        <v/>
      </c>
      <c r="W5149">
        <f>IF($T5149="","",IF($X5149&gt;N($X5148),$X5149,""))</f>
        <v/>
      </c>
      <c r="X5149">
        <f>IF($T5149="",N($X5148),IF(MATCH($T5149,$T$6:$T$6005,0)=ROW()-5,N($X5148)+1,N($X5148)))</f>
        <v/>
      </c>
      <c r="Z5149">
        <f>IF($V5149="","",IF($AA5149&gt;N($AA5148),$AA5149,""))</f>
        <v/>
      </c>
      <c r="AA5149">
        <f>IF($V5149="",N($AA5148),IF(MATCH($V5149,$V$6:$V$6005,0)=ROW()-5,N($AA5148)+1,N($AA5148)))</f>
        <v/>
      </c>
    </row>
    <row r="5150" ht="21" customHeight="1" s="66">
      <c r="A5150" s="56" t="n"/>
      <c r="B5150" s="57" t="n"/>
      <c r="C5150" s="57" t="n"/>
      <c r="D5150" s="57" t="n"/>
      <c r="E5150" s="56" t="n"/>
      <c r="F5150" s="57" t="n"/>
      <c r="G5150" s="57" t="n"/>
      <c r="H5150" s="56" t="n"/>
      <c r="I5150" s="56" t="n"/>
      <c r="J5150" s="58" t="n"/>
      <c r="K5150" s="58" t="n"/>
      <c r="L5150" s="13">
        <f>IF(OR($A5150="",AND($J5150="",$K5150="")),"",ROUND(N($J5150)-N($K5150),2))</f>
        <v/>
      </c>
      <c r="M5150" s="13">
        <f>IF(OR($A5150="",AND($J5150="",$K5150="")),"",MIN($J5150,$K5150))</f>
        <v/>
      </c>
      <c r="Q5150">
        <f>IF($A5150="","",$D5150&amp;"("&amp;SUBSTITUTE($E5150," ","")&amp;")")</f>
        <v/>
      </c>
      <c r="R5150">
        <f>IF($A5150="","",$B5150&amp;" - "&amp;$C5150)</f>
        <v/>
      </c>
      <c r="S5150">
        <f>IF($A5150="","",$R5150&amp;"|"&amp;$Q5150)</f>
        <v/>
      </c>
      <c r="T5150">
        <f>IF($A5150="","",$S5150&amp;"|"&amp;$F5150)</f>
        <v/>
      </c>
      <c r="U5150">
        <f>IF($A5150="","",$R5150&amp;"("&amp;$E5150&amp;")")</f>
        <v/>
      </c>
      <c r="V5150">
        <f>IF($A5150="","",$F5150&amp;"|"&amp;$U5150&amp;"|"&amp;$D5150)</f>
        <v/>
      </c>
      <c r="W5150">
        <f>IF($T5150="","",IF($X5150&gt;N($X5149),$X5150,""))</f>
        <v/>
      </c>
      <c r="X5150">
        <f>IF($T5150="",N($X5149),IF(MATCH($T5150,$T$6:$T$6005,0)=ROW()-5,N($X5149)+1,N($X5149)))</f>
        <v/>
      </c>
      <c r="Z5150">
        <f>IF($V5150="","",IF($AA5150&gt;N($AA5149),$AA5150,""))</f>
        <v/>
      </c>
      <c r="AA5150">
        <f>IF($V5150="",N($AA5149),IF(MATCH($V5150,$V$6:$V$6005,0)=ROW()-5,N($AA5149)+1,N($AA5149)))</f>
        <v/>
      </c>
    </row>
    <row r="5151" ht="21" customHeight="1" s="66">
      <c r="A5151" s="56" t="n"/>
      <c r="B5151" s="57" t="n"/>
      <c r="C5151" s="57" t="n"/>
      <c r="D5151" s="57" t="n"/>
      <c r="E5151" s="56" t="n"/>
      <c r="F5151" s="57" t="n"/>
      <c r="G5151" s="57" t="n"/>
      <c r="H5151" s="56" t="n"/>
      <c r="I5151" s="56" t="n"/>
      <c r="J5151" s="58" t="n"/>
      <c r="K5151" s="58" t="n"/>
      <c r="L5151" s="13">
        <f>IF(OR($A5151="",AND($J5151="",$K5151="")),"",ROUND(N($J5151)-N($K5151),2))</f>
        <v/>
      </c>
      <c r="M5151" s="13">
        <f>IF(OR($A5151="",AND($J5151="",$K5151="")),"",MIN($J5151,$K5151))</f>
        <v/>
      </c>
      <c r="Q5151">
        <f>IF($A5151="","",$D5151&amp;"("&amp;SUBSTITUTE($E5151," ","")&amp;")")</f>
        <v/>
      </c>
      <c r="R5151">
        <f>IF($A5151="","",$B5151&amp;" - "&amp;$C5151)</f>
        <v/>
      </c>
      <c r="S5151">
        <f>IF($A5151="","",$R5151&amp;"|"&amp;$Q5151)</f>
        <v/>
      </c>
      <c r="T5151">
        <f>IF($A5151="","",$S5151&amp;"|"&amp;$F5151)</f>
        <v/>
      </c>
      <c r="U5151">
        <f>IF($A5151="","",$R5151&amp;"("&amp;$E5151&amp;")")</f>
        <v/>
      </c>
      <c r="V5151">
        <f>IF($A5151="","",$F5151&amp;"|"&amp;$U5151&amp;"|"&amp;$D5151)</f>
        <v/>
      </c>
      <c r="W5151">
        <f>IF($T5151="","",IF($X5151&gt;N($X5150),$X5151,""))</f>
        <v/>
      </c>
      <c r="X5151">
        <f>IF($T5151="",N($X5150),IF(MATCH($T5151,$T$6:$T$6005,0)=ROW()-5,N($X5150)+1,N($X5150)))</f>
        <v/>
      </c>
      <c r="Z5151">
        <f>IF($V5151="","",IF($AA5151&gt;N($AA5150),$AA5151,""))</f>
        <v/>
      </c>
      <c r="AA5151">
        <f>IF($V5151="",N($AA5150),IF(MATCH($V5151,$V$6:$V$6005,0)=ROW()-5,N($AA5150)+1,N($AA5150)))</f>
        <v/>
      </c>
    </row>
    <row r="5152" ht="21" customHeight="1" s="66">
      <c r="A5152" s="56" t="n"/>
      <c r="B5152" s="57" t="n"/>
      <c r="C5152" s="57" t="n"/>
      <c r="D5152" s="57" t="n"/>
      <c r="E5152" s="56" t="n"/>
      <c r="F5152" s="57" t="n"/>
      <c r="G5152" s="57" t="n"/>
      <c r="H5152" s="56" t="n"/>
      <c r="I5152" s="56" t="n"/>
      <c r="J5152" s="58" t="n"/>
      <c r="K5152" s="58" t="n"/>
      <c r="L5152" s="13">
        <f>IF(OR($A5152="",AND($J5152="",$K5152="")),"",ROUND(N($J5152)-N($K5152),2))</f>
        <v/>
      </c>
      <c r="M5152" s="13">
        <f>IF(OR($A5152="",AND($J5152="",$K5152="")),"",MIN($J5152,$K5152))</f>
        <v/>
      </c>
      <c r="Q5152">
        <f>IF($A5152="","",$D5152&amp;"("&amp;SUBSTITUTE($E5152," ","")&amp;")")</f>
        <v/>
      </c>
      <c r="R5152">
        <f>IF($A5152="","",$B5152&amp;" - "&amp;$C5152)</f>
        <v/>
      </c>
      <c r="S5152">
        <f>IF($A5152="","",$R5152&amp;"|"&amp;$Q5152)</f>
        <v/>
      </c>
      <c r="T5152">
        <f>IF($A5152="","",$S5152&amp;"|"&amp;$F5152)</f>
        <v/>
      </c>
      <c r="U5152">
        <f>IF($A5152="","",$R5152&amp;"("&amp;$E5152&amp;")")</f>
        <v/>
      </c>
      <c r="V5152">
        <f>IF($A5152="","",$F5152&amp;"|"&amp;$U5152&amp;"|"&amp;$D5152)</f>
        <v/>
      </c>
      <c r="W5152">
        <f>IF($T5152="","",IF($X5152&gt;N($X5151),$X5152,""))</f>
        <v/>
      </c>
      <c r="X5152">
        <f>IF($T5152="",N($X5151),IF(MATCH($T5152,$T$6:$T$6005,0)=ROW()-5,N($X5151)+1,N($X5151)))</f>
        <v/>
      </c>
      <c r="Z5152">
        <f>IF($V5152="","",IF($AA5152&gt;N($AA5151),$AA5152,""))</f>
        <v/>
      </c>
      <c r="AA5152">
        <f>IF($V5152="",N($AA5151),IF(MATCH($V5152,$V$6:$V$6005,0)=ROW()-5,N($AA5151)+1,N($AA5151)))</f>
        <v/>
      </c>
    </row>
    <row r="5153" ht="21" customHeight="1" s="66">
      <c r="A5153" s="56" t="n"/>
      <c r="B5153" s="57" t="n"/>
      <c r="C5153" s="57" t="n"/>
      <c r="D5153" s="57" t="n"/>
      <c r="E5153" s="56" t="n"/>
      <c r="F5153" s="57" t="n"/>
      <c r="G5153" s="57" t="n"/>
      <c r="H5153" s="56" t="n"/>
      <c r="I5153" s="56" t="n"/>
      <c r="J5153" s="58" t="n"/>
      <c r="K5153" s="58" t="n"/>
      <c r="L5153" s="13">
        <f>IF(OR($A5153="",AND($J5153="",$K5153="")),"",ROUND(N($J5153)-N($K5153),2))</f>
        <v/>
      </c>
      <c r="M5153" s="13">
        <f>IF(OR($A5153="",AND($J5153="",$K5153="")),"",MIN($J5153,$K5153))</f>
        <v/>
      </c>
      <c r="Q5153">
        <f>IF($A5153="","",$D5153&amp;"("&amp;SUBSTITUTE($E5153," ","")&amp;")")</f>
        <v/>
      </c>
      <c r="R5153">
        <f>IF($A5153="","",$B5153&amp;" - "&amp;$C5153)</f>
        <v/>
      </c>
      <c r="S5153">
        <f>IF($A5153="","",$R5153&amp;"|"&amp;$Q5153)</f>
        <v/>
      </c>
      <c r="T5153">
        <f>IF($A5153="","",$S5153&amp;"|"&amp;$F5153)</f>
        <v/>
      </c>
      <c r="U5153">
        <f>IF($A5153="","",$R5153&amp;"("&amp;$E5153&amp;")")</f>
        <v/>
      </c>
      <c r="V5153">
        <f>IF($A5153="","",$F5153&amp;"|"&amp;$U5153&amp;"|"&amp;$D5153)</f>
        <v/>
      </c>
      <c r="W5153">
        <f>IF($T5153="","",IF($X5153&gt;N($X5152),$X5153,""))</f>
        <v/>
      </c>
      <c r="X5153">
        <f>IF($T5153="",N($X5152),IF(MATCH($T5153,$T$6:$T$6005,0)=ROW()-5,N($X5152)+1,N($X5152)))</f>
        <v/>
      </c>
      <c r="Z5153">
        <f>IF($V5153="","",IF($AA5153&gt;N($AA5152),$AA5153,""))</f>
        <v/>
      </c>
      <c r="AA5153">
        <f>IF($V5153="",N($AA5152),IF(MATCH($V5153,$V$6:$V$6005,0)=ROW()-5,N($AA5152)+1,N($AA5152)))</f>
        <v/>
      </c>
    </row>
    <row r="5154" ht="21" customHeight="1" s="66">
      <c r="A5154" s="56" t="n"/>
      <c r="B5154" s="57" t="n"/>
      <c r="C5154" s="57" t="n"/>
      <c r="D5154" s="57" t="n"/>
      <c r="E5154" s="56" t="n"/>
      <c r="F5154" s="57" t="n"/>
      <c r="G5154" s="57" t="n"/>
      <c r="H5154" s="56" t="n"/>
      <c r="I5154" s="56" t="n"/>
      <c r="J5154" s="58" t="n"/>
      <c r="K5154" s="58" t="n"/>
      <c r="L5154" s="13">
        <f>IF(OR($A5154="",AND($J5154="",$K5154="")),"",ROUND(N($J5154)-N($K5154),2))</f>
        <v/>
      </c>
      <c r="M5154" s="13">
        <f>IF(OR($A5154="",AND($J5154="",$K5154="")),"",MIN($J5154,$K5154))</f>
        <v/>
      </c>
      <c r="Q5154">
        <f>IF($A5154="","",$D5154&amp;"("&amp;SUBSTITUTE($E5154," ","")&amp;")")</f>
        <v/>
      </c>
      <c r="R5154">
        <f>IF($A5154="","",$B5154&amp;" - "&amp;$C5154)</f>
        <v/>
      </c>
      <c r="S5154">
        <f>IF($A5154="","",$R5154&amp;"|"&amp;$Q5154)</f>
        <v/>
      </c>
      <c r="T5154">
        <f>IF($A5154="","",$S5154&amp;"|"&amp;$F5154)</f>
        <v/>
      </c>
      <c r="U5154">
        <f>IF($A5154="","",$R5154&amp;"("&amp;$E5154&amp;")")</f>
        <v/>
      </c>
      <c r="V5154">
        <f>IF($A5154="","",$F5154&amp;"|"&amp;$U5154&amp;"|"&amp;$D5154)</f>
        <v/>
      </c>
      <c r="W5154">
        <f>IF($T5154="","",IF($X5154&gt;N($X5153),$X5154,""))</f>
        <v/>
      </c>
      <c r="X5154">
        <f>IF($T5154="",N($X5153),IF(MATCH($T5154,$T$6:$T$6005,0)=ROW()-5,N($X5153)+1,N($X5153)))</f>
        <v/>
      </c>
      <c r="Z5154">
        <f>IF($V5154="","",IF($AA5154&gt;N($AA5153),$AA5154,""))</f>
        <v/>
      </c>
      <c r="AA5154">
        <f>IF($V5154="",N($AA5153),IF(MATCH($V5154,$V$6:$V$6005,0)=ROW()-5,N($AA5153)+1,N($AA5153)))</f>
        <v/>
      </c>
    </row>
    <row r="5155" ht="21" customHeight="1" s="66">
      <c r="A5155" s="56" t="n"/>
      <c r="B5155" s="57" t="n"/>
      <c r="C5155" s="57" t="n"/>
      <c r="D5155" s="57" t="n"/>
      <c r="E5155" s="56" t="n"/>
      <c r="F5155" s="57" t="n"/>
      <c r="G5155" s="57" t="n"/>
      <c r="H5155" s="56" t="n"/>
      <c r="I5155" s="56" t="n"/>
      <c r="J5155" s="58" t="n"/>
      <c r="K5155" s="58" t="n"/>
      <c r="L5155" s="13">
        <f>IF(OR($A5155="",AND($J5155="",$K5155="")),"",ROUND(N($J5155)-N($K5155),2))</f>
        <v/>
      </c>
      <c r="M5155" s="13">
        <f>IF(OR($A5155="",AND($J5155="",$K5155="")),"",MIN($J5155,$K5155))</f>
        <v/>
      </c>
      <c r="Q5155">
        <f>IF($A5155="","",$D5155&amp;"("&amp;SUBSTITUTE($E5155," ","")&amp;")")</f>
        <v/>
      </c>
      <c r="R5155">
        <f>IF($A5155="","",$B5155&amp;" - "&amp;$C5155)</f>
        <v/>
      </c>
      <c r="S5155">
        <f>IF($A5155="","",$R5155&amp;"|"&amp;$Q5155)</f>
        <v/>
      </c>
      <c r="T5155">
        <f>IF($A5155="","",$S5155&amp;"|"&amp;$F5155)</f>
        <v/>
      </c>
      <c r="U5155">
        <f>IF($A5155="","",$R5155&amp;"("&amp;$E5155&amp;")")</f>
        <v/>
      </c>
      <c r="V5155">
        <f>IF($A5155="","",$F5155&amp;"|"&amp;$U5155&amp;"|"&amp;$D5155)</f>
        <v/>
      </c>
      <c r="W5155">
        <f>IF($T5155="","",IF($X5155&gt;N($X5154),$X5155,""))</f>
        <v/>
      </c>
      <c r="X5155">
        <f>IF($T5155="",N($X5154),IF(MATCH($T5155,$T$6:$T$6005,0)=ROW()-5,N($X5154)+1,N($X5154)))</f>
        <v/>
      </c>
      <c r="Z5155">
        <f>IF($V5155="","",IF($AA5155&gt;N($AA5154),$AA5155,""))</f>
        <v/>
      </c>
      <c r="AA5155">
        <f>IF($V5155="",N($AA5154),IF(MATCH($V5155,$V$6:$V$6005,0)=ROW()-5,N($AA5154)+1,N($AA5154)))</f>
        <v/>
      </c>
    </row>
    <row r="5156" ht="21" customHeight="1" s="66">
      <c r="A5156" s="56" t="n"/>
      <c r="B5156" s="57" t="n"/>
      <c r="C5156" s="57" t="n"/>
      <c r="D5156" s="57" t="n"/>
      <c r="E5156" s="56" t="n"/>
      <c r="F5156" s="57" t="n"/>
      <c r="G5156" s="57" t="n"/>
      <c r="H5156" s="56" t="n"/>
      <c r="I5156" s="56" t="n"/>
      <c r="J5156" s="58" t="n"/>
      <c r="K5156" s="58" t="n"/>
      <c r="L5156" s="13">
        <f>IF(OR($A5156="",AND($J5156="",$K5156="")),"",ROUND(N($J5156)-N($K5156),2))</f>
        <v/>
      </c>
      <c r="M5156" s="13">
        <f>IF(OR($A5156="",AND($J5156="",$K5156="")),"",MIN($J5156,$K5156))</f>
        <v/>
      </c>
      <c r="Q5156">
        <f>IF($A5156="","",$D5156&amp;"("&amp;SUBSTITUTE($E5156," ","")&amp;")")</f>
        <v/>
      </c>
      <c r="R5156">
        <f>IF($A5156="","",$B5156&amp;" - "&amp;$C5156)</f>
        <v/>
      </c>
      <c r="S5156">
        <f>IF($A5156="","",$R5156&amp;"|"&amp;$Q5156)</f>
        <v/>
      </c>
      <c r="T5156">
        <f>IF($A5156="","",$S5156&amp;"|"&amp;$F5156)</f>
        <v/>
      </c>
      <c r="U5156">
        <f>IF($A5156="","",$R5156&amp;"("&amp;$E5156&amp;")")</f>
        <v/>
      </c>
      <c r="V5156">
        <f>IF($A5156="","",$F5156&amp;"|"&amp;$U5156&amp;"|"&amp;$D5156)</f>
        <v/>
      </c>
      <c r="W5156">
        <f>IF($T5156="","",IF($X5156&gt;N($X5155),$X5156,""))</f>
        <v/>
      </c>
      <c r="X5156">
        <f>IF($T5156="",N($X5155),IF(MATCH($T5156,$T$6:$T$6005,0)=ROW()-5,N($X5155)+1,N($X5155)))</f>
        <v/>
      </c>
      <c r="Z5156">
        <f>IF($V5156="","",IF($AA5156&gt;N($AA5155),$AA5156,""))</f>
        <v/>
      </c>
      <c r="AA5156">
        <f>IF($V5156="",N($AA5155),IF(MATCH($V5156,$V$6:$V$6005,0)=ROW()-5,N($AA5155)+1,N($AA5155)))</f>
        <v/>
      </c>
    </row>
    <row r="5157" ht="21" customHeight="1" s="66">
      <c r="A5157" s="56" t="n"/>
      <c r="B5157" s="57" t="n"/>
      <c r="C5157" s="57" t="n"/>
      <c r="D5157" s="57" t="n"/>
      <c r="E5157" s="56" t="n"/>
      <c r="F5157" s="57" t="n"/>
      <c r="G5157" s="57" t="n"/>
      <c r="H5157" s="56" t="n"/>
      <c r="I5157" s="56" t="n"/>
      <c r="J5157" s="58" t="n"/>
      <c r="K5157" s="58" t="n"/>
      <c r="L5157" s="13">
        <f>IF(OR($A5157="",AND($J5157="",$K5157="")),"",ROUND(N($J5157)-N($K5157),2))</f>
        <v/>
      </c>
      <c r="M5157" s="13">
        <f>IF(OR($A5157="",AND($J5157="",$K5157="")),"",MIN($J5157,$K5157))</f>
        <v/>
      </c>
      <c r="Q5157">
        <f>IF($A5157="","",$D5157&amp;"("&amp;SUBSTITUTE($E5157," ","")&amp;")")</f>
        <v/>
      </c>
      <c r="R5157">
        <f>IF($A5157="","",$B5157&amp;" - "&amp;$C5157)</f>
        <v/>
      </c>
      <c r="S5157">
        <f>IF($A5157="","",$R5157&amp;"|"&amp;$Q5157)</f>
        <v/>
      </c>
      <c r="T5157">
        <f>IF($A5157="","",$S5157&amp;"|"&amp;$F5157)</f>
        <v/>
      </c>
      <c r="U5157">
        <f>IF($A5157="","",$R5157&amp;"("&amp;$E5157&amp;")")</f>
        <v/>
      </c>
      <c r="V5157">
        <f>IF($A5157="","",$F5157&amp;"|"&amp;$U5157&amp;"|"&amp;$D5157)</f>
        <v/>
      </c>
      <c r="W5157">
        <f>IF($T5157="","",IF($X5157&gt;N($X5156),$X5157,""))</f>
        <v/>
      </c>
      <c r="X5157">
        <f>IF($T5157="",N($X5156),IF(MATCH($T5157,$T$6:$T$6005,0)=ROW()-5,N($X5156)+1,N($X5156)))</f>
        <v/>
      </c>
      <c r="Z5157">
        <f>IF($V5157="","",IF($AA5157&gt;N($AA5156),$AA5157,""))</f>
        <v/>
      </c>
      <c r="AA5157">
        <f>IF($V5157="",N($AA5156),IF(MATCH($V5157,$V$6:$V$6005,0)=ROW()-5,N($AA5156)+1,N($AA5156)))</f>
        <v/>
      </c>
    </row>
    <row r="5158" ht="21" customHeight="1" s="66">
      <c r="A5158" s="56" t="n"/>
      <c r="B5158" s="57" t="n"/>
      <c r="C5158" s="57" t="n"/>
      <c r="D5158" s="57" t="n"/>
      <c r="E5158" s="56" t="n"/>
      <c r="F5158" s="57" t="n"/>
      <c r="G5158" s="57" t="n"/>
      <c r="H5158" s="56" t="n"/>
      <c r="I5158" s="56" t="n"/>
      <c r="J5158" s="58" t="n"/>
      <c r="K5158" s="58" t="n"/>
      <c r="L5158" s="13">
        <f>IF(OR($A5158="",AND($J5158="",$K5158="")),"",ROUND(N($J5158)-N($K5158),2))</f>
        <v/>
      </c>
      <c r="M5158" s="13">
        <f>IF(OR($A5158="",AND($J5158="",$K5158="")),"",MIN($J5158,$K5158))</f>
        <v/>
      </c>
      <c r="Q5158">
        <f>IF($A5158="","",$D5158&amp;"("&amp;SUBSTITUTE($E5158," ","")&amp;")")</f>
        <v/>
      </c>
      <c r="R5158">
        <f>IF($A5158="","",$B5158&amp;" - "&amp;$C5158)</f>
        <v/>
      </c>
      <c r="S5158">
        <f>IF($A5158="","",$R5158&amp;"|"&amp;$Q5158)</f>
        <v/>
      </c>
      <c r="T5158">
        <f>IF($A5158="","",$S5158&amp;"|"&amp;$F5158)</f>
        <v/>
      </c>
      <c r="U5158">
        <f>IF($A5158="","",$R5158&amp;"("&amp;$E5158&amp;")")</f>
        <v/>
      </c>
      <c r="V5158">
        <f>IF($A5158="","",$F5158&amp;"|"&amp;$U5158&amp;"|"&amp;$D5158)</f>
        <v/>
      </c>
      <c r="W5158">
        <f>IF($T5158="","",IF($X5158&gt;N($X5157),$X5158,""))</f>
        <v/>
      </c>
      <c r="X5158">
        <f>IF($T5158="",N($X5157),IF(MATCH($T5158,$T$6:$T$6005,0)=ROW()-5,N($X5157)+1,N($X5157)))</f>
        <v/>
      </c>
      <c r="Z5158">
        <f>IF($V5158="","",IF($AA5158&gt;N($AA5157),$AA5158,""))</f>
        <v/>
      </c>
      <c r="AA5158">
        <f>IF($V5158="",N($AA5157),IF(MATCH($V5158,$V$6:$V$6005,0)=ROW()-5,N($AA5157)+1,N($AA5157)))</f>
        <v/>
      </c>
    </row>
    <row r="5159" ht="21" customHeight="1" s="66">
      <c r="A5159" s="56" t="n"/>
      <c r="B5159" s="57" t="n"/>
      <c r="C5159" s="57" t="n"/>
      <c r="D5159" s="57" t="n"/>
      <c r="E5159" s="56" t="n"/>
      <c r="F5159" s="57" t="n"/>
      <c r="G5159" s="57" t="n"/>
      <c r="H5159" s="56" t="n"/>
      <c r="I5159" s="56" t="n"/>
      <c r="J5159" s="58" t="n"/>
      <c r="K5159" s="58" t="n"/>
      <c r="L5159" s="13">
        <f>IF(OR($A5159="",AND($J5159="",$K5159="")),"",ROUND(N($J5159)-N($K5159),2))</f>
        <v/>
      </c>
      <c r="M5159" s="13">
        <f>IF(OR($A5159="",AND($J5159="",$K5159="")),"",MIN($J5159,$K5159))</f>
        <v/>
      </c>
      <c r="Q5159">
        <f>IF($A5159="","",$D5159&amp;"("&amp;SUBSTITUTE($E5159," ","")&amp;")")</f>
        <v/>
      </c>
      <c r="R5159">
        <f>IF($A5159="","",$B5159&amp;" - "&amp;$C5159)</f>
        <v/>
      </c>
      <c r="S5159">
        <f>IF($A5159="","",$R5159&amp;"|"&amp;$Q5159)</f>
        <v/>
      </c>
      <c r="T5159">
        <f>IF($A5159="","",$S5159&amp;"|"&amp;$F5159)</f>
        <v/>
      </c>
      <c r="U5159">
        <f>IF($A5159="","",$R5159&amp;"("&amp;$E5159&amp;")")</f>
        <v/>
      </c>
      <c r="V5159">
        <f>IF($A5159="","",$F5159&amp;"|"&amp;$U5159&amp;"|"&amp;$D5159)</f>
        <v/>
      </c>
      <c r="W5159">
        <f>IF($T5159="","",IF($X5159&gt;N($X5158),$X5159,""))</f>
        <v/>
      </c>
      <c r="X5159">
        <f>IF($T5159="",N($X5158),IF(MATCH($T5159,$T$6:$T$6005,0)=ROW()-5,N($X5158)+1,N($X5158)))</f>
        <v/>
      </c>
      <c r="Z5159">
        <f>IF($V5159="","",IF($AA5159&gt;N($AA5158),$AA5159,""))</f>
        <v/>
      </c>
      <c r="AA5159">
        <f>IF($V5159="",N($AA5158),IF(MATCH($V5159,$V$6:$V$6005,0)=ROW()-5,N($AA5158)+1,N($AA5158)))</f>
        <v/>
      </c>
    </row>
    <row r="5160" ht="21" customHeight="1" s="66">
      <c r="A5160" s="56" t="n"/>
      <c r="B5160" s="57" t="n"/>
      <c r="C5160" s="57" t="n"/>
      <c r="D5160" s="57" t="n"/>
      <c r="E5160" s="56" t="n"/>
      <c r="F5160" s="57" t="n"/>
      <c r="G5160" s="57" t="n"/>
      <c r="H5160" s="56" t="n"/>
      <c r="I5160" s="56" t="n"/>
      <c r="J5160" s="58" t="n"/>
      <c r="K5160" s="58" t="n"/>
      <c r="L5160" s="13">
        <f>IF(OR($A5160="",AND($J5160="",$K5160="")),"",ROUND(N($J5160)-N($K5160),2))</f>
        <v/>
      </c>
      <c r="M5160" s="13">
        <f>IF(OR($A5160="",AND($J5160="",$K5160="")),"",MIN($J5160,$K5160))</f>
        <v/>
      </c>
      <c r="Q5160">
        <f>IF($A5160="","",$D5160&amp;"("&amp;SUBSTITUTE($E5160," ","")&amp;")")</f>
        <v/>
      </c>
      <c r="R5160">
        <f>IF($A5160="","",$B5160&amp;" - "&amp;$C5160)</f>
        <v/>
      </c>
      <c r="S5160">
        <f>IF($A5160="","",$R5160&amp;"|"&amp;$Q5160)</f>
        <v/>
      </c>
      <c r="T5160">
        <f>IF($A5160="","",$S5160&amp;"|"&amp;$F5160)</f>
        <v/>
      </c>
      <c r="U5160">
        <f>IF($A5160="","",$R5160&amp;"("&amp;$E5160&amp;")")</f>
        <v/>
      </c>
      <c r="V5160">
        <f>IF($A5160="","",$F5160&amp;"|"&amp;$U5160&amp;"|"&amp;$D5160)</f>
        <v/>
      </c>
      <c r="W5160">
        <f>IF($T5160="","",IF($X5160&gt;N($X5159),$X5160,""))</f>
        <v/>
      </c>
      <c r="X5160">
        <f>IF($T5160="",N($X5159),IF(MATCH($T5160,$T$6:$T$6005,0)=ROW()-5,N($X5159)+1,N($X5159)))</f>
        <v/>
      </c>
      <c r="Z5160">
        <f>IF($V5160="","",IF($AA5160&gt;N($AA5159),$AA5160,""))</f>
        <v/>
      </c>
      <c r="AA5160">
        <f>IF($V5160="",N($AA5159),IF(MATCH($V5160,$V$6:$V$6005,0)=ROW()-5,N($AA5159)+1,N($AA5159)))</f>
        <v/>
      </c>
    </row>
    <row r="5161" ht="21" customHeight="1" s="66">
      <c r="A5161" s="56" t="n"/>
      <c r="B5161" s="57" t="n"/>
      <c r="C5161" s="57" t="n"/>
      <c r="D5161" s="57" t="n"/>
      <c r="E5161" s="56" t="n"/>
      <c r="F5161" s="57" t="n"/>
      <c r="G5161" s="57" t="n"/>
      <c r="H5161" s="56" t="n"/>
      <c r="I5161" s="56" t="n"/>
      <c r="J5161" s="58" t="n"/>
      <c r="K5161" s="58" t="n"/>
      <c r="L5161" s="13">
        <f>IF(OR($A5161="",AND($J5161="",$K5161="")),"",ROUND(N($J5161)-N($K5161),2))</f>
        <v/>
      </c>
      <c r="M5161" s="13">
        <f>IF(OR($A5161="",AND($J5161="",$K5161="")),"",MIN($J5161,$K5161))</f>
        <v/>
      </c>
      <c r="Q5161">
        <f>IF($A5161="","",$D5161&amp;"("&amp;SUBSTITUTE($E5161," ","")&amp;")")</f>
        <v/>
      </c>
      <c r="R5161">
        <f>IF($A5161="","",$B5161&amp;" - "&amp;$C5161)</f>
        <v/>
      </c>
      <c r="S5161">
        <f>IF($A5161="","",$R5161&amp;"|"&amp;$Q5161)</f>
        <v/>
      </c>
      <c r="T5161">
        <f>IF($A5161="","",$S5161&amp;"|"&amp;$F5161)</f>
        <v/>
      </c>
      <c r="U5161">
        <f>IF($A5161="","",$R5161&amp;"("&amp;$E5161&amp;")")</f>
        <v/>
      </c>
      <c r="V5161">
        <f>IF($A5161="","",$F5161&amp;"|"&amp;$U5161&amp;"|"&amp;$D5161)</f>
        <v/>
      </c>
      <c r="W5161">
        <f>IF($T5161="","",IF($X5161&gt;N($X5160),$X5161,""))</f>
        <v/>
      </c>
      <c r="X5161">
        <f>IF($T5161="",N($X5160),IF(MATCH($T5161,$T$6:$T$6005,0)=ROW()-5,N($X5160)+1,N($X5160)))</f>
        <v/>
      </c>
      <c r="Z5161">
        <f>IF($V5161="","",IF($AA5161&gt;N($AA5160),$AA5161,""))</f>
        <v/>
      </c>
      <c r="AA5161">
        <f>IF($V5161="",N($AA5160),IF(MATCH($V5161,$V$6:$V$6005,0)=ROW()-5,N($AA5160)+1,N($AA5160)))</f>
        <v/>
      </c>
    </row>
    <row r="5162" ht="21" customHeight="1" s="66">
      <c r="A5162" s="56" t="n"/>
      <c r="B5162" s="57" t="n"/>
      <c r="C5162" s="57" t="n"/>
      <c r="D5162" s="57" t="n"/>
      <c r="E5162" s="56" t="n"/>
      <c r="F5162" s="57" t="n"/>
      <c r="G5162" s="57" t="n"/>
      <c r="H5162" s="56" t="n"/>
      <c r="I5162" s="56" t="n"/>
      <c r="J5162" s="58" t="n"/>
      <c r="K5162" s="58" t="n"/>
      <c r="L5162" s="13">
        <f>IF(OR($A5162="",AND($J5162="",$K5162="")),"",ROUND(N($J5162)-N($K5162),2))</f>
        <v/>
      </c>
      <c r="M5162" s="13">
        <f>IF(OR($A5162="",AND($J5162="",$K5162="")),"",MIN($J5162,$K5162))</f>
        <v/>
      </c>
      <c r="Q5162">
        <f>IF($A5162="","",$D5162&amp;"("&amp;SUBSTITUTE($E5162," ","")&amp;")")</f>
        <v/>
      </c>
      <c r="R5162">
        <f>IF($A5162="","",$B5162&amp;" - "&amp;$C5162)</f>
        <v/>
      </c>
      <c r="S5162">
        <f>IF($A5162="","",$R5162&amp;"|"&amp;$Q5162)</f>
        <v/>
      </c>
      <c r="T5162">
        <f>IF($A5162="","",$S5162&amp;"|"&amp;$F5162)</f>
        <v/>
      </c>
      <c r="U5162">
        <f>IF($A5162="","",$R5162&amp;"("&amp;$E5162&amp;")")</f>
        <v/>
      </c>
      <c r="V5162">
        <f>IF($A5162="","",$F5162&amp;"|"&amp;$U5162&amp;"|"&amp;$D5162)</f>
        <v/>
      </c>
      <c r="W5162">
        <f>IF($T5162="","",IF($X5162&gt;N($X5161),$X5162,""))</f>
        <v/>
      </c>
      <c r="X5162">
        <f>IF($T5162="",N($X5161),IF(MATCH($T5162,$T$6:$T$6005,0)=ROW()-5,N($X5161)+1,N($X5161)))</f>
        <v/>
      </c>
      <c r="Z5162">
        <f>IF($V5162="","",IF($AA5162&gt;N($AA5161),$AA5162,""))</f>
        <v/>
      </c>
      <c r="AA5162">
        <f>IF($V5162="",N($AA5161),IF(MATCH($V5162,$V$6:$V$6005,0)=ROW()-5,N($AA5161)+1,N($AA5161)))</f>
        <v/>
      </c>
    </row>
    <row r="5163" ht="21" customHeight="1" s="66">
      <c r="A5163" s="56" t="n"/>
      <c r="B5163" s="57" t="n"/>
      <c r="C5163" s="57" t="n"/>
      <c r="D5163" s="57" t="n"/>
      <c r="E5163" s="56" t="n"/>
      <c r="F5163" s="57" t="n"/>
      <c r="G5163" s="57" t="n"/>
      <c r="H5163" s="56" t="n"/>
      <c r="I5163" s="56" t="n"/>
      <c r="J5163" s="58" t="n"/>
      <c r="K5163" s="58" t="n"/>
      <c r="L5163" s="13">
        <f>IF(OR($A5163="",AND($J5163="",$K5163="")),"",ROUND(N($J5163)-N($K5163),2))</f>
        <v/>
      </c>
      <c r="M5163" s="13">
        <f>IF(OR($A5163="",AND($J5163="",$K5163="")),"",MIN($J5163,$K5163))</f>
        <v/>
      </c>
      <c r="Q5163">
        <f>IF($A5163="","",$D5163&amp;"("&amp;SUBSTITUTE($E5163," ","")&amp;")")</f>
        <v/>
      </c>
      <c r="R5163">
        <f>IF($A5163="","",$B5163&amp;" - "&amp;$C5163)</f>
        <v/>
      </c>
      <c r="S5163">
        <f>IF($A5163="","",$R5163&amp;"|"&amp;$Q5163)</f>
        <v/>
      </c>
      <c r="T5163">
        <f>IF($A5163="","",$S5163&amp;"|"&amp;$F5163)</f>
        <v/>
      </c>
      <c r="U5163">
        <f>IF($A5163="","",$R5163&amp;"("&amp;$E5163&amp;")")</f>
        <v/>
      </c>
      <c r="V5163">
        <f>IF($A5163="","",$F5163&amp;"|"&amp;$U5163&amp;"|"&amp;$D5163)</f>
        <v/>
      </c>
      <c r="W5163">
        <f>IF($T5163="","",IF($X5163&gt;N($X5162),$X5163,""))</f>
        <v/>
      </c>
      <c r="X5163">
        <f>IF($T5163="",N($X5162),IF(MATCH($T5163,$T$6:$T$6005,0)=ROW()-5,N($X5162)+1,N($X5162)))</f>
        <v/>
      </c>
      <c r="Z5163">
        <f>IF($V5163="","",IF($AA5163&gt;N($AA5162),$AA5163,""))</f>
        <v/>
      </c>
      <c r="AA5163">
        <f>IF($V5163="",N($AA5162),IF(MATCH($V5163,$V$6:$V$6005,0)=ROW()-5,N($AA5162)+1,N($AA5162)))</f>
        <v/>
      </c>
    </row>
    <row r="5164" ht="21" customHeight="1" s="66">
      <c r="A5164" s="56" t="n"/>
      <c r="B5164" s="57" t="n"/>
      <c r="C5164" s="57" t="n"/>
      <c r="D5164" s="57" t="n"/>
      <c r="E5164" s="56" t="n"/>
      <c r="F5164" s="57" t="n"/>
      <c r="G5164" s="57" t="n"/>
      <c r="H5164" s="56" t="n"/>
      <c r="I5164" s="56" t="n"/>
      <c r="J5164" s="58" t="n"/>
      <c r="K5164" s="58" t="n"/>
      <c r="L5164" s="13">
        <f>IF(OR($A5164="",AND($J5164="",$K5164="")),"",ROUND(N($J5164)-N($K5164),2))</f>
        <v/>
      </c>
      <c r="M5164" s="13">
        <f>IF(OR($A5164="",AND($J5164="",$K5164="")),"",MIN($J5164,$K5164))</f>
        <v/>
      </c>
      <c r="Q5164">
        <f>IF($A5164="","",$D5164&amp;"("&amp;SUBSTITUTE($E5164," ","")&amp;")")</f>
        <v/>
      </c>
      <c r="R5164">
        <f>IF($A5164="","",$B5164&amp;" - "&amp;$C5164)</f>
        <v/>
      </c>
      <c r="S5164">
        <f>IF($A5164="","",$R5164&amp;"|"&amp;$Q5164)</f>
        <v/>
      </c>
      <c r="T5164">
        <f>IF($A5164="","",$S5164&amp;"|"&amp;$F5164)</f>
        <v/>
      </c>
      <c r="U5164">
        <f>IF($A5164="","",$R5164&amp;"("&amp;$E5164&amp;")")</f>
        <v/>
      </c>
      <c r="V5164">
        <f>IF($A5164="","",$F5164&amp;"|"&amp;$U5164&amp;"|"&amp;$D5164)</f>
        <v/>
      </c>
      <c r="W5164">
        <f>IF($T5164="","",IF($X5164&gt;N($X5163),$X5164,""))</f>
        <v/>
      </c>
      <c r="X5164">
        <f>IF($T5164="",N($X5163),IF(MATCH($T5164,$T$6:$T$6005,0)=ROW()-5,N($X5163)+1,N($X5163)))</f>
        <v/>
      </c>
      <c r="Z5164">
        <f>IF($V5164="","",IF($AA5164&gt;N($AA5163),$AA5164,""))</f>
        <v/>
      </c>
      <c r="AA5164">
        <f>IF($V5164="",N($AA5163),IF(MATCH($V5164,$V$6:$V$6005,0)=ROW()-5,N($AA5163)+1,N($AA5163)))</f>
        <v/>
      </c>
    </row>
    <row r="5165" ht="21" customHeight="1" s="66">
      <c r="A5165" s="56" t="n"/>
      <c r="B5165" s="57" t="n"/>
      <c r="C5165" s="57" t="n"/>
      <c r="D5165" s="57" t="n"/>
      <c r="E5165" s="56" t="n"/>
      <c r="F5165" s="57" t="n"/>
      <c r="G5165" s="57" t="n"/>
      <c r="H5165" s="56" t="n"/>
      <c r="I5165" s="56" t="n"/>
      <c r="J5165" s="58" t="n"/>
      <c r="K5165" s="58" t="n"/>
      <c r="L5165" s="13">
        <f>IF(OR($A5165="",AND($J5165="",$K5165="")),"",ROUND(N($J5165)-N($K5165),2))</f>
        <v/>
      </c>
      <c r="M5165" s="13">
        <f>IF(OR($A5165="",AND($J5165="",$K5165="")),"",MIN($J5165,$K5165))</f>
        <v/>
      </c>
      <c r="Q5165">
        <f>IF($A5165="","",$D5165&amp;"("&amp;SUBSTITUTE($E5165," ","")&amp;")")</f>
        <v/>
      </c>
      <c r="R5165">
        <f>IF($A5165="","",$B5165&amp;" - "&amp;$C5165)</f>
        <v/>
      </c>
      <c r="S5165">
        <f>IF($A5165="","",$R5165&amp;"|"&amp;$Q5165)</f>
        <v/>
      </c>
      <c r="T5165">
        <f>IF($A5165="","",$S5165&amp;"|"&amp;$F5165)</f>
        <v/>
      </c>
      <c r="U5165">
        <f>IF($A5165="","",$R5165&amp;"("&amp;$E5165&amp;")")</f>
        <v/>
      </c>
      <c r="V5165">
        <f>IF($A5165="","",$F5165&amp;"|"&amp;$U5165&amp;"|"&amp;$D5165)</f>
        <v/>
      </c>
      <c r="W5165">
        <f>IF($T5165="","",IF($X5165&gt;N($X5164),$X5165,""))</f>
        <v/>
      </c>
      <c r="X5165">
        <f>IF($T5165="",N($X5164),IF(MATCH($T5165,$T$6:$T$6005,0)=ROW()-5,N($X5164)+1,N($X5164)))</f>
        <v/>
      </c>
      <c r="Z5165">
        <f>IF($V5165="","",IF($AA5165&gt;N($AA5164),$AA5165,""))</f>
        <v/>
      </c>
      <c r="AA5165">
        <f>IF($V5165="",N($AA5164),IF(MATCH($V5165,$V$6:$V$6005,0)=ROW()-5,N($AA5164)+1,N($AA5164)))</f>
        <v/>
      </c>
    </row>
    <row r="5166" ht="21" customHeight="1" s="66">
      <c r="A5166" s="56" t="n"/>
      <c r="B5166" s="57" t="n"/>
      <c r="C5166" s="57" t="n"/>
      <c r="D5166" s="57" t="n"/>
      <c r="E5166" s="56" t="n"/>
      <c r="F5166" s="57" t="n"/>
      <c r="G5166" s="57" t="n"/>
      <c r="H5166" s="56" t="n"/>
      <c r="I5166" s="56" t="n"/>
      <c r="J5166" s="58" t="n"/>
      <c r="K5166" s="58" t="n"/>
      <c r="L5166" s="13">
        <f>IF(OR($A5166="",AND($J5166="",$K5166="")),"",ROUND(N($J5166)-N($K5166),2))</f>
        <v/>
      </c>
      <c r="M5166" s="13">
        <f>IF(OR($A5166="",AND($J5166="",$K5166="")),"",MIN($J5166,$K5166))</f>
        <v/>
      </c>
      <c r="Q5166">
        <f>IF($A5166="","",$D5166&amp;"("&amp;SUBSTITUTE($E5166," ","")&amp;")")</f>
        <v/>
      </c>
      <c r="R5166">
        <f>IF($A5166="","",$B5166&amp;" - "&amp;$C5166)</f>
        <v/>
      </c>
      <c r="S5166">
        <f>IF($A5166="","",$R5166&amp;"|"&amp;$Q5166)</f>
        <v/>
      </c>
      <c r="T5166">
        <f>IF($A5166="","",$S5166&amp;"|"&amp;$F5166)</f>
        <v/>
      </c>
      <c r="U5166">
        <f>IF($A5166="","",$R5166&amp;"("&amp;$E5166&amp;")")</f>
        <v/>
      </c>
      <c r="V5166">
        <f>IF($A5166="","",$F5166&amp;"|"&amp;$U5166&amp;"|"&amp;$D5166)</f>
        <v/>
      </c>
      <c r="W5166">
        <f>IF($T5166="","",IF($X5166&gt;N($X5165),$X5166,""))</f>
        <v/>
      </c>
      <c r="X5166">
        <f>IF($T5166="",N($X5165),IF(MATCH($T5166,$T$6:$T$6005,0)=ROW()-5,N($X5165)+1,N($X5165)))</f>
        <v/>
      </c>
      <c r="Z5166">
        <f>IF($V5166="","",IF($AA5166&gt;N($AA5165),$AA5166,""))</f>
        <v/>
      </c>
      <c r="AA5166">
        <f>IF($V5166="",N($AA5165),IF(MATCH($V5166,$V$6:$V$6005,0)=ROW()-5,N($AA5165)+1,N($AA5165)))</f>
        <v/>
      </c>
    </row>
    <row r="5167" ht="21" customHeight="1" s="66">
      <c r="A5167" s="56" t="n"/>
      <c r="B5167" s="57" t="n"/>
      <c r="C5167" s="57" t="n"/>
      <c r="D5167" s="57" t="n"/>
      <c r="E5167" s="56" t="n"/>
      <c r="F5167" s="57" t="n"/>
      <c r="G5167" s="57" t="n"/>
      <c r="H5167" s="56" t="n"/>
      <c r="I5167" s="56" t="n"/>
      <c r="J5167" s="58" t="n"/>
      <c r="K5167" s="58" t="n"/>
      <c r="L5167" s="13">
        <f>IF(OR($A5167="",AND($J5167="",$K5167="")),"",ROUND(N($J5167)-N($K5167),2))</f>
        <v/>
      </c>
      <c r="M5167" s="13">
        <f>IF(OR($A5167="",AND($J5167="",$K5167="")),"",MIN($J5167,$K5167))</f>
        <v/>
      </c>
      <c r="Q5167">
        <f>IF($A5167="","",$D5167&amp;"("&amp;SUBSTITUTE($E5167," ","")&amp;")")</f>
        <v/>
      </c>
      <c r="R5167">
        <f>IF($A5167="","",$B5167&amp;" - "&amp;$C5167)</f>
        <v/>
      </c>
      <c r="S5167">
        <f>IF($A5167="","",$R5167&amp;"|"&amp;$Q5167)</f>
        <v/>
      </c>
      <c r="T5167">
        <f>IF($A5167="","",$S5167&amp;"|"&amp;$F5167)</f>
        <v/>
      </c>
      <c r="U5167">
        <f>IF($A5167="","",$R5167&amp;"("&amp;$E5167&amp;")")</f>
        <v/>
      </c>
      <c r="V5167">
        <f>IF($A5167="","",$F5167&amp;"|"&amp;$U5167&amp;"|"&amp;$D5167)</f>
        <v/>
      </c>
      <c r="W5167">
        <f>IF($T5167="","",IF($X5167&gt;N($X5166),$X5167,""))</f>
        <v/>
      </c>
      <c r="X5167">
        <f>IF($T5167="",N($X5166),IF(MATCH($T5167,$T$6:$T$6005,0)=ROW()-5,N($X5166)+1,N($X5166)))</f>
        <v/>
      </c>
      <c r="Z5167">
        <f>IF($V5167="","",IF($AA5167&gt;N($AA5166),$AA5167,""))</f>
        <v/>
      </c>
      <c r="AA5167">
        <f>IF($V5167="",N($AA5166),IF(MATCH($V5167,$V$6:$V$6005,0)=ROW()-5,N($AA5166)+1,N($AA5166)))</f>
        <v/>
      </c>
    </row>
    <row r="5168" ht="21" customHeight="1" s="66">
      <c r="A5168" s="56" t="n"/>
      <c r="B5168" s="57" t="n"/>
      <c r="C5168" s="57" t="n"/>
      <c r="D5168" s="57" t="n"/>
      <c r="E5168" s="56" t="n"/>
      <c r="F5168" s="57" t="n"/>
      <c r="G5168" s="57" t="n"/>
      <c r="H5168" s="56" t="n"/>
      <c r="I5168" s="56" t="n"/>
      <c r="J5168" s="58" t="n"/>
      <c r="K5168" s="58" t="n"/>
      <c r="L5168" s="13">
        <f>IF(OR($A5168="",AND($J5168="",$K5168="")),"",ROUND(N($J5168)-N($K5168),2))</f>
        <v/>
      </c>
      <c r="M5168" s="13">
        <f>IF(OR($A5168="",AND($J5168="",$K5168="")),"",MIN($J5168,$K5168))</f>
        <v/>
      </c>
      <c r="Q5168">
        <f>IF($A5168="","",$D5168&amp;"("&amp;SUBSTITUTE($E5168," ","")&amp;")")</f>
        <v/>
      </c>
      <c r="R5168">
        <f>IF($A5168="","",$B5168&amp;" - "&amp;$C5168)</f>
        <v/>
      </c>
      <c r="S5168">
        <f>IF($A5168="","",$R5168&amp;"|"&amp;$Q5168)</f>
        <v/>
      </c>
      <c r="T5168">
        <f>IF($A5168="","",$S5168&amp;"|"&amp;$F5168)</f>
        <v/>
      </c>
      <c r="U5168">
        <f>IF($A5168="","",$R5168&amp;"("&amp;$E5168&amp;")")</f>
        <v/>
      </c>
      <c r="V5168">
        <f>IF($A5168="","",$F5168&amp;"|"&amp;$U5168&amp;"|"&amp;$D5168)</f>
        <v/>
      </c>
      <c r="W5168">
        <f>IF($T5168="","",IF($X5168&gt;N($X5167),$X5168,""))</f>
        <v/>
      </c>
      <c r="X5168">
        <f>IF($T5168="",N($X5167),IF(MATCH($T5168,$T$6:$T$6005,0)=ROW()-5,N($X5167)+1,N($X5167)))</f>
        <v/>
      </c>
      <c r="Z5168">
        <f>IF($V5168="","",IF($AA5168&gt;N($AA5167),$AA5168,""))</f>
        <v/>
      </c>
      <c r="AA5168">
        <f>IF($V5168="",N($AA5167),IF(MATCH($V5168,$V$6:$V$6005,0)=ROW()-5,N($AA5167)+1,N($AA5167)))</f>
        <v/>
      </c>
    </row>
    <row r="5169" ht="21" customHeight="1" s="66">
      <c r="A5169" s="56" t="n"/>
      <c r="B5169" s="57" t="n"/>
      <c r="C5169" s="57" t="n"/>
      <c r="D5169" s="57" t="n"/>
      <c r="E5169" s="56" t="n"/>
      <c r="F5169" s="57" t="n"/>
      <c r="G5169" s="57" t="n"/>
      <c r="H5169" s="56" t="n"/>
      <c r="I5169" s="56" t="n"/>
      <c r="J5169" s="58" t="n"/>
      <c r="K5169" s="58" t="n"/>
      <c r="L5169" s="13">
        <f>IF(OR($A5169="",AND($J5169="",$K5169="")),"",ROUND(N($J5169)-N($K5169),2))</f>
        <v/>
      </c>
      <c r="M5169" s="13">
        <f>IF(OR($A5169="",AND($J5169="",$K5169="")),"",MIN($J5169,$K5169))</f>
        <v/>
      </c>
      <c r="Q5169">
        <f>IF($A5169="","",$D5169&amp;"("&amp;SUBSTITUTE($E5169," ","")&amp;")")</f>
        <v/>
      </c>
      <c r="R5169">
        <f>IF($A5169="","",$B5169&amp;" - "&amp;$C5169)</f>
        <v/>
      </c>
      <c r="S5169">
        <f>IF($A5169="","",$R5169&amp;"|"&amp;$Q5169)</f>
        <v/>
      </c>
      <c r="T5169">
        <f>IF($A5169="","",$S5169&amp;"|"&amp;$F5169)</f>
        <v/>
      </c>
      <c r="U5169">
        <f>IF($A5169="","",$R5169&amp;"("&amp;$E5169&amp;")")</f>
        <v/>
      </c>
      <c r="V5169">
        <f>IF($A5169="","",$F5169&amp;"|"&amp;$U5169&amp;"|"&amp;$D5169)</f>
        <v/>
      </c>
      <c r="W5169">
        <f>IF($T5169="","",IF($X5169&gt;N($X5168),$X5169,""))</f>
        <v/>
      </c>
      <c r="X5169">
        <f>IF($T5169="",N($X5168),IF(MATCH($T5169,$T$6:$T$6005,0)=ROW()-5,N($X5168)+1,N($X5168)))</f>
        <v/>
      </c>
      <c r="Z5169">
        <f>IF($V5169="","",IF($AA5169&gt;N($AA5168),$AA5169,""))</f>
        <v/>
      </c>
      <c r="AA5169">
        <f>IF($V5169="",N($AA5168),IF(MATCH($V5169,$V$6:$V$6005,0)=ROW()-5,N($AA5168)+1,N($AA5168)))</f>
        <v/>
      </c>
    </row>
    <row r="5170" ht="21" customHeight="1" s="66">
      <c r="A5170" s="56" t="n"/>
      <c r="B5170" s="57" t="n"/>
      <c r="C5170" s="57" t="n"/>
      <c r="D5170" s="57" t="n"/>
      <c r="E5170" s="56" t="n"/>
      <c r="F5170" s="57" t="n"/>
      <c r="G5170" s="57" t="n"/>
      <c r="H5170" s="56" t="n"/>
      <c r="I5170" s="56" t="n"/>
      <c r="J5170" s="58" t="n"/>
      <c r="K5170" s="58" t="n"/>
      <c r="L5170" s="13">
        <f>IF(OR($A5170="",AND($J5170="",$K5170="")),"",ROUND(N($J5170)-N($K5170),2))</f>
        <v/>
      </c>
      <c r="M5170" s="13">
        <f>IF(OR($A5170="",AND($J5170="",$K5170="")),"",MIN($J5170,$K5170))</f>
        <v/>
      </c>
      <c r="Q5170">
        <f>IF($A5170="","",$D5170&amp;"("&amp;SUBSTITUTE($E5170," ","")&amp;")")</f>
        <v/>
      </c>
      <c r="R5170">
        <f>IF($A5170="","",$B5170&amp;" - "&amp;$C5170)</f>
        <v/>
      </c>
      <c r="S5170">
        <f>IF($A5170="","",$R5170&amp;"|"&amp;$Q5170)</f>
        <v/>
      </c>
      <c r="T5170">
        <f>IF($A5170="","",$S5170&amp;"|"&amp;$F5170)</f>
        <v/>
      </c>
      <c r="U5170">
        <f>IF($A5170="","",$R5170&amp;"("&amp;$E5170&amp;")")</f>
        <v/>
      </c>
      <c r="V5170">
        <f>IF($A5170="","",$F5170&amp;"|"&amp;$U5170&amp;"|"&amp;$D5170)</f>
        <v/>
      </c>
      <c r="W5170">
        <f>IF($T5170="","",IF($X5170&gt;N($X5169),$X5170,""))</f>
        <v/>
      </c>
      <c r="X5170">
        <f>IF($T5170="",N($X5169),IF(MATCH($T5170,$T$6:$T$6005,0)=ROW()-5,N($X5169)+1,N($X5169)))</f>
        <v/>
      </c>
      <c r="Z5170">
        <f>IF($V5170="","",IF($AA5170&gt;N($AA5169),$AA5170,""))</f>
        <v/>
      </c>
      <c r="AA5170">
        <f>IF($V5170="",N($AA5169),IF(MATCH($V5170,$V$6:$V$6005,0)=ROW()-5,N($AA5169)+1,N($AA5169)))</f>
        <v/>
      </c>
    </row>
    <row r="5171" ht="21" customHeight="1" s="66">
      <c r="A5171" s="56" t="n"/>
      <c r="B5171" s="57" t="n"/>
      <c r="C5171" s="57" t="n"/>
      <c r="D5171" s="57" t="n"/>
      <c r="E5171" s="56" t="n"/>
      <c r="F5171" s="57" t="n"/>
      <c r="G5171" s="57" t="n"/>
      <c r="H5171" s="56" t="n"/>
      <c r="I5171" s="56" t="n"/>
      <c r="J5171" s="58" t="n"/>
      <c r="K5171" s="58" t="n"/>
      <c r="L5171" s="13">
        <f>IF(OR($A5171="",AND($J5171="",$K5171="")),"",ROUND(N($J5171)-N($K5171),2))</f>
        <v/>
      </c>
      <c r="M5171" s="13">
        <f>IF(OR($A5171="",AND($J5171="",$K5171="")),"",MIN($J5171,$K5171))</f>
        <v/>
      </c>
      <c r="Q5171">
        <f>IF($A5171="","",$D5171&amp;"("&amp;SUBSTITUTE($E5171," ","")&amp;")")</f>
        <v/>
      </c>
      <c r="R5171">
        <f>IF($A5171="","",$B5171&amp;" - "&amp;$C5171)</f>
        <v/>
      </c>
      <c r="S5171">
        <f>IF($A5171="","",$R5171&amp;"|"&amp;$Q5171)</f>
        <v/>
      </c>
      <c r="T5171">
        <f>IF($A5171="","",$S5171&amp;"|"&amp;$F5171)</f>
        <v/>
      </c>
      <c r="U5171">
        <f>IF($A5171="","",$R5171&amp;"("&amp;$E5171&amp;")")</f>
        <v/>
      </c>
      <c r="V5171">
        <f>IF($A5171="","",$F5171&amp;"|"&amp;$U5171&amp;"|"&amp;$D5171)</f>
        <v/>
      </c>
      <c r="W5171">
        <f>IF($T5171="","",IF($X5171&gt;N($X5170),$X5171,""))</f>
        <v/>
      </c>
      <c r="X5171">
        <f>IF($T5171="",N($X5170),IF(MATCH($T5171,$T$6:$T$6005,0)=ROW()-5,N($X5170)+1,N($X5170)))</f>
        <v/>
      </c>
      <c r="Z5171">
        <f>IF($V5171="","",IF($AA5171&gt;N($AA5170),$AA5171,""))</f>
        <v/>
      </c>
      <c r="AA5171">
        <f>IF($V5171="",N($AA5170),IF(MATCH($V5171,$V$6:$V$6005,0)=ROW()-5,N($AA5170)+1,N($AA5170)))</f>
        <v/>
      </c>
    </row>
    <row r="5172" ht="21" customHeight="1" s="66">
      <c r="A5172" s="56" t="n"/>
      <c r="B5172" s="57" t="n"/>
      <c r="C5172" s="57" t="n"/>
      <c r="D5172" s="57" t="n"/>
      <c r="E5172" s="56" t="n"/>
      <c r="F5172" s="57" t="n"/>
      <c r="G5172" s="57" t="n"/>
      <c r="H5172" s="56" t="n"/>
      <c r="I5172" s="56" t="n"/>
      <c r="J5172" s="58" t="n"/>
      <c r="K5172" s="58" t="n"/>
      <c r="L5172" s="13">
        <f>IF(OR($A5172="",AND($J5172="",$K5172="")),"",ROUND(N($J5172)-N($K5172),2))</f>
        <v/>
      </c>
      <c r="M5172" s="13">
        <f>IF(OR($A5172="",AND($J5172="",$K5172="")),"",MIN($J5172,$K5172))</f>
        <v/>
      </c>
      <c r="Q5172">
        <f>IF($A5172="","",$D5172&amp;"("&amp;SUBSTITUTE($E5172," ","")&amp;")")</f>
        <v/>
      </c>
      <c r="R5172">
        <f>IF($A5172="","",$B5172&amp;" - "&amp;$C5172)</f>
        <v/>
      </c>
      <c r="S5172">
        <f>IF($A5172="","",$R5172&amp;"|"&amp;$Q5172)</f>
        <v/>
      </c>
      <c r="T5172">
        <f>IF($A5172="","",$S5172&amp;"|"&amp;$F5172)</f>
        <v/>
      </c>
      <c r="U5172">
        <f>IF($A5172="","",$R5172&amp;"("&amp;$E5172&amp;")")</f>
        <v/>
      </c>
      <c r="V5172">
        <f>IF($A5172="","",$F5172&amp;"|"&amp;$U5172&amp;"|"&amp;$D5172)</f>
        <v/>
      </c>
      <c r="W5172">
        <f>IF($T5172="","",IF($X5172&gt;N($X5171),$X5172,""))</f>
        <v/>
      </c>
      <c r="X5172">
        <f>IF($T5172="",N($X5171),IF(MATCH($T5172,$T$6:$T$6005,0)=ROW()-5,N($X5171)+1,N($X5171)))</f>
        <v/>
      </c>
      <c r="Z5172">
        <f>IF($V5172="","",IF($AA5172&gt;N($AA5171),$AA5172,""))</f>
        <v/>
      </c>
      <c r="AA5172">
        <f>IF($V5172="",N($AA5171),IF(MATCH($V5172,$V$6:$V$6005,0)=ROW()-5,N($AA5171)+1,N($AA5171)))</f>
        <v/>
      </c>
    </row>
    <row r="5173" ht="21" customHeight="1" s="66">
      <c r="A5173" s="56" t="n"/>
      <c r="B5173" s="57" t="n"/>
      <c r="C5173" s="57" t="n"/>
      <c r="D5173" s="57" t="n"/>
      <c r="E5173" s="56" t="n"/>
      <c r="F5173" s="57" t="n"/>
      <c r="G5173" s="57" t="n"/>
      <c r="H5173" s="56" t="n"/>
      <c r="I5173" s="56" t="n"/>
      <c r="J5173" s="58" t="n"/>
      <c r="K5173" s="58" t="n"/>
      <c r="L5173" s="13">
        <f>IF(OR($A5173="",AND($J5173="",$K5173="")),"",ROUND(N($J5173)-N($K5173),2))</f>
        <v/>
      </c>
      <c r="M5173" s="13">
        <f>IF(OR($A5173="",AND($J5173="",$K5173="")),"",MIN($J5173,$K5173))</f>
        <v/>
      </c>
      <c r="Q5173">
        <f>IF($A5173="","",$D5173&amp;"("&amp;SUBSTITUTE($E5173," ","")&amp;")")</f>
        <v/>
      </c>
      <c r="R5173">
        <f>IF($A5173="","",$B5173&amp;" - "&amp;$C5173)</f>
        <v/>
      </c>
      <c r="S5173">
        <f>IF($A5173="","",$R5173&amp;"|"&amp;$Q5173)</f>
        <v/>
      </c>
      <c r="T5173">
        <f>IF($A5173="","",$S5173&amp;"|"&amp;$F5173)</f>
        <v/>
      </c>
      <c r="U5173">
        <f>IF($A5173="","",$R5173&amp;"("&amp;$E5173&amp;")")</f>
        <v/>
      </c>
      <c r="V5173">
        <f>IF($A5173="","",$F5173&amp;"|"&amp;$U5173&amp;"|"&amp;$D5173)</f>
        <v/>
      </c>
      <c r="W5173">
        <f>IF($T5173="","",IF($X5173&gt;N($X5172),$X5173,""))</f>
        <v/>
      </c>
      <c r="X5173">
        <f>IF($T5173="",N($X5172),IF(MATCH($T5173,$T$6:$T$6005,0)=ROW()-5,N($X5172)+1,N($X5172)))</f>
        <v/>
      </c>
      <c r="Z5173">
        <f>IF($V5173="","",IF($AA5173&gt;N($AA5172),$AA5173,""))</f>
        <v/>
      </c>
      <c r="AA5173">
        <f>IF($V5173="",N($AA5172),IF(MATCH($V5173,$V$6:$V$6005,0)=ROW()-5,N($AA5172)+1,N($AA5172)))</f>
        <v/>
      </c>
    </row>
    <row r="5174" ht="21" customHeight="1" s="66">
      <c r="A5174" s="56" t="n"/>
      <c r="B5174" s="57" t="n"/>
      <c r="C5174" s="57" t="n"/>
      <c r="D5174" s="57" t="n"/>
      <c r="E5174" s="56" t="n"/>
      <c r="F5174" s="57" t="n"/>
      <c r="G5174" s="57" t="n"/>
      <c r="H5174" s="56" t="n"/>
      <c r="I5174" s="56" t="n"/>
      <c r="J5174" s="58" t="n"/>
      <c r="K5174" s="58" t="n"/>
      <c r="L5174" s="13">
        <f>IF(OR($A5174="",AND($J5174="",$K5174="")),"",ROUND(N($J5174)-N($K5174),2))</f>
        <v/>
      </c>
      <c r="M5174" s="13">
        <f>IF(OR($A5174="",AND($J5174="",$K5174="")),"",MIN($J5174,$K5174))</f>
        <v/>
      </c>
      <c r="Q5174">
        <f>IF($A5174="","",$D5174&amp;"("&amp;SUBSTITUTE($E5174," ","")&amp;")")</f>
        <v/>
      </c>
      <c r="R5174">
        <f>IF($A5174="","",$B5174&amp;" - "&amp;$C5174)</f>
        <v/>
      </c>
      <c r="S5174">
        <f>IF($A5174="","",$R5174&amp;"|"&amp;$Q5174)</f>
        <v/>
      </c>
      <c r="T5174">
        <f>IF($A5174="","",$S5174&amp;"|"&amp;$F5174)</f>
        <v/>
      </c>
      <c r="U5174">
        <f>IF($A5174="","",$R5174&amp;"("&amp;$E5174&amp;")")</f>
        <v/>
      </c>
      <c r="V5174">
        <f>IF($A5174="","",$F5174&amp;"|"&amp;$U5174&amp;"|"&amp;$D5174)</f>
        <v/>
      </c>
      <c r="W5174">
        <f>IF($T5174="","",IF($X5174&gt;N($X5173),$X5174,""))</f>
        <v/>
      </c>
      <c r="X5174">
        <f>IF($T5174="",N($X5173),IF(MATCH($T5174,$T$6:$T$6005,0)=ROW()-5,N($X5173)+1,N($X5173)))</f>
        <v/>
      </c>
      <c r="Z5174">
        <f>IF($V5174="","",IF($AA5174&gt;N($AA5173),$AA5174,""))</f>
        <v/>
      </c>
      <c r="AA5174">
        <f>IF($V5174="",N($AA5173),IF(MATCH($V5174,$V$6:$V$6005,0)=ROW()-5,N($AA5173)+1,N($AA5173)))</f>
        <v/>
      </c>
    </row>
    <row r="5175" ht="21" customHeight="1" s="66">
      <c r="A5175" s="56" t="n"/>
      <c r="B5175" s="57" t="n"/>
      <c r="C5175" s="57" t="n"/>
      <c r="D5175" s="57" t="n"/>
      <c r="E5175" s="56" t="n"/>
      <c r="F5175" s="57" t="n"/>
      <c r="G5175" s="57" t="n"/>
      <c r="H5175" s="56" t="n"/>
      <c r="I5175" s="56" t="n"/>
      <c r="J5175" s="58" t="n"/>
      <c r="K5175" s="58" t="n"/>
      <c r="L5175" s="13">
        <f>IF(OR($A5175="",AND($J5175="",$K5175="")),"",ROUND(N($J5175)-N($K5175),2))</f>
        <v/>
      </c>
      <c r="M5175" s="13">
        <f>IF(OR($A5175="",AND($J5175="",$K5175="")),"",MIN($J5175,$K5175))</f>
        <v/>
      </c>
      <c r="Q5175">
        <f>IF($A5175="","",$D5175&amp;"("&amp;SUBSTITUTE($E5175," ","")&amp;")")</f>
        <v/>
      </c>
      <c r="R5175">
        <f>IF($A5175="","",$B5175&amp;" - "&amp;$C5175)</f>
        <v/>
      </c>
      <c r="S5175">
        <f>IF($A5175="","",$R5175&amp;"|"&amp;$Q5175)</f>
        <v/>
      </c>
      <c r="T5175">
        <f>IF($A5175="","",$S5175&amp;"|"&amp;$F5175)</f>
        <v/>
      </c>
      <c r="U5175">
        <f>IF($A5175="","",$R5175&amp;"("&amp;$E5175&amp;")")</f>
        <v/>
      </c>
      <c r="V5175">
        <f>IF($A5175="","",$F5175&amp;"|"&amp;$U5175&amp;"|"&amp;$D5175)</f>
        <v/>
      </c>
      <c r="W5175">
        <f>IF($T5175="","",IF($X5175&gt;N($X5174),$X5175,""))</f>
        <v/>
      </c>
      <c r="X5175">
        <f>IF($T5175="",N($X5174),IF(MATCH($T5175,$T$6:$T$6005,0)=ROW()-5,N($X5174)+1,N($X5174)))</f>
        <v/>
      </c>
      <c r="Z5175">
        <f>IF($V5175="","",IF($AA5175&gt;N($AA5174),$AA5175,""))</f>
        <v/>
      </c>
      <c r="AA5175">
        <f>IF($V5175="",N($AA5174),IF(MATCH($V5175,$V$6:$V$6005,0)=ROW()-5,N($AA5174)+1,N($AA5174)))</f>
        <v/>
      </c>
    </row>
    <row r="5176" ht="21" customHeight="1" s="66">
      <c r="A5176" s="56" t="n"/>
      <c r="B5176" s="57" t="n"/>
      <c r="C5176" s="57" t="n"/>
      <c r="D5176" s="57" t="n"/>
      <c r="E5176" s="56" t="n"/>
      <c r="F5176" s="57" t="n"/>
      <c r="G5176" s="57" t="n"/>
      <c r="H5176" s="56" t="n"/>
      <c r="I5176" s="56" t="n"/>
      <c r="J5176" s="58" t="n"/>
      <c r="K5176" s="58" t="n"/>
      <c r="L5176" s="13">
        <f>IF(OR($A5176="",AND($J5176="",$K5176="")),"",ROUND(N($J5176)-N($K5176),2))</f>
        <v/>
      </c>
      <c r="M5176" s="13">
        <f>IF(OR($A5176="",AND($J5176="",$K5176="")),"",MIN($J5176,$K5176))</f>
        <v/>
      </c>
      <c r="Q5176">
        <f>IF($A5176="","",$D5176&amp;"("&amp;SUBSTITUTE($E5176," ","")&amp;")")</f>
        <v/>
      </c>
      <c r="R5176">
        <f>IF($A5176="","",$B5176&amp;" - "&amp;$C5176)</f>
        <v/>
      </c>
      <c r="S5176">
        <f>IF($A5176="","",$R5176&amp;"|"&amp;$Q5176)</f>
        <v/>
      </c>
      <c r="T5176">
        <f>IF($A5176="","",$S5176&amp;"|"&amp;$F5176)</f>
        <v/>
      </c>
      <c r="U5176">
        <f>IF($A5176="","",$R5176&amp;"("&amp;$E5176&amp;")")</f>
        <v/>
      </c>
      <c r="V5176">
        <f>IF($A5176="","",$F5176&amp;"|"&amp;$U5176&amp;"|"&amp;$D5176)</f>
        <v/>
      </c>
      <c r="W5176">
        <f>IF($T5176="","",IF($X5176&gt;N($X5175),$X5176,""))</f>
        <v/>
      </c>
      <c r="X5176">
        <f>IF($T5176="",N($X5175),IF(MATCH($T5176,$T$6:$T$6005,0)=ROW()-5,N($X5175)+1,N($X5175)))</f>
        <v/>
      </c>
      <c r="Z5176">
        <f>IF($V5176="","",IF($AA5176&gt;N($AA5175),$AA5176,""))</f>
        <v/>
      </c>
      <c r="AA5176">
        <f>IF($V5176="",N($AA5175),IF(MATCH($V5176,$V$6:$V$6005,0)=ROW()-5,N($AA5175)+1,N($AA5175)))</f>
        <v/>
      </c>
    </row>
    <row r="5177" ht="21" customHeight="1" s="66">
      <c r="A5177" s="56" t="n"/>
      <c r="B5177" s="57" t="n"/>
      <c r="C5177" s="57" t="n"/>
      <c r="D5177" s="57" t="n"/>
      <c r="E5177" s="56" t="n"/>
      <c r="F5177" s="57" t="n"/>
      <c r="G5177" s="57" t="n"/>
      <c r="H5177" s="56" t="n"/>
      <c r="I5177" s="56" t="n"/>
      <c r="J5177" s="58" t="n"/>
      <c r="K5177" s="58" t="n"/>
      <c r="L5177" s="13">
        <f>IF(OR($A5177="",AND($J5177="",$K5177="")),"",ROUND(N($J5177)-N($K5177),2))</f>
        <v/>
      </c>
      <c r="M5177" s="13">
        <f>IF(OR($A5177="",AND($J5177="",$K5177="")),"",MIN($J5177,$K5177))</f>
        <v/>
      </c>
      <c r="Q5177">
        <f>IF($A5177="","",$D5177&amp;"("&amp;SUBSTITUTE($E5177," ","")&amp;")")</f>
        <v/>
      </c>
      <c r="R5177">
        <f>IF($A5177="","",$B5177&amp;" - "&amp;$C5177)</f>
        <v/>
      </c>
      <c r="S5177">
        <f>IF($A5177="","",$R5177&amp;"|"&amp;$Q5177)</f>
        <v/>
      </c>
      <c r="T5177">
        <f>IF($A5177="","",$S5177&amp;"|"&amp;$F5177)</f>
        <v/>
      </c>
      <c r="U5177">
        <f>IF($A5177="","",$R5177&amp;"("&amp;$E5177&amp;")")</f>
        <v/>
      </c>
      <c r="V5177">
        <f>IF($A5177="","",$F5177&amp;"|"&amp;$U5177&amp;"|"&amp;$D5177)</f>
        <v/>
      </c>
      <c r="W5177">
        <f>IF($T5177="","",IF($X5177&gt;N($X5176),$X5177,""))</f>
        <v/>
      </c>
      <c r="X5177">
        <f>IF($T5177="",N($X5176),IF(MATCH($T5177,$T$6:$T$6005,0)=ROW()-5,N($X5176)+1,N($X5176)))</f>
        <v/>
      </c>
      <c r="Z5177">
        <f>IF($V5177="","",IF($AA5177&gt;N($AA5176),$AA5177,""))</f>
        <v/>
      </c>
      <c r="AA5177">
        <f>IF($V5177="",N($AA5176),IF(MATCH($V5177,$V$6:$V$6005,0)=ROW()-5,N($AA5176)+1,N($AA5176)))</f>
        <v/>
      </c>
    </row>
    <row r="5178" ht="21" customHeight="1" s="66">
      <c r="A5178" s="56" t="n"/>
      <c r="B5178" s="57" t="n"/>
      <c r="C5178" s="57" t="n"/>
      <c r="D5178" s="57" t="n"/>
      <c r="E5178" s="56" t="n"/>
      <c r="F5178" s="57" t="n"/>
      <c r="G5178" s="57" t="n"/>
      <c r="H5178" s="56" t="n"/>
      <c r="I5178" s="56" t="n"/>
      <c r="J5178" s="58" t="n"/>
      <c r="K5178" s="58" t="n"/>
      <c r="L5178" s="13">
        <f>IF(OR($A5178="",AND($J5178="",$K5178="")),"",ROUND(N($J5178)-N($K5178),2))</f>
        <v/>
      </c>
      <c r="M5178" s="13">
        <f>IF(OR($A5178="",AND($J5178="",$K5178="")),"",MIN($J5178,$K5178))</f>
        <v/>
      </c>
      <c r="Q5178">
        <f>IF($A5178="","",$D5178&amp;"("&amp;SUBSTITUTE($E5178," ","")&amp;")")</f>
        <v/>
      </c>
      <c r="R5178">
        <f>IF($A5178="","",$B5178&amp;" - "&amp;$C5178)</f>
        <v/>
      </c>
      <c r="S5178">
        <f>IF($A5178="","",$R5178&amp;"|"&amp;$Q5178)</f>
        <v/>
      </c>
      <c r="T5178">
        <f>IF($A5178="","",$S5178&amp;"|"&amp;$F5178)</f>
        <v/>
      </c>
      <c r="U5178">
        <f>IF($A5178="","",$R5178&amp;"("&amp;$E5178&amp;")")</f>
        <v/>
      </c>
      <c r="V5178">
        <f>IF($A5178="","",$F5178&amp;"|"&amp;$U5178&amp;"|"&amp;$D5178)</f>
        <v/>
      </c>
      <c r="W5178">
        <f>IF($T5178="","",IF($X5178&gt;N($X5177),$X5178,""))</f>
        <v/>
      </c>
      <c r="X5178">
        <f>IF($T5178="",N($X5177),IF(MATCH($T5178,$T$6:$T$6005,0)=ROW()-5,N($X5177)+1,N($X5177)))</f>
        <v/>
      </c>
      <c r="Z5178">
        <f>IF($V5178="","",IF($AA5178&gt;N($AA5177),$AA5178,""))</f>
        <v/>
      </c>
      <c r="AA5178">
        <f>IF($V5178="",N($AA5177),IF(MATCH($V5178,$V$6:$V$6005,0)=ROW()-5,N($AA5177)+1,N($AA5177)))</f>
        <v/>
      </c>
    </row>
    <row r="5179" ht="21" customHeight="1" s="66">
      <c r="A5179" s="56" t="n"/>
      <c r="B5179" s="57" t="n"/>
      <c r="C5179" s="57" t="n"/>
      <c r="D5179" s="57" t="n"/>
      <c r="E5179" s="56" t="n"/>
      <c r="F5179" s="57" t="n"/>
      <c r="G5179" s="57" t="n"/>
      <c r="H5179" s="56" t="n"/>
      <c r="I5179" s="56" t="n"/>
      <c r="J5179" s="58" t="n"/>
      <c r="K5179" s="58" t="n"/>
      <c r="L5179" s="13">
        <f>IF(OR($A5179="",AND($J5179="",$K5179="")),"",ROUND(N($J5179)-N($K5179),2))</f>
        <v/>
      </c>
      <c r="M5179" s="13">
        <f>IF(OR($A5179="",AND($J5179="",$K5179="")),"",MIN($J5179,$K5179))</f>
        <v/>
      </c>
      <c r="Q5179">
        <f>IF($A5179="","",$D5179&amp;"("&amp;SUBSTITUTE($E5179," ","")&amp;")")</f>
        <v/>
      </c>
      <c r="R5179">
        <f>IF($A5179="","",$B5179&amp;" - "&amp;$C5179)</f>
        <v/>
      </c>
      <c r="S5179">
        <f>IF($A5179="","",$R5179&amp;"|"&amp;$Q5179)</f>
        <v/>
      </c>
      <c r="T5179">
        <f>IF($A5179="","",$S5179&amp;"|"&amp;$F5179)</f>
        <v/>
      </c>
      <c r="U5179">
        <f>IF($A5179="","",$R5179&amp;"("&amp;$E5179&amp;")")</f>
        <v/>
      </c>
      <c r="V5179">
        <f>IF($A5179="","",$F5179&amp;"|"&amp;$U5179&amp;"|"&amp;$D5179)</f>
        <v/>
      </c>
      <c r="W5179">
        <f>IF($T5179="","",IF($X5179&gt;N($X5178),$X5179,""))</f>
        <v/>
      </c>
      <c r="X5179">
        <f>IF($T5179="",N($X5178),IF(MATCH($T5179,$T$6:$T$6005,0)=ROW()-5,N($X5178)+1,N($X5178)))</f>
        <v/>
      </c>
      <c r="Z5179">
        <f>IF($V5179="","",IF($AA5179&gt;N($AA5178),$AA5179,""))</f>
        <v/>
      </c>
      <c r="AA5179">
        <f>IF($V5179="",N($AA5178),IF(MATCH($V5179,$V$6:$V$6005,0)=ROW()-5,N($AA5178)+1,N($AA5178)))</f>
        <v/>
      </c>
    </row>
    <row r="5180" ht="21" customHeight="1" s="66">
      <c r="A5180" s="56" t="n"/>
      <c r="B5180" s="57" t="n"/>
      <c r="C5180" s="57" t="n"/>
      <c r="D5180" s="57" t="n"/>
      <c r="E5180" s="56" t="n"/>
      <c r="F5180" s="57" t="n"/>
      <c r="G5180" s="57" t="n"/>
      <c r="H5180" s="56" t="n"/>
      <c r="I5180" s="56" t="n"/>
      <c r="J5180" s="58" t="n"/>
      <c r="K5180" s="58" t="n"/>
      <c r="L5180" s="13">
        <f>IF(OR($A5180="",AND($J5180="",$K5180="")),"",ROUND(N($J5180)-N($K5180),2))</f>
        <v/>
      </c>
      <c r="M5180" s="13">
        <f>IF(OR($A5180="",AND($J5180="",$K5180="")),"",MIN($J5180,$K5180))</f>
        <v/>
      </c>
      <c r="Q5180">
        <f>IF($A5180="","",$D5180&amp;"("&amp;SUBSTITUTE($E5180," ","")&amp;")")</f>
        <v/>
      </c>
      <c r="R5180">
        <f>IF($A5180="","",$B5180&amp;" - "&amp;$C5180)</f>
        <v/>
      </c>
      <c r="S5180">
        <f>IF($A5180="","",$R5180&amp;"|"&amp;$Q5180)</f>
        <v/>
      </c>
      <c r="T5180">
        <f>IF($A5180="","",$S5180&amp;"|"&amp;$F5180)</f>
        <v/>
      </c>
      <c r="U5180">
        <f>IF($A5180="","",$R5180&amp;"("&amp;$E5180&amp;")")</f>
        <v/>
      </c>
      <c r="V5180">
        <f>IF($A5180="","",$F5180&amp;"|"&amp;$U5180&amp;"|"&amp;$D5180)</f>
        <v/>
      </c>
      <c r="W5180">
        <f>IF($T5180="","",IF($X5180&gt;N($X5179),$X5180,""))</f>
        <v/>
      </c>
      <c r="X5180">
        <f>IF($T5180="",N($X5179),IF(MATCH($T5180,$T$6:$T$6005,0)=ROW()-5,N($X5179)+1,N($X5179)))</f>
        <v/>
      </c>
      <c r="Z5180">
        <f>IF($V5180="","",IF($AA5180&gt;N($AA5179),$AA5180,""))</f>
        <v/>
      </c>
      <c r="AA5180">
        <f>IF($V5180="",N($AA5179),IF(MATCH($V5180,$V$6:$V$6005,0)=ROW()-5,N($AA5179)+1,N($AA5179)))</f>
        <v/>
      </c>
    </row>
    <row r="5181" ht="21" customHeight="1" s="66">
      <c r="A5181" s="56" t="n"/>
      <c r="B5181" s="57" t="n"/>
      <c r="C5181" s="57" t="n"/>
      <c r="D5181" s="57" t="n"/>
      <c r="E5181" s="56" t="n"/>
      <c r="F5181" s="57" t="n"/>
      <c r="G5181" s="57" t="n"/>
      <c r="H5181" s="56" t="n"/>
      <c r="I5181" s="56" t="n"/>
      <c r="J5181" s="58" t="n"/>
      <c r="K5181" s="58" t="n"/>
      <c r="L5181" s="13">
        <f>IF(OR($A5181="",AND($J5181="",$K5181="")),"",ROUND(N($J5181)-N($K5181),2))</f>
        <v/>
      </c>
      <c r="M5181" s="13">
        <f>IF(OR($A5181="",AND($J5181="",$K5181="")),"",MIN($J5181,$K5181))</f>
        <v/>
      </c>
      <c r="Q5181">
        <f>IF($A5181="","",$D5181&amp;"("&amp;SUBSTITUTE($E5181," ","")&amp;")")</f>
        <v/>
      </c>
      <c r="R5181">
        <f>IF($A5181="","",$B5181&amp;" - "&amp;$C5181)</f>
        <v/>
      </c>
      <c r="S5181">
        <f>IF($A5181="","",$R5181&amp;"|"&amp;$Q5181)</f>
        <v/>
      </c>
      <c r="T5181">
        <f>IF($A5181="","",$S5181&amp;"|"&amp;$F5181)</f>
        <v/>
      </c>
      <c r="U5181">
        <f>IF($A5181="","",$R5181&amp;"("&amp;$E5181&amp;")")</f>
        <v/>
      </c>
      <c r="V5181">
        <f>IF($A5181="","",$F5181&amp;"|"&amp;$U5181&amp;"|"&amp;$D5181)</f>
        <v/>
      </c>
      <c r="W5181">
        <f>IF($T5181="","",IF($X5181&gt;N($X5180),$X5181,""))</f>
        <v/>
      </c>
      <c r="X5181">
        <f>IF($T5181="",N($X5180),IF(MATCH($T5181,$T$6:$T$6005,0)=ROW()-5,N($X5180)+1,N($X5180)))</f>
        <v/>
      </c>
      <c r="Z5181">
        <f>IF($V5181="","",IF($AA5181&gt;N($AA5180),$AA5181,""))</f>
        <v/>
      </c>
      <c r="AA5181">
        <f>IF($V5181="",N($AA5180),IF(MATCH($V5181,$V$6:$V$6005,0)=ROW()-5,N($AA5180)+1,N($AA5180)))</f>
        <v/>
      </c>
    </row>
    <row r="5182" ht="21" customHeight="1" s="66">
      <c r="A5182" s="56" t="n"/>
      <c r="B5182" s="57" t="n"/>
      <c r="C5182" s="57" t="n"/>
      <c r="D5182" s="57" t="n"/>
      <c r="E5182" s="56" t="n"/>
      <c r="F5182" s="57" t="n"/>
      <c r="G5182" s="57" t="n"/>
      <c r="H5182" s="56" t="n"/>
      <c r="I5182" s="56" t="n"/>
      <c r="J5182" s="58" t="n"/>
      <c r="K5182" s="58" t="n"/>
      <c r="L5182" s="13">
        <f>IF(OR($A5182="",AND($J5182="",$K5182="")),"",ROUND(N($J5182)-N($K5182),2))</f>
        <v/>
      </c>
      <c r="M5182" s="13">
        <f>IF(OR($A5182="",AND($J5182="",$K5182="")),"",MIN($J5182,$K5182))</f>
        <v/>
      </c>
      <c r="Q5182">
        <f>IF($A5182="","",$D5182&amp;"("&amp;SUBSTITUTE($E5182," ","")&amp;")")</f>
        <v/>
      </c>
      <c r="R5182">
        <f>IF($A5182="","",$B5182&amp;" - "&amp;$C5182)</f>
        <v/>
      </c>
      <c r="S5182">
        <f>IF($A5182="","",$R5182&amp;"|"&amp;$Q5182)</f>
        <v/>
      </c>
      <c r="T5182">
        <f>IF($A5182="","",$S5182&amp;"|"&amp;$F5182)</f>
        <v/>
      </c>
      <c r="U5182">
        <f>IF($A5182="","",$R5182&amp;"("&amp;$E5182&amp;")")</f>
        <v/>
      </c>
      <c r="V5182">
        <f>IF($A5182="","",$F5182&amp;"|"&amp;$U5182&amp;"|"&amp;$D5182)</f>
        <v/>
      </c>
      <c r="W5182">
        <f>IF($T5182="","",IF($X5182&gt;N($X5181),$X5182,""))</f>
        <v/>
      </c>
      <c r="X5182">
        <f>IF($T5182="",N($X5181),IF(MATCH($T5182,$T$6:$T$6005,0)=ROW()-5,N($X5181)+1,N($X5181)))</f>
        <v/>
      </c>
      <c r="Z5182">
        <f>IF($V5182="","",IF($AA5182&gt;N($AA5181),$AA5182,""))</f>
        <v/>
      </c>
      <c r="AA5182">
        <f>IF($V5182="",N($AA5181),IF(MATCH($V5182,$V$6:$V$6005,0)=ROW()-5,N($AA5181)+1,N($AA5181)))</f>
        <v/>
      </c>
    </row>
    <row r="5183" ht="21" customHeight="1" s="66">
      <c r="A5183" s="56" t="n"/>
      <c r="B5183" s="57" t="n"/>
      <c r="C5183" s="57" t="n"/>
      <c r="D5183" s="57" t="n"/>
      <c r="E5183" s="56" t="n"/>
      <c r="F5183" s="57" t="n"/>
      <c r="G5183" s="57" t="n"/>
      <c r="H5183" s="56" t="n"/>
      <c r="I5183" s="56" t="n"/>
      <c r="J5183" s="58" t="n"/>
      <c r="K5183" s="58" t="n"/>
      <c r="L5183" s="13">
        <f>IF(OR($A5183="",AND($J5183="",$K5183="")),"",ROUND(N($J5183)-N($K5183),2))</f>
        <v/>
      </c>
      <c r="M5183" s="13">
        <f>IF(OR($A5183="",AND($J5183="",$K5183="")),"",MIN($J5183,$K5183))</f>
        <v/>
      </c>
      <c r="Q5183">
        <f>IF($A5183="","",$D5183&amp;"("&amp;SUBSTITUTE($E5183," ","")&amp;")")</f>
        <v/>
      </c>
      <c r="R5183">
        <f>IF($A5183="","",$B5183&amp;" - "&amp;$C5183)</f>
        <v/>
      </c>
      <c r="S5183">
        <f>IF($A5183="","",$R5183&amp;"|"&amp;$Q5183)</f>
        <v/>
      </c>
      <c r="T5183">
        <f>IF($A5183="","",$S5183&amp;"|"&amp;$F5183)</f>
        <v/>
      </c>
      <c r="U5183">
        <f>IF($A5183="","",$R5183&amp;"("&amp;$E5183&amp;")")</f>
        <v/>
      </c>
      <c r="V5183">
        <f>IF($A5183="","",$F5183&amp;"|"&amp;$U5183&amp;"|"&amp;$D5183)</f>
        <v/>
      </c>
      <c r="W5183">
        <f>IF($T5183="","",IF($X5183&gt;N($X5182),$X5183,""))</f>
        <v/>
      </c>
      <c r="X5183">
        <f>IF($T5183="",N($X5182),IF(MATCH($T5183,$T$6:$T$6005,0)=ROW()-5,N($X5182)+1,N($X5182)))</f>
        <v/>
      </c>
      <c r="Z5183">
        <f>IF($V5183="","",IF($AA5183&gt;N($AA5182),$AA5183,""))</f>
        <v/>
      </c>
      <c r="AA5183">
        <f>IF($V5183="",N($AA5182),IF(MATCH($V5183,$V$6:$V$6005,0)=ROW()-5,N($AA5182)+1,N($AA5182)))</f>
        <v/>
      </c>
    </row>
    <row r="5184" ht="21" customHeight="1" s="66">
      <c r="A5184" s="56" t="n"/>
      <c r="B5184" s="57" t="n"/>
      <c r="C5184" s="57" t="n"/>
      <c r="D5184" s="57" t="n"/>
      <c r="E5184" s="56" t="n"/>
      <c r="F5184" s="57" t="n"/>
      <c r="G5184" s="57" t="n"/>
      <c r="H5184" s="56" t="n"/>
      <c r="I5184" s="56" t="n"/>
      <c r="J5184" s="58" t="n"/>
      <c r="K5184" s="58" t="n"/>
      <c r="L5184" s="13">
        <f>IF(OR($A5184="",AND($J5184="",$K5184="")),"",ROUND(N($J5184)-N($K5184),2))</f>
        <v/>
      </c>
      <c r="M5184" s="13">
        <f>IF(OR($A5184="",AND($J5184="",$K5184="")),"",MIN($J5184,$K5184))</f>
        <v/>
      </c>
      <c r="Q5184">
        <f>IF($A5184="","",$D5184&amp;"("&amp;SUBSTITUTE($E5184," ","")&amp;")")</f>
        <v/>
      </c>
      <c r="R5184">
        <f>IF($A5184="","",$B5184&amp;" - "&amp;$C5184)</f>
        <v/>
      </c>
      <c r="S5184">
        <f>IF($A5184="","",$R5184&amp;"|"&amp;$Q5184)</f>
        <v/>
      </c>
      <c r="T5184">
        <f>IF($A5184="","",$S5184&amp;"|"&amp;$F5184)</f>
        <v/>
      </c>
      <c r="U5184">
        <f>IF($A5184="","",$R5184&amp;"("&amp;$E5184&amp;")")</f>
        <v/>
      </c>
      <c r="V5184">
        <f>IF($A5184="","",$F5184&amp;"|"&amp;$U5184&amp;"|"&amp;$D5184)</f>
        <v/>
      </c>
      <c r="W5184">
        <f>IF($T5184="","",IF($X5184&gt;N($X5183),$X5184,""))</f>
        <v/>
      </c>
      <c r="X5184">
        <f>IF($T5184="",N($X5183),IF(MATCH($T5184,$T$6:$T$6005,0)=ROW()-5,N($X5183)+1,N($X5183)))</f>
        <v/>
      </c>
      <c r="Z5184">
        <f>IF($V5184="","",IF($AA5184&gt;N($AA5183),$AA5184,""))</f>
        <v/>
      </c>
      <c r="AA5184">
        <f>IF($V5184="",N($AA5183),IF(MATCH($V5184,$V$6:$V$6005,0)=ROW()-5,N($AA5183)+1,N($AA5183)))</f>
        <v/>
      </c>
    </row>
    <row r="5185" ht="21" customHeight="1" s="66">
      <c r="A5185" s="56" t="n"/>
      <c r="B5185" s="57" t="n"/>
      <c r="C5185" s="57" t="n"/>
      <c r="D5185" s="57" t="n"/>
      <c r="E5185" s="56" t="n"/>
      <c r="F5185" s="57" t="n"/>
      <c r="G5185" s="57" t="n"/>
      <c r="H5185" s="56" t="n"/>
      <c r="I5185" s="56" t="n"/>
      <c r="J5185" s="58" t="n"/>
      <c r="K5185" s="58" t="n"/>
      <c r="L5185" s="13">
        <f>IF(OR($A5185="",AND($J5185="",$K5185="")),"",ROUND(N($J5185)-N($K5185),2))</f>
        <v/>
      </c>
      <c r="M5185" s="13">
        <f>IF(OR($A5185="",AND($J5185="",$K5185="")),"",MIN($J5185,$K5185))</f>
        <v/>
      </c>
      <c r="Q5185">
        <f>IF($A5185="","",$D5185&amp;"("&amp;SUBSTITUTE($E5185," ","")&amp;")")</f>
        <v/>
      </c>
      <c r="R5185">
        <f>IF($A5185="","",$B5185&amp;" - "&amp;$C5185)</f>
        <v/>
      </c>
      <c r="S5185">
        <f>IF($A5185="","",$R5185&amp;"|"&amp;$Q5185)</f>
        <v/>
      </c>
      <c r="T5185">
        <f>IF($A5185="","",$S5185&amp;"|"&amp;$F5185)</f>
        <v/>
      </c>
      <c r="U5185">
        <f>IF($A5185="","",$R5185&amp;"("&amp;$E5185&amp;")")</f>
        <v/>
      </c>
      <c r="V5185">
        <f>IF($A5185="","",$F5185&amp;"|"&amp;$U5185&amp;"|"&amp;$D5185)</f>
        <v/>
      </c>
      <c r="W5185">
        <f>IF($T5185="","",IF($X5185&gt;N($X5184),$X5185,""))</f>
        <v/>
      </c>
      <c r="X5185">
        <f>IF($T5185="",N($X5184),IF(MATCH($T5185,$T$6:$T$6005,0)=ROW()-5,N($X5184)+1,N($X5184)))</f>
        <v/>
      </c>
      <c r="Z5185">
        <f>IF($V5185="","",IF($AA5185&gt;N($AA5184),$AA5185,""))</f>
        <v/>
      </c>
      <c r="AA5185">
        <f>IF($V5185="",N($AA5184),IF(MATCH($V5185,$V$6:$V$6005,0)=ROW()-5,N($AA5184)+1,N($AA5184)))</f>
        <v/>
      </c>
    </row>
    <row r="5186" ht="21" customHeight="1" s="66">
      <c r="A5186" s="56" t="n"/>
      <c r="B5186" s="57" t="n"/>
      <c r="C5186" s="57" t="n"/>
      <c r="D5186" s="57" t="n"/>
      <c r="E5186" s="56" t="n"/>
      <c r="F5186" s="57" t="n"/>
      <c r="G5186" s="57" t="n"/>
      <c r="H5186" s="56" t="n"/>
      <c r="I5186" s="56" t="n"/>
      <c r="J5186" s="58" t="n"/>
      <c r="K5186" s="58" t="n"/>
      <c r="L5186" s="13">
        <f>IF(OR($A5186="",AND($J5186="",$K5186="")),"",ROUND(N($J5186)-N($K5186),2))</f>
        <v/>
      </c>
      <c r="M5186" s="13">
        <f>IF(OR($A5186="",AND($J5186="",$K5186="")),"",MIN($J5186,$K5186))</f>
        <v/>
      </c>
      <c r="Q5186">
        <f>IF($A5186="","",$D5186&amp;"("&amp;SUBSTITUTE($E5186," ","")&amp;")")</f>
        <v/>
      </c>
      <c r="R5186">
        <f>IF($A5186="","",$B5186&amp;" - "&amp;$C5186)</f>
        <v/>
      </c>
      <c r="S5186">
        <f>IF($A5186="","",$R5186&amp;"|"&amp;$Q5186)</f>
        <v/>
      </c>
      <c r="T5186">
        <f>IF($A5186="","",$S5186&amp;"|"&amp;$F5186)</f>
        <v/>
      </c>
      <c r="U5186">
        <f>IF($A5186="","",$R5186&amp;"("&amp;$E5186&amp;")")</f>
        <v/>
      </c>
      <c r="V5186">
        <f>IF($A5186="","",$F5186&amp;"|"&amp;$U5186&amp;"|"&amp;$D5186)</f>
        <v/>
      </c>
      <c r="W5186">
        <f>IF($T5186="","",IF($X5186&gt;N($X5185),$X5186,""))</f>
        <v/>
      </c>
      <c r="X5186">
        <f>IF($T5186="",N($X5185),IF(MATCH($T5186,$T$6:$T$6005,0)=ROW()-5,N($X5185)+1,N($X5185)))</f>
        <v/>
      </c>
      <c r="Z5186">
        <f>IF($V5186="","",IF($AA5186&gt;N($AA5185),$AA5186,""))</f>
        <v/>
      </c>
      <c r="AA5186">
        <f>IF($V5186="",N($AA5185),IF(MATCH($V5186,$V$6:$V$6005,0)=ROW()-5,N($AA5185)+1,N($AA5185)))</f>
        <v/>
      </c>
    </row>
    <row r="5187" ht="21" customHeight="1" s="66">
      <c r="A5187" s="56" t="n"/>
      <c r="B5187" s="57" t="n"/>
      <c r="C5187" s="57" t="n"/>
      <c r="D5187" s="57" t="n"/>
      <c r="E5187" s="56" t="n"/>
      <c r="F5187" s="57" t="n"/>
      <c r="G5187" s="57" t="n"/>
      <c r="H5187" s="56" t="n"/>
      <c r="I5187" s="56" t="n"/>
      <c r="J5187" s="58" t="n"/>
      <c r="K5187" s="58" t="n"/>
      <c r="L5187" s="13">
        <f>IF(OR($A5187="",AND($J5187="",$K5187="")),"",ROUND(N($J5187)-N($K5187),2))</f>
        <v/>
      </c>
      <c r="M5187" s="13">
        <f>IF(OR($A5187="",AND($J5187="",$K5187="")),"",MIN($J5187,$K5187))</f>
        <v/>
      </c>
      <c r="Q5187">
        <f>IF($A5187="","",$D5187&amp;"("&amp;SUBSTITUTE($E5187," ","")&amp;")")</f>
        <v/>
      </c>
      <c r="R5187">
        <f>IF($A5187="","",$B5187&amp;" - "&amp;$C5187)</f>
        <v/>
      </c>
      <c r="S5187">
        <f>IF($A5187="","",$R5187&amp;"|"&amp;$Q5187)</f>
        <v/>
      </c>
      <c r="T5187">
        <f>IF($A5187="","",$S5187&amp;"|"&amp;$F5187)</f>
        <v/>
      </c>
      <c r="U5187">
        <f>IF($A5187="","",$R5187&amp;"("&amp;$E5187&amp;")")</f>
        <v/>
      </c>
      <c r="V5187">
        <f>IF($A5187="","",$F5187&amp;"|"&amp;$U5187&amp;"|"&amp;$D5187)</f>
        <v/>
      </c>
      <c r="W5187">
        <f>IF($T5187="","",IF($X5187&gt;N($X5186),$X5187,""))</f>
        <v/>
      </c>
      <c r="X5187">
        <f>IF($T5187="",N($X5186),IF(MATCH($T5187,$T$6:$T$6005,0)=ROW()-5,N($X5186)+1,N($X5186)))</f>
        <v/>
      </c>
      <c r="Z5187">
        <f>IF($V5187="","",IF($AA5187&gt;N($AA5186),$AA5187,""))</f>
        <v/>
      </c>
      <c r="AA5187">
        <f>IF($V5187="",N($AA5186),IF(MATCH($V5187,$V$6:$V$6005,0)=ROW()-5,N($AA5186)+1,N($AA5186)))</f>
        <v/>
      </c>
    </row>
    <row r="5188" ht="21" customHeight="1" s="66">
      <c r="A5188" s="56" t="n"/>
      <c r="B5188" s="57" t="n"/>
      <c r="C5188" s="57" t="n"/>
      <c r="D5188" s="57" t="n"/>
      <c r="E5188" s="56" t="n"/>
      <c r="F5188" s="57" t="n"/>
      <c r="G5188" s="57" t="n"/>
      <c r="H5188" s="56" t="n"/>
      <c r="I5188" s="56" t="n"/>
      <c r="J5188" s="58" t="n"/>
      <c r="K5188" s="58" t="n"/>
      <c r="L5188" s="13">
        <f>IF(OR($A5188="",AND($J5188="",$K5188="")),"",ROUND(N($J5188)-N($K5188),2))</f>
        <v/>
      </c>
      <c r="M5188" s="13">
        <f>IF(OR($A5188="",AND($J5188="",$K5188="")),"",MIN($J5188,$K5188))</f>
        <v/>
      </c>
      <c r="Q5188">
        <f>IF($A5188="","",$D5188&amp;"("&amp;SUBSTITUTE($E5188," ","")&amp;")")</f>
        <v/>
      </c>
      <c r="R5188">
        <f>IF($A5188="","",$B5188&amp;" - "&amp;$C5188)</f>
        <v/>
      </c>
      <c r="S5188">
        <f>IF($A5188="","",$R5188&amp;"|"&amp;$Q5188)</f>
        <v/>
      </c>
      <c r="T5188">
        <f>IF($A5188="","",$S5188&amp;"|"&amp;$F5188)</f>
        <v/>
      </c>
      <c r="U5188">
        <f>IF($A5188="","",$R5188&amp;"("&amp;$E5188&amp;")")</f>
        <v/>
      </c>
      <c r="V5188">
        <f>IF($A5188="","",$F5188&amp;"|"&amp;$U5188&amp;"|"&amp;$D5188)</f>
        <v/>
      </c>
      <c r="W5188">
        <f>IF($T5188="","",IF($X5188&gt;N($X5187),$X5188,""))</f>
        <v/>
      </c>
      <c r="X5188">
        <f>IF($T5188="",N($X5187),IF(MATCH($T5188,$T$6:$T$6005,0)=ROW()-5,N($X5187)+1,N($X5187)))</f>
        <v/>
      </c>
      <c r="Z5188">
        <f>IF($V5188="","",IF($AA5188&gt;N($AA5187),$AA5188,""))</f>
        <v/>
      </c>
      <c r="AA5188">
        <f>IF($V5188="",N($AA5187),IF(MATCH($V5188,$V$6:$V$6005,0)=ROW()-5,N($AA5187)+1,N($AA5187)))</f>
        <v/>
      </c>
    </row>
    <row r="5189" ht="21" customHeight="1" s="66">
      <c r="A5189" s="56" t="n"/>
      <c r="B5189" s="57" t="n"/>
      <c r="C5189" s="57" t="n"/>
      <c r="D5189" s="57" t="n"/>
      <c r="E5189" s="56" t="n"/>
      <c r="F5189" s="57" t="n"/>
      <c r="G5189" s="57" t="n"/>
      <c r="H5189" s="56" t="n"/>
      <c r="I5189" s="56" t="n"/>
      <c r="J5189" s="58" t="n"/>
      <c r="K5189" s="58" t="n"/>
      <c r="L5189" s="13">
        <f>IF(OR($A5189="",AND($J5189="",$K5189="")),"",ROUND(N($J5189)-N($K5189),2))</f>
        <v/>
      </c>
      <c r="M5189" s="13">
        <f>IF(OR($A5189="",AND($J5189="",$K5189="")),"",MIN($J5189,$K5189))</f>
        <v/>
      </c>
      <c r="Q5189">
        <f>IF($A5189="","",$D5189&amp;"("&amp;SUBSTITUTE($E5189," ","")&amp;")")</f>
        <v/>
      </c>
      <c r="R5189">
        <f>IF($A5189="","",$B5189&amp;" - "&amp;$C5189)</f>
        <v/>
      </c>
      <c r="S5189">
        <f>IF($A5189="","",$R5189&amp;"|"&amp;$Q5189)</f>
        <v/>
      </c>
      <c r="T5189">
        <f>IF($A5189="","",$S5189&amp;"|"&amp;$F5189)</f>
        <v/>
      </c>
      <c r="U5189">
        <f>IF($A5189="","",$R5189&amp;"("&amp;$E5189&amp;")")</f>
        <v/>
      </c>
      <c r="V5189">
        <f>IF($A5189="","",$F5189&amp;"|"&amp;$U5189&amp;"|"&amp;$D5189)</f>
        <v/>
      </c>
      <c r="W5189">
        <f>IF($T5189="","",IF($X5189&gt;N($X5188),$X5189,""))</f>
        <v/>
      </c>
      <c r="X5189">
        <f>IF($T5189="",N($X5188),IF(MATCH($T5189,$T$6:$T$6005,0)=ROW()-5,N($X5188)+1,N($X5188)))</f>
        <v/>
      </c>
      <c r="Z5189">
        <f>IF($V5189="","",IF($AA5189&gt;N($AA5188),$AA5189,""))</f>
        <v/>
      </c>
      <c r="AA5189">
        <f>IF($V5189="",N($AA5188),IF(MATCH($V5189,$V$6:$V$6005,0)=ROW()-5,N($AA5188)+1,N($AA5188)))</f>
        <v/>
      </c>
    </row>
    <row r="5190" ht="21" customHeight="1" s="66">
      <c r="A5190" s="56" t="n"/>
      <c r="B5190" s="57" t="n"/>
      <c r="C5190" s="57" t="n"/>
      <c r="D5190" s="57" t="n"/>
      <c r="E5190" s="56" t="n"/>
      <c r="F5190" s="57" t="n"/>
      <c r="G5190" s="57" t="n"/>
      <c r="H5190" s="56" t="n"/>
      <c r="I5190" s="56" t="n"/>
      <c r="J5190" s="58" t="n"/>
      <c r="K5190" s="58" t="n"/>
      <c r="L5190" s="13">
        <f>IF(OR($A5190="",AND($J5190="",$K5190="")),"",ROUND(N($J5190)-N($K5190),2))</f>
        <v/>
      </c>
      <c r="M5190" s="13">
        <f>IF(OR($A5190="",AND($J5190="",$K5190="")),"",MIN($J5190,$K5190))</f>
        <v/>
      </c>
      <c r="Q5190">
        <f>IF($A5190="","",$D5190&amp;"("&amp;SUBSTITUTE($E5190," ","")&amp;")")</f>
        <v/>
      </c>
      <c r="R5190">
        <f>IF($A5190="","",$B5190&amp;" - "&amp;$C5190)</f>
        <v/>
      </c>
      <c r="S5190">
        <f>IF($A5190="","",$R5190&amp;"|"&amp;$Q5190)</f>
        <v/>
      </c>
      <c r="T5190">
        <f>IF($A5190="","",$S5190&amp;"|"&amp;$F5190)</f>
        <v/>
      </c>
      <c r="U5190">
        <f>IF($A5190="","",$R5190&amp;"("&amp;$E5190&amp;")")</f>
        <v/>
      </c>
      <c r="V5190">
        <f>IF($A5190="","",$F5190&amp;"|"&amp;$U5190&amp;"|"&amp;$D5190)</f>
        <v/>
      </c>
      <c r="W5190">
        <f>IF($T5190="","",IF($X5190&gt;N($X5189),$X5190,""))</f>
        <v/>
      </c>
      <c r="X5190">
        <f>IF($T5190="",N($X5189),IF(MATCH($T5190,$T$6:$T$6005,0)=ROW()-5,N($X5189)+1,N($X5189)))</f>
        <v/>
      </c>
      <c r="Z5190">
        <f>IF($V5190="","",IF($AA5190&gt;N($AA5189),$AA5190,""))</f>
        <v/>
      </c>
      <c r="AA5190">
        <f>IF($V5190="",N($AA5189),IF(MATCH($V5190,$V$6:$V$6005,0)=ROW()-5,N($AA5189)+1,N($AA5189)))</f>
        <v/>
      </c>
    </row>
    <row r="5191" ht="21" customHeight="1" s="66">
      <c r="A5191" s="56" t="n"/>
      <c r="B5191" s="57" t="n"/>
      <c r="C5191" s="57" t="n"/>
      <c r="D5191" s="57" t="n"/>
      <c r="E5191" s="56" t="n"/>
      <c r="F5191" s="57" t="n"/>
      <c r="G5191" s="57" t="n"/>
      <c r="H5191" s="56" t="n"/>
      <c r="I5191" s="56" t="n"/>
      <c r="J5191" s="58" t="n"/>
      <c r="K5191" s="58" t="n"/>
      <c r="L5191" s="13">
        <f>IF(OR($A5191="",AND($J5191="",$K5191="")),"",ROUND(N($J5191)-N($K5191),2))</f>
        <v/>
      </c>
      <c r="M5191" s="13">
        <f>IF(OR($A5191="",AND($J5191="",$K5191="")),"",MIN($J5191,$K5191))</f>
        <v/>
      </c>
      <c r="Q5191">
        <f>IF($A5191="","",$D5191&amp;"("&amp;SUBSTITUTE($E5191," ","")&amp;")")</f>
        <v/>
      </c>
      <c r="R5191">
        <f>IF($A5191="","",$B5191&amp;" - "&amp;$C5191)</f>
        <v/>
      </c>
      <c r="S5191">
        <f>IF($A5191="","",$R5191&amp;"|"&amp;$Q5191)</f>
        <v/>
      </c>
      <c r="T5191">
        <f>IF($A5191="","",$S5191&amp;"|"&amp;$F5191)</f>
        <v/>
      </c>
      <c r="U5191">
        <f>IF($A5191="","",$R5191&amp;"("&amp;$E5191&amp;")")</f>
        <v/>
      </c>
      <c r="V5191">
        <f>IF($A5191="","",$F5191&amp;"|"&amp;$U5191&amp;"|"&amp;$D5191)</f>
        <v/>
      </c>
      <c r="W5191">
        <f>IF($T5191="","",IF($X5191&gt;N($X5190),$X5191,""))</f>
        <v/>
      </c>
      <c r="X5191">
        <f>IF($T5191="",N($X5190),IF(MATCH($T5191,$T$6:$T$6005,0)=ROW()-5,N($X5190)+1,N($X5190)))</f>
        <v/>
      </c>
      <c r="Z5191">
        <f>IF($V5191="","",IF($AA5191&gt;N($AA5190),$AA5191,""))</f>
        <v/>
      </c>
      <c r="AA5191">
        <f>IF($V5191="",N($AA5190),IF(MATCH($V5191,$V$6:$V$6005,0)=ROW()-5,N($AA5190)+1,N($AA5190)))</f>
        <v/>
      </c>
    </row>
    <row r="5192" ht="21" customHeight="1" s="66">
      <c r="A5192" s="56" t="n"/>
      <c r="B5192" s="57" t="n"/>
      <c r="C5192" s="57" t="n"/>
      <c r="D5192" s="57" t="n"/>
      <c r="E5192" s="56" t="n"/>
      <c r="F5192" s="57" t="n"/>
      <c r="G5192" s="57" t="n"/>
      <c r="H5192" s="56" t="n"/>
      <c r="I5192" s="56" t="n"/>
      <c r="J5192" s="58" t="n"/>
      <c r="K5192" s="58" t="n"/>
      <c r="L5192" s="13">
        <f>IF(OR($A5192="",AND($J5192="",$K5192="")),"",ROUND(N($J5192)-N($K5192),2))</f>
        <v/>
      </c>
      <c r="M5192" s="13">
        <f>IF(OR($A5192="",AND($J5192="",$K5192="")),"",MIN($J5192,$K5192))</f>
        <v/>
      </c>
      <c r="Q5192">
        <f>IF($A5192="","",$D5192&amp;"("&amp;SUBSTITUTE($E5192," ","")&amp;")")</f>
        <v/>
      </c>
      <c r="R5192">
        <f>IF($A5192="","",$B5192&amp;" - "&amp;$C5192)</f>
        <v/>
      </c>
      <c r="S5192">
        <f>IF($A5192="","",$R5192&amp;"|"&amp;$Q5192)</f>
        <v/>
      </c>
      <c r="T5192">
        <f>IF($A5192="","",$S5192&amp;"|"&amp;$F5192)</f>
        <v/>
      </c>
      <c r="U5192">
        <f>IF($A5192="","",$R5192&amp;"("&amp;$E5192&amp;")")</f>
        <v/>
      </c>
      <c r="V5192">
        <f>IF($A5192="","",$F5192&amp;"|"&amp;$U5192&amp;"|"&amp;$D5192)</f>
        <v/>
      </c>
      <c r="W5192">
        <f>IF($T5192="","",IF($X5192&gt;N($X5191),$X5192,""))</f>
        <v/>
      </c>
      <c r="X5192">
        <f>IF($T5192="",N($X5191),IF(MATCH($T5192,$T$6:$T$6005,0)=ROW()-5,N($X5191)+1,N($X5191)))</f>
        <v/>
      </c>
      <c r="Z5192">
        <f>IF($V5192="","",IF($AA5192&gt;N($AA5191),$AA5192,""))</f>
        <v/>
      </c>
      <c r="AA5192">
        <f>IF($V5192="",N($AA5191),IF(MATCH($V5192,$V$6:$V$6005,0)=ROW()-5,N($AA5191)+1,N($AA5191)))</f>
        <v/>
      </c>
    </row>
    <row r="5193" ht="21" customHeight="1" s="66">
      <c r="A5193" s="56" t="n"/>
      <c r="B5193" s="57" t="n"/>
      <c r="C5193" s="57" t="n"/>
      <c r="D5193" s="57" t="n"/>
      <c r="E5193" s="56" t="n"/>
      <c r="F5193" s="57" t="n"/>
      <c r="G5193" s="57" t="n"/>
      <c r="H5193" s="56" t="n"/>
      <c r="I5193" s="56" t="n"/>
      <c r="J5193" s="58" t="n"/>
      <c r="K5193" s="58" t="n"/>
      <c r="L5193" s="13">
        <f>IF(OR($A5193="",AND($J5193="",$K5193="")),"",ROUND(N($J5193)-N($K5193),2))</f>
        <v/>
      </c>
      <c r="M5193" s="13">
        <f>IF(OR($A5193="",AND($J5193="",$K5193="")),"",MIN($J5193,$K5193))</f>
        <v/>
      </c>
      <c r="Q5193">
        <f>IF($A5193="","",$D5193&amp;"("&amp;SUBSTITUTE($E5193," ","")&amp;")")</f>
        <v/>
      </c>
      <c r="R5193">
        <f>IF($A5193="","",$B5193&amp;" - "&amp;$C5193)</f>
        <v/>
      </c>
      <c r="S5193">
        <f>IF($A5193="","",$R5193&amp;"|"&amp;$Q5193)</f>
        <v/>
      </c>
      <c r="T5193">
        <f>IF($A5193="","",$S5193&amp;"|"&amp;$F5193)</f>
        <v/>
      </c>
      <c r="U5193">
        <f>IF($A5193="","",$R5193&amp;"("&amp;$E5193&amp;")")</f>
        <v/>
      </c>
      <c r="V5193">
        <f>IF($A5193="","",$F5193&amp;"|"&amp;$U5193&amp;"|"&amp;$D5193)</f>
        <v/>
      </c>
      <c r="W5193">
        <f>IF($T5193="","",IF($X5193&gt;N($X5192),$X5193,""))</f>
        <v/>
      </c>
      <c r="X5193">
        <f>IF($T5193="",N($X5192),IF(MATCH($T5193,$T$6:$T$6005,0)=ROW()-5,N($X5192)+1,N($X5192)))</f>
        <v/>
      </c>
      <c r="Z5193">
        <f>IF($V5193="","",IF($AA5193&gt;N($AA5192),$AA5193,""))</f>
        <v/>
      </c>
      <c r="AA5193">
        <f>IF($V5193="",N($AA5192),IF(MATCH($V5193,$V$6:$V$6005,0)=ROW()-5,N($AA5192)+1,N($AA5192)))</f>
        <v/>
      </c>
    </row>
    <row r="5194" ht="21" customHeight="1" s="66">
      <c r="A5194" s="56" t="n"/>
      <c r="B5194" s="57" t="n"/>
      <c r="C5194" s="57" t="n"/>
      <c r="D5194" s="57" t="n"/>
      <c r="E5194" s="56" t="n"/>
      <c r="F5194" s="57" t="n"/>
      <c r="G5194" s="57" t="n"/>
      <c r="H5194" s="56" t="n"/>
      <c r="I5194" s="56" t="n"/>
      <c r="J5194" s="58" t="n"/>
      <c r="K5194" s="58" t="n"/>
      <c r="L5194" s="13">
        <f>IF(OR($A5194="",AND($J5194="",$K5194="")),"",ROUND(N($J5194)-N($K5194),2))</f>
        <v/>
      </c>
      <c r="M5194" s="13">
        <f>IF(OR($A5194="",AND($J5194="",$K5194="")),"",MIN($J5194,$K5194))</f>
        <v/>
      </c>
      <c r="Q5194">
        <f>IF($A5194="","",$D5194&amp;"("&amp;SUBSTITUTE($E5194," ","")&amp;")")</f>
        <v/>
      </c>
      <c r="R5194">
        <f>IF($A5194="","",$B5194&amp;" - "&amp;$C5194)</f>
        <v/>
      </c>
      <c r="S5194">
        <f>IF($A5194="","",$R5194&amp;"|"&amp;$Q5194)</f>
        <v/>
      </c>
      <c r="T5194">
        <f>IF($A5194="","",$S5194&amp;"|"&amp;$F5194)</f>
        <v/>
      </c>
      <c r="U5194">
        <f>IF($A5194="","",$R5194&amp;"("&amp;$E5194&amp;")")</f>
        <v/>
      </c>
      <c r="V5194">
        <f>IF($A5194="","",$F5194&amp;"|"&amp;$U5194&amp;"|"&amp;$D5194)</f>
        <v/>
      </c>
      <c r="W5194">
        <f>IF($T5194="","",IF($X5194&gt;N($X5193),$X5194,""))</f>
        <v/>
      </c>
      <c r="X5194">
        <f>IF($T5194="",N($X5193),IF(MATCH($T5194,$T$6:$T$6005,0)=ROW()-5,N($X5193)+1,N($X5193)))</f>
        <v/>
      </c>
      <c r="Z5194">
        <f>IF($V5194="","",IF($AA5194&gt;N($AA5193),$AA5194,""))</f>
        <v/>
      </c>
      <c r="AA5194">
        <f>IF($V5194="",N($AA5193),IF(MATCH($V5194,$V$6:$V$6005,0)=ROW()-5,N($AA5193)+1,N($AA5193)))</f>
        <v/>
      </c>
    </row>
    <row r="5195" ht="21" customHeight="1" s="66">
      <c r="A5195" s="56" t="n"/>
      <c r="B5195" s="57" t="n"/>
      <c r="C5195" s="57" t="n"/>
      <c r="D5195" s="57" t="n"/>
      <c r="E5195" s="56" t="n"/>
      <c r="F5195" s="57" t="n"/>
      <c r="G5195" s="57" t="n"/>
      <c r="H5195" s="56" t="n"/>
      <c r="I5195" s="56" t="n"/>
      <c r="J5195" s="58" t="n"/>
      <c r="K5195" s="58" t="n"/>
      <c r="L5195" s="13">
        <f>IF(OR($A5195="",AND($J5195="",$K5195="")),"",ROUND(N($J5195)-N($K5195),2))</f>
        <v/>
      </c>
      <c r="M5195" s="13">
        <f>IF(OR($A5195="",AND($J5195="",$K5195="")),"",MIN($J5195,$K5195))</f>
        <v/>
      </c>
      <c r="Q5195">
        <f>IF($A5195="","",$D5195&amp;"("&amp;SUBSTITUTE($E5195," ","")&amp;")")</f>
        <v/>
      </c>
      <c r="R5195">
        <f>IF($A5195="","",$B5195&amp;" - "&amp;$C5195)</f>
        <v/>
      </c>
      <c r="S5195">
        <f>IF($A5195="","",$R5195&amp;"|"&amp;$Q5195)</f>
        <v/>
      </c>
      <c r="T5195">
        <f>IF($A5195="","",$S5195&amp;"|"&amp;$F5195)</f>
        <v/>
      </c>
      <c r="U5195">
        <f>IF($A5195="","",$R5195&amp;"("&amp;$E5195&amp;")")</f>
        <v/>
      </c>
      <c r="V5195">
        <f>IF($A5195="","",$F5195&amp;"|"&amp;$U5195&amp;"|"&amp;$D5195)</f>
        <v/>
      </c>
      <c r="W5195">
        <f>IF($T5195="","",IF($X5195&gt;N($X5194),$X5195,""))</f>
        <v/>
      </c>
      <c r="X5195">
        <f>IF($T5195="",N($X5194),IF(MATCH($T5195,$T$6:$T$6005,0)=ROW()-5,N($X5194)+1,N($X5194)))</f>
        <v/>
      </c>
      <c r="Z5195">
        <f>IF($V5195="","",IF($AA5195&gt;N($AA5194),$AA5195,""))</f>
        <v/>
      </c>
      <c r="AA5195">
        <f>IF($V5195="",N($AA5194),IF(MATCH($V5195,$V$6:$V$6005,0)=ROW()-5,N($AA5194)+1,N($AA5194)))</f>
        <v/>
      </c>
    </row>
    <row r="5196" ht="21" customHeight="1" s="66">
      <c r="A5196" s="56" t="n"/>
      <c r="B5196" s="57" t="n"/>
      <c r="C5196" s="57" t="n"/>
      <c r="D5196" s="57" t="n"/>
      <c r="E5196" s="56" t="n"/>
      <c r="F5196" s="57" t="n"/>
      <c r="G5196" s="57" t="n"/>
      <c r="H5196" s="56" t="n"/>
      <c r="I5196" s="56" t="n"/>
      <c r="J5196" s="58" t="n"/>
      <c r="K5196" s="58" t="n"/>
      <c r="L5196" s="13">
        <f>IF(OR($A5196="",AND($J5196="",$K5196="")),"",ROUND(N($J5196)-N($K5196),2))</f>
        <v/>
      </c>
      <c r="M5196" s="13">
        <f>IF(OR($A5196="",AND($J5196="",$K5196="")),"",MIN($J5196,$K5196))</f>
        <v/>
      </c>
      <c r="Q5196">
        <f>IF($A5196="","",$D5196&amp;"("&amp;SUBSTITUTE($E5196," ","")&amp;")")</f>
        <v/>
      </c>
      <c r="R5196">
        <f>IF($A5196="","",$B5196&amp;" - "&amp;$C5196)</f>
        <v/>
      </c>
      <c r="S5196">
        <f>IF($A5196="","",$R5196&amp;"|"&amp;$Q5196)</f>
        <v/>
      </c>
      <c r="T5196">
        <f>IF($A5196="","",$S5196&amp;"|"&amp;$F5196)</f>
        <v/>
      </c>
      <c r="U5196">
        <f>IF($A5196="","",$R5196&amp;"("&amp;$E5196&amp;")")</f>
        <v/>
      </c>
      <c r="V5196">
        <f>IF($A5196="","",$F5196&amp;"|"&amp;$U5196&amp;"|"&amp;$D5196)</f>
        <v/>
      </c>
      <c r="W5196">
        <f>IF($T5196="","",IF($X5196&gt;N($X5195),$X5196,""))</f>
        <v/>
      </c>
      <c r="X5196">
        <f>IF($T5196="",N($X5195),IF(MATCH($T5196,$T$6:$T$6005,0)=ROW()-5,N($X5195)+1,N($X5195)))</f>
        <v/>
      </c>
      <c r="Z5196">
        <f>IF($V5196="","",IF($AA5196&gt;N($AA5195),$AA5196,""))</f>
        <v/>
      </c>
      <c r="AA5196">
        <f>IF($V5196="",N($AA5195),IF(MATCH($V5196,$V$6:$V$6005,0)=ROW()-5,N($AA5195)+1,N($AA5195)))</f>
        <v/>
      </c>
    </row>
    <row r="5197" ht="21" customHeight="1" s="66">
      <c r="A5197" s="56" t="n"/>
      <c r="B5197" s="57" t="n"/>
      <c r="C5197" s="57" t="n"/>
      <c r="D5197" s="57" t="n"/>
      <c r="E5197" s="56" t="n"/>
      <c r="F5197" s="57" t="n"/>
      <c r="G5197" s="57" t="n"/>
      <c r="H5197" s="56" t="n"/>
      <c r="I5197" s="56" t="n"/>
      <c r="J5197" s="58" t="n"/>
      <c r="K5197" s="58" t="n"/>
      <c r="L5197" s="13">
        <f>IF(OR($A5197="",AND($J5197="",$K5197="")),"",ROUND(N($J5197)-N($K5197),2))</f>
        <v/>
      </c>
      <c r="M5197" s="13">
        <f>IF(OR($A5197="",AND($J5197="",$K5197="")),"",MIN($J5197,$K5197))</f>
        <v/>
      </c>
      <c r="Q5197">
        <f>IF($A5197="","",$D5197&amp;"("&amp;SUBSTITUTE($E5197," ","")&amp;")")</f>
        <v/>
      </c>
      <c r="R5197">
        <f>IF($A5197="","",$B5197&amp;" - "&amp;$C5197)</f>
        <v/>
      </c>
      <c r="S5197">
        <f>IF($A5197="","",$R5197&amp;"|"&amp;$Q5197)</f>
        <v/>
      </c>
      <c r="T5197">
        <f>IF($A5197="","",$S5197&amp;"|"&amp;$F5197)</f>
        <v/>
      </c>
      <c r="U5197">
        <f>IF($A5197="","",$R5197&amp;"("&amp;$E5197&amp;")")</f>
        <v/>
      </c>
      <c r="V5197">
        <f>IF($A5197="","",$F5197&amp;"|"&amp;$U5197&amp;"|"&amp;$D5197)</f>
        <v/>
      </c>
      <c r="W5197">
        <f>IF($T5197="","",IF($X5197&gt;N($X5196),$X5197,""))</f>
        <v/>
      </c>
      <c r="X5197">
        <f>IF($T5197="",N($X5196),IF(MATCH($T5197,$T$6:$T$6005,0)=ROW()-5,N($X5196)+1,N($X5196)))</f>
        <v/>
      </c>
      <c r="Z5197">
        <f>IF($V5197="","",IF($AA5197&gt;N($AA5196),$AA5197,""))</f>
        <v/>
      </c>
      <c r="AA5197">
        <f>IF($V5197="",N($AA5196),IF(MATCH($V5197,$V$6:$V$6005,0)=ROW()-5,N($AA5196)+1,N($AA5196)))</f>
        <v/>
      </c>
    </row>
    <row r="5198" ht="21" customHeight="1" s="66">
      <c r="A5198" s="56" t="n"/>
      <c r="B5198" s="57" t="n"/>
      <c r="C5198" s="57" t="n"/>
      <c r="D5198" s="57" t="n"/>
      <c r="E5198" s="56" t="n"/>
      <c r="F5198" s="57" t="n"/>
      <c r="G5198" s="57" t="n"/>
      <c r="H5198" s="56" t="n"/>
      <c r="I5198" s="56" t="n"/>
      <c r="J5198" s="58" t="n"/>
      <c r="K5198" s="58" t="n"/>
      <c r="L5198" s="13">
        <f>IF(OR($A5198="",AND($J5198="",$K5198="")),"",ROUND(N($J5198)-N($K5198),2))</f>
        <v/>
      </c>
      <c r="M5198" s="13">
        <f>IF(OR($A5198="",AND($J5198="",$K5198="")),"",MIN($J5198,$K5198))</f>
        <v/>
      </c>
      <c r="Q5198">
        <f>IF($A5198="","",$D5198&amp;"("&amp;SUBSTITUTE($E5198," ","")&amp;")")</f>
        <v/>
      </c>
      <c r="R5198">
        <f>IF($A5198="","",$B5198&amp;" - "&amp;$C5198)</f>
        <v/>
      </c>
      <c r="S5198">
        <f>IF($A5198="","",$R5198&amp;"|"&amp;$Q5198)</f>
        <v/>
      </c>
      <c r="T5198">
        <f>IF($A5198="","",$S5198&amp;"|"&amp;$F5198)</f>
        <v/>
      </c>
      <c r="U5198">
        <f>IF($A5198="","",$R5198&amp;"("&amp;$E5198&amp;")")</f>
        <v/>
      </c>
      <c r="V5198">
        <f>IF($A5198="","",$F5198&amp;"|"&amp;$U5198&amp;"|"&amp;$D5198)</f>
        <v/>
      </c>
      <c r="W5198">
        <f>IF($T5198="","",IF($X5198&gt;N($X5197),$X5198,""))</f>
        <v/>
      </c>
      <c r="X5198">
        <f>IF($T5198="",N($X5197),IF(MATCH($T5198,$T$6:$T$6005,0)=ROW()-5,N($X5197)+1,N($X5197)))</f>
        <v/>
      </c>
      <c r="Z5198">
        <f>IF($V5198="","",IF($AA5198&gt;N($AA5197),$AA5198,""))</f>
        <v/>
      </c>
      <c r="AA5198">
        <f>IF($V5198="",N($AA5197),IF(MATCH($V5198,$V$6:$V$6005,0)=ROW()-5,N($AA5197)+1,N($AA5197)))</f>
        <v/>
      </c>
    </row>
    <row r="5199" ht="21" customHeight="1" s="66">
      <c r="A5199" s="56" t="n"/>
      <c r="B5199" s="57" t="n"/>
      <c r="C5199" s="57" t="n"/>
      <c r="D5199" s="57" t="n"/>
      <c r="E5199" s="56" t="n"/>
      <c r="F5199" s="57" t="n"/>
      <c r="G5199" s="57" t="n"/>
      <c r="H5199" s="56" t="n"/>
      <c r="I5199" s="56" t="n"/>
      <c r="J5199" s="58" t="n"/>
      <c r="K5199" s="58" t="n"/>
      <c r="L5199" s="13">
        <f>IF(OR($A5199="",AND($J5199="",$K5199="")),"",ROUND(N($J5199)-N($K5199),2))</f>
        <v/>
      </c>
      <c r="M5199" s="13">
        <f>IF(OR($A5199="",AND($J5199="",$K5199="")),"",MIN($J5199,$K5199))</f>
        <v/>
      </c>
      <c r="Q5199">
        <f>IF($A5199="","",$D5199&amp;"("&amp;SUBSTITUTE($E5199," ","")&amp;")")</f>
        <v/>
      </c>
      <c r="R5199">
        <f>IF($A5199="","",$B5199&amp;" - "&amp;$C5199)</f>
        <v/>
      </c>
      <c r="S5199">
        <f>IF($A5199="","",$R5199&amp;"|"&amp;$Q5199)</f>
        <v/>
      </c>
      <c r="T5199">
        <f>IF($A5199="","",$S5199&amp;"|"&amp;$F5199)</f>
        <v/>
      </c>
      <c r="U5199">
        <f>IF($A5199="","",$R5199&amp;"("&amp;$E5199&amp;")")</f>
        <v/>
      </c>
      <c r="V5199">
        <f>IF($A5199="","",$F5199&amp;"|"&amp;$U5199&amp;"|"&amp;$D5199)</f>
        <v/>
      </c>
      <c r="W5199">
        <f>IF($T5199="","",IF($X5199&gt;N($X5198),$X5199,""))</f>
        <v/>
      </c>
      <c r="X5199">
        <f>IF($T5199="",N($X5198),IF(MATCH($T5199,$T$6:$T$6005,0)=ROW()-5,N($X5198)+1,N($X5198)))</f>
        <v/>
      </c>
      <c r="Z5199">
        <f>IF($V5199="","",IF($AA5199&gt;N($AA5198),$AA5199,""))</f>
        <v/>
      </c>
      <c r="AA5199">
        <f>IF($V5199="",N($AA5198),IF(MATCH($V5199,$V$6:$V$6005,0)=ROW()-5,N($AA5198)+1,N($AA5198)))</f>
        <v/>
      </c>
    </row>
    <row r="5200" ht="21" customHeight="1" s="66">
      <c r="A5200" s="56" t="n"/>
      <c r="B5200" s="57" t="n"/>
      <c r="C5200" s="57" t="n"/>
      <c r="D5200" s="57" t="n"/>
      <c r="E5200" s="56" t="n"/>
      <c r="F5200" s="57" t="n"/>
      <c r="G5200" s="57" t="n"/>
      <c r="H5200" s="56" t="n"/>
      <c r="I5200" s="56" t="n"/>
      <c r="J5200" s="58" t="n"/>
      <c r="K5200" s="58" t="n"/>
      <c r="L5200" s="13">
        <f>IF(OR($A5200="",AND($J5200="",$K5200="")),"",ROUND(N($J5200)-N($K5200),2))</f>
        <v/>
      </c>
      <c r="M5200" s="13">
        <f>IF(OR($A5200="",AND($J5200="",$K5200="")),"",MIN($J5200,$K5200))</f>
        <v/>
      </c>
      <c r="Q5200">
        <f>IF($A5200="","",$D5200&amp;"("&amp;SUBSTITUTE($E5200," ","")&amp;")")</f>
        <v/>
      </c>
      <c r="R5200">
        <f>IF($A5200="","",$B5200&amp;" - "&amp;$C5200)</f>
        <v/>
      </c>
      <c r="S5200">
        <f>IF($A5200="","",$R5200&amp;"|"&amp;$Q5200)</f>
        <v/>
      </c>
      <c r="T5200">
        <f>IF($A5200="","",$S5200&amp;"|"&amp;$F5200)</f>
        <v/>
      </c>
      <c r="U5200">
        <f>IF($A5200="","",$R5200&amp;"("&amp;$E5200&amp;")")</f>
        <v/>
      </c>
      <c r="V5200">
        <f>IF($A5200="","",$F5200&amp;"|"&amp;$U5200&amp;"|"&amp;$D5200)</f>
        <v/>
      </c>
      <c r="W5200">
        <f>IF($T5200="","",IF($X5200&gt;N($X5199),$X5200,""))</f>
        <v/>
      </c>
      <c r="X5200">
        <f>IF($T5200="",N($X5199),IF(MATCH($T5200,$T$6:$T$6005,0)=ROW()-5,N($X5199)+1,N($X5199)))</f>
        <v/>
      </c>
      <c r="Z5200">
        <f>IF($V5200="","",IF($AA5200&gt;N($AA5199),$AA5200,""))</f>
        <v/>
      </c>
      <c r="AA5200">
        <f>IF($V5200="",N($AA5199),IF(MATCH($V5200,$V$6:$V$6005,0)=ROW()-5,N($AA5199)+1,N($AA5199)))</f>
        <v/>
      </c>
    </row>
    <row r="5201" ht="21" customHeight="1" s="66">
      <c r="A5201" s="56" t="n"/>
      <c r="B5201" s="57" t="n"/>
      <c r="C5201" s="57" t="n"/>
      <c r="D5201" s="57" t="n"/>
      <c r="E5201" s="56" t="n"/>
      <c r="F5201" s="57" t="n"/>
      <c r="G5201" s="57" t="n"/>
      <c r="H5201" s="56" t="n"/>
      <c r="I5201" s="56" t="n"/>
      <c r="J5201" s="58" t="n"/>
      <c r="K5201" s="58" t="n"/>
      <c r="L5201" s="13">
        <f>IF(OR($A5201="",AND($J5201="",$K5201="")),"",ROUND(N($J5201)-N($K5201),2))</f>
        <v/>
      </c>
      <c r="M5201" s="13">
        <f>IF(OR($A5201="",AND($J5201="",$K5201="")),"",MIN($J5201,$K5201))</f>
        <v/>
      </c>
      <c r="Q5201">
        <f>IF($A5201="","",$D5201&amp;"("&amp;SUBSTITUTE($E5201," ","")&amp;")")</f>
        <v/>
      </c>
      <c r="R5201">
        <f>IF($A5201="","",$B5201&amp;" - "&amp;$C5201)</f>
        <v/>
      </c>
      <c r="S5201">
        <f>IF($A5201="","",$R5201&amp;"|"&amp;$Q5201)</f>
        <v/>
      </c>
      <c r="T5201">
        <f>IF($A5201="","",$S5201&amp;"|"&amp;$F5201)</f>
        <v/>
      </c>
      <c r="U5201">
        <f>IF($A5201="","",$R5201&amp;"("&amp;$E5201&amp;")")</f>
        <v/>
      </c>
      <c r="V5201">
        <f>IF($A5201="","",$F5201&amp;"|"&amp;$U5201&amp;"|"&amp;$D5201)</f>
        <v/>
      </c>
      <c r="W5201">
        <f>IF($T5201="","",IF($X5201&gt;N($X5200),$X5201,""))</f>
        <v/>
      </c>
      <c r="X5201">
        <f>IF($T5201="",N($X5200),IF(MATCH($T5201,$T$6:$T$6005,0)=ROW()-5,N($X5200)+1,N($X5200)))</f>
        <v/>
      </c>
      <c r="Z5201">
        <f>IF($V5201="","",IF($AA5201&gt;N($AA5200),$AA5201,""))</f>
        <v/>
      </c>
      <c r="AA5201">
        <f>IF($V5201="",N($AA5200),IF(MATCH($V5201,$V$6:$V$6005,0)=ROW()-5,N($AA5200)+1,N($AA5200)))</f>
        <v/>
      </c>
    </row>
    <row r="5202" ht="21" customHeight="1" s="66">
      <c r="A5202" s="56" t="n"/>
      <c r="B5202" s="57" t="n"/>
      <c r="C5202" s="57" t="n"/>
      <c r="D5202" s="57" t="n"/>
      <c r="E5202" s="56" t="n"/>
      <c r="F5202" s="57" t="n"/>
      <c r="G5202" s="57" t="n"/>
      <c r="H5202" s="56" t="n"/>
      <c r="I5202" s="56" t="n"/>
      <c r="J5202" s="58" t="n"/>
      <c r="K5202" s="58" t="n"/>
      <c r="L5202" s="13">
        <f>IF(OR($A5202="",AND($J5202="",$K5202="")),"",ROUND(N($J5202)-N($K5202),2))</f>
        <v/>
      </c>
      <c r="M5202" s="13">
        <f>IF(OR($A5202="",AND($J5202="",$K5202="")),"",MIN($J5202,$K5202))</f>
        <v/>
      </c>
      <c r="Q5202">
        <f>IF($A5202="","",$D5202&amp;"("&amp;SUBSTITUTE($E5202," ","")&amp;")")</f>
        <v/>
      </c>
      <c r="R5202">
        <f>IF($A5202="","",$B5202&amp;" - "&amp;$C5202)</f>
        <v/>
      </c>
      <c r="S5202">
        <f>IF($A5202="","",$R5202&amp;"|"&amp;$Q5202)</f>
        <v/>
      </c>
      <c r="T5202">
        <f>IF($A5202="","",$S5202&amp;"|"&amp;$F5202)</f>
        <v/>
      </c>
      <c r="U5202">
        <f>IF($A5202="","",$R5202&amp;"("&amp;$E5202&amp;")")</f>
        <v/>
      </c>
      <c r="V5202">
        <f>IF($A5202="","",$F5202&amp;"|"&amp;$U5202&amp;"|"&amp;$D5202)</f>
        <v/>
      </c>
      <c r="W5202">
        <f>IF($T5202="","",IF($X5202&gt;N($X5201),$X5202,""))</f>
        <v/>
      </c>
      <c r="X5202">
        <f>IF($T5202="",N($X5201),IF(MATCH($T5202,$T$6:$T$6005,0)=ROW()-5,N($X5201)+1,N($X5201)))</f>
        <v/>
      </c>
      <c r="Z5202">
        <f>IF($V5202="","",IF($AA5202&gt;N($AA5201),$AA5202,""))</f>
        <v/>
      </c>
      <c r="AA5202">
        <f>IF($V5202="",N($AA5201),IF(MATCH($V5202,$V$6:$V$6005,0)=ROW()-5,N($AA5201)+1,N($AA5201)))</f>
        <v/>
      </c>
    </row>
    <row r="5203" ht="21" customHeight="1" s="66">
      <c r="A5203" s="56" t="n"/>
      <c r="B5203" s="57" t="n"/>
      <c r="C5203" s="57" t="n"/>
      <c r="D5203" s="57" t="n"/>
      <c r="E5203" s="56" t="n"/>
      <c r="F5203" s="57" t="n"/>
      <c r="G5203" s="57" t="n"/>
      <c r="H5203" s="56" t="n"/>
      <c r="I5203" s="56" t="n"/>
      <c r="J5203" s="58" t="n"/>
      <c r="K5203" s="58" t="n"/>
      <c r="L5203" s="13">
        <f>IF(OR($A5203="",AND($J5203="",$K5203="")),"",ROUND(N($J5203)-N($K5203),2))</f>
        <v/>
      </c>
      <c r="M5203" s="13">
        <f>IF(OR($A5203="",AND($J5203="",$K5203="")),"",MIN($J5203,$K5203))</f>
        <v/>
      </c>
      <c r="Q5203">
        <f>IF($A5203="","",$D5203&amp;"("&amp;SUBSTITUTE($E5203," ","")&amp;")")</f>
        <v/>
      </c>
      <c r="R5203">
        <f>IF($A5203="","",$B5203&amp;" - "&amp;$C5203)</f>
        <v/>
      </c>
      <c r="S5203">
        <f>IF($A5203="","",$R5203&amp;"|"&amp;$Q5203)</f>
        <v/>
      </c>
      <c r="T5203">
        <f>IF($A5203="","",$S5203&amp;"|"&amp;$F5203)</f>
        <v/>
      </c>
      <c r="U5203">
        <f>IF($A5203="","",$R5203&amp;"("&amp;$E5203&amp;")")</f>
        <v/>
      </c>
      <c r="V5203">
        <f>IF($A5203="","",$F5203&amp;"|"&amp;$U5203&amp;"|"&amp;$D5203)</f>
        <v/>
      </c>
      <c r="W5203">
        <f>IF($T5203="","",IF($X5203&gt;N($X5202),$X5203,""))</f>
        <v/>
      </c>
      <c r="X5203">
        <f>IF($T5203="",N($X5202),IF(MATCH($T5203,$T$6:$T$6005,0)=ROW()-5,N($X5202)+1,N($X5202)))</f>
        <v/>
      </c>
      <c r="Z5203">
        <f>IF($V5203="","",IF($AA5203&gt;N($AA5202),$AA5203,""))</f>
        <v/>
      </c>
      <c r="AA5203">
        <f>IF($V5203="",N($AA5202),IF(MATCH($V5203,$V$6:$V$6005,0)=ROW()-5,N($AA5202)+1,N($AA5202)))</f>
        <v/>
      </c>
    </row>
    <row r="5204" ht="21" customHeight="1" s="66">
      <c r="A5204" s="56" t="n"/>
      <c r="B5204" s="57" t="n"/>
      <c r="C5204" s="57" t="n"/>
      <c r="D5204" s="57" t="n"/>
      <c r="E5204" s="56" t="n"/>
      <c r="F5204" s="57" t="n"/>
      <c r="G5204" s="57" t="n"/>
      <c r="H5204" s="56" t="n"/>
      <c r="I5204" s="56" t="n"/>
      <c r="J5204" s="58" t="n"/>
      <c r="K5204" s="58" t="n"/>
      <c r="L5204" s="13">
        <f>IF(OR($A5204="",AND($J5204="",$K5204="")),"",ROUND(N($J5204)-N($K5204),2))</f>
        <v/>
      </c>
      <c r="M5204" s="13">
        <f>IF(OR($A5204="",AND($J5204="",$K5204="")),"",MIN($J5204,$K5204))</f>
        <v/>
      </c>
      <c r="Q5204">
        <f>IF($A5204="","",$D5204&amp;"("&amp;SUBSTITUTE($E5204," ","")&amp;")")</f>
        <v/>
      </c>
      <c r="R5204">
        <f>IF($A5204="","",$B5204&amp;" - "&amp;$C5204)</f>
        <v/>
      </c>
      <c r="S5204">
        <f>IF($A5204="","",$R5204&amp;"|"&amp;$Q5204)</f>
        <v/>
      </c>
      <c r="T5204">
        <f>IF($A5204="","",$S5204&amp;"|"&amp;$F5204)</f>
        <v/>
      </c>
      <c r="U5204">
        <f>IF($A5204="","",$R5204&amp;"("&amp;$E5204&amp;")")</f>
        <v/>
      </c>
      <c r="V5204">
        <f>IF($A5204="","",$F5204&amp;"|"&amp;$U5204&amp;"|"&amp;$D5204)</f>
        <v/>
      </c>
      <c r="W5204">
        <f>IF($T5204="","",IF($X5204&gt;N($X5203),$X5204,""))</f>
        <v/>
      </c>
      <c r="X5204">
        <f>IF($T5204="",N($X5203),IF(MATCH($T5204,$T$6:$T$6005,0)=ROW()-5,N($X5203)+1,N($X5203)))</f>
        <v/>
      </c>
      <c r="Z5204">
        <f>IF($V5204="","",IF($AA5204&gt;N($AA5203),$AA5204,""))</f>
        <v/>
      </c>
      <c r="AA5204">
        <f>IF($V5204="",N($AA5203),IF(MATCH($V5204,$V$6:$V$6005,0)=ROW()-5,N($AA5203)+1,N($AA5203)))</f>
        <v/>
      </c>
    </row>
    <row r="5205" ht="21" customHeight="1" s="66">
      <c r="A5205" s="56" t="n"/>
      <c r="B5205" s="57" t="n"/>
      <c r="C5205" s="57" t="n"/>
      <c r="D5205" s="57" t="n"/>
      <c r="E5205" s="56" t="n"/>
      <c r="F5205" s="57" t="n"/>
      <c r="G5205" s="57" t="n"/>
      <c r="H5205" s="56" t="n"/>
      <c r="I5205" s="56" t="n"/>
      <c r="J5205" s="58" t="n"/>
      <c r="K5205" s="58" t="n"/>
      <c r="L5205" s="13">
        <f>IF(OR($A5205="",AND($J5205="",$K5205="")),"",ROUND(N($J5205)-N($K5205),2))</f>
        <v/>
      </c>
      <c r="M5205" s="13">
        <f>IF(OR($A5205="",AND($J5205="",$K5205="")),"",MIN($J5205,$K5205))</f>
        <v/>
      </c>
      <c r="Q5205">
        <f>IF($A5205="","",$D5205&amp;"("&amp;SUBSTITUTE($E5205," ","")&amp;")")</f>
        <v/>
      </c>
      <c r="R5205">
        <f>IF($A5205="","",$B5205&amp;" - "&amp;$C5205)</f>
        <v/>
      </c>
      <c r="S5205">
        <f>IF($A5205="","",$R5205&amp;"|"&amp;$Q5205)</f>
        <v/>
      </c>
      <c r="T5205">
        <f>IF($A5205="","",$S5205&amp;"|"&amp;$F5205)</f>
        <v/>
      </c>
      <c r="U5205">
        <f>IF($A5205="","",$R5205&amp;"("&amp;$E5205&amp;")")</f>
        <v/>
      </c>
      <c r="V5205">
        <f>IF($A5205="","",$F5205&amp;"|"&amp;$U5205&amp;"|"&amp;$D5205)</f>
        <v/>
      </c>
      <c r="W5205">
        <f>IF($T5205="","",IF($X5205&gt;N($X5204),$X5205,""))</f>
        <v/>
      </c>
      <c r="X5205">
        <f>IF($T5205="",N($X5204),IF(MATCH($T5205,$T$6:$T$6005,0)=ROW()-5,N($X5204)+1,N($X5204)))</f>
        <v/>
      </c>
      <c r="Z5205">
        <f>IF($V5205="","",IF($AA5205&gt;N($AA5204),$AA5205,""))</f>
        <v/>
      </c>
      <c r="AA5205">
        <f>IF($V5205="",N($AA5204),IF(MATCH($V5205,$V$6:$V$6005,0)=ROW()-5,N($AA5204)+1,N($AA5204)))</f>
        <v/>
      </c>
    </row>
    <row r="5206" ht="21" customHeight="1" s="66">
      <c r="A5206" s="56" t="n"/>
      <c r="B5206" s="57" t="n"/>
      <c r="C5206" s="57" t="n"/>
      <c r="D5206" s="57" t="n"/>
      <c r="E5206" s="56" t="n"/>
      <c r="F5206" s="57" t="n"/>
      <c r="G5206" s="57" t="n"/>
      <c r="H5206" s="56" t="n"/>
      <c r="I5206" s="56" t="n"/>
      <c r="J5206" s="58" t="n"/>
      <c r="K5206" s="58" t="n"/>
      <c r="L5206" s="13">
        <f>IF(OR($A5206="",AND($J5206="",$K5206="")),"",ROUND(N($J5206)-N($K5206),2))</f>
        <v/>
      </c>
      <c r="M5206" s="13">
        <f>IF(OR($A5206="",AND($J5206="",$K5206="")),"",MIN($J5206,$K5206))</f>
        <v/>
      </c>
      <c r="Q5206">
        <f>IF($A5206="","",$D5206&amp;"("&amp;SUBSTITUTE($E5206," ","")&amp;")")</f>
        <v/>
      </c>
      <c r="R5206">
        <f>IF($A5206="","",$B5206&amp;" - "&amp;$C5206)</f>
        <v/>
      </c>
      <c r="S5206">
        <f>IF($A5206="","",$R5206&amp;"|"&amp;$Q5206)</f>
        <v/>
      </c>
      <c r="T5206">
        <f>IF($A5206="","",$S5206&amp;"|"&amp;$F5206)</f>
        <v/>
      </c>
      <c r="U5206">
        <f>IF($A5206="","",$R5206&amp;"("&amp;$E5206&amp;")")</f>
        <v/>
      </c>
      <c r="V5206">
        <f>IF($A5206="","",$F5206&amp;"|"&amp;$U5206&amp;"|"&amp;$D5206)</f>
        <v/>
      </c>
      <c r="W5206">
        <f>IF($T5206="","",IF($X5206&gt;N($X5205),$X5206,""))</f>
        <v/>
      </c>
      <c r="X5206">
        <f>IF($T5206="",N($X5205),IF(MATCH($T5206,$T$6:$T$6005,0)=ROW()-5,N($X5205)+1,N($X5205)))</f>
        <v/>
      </c>
      <c r="Z5206">
        <f>IF($V5206="","",IF($AA5206&gt;N($AA5205),$AA5206,""))</f>
        <v/>
      </c>
      <c r="AA5206">
        <f>IF($V5206="",N($AA5205),IF(MATCH($V5206,$V$6:$V$6005,0)=ROW()-5,N($AA5205)+1,N($AA5205)))</f>
        <v/>
      </c>
    </row>
    <row r="5207" ht="21" customHeight="1" s="66">
      <c r="A5207" s="56" t="n"/>
      <c r="B5207" s="57" t="n"/>
      <c r="C5207" s="57" t="n"/>
      <c r="D5207" s="57" t="n"/>
      <c r="E5207" s="56" t="n"/>
      <c r="F5207" s="57" t="n"/>
      <c r="G5207" s="57" t="n"/>
      <c r="H5207" s="56" t="n"/>
      <c r="I5207" s="56" t="n"/>
      <c r="J5207" s="58" t="n"/>
      <c r="K5207" s="58" t="n"/>
      <c r="L5207" s="13">
        <f>IF(OR($A5207="",AND($J5207="",$K5207="")),"",ROUND(N($J5207)-N($K5207),2))</f>
        <v/>
      </c>
      <c r="M5207" s="13">
        <f>IF(OR($A5207="",AND($J5207="",$K5207="")),"",MIN($J5207,$K5207))</f>
        <v/>
      </c>
      <c r="Q5207">
        <f>IF($A5207="","",$D5207&amp;"("&amp;SUBSTITUTE($E5207," ","")&amp;")")</f>
        <v/>
      </c>
      <c r="R5207">
        <f>IF($A5207="","",$B5207&amp;" - "&amp;$C5207)</f>
        <v/>
      </c>
      <c r="S5207">
        <f>IF($A5207="","",$R5207&amp;"|"&amp;$Q5207)</f>
        <v/>
      </c>
      <c r="T5207">
        <f>IF($A5207="","",$S5207&amp;"|"&amp;$F5207)</f>
        <v/>
      </c>
      <c r="U5207">
        <f>IF($A5207="","",$R5207&amp;"("&amp;$E5207&amp;")")</f>
        <v/>
      </c>
      <c r="V5207">
        <f>IF($A5207="","",$F5207&amp;"|"&amp;$U5207&amp;"|"&amp;$D5207)</f>
        <v/>
      </c>
      <c r="W5207">
        <f>IF($T5207="","",IF($X5207&gt;N($X5206),$X5207,""))</f>
        <v/>
      </c>
      <c r="X5207">
        <f>IF($T5207="",N($X5206),IF(MATCH($T5207,$T$6:$T$6005,0)=ROW()-5,N($X5206)+1,N($X5206)))</f>
        <v/>
      </c>
      <c r="Z5207">
        <f>IF($V5207="","",IF($AA5207&gt;N($AA5206),$AA5207,""))</f>
        <v/>
      </c>
      <c r="AA5207">
        <f>IF($V5207="",N($AA5206),IF(MATCH($V5207,$V$6:$V$6005,0)=ROW()-5,N($AA5206)+1,N($AA5206)))</f>
        <v/>
      </c>
    </row>
    <row r="5208" ht="21" customHeight="1" s="66">
      <c r="A5208" s="56" t="n"/>
      <c r="B5208" s="57" t="n"/>
      <c r="C5208" s="57" t="n"/>
      <c r="D5208" s="57" t="n"/>
      <c r="E5208" s="56" t="n"/>
      <c r="F5208" s="57" t="n"/>
      <c r="G5208" s="57" t="n"/>
      <c r="H5208" s="56" t="n"/>
      <c r="I5208" s="56" t="n"/>
      <c r="J5208" s="58" t="n"/>
      <c r="K5208" s="58" t="n"/>
      <c r="L5208" s="13">
        <f>IF(OR($A5208="",AND($J5208="",$K5208="")),"",ROUND(N($J5208)-N($K5208),2))</f>
        <v/>
      </c>
      <c r="M5208" s="13">
        <f>IF(OR($A5208="",AND($J5208="",$K5208="")),"",MIN($J5208,$K5208))</f>
        <v/>
      </c>
      <c r="Q5208">
        <f>IF($A5208="","",$D5208&amp;"("&amp;SUBSTITUTE($E5208," ","")&amp;")")</f>
        <v/>
      </c>
      <c r="R5208">
        <f>IF($A5208="","",$B5208&amp;" - "&amp;$C5208)</f>
        <v/>
      </c>
      <c r="S5208">
        <f>IF($A5208="","",$R5208&amp;"|"&amp;$Q5208)</f>
        <v/>
      </c>
      <c r="T5208">
        <f>IF($A5208="","",$S5208&amp;"|"&amp;$F5208)</f>
        <v/>
      </c>
      <c r="U5208">
        <f>IF($A5208="","",$R5208&amp;"("&amp;$E5208&amp;")")</f>
        <v/>
      </c>
      <c r="V5208">
        <f>IF($A5208="","",$F5208&amp;"|"&amp;$U5208&amp;"|"&amp;$D5208)</f>
        <v/>
      </c>
      <c r="W5208">
        <f>IF($T5208="","",IF($X5208&gt;N($X5207),$X5208,""))</f>
        <v/>
      </c>
      <c r="X5208">
        <f>IF($T5208="",N($X5207),IF(MATCH($T5208,$T$6:$T$6005,0)=ROW()-5,N($X5207)+1,N($X5207)))</f>
        <v/>
      </c>
      <c r="Z5208">
        <f>IF($V5208="","",IF($AA5208&gt;N($AA5207),$AA5208,""))</f>
        <v/>
      </c>
      <c r="AA5208">
        <f>IF($V5208="",N($AA5207),IF(MATCH($V5208,$V$6:$V$6005,0)=ROW()-5,N($AA5207)+1,N($AA5207)))</f>
        <v/>
      </c>
    </row>
    <row r="5209" ht="21" customHeight="1" s="66">
      <c r="A5209" s="56" t="n"/>
      <c r="B5209" s="57" t="n"/>
      <c r="C5209" s="57" t="n"/>
      <c r="D5209" s="57" t="n"/>
      <c r="E5209" s="56" t="n"/>
      <c r="F5209" s="57" t="n"/>
      <c r="G5209" s="57" t="n"/>
      <c r="H5209" s="56" t="n"/>
      <c r="I5209" s="56" t="n"/>
      <c r="J5209" s="58" t="n"/>
      <c r="K5209" s="58" t="n"/>
      <c r="L5209" s="13">
        <f>IF(OR($A5209="",AND($J5209="",$K5209="")),"",ROUND(N($J5209)-N($K5209),2))</f>
        <v/>
      </c>
      <c r="M5209" s="13">
        <f>IF(OR($A5209="",AND($J5209="",$K5209="")),"",MIN($J5209,$K5209))</f>
        <v/>
      </c>
      <c r="Q5209">
        <f>IF($A5209="","",$D5209&amp;"("&amp;SUBSTITUTE($E5209," ","")&amp;")")</f>
        <v/>
      </c>
      <c r="R5209">
        <f>IF($A5209="","",$B5209&amp;" - "&amp;$C5209)</f>
        <v/>
      </c>
      <c r="S5209">
        <f>IF($A5209="","",$R5209&amp;"|"&amp;$Q5209)</f>
        <v/>
      </c>
      <c r="T5209">
        <f>IF($A5209="","",$S5209&amp;"|"&amp;$F5209)</f>
        <v/>
      </c>
      <c r="U5209">
        <f>IF($A5209="","",$R5209&amp;"("&amp;$E5209&amp;")")</f>
        <v/>
      </c>
      <c r="V5209">
        <f>IF($A5209="","",$F5209&amp;"|"&amp;$U5209&amp;"|"&amp;$D5209)</f>
        <v/>
      </c>
      <c r="W5209">
        <f>IF($T5209="","",IF($X5209&gt;N($X5208),$X5209,""))</f>
        <v/>
      </c>
      <c r="X5209">
        <f>IF($T5209="",N($X5208),IF(MATCH($T5209,$T$6:$T$6005,0)=ROW()-5,N($X5208)+1,N($X5208)))</f>
        <v/>
      </c>
      <c r="Z5209">
        <f>IF($V5209="","",IF($AA5209&gt;N($AA5208),$AA5209,""))</f>
        <v/>
      </c>
      <c r="AA5209">
        <f>IF($V5209="",N($AA5208),IF(MATCH($V5209,$V$6:$V$6005,0)=ROW()-5,N($AA5208)+1,N($AA5208)))</f>
        <v/>
      </c>
    </row>
    <row r="5210" ht="21" customHeight="1" s="66">
      <c r="A5210" s="56" t="n"/>
      <c r="B5210" s="57" t="n"/>
      <c r="C5210" s="57" t="n"/>
      <c r="D5210" s="57" t="n"/>
      <c r="E5210" s="56" t="n"/>
      <c r="F5210" s="57" t="n"/>
      <c r="G5210" s="57" t="n"/>
      <c r="H5210" s="56" t="n"/>
      <c r="I5210" s="56" t="n"/>
      <c r="J5210" s="58" t="n"/>
      <c r="K5210" s="58" t="n"/>
      <c r="L5210" s="13">
        <f>IF(OR($A5210="",AND($J5210="",$K5210="")),"",ROUND(N($J5210)-N($K5210),2))</f>
        <v/>
      </c>
      <c r="M5210" s="13">
        <f>IF(OR($A5210="",AND($J5210="",$K5210="")),"",MIN($J5210,$K5210))</f>
        <v/>
      </c>
      <c r="Q5210">
        <f>IF($A5210="","",$D5210&amp;"("&amp;SUBSTITUTE($E5210," ","")&amp;")")</f>
        <v/>
      </c>
      <c r="R5210">
        <f>IF($A5210="","",$B5210&amp;" - "&amp;$C5210)</f>
        <v/>
      </c>
      <c r="S5210">
        <f>IF($A5210="","",$R5210&amp;"|"&amp;$Q5210)</f>
        <v/>
      </c>
      <c r="T5210">
        <f>IF($A5210="","",$S5210&amp;"|"&amp;$F5210)</f>
        <v/>
      </c>
      <c r="U5210">
        <f>IF($A5210="","",$R5210&amp;"("&amp;$E5210&amp;")")</f>
        <v/>
      </c>
      <c r="V5210">
        <f>IF($A5210="","",$F5210&amp;"|"&amp;$U5210&amp;"|"&amp;$D5210)</f>
        <v/>
      </c>
      <c r="W5210">
        <f>IF($T5210="","",IF($X5210&gt;N($X5209),$X5210,""))</f>
        <v/>
      </c>
      <c r="X5210">
        <f>IF($T5210="",N($X5209),IF(MATCH($T5210,$T$6:$T$6005,0)=ROW()-5,N($X5209)+1,N($X5209)))</f>
        <v/>
      </c>
      <c r="Z5210">
        <f>IF($V5210="","",IF($AA5210&gt;N($AA5209),$AA5210,""))</f>
        <v/>
      </c>
      <c r="AA5210">
        <f>IF($V5210="",N($AA5209),IF(MATCH($V5210,$V$6:$V$6005,0)=ROW()-5,N($AA5209)+1,N($AA5209)))</f>
        <v/>
      </c>
    </row>
    <row r="5211" ht="21" customHeight="1" s="66">
      <c r="A5211" s="56" t="n"/>
      <c r="B5211" s="57" t="n"/>
      <c r="C5211" s="57" t="n"/>
      <c r="D5211" s="57" t="n"/>
      <c r="E5211" s="56" t="n"/>
      <c r="F5211" s="57" t="n"/>
      <c r="G5211" s="57" t="n"/>
      <c r="H5211" s="56" t="n"/>
      <c r="I5211" s="56" t="n"/>
      <c r="J5211" s="58" t="n"/>
      <c r="K5211" s="58" t="n"/>
      <c r="L5211" s="13">
        <f>IF(OR($A5211="",AND($J5211="",$K5211="")),"",ROUND(N($J5211)-N($K5211),2))</f>
        <v/>
      </c>
      <c r="M5211" s="13">
        <f>IF(OR($A5211="",AND($J5211="",$K5211="")),"",MIN($J5211,$K5211))</f>
        <v/>
      </c>
      <c r="Q5211">
        <f>IF($A5211="","",$D5211&amp;"("&amp;SUBSTITUTE($E5211," ","")&amp;")")</f>
        <v/>
      </c>
      <c r="R5211">
        <f>IF($A5211="","",$B5211&amp;" - "&amp;$C5211)</f>
        <v/>
      </c>
      <c r="S5211">
        <f>IF($A5211="","",$R5211&amp;"|"&amp;$Q5211)</f>
        <v/>
      </c>
      <c r="T5211">
        <f>IF($A5211="","",$S5211&amp;"|"&amp;$F5211)</f>
        <v/>
      </c>
      <c r="U5211">
        <f>IF($A5211="","",$R5211&amp;"("&amp;$E5211&amp;")")</f>
        <v/>
      </c>
      <c r="V5211">
        <f>IF($A5211="","",$F5211&amp;"|"&amp;$U5211&amp;"|"&amp;$D5211)</f>
        <v/>
      </c>
      <c r="W5211">
        <f>IF($T5211="","",IF($X5211&gt;N($X5210),$X5211,""))</f>
        <v/>
      </c>
      <c r="X5211">
        <f>IF($T5211="",N($X5210),IF(MATCH($T5211,$T$6:$T$6005,0)=ROW()-5,N($X5210)+1,N($X5210)))</f>
        <v/>
      </c>
      <c r="Z5211">
        <f>IF($V5211="","",IF($AA5211&gt;N($AA5210),$AA5211,""))</f>
        <v/>
      </c>
      <c r="AA5211">
        <f>IF($V5211="",N($AA5210),IF(MATCH($V5211,$V$6:$V$6005,0)=ROW()-5,N($AA5210)+1,N($AA5210)))</f>
        <v/>
      </c>
    </row>
    <row r="5212" ht="21" customHeight="1" s="66">
      <c r="A5212" s="56" t="n"/>
      <c r="B5212" s="57" t="n"/>
      <c r="C5212" s="57" t="n"/>
      <c r="D5212" s="57" t="n"/>
      <c r="E5212" s="56" t="n"/>
      <c r="F5212" s="57" t="n"/>
      <c r="G5212" s="57" t="n"/>
      <c r="H5212" s="56" t="n"/>
      <c r="I5212" s="56" t="n"/>
      <c r="J5212" s="58" t="n"/>
      <c r="K5212" s="58" t="n"/>
      <c r="L5212" s="13">
        <f>IF(OR($A5212="",AND($J5212="",$K5212="")),"",ROUND(N($J5212)-N($K5212),2))</f>
        <v/>
      </c>
      <c r="M5212" s="13">
        <f>IF(OR($A5212="",AND($J5212="",$K5212="")),"",MIN($J5212,$K5212))</f>
        <v/>
      </c>
      <c r="Q5212">
        <f>IF($A5212="","",$D5212&amp;"("&amp;SUBSTITUTE($E5212," ","")&amp;")")</f>
        <v/>
      </c>
      <c r="R5212">
        <f>IF($A5212="","",$B5212&amp;" - "&amp;$C5212)</f>
        <v/>
      </c>
      <c r="S5212">
        <f>IF($A5212="","",$R5212&amp;"|"&amp;$Q5212)</f>
        <v/>
      </c>
      <c r="T5212">
        <f>IF($A5212="","",$S5212&amp;"|"&amp;$F5212)</f>
        <v/>
      </c>
      <c r="U5212">
        <f>IF($A5212="","",$R5212&amp;"("&amp;$E5212&amp;")")</f>
        <v/>
      </c>
      <c r="V5212">
        <f>IF($A5212="","",$F5212&amp;"|"&amp;$U5212&amp;"|"&amp;$D5212)</f>
        <v/>
      </c>
      <c r="W5212">
        <f>IF($T5212="","",IF($X5212&gt;N($X5211),$X5212,""))</f>
        <v/>
      </c>
      <c r="X5212">
        <f>IF($T5212="",N($X5211),IF(MATCH($T5212,$T$6:$T$6005,0)=ROW()-5,N($X5211)+1,N($X5211)))</f>
        <v/>
      </c>
      <c r="Z5212">
        <f>IF($V5212="","",IF($AA5212&gt;N($AA5211),$AA5212,""))</f>
        <v/>
      </c>
      <c r="AA5212">
        <f>IF($V5212="",N($AA5211),IF(MATCH($V5212,$V$6:$V$6005,0)=ROW()-5,N($AA5211)+1,N($AA5211)))</f>
        <v/>
      </c>
    </row>
    <row r="5213" ht="21" customHeight="1" s="66">
      <c r="A5213" s="56" t="n"/>
      <c r="B5213" s="57" t="n"/>
      <c r="C5213" s="57" t="n"/>
      <c r="D5213" s="57" t="n"/>
      <c r="E5213" s="56" t="n"/>
      <c r="F5213" s="57" t="n"/>
      <c r="G5213" s="57" t="n"/>
      <c r="H5213" s="56" t="n"/>
      <c r="I5213" s="56" t="n"/>
      <c r="J5213" s="58" t="n"/>
      <c r="K5213" s="58" t="n"/>
      <c r="L5213" s="13">
        <f>IF(OR($A5213="",AND($J5213="",$K5213="")),"",ROUND(N($J5213)-N($K5213),2))</f>
        <v/>
      </c>
      <c r="M5213" s="13">
        <f>IF(OR($A5213="",AND($J5213="",$K5213="")),"",MIN($J5213,$K5213))</f>
        <v/>
      </c>
      <c r="Q5213">
        <f>IF($A5213="","",$D5213&amp;"("&amp;SUBSTITUTE($E5213," ","")&amp;")")</f>
        <v/>
      </c>
      <c r="R5213">
        <f>IF($A5213="","",$B5213&amp;" - "&amp;$C5213)</f>
        <v/>
      </c>
      <c r="S5213">
        <f>IF($A5213="","",$R5213&amp;"|"&amp;$Q5213)</f>
        <v/>
      </c>
      <c r="T5213">
        <f>IF($A5213="","",$S5213&amp;"|"&amp;$F5213)</f>
        <v/>
      </c>
      <c r="U5213">
        <f>IF($A5213="","",$R5213&amp;"("&amp;$E5213&amp;")")</f>
        <v/>
      </c>
      <c r="V5213">
        <f>IF($A5213="","",$F5213&amp;"|"&amp;$U5213&amp;"|"&amp;$D5213)</f>
        <v/>
      </c>
      <c r="W5213">
        <f>IF($T5213="","",IF($X5213&gt;N($X5212),$X5213,""))</f>
        <v/>
      </c>
      <c r="X5213">
        <f>IF($T5213="",N($X5212),IF(MATCH($T5213,$T$6:$T$6005,0)=ROW()-5,N($X5212)+1,N($X5212)))</f>
        <v/>
      </c>
      <c r="Z5213">
        <f>IF($V5213="","",IF($AA5213&gt;N($AA5212),$AA5213,""))</f>
        <v/>
      </c>
      <c r="AA5213">
        <f>IF($V5213="",N($AA5212),IF(MATCH($V5213,$V$6:$V$6005,0)=ROW()-5,N($AA5212)+1,N($AA5212)))</f>
        <v/>
      </c>
    </row>
    <row r="5214" ht="21" customHeight="1" s="66">
      <c r="A5214" s="56" t="n"/>
      <c r="B5214" s="57" t="n"/>
      <c r="C5214" s="57" t="n"/>
      <c r="D5214" s="57" t="n"/>
      <c r="E5214" s="56" t="n"/>
      <c r="F5214" s="57" t="n"/>
      <c r="G5214" s="57" t="n"/>
      <c r="H5214" s="56" t="n"/>
      <c r="I5214" s="56" t="n"/>
      <c r="J5214" s="58" t="n"/>
      <c r="K5214" s="58" t="n"/>
      <c r="L5214" s="13">
        <f>IF(OR($A5214="",AND($J5214="",$K5214="")),"",ROUND(N($J5214)-N($K5214),2))</f>
        <v/>
      </c>
      <c r="M5214" s="13">
        <f>IF(OR($A5214="",AND($J5214="",$K5214="")),"",MIN($J5214,$K5214))</f>
        <v/>
      </c>
      <c r="Q5214">
        <f>IF($A5214="","",$D5214&amp;"("&amp;SUBSTITUTE($E5214," ","")&amp;")")</f>
        <v/>
      </c>
      <c r="R5214">
        <f>IF($A5214="","",$B5214&amp;" - "&amp;$C5214)</f>
        <v/>
      </c>
      <c r="S5214">
        <f>IF($A5214="","",$R5214&amp;"|"&amp;$Q5214)</f>
        <v/>
      </c>
      <c r="T5214">
        <f>IF($A5214="","",$S5214&amp;"|"&amp;$F5214)</f>
        <v/>
      </c>
      <c r="U5214">
        <f>IF($A5214="","",$R5214&amp;"("&amp;$E5214&amp;")")</f>
        <v/>
      </c>
      <c r="V5214">
        <f>IF($A5214="","",$F5214&amp;"|"&amp;$U5214&amp;"|"&amp;$D5214)</f>
        <v/>
      </c>
      <c r="W5214">
        <f>IF($T5214="","",IF($X5214&gt;N($X5213),$X5214,""))</f>
        <v/>
      </c>
      <c r="X5214">
        <f>IF($T5214="",N($X5213),IF(MATCH($T5214,$T$6:$T$6005,0)=ROW()-5,N($X5213)+1,N($X5213)))</f>
        <v/>
      </c>
      <c r="Z5214">
        <f>IF($V5214="","",IF($AA5214&gt;N($AA5213),$AA5214,""))</f>
        <v/>
      </c>
      <c r="AA5214">
        <f>IF($V5214="",N($AA5213),IF(MATCH($V5214,$V$6:$V$6005,0)=ROW()-5,N($AA5213)+1,N($AA5213)))</f>
        <v/>
      </c>
    </row>
    <row r="5215" ht="21" customHeight="1" s="66">
      <c r="A5215" s="56" t="n"/>
      <c r="B5215" s="57" t="n"/>
      <c r="C5215" s="57" t="n"/>
      <c r="D5215" s="57" t="n"/>
      <c r="E5215" s="56" t="n"/>
      <c r="F5215" s="57" t="n"/>
      <c r="G5215" s="57" t="n"/>
      <c r="H5215" s="56" t="n"/>
      <c r="I5215" s="56" t="n"/>
      <c r="J5215" s="58" t="n"/>
      <c r="K5215" s="58" t="n"/>
      <c r="L5215" s="13">
        <f>IF(OR($A5215="",AND($J5215="",$K5215="")),"",ROUND(N($J5215)-N($K5215),2))</f>
        <v/>
      </c>
      <c r="M5215" s="13">
        <f>IF(OR($A5215="",AND($J5215="",$K5215="")),"",MIN($J5215,$K5215))</f>
        <v/>
      </c>
      <c r="Q5215">
        <f>IF($A5215="","",$D5215&amp;"("&amp;SUBSTITUTE($E5215," ","")&amp;")")</f>
        <v/>
      </c>
      <c r="R5215">
        <f>IF($A5215="","",$B5215&amp;" - "&amp;$C5215)</f>
        <v/>
      </c>
      <c r="S5215">
        <f>IF($A5215="","",$R5215&amp;"|"&amp;$Q5215)</f>
        <v/>
      </c>
      <c r="T5215">
        <f>IF($A5215="","",$S5215&amp;"|"&amp;$F5215)</f>
        <v/>
      </c>
      <c r="U5215">
        <f>IF($A5215="","",$R5215&amp;"("&amp;$E5215&amp;")")</f>
        <v/>
      </c>
      <c r="V5215">
        <f>IF($A5215="","",$F5215&amp;"|"&amp;$U5215&amp;"|"&amp;$D5215)</f>
        <v/>
      </c>
      <c r="W5215">
        <f>IF($T5215="","",IF($X5215&gt;N($X5214),$X5215,""))</f>
        <v/>
      </c>
      <c r="X5215">
        <f>IF($T5215="",N($X5214),IF(MATCH($T5215,$T$6:$T$6005,0)=ROW()-5,N($X5214)+1,N($X5214)))</f>
        <v/>
      </c>
      <c r="Z5215">
        <f>IF($V5215="","",IF($AA5215&gt;N($AA5214),$AA5215,""))</f>
        <v/>
      </c>
      <c r="AA5215">
        <f>IF($V5215="",N($AA5214),IF(MATCH($V5215,$V$6:$V$6005,0)=ROW()-5,N($AA5214)+1,N($AA5214)))</f>
        <v/>
      </c>
    </row>
    <row r="5216" ht="21" customHeight="1" s="66">
      <c r="A5216" s="56" t="n"/>
      <c r="B5216" s="57" t="n"/>
      <c r="C5216" s="57" t="n"/>
      <c r="D5216" s="57" t="n"/>
      <c r="E5216" s="56" t="n"/>
      <c r="F5216" s="57" t="n"/>
      <c r="G5216" s="57" t="n"/>
      <c r="H5216" s="56" t="n"/>
      <c r="I5216" s="56" t="n"/>
      <c r="J5216" s="58" t="n"/>
      <c r="K5216" s="58" t="n"/>
      <c r="L5216" s="13">
        <f>IF(OR($A5216="",AND($J5216="",$K5216="")),"",ROUND(N($J5216)-N($K5216),2))</f>
        <v/>
      </c>
      <c r="M5216" s="13">
        <f>IF(OR($A5216="",AND($J5216="",$K5216="")),"",MIN($J5216,$K5216))</f>
        <v/>
      </c>
      <c r="Q5216">
        <f>IF($A5216="","",$D5216&amp;"("&amp;SUBSTITUTE($E5216," ","")&amp;")")</f>
        <v/>
      </c>
      <c r="R5216">
        <f>IF($A5216="","",$B5216&amp;" - "&amp;$C5216)</f>
        <v/>
      </c>
      <c r="S5216">
        <f>IF($A5216="","",$R5216&amp;"|"&amp;$Q5216)</f>
        <v/>
      </c>
      <c r="T5216">
        <f>IF($A5216="","",$S5216&amp;"|"&amp;$F5216)</f>
        <v/>
      </c>
      <c r="U5216">
        <f>IF($A5216="","",$R5216&amp;"("&amp;$E5216&amp;")")</f>
        <v/>
      </c>
      <c r="V5216">
        <f>IF($A5216="","",$F5216&amp;"|"&amp;$U5216&amp;"|"&amp;$D5216)</f>
        <v/>
      </c>
      <c r="W5216">
        <f>IF($T5216="","",IF($X5216&gt;N($X5215),$X5216,""))</f>
        <v/>
      </c>
      <c r="X5216">
        <f>IF($T5216="",N($X5215),IF(MATCH($T5216,$T$6:$T$6005,0)=ROW()-5,N($X5215)+1,N($X5215)))</f>
        <v/>
      </c>
      <c r="Z5216">
        <f>IF($V5216="","",IF($AA5216&gt;N($AA5215),$AA5216,""))</f>
        <v/>
      </c>
      <c r="AA5216">
        <f>IF($V5216="",N($AA5215),IF(MATCH($V5216,$V$6:$V$6005,0)=ROW()-5,N($AA5215)+1,N($AA5215)))</f>
        <v/>
      </c>
    </row>
    <row r="5217" ht="21" customHeight="1" s="66">
      <c r="A5217" s="56" t="n"/>
      <c r="B5217" s="57" t="n"/>
      <c r="C5217" s="57" t="n"/>
      <c r="D5217" s="57" t="n"/>
      <c r="E5217" s="56" t="n"/>
      <c r="F5217" s="57" t="n"/>
      <c r="G5217" s="57" t="n"/>
      <c r="H5217" s="56" t="n"/>
      <c r="I5217" s="56" t="n"/>
      <c r="J5217" s="58" t="n"/>
      <c r="K5217" s="58" t="n"/>
      <c r="L5217" s="13">
        <f>IF(OR($A5217="",AND($J5217="",$K5217="")),"",ROUND(N($J5217)-N($K5217),2))</f>
        <v/>
      </c>
      <c r="M5217" s="13">
        <f>IF(OR($A5217="",AND($J5217="",$K5217="")),"",MIN($J5217,$K5217))</f>
        <v/>
      </c>
      <c r="Q5217">
        <f>IF($A5217="","",$D5217&amp;"("&amp;SUBSTITUTE($E5217," ","")&amp;")")</f>
        <v/>
      </c>
      <c r="R5217">
        <f>IF($A5217="","",$B5217&amp;" - "&amp;$C5217)</f>
        <v/>
      </c>
      <c r="S5217">
        <f>IF($A5217="","",$R5217&amp;"|"&amp;$Q5217)</f>
        <v/>
      </c>
      <c r="T5217">
        <f>IF($A5217="","",$S5217&amp;"|"&amp;$F5217)</f>
        <v/>
      </c>
      <c r="U5217">
        <f>IF($A5217="","",$R5217&amp;"("&amp;$E5217&amp;")")</f>
        <v/>
      </c>
      <c r="V5217">
        <f>IF($A5217="","",$F5217&amp;"|"&amp;$U5217&amp;"|"&amp;$D5217)</f>
        <v/>
      </c>
      <c r="W5217">
        <f>IF($T5217="","",IF($X5217&gt;N($X5216),$X5217,""))</f>
        <v/>
      </c>
      <c r="X5217">
        <f>IF($T5217="",N($X5216),IF(MATCH($T5217,$T$6:$T$6005,0)=ROW()-5,N($X5216)+1,N($X5216)))</f>
        <v/>
      </c>
      <c r="Z5217">
        <f>IF($V5217="","",IF($AA5217&gt;N($AA5216),$AA5217,""))</f>
        <v/>
      </c>
      <c r="AA5217">
        <f>IF($V5217="",N($AA5216),IF(MATCH($V5217,$V$6:$V$6005,0)=ROW()-5,N($AA5216)+1,N($AA5216)))</f>
        <v/>
      </c>
    </row>
    <row r="5218" ht="21" customHeight="1" s="66">
      <c r="A5218" s="56" t="n"/>
      <c r="B5218" s="57" t="n"/>
      <c r="C5218" s="57" t="n"/>
      <c r="D5218" s="57" t="n"/>
      <c r="E5218" s="56" t="n"/>
      <c r="F5218" s="57" t="n"/>
      <c r="G5218" s="57" t="n"/>
      <c r="H5218" s="56" t="n"/>
      <c r="I5218" s="56" t="n"/>
      <c r="J5218" s="58" t="n"/>
      <c r="K5218" s="58" t="n"/>
      <c r="L5218" s="13">
        <f>IF(OR($A5218="",AND($J5218="",$K5218="")),"",ROUND(N($J5218)-N($K5218),2))</f>
        <v/>
      </c>
      <c r="M5218" s="13">
        <f>IF(OR($A5218="",AND($J5218="",$K5218="")),"",MIN($J5218,$K5218))</f>
        <v/>
      </c>
      <c r="Q5218">
        <f>IF($A5218="","",$D5218&amp;"("&amp;SUBSTITUTE($E5218," ","")&amp;")")</f>
        <v/>
      </c>
      <c r="R5218">
        <f>IF($A5218="","",$B5218&amp;" - "&amp;$C5218)</f>
        <v/>
      </c>
      <c r="S5218">
        <f>IF($A5218="","",$R5218&amp;"|"&amp;$Q5218)</f>
        <v/>
      </c>
      <c r="T5218">
        <f>IF($A5218="","",$S5218&amp;"|"&amp;$F5218)</f>
        <v/>
      </c>
      <c r="U5218">
        <f>IF($A5218="","",$R5218&amp;"("&amp;$E5218&amp;")")</f>
        <v/>
      </c>
      <c r="V5218">
        <f>IF($A5218="","",$F5218&amp;"|"&amp;$U5218&amp;"|"&amp;$D5218)</f>
        <v/>
      </c>
      <c r="W5218">
        <f>IF($T5218="","",IF($X5218&gt;N($X5217),$X5218,""))</f>
        <v/>
      </c>
      <c r="X5218">
        <f>IF($T5218="",N($X5217),IF(MATCH($T5218,$T$6:$T$6005,0)=ROW()-5,N($X5217)+1,N($X5217)))</f>
        <v/>
      </c>
      <c r="Z5218">
        <f>IF($V5218="","",IF($AA5218&gt;N($AA5217),$AA5218,""))</f>
        <v/>
      </c>
      <c r="AA5218">
        <f>IF($V5218="",N($AA5217),IF(MATCH($V5218,$V$6:$V$6005,0)=ROW()-5,N($AA5217)+1,N($AA5217)))</f>
        <v/>
      </c>
    </row>
    <row r="5219" ht="21" customHeight="1" s="66">
      <c r="A5219" s="56" t="n"/>
      <c r="B5219" s="57" t="n"/>
      <c r="C5219" s="57" t="n"/>
      <c r="D5219" s="57" t="n"/>
      <c r="E5219" s="56" t="n"/>
      <c r="F5219" s="57" t="n"/>
      <c r="G5219" s="57" t="n"/>
      <c r="H5219" s="56" t="n"/>
      <c r="I5219" s="56" t="n"/>
      <c r="J5219" s="58" t="n"/>
      <c r="K5219" s="58" t="n"/>
      <c r="L5219" s="13">
        <f>IF(OR($A5219="",AND($J5219="",$K5219="")),"",ROUND(N($J5219)-N($K5219),2))</f>
        <v/>
      </c>
      <c r="M5219" s="13">
        <f>IF(OR($A5219="",AND($J5219="",$K5219="")),"",MIN($J5219,$K5219))</f>
        <v/>
      </c>
      <c r="Q5219">
        <f>IF($A5219="","",$D5219&amp;"("&amp;SUBSTITUTE($E5219," ","")&amp;")")</f>
        <v/>
      </c>
      <c r="R5219">
        <f>IF($A5219="","",$B5219&amp;" - "&amp;$C5219)</f>
        <v/>
      </c>
      <c r="S5219">
        <f>IF($A5219="","",$R5219&amp;"|"&amp;$Q5219)</f>
        <v/>
      </c>
      <c r="T5219">
        <f>IF($A5219="","",$S5219&amp;"|"&amp;$F5219)</f>
        <v/>
      </c>
      <c r="U5219">
        <f>IF($A5219="","",$R5219&amp;"("&amp;$E5219&amp;")")</f>
        <v/>
      </c>
      <c r="V5219">
        <f>IF($A5219="","",$F5219&amp;"|"&amp;$U5219&amp;"|"&amp;$D5219)</f>
        <v/>
      </c>
      <c r="W5219">
        <f>IF($T5219="","",IF($X5219&gt;N($X5218),$X5219,""))</f>
        <v/>
      </c>
      <c r="X5219">
        <f>IF($T5219="",N($X5218),IF(MATCH($T5219,$T$6:$T$6005,0)=ROW()-5,N($X5218)+1,N($X5218)))</f>
        <v/>
      </c>
      <c r="Z5219">
        <f>IF($V5219="","",IF($AA5219&gt;N($AA5218),$AA5219,""))</f>
        <v/>
      </c>
      <c r="AA5219">
        <f>IF($V5219="",N($AA5218),IF(MATCH($V5219,$V$6:$V$6005,0)=ROW()-5,N($AA5218)+1,N($AA5218)))</f>
        <v/>
      </c>
    </row>
    <row r="5220" ht="21" customHeight="1" s="66">
      <c r="A5220" s="56" t="n"/>
      <c r="B5220" s="57" t="n"/>
      <c r="C5220" s="57" t="n"/>
      <c r="D5220" s="57" t="n"/>
      <c r="E5220" s="56" t="n"/>
      <c r="F5220" s="57" t="n"/>
      <c r="G5220" s="57" t="n"/>
      <c r="H5220" s="56" t="n"/>
      <c r="I5220" s="56" t="n"/>
      <c r="J5220" s="58" t="n"/>
      <c r="K5220" s="58" t="n"/>
      <c r="L5220" s="13">
        <f>IF(OR($A5220="",AND($J5220="",$K5220="")),"",ROUND(N($J5220)-N($K5220),2))</f>
        <v/>
      </c>
      <c r="M5220" s="13">
        <f>IF(OR($A5220="",AND($J5220="",$K5220="")),"",MIN($J5220,$K5220))</f>
        <v/>
      </c>
      <c r="Q5220">
        <f>IF($A5220="","",$D5220&amp;"("&amp;SUBSTITUTE($E5220," ","")&amp;")")</f>
        <v/>
      </c>
      <c r="R5220">
        <f>IF($A5220="","",$B5220&amp;" - "&amp;$C5220)</f>
        <v/>
      </c>
      <c r="S5220">
        <f>IF($A5220="","",$R5220&amp;"|"&amp;$Q5220)</f>
        <v/>
      </c>
      <c r="T5220">
        <f>IF($A5220="","",$S5220&amp;"|"&amp;$F5220)</f>
        <v/>
      </c>
      <c r="U5220">
        <f>IF($A5220="","",$R5220&amp;"("&amp;$E5220&amp;")")</f>
        <v/>
      </c>
      <c r="V5220">
        <f>IF($A5220="","",$F5220&amp;"|"&amp;$U5220&amp;"|"&amp;$D5220)</f>
        <v/>
      </c>
      <c r="W5220">
        <f>IF($T5220="","",IF($X5220&gt;N($X5219),$X5220,""))</f>
        <v/>
      </c>
      <c r="X5220">
        <f>IF($T5220="",N($X5219),IF(MATCH($T5220,$T$6:$T$6005,0)=ROW()-5,N($X5219)+1,N($X5219)))</f>
        <v/>
      </c>
      <c r="Z5220">
        <f>IF($V5220="","",IF($AA5220&gt;N($AA5219),$AA5220,""))</f>
        <v/>
      </c>
      <c r="AA5220">
        <f>IF($V5220="",N($AA5219),IF(MATCH($V5220,$V$6:$V$6005,0)=ROW()-5,N($AA5219)+1,N($AA5219)))</f>
        <v/>
      </c>
    </row>
    <row r="5221" ht="21" customHeight="1" s="66">
      <c r="A5221" s="56" t="n"/>
      <c r="B5221" s="57" t="n"/>
      <c r="C5221" s="57" t="n"/>
      <c r="D5221" s="57" t="n"/>
      <c r="E5221" s="56" t="n"/>
      <c r="F5221" s="57" t="n"/>
      <c r="G5221" s="57" t="n"/>
      <c r="H5221" s="56" t="n"/>
      <c r="I5221" s="56" t="n"/>
      <c r="J5221" s="58" t="n"/>
      <c r="K5221" s="58" t="n"/>
      <c r="L5221" s="13">
        <f>IF(OR($A5221="",AND($J5221="",$K5221="")),"",ROUND(N($J5221)-N($K5221),2))</f>
        <v/>
      </c>
      <c r="M5221" s="13">
        <f>IF(OR($A5221="",AND($J5221="",$K5221="")),"",MIN($J5221,$K5221))</f>
        <v/>
      </c>
      <c r="Q5221">
        <f>IF($A5221="","",$D5221&amp;"("&amp;SUBSTITUTE($E5221," ","")&amp;")")</f>
        <v/>
      </c>
      <c r="R5221">
        <f>IF($A5221="","",$B5221&amp;" - "&amp;$C5221)</f>
        <v/>
      </c>
      <c r="S5221">
        <f>IF($A5221="","",$R5221&amp;"|"&amp;$Q5221)</f>
        <v/>
      </c>
      <c r="T5221">
        <f>IF($A5221="","",$S5221&amp;"|"&amp;$F5221)</f>
        <v/>
      </c>
      <c r="U5221">
        <f>IF($A5221="","",$R5221&amp;"("&amp;$E5221&amp;")")</f>
        <v/>
      </c>
      <c r="V5221">
        <f>IF($A5221="","",$F5221&amp;"|"&amp;$U5221&amp;"|"&amp;$D5221)</f>
        <v/>
      </c>
      <c r="W5221">
        <f>IF($T5221="","",IF($X5221&gt;N($X5220),$X5221,""))</f>
        <v/>
      </c>
      <c r="X5221">
        <f>IF($T5221="",N($X5220),IF(MATCH($T5221,$T$6:$T$6005,0)=ROW()-5,N($X5220)+1,N($X5220)))</f>
        <v/>
      </c>
      <c r="Z5221">
        <f>IF($V5221="","",IF($AA5221&gt;N($AA5220),$AA5221,""))</f>
        <v/>
      </c>
      <c r="AA5221">
        <f>IF($V5221="",N($AA5220),IF(MATCH($V5221,$V$6:$V$6005,0)=ROW()-5,N($AA5220)+1,N($AA5220)))</f>
        <v/>
      </c>
    </row>
    <row r="5222" ht="21" customHeight="1" s="66">
      <c r="A5222" s="56" t="n"/>
      <c r="B5222" s="57" t="n"/>
      <c r="C5222" s="57" t="n"/>
      <c r="D5222" s="57" t="n"/>
      <c r="E5222" s="56" t="n"/>
      <c r="F5222" s="57" t="n"/>
      <c r="G5222" s="57" t="n"/>
      <c r="H5222" s="56" t="n"/>
      <c r="I5222" s="56" t="n"/>
      <c r="J5222" s="58" t="n"/>
      <c r="K5222" s="58" t="n"/>
      <c r="L5222" s="13">
        <f>IF(OR($A5222="",AND($J5222="",$K5222="")),"",ROUND(N($J5222)-N($K5222),2))</f>
        <v/>
      </c>
      <c r="M5222" s="13">
        <f>IF(OR($A5222="",AND($J5222="",$K5222="")),"",MIN($J5222,$K5222))</f>
        <v/>
      </c>
      <c r="Q5222">
        <f>IF($A5222="","",$D5222&amp;"("&amp;SUBSTITUTE($E5222," ","")&amp;")")</f>
        <v/>
      </c>
      <c r="R5222">
        <f>IF($A5222="","",$B5222&amp;" - "&amp;$C5222)</f>
        <v/>
      </c>
      <c r="S5222">
        <f>IF($A5222="","",$R5222&amp;"|"&amp;$Q5222)</f>
        <v/>
      </c>
      <c r="T5222">
        <f>IF($A5222="","",$S5222&amp;"|"&amp;$F5222)</f>
        <v/>
      </c>
      <c r="U5222">
        <f>IF($A5222="","",$R5222&amp;"("&amp;$E5222&amp;")")</f>
        <v/>
      </c>
      <c r="V5222">
        <f>IF($A5222="","",$F5222&amp;"|"&amp;$U5222&amp;"|"&amp;$D5222)</f>
        <v/>
      </c>
      <c r="W5222">
        <f>IF($T5222="","",IF($X5222&gt;N($X5221),$X5222,""))</f>
        <v/>
      </c>
      <c r="X5222">
        <f>IF($T5222="",N($X5221),IF(MATCH($T5222,$T$6:$T$6005,0)=ROW()-5,N($X5221)+1,N($X5221)))</f>
        <v/>
      </c>
      <c r="Z5222">
        <f>IF($V5222="","",IF($AA5222&gt;N($AA5221),$AA5222,""))</f>
        <v/>
      </c>
      <c r="AA5222">
        <f>IF($V5222="",N($AA5221),IF(MATCH($V5222,$V$6:$V$6005,0)=ROW()-5,N($AA5221)+1,N($AA5221)))</f>
        <v/>
      </c>
    </row>
    <row r="5223" ht="21" customHeight="1" s="66">
      <c r="A5223" s="56" t="n"/>
      <c r="B5223" s="57" t="n"/>
      <c r="C5223" s="57" t="n"/>
      <c r="D5223" s="57" t="n"/>
      <c r="E5223" s="56" t="n"/>
      <c r="F5223" s="57" t="n"/>
      <c r="G5223" s="57" t="n"/>
      <c r="H5223" s="56" t="n"/>
      <c r="I5223" s="56" t="n"/>
      <c r="J5223" s="58" t="n"/>
      <c r="K5223" s="58" t="n"/>
      <c r="L5223" s="13">
        <f>IF(OR($A5223="",AND($J5223="",$K5223="")),"",ROUND(N($J5223)-N($K5223),2))</f>
        <v/>
      </c>
      <c r="M5223" s="13">
        <f>IF(OR($A5223="",AND($J5223="",$K5223="")),"",MIN($J5223,$K5223))</f>
        <v/>
      </c>
      <c r="Q5223">
        <f>IF($A5223="","",$D5223&amp;"("&amp;SUBSTITUTE($E5223," ","")&amp;")")</f>
        <v/>
      </c>
      <c r="R5223">
        <f>IF($A5223="","",$B5223&amp;" - "&amp;$C5223)</f>
        <v/>
      </c>
      <c r="S5223">
        <f>IF($A5223="","",$R5223&amp;"|"&amp;$Q5223)</f>
        <v/>
      </c>
      <c r="T5223">
        <f>IF($A5223="","",$S5223&amp;"|"&amp;$F5223)</f>
        <v/>
      </c>
      <c r="U5223">
        <f>IF($A5223="","",$R5223&amp;"("&amp;$E5223&amp;")")</f>
        <v/>
      </c>
      <c r="V5223">
        <f>IF($A5223="","",$F5223&amp;"|"&amp;$U5223&amp;"|"&amp;$D5223)</f>
        <v/>
      </c>
      <c r="W5223">
        <f>IF($T5223="","",IF($X5223&gt;N($X5222),$X5223,""))</f>
        <v/>
      </c>
      <c r="X5223">
        <f>IF($T5223="",N($X5222),IF(MATCH($T5223,$T$6:$T$6005,0)=ROW()-5,N($X5222)+1,N($X5222)))</f>
        <v/>
      </c>
      <c r="Z5223">
        <f>IF($V5223="","",IF($AA5223&gt;N($AA5222),$AA5223,""))</f>
        <v/>
      </c>
      <c r="AA5223">
        <f>IF($V5223="",N($AA5222),IF(MATCH($V5223,$V$6:$V$6005,0)=ROW()-5,N($AA5222)+1,N($AA5222)))</f>
        <v/>
      </c>
    </row>
    <row r="5224" ht="21" customHeight="1" s="66">
      <c r="A5224" s="56" t="n"/>
      <c r="B5224" s="57" t="n"/>
      <c r="C5224" s="57" t="n"/>
      <c r="D5224" s="57" t="n"/>
      <c r="E5224" s="56" t="n"/>
      <c r="F5224" s="57" t="n"/>
      <c r="G5224" s="57" t="n"/>
      <c r="H5224" s="56" t="n"/>
      <c r="I5224" s="56" t="n"/>
      <c r="J5224" s="58" t="n"/>
      <c r="K5224" s="58" t="n"/>
      <c r="L5224" s="13">
        <f>IF(OR($A5224="",AND($J5224="",$K5224="")),"",ROUND(N($J5224)-N($K5224),2))</f>
        <v/>
      </c>
      <c r="M5224" s="13">
        <f>IF(OR($A5224="",AND($J5224="",$K5224="")),"",MIN($J5224,$K5224))</f>
        <v/>
      </c>
      <c r="Q5224">
        <f>IF($A5224="","",$D5224&amp;"("&amp;SUBSTITUTE($E5224," ","")&amp;")")</f>
        <v/>
      </c>
      <c r="R5224">
        <f>IF($A5224="","",$B5224&amp;" - "&amp;$C5224)</f>
        <v/>
      </c>
      <c r="S5224">
        <f>IF($A5224="","",$R5224&amp;"|"&amp;$Q5224)</f>
        <v/>
      </c>
      <c r="T5224">
        <f>IF($A5224="","",$S5224&amp;"|"&amp;$F5224)</f>
        <v/>
      </c>
      <c r="U5224">
        <f>IF($A5224="","",$R5224&amp;"("&amp;$E5224&amp;")")</f>
        <v/>
      </c>
      <c r="V5224">
        <f>IF($A5224="","",$F5224&amp;"|"&amp;$U5224&amp;"|"&amp;$D5224)</f>
        <v/>
      </c>
      <c r="W5224">
        <f>IF($T5224="","",IF($X5224&gt;N($X5223),$X5224,""))</f>
        <v/>
      </c>
      <c r="X5224">
        <f>IF($T5224="",N($X5223),IF(MATCH($T5224,$T$6:$T$6005,0)=ROW()-5,N($X5223)+1,N($X5223)))</f>
        <v/>
      </c>
      <c r="Z5224">
        <f>IF($V5224="","",IF($AA5224&gt;N($AA5223),$AA5224,""))</f>
        <v/>
      </c>
      <c r="AA5224">
        <f>IF($V5224="",N($AA5223),IF(MATCH($V5224,$V$6:$V$6005,0)=ROW()-5,N($AA5223)+1,N($AA5223)))</f>
        <v/>
      </c>
    </row>
    <row r="5225" ht="21" customHeight="1" s="66">
      <c r="A5225" s="56" t="n"/>
      <c r="B5225" s="57" t="n"/>
      <c r="C5225" s="57" t="n"/>
      <c r="D5225" s="57" t="n"/>
      <c r="E5225" s="56" t="n"/>
      <c r="F5225" s="57" t="n"/>
      <c r="G5225" s="57" t="n"/>
      <c r="H5225" s="56" t="n"/>
      <c r="I5225" s="56" t="n"/>
      <c r="J5225" s="58" t="n"/>
      <c r="K5225" s="58" t="n"/>
      <c r="L5225" s="13">
        <f>IF(OR($A5225="",AND($J5225="",$K5225="")),"",ROUND(N($J5225)-N($K5225),2))</f>
        <v/>
      </c>
      <c r="M5225" s="13">
        <f>IF(OR($A5225="",AND($J5225="",$K5225="")),"",MIN($J5225,$K5225))</f>
        <v/>
      </c>
      <c r="Q5225">
        <f>IF($A5225="","",$D5225&amp;"("&amp;SUBSTITUTE($E5225," ","")&amp;")")</f>
        <v/>
      </c>
      <c r="R5225">
        <f>IF($A5225="","",$B5225&amp;" - "&amp;$C5225)</f>
        <v/>
      </c>
      <c r="S5225">
        <f>IF($A5225="","",$R5225&amp;"|"&amp;$Q5225)</f>
        <v/>
      </c>
      <c r="T5225">
        <f>IF($A5225="","",$S5225&amp;"|"&amp;$F5225)</f>
        <v/>
      </c>
      <c r="U5225">
        <f>IF($A5225="","",$R5225&amp;"("&amp;$E5225&amp;")")</f>
        <v/>
      </c>
      <c r="V5225">
        <f>IF($A5225="","",$F5225&amp;"|"&amp;$U5225&amp;"|"&amp;$D5225)</f>
        <v/>
      </c>
      <c r="W5225">
        <f>IF($T5225="","",IF($X5225&gt;N($X5224),$X5225,""))</f>
        <v/>
      </c>
      <c r="X5225">
        <f>IF($T5225="",N($X5224),IF(MATCH($T5225,$T$6:$T$6005,0)=ROW()-5,N($X5224)+1,N($X5224)))</f>
        <v/>
      </c>
      <c r="Z5225">
        <f>IF($V5225="","",IF($AA5225&gt;N($AA5224),$AA5225,""))</f>
        <v/>
      </c>
      <c r="AA5225">
        <f>IF($V5225="",N($AA5224),IF(MATCH($V5225,$V$6:$V$6005,0)=ROW()-5,N($AA5224)+1,N($AA5224)))</f>
        <v/>
      </c>
    </row>
    <row r="5226" ht="21" customHeight="1" s="66">
      <c r="A5226" s="56" t="n"/>
      <c r="B5226" s="57" t="n"/>
      <c r="C5226" s="57" t="n"/>
      <c r="D5226" s="57" t="n"/>
      <c r="E5226" s="56" t="n"/>
      <c r="F5226" s="57" t="n"/>
      <c r="G5226" s="57" t="n"/>
      <c r="H5226" s="56" t="n"/>
      <c r="I5226" s="56" t="n"/>
      <c r="J5226" s="58" t="n"/>
      <c r="K5226" s="58" t="n"/>
      <c r="L5226" s="13">
        <f>IF(OR($A5226="",AND($J5226="",$K5226="")),"",ROUND(N($J5226)-N($K5226),2))</f>
        <v/>
      </c>
      <c r="M5226" s="13">
        <f>IF(OR($A5226="",AND($J5226="",$K5226="")),"",MIN($J5226,$K5226))</f>
        <v/>
      </c>
      <c r="Q5226">
        <f>IF($A5226="","",$D5226&amp;"("&amp;SUBSTITUTE($E5226," ","")&amp;")")</f>
        <v/>
      </c>
      <c r="R5226">
        <f>IF($A5226="","",$B5226&amp;" - "&amp;$C5226)</f>
        <v/>
      </c>
      <c r="S5226">
        <f>IF($A5226="","",$R5226&amp;"|"&amp;$Q5226)</f>
        <v/>
      </c>
      <c r="T5226">
        <f>IF($A5226="","",$S5226&amp;"|"&amp;$F5226)</f>
        <v/>
      </c>
      <c r="U5226">
        <f>IF($A5226="","",$R5226&amp;"("&amp;$E5226&amp;")")</f>
        <v/>
      </c>
      <c r="V5226">
        <f>IF($A5226="","",$F5226&amp;"|"&amp;$U5226&amp;"|"&amp;$D5226)</f>
        <v/>
      </c>
      <c r="W5226">
        <f>IF($T5226="","",IF($X5226&gt;N($X5225),$X5226,""))</f>
        <v/>
      </c>
      <c r="X5226">
        <f>IF($T5226="",N($X5225),IF(MATCH($T5226,$T$6:$T$6005,0)=ROW()-5,N($X5225)+1,N($X5225)))</f>
        <v/>
      </c>
      <c r="Z5226">
        <f>IF($V5226="","",IF($AA5226&gt;N($AA5225),$AA5226,""))</f>
        <v/>
      </c>
      <c r="AA5226">
        <f>IF($V5226="",N($AA5225),IF(MATCH($V5226,$V$6:$V$6005,0)=ROW()-5,N($AA5225)+1,N($AA5225)))</f>
        <v/>
      </c>
    </row>
    <row r="5227" ht="21" customHeight="1" s="66">
      <c r="A5227" s="56" t="n"/>
      <c r="B5227" s="57" t="n"/>
      <c r="C5227" s="57" t="n"/>
      <c r="D5227" s="57" t="n"/>
      <c r="E5227" s="56" t="n"/>
      <c r="F5227" s="57" t="n"/>
      <c r="G5227" s="57" t="n"/>
      <c r="H5227" s="56" t="n"/>
      <c r="I5227" s="56" t="n"/>
      <c r="J5227" s="58" t="n"/>
      <c r="K5227" s="58" t="n"/>
      <c r="L5227" s="13">
        <f>IF(OR($A5227="",AND($J5227="",$K5227="")),"",ROUND(N($J5227)-N($K5227),2))</f>
        <v/>
      </c>
      <c r="M5227" s="13">
        <f>IF(OR($A5227="",AND($J5227="",$K5227="")),"",MIN($J5227,$K5227))</f>
        <v/>
      </c>
      <c r="Q5227">
        <f>IF($A5227="","",$D5227&amp;"("&amp;SUBSTITUTE($E5227," ","")&amp;")")</f>
        <v/>
      </c>
      <c r="R5227">
        <f>IF($A5227="","",$B5227&amp;" - "&amp;$C5227)</f>
        <v/>
      </c>
      <c r="S5227">
        <f>IF($A5227="","",$R5227&amp;"|"&amp;$Q5227)</f>
        <v/>
      </c>
      <c r="T5227">
        <f>IF($A5227="","",$S5227&amp;"|"&amp;$F5227)</f>
        <v/>
      </c>
      <c r="U5227">
        <f>IF($A5227="","",$R5227&amp;"("&amp;$E5227&amp;")")</f>
        <v/>
      </c>
      <c r="V5227">
        <f>IF($A5227="","",$F5227&amp;"|"&amp;$U5227&amp;"|"&amp;$D5227)</f>
        <v/>
      </c>
      <c r="W5227">
        <f>IF($T5227="","",IF($X5227&gt;N($X5226),$X5227,""))</f>
        <v/>
      </c>
      <c r="X5227">
        <f>IF($T5227="",N($X5226),IF(MATCH($T5227,$T$6:$T$6005,0)=ROW()-5,N($X5226)+1,N($X5226)))</f>
        <v/>
      </c>
      <c r="Z5227">
        <f>IF($V5227="","",IF($AA5227&gt;N($AA5226),$AA5227,""))</f>
        <v/>
      </c>
      <c r="AA5227">
        <f>IF($V5227="",N($AA5226),IF(MATCH($V5227,$V$6:$V$6005,0)=ROW()-5,N($AA5226)+1,N($AA5226)))</f>
        <v/>
      </c>
    </row>
    <row r="5228" ht="21" customHeight="1" s="66">
      <c r="A5228" s="56" t="n"/>
      <c r="B5228" s="57" t="n"/>
      <c r="C5228" s="57" t="n"/>
      <c r="D5228" s="57" t="n"/>
      <c r="E5228" s="56" t="n"/>
      <c r="F5228" s="57" t="n"/>
      <c r="G5228" s="57" t="n"/>
      <c r="H5228" s="56" t="n"/>
      <c r="I5228" s="56" t="n"/>
      <c r="J5228" s="58" t="n"/>
      <c r="K5228" s="58" t="n"/>
      <c r="L5228" s="13">
        <f>IF(OR($A5228="",AND($J5228="",$K5228="")),"",ROUND(N($J5228)-N($K5228),2))</f>
        <v/>
      </c>
      <c r="M5228" s="13">
        <f>IF(OR($A5228="",AND($J5228="",$K5228="")),"",MIN($J5228,$K5228))</f>
        <v/>
      </c>
      <c r="Q5228">
        <f>IF($A5228="","",$D5228&amp;"("&amp;SUBSTITUTE($E5228," ","")&amp;")")</f>
        <v/>
      </c>
      <c r="R5228">
        <f>IF($A5228="","",$B5228&amp;" - "&amp;$C5228)</f>
        <v/>
      </c>
      <c r="S5228">
        <f>IF($A5228="","",$R5228&amp;"|"&amp;$Q5228)</f>
        <v/>
      </c>
      <c r="T5228">
        <f>IF($A5228="","",$S5228&amp;"|"&amp;$F5228)</f>
        <v/>
      </c>
      <c r="U5228">
        <f>IF($A5228="","",$R5228&amp;"("&amp;$E5228&amp;")")</f>
        <v/>
      </c>
      <c r="V5228">
        <f>IF($A5228="","",$F5228&amp;"|"&amp;$U5228&amp;"|"&amp;$D5228)</f>
        <v/>
      </c>
      <c r="W5228">
        <f>IF($T5228="","",IF($X5228&gt;N($X5227),$X5228,""))</f>
        <v/>
      </c>
      <c r="X5228">
        <f>IF($T5228="",N($X5227),IF(MATCH($T5228,$T$6:$T$6005,0)=ROW()-5,N($X5227)+1,N($X5227)))</f>
        <v/>
      </c>
      <c r="Z5228">
        <f>IF($V5228="","",IF($AA5228&gt;N($AA5227),$AA5228,""))</f>
        <v/>
      </c>
      <c r="AA5228">
        <f>IF($V5228="",N($AA5227),IF(MATCH($V5228,$V$6:$V$6005,0)=ROW()-5,N($AA5227)+1,N($AA5227)))</f>
        <v/>
      </c>
    </row>
    <row r="5229" ht="21" customHeight="1" s="66">
      <c r="A5229" s="56" t="n"/>
      <c r="B5229" s="57" t="n"/>
      <c r="C5229" s="57" t="n"/>
      <c r="D5229" s="57" t="n"/>
      <c r="E5229" s="56" t="n"/>
      <c r="F5229" s="57" t="n"/>
      <c r="G5229" s="57" t="n"/>
      <c r="H5229" s="56" t="n"/>
      <c r="I5229" s="56" t="n"/>
      <c r="J5229" s="58" t="n"/>
      <c r="K5229" s="58" t="n"/>
      <c r="L5229" s="13">
        <f>IF(OR($A5229="",AND($J5229="",$K5229="")),"",ROUND(N($J5229)-N($K5229),2))</f>
        <v/>
      </c>
      <c r="M5229" s="13">
        <f>IF(OR($A5229="",AND($J5229="",$K5229="")),"",MIN($J5229,$K5229))</f>
        <v/>
      </c>
      <c r="Q5229">
        <f>IF($A5229="","",$D5229&amp;"("&amp;SUBSTITUTE($E5229," ","")&amp;")")</f>
        <v/>
      </c>
      <c r="R5229">
        <f>IF($A5229="","",$B5229&amp;" - "&amp;$C5229)</f>
        <v/>
      </c>
      <c r="S5229">
        <f>IF($A5229="","",$R5229&amp;"|"&amp;$Q5229)</f>
        <v/>
      </c>
      <c r="T5229">
        <f>IF($A5229="","",$S5229&amp;"|"&amp;$F5229)</f>
        <v/>
      </c>
      <c r="U5229">
        <f>IF($A5229="","",$R5229&amp;"("&amp;$E5229&amp;")")</f>
        <v/>
      </c>
      <c r="V5229">
        <f>IF($A5229="","",$F5229&amp;"|"&amp;$U5229&amp;"|"&amp;$D5229)</f>
        <v/>
      </c>
      <c r="W5229">
        <f>IF($T5229="","",IF($X5229&gt;N($X5228),$X5229,""))</f>
        <v/>
      </c>
      <c r="X5229">
        <f>IF($T5229="",N($X5228),IF(MATCH($T5229,$T$6:$T$6005,0)=ROW()-5,N($X5228)+1,N($X5228)))</f>
        <v/>
      </c>
      <c r="Z5229">
        <f>IF($V5229="","",IF($AA5229&gt;N($AA5228),$AA5229,""))</f>
        <v/>
      </c>
      <c r="AA5229">
        <f>IF($V5229="",N($AA5228),IF(MATCH($V5229,$V$6:$V$6005,0)=ROW()-5,N($AA5228)+1,N($AA5228)))</f>
        <v/>
      </c>
    </row>
    <row r="5230" ht="21" customHeight="1" s="66">
      <c r="A5230" s="56" t="n"/>
      <c r="B5230" s="57" t="n"/>
      <c r="C5230" s="57" t="n"/>
      <c r="D5230" s="57" t="n"/>
      <c r="E5230" s="56" t="n"/>
      <c r="F5230" s="57" t="n"/>
      <c r="G5230" s="57" t="n"/>
      <c r="H5230" s="56" t="n"/>
      <c r="I5230" s="56" t="n"/>
      <c r="J5230" s="58" t="n"/>
      <c r="K5230" s="58" t="n"/>
      <c r="L5230" s="13">
        <f>IF(OR($A5230="",AND($J5230="",$K5230="")),"",ROUND(N($J5230)-N($K5230),2))</f>
        <v/>
      </c>
      <c r="M5230" s="13">
        <f>IF(OR($A5230="",AND($J5230="",$K5230="")),"",MIN($J5230,$K5230))</f>
        <v/>
      </c>
      <c r="Q5230">
        <f>IF($A5230="","",$D5230&amp;"("&amp;SUBSTITUTE($E5230," ","")&amp;")")</f>
        <v/>
      </c>
      <c r="R5230">
        <f>IF($A5230="","",$B5230&amp;" - "&amp;$C5230)</f>
        <v/>
      </c>
      <c r="S5230">
        <f>IF($A5230="","",$R5230&amp;"|"&amp;$Q5230)</f>
        <v/>
      </c>
      <c r="T5230">
        <f>IF($A5230="","",$S5230&amp;"|"&amp;$F5230)</f>
        <v/>
      </c>
      <c r="U5230">
        <f>IF($A5230="","",$R5230&amp;"("&amp;$E5230&amp;")")</f>
        <v/>
      </c>
      <c r="V5230">
        <f>IF($A5230="","",$F5230&amp;"|"&amp;$U5230&amp;"|"&amp;$D5230)</f>
        <v/>
      </c>
      <c r="W5230">
        <f>IF($T5230="","",IF($X5230&gt;N($X5229),$X5230,""))</f>
        <v/>
      </c>
      <c r="X5230">
        <f>IF($T5230="",N($X5229),IF(MATCH($T5230,$T$6:$T$6005,0)=ROW()-5,N($X5229)+1,N($X5229)))</f>
        <v/>
      </c>
      <c r="Z5230">
        <f>IF($V5230="","",IF($AA5230&gt;N($AA5229),$AA5230,""))</f>
        <v/>
      </c>
      <c r="AA5230">
        <f>IF($V5230="",N($AA5229),IF(MATCH($V5230,$V$6:$V$6005,0)=ROW()-5,N($AA5229)+1,N($AA5229)))</f>
        <v/>
      </c>
    </row>
    <row r="5231" ht="21" customHeight="1" s="66">
      <c r="A5231" s="56" t="n"/>
      <c r="B5231" s="57" t="n"/>
      <c r="C5231" s="57" t="n"/>
      <c r="D5231" s="57" t="n"/>
      <c r="E5231" s="56" t="n"/>
      <c r="F5231" s="57" t="n"/>
      <c r="G5231" s="57" t="n"/>
      <c r="H5231" s="56" t="n"/>
      <c r="I5231" s="56" t="n"/>
      <c r="J5231" s="58" t="n"/>
      <c r="K5231" s="58" t="n"/>
      <c r="L5231" s="13">
        <f>IF(OR($A5231="",AND($J5231="",$K5231="")),"",ROUND(N($J5231)-N($K5231),2))</f>
        <v/>
      </c>
      <c r="M5231" s="13">
        <f>IF(OR($A5231="",AND($J5231="",$K5231="")),"",MIN($J5231,$K5231))</f>
        <v/>
      </c>
      <c r="Q5231">
        <f>IF($A5231="","",$D5231&amp;"("&amp;SUBSTITUTE($E5231," ","")&amp;")")</f>
        <v/>
      </c>
      <c r="R5231">
        <f>IF($A5231="","",$B5231&amp;" - "&amp;$C5231)</f>
        <v/>
      </c>
      <c r="S5231">
        <f>IF($A5231="","",$R5231&amp;"|"&amp;$Q5231)</f>
        <v/>
      </c>
      <c r="T5231">
        <f>IF($A5231="","",$S5231&amp;"|"&amp;$F5231)</f>
        <v/>
      </c>
      <c r="U5231">
        <f>IF($A5231="","",$R5231&amp;"("&amp;$E5231&amp;")")</f>
        <v/>
      </c>
      <c r="V5231">
        <f>IF($A5231="","",$F5231&amp;"|"&amp;$U5231&amp;"|"&amp;$D5231)</f>
        <v/>
      </c>
      <c r="W5231">
        <f>IF($T5231="","",IF($X5231&gt;N($X5230),$X5231,""))</f>
        <v/>
      </c>
      <c r="X5231">
        <f>IF($T5231="",N($X5230),IF(MATCH($T5231,$T$6:$T$6005,0)=ROW()-5,N($X5230)+1,N($X5230)))</f>
        <v/>
      </c>
      <c r="Z5231">
        <f>IF($V5231="","",IF($AA5231&gt;N($AA5230),$AA5231,""))</f>
        <v/>
      </c>
      <c r="AA5231">
        <f>IF($V5231="",N($AA5230),IF(MATCH($V5231,$V$6:$V$6005,0)=ROW()-5,N($AA5230)+1,N($AA5230)))</f>
        <v/>
      </c>
    </row>
    <row r="5232" ht="21" customHeight="1" s="66">
      <c r="A5232" s="56" t="n"/>
      <c r="B5232" s="57" t="n"/>
      <c r="C5232" s="57" t="n"/>
      <c r="D5232" s="57" t="n"/>
      <c r="E5232" s="56" t="n"/>
      <c r="F5232" s="57" t="n"/>
      <c r="G5232" s="57" t="n"/>
      <c r="H5232" s="56" t="n"/>
      <c r="I5232" s="56" t="n"/>
      <c r="J5232" s="58" t="n"/>
      <c r="K5232" s="58" t="n"/>
      <c r="L5232" s="13">
        <f>IF(OR($A5232="",AND($J5232="",$K5232="")),"",ROUND(N($J5232)-N($K5232),2))</f>
        <v/>
      </c>
      <c r="M5232" s="13">
        <f>IF(OR($A5232="",AND($J5232="",$K5232="")),"",MIN($J5232,$K5232))</f>
        <v/>
      </c>
      <c r="Q5232">
        <f>IF($A5232="","",$D5232&amp;"("&amp;SUBSTITUTE($E5232," ","")&amp;")")</f>
        <v/>
      </c>
      <c r="R5232">
        <f>IF($A5232="","",$B5232&amp;" - "&amp;$C5232)</f>
        <v/>
      </c>
      <c r="S5232">
        <f>IF($A5232="","",$R5232&amp;"|"&amp;$Q5232)</f>
        <v/>
      </c>
      <c r="T5232">
        <f>IF($A5232="","",$S5232&amp;"|"&amp;$F5232)</f>
        <v/>
      </c>
      <c r="U5232">
        <f>IF($A5232="","",$R5232&amp;"("&amp;$E5232&amp;")")</f>
        <v/>
      </c>
      <c r="V5232">
        <f>IF($A5232="","",$F5232&amp;"|"&amp;$U5232&amp;"|"&amp;$D5232)</f>
        <v/>
      </c>
      <c r="W5232">
        <f>IF($T5232="","",IF($X5232&gt;N($X5231),$X5232,""))</f>
        <v/>
      </c>
      <c r="X5232">
        <f>IF($T5232="",N($X5231),IF(MATCH($T5232,$T$6:$T$6005,0)=ROW()-5,N($X5231)+1,N($X5231)))</f>
        <v/>
      </c>
      <c r="Z5232">
        <f>IF($V5232="","",IF($AA5232&gt;N($AA5231),$AA5232,""))</f>
        <v/>
      </c>
      <c r="AA5232">
        <f>IF($V5232="",N($AA5231),IF(MATCH($V5232,$V$6:$V$6005,0)=ROW()-5,N($AA5231)+1,N($AA5231)))</f>
        <v/>
      </c>
    </row>
    <row r="5233" ht="21" customHeight="1" s="66">
      <c r="A5233" s="56" t="n"/>
      <c r="B5233" s="57" t="n"/>
      <c r="C5233" s="57" t="n"/>
      <c r="D5233" s="57" t="n"/>
      <c r="E5233" s="56" t="n"/>
      <c r="F5233" s="57" t="n"/>
      <c r="G5233" s="57" t="n"/>
      <c r="H5233" s="56" t="n"/>
      <c r="I5233" s="56" t="n"/>
      <c r="J5233" s="58" t="n"/>
      <c r="K5233" s="58" t="n"/>
      <c r="L5233" s="13">
        <f>IF(OR($A5233="",AND($J5233="",$K5233="")),"",ROUND(N($J5233)-N($K5233),2))</f>
        <v/>
      </c>
      <c r="M5233" s="13">
        <f>IF(OR($A5233="",AND($J5233="",$K5233="")),"",MIN($J5233,$K5233))</f>
        <v/>
      </c>
      <c r="Q5233">
        <f>IF($A5233="","",$D5233&amp;"("&amp;SUBSTITUTE($E5233," ","")&amp;")")</f>
        <v/>
      </c>
      <c r="R5233">
        <f>IF($A5233="","",$B5233&amp;" - "&amp;$C5233)</f>
        <v/>
      </c>
      <c r="S5233">
        <f>IF($A5233="","",$R5233&amp;"|"&amp;$Q5233)</f>
        <v/>
      </c>
      <c r="T5233">
        <f>IF($A5233="","",$S5233&amp;"|"&amp;$F5233)</f>
        <v/>
      </c>
      <c r="U5233">
        <f>IF($A5233="","",$R5233&amp;"("&amp;$E5233&amp;")")</f>
        <v/>
      </c>
      <c r="V5233">
        <f>IF($A5233="","",$F5233&amp;"|"&amp;$U5233&amp;"|"&amp;$D5233)</f>
        <v/>
      </c>
      <c r="W5233">
        <f>IF($T5233="","",IF($X5233&gt;N($X5232),$X5233,""))</f>
        <v/>
      </c>
      <c r="X5233">
        <f>IF($T5233="",N($X5232),IF(MATCH($T5233,$T$6:$T$6005,0)=ROW()-5,N($X5232)+1,N($X5232)))</f>
        <v/>
      </c>
      <c r="Z5233">
        <f>IF($V5233="","",IF($AA5233&gt;N($AA5232),$AA5233,""))</f>
        <v/>
      </c>
      <c r="AA5233">
        <f>IF($V5233="",N($AA5232),IF(MATCH($V5233,$V$6:$V$6005,0)=ROW()-5,N($AA5232)+1,N($AA5232)))</f>
        <v/>
      </c>
    </row>
    <row r="5234" ht="21" customHeight="1" s="66">
      <c r="A5234" s="56" t="n"/>
      <c r="B5234" s="57" t="n"/>
      <c r="C5234" s="57" t="n"/>
      <c r="D5234" s="57" t="n"/>
      <c r="E5234" s="56" t="n"/>
      <c r="F5234" s="57" t="n"/>
      <c r="G5234" s="57" t="n"/>
      <c r="H5234" s="56" t="n"/>
      <c r="I5234" s="56" t="n"/>
      <c r="J5234" s="58" t="n"/>
      <c r="K5234" s="58" t="n"/>
      <c r="L5234" s="13">
        <f>IF(OR($A5234="",AND($J5234="",$K5234="")),"",ROUND(N($J5234)-N($K5234),2))</f>
        <v/>
      </c>
      <c r="M5234" s="13">
        <f>IF(OR($A5234="",AND($J5234="",$K5234="")),"",MIN($J5234,$K5234))</f>
        <v/>
      </c>
      <c r="Q5234">
        <f>IF($A5234="","",$D5234&amp;"("&amp;SUBSTITUTE($E5234," ","")&amp;")")</f>
        <v/>
      </c>
      <c r="R5234">
        <f>IF($A5234="","",$B5234&amp;" - "&amp;$C5234)</f>
        <v/>
      </c>
      <c r="S5234">
        <f>IF($A5234="","",$R5234&amp;"|"&amp;$Q5234)</f>
        <v/>
      </c>
      <c r="T5234">
        <f>IF($A5234="","",$S5234&amp;"|"&amp;$F5234)</f>
        <v/>
      </c>
      <c r="U5234">
        <f>IF($A5234="","",$R5234&amp;"("&amp;$E5234&amp;")")</f>
        <v/>
      </c>
      <c r="V5234">
        <f>IF($A5234="","",$F5234&amp;"|"&amp;$U5234&amp;"|"&amp;$D5234)</f>
        <v/>
      </c>
      <c r="W5234">
        <f>IF($T5234="","",IF($X5234&gt;N($X5233),$X5234,""))</f>
        <v/>
      </c>
      <c r="X5234">
        <f>IF($T5234="",N($X5233),IF(MATCH($T5234,$T$6:$T$6005,0)=ROW()-5,N($X5233)+1,N($X5233)))</f>
        <v/>
      </c>
      <c r="Z5234">
        <f>IF($V5234="","",IF($AA5234&gt;N($AA5233),$AA5234,""))</f>
        <v/>
      </c>
      <c r="AA5234">
        <f>IF($V5234="",N($AA5233),IF(MATCH($V5234,$V$6:$V$6005,0)=ROW()-5,N($AA5233)+1,N($AA5233)))</f>
        <v/>
      </c>
    </row>
    <row r="5235" ht="21" customHeight="1" s="66">
      <c r="A5235" s="56" t="n"/>
      <c r="B5235" s="57" t="n"/>
      <c r="C5235" s="57" t="n"/>
      <c r="D5235" s="57" t="n"/>
      <c r="E5235" s="56" t="n"/>
      <c r="F5235" s="57" t="n"/>
      <c r="G5235" s="57" t="n"/>
      <c r="H5235" s="56" t="n"/>
      <c r="I5235" s="56" t="n"/>
      <c r="J5235" s="58" t="n"/>
      <c r="K5235" s="58" t="n"/>
      <c r="L5235" s="13">
        <f>IF(OR($A5235="",AND($J5235="",$K5235="")),"",ROUND(N($J5235)-N($K5235),2))</f>
        <v/>
      </c>
      <c r="M5235" s="13">
        <f>IF(OR($A5235="",AND($J5235="",$K5235="")),"",MIN($J5235,$K5235))</f>
        <v/>
      </c>
      <c r="Q5235">
        <f>IF($A5235="","",$D5235&amp;"("&amp;SUBSTITUTE($E5235," ","")&amp;")")</f>
        <v/>
      </c>
      <c r="R5235">
        <f>IF($A5235="","",$B5235&amp;" - "&amp;$C5235)</f>
        <v/>
      </c>
      <c r="S5235">
        <f>IF($A5235="","",$R5235&amp;"|"&amp;$Q5235)</f>
        <v/>
      </c>
      <c r="T5235">
        <f>IF($A5235="","",$S5235&amp;"|"&amp;$F5235)</f>
        <v/>
      </c>
      <c r="U5235">
        <f>IF($A5235="","",$R5235&amp;"("&amp;$E5235&amp;")")</f>
        <v/>
      </c>
      <c r="V5235">
        <f>IF($A5235="","",$F5235&amp;"|"&amp;$U5235&amp;"|"&amp;$D5235)</f>
        <v/>
      </c>
      <c r="W5235">
        <f>IF($T5235="","",IF($X5235&gt;N($X5234),$X5235,""))</f>
        <v/>
      </c>
      <c r="X5235">
        <f>IF($T5235="",N($X5234),IF(MATCH($T5235,$T$6:$T$6005,0)=ROW()-5,N($X5234)+1,N($X5234)))</f>
        <v/>
      </c>
      <c r="Z5235">
        <f>IF($V5235="","",IF($AA5235&gt;N($AA5234),$AA5235,""))</f>
        <v/>
      </c>
      <c r="AA5235">
        <f>IF($V5235="",N($AA5234),IF(MATCH($V5235,$V$6:$V$6005,0)=ROW()-5,N($AA5234)+1,N($AA5234)))</f>
        <v/>
      </c>
    </row>
    <row r="5236" ht="21" customHeight="1" s="66">
      <c r="A5236" s="56" t="n"/>
      <c r="B5236" s="57" t="n"/>
      <c r="C5236" s="57" t="n"/>
      <c r="D5236" s="57" t="n"/>
      <c r="E5236" s="56" t="n"/>
      <c r="F5236" s="57" t="n"/>
      <c r="G5236" s="57" t="n"/>
      <c r="H5236" s="56" t="n"/>
      <c r="I5236" s="56" t="n"/>
      <c r="J5236" s="58" t="n"/>
      <c r="K5236" s="58" t="n"/>
      <c r="L5236" s="13">
        <f>IF(OR($A5236="",AND($J5236="",$K5236="")),"",ROUND(N($J5236)-N($K5236),2))</f>
        <v/>
      </c>
      <c r="M5236" s="13">
        <f>IF(OR($A5236="",AND($J5236="",$K5236="")),"",MIN($J5236,$K5236))</f>
        <v/>
      </c>
      <c r="Q5236">
        <f>IF($A5236="","",$D5236&amp;"("&amp;SUBSTITUTE($E5236," ","")&amp;")")</f>
        <v/>
      </c>
      <c r="R5236">
        <f>IF($A5236="","",$B5236&amp;" - "&amp;$C5236)</f>
        <v/>
      </c>
      <c r="S5236">
        <f>IF($A5236="","",$R5236&amp;"|"&amp;$Q5236)</f>
        <v/>
      </c>
      <c r="T5236">
        <f>IF($A5236="","",$S5236&amp;"|"&amp;$F5236)</f>
        <v/>
      </c>
      <c r="U5236">
        <f>IF($A5236="","",$R5236&amp;"("&amp;$E5236&amp;")")</f>
        <v/>
      </c>
      <c r="V5236">
        <f>IF($A5236="","",$F5236&amp;"|"&amp;$U5236&amp;"|"&amp;$D5236)</f>
        <v/>
      </c>
      <c r="W5236">
        <f>IF($T5236="","",IF($X5236&gt;N($X5235),$X5236,""))</f>
        <v/>
      </c>
      <c r="X5236">
        <f>IF($T5236="",N($X5235),IF(MATCH($T5236,$T$6:$T$6005,0)=ROW()-5,N($X5235)+1,N($X5235)))</f>
        <v/>
      </c>
      <c r="Z5236">
        <f>IF($V5236="","",IF($AA5236&gt;N($AA5235),$AA5236,""))</f>
        <v/>
      </c>
      <c r="AA5236">
        <f>IF($V5236="",N($AA5235),IF(MATCH($V5236,$V$6:$V$6005,0)=ROW()-5,N($AA5235)+1,N($AA5235)))</f>
        <v/>
      </c>
    </row>
    <row r="5237" ht="21" customHeight="1" s="66">
      <c r="A5237" s="56" t="n"/>
      <c r="B5237" s="57" t="n"/>
      <c r="C5237" s="57" t="n"/>
      <c r="D5237" s="57" t="n"/>
      <c r="E5237" s="56" t="n"/>
      <c r="F5237" s="57" t="n"/>
      <c r="G5237" s="57" t="n"/>
      <c r="H5237" s="56" t="n"/>
      <c r="I5237" s="56" t="n"/>
      <c r="J5237" s="58" t="n"/>
      <c r="K5237" s="58" t="n"/>
      <c r="L5237" s="13">
        <f>IF(OR($A5237="",AND($J5237="",$K5237="")),"",ROUND(N($J5237)-N($K5237),2))</f>
        <v/>
      </c>
      <c r="M5237" s="13">
        <f>IF(OR($A5237="",AND($J5237="",$K5237="")),"",MIN($J5237,$K5237))</f>
        <v/>
      </c>
      <c r="Q5237">
        <f>IF($A5237="","",$D5237&amp;"("&amp;SUBSTITUTE($E5237," ","")&amp;")")</f>
        <v/>
      </c>
      <c r="R5237">
        <f>IF($A5237="","",$B5237&amp;" - "&amp;$C5237)</f>
        <v/>
      </c>
      <c r="S5237">
        <f>IF($A5237="","",$R5237&amp;"|"&amp;$Q5237)</f>
        <v/>
      </c>
      <c r="T5237">
        <f>IF($A5237="","",$S5237&amp;"|"&amp;$F5237)</f>
        <v/>
      </c>
      <c r="U5237">
        <f>IF($A5237="","",$R5237&amp;"("&amp;$E5237&amp;")")</f>
        <v/>
      </c>
      <c r="V5237">
        <f>IF($A5237="","",$F5237&amp;"|"&amp;$U5237&amp;"|"&amp;$D5237)</f>
        <v/>
      </c>
      <c r="W5237">
        <f>IF($T5237="","",IF($X5237&gt;N($X5236),$X5237,""))</f>
        <v/>
      </c>
      <c r="X5237">
        <f>IF($T5237="",N($X5236),IF(MATCH($T5237,$T$6:$T$6005,0)=ROW()-5,N($X5236)+1,N($X5236)))</f>
        <v/>
      </c>
      <c r="Z5237">
        <f>IF($V5237="","",IF($AA5237&gt;N($AA5236),$AA5237,""))</f>
        <v/>
      </c>
      <c r="AA5237">
        <f>IF($V5237="",N($AA5236),IF(MATCH($V5237,$V$6:$V$6005,0)=ROW()-5,N($AA5236)+1,N($AA5236)))</f>
        <v/>
      </c>
    </row>
    <row r="5238" ht="21" customHeight="1" s="66">
      <c r="A5238" s="56" t="n"/>
      <c r="B5238" s="57" t="n"/>
      <c r="C5238" s="57" t="n"/>
      <c r="D5238" s="57" t="n"/>
      <c r="E5238" s="56" t="n"/>
      <c r="F5238" s="57" t="n"/>
      <c r="G5238" s="57" t="n"/>
      <c r="H5238" s="56" t="n"/>
      <c r="I5238" s="56" t="n"/>
      <c r="J5238" s="58" t="n"/>
      <c r="K5238" s="58" t="n"/>
      <c r="L5238" s="13">
        <f>IF(OR($A5238="",AND($J5238="",$K5238="")),"",ROUND(N($J5238)-N($K5238),2))</f>
        <v/>
      </c>
      <c r="M5238" s="13">
        <f>IF(OR($A5238="",AND($J5238="",$K5238="")),"",MIN($J5238,$K5238))</f>
        <v/>
      </c>
      <c r="Q5238">
        <f>IF($A5238="","",$D5238&amp;"("&amp;SUBSTITUTE($E5238," ","")&amp;")")</f>
        <v/>
      </c>
      <c r="R5238">
        <f>IF($A5238="","",$B5238&amp;" - "&amp;$C5238)</f>
        <v/>
      </c>
      <c r="S5238">
        <f>IF($A5238="","",$R5238&amp;"|"&amp;$Q5238)</f>
        <v/>
      </c>
      <c r="T5238">
        <f>IF($A5238="","",$S5238&amp;"|"&amp;$F5238)</f>
        <v/>
      </c>
      <c r="U5238">
        <f>IF($A5238="","",$R5238&amp;"("&amp;$E5238&amp;")")</f>
        <v/>
      </c>
      <c r="V5238">
        <f>IF($A5238="","",$F5238&amp;"|"&amp;$U5238&amp;"|"&amp;$D5238)</f>
        <v/>
      </c>
      <c r="W5238">
        <f>IF($T5238="","",IF($X5238&gt;N($X5237),$X5238,""))</f>
        <v/>
      </c>
      <c r="X5238">
        <f>IF($T5238="",N($X5237),IF(MATCH($T5238,$T$6:$T$6005,0)=ROW()-5,N($X5237)+1,N($X5237)))</f>
        <v/>
      </c>
      <c r="Z5238">
        <f>IF($V5238="","",IF($AA5238&gt;N($AA5237),$AA5238,""))</f>
        <v/>
      </c>
      <c r="AA5238">
        <f>IF($V5238="",N($AA5237),IF(MATCH($V5238,$V$6:$V$6005,0)=ROW()-5,N($AA5237)+1,N($AA5237)))</f>
        <v/>
      </c>
    </row>
    <row r="5239" ht="21" customHeight="1" s="66">
      <c r="A5239" s="56" t="n"/>
      <c r="B5239" s="57" t="n"/>
      <c r="C5239" s="57" t="n"/>
      <c r="D5239" s="57" t="n"/>
      <c r="E5239" s="56" t="n"/>
      <c r="F5239" s="57" t="n"/>
      <c r="G5239" s="57" t="n"/>
      <c r="H5239" s="56" t="n"/>
      <c r="I5239" s="56" t="n"/>
      <c r="J5239" s="58" t="n"/>
      <c r="K5239" s="58" t="n"/>
      <c r="L5239" s="13">
        <f>IF(OR($A5239="",AND($J5239="",$K5239="")),"",ROUND(N($J5239)-N($K5239),2))</f>
        <v/>
      </c>
      <c r="M5239" s="13">
        <f>IF(OR($A5239="",AND($J5239="",$K5239="")),"",MIN($J5239,$K5239))</f>
        <v/>
      </c>
      <c r="Q5239">
        <f>IF($A5239="","",$D5239&amp;"("&amp;SUBSTITUTE($E5239," ","")&amp;")")</f>
        <v/>
      </c>
      <c r="R5239">
        <f>IF($A5239="","",$B5239&amp;" - "&amp;$C5239)</f>
        <v/>
      </c>
      <c r="S5239">
        <f>IF($A5239="","",$R5239&amp;"|"&amp;$Q5239)</f>
        <v/>
      </c>
      <c r="T5239">
        <f>IF($A5239="","",$S5239&amp;"|"&amp;$F5239)</f>
        <v/>
      </c>
      <c r="U5239">
        <f>IF($A5239="","",$R5239&amp;"("&amp;$E5239&amp;")")</f>
        <v/>
      </c>
      <c r="V5239">
        <f>IF($A5239="","",$F5239&amp;"|"&amp;$U5239&amp;"|"&amp;$D5239)</f>
        <v/>
      </c>
      <c r="W5239">
        <f>IF($T5239="","",IF($X5239&gt;N($X5238),$X5239,""))</f>
        <v/>
      </c>
      <c r="X5239">
        <f>IF($T5239="",N($X5238),IF(MATCH($T5239,$T$6:$T$6005,0)=ROW()-5,N($X5238)+1,N($X5238)))</f>
        <v/>
      </c>
      <c r="Z5239">
        <f>IF($V5239="","",IF($AA5239&gt;N($AA5238),$AA5239,""))</f>
        <v/>
      </c>
      <c r="AA5239">
        <f>IF($V5239="",N($AA5238),IF(MATCH($V5239,$V$6:$V$6005,0)=ROW()-5,N($AA5238)+1,N($AA5238)))</f>
        <v/>
      </c>
    </row>
    <row r="5240" ht="21" customHeight="1" s="66">
      <c r="A5240" s="56" t="n"/>
      <c r="B5240" s="57" t="n"/>
      <c r="C5240" s="57" t="n"/>
      <c r="D5240" s="57" t="n"/>
      <c r="E5240" s="56" t="n"/>
      <c r="F5240" s="57" t="n"/>
      <c r="G5240" s="57" t="n"/>
      <c r="H5240" s="56" t="n"/>
      <c r="I5240" s="56" t="n"/>
      <c r="J5240" s="58" t="n"/>
      <c r="K5240" s="58" t="n"/>
      <c r="L5240" s="13">
        <f>IF(OR($A5240="",AND($J5240="",$K5240="")),"",ROUND(N($J5240)-N($K5240),2))</f>
        <v/>
      </c>
      <c r="M5240" s="13">
        <f>IF(OR($A5240="",AND($J5240="",$K5240="")),"",MIN($J5240,$K5240))</f>
        <v/>
      </c>
      <c r="Q5240">
        <f>IF($A5240="","",$D5240&amp;"("&amp;SUBSTITUTE($E5240," ","")&amp;")")</f>
        <v/>
      </c>
      <c r="R5240">
        <f>IF($A5240="","",$B5240&amp;" - "&amp;$C5240)</f>
        <v/>
      </c>
      <c r="S5240">
        <f>IF($A5240="","",$R5240&amp;"|"&amp;$Q5240)</f>
        <v/>
      </c>
      <c r="T5240">
        <f>IF($A5240="","",$S5240&amp;"|"&amp;$F5240)</f>
        <v/>
      </c>
      <c r="U5240">
        <f>IF($A5240="","",$R5240&amp;"("&amp;$E5240&amp;")")</f>
        <v/>
      </c>
      <c r="V5240">
        <f>IF($A5240="","",$F5240&amp;"|"&amp;$U5240&amp;"|"&amp;$D5240)</f>
        <v/>
      </c>
      <c r="W5240">
        <f>IF($T5240="","",IF($X5240&gt;N($X5239),$X5240,""))</f>
        <v/>
      </c>
      <c r="X5240">
        <f>IF($T5240="",N($X5239),IF(MATCH($T5240,$T$6:$T$6005,0)=ROW()-5,N($X5239)+1,N($X5239)))</f>
        <v/>
      </c>
      <c r="Z5240">
        <f>IF($V5240="","",IF($AA5240&gt;N($AA5239),$AA5240,""))</f>
        <v/>
      </c>
      <c r="AA5240">
        <f>IF($V5240="",N($AA5239),IF(MATCH($V5240,$V$6:$V$6005,0)=ROW()-5,N($AA5239)+1,N($AA5239)))</f>
        <v/>
      </c>
    </row>
    <row r="5241" ht="21" customHeight="1" s="66">
      <c r="A5241" s="56" t="n"/>
      <c r="B5241" s="57" t="n"/>
      <c r="C5241" s="57" t="n"/>
      <c r="D5241" s="57" t="n"/>
      <c r="E5241" s="56" t="n"/>
      <c r="F5241" s="57" t="n"/>
      <c r="G5241" s="57" t="n"/>
      <c r="H5241" s="56" t="n"/>
      <c r="I5241" s="56" t="n"/>
      <c r="J5241" s="58" t="n"/>
      <c r="K5241" s="58" t="n"/>
      <c r="L5241" s="13">
        <f>IF(OR($A5241="",AND($J5241="",$K5241="")),"",ROUND(N($J5241)-N($K5241),2))</f>
        <v/>
      </c>
      <c r="M5241" s="13">
        <f>IF(OR($A5241="",AND($J5241="",$K5241="")),"",MIN($J5241,$K5241))</f>
        <v/>
      </c>
      <c r="Q5241">
        <f>IF($A5241="","",$D5241&amp;"("&amp;SUBSTITUTE($E5241," ","")&amp;")")</f>
        <v/>
      </c>
      <c r="R5241">
        <f>IF($A5241="","",$B5241&amp;" - "&amp;$C5241)</f>
        <v/>
      </c>
      <c r="S5241">
        <f>IF($A5241="","",$R5241&amp;"|"&amp;$Q5241)</f>
        <v/>
      </c>
      <c r="T5241">
        <f>IF($A5241="","",$S5241&amp;"|"&amp;$F5241)</f>
        <v/>
      </c>
      <c r="U5241">
        <f>IF($A5241="","",$R5241&amp;"("&amp;$E5241&amp;")")</f>
        <v/>
      </c>
      <c r="V5241">
        <f>IF($A5241="","",$F5241&amp;"|"&amp;$U5241&amp;"|"&amp;$D5241)</f>
        <v/>
      </c>
      <c r="W5241">
        <f>IF($T5241="","",IF($X5241&gt;N($X5240),$X5241,""))</f>
        <v/>
      </c>
      <c r="X5241">
        <f>IF($T5241="",N($X5240),IF(MATCH($T5241,$T$6:$T$6005,0)=ROW()-5,N($X5240)+1,N($X5240)))</f>
        <v/>
      </c>
      <c r="Z5241">
        <f>IF($V5241="","",IF($AA5241&gt;N($AA5240),$AA5241,""))</f>
        <v/>
      </c>
      <c r="AA5241">
        <f>IF($V5241="",N($AA5240),IF(MATCH($V5241,$V$6:$V$6005,0)=ROW()-5,N($AA5240)+1,N($AA5240)))</f>
        <v/>
      </c>
    </row>
    <row r="5242" ht="21" customHeight="1" s="66">
      <c r="A5242" s="56" t="n"/>
      <c r="B5242" s="57" t="n"/>
      <c r="C5242" s="57" t="n"/>
      <c r="D5242" s="57" t="n"/>
      <c r="E5242" s="56" t="n"/>
      <c r="F5242" s="57" t="n"/>
      <c r="G5242" s="57" t="n"/>
      <c r="H5242" s="56" t="n"/>
      <c r="I5242" s="56" t="n"/>
      <c r="J5242" s="58" t="n"/>
      <c r="K5242" s="58" t="n"/>
      <c r="L5242" s="13">
        <f>IF(OR($A5242="",AND($J5242="",$K5242="")),"",ROUND(N($J5242)-N($K5242),2))</f>
        <v/>
      </c>
      <c r="M5242" s="13">
        <f>IF(OR($A5242="",AND($J5242="",$K5242="")),"",MIN($J5242,$K5242))</f>
        <v/>
      </c>
      <c r="Q5242">
        <f>IF($A5242="","",$D5242&amp;"("&amp;SUBSTITUTE($E5242," ","")&amp;")")</f>
        <v/>
      </c>
      <c r="R5242">
        <f>IF($A5242="","",$B5242&amp;" - "&amp;$C5242)</f>
        <v/>
      </c>
      <c r="S5242">
        <f>IF($A5242="","",$R5242&amp;"|"&amp;$Q5242)</f>
        <v/>
      </c>
      <c r="T5242">
        <f>IF($A5242="","",$S5242&amp;"|"&amp;$F5242)</f>
        <v/>
      </c>
      <c r="U5242">
        <f>IF($A5242="","",$R5242&amp;"("&amp;$E5242&amp;")")</f>
        <v/>
      </c>
      <c r="V5242">
        <f>IF($A5242="","",$F5242&amp;"|"&amp;$U5242&amp;"|"&amp;$D5242)</f>
        <v/>
      </c>
      <c r="W5242">
        <f>IF($T5242="","",IF($X5242&gt;N($X5241),$X5242,""))</f>
        <v/>
      </c>
      <c r="X5242">
        <f>IF($T5242="",N($X5241),IF(MATCH($T5242,$T$6:$T$6005,0)=ROW()-5,N($X5241)+1,N($X5241)))</f>
        <v/>
      </c>
      <c r="Z5242">
        <f>IF($V5242="","",IF($AA5242&gt;N($AA5241),$AA5242,""))</f>
        <v/>
      </c>
      <c r="AA5242">
        <f>IF($V5242="",N($AA5241),IF(MATCH($V5242,$V$6:$V$6005,0)=ROW()-5,N($AA5241)+1,N($AA5241)))</f>
        <v/>
      </c>
    </row>
    <row r="5243" ht="21" customHeight="1" s="66">
      <c r="A5243" s="56" t="n"/>
      <c r="B5243" s="57" t="n"/>
      <c r="C5243" s="57" t="n"/>
      <c r="D5243" s="57" t="n"/>
      <c r="E5243" s="56" t="n"/>
      <c r="F5243" s="57" t="n"/>
      <c r="G5243" s="57" t="n"/>
      <c r="H5243" s="56" t="n"/>
      <c r="I5243" s="56" t="n"/>
      <c r="J5243" s="58" t="n"/>
      <c r="K5243" s="58" t="n"/>
      <c r="L5243" s="13">
        <f>IF(OR($A5243="",AND($J5243="",$K5243="")),"",ROUND(N($J5243)-N($K5243),2))</f>
        <v/>
      </c>
      <c r="M5243" s="13">
        <f>IF(OR($A5243="",AND($J5243="",$K5243="")),"",MIN($J5243,$K5243))</f>
        <v/>
      </c>
      <c r="Q5243">
        <f>IF($A5243="","",$D5243&amp;"("&amp;SUBSTITUTE($E5243," ","")&amp;")")</f>
        <v/>
      </c>
      <c r="R5243">
        <f>IF($A5243="","",$B5243&amp;" - "&amp;$C5243)</f>
        <v/>
      </c>
      <c r="S5243">
        <f>IF($A5243="","",$R5243&amp;"|"&amp;$Q5243)</f>
        <v/>
      </c>
      <c r="T5243">
        <f>IF($A5243="","",$S5243&amp;"|"&amp;$F5243)</f>
        <v/>
      </c>
      <c r="U5243">
        <f>IF($A5243="","",$R5243&amp;"("&amp;$E5243&amp;")")</f>
        <v/>
      </c>
      <c r="V5243">
        <f>IF($A5243="","",$F5243&amp;"|"&amp;$U5243&amp;"|"&amp;$D5243)</f>
        <v/>
      </c>
      <c r="W5243">
        <f>IF($T5243="","",IF($X5243&gt;N($X5242),$X5243,""))</f>
        <v/>
      </c>
      <c r="X5243">
        <f>IF($T5243="",N($X5242),IF(MATCH($T5243,$T$6:$T$6005,0)=ROW()-5,N($X5242)+1,N($X5242)))</f>
        <v/>
      </c>
      <c r="Z5243">
        <f>IF($V5243="","",IF($AA5243&gt;N($AA5242),$AA5243,""))</f>
        <v/>
      </c>
      <c r="AA5243">
        <f>IF($V5243="",N($AA5242),IF(MATCH($V5243,$V$6:$V$6005,0)=ROW()-5,N($AA5242)+1,N($AA5242)))</f>
        <v/>
      </c>
    </row>
    <row r="5244" ht="21" customHeight="1" s="66">
      <c r="A5244" s="56" t="n"/>
      <c r="B5244" s="57" t="n"/>
      <c r="C5244" s="57" t="n"/>
      <c r="D5244" s="57" t="n"/>
      <c r="E5244" s="56" t="n"/>
      <c r="F5244" s="57" t="n"/>
      <c r="G5244" s="57" t="n"/>
      <c r="H5244" s="56" t="n"/>
      <c r="I5244" s="56" t="n"/>
      <c r="J5244" s="58" t="n"/>
      <c r="K5244" s="58" t="n"/>
      <c r="L5244" s="13">
        <f>IF(OR($A5244="",AND($J5244="",$K5244="")),"",ROUND(N($J5244)-N($K5244),2))</f>
        <v/>
      </c>
      <c r="M5244" s="13">
        <f>IF(OR($A5244="",AND($J5244="",$K5244="")),"",MIN($J5244,$K5244))</f>
        <v/>
      </c>
      <c r="Q5244">
        <f>IF($A5244="","",$D5244&amp;"("&amp;SUBSTITUTE($E5244," ","")&amp;")")</f>
        <v/>
      </c>
      <c r="R5244">
        <f>IF($A5244="","",$B5244&amp;" - "&amp;$C5244)</f>
        <v/>
      </c>
      <c r="S5244">
        <f>IF($A5244="","",$R5244&amp;"|"&amp;$Q5244)</f>
        <v/>
      </c>
      <c r="T5244">
        <f>IF($A5244="","",$S5244&amp;"|"&amp;$F5244)</f>
        <v/>
      </c>
      <c r="U5244">
        <f>IF($A5244="","",$R5244&amp;"("&amp;$E5244&amp;")")</f>
        <v/>
      </c>
      <c r="V5244">
        <f>IF($A5244="","",$F5244&amp;"|"&amp;$U5244&amp;"|"&amp;$D5244)</f>
        <v/>
      </c>
      <c r="W5244">
        <f>IF($T5244="","",IF($X5244&gt;N($X5243),$X5244,""))</f>
        <v/>
      </c>
      <c r="X5244">
        <f>IF($T5244="",N($X5243),IF(MATCH($T5244,$T$6:$T$6005,0)=ROW()-5,N($X5243)+1,N($X5243)))</f>
        <v/>
      </c>
      <c r="Z5244">
        <f>IF($V5244="","",IF($AA5244&gt;N($AA5243),$AA5244,""))</f>
        <v/>
      </c>
      <c r="AA5244">
        <f>IF($V5244="",N($AA5243),IF(MATCH($V5244,$V$6:$V$6005,0)=ROW()-5,N($AA5243)+1,N($AA5243)))</f>
        <v/>
      </c>
    </row>
    <row r="5245" ht="21" customHeight="1" s="66">
      <c r="A5245" s="56" t="n"/>
      <c r="B5245" s="57" t="n"/>
      <c r="C5245" s="57" t="n"/>
      <c r="D5245" s="57" t="n"/>
      <c r="E5245" s="56" t="n"/>
      <c r="F5245" s="57" t="n"/>
      <c r="G5245" s="57" t="n"/>
      <c r="H5245" s="56" t="n"/>
      <c r="I5245" s="56" t="n"/>
      <c r="J5245" s="58" t="n"/>
      <c r="K5245" s="58" t="n"/>
      <c r="L5245" s="13">
        <f>IF(OR($A5245="",AND($J5245="",$K5245="")),"",ROUND(N($J5245)-N($K5245),2))</f>
        <v/>
      </c>
      <c r="M5245" s="13">
        <f>IF(OR($A5245="",AND($J5245="",$K5245="")),"",MIN($J5245,$K5245))</f>
        <v/>
      </c>
      <c r="Q5245">
        <f>IF($A5245="","",$D5245&amp;"("&amp;SUBSTITUTE($E5245," ","")&amp;")")</f>
        <v/>
      </c>
      <c r="R5245">
        <f>IF($A5245="","",$B5245&amp;" - "&amp;$C5245)</f>
        <v/>
      </c>
      <c r="S5245">
        <f>IF($A5245="","",$R5245&amp;"|"&amp;$Q5245)</f>
        <v/>
      </c>
      <c r="T5245">
        <f>IF($A5245="","",$S5245&amp;"|"&amp;$F5245)</f>
        <v/>
      </c>
      <c r="U5245">
        <f>IF($A5245="","",$R5245&amp;"("&amp;$E5245&amp;")")</f>
        <v/>
      </c>
      <c r="V5245">
        <f>IF($A5245="","",$F5245&amp;"|"&amp;$U5245&amp;"|"&amp;$D5245)</f>
        <v/>
      </c>
      <c r="W5245">
        <f>IF($T5245="","",IF($X5245&gt;N($X5244),$X5245,""))</f>
        <v/>
      </c>
      <c r="X5245">
        <f>IF($T5245="",N($X5244),IF(MATCH($T5245,$T$6:$T$6005,0)=ROW()-5,N($X5244)+1,N($X5244)))</f>
        <v/>
      </c>
      <c r="Z5245">
        <f>IF($V5245="","",IF($AA5245&gt;N($AA5244),$AA5245,""))</f>
        <v/>
      </c>
      <c r="AA5245">
        <f>IF($V5245="",N($AA5244),IF(MATCH($V5245,$V$6:$V$6005,0)=ROW()-5,N($AA5244)+1,N($AA5244)))</f>
        <v/>
      </c>
    </row>
    <row r="5246" ht="21" customHeight="1" s="66">
      <c r="A5246" s="56" t="n"/>
      <c r="B5246" s="57" t="n"/>
      <c r="C5246" s="57" t="n"/>
      <c r="D5246" s="57" t="n"/>
      <c r="E5246" s="56" t="n"/>
      <c r="F5246" s="57" t="n"/>
      <c r="G5246" s="57" t="n"/>
      <c r="H5246" s="56" t="n"/>
      <c r="I5246" s="56" t="n"/>
      <c r="J5246" s="58" t="n"/>
      <c r="K5246" s="58" t="n"/>
      <c r="L5246" s="13">
        <f>IF(OR($A5246="",AND($J5246="",$K5246="")),"",ROUND(N($J5246)-N($K5246),2))</f>
        <v/>
      </c>
      <c r="M5246" s="13">
        <f>IF(OR($A5246="",AND($J5246="",$K5246="")),"",MIN($J5246,$K5246))</f>
        <v/>
      </c>
      <c r="Q5246">
        <f>IF($A5246="","",$D5246&amp;"("&amp;SUBSTITUTE($E5246," ","")&amp;")")</f>
        <v/>
      </c>
      <c r="R5246">
        <f>IF($A5246="","",$B5246&amp;" - "&amp;$C5246)</f>
        <v/>
      </c>
      <c r="S5246">
        <f>IF($A5246="","",$R5246&amp;"|"&amp;$Q5246)</f>
        <v/>
      </c>
      <c r="T5246">
        <f>IF($A5246="","",$S5246&amp;"|"&amp;$F5246)</f>
        <v/>
      </c>
      <c r="U5246">
        <f>IF($A5246="","",$R5246&amp;"("&amp;$E5246&amp;")")</f>
        <v/>
      </c>
      <c r="V5246">
        <f>IF($A5246="","",$F5246&amp;"|"&amp;$U5246&amp;"|"&amp;$D5246)</f>
        <v/>
      </c>
      <c r="W5246">
        <f>IF($T5246="","",IF($X5246&gt;N($X5245),$X5246,""))</f>
        <v/>
      </c>
      <c r="X5246">
        <f>IF($T5246="",N($X5245),IF(MATCH($T5246,$T$6:$T$6005,0)=ROW()-5,N($X5245)+1,N($X5245)))</f>
        <v/>
      </c>
      <c r="Z5246">
        <f>IF($V5246="","",IF($AA5246&gt;N($AA5245),$AA5246,""))</f>
        <v/>
      </c>
      <c r="AA5246">
        <f>IF($V5246="",N($AA5245),IF(MATCH($V5246,$V$6:$V$6005,0)=ROW()-5,N($AA5245)+1,N($AA5245)))</f>
        <v/>
      </c>
    </row>
    <row r="5247" ht="21" customHeight="1" s="66">
      <c r="A5247" s="56" t="n"/>
      <c r="B5247" s="57" t="n"/>
      <c r="C5247" s="57" t="n"/>
      <c r="D5247" s="57" t="n"/>
      <c r="E5247" s="56" t="n"/>
      <c r="F5247" s="57" t="n"/>
      <c r="G5247" s="57" t="n"/>
      <c r="H5247" s="56" t="n"/>
      <c r="I5247" s="56" t="n"/>
      <c r="J5247" s="58" t="n"/>
      <c r="K5247" s="58" t="n"/>
      <c r="L5247" s="13">
        <f>IF(OR($A5247="",AND($J5247="",$K5247="")),"",ROUND(N($J5247)-N($K5247),2))</f>
        <v/>
      </c>
      <c r="M5247" s="13">
        <f>IF(OR($A5247="",AND($J5247="",$K5247="")),"",MIN($J5247,$K5247))</f>
        <v/>
      </c>
      <c r="Q5247">
        <f>IF($A5247="","",$D5247&amp;"("&amp;SUBSTITUTE($E5247," ","")&amp;")")</f>
        <v/>
      </c>
      <c r="R5247">
        <f>IF($A5247="","",$B5247&amp;" - "&amp;$C5247)</f>
        <v/>
      </c>
      <c r="S5247">
        <f>IF($A5247="","",$R5247&amp;"|"&amp;$Q5247)</f>
        <v/>
      </c>
      <c r="T5247">
        <f>IF($A5247="","",$S5247&amp;"|"&amp;$F5247)</f>
        <v/>
      </c>
      <c r="U5247">
        <f>IF($A5247="","",$R5247&amp;"("&amp;$E5247&amp;")")</f>
        <v/>
      </c>
      <c r="V5247">
        <f>IF($A5247="","",$F5247&amp;"|"&amp;$U5247&amp;"|"&amp;$D5247)</f>
        <v/>
      </c>
      <c r="W5247">
        <f>IF($T5247="","",IF($X5247&gt;N($X5246),$X5247,""))</f>
        <v/>
      </c>
      <c r="X5247">
        <f>IF($T5247="",N($X5246),IF(MATCH($T5247,$T$6:$T$6005,0)=ROW()-5,N($X5246)+1,N($X5246)))</f>
        <v/>
      </c>
      <c r="Z5247">
        <f>IF($V5247="","",IF($AA5247&gt;N($AA5246),$AA5247,""))</f>
        <v/>
      </c>
      <c r="AA5247">
        <f>IF($V5247="",N($AA5246),IF(MATCH($V5247,$V$6:$V$6005,0)=ROW()-5,N($AA5246)+1,N($AA5246)))</f>
        <v/>
      </c>
    </row>
    <row r="5248" ht="21" customHeight="1" s="66">
      <c r="A5248" s="56" t="n"/>
      <c r="B5248" s="57" t="n"/>
      <c r="C5248" s="57" t="n"/>
      <c r="D5248" s="57" t="n"/>
      <c r="E5248" s="56" t="n"/>
      <c r="F5248" s="57" t="n"/>
      <c r="G5248" s="57" t="n"/>
      <c r="H5248" s="56" t="n"/>
      <c r="I5248" s="56" t="n"/>
      <c r="J5248" s="58" t="n"/>
      <c r="K5248" s="58" t="n"/>
      <c r="L5248" s="13">
        <f>IF(OR($A5248="",AND($J5248="",$K5248="")),"",ROUND(N($J5248)-N($K5248),2))</f>
        <v/>
      </c>
      <c r="M5248" s="13">
        <f>IF(OR($A5248="",AND($J5248="",$K5248="")),"",MIN($J5248,$K5248))</f>
        <v/>
      </c>
      <c r="Q5248">
        <f>IF($A5248="","",$D5248&amp;"("&amp;SUBSTITUTE($E5248," ","")&amp;")")</f>
        <v/>
      </c>
      <c r="R5248">
        <f>IF($A5248="","",$B5248&amp;" - "&amp;$C5248)</f>
        <v/>
      </c>
      <c r="S5248">
        <f>IF($A5248="","",$R5248&amp;"|"&amp;$Q5248)</f>
        <v/>
      </c>
      <c r="T5248">
        <f>IF($A5248="","",$S5248&amp;"|"&amp;$F5248)</f>
        <v/>
      </c>
      <c r="U5248">
        <f>IF($A5248="","",$R5248&amp;"("&amp;$E5248&amp;")")</f>
        <v/>
      </c>
      <c r="V5248">
        <f>IF($A5248="","",$F5248&amp;"|"&amp;$U5248&amp;"|"&amp;$D5248)</f>
        <v/>
      </c>
      <c r="W5248">
        <f>IF($T5248="","",IF($X5248&gt;N($X5247),$X5248,""))</f>
        <v/>
      </c>
      <c r="X5248">
        <f>IF($T5248="",N($X5247),IF(MATCH($T5248,$T$6:$T$6005,0)=ROW()-5,N($X5247)+1,N($X5247)))</f>
        <v/>
      </c>
      <c r="Z5248">
        <f>IF($V5248="","",IF($AA5248&gt;N($AA5247),$AA5248,""))</f>
        <v/>
      </c>
      <c r="AA5248">
        <f>IF($V5248="",N($AA5247),IF(MATCH($V5248,$V$6:$V$6005,0)=ROW()-5,N($AA5247)+1,N($AA5247)))</f>
        <v/>
      </c>
    </row>
    <row r="5249" ht="21" customHeight="1" s="66">
      <c r="A5249" s="56" t="n"/>
      <c r="B5249" s="57" t="n"/>
      <c r="C5249" s="57" t="n"/>
      <c r="D5249" s="57" t="n"/>
      <c r="E5249" s="56" t="n"/>
      <c r="F5249" s="57" t="n"/>
      <c r="G5249" s="57" t="n"/>
      <c r="H5249" s="56" t="n"/>
      <c r="I5249" s="56" t="n"/>
      <c r="J5249" s="58" t="n"/>
      <c r="K5249" s="58" t="n"/>
      <c r="L5249" s="13">
        <f>IF(OR($A5249="",AND($J5249="",$K5249="")),"",ROUND(N($J5249)-N($K5249),2))</f>
        <v/>
      </c>
      <c r="M5249" s="13">
        <f>IF(OR($A5249="",AND($J5249="",$K5249="")),"",MIN($J5249,$K5249))</f>
        <v/>
      </c>
      <c r="Q5249">
        <f>IF($A5249="","",$D5249&amp;"("&amp;SUBSTITUTE($E5249," ","")&amp;")")</f>
        <v/>
      </c>
      <c r="R5249">
        <f>IF($A5249="","",$B5249&amp;" - "&amp;$C5249)</f>
        <v/>
      </c>
      <c r="S5249">
        <f>IF($A5249="","",$R5249&amp;"|"&amp;$Q5249)</f>
        <v/>
      </c>
      <c r="T5249">
        <f>IF($A5249="","",$S5249&amp;"|"&amp;$F5249)</f>
        <v/>
      </c>
      <c r="U5249">
        <f>IF($A5249="","",$R5249&amp;"("&amp;$E5249&amp;")")</f>
        <v/>
      </c>
      <c r="V5249">
        <f>IF($A5249="","",$F5249&amp;"|"&amp;$U5249&amp;"|"&amp;$D5249)</f>
        <v/>
      </c>
      <c r="W5249">
        <f>IF($T5249="","",IF($X5249&gt;N($X5248),$X5249,""))</f>
        <v/>
      </c>
      <c r="X5249">
        <f>IF($T5249="",N($X5248),IF(MATCH($T5249,$T$6:$T$6005,0)=ROW()-5,N($X5248)+1,N($X5248)))</f>
        <v/>
      </c>
      <c r="Z5249">
        <f>IF($V5249="","",IF($AA5249&gt;N($AA5248),$AA5249,""))</f>
        <v/>
      </c>
      <c r="AA5249">
        <f>IF($V5249="",N($AA5248),IF(MATCH($V5249,$V$6:$V$6005,0)=ROW()-5,N($AA5248)+1,N($AA5248)))</f>
        <v/>
      </c>
    </row>
    <row r="5250" ht="21" customHeight="1" s="66">
      <c r="A5250" s="56" t="n"/>
      <c r="B5250" s="57" t="n"/>
      <c r="C5250" s="57" t="n"/>
      <c r="D5250" s="57" t="n"/>
      <c r="E5250" s="56" t="n"/>
      <c r="F5250" s="57" t="n"/>
      <c r="G5250" s="57" t="n"/>
      <c r="H5250" s="56" t="n"/>
      <c r="I5250" s="56" t="n"/>
      <c r="J5250" s="58" t="n"/>
      <c r="K5250" s="58" t="n"/>
      <c r="L5250" s="13">
        <f>IF(OR($A5250="",AND($J5250="",$K5250="")),"",ROUND(N($J5250)-N($K5250),2))</f>
        <v/>
      </c>
      <c r="M5250" s="13">
        <f>IF(OR($A5250="",AND($J5250="",$K5250="")),"",MIN($J5250,$K5250))</f>
        <v/>
      </c>
      <c r="Q5250">
        <f>IF($A5250="","",$D5250&amp;"("&amp;SUBSTITUTE($E5250," ","")&amp;")")</f>
        <v/>
      </c>
      <c r="R5250">
        <f>IF($A5250="","",$B5250&amp;" - "&amp;$C5250)</f>
        <v/>
      </c>
      <c r="S5250">
        <f>IF($A5250="","",$R5250&amp;"|"&amp;$Q5250)</f>
        <v/>
      </c>
      <c r="T5250">
        <f>IF($A5250="","",$S5250&amp;"|"&amp;$F5250)</f>
        <v/>
      </c>
      <c r="U5250">
        <f>IF($A5250="","",$R5250&amp;"("&amp;$E5250&amp;")")</f>
        <v/>
      </c>
      <c r="V5250">
        <f>IF($A5250="","",$F5250&amp;"|"&amp;$U5250&amp;"|"&amp;$D5250)</f>
        <v/>
      </c>
      <c r="W5250">
        <f>IF($T5250="","",IF($X5250&gt;N($X5249),$X5250,""))</f>
        <v/>
      </c>
      <c r="X5250">
        <f>IF($T5250="",N($X5249),IF(MATCH($T5250,$T$6:$T$6005,0)=ROW()-5,N($X5249)+1,N($X5249)))</f>
        <v/>
      </c>
      <c r="Z5250">
        <f>IF($V5250="","",IF($AA5250&gt;N($AA5249),$AA5250,""))</f>
        <v/>
      </c>
      <c r="AA5250">
        <f>IF($V5250="",N($AA5249),IF(MATCH($V5250,$V$6:$V$6005,0)=ROW()-5,N($AA5249)+1,N($AA5249)))</f>
        <v/>
      </c>
    </row>
    <row r="5251" ht="21" customHeight="1" s="66">
      <c r="A5251" s="56" t="n"/>
      <c r="B5251" s="57" t="n"/>
      <c r="C5251" s="57" t="n"/>
      <c r="D5251" s="57" t="n"/>
      <c r="E5251" s="56" t="n"/>
      <c r="F5251" s="57" t="n"/>
      <c r="G5251" s="57" t="n"/>
      <c r="H5251" s="56" t="n"/>
      <c r="I5251" s="56" t="n"/>
      <c r="J5251" s="58" t="n"/>
      <c r="K5251" s="58" t="n"/>
      <c r="L5251" s="13">
        <f>IF(OR($A5251="",AND($J5251="",$K5251="")),"",ROUND(N($J5251)-N($K5251),2))</f>
        <v/>
      </c>
      <c r="M5251" s="13">
        <f>IF(OR($A5251="",AND($J5251="",$K5251="")),"",MIN($J5251,$K5251))</f>
        <v/>
      </c>
      <c r="Q5251">
        <f>IF($A5251="","",$D5251&amp;"("&amp;SUBSTITUTE($E5251," ","")&amp;")")</f>
        <v/>
      </c>
      <c r="R5251">
        <f>IF($A5251="","",$B5251&amp;" - "&amp;$C5251)</f>
        <v/>
      </c>
      <c r="S5251">
        <f>IF($A5251="","",$R5251&amp;"|"&amp;$Q5251)</f>
        <v/>
      </c>
      <c r="T5251">
        <f>IF($A5251="","",$S5251&amp;"|"&amp;$F5251)</f>
        <v/>
      </c>
      <c r="U5251">
        <f>IF($A5251="","",$R5251&amp;"("&amp;$E5251&amp;")")</f>
        <v/>
      </c>
      <c r="V5251">
        <f>IF($A5251="","",$F5251&amp;"|"&amp;$U5251&amp;"|"&amp;$D5251)</f>
        <v/>
      </c>
      <c r="W5251">
        <f>IF($T5251="","",IF($X5251&gt;N($X5250),$X5251,""))</f>
        <v/>
      </c>
      <c r="X5251">
        <f>IF($T5251="",N($X5250),IF(MATCH($T5251,$T$6:$T$6005,0)=ROW()-5,N($X5250)+1,N($X5250)))</f>
        <v/>
      </c>
      <c r="Z5251">
        <f>IF($V5251="","",IF($AA5251&gt;N($AA5250),$AA5251,""))</f>
        <v/>
      </c>
      <c r="AA5251">
        <f>IF($V5251="",N($AA5250),IF(MATCH($V5251,$V$6:$V$6005,0)=ROW()-5,N($AA5250)+1,N($AA5250)))</f>
        <v/>
      </c>
    </row>
    <row r="5252" ht="21" customHeight="1" s="66">
      <c r="A5252" s="56" t="n"/>
      <c r="B5252" s="57" t="n"/>
      <c r="C5252" s="57" t="n"/>
      <c r="D5252" s="57" t="n"/>
      <c r="E5252" s="56" t="n"/>
      <c r="F5252" s="57" t="n"/>
      <c r="G5252" s="57" t="n"/>
      <c r="H5252" s="56" t="n"/>
      <c r="I5252" s="56" t="n"/>
      <c r="J5252" s="58" t="n"/>
      <c r="K5252" s="58" t="n"/>
      <c r="L5252" s="13">
        <f>IF(OR($A5252="",AND($J5252="",$K5252="")),"",ROUND(N($J5252)-N($K5252),2))</f>
        <v/>
      </c>
      <c r="M5252" s="13">
        <f>IF(OR($A5252="",AND($J5252="",$K5252="")),"",MIN($J5252,$K5252))</f>
        <v/>
      </c>
      <c r="Q5252">
        <f>IF($A5252="","",$D5252&amp;"("&amp;SUBSTITUTE($E5252," ","")&amp;")")</f>
        <v/>
      </c>
      <c r="R5252">
        <f>IF($A5252="","",$B5252&amp;" - "&amp;$C5252)</f>
        <v/>
      </c>
      <c r="S5252">
        <f>IF($A5252="","",$R5252&amp;"|"&amp;$Q5252)</f>
        <v/>
      </c>
      <c r="T5252">
        <f>IF($A5252="","",$S5252&amp;"|"&amp;$F5252)</f>
        <v/>
      </c>
      <c r="U5252">
        <f>IF($A5252="","",$R5252&amp;"("&amp;$E5252&amp;")")</f>
        <v/>
      </c>
      <c r="V5252">
        <f>IF($A5252="","",$F5252&amp;"|"&amp;$U5252&amp;"|"&amp;$D5252)</f>
        <v/>
      </c>
      <c r="W5252">
        <f>IF($T5252="","",IF($X5252&gt;N($X5251),$X5252,""))</f>
        <v/>
      </c>
      <c r="X5252">
        <f>IF($T5252="",N($X5251),IF(MATCH($T5252,$T$6:$T$6005,0)=ROW()-5,N($X5251)+1,N($X5251)))</f>
        <v/>
      </c>
      <c r="Z5252">
        <f>IF($V5252="","",IF($AA5252&gt;N($AA5251),$AA5252,""))</f>
        <v/>
      </c>
      <c r="AA5252">
        <f>IF($V5252="",N($AA5251),IF(MATCH($V5252,$V$6:$V$6005,0)=ROW()-5,N($AA5251)+1,N($AA5251)))</f>
        <v/>
      </c>
    </row>
    <row r="5253" ht="21" customHeight="1" s="66">
      <c r="A5253" s="56" t="n"/>
      <c r="B5253" s="57" t="n"/>
      <c r="C5253" s="57" t="n"/>
      <c r="D5253" s="57" t="n"/>
      <c r="E5253" s="56" t="n"/>
      <c r="F5253" s="57" t="n"/>
      <c r="G5253" s="57" t="n"/>
      <c r="H5253" s="56" t="n"/>
      <c r="I5253" s="56" t="n"/>
      <c r="J5253" s="58" t="n"/>
      <c r="K5253" s="58" t="n"/>
      <c r="L5253" s="13">
        <f>IF(OR($A5253="",AND($J5253="",$K5253="")),"",ROUND(N($J5253)-N($K5253),2))</f>
        <v/>
      </c>
      <c r="M5253" s="13">
        <f>IF(OR($A5253="",AND($J5253="",$K5253="")),"",MIN($J5253,$K5253))</f>
        <v/>
      </c>
      <c r="Q5253">
        <f>IF($A5253="","",$D5253&amp;"("&amp;SUBSTITUTE($E5253," ","")&amp;")")</f>
        <v/>
      </c>
      <c r="R5253">
        <f>IF($A5253="","",$B5253&amp;" - "&amp;$C5253)</f>
        <v/>
      </c>
      <c r="S5253">
        <f>IF($A5253="","",$R5253&amp;"|"&amp;$Q5253)</f>
        <v/>
      </c>
      <c r="T5253">
        <f>IF($A5253="","",$S5253&amp;"|"&amp;$F5253)</f>
        <v/>
      </c>
      <c r="U5253">
        <f>IF($A5253="","",$R5253&amp;"("&amp;$E5253&amp;")")</f>
        <v/>
      </c>
      <c r="V5253">
        <f>IF($A5253="","",$F5253&amp;"|"&amp;$U5253&amp;"|"&amp;$D5253)</f>
        <v/>
      </c>
      <c r="W5253">
        <f>IF($T5253="","",IF($X5253&gt;N($X5252),$X5253,""))</f>
        <v/>
      </c>
      <c r="X5253">
        <f>IF($T5253="",N($X5252),IF(MATCH($T5253,$T$6:$T$6005,0)=ROW()-5,N($X5252)+1,N($X5252)))</f>
        <v/>
      </c>
      <c r="Z5253">
        <f>IF($V5253="","",IF($AA5253&gt;N($AA5252),$AA5253,""))</f>
        <v/>
      </c>
      <c r="AA5253">
        <f>IF($V5253="",N($AA5252),IF(MATCH($V5253,$V$6:$V$6005,0)=ROW()-5,N($AA5252)+1,N($AA5252)))</f>
        <v/>
      </c>
    </row>
    <row r="5254" ht="21" customHeight="1" s="66">
      <c r="A5254" s="56" t="n"/>
      <c r="B5254" s="57" t="n"/>
      <c r="C5254" s="57" t="n"/>
      <c r="D5254" s="57" t="n"/>
      <c r="E5254" s="56" t="n"/>
      <c r="F5254" s="57" t="n"/>
      <c r="G5254" s="57" t="n"/>
      <c r="H5254" s="56" t="n"/>
      <c r="I5254" s="56" t="n"/>
      <c r="J5254" s="58" t="n"/>
      <c r="K5254" s="58" t="n"/>
      <c r="L5254" s="13">
        <f>IF(OR($A5254="",AND($J5254="",$K5254="")),"",ROUND(N($J5254)-N($K5254),2))</f>
        <v/>
      </c>
      <c r="M5254" s="13">
        <f>IF(OR($A5254="",AND($J5254="",$K5254="")),"",MIN($J5254,$K5254))</f>
        <v/>
      </c>
      <c r="Q5254">
        <f>IF($A5254="","",$D5254&amp;"("&amp;SUBSTITUTE($E5254," ","")&amp;")")</f>
        <v/>
      </c>
      <c r="R5254">
        <f>IF($A5254="","",$B5254&amp;" - "&amp;$C5254)</f>
        <v/>
      </c>
      <c r="S5254">
        <f>IF($A5254="","",$R5254&amp;"|"&amp;$Q5254)</f>
        <v/>
      </c>
      <c r="T5254">
        <f>IF($A5254="","",$S5254&amp;"|"&amp;$F5254)</f>
        <v/>
      </c>
      <c r="U5254">
        <f>IF($A5254="","",$R5254&amp;"("&amp;$E5254&amp;")")</f>
        <v/>
      </c>
      <c r="V5254">
        <f>IF($A5254="","",$F5254&amp;"|"&amp;$U5254&amp;"|"&amp;$D5254)</f>
        <v/>
      </c>
      <c r="W5254">
        <f>IF($T5254="","",IF($X5254&gt;N($X5253),$X5254,""))</f>
        <v/>
      </c>
      <c r="X5254">
        <f>IF($T5254="",N($X5253),IF(MATCH($T5254,$T$6:$T$6005,0)=ROW()-5,N($X5253)+1,N($X5253)))</f>
        <v/>
      </c>
      <c r="Z5254">
        <f>IF($V5254="","",IF($AA5254&gt;N($AA5253),$AA5254,""))</f>
        <v/>
      </c>
      <c r="AA5254">
        <f>IF($V5254="",N($AA5253),IF(MATCH($V5254,$V$6:$V$6005,0)=ROW()-5,N($AA5253)+1,N($AA5253)))</f>
        <v/>
      </c>
    </row>
    <row r="5255" ht="21" customHeight="1" s="66">
      <c r="A5255" s="56" t="n"/>
      <c r="B5255" s="57" t="n"/>
      <c r="C5255" s="57" t="n"/>
      <c r="D5255" s="57" t="n"/>
      <c r="E5255" s="56" t="n"/>
      <c r="F5255" s="57" t="n"/>
      <c r="G5255" s="57" t="n"/>
      <c r="H5255" s="56" t="n"/>
      <c r="I5255" s="56" t="n"/>
      <c r="J5255" s="58" t="n"/>
      <c r="K5255" s="58" t="n"/>
      <c r="L5255" s="13">
        <f>IF(OR($A5255="",AND($J5255="",$K5255="")),"",ROUND(N($J5255)-N($K5255),2))</f>
        <v/>
      </c>
      <c r="M5255" s="13">
        <f>IF(OR($A5255="",AND($J5255="",$K5255="")),"",MIN($J5255,$K5255))</f>
        <v/>
      </c>
      <c r="Q5255">
        <f>IF($A5255="","",$D5255&amp;"("&amp;SUBSTITUTE($E5255," ","")&amp;")")</f>
        <v/>
      </c>
      <c r="R5255">
        <f>IF($A5255="","",$B5255&amp;" - "&amp;$C5255)</f>
        <v/>
      </c>
      <c r="S5255">
        <f>IF($A5255="","",$R5255&amp;"|"&amp;$Q5255)</f>
        <v/>
      </c>
      <c r="T5255">
        <f>IF($A5255="","",$S5255&amp;"|"&amp;$F5255)</f>
        <v/>
      </c>
      <c r="U5255">
        <f>IF($A5255="","",$R5255&amp;"("&amp;$E5255&amp;")")</f>
        <v/>
      </c>
      <c r="V5255">
        <f>IF($A5255="","",$F5255&amp;"|"&amp;$U5255&amp;"|"&amp;$D5255)</f>
        <v/>
      </c>
      <c r="W5255">
        <f>IF($T5255="","",IF($X5255&gt;N($X5254),$X5255,""))</f>
        <v/>
      </c>
      <c r="X5255">
        <f>IF($T5255="",N($X5254),IF(MATCH($T5255,$T$6:$T$6005,0)=ROW()-5,N($X5254)+1,N($X5254)))</f>
        <v/>
      </c>
      <c r="Z5255">
        <f>IF($V5255="","",IF($AA5255&gt;N($AA5254),$AA5255,""))</f>
        <v/>
      </c>
      <c r="AA5255">
        <f>IF($V5255="",N($AA5254),IF(MATCH($V5255,$V$6:$V$6005,0)=ROW()-5,N($AA5254)+1,N($AA5254)))</f>
        <v/>
      </c>
    </row>
    <row r="5256" ht="21" customHeight="1" s="66">
      <c r="A5256" s="56" t="n"/>
      <c r="B5256" s="57" t="n"/>
      <c r="C5256" s="57" t="n"/>
      <c r="D5256" s="57" t="n"/>
      <c r="E5256" s="56" t="n"/>
      <c r="F5256" s="57" t="n"/>
      <c r="G5256" s="57" t="n"/>
      <c r="H5256" s="56" t="n"/>
      <c r="I5256" s="56" t="n"/>
      <c r="J5256" s="58" t="n"/>
      <c r="K5256" s="58" t="n"/>
      <c r="L5256" s="13">
        <f>IF(OR($A5256="",AND($J5256="",$K5256="")),"",ROUND(N($J5256)-N($K5256),2))</f>
        <v/>
      </c>
      <c r="M5256" s="13">
        <f>IF(OR($A5256="",AND($J5256="",$K5256="")),"",MIN($J5256,$K5256))</f>
        <v/>
      </c>
      <c r="Q5256">
        <f>IF($A5256="","",$D5256&amp;"("&amp;SUBSTITUTE($E5256," ","")&amp;")")</f>
        <v/>
      </c>
      <c r="R5256">
        <f>IF($A5256="","",$B5256&amp;" - "&amp;$C5256)</f>
        <v/>
      </c>
      <c r="S5256">
        <f>IF($A5256="","",$R5256&amp;"|"&amp;$Q5256)</f>
        <v/>
      </c>
      <c r="T5256">
        <f>IF($A5256="","",$S5256&amp;"|"&amp;$F5256)</f>
        <v/>
      </c>
      <c r="U5256">
        <f>IF($A5256="","",$R5256&amp;"("&amp;$E5256&amp;")")</f>
        <v/>
      </c>
      <c r="V5256">
        <f>IF($A5256="","",$F5256&amp;"|"&amp;$U5256&amp;"|"&amp;$D5256)</f>
        <v/>
      </c>
      <c r="W5256">
        <f>IF($T5256="","",IF($X5256&gt;N($X5255),$X5256,""))</f>
        <v/>
      </c>
      <c r="X5256">
        <f>IF($T5256="",N($X5255),IF(MATCH($T5256,$T$6:$T$6005,0)=ROW()-5,N($X5255)+1,N($X5255)))</f>
        <v/>
      </c>
      <c r="Z5256">
        <f>IF($V5256="","",IF($AA5256&gt;N($AA5255),$AA5256,""))</f>
        <v/>
      </c>
      <c r="AA5256">
        <f>IF($V5256="",N($AA5255),IF(MATCH($V5256,$V$6:$V$6005,0)=ROW()-5,N($AA5255)+1,N($AA5255)))</f>
        <v/>
      </c>
    </row>
    <row r="5257" ht="21" customHeight="1" s="66">
      <c r="A5257" s="56" t="n"/>
      <c r="B5257" s="57" t="n"/>
      <c r="C5257" s="57" t="n"/>
      <c r="D5257" s="57" t="n"/>
      <c r="E5257" s="56" t="n"/>
      <c r="F5257" s="57" t="n"/>
      <c r="G5257" s="57" t="n"/>
      <c r="H5257" s="56" t="n"/>
      <c r="I5257" s="56" t="n"/>
      <c r="J5257" s="58" t="n"/>
      <c r="K5257" s="58" t="n"/>
      <c r="L5257" s="13">
        <f>IF(OR($A5257="",AND($J5257="",$K5257="")),"",ROUND(N($J5257)-N($K5257),2))</f>
        <v/>
      </c>
      <c r="M5257" s="13">
        <f>IF(OR($A5257="",AND($J5257="",$K5257="")),"",MIN($J5257,$K5257))</f>
        <v/>
      </c>
      <c r="Q5257">
        <f>IF($A5257="","",$D5257&amp;"("&amp;SUBSTITUTE($E5257," ","")&amp;")")</f>
        <v/>
      </c>
      <c r="R5257">
        <f>IF($A5257="","",$B5257&amp;" - "&amp;$C5257)</f>
        <v/>
      </c>
      <c r="S5257">
        <f>IF($A5257="","",$R5257&amp;"|"&amp;$Q5257)</f>
        <v/>
      </c>
      <c r="T5257">
        <f>IF($A5257="","",$S5257&amp;"|"&amp;$F5257)</f>
        <v/>
      </c>
      <c r="U5257">
        <f>IF($A5257="","",$R5257&amp;"("&amp;$E5257&amp;")")</f>
        <v/>
      </c>
      <c r="V5257">
        <f>IF($A5257="","",$F5257&amp;"|"&amp;$U5257&amp;"|"&amp;$D5257)</f>
        <v/>
      </c>
      <c r="W5257">
        <f>IF($T5257="","",IF($X5257&gt;N($X5256),$X5257,""))</f>
        <v/>
      </c>
      <c r="X5257">
        <f>IF($T5257="",N($X5256),IF(MATCH($T5257,$T$6:$T$6005,0)=ROW()-5,N($X5256)+1,N($X5256)))</f>
        <v/>
      </c>
      <c r="Z5257">
        <f>IF($V5257="","",IF($AA5257&gt;N($AA5256),$AA5257,""))</f>
        <v/>
      </c>
      <c r="AA5257">
        <f>IF($V5257="",N($AA5256),IF(MATCH($V5257,$V$6:$V$6005,0)=ROW()-5,N($AA5256)+1,N($AA5256)))</f>
        <v/>
      </c>
    </row>
    <row r="5258" ht="21" customHeight="1" s="66">
      <c r="A5258" s="56" t="n"/>
      <c r="B5258" s="57" t="n"/>
      <c r="C5258" s="57" t="n"/>
      <c r="D5258" s="57" t="n"/>
      <c r="E5258" s="56" t="n"/>
      <c r="F5258" s="57" t="n"/>
      <c r="G5258" s="57" t="n"/>
      <c r="H5258" s="56" t="n"/>
      <c r="I5258" s="56" t="n"/>
      <c r="J5258" s="58" t="n"/>
      <c r="K5258" s="58" t="n"/>
      <c r="L5258" s="13">
        <f>IF(OR($A5258="",AND($J5258="",$K5258="")),"",ROUND(N($J5258)-N($K5258),2))</f>
        <v/>
      </c>
      <c r="M5258" s="13">
        <f>IF(OR($A5258="",AND($J5258="",$K5258="")),"",MIN($J5258,$K5258))</f>
        <v/>
      </c>
      <c r="Q5258">
        <f>IF($A5258="","",$D5258&amp;"("&amp;SUBSTITUTE($E5258," ","")&amp;")")</f>
        <v/>
      </c>
      <c r="R5258">
        <f>IF($A5258="","",$B5258&amp;" - "&amp;$C5258)</f>
        <v/>
      </c>
      <c r="S5258">
        <f>IF($A5258="","",$R5258&amp;"|"&amp;$Q5258)</f>
        <v/>
      </c>
      <c r="T5258">
        <f>IF($A5258="","",$S5258&amp;"|"&amp;$F5258)</f>
        <v/>
      </c>
      <c r="U5258">
        <f>IF($A5258="","",$R5258&amp;"("&amp;$E5258&amp;")")</f>
        <v/>
      </c>
      <c r="V5258">
        <f>IF($A5258="","",$F5258&amp;"|"&amp;$U5258&amp;"|"&amp;$D5258)</f>
        <v/>
      </c>
      <c r="W5258">
        <f>IF($T5258="","",IF($X5258&gt;N($X5257),$X5258,""))</f>
        <v/>
      </c>
      <c r="X5258">
        <f>IF($T5258="",N($X5257),IF(MATCH($T5258,$T$6:$T$6005,0)=ROW()-5,N($X5257)+1,N($X5257)))</f>
        <v/>
      </c>
      <c r="Z5258">
        <f>IF($V5258="","",IF($AA5258&gt;N($AA5257),$AA5258,""))</f>
        <v/>
      </c>
      <c r="AA5258">
        <f>IF($V5258="",N($AA5257),IF(MATCH($V5258,$V$6:$V$6005,0)=ROW()-5,N($AA5257)+1,N($AA5257)))</f>
        <v/>
      </c>
    </row>
    <row r="5259" ht="21" customHeight="1" s="66">
      <c r="A5259" s="56" t="n"/>
      <c r="B5259" s="57" t="n"/>
      <c r="C5259" s="57" t="n"/>
      <c r="D5259" s="57" t="n"/>
      <c r="E5259" s="56" t="n"/>
      <c r="F5259" s="57" t="n"/>
      <c r="G5259" s="57" t="n"/>
      <c r="H5259" s="56" t="n"/>
      <c r="I5259" s="56" t="n"/>
      <c r="J5259" s="58" t="n"/>
      <c r="K5259" s="58" t="n"/>
      <c r="L5259" s="13">
        <f>IF(OR($A5259="",AND($J5259="",$K5259="")),"",ROUND(N($J5259)-N($K5259),2))</f>
        <v/>
      </c>
      <c r="M5259" s="13">
        <f>IF(OR($A5259="",AND($J5259="",$K5259="")),"",MIN($J5259,$K5259))</f>
        <v/>
      </c>
      <c r="Q5259">
        <f>IF($A5259="","",$D5259&amp;"("&amp;SUBSTITUTE($E5259," ","")&amp;")")</f>
        <v/>
      </c>
      <c r="R5259">
        <f>IF($A5259="","",$B5259&amp;" - "&amp;$C5259)</f>
        <v/>
      </c>
      <c r="S5259">
        <f>IF($A5259="","",$R5259&amp;"|"&amp;$Q5259)</f>
        <v/>
      </c>
      <c r="T5259">
        <f>IF($A5259="","",$S5259&amp;"|"&amp;$F5259)</f>
        <v/>
      </c>
      <c r="U5259">
        <f>IF($A5259="","",$R5259&amp;"("&amp;$E5259&amp;")")</f>
        <v/>
      </c>
      <c r="V5259">
        <f>IF($A5259="","",$F5259&amp;"|"&amp;$U5259&amp;"|"&amp;$D5259)</f>
        <v/>
      </c>
      <c r="W5259">
        <f>IF($T5259="","",IF($X5259&gt;N($X5258),$X5259,""))</f>
        <v/>
      </c>
      <c r="X5259">
        <f>IF($T5259="",N($X5258),IF(MATCH($T5259,$T$6:$T$6005,0)=ROW()-5,N($X5258)+1,N($X5258)))</f>
        <v/>
      </c>
      <c r="Z5259">
        <f>IF($V5259="","",IF($AA5259&gt;N($AA5258),$AA5259,""))</f>
        <v/>
      </c>
      <c r="AA5259">
        <f>IF($V5259="",N($AA5258),IF(MATCH($V5259,$V$6:$V$6005,0)=ROW()-5,N($AA5258)+1,N($AA5258)))</f>
        <v/>
      </c>
    </row>
    <row r="5260" ht="21" customHeight="1" s="66">
      <c r="A5260" s="56" t="n"/>
      <c r="B5260" s="57" t="n"/>
      <c r="C5260" s="57" t="n"/>
      <c r="D5260" s="57" t="n"/>
      <c r="E5260" s="56" t="n"/>
      <c r="F5260" s="57" t="n"/>
      <c r="G5260" s="57" t="n"/>
      <c r="H5260" s="56" t="n"/>
      <c r="I5260" s="56" t="n"/>
      <c r="J5260" s="58" t="n"/>
      <c r="K5260" s="58" t="n"/>
      <c r="L5260" s="13">
        <f>IF(OR($A5260="",AND($J5260="",$K5260="")),"",ROUND(N($J5260)-N($K5260),2))</f>
        <v/>
      </c>
      <c r="M5260" s="13">
        <f>IF(OR($A5260="",AND($J5260="",$K5260="")),"",MIN($J5260,$K5260))</f>
        <v/>
      </c>
      <c r="Q5260">
        <f>IF($A5260="","",$D5260&amp;"("&amp;SUBSTITUTE($E5260," ","")&amp;")")</f>
        <v/>
      </c>
      <c r="R5260">
        <f>IF($A5260="","",$B5260&amp;" - "&amp;$C5260)</f>
        <v/>
      </c>
      <c r="S5260">
        <f>IF($A5260="","",$R5260&amp;"|"&amp;$Q5260)</f>
        <v/>
      </c>
      <c r="T5260">
        <f>IF($A5260="","",$S5260&amp;"|"&amp;$F5260)</f>
        <v/>
      </c>
      <c r="U5260">
        <f>IF($A5260="","",$R5260&amp;"("&amp;$E5260&amp;")")</f>
        <v/>
      </c>
      <c r="V5260">
        <f>IF($A5260="","",$F5260&amp;"|"&amp;$U5260&amp;"|"&amp;$D5260)</f>
        <v/>
      </c>
      <c r="W5260">
        <f>IF($T5260="","",IF($X5260&gt;N($X5259),$X5260,""))</f>
        <v/>
      </c>
      <c r="X5260">
        <f>IF($T5260="",N($X5259),IF(MATCH($T5260,$T$6:$T$6005,0)=ROW()-5,N($X5259)+1,N($X5259)))</f>
        <v/>
      </c>
      <c r="Z5260">
        <f>IF($V5260="","",IF($AA5260&gt;N($AA5259),$AA5260,""))</f>
        <v/>
      </c>
      <c r="AA5260">
        <f>IF($V5260="",N($AA5259),IF(MATCH($V5260,$V$6:$V$6005,0)=ROW()-5,N($AA5259)+1,N($AA5259)))</f>
        <v/>
      </c>
    </row>
    <row r="5261" ht="21" customHeight="1" s="66">
      <c r="A5261" s="56" t="n"/>
      <c r="B5261" s="57" t="n"/>
      <c r="C5261" s="57" t="n"/>
      <c r="D5261" s="57" t="n"/>
      <c r="E5261" s="56" t="n"/>
      <c r="F5261" s="57" t="n"/>
      <c r="G5261" s="57" t="n"/>
      <c r="H5261" s="56" t="n"/>
      <c r="I5261" s="56" t="n"/>
      <c r="J5261" s="58" t="n"/>
      <c r="K5261" s="58" t="n"/>
      <c r="L5261" s="13">
        <f>IF(OR($A5261="",AND($J5261="",$K5261="")),"",ROUND(N($J5261)-N($K5261),2))</f>
        <v/>
      </c>
      <c r="M5261" s="13">
        <f>IF(OR($A5261="",AND($J5261="",$K5261="")),"",MIN($J5261,$K5261))</f>
        <v/>
      </c>
      <c r="Q5261">
        <f>IF($A5261="","",$D5261&amp;"("&amp;SUBSTITUTE($E5261," ","")&amp;")")</f>
        <v/>
      </c>
      <c r="R5261">
        <f>IF($A5261="","",$B5261&amp;" - "&amp;$C5261)</f>
        <v/>
      </c>
      <c r="S5261">
        <f>IF($A5261="","",$R5261&amp;"|"&amp;$Q5261)</f>
        <v/>
      </c>
      <c r="T5261">
        <f>IF($A5261="","",$S5261&amp;"|"&amp;$F5261)</f>
        <v/>
      </c>
      <c r="U5261">
        <f>IF($A5261="","",$R5261&amp;"("&amp;$E5261&amp;")")</f>
        <v/>
      </c>
      <c r="V5261">
        <f>IF($A5261="","",$F5261&amp;"|"&amp;$U5261&amp;"|"&amp;$D5261)</f>
        <v/>
      </c>
      <c r="W5261">
        <f>IF($T5261="","",IF($X5261&gt;N($X5260),$X5261,""))</f>
        <v/>
      </c>
      <c r="X5261">
        <f>IF($T5261="",N($X5260),IF(MATCH($T5261,$T$6:$T$6005,0)=ROW()-5,N($X5260)+1,N($X5260)))</f>
        <v/>
      </c>
      <c r="Z5261">
        <f>IF($V5261="","",IF($AA5261&gt;N($AA5260),$AA5261,""))</f>
        <v/>
      </c>
      <c r="AA5261">
        <f>IF($V5261="",N($AA5260),IF(MATCH($V5261,$V$6:$V$6005,0)=ROW()-5,N($AA5260)+1,N($AA5260)))</f>
        <v/>
      </c>
    </row>
    <row r="5262" ht="21" customHeight="1" s="66">
      <c r="A5262" s="56" t="n"/>
      <c r="B5262" s="57" t="n"/>
      <c r="C5262" s="57" t="n"/>
      <c r="D5262" s="57" t="n"/>
      <c r="E5262" s="56" t="n"/>
      <c r="F5262" s="57" t="n"/>
      <c r="G5262" s="57" t="n"/>
      <c r="H5262" s="56" t="n"/>
      <c r="I5262" s="56" t="n"/>
      <c r="J5262" s="58" t="n"/>
      <c r="K5262" s="58" t="n"/>
      <c r="L5262" s="13">
        <f>IF(OR($A5262="",AND($J5262="",$K5262="")),"",ROUND(N($J5262)-N($K5262),2))</f>
        <v/>
      </c>
      <c r="M5262" s="13">
        <f>IF(OR($A5262="",AND($J5262="",$K5262="")),"",MIN($J5262,$K5262))</f>
        <v/>
      </c>
      <c r="Q5262">
        <f>IF($A5262="","",$D5262&amp;"("&amp;SUBSTITUTE($E5262," ","")&amp;")")</f>
        <v/>
      </c>
      <c r="R5262">
        <f>IF($A5262="","",$B5262&amp;" - "&amp;$C5262)</f>
        <v/>
      </c>
      <c r="S5262">
        <f>IF($A5262="","",$R5262&amp;"|"&amp;$Q5262)</f>
        <v/>
      </c>
      <c r="T5262">
        <f>IF($A5262="","",$S5262&amp;"|"&amp;$F5262)</f>
        <v/>
      </c>
      <c r="U5262">
        <f>IF($A5262="","",$R5262&amp;"("&amp;$E5262&amp;")")</f>
        <v/>
      </c>
      <c r="V5262">
        <f>IF($A5262="","",$F5262&amp;"|"&amp;$U5262&amp;"|"&amp;$D5262)</f>
        <v/>
      </c>
      <c r="W5262">
        <f>IF($T5262="","",IF($X5262&gt;N($X5261),$X5262,""))</f>
        <v/>
      </c>
      <c r="X5262">
        <f>IF($T5262="",N($X5261),IF(MATCH($T5262,$T$6:$T$6005,0)=ROW()-5,N($X5261)+1,N($X5261)))</f>
        <v/>
      </c>
      <c r="Z5262">
        <f>IF($V5262="","",IF($AA5262&gt;N($AA5261),$AA5262,""))</f>
        <v/>
      </c>
      <c r="AA5262">
        <f>IF($V5262="",N($AA5261),IF(MATCH($V5262,$V$6:$V$6005,0)=ROW()-5,N($AA5261)+1,N($AA5261)))</f>
        <v/>
      </c>
    </row>
    <row r="5263" ht="21" customHeight="1" s="66">
      <c r="A5263" s="56" t="n"/>
      <c r="B5263" s="57" t="n"/>
      <c r="C5263" s="57" t="n"/>
      <c r="D5263" s="57" t="n"/>
      <c r="E5263" s="56" t="n"/>
      <c r="F5263" s="57" t="n"/>
      <c r="G5263" s="57" t="n"/>
      <c r="H5263" s="56" t="n"/>
      <c r="I5263" s="56" t="n"/>
      <c r="J5263" s="58" t="n"/>
      <c r="K5263" s="58" t="n"/>
      <c r="L5263" s="13">
        <f>IF(OR($A5263="",AND($J5263="",$K5263="")),"",ROUND(N($J5263)-N($K5263),2))</f>
        <v/>
      </c>
      <c r="M5263" s="13">
        <f>IF(OR($A5263="",AND($J5263="",$K5263="")),"",MIN($J5263,$K5263))</f>
        <v/>
      </c>
      <c r="Q5263">
        <f>IF($A5263="","",$D5263&amp;"("&amp;SUBSTITUTE($E5263," ","")&amp;")")</f>
        <v/>
      </c>
      <c r="R5263">
        <f>IF($A5263="","",$B5263&amp;" - "&amp;$C5263)</f>
        <v/>
      </c>
      <c r="S5263">
        <f>IF($A5263="","",$R5263&amp;"|"&amp;$Q5263)</f>
        <v/>
      </c>
      <c r="T5263">
        <f>IF($A5263="","",$S5263&amp;"|"&amp;$F5263)</f>
        <v/>
      </c>
      <c r="U5263">
        <f>IF($A5263="","",$R5263&amp;"("&amp;$E5263&amp;")")</f>
        <v/>
      </c>
      <c r="V5263">
        <f>IF($A5263="","",$F5263&amp;"|"&amp;$U5263&amp;"|"&amp;$D5263)</f>
        <v/>
      </c>
      <c r="W5263">
        <f>IF($T5263="","",IF($X5263&gt;N($X5262),$X5263,""))</f>
        <v/>
      </c>
      <c r="X5263">
        <f>IF($T5263="",N($X5262),IF(MATCH($T5263,$T$6:$T$6005,0)=ROW()-5,N($X5262)+1,N($X5262)))</f>
        <v/>
      </c>
      <c r="Z5263">
        <f>IF($V5263="","",IF($AA5263&gt;N($AA5262),$AA5263,""))</f>
        <v/>
      </c>
      <c r="AA5263">
        <f>IF($V5263="",N($AA5262),IF(MATCH($V5263,$V$6:$V$6005,0)=ROW()-5,N($AA5262)+1,N($AA5262)))</f>
        <v/>
      </c>
    </row>
    <row r="5264" ht="21" customHeight="1" s="66">
      <c r="A5264" s="56" t="n"/>
      <c r="B5264" s="57" t="n"/>
      <c r="C5264" s="57" t="n"/>
      <c r="D5264" s="57" t="n"/>
      <c r="E5264" s="56" t="n"/>
      <c r="F5264" s="57" t="n"/>
      <c r="G5264" s="57" t="n"/>
      <c r="H5264" s="56" t="n"/>
      <c r="I5264" s="56" t="n"/>
      <c r="J5264" s="58" t="n"/>
      <c r="K5264" s="58" t="n"/>
      <c r="L5264" s="13">
        <f>IF(OR($A5264="",AND($J5264="",$K5264="")),"",ROUND(N($J5264)-N($K5264),2))</f>
        <v/>
      </c>
      <c r="M5264" s="13">
        <f>IF(OR($A5264="",AND($J5264="",$K5264="")),"",MIN($J5264,$K5264))</f>
        <v/>
      </c>
      <c r="Q5264">
        <f>IF($A5264="","",$D5264&amp;"("&amp;SUBSTITUTE($E5264," ","")&amp;")")</f>
        <v/>
      </c>
      <c r="R5264">
        <f>IF($A5264="","",$B5264&amp;" - "&amp;$C5264)</f>
        <v/>
      </c>
      <c r="S5264">
        <f>IF($A5264="","",$R5264&amp;"|"&amp;$Q5264)</f>
        <v/>
      </c>
      <c r="T5264">
        <f>IF($A5264="","",$S5264&amp;"|"&amp;$F5264)</f>
        <v/>
      </c>
      <c r="U5264">
        <f>IF($A5264="","",$R5264&amp;"("&amp;$E5264&amp;")")</f>
        <v/>
      </c>
      <c r="V5264">
        <f>IF($A5264="","",$F5264&amp;"|"&amp;$U5264&amp;"|"&amp;$D5264)</f>
        <v/>
      </c>
      <c r="W5264">
        <f>IF($T5264="","",IF($X5264&gt;N($X5263),$X5264,""))</f>
        <v/>
      </c>
      <c r="X5264">
        <f>IF($T5264="",N($X5263),IF(MATCH($T5264,$T$6:$T$6005,0)=ROW()-5,N($X5263)+1,N($X5263)))</f>
        <v/>
      </c>
      <c r="Z5264">
        <f>IF($V5264="","",IF($AA5264&gt;N($AA5263),$AA5264,""))</f>
        <v/>
      </c>
      <c r="AA5264">
        <f>IF($V5264="",N($AA5263),IF(MATCH($V5264,$V$6:$V$6005,0)=ROW()-5,N($AA5263)+1,N($AA5263)))</f>
        <v/>
      </c>
    </row>
    <row r="5265" ht="21" customHeight="1" s="66">
      <c r="A5265" s="56" t="n"/>
      <c r="B5265" s="57" t="n"/>
      <c r="C5265" s="57" t="n"/>
      <c r="D5265" s="57" t="n"/>
      <c r="E5265" s="56" t="n"/>
      <c r="F5265" s="57" t="n"/>
      <c r="G5265" s="57" t="n"/>
      <c r="H5265" s="56" t="n"/>
      <c r="I5265" s="56" t="n"/>
      <c r="J5265" s="58" t="n"/>
      <c r="K5265" s="58" t="n"/>
      <c r="L5265" s="13">
        <f>IF(OR($A5265="",AND($J5265="",$K5265="")),"",ROUND(N($J5265)-N($K5265),2))</f>
        <v/>
      </c>
      <c r="M5265" s="13">
        <f>IF(OR($A5265="",AND($J5265="",$K5265="")),"",MIN($J5265,$K5265))</f>
        <v/>
      </c>
      <c r="Q5265">
        <f>IF($A5265="","",$D5265&amp;"("&amp;SUBSTITUTE($E5265," ","")&amp;")")</f>
        <v/>
      </c>
      <c r="R5265">
        <f>IF($A5265="","",$B5265&amp;" - "&amp;$C5265)</f>
        <v/>
      </c>
      <c r="S5265">
        <f>IF($A5265="","",$R5265&amp;"|"&amp;$Q5265)</f>
        <v/>
      </c>
      <c r="T5265">
        <f>IF($A5265="","",$S5265&amp;"|"&amp;$F5265)</f>
        <v/>
      </c>
      <c r="U5265">
        <f>IF($A5265="","",$R5265&amp;"("&amp;$E5265&amp;")")</f>
        <v/>
      </c>
      <c r="V5265">
        <f>IF($A5265="","",$F5265&amp;"|"&amp;$U5265&amp;"|"&amp;$D5265)</f>
        <v/>
      </c>
      <c r="W5265">
        <f>IF($T5265="","",IF($X5265&gt;N($X5264),$X5265,""))</f>
        <v/>
      </c>
      <c r="X5265">
        <f>IF($T5265="",N($X5264),IF(MATCH($T5265,$T$6:$T$6005,0)=ROW()-5,N($X5264)+1,N($X5264)))</f>
        <v/>
      </c>
      <c r="Z5265">
        <f>IF($V5265="","",IF($AA5265&gt;N($AA5264),$AA5265,""))</f>
        <v/>
      </c>
      <c r="AA5265">
        <f>IF($V5265="",N($AA5264),IF(MATCH($V5265,$V$6:$V$6005,0)=ROW()-5,N($AA5264)+1,N($AA5264)))</f>
        <v/>
      </c>
    </row>
    <row r="5266" ht="21" customHeight="1" s="66">
      <c r="A5266" s="56" t="n"/>
      <c r="B5266" s="57" t="n"/>
      <c r="C5266" s="57" t="n"/>
      <c r="D5266" s="57" t="n"/>
      <c r="E5266" s="56" t="n"/>
      <c r="F5266" s="57" t="n"/>
      <c r="G5266" s="57" t="n"/>
      <c r="H5266" s="56" t="n"/>
      <c r="I5266" s="56" t="n"/>
      <c r="J5266" s="58" t="n"/>
      <c r="K5266" s="58" t="n"/>
      <c r="L5266" s="13">
        <f>IF(OR($A5266="",AND($J5266="",$K5266="")),"",ROUND(N($J5266)-N($K5266),2))</f>
        <v/>
      </c>
      <c r="M5266" s="13">
        <f>IF(OR($A5266="",AND($J5266="",$K5266="")),"",MIN($J5266,$K5266))</f>
        <v/>
      </c>
      <c r="Q5266">
        <f>IF($A5266="","",$D5266&amp;"("&amp;SUBSTITUTE($E5266," ","")&amp;")")</f>
        <v/>
      </c>
      <c r="R5266">
        <f>IF($A5266="","",$B5266&amp;" - "&amp;$C5266)</f>
        <v/>
      </c>
      <c r="S5266">
        <f>IF($A5266="","",$R5266&amp;"|"&amp;$Q5266)</f>
        <v/>
      </c>
      <c r="T5266">
        <f>IF($A5266="","",$S5266&amp;"|"&amp;$F5266)</f>
        <v/>
      </c>
      <c r="U5266">
        <f>IF($A5266="","",$R5266&amp;"("&amp;$E5266&amp;")")</f>
        <v/>
      </c>
      <c r="V5266">
        <f>IF($A5266="","",$F5266&amp;"|"&amp;$U5266&amp;"|"&amp;$D5266)</f>
        <v/>
      </c>
      <c r="W5266">
        <f>IF($T5266="","",IF($X5266&gt;N($X5265),$X5266,""))</f>
        <v/>
      </c>
      <c r="X5266">
        <f>IF($T5266="",N($X5265),IF(MATCH($T5266,$T$6:$T$6005,0)=ROW()-5,N($X5265)+1,N($X5265)))</f>
        <v/>
      </c>
      <c r="Z5266">
        <f>IF($V5266="","",IF($AA5266&gt;N($AA5265),$AA5266,""))</f>
        <v/>
      </c>
      <c r="AA5266">
        <f>IF($V5266="",N($AA5265),IF(MATCH($V5266,$V$6:$V$6005,0)=ROW()-5,N($AA5265)+1,N($AA5265)))</f>
        <v/>
      </c>
    </row>
    <row r="5267" ht="21" customHeight="1" s="66">
      <c r="A5267" s="56" t="n"/>
      <c r="B5267" s="57" t="n"/>
      <c r="C5267" s="57" t="n"/>
      <c r="D5267" s="57" t="n"/>
      <c r="E5267" s="56" t="n"/>
      <c r="F5267" s="57" t="n"/>
      <c r="G5267" s="57" t="n"/>
      <c r="H5267" s="56" t="n"/>
      <c r="I5267" s="56" t="n"/>
      <c r="J5267" s="58" t="n"/>
      <c r="K5267" s="58" t="n"/>
      <c r="L5267" s="13">
        <f>IF(OR($A5267="",AND($J5267="",$K5267="")),"",ROUND(N($J5267)-N($K5267),2))</f>
        <v/>
      </c>
      <c r="M5267" s="13">
        <f>IF(OR($A5267="",AND($J5267="",$K5267="")),"",MIN($J5267,$K5267))</f>
        <v/>
      </c>
      <c r="Q5267">
        <f>IF($A5267="","",$D5267&amp;"("&amp;SUBSTITUTE($E5267," ","")&amp;")")</f>
        <v/>
      </c>
      <c r="R5267">
        <f>IF($A5267="","",$B5267&amp;" - "&amp;$C5267)</f>
        <v/>
      </c>
      <c r="S5267">
        <f>IF($A5267="","",$R5267&amp;"|"&amp;$Q5267)</f>
        <v/>
      </c>
      <c r="T5267">
        <f>IF($A5267="","",$S5267&amp;"|"&amp;$F5267)</f>
        <v/>
      </c>
      <c r="U5267">
        <f>IF($A5267="","",$R5267&amp;"("&amp;$E5267&amp;")")</f>
        <v/>
      </c>
      <c r="V5267">
        <f>IF($A5267="","",$F5267&amp;"|"&amp;$U5267&amp;"|"&amp;$D5267)</f>
        <v/>
      </c>
      <c r="W5267">
        <f>IF($T5267="","",IF($X5267&gt;N($X5266),$X5267,""))</f>
        <v/>
      </c>
      <c r="X5267">
        <f>IF($T5267="",N($X5266),IF(MATCH($T5267,$T$6:$T$6005,0)=ROW()-5,N($X5266)+1,N($X5266)))</f>
        <v/>
      </c>
      <c r="Z5267">
        <f>IF($V5267="","",IF($AA5267&gt;N($AA5266),$AA5267,""))</f>
        <v/>
      </c>
      <c r="AA5267">
        <f>IF($V5267="",N($AA5266),IF(MATCH($V5267,$V$6:$V$6005,0)=ROW()-5,N($AA5266)+1,N($AA5266)))</f>
        <v/>
      </c>
    </row>
    <row r="5268" ht="21" customHeight="1" s="66">
      <c r="A5268" s="56" t="n"/>
      <c r="B5268" s="57" t="n"/>
      <c r="C5268" s="57" t="n"/>
      <c r="D5268" s="57" t="n"/>
      <c r="E5268" s="56" t="n"/>
      <c r="F5268" s="57" t="n"/>
      <c r="G5268" s="57" t="n"/>
      <c r="H5268" s="56" t="n"/>
      <c r="I5268" s="56" t="n"/>
      <c r="J5268" s="58" t="n"/>
      <c r="K5268" s="58" t="n"/>
      <c r="L5268" s="13">
        <f>IF(OR($A5268="",AND($J5268="",$K5268="")),"",ROUND(N($J5268)-N($K5268),2))</f>
        <v/>
      </c>
      <c r="M5268" s="13">
        <f>IF(OR($A5268="",AND($J5268="",$K5268="")),"",MIN($J5268,$K5268))</f>
        <v/>
      </c>
      <c r="Q5268">
        <f>IF($A5268="","",$D5268&amp;"("&amp;SUBSTITUTE($E5268," ","")&amp;")")</f>
        <v/>
      </c>
      <c r="R5268">
        <f>IF($A5268="","",$B5268&amp;" - "&amp;$C5268)</f>
        <v/>
      </c>
      <c r="S5268">
        <f>IF($A5268="","",$R5268&amp;"|"&amp;$Q5268)</f>
        <v/>
      </c>
      <c r="T5268">
        <f>IF($A5268="","",$S5268&amp;"|"&amp;$F5268)</f>
        <v/>
      </c>
      <c r="U5268">
        <f>IF($A5268="","",$R5268&amp;"("&amp;$E5268&amp;")")</f>
        <v/>
      </c>
      <c r="V5268">
        <f>IF($A5268="","",$F5268&amp;"|"&amp;$U5268&amp;"|"&amp;$D5268)</f>
        <v/>
      </c>
      <c r="W5268">
        <f>IF($T5268="","",IF($X5268&gt;N($X5267),$X5268,""))</f>
        <v/>
      </c>
      <c r="X5268">
        <f>IF($T5268="",N($X5267),IF(MATCH($T5268,$T$6:$T$6005,0)=ROW()-5,N($X5267)+1,N($X5267)))</f>
        <v/>
      </c>
      <c r="Z5268">
        <f>IF($V5268="","",IF($AA5268&gt;N($AA5267),$AA5268,""))</f>
        <v/>
      </c>
      <c r="AA5268">
        <f>IF($V5268="",N($AA5267),IF(MATCH($V5268,$V$6:$V$6005,0)=ROW()-5,N($AA5267)+1,N($AA5267)))</f>
        <v/>
      </c>
    </row>
    <row r="5269" ht="21" customHeight="1" s="66">
      <c r="A5269" s="56" t="n"/>
      <c r="B5269" s="57" t="n"/>
      <c r="C5269" s="57" t="n"/>
      <c r="D5269" s="57" t="n"/>
      <c r="E5269" s="56" t="n"/>
      <c r="F5269" s="57" t="n"/>
      <c r="G5269" s="57" t="n"/>
      <c r="H5269" s="56" t="n"/>
      <c r="I5269" s="56" t="n"/>
      <c r="J5269" s="58" t="n"/>
      <c r="K5269" s="58" t="n"/>
      <c r="L5269" s="13">
        <f>IF(OR($A5269="",AND($J5269="",$K5269="")),"",ROUND(N($J5269)-N($K5269),2))</f>
        <v/>
      </c>
      <c r="M5269" s="13">
        <f>IF(OR($A5269="",AND($J5269="",$K5269="")),"",MIN($J5269,$K5269))</f>
        <v/>
      </c>
      <c r="Q5269">
        <f>IF($A5269="","",$D5269&amp;"("&amp;SUBSTITUTE($E5269," ","")&amp;")")</f>
        <v/>
      </c>
      <c r="R5269">
        <f>IF($A5269="","",$B5269&amp;" - "&amp;$C5269)</f>
        <v/>
      </c>
      <c r="S5269">
        <f>IF($A5269="","",$R5269&amp;"|"&amp;$Q5269)</f>
        <v/>
      </c>
      <c r="T5269">
        <f>IF($A5269="","",$S5269&amp;"|"&amp;$F5269)</f>
        <v/>
      </c>
      <c r="U5269">
        <f>IF($A5269="","",$R5269&amp;"("&amp;$E5269&amp;")")</f>
        <v/>
      </c>
      <c r="V5269">
        <f>IF($A5269="","",$F5269&amp;"|"&amp;$U5269&amp;"|"&amp;$D5269)</f>
        <v/>
      </c>
      <c r="W5269">
        <f>IF($T5269="","",IF($X5269&gt;N($X5268),$X5269,""))</f>
        <v/>
      </c>
      <c r="X5269">
        <f>IF($T5269="",N($X5268),IF(MATCH($T5269,$T$6:$T$6005,0)=ROW()-5,N($X5268)+1,N($X5268)))</f>
        <v/>
      </c>
      <c r="Z5269">
        <f>IF($V5269="","",IF($AA5269&gt;N($AA5268),$AA5269,""))</f>
        <v/>
      </c>
      <c r="AA5269">
        <f>IF($V5269="",N($AA5268),IF(MATCH($V5269,$V$6:$V$6005,0)=ROW()-5,N($AA5268)+1,N($AA5268)))</f>
        <v/>
      </c>
    </row>
    <row r="5270" ht="21" customHeight="1" s="66">
      <c r="A5270" s="56" t="n"/>
      <c r="B5270" s="57" t="n"/>
      <c r="C5270" s="57" t="n"/>
      <c r="D5270" s="57" t="n"/>
      <c r="E5270" s="56" t="n"/>
      <c r="F5270" s="57" t="n"/>
      <c r="G5270" s="57" t="n"/>
      <c r="H5270" s="56" t="n"/>
      <c r="I5270" s="56" t="n"/>
      <c r="J5270" s="58" t="n"/>
      <c r="K5270" s="58" t="n"/>
      <c r="L5270" s="13">
        <f>IF(OR($A5270="",AND($J5270="",$K5270="")),"",ROUND(N($J5270)-N($K5270),2))</f>
        <v/>
      </c>
      <c r="M5270" s="13">
        <f>IF(OR($A5270="",AND($J5270="",$K5270="")),"",MIN($J5270,$K5270))</f>
        <v/>
      </c>
      <c r="Q5270">
        <f>IF($A5270="","",$D5270&amp;"("&amp;SUBSTITUTE($E5270," ","")&amp;")")</f>
        <v/>
      </c>
      <c r="R5270">
        <f>IF($A5270="","",$B5270&amp;" - "&amp;$C5270)</f>
        <v/>
      </c>
      <c r="S5270">
        <f>IF($A5270="","",$R5270&amp;"|"&amp;$Q5270)</f>
        <v/>
      </c>
      <c r="T5270">
        <f>IF($A5270="","",$S5270&amp;"|"&amp;$F5270)</f>
        <v/>
      </c>
      <c r="U5270">
        <f>IF($A5270="","",$R5270&amp;"("&amp;$E5270&amp;")")</f>
        <v/>
      </c>
      <c r="V5270">
        <f>IF($A5270="","",$F5270&amp;"|"&amp;$U5270&amp;"|"&amp;$D5270)</f>
        <v/>
      </c>
      <c r="W5270">
        <f>IF($T5270="","",IF($X5270&gt;N($X5269),$X5270,""))</f>
        <v/>
      </c>
      <c r="X5270">
        <f>IF($T5270="",N($X5269),IF(MATCH($T5270,$T$6:$T$6005,0)=ROW()-5,N($X5269)+1,N($X5269)))</f>
        <v/>
      </c>
      <c r="Z5270">
        <f>IF($V5270="","",IF($AA5270&gt;N($AA5269),$AA5270,""))</f>
        <v/>
      </c>
      <c r="AA5270">
        <f>IF($V5270="",N($AA5269),IF(MATCH($V5270,$V$6:$V$6005,0)=ROW()-5,N($AA5269)+1,N($AA5269)))</f>
        <v/>
      </c>
    </row>
    <row r="5271" ht="21" customHeight="1" s="66">
      <c r="A5271" s="56" t="n"/>
      <c r="B5271" s="57" t="n"/>
      <c r="C5271" s="57" t="n"/>
      <c r="D5271" s="57" t="n"/>
      <c r="E5271" s="56" t="n"/>
      <c r="F5271" s="57" t="n"/>
      <c r="G5271" s="57" t="n"/>
      <c r="H5271" s="56" t="n"/>
      <c r="I5271" s="56" t="n"/>
      <c r="J5271" s="58" t="n"/>
      <c r="K5271" s="58" t="n"/>
      <c r="L5271" s="13">
        <f>IF(OR($A5271="",AND($J5271="",$K5271="")),"",ROUND(N($J5271)-N($K5271),2))</f>
        <v/>
      </c>
      <c r="M5271" s="13">
        <f>IF(OR($A5271="",AND($J5271="",$K5271="")),"",MIN($J5271,$K5271))</f>
        <v/>
      </c>
      <c r="Q5271">
        <f>IF($A5271="","",$D5271&amp;"("&amp;SUBSTITUTE($E5271," ","")&amp;")")</f>
        <v/>
      </c>
      <c r="R5271">
        <f>IF($A5271="","",$B5271&amp;" - "&amp;$C5271)</f>
        <v/>
      </c>
      <c r="S5271">
        <f>IF($A5271="","",$R5271&amp;"|"&amp;$Q5271)</f>
        <v/>
      </c>
      <c r="T5271">
        <f>IF($A5271="","",$S5271&amp;"|"&amp;$F5271)</f>
        <v/>
      </c>
      <c r="U5271">
        <f>IF($A5271="","",$R5271&amp;"("&amp;$E5271&amp;")")</f>
        <v/>
      </c>
      <c r="V5271">
        <f>IF($A5271="","",$F5271&amp;"|"&amp;$U5271&amp;"|"&amp;$D5271)</f>
        <v/>
      </c>
      <c r="W5271">
        <f>IF($T5271="","",IF($X5271&gt;N($X5270),$X5271,""))</f>
        <v/>
      </c>
      <c r="X5271">
        <f>IF($T5271="",N($X5270),IF(MATCH($T5271,$T$6:$T$6005,0)=ROW()-5,N($X5270)+1,N($X5270)))</f>
        <v/>
      </c>
      <c r="Z5271">
        <f>IF($V5271="","",IF($AA5271&gt;N($AA5270),$AA5271,""))</f>
        <v/>
      </c>
      <c r="AA5271">
        <f>IF($V5271="",N($AA5270),IF(MATCH($V5271,$V$6:$V$6005,0)=ROW()-5,N($AA5270)+1,N($AA5270)))</f>
        <v/>
      </c>
    </row>
    <row r="5272" ht="21" customHeight="1" s="66">
      <c r="A5272" s="56" t="n"/>
      <c r="B5272" s="57" t="n"/>
      <c r="C5272" s="57" t="n"/>
      <c r="D5272" s="57" t="n"/>
      <c r="E5272" s="56" t="n"/>
      <c r="F5272" s="57" t="n"/>
      <c r="G5272" s="57" t="n"/>
      <c r="H5272" s="56" t="n"/>
      <c r="I5272" s="56" t="n"/>
      <c r="J5272" s="58" t="n"/>
      <c r="K5272" s="58" t="n"/>
      <c r="L5272" s="13">
        <f>IF(OR($A5272="",AND($J5272="",$K5272="")),"",ROUND(N($J5272)-N($K5272),2))</f>
        <v/>
      </c>
      <c r="M5272" s="13">
        <f>IF(OR($A5272="",AND($J5272="",$K5272="")),"",MIN($J5272,$K5272))</f>
        <v/>
      </c>
      <c r="Q5272">
        <f>IF($A5272="","",$D5272&amp;"("&amp;SUBSTITUTE($E5272," ","")&amp;")")</f>
        <v/>
      </c>
      <c r="R5272">
        <f>IF($A5272="","",$B5272&amp;" - "&amp;$C5272)</f>
        <v/>
      </c>
      <c r="S5272">
        <f>IF($A5272="","",$R5272&amp;"|"&amp;$Q5272)</f>
        <v/>
      </c>
      <c r="T5272">
        <f>IF($A5272="","",$S5272&amp;"|"&amp;$F5272)</f>
        <v/>
      </c>
      <c r="U5272">
        <f>IF($A5272="","",$R5272&amp;"("&amp;$E5272&amp;")")</f>
        <v/>
      </c>
      <c r="V5272">
        <f>IF($A5272="","",$F5272&amp;"|"&amp;$U5272&amp;"|"&amp;$D5272)</f>
        <v/>
      </c>
      <c r="W5272">
        <f>IF($T5272="","",IF($X5272&gt;N($X5271),$X5272,""))</f>
        <v/>
      </c>
      <c r="X5272">
        <f>IF($T5272="",N($X5271),IF(MATCH($T5272,$T$6:$T$6005,0)=ROW()-5,N($X5271)+1,N($X5271)))</f>
        <v/>
      </c>
      <c r="Z5272">
        <f>IF($V5272="","",IF($AA5272&gt;N($AA5271),$AA5272,""))</f>
        <v/>
      </c>
      <c r="AA5272">
        <f>IF($V5272="",N($AA5271),IF(MATCH($V5272,$V$6:$V$6005,0)=ROW()-5,N($AA5271)+1,N($AA5271)))</f>
        <v/>
      </c>
    </row>
    <row r="5273" ht="21" customHeight="1" s="66">
      <c r="A5273" s="56" t="n"/>
      <c r="B5273" s="57" t="n"/>
      <c r="C5273" s="57" t="n"/>
      <c r="D5273" s="57" t="n"/>
      <c r="E5273" s="56" t="n"/>
      <c r="F5273" s="57" t="n"/>
      <c r="G5273" s="57" t="n"/>
      <c r="H5273" s="56" t="n"/>
      <c r="I5273" s="56" t="n"/>
      <c r="J5273" s="58" t="n"/>
      <c r="K5273" s="58" t="n"/>
      <c r="L5273" s="13">
        <f>IF(OR($A5273="",AND($J5273="",$K5273="")),"",ROUND(N($J5273)-N($K5273),2))</f>
        <v/>
      </c>
      <c r="M5273" s="13">
        <f>IF(OR($A5273="",AND($J5273="",$K5273="")),"",MIN($J5273,$K5273))</f>
        <v/>
      </c>
      <c r="Q5273">
        <f>IF($A5273="","",$D5273&amp;"("&amp;SUBSTITUTE($E5273," ","")&amp;")")</f>
        <v/>
      </c>
      <c r="R5273">
        <f>IF($A5273="","",$B5273&amp;" - "&amp;$C5273)</f>
        <v/>
      </c>
      <c r="S5273">
        <f>IF($A5273="","",$R5273&amp;"|"&amp;$Q5273)</f>
        <v/>
      </c>
      <c r="T5273">
        <f>IF($A5273="","",$S5273&amp;"|"&amp;$F5273)</f>
        <v/>
      </c>
      <c r="U5273">
        <f>IF($A5273="","",$R5273&amp;"("&amp;$E5273&amp;")")</f>
        <v/>
      </c>
      <c r="V5273">
        <f>IF($A5273="","",$F5273&amp;"|"&amp;$U5273&amp;"|"&amp;$D5273)</f>
        <v/>
      </c>
      <c r="W5273">
        <f>IF($T5273="","",IF($X5273&gt;N($X5272),$X5273,""))</f>
        <v/>
      </c>
      <c r="X5273">
        <f>IF($T5273="",N($X5272),IF(MATCH($T5273,$T$6:$T$6005,0)=ROW()-5,N($X5272)+1,N($X5272)))</f>
        <v/>
      </c>
      <c r="Z5273">
        <f>IF($V5273="","",IF($AA5273&gt;N($AA5272),$AA5273,""))</f>
        <v/>
      </c>
      <c r="AA5273">
        <f>IF($V5273="",N($AA5272),IF(MATCH($V5273,$V$6:$V$6005,0)=ROW()-5,N($AA5272)+1,N($AA5272)))</f>
        <v/>
      </c>
    </row>
    <row r="5274" ht="21" customHeight="1" s="66">
      <c r="A5274" s="56" t="n"/>
      <c r="B5274" s="57" t="n"/>
      <c r="C5274" s="57" t="n"/>
      <c r="D5274" s="57" t="n"/>
      <c r="E5274" s="56" t="n"/>
      <c r="F5274" s="57" t="n"/>
      <c r="G5274" s="57" t="n"/>
      <c r="H5274" s="56" t="n"/>
      <c r="I5274" s="56" t="n"/>
      <c r="J5274" s="58" t="n"/>
      <c r="K5274" s="58" t="n"/>
      <c r="L5274" s="13">
        <f>IF(OR($A5274="",AND($J5274="",$K5274="")),"",ROUND(N($J5274)-N($K5274),2))</f>
        <v/>
      </c>
      <c r="M5274" s="13">
        <f>IF(OR($A5274="",AND($J5274="",$K5274="")),"",MIN($J5274,$K5274))</f>
        <v/>
      </c>
      <c r="Q5274">
        <f>IF($A5274="","",$D5274&amp;"("&amp;SUBSTITUTE($E5274," ","")&amp;")")</f>
        <v/>
      </c>
      <c r="R5274">
        <f>IF($A5274="","",$B5274&amp;" - "&amp;$C5274)</f>
        <v/>
      </c>
      <c r="S5274">
        <f>IF($A5274="","",$R5274&amp;"|"&amp;$Q5274)</f>
        <v/>
      </c>
      <c r="T5274">
        <f>IF($A5274="","",$S5274&amp;"|"&amp;$F5274)</f>
        <v/>
      </c>
      <c r="U5274">
        <f>IF($A5274="","",$R5274&amp;"("&amp;$E5274&amp;")")</f>
        <v/>
      </c>
      <c r="V5274">
        <f>IF($A5274="","",$F5274&amp;"|"&amp;$U5274&amp;"|"&amp;$D5274)</f>
        <v/>
      </c>
      <c r="W5274">
        <f>IF($T5274="","",IF($X5274&gt;N($X5273),$X5274,""))</f>
        <v/>
      </c>
      <c r="X5274">
        <f>IF($T5274="",N($X5273),IF(MATCH($T5274,$T$6:$T$6005,0)=ROW()-5,N($X5273)+1,N($X5273)))</f>
        <v/>
      </c>
      <c r="Z5274">
        <f>IF($V5274="","",IF($AA5274&gt;N($AA5273),$AA5274,""))</f>
        <v/>
      </c>
      <c r="AA5274">
        <f>IF($V5274="",N($AA5273),IF(MATCH($V5274,$V$6:$V$6005,0)=ROW()-5,N($AA5273)+1,N($AA5273)))</f>
        <v/>
      </c>
    </row>
    <row r="5275" ht="21" customHeight="1" s="66">
      <c r="A5275" s="56" t="n"/>
      <c r="B5275" s="57" t="n"/>
      <c r="C5275" s="57" t="n"/>
      <c r="D5275" s="57" t="n"/>
      <c r="E5275" s="56" t="n"/>
      <c r="F5275" s="57" t="n"/>
      <c r="G5275" s="57" t="n"/>
      <c r="H5275" s="56" t="n"/>
      <c r="I5275" s="56" t="n"/>
      <c r="J5275" s="58" t="n"/>
      <c r="K5275" s="58" t="n"/>
      <c r="L5275" s="13">
        <f>IF(OR($A5275="",AND($J5275="",$K5275="")),"",ROUND(N($J5275)-N($K5275),2))</f>
        <v/>
      </c>
      <c r="M5275" s="13">
        <f>IF(OR($A5275="",AND($J5275="",$K5275="")),"",MIN($J5275,$K5275))</f>
        <v/>
      </c>
      <c r="Q5275">
        <f>IF($A5275="","",$D5275&amp;"("&amp;SUBSTITUTE($E5275," ","")&amp;")")</f>
        <v/>
      </c>
      <c r="R5275">
        <f>IF($A5275="","",$B5275&amp;" - "&amp;$C5275)</f>
        <v/>
      </c>
      <c r="S5275">
        <f>IF($A5275="","",$R5275&amp;"|"&amp;$Q5275)</f>
        <v/>
      </c>
      <c r="T5275">
        <f>IF($A5275="","",$S5275&amp;"|"&amp;$F5275)</f>
        <v/>
      </c>
      <c r="U5275">
        <f>IF($A5275="","",$R5275&amp;"("&amp;$E5275&amp;")")</f>
        <v/>
      </c>
      <c r="V5275">
        <f>IF($A5275="","",$F5275&amp;"|"&amp;$U5275&amp;"|"&amp;$D5275)</f>
        <v/>
      </c>
      <c r="W5275">
        <f>IF($T5275="","",IF($X5275&gt;N($X5274),$X5275,""))</f>
        <v/>
      </c>
      <c r="X5275">
        <f>IF($T5275="",N($X5274),IF(MATCH($T5275,$T$6:$T$6005,0)=ROW()-5,N($X5274)+1,N($X5274)))</f>
        <v/>
      </c>
      <c r="Z5275">
        <f>IF($V5275="","",IF($AA5275&gt;N($AA5274),$AA5275,""))</f>
        <v/>
      </c>
      <c r="AA5275">
        <f>IF($V5275="",N($AA5274),IF(MATCH($V5275,$V$6:$V$6005,0)=ROW()-5,N($AA5274)+1,N($AA5274)))</f>
        <v/>
      </c>
    </row>
    <row r="5276" ht="21" customHeight="1" s="66">
      <c r="A5276" s="56" t="n"/>
      <c r="B5276" s="57" t="n"/>
      <c r="C5276" s="57" t="n"/>
      <c r="D5276" s="57" t="n"/>
      <c r="E5276" s="56" t="n"/>
      <c r="F5276" s="57" t="n"/>
      <c r="G5276" s="57" t="n"/>
      <c r="H5276" s="56" t="n"/>
      <c r="I5276" s="56" t="n"/>
      <c r="J5276" s="58" t="n"/>
      <c r="K5276" s="58" t="n"/>
      <c r="L5276" s="13">
        <f>IF(OR($A5276="",AND($J5276="",$K5276="")),"",ROUND(N($J5276)-N($K5276),2))</f>
        <v/>
      </c>
      <c r="M5276" s="13">
        <f>IF(OR($A5276="",AND($J5276="",$K5276="")),"",MIN($J5276,$K5276))</f>
        <v/>
      </c>
      <c r="Q5276">
        <f>IF($A5276="","",$D5276&amp;"("&amp;SUBSTITUTE($E5276," ","")&amp;")")</f>
        <v/>
      </c>
      <c r="R5276">
        <f>IF($A5276="","",$B5276&amp;" - "&amp;$C5276)</f>
        <v/>
      </c>
      <c r="S5276">
        <f>IF($A5276="","",$R5276&amp;"|"&amp;$Q5276)</f>
        <v/>
      </c>
      <c r="T5276">
        <f>IF($A5276="","",$S5276&amp;"|"&amp;$F5276)</f>
        <v/>
      </c>
      <c r="U5276">
        <f>IF($A5276="","",$R5276&amp;"("&amp;$E5276&amp;")")</f>
        <v/>
      </c>
      <c r="V5276">
        <f>IF($A5276="","",$F5276&amp;"|"&amp;$U5276&amp;"|"&amp;$D5276)</f>
        <v/>
      </c>
      <c r="W5276">
        <f>IF($T5276="","",IF($X5276&gt;N($X5275),$X5276,""))</f>
        <v/>
      </c>
      <c r="X5276">
        <f>IF($T5276="",N($X5275),IF(MATCH($T5276,$T$6:$T$6005,0)=ROW()-5,N($X5275)+1,N($X5275)))</f>
        <v/>
      </c>
      <c r="Z5276">
        <f>IF($V5276="","",IF($AA5276&gt;N($AA5275),$AA5276,""))</f>
        <v/>
      </c>
      <c r="AA5276">
        <f>IF($V5276="",N($AA5275),IF(MATCH($V5276,$V$6:$V$6005,0)=ROW()-5,N($AA5275)+1,N($AA5275)))</f>
        <v/>
      </c>
    </row>
    <row r="5277" ht="21" customHeight="1" s="66">
      <c r="A5277" s="56" t="n"/>
      <c r="B5277" s="57" t="n"/>
      <c r="C5277" s="57" t="n"/>
      <c r="D5277" s="57" t="n"/>
      <c r="E5277" s="56" t="n"/>
      <c r="F5277" s="57" t="n"/>
      <c r="G5277" s="57" t="n"/>
      <c r="H5277" s="56" t="n"/>
      <c r="I5277" s="56" t="n"/>
      <c r="J5277" s="58" t="n"/>
      <c r="K5277" s="58" t="n"/>
      <c r="L5277" s="13">
        <f>IF(OR($A5277="",AND($J5277="",$K5277="")),"",ROUND(N($J5277)-N($K5277),2))</f>
        <v/>
      </c>
      <c r="M5277" s="13">
        <f>IF(OR($A5277="",AND($J5277="",$K5277="")),"",MIN($J5277,$K5277))</f>
        <v/>
      </c>
      <c r="Q5277">
        <f>IF($A5277="","",$D5277&amp;"("&amp;SUBSTITUTE($E5277," ","")&amp;")")</f>
        <v/>
      </c>
      <c r="R5277">
        <f>IF($A5277="","",$B5277&amp;" - "&amp;$C5277)</f>
        <v/>
      </c>
      <c r="S5277">
        <f>IF($A5277="","",$R5277&amp;"|"&amp;$Q5277)</f>
        <v/>
      </c>
      <c r="T5277">
        <f>IF($A5277="","",$S5277&amp;"|"&amp;$F5277)</f>
        <v/>
      </c>
      <c r="U5277">
        <f>IF($A5277="","",$R5277&amp;"("&amp;$E5277&amp;")")</f>
        <v/>
      </c>
      <c r="V5277">
        <f>IF($A5277="","",$F5277&amp;"|"&amp;$U5277&amp;"|"&amp;$D5277)</f>
        <v/>
      </c>
      <c r="W5277">
        <f>IF($T5277="","",IF($X5277&gt;N($X5276),$X5277,""))</f>
        <v/>
      </c>
      <c r="X5277">
        <f>IF($T5277="",N($X5276),IF(MATCH($T5277,$T$6:$T$6005,0)=ROW()-5,N($X5276)+1,N($X5276)))</f>
        <v/>
      </c>
      <c r="Z5277">
        <f>IF($V5277="","",IF($AA5277&gt;N($AA5276),$AA5277,""))</f>
        <v/>
      </c>
      <c r="AA5277">
        <f>IF($V5277="",N($AA5276),IF(MATCH($V5277,$V$6:$V$6005,0)=ROW()-5,N($AA5276)+1,N($AA5276)))</f>
        <v/>
      </c>
    </row>
    <row r="5278" ht="21" customHeight="1" s="66">
      <c r="A5278" s="56" t="n"/>
      <c r="B5278" s="57" t="n"/>
      <c r="C5278" s="57" t="n"/>
      <c r="D5278" s="57" t="n"/>
      <c r="E5278" s="56" t="n"/>
      <c r="F5278" s="57" t="n"/>
      <c r="G5278" s="57" t="n"/>
      <c r="H5278" s="56" t="n"/>
      <c r="I5278" s="56" t="n"/>
      <c r="J5278" s="58" t="n"/>
      <c r="K5278" s="58" t="n"/>
      <c r="L5278" s="13">
        <f>IF(OR($A5278="",AND($J5278="",$K5278="")),"",ROUND(N($J5278)-N($K5278),2))</f>
        <v/>
      </c>
      <c r="M5278" s="13">
        <f>IF(OR($A5278="",AND($J5278="",$K5278="")),"",MIN($J5278,$K5278))</f>
        <v/>
      </c>
      <c r="Q5278">
        <f>IF($A5278="","",$D5278&amp;"("&amp;SUBSTITUTE($E5278," ","")&amp;")")</f>
        <v/>
      </c>
      <c r="R5278">
        <f>IF($A5278="","",$B5278&amp;" - "&amp;$C5278)</f>
        <v/>
      </c>
      <c r="S5278">
        <f>IF($A5278="","",$R5278&amp;"|"&amp;$Q5278)</f>
        <v/>
      </c>
      <c r="T5278">
        <f>IF($A5278="","",$S5278&amp;"|"&amp;$F5278)</f>
        <v/>
      </c>
      <c r="U5278">
        <f>IF($A5278="","",$R5278&amp;"("&amp;$E5278&amp;")")</f>
        <v/>
      </c>
      <c r="V5278">
        <f>IF($A5278="","",$F5278&amp;"|"&amp;$U5278&amp;"|"&amp;$D5278)</f>
        <v/>
      </c>
      <c r="W5278">
        <f>IF($T5278="","",IF($X5278&gt;N($X5277),$X5278,""))</f>
        <v/>
      </c>
      <c r="X5278">
        <f>IF($T5278="",N($X5277),IF(MATCH($T5278,$T$6:$T$6005,0)=ROW()-5,N($X5277)+1,N($X5277)))</f>
        <v/>
      </c>
      <c r="Z5278">
        <f>IF($V5278="","",IF($AA5278&gt;N($AA5277),$AA5278,""))</f>
        <v/>
      </c>
      <c r="AA5278">
        <f>IF($V5278="",N($AA5277),IF(MATCH($V5278,$V$6:$V$6005,0)=ROW()-5,N($AA5277)+1,N($AA5277)))</f>
        <v/>
      </c>
    </row>
    <row r="5279" ht="21" customHeight="1" s="66">
      <c r="A5279" s="56" t="n"/>
      <c r="B5279" s="57" t="n"/>
      <c r="C5279" s="57" t="n"/>
      <c r="D5279" s="57" t="n"/>
      <c r="E5279" s="56" t="n"/>
      <c r="F5279" s="57" t="n"/>
      <c r="G5279" s="57" t="n"/>
      <c r="H5279" s="56" t="n"/>
      <c r="I5279" s="56" t="n"/>
      <c r="J5279" s="58" t="n"/>
      <c r="K5279" s="58" t="n"/>
      <c r="L5279" s="13">
        <f>IF(OR($A5279="",AND($J5279="",$K5279="")),"",ROUND(N($J5279)-N($K5279),2))</f>
        <v/>
      </c>
      <c r="M5279" s="13">
        <f>IF(OR($A5279="",AND($J5279="",$K5279="")),"",MIN($J5279,$K5279))</f>
        <v/>
      </c>
      <c r="Q5279">
        <f>IF($A5279="","",$D5279&amp;"("&amp;SUBSTITUTE($E5279," ","")&amp;")")</f>
        <v/>
      </c>
      <c r="R5279">
        <f>IF($A5279="","",$B5279&amp;" - "&amp;$C5279)</f>
        <v/>
      </c>
      <c r="S5279">
        <f>IF($A5279="","",$R5279&amp;"|"&amp;$Q5279)</f>
        <v/>
      </c>
      <c r="T5279">
        <f>IF($A5279="","",$S5279&amp;"|"&amp;$F5279)</f>
        <v/>
      </c>
      <c r="U5279">
        <f>IF($A5279="","",$R5279&amp;"("&amp;$E5279&amp;")")</f>
        <v/>
      </c>
      <c r="V5279">
        <f>IF($A5279="","",$F5279&amp;"|"&amp;$U5279&amp;"|"&amp;$D5279)</f>
        <v/>
      </c>
      <c r="W5279">
        <f>IF($T5279="","",IF($X5279&gt;N($X5278),$X5279,""))</f>
        <v/>
      </c>
      <c r="X5279">
        <f>IF($T5279="",N($X5278),IF(MATCH($T5279,$T$6:$T$6005,0)=ROW()-5,N($X5278)+1,N($X5278)))</f>
        <v/>
      </c>
      <c r="Z5279">
        <f>IF($V5279="","",IF($AA5279&gt;N($AA5278),$AA5279,""))</f>
        <v/>
      </c>
      <c r="AA5279">
        <f>IF($V5279="",N($AA5278),IF(MATCH($V5279,$V$6:$V$6005,0)=ROW()-5,N($AA5278)+1,N($AA5278)))</f>
        <v/>
      </c>
    </row>
    <row r="5280" ht="21" customHeight="1" s="66">
      <c r="A5280" s="56" t="n"/>
      <c r="B5280" s="57" t="n"/>
      <c r="C5280" s="57" t="n"/>
      <c r="D5280" s="57" t="n"/>
      <c r="E5280" s="56" t="n"/>
      <c r="F5280" s="57" t="n"/>
      <c r="G5280" s="57" t="n"/>
      <c r="H5280" s="56" t="n"/>
      <c r="I5280" s="56" t="n"/>
      <c r="J5280" s="58" t="n"/>
      <c r="K5280" s="58" t="n"/>
      <c r="L5280" s="13">
        <f>IF(OR($A5280="",AND($J5280="",$K5280="")),"",ROUND(N($J5280)-N($K5280),2))</f>
        <v/>
      </c>
      <c r="M5280" s="13">
        <f>IF(OR($A5280="",AND($J5280="",$K5280="")),"",MIN($J5280,$K5280))</f>
        <v/>
      </c>
      <c r="Q5280">
        <f>IF($A5280="","",$D5280&amp;"("&amp;SUBSTITUTE($E5280," ","")&amp;")")</f>
        <v/>
      </c>
      <c r="R5280">
        <f>IF($A5280="","",$B5280&amp;" - "&amp;$C5280)</f>
        <v/>
      </c>
      <c r="S5280">
        <f>IF($A5280="","",$R5280&amp;"|"&amp;$Q5280)</f>
        <v/>
      </c>
      <c r="T5280">
        <f>IF($A5280="","",$S5280&amp;"|"&amp;$F5280)</f>
        <v/>
      </c>
      <c r="U5280">
        <f>IF($A5280="","",$R5280&amp;"("&amp;$E5280&amp;")")</f>
        <v/>
      </c>
      <c r="V5280">
        <f>IF($A5280="","",$F5280&amp;"|"&amp;$U5280&amp;"|"&amp;$D5280)</f>
        <v/>
      </c>
      <c r="W5280">
        <f>IF($T5280="","",IF($X5280&gt;N($X5279),$X5280,""))</f>
        <v/>
      </c>
      <c r="X5280">
        <f>IF($T5280="",N($X5279),IF(MATCH($T5280,$T$6:$T$6005,0)=ROW()-5,N($X5279)+1,N($X5279)))</f>
        <v/>
      </c>
      <c r="Z5280">
        <f>IF($V5280="","",IF($AA5280&gt;N($AA5279),$AA5280,""))</f>
        <v/>
      </c>
      <c r="AA5280">
        <f>IF($V5280="",N($AA5279),IF(MATCH($V5280,$V$6:$V$6005,0)=ROW()-5,N($AA5279)+1,N($AA5279)))</f>
        <v/>
      </c>
    </row>
    <row r="5281" ht="21" customHeight="1" s="66">
      <c r="A5281" s="56" t="n"/>
      <c r="B5281" s="57" t="n"/>
      <c r="C5281" s="57" t="n"/>
      <c r="D5281" s="57" t="n"/>
      <c r="E5281" s="56" t="n"/>
      <c r="F5281" s="57" t="n"/>
      <c r="G5281" s="57" t="n"/>
      <c r="H5281" s="56" t="n"/>
      <c r="I5281" s="56" t="n"/>
      <c r="J5281" s="58" t="n"/>
      <c r="K5281" s="58" t="n"/>
      <c r="L5281" s="13">
        <f>IF(OR($A5281="",AND($J5281="",$K5281="")),"",ROUND(N($J5281)-N($K5281),2))</f>
        <v/>
      </c>
      <c r="M5281" s="13">
        <f>IF(OR($A5281="",AND($J5281="",$K5281="")),"",MIN($J5281,$K5281))</f>
        <v/>
      </c>
      <c r="Q5281">
        <f>IF($A5281="","",$D5281&amp;"("&amp;SUBSTITUTE($E5281," ","")&amp;")")</f>
        <v/>
      </c>
      <c r="R5281">
        <f>IF($A5281="","",$B5281&amp;" - "&amp;$C5281)</f>
        <v/>
      </c>
      <c r="S5281">
        <f>IF($A5281="","",$R5281&amp;"|"&amp;$Q5281)</f>
        <v/>
      </c>
      <c r="T5281">
        <f>IF($A5281="","",$S5281&amp;"|"&amp;$F5281)</f>
        <v/>
      </c>
      <c r="U5281">
        <f>IF($A5281="","",$R5281&amp;"("&amp;$E5281&amp;")")</f>
        <v/>
      </c>
      <c r="V5281">
        <f>IF($A5281="","",$F5281&amp;"|"&amp;$U5281&amp;"|"&amp;$D5281)</f>
        <v/>
      </c>
      <c r="W5281">
        <f>IF($T5281="","",IF($X5281&gt;N($X5280),$X5281,""))</f>
        <v/>
      </c>
      <c r="X5281">
        <f>IF($T5281="",N($X5280),IF(MATCH($T5281,$T$6:$T$6005,0)=ROW()-5,N($X5280)+1,N($X5280)))</f>
        <v/>
      </c>
      <c r="Z5281">
        <f>IF($V5281="","",IF($AA5281&gt;N($AA5280),$AA5281,""))</f>
        <v/>
      </c>
      <c r="AA5281">
        <f>IF($V5281="",N($AA5280),IF(MATCH($V5281,$V$6:$V$6005,0)=ROW()-5,N($AA5280)+1,N($AA5280)))</f>
        <v/>
      </c>
    </row>
    <row r="5282" ht="21" customHeight="1" s="66">
      <c r="A5282" s="56" t="n"/>
      <c r="B5282" s="57" t="n"/>
      <c r="C5282" s="57" t="n"/>
      <c r="D5282" s="57" t="n"/>
      <c r="E5282" s="56" t="n"/>
      <c r="F5282" s="57" t="n"/>
      <c r="G5282" s="57" t="n"/>
      <c r="H5282" s="56" t="n"/>
      <c r="I5282" s="56" t="n"/>
      <c r="J5282" s="58" t="n"/>
      <c r="K5282" s="58" t="n"/>
      <c r="L5282" s="13">
        <f>IF(OR($A5282="",AND($J5282="",$K5282="")),"",ROUND(N($J5282)-N($K5282),2))</f>
        <v/>
      </c>
      <c r="M5282" s="13">
        <f>IF(OR($A5282="",AND($J5282="",$K5282="")),"",MIN($J5282,$K5282))</f>
        <v/>
      </c>
      <c r="Q5282">
        <f>IF($A5282="","",$D5282&amp;"("&amp;SUBSTITUTE($E5282," ","")&amp;")")</f>
        <v/>
      </c>
      <c r="R5282">
        <f>IF($A5282="","",$B5282&amp;" - "&amp;$C5282)</f>
        <v/>
      </c>
      <c r="S5282">
        <f>IF($A5282="","",$R5282&amp;"|"&amp;$Q5282)</f>
        <v/>
      </c>
      <c r="T5282">
        <f>IF($A5282="","",$S5282&amp;"|"&amp;$F5282)</f>
        <v/>
      </c>
      <c r="U5282">
        <f>IF($A5282="","",$R5282&amp;"("&amp;$E5282&amp;")")</f>
        <v/>
      </c>
      <c r="V5282">
        <f>IF($A5282="","",$F5282&amp;"|"&amp;$U5282&amp;"|"&amp;$D5282)</f>
        <v/>
      </c>
      <c r="W5282">
        <f>IF($T5282="","",IF($X5282&gt;N($X5281),$X5282,""))</f>
        <v/>
      </c>
      <c r="X5282">
        <f>IF($T5282="",N($X5281),IF(MATCH($T5282,$T$6:$T$6005,0)=ROW()-5,N($X5281)+1,N($X5281)))</f>
        <v/>
      </c>
      <c r="Z5282">
        <f>IF($V5282="","",IF($AA5282&gt;N($AA5281),$AA5282,""))</f>
        <v/>
      </c>
      <c r="AA5282">
        <f>IF($V5282="",N($AA5281),IF(MATCH($V5282,$V$6:$V$6005,0)=ROW()-5,N($AA5281)+1,N($AA5281)))</f>
        <v/>
      </c>
    </row>
    <row r="5283" ht="21" customHeight="1" s="66">
      <c r="A5283" s="56" t="n"/>
      <c r="B5283" s="57" t="n"/>
      <c r="C5283" s="57" t="n"/>
      <c r="D5283" s="57" t="n"/>
      <c r="E5283" s="56" t="n"/>
      <c r="F5283" s="57" t="n"/>
      <c r="G5283" s="57" t="n"/>
      <c r="H5283" s="56" t="n"/>
      <c r="I5283" s="56" t="n"/>
      <c r="J5283" s="58" t="n"/>
      <c r="K5283" s="58" t="n"/>
      <c r="L5283" s="13">
        <f>IF(OR($A5283="",AND($J5283="",$K5283="")),"",ROUND(N($J5283)-N($K5283),2))</f>
        <v/>
      </c>
      <c r="M5283" s="13">
        <f>IF(OR($A5283="",AND($J5283="",$K5283="")),"",MIN($J5283,$K5283))</f>
        <v/>
      </c>
      <c r="Q5283">
        <f>IF($A5283="","",$D5283&amp;"("&amp;SUBSTITUTE($E5283," ","")&amp;")")</f>
        <v/>
      </c>
      <c r="R5283">
        <f>IF($A5283="","",$B5283&amp;" - "&amp;$C5283)</f>
        <v/>
      </c>
      <c r="S5283">
        <f>IF($A5283="","",$R5283&amp;"|"&amp;$Q5283)</f>
        <v/>
      </c>
      <c r="T5283">
        <f>IF($A5283="","",$S5283&amp;"|"&amp;$F5283)</f>
        <v/>
      </c>
      <c r="U5283">
        <f>IF($A5283="","",$R5283&amp;"("&amp;$E5283&amp;")")</f>
        <v/>
      </c>
      <c r="V5283">
        <f>IF($A5283="","",$F5283&amp;"|"&amp;$U5283&amp;"|"&amp;$D5283)</f>
        <v/>
      </c>
      <c r="W5283">
        <f>IF($T5283="","",IF($X5283&gt;N($X5282),$X5283,""))</f>
        <v/>
      </c>
      <c r="X5283">
        <f>IF($T5283="",N($X5282),IF(MATCH($T5283,$T$6:$T$6005,0)=ROW()-5,N($X5282)+1,N($X5282)))</f>
        <v/>
      </c>
      <c r="Z5283">
        <f>IF($V5283="","",IF($AA5283&gt;N($AA5282),$AA5283,""))</f>
        <v/>
      </c>
      <c r="AA5283">
        <f>IF($V5283="",N($AA5282),IF(MATCH($V5283,$V$6:$V$6005,0)=ROW()-5,N($AA5282)+1,N($AA5282)))</f>
        <v/>
      </c>
    </row>
    <row r="5284" ht="21" customHeight="1" s="66">
      <c r="A5284" s="56" t="n"/>
      <c r="B5284" s="57" t="n"/>
      <c r="C5284" s="57" t="n"/>
      <c r="D5284" s="57" t="n"/>
      <c r="E5284" s="56" t="n"/>
      <c r="F5284" s="57" t="n"/>
      <c r="G5284" s="57" t="n"/>
      <c r="H5284" s="56" t="n"/>
      <c r="I5284" s="56" t="n"/>
      <c r="J5284" s="58" t="n"/>
      <c r="K5284" s="58" t="n"/>
      <c r="L5284" s="13">
        <f>IF(OR($A5284="",AND($J5284="",$K5284="")),"",ROUND(N($J5284)-N($K5284),2))</f>
        <v/>
      </c>
      <c r="M5284" s="13">
        <f>IF(OR($A5284="",AND($J5284="",$K5284="")),"",MIN($J5284,$K5284))</f>
        <v/>
      </c>
      <c r="Q5284">
        <f>IF($A5284="","",$D5284&amp;"("&amp;SUBSTITUTE($E5284," ","")&amp;")")</f>
        <v/>
      </c>
      <c r="R5284">
        <f>IF($A5284="","",$B5284&amp;" - "&amp;$C5284)</f>
        <v/>
      </c>
      <c r="S5284">
        <f>IF($A5284="","",$R5284&amp;"|"&amp;$Q5284)</f>
        <v/>
      </c>
      <c r="T5284">
        <f>IF($A5284="","",$S5284&amp;"|"&amp;$F5284)</f>
        <v/>
      </c>
      <c r="U5284">
        <f>IF($A5284="","",$R5284&amp;"("&amp;$E5284&amp;")")</f>
        <v/>
      </c>
      <c r="V5284">
        <f>IF($A5284="","",$F5284&amp;"|"&amp;$U5284&amp;"|"&amp;$D5284)</f>
        <v/>
      </c>
      <c r="W5284">
        <f>IF($T5284="","",IF($X5284&gt;N($X5283),$X5284,""))</f>
        <v/>
      </c>
      <c r="X5284">
        <f>IF($T5284="",N($X5283),IF(MATCH($T5284,$T$6:$T$6005,0)=ROW()-5,N($X5283)+1,N($X5283)))</f>
        <v/>
      </c>
      <c r="Z5284">
        <f>IF($V5284="","",IF($AA5284&gt;N($AA5283),$AA5284,""))</f>
        <v/>
      </c>
      <c r="AA5284">
        <f>IF($V5284="",N($AA5283),IF(MATCH($V5284,$V$6:$V$6005,0)=ROW()-5,N($AA5283)+1,N($AA5283)))</f>
        <v/>
      </c>
    </row>
    <row r="5285" ht="21" customHeight="1" s="66">
      <c r="A5285" s="56" t="n"/>
      <c r="B5285" s="57" t="n"/>
      <c r="C5285" s="57" t="n"/>
      <c r="D5285" s="57" t="n"/>
      <c r="E5285" s="56" t="n"/>
      <c r="F5285" s="57" t="n"/>
      <c r="G5285" s="57" t="n"/>
      <c r="H5285" s="56" t="n"/>
      <c r="I5285" s="56" t="n"/>
      <c r="J5285" s="58" t="n"/>
      <c r="K5285" s="58" t="n"/>
      <c r="L5285" s="13">
        <f>IF(OR($A5285="",AND($J5285="",$K5285="")),"",ROUND(N($J5285)-N($K5285),2))</f>
        <v/>
      </c>
      <c r="M5285" s="13">
        <f>IF(OR($A5285="",AND($J5285="",$K5285="")),"",MIN($J5285,$K5285))</f>
        <v/>
      </c>
      <c r="Q5285">
        <f>IF($A5285="","",$D5285&amp;"("&amp;SUBSTITUTE($E5285," ","")&amp;")")</f>
        <v/>
      </c>
      <c r="R5285">
        <f>IF($A5285="","",$B5285&amp;" - "&amp;$C5285)</f>
        <v/>
      </c>
      <c r="S5285">
        <f>IF($A5285="","",$R5285&amp;"|"&amp;$Q5285)</f>
        <v/>
      </c>
      <c r="T5285">
        <f>IF($A5285="","",$S5285&amp;"|"&amp;$F5285)</f>
        <v/>
      </c>
      <c r="U5285">
        <f>IF($A5285="","",$R5285&amp;"("&amp;$E5285&amp;")")</f>
        <v/>
      </c>
      <c r="V5285">
        <f>IF($A5285="","",$F5285&amp;"|"&amp;$U5285&amp;"|"&amp;$D5285)</f>
        <v/>
      </c>
      <c r="W5285">
        <f>IF($T5285="","",IF($X5285&gt;N($X5284),$X5285,""))</f>
        <v/>
      </c>
      <c r="X5285">
        <f>IF($T5285="",N($X5284),IF(MATCH($T5285,$T$6:$T$6005,0)=ROW()-5,N($X5284)+1,N($X5284)))</f>
        <v/>
      </c>
      <c r="Z5285">
        <f>IF($V5285="","",IF($AA5285&gt;N($AA5284),$AA5285,""))</f>
        <v/>
      </c>
      <c r="AA5285">
        <f>IF($V5285="",N($AA5284),IF(MATCH($V5285,$V$6:$V$6005,0)=ROW()-5,N($AA5284)+1,N($AA5284)))</f>
        <v/>
      </c>
    </row>
    <row r="5286" ht="21" customHeight="1" s="66">
      <c r="A5286" s="56" t="n"/>
      <c r="B5286" s="57" t="n"/>
      <c r="C5286" s="57" t="n"/>
      <c r="D5286" s="57" t="n"/>
      <c r="E5286" s="56" t="n"/>
      <c r="F5286" s="57" t="n"/>
      <c r="G5286" s="57" t="n"/>
      <c r="H5286" s="56" t="n"/>
      <c r="I5286" s="56" t="n"/>
      <c r="J5286" s="58" t="n"/>
      <c r="K5286" s="58" t="n"/>
      <c r="L5286" s="13">
        <f>IF(OR($A5286="",AND($J5286="",$K5286="")),"",ROUND(N($J5286)-N($K5286),2))</f>
        <v/>
      </c>
      <c r="M5286" s="13">
        <f>IF(OR($A5286="",AND($J5286="",$K5286="")),"",MIN($J5286,$K5286))</f>
        <v/>
      </c>
      <c r="Q5286">
        <f>IF($A5286="","",$D5286&amp;"("&amp;SUBSTITUTE($E5286," ","")&amp;")")</f>
        <v/>
      </c>
      <c r="R5286">
        <f>IF($A5286="","",$B5286&amp;" - "&amp;$C5286)</f>
        <v/>
      </c>
      <c r="S5286">
        <f>IF($A5286="","",$R5286&amp;"|"&amp;$Q5286)</f>
        <v/>
      </c>
      <c r="T5286">
        <f>IF($A5286="","",$S5286&amp;"|"&amp;$F5286)</f>
        <v/>
      </c>
      <c r="U5286">
        <f>IF($A5286="","",$R5286&amp;"("&amp;$E5286&amp;")")</f>
        <v/>
      </c>
      <c r="V5286">
        <f>IF($A5286="","",$F5286&amp;"|"&amp;$U5286&amp;"|"&amp;$D5286)</f>
        <v/>
      </c>
      <c r="W5286">
        <f>IF($T5286="","",IF($X5286&gt;N($X5285),$X5286,""))</f>
        <v/>
      </c>
      <c r="X5286">
        <f>IF($T5286="",N($X5285),IF(MATCH($T5286,$T$6:$T$6005,0)=ROW()-5,N($X5285)+1,N($X5285)))</f>
        <v/>
      </c>
      <c r="Z5286">
        <f>IF($V5286="","",IF($AA5286&gt;N($AA5285),$AA5286,""))</f>
        <v/>
      </c>
      <c r="AA5286">
        <f>IF($V5286="",N($AA5285),IF(MATCH($V5286,$V$6:$V$6005,0)=ROW()-5,N($AA5285)+1,N($AA5285)))</f>
        <v/>
      </c>
    </row>
    <row r="5287" ht="21" customHeight="1" s="66">
      <c r="A5287" s="56" t="n"/>
      <c r="B5287" s="57" t="n"/>
      <c r="C5287" s="57" t="n"/>
      <c r="D5287" s="57" t="n"/>
      <c r="E5287" s="56" t="n"/>
      <c r="F5287" s="57" t="n"/>
      <c r="G5287" s="57" t="n"/>
      <c r="H5287" s="56" t="n"/>
      <c r="I5287" s="56" t="n"/>
      <c r="J5287" s="58" t="n"/>
      <c r="K5287" s="58" t="n"/>
      <c r="L5287" s="13">
        <f>IF(OR($A5287="",AND($J5287="",$K5287="")),"",ROUND(N($J5287)-N($K5287),2))</f>
        <v/>
      </c>
      <c r="M5287" s="13">
        <f>IF(OR($A5287="",AND($J5287="",$K5287="")),"",MIN($J5287,$K5287))</f>
        <v/>
      </c>
      <c r="Q5287">
        <f>IF($A5287="","",$D5287&amp;"("&amp;SUBSTITUTE($E5287," ","")&amp;")")</f>
        <v/>
      </c>
      <c r="R5287">
        <f>IF($A5287="","",$B5287&amp;" - "&amp;$C5287)</f>
        <v/>
      </c>
      <c r="S5287">
        <f>IF($A5287="","",$R5287&amp;"|"&amp;$Q5287)</f>
        <v/>
      </c>
      <c r="T5287">
        <f>IF($A5287="","",$S5287&amp;"|"&amp;$F5287)</f>
        <v/>
      </c>
      <c r="U5287">
        <f>IF($A5287="","",$R5287&amp;"("&amp;$E5287&amp;")")</f>
        <v/>
      </c>
      <c r="V5287">
        <f>IF($A5287="","",$F5287&amp;"|"&amp;$U5287&amp;"|"&amp;$D5287)</f>
        <v/>
      </c>
      <c r="W5287">
        <f>IF($T5287="","",IF($X5287&gt;N($X5286),$X5287,""))</f>
        <v/>
      </c>
      <c r="X5287">
        <f>IF($T5287="",N($X5286),IF(MATCH($T5287,$T$6:$T$6005,0)=ROW()-5,N($X5286)+1,N($X5286)))</f>
        <v/>
      </c>
      <c r="Z5287">
        <f>IF($V5287="","",IF($AA5287&gt;N($AA5286),$AA5287,""))</f>
        <v/>
      </c>
      <c r="AA5287">
        <f>IF($V5287="",N($AA5286),IF(MATCH($V5287,$V$6:$V$6005,0)=ROW()-5,N($AA5286)+1,N($AA5286)))</f>
        <v/>
      </c>
    </row>
    <row r="5288" ht="21" customHeight="1" s="66">
      <c r="A5288" s="56" t="n"/>
      <c r="B5288" s="57" t="n"/>
      <c r="C5288" s="57" t="n"/>
      <c r="D5288" s="57" t="n"/>
      <c r="E5288" s="56" t="n"/>
      <c r="F5288" s="57" t="n"/>
      <c r="G5288" s="57" t="n"/>
      <c r="H5288" s="56" t="n"/>
      <c r="I5288" s="56" t="n"/>
      <c r="J5288" s="58" t="n"/>
      <c r="K5288" s="58" t="n"/>
      <c r="L5288" s="13">
        <f>IF(OR($A5288="",AND($J5288="",$K5288="")),"",ROUND(N($J5288)-N($K5288),2))</f>
        <v/>
      </c>
      <c r="M5288" s="13">
        <f>IF(OR($A5288="",AND($J5288="",$K5288="")),"",MIN($J5288,$K5288))</f>
        <v/>
      </c>
      <c r="Q5288">
        <f>IF($A5288="","",$D5288&amp;"("&amp;SUBSTITUTE($E5288," ","")&amp;")")</f>
        <v/>
      </c>
      <c r="R5288">
        <f>IF($A5288="","",$B5288&amp;" - "&amp;$C5288)</f>
        <v/>
      </c>
      <c r="S5288">
        <f>IF($A5288="","",$R5288&amp;"|"&amp;$Q5288)</f>
        <v/>
      </c>
      <c r="T5288">
        <f>IF($A5288="","",$S5288&amp;"|"&amp;$F5288)</f>
        <v/>
      </c>
      <c r="U5288">
        <f>IF($A5288="","",$R5288&amp;"("&amp;$E5288&amp;")")</f>
        <v/>
      </c>
      <c r="V5288">
        <f>IF($A5288="","",$F5288&amp;"|"&amp;$U5288&amp;"|"&amp;$D5288)</f>
        <v/>
      </c>
      <c r="W5288">
        <f>IF($T5288="","",IF($X5288&gt;N($X5287),$X5288,""))</f>
        <v/>
      </c>
      <c r="X5288">
        <f>IF($T5288="",N($X5287),IF(MATCH($T5288,$T$6:$T$6005,0)=ROW()-5,N($X5287)+1,N($X5287)))</f>
        <v/>
      </c>
      <c r="Z5288">
        <f>IF($V5288="","",IF($AA5288&gt;N($AA5287),$AA5288,""))</f>
        <v/>
      </c>
      <c r="AA5288">
        <f>IF($V5288="",N($AA5287),IF(MATCH($V5288,$V$6:$V$6005,0)=ROW()-5,N($AA5287)+1,N($AA5287)))</f>
        <v/>
      </c>
    </row>
    <row r="5289" ht="21" customHeight="1" s="66">
      <c r="A5289" s="56" t="n"/>
      <c r="B5289" s="57" t="n"/>
      <c r="C5289" s="57" t="n"/>
      <c r="D5289" s="57" t="n"/>
      <c r="E5289" s="56" t="n"/>
      <c r="F5289" s="57" t="n"/>
      <c r="G5289" s="57" t="n"/>
      <c r="H5289" s="56" t="n"/>
      <c r="I5289" s="56" t="n"/>
      <c r="J5289" s="58" t="n"/>
      <c r="K5289" s="58" t="n"/>
      <c r="L5289" s="13">
        <f>IF(OR($A5289="",AND($J5289="",$K5289="")),"",ROUND(N($J5289)-N($K5289),2))</f>
        <v/>
      </c>
      <c r="M5289" s="13">
        <f>IF(OR($A5289="",AND($J5289="",$K5289="")),"",MIN($J5289,$K5289))</f>
        <v/>
      </c>
      <c r="Q5289">
        <f>IF($A5289="","",$D5289&amp;"("&amp;SUBSTITUTE($E5289," ","")&amp;")")</f>
        <v/>
      </c>
      <c r="R5289">
        <f>IF($A5289="","",$B5289&amp;" - "&amp;$C5289)</f>
        <v/>
      </c>
      <c r="S5289">
        <f>IF($A5289="","",$R5289&amp;"|"&amp;$Q5289)</f>
        <v/>
      </c>
      <c r="T5289">
        <f>IF($A5289="","",$S5289&amp;"|"&amp;$F5289)</f>
        <v/>
      </c>
      <c r="U5289">
        <f>IF($A5289="","",$R5289&amp;"("&amp;$E5289&amp;")")</f>
        <v/>
      </c>
      <c r="V5289">
        <f>IF($A5289="","",$F5289&amp;"|"&amp;$U5289&amp;"|"&amp;$D5289)</f>
        <v/>
      </c>
      <c r="W5289">
        <f>IF($T5289="","",IF($X5289&gt;N($X5288),$X5289,""))</f>
        <v/>
      </c>
      <c r="X5289">
        <f>IF($T5289="",N($X5288),IF(MATCH($T5289,$T$6:$T$6005,0)=ROW()-5,N($X5288)+1,N($X5288)))</f>
        <v/>
      </c>
      <c r="Z5289">
        <f>IF($V5289="","",IF($AA5289&gt;N($AA5288),$AA5289,""))</f>
        <v/>
      </c>
      <c r="AA5289">
        <f>IF($V5289="",N($AA5288),IF(MATCH($V5289,$V$6:$V$6005,0)=ROW()-5,N($AA5288)+1,N($AA5288)))</f>
        <v/>
      </c>
    </row>
    <row r="5290" ht="21" customHeight="1" s="66">
      <c r="A5290" s="56" t="n"/>
      <c r="B5290" s="57" t="n"/>
      <c r="C5290" s="57" t="n"/>
      <c r="D5290" s="57" t="n"/>
      <c r="E5290" s="56" t="n"/>
      <c r="F5290" s="57" t="n"/>
      <c r="G5290" s="57" t="n"/>
      <c r="H5290" s="56" t="n"/>
      <c r="I5290" s="56" t="n"/>
      <c r="J5290" s="58" t="n"/>
      <c r="K5290" s="58" t="n"/>
      <c r="L5290" s="13">
        <f>IF(OR($A5290="",AND($J5290="",$K5290="")),"",ROUND(N($J5290)-N($K5290),2))</f>
        <v/>
      </c>
      <c r="M5290" s="13">
        <f>IF(OR($A5290="",AND($J5290="",$K5290="")),"",MIN($J5290,$K5290))</f>
        <v/>
      </c>
      <c r="Q5290">
        <f>IF($A5290="","",$D5290&amp;"("&amp;SUBSTITUTE($E5290," ","")&amp;")")</f>
        <v/>
      </c>
      <c r="R5290">
        <f>IF($A5290="","",$B5290&amp;" - "&amp;$C5290)</f>
        <v/>
      </c>
      <c r="S5290">
        <f>IF($A5290="","",$R5290&amp;"|"&amp;$Q5290)</f>
        <v/>
      </c>
      <c r="T5290">
        <f>IF($A5290="","",$S5290&amp;"|"&amp;$F5290)</f>
        <v/>
      </c>
      <c r="U5290">
        <f>IF($A5290="","",$R5290&amp;"("&amp;$E5290&amp;")")</f>
        <v/>
      </c>
      <c r="V5290">
        <f>IF($A5290="","",$F5290&amp;"|"&amp;$U5290&amp;"|"&amp;$D5290)</f>
        <v/>
      </c>
      <c r="W5290">
        <f>IF($T5290="","",IF($X5290&gt;N($X5289),$X5290,""))</f>
        <v/>
      </c>
      <c r="X5290">
        <f>IF($T5290="",N($X5289),IF(MATCH($T5290,$T$6:$T$6005,0)=ROW()-5,N($X5289)+1,N($X5289)))</f>
        <v/>
      </c>
      <c r="Z5290">
        <f>IF($V5290="","",IF($AA5290&gt;N($AA5289),$AA5290,""))</f>
        <v/>
      </c>
      <c r="AA5290">
        <f>IF($V5290="",N($AA5289),IF(MATCH($V5290,$V$6:$V$6005,0)=ROW()-5,N($AA5289)+1,N($AA5289)))</f>
        <v/>
      </c>
    </row>
    <row r="5291" ht="21" customHeight="1" s="66">
      <c r="A5291" s="56" t="n"/>
      <c r="B5291" s="57" t="n"/>
      <c r="C5291" s="57" t="n"/>
      <c r="D5291" s="57" t="n"/>
      <c r="E5291" s="56" t="n"/>
      <c r="F5291" s="57" t="n"/>
      <c r="G5291" s="57" t="n"/>
      <c r="H5291" s="56" t="n"/>
      <c r="I5291" s="56" t="n"/>
      <c r="J5291" s="58" t="n"/>
      <c r="K5291" s="58" t="n"/>
      <c r="L5291" s="13">
        <f>IF(OR($A5291="",AND($J5291="",$K5291="")),"",ROUND(N($J5291)-N($K5291),2))</f>
        <v/>
      </c>
      <c r="M5291" s="13">
        <f>IF(OR($A5291="",AND($J5291="",$K5291="")),"",MIN($J5291,$K5291))</f>
        <v/>
      </c>
      <c r="Q5291">
        <f>IF($A5291="","",$D5291&amp;"("&amp;SUBSTITUTE($E5291," ","")&amp;")")</f>
        <v/>
      </c>
      <c r="R5291">
        <f>IF($A5291="","",$B5291&amp;" - "&amp;$C5291)</f>
        <v/>
      </c>
      <c r="S5291">
        <f>IF($A5291="","",$R5291&amp;"|"&amp;$Q5291)</f>
        <v/>
      </c>
      <c r="T5291">
        <f>IF($A5291="","",$S5291&amp;"|"&amp;$F5291)</f>
        <v/>
      </c>
      <c r="U5291">
        <f>IF($A5291="","",$R5291&amp;"("&amp;$E5291&amp;")")</f>
        <v/>
      </c>
      <c r="V5291">
        <f>IF($A5291="","",$F5291&amp;"|"&amp;$U5291&amp;"|"&amp;$D5291)</f>
        <v/>
      </c>
      <c r="W5291">
        <f>IF($T5291="","",IF($X5291&gt;N($X5290),$X5291,""))</f>
        <v/>
      </c>
      <c r="X5291">
        <f>IF($T5291="",N($X5290),IF(MATCH($T5291,$T$6:$T$6005,0)=ROW()-5,N($X5290)+1,N($X5290)))</f>
        <v/>
      </c>
      <c r="Z5291">
        <f>IF($V5291="","",IF($AA5291&gt;N($AA5290),$AA5291,""))</f>
        <v/>
      </c>
      <c r="AA5291">
        <f>IF($V5291="",N($AA5290),IF(MATCH($V5291,$V$6:$V$6005,0)=ROW()-5,N($AA5290)+1,N($AA5290)))</f>
        <v/>
      </c>
    </row>
    <row r="5292" ht="21" customHeight="1" s="66">
      <c r="A5292" s="56" t="n"/>
      <c r="B5292" s="57" t="n"/>
      <c r="C5292" s="57" t="n"/>
      <c r="D5292" s="57" t="n"/>
      <c r="E5292" s="56" t="n"/>
      <c r="F5292" s="57" t="n"/>
      <c r="G5292" s="57" t="n"/>
      <c r="H5292" s="56" t="n"/>
      <c r="I5292" s="56" t="n"/>
      <c r="J5292" s="58" t="n"/>
      <c r="K5292" s="58" t="n"/>
      <c r="L5292" s="13">
        <f>IF(OR($A5292="",AND($J5292="",$K5292="")),"",ROUND(N($J5292)-N($K5292),2))</f>
        <v/>
      </c>
      <c r="M5292" s="13">
        <f>IF(OR($A5292="",AND($J5292="",$K5292="")),"",MIN($J5292,$K5292))</f>
        <v/>
      </c>
      <c r="Q5292">
        <f>IF($A5292="","",$D5292&amp;"("&amp;SUBSTITUTE($E5292," ","")&amp;")")</f>
        <v/>
      </c>
      <c r="R5292">
        <f>IF($A5292="","",$B5292&amp;" - "&amp;$C5292)</f>
        <v/>
      </c>
      <c r="S5292">
        <f>IF($A5292="","",$R5292&amp;"|"&amp;$Q5292)</f>
        <v/>
      </c>
      <c r="T5292">
        <f>IF($A5292="","",$S5292&amp;"|"&amp;$F5292)</f>
        <v/>
      </c>
      <c r="U5292">
        <f>IF($A5292="","",$R5292&amp;"("&amp;$E5292&amp;")")</f>
        <v/>
      </c>
      <c r="V5292">
        <f>IF($A5292="","",$F5292&amp;"|"&amp;$U5292&amp;"|"&amp;$D5292)</f>
        <v/>
      </c>
      <c r="W5292">
        <f>IF($T5292="","",IF($X5292&gt;N($X5291),$X5292,""))</f>
        <v/>
      </c>
      <c r="X5292">
        <f>IF($T5292="",N($X5291),IF(MATCH($T5292,$T$6:$T$6005,0)=ROW()-5,N($X5291)+1,N($X5291)))</f>
        <v/>
      </c>
      <c r="Z5292">
        <f>IF($V5292="","",IF($AA5292&gt;N($AA5291),$AA5292,""))</f>
        <v/>
      </c>
      <c r="AA5292">
        <f>IF($V5292="",N($AA5291),IF(MATCH($V5292,$V$6:$V$6005,0)=ROW()-5,N($AA5291)+1,N($AA5291)))</f>
        <v/>
      </c>
    </row>
    <row r="5293" ht="21" customHeight="1" s="66">
      <c r="A5293" s="56" t="n"/>
      <c r="B5293" s="57" t="n"/>
      <c r="C5293" s="57" t="n"/>
      <c r="D5293" s="57" t="n"/>
      <c r="E5293" s="56" t="n"/>
      <c r="F5293" s="57" t="n"/>
      <c r="G5293" s="57" t="n"/>
      <c r="H5293" s="56" t="n"/>
      <c r="I5293" s="56" t="n"/>
      <c r="J5293" s="58" t="n"/>
      <c r="K5293" s="58" t="n"/>
      <c r="L5293" s="13">
        <f>IF(OR($A5293="",AND($J5293="",$K5293="")),"",ROUND(N($J5293)-N($K5293),2))</f>
        <v/>
      </c>
      <c r="M5293" s="13">
        <f>IF(OR($A5293="",AND($J5293="",$K5293="")),"",MIN($J5293,$K5293))</f>
        <v/>
      </c>
      <c r="Q5293">
        <f>IF($A5293="","",$D5293&amp;"("&amp;SUBSTITUTE($E5293," ","")&amp;")")</f>
        <v/>
      </c>
      <c r="R5293">
        <f>IF($A5293="","",$B5293&amp;" - "&amp;$C5293)</f>
        <v/>
      </c>
      <c r="S5293">
        <f>IF($A5293="","",$R5293&amp;"|"&amp;$Q5293)</f>
        <v/>
      </c>
      <c r="T5293">
        <f>IF($A5293="","",$S5293&amp;"|"&amp;$F5293)</f>
        <v/>
      </c>
      <c r="U5293">
        <f>IF($A5293="","",$R5293&amp;"("&amp;$E5293&amp;")")</f>
        <v/>
      </c>
      <c r="V5293">
        <f>IF($A5293="","",$F5293&amp;"|"&amp;$U5293&amp;"|"&amp;$D5293)</f>
        <v/>
      </c>
      <c r="W5293">
        <f>IF($T5293="","",IF($X5293&gt;N($X5292),$X5293,""))</f>
        <v/>
      </c>
      <c r="X5293">
        <f>IF($T5293="",N($X5292),IF(MATCH($T5293,$T$6:$T$6005,0)=ROW()-5,N($X5292)+1,N($X5292)))</f>
        <v/>
      </c>
      <c r="Z5293">
        <f>IF($V5293="","",IF($AA5293&gt;N($AA5292),$AA5293,""))</f>
        <v/>
      </c>
      <c r="AA5293">
        <f>IF($V5293="",N($AA5292),IF(MATCH($V5293,$V$6:$V$6005,0)=ROW()-5,N($AA5292)+1,N($AA5292)))</f>
        <v/>
      </c>
    </row>
    <row r="5294" ht="21" customHeight="1" s="66">
      <c r="A5294" s="56" t="n"/>
      <c r="B5294" s="57" t="n"/>
      <c r="C5294" s="57" t="n"/>
      <c r="D5294" s="57" t="n"/>
      <c r="E5294" s="56" t="n"/>
      <c r="F5294" s="57" t="n"/>
      <c r="G5294" s="57" t="n"/>
      <c r="H5294" s="56" t="n"/>
      <c r="I5294" s="56" t="n"/>
      <c r="J5294" s="58" t="n"/>
      <c r="K5294" s="58" t="n"/>
      <c r="L5294" s="13">
        <f>IF(OR($A5294="",AND($J5294="",$K5294="")),"",ROUND(N($J5294)-N($K5294),2))</f>
        <v/>
      </c>
      <c r="M5294" s="13">
        <f>IF(OR($A5294="",AND($J5294="",$K5294="")),"",MIN($J5294,$K5294))</f>
        <v/>
      </c>
      <c r="Q5294">
        <f>IF($A5294="","",$D5294&amp;"("&amp;SUBSTITUTE($E5294," ","")&amp;")")</f>
        <v/>
      </c>
      <c r="R5294">
        <f>IF($A5294="","",$B5294&amp;" - "&amp;$C5294)</f>
        <v/>
      </c>
      <c r="S5294">
        <f>IF($A5294="","",$R5294&amp;"|"&amp;$Q5294)</f>
        <v/>
      </c>
      <c r="T5294">
        <f>IF($A5294="","",$S5294&amp;"|"&amp;$F5294)</f>
        <v/>
      </c>
      <c r="U5294">
        <f>IF($A5294="","",$R5294&amp;"("&amp;$E5294&amp;")")</f>
        <v/>
      </c>
      <c r="V5294">
        <f>IF($A5294="","",$F5294&amp;"|"&amp;$U5294&amp;"|"&amp;$D5294)</f>
        <v/>
      </c>
      <c r="W5294">
        <f>IF($T5294="","",IF($X5294&gt;N($X5293),$X5294,""))</f>
        <v/>
      </c>
      <c r="X5294">
        <f>IF($T5294="",N($X5293),IF(MATCH($T5294,$T$6:$T$6005,0)=ROW()-5,N($X5293)+1,N($X5293)))</f>
        <v/>
      </c>
      <c r="Z5294">
        <f>IF($V5294="","",IF($AA5294&gt;N($AA5293),$AA5294,""))</f>
        <v/>
      </c>
      <c r="AA5294">
        <f>IF($V5294="",N($AA5293),IF(MATCH($V5294,$V$6:$V$6005,0)=ROW()-5,N($AA5293)+1,N($AA5293)))</f>
        <v/>
      </c>
    </row>
    <row r="5295" ht="21" customHeight="1" s="66">
      <c r="A5295" s="56" t="n"/>
      <c r="B5295" s="57" t="n"/>
      <c r="C5295" s="57" t="n"/>
      <c r="D5295" s="57" t="n"/>
      <c r="E5295" s="56" t="n"/>
      <c r="F5295" s="57" t="n"/>
      <c r="G5295" s="57" t="n"/>
      <c r="H5295" s="56" t="n"/>
      <c r="I5295" s="56" t="n"/>
      <c r="J5295" s="58" t="n"/>
      <c r="K5295" s="58" t="n"/>
      <c r="L5295" s="13">
        <f>IF(OR($A5295="",AND($J5295="",$K5295="")),"",ROUND(N($J5295)-N($K5295),2))</f>
        <v/>
      </c>
      <c r="M5295" s="13">
        <f>IF(OR($A5295="",AND($J5295="",$K5295="")),"",MIN($J5295,$K5295))</f>
        <v/>
      </c>
      <c r="Q5295">
        <f>IF($A5295="","",$D5295&amp;"("&amp;SUBSTITUTE($E5295," ","")&amp;")")</f>
        <v/>
      </c>
      <c r="R5295">
        <f>IF($A5295="","",$B5295&amp;" - "&amp;$C5295)</f>
        <v/>
      </c>
      <c r="S5295">
        <f>IF($A5295="","",$R5295&amp;"|"&amp;$Q5295)</f>
        <v/>
      </c>
      <c r="T5295">
        <f>IF($A5295="","",$S5295&amp;"|"&amp;$F5295)</f>
        <v/>
      </c>
      <c r="U5295">
        <f>IF($A5295="","",$R5295&amp;"("&amp;$E5295&amp;")")</f>
        <v/>
      </c>
      <c r="V5295">
        <f>IF($A5295="","",$F5295&amp;"|"&amp;$U5295&amp;"|"&amp;$D5295)</f>
        <v/>
      </c>
      <c r="W5295">
        <f>IF($T5295="","",IF($X5295&gt;N($X5294),$X5295,""))</f>
        <v/>
      </c>
      <c r="X5295">
        <f>IF($T5295="",N($X5294),IF(MATCH($T5295,$T$6:$T$6005,0)=ROW()-5,N($X5294)+1,N($X5294)))</f>
        <v/>
      </c>
      <c r="Z5295">
        <f>IF($V5295="","",IF($AA5295&gt;N($AA5294),$AA5295,""))</f>
        <v/>
      </c>
      <c r="AA5295">
        <f>IF($V5295="",N($AA5294),IF(MATCH($V5295,$V$6:$V$6005,0)=ROW()-5,N($AA5294)+1,N($AA5294)))</f>
        <v/>
      </c>
    </row>
    <row r="5296" ht="21" customHeight="1" s="66">
      <c r="A5296" s="56" t="n"/>
      <c r="B5296" s="57" t="n"/>
      <c r="C5296" s="57" t="n"/>
      <c r="D5296" s="57" t="n"/>
      <c r="E5296" s="56" t="n"/>
      <c r="F5296" s="57" t="n"/>
      <c r="G5296" s="57" t="n"/>
      <c r="H5296" s="56" t="n"/>
      <c r="I5296" s="56" t="n"/>
      <c r="J5296" s="58" t="n"/>
      <c r="K5296" s="58" t="n"/>
      <c r="L5296" s="13">
        <f>IF(OR($A5296="",AND($J5296="",$K5296="")),"",ROUND(N($J5296)-N($K5296),2))</f>
        <v/>
      </c>
      <c r="M5296" s="13">
        <f>IF(OR($A5296="",AND($J5296="",$K5296="")),"",MIN($J5296,$K5296))</f>
        <v/>
      </c>
      <c r="Q5296">
        <f>IF($A5296="","",$D5296&amp;"("&amp;SUBSTITUTE($E5296," ","")&amp;")")</f>
        <v/>
      </c>
      <c r="R5296">
        <f>IF($A5296="","",$B5296&amp;" - "&amp;$C5296)</f>
        <v/>
      </c>
      <c r="S5296">
        <f>IF($A5296="","",$R5296&amp;"|"&amp;$Q5296)</f>
        <v/>
      </c>
      <c r="T5296">
        <f>IF($A5296="","",$S5296&amp;"|"&amp;$F5296)</f>
        <v/>
      </c>
      <c r="U5296">
        <f>IF($A5296="","",$R5296&amp;"("&amp;$E5296&amp;")")</f>
        <v/>
      </c>
      <c r="V5296">
        <f>IF($A5296="","",$F5296&amp;"|"&amp;$U5296&amp;"|"&amp;$D5296)</f>
        <v/>
      </c>
      <c r="W5296">
        <f>IF($T5296="","",IF($X5296&gt;N($X5295),$X5296,""))</f>
        <v/>
      </c>
      <c r="X5296">
        <f>IF($T5296="",N($X5295),IF(MATCH($T5296,$T$6:$T$6005,0)=ROW()-5,N($X5295)+1,N($X5295)))</f>
        <v/>
      </c>
      <c r="Z5296">
        <f>IF($V5296="","",IF($AA5296&gt;N($AA5295),$AA5296,""))</f>
        <v/>
      </c>
      <c r="AA5296">
        <f>IF($V5296="",N($AA5295),IF(MATCH($V5296,$V$6:$V$6005,0)=ROW()-5,N($AA5295)+1,N($AA5295)))</f>
        <v/>
      </c>
    </row>
    <row r="5297" ht="21" customHeight="1" s="66">
      <c r="A5297" s="56" t="n"/>
      <c r="B5297" s="57" t="n"/>
      <c r="C5297" s="57" t="n"/>
      <c r="D5297" s="57" t="n"/>
      <c r="E5297" s="56" t="n"/>
      <c r="F5297" s="57" t="n"/>
      <c r="G5297" s="57" t="n"/>
      <c r="H5297" s="56" t="n"/>
      <c r="I5297" s="56" t="n"/>
      <c r="J5297" s="58" t="n"/>
      <c r="K5297" s="58" t="n"/>
      <c r="L5297" s="13">
        <f>IF(OR($A5297="",AND($J5297="",$K5297="")),"",ROUND(N($J5297)-N($K5297),2))</f>
        <v/>
      </c>
      <c r="M5297" s="13">
        <f>IF(OR($A5297="",AND($J5297="",$K5297="")),"",MIN($J5297,$K5297))</f>
        <v/>
      </c>
      <c r="Q5297">
        <f>IF($A5297="","",$D5297&amp;"("&amp;SUBSTITUTE($E5297," ","")&amp;")")</f>
        <v/>
      </c>
      <c r="R5297">
        <f>IF($A5297="","",$B5297&amp;" - "&amp;$C5297)</f>
        <v/>
      </c>
      <c r="S5297">
        <f>IF($A5297="","",$R5297&amp;"|"&amp;$Q5297)</f>
        <v/>
      </c>
      <c r="T5297">
        <f>IF($A5297="","",$S5297&amp;"|"&amp;$F5297)</f>
        <v/>
      </c>
      <c r="U5297">
        <f>IF($A5297="","",$R5297&amp;"("&amp;$E5297&amp;")")</f>
        <v/>
      </c>
      <c r="V5297">
        <f>IF($A5297="","",$F5297&amp;"|"&amp;$U5297&amp;"|"&amp;$D5297)</f>
        <v/>
      </c>
      <c r="W5297">
        <f>IF($T5297="","",IF($X5297&gt;N($X5296),$X5297,""))</f>
        <v/>
      </c>
      <c r="X5297">
        <f>IF($T5297="",N($X5296),IF(MATCH($T5297,$T$6:$T$6005,0)=ROW()-5,N($X5296)+1,N($X5296)))</f>
        <v/>
      </c>
      <c r="Z5297">
        <f>IF($V5297="","",IF($AA5297&gt;N($AA5296),$AA5297,""))</f>
        <v/>
      </c>
      <c r="AA5297">
        <f>IF($V5297="",N($AA5296),IF(MATCH($V5297,$V$6:$V$6005,0)=ROW()-5,N($AA5296)+1,N($AA5296)))</f>
        <v/>
      </c>
    </row>
    <row r="5298" ht="21" customHeight="1" s="66">
      <c r="A5298" s="56" t="n"/>
      <c r="B5298" s="57" t="n"/>
      <c r="C5298" s="57" t="n"/>
      <c r="D5298" s="57" t="n"/>
      <c r="E5298" s="56" t="n"/>
      <c r="F5298" s="57" t="n"/>
      <c r="G5298" s="57" t="n"/>
      <c r="H5298" s="56" t="n"/>
      <c r="I5298" s="56" t="n"/>
      <c r="J5298" s="58" t="n"/>
      <c r="K5298" s="58" t="n"/>
      <c r="L5298" s="13">
        <f>IF(OR($A5298="",AND($J5298="",$K5298="")),"",ROUND(N($J5298)-N($K5298),2))</f>
        <v/>
      </c>
      <c r="M5298" s="13">
        <f>IF(OR($A5298="",AND($J5298="",$K5298="")),"",MIN($J5298,$K5298))</f>
        <v/>
      </c>
      <c r="Q5298">
        <f>IF($A5298="","",$D5298&amp;"("&amp;SUBSTITUTE($E5298," ","")&amp;")")</f>
        <v/>
      </c>
      <c r="R5298">
        <f>IF($A5298="","",$B5298&amp;" - "&amp;$C5298)</f>
        <v/>
      </c>
      <c r="S5298">
        <f>IF($A5298="","",$R5298&amp;"|"&amp;$Q5298)</f>
        <v/>
      </c>
      <c r="T5298">
        <f>IF($A5298="","",$S5298&amp;"|"&amp;$F5298)</f>
        <v/>
      </c>
      <c r="U5298">
        <f>IF($A5298="","",$R5298&amp;"("&amp;$E5298&amp;")")</f>
        <v/>
      </c>
      <c r="V5298">
        <f>IF($A5298="","",$F5298&amp;"|"&amp;$U5298&amp;"|"&amp;$D5298)</f>
        <v/>
      </c>
      <c r="W5298">
        <f>IF($T5298="","",IF($X5298&gt;N($X5297),$X5298,""))</f>
        <v/>
      </c>
      <c r="X5298">
        <f>IF($T5298="",N($X5297),IF(MATCH($T5298,$T$6:$T$6005,0)=ROW()-5,N($X5297)+1,N($X5297)))</f>
        <v/>
      </c>
      <c r="Z5298">
        <f>IF($V5298="","",IF($AA5298&gt;N($AA5297),$AA5298,""))</f>
        <v/>
      </c>
      <c r="AA5298">
        <f>IF($V5298="",N($AA5297),IF(MATCH($V5298,$V$6:$V$6005,0)=ROW()-5,N($AA5297)+1,N($AA5297)))</f>
        <v/>
      </c>
    </row>
    <row r="5299" ht="21" customHeight="1" s="66">
      <c r="A5299" s="56" t="n"/>
      <c r="B5299" s="57" t="n"/>
      <c r="C5299" s="57" t="n"/>
      <c r="D5299" s="57" t="n"/>
      <c r="E5299" s="56" t="n"/>
      <c r="F5299" s="57" t="n"/>
      <c r="G5299" s="57" t="n"/>
      <c r="H5299" s="56" t="n"/>
      <c r="I5299" s="56" t="n"/>
      <c r="J5299" s="58" t="n"/>
      <c r="K5299" s="58" t="n"/>
      <c r="L5299" s="13">
        <f>IF(OR($A5299="",AND($J5299="",$K5299="")),"",ROUND(N($J5299)-N($K5299),2))</f>
        <v/>
      </c>
      <c r="M5299" s="13">
        <f>IF(OR($A5299="",AND($J5299="",$K5299="")),"",MIN($J5299,$K5299))</f>
        <v/>
      </c>
      <c r="Q5299">
        <f>IF($A5299="","",$D5299&amp;"("&amp;SUBSTITUTE($E5299," ","")&amp;")")</f>
        <v/>
      </c>
      <c r="R5299">
        <f>IF($A5299="","",$B5299&amp;" - "&amp;$C5299)</f>
        <v/>
      </c>
      <c r="S5299">
        <f>IF($A5299="","",$R5299&amp;"|"&amp;$Q5299)</f>
        <v/>
      </c>
      <c r="T5299">
        <f>IF($A5299="","",$S5299&amp;"|"&amp;$F5299)</f>
        <v/>
      </c>
      <c r="U5299">
        <f>IF($A5299="","",$R5299&amp;"("&amp;$E5299&amp;")")</f>
        <v/>
      </c>
      <c r="V5299">
        <f>IF($A5299="","",$F5299&amp;"|"&amp;$U5299&amp;"|"&amp;$D5299)</f>
        <v/>
      </c>
      <c r="W5299">
        <f>IF($T5299="","",IF($X5299&gt;N($X5298),$X5299,""))</f>
        <v/>
      </c>
      <c r="X5299">
        <f>IF($T5299="",N($X5298),IF(MATCH($T5299,$T$6:$T$6005,0)=ROW()-5,N($X5298)+1,N($X5298)))</f>
        <v/>
      </c>
      <c r="Z5299">
        <f>IF($V5299="","",IF($AA5299&gt;N($AA5298),$AA5299,""))</f>
        <v/>
      </c>
      <c r="AA5299">
        <f>IF($V5299="",N($AA5298),IF(MATCH($V5299,$V$6:$V$6005,0)=ROW()-5,N($AA5298)+1,N($AA5298)))</f>
        <v/>
      </c>
    </row>
    <row r="5300" ht="21" customHeight="1" s="66">
      <c r="A5300" s="56" t="n"/>
      <c r="B5300" s="57" t="n"/>
      <c r="C5300" s="57" t="n"/>
      <c r="D5300" s="57" t="n"/>
      <c r="E5300" s="56" t="n"/>
      <c r="F5300" s="57" t="n"/>
      <c r="G5300" s="57" t="n"/>
      <c r="H5300" s="56" t="n"/>
      <c r="I5300" s="56" t="n"/>
      <c r="J5300" s="58" t="n"/>
      <c r="K5300" s="58" t="n"/>
      <c r="L5300" s="13">
        <f>IF(OR($A5300="",AND($J5300="",$K5300="")),"",ROUND(N($J5300)-N($K5300),2))</f>
        <v/>
      </c>
      <c r="M5300" s="13">
        <f>IF(OR($A5300="",AND($J5300="",$K5300="")),"",MIN($J5300,$K5300))</f>
        <v/>
      </c>
      <c r="Q5300">
        <f>IF($A5300="","",$D5300&amp;"("&amp;SUBSTITUTE($E5300," ","")&amp;")")</f>
        <v/>
      </c>
      <c r="R5300">
        <f>IF($A5300="","",$B5300&amp;" - "&amp;$C5300)</f>
        <v/>
      </c>
      <c r="S5300">
        <f>IF($A5300="","",$R5300&amp;"|"&amp;$Q5300)</f>
        <v/>
      </c>
      <c r="T5300">
        <f>IF($A5300="","",$S5300&amp;"|"&amp;$F5300)</f>
        <v/>
      </c>
      <c r="U5300">
        <f>IF($A5300="","",$R5300&amp;"("&amp;$E5300&amp;")")</f>
        <v/>
      </c>
      <c r="V5300">
        <f>IF($A5300="","",$F5300&amp;"|"&amp;$U5300&amp;"|"&amp;$D5300)</f>
        <v/>
      </c>
      <c r="W5300">
        <f>IF($T5300="","",IF($X5300&gt;N($X5299),$X5300,""))</f>
        <v/>
      </c>
      <c r="X5300">
        <f>IF($T5300="",N($X5299),IF(MATCH($T5300,$T$6:$T$6005,0)=ROW()-5,N($X5299)+1,N($X5299)))</f>
        <v/>
      </c>
      <c r="Z5300">
        <f>IF($V5300="","",IF($AA5300&gt;N($AA5299),$AA5300,""))</f>
        <v/>
      </c>
      <c r="AA5300">
        <f>IF($V5300="",N($AA5299),IF(MATCH($V5300,$V$6:$V$6005,0)=ROW()-5,N($AA5299)+1,N($AA5299)))</f>
        <v/>
      </c>
    </row>
    <row r="5301" ht="21" customHeight="1" s="66">
      <c r="A5301" s="56" t="n"/>
      <c r="B5301" s="57" t="n"/>
      <c r="C5301" s="57" t="n"/>
      <c r="D5301" s="57" t="n"/>
      <c r="E5301" s="56" t="n"/>
      <c r="F5301" s="57" t="n"/>
      <c r="G5301" s="57" t="n"/>
      <c r="H5301" s="56" t="n"/>
      <c r="I5301" s="56" t="n"/>
      <c r="J5301" s="58" t="n"/>
      <c r="K5301" s="58" t="n"/>
      <c r="L5301" s="13">
        <f>IF(OR($A5301="",AND($J5301="",$K5301="")),"",ROUND(N($J5301)-N($K5301),2))</f>
        <v/>
      </c>
      <c r="M5301" s="13">
        <f>IF(OR($A5301="",AND($J5301="",$K5301="")),"",MIN($J5301,$K5301))</f>
        <v/>
      </c>
      <c r="Q5301">
        <f>IF($A5301="","",$D5301&amp;"("&amp;SUBSTITUTE($E5301," ","")&amp;")")</f>
        <v/>
      </c>
      <c r="R5301">
        <f>IF($A5301="","",$B5301&amp;" - "&amp;$C5301)</f>
        <v/>
      </c>
      <c r="S5301">
        <f>IF($A5301="","",$R5301&amp;"|"&amp;$Q5301)</f>
        <v/>
      </c>
      <c r="T5301">
        <f>IF($A5301="","",$S5301&amp;"|"&amp;$F5301)</f>
        <v/>
      </c>
      <c r="U5301">
        <f>IF($A5301="","",$R5301&amp;"("&amp;$E5301&amp;")")</f>
        <v/>
      </c>
      <c r="V5301">
        <f>IF($A5301="","",$F5301&amp;"|"&amp;$U5301&amp;"|"&amp;$D5301)</f>
        <v/>
      </c>
      <c r="W5301">
        <f>IF($T5301="","",IF($X5301&gt;N($X5300),$X5301,""))</f>
        <v/>
      </c>
      <c r="X5301">
        <f>IF($T5301="",N($X5300),IF(MATCH($T5301,$T$6:$T$6005,0)=ROW()-5,N($X5300)+1,N($X5300)))</f>
        <v/>
      </c>
      <c r="Z5301">
        <f>IF($V5301="","",IF($AA5301&gt;N($AA5300),$AA5301,""))</f>
        <v/>
      </c>
      <c r="AA5301">
        <f>IF($V5301="",N($AA5300),IF(MATCH($V5301,$V$6:$V$6005,0)=ROW()-5,N($AA5300)+1,N($AA5300)))</f>
        <v/>
      </c>
    </row>
    <row r="5302" ht="21" customHeight="1" s="66">
      <c r="A5302" s="56" t="n"/>
      <c r="B5302" s="57" t="n"/>
      <c r="C5302" s="57" t="n"/>
      <c r="D5302" s="57" t="n"/>
      <c r="E5302" s="56" t="n"/>
      <c r="F5302" s="57" t="n"/>
      <c r="G5302" s="57" t="n"/>
      <c r="H5302" s="56" t="n"/>
      <c r="I5302" s="56" t="n"/>
      <c r="J5302" s="58" t="n"/>
      <c r="K5302" s="58" t="n"/>
      <c r="L5302" s="13">
        <f>IF(OR($A5302="",AND($J5302="",$K5302="")),"",ROUND(N($J5302)-N($K5302),2))</f>
        <v/>
      </c>
      <c r="M5302" s="13">
        <f>IF(OR($A5302="",AND($J5302="",$K5302="")),"",MIN($J5302,$K5302))</f>
        <v/>
      </c>
      <c r="Q5302">
        <f>IF($A5302="","",$D5302&amp;"("&amp;SUBSTITUTE($E5302," ","")&amp;")")</f>
        <v/>
      </c>
      <c r="R5302">
        <f>IF($A5302="","",$B5302&amp;" - "&amp;$C5302)</f>
        <v/>
      </c>
      <c r="S5302">
        <f>IF($A5302="","",$R5302&amp;"|"&amp;$Q5302)</f>
        <v/>
      </c>
      <c r="T5302">
        <f>IF($A5302="","",$S5302&amp;"|"&amp;$F5302)</f>
        <v/>
      </c>
      <c r="U5302">
        <f>IF($A5302="","",$R5302&amp;"("&amp;$E5302&amp;")")</f>
        <v/>
      </c>
      <c r="V5302">
        <f>IF($A5302="","",$F5302&amp;"|"&amp;$U5302&amp;"|"&amp;$D5302)</f>
        <v/>
      </c>
      <c r="W5302">
        <f>IF($T5302="","",IF($X5302&gt;N($X5301),$X5302,""))</f>
        <v/>
      </c>
      <c r="X5302">
        <f>IF($T5302="",N($X5301),IF(MATCH($T5302,$T$6:$T$6005,0)=ROW()-5,N($X5301)+1,N($X5301)))</f>
        <v/>
      </c>
      <c r="Z5302">
        <f>IF($V5302="","",IF($AA5302&gt;N($AA5301),$AA5302,""))</f>
        <v/>
      </c>
      <c r="AA5302">
        <f>IF($V5302="",N($AA5301),IF(MATCH($V5302,$V$6:$V$6005,0)=ROW()-5,N($AA5301)+1,N($AA5301)))</f>
        <v/>
      </c>
    </row>
    <row r="5303" ht="21" customHeight="1" s="66">
      <c r="A5303" s="56" t="n"/>
      <c r="B5303" s="57" t="n"/>
      <c r="C5303" s="57" t="n"/>
      <c r="D5303" s="57" t="n"/>
      <c r="E5303" s="56" t="n"/>
      <c r="F5303" s="57" t="n"/>
      <c r="G5303" s="57" t="n"/>
      <c r="H5303" s="56" t="n"/>
      <c r="I5303" s="56" t="n"/>
      <c r="J5303" s="58" t="n"/>
      <c r="K5303" s="58" t="n"/>
      <c r="L5303" s="13">
        <f>IF(OR($A5303="",AND($J5303="",$K5303="")),"",ROUND(N($J5303)-N($K5303),2))</f>
        <v/>
      </c>
      <c r="M5303" s="13">
        <f>IF(OR($A5303="",AND($J5303="",$K5303="")),"",MIN($J5303,$K5303))</f>
        <v/>
      </c>
      <c r="Q5303">
        <f>IF($A5303="","",$D5303&amp;"("&amp;SUBSTITUTE($E5303," ","")&amp;")")</f>
        <v/>
      </c>
      <c r="R5303">
        <f>IF($A5303="","",$B5303&amp;" - "&amp;$C5303)</f>
        <v/>
      </c>
      <c r="S5303">
        <f>IF($A5303="","",$R5303&amp;"|"&amp;$Q5303)</f>
        <v/>
      </c>
      <c r="T5303">
        <f>IF($A5303="","",$S5303&amp;"|"&amp;$F5303)</f>
        <v/>
      </c>
      <c r="U5303">
        <f>IF($A5303="","",$R5303&amp;"("&amp;$E5303&amp;")")</f>
        <v/>
      </c>
      <c r="V5303">
        <f>IF($A5303="","",$F5303&amp;"|"&amp;$U5303&amp;"|"&amp;$D5303)</f>
        <v/>
      </c>
      <c r="W5303">
        <f>IF($T5303="","",IF($X5303&gt;N($X5302),$X5303,""))</f>
        <v/>
      </c>
      <c r="X5303">
        <f>IF($T5303="",N($X5302),IF(MATCH($T5303,$T$6:$T$6005,0)=ROW()-5,N($X5302)+1,N($X5302)))</f>
        <v/>
      </c>
      <c r="Z5303">
        <f>IF($V5303="","",IF($AA5303&gt;N($AA5302),$AA5303,""))</f>
        <v/>
      </c>
      <c r="AA5303">
        <f>IF($V5303="",N($AA5302),IF(MATCH($V5303,$V$6:$V$6005,0)=ROW()-5,N($AA5302)+1,N($AA5302)))</f>
        <v/>
      </c>
    </row>
    <row r="5304" ht="21" customHeight="1" s="66">
      <c r="A5304" s="56" t="n"/>
      <c r="B5304" s="57" t="n"/>
      <c r="C5304" s="57" t="n"/>
      <c r="D5304" s="57" t="n"/>
      <c r="E5304" s="56" t="n"/>
      <c r="F5304" s="57" t="n"/>
      <c r="G5304" s="57" t="n"/>
      <c r="H5304" s="56" t="n"/>
      <c r="I5304" s="56" t="n"/>
      <c r="J5304" s="58" t="n"/>
      <c r="K5304" s="58" t="n"/>
      <c r="L5304" s="13">
        <f>IF(OR($A5304="",AND($J5304="",$K5304="")),"",ROUND(N($J5304)-N($K5304),2))</f>
        <v/>
      </c>
      <c r="M5304" s="13">
        <f>IF(OR($A5304="",AND($J5304="",$K5304="")),"",MIN($J5304,$K5304))</f>
        <v/>
      </c>
      <c r="Q5304">
        <f>IF($A5304="","",$D5304&amp;"("&amp;SUBSTITUTE($E5304," ","")&amp;")")</f>
        <v/>
      </c>
      <c r="R5304">
        <f>IF($A5304="","",$B5304&amp;" - "&amp;$C5304)</f>
        <v/>
      </c>
      <c r="S5304">
        <f>IF($A5304="","",$R5304&amp;"|"&amp;$Q5304)</f>
        <v/>
      </c>
      <c r="T5304">
        <f>IF($A5304="","",$S5304&amp;"|"&amp;$F5304)</f>
        <v/>
      </c>
      <c r="U5304">
        <f>IF($A5304="","",$R5304&amp;"("&amp;$E5304&amp;")")</f>
        <v/>
      </c>
      <c r="V5304">
        <f>IF($A5304="","",$F5304&amp;"|"&amp;$U5304&amp;"|"&amp;$D5304)</f>
        <v/>
      </c>
      <c r="W5304">
        <f>IF($T5304="","",IF($X5304&gt;N($X5303),$X5304,""))</f>
        <v/>
      </c>
      <c r="X5304">
        <f>IF($T5304="",N($X5303),IF(MATCH($T5304,$T$6:$T$6005,0)=ROW()-5,N($X5303)+1,N($X5303)))</f>
        <v/>
      </c>
      <c r="Z5304">
        <f>IF($V5304="","",IF($AA5304&gt;N($AA5303),$AA5304,""))</f>
        <v/>
      </c>
      <c r="AA5304">
        <f>IF($V5304="",N($AA5303),IF(MATCH($V5304,$V$6:$V$6005,0)=ROW()-5,N($AA5303)+1,N($AA5303)))</f>
        <v/>
      </c>
    </row>
    <row r="5305" ht="21" customHeight="1" s="66">
      <c r="A5305" s="56" t="n"/>
      <c r="B5305" s="57" t="n"/>
      <c r="C5305" s="57" t="n"/>
      <c r="D5305" s="57" t="n"/>
      <c r="E5305" s="56" t="n"/>
      <c r="F5305" s="57" t="n"/>
      <c r="G5305" s="57" t="n"/>
      <c r="H5305" s="56" t="n"/>
      <c r="I5305" s="56" t="n"/>
      <c r="J5305" s="58" t="n"/>
      <c r="K5305" s="58" t="n"/>
      <c r="L5305" s="13">
        <f>IF(OR($A5305="",AND($J5305="",$K5305="")),"",ROUND(N($J5305)-N($K5305),2))</f>
        <v/>
      </c>
      <c r="M5305" s="13">
        <f>IF(OR($A5305="",AND($J5305="",$K5305="")),"",MIN($J5305,$K5305))</f>
        <v/>
      </c>
      <c r="Q5305">
        <f>IF($A5305="","",$D5305&amp;"("&amp;SUBSTITUTE($E5305," ","")&amp;")")</f>
        <v/>
      </c>
      <c r="R5305">
        <f>IF($A5305="","",$B5305&amp;" - "&amp;$C5305)</f>
        <v/>
      </c>
      <c r="S5305">
        <f>IF($A5305="","",$R5305&amp;"|"&amp;$Q5305)</f>
        <v/>
      </c>
      <c r="T5305">
        <f>IF($A5305="","",$S5305&amp;"|"&amp;$F5305)</f>
        <v/>
      </c>
      <c r="U5305">
        <f>IF($A5305="","",$R5305&amp;"("&amp;$E5305&amp;")")</f>
        <v/>
      </c>
      <c r="V5305">
        <f>IF($A5305="","",$F5305&amp;"|"&amp;$U5305&amp;"|"&amp;$D5305)</f>
        <v/>
      </c>
      <c r="W5305">
        <f>IF($T5305="","",IF($X5305&gt;N($X5304),$X5305,""))</f>
        <v/>
      </c>
      <c r="X5305">
        <f>IF($T5305="",N($X5304),IF(MATCH($T5305,$T$6:$T$6005,0)=ROW()-5,N($X5304)+1,N($X5304)))</f>
        <v/>
      </c>
      <c r="Z5305">
        <f>IF($V5305="","",IF($AA5305&gt;N($AA5304),$AA5305,""))</f>
        <v/>
      </c>
      <c r="AA5305">
        <f>IF($V5305="",N($AA5304),IF(MATCH($V5305,$V$6:$V$6005,0)=ROW()-5,N($AA5304)+1,N($AA5304)))</f>
        <v/>
      </c>
    </row>
    <row r="5306" ht="21" customHeight="1" s="66">
      <c r="A5306" s="56" t="n"/>
      <c r="B5306" s="57" t="n"/>
      <c r="C5306" s="57" t="n"/>
      <c r="D5306" s="57" t="n"/>
      <c r="E5306" s="56" t="n"/>
      <c r="F5306" s="57" t="n"/>
      <c r="G5306" s="57" t="n"/>
      <c r="H5306" s="56" t="n"/>
      <c r="I5306" s="56" t="n"/>
      <c r="J5306" s="58" t="n"/>
      <c r="K5306" s="58" t="n"/>
      <c r="L5306" s="13">
        <f>IF(OR($A5306="",AND($J5306="",$K5306="")),"",ROUND(N($J5306)-N($K5306),2))</f>
        <v/>
      </c>
      <c r="M5306" s="13">
        <f>IF(OR($A5306="",AND($J5306="",$K5306="")),"",MIN($J5306,$K5306))</f>
        <v/>
      </c>
      <c r="Q5306">
        <f>IF($A5306="","",$D5306&amp;"("&amp;SUBSTITUTE($E5306," ","")&amp;")")</f>
        <v/>
      </c>
      <c r="R5306">
        <f>IF($A5306="","",$B5306&amp;" - "&amp;$C5306)</f>
        <v/>
      </c>
      <c r="S5306">
        <f>IF($A5306="","",$R5306&amp;"|"&amp;$Q5306)</f>
        <v/>
      </c>
      <c r="T5306">
        <f>IF($A5306="","",$S5306&amp;"|"&amp;$F5306)</f>
        <v/>
      </c>
      <c r="U5306">
        <f>IF($A5306="","",$R5306&amp;"("&amp;$E5306&amp;")")</f>
        <v/>
      </c>
      <c r="V5306">
        <f>IF($A5306="","",$F5306&amp;"|"&amp;$U5306&amp;"|"&amp;$D5306)</f>
        <v/>
      </c>
      <c r="W5306">
        <f>IF($T5306="","",IF($X5306&gt;N($X5305),$X5306,""))</f>
        <v/>
      </c>
      <c r="X5306">
        <f>IF($T5306="",N($X5305),IF(MATCH($T5306,$T$6:$T$6005,0)=ROW()-5,N($X5305)+1,N($X5305)))</f>
        <v/>
      </c>
      <c r="Z5306">
        <f>IF($V5306="","",IF($AA5306&gt;N($AA5305),$AA5306,""))</f>
        <v/>
      </c>
      <c r="AA5306">
        <f>IF($V5306="",N($AA5305),IF(MATCH($V5306,$V$6:$V$6005,0)=ROW()-5,N($AA5305)+1,N($AA5305)))</f>
        <v/>
      </c>
    </row>
    <row r="5307" ht="21" customHeight="1" s="66">
      <c r="A5307" s="56" t="n"/>
      <c r="B5307" s="57" t="n"/>
      <c r="C5307" s="57" t="n"/>
      <c r="D5307" s="57" t="n"/>
      <c r="E5307" s="56" t="n"/>
      <c r="F5307" s="57" t="n"/>
      <c r="G5307" s="57" t="n"/>
      <c r="H5307" s="56" t="n"/>
      <c r="I5307" s="56" t="n"/>
      <c r="J5307" s="58" t="n"/>
      <c r="K5307" s="58" t="n"/>
      <c r="L5307" s="13">
        <f>IF(OR($A5307="",AND($J5307="",$K5307="")),"",ROUND(N($J5307)-N($K5307),2))</f>
        <v/>
      </c>
      <c r="M5307" s="13">
        <f>IF(OR($A5307="",AND($J5307="",$K5307="")),"",MIN($J5307,$K5307))</f>
        <v/>
      </c>
      <c r="Q5307">
        <f>IF($A5307="","",$D5307&amp;"("&amp;SUBSTITUTE($E5307," ","")&amp;")")</f>
        <v/>
      </c>
      <c r="R5307">
        <f>IF($A5307="","",$B5307&amp;" - "&amp;$C5307)</f>
        <v/>
      </c>
      <c r="S5307">
        <f>IF($A5307="","",$R5307&amp;"|"&amp;$Q5307)</f>
        <v/>
      </c>
      <c r="T5307">
        <f>IF($A5307="","",$S5307&amp;"|"&amp;$F5307)</f>
        <v/>
      </c>
      <c r="U5307">
        <f>IF($A5307="","",$R5307&amp;"("&amp;$E5307&amp;")")</f>
        <v/>
      </c>
      <c r="V5307">
        <f>IF($A5307="","",$F5307&amp;"|"&amp;$U5307&amp;"|"&amp;$D5307)</f>
        <v/>
      </c>
      <c r="W5307">
        <f>IF($T5307="","",IF($X5307&gt;N($X5306),$X5307,""))</f>
        <v/>
      </c>
      <c r="X5307">
        <f>IF($T5307="",N($X5306),IF(MATCH($T5307,$T$6:$T$6005,0)=ROW()-5,N($X5306)+1,N($X5306)))</f>
        <v/>
      </c>
      <c r="Z5307">
        <f>IF($V5307="","",IF($AA5307&gt;N($AA5306),$AA5307,""))</f>
        <v/>
      </c>
      <c r="AA5307">
        <f>IF($V5307="",N($AA5306),IF(MATCH($V5307,$V$6:$V$6005,0)=ROW()-5,N($AA5306)+1,N($AA5306)))</f>
        <v/>
      </c>
    </row>
    <row r="5308" ht="21" customHeight="1" s="66">
      <c r="A5308" s="56" t="n"/>
      <c r="B5308" s="57" t="n"/>
      <c r="C5308" s="57" t="n"/>
      <c r="D5308" s="57" t="n"/>
      <c r="E5308" s="56" t="n"/>
      <c r="F5308" s="57" t="n"/>
      <c r="G5308" s="57" t="n"/>
      <c r="H5308" s="56" t="n"/>
      <c r="I5308" s="56" t="n"/>
      <c r="J5308" s="58" t="n"/>
      <c r="K5308" s="58" t="n"/>
      <c r="L5308" s="13">
        <f>IF(OR($A5308="",AND($J5308="",$K5308="")),"",ROUND(N($J5308)-N($K5308),2))</f>
        <v/>
      </c>
      <c r="M5308" s="13">
        <f>IF(OR($A5308="",AND($J5308="",$K5308="")),"",MIN($J5308,$K5308))</f>
        <v/>
      </c>
      <c r="Q5308">
        <f>IF($A5308="","",$D5308&amp;"("&amp;SUBSTITUTE($E5308," ","")&amp;")")</f>
        <v/>
      </c>
      <c r="R5308">
        <f>IF($A5308="","",$B5308&amp;" - "&amp;$C5308)</f>
        <v/>
      </c>
      <c r="S5308">
        <f>IF($A5308="","",$R5308&amp;"|"&amp;$Q5308)</f>
        <v/>
      </c>
      <c r="T5308">
        <f>IF($A5308="","",$S5308&amp;"|"&amp;$F5308)</f>
        <v/>
      </c>
      <c r="U5308">
        <f>IF($A5308="","",$R5308&amp;"("&amp;$E5308&amp;")")</f>
        <v/>
      </c>
      <c r="V5308">
        <f>IF($A5308="","",$F5308&amp;"|"&amp;$U5308&amp;"|"&amp;$D5308)</f>
        <v/>
      </c>
      <c r="W5308">
        <f>IF($T5308="","",IF($X5308&gt;N($X5307),$X5308,""))</f>
        <v/>
      </c>
      <c r="X5308">
        <f>IF($T5308="",N($X5307),IF(MATCH($T5308,$T$6:$T$6005,0)=ROW()-5,N($X5307)+1,N($X5307)))</f>
        <v/>
      </c>
      <c r="Z5308">
        <f>IF($V5308="","",IF($AA5308&gt;N($AA5307),$AA5308,""))</f>
        <v/>
      </c>
      <c r="AA5308">
        <f>IF($V5308="",N($AA5307),IF(MATCH($V5308,$V$6:$V$6005,0)=ROW()-5,N($AA5307)+1,N($AA5307)))</f>
        <v/>
      </c>
    </row>
    <row r="5309" ht="21" customHeight="1" s="66">
      <c r="A5309" s="56" t="n"/>
      <c r="B5309" s="57" t="n"/>
      <c r="C5309" s="57" t="n"/>
      <c r="D5309" s="57" t="n"/>
      <c r="E5309" s="56" t="n"/>
      <c r="F5309" s="57" t="n"/>
      <c r="G5309" s="57" t="n"/>
      <c r="H5309" s="56" t="n"/>
      <c r="I5309" s="56" t="n"/>
      <c r="J5309" s="58" t="n"/>
      <c r="K5309" s="58" t="n"/>
      <c r="L5309" s="13">
        <f>IF(OR($A5309="",AND($J5309="",$K5309="")),"",ROUND(N($J5309)-N($K5309),2))</f>
        <v/>
      </c>
      <c r="M5309" s="13">
        <f>IF(OR($A5309="",AND($J5309="",$K5309="")),"",MIN($J5309,$K5309))</f>
        <v/>
      </c>
      <c r="Q5309">
        <f>IF($A5309="","",$D5309&amp;"("&amp;SUBSTITUTE($E5309," ","")&amp;")")</f>
        <v/>
      </c>
      <c r="R5309">
        <f>IF($A5309="","",$B5309&amp;" - "&amp;$C5309)</f>
        <v/>
      </c>
      <c r="S5309">
        <f>IF($A5309="","",$R5309&amp;"|"&amp;$Q5309)</f>
        <v/>
      </c>
      <c r="T5309">
        <f>IF($A5309="","",$S5309&amp;"|"&amp;$F5309)</f>
        <v/>
      </c>
      <c r="U5309">
        <f>IF($A5309="","",$R5309&amp;"("&amp;$E5309&amp;")")</f>
        <v/>
      </c>
      <c r="V5309">
        <f>IF($A5309="","",$F5309&amp;"|"&amp;$U5309&amp;"|"&amp;$D5309)</f>
        <v/>
      </c>
      <c r="W5309">
        <f>IF($T5309="","",IF($X5309&gt;N($X5308),$X5309,""))</f>
        <v/>
      </c>
      <c r="X5309">
        <f>IF($T5309="",N($X5308),IF(MATCH($T5309,$T$6:$T$6005,0)=ROW()-5,N($X5308)+1,N($X5308)))</f>
        <v/>
      </c>
      <c r="Z5309">
        <f>IF($V5309="","",IF($AA5309&gt;N($AA5308),$AA5309,""))</f>
        <v/>
      </c>
      <c r="AA5309">
        <f>IF($V5309="",N($AA5308),IF(MATCH($V5309,$V$6:$V$6005,0)=ROW()-5,N($AA5308)+1,N($AA5308)))</f>
        <v/>
      </c>
    </row>
    <row r="5310" ht="21" customHeight="1" s="66">
      <c r="A5310" s="56" t="n"/>
      <c r="B5310" s="57" t="n"/>
      <c r="C5310" s="57" t="n"/>
      <c r="D5310" s="57" t="n"/>
      <c r="E5310" s="56" t="n"/>
      <c r="F5310" s="57" t="n"/>
      <c r="G5310" s="57" t="n"/>
      <c r="H5310" s="56" t="n"/>
      <c r="I5310" s="56" t="n"/>
      <c r="J5310" s="58" t="n"/>
      <c r="K5310" s="58" t="n"/>
      <c r="L5310" s="13">
        <f>IF(OR($A5310="",AND($J5310="",$K5310="")),"",ROUND(N($J5310)-N($K5310),2))</f>
        <v/>
      </c>
      <c r="M5310" s="13">
        <f>IF(OR($A5310="",AND($J5310="",$K5310="")),"",MIN($J5310,$K5310))</f>
        <v/>
      </c>
      <c r="Q5310">
        <f>IF($A5310="","",$D5310&amp;"("&amp;SUBSTITUTE($E5310," ","")&amp;")")</f>
        <v/>
      </c>
      <c r="R5310">
        <f>IF($A5310="","",$B5310&amp;" - "&amp;$C5310)</f>
        <v/>
      </c>
      <c r="S5310">
        <f>IF($A5310="","",$R5310&amp;"|"&amp;$Q5310)</f>
        <v/>
      </c>
      <c r="T5310">
        <f>IF($A5310="","",$S5310&amp;"|"&amp;$F5310)</f>
        <v/>
      </c>
      <c r="U5310">
        <f>IF($A5310="","",$R5310&amp;"("&amp;$E5310&amp;")")</f>
        <v/>
      </c>
      <c r="V5310">
        <f>IF($A5310="","",$F5310&amp;"|"&amp;$U5310&amp;"|"&amp;$D5310)</f>
        <v/>
      </c>
      <c r="W5310">
        <f>IF($T5310="","",IF($X5310&gt;N($X5309),$X5310,""))</f>
        <v/>
      </c>
      <c r="X5310">
        <f>IF($T5310="",N($X5309),IF(MATCH($T5310,$T$6:$T$6005,0)=ROW()-5,N($X5309)+1,N($X5309)))</f>
        <v/>
      </c>
      <c r="Z5310">
        <f>IF($V5310="","",IF($AA5310&gt;N($AA5309),$AA5310,""))</f>
        <v/>
      </c>
      <c r="AA5310">
        <f>IF($V5310="",N($AA5309),IF(MATCH($V5310,$V$6:$V$6005,0)=ROW()-5,N($AA5309)+1,N($AA5309)))</f>
        <v/>
      </c>
    </row>
    <row r="5311" ht="21" customHeight="1" s="66">
      <c r="A5311" s="56" t="n"/>
      <c r="B5311" s="57" t="n"/>
      <c r="C5311" s="57" t="n"/>
      <c r="D5311" s="57" t="n"/>
      <c r="E5311" s="56" t="n"/>
      <c r="F5311" s="57" t="n"/>
      <c r="G5311" s="57" t="n"/>
      <c r="H5311" s="56" t="n"/>
      <c r="I5311" s="56" t="n"/>
      <c r="J5311" s="58" t="n"/>
      <c r="K5311" s="58" t="n"/>
      <c r="L5311" s="13">
        <f>IF(OR($A5311="",AND($J5311="",$K5311="")),"",ROUND(N($J5311)-N($K5311),2))</f>
        <v/>
      </c>
      <c r="M5311" s="13">
        <f>IF(OR($A5311="",AND($J5311="",$K5311="")),"",MIN($J5311,$K5311))</f>
        <v/>
      </c>
      <c r="Q5311">
        <f>IF($A5311="","",$D5311&amp;"("&amp;SUBSTITUTE($E5311," ","")&amp;")")</f>
        <v/>
      </c>
      <c r="R5311">
        <f>IF($A5311="","",$B5311&amp;" - "&amp;$C5311)</f>
        <v/>
      </c>
      <c r="S5311">
        <f>IF($A5311="","",$R5311&amp;"|"&amp;$Q5311)</f>
        <v/>
      </c>
      <c r="T5311">
        <f>IF($A5311="","",$S5311&amp;"|"&amp;$F5311)</f>
        <v/>
      </c>
      <c r="U5311">
        <f>IF($A5311="","",$R5311&amp;"("&amp;$E5311&amp;")")</f>
        <v/>
      </c>
      <c r="V5311">
        <f>IF($A5311="","",$F5311&amp;"|"&amp;$U5311&amp;"|"&amp;$D5311)</f>
        <v/>
      </c>
      <c r="W5311">
        <f>IF($T5311="","",IF($X5311&gt;N($X5310),$X5311,""))</f>
        <v/>
      </c>
      <c r="X5311">
        <f>IF($T5311="",N($X5310),IF(MATCH($T5311,$T$6:$T$6005,0)=ROW()-5,N($X5310)+1,N($X5310)))</f>
        <v/>
      </c>
      <c r="Z5311">
        <f>IF($V5311="","",IF($AA5311&gt;N($AA5310),$AA5311,""))</f>
        <v/>
      </c>
      <c r="AA5311">
        <f>IF($V5311="",N($AA5310),IF(MATCH($V5311,$V$6:$V$6005,0)=ROW()-5,N($AA5310)+1,N($AA5310)))</f>
        <v/>
      </c>
    </row>
    <row r="5312" ht="21" customHeight="1" s="66">
      <c r="A5312" s="56" t="n"/>
      <c r="B5312" s="57" t="n"/>
      <c r="C5312" s="57" t="n"/>
      <c r="D5312" s="57" t="n"/>
      <c r="E5312" s="56" t="n"/>
      <c r="F5312" s="57" t="n"/>
      <c r="G5312" s="57" t="n"/>
      <c r="H5312" s="56" t="n"/>
      <c r="I5312" s="56" t="n"/>
      <c r="J5312" s="58" t="n"/>
      <c r="K5312" s="58" t="n"/>
      <c r="L5312" s="13">
        <f>IF(OR($A5312="",AND($J5312="",$K5312="")),"",ROUND(N($J5312)-N($K5312),2))</f>
        <v/>
      </c>
      <c r="M5312" s="13">
        <f>IF(OR($A5312="",AND($J5312="",$K5312="")),"",MIN($J5312,$K5312))</f>
        <v/>
      </c>
      <c r="Q5312">
        <f>IF($A5312="","",$D5312&amp;"("&amp;SUBSTITUTE($E5312," ","")&amp;")")</f>
        <v/>
      </c>
      <c r="R5312">
        <f>IF($A5312="","",$B5312&amp;" - "&amp;$C5312)</f>
        <v/>
      </c>
      <c r="S5312">
        <f>IF($A5312="","",$R5312&amp;"|"&amp;$Q5312)</f>
        <v/>
      </c>
      <c r="T5312">
        <f>IF($A5312="","",$S5312&amp;"|"&amp;$F5312)</f>
        <v/>
      </c>
      <c r="U5312">
        <f>IF($A5312="","",$R5312&amp;"("&amp;$E5312&amp;")")</f>
        <v/>
      </c>
      <c r="V5312">
        <f>IF($A5312="","",$F5312&amp;"|"&amp;$U5312&amp;"|"&amp;$D5312)</f>
        <v/>
      </c>
      <c r="W5312">
        <f>IF($T5312="","",IF($X5312&gt;N($X5311),$X5312,""))</f>
        <v/>
      </c>
      <c r="X5312">
        <f>IF($T5312="",N($X5311),IF(MATCH($T5312,$T$6:$T$6005,0)=ROW()-5,N($X5311)+1,N($X5311)))</f>
        <v/>
      </c>
      <c r="Z5312">
        <f>IF($V5312="","",IF($AA5312&gt;N($AA5311),$AA5312,""))</f>
        <v/>
      </c>
      <c r="AA5312">
        <f>IF($V5312="",N($AA5311),IF(MATCH($V5312,$V$6:$V$6005,0)=ROW()-5,N($AA5311)+1,N($AA5311)))</f>
        <v/>
      </c>
    </row>
    <row r="5313" ht="21" customHeight="1" s="66">
      <c r="A5313" s="56" t="n"/>
      <c r="B5313" s="57" t="n"/>
      <c r="C5313" s="57" t="n"/>
      <c r="D5313" s="57" t="n"/>
      <c r="E5313" s="56" t="n"/>
      <c r="F5313" s="57" t="n"/>
      <c r="G5313" s="57" t="n"/>
      <c r="H5313" s="56" t="n"/>
      <c r="I5313" s="56" t="n"/>
      <c r="J5313" s="58" t="n"/>
      <c r="K5313" s="58" t="n"/>
      <c r="L5313" s="13">
        <f>IF(OR($A5313="",AND($J5313="",$K5313="")),"",ROUND(N($J5313)-N($K5313),2))</f>
        <v/>
      </c>
      <c r="M5313" s="13">
        <f>IF(OR($A5313="",AND($J5313="",$K5313="")),"",MIN($J5313,$K5313))</f>
        <v/>
      </c>
      <c r="Q5313">
        <f>IF($A5313="","",$D5313&amp;"("&amp;SUBSTITUTE($E5313," ","")&amp;")")</f>
        <v/>
      </c>
      <c r="R5313">
        <f>IF($A5313="","",$B5313&amp;" - "&amp;$C5313)</f>
        <v/>
      </c>
      <c r="S5313">
        <f>IF($A5313="","",$R5313&amp;"|"&amp;$Q5313)</f>
        <v/>
      </c>
      <c r="T5313">
        <f>IF($A5313="","",$S5313&amp;"|"&amp;$F5313)</f>
        <v/>
      </c>
      <c r="U5313">
        <f>IF($A5313="","",$R5313&amp;"("&amp;$E5313&amp;")")</f>
        <v/>
      </c>
      <c r="V5313">
        <f>IF($A5313="","",$F5313&amp;"|"&amp;$U5313&amp;"|"&amp;$D5313)</f>
        <v/>
      </c>
      <c r="W5313">
        <f>IF($T5313="","",IF($X5313&gt;N($X5312),$X5313,""))</f>
        <v/>
      </c>
      <c r="X5313">
        <f>IF($T5313="",N($X5312),IF(MATCH($T5313,$T$6:$T$6005,0)=ROW()-5,N($X5312)+1,N($X5312)))</f>
        <v/>
      </c>
      <c r="Z5313">
        <f>IF($V5313="","",IF($AA5313&gt;N($AA5312),$AA5313,""))</f>
        <v/>
      </c>
      <c r="AA5313">
        <f>IF($V5313="",N($AA5312),IF(MATCH($V5313,$V$6:$V$6005,0)=ROW()-5,N($AA5312)+1,N($AA5312)))</f>
        <v/>
      </c>
    </row>
    <row r="5314" ht="21" customHeight="1" s="66">
      <c r="A5314" s="56" t="n"/>
      <c r="B5314" s="57" t="n"/>
      <c r="C5314" s="57" t="n"/>
      <c r="D5314" s="57" t="n"/>
      <c r="E5314" s="56" t="n"/>
      <c r="F5314" s="57" t="n"/>
      <c r="G5314" s="57" t="n"/>
      <c r="H5314" s="56" t="n"/>
      <c r="I5314" s="56" t="n"/>
      <c r="J5314" s="58" t="n"/>
      <c r="K5314" s="58" t="n"/>
      <c r="L5314" s="13">
        <f>IF(OR($A5314="",AND($J5314="",$K5314="")),"",ROUND(N($J5314)-N($K5314),2))</f>
        <v/>
      </c>
      <c r="M5314" s="13">
        <f>IF(OR($A5314="",AND($J5314="",$K5314="")),"",MIN($J5314,$K5314))</f>
        <v/>
      </c>
      <c r="Q5314">
        <f>IF($A5314="","",$D5314&amp;"("&amp;SUBSTITUTE($E5314," ","")&amp;")")</f>
        <v/>
      </c>
      <c r="R5314">
        <f>IF($A5314="","",$B5314&amp;" - "&amp;$C5314)</f>
        <v/>
      </c>
      <c r="S5314">
        <f>IF($A5314="","",$R5314&amp;"|"&amp;$Q5314)</f>
        <v/>
      </c>
      <c r="T5314">
        <f>IF($A5314="","",$S5314&amp;"|"&amp;$F5314)</f>
        <v/>
      </c>
      <c r="U5314">
        <f>IF($A5314="","",$R5314&amp;"("&amp;$E5314&amp;")")</f>
        <v/>
      </c>
      <c r="V5314">
        <f>IF($A5314="","",$F5314&amp;"|"&amp;$U5314&amp;"|"&amp;$D5314)</f>
        <v/>
      </c>
      <c r="W5314">
        <f>IF($T5314="","",IF($X5314&gt;N($X5313),$X5314,""))</f>
        <v/>
      </c>
      <c r="X5314">
        <f>IF($T5314="",N($X5313),IF(MATCH($T5314,$T$6:$T$6005,0)=ROW()-5,N($X5313)+1,N($X5313)))</f>
        <v/>
      </c>
      <c r="Z5314">
        <f>IF($V5314="","",IF($AA5314&gt;N($AA5313),$AA5314,""))</f>
        <v/>
      </c>
      <c r="AA5314">
        <f>IF($V5314="",N($AA5313),IF(MATCH($V5314,$V$6:$V$6005,0)=ROW()-5,N($AA5313)+1,N($AA5313)))</f>
        <v/>
      </c>
    </row>
    <row r="5315" ht="21" customHeight="1" s="66">
      <c r="A5315" s="56" t="n"/>
      <c r="B5315" s="57" t="n"/>
      <c r="C5315" s="57" t="n"/>
      <c r="D5315" s="57" t="n"/>
      <c r="E5315" s="56" t="n"/>
      <c r="F5315" s="57" t="n"/>
      <c r="G5315" s="57" t="n"/>
      <c r="H5315" s="56" t="n"/>
      <c r="I5315" s="56" t="n"/>
      <c r="J5315" s="58" t="n"/>
      <c r="K5315" s="58" t="n"/>
      <c r="L5315" s="13">
        <f>IF(OR($A5315="",AND($J5315="",$K5315="")),"",ROUND(N($J5315)-N($K5315),2))</f>
        <v/>
      </c>
      <c r="M5315" s="13">
        <f>IF(OR($A5315="",AND($J5315="",$K5315="")),"",MIN($J5315,$K5315))</f>
        <v/>
      </c>
      <c r="Q5315">
        <f>IF($A5315="","",$D5315&amp;"("&amp;SUBSTITUTE($E5315," ","")&amp;")")</f>
        <v/>
      </c>
      <c r="R5315">
        <f>IF($A5315="","",$B5315&amp;" - "&amp;$C5315)</f>
        <v/>
      </c>
      <c r="S5315">
        <f>IF($A5315="","",$R5315&amp;"|"&amp;$Q5315)</f>
        <v/>
      </c>
      <c r="T5315">
        <f>IF($A5315="","",$S5315&amp;"|"&amp;$F5315)</f>
        <v/>
      </c>
      <c r="U5315">
        <f>IF($A5315="","",$R5315&amp;"("&amp;$E5315&amp;")")</f>
        <v/>
      </c>
      <c r="V5315">
        <f>IF($A5315="","",$F5315&amp;"|"&amp;$U5315&amp;"|"&amp;$D5315)</f>
        <v/>
      </c>
      <c r="W5315">
        <f>IF($T5315="","",IF($X5315&gt;N($X5314),$X5315,""))</f>
        <v/>
      </c>
      <c r="X5315">
        <f>IF($T5315="",N($X5314),IF(MATCH($T5315,$T$6:$T$6005,0)=ROW()-5,N($X5314)+1,N($X5314)))</f>
        <v/>
      </c>
      <c r="Z5315">
        <f>IF($V5315="","",IF($AA5315&gt;N($AA5314),$AA5315,""))</f>
        <v/>
      </c>
      <c r="AA5315">
        <f>IF($V5315="",N($AA5314),IF(MATCH($V5315,$V$6:$V$6005,0)=ROW()-5,N($AA5314)+1,N($AA5314)))</f>
        <v/>
      </c>
    </row>
    <row r="5316" ht="21" customHeight="1" s="66">
      <c r="A5316" s="56" t="n"/>
      <c r="B5316" s="57" t="n"/>
      <c r="C5316" s="57" t="n"/>
      <c r="D5316" s="57" t="n"/>
      <c r="E5316" s="56" t="n"/>
      <c r="F5316" s="57" t="n"/>
      <c r="G5316" s="57" t="n"/>
      <c r="H5316" s="56" t="n"/>
      <c r="I5316" s="56" t="n"/>
      <c r="J5316" s="58" t="n"/>
      <c r="K5316" s="58" t="n"/>
      <c r="L5316" s="13">
        <f>IF(OR($A5316="",AND($J5316="",$K5316="")),"",ROUND(N($J5316)-N($K5316),2))</f>
        <v/>
      </c>
      <c r="M5316" s="13">
        <f>IF(OR($A5316="",AND($J5316="",$K5316="")),"",MIN($J5316,$K5316))</f>
        <v/>
      </c>
      <c r="Q5316">
        <f>IF($A5316="","",$D5316&amp;"("&amp;SUBSTITUTE($E5316," ","")&amp;")")</f>
        <v/>
      </c>
      <c r="R5316">
        <f>IF($A5316="","",$B5316&amp;" - "&amp;$C5316)</f>
        <v/>
      </c>
      <c r="S5316">
        <f>IF($A5316="","",$R5316&amp;"|"&amp;$Q5316)</f>
        <v/>
      </c>
      <c r="T5316">
        <f>IF($A5316="","",$S5316&amp;"|"&amp;$F5316)</f>
        <v/>
      </c>
      <c r="U5316">
        <f>IF($A5316="","",$R5316&amp;"("&amp;$E5316&amp;")")</f>
        <v/>
      </c>
      <c r="V5316">
        <f>IF($A5316="","",$F5316&amp;"|"&amp;$U5316&amp;"|"&amp;$D5316)</f>
        <v/>
      </c>
      <c r="W5316">
        <f>IF($T5316="","",IF($X5316&gt;N($X5315),$X5316,""))</f>
        <v/>
      </c>
      <c r="X5316">
        <f>IF($T5316="",N($X5315),IF(MATCH($T5316,$T$6:$T$6005,0)=ROW()-5,N($X5315)+1,N($X5315)))</f>
        <v/>
      </c>
      <c r="Z5316">
        <f>IF($V5316="","",IF($AA5316&gt;N($AA5315),$AA5316,""))</f>
        <v/>
      </c>
      <c r="AA5316">
        <f>IF($V5316="",N($AA5315),IF(MATCH($V5316,$V$6:$V$6005,0)=ROW()-5,N($AA5315)+1,N($AA5315)))</f>
        <v/>
      </c>
    </row>
    <row r="5317" ht="21" customHeight="1" s="66">
      <c r="A5317" s="56" t="n"/>
      <c r="B5317" s="57" t="n"/>
      <c r="C5317" s="57" t="n"/>
      <c r="D5317" s="57" t="n"/>
      <c r="E5317" s="56" t="n"/>
      <c r="F5317" s="57" t="n"/>
      <c r="G5317" s="57" t="n"/>
      <c r="H5317" s="56" t="n"/>
      <c r="I5317" s="56" t="n"/>
      <c r="J5317" s="58" t="n"/>
      <c r="K5317" s="58" t="n"/>
      <c r="L5317" s="13">
        <f>IF(OR($A5317="",AND($J5317="",$K5317="")),"",ROUND(N($J5317)-N($K5317),2))</f>
        <v/>
      </c>
      <c r="M5317" s="13">
        <f>IF(OR($A5317="",AND($J5317="",$K5317="")),"",MIN($J5317,$K5317))</f>
        <v/>
      </c>
      <c r="Q5317">
        <f>IF($A5317="","",$D5317&amp;"("&amp;SUBSTITUTE($E5317," ","")&amp;")")</f>
        <v/>
      </c>
      <c r="R5317">
        <f>IF($A5317="","",$B5317&amp;" - "&amp;$C5317)</f>
        <v/>
      </c>
      <c r="S5317">
        <f>IF($A5317="","",$R5317&amp;"|"&amp;$Q5317)</f>
        <v/>
      </c>
      <c r="T5317">
        <f>IF($A5317="","",$S5317&amp;"|"&amp;$F5317)</f>
        <v/>
      </c>
      <c r="U5317">
        <f>IF($A5317="","",$R5317&amp;"("&amp;$E5317&amp;")")</f>
        <v/>
      </c>
      <c r="V5317">
        <f>IF($A5317="","",$F5317&amp;"|"&amp;$U5317&amp;"|"&amp;$D5317)</f>
        <v/>
      </c>
      <c r="W5317">
        <f>IF($T5317="","",IF($X5317&gt;N($X5316),$X5317,""))</f>
        <v/>
      </c>
      <c r="X5317">
        <f>IF($T5317="",N($X5316),IF(MATCH($T5317,$T$6:$T$6005,0)=ROW()-5,N($X5316)+1,N($X5316)))</f>
        <v/>
      </c>
      <c r="Z5317">
        <f>IF($V5317="","",IF($AA5317&gt;N($AA5316),$AA5317,""))</f>
        <v/>
      </c>
      <c r="AA5317">
        <f>IF($V5317="",N($AA5316),IF(MATCH($V5317,$V$6:$V$6005,0)=ROW()-5,N($AA5316)+1,N($AA5316)))</f>
        <v/>
      </c>
    </row>
    <row r="5318" ht="21" customHeight="1" s="66">
      <c r="A5318" s="56" t="n"/>
      <c r="B5318" s="57" t="n"/>
      <c r="C5318" s="57" t="n"/>
      <c r="D5318" s="57" t="n"/>
      <c r="E5318" s="56" t="n"/>
      <c r="F5318" s="57" t="n"/>
      <c r="G5318" s="57" t="n"/>
      <c r="H5318" s="56" t="n"/>
      <c r="I5318" s="56" t="n"/>
      <c r="J5318" s="58" t="n"/>
      <c r="K5318" s="58" t="n"/>
      <c r="L5318" s="13">
        <f>IF(OR($A5318="",AND($J5318="",$K5318="")),"",ROUND(N($J5318)-N($K5318),2))</f>
        <v/>
      </c>
      <c r="M5318" s="13">
        <f>IF(OR($A5318="",AND($J5318="",$K5318="")),"",MIN($J5318,$K5318))</f>
        <v/>
      </c>
      <c r="Q5318">
        <f>IF($A5318="","",$D5318&amp;"("&amp;SUBSTITUTE($E5318," ","")&amp;")")</f>
        <v/>
      </c>
      <c r="R5318">
        <f>IF($A5318="","",$B5318&amp;" - "&amp;$C5318)</f>
        <v/>
      </c>
      <c r="S5318">
        <f>IF($A5318="","",$R5318&amp;"|"&amp;$Q5318)</f>
        <v/>
      </c>
      <c r="T5318">
        <f>IF($A5318="","",$S5318&amp;"|"&amp;$F5318)</f>
        <v/>
      </c>
      <c r="U5318">
        <f>IF($A5318="","",$R5318&amp;"("&amp;$E5318&amp;")")</f>
        <v/>
      </c>
      <c r="V5318">
        <f>IF($A5318="","",$F5318&amp;"|"&amp;$U5318&amp;"|"&amp;$D5318)</f>
        <v/>
      </c>
      <c r="W5318">
        <f>IF($T5318="","",IF($X5318&gt;N($X5317),$X5318,""))</f>
        <v/>
      </c>
      <c r="X5318">
        <f>IF($T5318="",N($X5317),IF(MATCH($T5318,$T$6:$T$6005,0)=ROW()-5,N($X5317)+1,N($X5317)))</f>
        <v/>
      </c>
      <c r="Z5318">
        <f>IF($V5318="","",IF($AA5318&gt;N($AA5317),$AA5318,""))</f>
        <v/>
      </c>
      <c r="AA5318">
        <f>IF($V5318="",N($AA5317),IF(MATCH($V5318,$V$6:$V$6005,0)=ROW()-5,N($AA5317)+1,N($AA5317)))</f>
        <v/>
      </c>
    </row>
    <row r="5319" ht="21" customHeight="1" s="66">
      <c r="A5319" s="56" t="n"/>
      <c r="B5319" s="57" t="n"/>
      <c r="C5319" s="57" t="n"/>
      <c r="D5319" s="57" t="n"/>
      <c r="E5319" s="56" t="n"/>
      <c r="F5319" s="57" t="n"/>
      <c r="G5319" s="57" t="n"/>
      <c r="H5319" s="56" t="n"/>
      <c r="I5319" s="56" t="n"/>
      <c r="J5319" s="58" t="n"/>
      <c r="K5319" s="58" t="n"/>
      <c r="L5319" s="13">
        <f>IF(OR($A5319="",AND($J5319="",$K5319="")),"",ROUND(N($J5319)-N($K5319),2))</f>
        <v/>
      </c>
      <c r="M5319" s="13">
        <f>IF(OR($A5319="",AND($J5319="",$K5319="")),"",MIN($J5319,$K5319))</f>
        <v/>
      </c>
      <c r="Q5319">
        <f>IF($A5319="","",$D5319&amp;"("&amp;SUBSTITUTE($E5319," ","")&amp;")")</f>
        <v/>
      </c>
      <c r="R5319">
        <f>IF($A5319="","",$B5319&amp;" - "&amp;$C5319)</f>
        <v/>
      </c>
      <c r="S5319">
        <f>IF($A5319="","",$R5319&amp;"|"&amp;$Q5319)</f>
        <v/>
      </c>
      <c r="T5319">
        <f>IF($A5319="","",$S5319&amp;"|"&amp;$F5319)</f>
        <v/>
      </c>
      <c r="U5319">
        <f>IF($A5319="","",$R5319&amp;"("&amp;$E5319&amp;")")</f>
        <v/>
      </c>
      <c r="V5319">
        <f>IF($A5319="","",$F5319&amp;"|"&amp;$U5319&amp;"|"&amp;$D5319)</f>
        <v/>
      </c>
      <c r="W5319">
        <f>IF($T5319="","",IF($X5319&gt;N($X5318),$X5319,""))</f>
        <v/>
      </c>
      <c r="X5319">
        <f>IF($T5319="",N($X5318),IF(MATCH($T5319,$T$6:$T$6005,0)=ROW()-5,N($X5318)+1,N($X5318)))</f>
        <v/>
      </c>
      <c r="Z5319">
        <f>IF($V5319="","",IF($AA5319&gt;N($AA5318),$AA5319,""))</f>
        <v/>
      </c>
      <c r="AA5319">
        <f>IF($V5319="",N($AA5318),IF(MATCH($V5319,$V$6:$V$6005,0)=ROW()-5,N($AA5318)+1,N($AA5318)))</f>
        <v/>
      </c>
    </row>
    <row r="5320" ht="21" customHeight="1" s="66">
      <c r="A5320" s="56" t="n"/>
      <c r="B5320" s="57" t="n"/>
      <c r="C5320" s="57" t="n"/>
      <c r="D5320" s="57" t="n"/>
      <c r="E5320" s="56" t="n"/>
      <c r="F5320" s="57" t="n"/>
      <c r="G5320" s="57" t="n"/>
      <c r="H5320" s="56" t="n"/>
      <c r="I5320" s="56" t="n"/>
      <c r="J5320" s="58" t="n"/>
      <c r="K5320" s="58" t="n"/>
      <c r="L5320" s="13">
        <f>IF(OR($A5320="",AND($J5320="",$K5320="")),"",ROUND(N($J5320)-N($K5320),2))</f>
        <v/>
      </c>
      <c r="M5320" s="13">
        <f>IF(OR($A5320="",AND($J5320="",$K5320="")),"",MIN($J5320,$K5320))</f>
        <v/>
      </c>
      <c r="Q5320">
        <f>IF($A5320="","",$D5320&amp;"("&amp;SUBSTITUTE($E5320," ","")&amp;")")</f>
        <v/>
      </c>
      <c r="R5320">
        <f>IF($A5320="","",$B5320&amp;" - "&amp;$C5320)</f>
        <v/>
      </c>
      <c r="S5320">
        <f>IF($A5320="","",$R5320&amp;"|"&amp;$Q5320)</f>
        <v/>
      </c>
      <c r="T5320">
        <f>IF($A5320="","",$S5320&amp;"|"&amp;$F5320)</f>
        <v/>
      </c>
      <c r="U5320">
        <f>IF($A5320="","",$R5320&amp;"("&amp;$E5320&amp;")")</f>
        <v/>
      </c>
      <c r="V5320">
        <f>IF($A5320="","",$F5320&amp;"|"&amp;$U5320&amp;"|"&amp;$D5320)</f>
        <v/>
      </c>
      <c r="W5320">
        <f>IF($T5320="","",IF($X5320&gt;N($X5319),$X5320,""))</f>
        <v/>
      </c>
      <c r="X5320">
        <f>IF($T5320="",N($X5319),IF(MATCH($T5320,$T$6:$T$6005,0)=ROW()-5,N($X5319)+1,N($X5319)))</f>
        <v/>
      </c>
      <c r="Z5320">
        <f>IF($V5320="","",IF($AA5320&gt;N($AA5319),$AA5320,""))</f>
        <v/>
      </c>
      <c r="AA5320">
        <f>IF($V5320="",N($AA5319),IF(MATCH($V5320,$V$6:$V$6005,0)=ROW()-5,N($AA5319)+1,N($AA5319)))</f>
        <v/>
      </c>
    </row>
    <row r="5321" ht="21" customHeight="1" s="66">
      <c r="A5321" s="56" t="n"/>
      <c r="B5321" s="57" t="n"/>
      <c r="C5321" s="57" t="n"/>
      <c r="D5321" s="57" t="n"/>
      <c r="E5321" s="56" t="n"/>
      <c r="F5321" s="57" t="n"/>
      <c r="G5321" s="57" t="n"/>
      <c r="H5321" s="56" t="n"/>
      <c r="I5321" s="56" t="n"/>
      <c r="J5321" s="58" t="n"/>
      <c r="K5321" s="58" t="n"/>
      <c r="L5321" s="13">
        <f>IF(OR($A5321="",AND($J5321="",$K5321="")),"",ROUND(N($J5321)-N($K5321),2))</f>
        <v/>
      </c>
      <c r="M5321" s="13">
        <f>IF(OR($A5321="",AND($J5321="",$K5321="")),"",MIN($J5321,$K5321))</f>
        <v/>
      </c>
      <c r="Q5321">
        <f>IF($A5321="","",$D5321&amp;"("&amp;SUBSTITUTE($E5321," ","")&amp;")")</f>
        <v/>
      </c>
      <c r="R5321">
        <f>IF($A5321="","",$B5321&amp;" - "&amp;$C5321)</f>
        <v/>
      </c>
      <c r="S5321">
        <f>IF($A5321="","",$R5321&amp;"|"&amp;$Q5321)</f>
        <v/>
      </c>
      <c r="T5321">
        <f>IF($A5321="","",$S5321&amp;"|"&amp;$F5321)</f>
        <v/>
      </c>
      <c r="U5321">
        <f>IF($A5321="","",$R5321&amp;"("&amp;$E5321&amp;")")</f>
        <v/>
      </c>
      <c r="V5321">
        <f>IF($A5321="","",$F5321&amp;"|"&amp;$U5321&amp;"|"&amp;$D5321)</f>
        <v/>
      </c>
      <c r="W5321">
        <f>IF($T5321="","",IF($X5321&gt;N($X5320),$X5321,""))</f>
        <v/>
      </c>
      <c r="X5321">
        <f>IF($T5321="",N($X5320),IF(MATCH($T5321,$T$6:$T$6005,0)=ROW()-5,N($X5320)+1,N($X5320)))</f>
        <v/>
      </c>
      <c r="Z5321">
        <f>IF($V5321="","",IF($AA5321&gt;N($AA5320),$AA5321,""))</f>
        <v/>
      </c>
      <c r="AA5321">
        <f>IF($V5321="",N($AA5320),IF(MATCH($V5321,$V$6:$V$6005,0)=ROW()-5,N($AA5320)+1,N($AA5320)))</f>
        <v/>
      </c>
    </row>
    <row r="5322" ht="21" customHeight="1" s="66">
      <c r="A5322" s="56" t="n"/>
      <c r="B5322" s="57" t="n"/>
      <c r="C5322" s="57" t="n"/>
      <c r="D5322" s="57" t="n"/>
      <c r="E5322" s="56" t="n"/>
      <c r="F5322" s="57" t="n"/>
      <c r="G5322" s="57" t="n"/>
      <c r="H5322" s="56" t="n"/>
      <c r="I5322" s="56" t="n"/>
      <c r="J5322" s="58" t="n"/>
      <c r="K5322" s="58" t="n"/>
      <c r="L5322" s="13">
        <f>IF(OR($A5322="",AND($J5322="",$K5322="")),"",ROUND(N($J5322)-N($K5322),2))</f>
        <v/>
      </c>
      <c r="M5322" s="13">
        <f>IF(OR($A5322="",AND($J5322="",$K5322="")),"",MIN($J5322,$K5322))</f>
        <v/>
      </c>
      <c r="Q5322">
        <f>IF($A5322="","",$D5322&amp;"("&amp;SUBSTITUTE($E5322," ","")&amp;")")</f>
        <v/>
      </c>
      <c r="R5322">
        <f>IF($A5322="","",$B5322&amp;" - "&amp;$C5322)</f>
        <v/>
      </c>
      <c r="S5322">
        <f>IF($A5322="","",$R5322&amp;"|"&amp;$Q5322)</f>
        <v/>
      </c>
      <c r="T5322">
        <f>IF($A5322="","",$S5322&amp;"|"&amp;$F5322)</f>
        <v/>
      </c>
      <c r="U5322">
        <f>IF($A5322="","",$R5322&amp;"("&amp;$E5322&amp;")")</f>
        <v/>
      </c>
      <c r="V5322">
        <f>IF($A5322="","",$F5322&amp;"|"&amp;$U5322&amp;"|"&amp;$D5322)</f>
        <v/>
      </c>
      <c r="W5322">
        <f>IF($T5322="","",IF($X5322&gt;N($X5321),$X5322,""))</f>
        <v/>
      </c>
      <c r="X5322">
        <f>IF($T5322="",N($X5321),IF(MATCH($T5322,$T$6:$T$6005,0)=ROW()-5,N($X5321)+1,N($X5321)))</f>
        <v/>
      </c>
      <c r="Z5322">
        <f>IF($V5322="","",IF($AA5322&gt;N($AA5321),$AA5322,""))</f>
        <v/>
      </c>
      <c r="AA5322">
        <f>IF($V5322="",N($AA5321),IF(MATCH($V5322,$V$6:$V$6005,0)=ROW()-5,N($AA5321)+1,N($AA5321)))</f>
        <v/>
      </c>
    </row>
    <row r="5323" ht="21" customHeight="1" s="66">
      <c r="A5323" s="56" t="n"/>
      <c r="B5323" s="57" t="n"/>
      <c r="C5323" s="57" t="n"/>
      <c r="D5323" s="57" t="n"/>
      <c r="E5323" s="56" t="n"/>
      <c r="F5323" s="57" t="n"/>
      <c r="G5323" s="57" t="n"/>
      <c r="H5323" s="56" t="n"/>
      <c r="I5323" s="56" t="n"/>
      <c r="J5323" s="58" t="n"/>
      <c r="K5323" s="58" t="n"/>
      <c r="L5323" s="13">
        <f>IF(OR($A5323="",AND($J5323="",$K5323="")),"",ROUND(N($J5323)-N($K5323),2))</f>
        <v/>
      </c>
      <c r="M5323" s="13">
        <f>IF(OR($A5323="",AND($J5323="",$K5323="")),"",MIN($J5323,$K5323))</f>
        <v/>
      </c>
      <c r="Q5323">
        <f>IF($A5323="","",$D5323&amp;"("&amp;SUBSTITUTE($E5323," ","")&amp;")")</f>
        <v/>
      </c>
      <c r="R5323">
        <f>IF($A5323="","",$B5323&amp;" - "&amp;$C5323)</f>
        <v/>
      </c>
      <c r="S5323">
        <f>IF($A5323="","",$R5323&amp;"|"&amp;$Q5323)</f>
        <v/>
      </c>
      <c r="T5323">
        <f>IF($A5323="","",$S5323&amp;"|"&amp;$F5323)</f>
        <v/>
      </c>
      <c r="U5323">
        <f>IF($A5323="","",$R5323&amp;"("&amp;$E5323&amp;")")</f>
        <v/>
      </c>
      <c r="V5323">
        <f>IF($A5323="","",$F5323&amp;"|"&amp;$U5323&amp;"|"&amp;$D5323)</f>
        <v/>
      </c>
      <c r="W5323">
        <f>IF($T5323="","",IF($X5323&gt;N($X5322),$X5323,""))</f>
        <v/>
      </c>
      <c r="X5323">
        <f>IF($T5323="",N($X5322),IF(MATCH($T5323,$T$6:$T$6005,0)=ROW()-5,N($X5322)+1,N($X5322)))</f>
        <v/>
      </c>
      <c r="Z5323">
        <f>IF($V5323="","",IF($AA5323&gt;N($AA5322),$AA5323,""))</f>
        <v/>
      </c>
      <c r="AA5323">
        <f>IF($V5323="",N($AA5322),IF(MATCH($V5323,$V$6:$V$6005,0)=ROW()-5,N($AA5322)+1,N($AA5322)))</f>
        <v/>
      </c>
    </row>
    <row r="5324" ht="21" customHeight="1" s="66">
      <c r="A5324" s="56" t="n"/>
      <c r="B5324" s="57" t="n"/>
      <c r="C5324" s="57" t="n"/>
      <c r="D5324" s="57" t="n"/>
      <c r="E5324" s="56" t="n"/>
      <c r="F5324" s="57" t="n"/>
      <c r="G5324" s="57" t="n"/>
      <c r="H5324" s="56" t="n"/>
      <c r="I5324" s="56" t="n"/>
      <c r="J5324" s="58" t="n"/>
      <c r="K5324" s="58" t="n"/>
      <c r="L5324" s="13">
        <f>IF(OR($A5324="",AND($J5324="",$K5324="")),"",ROUND(N($J5324)-N($K5324),2))</f>
        <v/>
      </c>
      <c r="M5324" s="13">
        <f>IF(OR($A5324="",AND($J5324="",$K5324="")),"",MIN($J5324,$K5324))</f>
        <v/>
      </c>
      <c r="Q5324">
        <f>IF($A5324="","",$D5324&amp;"("&amp;SUBSTITUTE($E5324," ","")&amp;")")</f>
        <v/>
      </c>
      <c r="R5324">
        <f>IF($A5324="","",$B5324&amp;" - "&amp;$C5324)</f>
        <v/>
      </c>
      <c r="S5324">
        <f>IF($A5324="","",$R5324&amp;"|"&amp;$Q5324)</f>
        <v/>
      </c>
      <c r="T5324">
        <f>IF($A5324="","",$S5324&amp;"|"&amp;$F5324)</f>
        <v/>
      </c>
      <c r="U5324">
        <f>IF($A5324="","",$R5324&amp;"("&amp;$E5324&amp;")")</f>
        <v/>
      </c>
      <c r="V5324">
        <f>IF($A5324="","",$F5324&amp;"|"&amp;$U5324&amp;"|"&amp;$D5324)</f>
        <v/>
      </c>
      <c r="W5324">
        <f>IF($T5324="","",IF($X5324&gt;N($X5323),$X5324,""))</f>
        <v/>
      </c>
      <c r="X5324">
        <f>IF($T5324="",N($X5323),IF(MATCH($T5324,$T$6:$T$6005,0)=ROW()-5,N($X5323)+1,N($X5323)))</f>
        <v/>
      </c>
      <c r="Z5324">
        <f>IF($V5324="","",IF($AA5324&gt;N($AA5323),$AA5324,""))</f>
        <v/>
      </c>
      <c r="AA5324">
        <f>IF($V5324="",N($AA5323),IF(MATCH($V5324,$V$6:$V$6005,0)=ROW()-5,N($AA5323)+1,N($AA5323)))</f>
        <v/>
      </c>
    </row>
    <row r="5325" ht="21" customHeight="1" s="66">
      <c r="A5325" s="56" t="n"/>
      <c r="B5325" s="57" t="n"/>
      <c r="C5325" s="57" t="n"/>
      <c r="D5325" s="57" t="n"/>
      <c r="E5325" s="56" t="n"/>
      <c r="F5325" s="57" t="n"/>
      <c r="G5325" s="57" t="n"/>
      <c r="H5325" s="56" t="n"/>
      <c r="I5325" s="56" t="n"/>
      <c r="J5325" s="58" t="n"/>
      <c r="K5325" s="58" t="n"/>
      <c r="L5325" s="13">
        <f>IF(OR($A5325="",AND($J5325="",$K5325="")),"",ROUND(N($J5325)-N($K5325),2))</f>
        <v/>
      </c>
      <c r="M5325" s="13">
        <f>IF(OR($A5325="",AND($J5325="",$K5325="")),"",MIN($J5325,$K5325))</f>
        <v/>
      </c>
      <c r="Q5325">
        <f>IF($A5325="","",$D5325&amp;"("&amp;SUBSTITUTE($E5325," ","")&amp;")")</f>
        <v/>
      </c>
      <c r="R5325">
        <f>IF($A5325="","",$B5325&amp;" - "&amp;$C5325)</f>
        <v/>
      </c>
      <c r="S5325">
        <f>IF($A5325="","",$R5325&amp;"|"&amp;$Q5325)</f>
        <v/>
      </c>
      <c r="T5325">
        <f>IF($A5325="","",$S5325&amp;"|"&amp;$F5325)</f>
        <v/>
      </c>
      <c r="U5325">
        <f>IF($A5325="","",$R5325&amp;"("&amp;$E5325&amp;")")</f>
        <v/>
      </c>
      <c r="V5325">
        <f>IF($A5325="","",$F5325&amp;"|"&amp;$U5325&amp;"|"&amp;$D5325)</f>
        <v/>
      </c>
      <c r="W5325">
        <f>IF($T5325="","",IF($X5325&gt;N($X5324),$X5325,""))</f>
        <v/>
      </c>
      <c r="X5325">
        <f>IF($T5325="",N($X5324),IF(MATCH($T5325,$T$6:$T$6005,0)=ROW()-5,N($X5324)+1,N($X5324)))</f>
        <v/>
      </c>
      <c r="Z5325">
        <f>IF($V5325="","",IF($AA5325&gt;N($AA5324),$AA5325,""))</f>
        <v/>
      </c>
      <c r="AA5325">
        <f>IF($V5325="",N($AA5324),IF(MATCH($V5325,$V$6:$V$6005,0)=ROW()-5,N($AA5324)+1,N($AA5324)))</f>
        <v/>
      </c>
    </row>
    <row r="5326" ht="21" customHeight="1" s="66">
      <c r="A5326" s="56" t="n"/>
      <c r="B5326" s="57" t="n"/>
      <c r="C5326" s="57" t="n"/>
      <c r="D5326" s="57" t="n"/>
      <c r="E5326" s="56" t="n"/>
      <c r="F5326" s="57" t="n"/>
      <c r="G5326" s="57" t="n"/>
      <c r="H5326" s="56" t="n"/>
      <c r="I5326" s="56" t="n"/>
      <c r="J5326" s="58" t="n"/>
      <c r="K5326" s="58" t="n"/>
      <c r="L5326" s="13">
        <f>IF(OR($A5326="",AND($J5326="",$K5326="")),"",ROUND(N($J5326)-N($K5326),2))</f>
        <v/>
      </c>
      <c r="M5326" s="13">
        <f>IF(OR($A5326="",AND($J5326="",$K5326="")),"",MIN($J5326,$K5326))</f>
        <v/>
      </c>
      <c r="Q5326">
        <f>IF($A5326="","",$D5326&amp;"("&amp;SUBSTITUTE($E5326," ","")&amp;")")</f>
        <v/>
      </c>
      <c r="R5326">
        <f>IF($A5326="","",$B5326&amp;" - "&amp;$C5326)</f>
        <v/>
      </c>
      <c r="S5326">
        <f>IF($A5326="","",$R5326&amp;"|"&amp;$Q5326)</f>
        <v/>
      </c>
      <c r="T5326">
        <f>IF($A5326="","",$S5326&amp;"|"&amp;$F5326)</f>
        <v/>
      </c>
      <c r="U5326">
        <f>IF($A5326="","",$R5326&amp;"("&amp;$E5326&amp;")")</f>
        <v/>
      </c>
      <c r="V5326">
        <f>IF($A5326="","",$F5326&amp;"|"&amp;$U5326&amp;"|"&amp;$D5326)</f>
        <v/>
      </c>
      <c r="W5326">
        <f>IF($T5326="","",IF($X5326&gt;N($X5325),$X5326,""))</f>
        <v/>
      </c>
      <c r="X5326">
        <f>IF($T5326="",N($X5325),IF(MATCH($T5326,$T$6:$T$6005,0)=ROW()-5,N($X5325)+1,N($X5325)))</f>
        <v/>
      </c>
      <c r="Z5326">
        <f>IF($V5326="","",IF($AA5326&gt;N($AA5325),$AA5326,""))</f>
        <v/>
      </c>
      <c r="AA5326">
        <f>IF($V5326="",N($AA5325),IF(MATCH($V5326,$V$6:$V$6005,0)=ROW()-5,N($AA5325)+1,N($AA5325)))</f>
        <v/>
      </c>
    </row>
    <row r="5327" ht="21" customHeight="1" s="66">
      <c r="A5327" s="56" t="n"/>
      <c r="B5327" s="57" t="n"/>
      <c r="C5327" s="57" t="n"/>
      <c r="D5327" s="57" t="n"/>
      <c r="E5327" s="56" t="n"/>
      <c r="F5327" s="57" t="n"/>
      <c r="G5327" s="57" t="n"/>
      <c r="H5327" s="56" t="n"/>
      <c r="I5327" s="56" t="n"/>
      <c r="J5327" s="58" t="n"/>
      <c r="K5327" s="58" t="n"/>
      <c r="L5327" s="13">
        <f>IF(OR($A5327="",AND($J5327="",$K5327="")),"",ROUND(N($J5327)-N($K5327),2))</f>
        <v/>
      </c>
      <c r="M5327" s="13">
        <f>IF(OR($A5327="",AND($J5327="",$K5327="")),"",MIN($J5327,$K5327))</f>
        <v/>
      </c>
      <c r="Q5327">
        <f>IF($A5327="","",$D5327&amp;"("&amp;SUBSTITUTE($E5327," ","")&amp;")")</f>
        <v/>
      </c>
      <c r="R5327">
        <f>IF($A5327="","",$B5327&amp;" - "&amp;$C5327)</f>
        <v/>
      </c>
      <c r="S5327">
        <f>IF($A5327="","",$R5327&amp;"|"&amp;$Q5327)</f>
        <v/>
      </c>
      <c r="T5327">
        <f>IF($A5327="","",$S5327&amp;"|"&amp;$F5327)</f>
        <v/>
      </c>
      <c r="U5327">
        <f>IF($A5327="","",$R5327&amp;"("&amp;$E5327&amp;")")</f>
        <v/>
      </c>
      <c r="V5327">
        <f>IF($A5327="","",$F5327&amp;"|"&amp;$U5327&amp;"|"&amp;$D5327)</f>
        <v/>
      </c>
      <c r="W5327">
        <f>IF($T5327="","",IF($X5327&gt;N($X5326),$X5327,""))</f>
        <v/>
      </c>
      <c r="X5327">
        <f>IF($T5327="",N($X5326),IF(MATCH($T5327,$T$6:$T$6005,0)=ROW()-5,N($X5326)+1,N($X5326)))</f>
        <v/>
      </c>
      <c r="Z5327">
        <f>IF($V5327="","",IF($AA5327&gt;N($AA5326),$AA5327,""))</f>
        <v/>
      </c>
      <c r="AA5327">
        <f>IF($V5327="",N($AA5326),IF(MATCH($V5327,$V$6:$V$6005,0)=ROW()-5,N($AA5326)+1,N($AA5326)))</f>
        <v/>
      </c>
    </row>
    <row r="5328" ht="21" customHeight="1" s="66">
      <c r="A5328" s="56" t="n"/>
      <c r="B5328" s="57" t="n"/>
      <c r="C5328" s="57" t="n"/>
      <c r="D5328" s="57" t="n"/>
      <c r="E5328" s="56" t="n"/>
      <c r="F5328" s="57" t="n"/>
      <c r="G5328" s="57" t="n"/>
      <c r="H5328" s="56" t="n"/>
      <c r="I5328" s="56" t="n"/>
      <c r="J5328" s="58" t="n"/>
      <c r="K5328" s="58" t="n"/>
      <c r="L5328" s="13">
        <f>IF(OR($A5328="",AND($J5328="",$K5328="")),"",ROUND(N($J5328)-N($K5328),2))</f>
        <v/>
      </c>
      <c r="M5328" s="13">
        <f>IF(OR($A5328="",AND($J5328="",$K5328="")),"",MIN($J5328,$K5328))</f>
        <v/>
      </c>
      <c r="Q5328">
        <f>IF($A5328="","",$D5328&amp;"("&amp;SUBSTITUTE($E5328," ","")&amp;")")</f>
        <v/>
      </c>
      <c r="R5328">
        <f>IF($A5328="","",$B5328&amp;" - "&amp;$C5328)</f>
        <v/>
      </c>
      <c r="S5328">
        <f>IF($A5328="","",$R5328&amp;"|"&amp;$Q5328)</f>
        <v/>
      </c>
      <c r="T5328">
        <f>IF($A5328="","",$S5328&amp;"|"&amp;$F5328)</f>
        <v/>
      </c>
      <c r="U5328">
        <f>IF($A5328="","",$R5328&amp;"("&amp;$E5328&amp;")")</f>
        <v/>
      </c>
      <c r="V5328">
        <f>IF($A5328="","",$F5328&amp;"|"&amp;$U5328&amp;"|"&amp;$D5328)</f>
        <v/>
      </c>
      <c r="W5328">
        <f>IF($T5328="","",IF($X5328&gt;N($X5327),$X5328,""))</f>
        <v/>
      </c>
      <c r="X5328">
        <f>IF($T5328="",N($X5327),IF(MATCH($T5328,$T$6:$T$6005,0)=ROW()-5,N($X5327)+1,N($X5327)))</f>
        <v/>
      </c>
      <c r="Z5328">
        <f>IF($V5328="","",IF($AA5328&gt;N($AA5327),$AA5328,""))</f>
        <v/>
      </c>
      <c r="AA5328">
        <f>IF($V5328="",N($AA5327),IF(MATCH($V5328,$V$6:$V$6005,0)=ROW()-5,N($AA5327)+1,N($AA5327)))</f>
        <v/>
      </c>
    </row>
    <row r="5329" ht="21" customHeight="1" s="66">
      <c r="A5329" s="56" t="n"/>
      <c r="B5329" s="57" t="n"/>
      <c r="C5329" s="57" t="n"/>
      <c r="D5329" s="57" t="n"/>
      <c r="E5329" s="56" t="n"/>
      <c r="F5329" s="57" t="n"/>
      <c r="G5329" s="57" t="n"/>
      <c r="H5329" s="56" t="n"/>
      <c r="I5329" s="56" t="n"/>
      <c r="J5329" s="58" t="n"/>
      <c r="K5329" s="58" t="n"/>
      <c r="L5329" s="13">
        <f>IF(OR($A5329="",AND($J5329="",$K5329="")),"",ROUND(N($J5329)-N($K5329),2))</f>
        <v/>
      </c>
      <c r="M5329" s="13">
        <f>IF(OR($A5329="",AND($J5329="",$K5329="")),"",MIN($J5329,$K5329))</f>
        <v/>
      </c>
      <c r="Q5329">
        <f>IF($A5329="","",$D5329&amp;"("&amp;SUBSTITUTE($E5329," ","")&amp;")")</f>
        <v/>
      </c>
      <c r="R5329">
        <f>IF($A5329="","",$B5329&amp;" - "&amp;$C5329)</f>
        <v/>
      </c>
      <c r="S5329">
        <f>IF($A5329="","",$R5329&amp;"|"&amp;$Q5329)</f>
        <v/>
      </c>
      <c r="T5329">
        <f>IF($A5329="","",$S5329&amp;"|"&amp;$F5329)</f>
        <v/>
      </c>
      <c r="U5329">
        <f>IF($A5329="","",$R5329&amp;"("&amp;$E5329&amp;")")</f>
        <v/>
      </c>
      <c r="V5329">
        <f>IF($A5329="","",$F5329&amp;"|"&amp;$U5329&amp;"|"&amp;$D5329)</f>
        <v/>
      </c>
      <c r="W5329">
        <f>IF($T5329="","",IF($X5329&gt;N($X5328),$X5329,""))</f>
        <v/>
      </c>
      <c r="X5329">
        <f>IF($T5329="",N($X5328),IF(MATCH($T5329,$T$6:$T$6005,0)=ROW()-5,N($X5328)+1,N($X5328)))</f>
        <v/>
      </c>
      <c r="Z5329">
        <f>IF($V5329="","",IF($AA5329&gt;N($AA5328),$AA5329,""))</f>
        <v/>
      </c>
      <c r="AA5329">
        <f>IF($V5329="",N($AA5328),IF(MATCH($V5329,$V$6:$V$6005,0)=ROW()-5,N($AA5328)+1,N($AA5328)))</f>
        <v/>
      </c>
    </row>
    <row r="5330" ht="21" customHeight="1" s="66">
      <c r="A5330" s="56" t="n"/>
      <c r="B5330" s="57" t="n"/>
      <c r="C5330" s="57" t="n"/>
      <c r="D5330" s="57" t="n"/>
      <c r="E5330" s="56" t="n"/>
      <c r="F5330" s="57" t="n"/>
      <c r="G5330" s="57" t="n"/>
      <c r="H5330" s="56" t="n"/>
      <c r="I5330" s="56" t="n"/>
      <c r="J5330" s="58" t="n"/>
      <c r="K5330" s="58" t="n"/>
      <c r="L5330" s="13">
        <f>IF(OR($A5330="",AND($J5330="",$K5330="")),"",ROUND(N($J5330)-N($K5330),2))</f>
        <v/>
      </c>
      <c r="M5330" s="13">
        <f>IF(OR($A5330="",AND($J5330="",$K5330="")),"",MIN($J5330,$K5330))</f>
        <v/>
      </c>
      <c r="Q5330">
        <f>IF($A5330="","",$D5330&amp;"("&amp;SUBSTITUTE($E5330," ","")&amp;")")</f>
        <v/>
      </c>
      <c r="R5330">
        <f>IF($A5330="","",$B5330&amp;" - "&amp;$C5330)</f>
        <v/>
      </c>
      <c r="S5330">
        <f>IF($A5330="","",$R5330&amp;"|"&amp;$Q5330)</f>
        <v/>
      </c>
      <c r="T5330">
        <f>IF($A5330="","",$S5330&amp;"|"&amp;$F5330)</f>
        <v/>
      </c>
      <c r="U5330">
        <f>IF($A5330="","",$R5330&amp;"("&amp;$E5330&amp;")")</f>
        <v/>
      </c>
      <c r="V5330">
        <f>IF($A5330="","",$F5330&amp;"|"&amp;$U5330&amp;"|"&amp;$D5330)</f>
        <v/>
      </c>
      <c r="W5330">
        <f>IF($T5330="","",IF($X5330&gt;N($X5329),$X5330,""))</f>
        <v/>
      </c>
      <c r="X5330">
        <f>IF($T5330="",N($X5329),IF(MATCH($T5330,$T$6:$T$6005,0)=ROW()-5,N($X5329)+1,N($X5329)))</f>
        <v/>
      </c>
      <c r="Z5330">
        <f>IF($V5330="","",IF($AA5330&gt;N($AA5329),$AA5330,""))</f>
        <v/>
      </c>
      <c r="AA5330">
        <f>IF($V5330="",N($AA5329),IF(MATCH($V5330,$V$6:$V$6005,0)=ROW()-5,N($AA5329)+1,N($AA5329)))</f>
        <v/>
      </c>
    </row>
    <row r="5331" ht="21" customHeight="1" s="66">
      <c r="A5331" s="56" t="n"/>
      <c r="B5331" s="57" t="n"/>
      <c r="C5331" s="57" t="n"/>
      <c r="D5331" s="57" t="n"/>
      <c r="E5331" s="56" t="n"/>
      <c r="F5331" s="57" t="n"/>
      <c r="G5331" s="57" t="n"/>
      <c r="H5331" s="56" t="n"/>
      <c r="I5331" s="56" t="n"/>
      <c r="J5331" s="58" t="n"/>
      <c r="K5331" s="58" t="n"/>
      <c r="L5331" s="13">
        <f>IF(OR($A5331="",AND($J5331="",$K5331="")),"",ROUND(N($J5331)-N($K5331),2))</f>
        <v/>
      </c>
      <c r="M5331" s="13">
        <f>IF(OR($A5331="",AND($J5331="",$K5331="")),"",MIN($J5331,$K5331))</f>
        <v/>
      </c>
      <c r="Q5331">
        <f>IF($A5331="","",$D5331&amp;"("&amp;SUBSTITUTE($E5331," ","")&amp;")")</f>
        <v/>
      </c>
      <c r="R5331">
        <f>IF($A5331="","",$B5331&amp;" - "&amp;$C5331)</f>
        <v/>
      </c>
      <c r="S5331">
        <f>IF($A5331="","",$R5331&amp;"|"&amp;$Q5331)</f>
        <v/>
      </c>
      <c r="T5331">
        <f>IF($A5331="","",$S5331&amp;"|"&amp;$F5331)</f>
        <v/>
      </c>
      <c r="U5331">
        <f>IF($A5331="","",$R5331&amp;"("&amp;$E5331&amp;")")</f>
        <v/>
      </c>
      <c r="V5331">
        <f>IF($A5331="","",$F5331&amp;"|"&amp;$U5331&amp;"|"&amp;$D5331)</f>
        <v/>
      </c>
      <c r="W5331">
        <f>IF($T5331="","",IF($X5331&gt;N($X5330),$X5331,""))</f>
        <v/>
      </c>
      <c r="X5331">
        <f>IF($T5331="",N($X5330),IF(MATCH($T5331,$T$6:$T$6005,0)=ROW()-5,N($X5330)+1,N($X5330)))</f>
        <v/>
      </c>
      <c r="Z5331">
        <f>IF($V5331="","",IF($AA5331&gt;N($AA5330),$AA5331,""))</f>
        <v/>
      </c>
      <c r="AA5331">
        <f>IF($V5331="",N($AA5330),IF(MATCH($V5331,$V$6:$V$6005,0)=ROW()-5,N($AA5330)+1,N($AA5330)))</f>
        <v/>
      </c>
    </row>
    <row r="5332" ht="21" customHeight="1" s="66">
      <c r="A5332" s="56" t="n"/>
      <c r="B5332" s="57" t="n"/>
      <c r="C5332" s="57" t="n"/>
      <c r="D5332" s="57" t="n"/>
      <c r="E5332" s="56" t="n"/>
      <c r="F5332" s="57" t="n"/>
      <c r="G5332" s="57" t="n"/>
      <c r="H5332" s="56" t="n"/>
      <c r="I5332" s="56" t="n"/>
      <c r="J5332" s="58" t="n"/>
      <c r="K5332" s="58" t="n"/>
      <c r="L5332" s="13">
        <f>IF(OR($A5332="",AND($J5332="",$K5332="")),"",ROUND(N($J5332)-N($K5332),2))</f>
        <v/>
      </c>
      <c r="M5332" s="13">
        <f>IF(OR($A5332="",AND($J5332="",$K5332="")),"",MIN($J5332,$K5332))</f>
        <v/>
      </c>
      <c r="Q5332">
        <f>IF($A5332="","",$D5332&amp;"("&amp;SUBSTITUTE($E5332," ","")&amp;")")</f>
        <v/>
      </c>
      <c r="R5332">
        <f>IF($A5332="","",$B5332&amp;" - "&amp;$C5332)</f>
        <v/>
      </c>
      <c r="S5332">
        <f>IF($A5332="","",$R5332&amp;"|"&amp;$Q5332)</f>
        <v/>
      </c>
      <c r="T5332">
        <f>IF($A5332="","",$S5332&amp;"|"&amp;$F5332)</f>
        <v/>
      </c>
      <c r="U5332">
        <f>IF($A5332="","",$R5332&amp;"("&amp;$E5332&amp;")")</f>
        <v/>
      </c>
      <c r="V5332">
        <f>IF($A5332="","",$F5332&amp;"|"&amp;$U5332&amp;"|"&amp;$D5332)</f>
        <v/>
      </c>
      <c r="W5332">
        <f>IF($T5332="","",IF($X5332&gt;N($X5331),$X5332,""))</f>
        <v/>
      </c>
      <c r="X5332">
        <f>IF($T5332="",N($X5331),IF(MATCH($T5332,$T$6:$T$6005,0)=ROW()-5,N($X5331)+1,N($X5331)))</f>
        <v/>
      </c>
      <c r="Z5332">
        <f>IF($V5332="","",IF($AA5332&gt;N($AA5331),$AA5332,""))</f>
        <v/>
      </c>
      <c r="AA5332">
        <f>IF($V5332="",N($AA5331),IF(MATCH($V5332,$V$6:$V$6005,0)=ROW()-5,N($AA5331)+1,N($AA5331)))</f>
        <v/>
      </c>
    </row>
    <row r="5333" ht="21" customHeight="1" s="66">
      <c r="A5333" s="56" t="n"/>
      <c r="B5333" s="57" t="n"/>
      <c r="C5333" s="57" t="n"/>
      <c r="D5333" s="57" t="n"/>
      <c r="E5333" s="56" t="n"/>
      <c r="F5333" s="57" t="n"/>
      <c r="G5333" s="57" t="n"/>
      <c r="H5333" s="56" t="n"/>
      <c r="I5333" s="56" t="n"/>
      <c r="J5333" s="58" t="n"/>
      <c r="K5333" s="58" t="n"/>
      <c r="L5333" s="13">
        <f>IF(OR($A5333="",AND($J5333="",$K5333="")),"",ROUND(N($J5333)-N($K5333),2))</f>
        <v/>
      </c>
      <c r="M5333" s="13">
        <f>IF(OR($A5333="",AND($J5333="",$K5333="")),"",MIN($J5333,$K5333))</f>
        <v/>
      </c>
      <c r="Q5333">
        <f>IF($A5333="","",$D5333&amp;"("&amp;SUBSTITUTE($E5333," ","")&amp;")")</f>
        <v/>
      </c>
      <c r="R5333">
        <f>IF($A5333="","",$B5333&amp;" - "&amp;$C5333)</f>
        <v/>
      </c>
      <c r="S5333">
        <f>IF($A5333="","",$R5333&amp;"|"&amp;$Q5333)</f>
        <v/>
      </c>
      <c r="T5333">
        <f>IF($A5333="","",$S5333&amp;"|"&amp;$F5333)</f>
        <v/>
      </c>
      <c r="U5333">
        <f>IF($A5333="","",$R5333&amp;"("&amp;$E5333&amp;")")</f>
        <v/>
      </c>
      <c r="V5333">
        <f>IF($A5333="","",$F5333&amp;"|"&amp;$U5333&amp;"|"&amp;$D5333)</f>
        <v/>
      </c>
      <c r="W5333">
        <f>IF($T5333="","",IF($X5333&gt;N($X5332),$X5333,""))</f>
        <v/>
      </c>
      <c r="X5333">
        <f>IF($T5333="",N($X5332),IF(MATCH($T5333,$T$6:$T$6005,0)=ROW()-5,N($X5332)+1,N($X5332)))</f>
        <v/>
      </c>
      <c r="Z5333">
        <f>IF($V5333="","",IF($AA5333&gt;N($AA5332),$AA5333,""))</f>
        <v/>
      </c>
      <c r="AA5333">
        <f>IF($V5333="",N($AA5332),IF(MATCH($V5333,$V$6:$V$6005,0)=ROW()-5,N($AA5332)+1,N($AA5332)))</f>
        <v/>
      </c>
    </row>
    <row r="5334" ht="21" customHeight="1" s="66">
      <c r="A5334" s="56" t="n"/>
      <c r="B5334" s="57" t="n"/>
      <c r="C5334" s="57" t="n"/>
      <c r="D5334" s="57" t="n"/>
      <c r="E5334" s="56" t="n"/>
      <c r="F5334" s="57" t="n"/>
      <c r="G5334" s="57" t="n"/>
      <c r="H5334" s="56" t="n"/>
      <c r="I5334" s="56" t="n"/>
      <c r="J5334" s="58" t="n"/>
      <c r="K5334" s="58" t="n"/>
      <c r="L5334" s="13">
        <f>IF(OR($A5334="",AND($J5334="",$K5334="")),"",ROUND(N($J5334)-N($K5334),2))</f>
        <v/>
      </c>
      <c r="M5334" s="13">
        <f>IF(OR($A5334="",AND($J5334="",$K5334="")),"",MIN($J5334,$K5334))</f>
        <v/>
      </c>
      <c r="Q5334">
        <f>IF($A5334="","",$D5334&amp;"("&amp;SUBSTITUTE($E5334," ","")&amp;")")</f>
        <v/>
      </c>
      <c r="R5334">
        <f>IF($A5334="","",$B5334&amp;" - "&amp;$C5334)</f>
        <v/>
      </c>
      <c r="S5334">
        <f>IF($A5334="","",$R5334&amp;"|"&amp;$Q5334)</f>
        <v/>
      </c>
      <c r="T5334">
        <f>IF($A5334="","",$S5334&amp;"|"&amp;$F5334)</f>
        <v/>
      </c>
      <c r="U5334">
        <f>IF($A5334="","",$R5334&amp;"("&amp;$E5334&amp;")")</f>
        <v/>
      </c>
      <c r="V5334">
        <f>IF($A5334="","",$F5334&amp;"|"&amp;$U5334&amp;"|"&amp;$D5334)</f>
        <v/>
      </c>
      <c r="W5334">
        <f>IF($T5334="","",IF($X5334&gt;N($X5333),$X5334,""))</f>
        <v/>
      </c>
      <c r="X5334">
        <f>IF($T5334="",N($X5333),IF(MATCH($T5334,$T$6:$T$6005,0)=ROW()-5,N($X5333)+1,N($X5333)))</f>
        <v/>
      </c>
      <c r="Z5334">
        <f>IF($V5334="","",IF($AA5334&gt;N($AA5333),$AA5334,""))</f>
        <v/>
      </c>
      <c r="AA5334">
        <f>IF($V5334="",N($AA5333),IF(MATCH($V5334,$V$6:$V$6005,0)=ROW()-5,N($AA5333)+1,N($AA5333)))</f>
        <v/>
      </c>
    </row>
    <row r="5335" ht="21" customHeight="1" s="66">
      <c r="A5335" s="56" t="n"/>
      <c r="B5335" s="57" t="n"/>
      <c r="C5335" s="57" t="n"/>
      <c r="D5335" s="57" t="n"/>
      <c r="E5335" s="56" t="n"/>
      <c r="F5335" s="57" t="n"/>
      <c r="G5335" s="57" t="n"/>
      <c r="H5335" s="56" t="n"/>
      <c r="I5335" s="56" t="n"/>
      <c r="J5335" s="58" t="n"/>
      <c r="K5335" s="58" t="n"/>
      <c r="L5335" s="13">
        <f>IF(OR($A5335="",AND($J5335="",$K5335="")),"",ROUND(N($J5335)-N($K5335),2))</f>
        <v/>
      </c>
      <c r="M5335" s="13">
        <f>IF(OR($A5335="",AND($J5335="",$K5335="")),"",MIN($J5335,$K5335))</f>
        <v/>
      </c>
      <c r="Q5335">
        <f>IF($A5335="","",$D5335&amp;"("&amp;SUBSTITUTE($E5335," ","")&amp;")")</f>
        <v/>
      </c>
      <c r="R5335">
        <f>IF($A5335="","",$B5335&amp;" - "&amp;$C5335)</f>
        <v/>
      </c>
      <c r="S5335">
        <f>IF($A5335="","",$R5335&amp;"|"&amp;$Q5335)</f>
        <v/>
      </c>
      <c r="T5335">
        <f>IF($A5335="","",$S5335&amp;"|"&amp;$F5335)</f>
        <v/>
      </c>
      <c r="U5335">
        <f>IF($A5335="","",$R5335&amp;"("&amp;$E5335&amp;")")</f>
        <v/>
      </c>
      <c r="V5335">
        <f>IF($A5335="","",$F5335&amp;"|"&amp;$U5335&amp;"|"&amp;$D5335)</f>
        <v/>
      </c>
      <c r="W5335">
        <f>IF($T5335="","",IF($X5335&gt;N($X5334),$X5335,""))</f>
        <v/>
      </c>
      <c r="X5335">
        <f>IF($T5335="",N($X5334),IF(MATCH($T5335,$T$6:$T$6005,0)=ROW()-5,N($X5334)+1,N($X5334)))</f>
        <v/>
      </c>
      <c r="Z5335">
        <f>IF($V5335="","",IF($AA5335&gt;N($AA5334),$AA5335,""))</f>
        <v/>
      </c>
      <c r="AA5335">
        <f>IF($V5335="",N($AA5334),IF(MATCH($V5335,$V$6:$V$6005,0)=ROW()-5,N($AA5334)+1,N($AA5334)))</f>
        <v/>
      </c>
    </row>
    <row r="5336" ht="21" customHeight="1" s="66">
      <c r="A5336" s="56" t="n"/>
      <c r="B5336" s="57" t="n"/>
      <c r="C5336" s="57" t="n"/>
      <c r="D5336" s="57" t="n"/>
      <c r="E5336" s="56" t="n"/>
      <c r="F5336" s="57" t="n"/>
      <c r="G5336" s="57" t="n"/>
      <c r="H5336" s="56" t="n"/>
      <c r="I5336" s="56" t="n"/>
      <c r="J5336" s="58" t="n"/>
      <c r="K5336" s="58" t="n"/>
      <c r="L5336" s="13">
        <f>IF(OR($A5336="",AND($J5336="",$K5336="")),"",ROUND(N($J5336)-N($K5336),2))</f>
        <v/>
      </c>
      <c r="M5336" s="13">
        <f>IF(OR($A5336="",AND($J5336="",$K5336="")),"",MIN($J5336,$K5336))</f>
        <v/>
      </c>
      <c r="Q5336">
        <f>IF($A5336="","",$D5336&amp;"("&amp;SUBSTITUTE($E5336," ","")&amp;")")</f>
        <v/>
      </c>
      <c r="R5336">
        <f>IF($A5336="","",$B5336&amp;" - "&amp;$C5336)</f>
        <v/>
      </c>
      <c r="S5336">
        <f>IF($A5336="","",$R5336&amp;"|"&amp;$Q5336)</f>
        <v/>
      </c>
      <c r="T5336">
        <f>IF($A5336="","",$S5336&amp;"|"&amp;$F5336)</f>
        <v/>
      </c>
      <c r="U5336">
        <f>IF($A5336="","",$R5336&amp;"("&amp;$E5336&amp;")")</f>
        <v/>
      </c>
      <c r="V5336">
        <f>IF($A5336="","",$F5336&amp;"|"&amp;$U5336&amp;"|"&amp;$D5336)</f>
        <v/>
      </c>
      <c r="W5336">
        <f>IF($T5336="","",IF($X5336&gt;N($X5335),$X5336,""))</f>
        <v/>
      </c>
      <c r="X5336">
        <f>IF($T5336="",N($X5335),IF(MATCH($T5336,$T$6:$T$6005,0)=ROW()-5,N($X5335)+1,N($X5335)))</f>
        <v/>
      </c>
      <c r="Z5336">
        <f>IF($V5336="","",IF($AA5336&gt;N($AA5335),$AA5336,""))</f>
        <v/>
      </c>
      <c r="AA5336">
        <f>IF($V5336="",N($AA5335),IF(MATCH($V5336,$V$6:$V$6005,0)=ROW()-5,N($AA5335)+1,N($AA5335)))</f>
        <v/>
      </c>
    </row>
    <row r="5337" ht="21" customHeight="1" s="66">
      <c r="A5337" s="56" t="n"/>
      <c r="B5337" s="57" t="n"/>
      <c r="C5337" s="57" t="n"/>
      <c r="D5337" s="57" t="n"/>
      <c r="E5337" s="56" t="n"/>
      <c r="F5337" s="57" t="n"/>
      <c r="G5337" s="57" t="n"/>
      <c r="H5337" s="56" t="n"/>
      <c r="I5337" s="56" t="n"/>
      <c r="J5337" s="58" t="n"/>
      <c r="K5337" s="58" t="n"/>
      <c r="L5337" s="13">
        <f>IF(OR($A5337="",AND($J5337="",$K5337="")),"",ROUND(N($J5337)-N($K5337),2))</f>
        <v/>
      </c>
      <c r="M5337" s="13">
        <f>IF(OR($A5337="",AND($J5337="",$K5337="")),"",MIN($J5337,$K5337))</f>
        <v/>
      </c>
      <c r="Q5337">
        <f>IF($A5337="","",$D5337&amp;"("&amp;SUBSTITUTE($E5337," ","")&amp;")")</f>
        <v/>
      </c>
      <c r="R5337">
        <f>IF($A5337="","",$B5337&amp;" - "&amp;$C5337)</f>
        <v/>
      </c>
      <c r="S5337">
        <f>IF($A5337="","",$R5337&amp;"|"&amp;$Q5337)</f>
        <v/>
      </c>
      <c r="T5337">
        <f>IF($A5337="","",$S5337&amp;"|"&amp;$F5337)</f>
        <v/>
      </c>
      <c r="U5337">
        <f>IF($A5337="","",$R5337&amp;"("&amp;$E5337&amp;")")</f>
        <v/>
      </c>
      <c r="V5337">
        <f>IF($A5337="","",$F5337&amp;"|"&amp;$U5337&amp;"|"&amp;$D5337)</f>
        <v/>
      </c>
      <c r="W5337">
        <f>IF($T5337="","",IF($X5337&gt;N($X5336),$X5337,""))</f>
        <v/>
      </c>
      <c r="X5337">
        <f>IF($T5337="",N($X5336),IF(MATCH($T5337,$T$6:$T$6005,0)=ROW()-5,N($X5336)+1,N($X5336)))</f>
        <v/>
      </c>
      <c r="Z5337">
        <f>IF($V5337="","",IF($AA5337&gt;N($AA5336),$AA5337,""))</f>
        <v/>
      </c>
      <c r="AA5337">
        <f>IF($V5337="",N($AA5336),IF(MATCH($V5337,$V$6:$V$6005,0)=ROW()-5,N($AA5336)+1,N($AA5336)))</f>
        <v/>
      </c>
    </row>
    <row r="5338" ht="21" customHeight="1" s="66">
      <c r="A5338" s="56" t="n"/>
      <c r="B5338" s="57" t="n"/>
      <c r="C5338" s="57" t="n"/>
      <c r="D5338" s="57" t="n"/>
      <c r="E5338" s="56" t="n"/>
      <c r="F5338" s="57" t="n"/>
      <c r="G5338" s="57" t="n"/>
      <c r="H5338" s="56" t="n"/>
      <c r="I5338" s="56" t="n"/>
      <c r="J5338" s="58" t="n"/>
      <c r="K5338" s="58" t="n"/>
      <c r="L5338" s="13">
        <f>IF(OR($A5338="",AND($J5338="",$K5338="")),"",ROUND(N($J5338)-N($K5338),2))</f>
        <v/>
      </c>
      <c r="M5338" s="13">
        <f>IF(OR($A5338="",AND($J5338="",$K5338="")),"",MIN($J5338,$K5338))</f>
        <v/>
      </c>
      <c r="Q5338">
        <f>IF($A5338="","",$D5338&amp;"("&amp;SUBSTITUTE($E5338," ","")&amp;")")</f>
        <v/>
      </c>
      <c r="R5338">
        <f>IF($A5338="","",$B5338&amp;" - "&amp;$C5338)</f>
        <v/>
      </c>
      <c r="S5338">
        <f>IF($A5338="","",$R5338&amp;"|"&amp;$Q5338)</f>
        <v/>
      </c>
      <c r="T5338">
        <f>IF($A5338="","",$S5338&amp;"|"&amp;$F5338)</f>
        <v/>
      </c>
      <c r="U5338">
        <f>IF($A5338="","",$R5338&amp;"("&amp;$E5338&amp;")")</f>
        <v/>
      </c>
      <c r="V5338">
        <f>IF($A5338="","",$F5338&amp;"|"&amp;$U5338&amp;"|"&amp;$D5338)</f>
        <v/>
      </c>
      <c r="W5338">
        <f>IF($T5338="","",IF($X5338&gt;N($X5337),$X5338,""))</f>
        <v/>
      </c>
      <c r="X5338">
        <f>IF($T5338="",N($X5337),IF(MATCH($T5338,$T$6:$T$6005,0)=ROW()-5,N($X5337)+1,N($X5337)))</f>
        <v/>
      </c>
      <c r="Z5338">
        <f>IF($V5338="","",IF($AA5338&gt;N($AA5337),$AA5338,""))</f>
        <v/>
      </c>
      <c r="AA5338">
        <f>IF($V5338="",N($AA5337),IF(MATCH($V5338,$V$6:$V$6005,0)=ROW()-5,N($AA5337)+1,N($AA5337)))</f>
        <v/>
      </c>
    </row>
    <row r="5339" ht="21" customHeight="1" s="66">
      <c r="A5339" s="56" t="n"/>
      <c r="B5339" s="57" t="n"/>
      <c r="C5339" s="57" t="n"/>
      <c r="D5339" s="57" t="n"/>
      <c r="E5339" s="56" t="n"/>
      <c r="F5339" s="57" t="n"/>
      <c r="G5339" s="57" t="n"/>
      <c r="H5339" s="56" t="n"/>
      <c r="I5339" s="56" t="n"/>
      <c r="J5339" s="58" t="n"/>
      <c r="K5339" s="58" t="n"/>
      <c r="L5339" s="13">
        <f>IF(OR($A5339="",AND($J5339="",$K5339="")),"",ROUND(N($J5339)-N($K5339),2))</f>
        <v/>
      </c>
      <c r="M5339" s="13">
        <f>IF(OR($A5339="",AND($J5339="",$K5339="")),"",MIN($J5339,$K5339))</f>
        <v/>
      </c>
      <c r="Q5339">
        <f>IF($A5339="","",$D5339&amp;"("&amp;SUBSTITUTE($E5339," ","")&amp;")")</f>
        <v/>
      </c>
      <c r="R5339">
        <f>IF($A5339="","",$B5339&amp;" - "&amp;$C5339)</f>
        <v/>
      </c>
      <c r="S5339">
        <f>IF($A5339="","",$R5339&amp;"|"&amp;$Q5339)</f>
        <v/>
      </c>
      <c r="T5339">
        <f>IF($A5339="","",$S5339&amp;"|"&amp;$F5339)</f>
        <v/>
      </c>
      <c r="U5339">
        <f>IF($A5339="","",$R5339&amp;"("&amp;$E5339&amp;")")</f>
        <v/>
      </c>
      <c r="V5339">
        <f>IF($A5339="","",$F5339&amp;"|"&amp;$U5339&amp;"|"&amp;$D5339)</f>
        <v/>
      </c>
      <c r="W5339">
        <f>IF($T5339="","",IF($X5339&gt;N($X5338),$X5339,""))</f>
        <v/>
      </c>
      <c r="X5339">
        <f>IF($T5339="",N($X5338),IF(MATCH($T5339,$T$6:$T$6005,0)=ROW()-5,N($X5338)+1,N($X5338)))</f>
        <v/>
      </c>
      <c r="Z5339">
        <f>IF($V5339="","",IF($AA5339&gt;N($AA5338),$AA5339,""))</f>
        <v/>
      </c>
      <c r="AA5339">
        <f>IF($V5339="",N($AA5338),IF(MATCH($V5339,$V$6:$V$6005,0)=ROW()-5,N($AA5338)+1,N($AA5338)))</f>
        <v/>
      </c>
    </row>
    <row r="5340" ht="21" customHeight="1" s="66">
      <c r="A5340" s="56" t="n"/>
      <c r="B5340" s="57" t="n"/>
      <c r="C5340" s="57" t="n"/>
      <c r="D5340" s="57" t="n"/>
      <c r="E5340" s="56" t="n"/>
      <c r="F5340" s="57" t="n"/>
      <c r="G5340" s="57" t="n"/>
      <c r="H5340" s="56" t="n"/>
      <c r="I5340" s="56" t="n"/>
      <c r="J5340" s="58" t="n"/>
      <c r="K5340" s="58" t="n"/>
      <c r="L5340" s="13">
        <f>IF(OR($A5340="",AND($J5340="",$K5340="")),"",ROUND(N($J5340)-N($K5340),2))</f>
        <v/>
      </c>
      <c r="M5340" s="13">
        <f>IF(OR($A5340="",AND($J5340="",$K5340="")),"",MIN($J5340,$K5340))</f>
        <v/>
      </c>
      <c r="Q5340">
        <f>IF($A5340="","",$D5340&amp;"("&amp;SUBSTITUTE($E5340," ","")&amp;")")</f>
        <v/>
      </c>
      <c r="R5340">
        <f>IF($A5340="","",$B5340&amp;" - "&amp;$C5340)</f>
        <v/>
      </c>
      <c r="S5340">
        <f>IF($A5340="","",$R5340&amp;"|"&amp;$Q5340)</f>
        <v/>
      </c>
      <c r="T5340">
        <f>IF($A5340="","",$S5340&amp;"|"&amp;$F5340)</f>
        <v/>
      </c>
      <c r="U5340">
        <f>IF($A5340="","",$R5340&amp;"("&amp;$E5340&amp;")")</f>
        <v/>
      </c>
      <c r="V5340">
        <f>IF($A5340="","",$F5340&amp;"|"&amp;$U5340&amp;"|"&amp;$D5340)</f>
        <v/>
      </c>
      <c r="W5340">
        <f>IF($T5340="","",IF($X5340&gt;N($X5339),$X5340,""))</f>
        <v/>
      </c>
      <c r="X5340">
        <f>IF($T5340="",N($X5339),IF(MATCH($T5340,$T$6:$T$6005,0)=ROW()-5,N($X5339)+1,N($X5339)))</f>
        <v/>
      </c>
      <c r="Z5340">
        <f>IF($V5340="","",IF($AA5340&gt;N($AA5339),$AA5340,""))</f>
        <v/>
      </c>
      <c r="AA5340">
        <f>IF($V5340="",N($AA5339),IF(MATCH($V5340,$V$6:$V$6005,0)=ROW()-5,N($AA5339)+1,N($AA5339)))</f>
        <v/>
      </c>
    </row>
    <row r="5341" ht="21" customHeight="1" s="66">
      <c r="A5341" s="56" t="n"/>
      <c r="B5341" s="57" t="n"/>
      <c r="C5341" s="57" t="n"/>
      <c r="D5341" s="57" t="n"/>
      <c r="E5341" s="56" t="n"/>
      <c r="F5341" s="57" t="n"/>
      <c r="G5341" s="57" t="n"/>
      <c r="H5341" s="56" t="n"/>
      <c r="I5341" s="56" t="n"/>
      <c r="J5341" s="58" t="n"/>
      <c r="K5341" s="58" t="n"/>
      <c r="L5341" s="13">
        <f>IF(OR($A5341="",AND($J5341="",$K5341="")),"",ROUND(N($J5341)-N($K5341),2))</f>
        <v/>
      </c>
      <c r="M5341" s="13">
        <f>IF(OR($A5341="",AND($J5341="",$K5341="")),"",MIN($J5341,$K5341))</f>
        <v/>
      </c>
      <c r="Q5341">
        <f>IF($A5341="","",$D5341&amp;"("&amp;SUBSTITUTE($E5341," ","")&amp;")")</f>
        <v/>
      </c>
      <c r="R5341">
        <f>IF($A5341="","",$B5341&amp;" - "&amp;$C5341)</f>
        <v/>
      </c>
      <c r="S5341">
        <f>IF($A5341="","",$R5341&amp;"|"&amp;$Q5341)</f>
        <v/>
      </c>
      <c r="T5341">
        <f>IF($A5341="","",$S5341&amp;"|"&amp;$F5341)</f>
        <v/>
      </c>
      <c r="U5341">
        <f>IF($A5341="","",$R5341&amp;"("&amp;$E5341&amp;")")</f>
        <v/>
      </c>
      <c r="V5341">
        <f>IF($A5341="","",$F5341&amp;"|"&amp;$U5341&amp;"|"&amp;$D5341)</f>
        <v/>
      </c>
      <c r="W5341">
        <f>IF($T5341="","",IF($X5341&gt;N($X5340),$X5341,""))</f>
        <v/>
      </c>
      <c r="X5341">
        <f>IF($T5341="",N($X5340),IF(MATCH($T5341,$T$6:$T$6005,0)=ROW()-5,N($X5340)+1,N($X5340)))</f>
        <v/>
      </c>
      <c r="Z5341">
        <f>IF($V5341="","",IF($AA5341&gt;N($AA5340),$AA5341,""))</f>
        <v/>
      </c>
      <c r="AA5341">
        <f>IF($V5341="",N($AA5340),IF(MATCH($V5341,$V$6:$V$6005,0)=ROW()-5,N($AA5340)+1,N($AA5340)))</f>
        <v/>
      </c>
    </row>
    <row r="5342" ht="21" customHeight="1" s="66">
      <c r="A5342" s="56" t="n"/>
      <c r="B5342" s="57" t="n"/>
      <c r="C5342" s="57" t="n"/>
      <c r="D5342" s="57" t="n"/>
      <c r="E5342" s="56" t="n"/>
      <c r="F5342" s="57" t="n"/>
      <c r="G5342" s="57" t="n"/>
      <c r="H5342" s="56" t="n"/>
      <c r="I5342" s="56" t="n"/>
      <c r="J5342" s="58" t="n"/>
      <c r="K5342" s="58" t="n"/>
      <c r="L5342" s="13">
        <f>IF(OR($A5342="",AND($J5342="",$K5342="")),"",ROUND(N($J5342)-N($K5342),2))</f>
        <v/>
      </c>
      <c r="M5342" s="13">
        <f>IF(OR($A5342="",AND($J5342="",$K5342="")),"",MIN($J5342,$K5342))</f>
        <v/>
      </c>
      <c r="Q5342">
        <f>IF($A5342="","",$D5342&amp;"("&amp;SUBSTITUTE($E5342," ","")&amp;")")</f>
        <v/>
      </c>
      <c r="R5342">
        <f>IF($A5342="","",$B5342&amp;" - "&amp;$C5342)</f>
        <v/>
      </c>
      <c r="S5342">
        <f>IF($A5342="","",$R5342&amp;"|"&amp;$Q5342)</f>
        <v/>
      </c>
      <c r="T5342">
        <f>IF($A5342="","",$S5342&amp;"|"&amp;$F5342)</f>
        <v/>
      </c>
      <c r="U5342">
        <f>IF($A5342="","",$R5342&amp;"("&amp;$E5342&amp;")")</f>
        <v/>
      </c>
      <c r="V5342">
        <f>IF($A5342="","",$F5342&amp;"|"&amp;$U5342&amp;"|"&amp;$D5342)</f>
        <v/>
      </c>
      <c r="W5342">
        <f>IF($T5342="","",IF($X5342&gt;N($X5341),$X5342,""))</f>
        <v/>
      </c>
      <c r="X5342">
        <f>IF($T5342="",N($X5341),IF(MATCH($T5342,$T$6:$T$6005,0)=ROW()-5,N($X5341)+1,N($X5341)))</f>
        <v/>
      </c>
      <c r="Z5342">
        <f>IF($V5342="","",IF($AA5342&gt;N($AA5341),$AA5342,""))</f>
        <v/>
      </c>
      <c r="AA5342">
        <f>IF($V5342="",N($AA5341),IF(MATCH($V5342,$V$6:$V$6005,0)=ROW()-5,N($AA5341)+1,N($AA5341)))</f>
        <v/>
      </c>
    </row>
    <row r="5343" ht="21" customHeight="1" s="66">
      <c r="A5343" s="56" t="n"/>
      <c r="B5343" s="57" t="n"/>
      <c r="C5343" s="57" t="n"/>
      <c r="D5343" s="57" t="n"/>
      <c r="E5343" s="56" t="n"/>
      <c r="F5343" s="57" t="n"/>
      <c r="G5343" s="57" t="n"/>
      <c r="H5343" s="56" t="n"/>
      <c r="I5343" s="56" t="n"/>
      <c r="J5343" s="58" t="n"/>
      <c r="K5343" s="58" t="n"/>
      <c r="L5343" s="13">
        <f>IF(OR($A5343="",AND($J5343="",$K5343="")),"",ROUND(N($J5343)-N($K5343),2))</f>
        <v/>
      </c>
      <c r="M5343" s="13">
        <f>IF(OR($A5343="",AND($J5343="",$K5343="")),"",MIN($J5343,$K5343))</f>
        <v/>
      </c>
      <c r="Q5343">
        <f>IF($A5343="","",$D5343&amp;"("&amp;SUBSTITUTE($E5343," ","")&amp;")")</f>
        <v/>
      </c>
      <c r="R5343">
        <f>IF($A5343="","",$B5343&amp;" - "&amp;$C5343)</f>
        <v/>
      </c>
      <c r="S5343">
        <f>IF($A5343="","",$R5343&amp;"|"&amp;$Q5343)</f>
        <v/>
      </c>
      <c r="T5343">
        <f>IF($A5343="","",$S5343&amp;"|"&amp;$F5343)</f>
        <v/>
      </c>
      <c r="U5343">
        <f>IF($A5343="","",$R5343&amp;"("&amp;$E5343&amp;")")</f>
        <v/>
      </c>
      <c r="V5343">
        <f>IF($A5343="","",$F5343&amp;"|"&amp;$U5343&amp;"|"&amp;$D5343)</f>
        <v/>
      </c>
      <c r="W5343">
        <f>IF($T5343="","",IF($X5343&gt;N($X5342),$X5343,""))</f>
        <v/>
      </c>
      <c r="X5343">
        <f>IF($T5343="",N($X5342),IF(MATCH($T5343,$T$6:$T$6005,0)=ROW()-5,N($X5342)+1,N($X5342)))</f>
        <v/>
      </c>
      <c r="Z5343">
        <f>IF($V5343="","",IF($AA5343&gt;N($AA5342),$AA5343,""))</f>
        <v/>
      </c>
      <c r="AA5343">
        <f>IF($V5343="",N($AA5342),IF(MATCH($V5343,$V$6:$V$6005,0)=ROW()-5,N($AA5342)+1,N($AA5342)))</f>
        <v/>
      </c>
    </row>
    <row r="5344" ht="21" customHeight="1" s="66">
      <c r="A5344" s="56" t="n"/>
      <c r="B5344" s="57" t="n"/>
      <c r="C5344" s="57" t="n"/>
      <c r="D5344" s="57" t="n"/>
      <c r="E5344" s="56" t="n"/>
      <c r="F5344" s="57" t="n"/>
      <c r="G5344" s="57" t="n"/>
      <c r="H5344" s="56" t="n"/>
      <c r="I5344" s="56" t="n"/>
      <c r="J5344" s="58" t="n"/>
      <c r="K5344" s="58" t="n"/>
      <c r="L5344" s="13">
        <f>IF(OR($A5344="",AND($J5344="",$K5344="")),"",ROUND(N($J5344)-N($K5344),2))</f>
        <v/>
      </c>
      <c r="M5344" s="13">
        <f>IF(OR($A5344="",AND($J5344="",$K5344="")),"",MIN($J5344,$K5344))</f>
        <v/>
      </c>
      <c r="Q5344">
        <f>IF($A5344="","",$D5344&amp;"("&amp;SUBSTITUTE($E5344," ","")&amp;")")</f>
        <v/>
      </c>
      <c r="R5344">
        <f>IF($A5344="","",$B5344&amp;" - "&amp;$C5344)</f>
        <v/>
      </c>
      <c r="S5344">
        <f>IF($A5344="","",$R5344&amp;"|"&amp;$Q5344)</f>
        <v/>
      </c>
      <c r="T5344">
        <f>IF($A5344="","",$S5344&amp;"|"&amp;$F5344)</f>
        <v/>
      </c>
      <c r="U5344">
        <f>IF($A5344="","",$R5344&amp;"("&amp;$E5344&amp;")")</f>
        <v/>
      </c>
      <c r="V5344">
        <f>IF($A5344="","",$F5344&amp;"|"&amp;$U5344&amp;"|"&amp;$D5344)</f>
        <v/>
      </c>
      <c r="W5344">
        <f>IF($T5344="","",IF($X5344&gt;N($X5343),$X5344,""))</f>
        <v/>
      </c>
      <c r="X5344">
        <f>IF($T5344="",N($X5343),IF(MATCH($T5344,$T$6:$T$6005,0)=ROW()-5,N($X5343)+1,N($X5343)))</f>
        <v/>
      </c>
      <c r="Z5344">
        <f>IF($V5344="","",IF($AA5344&gt;N($AA5343),$AA5344,""))</f>
        <v/>
      </c>
      <c r="AA5344">
        <f>IF($V5344="",N($AA5343),IF(MATCH($V5344,$V$6:$V$6005,0)=ROW()-5,N($AA5343)+1,N($AA5343)))</f>
        <v/>
      </c>
    </row>
    <row r="5345" ht="21" customHeight="1" s="66">
      <c r="A5345" s="56" t="n"/>
      <c r="B5345" s="57" t="n"/>
      <c r="C5345" s="57" t="n"/>
      <c r="D5345" s="57" t="n"/>
      <c r="E5345" s="56" t="n"/>
      <c r="F5345" s="57" t="n"/>
      <c r="G5345" s="57" t="n"/>
      <c r="H5345" s="56" t="n"/>
      <c r="I5345" s="56" t="n"/>
      <c r="J5345" s="58" t="n"/>
      <c r="K5345" s="58" t="n"/>
      <c r="L5345" s="13">
        <f>IF(OR($A5345="",AND($J5345="",$K5345="")),"",ROUND(N($J5345)-N($K5345),2))</f>
        <v/>
      </c>
      <c r="M5345" s="13">
        <f>IF(OR($A5345="",AND($J5345="",$K5345="")),"",MIN($J5345,$K5345))</f>
        <v/>
      </c>
      <c r="Q5345">
        <f>IF($A5345="","",$D5345&amp;"("&amp;SUBSTITUTE($E5345," ","")&amp;")")</f>
        <v/>
      </c>
      <c r="R5345">
        <f>IF($A5345="","",$B5345&amp;" - "&amp;$C5345)</f>
        <v/>
      </c>
      <c r="S5345">
        <f>IF($A5345="","",$R5345&amp;"|"&amp;$Q5345)</f>
        <v/>
      </c>
      <c r="T5345">
        <f>IF($A5345="","",$S5345&amp;"|"&amp;$F5345)</f>
        <v/>
      </c>
      <c r="U5345">
        <f>IF($A5345="","",$R5345&amp;"("&amp;$E5345&amp;")")</f>
        <v/>
      </c>
      <c r="V5345">
        <f>IF($A5345="","",$F5345&amp;"|"&amp;$U5345&amp;"|"&amp;$D5345)</f>
        <v/>
      </c>
      <c r="W5345">
        <f>IF($T5345="","",IF($X5345&gt;N($X5344),$X5345,""))</f>
        <v/>
      </c>
      <c r="X5345">
        <f>IF($T5345="",N($X5344),IF(MATCH($T5345,$T$6:$T$6005,0)=ROW()-5,N($X5344)+1,N($X5344)))</f>
        <v/>
      </c>
      <c r="Z5345">
        <f>IF($V5345="","",IF($AA5345&gt;N($AA5344),$AA5345,""))</f>
        <v/>
      </c>
      <c r="AA5345">
        <f>IF($V5345="",N($AA5344),IF(MATCH($V5345,$V$6:$V$6005,0)=ROW()-5,N($AA5344)+1,N($AA5344)))</f>
        <v/>
      </c>
    </row>
    <row r="5346" ht="21" customHeight="1" s="66">
      <c r="A5346" s="56" t="n"/>
      <c r="B5346" s="57" t="n"/>
      <c r="C5346" s="57" t="n"/>
      <c r="D5346" s="57" t="n"/>
      <c r="E5346" s="56" t="n"/>
      <c r="F5346" s="57" t="n"/>
      <c r="G5346" s="57" t="n"/>
      <c r="H5346" s="56" t="n"/>
      <c r="I5346" s="56" t="n"/>
      <c r="J5346" s="58" t="n"/>
      <c r="K5346" s="58" t="n"/>
      <c r="L5346" s="13">
        <f>IF(OR($A5346="",AND($J5346="",$K5346="")),"",ROUND(N($J5346)-N($K5346),2))</f>
        <v/>
      </c>
      <c r="M5346" s="13">
        <f>IF(OR($A5346="",AND($J5346="",$K5346="")),"",MIN($J5346,$K5346))</f>
        <v/>
      </c>
      <c r="Q5346">
        <f>IF($A5346="","",$D5346&amp;"("&amp;SUBSTITUTE($E5346," ","")&amp;")")</f>
        <v/>
      </c>
      <c r="R5346">
        <f>IF($A5346="","",$B5346&amp;" - "&amp;$C5346)</f>
        <v/>
      </c>
      <c r="S5346">
        <f>IF($A5346="","",$R5346&amp;"|"&amp;$Q5346)</f>
        <v/>
      </c>
      <c r="T5346">
        <f>IF($A5346="","",$S5346&amp;"|"&amp;$F5346)</f>
        <v/>
      </c>
      <c r="U5346">
        <f>IF($A5346="","",$R5346&amp;"("&amp;$E5346&amp;")")</f>
        <v/>
      </c>
      <c r="V5346">
        <f>IF($A5346="","",$F5346&amp;"|"&amp;$U5346&amp;"|"&amp;$D5346)</f>
        <v/>
      </c>
      <c r="W5346">
        <f>IF($T5346="","",IF($X5346&gt;N($X5345),$X5346,""))</f>
        <v/>
      </c>
      <c r="X5346">
        <f>IF($T5346="",N($X5345),IF(MATCH($T5346,$T$6:$T$6005,0)=ROW()-5,N($X5345)+1,N($X5345)))</f>
        <v/>
      </c>
      <c r="Z5346">
        <f>IF($V5346="","",IF($AA5346&gt;N($AA5345),$AA5346,""))</f>
        <v/>
      </c>
      <c r="AA5346">
        <f>IF($V5346="",N($AA5345),IF(MATCH($V5346,$V$6:$V$6005,0)=ROW()-5,N($AA5345)+1,N($AA5345)))</f>
        <v/>
      </c>
    </row>
    <row r="5347" ht="21" customHeight="1" s="66">
      <c r="A5347" s="56" t="n"/>
      <c r="B5347" s="57" t="n"/>
      <c r="C5347" s="57" t="n"/>
      <c r="D5347" s="57" t="n"/>
      <c r="E5347" s="56" t="n"/>
      <c r="F5347" s="57" t="n"/>
      <c r="G5347" s="57" t="n"/>
      <c r="H5347" s="56" t="n"/>
      <c r="I5347" s="56" t="n"/>
      <c r="J5347" s="58" t="n"/>
      <c r="K5347" s="58" t="n"/>
      <c r="L5347" s="13">
        <f>IF(OR($A5347="",AND($J5347="",$K5347="")),"",ROUND(N($J5347)-N($K5347),2))</f>
        <v/>
      </c>
      <c r="M5347" s="13">
        <f>IF(OR($A5347="",AND($J5347="",$K5347="")),"",MIN($J5347,$K5347))</f>
        <v/>
      </c>
      <c r="Q5347">
        <f>IF($A5347="","",$D5347&amp;"("&amp;SUBSTITUTE($E5347," ","")&amp;")")</f>
        <v/>
      </c>
      <c r="R5347">
        <f>IF($A5347="","",$B5347&amp;" - "&amp;$C5347)</f>
        <v/>
      </c>
      <c r="S5347">
        <f>IF($A5347="","",$R5347&amp;"|"&amp;$Q5347)</f>
        <v/>
      </c>
      <c r="T5347">
        <f>IF($A5347="","",$S5347&amp;"|"&amp;$F5347)</f>
        <v/>
      </c>
      <c r="U5347">
        <f>IF($A5347="","",$R5347&amp;"("&amp;$E5347&amp;")")</f>
        <v/>
      </c>
      <c r="V5347">
        <f>IF($A5347="","",$F5347&amp;"|"&amp;$U5347&amp;"|"&amp;$D5347)</f>
        <v/>
      </c>
      <c r="W5347">
        <f>IF($T5347="","",IF($X5347&gt;N($X5346),$X5347,""))</f>
        <v/>
      </c>
      <c r="X5347">
        <f>IF($T5347="",N($X5346),IF(MATCH($T5347,$T$6:$T$6005,0)=ROW()-5,N($X5346)+1,N($X5346)))</f>
        <v/>
      </c>
      <c r="Z5347">
        <f>IF($V5347="","",IF($AA5347&gt;N($AA5346),$AA5347,""))</f>
        <v/>
      </c>
      <c r="AA5347">
        <f>IF($V5347="",N($AA5346),IF(MATCH($V5347,$V$6:$V$6005,0)=ROW()-5,N($AA5346)+1,N($AA5346)))</f>
        <v/>
      </c>
    </row>
    <row r="5348" ht="21" customHeight="1" s="66">
      <c r="A5348" s="56" t="n"/>
      <c r="B5348" s="57" t="n"/>
      <c r="C5348" s="57" t="n"/>
      <c r="D5348" s="57" t="n"/>
      <c r="E5348" s="56" t="n"/>
      <c r="F5348" s="57" t="n"/>
      <c r="G5348" s="57" t="n"/>
      <c r="H5348" s="56" t="n"/>
      <c r="I5348" s="56" t="n"/>
      <c r="J5348" s="58" t="n"/>
      <c r="K5348" s="58" t="n"/>
      <c r="L5348" s="13">
        <f>IF(OR($A5348="",AND($J5348="",$K5348="")),"",ROUND(N($J5348)-N($K5348),2))</f>
        <v/>
      </c>
      <c r="M5348" s="13">
        <f>IF(OR($A5348="",AND($J5348="",$K5348="")),"",MIN($J5348,$K5348))</f>
        <v/>
      </c>
      <c r="Q5348">
        <f>IF($A5348="","",$D5348&amp;"("&amp;SUBSTITUTE($E5348," ","")&amp;")")</f>
        <v/>
      </c>
      <c r="R5348">
        <f>IF($A5348="","",$B5348&amp;" - "&amp;$C5348)</f>
        <v/>
      </c>
      <c r="S5348">
        <f>IF($A5348="","",$R5348&amp;"|"&amp;$Q5348)</f>
        <v/>
      </c>
      <c r="T5348">
        <f>IF($A5348="","",$S5348&amp;"|"&amp;$F5348)</f>
        <v/>
      </c>
      <c r="U5348">
        <f>IF($A5348="","",$R5348&amp;"("&amp;$E5348&amp;")")</f>
        <v/>
      </c>
      <c r="V5348">
        <f>IF($A5348="","",$F5348&amp;"|"&amp;$U5348&amp;"|"&amp;$D5348)</f>
        <v/>
      </c>
      <c r="W5348">
        <f>IF($T5348="","",IF($X5348&gt;N($X5347),$X5348,""))</f>
        <v/>
      </c>
      <c r="X5348">
        <f>IF($T5348="",N($X5347),IF(MATCH($T5348,$T$6:$T$6005,0)=ROW()-5,N($X5347)+1,N($X5347)))</f>
        <v/>
      </c>
      <c r="Z5348">
        <f>IF($V5348="","",IF($AA5348&gt;N($AA5347),$AA5348,""))</f>
        <v/>
      </c>
      <c r="AA5348">
        <f>IF($V5348="",N($AA5347),IF(MATCH($V5348,$V$6:$V$6005,0)=ROW()-5,N($AA5347)+1,N($AA5347)))</f>
        <v/>
      </c>
    </row>
    <row r="5349" ht="21" customHeight="1" s="66">
      <c r="A5349" s="56" t="n"/>
      <c r="B5349" s="57" t="n"/>
      <c r="C5349" s="57" t="n"/>
      <c r="D5349" s="57" t="n"/>
      <c r="E5349" s="56" t="n"/>
      <c r="F5349" s="57" t="n"/>
      <c r="G5349" s="57" t="n"/>
      <c r="H5349" s="56" t="n"/>
      <c r="I5349" s="56" t="n"/>
      <c r="J5349" s="58" t="n"/>
      <c r="K5349" s="58" t="n"/>
      <c r="L5349" s="13">
        <f>IF(OR($A5349="",AND($J5349="",$K5349="")),"",ROUND(N($J5349)-N($K5349),2))</f>
        <v/>
      </c>
      <c r="M5349" s="13">
        <f>IF(OR($A5349="",AND($J5349="",$K5349="")),"",MIN($J5349,$K5349))</f>
        <v/>
      </c>
      <c r="Q5349">
        <f>IF($A5349="","",$D5349&amp;"("&amp;SUBSTITUTE($E5349," ","")&amp;")")</f>
        <v/>
      </c>
      <c r="R5349">
        <f>IF($A5349="","",$B5349&amp;" - "&amp;$C5349)</f>
        <v/>
      </c>
      <c r="S5349">
        <f>IF($A5349="","",$R5349&amp;"|"&amp;$Q5349)</f>
        <v/>
      </c>
      <c r="T5349">
        <f>IF($A5349="","",$S5349&amp;"|"&amp;$F5349)</f>
        <v/>
      </c>
      <c r="U5349">
        <f>IF($A5349="","",$R5349&amp;"("&amp;$E5349&amp;")")</f>
        <v/>
      </c>
      <c r="V5349">
        <f>IF($A5349="","",$F5349&amp;"|"&amp;$U5349&amp;"|"&amp;$D5349)</f>
        <v/>
      </c>
      <c r="W5349">
        <f>IF($T5349="","",IF($X5349&gt;N($X5348),$X5349,""))</f>
        <v/>
      </c>
      <c r="X5349">
        <f>IF($T5349="",N($X5348),IF(MATCH($T5349,$T$6:$T$6005,0)=ROW()-5,N($X5348)+1,N($X5348)))</f>
        <v/>
      </c>
      <c r="Z5349">
        <f>IF($V5349="","",IF($AA5349&gt;N($AA5348),$AA5349,""))</f>
        <v/>
      </c>
      <c r="AA5349">
        <f>IF($V5349="",N($AA5348),IF(MATCH($V5349,$V$6:$V$6005,0)=ROW()-5,N($AA5348)+1,N($AA5348)))</f>
        <v/>
      </c>
    </row>
    <row r="5350" ht="21" customHeight="1" s="66">
      <c r="A5350" s="56" t="n"/>
      <c r="B5350" s="57" t="n"/>
      <c r="C5350" s="57" t="n"/>
      <c r="D5350" s="57" t="n"/>
      <c r="E5350" s="56" t="n"/>
      <c r="F5350" s="57" t="n"/>
      <c r="G5350" s="57" t="n"/>
      <c r="H5350" s="56" t="n"/>
      <c r="I5350" s="56" t="n"/>
      <c r="J5350" s="58" t="n"/>
      <c r="K5350" s="58" t="n"/>
      <c r="L5350" s="13">
        <f>IF(OR($A5350="",AND($J5350="",$K5350="")),"",ROUND(N($J5350)-N($K5350),2))</f>
        <v/>
      </c>
      <c r="M5350" s="13">
        <f>IF(OR($A5350="",AND($J5350="",$K5350="")),"",MIN($J5350,$K5350))</f>
        <v/>
      </c>
      <c r="Q5350">
        <f>IF($A5350="","",$D5350&amp;"("&amp;SUBSTITUTE($E5350," ","")&amp;")")</f>
        <v/>
      </c>
      <c r="R5350">
        <f>IF($A5350="","",$B5350&amp;" - "&amp;$C5350)</f>
        <v/>
      </c>
      <c r="S5350">
        <f>IF($A5350="","",$R5350&amp;"|"&amp;$Q5350)</f>
        <v/>
      </c>
      <c r="T5350">
        <f>IF($A5350="","",$S5350&amp;"|"&amp;$F5350)</f>
        <v/>
      </c>
      <c r="U5350">
        <f>IF($A5350="","",$R5350&amp;"("&amp;$E5350&amp;")")</f>
        <v/>
      </c>
      <c r="V5350">
        <f>IF($A5350="","",$F5350&amp;"|"&amp;$U5350&amp;"|"&amp;$D5350)</f>
        <v/>
      </c>
      <c r="W5350">
        <f>IF($T5350="","",IF($X5350&gt;N($X5349),$X5350,""))</f>
        <v/>
      </c>
      <c r="X5350">
        <f>IF($T5350="",N($X5349),IF(MATCH($T5350,$T$6:$T$6005,0)=ROW()-5,N($X5349)+1,N($X5349)))</f>
        <v/>
      </c>
      <c r="Z5350">
        <f>IF($V5350="","",IF($AA5350&gt;N($AA5349),$AA5350,""))</f>
        <v/>
      </c>
      <c r="AA5350">
        <f>IF($V5350="",N($AA5349),IF(MATCH($V5350,$V$6:$V$6005,0)=ROW()-5,N($AA5349)+1,N($AA5349)))</f>
        <v/>
      </c>
    </row>
    <row r="5351" ht="21" customHeight="1" s="66">
      <c r="A5351" s="56" t="n"/>
      <c r="B5351" s="57" t="n"/>
      <c r="C5351" s="57" t="n"/>
      <c r="D5351" s="57" t="n"/>
      <c r="E5351" s="56" t="n"/>
      <c r="F5351" s="57" t="n"/>
      <c r="G5351" s="57" t="n"/>
      <c r="H5351" s="56" t="n"/>
      <c r="I5351" s="56" t="n"/>
      <c r="J5351" s="58" t="n"/>
      <c r="K5351" s="58" t="n"/>
      <c r="L5351" s="13">
        <f>IF(OR($A5351="",AND($J5351="",$K5351="")),"",ROUND(N($J5351)-N($K5351),2))</f>
        <v/>
      </c>
      <c r="M5351" s="13">
        <f>IF(OR($A5351="",AND($J5351="",$K5351="")),"",MIN($J5351,$K5351))</f>
        <v/>
      </c>
      <c r="Q5351">
        <f>IF($A5351="","",$D5351&amp;"("&amp;SUBSTITUTE($E5351," ","")&amp;")")</f>
        <v/>
      </c>
      <c r="R5351">
        <f>IF($A5351="","",$B5351&amp;" - "&amp;$C5351)</f>
        <v/>
      </c>
      <c r="S5351">
        <f>IF($A5351="","",$R5351&amp;"|"&amp;$Q5351)</f>
        <v/>
      </c>
      <c r="T5351">
        <f>IF($A5351="","",$S5351&amp;"|"&amp;$F5351)</f>
        <v/>
      </c>
      <c r="U5351">
        <f>IF($A5351="","",$R5351&amp;"("&amp;$E5351&amp;")")</f>
        <v/>
      </c>
      <c r="V5351">
        <f>IF($A5351="","",$F5351&amp;"|"&amp;$U5351&amp;"|"&amp;$D5351)</f>
        <v/>
      </c>
      <c r="W5351">
        <f>IF($T5351="","",IF($X5351&gt;N($X5350),$X5351,""))</f>
        <v/>
      </c>
      <c r="X5351">
        <f>IF($T5351="",N($X5350),IF(MATCH($T5351,$T$6:$T$6005,0)=ROW()-5,N($X5350)+1,N($X5350)))</f>
        <v/>
      </c>
      <c r="Z5351">
        <f>IF($V5351="","",IF($AA5351&gt;N($AA5350),$AA5351,""))</f>
        <v/>
      </c>
      <c r="AA5351">
        <f>IF($V5351="",N($AA5350),IF(MATCH($V5351,$V$6:$V$6005,0)=ROW()-5,N($AA5350)+1,N($AA5350)))</f>
        <v/>
      </c>
    </row>
    <row r="5352" ht="21" customHeight="1" s="66">
      <c r="A5352" s="56" t="n"/>
      <c r="B5352" s="57" t="n"/>
      <c r="C5352" s="57" t="n"/>
      <c r="D5352" s="57" t="n"/>
      <c r="E5352" s="56" t="n"/>
      <c r="F5352" s="57" t="n"/>
      <c r="G5352" s="57" t="n"/>
      <c r="H5352" s="56" t="n"/>
      <c r="I5352" s="56" t="n"/>
      <c r="J5352" s="58" t="n"/>
      <c r="K5352" s="58" t="n"/>
      <c r="L5352" s="13">
        <f>IF(OR($A5352="",AND($J5352="",$K5352="")),"",ROUND(N($J5352)-N($K5352),2))</f>
        <v/>
      </c>
      <c r="M5352" s="13">
        <f>IF(OR($A5352="",AND($J5352="",$K5352="")),"",MIN($J5352,$K5352))</f>
        <v/>
      </c>
      <c r="Q5352">
        <f>IF($A5352="","",$D5352&amp;"("&amp;SUBSTITUTE($E5352," ","")&amp;")")</f>
        <v/>
      </c>
      <c r="R5352">
        <f>IF($A5352="","",$B5352&amp;" - "&amp;$C5352)</f>
        <v/>
      </c>
      <c r="S5352">
        <f>IF($A5352="","",$R5352&amp;"|"&amp;$Q5352)</f>
        <v/>
      </c>
      <c r="T5352">
        <f>IF($A5352="","",$S5352&amp;"|"&amp;$F5352)</f>
        <v/>
      </c>
      <c r="U5352">
        <f>IF($A5352="","",$R5352&amp;"("&amp;$E5352&amp;")")</f>
        <v/>
      </c>
      <c r="V5352">
        <f>IF($A5352="","",$F5352&amp;"|"&amp;$U5352&amp;"|"&amp;$D5352)</f>
        <v/>
      </c>
      <c r="W5352">
        <f>IF($T5352="","",IF($X5352&gt;N($X5351),$X5352,""))</f>
        <v/>
      </c>
      <c r="X5352">
        <f>IF($T5352="",N($X5351),IF(MATCH($T5352,$T$6:$T$6005,0)=ROW()-5,N($X5351)+1,N($X5351)))</f>
        <v/>
      </c>
      <c r="Z5352">
        <f>IF($V5352="","",IF($AA5352&gt;N($AA5351),$AA5352,""))</f>
        <v/>
      </c>
      <c r="AA5352">
        <f>IF($V5352="",N($AA5351),IF(MATCH($V5352,$V$6:$V$6005,0)=ROW()-5,N($AA5351)+1,N($AA5351)))</f>
        <v/>
      </c>
    </row>
    <row r="5353" ht="21" customHeight="1" s="66">
      <c r="A5353" s="56" t="n"/>
      <c r="B5353" s="57" t="n"/>
      <c r="C5353" s="57" t="n"/>
      <c r="D5353" s="57" t="n"/>
      <c r="E5353" s="56" t="n"/>
      <c r="F5353" s="57" t="n"/>
      <c r="G5353" s="57" t="n"/>
      <c r="H5353" s="56" t="n"/>
      <c r="I5353" s="56" t="n"/>
      <c r="J5353" s="58" t="n"/>
      <c r="K5353" s="58" t="n"/>
      <c r="L5353" s="13">
        <f>IF(OR($A5353="",AND($J5353="",$K5353="")),"",ROUND(N($J5353)-N($K5353),2))</f>
        <v/>
      </c>
      <c r="M5353" s="13">
        <f>IF(OR($A5353="",AND($J5353="",$K5353="")),"",MIN($J5353,$K5353))</f>
        <v/>
      </c>
      <c r="Q5353">
        <f>IF($A5353="","",$D5353&amp;"("&amp;SUBSTITUTE($E5353," ","")&amp;")")</f>
        <v/>
      </c>
      <c r="R5353">
        <f>IF($A5353="","",$B5353&amp;" - "&amp;$C5353)</f>
        <v/>
      </c>
      <c r="S5353">
        <f>IF($A5353="","",$R5353&amp;"|"&amp;$Q5353)</f>
        <v/>
      </c>
      <c r="T5353">
        <f>IF($A5353="","",$S5353&amp;"|"&amp;$F5353)</f>
        <v/>
      </c>
      <c r="U5353">
        <f>IF($A5353="","",$R5353&amp;"("&amp;$E5353&amp;")")</f>
        <v/>
      </c>
      <c r="V5353">
        <f>IF($A5353="","",$F5353&amp;"|"&amp;$U5353&amp;"|"&amp;$D5353)</f>
        <v/>
      </c>
      <c r="W5353">
        <f>IF($T5353="","",IF($X5353&gt;N($X5352),$X5353,""))</f>
        <v/>
      </c>
      <c r="X5353">
        <f>IF($T5353="",N($X5352),IF(MATCH($T5353,$T$6:$T$6005,0)=ROW()-5,N($X5352)+1,N($X5352)))</f>
        <v/>
      </c>
      <c r="Z5353">
        <f>IF($V5353="","",IF($AA5353&gt;N($AA5352),$AA5353,""))</f>
        <v/>
      </c>
      <c r="AA5353">
        <f>IF($V5353="",N($AA5352),IF(MATCH($V5353,$V$6:$V$6005,0)=ROW()-5,N($AA5352)+1,N($AA5352)))</f>
        <v/>
      </c>
    </row>
    <row r="5354" ht="21" customHeight="1" s="66">
      <c r="A5354" s="56" t="n"/>
      <c r="B5354" s="57" t="n"/>
      <c r="C5354" s="57" t="n"/>
      <c r="D5354" s="57" t="n"/>
      <c r="E5354" s="56" t="n"/>
      <c r="F5354" s="57" t="n"/>
      <c r="G5354" s="57" t="n"/>
      <c r="H5354" s="56" t="n"/>
      <c r="I5354" s="56" t="n"/>
      <c r="J5354" s="58" t="n"/>
      <c r="K5354" s="58" t="n"/>
      <c r="L5354" s="13">
        <f>IF(OR($A5354="",AND($J5354="",$K5354="")),"",ROUND(N($J5354)-N($K5354),2))</f>
        <v/>
      </c>
      <c r="M5354" s="13">
        <f>IF(OR($A5354="",AND($J5354="",$K5354="")),"",MIN($J5354,$K5354))</f>
        <v/>
      </c>
      <c r="Q5354">
        <f>IF($A5354="","",$D5354&amp;"("&amp;SUBSTITUTE($E5354," ","")&amp;")")</f>
        <v/>
      </c>
      <c r="R5354">
        <f>IF($A5354="","",$B5354&amp;" - "&amp;$C5354)</f>
        <v/>
      </c>
      <c r="S5354">
        <f>IF($A5354="","",$R5354&amp;"|"&amp;$Q5354)</f>
        <v/>
      </c>
      <c r="T5354">
        <f>IF($A5354="","",$S5354&amp;"|"&amp;$F5354)</f>
        <v/>
      </c>
      <c r="U5354">
        <f>IF($A5354="","",$R5354&amp;"("&amp;$E5354&amp;")")</f>
        <v/>
      </c>
      <c r="V5354">
        <f>IF($A5354="","",$F5354&amp;"|"&amp;$U5354&amp;"|"&amp;$D5354)</f>
        <v/>
      </c>
      <c r="W5354">
        <f>IF($T5354="","",IF($X5354&gt;N($X5353),$X5354,""))</f>
        <v/>
      </c>
      <c r="X5354">
        <f>IF($T5354="",N($X5353),IF(MATCH($T5354,$T$6:$T$6005,0)=ROW()-5,N($X5353)+1,N($X5353)))</f>
        <v/>
      </c>
      <c r="Z5354">
        <f>IF($V5354="","",IF($AA5354&gt;N($AA5353),$AA5354,""))</f>
        <v/>
      </c>
      <c r="AA5354">
        <f>IF($V5354="",N($AA5353),IF(MATCH($V5354,$V$6:$V$6005,0)=ROW()-5,N($AA5353)+1,N($AA5353)))</f>
        <v/>
      </c>
    </row>
    <row r="5355" ht="21" customHeight="1" s="66">
      <c r="A5355" s="56" t="n"/>
      <c r="B5355" s="57" t="n"/>
      <c r="C5355" s="57" t="n"/>
      <c r="D5355" s="57" t="n"/>
      <c r="E5355" s="56" t="n"/>
      <c r="F5355" s="57" t="n"/>
      <c r="G5355" s="57" t="n"/>
      <c r="H5355" s="56" t="n"/>
      <c r="I5355" s="56" t="n"/>
      <c r="J5355" s="58" t="n"/>
      <c r="K5355" s="58" t="n"/>
      <c r="L5355" s="13">
        <f>IF(OR($A5355="",AND($J5355="",$K5355="")),"",ROUND(N($J5355)-N($K5355),2))</f>
        <v/>
      </c>
      <c r="M5355" s="13">
        <f>IF(OR($A5355="",AND($J5355="",$K5355="")),"",MIN($J5355,$K5355))</f>
        <v/>
      </c>
      <c r="Q5355">
        <f>IF($A5355="","",$D5355&amp;"("&amp;SUBSTITUTE($E5355," ","")&amp;")")</f>
        <v/>
      </c>
      <c r="R5355">
        <f>IF($A5355="","",$B5355&amp;" - "&amp;$C5355)</f>
        <v/>
      </c>
      <c r="S5355">
        <f>IF($A5355="","",$R5355&amp;"|"&amp;$Q5355)</f>
        <v/>
      </c>
      <c r="T5355">
        <f>IF($A5355="","",$S5355&amp;"|"&amp;$F5355)</f>
        <v/>
      </c>
      <c r="U5355">
        <f>IF($A5355="","",$R5355&amp;"("&amp;$E5355&amp;")")</f>
        <v/>
      </c>
      <c r="V5355">
        <f>IF($A5355="","",$F5355&amp;"|"&amp;$U5355&amp;"|"&amp;$D5355)</f>
        <v/>
      </c>
      <c r="W5355">
        <f>IF($T5355="","",IF($X5355&gt;N($X5354),$X5355,""))</f>
        <v/>
      </c>
      <c r="X5355">
        <f>IF($T5355="",N($X5354),IF(MATCH($T5355,$T$6:$T$6005,0)=ROW()-5,N($X5354)+1,N($X5354)))</f>
        <v/>
      </c>
      <c r="Z5355">
        <f>IF($V5355="","",IF($AA5355&gt;N($AA5354),$AA5355,""))</f>
        <v/>
      </c>
      <c r="AA5355">
        <f>IF($V5355="",N($AA5354),IF(MATCH($V5355,$V$6:$V$6005,0)=ROW()-5,N($AA5354)+1,N($AA5354)))</f>
        <v/>
      </c>
    </row>
    <row r="5356" ht="21" customHeight="1" s="66">
      <c r="A5356" s="56" t="n"/>
      <c r="B5356" s="57" t="n"/>
      <c r="C5356" s="57" t="n"/>
      <c r="D5356" s="57" t="n"/>
      <c r="E5356" s="56" t="n"/>
      <c r="F5356" s="57" t="n"/>
      <c r="G5356" s="57" t="n"/>
      <c r="H5356" s="56" t="n"/>
      <c r="I5356" s="56" t="n"/>
      <c r="J5356" s="58" t="n"/>
      <c r="K5356" s="58" t="n"/>
      <c r="L5356" s="13">
        <f>IF(OR($A5356="",AND($J5356="",$K5356="")),"",ROUND(N($J5356)-N($K5356),2))</f>
        <v/>
      </c>
      <c r="M5356" s="13">
        <f>IF(OR($A5356="",AND($J5356="",$K5356="")),"",MIN($J5356,$K5356))</f>
        <v/>
      </c>
      <c r="Q5356">
        <f>IF($A5356="","",$D5356&amp;"("&amp;SUBSTITUTE($E5356," ","")&amp;")")</f>
        <v/>
      </c>
      <c r="R5356">
        <f>IF($A5356="","",$B5356&amp;" - "&amp;$C5356)</f>
        <v/>
      </c>
      <c r="S5356">
        <f>IF($A5356="","",$R5356&amp;"|"&amp;$Q5356)</f>
        <v/>
      </c>
      <c r="T5356">
        <f>IF($A5356="","",$S5356&amp;"|"&amp;$F5356)</f>
        <v/>
      </c>
      <c r="U5356">
        <f>IF($A5356="","",$R5356&amp;"("&amp;$E5356&amp;")")</f>
        <v/>
      </c>
      <c r="V5356">
        <f>IF($A5356="","",$F5356&amp;"|"&amp;$U5356&amp;"|"&amp;$D5356)</f>
        <v/>
      </c>
      <c r="W5356">
        <f>IF($T5356="","",IF($X5356&gt;N($X5355),$X5356,""))</f>
        <v/>
      </c>
      <c r="X5356">
        <f>IF($T5356="",N($X5355),IF(MATCH($T5356,$T$6:$T$6005,0)=ROW()-5,N($X5355)+1,N($X5355)))</f>
        <v/>
      </c>
      <c r="Z5356">
        <f>IF($V5356="","",IF($AA5356&gt;N($AA5355),$AA5356,""))</f>
        <v/>
      </c>
      <c r="AA5356">
        <f>IF($V5356="",N($AA5355),IF(MATCH($V5356,$V$6:$V$6005,0)=ROW()-5,N($AA5355)+1,N($AA5355)))</f>
        <v/>
      </c>
    </row>
    <row r="5357" ht="21" customHeight="1" s="66">
      <c r="A5357" s="56" t="n"/>
      <c r="B5357" s="57" t="n"/>
      <c r="C5357" s="57" t="n"/>
      <c r="D5357" s="57" t="n"/>
      <c r="E5357" s="56" t="n"/>
      <c r="F5357" s="57" t="n"/>
      <c r="G5357" s="57" t="n"/>
      <c r="H5357" s="56" t="n"/>
      <c r="I5357" s="56" t="n"/>
      <c r="J5357" s="58" t="n"/>
      <c r="K5357" s="58" t="n"/>
      <c r="L5357" s="13">
        <f>IF(OR($A5357="",AND($J5357="",$K5357="")),"",ROUND(N($J5357)-N($K5357),2))</f>
        <v/>
      </c>
      <c r="M5357" s="13">
        <f>IF(OR($A5357="",AND($J5357="",$K5357="")),"",MIN($J5357,$K5357))</f>
        <v/>
      </c>
      <c r="Q5357">
        <f>IF($A5357="","",$D5357&amp;"("&amp;SUBSTITUTE($E5357," ","")&amp;")")</f>
        <v/>
      </c>
      <c r="R5357">
        <f>IF($A5357="","",$B5357&amp;" - "&amp;$C5357)</f>
        <v/>
      </c>
      <c r="S5357">
        <f>IF($A5357="","",$R5357&amp;"|"&amp;$Q5357)</f>
        <v/>
      </c>
      <c r="T5357">
        <f>IF($A5357="","",$S5357&amp;"|"&amp;$F5357)</f>
        <v/>
      </c>
      <c r="U5357">
        <f>IF($A5357="","",$R5357&amp;"("&amp;$E5357&amp;")")</f>
        <v/>
      </c>
      <c r="V5357">
        <f>IF($A5357="","",$F5357&amp;"|"&amp;$U5357&amp;"|"&amp;$D5357)</f>
        <v/>
      </c>
      <c r="W5357">
        <f>IF($T5357="","",IF($X5357&gt;N($X5356),$X5357,""))</f>
        <v/>
      </c>
      <c r="X5357">
        <f>IF($T5357="",N($X5356),IF(MATCH($T5357,$T$6:$T$6005,0)=ROW()-5,N($X5356)+1,N($X5356)))</f>
        <v/>
      </c>
      <c r="Z5357">
        <f>IF($V5357="","",IF($AA5357&gt;N($AA5356),$AA5357,""))</f>
        <v/>
      </c>
      <c r="AA5357">
        <f>IF($V5357="",N($AA5356),IF(MATCH($V5357,$V$6:$V$6005,0)=ROW()-5,N($AA5356)+1,N($AA5356)))</f>
        <v/>
      </c>
    </row>
    <row r="5358" ht="21" customHeight="1" s="66">
      <c r="A5358" s="56" t="n"/>
      <c r="B5358" s="57" t="n"/>
      <c r="C5358" s="57" t="n"/>
      <c r="D5358" s="57" t="n"/>
      <c r="E5358" s="56" t="n"/>
      <c r="F5358" s="57" t="n"/>
      <c r="G5358" s="57" t="n"/>
      <c r="H5358" s="56" t="n"/>
      <c r="I5358" s="56" t="n"/>
      <c r="J5358" s="58" t="n"/>
      <c r="K5358" s="58" t="n"/>
      <c r="L5358" s="13">
        <f>IF(OR($A5358="",AND($J5358="",$K5358="")),"",ROUND(N($J5358)-N($K5358),2))</f>
        <v/>
      </c>
      <c r="M5358" s="13">
        <f>IF(OR($A5358="",AND($J5358="",$K5358="")),"",MIN($J5358,$K5358))</f>
        <v/>
      </c>
      <c r="Q5358">
        <f>IF($A5358="","",$D5358&amp;"("&amp;SUBSTITUTE($E5358," ","")&amp;")")</f>
        <v/>
      </c>
      <c r="R5358">
        <f>IF($A5358="","",$B5358&amp;" - "&amp;$C5358)</f>
        <v/>
      </c>
      <c r="S5358">
        <f>IF($A5358="","",$R5358&amp;"|"&amp;$Q5358)</f>
        <v/>
      </c>
      <c r="T5358">
        <f>IF($A5358="","",$S5358&amp;"|"&amp;$F5358)</f>
        <v/>
      </c>
      <c r="U5358">
        <f>IF($A5358="","",$R5358&amp;"("&amp;$E5358&amp;")")</f>
        <v/>
      </c>
      <c r="V5358">
        <f>IF($A5358="","",$F5358&amp;"|"&amp;$U5358&amp;"|"&amp;$D5358)</f>
        <v/>
      </c>
      <c r="W5358">
        <f>IF($T5358="","",IF($X5358&gt;N($X5357),$X5358,""))</f>
        <v/>
      </c>
      <c r="X5358">
        <f>IF($T5358="",N($X5357),IF(MATCH($T5358,$T$6:$T$6005,0)=ROW()-5,N($X5357)+1,N($X5357)))</f>
        <v/>
      </c>
      <c r="Z5358">
        <f>IF($V5358="","",IF($AA5358&gt;N($AA5357),$AA5358,""))</f>
        <v/>
      </c>
      <c r="AA5358">
        <f>IF($V5358="",N($AA5357),IF(MATCH($V5358,$V$6:$V$6005,0)=ROW()-5,N($AA5357)+1,N($AA5357)))</f>
        <v/>
      </c>
    </row>
    <row r="5359" ht="21" customHeight="1" s="66">
      <c r="A5359" s="56" t="n"/>
      <c r="B5359" s="57" t="n"/>
      <c r="C5359" s="57" t="n"/>
      <c r="D5359" s="57" t="n"/>
      <c r="E5359" s="56" t="n"/>
      <c r="F5359" s="57" t="n"/>
      <c r="G5359" s="57" t="n"/>
      <c r="H5359" s="56" t="n"/>
      <c r="I5359" s="56" t="n"/>
      <c r="J5359" s="58" t="n"/>
      <c r="K5359" s="58" t="n"/>
      <c r="L5359" s="13">
        <f>IF(OR($A5359="",AND($J5359="",$K5359="")),"",ROUND(N($J5359)-N($K5359),2))</f>
        <v/>
      </c>
      <c r="M5359" s="13">
        <f>IF(OR($A5359="",AND($J5359="",$K5359="")),"",MIN($J5359,$K5359))</f>
        <v/>
      </c>
      <c r="Q5359">
        <f>IF($A5359="","",$D5359&amp;"("&amp;SUBSTITUTE($E5359," ","")&amp;")")</f>
        <v/>
      </c>
      <c r="R5359">
        <f>IF($A5359="","",$B5359&amp;" - "&amp;$C5359)</f>
        <v/>
      </c>
      <c r="S5359">
        <f>IF($A5359="","",$R5359&amp;"|"&amp;$Q5359)</f>
        <v/>
      </c>
      <c r="T5359">
        <f>IF($A5359="","",$S5359&amp;"|"&amp;$F5359)</f>
        <v/>
      </c>
      <c r="U5359">
        <f>IF($A5359="","",$R5359&amp;"("&amp;$E5359&amp;")")</f>
        <v/>
      </c>
      <c r="V5359">
        <f>IF($A5359="","",$F5359&amp;"|"&amp;$U5359&amp;"|"&amp;$D5359)</f>
        <v/>
      </c>
      <c r="W5359">
        <f>IF($T5359="","",IF($X5359&gt;N($X5358),$X5359,""))</f>
        <v/>
      </c>
      <c r="X5359">
        <f>IF($T5359="",N($X5358),IF(MATCH($T5359,$T$6:$T$6005,0)=ROW()-5,N($X5358)+1,N($X5358)))</f>
        <v/>
      </c>
      <c r="Z5359">
        <f>IF($V5359="","",IF($AA5359&gt;N($AA5358),$AA5359,""))</f>
        <v/>
      </c>
      <c r="AA5359">
        <f>IF($V5359="",N($AA5358),IF(MATCH($V5359,$V$6:$V$6005,0)=ROW()-5,N($AA5358)+1,N($AA5358)))</f>
        <v/>
      </c>
    </row>
    <row r="5360" ht="21" customHeight="1" s="66">
      <c r="A5360" s="56" t="n"/>
      <c r="B5360" s="57" t="n"/>
      <c r="C5360" s="57" t="n"/>
      <c r="D5360" s="57" t="n"/>
      <c r="E5360" s="56" t="n"/>
      <c r="F5360" s="57" t="n"/>
      <c r="G5360" s="57" t="n"/>
      <c r="H5360" s="56" t="n"/>
      <c r="I5360" s="56" t="n"/>
      <c r="J5360" s="58" t="n"/>
      <c r="K5360" s="58" t="n"/>
      <c r="L5360" s="13">
        <f>IF(OR($A5360="",AND($J5360="",$K5360="")),"",ROUND(N($J5360)-N($K5360),2))</f>
        <v/>
      </c>
      <c r="M5360" s="13">
        <f>IF(OR($A5360="",AND($J5360="",$K5360="")),"",MIN($J5360,$K5360))</f>
        <v/>
      </c>
      <c r="Q5360">
        <f>IF($A5360="","",$D5360&amp;"("&amp;SUBSTITUTE($E5360," ","")&amp;")")</f>
        <v/>
      </c>
      <c r="R5360">
        <f>IF($A5360="","",$B5360&amp;" - "&amp;$C5360)</f>
        <v/>
      </c>
      <c r="S5360">
        <f>IF($A5360="","",$R5360&amp;"|"&amp;$Q5360)</f>
        <v/>
      </c>
      <c r="T5360">
        <f>IF($A5360="","",$S5360&amp;"|"&amp;$F5360)</f>
        <v/>
      </c>
      <c r="U5360">
        <f>IF($A5360="","",$R5360&amp;"("&amp;$E5360&amp;")")</f>
        <v/>
      </c>
      <c r="V5360">
        <f>IF($A5360="","",$F5360&amp;"|"&amp;$U5360&amp;"|"&amp;$D5360)</f>
        <v/>
      </c>
      <c r="W5360">
        <f>IF($T5360="","",IF($X5360&gt;N($X5359),$X5360,""))</f>
        <v/>
      </c>
      <c r="X5360">
        <f>IF($T5360="",N($X5359),IF(MATCH($T5360,$T$6:$T$6005,0)=ROW()-5,N($X5359)+1,N($X5359)))</f>
        <v/>
      </c>
      <c r="Z5360">
        <f>IF($V5360="","",IF($AA5360&gt;N($AA5359),$AA5360,""))</f>
        <v/>
      </c>
      <c r="AA5360">
        <f>IF($V5360="",N($AA5359),IF(MATCH($V5360,$V$6:$V$6005,0)=ROW()-5,N($AA5359)+1,N($AA5359)))</f>
        <v/>
      </c>
    </row>
    <row r="5361" ht="21" customHeight="1" s="66">
      <c r="A5361" s="56" t="n"/>
      <c r="B5361" s="57" t="n"/>
      <c r="C5361" s="57" t="n"/>
      <c r="D5361" s="57" t="n"/>
      <c r="E5361" s="56" t="n"/>
      <c r="F5361" s="57" t="n"/>
      <c r="G5361" s="57" t="n"/>
      <c r="H5361" s="56" t="n"/>
      <c r="I5361" s="56" t="n"/>
      <c r="J5361" s="58" t="n"/>
      <c r="K5361" s="58" t="n"/>
      <c r="L5361" s="13">
        <f>IF(OR($A5361="",AND($J5361="",$K5361="")),"",ROUND(N($J5361)-N($K5361),2))</f>
        <v/>
      </c>
      <c r="M5361" s="13">
        <f>IF(OR($A5361="",AND($J5361="",$K5361="")),"",MIN($J5361,$K5361))</f>
        <v/>
      </c>
      <c r="Q5361">
        <f>IF($A5361="","",$D5361&amp;"("&amp;SUBSTITUTE($E5361," ","")&amp;")")</f>
        <v/>
      </c>
      <c r="R5361">
        <f>IF($A5361="","",$B5361&amp;" - "&amp;$C5361)</f>
        <v/>
      </c>
      <c r="S5361">
        <f>IF($A5361="","",$R5361&amp;"|"&amp;$Q5361)</f>
        <v/>
      </c>
      <c r="T5361">
        <f>IF($A5361="","",$S5361&amp;"|"&amp;$F5361)</f>
        <v/>
      </c>
      <c r="U5361">
        <f>IF($A5361="","",$R5361&amp;"("&amp;$E5361&amp;")")</f>
        <v/>
      </c>
      <c r="V5361">
        <f>IF($A5361="","",$F5361&amp;"|"&amp;$U5361&amp;"|"&amp;$D5361)</f>
        <v/>
      </c>
      <c r="W5361">
        <f>IF($T5361="","",IF($X5361&gt;N($X5360),$X5361,""))</f>
        <v/>
      </c>
      <c r="X5361">
        <f>IF($T5361="",N($X5360),IF(MATCH($T5361,$T$6:$T$6005,0)=ROW()-5,N($X5360)+1,N($X5360)))</f>
        <v/>
      </c>
      <c r="Z5361">
        <f>IF($V5361="","",IF($AA5361&gt;N($AA5360),$AA5361,""))</f>
        <v/>
      </c>
      <c r="AA5361">
        <f>IF($V5361="",N($AA5360),IF(MATCH($V5361,$V$6:$V$6005,0)=ROW()-5,N($AA5360)+1,N($AA5360)))</f>
        <v/>
      </c>
    </row>
    <row r="5362" ht="21" customHeight="1" s="66">
      <c r="A5362" s="56" t="n"/>
      <c r="B5362" s="57" t="n"/>
      <c r="C5362" s="57" t="n"/>
      <c r="D5362" s="57" t="n"/>
      <c r="E5362" s="56" t="n"/>
      <c r="F5362" s="57" t="n"/>
      <c r="G5362" s="57" t="n"/>
      <c r="H5362" s="56" t="n"/>
      <c r="I5362" s="56" t="n"/>
      <c r="J5362" s="58" t="n"/>
      <c r="K5362" s="58" t="n"/>
      <c r="L5362" s="13">
        <f>IF(OR($A5362="",AND($J5362="",$K5362="")),"",ROUND(N($J5362)-N($K5362),2))</f>
        <v/>
      </c>
      <c r="M5362" s="13">
        <f>IF(OR($A5362="",AND($J5362="",$K5362="")),"",MIN($J5362,$K5362))</f>
        <v/>
      </c>
      <c r="Q5362">
        <f>IF($A5362="","",$D5362&amp;"("&amp;SUBSTITUTE($E5362," ","")&amp;")")</f>
        <v/>
      </c>
      <c r="R5362">
        <f>IF($A5362="","",$B5362&amp;" - "&amp;$C5362)</f>
        <v/>
      </c>
      <c r="S5362">
        <f>IF($A5362="","",$R5362&amp;"|"&amp;$Q5362)</f>
        <v/>
      </c>
      <c r="T5362">
        <f>IF($A5362="","",$S5362&amp;"|"&amp;$F5362)</f>
        <v/>
      </c>
      <c r="U5362">
        <f>IF($A5362="","",$R5362&amp;"("&amp;$E5362&amp;")")</f>
        <v/>
      </c>
      <c r="V5362">
        <f>IF($A5362="","",$F5362&amp;"|"&amp;$U5362&amp;"|"&amp;$D5362)</f>
        <v/>
      </c>
      <c r="W5362">
        <f>IF($T5362="","",IF($X5362&gt;N($X5361),$X5362,""))</f>
        <v/>
      </c>
      <c r="X5362">
        <f>IF($T5362="",N($X5361),IF(MATCH($T5362,$T$6:$T$6005,0)=ROW()-5,N($X5361)+1,N($X5361)))</f>
        <v/>
      </c>
      <c r="Z5362">
        <f>IF($V5362="","",IF($AA5362&gt;N($AA5361),$AA5362,""))</f>
        <v/>
      </c>
      <c r="AA5362">
        <f>IF($V5362="",N($AA5361),IF(MATCH($V5362,$V$6:$V$6005,0)=ROW()-5,N($AA5361)+1,N($AA5361)))</f>
        <v/>
      </c>
    </row>
    <row r="5363" ht="21" customHeight="1" s="66">
      <c r="A5363" s="56" t="n"/>
      <c r="B5363" s="57" t="n"/>
      <c r="C5363" s="57" t="n"/>
      <c r="D5363" s="57" t="n"/>
      <c r="E5363" s="56" t="n"/>
      <c r="F5363" s="57" t="n"/>
      <c r="G5363" s="57" t="n"/>
      <c r="H5363" s="56" t="n"/>
      <c r="I5363" s="56" t="n"/>
      <c r="J5363" s="58" t="n"/>
      <c r="K5363" s="58" t="n"/>
      <c r="L5363" s="13">
        <f>IF(OR($A5363="",AND($J5363="",$K5363="")),"",ROUND(N($J5363)-N($K5363),2))</f>
        <v/>
      </c>
      <c r="M5363" s="13">
        <f>IF(OR($A5363="",AND($J5363="",$K5363="")),"",MIN($J5363,$K5363))</f>
        <v/>
      </c>
      <c r="Q5363">
        <f>IF($A5363="","",$D5363&amp;"("&amp;SUBSTITUTE($E5363," ","")&amp;")")</f>
        <v/>
      </c>
      <c r="R5363">
        <f>IF($A5363="","",$B5363&amp;" - "&amp;$C5363)</f>
        <v/>
      </c>
      <c r="S5363">
        <f>IF($A5363="","",$R5363&amp;"|"&amp;$Q5363)</f>
        <v/>
      </c>
      <c r="T5363">
        <f>IF($A5363="","",$S5363&amp;"|"&amp;$F5363)</f>
        <v/>
      </c>
      <c r="U5363">
        <f>IF($A5363="","",$R5363&amp;"("&amp;$E5363&amp;")")</f>
        <v/>
      </c>
      <c r="V5363">
        <f>IF($A5363="","",$F5363&amp;"|"&amp;$U5363&amp;"|"&amp;$D5363)</f>
        <v/>
      </c>
      <c r="W5363">
        <f>IF($T5363="","",IF($X5363&gt;N($X5362),$X5363,""))</f>
        <v/>
      </c>
      <c r="X5363">
        <f>IF($T5363="",N($X5362),IF(MATCH($T5363,$T$6:$T$6005,0)=ROW()-5,N($X5362)+1,N($X5362)))</f>
        <v/>
      </c>
      <c r="Z5363">
        <f>IF($V5363="","",IF($AA5363&gt;N($AA5362),$AA5363,""))</f>
        <v/>
      </c>
      <c r="AA5363">
        <f>IF($V5363="",N($AA5362),IF(MATCH($V5363,$V$6:$V$6005,0)=ROW()-5,N($AA5362)+1,N($AA5362)))</f>
        <v/>
      </c>
    </row>
    <row r="5364" ht="21" customHeight="1" s="66">
      <c r="A5364" s="56" t="n"/>
      <c r="B5364" s="57" t="n"/>
      <c r="C5364" s="57" t="n"/>
      <c r="D5364" s="57" t="n"/>
      <c r="E5364" s="56" t="n"/>
      <c r="F5364" s="57" t="n"/>
      <c r="G5364" s="57" t="n"/>
      <c r="H5364" s="56" t="n"/>
      <c r="I5364" s="56" t="n"/>
      <c r="J5364" s="58" t="n"/>
      <c r="K5364" s="58" t="n"/>
      <c r="L5364" s="13">
        <f>IF(OR($A5364="",AND($J5364="",$K5364="")),"",ROUND(N($J5364)-N($K5364),2))</f>
        <v/>
      </c>
      <c r="M5364" s="13">
        <f>IF(OR($A5364="",AND($J5364="",$K5364="")),"",MIN($J5364,$K5364))</f>
        <v/>
      </c>
      <c r="Q5364">
        <f>IF($A5364="","",$D5364&amp;"("&amp;SUBSTITUTE($E5364," ","")&amp;")")</f>
        <v/>
      </c>
      <c r="R5364">
        <f>IF($A5364="","",$B5364&amp;" - "&amp;$C5364)</f>
        <v/>
      </c>
      <c r="S5364">
        <f>IF($A5364="","",$R5364&amp;"|"&amp;$Q5364)</f>
        <v/>
      </c>
      <c r="T5364">
        <f>IF($A5364="","",$S5364&amp;"|"&amp;$F5364)</f>
        <v/>
      </c>
      <c r="U5364">
        <f>IF($A5364="","",$R5364&amp;"("&amp;$E5364&amp;")")</f>
        <v/>
      </c>
      <c r="V5364">
        <f>IF($A5364="","",$F5364&amp;"|"&amp;$U5364&amp;"|"&amp;$D5364)</f>
        <v/>
      </c>
      <c r="W5364">
        <f>IF($T5364="","",IF($X5364&gt;N($X5363),$X5364,""))</f>
        <v/>
      </c>
      <c r="X5364">
        <f>IF($T5364="",N($X5363),IF(MATCH($T5364,$T$6:$T$6005,0)=ROW()-5,N($X5363)+1,N($X5363)))</f>
        <v/>
      </c>
      <c r="Z5364">
        <f>IF($V5364="","",IF($AA5364&gt;N($AA5363),$AA5364,""))</f>
        <v/>
      </c>
      <c r="AA5364">
        <f>IF($V5364="",N($AA5363),IF(MATCH($V5364,$V$6:$V$6005,0)=ROW()-5,N($AA5363)+1,N($AA5363)))</f>
        <v/>
      </c>
    </row>
    <row r="5365" ht="21" customHeight="1" s="66">
      <c r="A5365" s="56" t="n"/>
      <c r="B5365" s="57" t="n"/>
      <c r="C5365" s="57" t="n"/>
      <c r="D5365" s="57" t="n"/>
      <c r="E5365" s="56" t="n"/>
      <c r="F5365" s="57" t="n"/>
      <c r="G5365" s="57" t="n"/>
      <c r="H5365" s="56" t="n"/>
      <c r="I5365" s="56" t="n"/>
      <c r="J5365" s="58" t="n"/>
      <c r="K5365" s="58" t="n"/>
      <c r="L5365" s="13">
        <f>IF(OR($A5365="",AND($J5365="",$K5365="")),"",ROUND(N($J5365)-N($K5365),2))</f>
        <v/>
      </c>
      <c r="M5365" s="13">
        <f>IF(OR($A5365="",AND($J5365="",$K5365="")),"",MIN($J5365,$K5365))</f>
        <v/>
      </c>
      <c r="Q5365">
        <f>IF($A5365="","",$D5365&amp;"("&amp;SUBSTITUTE($E5365," ","")&amp;")")</f>
        <v/>
      </c>
      <c r="R5365">
        <f>IF($A5365="","",$B5365&amp;" - "&amp;$C5365)</f>
        <v/>
      </c>
      <c r="S5365">
        <f>IF($A5365="","",$R5365&amp;"|"&amp;$Q5365)</f>
        <v/>
      </c>
      <c r="T5365">
        <f>IF($A5365="","",$S5365&amp;"|"&amp;$F5365)</f>
        <v/>
      </c>
      <c r="U5365">
        <f>IF($A5365="","",$R5365&amp;"("&amp;$E5365&amp;")")</f>
        <v/>
      </c>
      <c r="V5365">
        <f>IF($A5365="","",$F5365&amp;"|"&amp;$U5365&amp;"|"&amp;$D5365)</f>
        <v/>
      </c>
      <c r="W5365">
        <f>IF($T5365="","",IF($X5365&gt;N($X5364),$X5365,""))</f>
        <v/>
      </c>
      <c r="X5365">
        <f>IF($T5365="",N($X5364),IF(MATCH($T5365,$T$6:$T$6005,0)=ROW()-5,N($X5364)+1,N($X5364)))</f>
        <v/>
      </c>
      <c r="Z5365">
        <f>IF($V5365="","",IF($AA5365&gt;N($AA5364),$AA5365,""))</f>
        <v/>
      </c>
      <c r="AA5365">
        <f>IF($V5365="",N($AA5364),IF(MATCH($V5365,$V$6:$V$6005,0)=ROW()-5,N($AA5364)+1,N($AA5364)))</f>
        <v/>
      </c>
    </row>
    <row r="5366" ht="21" customHeight="1" s="66">
      <c r="A5366" s="56" t="n"/>
      <c r="B5366" s="57" t="n"/>
      <c r="C5366" s="57" t="n"/>
      <c r="D5366" s="57" t="n"/>
      <c r="E5366" s="56" t="n"/>
      <c r="F5366" s="57" t="n"/>
      <c r="G5366" s="57" t="n"/>
      <c r="H5366" s="56" t="n"/>
      <c r="I5366" s="56" t="n"/>
      <c r="J5366" s="58" t="n"/>
      <c r="K5366" s="58" t="n"/>
      <c r="L5366" s="13">
        <f>IF(OR($A5366="",AND($J5366="",$K5366="")),"",ROUND(N($J5366)-N($K5366),2))</f>
        <v/>
      </c>
      <c r="M5366" s="13">
        <f>IF(OR($A5366="",AND($J5366="",$K5366="")),"",MIN($J5366,$K5366))</f>
        <v/>
      </c>
      <c r="Q5366">
        <f>IF($A5366="","",$D5366&amp;"("&amp;SUBSTITUTE($E5366," ","")&amp;")")</f>
        <v/>
      </c>
      <c r="R5366">
        <f>IF($A5366="","",$B5366&amp;" - "&amp;$C5366)</f>
        <v/>
      </c>
      <c r="S5366">
        <f>IF($A5366="","",$R5366&amp;"|"&amp;$Q5366)</f>
        <v/>
      </c>
      <c r="T5366">
        <f>IF($A5366="","",$S5366&amp;"|"&amp;$F5366)</f>
        <v/>
      </c>
      <c r="U5366">
        <f>IF($A5366="","",$R5366&amp;"("&amp;$E5366&amp;")")</f>
        <v/>
      </c>
      <c r="V5366">
        <f>IF($A5366="","",$F5366&amp;"|"&amp;$U5366&amp;"|"&amp;$D5366)</f>
        <v/>
      </c>
      <c r="W5366">
        <f>IF($T5366="","",IF($X5366&gt;N($X5365),$X5366,""))</f>
        <v/>
      </c>
      <c r="X5366">
        <f>IF($T5366="",N($X5365),IF(MATCH($T5366,$T$6:$T$6005,0)=ROW()-5,N($X5365)+1,N($X5365)))</f>
        <v/>
      </c>
      <c r="Z5366">
        <f>IF($V5366="","",IF($AA5366&gt;N($AA5365),$AA5366,""))</f>
        <v/>
      </c>
      <c r="AA5366">
        <f>IF($V5366="",N($AA5365),IF(MATCH($V5366,$V$6:$V$6005,0)=ROW()-5,N($AA5365)+1,N($AA5365)))</f>
        <v/>
      </c>
    </row>
    <row r="5367" ht="21" customHeight="1" s="66">
      <c r="A5367" s="56" t="n"/>
      <c r="B5367" s="57" t="n"/>
      <c r="C5367" s="57" t="n"/>
      <c r="D5367" s="57" t="n"/>
      <c r="E5367" s="56" t="n"/>
      <c r="F5367" s="57" t="n"/>
      <c r="G5367" s="57" t="n"/>
      <c r="H5367" s="56" t="n"/>
      <c r="I5367" s="56" t="n"/>
      <c r="J5367" s="58" t="n"/>
      <c r="K5367" s="58" t="n"/>
      <c r="L5367" s="13">
        <f>IF(OR($A5367="",AND($J5367="",$K5367="")),"",ROUND(N($J5367)-N($K5367),2))</f>
        <v/>
      </c>
      <c r="M5367" s="13">
        <f>IF(OR($A5367="",AND($J5367="",$K5367="")),"",MIN($J5367,$K5367))</f>
        <v/>
      </c>
      <c r="Q5367">
        <f>IF($A5367="","",$D5367&amp;"("&amp;SUBSTITUTE($E5367," ","")&amp;")")</f>
        <v/>
      </c>
      <c r="R5367">
        <f>IF($A5367="","",$B5367&amp;" - "&amp;$C5367)</f>
        <v/>
      </c>
      <c r="S5367">
        <f>IF($A5367="","",$R5367&amp;"|"&amp;$Q5367)</f>
        <v/>
      </c>
      <c r="T5367">
        <f>IF($A5367="","",$S5367&amp;"|"&amp;$F5367)</f>
        <v/>
      </c>
      <c r="U5367">
        <f>IF($A5367="","",$R5367&amp;"("&amp;$E5367&amp;")")</f>
        <v/>
      </c>
      <c r="V5367">
        <f>IF($A5367="","",$F5367&amp;"|"&amp;$U5367&amp;"|"&amp;$D5367)</f>
        <v/>
      </c>
      <c r="W5367">
        <f>IF($T5367="","",IF($X5367&gt;N($X5366),$X5367,""))</f>
        <v/>
      </c>
      <c r="X5367">
        <f>IF($T5367="",N($X5366),IF(MATCH($T5367,$T$6:$T$6005,0)=ROW()-5,N($X5366)+1,N($X5366)))</f>
        <v/>
      </c>
      <c r="Z5367">
        <f>IF($V5367="","",IF($AA5367&gt;N($AA5366),$AA5367,""))</f>
        <v/>
      </c>
      <c r="AA5367">
        <f>IF($V5367="",N($AA5366),IF(MATCH($V5367,$V$6:$V$6005,0)=ROW()-5,N($AA5366)+1,N($AA5366)))</f>
        <v/>
      </c>
    </row>
    <row r="5368" ht="21" customHeight="1" s="66">
      <c r="A5368" s="56" t="n"/>
      <c r="B5368" s="57" t="n"/>
      <c r="C5368" s="57" t="n"/>
      <c r="D5368" s="57" t="n"/>
      <c r="E5368" s="56" t="n"/>
      <c r="F5368" s="57" t="n"/>
      <c r="G5368" s="57" t="n"/>
      <c r="H5368" s="56" t="n"/>
      <c r="I5368" s="56" t="n"/>
      <c r="J5368" s="58" t="n"/>
      <c r="K5368" s="58" t="n"/>
      <c r="L5368" s="13">
        <f>IF(OR($A5368="",AND($J5368="",$K5368="")),"",ROUND(N($J5368)-N($K5368),2))</f>
        <v/>
      </c>
      <c r="M5368" s="13">
        <f>IF(OR($A5368="",AND($J5368="",$K5368="")),"",MIN($J5368,$K5368))</f>
        <v/>
      </c>
      <c r="Q5368">
        <f>IF($A5368="","",$D5368&amp;"("&amp;SUBSTITUTE($E5368," ","")&amp;")")</f>
        <v/>
      </c>
      <c r="R5368">
        <f>IF($A5368="","",$B5368&amp;" - "&amp;$C5368)</f>
        <v/>
      </c>
      <c r="S5368">
        <f>IF($A5368="","",$R5368&amp;"|"&amp;$Q5368)</f>
        <v/>
      </c>
      <c r="T5368">
        <f>IF($A5368="","",$S5368&amp;"|"&amp;$F5368)</f>
        <v/>
      </c>
      <c r="U5368">
        <f>IF($A5368="","",$R5368&amp;"("&amp;$E5368&amp;")")</f>
        <v/>
      </c>
      <c r="V5368">
        <f>IF($A5368="","",$F5368&amp;"|"&amp;$U5368&amp;"|"&amp;$D5368)</f>
        <v/>
      </c>
      <c r="W5368">
        <f>IF($T5368="","",IF($X5368&gt;N($X5367),$X5368,""))</f>
        <v/>
      </c>
      <c r="X5368">
        <f>IF($T5368="",N($X5367),IF(MATCH($T5368,$T$6:$T$6005,0)=ROW()-5,N($X5367)+1,N($X5367)))</f>
        <v/>
      </c>
      <c r="Z5368">
        <f>IF($V5368="","",IF($AA5368&gt;N($AA5367),$AA5368,""))</f>
        <v/>
      </c>
      <c r="AA5368">
        <f>IF($V5368="",N($AA5367),IF(MATCH($V5368,$V$6:$V$6005,0)=ROW()-5,N($AA5367)+1,N($AA5367)))</f>
        <v/>
      </c>
    </row>
    <row r="5369" ht="21" customHeight="1" s="66">
      <c r="A5369" s="56" t="n"/>
      <c r="B5369" s="57" t="n"/>
      <c r="C5369" s="57" t="n"/>
      <c r="D5369" s="57" t="n"/>
      <c r="E5369" s="56" t="n"/>
      <c r="F5369" s="57" t="n"/>
      <c r="G5369" s="57" t="n"/>
      <c r="H5369" s="56" t="n"/>
      <c r="I5369" s="56" t="n"/>
      <c r="J5369" s="58" t="n"/>
      <c r="K5369" s="58" t="n"/>
      <c r="L5369" s="13">
        <f>IF(OR($A5369="",AND($J5369="",$K5369="")),"",ROUND(N($J5369)-N($K5369),2))</f>
        <v/>
      </c>
      <c r="M5369" s="13">
        <f>IF(OR($A5369="",AND($J5369="",$K5369="")),"",MIN($J5369,$K5369))</f>
        <v/>
      </c>
      <c r="Q5369">
        <f>IF($A5369="","",$D5369&amp;"("&amp;SUBSTITUTE($E5369," ","")&amp;")")</f>
        <v/>
      </c>
      <c r="R5369">
        <f>IF($A5369="","",$B5369&amp;" - "&amp;$C5369)</f>
        <v/>
      </c>
      <c r="S5369">
        <f>IF($A5369="","",$R5369&amp;"|"&amp;$Q5369)</f>
        <v/>
      </c>
      <c r="T5369">
        <f>IF($A5369="","",$S5369&amp;"|"&amp;$F5369)</f>
        <v/>
      </c>
      <c r="U5369">
        <f>IF($A5369="","",$R5369&amp;"("&amp;$E5369&amp;")")</f>
        <v/>
      </c>
      <c r="V5369">
        <f>IF($A5369="","",$F5369&amp;"|"&amp;$U5369&amp;"|"&amp;$D5369)</f>
        <v/>
      </c>
      <c r="W5369">
        <f>IF($T5369="","",IF($X5369&gt;N($X5368),$X5369,""))</f>
        <v/>
      </c>
      <c r="X5369">
        <f>IF($T5369="",N($X5368),IF(MATCH($T5369,$T$6:$T$6005,0)=ROW()-5,N($X5368)+1,N($X5368)))</f>
        <v/>
      </c>
      <c r="Z5369">
        <f>IF($V5369="","",IF($AA5369&gt;N($AA5368),$AA5369,""))</f>
        <v/>
      </c>
      <c r="AA5369">
        <f>IF($V5369="",N($AA5368),IF(MATCH($V5369,$V$6:$V$6005,0)=ROW()-5,N($AA5368)+1,N($AA5368)))</f>
        <v/>
      </c>
    </row>
    <row r="5370" ht="21" customHeight="1" s="66">
      <c r="A5370" s="56" t="n"/>
      <c r="B5370" s="57" t="n"/>
      <c r="C5370" s="57" t="n"/>
      <c r="D5370" s="57" t="n"/>
      <c r="E5370" s="56" t="n"/>
      <c r="F5370" s="57" t="n"/>
      <c r="G5370" s="57" t="n"/>
      <c r="H5370" s="56" t="n"/>
      <c r="I5370" s="56" t="n"/>
      <c r="J5370" s="58" t="n"/>
      <c r="K5370" s="58" t="n"/>
      <c r="L5370" s="13">
        <f>IF(OR($A5370="",AND($J5370="",$K5370="")),"",ROUND(N($J5370)-N($K5370),2))</f>
        <v/>
      </c>
      <c r="M5370" s="13">
        <f>IF(OR($A5370="",AND($J5370="",$K5370="")),"",MIN($J5370,$K5370))</f>
        <v/>
      </c>
      <c r="Q5370">
        <f>IF($A5370="","",$D5370&amp;"("&amp;SUBSTITUTE($E5370," ","")&amp;")")</f>
        <v/>
      </c>
      <c r="R5370">
        <f>IF($A5370="","",$B5370&amp;" - "&amp;$C5370)</f>
        <v/>
      </c>
      <c r="S5370">
        <f>IF($A5370="","",$R5370&amp;"|"&amp;$Q5370)</f>
        <v/>
      </c>
      <c r="T5370">
        <f>IF($A5370="","",$S5370&amp;"|"&amp;$F5370)</f>
        <v/>
      </c>
      <c r="U5370">
        <f>IF($A5370="","",$R5370&amp;"("&amp;$E5370&amp;")")</f>
        <v/>
      </c>
      <c r="V5370">
        <f>IF($A5370="","",$F5370&amp;"|"&amp;$U5370&amp;"|"&amp;$D5370)</f>
        <v/>
      </c>
      <c r="W5370">
        <f>IF($T5370="","",IF($X5370&gt;N($X5369),$X5370,""))</f>
        <v/>
      </c>
      <c r="X5370">
        <f>IF($T5370="",N($X5369),IF(MATCH($T5370,$T$6:$T$6005,0)=ROW()-5,N($X5369)+1,N($X5369)))</f>
        <v/>
      </c>
      <c r="Z5370">
        <f>IF($V5370="","",IF($AA5370&gt;N($AA5369),$AA5370,""))</f>
        <v/>
      </c>
      <c r="AA5370">
        <f>IF($V5370="",N($AA5369),IF(MATCH($V5370,$V$6:$V$6005,0)=ROW()-5,N($AA5369)+1,N($AA5369)))</f>
        <v/>
      </c>
    </row>
    <row r="5371" ht="21" customHeight="1" s="66">
      <c r="A5371" s="56" t="n"/>
      <c r="B5371" s="57" t="n"/>
      <c r="C5371" s="57" t="n"/>
      <c r="D5371" s="57" t="n"/>
      <c r="E5371" s="56" t="n"/>
      <c r="F5371" s="57" t="n"/>
      <c r="G5371" s="57" t="n"/>
      <c r="H5371" s="56" t="n"/>
      <c r="I5371" s="56" t="n"/>
      <c r="J5371" s="58" t="n"/>
      <c r="K5371" s="58" t="n"/>
      <c r="L5371" s="13">
        <f>IF(OR($A5371="",AND($J5371="",$K5371="")),"",ROUND(N($J5371)-N($K5371),2))</f>
        <v/>
      </c>
      <c r="M5371" s="13">
        <f>IF(OR($A5371="",AND($J5371="",$K5371="")),"",MIN($J5371,$K5371))</f>
        <v/>
      </c>
      <c r="Q5371">
        <f>IF($A5371="","",$D5371&amp;"("&amp;SUBSTITUTE($E5371," ","")&amp;")")</f>
        <v/>
      </c>
      <c r="R5371">
        <f>IF($A5371="","",$B5371&amp;" - "&amp;$C5371)</f>
        <v/>
      </c>
      <c r="S5371">
        <f>IF($A5371="","",$R5371&amp;"|"&amp;$Q5371)</f>
        <v/>
      </c>
      <c r="T5371">
        <f>IF($A5371="","",$S5371&amp;"|"&amp;$F5371)</f>
        <v/>
      </c>
      <c r="U5371">
        <f>IF($A5371="","",$R5371&amp;"("&amp;$E5371&amp;")")</f>
        <v/>
      </c>
      <c r="V5371">
        <f>IF($A5371="","",$F5371&amp;"|"&amp;$U5371&amp;"|"&amp;$D5371)</f>
        <v/>
      </c>
      <c r="W5371">
        <f>IF($T5371="","",IF($X5371&gt;N($X5370),$X5371,""))</f>
        <v/>
      </c>
      <c r="X5371">
        <f>IF($T5371="",N($X5370),IF(MATCH($T5371,$T$6:$T$6005,0)=ROW()-5,N($X5370)+1,N($X5370)))</f>
        <v/>
      </c>
      <c r="Z5371">
        <f>IF($V5371="","",IF($AA5371&gt;N($AA5370),$AA5371,""))</f>
        <v/>
      </c>
      <c r="AA5371">
        <f>IF($V5371="",N($AA5370),IF(MATCH($V5371,$V$6:$V$6005,0)=ROW()-5,N($AA5370)+1,N($AA5370)))</f>
        <v/>
      </c>
    </row>
    <row r="5372" ht="21" customHeight="1" s="66">
      <c r="A5372" s="56" t="n"/>
      <c r="B5372" s="57" t="n"/>
      <c r="C5372" s="57" t="n"/>
      <c r="D5372" s="57" t="n"/>
      <c r="E5372" s="56" t="n"/>
      <c r="F5372" s="57" t="n"/>
      <c r="G5372" s="57" t="n"/>
      <c r="H5372" s="56" t="n"/>
      <c r="I5372" s="56" t="n"/>
      <c r="J5372" s="58" t="n"/>
      <c r="K5372" s="58" t="n"/>
      <c r="L5372" s="13">
        <f>IF(OR($A5372="",AND($J5372="",$K5372="")),"",ROUND(N($J5372)-N($K5372),2))</f>
        <v/>
      </c>
      <c r="M5372" s="13">
        <f>IF(OR($A5372="",AND($J5372="",$K5372="")),"",MIN($J5372,$K5372))</f>
        <v/>
      </c>
      <c r="Q5372">
        <f>IF($A5372="","",$D5372&amp;"("&amp;SUBSTITUTE($E5372," ","")&amp;")")</f>
        <v/>
      </c>
      <c r="R5372">
        <f>IF($A5372="","",$B5372&amp;" - "&amp;$C5372)</f>
        <v/>
      </c>
      <c r="S5372">
        <f>IF($A5372="","",$R5372&amp;"|"&amp;$Q5372)</f>
        <v/>
      </c>
      <c r="T5372">
        <f>IF($A5372="","",$S5372&amp;"|"&amp;$F5372)</f>
        <v/>
      </c>
      <c r="U5372">
        <f>IF($A5372="","",$R5372&amp;"("&amp;$E5372&amp;")")</f>
        <v/>
      </c>
      <c r="V5372">
        <f>IF($A5372="","",$F5372&amp;"|"&amp;$U5372&amp;"|"&amp;$D5372)</f>
        <v/>
      </c>
      <c r="W5372">
        <f>IF($T5372="","",IF($X5372&gt;N($X5371),$X5372,""))</f>
        <v/>
      </c>
      <c r="X5372">
        <f>IF($T5372="",N($X5371),IF(MATCH($T5372,$T$6:$T$6005,0)=ROW()-5,N($X5371)+1,N($X5371)))</f>
        <v/>
      </c>
      <c r="Z5372">
        <f>IF($V5372="","",IF($AA5372&gt;N($AA5371),$AA5372,""))</f>
        <v/>
      </c>
      <c r="AA5372">
        <f>IF($V5372="",N($AA5371),IF(MATCH($V5372,$V$6:$V$6005,0)=ROW()-5,N($AA5371)+1,N($AA5371)))</f>
        <v/>
      </c>
    </row>
    <row r="5373" ht="21" customHeight="1" s="66">
      <c r="A5373" s="56" t="n"/>
      <c r="B5373" s="57" t="n"/>
      <c r="C5373" s="57" t="n"/>
      <c r="D5373" s="57" t="n"/>
      <c r="E5373" s="56" t="n"/>
      <c r="F5373" s="57" t="n"/>
      <c r="G5373" s="57" t="n"/>
      <c r="H5373" s="56" t="n"/>
      <c r="I5373" s="56" t="n"/>
      <c r="J5373" s="58" t="n"/>
      <c r="K5373" s="58" t="n"/>
      <c r="L5373" s="13">
        <f>IF(OR($A5373="",AND($J5373="",$K5373="")),"",ROUND(N($J5373)-N($K5373),2))</f>
        <v/>
      </c>
      <c r="M5373" s="13">
        <f>IF(OR($A5373="",AND($J5373="",$K5373="")),"",MIN($J5373,$K5373))</f>
        <v/>
      </c>
      <c r="Q5373">
        <f>IF($A5373="","",$D5373&amp;"("&amp;SUBSTITUTE($E5373," ","")&amp;")")</f>
        <v/>
      </c>
      <c r="R5373">
        <f>IF($A5373="","",$B5373&amp;" - "&amp;$C5373)</f>
        <v/>
      </c>
      <c r="S5373">
        <f>IF($A5373="","",$R5373&amp;"|"&amp;$Q5373)</f>
        <v/>
      </c>
      <c r="T5373">
        <f>IF($A5373="","",$S5373&amp;"|"&amp;$F5373)</f>
        <v/>
      </c>
      <c r="U5373">
        <f>IF($A5373="","",$R5373&amp;"("&amp;$E5373&amp;")")</f>
        <v/>
      </c>
      <c r="V5373">
        <f>IF($A5373="","",$F5373&amp;"|"&amp;$U5373&amp;"|"&amp;$D5373)</f>
        <v/>
      </c>
      <c r="W5373">
        <f>IF($T5373="","",IF($X5373&gt;N($X5372),$X5373,""))</f>
        <v/>
      </c>
      <c r="X5373">
        <f>IF($T5373="",N($X5372),IF(MATCH($T5373,$T$6:$T$6005,0)=ROW()-5,N($X5372)+1,N($X5372)))</f>
        <v/>
      </c>
      <c r="Z5373">
        <f>IF($V5373="","",IF($AA5373&gt;N($AA5372),$AA5373,""))</f>
        <v/>
      </c>
      <c r="AA5373">
        <f>IF($V5373="",N($AA5372),IF(MATCH($V5373,$V$6:$V$6005,0)=ROW()-5,N($AA5372)+1,N($AA5372)))</f>
        <v/>
      </c>
    </row>
    <row r="5374" ht="21" customHeight="1" s="66">
      <c r="A5374" s="56" t="n"/>
      <c r="B5374" s="57" t="n"/>
      <c r="C5374" s="57" t="n"/>
      <c r="D5374" s="57" t="n"/>
      <c r="E5374" s="56" t="n"/>
      <c r="F5374" s="57" t="n"/>
      <c r="G5374" s="57" t="n"/>
      <c r="H5374" s="56" t="n"/>
      <c r="I5374" s="56" t="n"/>
      <c r="J5374" s="58" t="n"/>
      <c r="K5374" s="58" t="n"/>
      <c r="L5374" s="13">
        <f>IF(OR($A5374="",AND($J5374="",$K5374="")),"",ROUND(N($J5374)-N($K5374),2))</f>
        <v/>
      </c>
      <c r="M5374" s="13">
        <f>IF(OR($A5374="",AND($J5374="",$K5374="")),"",MIN($J5374,$K5374))</f>
        <v/>
      </c>
      <c r="Q5374">
        <f>IF($A5374="","",$D5374&amp;"("&amp;SUBSTITUTE($E5374," ","")&amp;")")</f>
        <v/>
      </c>
      <c r="R5374">
        <f>IF($A5374="","",$B5374&amp;" - "&amp;$C5374)</f>
        <v/>
      </c>
      <c r="S5374">
        <f>IF($A5374="","",$R5374&amp;"|"&amp;$Q5374)</f>
        <v/>
      </c>
      <c r="T5374">
        <f>IF($A5374="","",$S5374&amp;"|"&amp;$F5374)</f>
        <v/>
      </c>
      <c r="U5374">
        <f>IF($A5374="","",$R5374&amp;"("&amp;$E5374&amp;")")</f>
        <v/>
      </c>
      <c r="V5374">
        <f>IF($A5374="","",$F5374&amp;"|"&amp;$U5374&amp;"|"&amp;$D5374)</f>
        <v/>
      </c>
      <c r="W5374">
        <f>IF($T5374="","",IF($X5374&gt;N($X5373),$X5374,""))</f>
        <v/>
      </c>
      <c r="X5374">
        <f>IF($T5374="",N($X5373),IF(MATCH($T5374,$T$6:$T$6005,0)=ROW()-5,N($X5373)+1,N($X5373)))</f>
        <v/>
      </c>
      <c r="Z5374">
        <f>IF($V5374="","",IF($AA5374&gt;N($AA5373),$AA5374,""))</f>
        <v/>
      </c>
      <c r="AA5374">
        <f>IF($V5374="",N($AA5373),IF(MATCH($V5374,$V$6:$V$6005,0)=ROW()-5,N($AA5373)+1,N($AA5373)))</f>
        <v/>
      </c>
    </row>
    <row r="5375" ht="21" customHeight="1" s="66">
      <c r="A5375" s="56" t="n"/>
      <c r="B5375" s="57" t="n"/>
      <c r="C5375" s="57" t="n"/>
      <c r="D5375" s="57" t="n"/>
      <c r="E5375" s="56" t="n"/>
      <c r="F5375" s="57" t="n"/>
      <c r="G5375" s="57" t="n"/>
      <c r="H5375" s="56" t="n"/>
      <c r="I5375" s="56" t="n"/>
      <c r="J5375" s="58" t="n"/>
      <c r="K5375" s="58" t="n"/>
      <c r="L5375" s="13">
        <f>IF(OR($A5375="",AND($J5375="",$K5375="")),"",ROUND(N($J5375)-N($K5375),2))</f>
        <v/>
      </c>
      <c r="M5375" s="13">
        <f>IF(OR($A5375="",AND($J5375="",$K5375="")),"",MIN($J5375,$K5375))</f>
        <v/>
      </c>
      <c r="Q5375">
        <f>IF($A5375="","",$D5375&amp;"("&amp;SUBSTITUTE($E5375," ","")&amp;")")</f>
        <v/>
      </c>
      <c r="R5375">
        <f>IF($A5375="","",$B5375&amp;" - "&amp;$C5375)</f>
        <v/>
      </c>
      <c r="S5375">
        <f>IF($A5375="","",$R5375&amp;"|"&amp;$Q5375)</f>
        <v/>
      </c>
      <c r="T5375">
        <f>IF($A5375="","",$S5375&amp;"|"&amp;$F5375)</f>
        <v/>
      </c>
      <c r="U5375">
        <f>IF($A5375="","",$R5375&amp;"("&amp;$E5375&amp;")")</f>
        <v/>
      </c>
      <c r="V5375">
        <f>IF($A5375="","",$F5375&amp;"|"&amp;$U5375&amp;"|"&amp;$D5375)</f>
        <v/>
      </c>
      <c r="W5375">
        <f>IF($T5375="","",IF($X5375&gt;N($X5374),$X5375,""))</f>
        <v/>
      </c>
      <c r="X5375">
        <f>IF($T5375="",N($X5374),IF(MATCH($T5375,$T$6:$T$6005,0)=ROW()-5,N($X5374)+1,N($X5374)))</f>
        <v/>
      </c>
      <c r="Z5375">
        <f>IF($V5375="","",IF($AA5375&gt;N($AA5374),$AA5375,""))</f>
        <v/>
      </c>
      <c r="AA5375">
        <f>IF($V5375="",N($AA5374),IF(MATCH($V5375,$V$6:$V$6005,0)=ROW()-5,N($AA5374)+1,N($AA5374)))</f>
        <v/>
      </c>
    </row>
    <row r="5376" ht="21" customHeight="1" s="66">
      <c r="A5376" s="56" t="n"/>
      <c r="B5376" s="57" t="n"/>
      <c r="C5376" s="57" t="n"/>
      <c r="D5376" s="57" t="n"/>
      <c r="E5376" s="56" t="n"/>
      <c r="F5376" s="57" t="n"/>
      <c r="G5376" s="57" t="n"/>
      <c r="H5376" s="56" t="n"/>
      <c r="I5376" s="56" t="n"/>
      <c r="J5376" s="58" t="n"/>
      <c r="K5376" s="58" t="n"/>
      <c r="L5376" s="13">
        <f>IF(OR($A5376="",AND($J5376="",$K5376="")),"",ROUND(N($J5376)-N($K5376),2))</f>
        <v/>
      </c>
      <c r="M5376" s="13">
        <f>IF(OR($A5376="",AND($J5376="",$K5376="")),"",MIN($J5376,$K5376))</f>
        <v/>
      </c>
      <c r="Q5376">
        <f>IF($A5376="","",$D5376&amp;"("&amp;SUBSTITUTE($E5376," ","")&amp;")")</f>
        <v/>
      </c>
      <c r="R5376">
        <f>IF($A5376="","",$B5376&amp;" - "&amp;$C5376)</f>
        <v/>
      </c>
      <c r="S5376">
        <f>IF($A5376="","",$R5376&amp;"|"&amp;$Q5376)</f>
        <v/>
      </c>
      <c r="T5376">
        <f>IF($A5376="","",$S5376&amp;"|"&amp;$F5376)</f>
        <v/>
      </c>
      <c r="U5376">
        <f>IF($A5376="","",$R5376&amp;"("&amp;$E5376&amp;")")</f>
        <v/>
      </c>
      <c r="V5376">
        <f>IF($A5376="","",$F5376&amp;"|"&amp;$U5376&amp;"|"&amp;$D5376)</f>
        <v/>
      </c>
      <c r="W5376">
        <f>IF($T5376="","",IF($X5376&gt;N($X5375),$X5376,""))</f>
        <v/>
      </c>
      <c r="X5376">
        <f>IF($T5376="",N($X5375),IF(MATCH($T5376,$T$6:$T$6005,0)=ROW()-5,N($X5375)+1,N($X5375)))</f>
        <v/>
      </c>
      <c r="Z5376">
        <f>IF($V5376="","",IF($AA5376&gt;N($AA5375),$AA5376,""))</f>
        <v/>
      </c>
      <c r="AA5376">
        <f>IF($V5376="",N($AA5375),IF(MATCH($V5376,$V$6:$V$6005,0)=ROW()-5,N($AA5375)+1,N($AA5375)))</f>
        <v/>
      </c>
    </row>
    <row r="5377" ht="21" customHeight="1" s="66">
      <c r="A5377" s="56" t="n"/>
      <c r="B5377" s="57" t="n"/>
      <c r="C5377" s="57" t="n"/>
      <c r="D5377" s="57" t="n"/>
      <c r="E5377" s="56" t="n"/>
      <c r="F5377" s="57" t="n"/>
      <c r="G5377" s="57" t="n"/>
      <c r="H5377" s="56" t="n"/>
      <c r="I5377" s="56" t="n"/>
      <c r="J5377" s="58" t="n"/>
      <c r="K5377" s="58" t="n"/>
      <c r="L5377" s="13">
        <f>IF(OR($A5377="",AND($J5377="",$K5377="")),"",ROUND(N($J5377)-N($K5377),2))</f>
        <v/>
      </c>
      <c r="M5377" s="13">
        <f>IF(OR($A5377="",AND($J5377="",$K5377="")),"",MIN($J5377,$K5377))</f>
        <v/>
      </c>
      <c r="Q5377">
        <f>IF($A5377="","",$D5377&amp;"("&amp;SUBSTITUTE($E5377," ","")&amp;")")</f>
        <v/>
      </c>
      <c r="R5377">
        <f>IF($A5377="","",$B5377&amp;" - "&amp;$C5377)</f>
        <v/>
      </c>
      <c r="S5377">
        <f>IF($A5377="","",$R5377&amp;"|"&amp;$Q5377)</f>
        <v/>
      </c>
      <c r="T5377">
        <f>IF($A5377="","",$S5377&amp;"|"&amp;$F5377)</f>
        <v/>
      </c>
      <c r="U5377">
        <f>IF($A5377="","",$R5377&amp;"("&amp;$E5377&amp;")")</f>
        <v/>
      </c>
      <c r="V5377">
        <f>IF($A5377="","",$F5377&amp;"|"&amp;$U5377&amp;"|"&amp;$D5377)</f>
        <v/>
      </c>
      <c r="W5377">
        <f>IF($T5377="","",IF($X5377&gt;N($X5376),$X5377,""))</f>
        <v/>
      </c>
      <c r="X5377">
        <f>IF($T5377="",N($X5376),IF(MATCH($T5377,$T$6:$T$6005,0)=ROW()-5,N($X5376)+1,N($X5376)))</f>
        <v/>
      </c>
      <c r="Z5377">
        <f>IF($V5377="","",IF($AA5377&gt;N($AA5376),$AA5377,""))</f>
        <v/>
      </c>
      <c r="AA5377">
        <f>IF($V5377="",N($AA5376),IF(MATCH($V5377,$V$6:$V$6005,0)=ROW()-5,N($AA5376)+1,N($AA5376)))</f>
        <v/>
      </c>
    </row>
    <row r="5378" ht="21" customHeight="1" s="66">
      <c r="A5378" s="56" t="n"/>
      <c r="B5378" s="57" t="n"/>
      <c r="C5378" s="57" t="n"/>
      <c r="D5378" s="57" t="n"/>
      <c r="E5378" s="56" t="n"/>
      <c r="F5378" s="57" t="n"/>
      <c r="G5378" s="57" t="n"/>
      <c r="H5378" s="56" t="n"/>
      <c r="I5378" s="56" t="n"/>
      <c r="J5378" s="58" t="n"/>
      <c r="K5378" s="58" t="n"/>
      <c r="L5378" s="13">
        <f>IF(OR($A5378="",AND($J5378="",$K5378="")),"",ROUND(N($J5378)-N($K5378),2))</f>
        <v/>
      </c>
      <c r="M5378" s="13">
        <f>IF(OR($A5378="",AND($J5378="",$K5378="")),"",MIN($J5378,$K5378))</f>
        <v/>
      </c>
      <c r="Q5378">
        <f>IF($A5378="","",$D5378&amp;"("&amp;SUBSTITUTE($E5378," ","")&amp;")")</f>
        <v/>
      </c>
      <c r="R5378">
        <f>IF($A5378="","",$B5378&amp;" - "&amp;$C5378)</f>
        <v/>
      </c>
      <c r="S5378">
        <f>IF($A5378="","",$R5378&amp;"|"&amp;$Q5378)</f>
        <v/>
      </c>
      <c r="T5378">
        <f>IF($A5378="","",$S5378&amp;"|"&amp;$F5378)</f>
        <v/>
      </c>
      <c r="U5378">
        <f>IF($A5378="","",$R5378&amp;"("&amp;$E5378&amp;")")</f>
        <v/>
      </c>
      <c r="V5378">
        <f>IF($A5378="","",$F5378&amp;"|"&amp;$U5378&amp;"|"&amp;$D5378)</f>
        <v/>
      </c>
      <c r="W5378">
        <f>IF($T5378="","",IF($X5378&gt;N($X5377),$X5378,""))</f>
        <v/>
      </c>
      <c r="X5378">
        <f>IF($T5378="",N($X5377),IF(MATCH($T5378,$T$6:$T$6005,0)=ROW()-5,N($X5377)+1,N($X5377)))</f>
        <v/>
      </c>
      <c r="Z5378">
        <f>IF($V5378="","",IF($AA5378&gt;N($AA5377),$AA5378,""))</f>
        <v/>
      </c>
      <c r="AA5378">
        <f>IF($V5378="",N($AA5377),IF(MATCH($V5378,$V$6:$V$6005,0)=ROW()-5,N($AA5377)+1,N($AA5377)))</f>
        <v/>
      </c>
    </row>
    <row r="5379" ht="21" customHeight="1" s="66">
      <c r="A5379" s="56" t="n"/>
      <c r="B5379" s="57" t="n"/>
      <c r="C5379" s="57" t="n"/>
      <c r="D5379" s="57" t="n"/>
      <c r="E5379" s="56" t="n"/>
      <c r="F5379" s="57" t="n"/>
      <c r="G5379" s="57" t="n"/>
      <c r="H5379" s="56" t="n"/>
      <c r="I5379" s="56" t="n"/>
      <c r="J5379" s="58" t="n"/>
      <c r="K5379" s="58" t="n"/>
      <c r="L5379" s="13">
        <f>IF(OR($A5379="",AND($J5379="",$K5379="")),"",ROUND(N($J5379)-N($K5379),2))</f>
        <v/>
      </c>
      <c r="M5379" s="13">
        <f>IF(OR($A5379="",AND($J5379="",$K5379="")),"",MIN($J5379,$K5379))</f>
        <v/>
      </c>
      <c r="Q5379">
        <f>IF($A5379="","",$D5379&amp;"("&amp;SUBSTITUTE($E5379," ","")&amp;")")</f>
        <v/>
      </c>
      <c r="R5379">
        <f>IF($A5379="","",$B5379&amp;" - "&amp;$C5379)</f>
        <v/>
      </c>
      <c r="S5379">
        <f>IF($A5379="","",$R5379&amp;"|"&amp;$Q5379)</f>
        <v/>
      </c>
      <c r="T5379">
        <f>IF($A5379="","",$S5379&amp;"|"&amp;$F5379)</f>
        <v/>
      </c>
      <c r="U5379">
        <f>IF($A5379="","",$R5379&amp;"("&amp;$E5379&amp;")")</f>
        <v/>
      </c>
      <c r="V5379">
        <f>IF($A5379="","",$F5379&amp;"|"&amp;$U5379&amp;"|"&amp;$D5379)</f>
        <v/>
      </c>
      <c r="W5379">
        <f>IF($T5379="","",IF($X5379&gt;N($X5378),$X5379,""))</f>
        <v/>
      </c>
      <c r="X5379">
        <f>IF($T5379="",N($X5378),IF(MATCH($T5379,$T$6:$T$6005,0)=ROW()-5,N($X5378)+1,N($X5378)))</f>
        <v/>
      </c>
      <c r="Z5379">
        <f>IF($V5379="","",IF($AA5379&gt;N($AA5378),$AA5379,""))</f>
        <v/>
      </c>
      <c r="AA5379">
        <f>IF($V5379="",N($AA5378),IF(MATCH($V5379,$V$6:$V$6005,0)=ROW()-5,N($AA5378)+1,N($AA5378)))</f>
        <v/>
      </c>
    </row>
    <row r="5380" ht="21" customHeight="1" s="66">
      <c r="A5380" s="56" t="n"/>
      <c r="B5380" s="57" t="n"/>
      <c r="C5380" s="57" t="n"/>
      <c r="D5380" s="57" t="n"/>
      <c r="E5380" s="56" t="n"/>
      <c r="F5380" s="57" t="n"/>
      <c r="G5380" s="57" t="n"/>
      <c r="H5380" s="56" t="n"/>
      <c r="I5380" s="56" t="n"/>
      <c r="J5380" s="58" t="n"/>
      <c r="K5380" s="58" t="n"/>
      <c r="L5380" s="13">
        <f>IF(OR($A5380="",AND($J5380="",$K5380="")),"",ROUND(N($J5380)-N($K5380),2))</f>
        <v/>
      </c>
      <c r="M5380" s="13">
        <f>IF(OR($A5380="",AND($J5380="",$K5380="")),"",MIN($J5380,$K5380))</f>
        <v/>
      </c>
      <c r="Q5380">
        <f>IF($A5380="","",$D5380&amp;"("&amp;SUBSTITUTE($E5380," ","")&amp;")")</f>
        <v/>
      </c>
      <c r="R5380">
        <f>IF($A5380="","",$B5380&amp;" - "&amp;$C5380)</f>
        <v/>
      </c>
      <c r="S5380">
        <f>IF($A5380="","",$R5380&amp;"|"&amp;$Q5380)</f>
        <v/>
      </c>
      <c r="T5380">
        <f>IF($A5380="","",$S5380&amp;"|"&amp;$F5380)</f>
        <v/>
      </c>
      <c r="U5380">
        <f>IF($A5380="","",$R5380&amp;"("&amp;$E5380&amp;")")</f>
        <v/>
      </c>
      <c r="V5380">
        <f>IF($A5380="","",$F5380&amp;"|"&amp;$U5380&amp;"|"&amp;$D5380)</f>
        <v/>
      </c>
      <c r="W5380">
        <f>IF($T5380="","",IF($X5380&gt;N($X5379),$X5380,""))</f>
        <v/>
      </c>
      <c r="X5380">
        <f>IF($T5380="",N($X5379),IF(MATCH($T5380,$T$6:$T$6005,0)=ROW()-5,N($X5379)+1,N($X5379)))</f>
        <v/>
      </c>
      <c r="Z5380">
        <f>IF($V5380="","",IF($AA5380&gt;N($AA5379),$AA5380,""))</f>
        <v/>
      </c>
      <c r="AA5380">
        <f>IF($V5380="",N($AA5379),IF(MATCH($V5380,$V$6:$V$6005,0)=ROW()-5,N($AA5379)+1,N($AA5379)))</f>
        <v/>
      </c>
    </row>
    <row r="5381" ht="21" customHeight="1" s="66">
      <c r="A5381" s="56" t="n"/>
      <c r="B5381" s="57" t="n"/>
      <c r="C5381" s="57" t="n"/>
      <c r="D5381" s="57" t="n"/>
      <c r="E5381" s="56" t="n"/>
      <c r="F5381" s="57" t="n"/>
      <c r="G5381" s="57" t="n"/>
      <c r="H5381" s="56" t="n"/>
      <c r="I5381" s="56" t="n"/>
      <c r="J5381" s="58" t="n"/>
      <c r="K5381" s="58" t="n"/>
      <c r="L5381" s="13">
        <f>IF(OR($A5381="",AND($J5381="",$K5381="")),"",ROUND(N($J5381)-N($K5381),2))</f>
        <v/>
      </c>
      <c r="M5381" s="13">
        <f>IF(OR($A5381="",AND($J5381="",$K5381="")),"",MIN($J5381,$K5381))</f>
        <v/>
      </c>
      <c r="Q5381">
        <f>IF($A5381="","",$D5381&amp;"("&amp;SUBSTITUTE($E5381," ","")&amp;")")</f>
        <v/>
      </c>
      <c r="R5381">
        <f>IF($A5381="","",$B5381&amp;" - "&amp;$C5381)</f>
        <v/>
      </c>
      <c r="S5381">
        <f>IF($A5381="","",$R5381&amp;"|"&amp;$Q5381)</f>
        <v/>
      </c>
      <c r="T5381">
        <f>IF($A5381="","",$S5381&amp;"|"&amp;$F5381)</f>
        <v/>
      </c>
      <c r="U5381">
        <f>IF($A5381="","",$R5381&amp;"("&amp;$E5381&amp;")")</f>
        <v/>
      </c>
      <c r="V5381">
        <f>IF($A5381="","",$F5381&amp;"|"&amp;$U5381&amp;"|"&amp;$D5381)</f>
        <v/>
      </c>
      <c r="W5381">
        <f>IF($T5381="","",IF($X5381&gt;N($X5380),$X5381,""))</f>
        <v/>
      </c>
      <c r="X5381">
        <f>IF($T5381="",N($X5380),IF(MATCH($T5381,$T$6:$T$6005,0)=ROW()-5,N($X5380)+1,N($X5380)))</f>
        <v/>
      </c>
      <c r="Z5381">
        <f>IF($V5381="","",IF($AA5381&gt;N($AA5380),$AA5381,""))</f>
        <v/>
      </c>
      <c r="AA5381">
        <f>IF($V5381="",N($AA5380),IF(MATCH($V5381,$V$6:$V$6005,0)=ROW()-5,N($AA5380)+1,N($AA5380)))</f>
        <v/>
      </c>
    </row>
    <row r="5382" ht="21" customHeight="1" s="66">
      <c r="A5382" s="56" t="n"/>
      <c r="B5382" s="57" t="n"/>
      <c r="C5382" s="57" t="n"/>
      <c r="D5382" s="57" t="n"/>
      <c r="E5382" s="56" t="n"/>
      <c r="F5382" s="57" t="n"/>
      <c r="G5382" s="57" t="n"/>
      <c r="H5382" s="56" t="n"/>
      <c r="I5382" s="56" t="n"/>
      <c r="J5382" s="58" t="n"/>
      <c r="K5382" s="58" t="n"/>
      <c r="L5382" s="13">
        <f>IF(OR($A5382="",AND($J5382="",$K5382="")),"",ROUND(N($J5382)-N($K5382),2))</f>
        <v/>
      </c>
      <c r="M5382" s="13">
        <f>IF(OR($A5382="",AND($J5382="",$K5382="")),"",MIN($J5382,$K5382))</f>
        <v/>
      </c>
      <c r="Q5382">
        <f>IF($A5382="","",$D5382&amp;"("&amp;SUBSTITUTE($E5382," ","")&amp;")")</f>
        <v/>
      </c>
      <c r="R5382">
        <f>IF($A5382="","",$B5382&amp;" - "&amp;$C5382)</f>
        <v/>
      </c>
      <c r="S5382">
        <f>IF($A5382="","",$R5382&amp;"|"&amp;$Q5382)</f>
        <v/>
      </c>
      <c r="T5382">
        <f>IF($A5382="","",$S5382&amp;"|"&amp;$F5382)</f>
        <v/>
      </c>
      <c r="U5382">
        <f>IF($A5382="","",$R5382&amp;"("&amp;$E5382&amp;")")</f>
        <v/>
      </c>
      <c r="V5382">
        <f>IF($A5382="","",$F5382&amp;"|"&amp;$U5382&amp;"|"&amp;$D5382)</f>
        <v/>
      </c>
      <c r="W5382">
        <f>IF($T5382="","",IF($X5382&gt;N($X5381),$X5382,""))</f>
        <v/>
      </c>
      <c r="X5382">
        <f>IF($T5382="",N($X5381),IF(MATCH($T5382,$T$6:$T$6005,0)=ROW()-5,N($X5381)+1,N($X5381)))</f>
        <v/>
      </c>
      <c r="Z5382">
        <f>IF($V5382="","",IF($AA5382&gt;N($AA5381),$AA5382,""))</f>
        <v/>
      </c>
      <c r="AA5382">
        <f>IF($V5382="",N($AA5381),IF(MATCH($V5382,$V$6:$V$6005,0)=ROW()-5,N($AA5381)+1,N($AA5381)))</f>
        <v/>
      </c>
    </row>
    <row r="5383" ht="21" customHeight="1" s="66">
      <c r="A5383" s="56" t="n"/>
      <c r="B5383" s="57" t="n"/>
      <c r="C5383" s="57" t="n"/>
      <c r="D5383" s="57" t="n"/>
      <c r="E5383" s="56" t="n"/>
      <c r="F5383" s="57" t="n"/>
      <c r="G5383" s="57" t="n"/>
      <c r="H5383" s="56" t="n"/>
      <c r="I5383" s="56" t="n"/>
      <c r="J5383" s="58" t="n"/>
      <c r="K5383" s="58" t="n"/>
      <c r="L5383" s="13">
        <f>IF(OR($A5383="",AND($J5383="",$K5383="")),"",ROUND(N($J5383)-N($K5383),2))</f>
        <v/>
      </c>
      <c r="M5383" s="13">
        <f>IF(OR($A5383="",AND($J5383="",$K5383="")),"",MIN($J5383,$K5383))</f>
        <v/>
      </c>
      <c r="Q5383">
        <f>IF($A5383="","",$D5383&amp;"("&amp;SUBSTITUTE($E5383," ","")&amp;")")</f>
        <v/>
      </c>
      <c r="R5383">
        <f>IF($A5383="","",$B5383&amp;" - "&amp;$C5383)</f>
        <v/>
      </c>
      <c r="S5383">
        <f>IF($A5383="","",$R5383&amp;"|"&amp;$Q5383)</f>
        <v/>
      </c>
      <c r="T5383">
        <f>IF($A5383="","",$S5383&amp;"|"&amp;$F5383)</f>
        <v/>
      </c>
      <c r="U5383">
        <f>IF($A5383="","",$R5383&amp;"("&amp;$E5383&amp;")")</f>
        <v/>
      </c>
      <c r="V5383">
        <f>IF($A5383="","",$F5383&amp;"|"&amp;$U5383&amp;"|"&amp;$D5383)</f>
        <v/>
      </c>
      <c r="W5383">
        <f>IF($T5383="","",IF($X5383&gt;N($X5382),$X5383,""))</f>
        <v/>
      </c>
      <c r="X5383">
        <f>IF($T5383="",N($X5382),IF(MATCH($T5383,$T$6:$T$6005,0)=ROW()-5,N($X5382)+1,N($X5382)))</f>
        <v/>
      </c>
      <c r="Z5383">
        <f>IF($V5383="","",IF($AA5383&gt;N($AA5382),$AA5383,""))</f>
        <v/>
      </c>
      <c r="AA5383">
        <f>IF($V5383="",N($AA5382),IF(MATCH($V5383,$V$6:$V$6005,0)=ROW()-5,N($AA5382)+1,N($AA5382)))</f>
        <v/>
      </c>
    </row>
    <row r="5384" ht="21" customHeight="1" s="66">
      <c r="A5384" s="56" t="n"/>
      <c r="B5384" s="57" t="n"/>
      <c r="C5384" s="57" t="n"/>
      <c r="D5384" s="57" t="n"/>
      <c r="E5384" s="56" t="n"/>
      <c r="F5384" s="57" t="n"/>
      <c r="G5384" s="57" t="n"/>
      <c r="H5384" s="56" t="n"/>
      <c r="I5384" s="56" t="n"/>
      <c r="J5384" s="58" t="n"/>
      <c r="K5384" s="58" t="n"/>
      <c r="L5384" s="13">
        <f>IF(OR($A5384="",AND($J5384="",$K5384="")),"",ROUND(N($J5384)-N($K5384),2))</f>
        <v/>
      </c>
      <c r="M5384" s="13">
        <f>IF(OR($A5384="",AND($J5384="",$K5384="")),"",MIN($J5384,$K5384))</f>
        <v/>
      </c>
      <c r="Q5384">
        <f>IF($A5384="","",$D5384&amp;"("&amp;SUBSTITUTE($E5384," ","")&amp;")")</f>
        <v/>
      </c>
      <c r="R5384">
        <f>IF($A5384="","",$B5384&amp;" - "&amp;$C5384)</f>
        <v/>
      </c>
      <c r="S5384">
        <f>IF($A5384="","",$R5384&amp;"|"&amp;$Q5384)</f>
        <v/>
      </c>
      <c r="T5384">
        <f>IF($A5384="","",$S5384&amp;"|"&amp;$F5384)</f>
        <v/>
      </c>
      <c r="U5384">
        <f>IF($A5384="","",$R5384&amp;"("&amp;$E5384&amp;")")</f>
        <v/>
      </c>
      <c r="V5384">
        <f>IF($A5384="","",$F5384&amp;"|"&amp;$U5384&amp;"|"&amp;$D5384)</f>
        <v/>
      </c>
      <c r="W5384">
        <f>IF($T5384="","",IF($X5384&gt;N($X5383),$X5384,""))</f>
        <v/>
      </c>
      <c r="X5384">
        <f>IF($T5384="",N($X5383),IF(MATCH($T5384,$T$6:$T$6005,0)=ROW()-5,N($X5383)+1,N($X5383)))</f>
        <v/>
      </c>
      <c r="Z5384">
        <f>IF($V5384="","",IF($AA5384&gt;N($AA5383),$AA5384,""))</f>
        <v/>
      </c>
      <c r="AA5384">
        <f>IF($V5384="",N($AA5383),IF(MATCH($V5384,$V$6:$V$6005,0)=ROW()-5,N($AA5383)+1,N($AA5383)))</f>
        <v/>
      </c>
    </row>
    <row r="5385" ht="21" customHeight="1" s="66">
      <c r="A5385" s="56" t="n"/>
      <c r="B5385" s="57" t="n"/>
      <c r="C5385" s="57" t="n"/>
      <c r="D5385" s="57" t="n"/>
      <c r="E5385" s="56" t="n"/>
      <c r="F5385" s="57" t="n"/>
      <c r="G5385" s="57" t="n"/>
      <c r="H5385" s="56" t="n"/>
      <c r="I5385" s="56" t="n"/>
      <c r="J5385" s="58" t="n"/>
      <c r="K5385" s="58" t="n"/>
      <c r="L5385" s="13">
        <f>IF(OR($A5385="",AND($J5385="",$K5385="")),"",ROUND(N($J5385)-N($K5385),2))</f>
        <v/>
      </c>
      <c r="M5385" s="13">
        <f>IF(OR($A5385="",AND($J5385="",$K5385="")),"",MIN($J5385,$K5385))</f>
        <v/>
      </c>
      <c r="Q5385">
        <f>IF($A5385="","",$D5385&amp;"("&amp;SUBSTITUTE($E5385," ","")&amp;")")</f>
        <v/>
      </c>
      <c r="R5385">
        <f>IF($A5385="","",$B5385&amp;" - "&amp;$C5385)</f>
        <v/>
      </c>
      <c r="S5385">
        <f>IF($A5385="","",$R5385&amp;"|"&amp;$Q5385)</f>
        <v/>
      </c>
      <c r="T5385">
        <f>IF($A5385="","",$S5385&amp;"|"&amp;$F5385)</f>
        <v/>
      </c>
      <c r="U5385">
        <f>IF($A5385="","",$R5385&amp;"("&amp;$E5385&amp;")")</f>
        <v/>
      </c>
      <c r="V5385">
        <f>IF($A5385="","",$F5385&amp;"|"&amp;$U5385&amp;"|"&amp;$D5385)</f>
        <v/>
      </c>
      <c r="W5385">
        <f>IF($T5385="","",IF($X5385&gt;N($X5384),$X5385,""))</f>
        <v/>
      </c>
      <c r="X5385">
        <f>IF($T5385="",N($X5384),IF(MATCH($T5385,$T$6:$T$6005,0)=ROW()-5,N($X5384)+1,N($X5384)))</f>
        <v/>
      </c>
      <c r="Z5385">
        <f>IF($V5385="","",IF($AA5385&gt;N($AA5384),$AA5385,""))</f>
        <v/>
      </c>
      <c r="AA5385">
        <f>IF($V5385="",N($AA5384),IF(MATCH($V5385,$V$6:$V$6005,0)=ROW()-5,N($AA5384)+1,N($AA5384)))</f>
        <v/>
      </c>
    </row>
    <row r="5386" ht="21" customHeight="1" s="66">
      <c r="A5386" s="56" t="n"/>
      <c r="B5386" s="57" t="n"/>
      <c r="C5386" s="57" t="n"/>
      <c r="D5386" s="57" t="n"/>
      <c r="E5386" s="56" t="n"/>
      <c r="F5386" s="57" t="n"/>
      <c r="G5386" s="57" t="n"/>
      <c r="H5386" s="56" t="n"/>
      <c r="I5386" s="56" t="n"/>
      <c r="J5386" s="58" t="n"/>
      <c r="K5386" s="58" t="n"/>
      <c r="L5386" s="13">
        <f>IF(OR($A5386="",AND($J5386="",$K5386="")),"",ROUND(N($J5386)-N($K5386),2))</f>
        <v/>
      </c>
      <c r="M5386" s="13">
        <f>IF(OR($A5386="",AND($J5386="",$K5386="")),"",MIN($J5386,$K5386))</f>
        <v/>
      </c>
      <c r="Q5386">
        <f>IF($A5386="","",$D5386&amp;"("&amp;SUBSTITUTE($E5386," ","")&amp;")")</f>
        <v/>
      </c>
      <c r="R5386">
        <f>IF($A5386="","",$B5386&amp;" - "&amp;$C5386)</f>
        <v/>
      </c>
      <c r="S5386">
        <f>IF($A5386="","",$R5386&amp;"|"&amp;$Q5386)</f>
        <v/>
      </c>
      <c r="T5386">
        <f>IF($A5386="","",$S5386&amp;"|"&amp;$F5386)</f>
        <v/>
      </c>
      <c r="U5386">
        <f>IF($A5386="","",$R5386&amp;"("&amp;$E5386&amp;")")</f>
        <v/>
      </c>
      <c r="V5386">
        <f>IF($A5386="","",$F5386&amp;"|"&amp;$U5386&amp;"|"&amp;$D5386)</f>
        <v/>
      </c>
      <c r="W5386">
        <f>IF($T5386="","",IF($X5386&gt;N($X5385),$X5386,""))</f>
        <v/>
      </c>
      <c r="X5386">
        <f>IF($T5386="",N($X5385),IF(MATCH($T5386,$T$6:$T$6005,0)=ROW()-5,N($X5385)+1,N($X5385)))</f>
        <v/>
      </c>
      <c r="Z5386">
        <f>IF($V5386="","",IF($AA5386&gt;N($AA5385),$AA5386,""))</f>
        <v/>
      </c>
      <c r="AA5386">
        <f>IF($V5386="",N($AA5385),IF(MATCH($V5386,$V$6:$V$6005,0)=ROW()-5,N($AA5385)+1,N($AA5385)))</f>
        <v/>
      </c>
    </row>
    <row r="5387" ht="21" customHeight="1" s="66">
      <c r="A5387" s="56" t="n"/>
      <c r="B5387" s="57" t="n"/>
      <c r="C5387" s="57" t="n"/>
      <c r="D5387" s="57" t="n"/>
      <c r="E5387" s="56" t="n"/>
      <c r="F5387" s="57" t="n"/>
      <c r="G5387" s="57" t="n"/>
      <c r="H5387" s="56" t="n"/>
      <c r="I5387" s="56" t="n"/>
      <c r="J5387" s="58" t="n"/>
      <c r="K5387" s="58" t="n"/>
      <c r="L5387" s="13">
        <f>IF(OR($A5387="",AND($J5387="",$K5387="")),"",ROUND(N($J5387)-N($K5387),2))</f>
        <v/>
      </c>
      <c r="M5387" s="13">
        <f>IF(OR($A5387="",AND($J5387="",$K5387="")),"",MIN($J5387,$K5387))</f>
        <v/>
      </c>
      <c r="Q5387">
        <f>IF($A5387="","",$D5387&amp;"("&amp;SUBSTITUTE($E5387," ","")&amp;")")</f>
        <v/>
      </c>
      <c r="R5387">
        <f>IF($A5387="","",$B5387&amp;" - "&amp;$C5387)</f>
        <v/>
      </c>
      <c r="S5387">
        <f>IF($A5387="","",$R5387&amp;"|"&amp;$Q5387)</f>
        <v/>
      </c>
      <c r="T5387">
        <f>IF($A5387="","",$S5387&amp;"|"&amp;$F5387)</f>
        <v/>
      </c>
      <c r="U5387">
        <f>IF($A5387="","",$R5387&amp;"("&amp;$E5387&amp;")")</f>
        <v/>
      </c>
      <c r="V5387">
        <f>IF($A5387="","",$F5387&amp;"|"&amp;$U5387&amp;"|"&amp;$D5387)</f>
        <v/>
      </c>
      <c r="W5387">
        <f>IF($T5387="","",IF($X5387&gt;N($X5386),$X5387,""))</f>
        <v/>
      </c>
      <c r="X5387">
        <f>IF($T5387="",N($X5386),IF(MATCH($T5387,$T$6:$T$6005,0)=ROW()-5,N($X5386)+1,N($X5386)))</f>
        <v/>
      </c>
      <c r="Z5387">
        <f>IF($V5387="","",IF($AA5387&gt;N($AA5386),$AA5387,""))</f>
        <v/>
      </c>
      <c r="AA5387">
        <f>IF($V5387="",N($AA5386),IF(MATCH($V5387,$V$6:$V$6005,0)=ROW()-5,N($AA5386)+1,N($AA5386)))</f>
        <v/>
      </c>
    </row>
    <row r="5388" ht="21" customHeight="1" s="66">
      <c r="A5388" s="56" t="n"/>
      <c r="B5388" s="57" t="n"/>
      <c r="C5388" s="57" t="n"/>
      <c r="D5388" s="57" t="n"/>
      <c r="E5388" s="56" t="n"/>
      <c r="F5388" s="57" t="n"/>
      <c r="G5388" s="57" t="n"/>
      <c r="H5388" s="56" t="n"/>
      <c r="I5388" s="56" t="n"/>
      <c r="J5388" s="58" t="n"/>
      <c r="K5388" s="58" t="n"/>
      <c r="L5388" s="13">
        <f>IF(OR($A5388="",AND($J5388="",$K5388="")),"",ROUND(N($J5388)-N($K5388),2))</f>
        <v/>
      </c>
      <c r="M5388" s="13">
        <f>IF(OR($A5388="",AND($J5388="",$K5388="")),"",MIN($J5388,$K5388))</f>
        <v/>
      </c>
      <c r="Q5388">
        <f>IF($A5388="","",$D5388&amp;"("&amp;SUBSTITUTE($E5388," ","")&amp;")")</f>
        <v/>
      </c>
      <c r="R5388">
        <f>IF($A5388="","",$B5388&amp;" - "&amp;$C5388)</f>
        <v/>
      </c>
      <c r="S5388">
        <f>IF($A5388="","",$R5388&amp;"|"&amp;$Q5388)</f>
        <v/>
      </c>
      <c r="T5388">
        <f>IF($A5388="","",$S5388&amp;"|"&amp;$F5388)</f>
        <v/>
      </c>
      <c r="U5388">
        <f>IF($A5388="","",$R5388&amp;"("&amp;$E5388&amp;")")</f>
        <v/>
      </c>
      <c r="V5388">
        <f>IF($A5388="","",$F5388&amp;"|"&amp;$U5388&amp;"|"&amp;$D5388)</f>
        <v/>
      </c>
      <c r="W5388">
        <f>IF($T5388="","",IF($X5388&gt;N($X5387),$X5388,""))</f>
        <v/>
      </c>
      <c r="X5388">
        <f>IF($T5388="",N($X5387),IF(MATCH($T5388,$T$6:$T$6005,0)=ROW()-5,N($X5387)+1,N($X5387)))</f>
        <v/>
      </c>
      <c r="Z5388">
        <f>IF($V5388="","",IF($AA5388&gt;N($AA5387),$AA5388,""))</f>
        <v/>
      </c>
      <c r="AA5388">
        <f>IF($V5388="",N($AA5387),IF(MATCH($V5388,$V$6:$V$6005,0)=ROW()-5,N($AA5387)+1,N($AA5387)))</f>
        <v/>
      </c>
    </row>
    <row r="5389" ht="21" customHeight="1" s="66">
      <c r="A5389" s="56" t="n"/>
      <c r="B5389" s="57" t="n"/>
      <c r="C5389" s="57" t="n"/>
      <c r="D5389" s="57" t="n"/>
      <c r="E5389" s="56" t="n"/>
      <c r="F5389" s="57" t="n"/>
      <c r="G5389" s="57" t="n"/>
      <c r="H5389" s="56" t="n"/>
      <c r="I5389" s="56" t="n"/>
      <c r="J5389" s="58" t="n"/>
      <c r="K5389" s="58" t="n"/>
      <c r="L5389" s="13">
        <f>IF(OR($A5389="",AND($J5389="",$K5389="")),"",ROUND(N($J5389)-N($K5389),2))</f>
        <v/>
      </c>
      <c r="M5389" s="13">
        <f>IF(OR($A5389="",AND($J5389="",$K5389="")),"",MIN($J5389,$K5389))</f>
        <v/>
      </c>
      <c r="Q5389">
        <f>IF($A5389="","",$D5389&amp;"("&amp;SUBSTITUTE($E5389," ","")&amp;")")</f>
        <v/>
      </c>
      <c r="R5389">
        <f>IF($A5389="","",$B5389&amp;" - "&amp;$C5389)</f>
        <v/>
      </c>
      <c r="S5389">
        <f>IF($A5389="","",$R5389&amp;"|"&amp;$Q5389)</f>
        <v/>
      </c>
      <c r="T5389">
        <f>IF($A5389="","",$S5389&amp;"|"&amp;$F5389)</f>
        <v/>
      </c>
      <c r="U5389">
        <f>IF($A5389="","",$R5389&amp;"("&amp;$E5389&amp;")")</f>
        <v/>
      </c>
      <c r="V5389">
        <f>IF($A5389="","",$F5389&amp;"|"&amp;$U5389&amp;"|"&amp;$D5389)</f>
        <v/>
      </c>
      <c r="W5389">
        <f>IF($T5389="","",IF($X5389&gt;N($X5388),$X5389,""))</f>
        <v/>
      </c>
      <c r="X5389">
        <f>IF($T5389="",N($X5388),IF(MATCH($T5389,$T$6:$T$6005,0)=ROW()-5,N($X5388)+1,N($X5388)))</f>
        <v/>
      </c>
      <c r="Z5389">
        <f>IF($V5389="","",IF($AA5389&gt;N($AA5388),$AA5389,""))</f>
        <v/>
      </c>
      <c r="AA5389">
        <f>IF($V5389="",N($AA5388),IF(MATCH($V5389,$V$6:$V$6005,0)=ROW()-5,N($AA5388)+1,N($AA5388)))</f>
        <v/>
      </c>
    </row>
    <row r="5390" ht="21" customHeight="1" s="66">
      <c r="A5390" s="56" t="n"/>
      <c r="B5390" s="57" t="n"/>
      <c r="C5390" s="57" t="n"/>
      <c r="D5390" s="57" t="n"/>
      <c r="E5390" s="56" t="n"/>
      <c r="F5390" s="57" t="n"/>
      <c r="G5390" s="57" t="n"/>
      <c r="H5390" s="56" t="n"/>
      <c r="I5390" s="56" t="n"/>
      <c r="J5390" s="58" t="n"/>
      <c r="K5390" s="58" t="n"/>
      <c r="L5390" s="13">
        <f>IF(OR($A5390="",AND($J5390="",$K5390="")),"",ROUND(N($J5390)-N($K5390),2))</f>
        <v/>
      </c>
      <c r="M5390" s="13">
        <f>IF(OR($A5390="",AND($J5390="",$K5390="")),"",MIN($J5390,$K5390))</f>
        <v/>
      </c>
      <c r="Q5390">
        <f>IF($A5390="","",$D5390&amp;"("&amp;SUBSTITUTE($E5390," ","")&amp;")")</f>
        <v/>
      </c>
      <c r="R5390">
        <f>IF($A5390="","",$B5390&amp;" - "&amp;$C5390)</f>
        <v/>
      </c>
      <c r="S5390">
        <f>IF($A5390="","",$R5390&amp;"|"&amp;$Q5390)</f>
        <v/>
      </c>
      <c r="T5390">
        <f>IF($A5390="","",$S5390&amp;"|"&amp;$F5390)</f>
        <v/>
      </c>
      <c r="U5390">
        <f>IF($A5390="","",$R5390&amp;"("&amp;$E5390&amp;")")</f>
        <v/>
      </c>
      <c r="V5390">
        <f>IF($A5390="","",$F5390&amp;"|"&amp;$U5390&amp;"|"&amp;$D5390)</f>
        <v/>
      </c>
      <c r="W5390">
        <f>IF($T5390="","",IF($X5390&gt;N($X5389),$X5390,""))</f>
        <v/>
      </c>
      <c r="X5390">
        <f>IF($T5390="",N($X5389),IF(MATCH($T5390,$T$6:$T$6005,0)=ROW()-5,N($X5389)+1,N($X5389)))</f>
        <v/>
      </c>
      <c r="Z5390">
        <f>IF($V5390="","",IF($AA5390&gt;N($AA5389),$AA5390,""))</f>
        <v/>
      </c>
      <c r="AA5390">
        <f>IF($V5390="",N($AA5389),IF(MATCH($V5390,$V$6:$V$6005,0)=ROW()-5,N($AA5389)+1,N($AA5389)))</f>
        <v/>
      </c>
    </row>
    <row r="5391" ht="21" customHeight="1" s="66">
      <c r="A5391" s="56" t="n"/>
      <c r="B5391" s="57" t="n"/>
      <c r="C5391" s="57" t="n"/>
      <c r="D5391" s="57" t="n"/>
      <c r="E5391" s="56" t="n"/>
      <c r="F5391" s="57" t="n"/>
      <c r="G5391" s="57" t="n"/>
      <c r="H5391" s="56" t="n"/>
      <c r="I5391" s="56" t="n"/>
      <c r="J5391" s="58" t="n"/>
      <c r="K5391" s="58" t="n"/>
      <c r="L5391" s="13">
        <f>IF(OR($A5391="",AND($J5391="",$K5391="")),"",ROUND(N($J5391)-N($K5391),2))</f>
        <v/>
      </c>
      <c r="M5391" s="13">
        <f>IF(OR($A5391="",AND($J5391="",$K5391="")),"",MIN($J5391,$K5391))</f>
        <v/>
      </c>
      <c r="Q5391">
        <f>IF($A5391="","",$D5391&amp;"("&amp;SUBSTITUTE($E5391," ","")&amp;")")</f>
        <v/>
      </c>
      <c r="R5391">
        <f>IF($A5391="","",$B5391&amp;" - "&amp;$C5391)</f>
        <v/>
      </c>
      <c r="S5391">
        <f>IF($A5391="","",$R5391&amp;"|"&amp;$Q5391)</f>
        <v/>
      </c>
      <c r="T5391">
        <f>IF($A5391="","",$S5391&amp;"|"&amp;$F5391)</f>
        <v/>
      </c>
      <c r="U5391">
        <f>IF($A5391="","",$R5391&amp;"("&amp;$E5391&amp;")")</f>
        <v/>
      </c>
      <c r="V5391">
        <f>IF($A5391="","",$F5391&amp;"|"&amp;$U5391&amp;"|"&amp;$D5391)</f>
        <v/>
      </c>
      <c r="W5391">
        <f>IF($T5391="","",IF($X5391&gt;N($X5390),$X5391,""))</f>
        <v/>
      </c>
      <c r="X5391">
        <f>IF($T5391="",N($X5390),IF(MATCH($T5391,$T$6:$T$6005,0)=ROW()-5,N($X5390)+1,N($X5390)))</f>
        <v/>
      </c>
      <c r="Z5391">
        <f>IF($V5391="","",IF($AA5391&gt;N($AA5390),$AA5391,""))</f>
        <v/>
      </c>
      <c r="AA5391">
        <f>IF($V5391="",N($AA5390),IF(MATCH($V5391,$V$6:$V$6005,0)=ROW()-5,N($AA5390)+1,N($AA5390)))</f>
        <v/>
      </c>
    </row>
    <row r="5392" ht="21" customHeight="1" s="66">
      <c r="A5392" s="56" t="n"/>
      <c r="B5392" s="57" t="n"/>
      <c r="C5392" s="57" t="n"/>
      <c r="D5392" s="57" t="n"/>
      <c r="E5392" s="56" t="n"/>
      <c r="F5392" s="57" t="n"/>
      <c r="G5392" s="57" t="n"/>
      <c r="H5392" s="56" t="n"/>
      <c r="I5392" s="56" t="n"/>
      <c r="J5392" s="58" t="n"/>
      <c r="K5392" s="58" t="n"/>
      <c r="L5392" s="13">
        <f>IF(OR($A5392="",AND($J5392="",$K5392="")),"",ROUND(N($J5392)-N($K5392),2))</f>
        <v/>
      </c>
      <c r="M5392" s="13">
        <f>IF(OR($A5392="",AND($J5392="",$K5392="")),"",MIN($J5392,$K5392))</f>
        <v/>
      </c>
      <c r="Q5392">
        <f>IF($A5392="","",$D5392&amp;"("&amp;SUBSTITUTE($E5392," ","")&amp;")")</f>
        <v/>
      </c>
      <c r="R5392">
        <f>IF($A5392="","",$B5392&amp;" - "&amp;$C5392)</f>
        <v/>
      </c>
      <c r="S5392">
        <f>IF($A5392="","",$R5392&amp;"|"&amp;$Q5392)</f>
        <v/>
      </c>
      <c r="T5392">
        <f>IF($A5392="","",$S5392&amp;"|"&amp;$F5392)</f>
        <v/>
      </c>
      <c r="U5392">
        <f>IF($A5392="","",$R5392&amp;"("&amp;$E5392&amp;")")</f>
        <v/>
      </c>
      <c r="V5392">
        <f>IF($A5392="","",$F5392&amp;"|"&amp;$U5392&amp;"|"&amp;$D5392)</f>
        <v/>
      </c>
      <c r="W5392">
        <f>IF($T5392="","",IF($X5392&gt;N($X5391),$X5392,""))</f>
        <v/>
      </c>
      <c r="X5392">
        <f>IF($T5392="",N($X5391),IF(MATCH($T5392,$T$6:$T$6005,0)=ROW()-5,N($X5391)+1,N($X5391)))</f>
        <v/>
      </c>
      <c r="Z5392">
        <f>IF($V5392="","",IF($AA5392&gt;N($AA5391),$AA5392,""))</f>
        <v/>
      </c>
      <c r="AA5392">
        <f>IF($V5392="",N($AA5391),IF(MATCH($V5392,$V$6:$V$6005,0)=ROW()-5,N($AA5391)+1,N($AA5391)))</f>
        <v/>
      </c>
    </row>
    <row r="5393" ht="21" customHeight="1" s="66">
      <c r="A5393" s="56" t="n"/>
      <c r="B5393" s="57" t="n"/>
      <c r="C5393" s="57" t="n"/>
      <c r="D5393" s="57" t="n"/>
      <c r="E5393" s="56" t="n"/>
      <c r="F5393" s="57" t="n"/>
      <c r="G5393" s="57" t="n"/>
      <c r="H5393" s="56" t="n"/>
      <c r="I5393" s="56" t="n"/>
      <c r="J5393" s="58" t="n"/>
      <c r="K5393" s="58" t="n"/>
      <c r="L5393" s="13">
        <f>IF(OR($A5393="",AND($J5393="",$K5393="")),"",ROUND(N($J5393)-N($K5393),2))</f>
        <v/>
      </c>
      <c r="M5393" s="13">
        <f>IF(OR($A5393="",AND($J5393="",$K5393="")),"",MIN($J5393,$K5393))</f>
        <v/>
      </c>
      <c r="Q5393">
        <f>IF($A5393="","",$D5393&amp;"("&amp;SUBSTITUTE($E5393," ","")&amp;")")</f>
        <v/>
      </c>
      <c r="R5393">
        <f>IF($A5393="","",$B5393&amp;" - "&amp;$C5393)</f>
        <v/>
      </c>
      <c r="S5393">
        <f>IF($A5393="","",$R5393&amp;"|"&amp;$Q5393)</f>
        <v/>
      </c>
      <c r="T5393">
        <f>IF($A5393="","",$S5393&amp;"|"&amp;$F5393)</f>
        <v/>
      </c>
      <c r="U5393">
        <f>IF($A5393="","",$R5393&amp;"("&amp;$E5393&amp;")")</f>
        <v/>
      </c>
      <c r="V5393">
        <f>IF($A5393="","",$F5393&amp;"|"&amp;$U5393&amp;"|"&amp;$D5393)</f>
        <v/>
      </c>
      <c r="W5393">
        <f>IF($T5393="","",IF($X5393&gt;N($X5392),$X5393,""))</f>
        <v/>
      </c>
      <c r="X5393">
        <f>IF($T5393="",N($X5392),IF(MATCH($T5393,$T$6:$T$6005,0)=ROW()-5,N($X5392)+1,N($X5392)))</f>
        <v/>
      </c>
      <c r="Z5393">
        <f>IF($V5393="","",IF($AA5393&gt;N($AA5392),$AA5393,""))</f>
        <v/>
      </c>
      <c r="AA5393">
        <f>IF($V5393="",N($AA5392),IF(MATCH($V5393,$V$6:$V$6005,0)=ROW()-5,N($AA5392)+1,N($AA5392)))</f>
        <v/>
      </c>
    </row>
    <row r="5394" ht="21" customHeight="1" s="66">
      <c r="A5394" s="56" t="n"/>
      <c r="B5394" s="57" t="n"/>
      <c r="C5394" s="57" t="n"/>
      <c r="D5394" s="57" t="n"/>
      <c r="E5394" s="56" t="n"/>
      <c r="F5394" s="57" t="n"/>
      <c r="G5394" s="57" t="n"/>
      <c r="H5394" s="56" t="n"/>
      <c r="I5394" s="56" t="n"/>
      <c r="J5394" s="58" t="n"/>
      <c r="K5394" s="58" t="n"/>
      <c r="L5394" s="13">
        <f>IF(OR($A5394="",AND($J5394="",$K5394="")),"",ROUND(N($J5394)-N($K5394),2))</f>
        <v/>
      </c>
      <c r="M5394" s="13">
        <f>IF(OR($A5394="",AND($J5394="",$K5394="")),"",MIN($J5394,$K5394))</f>
        <v/>
      </c>
      <c r="Q5394">
        <f>IF($A5394="","",$D5394&amp;"("&amp;SUBSTITUTE($E5394," ","")&amp;")")</f>
        <v/>
      </c>
      <c r="R5394">
        <f>IF($A5394="","",$B5394&amp;" - "&amp;$C5394)</f>
        <v/>
      </c>
      <c r="S5394">
        <f>IF($A5394="","",$R5394&amp;"|"&amp;$Q5394)</f>
        <v/>
      </c>
      <c r="T5394">
        <f>IF($A5394="","",$S5394&amp;"|"&amp;$F5394)</f>
        <v/>
      </c>
      <c r="U5394">
        <f>IF($A5394="","",$R5394&amp;"("&amp;$E5394&amp;")")</f>
        <v/>
      </c>
      <c r="V5394">
        <f>IF($A5394="","",$F5394&amp;"|"&amp;$U5394&amp;"|"&amp;$D5394)</f>
        <v/>
      </c>
      <c r="W5394">
        <f>IF($T5394="","",IF($X5394&gt;N($X5393),$X5394,""))</f>
        <v/>
      </c>
      <c r="X5394">
        <f>IF($T5394="",N($X5393),IF(MATCH($T5394,$T$6:$T$6005,0)=ROW()-5,N($X5393)+1,N($X5393)))</f>
        <v/>
      </c>
      <c r="Z5394">
        <f>IF($V5394="","",IF($AA5394&gt;N($AA5393),$AA5394,""))</f>
        <v/>
      </c>
      <c r="AA5394">
        <f>IF($V5394="",N($AA5393),IF(MATCH($V5394,$V$6:$V$6005,0)=ROW()-5,N($AA5393)+1,N($AA5393)))</f>
        <v/>
      </c>
    </row>
    <row r="5395" ht="21" customHeight="1" s="66">
      <c r="A5395" s="56" t="n"/>
      <c r="B5395" s="57" t="n"/>
      <c r="C5395" s="57" t="n"/>
      <c r="D5395" s="57" t="n"/>
      <c r="E5395" s="56" t="n"/>
      <c r="F5395" s="57" t="n"/>
      <c r="G5395" s="57" t="n"/>
      <c r="H5395" s="56" t="n"/>
      <c r="I5395" s="56" t="n"/>
      <c r="J5395" s="58" t="n"/>
      <c r="K5395" s="58" t="n"/>
      <c r="L5395" s="13">
        <f>IF(OR($A5395="",AND($J5395="",$K5395="")),"",ROUND(N($J5395)-N($K5395),2))</f>
        <v/>
      </c>
      <c r="M5395" s="13">
        <f>IF(OR($A5395="",AND($J5395="",$K5395="")),"",MIN($J5395,$K5395))</f>
        <v/>
      </c>
      <c r="Q5395">
        <f>IF($A5395="","",$D5395&amp;"("&amp;SUBSTITUTE($E5395," ","")&amp;")")</f>
        <v/>
      </c>
      <c r="R5395">
        <f>IF($A5395="","",$B5395&amp;" - "&amp;$C5395)</f>
        <v/>
      </c>
      <c r="S5395">
        <f>IF($A5395="","",$R5395&amp;"|"&amp;$Q5395)</f>
        <v/>
      </c>
      <c r="T5395">
        <f>IF($A5395="","",$S5395&amp;"|"&amp;$F5395)</f>
        <v/>
      </c>
      <c r="U5395">
        <f>IF($A5395="","",$R5395&amp;"("&amp;$E5395&amp;")")</f>
        <v/>
      </c>
      <c r="V5395">
        <f>IF($A5395="","",$F5395&amp;"|"&amp;$U5395&amp;"|"&amp;$D5395)</f>
        <v/>
      </c>
      <c r="W5395">
        <f>IF($T5395="","",IF($X5395&gt;N($X5394),$X5395,""))</f>
        <v/>
      </c>
      <c r="X5395">
        <f>IF($T5395="",N($X5394),IF(MATCH($T5395,$T$6:$T$6005,0)=ROW()-5,N($X5394)+1,N($X5394)))</f>
        <v/>
      </c>
      <c r="Z5395">
        <f>IF($V5395="","",IF($AA5395&gt;N($AA5394),$AA5395,""))</f>
        <v/>
      </c>
      <c r="AA5395">
        <f>IF($V5395="",N($AA5394),IF(MATCH($V5395,$V$6:$V$6005,0)=ROW()-5,N($AA5394)+1,N($AA5394)))</f>
        <v/>
      </c>
    </row>
    <row r="5396" ht="21" customHeight="1" s="66">
      <c r="A5396" s="56" t="n"/>
      <c r="B5396" s="57" t="n"/>
      <c r="C5396" s="57" t="n"/>
      <c r="D5396" s="57" t="n"/>
      <c r="E5396" s="56" t="n"/>
      <c r="F5396" s="57" t="n"/>
      <c r="G5396" s="57" t="n"/>
      <c r="H5396" s="56" t="n"/>
      <c r="I5396" s="56" t="n"/>
      <c r="J5396" s="58" t="n"/>
      <c r="K5396" s="58" t="n"/>
      <c r="L5396" s="13">
        <f>IF(OR($A5396="",AND($J5396="",$K5396="")),"",ROUND(N($J5396)-N($K5396),2))</f>
        <v/>
      </c>
      <c r="M5396" s="13">
        <f>IF(OR($A5396="",AND($J5396="",$K5396="")),"",MIN($J5396,$K5396))</f>
        <v/>
      </c>
      <c r="Q5396">
        <f>IF($A5396="","",$D5396&amp;"("&amp;SUBSTITUTE($E5396," ","")&amp;")")</f>
        <v/>
      </c>
      <c r="R5396">
        <f>IF($A5396="","",$B5396&amp;" - "&amp;$C5396)</f>
        <v/>
      </c>
      <c r="S5396">
        <f>IF($A5396="","",$R5396&amp;"|"&amp;$Q5396)</f>
        <v/>
      </c>
      <c r="T5396">
        <f>IF($A5396="","",$S5396&amp;"|"&amp;$F5396)</f>
        <v/>
      </c>
      <c r="U5396">
        <f>IF($A5396="","",$R5396&amp;"("&amp;$E5396&amp;")")</f>
        <v/>
      </c>
      <c r="V5396">
        <f>IF($A5396="","",$F5396&amp;"|"&amp;$U5396&amp;"|"&amp;$D5396)</f>
        <v/>
      </c>
      <c r="W5396">
        <f>IF($T5396="","",IF($X5396&gt;N($X5395),$X5396,""))</f>
        <v/>
      </c>
      <c r="X5396">
        <f>IF($T5396="",N($X5395),IF(MATCH($T5396,$T$6:$T$6005,0)=ROW()-5,N($X5395)+1,N($X5395)))</f>
        <v/>
      </c>
      <c r="Z5396">
        <f>IF($V5396="","",IF($AA5396&gt;N($AA5395),$AA5396,""))</f>
        <v/>
      </c>
      <c r="AA5396">
        <f>IF($V5396="",N($AA5395),IF(MATCH($V5396,$V$6:$V$6005,0)=ROW()-5,N($AA5395)+1,N($AA5395)))</f>
        <v/>
      </c>
    </row>
    <row r="5397" ht="21" customHeight="1" s="66">
      <c r="A5397" s="56" t="n"/>
      <c r="B5397" s="57" t="n"/>
      <c r="C5397" s="57" t="n"/>
      <c r="D5397" s="57" t="n"/>
      <c r="E5397" s="56" t="n"/>
      <c r="F5397" s="57" t="n"/>
      <c r="G5397" s="57" t="n"/>
      <c r="H5397" s="56" t="n"/>
      <c r="I5397" s="56" t="n"/>
      <c r="J5397" s="58" t="n"/>
      <c r="K5397" s="58" t="n"/>
      <c r="L5397" s="13">
        <f>IF(OR($A5397="",AND($J5397="",$K5397="")),"",ROUND(N($J5397)-N($K5397),2))</f>
        <v/>
      </c>
      <c r="M5397" s="13">
        <f>IF(OR($A5397="",AND($J5397="",$K5397="")),"",MIN($J5397,$K5397))</f>
        <v/>
      </c>
      <c r="Q5397">
        <f>IF($A5397="","",$D5397&amp;"("&amp;SUBSTITUTE($E5397," ","")&amp;")")</f>
        <v/>
      </c>
      <c r="R5397">
        <f>IF($A5397="","",$B5397&amp;" - "&amp;$C5397)</f>
        <v/>
      </c>
      <c r="S5397">
        <f>IF($A5397="","",$R5397&amp;"|"&amp;$Q5397)</f>
        <v/>
      </c>
      <c r="T5397">
        <f>IF($A5397="","",$S5397&amp;"|"&amp;$F5397)</f>
        <v/>
      </c>
      <c r="U5397">
        <f>IF($A5397="","",$R5397&amp;"("&amp;$E5397&amp;")")</f>
        <v/>
      </c>
      <c r="V5397">
        <f>IF($A5397="","",$F5397&amp;"|"&amp;$U5397&amp;"|"&amp;$D5397)</f>
        <v/>
      </c>
      <c r="W5397">
        <f>IF($T5397="","",IF($X5397&gt;N($X5396),$X5397,""))</f>
        <v/>
      </c>
      <c r="X5397">
        <f>IF($T5397="",N($X5396),IF(MATCH($T5397,$T$6:$T$6005,0)=ROW()-5,N($X5396)+1,N($X5396)))</f>
        <v/>
      </c>
      <c r="Z5397">
        <f>IF($V5397="","",IF($AA5397&gt;N($AA5396),$AA5397,""))</f>
        <v/>
      </c>
      <c r="AA5397">
        <f>IF($V5397="",N($AA5396),IF(MATCH($V5397,$V$6:$V$6005,0)=ROW()-5,N($AA5396)+1,N($AA5396)))</f>
        <v/>
      </c>
    </row>
    <row r="5398" ht="21" customHeight="1" s="66">
      <c r="A5398" s="56" t="n"/>
      <c r="B5398" s="57" t="n"/>
      <c r="C5398" s="57" t="n"/>
      <c r="D5398" s="57" t="n"/>
      <c r="E5398" s="56" t="n"/>
      <c r="F5398" s="57" t="n"/>
      <c r="G5398" s="57" t="n"/>
      <c r="H5398" s="56" t="n"/>
      <c r="I5398" s="56" t="n"/>
      <c r="J5398" s="58" t="n"/>
      <c r="K5398" s="58" t="n"/>
      <c r="L5398" s="13">
        <f>IF(OR($A5398="",AND($J5398="",$K5398="")),"",ROUND(N($J5398)-N($K5398),2))</f>
        <v/>
      </c>
      <c r="M5398" s="13">
        <f>IF(OR($A5398="",AND($J5398="",$K5398="")),"",MIN($J5398,$K5398))</f>
        <v/>
      </c>
      <c r="Q5398">
        <f>IF($A5398="","",$D5398&amp;"("&amp;SUBSTITUTE($E5398," ","")&amp;")")</f>
        <v/>
      </c>
      <c r="R5398">
        <f>IF($A5398="","",$B5398&amp;" - "&amp;$C5398)</f>
        <v/>
      </c>
      <c r="S5398">
        <f>IF($A5398="","",$R5398&amp;"|"&amp;$Q5398)</f>
        <v/>
      </c>
      <c r="T5398">
        <f>IF($A5398="","",$S5398&amp;"|"&amp;$F5398)</f>
        <v/>
      </c>
      <c r="U5398">
        <f>IF($A5398="","",$R5398&amp;"("&amp;$E5398&amp;")")</f>
        <v/>
      </c>
      <c r="V5398">
        <f>IF($A5398="","",$F5398&amp;"|"&amp;$U5398&amp;"|"&amp;$D5398)</f>
        <v/>
      </c>
      <c r="W5398">
        <f>IF($T5398="","",IF($X5398&gt;N($X5397),$X5398,""))</f>
        <v/>
      </c>
      <c r="X5398">
        <f>IF($T5398="",N($X5397),IF(MATCH($T5398,$T$6:$T$6005,0)=ROW()-5,N($X5397)+1,N($X5397)))</f>
        <v/>
      </c>
      <c r="Z5398">
        <f>IF($V5398="","",IF($AA5398&gt;N($AA5397),$AA5398,""))</f>
        <v/>
      </c>
      <c r="AA5398">
        <f>IF($V5398="",N($AA5397),IF(MATCH($V5398,$V$6:$V$6005,0)=ROW()-5,N($AA5397)+1,N($AA5397)))</f>
        <v/>
      </c>
    </row>
    <row r="5399" ht="21" customHeight="1" s="66">
      <c r="A5399" s="56" t="n"/>
      <c r="B5399" s="57" t="n"/>
      <c r="C5399" s="57" t="n"/>
      <c r="D5399" s="57" t="n"/>
      <c r="E5399" s="56" t="n"/>
      <c r="F5399" s="57" t="n"/>
      <c r="G5399" s="57" t="n"/>
      <c r="H5399" s="56" t="n"/>
      <c r="I5399" s="56" t="n"/>
      <c r="J5399" s="58" t="n"/>
      <c r="K5399" s="58" t="n"/>
      <c r="L5399" s="13">
        <f>IF(OR($A5399="",AND($J5399="",$K5399="")),"",ROUND(N($J5399)-N($K5399),2))</f>
        <v/>
      </c>
      <c r="M5399" s="13">
        <f>IF(OR($A5399="",AND($J5399="",$K5399="")),"",MIN($J5399,$K5399))</f>
        <v/>
      </c>
      <c r="Q5399">
        <f>IF($A5399="","",$D5399&amp;"("&amp;SUBSTITUTE($E5399," ","")&amp;")")</f>
        <v/>
      </c>
      <c r="R5399">
        <f>IF($A5399="","",$B5399&amp;" - "&amp;$C5399)</f>
        <v/>
      </c>
      <c r="S5399">
        <f>IF($A5399="","",$R5399&amp;"|"&amp;$Q5399)</f>
        <v/>
      </c>
      <c r="T5399">
        <f>IF($A5399="","",$S5399&amp;"|"&amp;$F5399)</f>
        <v/>
      </c>
      <c r="U5399">
        <f>IF($A5399="","",$R5399&amp;"("&amp;$E5399&amp;")")</f>
        <v/>
      </c>
      <c r="V5399">
        <f>IF($A5399="","",$F5399&amp;"|"&amp;$U5399&amp;"|"&amp;$D5399)</f>
        <v/>
      </c>
      <c r="W5399">
        <f>IF($T5399="","",IF($X5399&gt;N($X5398),$X5399,""))</f>
        <v/>
      </c>
      <c r="X5399">
        <f>IF($T5399="",N($X5398),IF(MATCH($T5399,$T$6:$T$6005,0)=ROW()-5,N($X5398)+1,N($X5398)))</f>
        <v/>
      </c>
      <c r="Z5399">
        <f>IF($V5399="","",IF($AA5399&gt;N($AA5398),$AA5399,""))</f>
        <v/>
      </c>
      <c r="AA5399">
        <f>IF($V5399="",N($AA5398),IF(MATCH($V5399,$V$6:$V$6005,0)=ROW()-5,N($AA5398)+1,N($AA5398)))</f>
        <v/>
      </c>
    </row>
    <row r="5400" ht="21" customHeight="1" s="66">
      <c r="A5400" s="56" t="n"/>
      <c r="B5400" s="57" t="n"/>
      <c r="C5400" s="57" t="n"/>
      <c r="D5400" s="57" t="n"/>
      <c r="E5400" s="56" t="n"/>
      <c r="F5400" s="57" t="n"/>
      <c r="G5400" s="57" t="n"/>
      <c r="H5400" s="56" t="n"/>
      <c r="I5400" s="56" t="n"/>
      <c r="J5400" s="58" t="n"/>
      <c r="K5400" s="58" t="n"/>
      <c r="L5400" s="13">
        <f>IF(OR($A5400="",AND($J5400="",$K5400="")),"",ROUND(N($J5400)-N($K5400),2))</f>
        <v/>
      </c>
      <c r="M5400" s="13">
        <f>IF(OR($A5400="",AND($J5400="",$K5400="")),"",MIN($J5400,$K5400))</f>
        <v/>
      </c>
      <c r="Q5400">
        <f>IF($A5400="","",$D5400&amp;"("&amp;SUBSTITUTE($E5400," ","")&amp;")")</f>
        <v/>
      </c>
      <c r="R5400">
        <f>IF($A5400="","",$B5400&amp;" - "&amp;$C5400)</f>
        <v/>
      </c>
      <c r="S5400">
        <f>IF($A5400="","",$R5400&amp;"|"&amp;$Q5400)</f>
        <v/>
      </c>
      <c r="T5400">
        <f>IF($A5400="","",$S5400&amp;"|"&amp;$F5400)</f>
        <v/>
      </c>
      <c r="U5400">
        <f>IF($A5400="","",$R5400&amp;"("&amp;$E5400&amp;")")</f>
        <v/>
      </c>
      <c r="V5400">
        <f>IF($A5400="","",$F5400&amp;"|"&amp;$U5400&amp;"|"&amp;$D5400)</f>
        <v/>
      </c>
      <c r="W5400">
        <f>IF($T5400="","",IF($X5400&gt;N($X5399),$X5400,""))</f>
        <v/>
      </c>
      <c r="X5400">
        <f>IF($T5400="",N($X5399),IF(MATCH($T5400,$T$6:$T$6005,0)=ROW()-5,N($X5399)+1,N($X5399)))</f>
        <v/>
      </c>
      <c r="Z5400">
        <f>IF($V5400="","",IF($AA5400&gt;N($AA5399),$AA5400,""))</f>
        <v/>
      </c>
      <c r="AA5400">
        <f>IF($V5400="",N($AA5399),IF(MATCH($V5400,$V$6:$V$6005,0)=ROW()-5,N($AA5399)+1,N($AA5399)))</f>
        <v/>
      </c>
    </row>
    <row r="5401" ht="21" customHeight="1" s="66">
      <c r="A5401" s="56" t="n"/>
      <c r="B5401" s="57" t="n"/>
      <c r="C5401" s="57" t="n"/>
      <c r="D5401" s="57" t="n"/>
      <c r="E5401" s="56" t="n"/>
      <c r="F5401" s="57" t="n"/>
      <c r="G5401" s="57" t="n"/>
      <c r="H5401" s="56" t="n"/>
      <c r="I5401" s="56" t="n"/>
      <c r="J5401" s="58" t="n"/>
      <c r="K5401" s="58" t="n"/>
      <c r="L5401" s="13">
        <f>IF(OR($A5401="",AND($J5401="",$K5401="")),"",ROUND(N($J5401)-N($K5401),2))</f>
        <v/>
      </c>
      <c r="M5401" s="13">
        <f>IF(OR($A5401="",AND($J5401="",$K5401="")),"",MIN($J5401,$K5401))</f>
        <v/>
      </c>
      <c r="Q5401">
        <f>IF($A5401="","",$D5401&amp;"("&amp;SUBSTITUTE($E5401," ","")&amp;")")</f>
        <v/>
      </c>
      <c r="R5401">
        <f>IF($A5401="","",$B5401&amp;" - "&amp;$C5401)</f>
        <v/>
      </c>
      <c r="S5401">
        <f>IF($A5401="","",$R5401&amp;"|"&amp;$Q5401)</f>
        <v/>
      </c>
      <c r="T5401">
        <f>IF($A5401="","",$S5401&amp;"|"&amp;$F5401)</f>
        <v/>
      </c>
      <c r="U5401">
        <f>IF($A5401="","",$R5401&amp;"("&amp;$E5401&amp;")")</f>
        <v/>
      </c>
      <c r="V5401">
        <f>IF($A5401="","",$F5401&amp;"|"&amp;$U5401&amp;"|"&amp;$D5401)</f>
        <v/>
      </c>
      <c r="W5401">
        <f>IF($T5401="","",IF($X5401&gt;N($X5400),$X5401,""))</f>
        <v/>
      </c>
      <c r="X5401">
        <f>IF($T5401="",N($X5400),IF(MATCH($T5401,$T$6:$T$6005,0)=ROW()-5,N($X5400)+1,N($X5400)))</f>
        <v/>
      </c>
      <c r="Z5401">
        <f>IF($V5401="","",IF($AA5401&gt;N($AA5400),$AA5401,""))</f>
        <v/>
      </c>
      <c r="AA5401">
        <f>IF($V5401="",N($AA5400),IF(MATCH($V5401,$V$6:$V$6005,0)=ROW()-5,N($AA5400)+1,N($AA5400)))</f>
        <v/>
      </c>
    </row>
    <row r="5402" ht="21" customHeight="1" s="66">
      <c r="A5402" s="56" t="n"/>
      <c r="B5402" s="57" t="n"/>
      <c r="C5402" s="57" t="n"/>
      <c r="D5402" s="57" t="n"/>
      <c r="E5402" s="56" t="n"/>
      <c r="F5402" s="57" t="n"/>
      <c r="G5402" s="57" t="n"/>
      <c r="H5402" s="56" t="n"/>
      <c r="I5402" s="56" t="n"/>
      <c r="J5402" s="58" t="n"/>
      <c r="K5402" s="58" t="n"/>
      <c r="L5402" s="13">
        <f>IF(OR($A5402="",AND($J5402="",$K5402="")),"",ROUND(N($J5402)-N($K5402),2))</f>
        <v/>
      </c>
      <c r="M5402" s="13">
        <f>IF(OR($A5402="",AND($J5402="",$K5402="")),"",MIN($J5402,$K5402))</f>
        <v/>
      </c>
      <c r="Q5402">
        <f>IF($A5402="","",$D5402&amp;"("&amp;SUBSTITUTE($E5402," ","")&amp;")")</f>
        <v/>
      </c>
      <c r="R5402">
        <f>IF($A5402="","",$B5402&amp;" - "&amp;$C5402)</f>
        <v/>
      </c>
      <c r="S5402">
        <f>IF($A5402="","",$R5402&amp;"|"&amp;$Q5402)</f>
        <v/>
      </c>
      <c r="T5402">
        <f>IF($A5402="","",$S5402&amp;"|"&amp;$F5402)</f>
        <v/>
      </c>
      <c r="U5402">
        <f>IF($A5402="","",$R5402&amp;"("&amp;$E5402&amp;")")</f>
        <v/>
      </c>
      <c r="V5402">
        <f>IF($A5402="","",$F5402&amp;"|"&amp;$U5402&amp;"|"&amp;$D5402)</f>
        <v/>
      </c>
      <c r="W5402">
        <f>IF($T5402="","",IF($X5402&gt;N($X5401),$X5402,""))</f>
        <v/>
      </c>
      <c r="X5402">
        <f>IF($T5402="",N($X5401),IF(MATCH($T5402,$T$6:$T$6005,0)=ROW()-5,N($X5401)+1,N($X5401)))</f>
        <v/>
      </c>
      <c r="Z5402">
        <f>IF($V5402="","",IF($AA5402&gt;N($AA5401),$AA5402,""))</f>
        <v/>
      </c>
      <c r="AA5402">
        <f>IF($V5402="",N($AA5401),IF(MATCH($V5402,$V$6:$V$6005,0)=ROW()-5,N($AA5401)+1,N($AA5401)))</f>
        <v/>
      </c>
    </row>
    <row r="5403" ht="21" customHeight="1" s="66">
      <c r="A5403" s="56" t="n"/>
      <c r="B5403" s="57" t="n"/>
      <c r="C5403" s="57" t="n"/>
      <c r="D5403" s="57" t="n"/>
      <c r="E5403" s="56" t="n"/>
      <c r="F5403" s="57" t="n"/>
      <c r="G5403" s="57" t="n"/>
      <c r="H5403" s="56" t="n"/>
      <c r="I5403" s="56" t="n"/>
      <c r="J5403" s="58" t="n"/>
      <c r="K5403" s="58" t="n"/>
      <c r="L5403" s="13">
        <f>IF(OR($A5403="",AND($J5403="",$K5403="")),"",ROUND(N($J5403)-N($K5403),2))</f>
        <v/>
      </c>
      <c r="M5403" s="13">
        <f>IF(OR($A5403="",AND($J5403="",$K5403="")),"",MIN($J5403,$K5403))</f>
        <v/>
      </c>
      <c r="Q5403">
        <f>IF($A5403="","",$D5403&amp;"("&amp;SUBSTITUTE($E5403," ","")&amp;")")</f>
        <v/>
      </c>
      <c r="R5403">
        <f>IF($A5403="","",$B5403&amp;" - "&amp;$C5403)</f>
        <v/>
      </c>
      <c r="S5403">
        <f>IF($A5403="","",$R5403&amp;"|"&amp;$Q5403)</f>
        <v/>
      </c>
      <c r="T5403">
        <f>IF($A5403="","",$S5403&amp;"|"&amp;$F5403)</f>
        <v/>
      </c>
      <c r="U5403">
        <f>IF($A5403="","",$R5403&amp;"("&amp;$E5403&amp;")")</f>
        <v/>
      </c>
      <c r="V5403">
        <f>IF($A5403="","",$F5403&amp;"|"&amp;$U5403&amp;"|"&amp;$D5403)</f>
        <v/>
      </c>
      <c r="W5403">
        <f>IF($T5403="","",IF($X5403&gt;N($X5402),$X5403,""))</f>
        <v/>
      </c>
      <c r="X5403">
        <f>IF($T5403="",N($X5402),IF(MATCH($T5403,$T$6:$T$6005,0)=ROW()-5,N($X5402)+1,N($X5402)))</f>
        <v/>
      </c>
      <c r="Z5403">
        <f>IF($V5403="","",IF($AA5403&gt;N($AA5402),$AA5403,""))</f>
        <v/>
      </c>
      <c r="AA5403">
        <f>IF($V5403="",N($AA5402),IF(MATCH($V5403,$V$6:$V$6005,0)=ROW()-5,N($AA5402)+1,N($AA5402)))</f>
        <v/>
      </c>
    </row>
    <row r="5404" ht="21" customHeight="1" s="66">
      <c r="A5404" s="56" t="n"/>
      <c r="B5404" s="57" t="n"/>
      <c r="C5404" s="57" t="n"/>
      <c r="D5404" s="57" t="n"/>
      <c r="E5404" s="56" t="n"/>
      <c r="F5404" s="57" t="n"/>
      <c r="G5404" s="57" t="n"/>
      <c r="H5404" s="56" t="n"/>
      <c r="I5404" s="56" t="n"/>
      <c r="J5404" s="58" t="n"/>
      <c r="K5404" s="58" t="n"/>
      <c r="L5404" s="13">
        <f>IF(OR($A5404="",AND($J5404="",$K5404="")),"",ROUND(N($J5404)-N($K5404),2))</f>
        <v/>
      </c>
      <c r="M5404" s="13">
        <f>IF(OR($A5404="",AND($J5404="",$K5404="")),"",MIN($J5404,$K5404))</f>
        <v/>
      </c>
      <c r="Q5404">
        <f>IF($A5404="","",$D5404&amp;"("&amp;SUBSTITUTE($E5404," ","")&amp;")")</f>
        <v/>
      </c>
      <c r="R5404">
        <f>IF($A5404="","",$B5404&amp;" - "&amp;$C5404)</f>
        <v/>
      </c>
      <c r="S5404">
        <f>IF($A5404="","",$R5404&amp;"|"&amp;$Q5404)</f>
        <v/>
      </c>
      <c r="T5404">
        <f>IF($A5404="","",$S5404&amp;"|"&amp;$F5404)</f>
        <v/>
      </c>
      <c r="U5404">
        <f>IF($A5404="","",$R5404&amp;"("&amp;$E5404&amp;")")</f>
        <v/>
      </c>
      <c r="V5404">
        <f>IF($A5404="","",$F5404&amp;"|"&amp;$U5404&amp;"|"&amp;$D5404)</f>
        <v/>
      </c>
      <c r="W5404">
        <f>IF($T5404="","",IF($X5404&gt;N($X5403),$X5404,""))</f>
        <v/>
      </c>
      <c r="X5404">
        <f>IF($T5404="",N($X5403),IF(MATCH($T5404,$T$6:$T$6005,0)=ROW()-5,N($X5403)+1,N($X5403)))</f>
        <v/>
      </c>
      <c r="Z5404">
        <f>IF($V5404="","",IF($AA5404&gt;N($AA5403),$AA5404,""))</f>
        <v/>
      </c>
      <c r="AA5404">
        <f>IF($V5404="",N($AA5403),IF(MATCH($V5404,$V$6:$V$6005,0)=ROW()-5,N($AA5403)+1,N($AA5403)))</f>
        <v/>
      </c>
    </row>
    <row r="5405" ht="21" customHeight="1" s="66">
      <c r="A5405" s="56" t="n"/>
      <c r="B5405" s="57" t="n"/>
      <c r="C5405" s="57" t="n"/>
      <c r="D5405" s="57" t="n"/>
      <c r="E5405" s="56" t="n"/>
      <c r="F5405" s="57" t="n"/>
      <c r="G5405" s="57" t="n"/>
      <c r="H5405" s="56" t="n"/>
      <c r="I5405" s="56" t="n"/>
      <c r="J5405" s="58" t="n"/>
      <c r="K5405" s="58" t="n"/>
      <c r="L5405" s="13">
        <f>IF(OR($A5405="",AND($J5405="",$K5405="")),"",ROUND(N($J5405)-N($K5405),2))</f>
        <v/>
      </c>
      <c r="M5405" s="13">
        <f>IF(OR($A5405="",AND($J5405="",$K5405="")),"",MIN($J5405,$K5405))</f>
        <v/>
      </c>
      <c r="Q5405">
        <f>IF($A5405="","",$D5405&amp;"("&amp;SUBSTITUTE($E5405," ","")&amp;")")</f>
        <v/>
      </c>
      <c r="R5405">
        <f>IF($A5405="","",$B5405&amp;" - "&amp;$C5405)</f>
        <v/>
      </c>
      <c r="S5405">
        <f>IF($A5405="","",$R5405&amp;"|"&amp;$Q5405)</f>
        <v/>
      </c>
      <c r="T5405">
        <f>IF($A5405="","",$S5405&amp;"|"&amp;$F5405)</f>
        <v/>
      </c>
      <c r="U5405">
        <f>IF($A5405="","",$R5405&amp;"("&amp;$E5405&amp;")")</f>
        <v/>
      </c>
      <c r="V5405">
        <f>IF($A5405="","",$F5405&amp;"|"&amp;$U5405&amp;"|"&amp;$D5405)</f>
        <v/>
      </c>
      <c r="W5405">
        <f>IF($T5405="","",IF($X5405&gt;N($X5404),$X5405,""))</f>
        <v/>
      </c>
      <c r="X5405">
        <f>IF($T5405="",N($X5404),IF(MATCH($T5405,$T$6:$T$6005,0)=ROW()-5,N($X5404)+1,N($X5404)))</f>
        <v/>
      </c>
      <c r="Z5405">
        <f>IF($V5405="","",IF($AA5405&gt;N($AA5404),$AA5405,""))</f>
        <v/>
      </c>
      <c r="AA5405">
        <f>IF($V5405="",N($AA5404),IF(MATCH($V5405,$V$6:$V$6005,0)=ROW()-5,N($AA5404)+1,N($AA5404)))</f>
        <v/>
      </c>
    </row>
    <row r="5406" ht="21" customHeight="1" s="66">
      <c r="A5406" s="56" t="n"/>
      <c r="B5406" s="57" t="n"/>
      <c r="C5406" s="57" t="n"/>
      <c r="D5406" s="57" t="n"/>
      <c r="E5406" s="56" t="n"/>
      <c r="F5406" s="57" t="n"/>
      <c r="G5406" s="57" t="n"/>
      <c r="H5406" s="56" t="n"/>
      <c r="I5406" s="56" t="n"/>
      <c r="J5406" s="58" t="n"/>
      <c r="K5406" s="58" t="n"/>
      <c r="L5406" s="13">
        <f>IF(OR($A5406="",AND($J5406="",$K5406="")),"",ROUND(N($J5406)-N($K5406),2))</f>
        <v/>
      </c>
      <c r="M5406" s="13">
        <f>IF(OR($A5406="",AND($J5406="",$K5406="")),"",MIN($J5406,$K5406))</f>
        <v/>
      </c>
      <c r="Q5406">
        <f>IF($A5406="","",$D5406&amp;"("&amp;SUBSTITUTE($E5406," ","")&amp;")")</f>
        <v/>
      </c>
      <c r="R5406">
        <f>IF($A5406="","",$B5406&amp;" - "&amp;$C5406)</f>
        <v/>
      </c>
      <c r="S5406">
        <f>IF($A5406="","",$R5406&amp;"|"&amp;$Q5406)</f>
        <v/>
      </c>
      <c r="T5406">
        <f>IF($A5406="","",$S5406&amp;"|"&amp;$F5406)</f>
        <v/>
      </c>
      <c r="U5406">
        <f>IF($A5406="","",$R5406&amp;"("&amp;$E5406&amp;")")</f>
        <v/>
      </c>
      <c r="V5406">
        <f>IF($A5406="","",$F5406&amp;"|"&amp;$U5406&amp;"|"&amp;$D5406)</f>
        <v/>
      </c>
      <c r="W5406">
        <f>IF($T5406="","",IF($X5406&gt;N($X5405),$X5406,""))</f>
        <v/>
      </c>
      <c r="X5406">
        <f>IF($T5406="",N($X5405),IF(MATCH($T5406,$T$6:$T$6005,0)=ROW()-5,N($X5405)+1,N($X5405)))</f>
        <v/>
      </c>
      <c r="Z5406">
        <f>IF($V5406="","",IF($AA5406&gt;N($AA5405),$AA5406,""))</f>
        <v/>
      </c>
      <c r="AA5406">
        <f>IF($V5406="",N($AA5405),IF(MATCH($V5406,$V$6:$V$6005,0)=ROW()-5,N($AA5405)+1,N($AA5405)))</f>
        <v/>
      </c>
    </row>
    <row r="5407" ht="21" customHeight="1" s="66">
      <c r="A5407" s="56" t="n"/>
      <c r="B5407" s="57" t="n"/>
      <c r="C5407" s="57" t="n"/>
      <c r="D5407" s="57" t="n"/>
      <c r="E5407" s="56" t="n"/>
      <c r="F5407" s="57" t="n"/>
      <c r="G5407" s="57" t="n"/>
      <c r="H5407" s="56" t="n"/>
      <c r="I5407" s="56" t="n"/>
      <c r="J5407" s="58" t="n"/>
      <c r="K5407" s="58" t="n"/>
      <c r="L5407" s="13">
        <f>IF(OR($A5407="",AND($J5407="",$K5407="")),"",ROUND(N($J5407)-N($K5407),2))</f>
        <v/>
      </c>
      <c r="M5407" s="13">
        <f>IF(OR($A5407="",AND($J5407="",$K5407="")),"",MIN($J5407,$K5407))</f>
        <v/>
      </c>
      <c r="Q5407">
        <f>IF($A5407="","",$D5407&amp;"("&amp;SUBSTITUTE($E5407," ","")&amp;")")</f>
        <v/>
      </c>
      <c r="R5407">
        <f>IF($A5407="","",$B5407&amp;" - "&amp;$C5407)</f>
        <v/>
      </c>
      <c r="S5407">
        <f>IF($A5407="","",$R5407&amp;"|"&amp;$Q5407)</f>
        <v/>
      </c>
      <c r="T5407">
        <f>IF($A5407="","",$S5407&amp;"|"&amp;$F5407)</f>
        <v/>
      </c>
      <c r="U5407">
        <f>IF($A5407="","",$R5407&amp;"("&amp;$E5407&amp;")")</f>
        <v/>
      </c>
      <c r="V5407">
        <f>IF($A5407="","",$F5407&amp;"|"&amp;$U5407&amp;"|"&amp;$D5407)</f>
        <v/>
      </c>
      <c r="W5407">
        <f>IF($T5407="","",IF($X5407&gt;N($X5406),$X5407,""))</f>
        <v/>
      </c>
      <c r="X5407">
        <f>IF($T5407="",N($X5406),IF(MATCH($T5407,$T$6:$T$6005,0)=ROW()-5,N($X5406)+1,N($X5406)))</f>
        <v/>
      </c>
      <c r="Z5407">
        <f>IF($V5407="","",IF($AA5407&gt;N($AA5406),$AA5407,""))</f>
        <v/>
      </c>
      <c r="AA5407">
        <f>IF($V5407="",N($AA5406),IF(MATCH($V5407,$V$6:$V$6005,0)=ROW()-5,N($AA5406)+1,N($AA5406)))</f>
        <v/>
      </c>
    </row>
    <row r="5408" ht="21" customHeight="1" s="66">
      <c r="A5408" s="56" t="n"/>
      <c r="B5408" s="57" t="n"/>
      <c r="C5408" s="57" t="n"/>
      <c r="D5408" s="57" t="n"/>
      <c r="E5408" s="56" t="n"/>
      <c r="F5408" s="57" t="n"/>
      <c r="G5408" s="57" t="n"/>
      <c r="H5408" s="56" t="n"/>
      <c r="I5408" s="56" t="n"/>
      <c r="J5408" s="58" t="n"/>
      <c r="K5408" s="58" t="n"/>
      <c r="L5408" s="13">
        <f>IF(OR($A5408="",AND($J5408="",$K5408="")),"",ROUND(N($J5408)-N($K5408),2))</f>
        <v/>
      </c>
      <c r="M5408" s="13">
        <f>IF(OR($A5408="",AND($J5408="",$K5408="")),"",MIN($J5408,$K5408))</f>
        <v/>
      </c>
      <c r="Q5408">
        <f>IF($A5408="","",$D5408&amp;"("&amp;SUBSTITUTE($E5408," ","")&amp;")")</f>
        <v/>
      </c>
      <c r="R5408">
        <f>IF($A5408="","",$B5408&amp;" - "&amp;$C5408)</f>
        <v/>
      </c>
      <c r="S5408">
        <f>IF($A5408="","",$R5408&amp;"|"&amp;$Q5408)</f>
        <v/>
      </c>
      <c r="T5408">
        <f>IF($A5408="","",$S5408&amp;"|"&amp;$F5408)</f>
        <v/>
      </c>
      <c r="U5408">
        <f>IF($A5408="","",$R5408&amp;"("&amp;$E5408&amp;")")</f>
        <v/>
      </c>
      <c r="V5408">
        <f>IF($A5408="","",$F5408&amp;"|"&amp;$U5408&amp;"|"&amp;$D5408)</f>
        <v/>
      </c>
      <c r="W5408">
        <f>IF($T5408="","",IF($X5408&gt;N($X5407),$X5408,""))</f>
        <v/>
      </c>
      <c r="X5408">
        <f>IF($T5408="",N($X5407),IF(MATCH($T5408,$T$6:$T$6005,0)=ROW()-5,N($X5407)+1,N($X5407)))</f>
        <v/>
      </c>
      <c r="Z5408">
        <f>IF($V5408="","",IF($AA5408&gt;N($AA5407),$AA5408,""))</f>
        <v/>
      </c>
      <c r="AA5408">
        <f>IF($V5408="",N($AA5407),IF(MATCH($V5408,$V$6:$V$6005,0)=ROW()-5,N($AA5407)+1,N($AA5407)))</f>
        <v/>
      </c>
    </row>
    <row r="5409" ht="21" customHeight="1" s="66">
      <c r="A5409" s="56" t="n"/>
      <c r="B5409" s="57" t="n"/>
      <c r="C5409" s="57" t="n"/>
      <c r="D5409" s="57" t="n"/>
      <c r="E5409" s="56" t="n"/>
      <c r="F5409" s="57" t="n"/>
      <c r="G5409" s="57" t="n"/>
      <c r="H5409" s="56" t="n"/>
      <c r="I5409" s="56" t="n"/>
      <c r="J5409" s="58" t="n"/>
      <c r="K5409" s="58" t="n"/>
      <c r="L5409" s="13">
        <f>IF(OR($A5409="",AND($J5409="",$K5409="")),"",ROUND(N($J5409)-N($K5409),2))</f>
        <v/>
      </c>
      <c r="M5409" s="13">
        <f>IF(OR($A5409="",AND($J5409="",$K5409="")),"",MIN($J5409,$K5409))</f>
        <v/>
      </c>
      <c r="Q5409">
        <f>IF($A5409="","",$D5409&amp;"("&amp;SUBSTITUTE($E5409," ","")&amp;")")</f>
        <v/>
      </c>
      <c r="R5409">
        <f>IF($A5409="","",$B5409&amp;" - "&amp;$C5409)</f>
        <v/>
      </c>
      <c r="S5409">
        <f>IF($A5409="","",$R5409&amp;"|"&amp;$Q5409)</f>
        <v/>
      </c>
      <c r="T5409">
        <f>IF($A5409="","",$S5409&amp;"|"&amp;$F5409)</f>
        <v/>
      </c>
      <c r="U5409">
        <f>IF($A5409="","",$R5409&amp;"("&amp;$E5409&amp;")")</f>
        <v/>
      </c>
      <c r="V5409">
        <f>IF($A5409="","",$F5409&amp;"|"&amp;$U5409&amp;"|"&amp;$D5409)</f>
        <v/>
      </c>
      <c r="W5409">
        <f>IF($T5409="","",IF($X5409&gt;N($X5408),$X5409,""))</f>
        <v/>
      </c>
      <c r="X5409">
        <f>IF($T5409="",N($X5408),IF(MATCH($T5409,$T$6:$T$6005,0)=ROW()-5,N($X5408)+1,N($X5408)))</f>
        <v/>
      </c>
      <c r="Z5409">
        <f>IF($V5409="","",IF($AA5409&gt;N($AA5408),$AA5409,""))</f>
        <v/>
      </c>
      <c r="AA5409">
        <f>IF($V5409="",N($AA5408),IF(MATCH($V5409,$V$6:$V$6005,0)=ROW()-5,N($AA5408)+1,N($AA5408)))</f>
        <v/>
      </c>
    </row>
    <row r="5410" ht="21" customHeight="1" s="66">
      <c r="A5410" s="56" t="n"/>
      <c r="B5410" s="57" t="n"/>
      <c r="C5410" s="57" t="n"/>
      <c r="D5410" s="57" t="n"/>
      <c r="E5410" s="56" t="n"/>
      <c r="F5410" s="57" t="n"/>
      <c r="G5410" s="57" t="n"/>
      <c r="H5410" s="56" t="n"/>
      <c r="I5410" s="56" t="n"/>
      <c r="J5410" s="58" t="n"/>
      <c r="K5410" s="58" t="n"/>
      <c r="L5410" s="13">
        <f>IF(OR($A5410="",AND($J5410="",$K5410="")),"",ROUND(N($J5410)-N($K5410),2))</f>
        <v/>
      </c>
      <c r="M5410" s="13">
        <f>IF(OR($A5410="",AND($J5410="",$K5410="")),"",MIN($J5410,$K5410))</f>
        <v/>
      </c>
      <c r="Q5410">
        <f>IF($A5410="","",$D5410&amp;"("&amp;SUBSTITUTE($E5410," ","")&amp;")")</f>
        <v/>
      </c>
      <c r="R5410">
        <f>IF($A5410="","",$B5410&amp;" - "&amp;$C5410)</f>
        <v/>
      </c>
      <c r="S5410">
        <f>IF($A5410="","",$R5410&amp;"|"&amp;$Q5410)</f>
        <v/>
      </c>
      <c r="T5410">
        <f>IF($A5410="","",$S5410&amp;"|"&amp;$F5410)</f>
        <v/>
      </c>
      <c r="U5410">
        <f>IF($A5410="","",$R5410&amp;"("&amp;$E5410&amp;")")</f>
        <v/>
      </c>
      <c r="V5410">
        <f>IF($A5410="","",$F5410&amp;"|"&amp;$U5410&amp;"|"&amp;$D5410)</f>
        <v/>
      </c>
      <c r="W5410">
        <f>IF($T5410="","",IF($X5410&gt;N($X5409),$X5410,""))</f>
        <v/>
      </c>
      <c r="X5410">
        <f>IF($T5410="",N($X5409),IF(MATCH($T5410,$T$6:$T$6005,0)=ROW()-5,N($X5409)+1,N($X5409)))</f>
        <v/>
      </c>
      <c r="Z5410">
        <f>IF($V5410="","",IF($AA5410&gt;N($AA5409),$AA5410,""))</f>
        <v/>
      </c>
      <c r="AA5410">
        <f>IF($V5410="",N($AA5409),IF(MATCH($V5410,$V$6:$V$6005,0)=ROW()-5,N($AA5409)+1,N($AA5409)))</f>
        <v/>
      </c>
    </row>
    <row r="5411" ht="21" customHeight="1" s="66">
      <c r="A5411" s="56" t="n"/>
      <c r="B5411" s="57" t="n"/>
      <c r="C5411" s="57" t="n"/>
      <c r="D5411" s="57" t="n"/>
      <c r="E5411" s="56" t="n"/>
      <c r="F5411" s="57" t="n"/>
      <c r="G5411" s="57" t="n"/>
      <c r="H5411" s="56" t="n"/>
      <c r="I5411" s="56" t="n"/>
      <c r="J5411" s="58" t="n"/>
      <c r="K5411" s="58" t="n"/>
      <c r="L5411" s="13">
        <f>IF(OR($A5411="",AND($J5411="",$K5411="")),"",ROUND(N($J5411)-N($K5411),2))</f>
        <v/>
      </c>
      <c r="M5411" s="13">
        <f>IF(OR($A5411="",AND($J5411="",$K5411="")),"",MIN($J5411,$K5411))</f>
        <v/>
      </c>
      <c r="Q5411">
        <f>IF($A5411="","",$D5411&amp;"("&amp;SUBSTITUTE($E5411," ","")&amp;")")</f>
        <v/>
      </c>
      <c r="R5411">
        <f>IF($A5411="","",$B5411&amp;" - "&amp;$C5411)</f>
        <v/>
      </c>
      <c r="S5411">
        <f>IF($A5411="","",$R5411&amp;"|"&amp;$Q5411)</f>
        <v/>
      </c>
      <c r="T5411">
        <f>IF($A5411="","",$S5411&amp;"|"&amp;$F5411)</f>
        <v/>
      </c>
      <c r="U5411">
        <f>IF($A5411="","",$R5411&amp;"("&amp;$E5411&amp;")")</f>
        <v/>
      </c>
      <c r="V5411">
        <f>IF($A5411="","",$F5411&amp;"|"&amp;$U5411&amp;"|"&amp;$D5411)</f>
        <v/>
      </c>
      <c r="W5411">
        <f>IF($T5411="","",IF($X5411&gt;N($X5410),$X5411,""))</f>
        <v/>
      </c>
      <c r="X5411">
        <f>IF($T5411="",N($X5410),IF(MATCH($T5411,$T$6:$T$6005,0)=ROW()-5,N($X5410)+1,N($X5410)))</f>
        <v/>
      </c>
      <c r="Z5411">
        <f>IF($V5411="","",IF($AA5411&gt;N($AA5410),$AA5411,""))</f>
        <v/>
      </c>
      <c r="AA5411">
        <f>IF($V5411="",N($AA5410),IF(MATCH($V5411,$V$6:$V$6005,0)=ROW()-5,N($AA5410)+1,N($AA5410)))</f>
        <v/>
      </c>
    </row>
    <row r="5412" ht="21" customHeight="1" s="66">
      <c r="A5412" s="56" t="n"/>
      <c r="B5412" s="57" t="n"/>
      <c r="C5412" s="57" t="n"/>
      <c r="D5412" s="57" t="n"/>
      <c r="E5412" s="56" t="n"/>
      <c r="F5412" s="57" t="n"/>
      <c r="G5412" s="57" t="n"/>
      <c r="H5412" s="56" t="n"/>
      <c r="I5412" s="56" t="n"/>
      <c r="J5412" s="58" t="n"/>
      <c r="K5412" s="58" t="n"/>
      <c r="L5412" s="13">
        <f>IF(OR($A5412="",AND($J5412="",$K5412="")),"",ROUND(N($J5412)-N($K5412),2))</f>
        <v/>
      </c>
      <c r="M5412" s="13">
        <f>IF(OR($A5412="",AND($J5412="",$K5412="")),"",MIN($J5412,$K5412))</f>
        <v/>
      </c>
      <c r="Q5412">
        <f>IF($A5412="","",$D5412&amp;"("&amp;SUBSTITUTE($E5412," ","")&amp;")")</f>
        <v/>
      </c>
      <c r="R5412">
        <f>IF($A5412="","",$B5412&amp;" - "&amp;$C5412)</f>
        <v/>
      </c>
      <c r="S5412">
        <f>IF($A5412="","",$R5412&amp;"|"&amp;$Q5412)</f>
        <v/>
      </c>
      <c r="T5412">
        <f>IF($A5412="","",$S5412&amp;"|"&amp;$F5412)</f>
        <v/>
      </c>
      <c r="U5412">
        <f>IF($A5412="","",$R5412&amp;"("&amp;$E5412&amp;")")</f>
        <v/>
      </c>
      <c r="V5412">
        <f>IF($A5412="","",$F5412&amp;"|"&amp;$U5412&amp;"|"&amp;$D5412)</f>
        <v/>
      </c>
      <c r="W5412">
        <f>IF($T5412="","",IF($X5412&gt;N($X5411),$X5412,""))</f>
        <v/>
      </c>
      <c r="X5412">
        <f>IF($T5412="",N($X5411),IF(MATCH($T5412,$T$6:$T$6005,0)=ROW()-5,N($X5411)+1,N($X5411)))</f>
        <v/>
      </c>
      <c r="Z5412">
        <f>IF($V5412="","",IF($AA5412&gt;N($AA5411),$AA5412,""))</f>
        <v/>
      </c>
      <c r="AA5412">
        <f>IF($V5412="",N($AA5411),IF(MATCH($V5412,$V$6:$V$6005,0)=ROW()-5,N($AA5411)+1,N($AA5411)))</f>
        <v/>
      </c>
    </row>
    <row r="5413" ht="21" customHeight="1" s="66">
      <c r="A5413" s="56" t="n"/>
      <c r="B5413" s="57" t="n"/>
      <c r="C5413" s="57" t="n"/>
      <c r="D5413" s="57" t="n"/>
      <c r="E5413" s="56" t="n"/>
      <c r="F5413" s="57" t="n"/>
      <c r="G5413" s="57" t="n"/>
      <c r="H5413" s="56" t="n"/>
      <c r="I5413" s="56" t="n"/>
      <c r="J5413" s="58" t="n"/>
      <c r="K5413" s="58" t="n"/>
      <c r="L5413" s="13">
        <f>IF(OR($A5413="",AND($J5413="",$K5413="")),"",ROUND(N($J5413)-N($K5413),2))</f>
        <v/>
      </c>
      <c r="M5413" s="13">
        <f>IF(OR($A5413="",AND($J5413="",$K5413="")),"",MIN($J5413,$K5413))</f>
        <v/>
      </c>
      <c r="Q5413">
        <f>IF($A5413="","",$D5413&amp;"("&amp;SUBSTITUTE($E5413," ","")&amp;")")</f>
        <v/>
      </c>
      <c r="R5413">
        <f>IF($A5413="","",$B5413&amp;" - "&amp;$C5413)</f>
        <v/>
      </c>
      <c r="S5413">
        <f>IF($A5413="","",$R5413&amp;"|"&amp;$Q5413)</f>
        <v/>
      </c>
      <c r="T5413">
        <f>IF($A5413="","",$S5413&amp;"|"&amp;$F5413)</f>
        <v/>
      </c>
      <c r="U5413">
        <f>IF($A5413="","",$R5413&amp;"("&amp;$E5413&amp;")")</f>
        <v/>
      </c>
      <c r="V5413">
        <f>IF($A5413="","",$F5413&amp;"|"&amp;$U5413&amp;"|"&amp;$D5413)</f>
        <v/>
      </c>
      <c r="W5413">
        <f>IF($T5413="","",IF($X5413&gt;N($X5412),$X5413,""))</f>
        <v/>
      </c>
      <c r="X5413">
        <f>IF($T5413="",N($X5412),IF(MATCH($T5413,$T$6:$T$6005,0)=ROW()-5,N($X5412)+1,N($X5412)))</f>
        <v/>
      </c>
      <c r="Z5413">
        <f>IF($V5413="","",IF($AA5413&gt;N($AA5412),$AA5413,""))</f>
        <v/>
      </c>
      <c r="AA5413">
        <f>IF($V5413="",N($AA5412),IF(MATCH($V5413,$V$6:$V$6005,0)=ROW()-5,N($AA5412)+1,N($AA5412)))</f>
        <v/>
      </c>
    </row>
    <row r="5414" ht="21" customHeight="1" s="66">
      <c r="A5414" s="56" t="n"/>
      <c r="B5414" s="57" t="n"/>
      <c r="C5414" s="57" t="n"/>
      <c r="D5414" s="57" t="n"/>
      <c r="E5414" s="56" t="n"/>
      <c r="F5414" s="57" t="n"/>
      <c r="G5414" s="57" t="n"/>
      <c r="H5414" s="56" t="n"/>
      <c r="I5414" s="56" t="n"/>
      <c r="J5414" s="58" t="n"/>
      <c r="K5414" s="58" t="n"/>
      <c r="L5414" s="13">
        <f>IF(OR($A5414="",AND($J5414="",$K5414="")),"",ROUND(N($J5414)-N($K5414),2))</f>
        <v/>
      </c>
      <c r="M5414" s="13">
        <f>IF(OR($A5414="",AND($J5414="",$K5414="")),"",MIN($J5414,$K5414))</f>
        <v/>
      </c>
      <c r="Q5414">
        <f>IF($A5414="","",$D5414&amp;"("&amp;SUBSTITUTE($E5414," ","")&amp;")")</f>
        <v/>
      </c>
      <c r="R5414">
        <f>IF($A5414="","",$B5414&amp;" - "&amp;$C5414)</f>
        <v/>
      </c>
      <c r="S5414">
        <f>IF($A5414="","",$R5414&amp;"|"&amp;$Q5414)</f>
        <v/>
      </c>
      <c r="T5414">
        <f>IF($A5414="","",$S5414&amp;"|"&amp;$F5414)</f>
        <v/>
      </c>
      <c r="U5414">
        <f>IF($A5414="","",$R5414&amp;"("&amp;$E5414&amp;")")</f>
        <v/>
      </c>
      <c r="V5414">
        <f>IF($A5414="","",$F5414&amp;"|"&amp;$U5414&amp;"|"&amp;$D5414)</f>
        <v/>
      </c>
      <c r="W5414">
        <f>IF($T5414="","",IF($X5414&gt;N($X5413),$X5414,""))</f>
        <v/>
      </c>
      <c r="X5414">
        <f>IF($T5414="",N($X5413),IF(MATCH($T5414,$T$6:$T$6005,0)=ROW()-5,N($X5413)+1,N($X5413)))</f>
        <v/>
      </c>
      <c r="Z5414">
        <f>IF($V5414="","",IF($AA5414&gt;N($AA5413),$AA5414,""))</f>
        <v/>
      </c>
      <c r="AA5414">
        <f>IF($V5414="",N($AA5413),IF(MATCH($V5414,$V$6:$V$6005,0)=ROW()-5,N($AA5413)+1,N($AA5413)))</f>
        <v/>
      </c>
    </row>
    <row r="5415" ht="21" customHeight="1" s="66">
      <c r="A5415" s="56" t="n"/>
      <c r="B5415" s="57" t="n"/>
      <c r="C5415" s="57" t="n"/>
      <c r="D5415" s="57" t="n"/>
      <c r="E5415" s="56" t="n"/>
      <c r="F5415" s="57" t="n"/>
      <c r="G5415" s="57" t="n"/>
      <c r="H5415" s="56" t="n"/>
      <c r="I5415" s="56" t="n"/>
      <c r="J5415" s="58" t="n"/>
      <c r="K5415" s="58" t="n"/>
      <c r="L5415" s="13">
        <f>IF(OR($A5415="",AND($J5415="",$K5415="")),"",ROUND(N($J5415)-N($K5415),2))</f>
        <v/>
      </c>
      <c r="M5415" s="13">
        <f>IF(OR($A5415="",AND($J5415="",$K5415="")),"",MIN($J5415,$K5415))</f>
        <v/>
      </c>
      <c r="Q5415">
        <f>IF($A5415="","",$D5415&amp;"("&amp;SUBSTITUTE($E5415," ","")&amp;")")</f>
        <v/>
      </c>
      <c r="R5415">
        <f>IF($A5415="","",$B5415&amp;" - "&amp;$C5415)</f>
        <v/>
      </c>
      <c r="S5415">
        <f>IF($A5415="","",$R5415&amp;"|"&amp;$Q5415)</f>
        <v/>
      </c>
      <c r="T5415">
        <f>IF($A5415="","",$S5415&amp;"|"&amp;$F5415)</f>
        <v/>
      </c>
      <c r="U5415">
        <f>IF($A5415="","",$R5415&amp;"("&amp;$E5415&amp;")")</f>
        <v/>
      </c>
      <c r="V5415">
        <f>IF($A5415="","",$F5415&amp;"|"&amp;$U5415&amp;"|"&amp;$D5415)</f>
        <v/>
      </c>
      <c r="W5415">
        <f>IF($T5415="","",IF($X5415&gt;N($X5414),$X5415,""))</f>
        <v/>
      </c>
      <c r="X5415">
        <f>IF($T5415="",N($X5414),IF(MATCH($T5415,$T$6:$T$6005,0)=ROW()-5,N($X5414)+1,N($X5414)))</f>
        <v/>
      </c>
      <c r="Z5415">
        <f>IF($V5415="","",IF($AA5415&gt;N($AA5414),$AA5415,""))</f>
        <v/>
      </c>
      <c r="AA5415">
        <f>IF($V5415="",N($AA5414),IF(MATCH($V5415,$V$6:$V$6005,0)=ROW()-5,N($AA5414)+1,N($AA5414)))</f>
        <v/>
      </c>
    </row>
    <row r="5416" ht="21" customHeight="1" s="66">
      <c r="A5416" s="56" t="n"/>
      <c r="B5416" s="57" t="n"/>
      <c r="C5416" s="57" t="n"/>
      <c r="D5416" s="57" t="n"/>
      <c r="E5416" s="56" t="n"/>
      <c r="F5416" s="57" t="n"/>
      <c r="G5416" s="57" t="n"/>
      <c r="H5416" s="56" t="n"/>
      <c r="I5416" s="56" t="n"/>
      <c r="J5416" s="58" t="n"/>
      <c r="K5416" s="58" t="n"/>
      <c r="L5416" s="13">
        <f>IF(OR($A5416="",AND($J5416="",$K5416="")),"",ROUND(N($J5416)-N($K5416),2))</f>
        <v/>
      </c>
      <c r="M5416" s="13">
        <f>IF(OR($A5416="",AND($J5416="",$K5416="")),"",MIN($J5416,$K5416))</f>
        <v/>
      </c>
      <c r="Q5416">
        <f>IF($A5416="","",$D5416&amp;"("&amp;SUBSTITUTE($E5416," ","")&amp;")")</f>
        <v/>
      </c>
      <c r="R5416">
        <f>IF($A5416="","",$B5416&amp;" - "&amp;$C5416)</f>
        <v/>
      </c>
      <c r="S5416">
        <f>IF($A5416="","",$R5416&amp;"|"&amp;$Q5416)</f>
        <v/>
      </c>
      <c r="T5416">
        <f>IF($A5416="","",$S5416&amp;"|"&amp;$F5416)</f>
        <v/>
      </c>
      <c r="U5416">
        <f>IF($A5416="","",$R5416&amp;"("&amp;$E5416&amp;")")</f>
        <v/>
      </c>
      <c r="V5416">
        <f>IF($A5416="","",$F5416&amp;"|"&amp;$U5416&amp;"|"&amp;$D5416)</f>
        <v/>
      </c>
      <c r="W5416">
        <f>IF($T5416="","",IF($X5416&gt;N($X5415),$X5416,""))</f>
        <v/>
      </c>
      <c r="X5416">
        <f>IF($T5416="",N($X5415),IF(MATCH($T5416,$T$6:$T$6005,0)=ROW()-5,N($X5415)+1,N($X5415)))</f>
        <v/>
      </c>
      <c r="Z5416">
        <f>IF($V5416="","",IF($AA5416&gt;N($AA5415),$AA5416,""))</f>
        <v/>
      </c>
      <c r="AA5416">
        <f>IF($V5416="",N($AA5415),IF(MATCH($V5416,$V$6:$V$6005,0)=ROW()-5,N($AA5415)+1,N($AA5415)))</f>
        <v/>
      </c>
    </row>
    <row r="5417" ht="21" customHeight="1" s="66">
      <c r="A5417" s="56" t="n"/>
      <c r="B5417" s="57" t="n"/>
      <c r="C5417" s="57" t="n"/>
      <c r="D5417" s="57" t="n"/>
      <c r="E5417" s="56" t="n"/>
      <c r="F5417" s="57" t="n"/>
      <c r="G5417" s="57" t="n"/>
      <c r="H5417" s="56" t="n"/>
      <c r="I5417" s="56" t="n"/>
      <c r="J5417" s="58" t="n"/>
      <c r="K5417" s="58" t="n"/>
      <c r="L5417" s="13">
        <f>IF(OR($A5417="",AND($J5417="",$K5417="")),"",ROUND(N($J5417)-N($K5417),2))</f>
        <v/>
      </c>
      <c r="M5417" s="13">
        <f>IF(OR($A5417="",AND($J5417="",$K5417="")),"",MIN($J5417,$K5417))</f>
        <v/>
      </c>
      <c r="Q5417">
        <f>IF($A5417="","",$D5417&amp;"("&amp;SUBSTITUTE($E5417," ","")&amp;")")</f>
        <v/>
      </c>
      <c r="R5417">
        <f>IF($A5417="","",$B5417&amp;" - "&amp;$C5417)</f>
        <v/>
      </c>
      <c r="S5417">
        <f>IF($A5417="","",$R5417&amp;"|"&amp;$Q5417)</f>
        <v/>
      </c>
      <c r="T5417">
        <f>IF($A5417="","",$S5417&amp;"|"&amp;$F5417)</f>
        <v/>
      </c>
      <c r="U5417">
        <f>IF($A5417="","",$R5417&amp;"("&amp;$E5417&amp;")")</f>
        <v/>
      </c>
      <c r="V5417">
        <f>IF($A5417="","",$F5417&amp;"|"&amp;$U5417&amp;"|"&amp;$D5417)</f>
        <v/>
      </c>
      <c r="W5417">
        <f>IF($T5417="","",IF($X5417&gt;N($X5416),$X5417,""))</f>
        <v/>
      </c>
      <c r="X5417">
        <f>IF($T5417="",N($X5416),IF(MATCH($T5417,$T$6:$T$6005,0)=ROW()-5,N($X5416)+1,N($X5416)))</f>
        <v/>
      </c>
      <c r="Z5417">
        <f>IF($V5417="","",IF($AA5417&gt;N($AA5416),$AA5417,""))</f>
        <v/>
      </c>
      <c r="AA5417">
        <f>IF($V5417="",N($AA5416),IF(MATCH($V5417,$V$6:$V$6005,0)=ROW()-5,N($AA5416)+1,N($AA5416)))</f>
        <v/>
      </c>
    </row>
    <row r="5418" ht="21" customHeight="1" s="66">
      <c r="A5418" s="56" t="n"/>
      <c r="B5418" s="57" t="n"/>
      <c r="C5418" s="57" t="n"/>
      <c r="D5418" s="57" t="n"/>
      <c r="E5418" s="56" t="n"/>
      <c r="F5418" s="57" t="n"/>
      <c r="G5418" s="57" t="n"/>
      <c r="H5418" s="56" t="n"/>
      <c r="I5418" s="56" t="n"/>
      <c r="J5418" s="58" t="n"/>
      <c r="K5418" s="58" t="n"/>
      <c r="L5418" s="13">
        <f>IF(OR($A5418="",AND($J5418="",$K5418="")),"",ROUND(N($J5418)-N($K5418),2))</f>
        <v/>
      </c>
      <c r="M5418" s="13">
        <f>IF(OR($A5418="",AND($J5418="",$K5418="")),"",MIN($J5418,$K5418))</f>
        <v/>
      </c>
      <c r="Q5418">
        <f>IF($A5418="","",$D5418&amp;"("&amp;SUBSTITUTE($E5418," ","")&amp;")")</f>
        <v/>
      </c>
      <c r="R5418">
        <f>IF($A5418="","",$B5418&amp;" - "&amp;$C5418)</f>
        <v/>
      </c>
      <c r="S5418">
        <f>IF($A5418="","",$R5418&amp;"|"&amp;$Q5418)</f>
        <v/>
      </c>
      <c r="T5418">
        <f>IF($A5418="","",$S5418&amp;"|"&amp;$F5418)</f>
        <v/>
      </c>
      <c r="U5418">
        <f>IF($A5418="","",$R5418&amp;"("&amp;$E5418&amp;")")</f>
        <v/>
      </c>
      <c r="V5418">
        <f>IF($A5418="","",$F5418&amp;"|"&amp;$U5418&amp;"|"&amp;$D5418)</f>
        <v/>
      </c>
      <c r="W5418">
        <f>IF($T5418="","",IF($X5418&gt;N($X5417),$X5418,""))</f>
        <v/>
      </c>
      <c r="X5418">
        <f>IF($T5418="",N($X5417),IF(MATCH($T5418,$T$6:$T$6005,0)=ROW()-5,N($X5417)+1,N($X5417)))</f>
        <v/>
      </c>
      <c r="Z5418">
        <f>IF($V5418="","",IF($AA5418&gt;N($AA5417),$AA5418,""))</f>
        <v/>
      </c>
      <c r="AA5418">
        <f>IF($V5418="",N($AA5417),IF(MATCH($V5418,$V$6:$V$6005,0)=ROW()-5,N($AA5417)+1,N($AA5417)))</f>
        <v/>
      </c>
    </row>
    <row r="5419" ht="21" customHeight="1" s="66">
      <c r="A5419" s="56" t="n"/>
      <c r="B5419" s="57" t="n"/>
      <c r="C5419" s="57" t="n"/>
      <c r="D5419" s="57" t="n"/>
      <c r="E5419" s="56" t="n"/>
      <c r="F5419" s="57" t="n"/>
      <c r="G5419" s="57" t="n"/>
      <c r="H5419" s="56" t="n"/>
      <c r="I5419" s="56" t="n"/>
      <c r="J5419" s="58" t="n"/>
      <c r="K5419" s="58" t="n"/>
      <c r="L5419" s="13">
        <f>IF(OR($A5419="",AND($J5419="",$K5419="")),"",ROUND(N($J5419)-N($K5419),2))</f>
        <v/>
      </c>
      <c r="M5419" s="13">
        <f>IF(OR($A5419="",AND($J5419="",$K5419="")),"",MIN($J5419,$K5419))</f>
        <v/>
      </c>
      <c r="Q5419">
        <f>IF($A5419="","",$D5419&amp;"("&amp;SUBSTITUTE($E5419," ","")&amp;")")</f>
        <v/>
      </c>
      <c r="R5419">
        <f>IF($A5419="","",$B5419&amp;" - "&amp;$C5419)</f>
        <v/>
      </c>
      <c r="S5419">
        <f>IF($A5419="","",$R5419&amp;"|"&amp;$Q5419)</f>
        <v/>
      </c>
      <c r="T5419">
        <f>IF($A5419="","",$S5419&amp;"|"&amp;$F5419)</f>
        <v/>
      </c>
      <c r="U5419">
        <f>IF($A5419="","",$R5419&amp;"("&amp;$E5419&amp;")")</f>
        <v/>
      </c>
      <c r="V5419">
        <f>IF($A5419="","",$F5419&amp;"|"&amp;$U5419&amp;"|"&amp;$D5419)</f>
        <v/>
      </c>
      <c r="W5419">
        <f>IF($T5419="","",IF($X5419&gt;N($X5418),$X5419,""))</f>
        <v/>
      </c>
      <c r="X5419">
        <f>IF($T5419="",N($X5418),IF(MATCH($T5419,$T$6:$T$6005,0)=ROW()-5,N($X5418)+1,N($X5418)))</f>
        <v/>
      </c>
      <c r="Z5419">
        <f>IF($V5419="","",IF($AA5419&gt;N($AA5418),$AA5419,""))</f>
        <v/>
      </c>
      <c r="AA5419">
        <f>IF($V5419="",N($AA5418),IF(MATCH($V5419,$V$6:$V$6005,0)=ROW()-5,N($AA5418)+1,N($AA5418)))</f>
        <v/>
      </c>
    </row>
    <row r="5420" ht="21" customHeight="1" s="66">
      <c r="A5420" s="56" t="n"/>
      <c r="B5420" s="57" t="n"/>
      <c r="C5420" s="57" t="n"/>
      <c r="D5420" s="57" t="n"/>
      <c r="E5420" s="56" t="n"/>
      <c r="F5420" s="57" t="n"/>
      <c r="G5420" s="57" t="n"/>
      <c r="H5420" s="56" t="n"/>
      <c r="I5420" s="56" t="n"/>
      <c r="J5420" s="58" t="n"/>
      <c r="K5420" s="58" t="n"/>
      <c r="L5420" s="13">
        <f>IF(OR($A5420="",AND($J5420="",$K5420="")),"",ROUND(N($J5420)-N($K5420),2))</f>
        <v/>
      </c>
      <c r="M5420" s="13">
        <f>IF(OR($A5420="",AND($J5420="",$K5420="")),"",MIN($J5420,$K5420))</f>
        <v/>
      </c>
      <c r="Q5420">
        <f>IF($A5420="","",$D5420&amp;"("&amp;SUBSTITUTE($E5420," ","")&amp;")")</f>
        <v/>
      </c>
      <c r="R5420">
        <f>IF($A5420="","",$B5420&amp;" - "&amp;$C5420)</f>
        <v/>
      </c>
      <c r="S5420">
        <f>IF($A5420="","",$R5420&amp;"|"&amp;$Q5420)</f>
        <v/>
      </c>
      <c r="T5420">
        <f>IF($A5420="","",$S5420&amp;"|"&amp;$F5420)</f>
        <v/>
      </c>
      <c r="U5420">
        <f>IF($A5420="","",$R5420&amp;"("&amp;$E5420&amp;")")</f>
        <v/>
      </c>
      <c r="V5420">
        <f>IF($A5420="","",$F5420&amp;"|"&amp;$U5420&amp;"|"&amp;$D5420)</f>
        <v/>
      </c>
      <c r="W5420">
        <f>IF($T5420="","",IF($X5420&gt;N($X5419),$X5420,""))</f>
        <v/>
      </c>
      <c r="X5420">
        <f>IF($T5420="",N($X5419),IF(MATCH($T5420,$T$6:$T$6005,0)=ROW()-5,N($X5419)+1,N($X5419)))</f>
        <v/>
      </c>
      <c r="Z5420">
        <f>IF($V5420="","",IF($AA5420&gt;N($AA5419),$AA5420,""))</f>
        <v/>
      </c>
      <c r="AA5420">
        <f>IF($V5420="",N($AA5419),IF(MATCH($V5420,$V$6:$V$6005,0)=ROW()-5,N($AA5419)+1,N($AA5419)))</f>
        <v/>
      </c>
    </row>
    <row r="5421" ht="21" customHeight="1" s="66">
      <c r="A5421" s="56" t="n"/>
      <c r="B5421" s="57" t="n"/>
      <c r="C5421" s="57" t="n"/>
      <c r="D5421" s="57" t="n"/>
      <c r="E5421" s="56" t="n"/>
      <c r="F5421" s="57" t="n"/>
      <c r="G5421" s="57" t="n"/>
      <c r="H5421" s="56" t="n"/>
      <c r="I5421" s="56" t="n"/>
      <c r="J5421" s="58" t="n"/>
      <c r="K5421" s="58" t="n"/>
      <c r="L5421" s="13">
        <f>IF(OR($A5421="",AND($J5421="",$K5421="")),"",ROUND(N($J5421)-N($K5421),2))</f>
        <v/>
      </c>
      <c r="M5421" s="13">
        <f>IF(OR($A5421="",AND($J5421="",$K5421="")),"",MIN($J5421,$K5421))</f>
        <v/>
      </c>
      <c r="Q5421">
        <f>IF($A5421="","",$D5421&amp;"("&amp;SUBSTITUTE($E5421," ","")&amp;")")</f>
        <v/>
      </c>
      <c r="R5421">
        <f>IF($A5421="","",$B5421&amp;" - "&amp;$C5421)</f>
        <v/>
      </c>
      <c r="S5421">
        <f>IF($A5421="","",$R5421&amp;"|"&amp;$Q5421)</f>
        <v/>
      </c>
      <c r="T5421">
        <f>IF($A5421="","",$S5421&amp;"|"&amp;$F5421)</f>
        <v/>
      </c>
      <c r="U5421">
        <f>IF($A5421="","",$R5421&amp;"("&amp;$E5421&amp;")")</f>
        <v/>
      </c>
      <c r="V5421">
        <f>IF($A5421="","",$F5421&amp;"|"&amp;$U5421&amp;"|"&amp;$D5421)</f>
        <v/>
      </c>
      <c r="W5421">
        <f>IF($T5421="","",IF($X5421&gt;N($X5420),$X5421,""))</f>
        <v/>
      </c>
      <c r="X5421">
        <f>IF($T5421="",N($X5420),IF(MATCH($T5421,$T$6:$T$6005,0)=ROW()-5,N($X5420)+1,N($X5420)))</f>
        <v/>
      </c>
      <c r="Z5421">
        <f>IF($V5421="","",IF($AA5421&gt;N($AA5420),$AA5421,""))</f>
        <v/>
      </c>
      <c r="AA5421">
        <f>IF($V5421="",N($AA5420),IF(MATCH($V5421,$V$6:$V$6005,0)=ROW()-5,N($AA5420)+1,N($AA5420)))</f>
        <v/>
      </c>
    </row>
    <row r="5422" ht="21" customHeight="1" s="66">
      <c r="A5422" s="56" t="n"/>
      <c r="B5422" s="57" t="n"/>
      <c r="C5422" s="57" t="n"/>
      <c r="D5422" s="57" t="n"/>
      <c r="E5422" s="56" t="n"/>
      <c r="F5422" s="57" t="n"/>
      <c r="G5422" s="57" t="n"/>
      <c r="H5422" s="56" t="n"/>
      <c r="I5422" s="56" t="n"/>
      <c r="J5422" s="58" t="n"/>
      <c r="K5422" s="58" t="n"/>
      <c r="L5422" s="13">
        <f>IF(OR($A5422="",AND($J5422="",$K5422="")),"",ROUND(N($J5422)-N($K5422),2))</f>
        <v/>
      </c>
      <c r="M5422" s="13">
        <f>IF(OR($A5422="",AND($J5422="",$K5422="")),"",MIN($J5422,$K5422))</f>
        <v/>
      </c>
      <c r="Q5422">
        <f>IF($A5422="","",$D5422&amp;"("&amp;SUBSTITUTE($E5422," ","")&amp;")")</f>
        <v/>
      </c>
      <c r="R5422">
        <f>IF($A5422="","",$B5422&amp;" - "&amp;$C5422)</f>
        <v/>
      </c>
      <c r="S5422">
        <f>IF($A5422="","",$R5422&amp;"|"&amp;$Q5422)</f>
        <v/>
      </c>
      <c r="T5422">
        <f>IF($A5422="","",$S5422&amp;"|"&amp;$F5422)</f>
        <v/>
      </c>
      <c r="U5422">
        <f>IF($A5422="","",$R5422&amp;"("&amp;$E5422&amp;")")</f>
        <v/>
      </c>
      <c r="V5422">
        <f>IF($A5422="","",$F5422&amp;"|"&amp;$U5422&amp;"|"&amp;$D5422)</f>
        <v/>
      </c>
      <c r="W5422">
        <f>IF($T5422="","",IF($X5422&gt;N($X5421),$X5422,""))</f>
        <v/>
      </c>
      <c r="X5422">
        <f>IF($T5422="",N($X5421),IF(MATCH($T5422,$T$6:$T$6005,0)=ROW()-5,N($X5421)+1,N($X5421)))</f>
        <v/>
      </c>
      <c r="Z5422">
        <f>IF($V5422="","",IF($AA5422&gt;N($AA5421),$AA5422,""))</f>
        <v/>
      </c>
      <c r="AA5422">
        <f>IF($V5422="",N($AA5421),IF(MATCH($V5422,$V$6:$V$6005,0)=ROW()-5,N($AA5421)+1,N($AA5421)))</f>
        <v/>
      </c>
    </row>
    <row r="5423" ht="21" customHeight="1" s="66">
      <c r="A5423" s="56" t="n"/>
      <c r="B5423" s="57" t="n"/>
      <c r="C5423" s="57" t="n"/>
      <c r="D5423" s="57" t="n"/>
      <c r="E5423" s="56" t="n"/>
      <c r="F5423" s="57" t="n"/>
      <c r="G5423" s="57" t="n"/>
      <c r="H5423" s="56" t="n"/>
      <c r="I5423" s="56" t="n"/>
      <c r="J5423" s="58" t="n"/>
      <c r="K5423" s="58" t="n"/>
      <c r="L5423" s="13">
        <f>IF(OR($A5423="",AND($J5423="",$K5423="")),"",ROUND(N($J5423)-N($K5423),2))</f>
        <v/>
      </c>
      <c r="M5423" s="13">
        <f>IF(OR($A5423="",AND($J5423="",$K5423="")),"",MIN($J5423,$K5423))</f>
        <v/>
      </c>
      <c r="Q5423">
        <f>IF($A5423="","",$D5423&amp;"("&amp;SUBSTITUTE($E5423," ","")&amp;")")</f>
        <v/>
      </c>
      <c r="R5423">
        <f>IF($A5423="","",$B5423&amp;" - "&amp;$C5423)</f>
        <v/>
      </c>
      <c r="S5423">
        <f>IF($A5423="","",$R5423&amp;"|"&amp;$Q5423)</f>
        <v/>
      </c>
      <c r="T5423">
        <f>IF($A5423="","",$S5423&amp;"|"&amp;$F5423)</f>
        <v/>
      </c>
      <c r="U5423">
        <f>IF($A5423="","",$R5423&amp;"("&amp;$E5423&amp;")")</f>
        <v/>
      </c>
      <c r="V5423">
        <f>IF($A5423="","",$F5423&amp;"|"&amp;$U5423&amp;"|"&amp;$D5423)</f>
        <v/>
      </c>
      <c r="W5423">
        <f>IF($T5423="","",IF($X5423&gt;N($X5422),$X5423,""))</f>
        <v/>
      </c>
      <c r="X5423">
        <f>IF($T5423="",N($X5422),IF(MATCH($T5423,$T$6:$T$6005,0)=ROW()-5,N($X5422)+1,N($X5422)))</f>
        <v/>
      </c>
      <c r="Z5423">
        <f>IF($V5423="","",IF($AA5423&gt;N($AA5422),$AA5423,""))</f>
        <v/>
      </c>
      <c r="AA5423">
        <f>IF($V5423="",N($AA5422),IF(MATCH($V5423,$V$6:$V$6005,0)=ROW()-5,N($AA5422)+1,N($AA5422)))</f>
        <v/>
      </c>
    </row>
    <row r="5424" ht="21" customHeight="1" s="66">
      <c r="A5424" s="56" t="n"/>
      <c r="B5424" s="57" t="n"/>
      <c r="C5424" s="57" t="n"/>
      <c r="D5424" s="57" t="n"/>
      <c r="E5424" s="56" t="n"/>
      <c r="F5424" s="57" t="n"/>
      <c r="G5424" s="57" t="n"/>
      <c r="H5424" s="56" t="n"/>
      <c r="I5424" s="56" t="n"/>
      <c r="J5424" s="58" t="n"/>
      <c r="K5424" s="58" t="n"/>
      <c r="L5424" s="13">
        <f>IF(OR($A5424="",AND($J5424="",$K5424="")),"",ROUND(N($J5424)-N($K5424),2))</f>
        <v/>
      </c>
      <c r="M5424" s="13">
        <f>IF(OR($A5424="",AND($J5424="",$K5424="")),"",MIN($J5424,$K5424))</f>
        <v/>
      </c>
      <c r="Q5424">
        <f>IF($A5424="","",$D5424&amp;"("&amp;SUBSTITUTE($E5424," ","")&amp;")")</f>
        <v/>
      </c>
      <c r="R5424">
        <f>IF($A5424="","",$B5424&amp;" - "&amp;$C5424)</f>
        <v/>
      </c>
      <c r="S5424">
        <f>IF($A5424="","",$R5424&amp;"|"&amp;$Q5424)</f>
        <v/>
      </c>
      <c r="T5424">
        <f>IF($A5424="","",$S5424&amp;"|"&amp;$F5424)</f>
        <v/>
      </c>
      <c r="U5424">
        <f>IF($A5424="","",$R5424&amp;"("&amp;$E5424&amp;")")</f>
        <v/>
      </c>
      <c r="V5424">
        <f>IF($A5424="","",$F5424&amp;"|"&amp;$U5424&amp;"|"&amp;$D5424)</f>
        <v/>
      </c>
      <c r="W5424">
        <f>IF($T5424="","",IF($X5424&gt;N($X5423),$X5424,""))</f>
        <v/>
      </c>
      <c r="X5424">
        <f>IF($T5424="",N($X5423),IF(MATCH($T5424,$T$6:$T$6005,0)=ROW()-5,N($X5423)+1,N($X5423)))</f>
        <v/>
      </c>
      <c r="Z5424">
        <f>IF($V5424="","",IF($AA5424&gt;N($AA5423),$AA5424,""))</f>
        <v/>
      </c>
      <c r="AA5424">
        <f>IF($V5424="",N($AA5423),IF(MATCH($V5424,$V$6:$V$6005,0)=ROW()-5,N($AA5423)+1,N($AA5423)))</f>
        <v/>
      </c>
    </row>
    <row r="5425" ht="21" customHeight="1" s="66">
      <c r="A5425" s="56" t="n"/>
      <c r="B5425" s="57" t="n"/>
      <c r="C5425" s="57" t="n"/>
      <c r="D5425" s="57" t="n"/>
      <c r="E5425" s="56" t="n"/>
      <c r="F5425" s="57" t="n"/>
      <c r="G5425" s="57" t="n"/>
      <c r="H5425" s="56" t="n"/>
      <c r="I5425" s="56" t="n"/>
      <c r="J5425" s="58" t="n"/>
      <c r="K5425" s="58" t="n"/>
      <c r="L5425" s="13">
        <f>IF(OR($A5425="",AND($J5425="",$K5425="")),"",ROUND(N($J5425)-N($K5425),2))</f>
        <v/>
      </c>
      <c r="M5425" s="13">
        <f>IF(OR($A5425="",AND($J5425="",$K5425="")),"",MIN($J5425,$K5425))</f>
        <v/>
      </c>
      <c r="Q5425">
        <f>IF($A5425="","",$D5425&amp;"("&amp;SUBSTITUTE($E5425," ","")&amp;")")</f>
        <v/>
      </c>
      <c r="R5425">
        <f>IF($A5425="","",$B5425&amp;" - "&amp;$C5425)</f>
        <v/>
      </c>
      <c r="S5425">
        <f>IF($A5425="","",$R5425&amp;"|"&amp;$Q5425)</f>
        <v/>
      </c>
      <c r="T5425">
        <f>IF($A5425="","",$S5425&amp;"|"&amp;$F5425)</f>
        <v/>
      </c>
      <c r="U5425">
        <f>IF($A5425="","",$R5425&amp;"("&amp;$E5425&amp;")")</f>
        <v/>
      </c>
      <c r="V5425">
        <f>IF($A5425="","",$F5425&amp;"|"&amp;$U5425&amp;"|"&amp;$D5425)</f>
        <v/>
      </c>
      <c r="W5425">
        <f>IF($T5425="","",IF($X5425&gt;N($X5424),$X5425,""))</f>
        <v/>
      </c>
      <c r="X5425">
        <f>IF($T5425="",N($X5424),IF(MATCH($T5425,$T$6:$T$6005,0)=ROW()-5,N($X5424)+1,N($X5424)))</f>
        <v/>
      </c>
      <c r="Z5425">
        <f>IF($V5425="","",IF($AA5425&gt;N($AA5424),$AA5425,""))</f>
        <v/>
      </c>
      <c r="AA5425">
        <f>IF($V5425="",N($AA5424),IF(MATCH($V5425,$V$6:$V$6005,0)=ROW()-5,N($AA5424)+1,N($AA5424)))</f>
        <v/>
      </c>
    </row>
    <row r="5426" ht="21" customHeight="1" s="66">
      <c r="A5426" s="56" t="n"/>
      <c r="B5426" s="57" t="n"/>
      <c r="C5426" s="57" t="n"/>
      <c r="D5426" s="57" t="n"/>
      <c r="E5426" s="56" t="n"/>
      <c r="F5426" s="57" t="n"/>
      <c r="G5426" s="57" t="n"/>
      <c r="H5426" s="56" t="n"/>
      <c r="I5426" s="56" t="n"/>
      <c r="J5426" s="58" t="n"/>
      <c r="K5426" s="58" t="n"/>
      <c r="L5426" s="13">
        <f>IF(OR($A5426="",AND($J5426="",$K5426="")),"",ROUND(N($J5426)-N($K5426),2))</f>
        <v/>
      </c>
      <c r="M5426" s="13">
        <f>IF(OR($A5426="",AND($J5426="",$K5426="")),"",MIN($J5426,$K5426))</f>
        <v/>
      </c>
      <c r="Q5426">
        <f>IF($A5426="","",$D5426&amp;"("&amp;SUBSTITUTE($E5426," ","")&amp;")")</f>
        <v/>
      </c>
      <c r="R5426">
        <f>IF($A5426="","",$B5426&amp;" - "&amp;$C5426)</f>
        <v/>
      </c>
      <c r="S5426">
        <f>IF($A5426="","",$R5426&amp;"|"&amp;$Q5426)</f>
        <v/>
      </c>
      <c r="T5426">
        <f>IF($A5426="","",$S5426&amp;"|"&amp;$F5426)</f>
        <v/>
      </c>
      <c r="U5426">
        <f>IF($A5426="","",$R5426&amp;"("&amp;$E5426&amp;")")</f>
        <v/>
      </c>
      <c r="V5426">
        <f>IF($A5426="","",$F5426&amp;"|"&amp;$U5426&amp;"|"&amp;$D5426)</f>
        <v/>
      </c>
      <c r="W5426">
        <f>IF($T5426="","",IF($X5426&gt;N($X5425),$X5426,""))</f>
        <v/>
      </c>
      <c r="X5426">
        <f>IF($T5426="",N($X5425),IF(MATCH($T5426,$T$6:$T$6005,0)=ROW()-5,N($X5425)+1,N($X5425)))</f>
        <v/>
      </c>
      <c r="Z5426">
        <f>IF($V5426="","",IF($AA5426&gt;N($AA5425),$AA5426,""))</f>
        <v/>
      </c>
      <c r="AA5426">
        <f>IF($V5426="",N($AA5425),IF(MATCH($V5426,$V$6:$V$6005,0)=ROW()-5,N($AA5425)+1,N($AA5425)))</f>
        <v/>
      </c>
    </row>
    <row r="5427" ht="21" customHeight="1" s="66">
      <c r="A5427" s="56" t="n"/>
      <c r="B5427" s="57" t="n"/>
      <c r="C5427" s="57" t="n"/>
      <c r="D5427" s="57" t="n"/>
      <c r="E5427" s="56" t="n"/>
      <c r="F5427" s="57" t="n"/>
      <c r="G5427" s="57" t="n"/>
      <c r="H5427" s="56" t="n"/>
      <c r="I5427" s="56" t="n"/>
      <c r="J5427" s="58" t="n"/>
      <c r="K5427" s="58" t="n"/>
      <c r="L5427" s="13">
        <f>IF(OR($A5427="",AND($J5427="",$K5427="")),"",ROUND(N($J5427)-N($K5427),2))</f>
        <v/>
      </c>
      <c r="M5427" s="13">
        <f>IF(OR($A5427="",AND($J5427="",$K5427="")),"",MIN($J5427,$K5427))</f>
        <v/>
      </c>
      <c r="Q5427">
        <f>IF($A5427="","",$D5427&amp;"("&amp;SUBSTITUTE($E5427," ","")&amp;")")</f>
        <v/>
      </c>
      <c r="R5427">
        <f>IF($A5427="","",$B5427&amp;" - "&amp;$C5427)</f>
        <v/>
      </c>
      <c r="S5427">
        <f>IF($A5427="","",$R5427&amp;"|"&amp;$Q5427)</f>
        <v/>
      </c>
      <c r="T5427">
        <f>IF($A5427="","",$S5427&amp;"|"&amp;$F5427)</f>
        <v/>
      </c>
      <c r="U5427">
        <f>IF($A5427="","",$R5427&amp;"("&amp;$E5427&amp;")")</f>
        <v/>
      </c>
      <c r="V5427">
        <f>IF($A5427="","",$F5427&amp;"|"&amp;$U5427&amp;"|"&amp;$D5427)</f>
        <v/>
      </c>
      <c r="W5427">
        <f>IF($T5427="","",IF($X5427&gt;N($X5426),$X5427,""))</f>
        <v/>
      </c>
      <c r="X5427">
        <f>IF($T5427="",N($X5426),IF(MATCH($T5427,$T$6:$T$6005,0)=ROW()-5,N($X5426)+1,N($X5426)))</f>
        <v/>
      </c>
      <c r="Z5427">
        <f>IF($V5427="","",IF($AA5427&gt;N($AA5426),$AA5427,""))</f>
        <v/>
      </c>
      <c r="AA5427">
        <f>IF($V5427="",N($AA5426),IF(MATCH($V5427,$V$6:$V$6005,0)=ROW()-5,N($AA5426)+1,N($AA5426)))</f>
        <v/>
      </c>
    </row>
    <row r="5428" ht="21" customHeight="1" s="66">
      <c r="A5428" s="56" t="n"/>
      <c r="B5428" s="57" t="n"/>
      <c r="C5428" s="57" t="n"/>
      <c r="D5428" s="57" t="n"/>
      <c r="E5428" s="56" t="n"/>
      <c r="F5428" s="57" t="n"/>
      <c r="G5428" s="57" t="n"/>
      <c r="H5428" s="56" t="n"/>
      <c r="I5428" s="56" t="n"/>
      <c r="J5428" s="58" t="n"/>
      <c r="K5428" s="58" t="n"/>
      <c r="L5428" s="13">
        <f>IF(OR($A5428="",AND($J5428="",$K5428="")),"",ROUND(N($J5428)-N($K5428),2))</f>
        <v/>
      </c>
      <c r="M5428" s="13">
        <f>IF(OR($A5428="",AND($J5428="",$K5428="")),"",MIN($J5428,$K5428))</f>
        <v/>
      </c>
      <c r="Q5428">
        <f>IF($A5428="","",$D5428&amp;"("&amp;SUBSTITUTE($E5428," ","")&amp;")")</f>
        <v/>
      </c>
      <c r="R5428">
        <f>IF($A5428="","",$B5428&amp;" - "&amp;$C5428)</f>
        <v/>
      </c>
      <c r="S5428">
        <f>IF($A5428="","",$R5428&amp;"|"&amp;$Q5428)</f>
        <v/>
      </c>
      <c r="T5428">
        <f>IF($A5428="","",$S5428&amp;"|"&amp;$F5428)</f>
        <v/>
      </c>
      <c r="U5428">
        <f>IF($A5428="","",$R5428&amp;"("&amp;$E5428&amp;")")</f>
        <v/>
      </c>
      <c r="V5428">
        <f>IF($A5428="","",$F5428&amp;"|"&amp;$U5428&amp;"|"&amp;$D5428)</f>
        <v/>
      </c>
      <c r="W5428">
        <f>IF($T5428="","",IF($X5428&gt;N($X5427),$X5428,""))</f>
        <v/>
      </c>
      <c r="X5428">
        <f>IF($T5428="",N($X5427),IF(MATCH($T5428,$T$6:$T$6005,0)=ROW()-5,N($X5427)+1,N($X5427)))</f>
        <v/>
      </c>
      <c r="Z5428">
        <f>IF($V5428="","",IF($AA5428&gt;N($AA5427),$AA5428,""))</f>
        <v/>
      </c>
      <c r="AA5428">
        <f>IF($V5428="",N($AA5427),IF(MATCH($V5428,$V$6:$V$6005,0)=ROW()-5,N($AA5427)+1,N($AA5427)))</f>
        <v/>
      </c>
    </row>
    <row r="5429" ht="21" customHeight="1" s="66">
      <c r="A5429" s="56" t="n"/>
      <c r="B5429" s="57" t="n"/>
      <c r="C5429" s="57" t="n"/>
      <c r="D5429" s="57" t="n"/>
      <c r="E5429" s="56" t="n"/>
      <c r="F5429" s="57" t="n"/>
      <c r="G5429" s="57" t="n"/>
      <c r="H5429" s="56" t="n"/>
      <c r="I5429" s="56" t="n"/>
      <c r="J5429" s="58" t="n"/>
      <c r="K5429" s="58" t="n"/>
      <c r="L5429" s="13">
        <f>IF(OR($A5429="",AND($J5429="",$K5429="")),"",ROUND(N($J5429)-N($K5429),2))</f>
        <v/>
      </c>
      <c r="M5429" s="13">
        <f>IF(OR($A5429="",AND($J5429="",$K5429="")),"",MIN($J5429,$K5429))</f>
        <v/>
      </c>
      <c r="Q5429">
        <f>IF($A5429="","",$D5429&amp;"("&amp;SUBSTITUTE($E5429," ","")&amp;")")</f>
        <v/>
      </c>
      <c r="R5429">
        <f>IF($A5429="","",$B5429&amp;" - "&amp;$C5429)</f>
        <v/>
      </c>
      <c r="S5429">
        <f>IF($A5429="","",$R5429&amp;"|"&amp;$Q5429)</f>
        <v/>
      </c>
      <c r="T5429">
        <f>IF($A5429="","",$S5429&amp;"|"&amp;$F5429)</f>
        <v/>
      </c>
      <c r="U5429">
        <f>IF($A5429="","",$R5429&amp;"("&amp;$E5429&amp;")")</f>
        <v/>
      </c>
      <c r="V5429">
        <f>IF($A5429="","",$F5429&amp;"|"&amp;$U5429&amp;"|"&amp;$D5429)</f>
        <v/>
      </c>
      <c r="W5429">
        <f>IF($T5429="","",IF($X5429&gt;N($X5428),$X5429,""))</f>
        <v/>
      </c>
      <c r="X5429">
        <f>IF($T5429="",N($X5428),IF(MATCH($T5429,$T$6:$T$6005,0)=ROW()-5,N($X5428)+1,N($X5428)))</f>
        <v/>
      </c>
      <c r="Z5429">
        <f>IF($V5429="","",IF($AA5429&gt;N($AA5428),$AA5429,""))</f>
        <v/>
      </c>
      <c r="AA5429">
        <f>IF($V5429="",N($AA5428),IF(MATCH($V5429,$V$6:$V$6005,0)=ROW()-5,N($AA5428)+1,N($AA5428)))</f>
        <v/>
      </c>
    </row>
    <row r="5430" ht="21" customHeight="1" s="66">
      <c r="A5430" s="56" t="n"/>
      <c r="B5430" s="57" t="n"/>
      <c r="C5430" s="57" t="n"/>
      <c r="D5430" s="57" t="n"/>
      <c r="E5430" s="56" t="n"/>
      <c r="F5430" s="57" t="n"/>
      <c r="G5430" s="57" t="n"/>
      <c r="H5430" s="56" t="n"/>
      <c r="I5430" s="56" t="n"/>
      <c r="J5430" s="58" t="n"/>
      <c r="K5430" s="58" t="n"/>
      <c r="L5430" s="13">
        <f>IF(OR($A5430="",AND($J5430="",$K5430="")),"",ROUND(N($J5430)-N($K5430),2))</f>
        <v/>
      </c>
      <c r="M5430" s="13">
        <f>IF(OR($A5430="",AND($J5430="",$K5430="")),"",MIN($J5430,$K5430))</f>
        <v/>
      </c>
      <c r="Q5430">
        <f>IF($A5430="","",$D5430&amp;"("&amp;SUBSTITUTE($E5430," ","")&amp;")")</f>
        <v/>
      </c>
      <c r="R5430">
        <f>IF($A5430="","",$B5430&amp;" - "&amp;$C5430)</f>
        <v/>
      </c>
      <c r="S5430">
        <f>IF($A5430="","",$R5430&amp;"|"&amp;$Q5430)</f>
        <v/>
      </c>
      <c r="T5430">
        <f>IF($A5430="","",$S5430&amp;"|"&amp;$F5430)</f>
        <v/>
      </c>
      <c r="U5430">
        <f>IF($A5430="","",$R5430&amp;"("&amp;$E5430&amp;")")</f>
        <v/>
      </c>
      <c r="V5430">
        <f>IF($A5430="","",$F5430&amp;"|"&amp;$U5430&amp;"|"&amp;$D5430)</f>
        <v/>
      </c>
      <c r="W5430">
        <f>IF($T5430="","",IF($X5430&gt;N($X5429),$X5430,""))</f>
        <v/>
      </c>
      <c r="X5430">
        <f>IF($T5430="",N($X5429),IF(MATCH($T5430,$T$6:$T$6005,0)=ROW()-5,N($X5429)+1,N($X5429)))</f>
        <v/>
      </c>
      <c r="Z5430">
        <f>IF($V5430="","",IF($AA5430&gt;N($AA5429),$AA5430,""))</f>
        <v/>
      </c>
      <c r="AA5430">
        <f>IF($V5430="",N($AA5429),IF(MATCH($V5430,$V$6:$V$6005,0)=ROW()-5,N($AA5429)+1,N($AA5429)))</f>
        <v/>
      </c>
    </row>
    <row r="5431" ht="21" customHeight="1" s="66">
      <c r="A5431" s="56" t="n"/>
      <c r="B5431" s="57" t="n"/>
      <c r="C5431" s="57" t="n"/>
      <c r="D5431" s="57" t="n"/>
      <c r="E5431" s="56" t="n"/>
      <c r="F5431" s="57" t="n"/>
      <c r="G5431" s="57" t="n"/>
      <c r="H5431" s="56" t="n"/>
      <c r="I5431" s="56" t="n"/>
      <c r="J5431" s="58" t="n"/>
      <c r="K5431" s="58" t="n"/>
      <c r="L5431" s="13">
        <f>IF(OR($A5431="",AND($J5431="",$K5431="")),"",ROUND(N($J5431)-N($K5431),2))</f>
        <v/>
      </c>
      <c r="M5431" s="13">
        <f>IF(OR($A5431="",AND($J5431="",$K5431="")),"",MIN($J5431,$K5431))</f>
        <v/>
      </c>
      <c r="Q5431">
        <f>IF($A5431="","",$D5431&amp;"("&amp;SUBSTITUTE($E5431," ","")&amp;")")</f>
        <v/>
      </c>
      <c r="R5431">
        <f>IF($A5431="","",$B5431&amp;" - "&amp;$C5431)</f>
        <v/>
      </c>
      <c r="S5431">
        <f>IF($A5431="","",$R5431&amp;"|"&amp;$Q5431)</f>
        <v/>
      </c>
      <c r="T5431">
        <f>IF($A5431="","",$S5431&amp;"|"&amp;$F5431)</f>
        <v/>
      </c>
      <c r="U5431">
        <f>IF($A5431="","",$R5431&amp;"("&amp;$E5431&amp;")")</f>
        <v/>
      </c>
      <c r="V5431">
        <f>IF($A5431="","",$F5431&amp;"|"&amp;$U5431&amp;"|"&amp;$D5431)</f>
        <v/>
      </c>
      <c r="W5431">
        <f>IF($T5431="","",IF($X5431&gt;N($X5430),$X5431,""))</f>
        <v/>
      </c>
      <c r="X5431">
        <f>IF($T5431="",N($X5430),IF(MATCH($T5431,$T$6:$T$6005,0)=ROW()-5,N($X5430)+1,N($X5430)))</f>
        <v/>
      </c>
      <c r="Z5431">
        <f>IF($V5431="","",IF($AA5431&gt;N($AA5430),$AA5431,""))</f>
        <v/>
      </c>
      <c r="AA5431">
        <f>IF($V5431="",N($AA5430),IF(MATCH($V5431,$V$6:$V$6005,0)=ROW()-5,N($AA5430)+1,N($AA5430)))</f>
        <v/>
      </c>
    </row>
    <row r="5432" ht="21" customHeight="1" s="66">
      <c r="A5432" s="56" t="n"/>
      <c r="B5432" s="57" t="n"/>
      <c r="C5432" s="57" t="n"/>
      <c r="D5432" s="57" t="n"/>
      <c r="E5432" s="56" t="n"/>
      <c r="F5432" s="57" t="n"/>
      <c r="G5432" s="57" t="n"/>
      <c r="H5432" s="56" t="n"/>
      <c r="I5432" s="56" t="n"/>
      <c r="J5432" s="58" t="n"/>
      <c r="K5432" s="58" t="n"/>
      <c r="L5432" s="13">
        <f>IF(OR($A5432="",AND($J5432="",$K5432="")),"",ROUND(N($J5432)-N($K5432),2))</f>
        <v/>
      </c>
      <c r="M5432" s="13">
        <f>IF(OR($A5432="",AND($J5432="",$K5432="")),"",MIN($J5432,$K5432))</f>
        <v/>
      </c>
      <c r="Q5432">
        <f>IF($A5432="","",$D5432&amp;"("&amp;SUBSTITUTE($E5432," ","")&amp;")")</f>
        <v/>
      </c>
      <c r="R5432">
        <f>IF($A5432="","",$B5432&amp;" - "&amp;$C5432)</f>
        <v/>
      </c>
      <c r="S5432">
        <f>IF($A5432="","",$R5432&amp;"|"&amp;$Q5432)</f>
        <v/>
      </c>
      <c r="T5432">
        <f>IF($A5432="","",$S5432&amp;"|"&amp;$F5432)</f>
        <v/>
      </c>
      <c r="U5432">
        <f>IF($A5432="","",$R5432&amp;"("&amp;$E5432&amp;")")</f>
        <v/>
      </c>
      <c r="V5432">
        <f>IF($A5432="","",$F5432&amp;"|"&amp;$U5432&amp;"|"&amp;$D5432)</f>
        <v/>
      </c>
      <c r="W5432">
        <f>IF($T5432="","",IF($X5432&gt;N($X5431),$X5432,""))</f>
        <v/>
      </c>
      <c r="X5432">
        <f>IF($T5432="",N($X5431),IF(MATCH($T5432,$T$6:$T$6005,0)=ROW()-5,N($X5431)+1,N($X5431)))</f>
        <v/>
      </c>
      <c r="Z5432">
        <f>IF($V5432="","",IF($AA5432&gt;N($AA5431),$AA5432,""))</f>
        <v/>
      </c>
      <c r="AA5432">
        <f>IF($V5432="",N($AA5431),IF(MATCH($V5432,$V$6:$V$6005,0)=ROW()-5,N($AA5431)+1,N($AA5431)))</f>
        <v/>
      </c>
    </row>
    <row r="5433" ht="21" customHeight="1" s="66">
      <c r="A5433" s="56" t="n"/>
      <c r="B5433" s="57" t="n"/>
      <c r="C5433" s="57" t="n"/>
      <c r="D5433" s="57" t="n"/>
      <c r="E5433" s="56" t="n"/>
      <c r="F5433" s="57" t="n"/>
      <c r="G5433" s="57" t="n"/>
      <c r="H5433" s="56" t="n"/>
      <c r="I5433" s="56" t="n"/>
      <c r="J5433" s="58" t="n"/>
      <c r="K5433" s="58" t="n"/>
      <c r="L5433" s="13">
        <f>IF(OR($A5433="",AND($J5433="",$K5433="")),"",ROUND(N($J5433)-N($K5433),2))</f>
        <v/>
      </c>
      <c r="M5433" s="13">
        <f>IF(OR($A5433="",AND($J5433="",$K5433="")),"",MIN($J5433,$K5433))</f>
        <v/>
      </c>
      <c r="Q5433">
        <f>IF($A5433="","",$D5433&amp;"("&amp;SUBSTITUTE($E5433," ","")&amp;")")</f>
        <v/>
      </c>
      <c r="R5433">
        <f>IF($A5433="","",$B5433&amp;" - "&amp;$C5433)</f>
        <v/>
      </c>
      <c r="S5433">
        <f>IF($A5433="","",$R5433&amp;"|"&amp;$Q5433)</f>
        <v/>
      </c>
      <c r="T5433">
        <f>IF($A5433="","",$S5433&amp;"|"&amp;$F5433)</f>
        <v/>
      </c>
      <c r="U5433">
        <f>IF($A5433="","",$R5433&amp;"("&amp;$E5433&amp;")")</f>
        <v/>
      </c>
      <c r="V5433">
        <f>IF($A5433="","",$F5433&amp;"|"&amp;$U5433&amp;"|"&amp;$D5433)</f>
        <v/>
      </c>
      <c r="W5433">
        <f>IF($T5433="","",IF($X5433&gt;N($X5432),$X5433,""))</f>
        <v/>
      </c>
      <c r="X5433">
        <f>IF($T5433="",N($X5432),IF(MATCH($T5433,$T$6:$T$6005,0)=ROW()-5,N($X5432)+1,N($X5432)))</f>
        <v/>
      </c>
      <c r="Z5433">
        <f>IF($V5433="","",IF($AA5433&gt;N($AA5432),$AA5433,""))</f>
        <v/>
      </c>
      <c r="AA5433">
        <f>IF($V5433="",N($AA5432),IF(MATCH($V5433,$V$6:$V$6005,0)=ROW()-5,N($AA5432)+1,N($AA5432)))</f>
        <v/>
      </c>
    </row>
    <row r="5434" ht="21" customHeight="1" s="66">
      <c r="A5434" s="56" t="n"/>
      <c r="B5434" s="57" t="n"/>
      <c r="C5434" s="57" t="n"/>
      <c r="D5434" s="57" t="n"/>
      <c r="E5434" s="56" t="n"/>
      <c r="F5434" s="57" t="n"/>
      <c r="G5434" s="57" t="n"/>
      <c r="H5434" s="56" t="n"/>
      <c r="I5434" s="56" t="n"/>
      <c r="J5434" s="58" t="n"/>
      <c r="K5434" s="58" t="n"/>
      <c r="L5434" s="13">
        <f>IF(OR($A5434="",AND($J5434="",$K5434="")),"",ROUND(N($J5434)-N($K5434),2))</f>
        <v/>
      </c>
      <c r="M5434" s="13">
        <f>IF(OR($A5434="",AND($J5434="",$K5434="")),"",MIN($J5434,$K5434))</f>
        <v/>
      </c>
      <c r="Q5434">
        <f>IF($A5434="","",$D5434&amp;"("&amp;SUBSTITUTE($E5434," ","")&amp;")")</f>
        <v/>
      </c>
      <c r="R5434">
        <f>IF($A5434="","",$B5434&amp;" - "&amp;$C5434)</f>
        <v/>
      </c>
      <c r="S5434">
        <f>IF($A5434="","",$R5434&amp;"|"&amp;$Q5434)</f>
        <v/>
      </c>
      <c r="T5434">
        <f>IF($A5434="","",$S5434&amp;"|"&amp;$F5434)</f>
        <v/>
      </c>
      <c r="U5434">
        <f>IF($A5434="","",$R5434&amp;"("&amp;$E5434&amp;")")</f>
        <v/>
      </c>
      <c r="V5434">
        <f>IF($A5434="","",$F5434&amp;"|"&amp;$U5434&amp;"|"&amp;$D5434)</f>
        <v/>
      </c>
      <c r="W5434">
        <f>IF($T5434="","",IF($X5434&gt;N($X5433),$X5434,""))</f>
        <v/>
      </c>
      <c r="X5434">
        <f>IF($T5434="",N($X5433),IF(MATCH($T5434,$T$6:$T$6005,0)=ROW()-5,N($X5433)+1,N($X5433)))</f>
        <v/>
      </c>
      <c r="Z5434">
        <f>IF($V5434="","",IF($AA5434&gt;N($AA5433),$AA5434,""))</f>
        <v/>
      </c>
      <c r="AA5434">
        <f>IF($V5434="",N($AA5433),IF(MATCH($V5434,$V$6:$V$6005,0)=ROW()-5,N($AA5433)+1,N($AA5433)))</f>
        <v/>
      </c>
    </row>
    <row r="5435" ht="21" customHeight="1" s="66">
      <c r="A5435" s="56" t="n"/>
      <c r="B5435" s="57" t="n"/>
      <c r="C5435" s="57" t="n"/>
      <c r="D5435" s="57" t="n"/>
      <c r="E5435" s="56" t="n"/>
      <c r="F5435" s="57" t="n"/>
      <c r="G5435" s="57" t="n"/>
      <c r="H5435" s="56" t="n"/>
      <c r="I5435" s="56" t="n"/>
      <c r="J5435" s="58" t="n"/>
      <c r="K5435" s="58" t="n"/>
      <c r="L5435" s="13">
        <f>IF(OR($A5435="",AND($J5435="",$K5435="")),"",ROUND(N($J5435)-N($K5435),2))</f>
        <v/>
      </c>
      <c r="M5435" s="13">
        <f>IF(OR($A5435="",AND($J5435="",$K5435="")),"",MIN($J5435,$K5435))</f>
        <v/>
      </c>
      <c r="Q5435">
        <f>IF($A5435="","",$D5435&amp;"("&amp;SUBSTITUTE($E5435," ","")&amp;")")</f>
        <v/>
      </c>
      <c r="R5435">
        <f>IF($A5435="","",$B5435&amp;" - "&amp;$C5435)</f>
        <v/>
      </c>
      <c r="S5435">
        <f>IF($A5435="","",$R5435&amp;"|"&amp;$Q5435)</f>
        <v/>
      </c>
      <c r="T5435">
        <f>IF($A5435="","",$S5435&amp;"|"&amp;$F5435)</f>
        <v/>
      </c>
      <c r="U5435">
        <f>IF($A5435="","",$R5435&amp;"("&amp;$E5435&amp;")")</f>
        <v/>
      </c>
      <c r="V5435">
        <f>IF($A5435="","",$F5435&amp;"|"&amp;$U5435&amp;"|"&amp;$D5435)</f>
        <v/>
      </c>
      <c r="W5435">
        <f>IF($T5435="","",IF($X5435&gt;N($X5434),$X5435,""))</f>
        <v/>
      </c>
      <c r="X5435">
        <f>IF($T5435="",N($X5434),IF(MATCH($T5435,$T$6:$T$6005,0)=ROW()-5,N($X5434)+1,N($X5434)))</f>
        <v/>
      </c>
      <c r="Z5435">
        <f>IF($V5435="","",IF($AA5435&gt;N($AA5434),$AA5435,""))</f>
        <v/>
      </c>
      <c r="AA5435">
        <f>IF($V5435="",N($AA5434),IF(MATCH($V5435,$V$6:$V$6005,0)=ROW()-5,N($AA5434)+1,N($AA5434)))</f>
        <v/>
      </c>
    </row>
    <row r="5436" ht="21" customHeight="1" s="66">
      <c r="A5436" s="56" t="n"/>
      <c r="B5436" s="57" t="n"/>
      <c r="C5436" s="57" t="n"/>
      <c r="D5436" s="57" t="n"/>
      <c r="E5436" s="56" t="n"/>
      <c r="F5436" s="57" t="n"/>
      <c r="G5436" s="57" t="n"/>
      <c r="H5436" s="56" t="n"/>
      <c r="I5436" s="56" t="n"/>
      <c r="J5436" s="58" t="n"/>
      <c r="K5436" s="58" t="n"/>
      <c r="L5436" s="13">
        <f>IF(OR($A5436="",AND($J5436="",$K5436="")),"",ROUND(N($J5436)-N($K5436),2))</f>
        <v/>
      </c>
      <c r="M5436" s="13">
        <f>IF(OR($A5436="",AND($J5436="",$K5436="")),"",MIN($J5436,$K5436))</f>
        <v/>
      </c>
      <c r="Q5436">
        <f>IF($A5436="","",$D5436&amp;"("&amp;SUBSTITUTE($E5436," ","")&amp;")")</f>
        <v/>
      </c>
      <c r="R5436">
        <f>IF($A5436="","",$B5436&amp;" - "&amp;$C5436)</f>
        <v/>
      </c>
      <c r="S5436">
        <f>IF($A5436="","",$R5436&amp;"|"&amp;$Q5436)</f>
        <v/>
      </c>
      <c r="T5436">
        <f>IF($A5436="","",$S5436&amp;"|"&amp;$F5436)</f>
        <v/>
      </c>
      <c r="U5436">
        <f>IF($A5436="","",$R5436&amp;"("&amp;$E5436&amp;")")</f>
        <v/>
      </c>
      <c r="V5436">
        <f>IF($A5436="","",$F5436&amp;"|"&amp;$U5436&amp;"|"&amp;$D5436)</f>
        <v/>
      </c>
      <c r="W5436">
        <f>IF($T5436="","",IF($X5436&gt;N($X5435),$X5436,""))</f>
        <v/>
      </c>
      <c r="X5436">
        <f>IF($T5436="",N($X5435),IF(MATCH($T5436,$T$6:$T$6005,0)=ROW()-5,N($X5435)+1,N($X5435)))</f>
        <v/>
      </c>
      <c r="Z5436">
        <f>IF($V5436="","",IF($AA5436&gt;N($AA5435),$AA5436,""))</f>
        <v/>
      </c>
      <c r="AA5436">
        <f>IF($V5436="",N($AA5435),IF(MATCH($V5436,$V$6:$V$6005,0)=ROW()-5,N($AA5435)+1,N($AA5435)))</f>
        <v/>
      </c>
    </row>
    <row r="5437" ht="21" customHeight="1" s="66">
      <c r="A5437" s="56" t="n"/>
      <c r="B5437" s="57" t="n"/>
      <c r="C5437" s="57" t="n"/>
      <c r="D5437" s="57" t="n"/>
      <c r="E5437" s="56" t="n"/>
      <c r="F5437" s="57" t="n"/>
      <c r="G5437" s="57" t="n"/>
      <c r="H5437" s="56" t="n"/>
      <c r="I5437" s="56" t="n"/>
      <c r="J5437" s="58" t="n"/>
      <c r="K5437" s="58" t="n"/>
      <c r="L5437" s="13">
        <f>IF(OR($A5437="",AND($J5437="",$K5437="")),"",ROUND(N($J5437)-N($K5437),2))</f>
        <v/>
      </c>
      <c r="M5437" s="13">
        <f>IF(OR($A5437="",AND($J5437="",$K5437="")),"",MIN($J5437,$K5437))</f>
        <v/>
      </c>
      <c r="Q5437">
        <f>IF($A5437="","",$D5437&amp;"("&amp;SUBSTITUTE($E5437," ","")&amp;")")</f>
        <v/>
      </c>
      <c r="R5437">
        <f>IF($A5437="","",$B5437&amp;" - "&amp;$C5437)</f>
        <v/>
      </c>
      <c r="S5437">
        <f>IF($A5437="","",$R5437&amp;"|"&amp;$Q5437)</f>
        <v/>
      </c>
      <c r="T5437">
        <f>IF($A5437="","",$S5437&amp;"|"&amp;$F5437)</f>
        <v/>
      </c>
      <c r="U5437">
        <f>IF($A5437="","",$R5437&amp;"("&amp;$E5437&amp;")")</f>
        <v/>
      </c>
      <c r="V5437">
        <f>IF($A5437="","",$F5437&amp;"|"&amp;$U5437&amp;"|"&amp;$D5437)</f>
        <v/>
      </c>
      <c r="W5437">
        <f>IF($T5437="","",IF($X5437&gt;N($X5436),$X5437,""))</f>
        <v/>
      </c>
      <c r="X5437">
        <f>IF($T5437="",N($X5436),IF(MATCH($T5437,$T$6:$T$6005,0)=ROW()-5,N($X5436)+1,N($X5436)))</f>
        <v/>
      </c>
      <c r="Z5437">
        <f>IF($V5437="","",IF($AA5437&gt;N($AA5436),$AA5437,""))</f>
        <v/>
      </c>
      <c r="AA5437">
        <f>IF($V5437="",N($AA5436),IF(MATCH($V5437,$V$6:$V$6005,0)=ROW()-5,N($AA5436)+1,N($AA5436)))</f>
        <v/>
      </c>
    </row>
    <row r="5438" ht="21" customHeight="1" s="66">
      <c r="A5438" s="56" t="n"/>
      <c r="B5438" s="57" t="n"/>
      <c r="C5438" s="57" t="n"/>
      <c r="D5438" s="57" t="n"/>
      <c r="E5438" s="56" t="n"/>
      <c r="F5438" s="57" t="n"/>
      <c r="G5438" s="57" t="n"/>
      <c r="H5438" s="56" t="n"/>
      <c r="I5438" s="56" t="n"/>
      <c r="J5438" s="58" t="n"/>
      <c r="K5438" s="58" t="n"/>
      <c r="L5438" s="13">
        <f>IF(OR($A5438="",AND($J5438="",$K5438="")),"",ROUND(N($J5438)-N($K5438),2))</f>
        <v/>
      </c>
      <c r="M5438" s="13">
        <f>IF(OR($A5438="",AND($J5438="",$K5438="")),"",MIN($J5438,$K5438))</f>
        <v/>
      </c>
      <c r="Q5438">
        <f>IF($A5438="","",$D5438&amp;"("&amp;SUBSTITUTE($E5438," ","")&amp;")")</f>
        <v/>
      </c>
      <c r="R5438">
        <f>IF($A5438="","",$B5438&amp;" - "&amp;$C5438)</f>
        <v/>
      </c>
      <c r="S5438">
        <f>IF($A5438="","",$R5438&amp;"|"&amp;$Q5438)</f>
        <v/>
      </c>
      <c r="T5438">
        <f>IF($A5438="","",$S5438&amp;"|"&amp;$F5438)</f>
        <v/>
      </c>
      <c r="U5438">
        <f>IF($A5438="","",$R5438&amp;"("&amp;$E5438&amp;")")</f>
        <v/>
      </c>
      <c r="V5438">
        <f>IF($A5438="","",$F5438&amp;"|"&amp;$U5438&amp;"|"&amp;$D5438)</f>
        <v/>
      </c>
      <c r="W5438">
        <f>IF($T5438="","",IF($X5438&gt;N($X5437),$X5438,""))</f>
        <v/>
      </c>
      <c r="X5438">
        <f>IF($T5438="",N($X5437),IF(MATCH($T5438,$T$6:$T$6005,0)=ROW()-5,N($X5437)+1,N($X5437)))</f>
        <v/>
      </c>
      <c r="Z5438">
        <f>IF($V5438="","",IF($AA5438&gt;N($AA5437),$AA5438,""))</f>
        <v/>
      </c>
      <c r="AA5438">
        <f>IF($V5438="",N($AA5437),IF(MATCH($V5438,$V$6:$V$6005,0)=ROW()-5,N($AA5437)+1,N($AA5437)))</f>
        <v/>
      </c>
    </row>
    <row r="5439" ht="21" customHeight="1" s="66">
      <c r="A5439" s="56" t="n"/>
      <c r="B5439" s="57" t="n"/>
      <c r="C5439" s="57" t="n"/>
      <c r="D5439" s="57" t="n"/>
      <c r="E5439" s="56" t="n"/>
      <c r="F5439" s="57" t="n"/>
      <c r="G5439" s="57" t="n"/>
      <c r="H5439" s="56" t="n"/>
      <c r="I5439" s="56" t="n"/>
      <c r="J5439" s="58" t="n"/>
      <c r="K5439" s="58" t="n"/>
      <c r="L5439" s="13">
        <f>IF(OR($A5439="",AND($J5439="",$K5439="")),"",ROUND(N($J5439)-N($K5439),2))</f>
        <v/>
      </c>
      <c r="M5439" s="13">
        <f>IF(OR($A5439="",AND($J5439="",$K5439="")),"",MIN($J5439,$K5439))</f>
        <v/>
      </c>
      <c r="Q5439">
        <f>IF($A5439="","",$D5439&amp;"("&amp;SUBSTITUTE($E5439," ","")&amp;")")</f>
        <v/>
      </c>
      <c r="R5439">
        <f>IF($A5439="","",$B5439&amp;" - "&amp;$C5439)</f>
        <v/>
      </c>
      <c r="S5439">
        <f>IF($A5439="","",$R5439&amp;"|"&amp;$Q5439)</f>
        <v/>
      </c>
      <c r="T5439">
        <f>IF($A5439="","",$S5439&amp;"|"&amp;$F5439)</f>
        <v/>
      </c>
      <c r="U5439">
        <f>IF($A5439="","",$R5439&amp;"("&amp;$E5439&amp;")")</f>
        <v/>
      </c>
      <c r="V5439">
        <f>IF($A5439="","",$F5439&amp;"|"&amp;$U5439&amp;"|"&amp;$D5439)</f>
        <v/>
      </c>
      <c r="W5439">
        <f>IF($T5439="","",IF($X5439&gt;N($X5438),$X5439,""))</f>
        <v/>
      </c>
      <c r="X5439">
        <f>IF($T5439="",N($X5438),IF(MATCH($T5439,$T$6:$T$6005,0)=ROW()-5,N($X5438)+1,N($X5438)))</f>
        <v/>
      </c>
      <c r="Z5439">
        <f>IF($V5439="","",IF($AA5439&gt;N($AA5438),$AA5439,""))</f>
        <v/>
      </c>
      <c r="AA5439">
        <f>IF($V5439="",N($AA5438),IF(MATCH($V5439,$V$6:$V$6005,0)=ROW()-5,N($AA5438)+1,N($AA5438)))</f>
        <v/>
      </c>
    </row>
    <row r="5440" ht="21" customHeight="1" s="66">
      <c r="A5440" s="56" t="n"/>
      <c r="B5440" s="57" t="n"/>
      <c r="C5440" s="57" t="n"/>
      <c r="D5440" s="57" t="n"/>
      <c r="E5440" s="56" t="n"/>
      <c r="F5440" s="57" t="n"/>
      <c r="G5440" s="57" t="n"/>
      <c r="H5440" s="56" t="n"/>
      <c r="I5440" s="56" t="n"/>
      <c r="J5440" s="58" t="n"/>
      <c r="K5440" s="58" t="n"/>
      <c r="L5440" s="13">
        <f>IF(OR($A5440="",AND($J5440="",$K5440="")),"",ROUND(N($J5440)-N($K5440),2))</f>
        <v/>
      </c>
      <c r="M5440" s="13">
        <f>IF(OR($A5440="",AND($J5440="",$K5440="")),"",MIN($J5440,$K5440))</f>
        <v/>
      </c>
      <c r="Q5440">
        <f>IF($A5440="","",$D5440&amp;"("&amp;SUBSTITUTE($E5440," ","")&amp;")")</f>
        <v/>
      </c>
      <c r="R5440">
        <f>IF($A5440="","",$B5440&amp;" - "&amp;$C5440)</f>
        <v/>
      </c>
      <c r="S5440">
        <f>IF($A5440="","",$R5440&amp;"|"&amp;$Q5440)</f>
        <v/>
      </c>
      <c r="T5440">
        <f>IF($A5440="","",$S5440&amp;"|"&amp;$F5440)</f>
        <v/>
      </c>
      <c r="U5440">
        <f>IF($A5440="","",$R5440&amp;"("&amp;$E5440&amp;")")</f>
        <v/>
      </c>
      <c r="V5440">
        <f>IF($A5440="","",$F5440&amp;"|"&amp;$U5440&amp;"|"&amp;$D5440)</f>
        <v/>
      </c>
      <c r="W5440">
        <f>IF($T5440="","",IF($X5440&gt;N($X5439),$X5440,""))</f>
        <v/>
      </c>
      <c r="X5440">
        <f>IF($T5440="",N($X5439),IF(MATCH($T5440,$T$6:$T$6005,0)=ROW()-5,N($X5439)+1,N($X5439)))</f>
        <v/>
      </c>
      <c r="Z5440">
        <f>IF($V5440="","",IF($AA5440&gt;N($AA5439),$AA5440,""))</f>
        <v/>
      </c>
      <c r="AA5440">
        <f>IF($V5440="",N($AA5439),IF(MATCH($V5440,$V$6:$V$6005,0)=ROW()-5,N($AA5439)+1,N($AA5439)))</f>
        <v/>
      </c>
    </row>
    <row r="5441" ht="21" customHeight="1" s="66">
      <c r="A5441" s="56" t="n"/>
      <c r="B5441" s="57" t="n"/>
      <c r="C5441" s="57" t="n"/>
      <c r="D5441" s="57" t="n"/>
      <c r="E5441" s="56" t="n"/>
      <c r="F5441" s="57" t="n"/>
      <c r="G5441" s="57" t="n"/>
      <c r="H5441" s="56" t="n"/>
      <c r="I5441" s="56" t="n"/>
      <c r="J5441" s="58" t="n"/>
      <c r="K5441" s="58" t="n"/>
      <c r="L5441" s="13">
        <f>IF(OR($A5441="",AND($J5441="",$K5441="")),"",ROUND(N($J5441)-N($K5441),2))</f>
        <v/>
      </c>
      <c r="M5441" s="13">
        <f>IF(OR($A5441="",AND($J5441="",$K5441="")),"",MIN($J5441,$K5441))</f>
        <v/>
      </c>
      <c r="Q5441">
        <f>IF($A5441="","",$D5441&amp;"("&amp;SUBSTITUTE($E5441," ","")&amp;")")</f>
        <v/>
      </c>
      <c r="R5441">
        <f>IF($A5441="","",$B5441&amp;" - "&amp;$C5441)</f>
        <v/>
      </c>
      <c r="S5441">
        <f>IF($A5441="","",$R5441&amp;"|"&amp;$Q5441)</f>
        <v/>
      </c>
      <c r="T5441">
        <f>IF($A5441="","",$S5441&amp;"|"&amp;$F5441)</f>
        <v/>
      </c>
      <c r="U5441">
        <f>IF($A5441="","",$R5441&amp;"("&amp;$E5441&amp;")")</f>
        <v/>
      </c>
      <c r="V5441">
        <f>IF($A5441="","",$F5441&amp;"|"&amp;$U5441&amp;"|"&amp;$D5441)</f>
        <v/>
      </c>
      <c r="W5441">
        <f>IF($T5441="","",IF($X5441&gt;N($X5440),$X5441,""))</f>
        <v/>
      </c>
      <c r="X5441">
        <f>IF($T5441="",N($X5440),IF(MATCH($T5441,$T$6:$T$6005,0)=ROW()-5,N($X5440)+1,N($X5440)))</f>
        <v/>
      </c>
      <c r="Z5441">
        <f>IF($V5441="","",IF($AA5441&gt;N($AA5440),$AA5441,""))</f>
        <v/>
      </c>
      <c r="AA5441">
        <f>IF($V5441="",N($AA5440),IF(MATCH($V5441,$V$6:$V$6005,0)=ROW()-5,N($AA5440)+1,N($AA5440)))</f>
        <v/>
      </c>
    </row>
    <row r="5442" ht="21" customHeight="1" s="66">
      <c r="A5442" s="56" t="n"/>
      <c r="B5442" s="57" t="n"/>
      <c r="C5442" s="57" t="n"/>
      <c r="D5442" s="57" t="n"/>
      <c r="E5442" s="56" t="n"/>
      <c r="F5442" s="57" t="n"/>
      <c r="G5442" s="57" t="n"/>
      <c r="H5442" s="56" t="n"/>
      <c r="I5442" s="56" t="n"/>
      <c r="J5442" s="58" t="n"/>
      <c r="K5442" s="58" t="n"/>
      <c r="L5442" s="13">
        <f>IF(OR($A5442="",AND($J5442="",$K5442="")),"",ROUND(N($J5442)-N($K5442),2))</f>
        <v/>
      </c>
      <c r="M5442" s="13">
        <f>IF(OR($A5442="",AND($J5442="",$K5442="")),"",MIN($J5442,$K5442))</f>
        <v/>
      </c>
      <c r="Q5442">
        <f>IF($A5442="","",$D5442&amp;"("&amp;SUBSTITUTE($E5442," ","")&amp;")")</f>
        <v/>
      </c>
      <c r="R5442">
        <f>IF($A5442="","",$B5442&amp;" - "&amp;$C5442)</f>
        <v/>
      </c>
      <c r="S5442">
        <f>IF($A5442="","",$R5442&amp;"|"&amp;$Q5442)</f>
        <v/>
      </c>
      <c r="T5442">
        <f>IF($A5442="","",$S5442&amp;"|"&amp;$F5442)</f>
        <v/>
      </c>
      <c r="U5442">
        <f>IF($A5442="","",$R5442&amp;"("&amp;$E5442&amp;")")</f>
        <v/>
      </c>
      <c r="V5442">
        <f>IF($A5442="","",$F5442&amp;"|"&amp;$U5442&amp;"|"&amp;$D5442)</f>
        <v/>
      </c>
      <c r="W5442">
        <f>IF($T5442="","",IF($X5442&gt;N($X5441),$X5442,""))</f>
        <v/>
      </c>
      <c r="X5442">
        <f>IF($T5442="",N($X5441),IF(MATCH($T5442,$T$6:$T$6005,0)=ROW()-5,N($X5441)+1,N($X5441)))</f>
        <v/>
      </c>
      <c r="Z5442">
        <f>IF($V5442="","",IF($AA5442&gt;N($AA5441),$AA5442,""))</f>
        <v/>
      </c>
      <c r="AA5442">
        <f>IF($V5442="",N($AA5441),IF(MATCH($V5442,$V$6:$V$6005,0)=ROW()-5,N($AA5441)+1,N($AA5441)))</f>
        <v/>
      </c>
    </row>
    <row r="5443" ht="21" customHeight="1" s="66">
      <c r="A5443" s="56" t="n"/>
      <c r="B5443" s="57" t="n"/>
      <c r="C5443" s="57" t="n"/>
      <c r="D5443" s="57" t="n"/>
      <c r="E5443" s="56" t="n"/>
      <c r="F5443" s="57" t="n"/>
      <c r="G5443" s="57" t="n"/>
      <c r="H5443" s="56" t="n"/>
      <c r="I5443" s="56" t="n"/>
      <c r="J5443" s="58" t="n"/>
      <c r="K5443" s="58" t="n"/>
      <c r="L5443" s="13">
        <f>IF(OR($A5443="",AND($J5443="",$K5443="")),"",ROUND(N($J5443)-N($K5443),2))</f>
        <v/>
      </c>
      <c r="M5443" s="13">
        <f>IF(OR($A5443="",AND($J5443="",$K5443="")),"",MIN($J5443,$K5443))</f>
        <v/>
      </c>
      <c r="Q5443">
        <f>IF($A5443="","",$D5443&amp;"("&amp;SUBSTITUTE($E5443," ","")&amp;")")</f>
        <v/>
      </c>
      <c r="R5443">
        <f>IF($A5443="","",$B5443&amp;" - "&amp;$C5443)</f>
        <v/>
      </c>
      <c r="S5443">
        <f>IF($A5443="","",$R5443&amp;"|"&amp;$Q5443)</f>
        <v/>
      </c>
      <c r="T5443">
        <f>IF($A5443="","",$S5443&amp;"|"&amp;$F5443)</f>
        <v/>
      </c>
      <c r="U5443">
        <f>IF($A5443="","",$R5443&amp;"("&amp;$E5443&amp;")")</f>
        <v/>
      </c>
      <c r="V5443">
        <f>IF($A5443="","",$F5443&amp;"|"&amp;$U5443&amp;"|"&amp;$D5443)</f>
        <v/>
      </c>
      <c r="W5443">
        <f>IF($T5443="","",IF($X5443&gt;N($X5442),$X5443,""))</f>
        <v/>
      </c>
      <c r="X5443">
        <f>IF($T5443="",N($X5442),IF(MATCH($T5443,$T$6:$T$6005,0)=ROW()-5,N($X5442)+1,N($X5442)))</f>
        <v/>
      </c>
      <c r="Z5443">
        <f>IF($V5443="","",IF($AA5443&gt;N($AA5442),$AA5443,""))</f>
        <v/>
      </c>
      <c r="AA5443">
        <f>IF($V5443="",N($AA5442),IF(MATCH($V5443,$V$6:$V$6005,0)=ROW()-5,N($AA5442)+1,N($AA5442)))</f>
        <v/>
      </c>
    </row>
    <row r="5444" ht="21" customHeight="1" s="66">
      <c r="A5444" s="56" t="n"/>
      <c r="B5444" s="57" t="n"/>
      <c r="C5444" s="57" t="n"/>
      <c r="D5444" s="57" t="n"/>
      <c r="E5444" s="56" t="n"/>
      <c r="F5444" s="57" t="n"/>
      <c r="G5444" s="57" t="n"/>
      <c r="H5444" s="56" t="n"/>
      <c r="I5444" s="56" t="n"/>
      <c r="J5444" s="58" t="n"/>
      <c r="K5444" s="58" t="n"/>
      <c r="L5444" s="13">
        <f>IF(OR($A5444="",AND($J5444="",$K5444="")),"",ROUND(N($J5444)-N($K5444),2))</f>
        <v/>
      </c>
      <c r="M5444" s="13">
        <f>IF(OR($A5444="",AND($J5444="",$K5444="")),"",MIN($J5444,$K5444))</f>
        <v/>
      </c>
      <c r="Q5444">
        <f>IF($A5444="","",$D5444&amp;"("&amp;SUBSTITUTE($E5444," ","")&amp;")")</f>
        <v/>
      </c>
      <c r="R5444">
        <f>IF($A5444="","",$B5444&amp;" - "&amp;$C5444)</f>
        <v/>
      </c>
      <c r="S5444">
        <f>IF($A5444="","",$R5444&amp;"|"&amp;$Q5444)</f>
        <v/>
      </c>
      <c r="T5444">
        <f>IF($A5444="","",$S5444&amp;"|"&amp;$F5444)</f>
        <v/>
      </c>
      <c r="U5444">
        <f>IF($A5444="","",$R5444&amp;"("&amp;$E5444&amp;")")</f>
        <v/>
      </c>
      <c r="V5444">
        <f>IF($A5444="","",$F5444&amp;"|"&amp;$U5444&amp;"|"&amp;$D5444)</f>
        <v/>
      </c>
      <c r="W5444">
        <f>IF($T5444="","",IF($X5444&gt;N($X5443),$X5444,""))</f>
        <v/>
      </c>
      <c r="X5444">
        <f>IF($T5444="",N($X5443),IF(MATCH($T5444,$T$6:$T$6005,0)=ROW()-5,N($X5443)+1,N($X5443)))</f>
        <v/>
      </c>
      <c r="Z5444">
        <f>IF($V5444="","",IF($AA5444&gt;N($AA5443),$AA5444,""))</f>
        <v/>
      </c>
      <c r="AA5444">
        <f>IF($V5444="",N($AA5443),IF(MATCH($V5444,$V$6:$V$6005,0)=ROW()-5,N($AA5443)+1,N($AA5443)))</f>
        <v/>
      </c>
    </row>
    <row r="5445" ht="21" customHeight="1" s="66">
      <c r="A5445" s="56" t="n"/>
      <c r="B5445" s="57" t="n"/>
      <c r="C5445" s="57" t="n"/>
      <c r="D5445" s="57" t="n"/>
      <c r="E5445" s="56" t="n"/>
      <c r="F5445" s="57" t="n"/>
      <c r="G5445" s="57" t="n"/>
      <c r="H5445" s="56" t="n"/>
      <c r="I5445" s="56" t="n"/>
      <c r="J5445" s="58" t="n"/>
      <c r="K5445" s="58" t="n"/>
      <c r="L5445" s="13">
        <f>IF(OR($A5445="",AND($J5445="",$K5445="")),"",ROUND(N($J5445)-N($K5445),2))</f>
        <v/>
      </c>
      <c r="M5445" s="13">
        <f>IF(OR($A5445="",AND($J5445="",$K5445="")),"",MIN($J5445,$K5445))</f>
        <v/>
      </c>
      <c r="Q5445">
        <f>IF($A5445="","",$D5445&amp;"("&amp;SUBSTITUTE($E5445," ","")&amp;")")</f>
        <v/>
      </c>
      <c r="R5445">
        <f>IF($A5445="","",$B5445&amp;" - "&amp;$C5445)</f>
        <v/>
      </c>
      <c r="S5445">
        <f>IF($A5445="","",$R5445&amp;"|"&amp;$Q5445)</f>
        <v/>
      </c>
      <c r="T5445">
        <f>IF($A5445="","",$S5445&amp;"|"&amp;$F5445)</f>
        <v/>
      </c>
      <c r="U5445">
        <f>IF($A5445="","",$R5445&amp;"("&amp;$E5445&amp;")")</f>
        <v/>
      </c>
      <c r="V5445">
        <f>IF($A5445="","",$F5445&amp;"|"&amp;$U5445&amp;"|"&amp;$D5445)</f>
        <v/>
      </c>
      <c r="W5445">
        <f>IF($T5445="","",IF($X5445&gt;N($X5444),$X5445,""))</f>
        <v/>
      </c>
      <c r="X5445">
        <f>IF($T5445="",N($X5444),IF(MATCH($T5445,$T$6:$T$6005,0)=ROW()-5,N($X5444)+1,N($X5444)))</f>
        <v/>
      </c>
      <c r="Z5445">
        <f>IF($V5445="","",IF($AA5445&gt;N($AA5444),$AA5445,""))</f>
        <v/>
      </c>
      <c r="AA5445">
        <f>IF($V5445="",N($AA5444),IF(MATCH($V5445,$V$6:$V$6005,0)=ROW()-5,N($AA5444)+1,N($AA5444)))</f>
        <v/>
      </c>
    </row>
    <row r="5446" ht="21" customHeight="1" s="66">
      <c r="A5446" s="56" t="n"/>
      <c r="B5446" s="57" t="n"/>
      <c r="C5446" s="57" t="n"/>
      <c r="D5446" s="57" t="n"/>
      <c r="E5446" s="56" t="n"/>
      <c r="F5446" s="57" t="n"/>
      <c r="G5446" s="57" t="n"/>
      <c r="H5446" s="56" t="n"/>
      <c r="I5446" s="56" t="n"/>
      <c r="J5446" s="58" t="n"/>
      <c r="K5446" s="58" t="n"/>
      <c r="L5446" s="13">
        <f>IF(OR($A5446="",AND($J5446="",$K5446="")),"",ROUND(N($J5446)-N($K5446),2))</f>
        <v/>
      </c>
      <c r="M5446" s="13">
        <f>IF(OR($A5446="",AND($J5446="",$K5446="")),"",MIN($J5446,$K5446))</f>
        <v/>
      </c>
      <c r="Q5446">
        <f>IF($A5446="","",$D5446&amp;"("&amp;SUBSTITUTE($E5446," ","")&amp;")")</f>
        <v/>
      </c>
      <c r="R5446">
        <f>IF($A5446="","",$B5446&amp;" - "&amp;$C5446)</f>
        <v/>
      </c>
      <c r="S5446">
        <f>IF($A5446="","",$R5446&amp;"|"&amp;$Q5446)</f>
        <v/>
      </c>
      <c r="T5446">
        <f>IF($A5446="","",$S5446&amp;"|"&amp;$F5446)</f>
        <v/>
      </c>
      <c r="U5446">
        <f>IF($A5446="","",$R5446&amp;"("&amp;$E5446&amp;")")</f>
        <v/>
      </c>
      <c r="V5446">
        <f>IF($A5446="","",$F5446&amp;"|"&amp;$U5446&amp;"|"&amp;$D5446)</f>
        <v/>
      </c>
      <c r="W5446">
        <f>IF($T5446="","",IF($X5446&gt;N($X5445),$X5446,""))</f>
        <v/>
      </c>
      <c r="X5446">
        <f>IF($T5446="",N($X5445),IF(MATCH($T5446,$T$6:$T$6005,0)=ROW()-5,N($X5445)+1,N($X5445)))</f>
        <v/>
      </c>
      <c r="Z5446">
        <f>IF($V5446="","",IF($AA5446&gt;N($AA5445),$AA5446,""))</f>
        <v/>
      </c>
      <c r="AA5446">
        <f>IF($V5446="",N($AA5445),IF(MATCH($V5446,$V$6:$V$6005,0)=ROW()-5,N($AA5445)+1,N($AA5445)))</f>
        <v/>
      </c>
    </row>
    <row r="5447" ht="21" customHeight="1" s="66">
      <c r="A5447" s="56" t="n"/>
      <c r="B5447" s="57" t="n"/>
      <c r="C5447" s="57" t="n"/>
      <c r="D5447" s="57" t="n"/>
      <c r="E5447" s="56" t="n"/>
      <c r="F5447" s="57" t="n"/>
      <c r="G5447" s="57" t="n"/>
      <c r="H5447" s="56" t="n"/>
      <c r="I5447" s="56" t="n"/>
      <c r="J5447" s="58" t="n"/>
      <c r="K5447" s="58" t="n"/>
      <c r="L5447" s="13">
        <f>IF(OR($A5447="",AND($J5447="",$K5447="")),"",ROUND(N($J5447)-N($K5447),2))</f>
        <v/>
      </c>
      <c r="M5447" s="13">
        <f>IF(OR($A5447="",AND($J5447="",$K5447="")),"",MIN($J5447,$K5447))</f>
        <v/>
      </c>
      <c r="Q5447">
        <f>IF($A5447="","",$D5447&amp;"("&amp;SUBSTITUTE($E5447," ","")&amp;")")</f>
        <v/>
      </c>
      <c r="R5447">
        <f>IF($A5447="","",$B5447&amp;" - "&amp;$C5447)</f>
        <v/>
      </c>
      <c r="S5447">
        <f>IF($A5447="","",$R5447&amp;"|"&amp;$Q5447)</f>
        <v/>
      </c>
      <c r="T5447">
        <f>IF($A5447="","",$S5447&amp;"|"&amp;$F5447)</f>
        <v/>
      </c>
      <c r="U5447">
        <f>IF($A5447="","",$R5447&amp;"("&amp;$E5447&amp;")")</f>
        <v/>
      </c>
      <c r="V5447">
        <f>IF($A5447="","",$F5447&amp;"|"&amp;$U5447&amp;"|"&amp;$D5447)</f>
        <v/>
      </c>
      <c r="W5447">
        <f>IF($T5447="","",IF($X5447&gt;N($X5446),$X5447,""))</f>
        <v/>
      </c>
      <c r="X5447">
        <f>IF($T5447="",N($X5446),IF(MATCH($T5447,$T$6:$T$6005,0)=ROW()-5,N($X5446)+1,N($X5446)))</f>
        <v/>
      </c>
      <c r="Z5447">
        <f>IF($V5447="","",IF($AA5447&gt;N($AA5446),$AA5447,""))</f>
        <v/>
      </c>
      <c r="AA5447">
        <f>IF($V5447="",N($AA5446),IF(MATCH($V5447,$V$6:$V$6005,0)=ROW()-5,N($AA5446)+1,N($AA5446)))</f>
        <v/>
      </c>
    </row>
    <row r="5448" ht="21" customHeight="1" s="66">
      <c r="A5448" s="56" t="n"/>
      <c r="B5448" s="57" t="n"/>
      <c r="C5448" s="57" t="n"/>
      <c r="D5448" s="57" t="n"/>
      <c r="E5448" s="56" t="n"/>
      <c r="F5448" s="57" t="n"/>
      <c r="G5448" s="57" t="n"/>
      <c r="H5448" s="56" t="n"/>
      <c r="I5448" s="56" t="n"/>
      <c r="J5448" s="58" t="n"/>
      <c r="K5448" s="58" t="n"/>
      <c r="L5448" s="13">
        <f>IF(OR($A5448="",AND($J5448="",$K5448="")),"",ROUND(N($J5448)-N($K5448),2))</f>
        <v/>
      </c>
      <c r="M5448" s="13">
        <f>IF(OR($A5448="",AND($J5448="",$K5448="")),"",MIN($J5448,$K5448))</f>
        <v/>
      </c>
      <c r="Q5448">
        <f>IF($A5448="","",$D5448&amp;"("&amp;SUBSTITUTE($E5448," ","")&amp;")")</f>
        <v/>
      </c>
      <c r="R5448">
        <f>IF($A5448="","",$B5448&amp;" - "&amp;$C5448)</f>
        <v/>
      </c>
      <c r="S5448">
        <f>IF($A5448="","",$R5448&amp;"|"&amp;$Q5448)</f>
        <v/>
      </c>
      <c r="T5448">
        <f>IF($A5448="","",$S5448&amp;"|"&amp;$F5448)</f>
        <v/>
      </c>
      <c r="U5448">
        <f>IF($A5448="","",$R5448&amp;"("&amp;$E5448&amp;")")</f>
        <v/>
      </c>
      <c r="V5448">
        <f>IF($A5448="","",$F5448&amp;"|"&amp;$U5448&amp;"|"&amp;$D5448)</f>
        <v/>
      </c>
      <c r="W5448">
        <f>IF($T5448="","",IF($X5448&gt;N($X5447),$X5448,""))</f>
        <v/>
      </c>
      <c r="X5448">
        <f>IF($T5448="",N($X5447),IF(MATCH($T5448,$T$6:$T$6005,0)=ROW()-5,N($X5447)+1,N($X5447)))</f>
        <v/>
      </c>
      <c r="Z5448">
        <f>IF($V5448="","",IF($AA5448&gt;N($AA5447),$AA5448,""))</f>
        <v/>
      </c>
      <c r="AA5448">
        <f>IF($V5448="",N($AA5447),IF(MATCH($V5448,$V$6:$V$6005,0)=ROW()-5,N($AA5447)+1,N($AA5447)))</f>
        <v/>
      </c>
    </row>
    <row r="5449" ht="21" customHeight="1" s="66">
      <c r="A5449" s="56" t="n"/>
      <c r="B5449" s="57" t="n"/>
      <c r="C5449" s="57" t="n"/>
      <c r="D5449" s="57" t="n"/>
      <c r="E5449" s="56" t="n"/>
      <c r="F5449" s="57" t="n"/>
      <c r="G5449" s="57" t="n"/>
      <c r="H5449" s="56" t="n"/>
      <c r="I5449" s="56" t="n"/>
      <c r="J5449" s="58" t="n"/>
      <c r="K5449" s="58" t="n"/>
      <c r="L5449" s="13">
        <f>IF(OR($A5449="",AND($J5449="",$K5449="")),"",ROUND(N($J5449)-N($K5449),2))</f>
        <v/>
      </c>
      <c r="M5449" s="13">
        <f>IF(OR($A5449="",AND($J5449="",$K5449="")),"",MIN($J5449,$K5449))</f>
        <v/>
      </c>
      <c r="Q5449">
        <f>IF($A5449="","",$D5449&amp;"("&amp;SUBSTITUTE($E5449," ","")&amp;")")</f>
        <v/>
      </c>
      <c r="R5449">
        <f>IF($A5449="","",$B5449&amp;" - "&amp;$C5449)</f>
        <v/>
      </c>
      <c r="S5449">
        <f>IF($A5449="","",$R5449&amp;"|"&amp;$Q5449)</f>
        <v/>
      </c>
      <c r="T5449">
        <f>IF($A5449="","",$S5449&amp;"|"&amp;$F5449)</f>
        <v/>
      </c>
      <c r="U5449">
        <f>IF($A5449="","",$R5449&amp;"("&amp;$E5449&amp;")")</f>
        <v/>
      </c>
      <c r="V5449">
        <f>IF($A5449="","",$F5449&amp;"|"&amp;$U5449&amp;"|"&amp;$D5449)</f>
        <v/>
      </c>
      <c r="W5449">
        <f>IF($T5449="","",IF($X5449&gt;N($X5448),$X5449,""))</f>
        <v/>
      </c>
      <c r="X5449">
        <f>IF($T5449="",N($X5448),IF(MATCH($T5449,$T$6:$T$6005,0)=ROW()-5,N($X5448)+1,N($X5448)))</f>
        <v/>
      </c>
      <c r="Z5449">
        <f>IF($V5449="","",IF($AA5449&gt;N($AA5448),$AA5449,""))</f>
        <v/>
      </c>
      <c r="AA5449">
        <f>IF($V5449="",N($AA5448),IF(MATCH($V5449,$V$6:$V$6005,0)=ROW()-5,N($AA5448)+1,N($AA5448)))</f>
        <v/>
      </c>
    </row>
    <row r="5450" ht="21" customHeight="1" s="66">
      <c r="A5450" s="56" t="n"/>
      <c r="B5450" s="57" t="n"/>
      <c r="C5450" s="57" t="n"/>
      <c r="D5450" s="57" t="n"/>
      <c r="E5450" s="56" t="n"/>
      <c r="F5450" s="57" t="n"/>
      <c r="G5450" s="57" t="n"/>
      <c r="H5450" s="56" t="n"/>
      <c r="I5450" s="56" t="n"/>
      <c r="J5450" s="58" t="n"/>
      <c r="K5450" s="58" t="n"/>
      <c r="L5450" s="13">
        <f>IF(OR($A5450="",AND($J5450="",$K5450="")),"",ROUND(N($J5450)-N($K5450),2))</f>
        <v/>
      </c>
      <c r="M5450" s="13">
        <f>IF(OR($A5450="",AND($J5450="",$K5450="")),"",MIN($J5450,$K5450))</f>
        <v/>
      </c>
      <c r="Q5450">
        <f>IF($A5450="","",$D5450&amp;"("&amp;SUBSTITUTE($E5450," ","")&amp;")")</f>
        <v/>
      </c>
      <c r="R5450">
        <f>IF($A5450="","",$B5450&amp;" - "&amp;$C5450)</f>
        <v/>
      </c>
      <c r="S5450">
        <f>IF($A5450="","",$R5450&amp;"|"&amp;$Q5450)</f>
        <v/>
      </c>
      <c r="T5450">
        <f>IF($A5450="","",$S5450&amp;"|"&amp;$F5450)</f>
        <v/>
      </c>
      <c r="U5450">
        <f>IF($A5450="","",$R5450&amp;"("&amp;$E5450&amp;")")</f>
        <v/>
      </c>
      <c r="V5450">
        <f>IF($A5450="","",$F5450&amp;"|"&amp;$U5450&amp;"|"&amp;$D5450)</f>
        <v/>
      </c>
      <c r="W5450">
        <f>IF($T5450="","",IF($X5450&gt;N($X5449),$X5450,""))</f>
        <v/>
      </c>
      <c r="X5450">
        <f>IF($T5450="",N($X5449),IF(MATCH($T5450,$T$6:$T$6005,0)=ROW()-5,N($X5449)+1,N($X5449)))</f>
        <v/>
      </c>
      <c r="Z5450">
        <f>IF($V5450="","",IF($AA5450&gt;N($AA5449),$AA5450,""))</f>
        <v/>
      </c>
      <c r="AA5450">
        <f>IF($V5450="",N($AA5449),IF(MATCH($V5450,$V$6:$V$6005,0)=ROW()-5,N($AA5449)+1,N($AA5449)))</f>
        <v/>
      </c>
    </row>
    <row r="5451" ht="21" customHeight="1" s="66">
      <c r="A5451" s="56" t="n"/>
      <c r="B5451" s="57" t="n"/>
      <c r="C5451" s="57" t="n"/>
      <c r="D5451" s="57" t="n"/>
      <c r="E5451" s="56" t="n"/>
      <c r="F5451" s="57" t="n"/>
      <c r="G5451" s="57" t="n"/>
      <c r="H5451" s="56" t="n"/>
      <c r="I5451" s="56" t="n"/>
      <c r="J5451" s="58" t="n"/>
      <c r="K5451" s="58" t="n"/>
      <c r="L5451" s="13">
        <f>IF(OR($A5451="",AND($J5451="",$K5451="")),"",ROUND(N($J5451)-N($K5451),2))</f>
        <v/>
      </c>
      <c r="M5451" s="13">
        <f>IF(OR($A5451="",AND($J5451="",$K5451="")),"",MIN($J5451,$K5451))</f>
        <v/>
      </c>
      <c r="Q5451">
        <f>IF($A5451="","",$D5451&amp;"("&amp;SUBSTITUTE($E5451," ","")&amp;")")</f>
        <v/>
      </c>
      <c r="R5451">
        <f>IF($A5451="","",$B5451&amp;" - "&amp;$C5451)</f>
        <v/>
      </c>
      <c r="S5451">
        <f>IF($A5451="","",$R5451&amp;"|"&amp;$Q5451)</f>
        <v/>
      </c>
      <c r="T5451">
        <f>IF($A5451="","",$S5451&amp;"|"&amp;$F5451)</f>
        <v/>
      </c>
      <c r="U5451">
        <f>IF($A5451="","",$R5451&amp;"("&amp;$E5451&amp;")")</f>
        <v/>
      </c>
      <c r="V5451">
        <f>IF($A5451="","",$F5451&amp;"|"&amp;$U5451&amp;"|"&amp;$D5451)</f>
        <v/>
      </c>
      <c r="W5451">
        <f>IF($T5451="","",IF($X5451&gt;N($X5450),$X5451,""))</f>
        <v/>
      </c>
      <c r="X5451">
        <f>IF($T5451="",N($X5450),IF(MATCH($T5451,$T$6:$T$6005,0)=ROW()-5,N($X5450)+1,N($X5450)))</f>
        <v/>
      </c>
      <c r="Z5451">
        <f>IF($V5451="","",IF($AA5451&gt;N($AA5450),$AA5451,""))</f>
        <v/>
      </c>
      <c r="AA5451">
        <f>IF($V5451="",N($AA5450),IF(MATCH($V5451,$V$6:$V$6005,0)=ROW()-5,N($AA5450)+1,N($AA5450)))</f>
        <v/>
      </c>
    </row>
    <row r="5452" ht="21" customHeight="1" s="66">
      <c r="A5452" s="56" t="n"/>
      <c r="B5452" s="57" t="n"/>
      <c r="C5452" s="57" t="n"/>
      <c r="D5452" s="57" t="n"/>
      <c r="E5452" s="56" t="n"/>
      <c r="F5452" s="57" t="n"/>
      <c r="G5452" s="57" t="n"/>
      <c r="H5452" s="56" t="n"/>
      <c r="I5452" s="56" t="n"/>
      <c r="J5452" s="58" t="n"/>
      <c r="K5452" s="58" t="n"/>
      <c r="L5452" s="13">
        <f>IF(OR($A5452="",AND($J5452="",$K5452="")),"",ROUND(N($J5452)-N($K5452),2))</f>
        <v/>
      </c>
      <c r="M5452" s="13">
        <f>IF(OR($A5452="",AND($J5452="",$K5452="")),"",MIN($J5452,$K5452))</f>
        <v/>
      </c>
      <c r="Q5452">
        <f>IF($A5452="","",$D5452&amp;"("&amp;SUBSTITUTE($E5452," ","")&amp;")")</f>
        <v/>
      </c>
      <c r="R5452">
        <f>IF($A5452="","",$B5452&amp;" - "&amp;$C5452)</f>
        <v/>
      </c>
      <c r="S5452">
        <f>IF($A5452="","",$R5452&amp;"|"&amp;$Q5452)</f>
        <v/>
      </c>
      <c r="T5452">
        <f>IF($A5452="","",$S5452&amp;"|"&amp;$F5452)</f>
        <v/>
      </c>
      <c r="U5452">
        <f>IF($A5452="","",$R5452&amp;"("&amp;$E5452&amp;")")</f>
        <v/>
      </c>
      <c r="V5452">
        <f>IF($A5452="","",$F5452&amp;"|"&amp;$U5452&amp;"|"&amp;$D5452)</f>
        <v/>
      </c>
      <c r="W5452">
        <f>IF($T5452="","",IF($X5452&gt;N($X5451),$X5452,""))</f>
        <v/>
      </c>
      <c r="X5452">
        <f>IF($T5452="",N($X5451),IF(MATCH($T5452,$T$6:$T$6005,0)=ROW()-5,N($X5451)+1,N($X5451)))</f>
        <v/>
      </c>
      <c r="Z5452">
        <f>IF($V5452="","",IF($AA5452&gt;N($AA5451),$AA5452,""))</f>
        <v/>
      </c>
      <c r="AA5452">
        <f>IF($V5452="",N($AA5451),IF(MATCH($V5452,$V$6:$V$6005,0)=ROW()-5,N($AA5451)+1,N($AA5451)))</f>
        <v/>
      </c>
    </row>
    <row r="5453" ht="21" customHeight="1" s="66">
      <c r="A5453" s="56" t="n"/>
      <c r="B5453" s="57" t="n"/>
      <c r="C5453" s="57" t="n"/>
      <c r="D5453" s="57" t="n"/>
      <c r="E5453" s="56" t="n"/>
      <c r="F5453" s="57" t="n"/>
      <c r="G5453" s="57" t="n"/>
      <c r="H5453" s="56" t="n"/>
      <c r="I5453" s="56" t="n"/>
      <c r="J5453" s="58" t="n"/>
      <c r="K5453" s="58" t="n"/>
      <c r="L5453" s="13">
        <f>IF(OR($A5453="",AND($J5453="",$K5453="")),"",ROUND(N($J5453)-N($K5453),2))</f>
        <v/>
      </c>
      <c r="M5453" s="13">
        <f>IF(OR($A5453="",AND($J5453="",$K5453="")),"",MIN($J5453,$K5453))</f>
        <v/>
      </c>
      <c r="Q5453">
        <f>IF($A5453="","",$D5453&amp;"("&amp;SUBSTITUTE($E5453," ","")&amp;")")</f>
        <v/>
      </c>
      <c r="R5453">
        <f>IF($A5453="","",$B5453&amp;" - "&amp;$C5453)</f>
        <v/>
      </c>
      <c r="S5453">
        <f>IF($A5453="","",$R5453&amp;"|"&amp;$Q5453)</f>
        <v/>
      </c>
      <c r="T5453">
        <f>IF($A5453="","",$S5453&amp;"|"&amp;$F5453)</f>
        <v/>
      </c>
      <c r="U5453">
        <f>IF($A5453="","",$R5453&amp;"("&amp;$E5453&amp;")")</f>
        <v/>
      </c>
      <c r="V5453">
        <f>IF($A5453="","",$F5453&amp;"|"&amp;$U5453&amp;"|"&amp;$D5453)</f>
        <v/>
      </c>
      <c r="W5453">
        <f>IF($T5453="","",IF($X5453&gt;N($X5452),$X5453,""))</f>
        <v/>
      </c>
      <c r="X5453">
        <f>IF($T5453="",N($X5452),IF(MATCH($T5453,$T$6:$T$6005,0)=ROW()-5,N($X5452)+1,N($X5452)))</f>
        <v/>
      </c>
      <c r="Z5453">
        <f>IF($V5453="","",IF($AA5453&gt;N($AA5452),$AA5453,""))</f>
        <v/>
      </c>
      <c r="AA5453">
        <f>IF($V5453="",N($AA5452),IF(MATCH($V5453,$V$6:$V$6005,0)=ROW()-5,N($AA5452)+1,N($AA5452)))</f>
        <v/>
      </c>
    </row>
    <row r="5454" ht="21" customHeight="1" s="66">
      <c r="A5454" s="56" t="n"/>
      <c r="B5454" s="57" t="n"/>
      <c r="C5454" s="57" t="n"/>
      <c r="D5454" s="57" t="n"/>
      <c r="E5454" s="56" t="n"/>
      <c r="F5454" s="57" t="n"/>
      <c r="G5454" s="57" t="n"/>
      <c r="H5454" s="56" t="n"/>
      <c r="I5454" s="56" t="n"/>
      <c r="J5454" s="58" t="n"/>
      <c r="K5454" s="58" t="n"/>
      <c r="L5454" s="13">
        <f>IF(OR($A5454="",AND($J5454="",$K5454="")),"",ROUND(N($J5454)-N($K5454),2))</f>
        <v/>
      </c>
      <c r="M5454" s="13">
        <f>IF(OR($A5454="",AND($J5454="",$K5454="")),"",MIN($J5454,$K5454))</f>
        <v/>
      </c>
      <c r="Q5454">
        <f>IF($A5454="","",$D5454&amp;"("&amp;SUBSTITUTE($E5454," ","")&amp;")")</f>
        <v/>
      </c>
      <c r="R5454">
        <f>IF($A5454="","",$B5454&amp;" - "&amp;$C5454)</f>
        <v/>
      </c>
      <c r="S5454">
        <f>IF($A5454="","",$R5454&amp;"|"&amp;$Q5454)</f>
        <v/>
      </c>
      <c r="T5454">
        <f>IF($A5454="","",$S5454&amp;"|"&amp;$F5454)</f>
        <v/>
      </c>
      <c r="U5454">
        <f>IF($A5454="","",$R5454&amp;"("&amp;$E5454&amp;")")</f>
        <v/>
      </c>
      <c r="V5454">
        <f>IF($A5454="","",$F5454&amp;"|"&amp;$U5454&amp;"|"&amp;$D5454)</f>
        <v/>
      </c>
      <c r="W5454">
        <f>IF($T5454="","",IF($X5454&gt;N($X5453),$X5454,""))</f>
        <v/>
      </c>
      <c r="X5454">
        <f>IF($T5454="",N($X5453),IF(MATCH($T5454,$T$6:$T$6005,0)=ROW()-5,N($X5453)+1,N($X5453)))</f>
        <v/>
      </c>
      <c r="Z5454">
        <f>IF($V5454="","",IF($AA5454&gt;N($AA5453),$AA5454,""))</f>
        <v/>
      </c>
      <c r="AA5454">
        <f>IF($V5454="",N($AA5453),IF(MATCH($V5454,$V$6:$V$6005,0)=ROW()-5,N($AA5453)+1,N($AA5453)))</f>
        <v/>
      </c>
    </row>
    <row r="5455" ht="21" customHeight="1" s="66">
      <c r="A5455" s="56" t="n"/>
      <c r="B5455" s="57" t="n"/>
      <c r="C5455" s="57" t="n"/>
      <c r="D5455" s="57" t="n"/>
      <c r="E5455" s="56" t="n"/>
      <c r="F5455" s="57" t="n"/>
      <c r="G5455" s="57" t="n"/>
      <c r="H5455" s="56" t="n"/>
      <c r="I5455" s="56" t="n"/>
      <c r="J5455" s="58" t="n"/>
      <c r="K5455" s="58" t="n"/>
      <c r="L5455" s="13">
        <f>IF(OR($A5455="",AND($J5455="",$K5455="")),"",ROUND(N($J5455)-N($K5455),2))</f>
        <v/>
      </c>
      <c r="M5455" s="13">
        <f>IF(OR($A5455="",AND($J5455="",$K5455="")),"",MIN($J5455,$K5455))</f>
        <v/>
      </c>
      <c r="Q5455">
        <f>IF($A5455="","",$D5455&amp;"("&amp;SUBSTITUTE($E5455," ","")&amp;")")</f>
        <v/>
      </c>
      <c r="R5455">
        <f>IF($A5455="","",$B5455&amp;" - "&amp;$C5455)</f>
        <v/>
      </c>
      <c r="S5455">
        <f>IF($A5455="","",$R5455&amp;"|"&amp;$Q5455)</f>
        <v/>
      </c>
      <c r="T5455">
        <f>IF($A5455="","",$S5455&amp;"|"&amp;$F5455)</f>
        <v/>
      </c>
      <c r="U5455">
        <f>IF($A5455="","",$R5455&amp;"("&amp;$E5455&amp;")")</f>
        <v/>
      </c>
      <c r="V5455">
        <f>IF($A5455="","",$F5455&amp;"|"&amp;$U5455&amp;"|"&amp;$D5455)</f>
        <v/>
      </c>
      <c r="W5455">
        <f>IF($T5455="","",IF($X5455&gt;N($X5454),$X5455,""))</f>
        <v/>
      </c>
      <c r="X5455">
        <f>IF($T5455="",N($X5454),IF(MATCH($T5455,$T$6:$T$6005,0)=ROW()-5,N($X5454)+1,N($X5454)))</f>
        <v/>
      </c>
      <c r="Z5455">
        <f>IF($V5455="","",IF($AA5455&gt;N($AA5454),$AA5455,""))</f>
        <v/>
      </c>
      <c r="AA5455">
        <f>IF($V5455="",N($AA5454),IF(MATCH($V5455,$V$6:$V$6005,0)=ROW()-5,N($AA5454)+1,N($AA5454)))</f>
        <v/>
      </c>
    </row>
    <row r="5456" ht="21" customHeight="1" s="66">
      <c r="A5456" s="56" t="n"/>
      <c r="B5456" s="57" t="n"/>
      <c r="C5456" s="57" t="n"/>
      <c r="D5456" s="57" t="n"/>
      <c r="E5456" s="56" t="n"/>
      <c r="F5456" s="57" t="n"/>
      <c r="G5456" s="57" t="n"/>
      <c r="H5456" s="56" t="n"/>
      <c r="I5456" s="56" t="n"/>
      <c r="J5456" s="58" t="n"/>
      <c r="K5456" s="58" t="n"/>
      <c r="L5456" s="13">
        <f>IF(OR($A5456="",AND($J5456="",$K5456="")),"",ROUND(N($J5456)-N($K5456),2))</f>
        <v/>
      </c>
      <c r="M5456" s="13">
        <f>IF(OR($A5456="",AND($J5456="",$K5456="")),"",MIN($J5456,$K5456))</f>
        <v/>
      </c>
      <c r="Q5456">
        <f>IF($A5456="","",$D5456&amp;"("&amp;SUBSTITUTE($E5456," ","")&amp;")")</f>
        <v/>
      </c>
      <c r="R5456">
        <f>IF($A5456="","",$B5456&amp;" - "&amp;$C5456)</f>
        <v/>
      </c>
      <c r="S5456">
        <f>IF($A5456="","",$R5456&amp;"|"&amp;$Q5456)</f>
        <v/>
      </c>
      <c r="T5456">
        <f>IF($A5456="","",$S5456&amp;"|"&amp;$F5456)</f>
        <v/>
      </c>
      <c r="U5456">
        <f>IF($A5456="","",$R5456&amp;"("&amp;$E5456&amp;")")</f>
        <v/>
      </c>
      <c r="V5456">
        <f>IF($A5456="","",$F5456&amp;"|"&amp;$U5456&amp;"|"&amp;$D5456)</f>
        <v/>
      </c>
      <c r="W5456">
        <f>IF($T5456="","",IF($X5456&gt;N($X5455),$X5456,""))</f>
        <v/>
      </c>
      <c r="X5456">
        <f>IF($T5456="",N($X5455),IF(MATCH($T5456,$T$6:$T$6005,0)=ROW()-5,N($X5455)+1,N($X5455)))</f>
        <v/>
      </c>
      <c r="Z5456">
        <f>IF($V5456="","",IF($AA5456&gt;N($AA5455),$AA5456,""))</f>
        <v/>
      </c>
      <c r="AA5456">
        <f>IF($V5456="",N($AA5455),IF(MATCH($V5456,$V$6:$V$6005,0)=ROW()-5,N($AA5455)+1,N($AA5455)))</f>
        <v/>
      </c>
    </row>
    <row r="5457" ht="21" customHeight="1" s="66">
      <c r="A5457" s="56" t="n"/>
      <c r="B5457" s="57" t="n"/>
      <c r="C5457" s="57" t="n"/>
      <c r="D5457" s="57" t="n"/>
      <c r="E5457" s="56" t="n"/>
      <c r="F5457" s="57" t="n"/>
      <c r="G5457" s="57" t="n"/>
      <c r="H5457" s="56" t="n"/>
      <c r="I5457" s="56" t="n"/>
      <c r="J5457" s="58" t="n"/>
      <c r="K5457" s="58" t="n"/>
      <c r="L5457" s="13">
        <f>IF(OR($A5457="",AND($J5457="",$K5457="")),"",ROUND(N($J5457)-N($K5457),2))</f>
        <v/>
      </c>
      <c r="M5457" s="13">
        <f>IF(OR($A5457="",AND($J5457="",$K5457="")),"",MIN($J5457,$K5457))</f>
        <v/>
      </c>
      <c r="Q5457">
        <f>IF($A5457="","",$D5457&amp;"("&amp;SUBSTITUTE($E5457," ","")&amp;")")</f>
        <v/>
      </c>
      <c r="R5457">
        <f>IF($A5457="","",$B5457&amp;" - "&amp;$C5457)</f>
        <v/>
      </c>
      <c r="S5457">
        <f>IF($A5457="","",$R5457&amp;"|"&amp;$Q5457)</f>
        <v/>
      </c>
      <c r="T5457">
        <f>IF($A5457="","",$S5457&amp;"|"&amp;$F5457)</f>
        <v/>
      </c>
      <c r="U5457">
        <f>IF($A5457="","",$R5457&amp;"("&amp;$E5457&amp;")")</f>
        <v/>
      </c>
      <c r="V5457">
        <f>IF($A5457="","",$F5457&amp;"|"&amp;$U5457&amp;"|"&amp;$D5457)</f>
        <v/>
      </c>
      <c r="W5457">
        <f>IF($T5457="","",IF($X5457&gt;N($X5456),$X5457,""))</f>
        <v/>
      </c>
      <c r="X5457">
        <f>IF($T5457="",N($X5456),IF(MATCH($T5457,$T$6:$T$6005,0)=ROW()-5,N($X5456)+1,N($X5456)))</f>
        <v/>
      </c>
      <c r="Z5457">
        <f>IF($V5457="","",IF($AA5457&gt;N($AA5456),$AA5457,""))</f>
        <v/>
      </c>
      <c r="AA5457">
        <f>IF($V5457="",N($AA5456),IF(MATCH($V5457,$V$6:$V$6005,0)=ROW()-5,N($AA5456)+1,N($AA5456)))</f>
        <v/>
      </c>
    </row>
    <row r="5458" ht="21" customHeight="1" s="66">
      <c r="A5458" s="56" t="n"/>
      <c r="B5458" s="57" t="n"/>
      <c r="C5458" s="57" t="n"/>
      <c r="D5458" s="57" t="n"/>
      <c r="E5458" s="56" t="n"/>
      <c r="F5458" s="57" t="n"/>
      <c r="G5458" s="57" t="n"/>
      <c r="H5458" s="56" t="n"/>
      <c r="I5458" s="56" t="n"/>
      <c r="J5458" s="58" t="n"/>
      <c r="K5458" s="58" t="n"/>
      <c r="L5458" s="13">
        <f>IF(OR($A5458="",AND($J5458="",$K5458="")),"",ROUND(N($J5458)-N($K5458),2))</f>
        <v/>
      </c>
      <c r="M5458" s="13">
        <f>IF(OR($A5458="",AND($J5458="",$K5458="")),"",MIN($J5458,$K5458))</f>
        <v/>
      </c>
      <c r="Q5458">
        <f>IF($A5458="","",$D5458&amp;"("&amp;SUBSTITUTE($E5458," ","")&amp;")")</f>
        <v/>
      </c>
      <c r="R5458">
        <f>IF($A5458="","",$B5458&amp;" - "&amp;$C5458)</f>
        <v/>
      </c>
      <c r="S5458">
        <f>IF($A5458="","",$R5458&amp;"|"&amp;$Q5458)</f>
        <v/>
      </c>
      <c r="T5458">
        <f>IF($A5458="","",$S5458&amp;"|"&amp;$F5458)</f>
        <v/>
      </c>
      <c r="U5458">
        <f>IF($A5458="","",$R5458&amp;"("&amp;$E5458&amp;")")</f>
        <v/>
      </c>
      <c r="V5458">
        <f>IF($A5458="","",$F5458&amp;"|"&amp;$U5458&amp;"|"&amp;$D5458)</f>
        <v/>
      </c>
      <c r="W5458">
        <f>IF($T5458="","",IF($X5458&gt;N($X5457),$X5458,""))</f>
        <v/>
      </c>
      <c r="X5458">
        <f>IF($T5458="",N($X5457),IF(MATCH($T5458,$T$6:$T$6005,0)=ROW()-5,N($X5457)+1,N($X5457)))</f>
        <v/>
      </c>
      <c r="Z5458">
        <f>IF($V5458="","",IF($AA5458&gt;N($AA5457),$AA5458,""))</f>
        <v/>
      </c>
      <c r="AA5458">
        <f>IF($V5458="",N($AA5457),IF(MATCH($V5458,$V$6:$V$6005,0)=ROW()-5,N($AA5457)+1,N($AA5457)))</f>
        <v/>
      </c>
    </row>
    <row r="5459" ht="21" customHeight="1" s="66">
      <c r="A5459" s="56" t="n"/>
      <c r="B5459" s="57" t="n"/>
      <c r="C5459" s="57" t="n"/>
      <c r="D5459" s="57" t="n"/>
      <c r="E5459" s="56" t="n"/>
      <c r="F5459" s="57" t="n"/>
      <c r="G5459" s="57" t="n"/>
      <c r="H5459" s="56" t="n"/>
      <c r="I5459" s="56" t="n"/>
      <c r="J5459" s="58" t="n"/>
      <c r="K5459" s="58" t="n"/>
      <c r="L5459" s="13">
        <f>IF(OR($A5459="",AND($J5459="",$K5459="")),"",ROUND(N($J5459)-N($K5459),2))</f>
        <v/>
      </c>
      <c r="M5459" s="13">
        <f>IF(OR($A5459="",AND($J5459="",$K5459="")),"",MIN($J5459,$K5459))</f>
        <v/>
      </c>
      <c r="Q5459">
        <f>IF($A5459="","",$D5459&amp;"("&amp;SUBSTITUTE($E5459," ","")&amp;")")</f>
        <v/>
      </c>
      <c r="R5459">
        <f>IF($A5459="","",$B5459&amp;" - "&amp;$C5459)</f>
        <v/>
      </c>
      <c r="S5459">
        <f>IF($A5459="","",$R5459&amp;"|"&amp;$Q5459)</f>
        <v/>
      </c>
      <c r="T5459">
        <f>IF($A5459="","",$S5459&amp;"|"&amp;$F5459)</f>
        <v/>
      </c>
      <c r="U5459">
        <f>IF($A5459="","",$R5459&amp;"("&amp;$E5459&amp;")")</f>
        <v/>
      </c>
      <c r="V5459">
        <f>IF($A5459="","",$F5459&amp;"|"&amp;$U5459&amp;"|"&amp;$D5459)</f>
        <v/>
      </c>
      <c r="W5459">
        <f>IF($T5459="","",IF($X5459&gt;N($X5458),$X5459,""))</f>
        <v/>
      </c>
      <c r="X5459">
        <f>IF($T5459="",N($X5458),IF(MATCH($T5459,$T$6:$T$6005,0)=ROW()-5,N($X5458)+1,N($X5458)))</f>
        <v/>
      </c>
      <c r="Z5459">
        <f>IF($V5459="","",IF($AA5459&gt;N($AA5458),$AA5459,""))</f>
        <v/>
      </c>
      <c r="AA5459">
        <f>IF($V5459="",N($AA5458),IF(MATCH($V5459,$V$6:$V$6005,0)=ROW()-5,N($AA5458)+1,N($AA5458)))</f>
        <v/>
      </c>
    </row>
    <row r="5460" ht="21" customHeight="1" s="66">
      <c r="A5460" s="56" t="n"/>
      <c r="B5460" s="57" t="n"/>
      <c r="C5460" s="57" t="n"/>
      <c r="D5460" s="57" t="n"/>
      <c r="E5460" s="56" t="n"/>
      <c r="F5460" s="57" t="n"/>
      <c r="G5460" s="57" t="n"/>
      <c r="H5460" s="56" t="n"/>
      <c r="I5460" s="56" t="n"/>
      <c r="J5460" s="58" t="n"/>
      <c r="K5460" s="58" t="n"/>
      <c r="L5460" s="13">
        <f>IF(OR($A5460="",AND($J5460="",$K5460="")),"",ROUND(N($J5460)-N($K5460),2))</f>
        <v/>
      </c>
      <c r="M5460" s="13">
        <f>IF(OR($A5460="",AND($J5460="",$K5460="")),"",MIN($J5460,$K5460))</f>
        <v/>
      </c>
      <c r="Q5460">
        <f>IF($A5460="","",$D5460&amp;"("&amp;SUBSTITUTE($E5460," ","")&amp;")")</f>
        <v/>
      </c>
      <c r="R5460">
        <f>IF($A5460="","",$B5460&amp;" - "&amp;$C5460)</f>
        <v/>
      </c>
      <c r="S5460">
        <f>IF($A5460="","",$R5460&amp;"|"&amp;$Q5460)</f>
        <v/>
      </c>
      <c r="T5460">
        <f>IF($A5460="","",$S5460&amp;"|"&amp;$F5460)</f>
        <v/>
      </c>
      <c r="U5460">
        <f>IF($A5460="","",$R5460&amp;"("&amp;$E5460&amp;")")</f>
        <v/>
      </c>
      <c r="V5460">
        <f>IF($A5460="","",$F5460&amp;"|"&amp;$U5460&amp;"|"&amp;$D5460)</f>
        <v/>
      </c>
      <c r="W5460">
        <f>IF($T5460="","",IF($X5460&gt;N($X5459),$X5460,""))</f>
        <v/>
      </c>
      <c r="X5460">
        <f>IF($T5460="",N($X5459),IF(MATCH($T5460,$T$6:$T$6005,0)=ROW()-5,N($X5459)+1,N($X5459)))</f>
        <v/>
      </c>
      <c r="Z5460">
        <f>IF($V5460="","",IF($AA5460&gt;N($AA5459),$AA5460,""))</f>
        <v/>
      </c>
      <c r="AA5460">
        <f>IF($V5460="",N($AA5459),IF(MATCH($V5460,$V$6:$V$6005,0)=ROW()-5,N($AA5459)+1,N($AA5459)))</f>
        <v/>
      </c>
    </row>
    <row r="5461" ht="21" customHeight="1" s="66">
      <c r="A5461" s="56" t="n"/>
      <c r="B5461" s="57" t="n"/>
      <c r="C5461" s="57" t="n"/>
      <c r="D5461" s="57" t="n"/>
      <c r="E5461" s="56" t="n"/>
      <c r="F5461" s="57" t="n"/>
      <c r="G5461" s="57" t="n"/>
      <c r="H5461" s="56" t="n"/>
      <c r="I5461" s="56" t="n"/>
      <c r="J5461" s="58" t="n"/>
      <c r="K5461" s="58" t="n"/>
      <c r="L5461" s="13">
        <f>IF(OR($A5461="",AND($J5461="",$K5461="")),"",ROUND(N($J5461)-N($K5461),2))</f>
        <v/>
      </c>
      <c r="M5461" s="13">
        <f>IF(OR($A5461="",AND($J5461="",$K5461="")),"",MIN($J5461,$K5461))</f>
        <v/>
      </c>
      <c r="Q5461">
        <f>IF($A5461="","",$D5461&amp;"("&amp;SUBSTITUTE($E5461," ","")&amp;")")</f>
        <v/>
      </c>
      <c r="R5461">
        <f>IF($A5461="","",$B5461&amp;" - "&amp;$C5461)</f>
        <v/>
      </c>
      <c r="S5461">
        <f>IF($A5461="","",$R5461&amp;"|"&amp;$Q5461)</f>
        <v/>
      </c>
      <c r="T5461">
        <f>IF($A5461="","",$S5461&amp;"|"&amp;$F5461)</f>
        <v/>
      </c>
      <c r="U5461">
        <f>IF($A5461="","",$R5461&amp;"("&amp;$E5461&amp;")")</f>
        <v/>
      </c>
      <c r="V5461">
        <f>IF($A5461="","",$F5461&amp;"|"&amp;$U5461&amp;"|"&amp;$D5461)</f>
        <v/>
      </c>
      <c r="W5461">
        <f>IF($T5461="","",IF($X5461&gt;N($X5460),$X5461,""))</f>
        <v/>
      </c>
      <c r="X5461">
        <f>IF($T5461="",N($X5460),IF(MATCH($T5461,$T$6:$T$6005,0)=ROW()-5,N($X5460)+1,N($X5460)))</f>
        <v/>
      </c>
      <c r="Z5461">
        <f>IF($V5461="","",IF($AA5461&gt;N($AA5460),$AA5461,""))</f>
        <v/>
      </c>
      <c r="AA5461">
        <f>IF($V5461="",N($AA5460),IF(MATCH($V5461,$V$6:$V$6005,0)=ROW()-5,N($AA5460)+1,N($AA5460)))</f>
        <v/>
      </c>
    </row>
    <row r="5462" ht="21" customHeight="1" s="66">
      <c r="A5462" s="56" t="n"/>
      <c r="B5462" s="57" t="n"/>
      <c r="C5462" s="57" t="n"/>
      <c r="D5462" s="57" t="n"/>
      <c r="E5462" s="56" t="n"/>
      <c r="F5462" s="57" t="n"/>
      <c r="G5462" s="57" t="n"/>
      <c r="H5462" s="56" t="n"/>
      <c r="I5462" s="56" t="n"/>
      <c r="J5462" s="58" t="n"/>
      <c r="K5462" s="58" t="n"/>
      <c r="L5462" s="13">
        <f>IF(OR($A5462="",AND($J5462="",$K5462="")),"",ROUND(N($J5462)-N($K5462),2))</f>
        <v/>
      </c>
      <c r="M5462" s="13">
        <f>IF(OR($A5462="",AND($J5462="",$K5462="")),"",MIN($J5462,$K5462))</f>
        <v/>
      </c>
      <c r="Q5462">
        <f>IF($A5462="","",$D5462&amp;"("&amp;SUBSTITUTE($E5462," ","")&amp;")")</f>
        <v/>
      </c>
      <c r="R5462">
        <f>IF($A5462="","",$B5462&amp;" - "&amp;$C5462)</f>
        <v/>
      </c>
      <c r="S5462">
        <f>IF($A5462="","",$R5462&amp;"|"&amp;$Q5462)</f>
        <v/>
      </c>
      <c r="T5462">
        <f>IF($A5462="","",$S5462&amp;"|"&amp;$F5462)</f>
        <v/>
      </c>
      <c r="U5462">
        <f>IF($A5462="","",$R5462&amp;"("&amp;$E5462&amp;")")</f>
        <v/>
      </c>
      <c r="V5462">
        <f>IF($A5462="","",$F5462&amp;"|"&amp;$U5462&amp;"|"&amp;$D5462)</f>
        <v/>
      </c>
      <c r="W5462">
        <f>IF($T5462="","",IF($X5462&gt;N($X5461),$X5462,""))</f>
        <v/>
      </c>
      <c r="X5462">
        <f>IF($T5462="",N($X5461),IF(MATCH($T5462,$T$6:$T$6005,0)=ROW()-5,N($X5461)+1,N($X5461)))</f>
        <v/>
      </c>
      <c r="Z5462">
        <f>IF($V5462="","",IF($AA5462&gt;N($AA5461),$AA5462,""))</f>
        <v/>
      </c>
      <c r="AA5462">
        <f>IF($V5462="",N($AA5461),IF(MATCH($V5462,$V$6:$V$6005,0)=ROW()-5,N($AA5461)+1,N($AA5461)))</f>
        <v/>
      </c>
    </row>
    <row r="5463" ht="21" customHeight="1" s="66">
      <c r="A5463" s="56" t="n"/>
      <c r="B5463" s="57" t="n"/>
      <c r="C5463" s="57" t="n"/>
      <c r="D5463" s="57" t="n"/>
      <c r="E5463" s="56" t="n"/>
      <c r="F5463" s="57" t="n"/>
      <c r="G5463" s="57" t="n"/>
      <c r="H5463" s="56" t="n"/>
      <c r="I5463" s="56" t="n"/>
      <c r="J5463" s="58" t="n"/>
      <c r="K5463" s="58" t="n"/>
      <c r="L5463" s="13">
        <f>IF(OR($A5463="",AND($J5463="",$K5463="")),"",ROUND(N($J5463)-N($K5463),2))</f>
        <v/>
      </c>
      <c r="M5463" s="13">
        <f>IF(OR($A5463="",AND($J5463="",$K5463="")),"",MIN($J5463,$K5463))</f>
        <v/>
      </c>
      <c r="Q5463">
        <f>IF($A5463="","",$D5463&amp;"("&amp;SUBSTITUTE($E5463," ","")&amp;")")</f>
        <v/>
      </c>
      <c r="R5463">
        <f>IF($A5463="","",$B5463&amp;" - "&amp;$C5463)</f>
        <v/>
      </c>
      <c r="S5463">
        <f>IF($A5463="","",$R5463&amp;"|"&amp;$Q5463)</f>
        <v/>
      </c>
      <c r="T5463">
        <f>IF($A5463="","",$S5463&amp;"|"&amp;$F5463)</f>
        <v/>
      </c>
      <c r="U5463">
        <f>IF($A5463="","",$R5463&amp;"("&amp;$E5463&amp;")")</f>
        <v/>
      </c>
      <c r="V5463">
        <f>IF($A5463="","",$F5463&amp;"|"&amp;$U5463&amp;"|"&amp;$D5463)</f>
        <v/>
      </c>
      <c r="W5463">
        <f>IF($T5463="","",IF($X5463&gt;N($X5462),$X5463,""))</f>
        <v/>
      </c>
      <c r="X5463">
        <f>IF($T5463="",N($X5462),IF(MATCH($T5463,$T$6:$T$6005,0)=ROW()-5,N($X5462)+1,N($X5462)))</f>
        <v/>
      </c>
      <c r="Z5463">
        <f>IF($V5463="","",IF($AA5463&gt;N($AA5462),$AA5463,""))</f>
        <v/>
      </c>
      <c r="AA5463">
        <f>IF($V5463="",N($AA5462),IF(MATCH($V5463,$V$6:$V$6005,0)=ROW()-5,N($AA5462)+1,N($AA5462)))</f>
        <v/>
      </c>
    </row>
    <row r="5464" ht="21" customHeight="1" s="66">
      <c r="A5464" s="56" t="n"/>
      <c r="B5464" s="57" t="n"/>
      <c r="C5464" s="57" t="n"/>
      <c r="D5464" s="57" t="n"/>
      <c r="E5464" s="56" t="n"/>
      <c r="F5464" s="57" t="n"/>
      <c r="G5464" s="57" t="n"/>
      <c r="H5464" s="56" t="n"/>
      <c r="I5464" s="56" t="n"/>
      <c r="J5464" s="58" t="n"/>
      <c r="K5464" s="58" t="n"/>
      <c r="L5464" s="13">
        <f>IF(OR($A5464="",AND($J5464="",$K5464="")),"",ROUND(N($J5464)-N($K5464),2))</f>
        <v/>
      </c>
      <c r="M5464" s="13">
        <f>IF(OR($A5464="",AND($J5464="",$K5464="")),"",MIN($J5464,$K5464))</f>
        <v/>
      </c>
      <c r="Q5464">
        <f>IF($A5464="","",$D5464&amp;"("&amp;SUBSTITUTE($E5464," ","")&amp;")")</f>
        <v/>
      </c>
      <c r="R5464">
        <f>IF($A5464="","",$B5464&amp;" - "&amp;$C5464)</f>
        <v/>
      </c>
      <c r="S5464">
        <f>IF($A5464="","",$R5464&amp;"|"&amp;$Q5464)</f>
        <v/>
      </c>
      <c r="T5464">
        <f>IF($A5464="","",$S5464&amp;"|"&amp;$F5464)</f>
        <v/>
      </c>
      <c r="U5464">
        <f>IF($A5464="","",$R5464&amp;"("&amp;$E5464&amp;")")</f>
        <v/>
      </c>
      <c r="V5464">
        <f>IF($A5464="","",$F5464&amp;"|"&amp;$U5464&amp;"|"&amp;$D5464)</f>
        <v/>
      </c>
      <c r="W5464">
        <f>IF($T5464="","",IF($X5464&gt;N($X5463),$X5464,""))</f>
        <v/>
      </c>
      <c r="X5464">
        <f>IF($T5464="",N($X5463),IF(MATCH($T5464,$T$6:$T$6005,0)=ROW()-5,N($X5463)+1,N($X5463)))</f>
        <v/>
      </c>
      <c r="Z5464">
        <f>IF($V5464="","",IF($AA5464&gt;N($AA5463),$AA5464,""))</f>
        <v/>
      </c>
      <c r="AA5464">
        <f>IF($V5464="",N($AA5463),IF(MATCH($V5464,$V$6:$V$6005,0)=ROW()-5,N($AA5463)+1,N($AA5463)))</f>
        <v/>
      </c>
    </row>
    <row r="5465" ht="21" customHeight="1" s="66">
      <c r="A5465" s="56" t="n"/>
      <c r="B5465" s="57" t="n"/>
      <c r="C5465" s="57" t="n"/>
      <c r="D5465" s="57" t="n"/>
      <c r="E5465" s="56" t="n"/>
      <c r="F5465" s="57" t="n"/>
      <c r="G5465" s="57" t="n"/>
      <c r="H5465" s="56" t="n"/>
      <c r="I5465" s="56" t="n"/>
      <c r="J5465" s="58" t="n"/>
      <c r="K5465" s="58" t="n"/>
      <c r="L5465" s="13">
        <f>IF(OR($A5465="",AND($J5465="",$K5465="")),"",ROUND(N($J5465)-N($K5465),2))</f>
        <v/>
      </c>
      <c r="M5465" s="13">
        <f>IF(OR($A5465="",AND($J5465="",$K5465="")),"",MIN($J5465,$K5465))</f>
        <v/>
      </c>
      <c r="Q5465">
        <f>IF($A5465="","",$D5465&amp;"("&amp;SUBSTITUTE($E5465," ","")&amp;")")</f>
        <v/>
      </c>
      <c r="R5465">
        <f>IF($A5465="","",$B5465&amp;" - "&amp;$C5465)</f>
        <v/>
      </c>
      <c r="S5465">
        <f>IF($A5465="","",$R5465&amp;"|"&amp;$Q5465)</f>
        <v/>
      </c>
      <c r="T5465">
        <f>IF($A5465="","",$S5465&amp;"|"&amp;$F5465)</f>
        <v/>
      </c>
      <c r="U5465">
        <f>IF($A5465="","",$R5465&amp;"("&amp;$E5465&amp;")")</f>
        <v/>
      </c>
      <c r="V5465">
        <f>IF($A5465="","",$F5465&amp;"|"&amp;$U5465&amp;"|"&amp;$D5465)</f>
        <v/>
      </c>
      <c r="W5465">
        <f>IF($T5465="","",IF($X5465&gt;N($X5464),$X5465,""))</f>
        <v/>
      </c>
      <c r="X5465">
        <f>IF($T5465="",N($X5464),IF(MATCH($T5465,$T$6:$T$6005,0)=ROW()-5,N($X5464)+1,N($X5464)))</f>
        <v/>
      </c>
      <c r="Z5465">
        <f>IF($V5465="","",IF($AA5465&gt;N($AA5464),$AA5465,""))</f>
        <v/>
      </c>
      <c r="AA5465">
        <f>IF($V5465="",N($AA5464),IF(MATCH($V5465,$V$6:$V$6005,0)=ROW()-5,N($AA5464)+1,N($AA5464)))</f>
        <v/>
      </c>
    </row>
    <row r="5466" ht="21" customHeight="1" s="66">
      <c r="A5466" s="56" t="n"/>
      <c r="B5466" s="57" t="n"/>
      <c r="C5466" s="57" t="n"/>
      <c r="D5466" s="57" t="n"/>
      <c r="E5466" s="56" t="n"/>
      <c r="F5466" s="57" t="n"/>
      <c r="G5466" s="57" t="n"/>
      <c r="H5466" s="56" t="n"/>
      <c r="I5466" s="56" t="n"/>
      <c r="J5466" s="58" t="n"/>
      <c r="K5466" s="58" t="n"/>
      <c r="L5466" s="13">
        <f>IF(OR($A5466="",AND($J5466="",$K5466="")),"",ROUND(N($J5466)-N($K5466),2))</f>
        <v/>
      </c>
      <c r="M5466" s="13">
        <f>IF(OR($A5466="",AND($J5466="",$K5466="")),"",MIN($J5466,$K5466))</f>
        <v/>
      </c>
      <c r="Q5466">
        <f>IF($A5466="","",$D5466&amp;"("&amp;SUBSTITUTE($E5466," ","")&amp;")")</f>
        <v/>
      </c>
      <c r="R5466">
        <f>IF($A5466="","",$B5466&amp;" - "&amp;$C5466)</f>
        <v/>
      </c>
      <c r="S5466">
        <f>IF($A5466="","",$R5466&amp;"|"&amp;$Q5466)</f>
        <v/>
      </c>
      <c r="T5466">
        <f>IF($A5466="","",$S5466&amp;"|"&amp;$F5466)</f>
        <v/>
      </c>
      <c r="U5466">
        <f>IF($A5466="","",$R5466&amp;"("&amp;$E5466&amp;")")</f>
        <v/>
      </c>
      <c r="V5466">
        <f>IF($A5466="","",$F5466&amp;"|"&amp;$U5466&amp;"|"&amp;$D5466)</f>
        <v/>
      </c>
      <c r="W5466">
        <f>IF($T5466="","",IF($X5466&gt;N($X5465),$X5466,""))</f>
        <v/>
      </c>
      <c r="X5466">
        <f>IF($T5466="",N($X5465),IF(MATCH($T5466,$T$6:$T$6005,0)=ROW()-5,N($X5465)+1,N($X5465)))</f>
        <v/>
      </c>
      <c r="Z5466">
        <f>IF($V5466="","",IF($AA5466&gt;N($AA5465),$AA5466,""))</f>
        <v/>
      </c>
      <c r="AA5466">
        <f>IF($V5466="",N($AA5465),IF(MATCH($V5466,$V$6:$V$6005,0)=ROW()-5,N($AA5465)+1,N($AA5465)))</f>
        <v/>
      </c>
    </row>
    <row r="5467" ht="21" customHeight="1" s="66">
      <c r="A5467" s="56" t="n"/>
      <c r="B5467" s="57" t="n"/>
      <c r="C5467" s="57" t="n"/>
      <c r="D5467" s="57" t="n"/>
      <c r="E5467" s="56" t="n"/>
      <c r="F5467" s="57" t="n"/>
      <c r="G5467" s="57" t="n"/>
      <c r="H5467" s="56" t="n"/>
      <c r="I5467" s="56" t="n"/>
      <c r="J5467" s="58" t="n"/>
      <c r="K5467" s="58" t="n"/>
      <c r="L5467" s="13">
        <f>IF(OR($A5467="",AND($J5467="",$K5467="")),"",ROUND(N($J5467)-N($K5467),2))</f>
        <v/>
      </c>
      <c r="M5467" s="13">
        <f>IF(OR($A5467="",AND($J5467="",$K5467="")),"",MIN($J5467,$K5467))</f>
        <v/>
      </c>
      <c r="Q5467">
        <f>IF($A5467="","",$D5467&amp;"("&amp;SUBSTITUTE($E5467," ","")&amp;")")</f>
        <v/>
      </c>
      <c r="R5467">
        <f>IF($A5467="","",$B5467&amp;" - "&amp;$C5467)</f>
        <v/>
      </c>
      <c r="S5467">
        <f>IF($A5467="","",$R5467&amp;"|"&amp;$Q5467)</f>
        <v/>
      </c>
      <c r="T5467">
        <f>IF($A5467="","",$S5467&amp;"|"&amp;$F5467)</f>
        <v/>
      </c>
      <c r="U5467">
        <f>IF($A5467="","",$R5467&amp;"("&amp;$E5467&amp;")")</f>
        <v/>
      </c>
      <c r="V5467">
        <f>IF($A5467="","",$F5467&amp;"|"&amp;$U5467&amp;"|"&amp;$D5467)</f>
        <v/>
      </c>
      <c r="W5467">
        <f>IF($T5467="","",IF($X5467&gt;N($X5466),$X5467,""))</f>
        <v/>
      </c>
      <c r="X5467">
        <f>IF($T5467="",N($X5466),IF(MATCH($T5467,$T$6:$T$6005,0)=ROW()-5,N($X5466)+1,N($X5466)))</f>
        <v/>
      </c>
      <c r="Z5467">
        <f>IF($V5467="","",IF($AA5467&gt;N($AA5466),$AA5467,""))</f>
        <v/>
      </c>
      <c r="AA5467">
        <f>IF($V5467="",N($AA5466),IF(MATCH($V5467,$V$6:$V$6005,0)=ROW()-5,N($AA5466)+1,N($AA5466)))</f>
        <v/>
      </c>
    </row>
    <row r="5468" ht="21" customHeight="1" s="66">
      <c r="A5468" s="56" t="n"/>
      <c r="B5468" s="57" t="n"/>
      <c r="C5468" s="57" t="n"/>
      <c r="D5468" s="57" t="n"/>
      <c r="E5468" s="56" t="n"/>
      <c r="F5468" s="57" t="n"/>
      <c r="G5468" s="57" t="n"/>
      <c r="H5468" s="56" t="n"/>
      <c r="I5468" s="56" t="n"/>
      <c r="J5468" s="58" t="n"/>
      <c r="K5468" s="58" t="n"/>
      <c r="L5468" s="13">
        <f>IF(OR($A5468="",AND($J5468="",$K5468="")),"",ROUND(N($J5468)-N($K5468),2))</f>
        <v/>
      </c>
      <c r="M5468" s="13">
        <f>IF(OR($A5468="",AND($J5468="",$K5468="")),"",MIN($J5468,$K5468))</f>
        <v/>
      </c>
      <c r="Q5468">
        <f>IF($A5468="","",$D5468&amp;"("&amp;SUBSTITUTE($E5468," ","")&amp;")")</f>
        <v/>
      </c>
      <c r="R5468">
        <f>IF($A5468="","",$B5468&amp;" - "&amp;$C5468)</f>
        <v/>
      </c>
      <c r="S5468">
        <f>IF($A5468="","",$R5468&amp;"|"&amp;$Q5468)</f>
        <v/>
      </c>
      <c r="T5468">
        <f>IF($A5468="","",$S5468&amp;"|"&amp;$F5468)</f>
        <v/>
      </c>
      <c r="U5468">
        <f>IF($A5468="","",$R5468&amp;"("&amp;$E5468&amp;")")</f>
        <v/>
      </c>
      <c r="V5468">
        <f>IF($A5468="","",$F5468&amp;"|"&amp;$U5468&amp;"|"&amp;$D5468)</f>
        <v/>
      </c>
      <c r="W5468">
        <f>IF($T5468="","",IF($X5468&gt;N($X5467),$X5468,""))</f>
        <v/>
      </c>
      <c r="X5468">
        <f>IF($T5468="",N($X5467),IF(MATCH($T5468,$T$6:$T$6005,0)=ROW()-5,N($X5467)+1,N($X5467)))</f>
        <v/>
      </c>
      <c r="Z5468">
        <f>IF($V5468="","",IF($AA5468&gt;N($AA5467),$AA5468,""))</f>
        <v/>
      </c>
      <c r="AA5468">
        <f>IF($V5468="",N($AA5467),IF(MATCH($V5468,$V$6:$V$6005,0)=ROW()-5,N($AA5467)+1,N($AA5467)))</f>
        <v/>
      </c>
    </row>
    <row r="5469" ht="21" customHeight="1" s="66">
      <c r="A5469" s="56" t="n"/>
      <c r="B5469" s="57" t="n"/>
      <c r="C5469" s="57" t="n"/>
      <c r="D5469" s="57" t="n"/>
      <c r="E5469" s="56" t="n"/>
      <c r="F5469" s="57" t="n"/>
      <c r="G5469" s="57" t="n"/>
      <c r="H5469" s="56" t="n"/>
      <c r="I5469" s="56" t="n"/>
      <c r="J5469" s="58" t="n"/>
      <c r="K5469" s="58" t="n"/>
      <c r="L5469" s="13">
        <f>IF(OR($A5469="",AND($J5469="",$K5469="")),"",ROUND(N($J5469)-N($K5469),2))</f>
        <v/>
      </c>
      <c r="M5469" s="13">
        <f>IF(OR($A5469="",AND($J5469="",$K5469="")),"",MIN($J5469,$K5469))</f>
        <v/>
      </c>
      <c r="Q5469">
        <f>IF($A5469="","",$D5469&amp;"("&amp;SUBSTITUTE($E5469," ","")&amp;")")</f>
        <v/>
      </c>
      <c r="R5469">
        <f>IF($A5469="","",$B5469&amp;" - "&amp;$C5469)</f>
        <v/>
      </c>
      <c r="S5469">
        <f>IF($A5469="","",$R5469&amp;"|"&amp;$Q5469)</f>
        <v/>
      </c>
      <c r="T5469">
        <f>IF($A5469="","",$S5469&amp;"|"&amp;$F5469)</f>
        <v/>
      </c>
      <c r="U5469">
        <f>IF($A5469="","",$R5469&amp;"("&amp;$E5469&amp;")")</f>
        <v/>
      </c>
      <c r="V5469">
        <f>IF($A5469="","",$F5469&amp;"|"&amp;$U5469&amp;"|"&amp;$D5469)</f>
        <v/>
      </c>
      <c r="W5469">
        <f>IF($T5469="","",IF($X5469&gt;N($X5468),$X5469,""))</f>
        <v/>
      </c>
      <c r="X5469">
        <f>IF($T5469="",N($X5468),IF(MATCH($T5469,$T$6:$T$6005,0)=ROW()-5,N($X5468)+1,N($X5468)))</f>
        <v/>
      </c>
      <c r="Z5469">
        <f>IF($V5469="","",IF($AA5469&gt;N($AA5468),$AA5469,""))</f>
        <v/>
      </c>
      <c r="AA5469">
        <f>IF($V5469="",N($AA5468),IF(MATCH($V5469,$V$6:$V$6005,0)=ROW()-5,N($AA5468)+1,N($AA5468)))</f>
        <v/>
      </c>
    </row>
    <row r="5470" ht="21" customHeight="1" s="66">
      <c r="A5470" s="56" t="n"/>
      <c r="B5470" s="57" t="n"/>
      <c r="C5470" s="57" t="n"/>
      <c r="D5470" s="57" t="n"/>
      <c r="E5470" s="56" t="n"/>
      <c r="F5470" s="57" t="n"/>
      <c r="G5470" s="57" t="n"/>
      <c r="H5470" s="56" t="n"/>
      <c r="I5470" s="56" t="n"/>
      <c r="J5470" s="58" t="n"/>
      <c r="K5470" s="58" t="n"/>
      <c r="L5470" s="13">
        <f>IF(OR($A5470="",AND($J5470="",$K5470="")),"",ROUND(N($J5470)-N($K5470),2))</f>
        <v/>
      </c>
      <c r="M5470" s="13">
        <f>IF(OR($A5470="",AND($J5470="",$K5470="")),"",MIN($J5470,$K5470))</f>
        <v/>
      </c>
      <c r="Q5470">
        <f>IF($A5470="","",$D5470&amp;"("&amp;SUBSTITUTE($E5470," ","")&amp;")")</f>
        <v/>
      </c>
      <c r="R5470">
        <f>IF($A5470="","",$B5470&amp;" - "&amp;$C5470)</f>
        <v/>
      </c>
      <c r="S5470">
        <f>IF($A5470="","",$R5470&amp;"|"&amp;$Q5470)</f>
        <v/>
      </c>
      <c r="T5470">
        <f>IF($A5470="","",$S5470&amp;"|"&amp;$F5470)</f>
        <v/>
      </c>
      <c r="U5470">
        <f>IF($A5470="","",$R5470&amp;"("&amp;$E5470&amp;")")</f>
        <v/>
      </c>
      <c r="V5470">
        <f>IF($A5470="","",$F5470&amp;"|"&amp;$U5470&amp;"|"&amp;$D5470)</f>
        <v/>
      </c>
      <c r="W5470">
        <f>IF($T5470="","",IF($X5470&gt;N($X5469),$X5470,""))</f>
        <v/>
      </c>
      <c r="X5470">
        <f>IF($T5470="",N($X5469),IF(MATCH($T5470,$T$6:$T$6005,0)=ROW()-5,N($X5469)+1,N($X5469)))</f>
        <v/>
      </c>
      <c r="Z5470">
        <f>IF($V5470="","",IF($AA5470&gt;N($AA5469),$AA5470,""))</f>
        <v/>
      </c>
      <c r="AA5470">
        <f>IF($V5470="",N($AA5469),IF(MATCH($V5470,$V$6:$V$6005,0)=ROW()-5,N($AA5469)+1,N($AA5469)))</f>
        <v/>
      </c>
    </row>
    <row r="5471" ht="21" customHeight="1" s="66">
      <c r="A5471" s="56" t="n"/>
      <c r="B5471" s="57" t="n"/>
      <c r="C5471" s="57" t="n"/>
      <c r="D5471" s="57" t="n"/>
      <c r="E5471" s="56" t="n"/>
      <c r="F5471" s="57" t="n"/>
      <c r="G5471" s="57" t="n"/>
      <c r="H5471" s="56" t="n"/>
      <c r="I5471" s="56" t="n"/>
      <c r="J5471" s="58" t="n"/>
      <c r="K5471" s="58" t="n"/>
      <c r="L5471" s="13">
        <f>IF(OR($A5471="",AND($J5471="",$K5471="")),"",ROUND(N($J5471)-N($K5471),2))</f>
        <v/>
      </c>
      <c r="M5471" s="13">
        <f>IF(OR($A5471="",AND($J5471="",$K5471="")),"",MIN($J5471,$K5471))</f>
        <v/>
      </c>
      <c r="Q5471">
        <f>IF($A5471="","",$D5471&amp;"("&amp;SUBSTITUTE($E5471," ","")&amp;")")</f>
        <v/>
      </c>
      <c r="R5471">
        <f>IF($A5471="","",$B5471&amp;" - "&amp;$C5471)</f>
        <v/>
      </c>
      <c r="S5471">
        <f>IF($A5471="","",$R5471&amp;"|"&amp;$Q5471)</f>
        <v/>
      </c>
      <c r="T5471">
        <f>IF($A5471="","",$S5471&amp;"|"&amp;$F5471)</f>
        <v/>
      </c>
      <c r="U5471">
        <f>IF($A5471="","",$R5471&amp;"("&amp;$E5471&amp;")")</f>
        <v/>
      </c>
      <c r="V5471">
        <f>IF($A5471="","",$F5471&amp;"|"&amp;$U5471&amp;"|"&amp;$D5471)</f>
        <v/>
      </c>
      <c r="W5471">
        <f>IF($T5471="","",IF($X5471&gt;N($X5470),$X5471,""))</f>
        <v/>
      </c>
      <c r="X5471">
        <f>IF($T5471="",N($X5470),IF(MATCH($T5471,$T$6:$T$6005,0)=ROW()-5,N($X5470)+1,N($X5470)))</f>
        <v/>
      </c>
      <c r="Z5471">
        <f>IF($V5471="","",IF($AA5471&gt;N($AA5470),$AA5471,""))</f>
        <v/>
      </c>
      <c r="AA5471">
        <f>IF($V5471="",N($AA5470),IF(MATCH($V5471,$V$6:$V$6005,0)=ROW()-5,N($AA5470)+1,N($AA5470)))</f>
        <v/>
      </c>
    </row>
    <row r="5472" ht="21" customHeight="1" s="66">
      <c r="A5472" s="56" t="n"/>
      <c r="B5472" s="57" t="n"/>
      <c r="C5472" s="57" t="n"/>
      <c r="D5472" s="57" t="n"/>
      <c r="E5472" s="56" t="n"/>
      <c r="F5472" s="57" t="n"/>
      <c r="G5472" s="57" t="n"/>
      <c r="H5472" s="56" t="n"/>
      <c r="I5472" s="56" t="n"/>
      <c r="J5472" s="58" t="n"/>
      <c r="K5472" s="58" t="n"/>
      <c r="L5472" s="13">
        <f>IF(OR($A5472="",AND($J5472="",$K5472="")),"",ROUND(N($J5472)-N($K5472),2))</f>
        <v/>
      </c>
      <c r="M5472" s="13">
        <f>IF(OR($A5472="",AND($J5472="",$K5472="")),"",MIN($J5472,$K5472))</f>
        <v/>
      </c>
      <c r="Q5472">
        <f>IF($A5472="","",$D5472&amp;"("&amp;SUBSTITUTE($E5472," ","")&amp;")")</f>
        <v/>
      </c>
      <c r="R5472">
        <f>IF($A5472="","",$B5472&amp;" - "&amp;$C5472)</f>
        <v/>
      </c>
      <c r="S5472">
        <f>IF($A5472="","",$R5472&amp;"|"&amp;$Q5472)</f>
        <v/>
      </c>
      <c r="T5472">
        <f>IF($A5472="","",$S5472&amp;"|"&amp;$F5472)</f>
        <v/>
      </c>
      <c r="U5472">
        <f>IF($A5472="","",$R5472&amp;"("&amp;$E5472&amp;")")</f>
        <v/>
      </c>
      <c r="V5472">
        <f>IF($A5472="","",$F5472&amp;"|"&amp;$U5472&amp;"|"&amp;$D5472)</f>
        <v/>
      </c>
      <c r="W5472">
        <f>IF($T5472="","",IF($X5472&gt;N($X5471),$X5472,""))</f>
        <v/>
      </c>
      <c r="X5472">
        <f>IF($T5472="",N($X5471),IF(MATCH($T5472,$T$6:$T$6005,0)=ROW()-5,N($X5471)+1,N($X5471)))</f>
        <v/>
      </c>
      <c r="Z5472">
        <f>IF($V5472="","",IF($AA5472&gt;N($AA5471),$AA5472,""))</f>
        <v/>
      </c>
      <c r="AA5472">
        <f>IF($V5472="",N($AA5471),IF(MATCH($V5472,$V$6:$V$6005,0)=ROW()-5,N($AA5471)+1,N($AA5471)))</f>
        <v/>
      </c>
    </row>
    <row r="5473" ht="21" customHeight="1" s="66">
      <c r="A5473" s="56" t="n"/>
      <c r="B5473" s="57" t="n"/>
      <c r="C5473" s="57" t="n"/>
      <c r="D5473" s="57" t="n"/>
      <c r="E5473" s="56" t="n"/>
      <c r="F5473" s="57" t="n"/>
      <c r="G5473" s="57" t="n"/>
      <c r="H5473" s="56" t="n"/>
      <c r="I5473" s="56" t="n"/>
      <c r="J5473" s="58" t="n"/>
      <c r="K5473" s="58" t="n"/>
      <c r="L5473" s="13">
        <f>IF(OR($A5473="",AND($J5473="",$K5473="")),"",ROUND(N($J5473)-N($K5473),2))</f>
        <v/>
      </c>
      <c r="M5473" s="13">
        <f>IF(OR($A5473="",AND($J5473="",$K5473="")),"",MIN($J5473,$K5473))</f>
        <v/>
      </c>
      <c r="Q5473">
        <f>IF($A5473="","",$D5473&amp;"("&amp;SUBSTITUTE($E5473," ","")&amp;")")</f>
        <v/>
      </c>
      <c r="R5473">
        <f>IF($A5473="","",$B5473&amp;" - "&amp;$C5473)</f>
        <v/>
      </c>
      <c r="S5473">
        <f>IF($A5473="","",$R5473&amp;"|"&amp;$Q5473)</f>
        <v/>
      </c>
      <c r="T5473">
        <f>IF($A5473="","",$S5473&amp;"|"&amp;$F5473)</f>
        <v/>
      </c>
      <c r="U5473">
        <f>IF($A5473="","",$R5473&amp;"("&amp;$E5473&amp;")")</f>
        <v/>
      </c>
      <c r="V5473">
        <f>IF($A5473="","",$F5473&amp;"|"&amp;$U5473&amp;"|"&amp;$D5473)</f>
        <v/>
      </c>
      <c r="W5473">
        <f>IF($T5473="","",IF($X5473&gt;N($X5472),$X5473,""))</f>
        <v/>
      </c>
      <c r="X5473">
        <f>IF($T5473="",N($X5472),IF(MATCH($T5473,$T$6:$T$6005,0)=ROW()-5,N($X5472)+1,N($X5472)))</f>
        <v/>
      </c>
      <c r="Z5473">
        <f>IF($V5473="","",IF($AA5473&gt;N($AA5472),$AA5473,""))</f>
        <v/>
      </c>
      <c r="AA5473">
        <f>IF($V5473="",N($AA5472),IF(MATCH($V5473,$V$6:$V$6005,0)=ROW()-5,N($AA5472)+1,N($AA5472)))</f>
        <v/>
      </c>
    </row>
    <row r="5474" ht="21" customHeight="1" s="66">
      <c r="A5474" s="56" t="n"/>
      <c r="B5474" s="57" t="n"/>
      <c r="C5474" s="57" t="n"/>
      <c r="D5474" s="57" t="n"/>
      <c r="E5474" s="56" t="n"/>
      <c r="F5474" s="57" t="n"/>
      <c r="G5474" s="57" t="n"/>
      <c r="H5474" s="56" t="n"/>
      <c r="I5474" s="56" t="n"/>
      <c r="J5474" s="58" t="n"/>
      <c r="K5474" s="58" t="n"/>
      <c r="L5474" s="13">
        <f>IF(OR($A5474="",AND($J5474="",$K5474="")),"",ROUND(N($J5474)-N($K5474),2))</f>
        <v/>
      </c>
      <c r="M5474" s="13">
        <f>IF(OR($A5474="",AND($J5474="",$K5474="")),"",MIN($J5474,$K5474))</f>
        <v/>
      </c>
      <c r="Q5474">
        <f>IF($A5474="","",$D5474&amp;"("&amp;SUBSTITUTE($E5474," ","")&amp;")")</f>
        <v/>
      </c>
      <c r="R5474">
        <f>IF($A5474="","",$B5474&amp;" - "&amp;$C5474)</f>
        <v/>
      </c>
      <c r="S5474">
        <f>IF($A5474="","",$R5474&amp;"|"&amp;$Q5474)</f>
        <v/>
      </c>
      <c r="T5474">
        <f>IF($A5474="","",$S5474&amp;"|"&amp;$F5474)</f>
        <v/>
      </c>
      <c r="U5474">
        <f>IF($A5474="","",$R5474&amp;"("&amp;$E5474&amp;")")</f>
        <v/>
      </c>
      <c r="V5474">
        <f>IF($A5474="","",$F5474&amp;"|"&amp;$U5474&amp;"|"&amp;$D5474)</f>
        <v/>
      </c>
      <c r="W5474">
        <f>IF($T5474="","",IF($X5474&gt;N($X5473),$X5474,""))</f>
        <v/>
      </c>
      <c r="X5474">
        <f>IF($T5474="",N($X5473),IF(MATCH($T5474,$T$6:$T$6005,0)=ROW()-5,N($X5473)+1,N($X5473)))</f>
        <v/>
      </c>
      <c r="Z5474">
        <f>IF($V5474="","",IF($AA5474&gt;N($AA5473),$AA5474,""))</f>
        <v/>
      </c>
      <c r="AA5474">
        <f>IF($V5474="",N($AA5473),IF(MATCH($V5474,$V$6:$V$6005,0)=ROW()-5,N($AA5473)+1,N($AA5473)))</f>
        <v/>
      </c>
    </row>
    <row r="5475" ht="21" customHeight="1" s="66">
      <c r="A5475" s="56" t="n"/>
      <c r="B5475" s="57" t="n"/>
      <c r="C5475" s="57" t="n"/>
      <c r="D5475" s="57" t="n"/>
      <c r="E5475" s="56" t="n"/>
      <c r="F5475" s="57" t="n"/>
      <c r="G5475" s="57" t="n"/>
      <c r="H5475" s="56" t="n"/>
      <c r="I5475" s="56" t="n"/>
      <c r="J5475" s="58" t="n"/>
      <c r="K5475" s="58" t="n"/>
      <c r="L5475" s="13">
        <f>IF(OR($A5475="",AND($J5475="",$K5475="")),"",ROUND(N($J5475)-N($K5475),2))</f>
        <v/>
      </c>
      <c r="M5475" s="13">
        <f>IF(OR($A5475="",AND($J5475="",$K5475="")),"",MIN($J5475,$K5475))</f>
        <v/>
      </c>
      <c r="Q5475">
        <f>IF($A5475="","",$D5475&amp;"("&amp;SUBSTITUTE($E5475," ","")&amp;")")</f>
        <v/>
      </c>
      <c r="R5475">
        <f>IF($A5475="","",$B5475&amp;" - "&amp;$C5475)</f>
        <v/>
      </c>
      <c r="S5475">
        <f>IF($A5475="","",$R5475&amp;"|"&amp;$Q5475)</f>
        <v/>
      </c>
      <c r="T5475">
        <f>IF($A5475="","",$S5475&amp;"|"&amp;$F5475)</f>
        <v/>
      </c>
      <c r="U5475">
        <f>IF($A5475="","",$R5475&amp;"("&amp;$E5475&amp;")")</f>
        <v/>
      </c>
      <c r="V5475">
        <f>IF($A5475="","",$F5475&amp;"|"&amp;$U5475&amp;"|"&amp;$D5475)</f>
        <v/>
      </c>
      <c r="W5475">
        <f>IF($T5475="","",IF($X5475&gt;N($X5474),$X5475,""))</f>
        <v/>
      </c>
      <c r="X5475">
        <f>IF($T5475="",N($X5474),IF(MATCH($T5475,$T$6:$T$6005,0)=ROW()-5,N($X5474)+1,N($X5474)))</f>
        <v/>
      </c>
      <c r="Z5475">
        <f>IF($V5475="","",IF($AA5475&gt;N($AA5474),$AA5475,""))</f>
        <v/>
      </c>
      <c r="AA5475">
        <f>IF($V5475="",N($AA5474),IF(MATCH($V5475,$V$6:$V$6005,0)=ROW()-5,N($AA5474)+1,N($AA5474)))</f>
        <v/>
      </c>
    </row>
    <row r="5476" ht="21" customHeight="1" s="66">
      <c r="A5476" s="56" t="n"/>
      <c r="B5476" s="57" t="n"/>
      <c r="C5476" s="57" t="n"/>
      <c r="D5476" s="57" t="n"/>
      <c r="E5476" s="56" t="n"/>
      <c r="F5476" s="57" t="n"/>
      <c r="G5476" s="57" t="n"/>
      <c r="H5476" s="56" t="n"/>
      <c r="I5476" s="56" t="n"/>
      <c r="J5476" s="58" t="n"/>
      <c r="K5476" s="58" t="n"/>
      <c r="L5476" s="13">
        <f>IF(OR($A5476="",AND($J5476="",$K5476="")),"",ROUND(N($J5476)-N($K5476),2))</f>
        <v/>
      </c>
      <c r="M5476" s="13">
        <f>IF(OR($A5476="",AND($J5476="",$K5476="")),"",MIN($J5476,$K5476))</f>
        <v/>
      </c>
      <c r="Q5476">
        <f>IF($A5476="","",$D5476&amp;"("&amp;SUBSTITUTE($E5476," ","")&amp;")")</f>
        <v/>
      </c>
      <c r="R5476">
        <f>IF($A5476="","",$B5476&amp;" - "&amp;$C5476)</f>
        <v/>
      </c>
      <c r="S5476">
        <f>IF($A5476="","",$R5476&amp;"|"&amp;$Q5476)</f>
        <v/>
      </c>
      <c r="T5476">
        <f>IF($A5476="","",$S5476&amp;"|"&amp;$F5476)</f>
        <v/>
      </c>
      <c r="U5476">
        <f>IF($A5476="","",$R5476&amp;"("&amp;$E5476&amp;")")</f>
        <v/>
      </c>
      <c r="V5476">
        <f>IF($A5476="","",$F5476&amp;"|"&amp;$U5476&amp;"|"&amp;$D5476)</f>
        <v/>
      </c>
      <c r="W5476">
        <f>IF($T5476="","",IF($X5476&gt;N($X5475),$X5476,""))</f>
        <v/>
      </c>
      <c r="X5476">
        <f>IF($T5476="",N($X5475),IF(MATCH($T5476,$T$6:$T$6005,0)=ROW()-5,N($X5475)+1,N($X5475)))</f>
        <v/>
      </c>
      <c r="Z5476">
        <f>IF($V5476="","",IF($AA5476&gt;N($AA5475),$AA5476,""))</f>
        <v/>
      </c>
      <c r="AA5476">
        <f>IF($V5476="",N($AA5475),IF(MATCH($V5476,$V$6:$V$6005,0)=ROW()-5,N($AA5475)+1,N($AA5475)))</f>
        <v/>
      </c>
    </row>
    <row r="5477" ht="21" customHeight="1" s="66">
      <c r="A5477" s="56" t="n"/>
      <c r="B5477" s="57" t="n"/>
      <c r="C5477" s="57" t="n"/>
      <c r="D5477" s="57" t="n"/>
      <c r="E5477" s="56" t="n"/>
      <c r="F5477" s="57" t="n"/>
      <c r="G5477" s="57" t="n"/>
      <c r="H5477" s="56" t="n"/>
      <c r="I5477" s="56" t="n"/>
      <c r="J5477" s="58" t="n"/>
      <c r="K5477" s="58" t="n"/>
      <c r="L5477" s="13">
        <f>IF(OR($A5477="",AND($J5477="",$K5477="")),"",ROUND(N($J5477)-N($K5477),2))</f>
        <v/>
      </c>
      <c r="M5477" s="13">
        <f>IF(OR($A5477="",AND($J5477="",$K5477="")),"",MIN($J5477,$K5477))</f>
        <v/>
      </c>
      <c r="Q5477">
        <f>IF($A5477="","",$D5477&amp;"("&amp;SUBSTITUTE($E5477," ","")&amp;")")</f>
        <v/>
      </c>
      <c r="R5477">
        <f>IF($A5477="","",$B5477&amp;" - "&amp;$C5477)</f>
        <v/>
      </c>
      <c r="S5477">
        <f>IF($A5477="","",$R5477&amp;"|"&amp;$Q5477)</f>
        <v/>
      </c>
      <c r="T5477">
        <f>IF($A5477="","",$S5477&amp;"|"&amp;$F5477)</f>
        <v/>
      </c>
      <c r="U5477">
        <f>IF($A5477="","",$R5477&amp;"("&amp;$E5477&amp;")")</f>
        <v/>
      </c>
      <c r="V5477">
        <f>IF($A5477="","",$F5477&amp;"|"&amp;$U5477&amp;"|"&amp;$D5477)</f>
        <v/>
      </c>
      <c r="W5477">
        <f>IF($T5477="","",IF($X5477&gt;N($X5476),$X5477,""))</f>
        <v/>
      </c>
      <c r="X5477">
        <f>IF($T5477="",N($X5476),IF(MATCH($T5477,$T$6:$T$6005,0)=ROW()-5,N($X5476)+1,N($X5476)))</f>
        <v/>
      </c>
      <c r="Z5477">
        <f>IF($V5477="","",IF($AA5477&gt;N($AA5476),$AA5477,""))</f>
        <v/>
      </c>
      <c r="AA5477">
        <f>IF($V5477="",N($AA5476),IF(MATCH($V5477,$V$6:$V$6005,0)=ROW()-5,N($AA5476)+1,N($AA5476)))</f>
        <v/>
      </c>
    </row>
    <row r="5478" ht="21" customHeight="1" s="66">
      <c r="A5478" s="56" t="n"/>
      <c r="B5478" s="57" t="n"/>
      <c r="C5478" s="57" t="n"/>
      <c r="D5478" s="57" t="n"/>
      <c r="E5478" s="56" t="n"/>
      <c r="F5478" s="57" t="n"/>
      <c r="G5478" s="57" t="n"/>
      <c r="H5478" s="56" t="n"/>
      <c r="I5478" s="56" t="n"/>
      <c r="J5478" s="58" t="n"/>
      <c r="K5478" s="58" t="n"/>
      <c r="L5478" s="13">
        <f>IF(OR($A5478="",AND($J5478="",$K5478="")),"",ROUND(N($J5478)-N($K5478),2))</f>
        <v/>
      </c>
      <c r="M5478" s="13">
        <f>IF(OR($A5478="",AND($J5478="",$K5478="")),"",MIN($J5478,$K5478))</f>
        <v/>
      </c>
      <c r="Q5478">
        <f>IF($A5478="","",$D5478&amp;"("&amp;SUBSTITUTE($E5478," ","")&amp;")")</f>
        <v/>
      </c>
      <c r="R5478">
        <f>IF($A5478="","",$B5478&amp;" - "&amp;$C5478)</f>
        <v/>
      </c>
      <c r="S5478">
        <f>IF($A5478="","",$R5478&amp;"|"&amp;$Q5478)</f>
        <v/>
      </c>
      <c r="T5478">
        <f>IF($A5478="","",$S5478&amp;"|"&amp;$F5478)</f>
        <v/>
      </c>
      <c r="U5478">
        <f>IF($A5478="","",$R5478&amp;"("&amp;$E5478&amp;")")</f>
        <v/>
      </c>
      <c r="V5478">
        <f>IF($A5478="","",$F5478&amp;"|"&amp;$U5478&amp;"|"&amp;$D5478)</f>
        <v/>
      </c>
      <c r="W5478">
        <f>IF($T5478="","",IF($X5478&gt;N($X5477),$X5478,""))</f>
        <v/>
      </c>
      <c r="X5478">
        <f>IF($T5478="",N($X5477),IF(MATCH($T5478,$T$6:$T$6005,0)=ROW()-5,N($X5477)+1,N($X5477)))</f>
        <v/>
      </c>
      <c r="Z5478">
        <f>IF($V5478="","",IF($AA5478&gt;N($AA5477),$AA5478,""))</f>
        <v/>
      </c>
      <c r="AA5478">
        <f>IF($V5478="",N($AA5477),IF(MATCH($V5478,$V$6:$V$6005,0)=ROW()-5,N($AA5477)+1,N($AA5477)))</f>
        <v/>
      </c>
    </row>
    <row r="5479" ht="21" customHeight="1" s="66">
      <c r="A5479" s="56" t="n"/>
      <c r="B5479" s="57" t="n"/>
      <c r="C5479" s="57" t="n"/>
      <c r="D5479" s="57" t="n"/>
      <c r="E5479" s="56" t="n"/>
      <c r="F5479" s="57" t="n"/>
      <c r="G5479" s="57" t="n"/>
      <c r="H5479" s="56" t="n"/>
      <c r="I5479" s="56" t="n"/>
      <c r="J5479" s="58" t="n"/>
      <c r="K5479" s="58" t="n"/>
      <c r="L5479" s="13">
        <f>IF(OR($A5479="",AND($J5479="",$K5479="")),"",ROUND(N($J5479)-N($K5479),2))</f>
        <v/>
      </c>
      <c r="M5479" s="13">
        <f>IF(OR($A5479="",AND($J5479="",$K5479="")),"",MIN($J5479,$K5479))</f>
        <v/>
      </c>
      <c r="Q5479">
        <f>IF($A5479="","",$D5479&amp;"("&amp;SUBSTITUTE($E5479," ","")&amp;")")</f>
        <v/>
      </c>
      <c r="R5479">
        <f>IF($A5479="","",$B5479&amp;" - "&amp;$C5479)</f>
        <v/>
      </c>
      <c r="S5479">
        <f>IF($A5479="","",$R5479&amp;"|"&amp;$Q5479)</f>
        <v/>
      </c>
      <c r="T5479">
        <f>IF($A5479="","",$S5479&amp;"|"&amp;$F5479)</f>
        <v/>
      </c>
      <c r="U5479">
        <f>IF($A5479="","",$R5479&amp;"("&amp;$E5479&amp;")")</f>
        <v/>
      </c>
      <c r="V5479">
        <f>IF($A5479="","",$F5479&amp;"|"&amp;$U5479&amp;"|"&amp;$D5479)</f>
        <v/>
      </c>
      <c r="W5479">
        <f>IF($T5479="","",IF($X5479&gt;N($X5478),$X5479,""))</f>
        <v/>
      </c>
      <c r="X5479">
        <f>IF($T5479="",N($X5478),IF(MATCH($T5479,$T$6:$T$6005,0)=ROW()-5,N($X5478)+1,N($X5478)))</f>
        <v/>
      </c>
      <c r="Z5479">
        <f>IF($V5479="","",IF($AA5479&gt;N($AA5478),$AA5479,""))</f>
        <v/>
      </c>
      <c r="AA5479">
        <f>IF($V5479="",N($AA5478),IF(MATCH($V5479,$V$6:$V$6005,0)=ROW()-5,N($AA5478)+1,N($AA5478)))</f>
        <v/>
      </c>
    </row>
    <row r="5480" ht="21" customHeight="1" s="66">
      <c r="A5480" s="56" t="n"/>
      <c r="B5480" s="57" t="n"/>
      <c r="C5480" s="57" t="n"/>
      <c r="D5480" s="57" t="n"/>
      <c r="E5480" s="56" t="n"/>
      <c r="F5480" s="57" t="n"/>
      <c r="G5480" s="57" t="n"/>
      <c r="H5480" s="56" t="n"/>
      <c r="I5480" s="56" t="n"/>
      <c r="J5480" s="58" t="n"/>
      <c r="K5480" s="58" t="n"/>
      <c r="L5480" s="13">
        <f>IF(OR($A5480="",AND($J5480="",$K5480="")),"",ROUND(N($J5480)-N($K5480),2))</f>
        <v/>
      </c>
      <c r="M5480" s="13">
        <f>IF(OR($A5480="",AND($J5480="",$K5480="")),"",MIN($J5480,$K5480))</f>
        <v/>
      </c>
      <c r="Q5480">
        <f>IF($A5480="","",$D5480&amp;"("&amp;SUBSTITUTE($E5480," ","")&amp;")")</f>
        <v/>
      </c>
      <c r="R5480">
        <f>IF($A5480="","",$B5480&amp;" - "&amp;$C5480)</f>
        <v/>
      </c>
      <c r="S5480">
        <f>IF($A5480="","",$R5480&amp;"|"&amp;$Q5480)</f>
        <v/>
      </c>
      <c r="T5480">
        <f>IF($A5480="","",$S5480&amp;"|"&amp;$F5480)</f>
        <v/>
      </c>
      <c r="U5480">
        <f>IF($A5480="","",$R5480&amp;"("&amp;$E5480&amp;")")</f>
        <v/>
      </c>
      <c r="V5480">
        <f>IF($A5480="","",$F5480&amp;"|"&amp;$U5480&amp;"|"&amp;$D5480)</f>
        <v/>
      </c>
      <c r="W5480">
        <f>IF($T5480="","",IF($X5480&gt;N($X5479),$X5480,""))</f>
        <v/>
      </c>
      <c r="X5480">
        <f>IF($T5480="",N($X5479),IF(MATCH($T5480,$T$6:$T$6005,0)=ROW()-5,N($X5479)+1,N($X5479)))</f>
        <v/>
      </c>
      <c r="Z5480">
        <f>IF($V5480="","",IF($AA5480&gt;N($AA5479),$AA5480,""))</f>
        <v/>
      </c>
      <c r="AA5480">
        <f>IF($V5480="",N($AA5479),IF(MATCH($V5480,$V$6:$V$6005,0)=ROW()-5,N($AA5479)+1,N($AA5479)))</f>
        <v/>
      </c>
    </row>
    <row r="5481" ht="21" customHeight="1" s="66">
      <c r="A5481" s="56" t="n"/>
      <c r="B5481" s="57" t="n"/>
      <c r="C5481" s="57" t="n"/>
      <c r="D5481" s="57" t="n"/>
      <c r="E5481" s="56" t="n"/>
      <c r="F5481" s="57" t="n"/>
      <c r="G5481" s="57" t="n"/>
      <c r="H5481" s="56" t="n"/>
      <c r="I5481" s="56" t="n"/>
      <c r="J5481" s="58" t="n"/>
      <c r="K5481" s="58" t="n"/>
      <c r="L5481" s="13">
        <f>IF(OR($A5481="",AND($J5481="",$K5481="")),"",ROUND(N($J5481)-N($K5481),2))</f>
        <v/>
      </c>
      <c r="M5481" s="13">
        <f>IF(OR($A5481="",AND($J5481="",$K5481="")),"",MIN($J5481,$K5481))</f>
        <v/>
      </c>
      <c r="Q5481">
        <f>IF($A5481="","",$D5481&amp;"("&amp;SUBSTITUTE($E5481," ","")&amp;")")</f>
        <v/>
      </c>
      <c r="R5481">
        <f>IF($A5481="","",$B5481&amp;" - "&amp;$C5481)</f>
        <v/>
      </c>
      <c r="S5481">
        <f>IF($A5481="","",$R5481&amp;"|"&amp;$Q5481)</f>
        <v/>
      </c>
      <c r="T5481">
        <f>IF($A5481="","",$S5481&amp;"|"&amp;$F5481)</f>
        <v/>
      </c>
      <c r="U5481">
        <f>IF($A5481="","",$R5481&amp;"("&amp;$E5481&amp;")")</f>
        <v/>
      </c>
      <c r="V5481">
        <f>IF($A5481="","",$F5481&amp;"|"&amp;$U5481&amp;"|"&amp;$D5481)</f>
        <v/>
      </c>
      <c r="W5481">
        <f>IF($T5481="","",IF($X5481&gt;N($X5480),$X5481,""))</f>
        <v/>
      </c>
      <c r="X5481">
        <f>IF($T5481="",N($X5480),IF(MATCH($T5481,$T$6:$T$6005,0)=ROW()-5,N($X5480)+1,N($X5480)))</f>
        <v/>
      </c>
      <c r="Z5481">
        <f>IF($V5481="","",IF($AA5481&gt;N($AA5480),$AA5481,""))</f>
        <v/>
      </c>
      <c r="AA5481">
        <f>IF($V5481="",N($AA5480),IF(MATCH($V5481,$V$6:$V$6005,0)=ROW()-5,N($AA5480)+1,N($AA5480)))</f>
        <v/>
      </c>
    </row>
    <row r="5482" ht="21" customHeight="1" s="66">
      <c r="A5482" s="56" t="n"/>
      <c r="B5482" s="57" t="n"/>
      <c r="C5482" s="57" t="n"/>
      <c r="D5482" s="57" t="n"/>
      <c r="E5482" s="56" t="n"/>
      <c r="F5482" s="57" t="n"/>
      <c r="G5482" s="57" t="n"/>
      <c r="H5482" s="56" t="n"/>
      <c r="I5482" s="56" t="n"/>
      <c r="J5482" s="58" t="n"/>
      <c r="K5482" s="58" t="n"/>
      <c r="L5482" s="13">
        <f>IF(OR($A5482="",AND($J5482="",$K5482="")),"",ROUND(N($J5482)-N($K5482),2))</f>
        <v/>
      </c>
      <c r="M5482" s="13">
        <f>IF(OR($A5482="",AND($J5482="",$K5482="")),"",MIN($J5482,$K5482))</f>
        <v/>
      </c>
      <c r="Q5482">
        <f>IF($A5482="","",$D5482&amp;"("&amp;SUBSTITUTE($E5482," ","")&amp;")")</f>
        <v/>
      </c>
      <c r="R5482">
        <f>IF($A5482="","",$B5482&amp;" - "&amp;$C5482)</f>
        <v/>
      </c>
      <c r="S5482">
        <f>IF($A5482="","",$R5482&amp;"|"&amp;$Q5482)</f>
        <v/>
      </c>
      <c r="T5482">
        <f>IF($A5482="","",$S5482&amp;"|"&amp;$F5482)</f>
        <v/>
      </c>
      <c r="U5482">
        <f>IF($A5482="","",$R5482&amp;"("&amp;$E5482&amp;")")</f>
        <v/>
      </c>
      <c r="V5482">
        <f>IF($A5482="","",$F5482&amp;"|"&amp;$U5482&amp;"|"&amp;$D5482)</f>
        <v/>
      </c>
      <c r="W5482">
        <f>IF($T5482="","",IF($X5482&gt;N($X5481),$X5482,""))</f>
        <v/>
      </c>
      <c r="X5482">
        <f>IF($T5482="",N($X5481),IF(MATCH($T5482,$T$6:$T$6005,0)=ROW()-5,N($X5481)+1,N($X5481)))</f>
        <v/>
      </c>
      <c r="Z5482">
        <f>IF($V5482="","",IF($AA5482&gt;N($AA5481),$AA5482,""))</f>
        <v/>
      </c>
      <c r="AA5482">
        <f>IF($V5482="",N($AA5481),IF(MATCH($V5482,$V$6:$V$6005,0)=ROW()-5,N($AA5481)+1,N($AA5481)))</f>
        <v/>
      </c>
    </row>
    <row r="5483" ht="21" customHeight="1" s="66">
      <c r="A5483" s="56" t="n"/>
      <c r="B5483" s="57" t="n"/>
      <c r="C5483" s="57" t="n"/>
      <c r="D5483" s="57" t="n"/>
      <c r="E5483" s="56" t="n"/>
      <c r="F5483" s="57" t="n"/>
      <c r="G5483" s="57" t="n"/>
      <c r="H5483" s="56" t="n"/>
      <c r="I5483" s="56" t="n"/>
      <c r="J5483" s="58" t="n"/>
      <c r="K5483" s="58" t="n"/>
      <c r="L5483" s="13">
        <f>IF(OR($A5483="",AND($J5483="",$K5483="")),"",ROUND(N($J5483)-N($K5483),2))</f>
        <v/>
      </c>
      <c r="M5483" s="13">
        <f>IF(OR($A5483="",AND($J5483="",$K5483="")),"",MIN($J5483,$K5483))</f>
        <v/>
      </c>
      <c r="Q5483">
        <f>IF($A5483="","",$D5483&amp;"("&amp;SUBSTITUTE($E5483," ","")&amp;")")</f>
        <v/>
      </c>
      <c r="R5483">
        <f>IF($A5483="","",$B5483&amp;" - "&amp;$C5483)</f>
        <v/>
      </c>
      <c r="S5483">
        <f>IF($A5483="","",$R5483&amp;"|"&amp;$Q5483)</f>
        <v/>
      </c>
      <c r="T5483">
        <f>IF($A5483="","",$S5483&amp;"|"&amp;$F5483)</f>
        <v/>
      </c>
      <c r="U5483">
        <f>IF($A5483="","",$R5483&amp;"("&amp;$E5483&amp;")")</f>
        <v/>
      </c>
      <c r="V5483">
        <f>IF($A5483="","",$F5483&amp;"|"&amp;$U5483&amp;"|"&amp;$D5483)</f>
        <v/>
      </c>
      <c r="W5483">
        <f>IF($T5483="","",IF($X5483&gt;N($X5482),$X5483,""))</f>
        <v/>
      </c>
      <c r="X5483">
        <f>IF($T5483="",N($X5482),IF(MATCH($T5483,$T$6:$T$6005,0)=ROW()-5,N($X5482)+1,N($X5482)))</f>
        <v/>
      </c>
      <c r="Z5483">
        <f>IF($V5483="","",IF($AA5483&gt;N($AA5482),$AA5483,""))</f>
        <v/>
      </c>
      <c r="AA5483">
        <f>IF($V5483="",N($AA5482),IF(MATCH($V5483,$V$6:$V$6005,0)=ROW()-5,N($AA5482)+1,N($AA5482)))</f>
        <v/>
      </c>
    </row>
    <row r="5484" ht="21" customHeight="1" s="66">
      <c r="A5484" s="56" t="n"/>
      <c r="B5484" s="57" t="n"/>
      <c r="C5484" s="57" t="n"/>
      <c r="D5484" s="57" t="n"/>
      <c r="E5484" s="56" t="n"/>
      <c r="F5484" s="57" t="n"/>
      <c r="G5484" s="57" t="n"/>
      <c r="H5484" s="56" t="n"/>
      <c r="I5484" s="56" t="n"/>
      <c r="J5484" s="58" t="n"/>
      <c r="K5484" s="58" t="n"/>
      <c r="L5484" s="13">
        <f>IF(OR($A5484="",AND($J5484="",$K5484="")),"",ROUND(N($J5484)-N($K5484),2))</f>
        <v/>
      </c>
      <c r="M5484" s="13">
        <f>IF(OR($A5484="",AND($J5484="",$K5484="")),"",MIN($J5484,$K5484))</f>
        <v/>
      </c>
      <c r="Q5484">
        <f>IF($A5484="","",$D5484&amp;"("&amp;SUBSTITUTE($E5484," ","")&amp;")")</f>
        <v/>
      </c>
      <c r="R5484">
        <f>IF($A5484="","",$B5484&amp;" - "&amp;$C5484)</f>
        <v/>
      </c>
      <c r="S5484">
        <f>IF($A5484="","",$R5484&amp;"|"&amp;$Q5484)</f>
        <v/>
      </c>
      <c r="T5484">
        <f>IF($A5484="","",$S5484&amp;"|"&amp;$F5484)</f>
        <v/>
      </c>
      <c r="U5484">
        <f>IF($A5484="","",$R5484&amp;"("&amp;$E5484&amp;")")</f>
        <v/>
      </c>
      <c r="V5484">
        <f>IF($A5484="","",$F5484&amp;"|"&amp;$U5484&amp;"|"&amp;$D5484)</f>
        <v/>
      </c>
      <c r="W5484">
        <f>IF($T5484="","",IF($X5484&gt;N($X5483),$X5484,""))</f>
        <v/>
      </c>
      <c r="X5484">
        <f>IF($T5484="",N($X5483),IF(MATCH($T5484,$T$6:$T$6005,0)=ROW()-5,N($X5483)+1,N($X5483)))</f>
        <v/>
      </c>
      <c r="Z5484">
        <f>IF($V5484="","",IF($AA5484&gt;N($AA5483),$AA5484,""))</f>
        <v/>
      </c>
      <c r="AA5484">
        <f>IF($V5484="",N($AA5483),IF(MATCH($V5484,$V$6:$V$6005,0)=ROW()-5,N($AA5483)+1,N($AA5483)))</f>
        <v/>
      </c>
    </row>
    <row r="5485" ht="21" customHeight="1" s="66">
      <c r="A5485" s="56" t="n"/>
      <c r="B5485" s="57" t="n"/>
      <c r="C5485" s="57" t="n"/>
      <c r="D5485" s="57" t="n"/>
      <c r="E5485" s="56" t="n"/>
      <c r="F5485" s="57" t="n"/>
      <c r="G5485" s="57" t="n"/>
      <c r="H5485" s="56" t="n"/>
      <c r="I5485" s="56" t="n"/>
      <c r="J5485" s="58" t="n"/>
      <c r="K5485" s="58" t="n"/>
      <c r="L5485" s="13">
        <f>IF(OR($A5485="",AND($J5485="",$K5485="")),"",ROUND(N($J5485)-N($K5485),2))</f>
        <v/>
      </c>
      <c r="M5485" s="13">
        <f>IF(OR($A5485="",AND($J5485="",$K5485="")),"",MIN($J5485,$K5485))</f>
        <v/>
      </c>
      <c r="Q5485">
        <f>IF($A5485="","",$D5485&amp;"("&amp;SUBSTITUTE($E5485," ","")&amp;")")</f>
        <v/>
      </c>
      <c r="R5485">
        <f>IF($A5485="","",$B5485&amp;" - "&amp;$C5485)</f>
        <v/>
      </c>
      <c r="S5485">
        <f>IF($A5485="","",$R5485&amp;"|"&amp;$Q5485)</f>
        <v/>
      </c>
      <c r="T5485">
        <f>IF($A5485="","",$S5485&amp;"|"&amp;$F5485)</f>
        <v/>
      </c>
      <c r="U5485">
        <f>IF($A5485="","",$R5485&amp;"("&amp;$E5485&amp;")")</f>
        <v/>
      </c>
      <c r="V5485">
        <f>IF($A5485="","",$F5485&amp;"|"&amp;$U5485&amp;"|"&amp;$D5485)</f>
        <v/>
      </c>
      <c r="W5485">
        <f>IF($T5485="","",IF($X5485&gt;N($X5484),$X5485,""))</f>
        <v/>
      </c>
      <c r="X5485">
        <f>IF($T5485="",N($X5484),IF(MATCH($T5485,$T$6:$T$6005,0)=ROW()-5,N($X5484)+1,N($X5484)))</f>
        <v/>
      </c>
      <c r="Z5485">
        <f>IF($V5485="","",IF($AA5485&gt;N($AA5484),$AA5485,""))</f>
        <v/>
      </c>
      <c r="AA5485">
        <f>IF($V5485="",N($AA5484),IF(MATCH($V5485,$V$6:$V$6005,0)=ROW()-5,N($AA5484)+1,N($AA5484)))</f>
        <v/>
      </c>
    </row>
    <row r="5486" ht="21" customHeight="1" s="66">
      <c r="A5486" s="56" t="n"/>
      <c r="B5486" s="57" t="n"/>
      <c r="C5486" s="57" t="n"/>
      <c r="D5486" s="57" t="n"/>
      <c r="E5486" s="56" t="n"/>
      <c r="F5486" s="57" t="n"/>
      <c r="G5486" s="57" t="n"/>
      <c r="H5486" s="56" t="n"/>
      <c r="I5486" s="56" t="n"/>
      <c r="J5486" s="58" t="n"/>
      <c r="K5486" s="58" t="n"/>
      <c r="L5486" s="13">
        <f>IF(OR($A5486="",AND($J5486="",$K5486="")),"",ROUND(N($J5486)-N($K5486),2))</f>
        <v/>
      </c>
      <c r="M5486" s="13">
        <f>IF(OR($A5486="",AND($J5486="",$K5486="")),"",MIN($J5486,$K5486))</f>
        <v/>
      </c>
      <c r="Q5486">
        <f>IF($A5486="","",$D5486&amp;"("&amp;SUBSTITUTE($E5486," ","")&amp;")")</f>
        <v/>
      </c>
      <c r="R5486">
        <f>IF($A5486="","",$B5486&amp;" - "&amp;$C5486)</f>
        <v/>
      </c>
      <c r="S5486">
        <f>IF($A5486="","",$R5486&amp;"|"&amp;$Q5486)</f>
        <v/>
      </c>
      <c r="T5486">
        <f>IF($A5486="","",$S5486&amp;"|"&amp;$F5486)</f>
        <v/>
      </c>
      <c r="U5486">
        <f>IF($A5486="","",$R5486&amp;"("&amp;$E5486&amp;")")</f>
        <v/>
      </c>
      <c r="V5486">
        <f>IF($A5486="","",$F5486&amp;"|"&amp;$U5486&amp;"|"&amp;$D5486)</f>
        <v/>
      </c>
      <c r="W5486">
        <f>IF($T5486="","",IF($X5486&gt;N($X5485),$X5486,""))</f>
        <v/>
      </c>
      <c r="X5486">
        <f>IF($T5486="",N($X5485),IF(MATCH($T5486,$T$6:$T$6005,0)=ROW()-5,N($X5485)+1,N($X5485)))</f>
        <v/>
      </c>
      <c r="Z5486">
        <f>IF($V5486="","",IF($AA5486&gt;N($AA5485),$AA5486,""))</f>
        <v/>
      </c>
      <c r="AA5486">
        <f>IF($V5486="",N($AA5485),IF(MATCH($V5486,$V$6:$V$6005,0)=ROW()-5,N($AA5485)+1,N($AA5485)))</f>
        <v/>
      </c>
    </row>
    <row r="5487" ht="21" customHeight="1" s="66">
      <c r="A5487" s="56" t="n"/>
      <c r="B5487" s="57" t="n"/>
      <c r="C5487" s="57" t="n"/>
      <c r="D5487" s="57" t="n"/>
      <c r="E5487" s="56" t="n"/>
      <c r="F5487" s="57" t="n"/>
      <c r="G5487" s="57" t="n"/>
      <c r="H5487" s="56" t="n"/>
      <c r="I5487" s="56" t="n"/>
      <c r="J5487" s="58" t="n"/>
      <c r="K5487" s="58" t="n"/>
      <c r="L5487" s="13">
        <f>IF(OR($A5487="",AND($J5487="",$K5487="")),"",ROUND(N($J5487)-N($K5487),2))</f>
        <v/>
      </c>
      <c r="M5487" s="13">
        <f>IF(OR($A5487="",AND($J5487="",$K5487="")),"",MIN($J5487,$K5487))</f>
        <v/>
      </c>
      <c r="Q5487">
        <f>IF($A5487="","",$D5487&amp;"("&amp;SUBSTITUTE($E5487," ","")&amp;")")</f>
        <v/>
      </c>
      <c r="R5487">
        <f>IF($A5487="","",$B5487&amp;" - "&amp;$C5487)</f>
        <v/>
      </c>
      <c r="S5487">
        <f>IF($A5487="","",$R5487&amp;"|"&amp;$Q5487)</f>
        <v/>
      </c>
      <c r="T5487">
        <f>IF($A5487="","",$S5487&amp;"|"&amp;$F5487)</f>
        <v/>
      </c>
      <c r="U5487">
        <f>IF($A5487="","",$R5487&amp;"("&amp;$E5487&amp;")")</f>
        <v/>
      </c>
      <c r="V5487">
        <f>IF($A5487="","",$F5487&amp;"|"&amp;$U5487&amp;"|"&amp;$D5487)</f>
        <v/>
      </c>
      <c r="W5487">
        <f>IF($T5487="","",IF($X5487&gt;N($X5486),$X5487,""))</f>
        <v/>
      </c>
      <c r="X5487">
        <f>IF($T5487="",N($X5486),IF(MATCH($T5487,$T$6:$T$6005,0)=ROW()-5,N($X5486)+1,N($X5486)))</f>
        <v/>
      </c>
      <c r="Z5487">
        <f>IF($V5487="","",IF($AA5487&gt;N($AA5486),$AA5487,""))</f>
        <v/>
      </c>
      <c r="AA5487">
        <f>IF($V5487="",N($AA5486),IF(MATCH($V5487,$V$6:$V$6005,0)=ROW()-5,N($AA5486)+1,N($AA5486)))</f>
        <v/>
      </c>
    </row>
    <row r="5488" ht="21" customHeight="1" s="66">
      <c r="A5488" s="56" t="n"/>
      <c r="B5488" s="57" t="n"/>
      <c r="C5488" s="57" t="n"/>
      <c r="D5488" s="57" t="n"/>
      <c r="E5488" s="56" t="n"/>
      <c r="F5488" s="57" t="n"/>
      <c r="G5488" s="57" t="n"/>
      <c r="H5488" s="56" t="n"/>
      <c r="I5488" s="56" t="n"/>
      <c r="J5488" s="58" t="n"/>
      <c r="K5488" s="58" t="n"/>
      <c r="L5488" s="13">
        <f>IF(OR($A5488="",AND($J5488="",$K5488="")),"",ROUND(N($J5488)-N($K5488),2))</f>
        <v/>
      </c>
      <c r="M5488" s="13">
        <f>IF(OR($A5488="",AND($J5488="",$K5488="")),"",MIN($J5488,$K5488))</f>
        <v/>
      </c>
      <c r="Q5488">
        <f>IF($A5488="","",$D5488&amp;"("&amp;SUBSTITUTE($E5488," ","")&amp;")")</f>
        <v/>
      </c>
      <c r="R5488">
        <f>IF($A5488="","",$B5488&amp;" - "&amp;$C5488)</f>
        <v/>
      </c>
      <c r="S5488">
        <f>IF($A5488="","",$R5488&amp;"|"&amp;$Q5488)</f>
        <v/>
      </c>
      <c r="T5488">
        <f>IF($A5488="","",$S5488&amp;"|"&amp;$F5488)</f>
        <v/>
      </c>
      <c r="U5488">
        <f>IF($A5488="","",$R5488&amp;"("&amp;$E5488&amp;")")</f>
        <v/>
      </c>
      <c r="V5488">
        <f>IF($A5488="","",$F5488&amp;"|"&amp;$U5488&amp;"|"&amp;$D5488)</f>
        <v/>
      </c>
      <c r="W5488">
        <f>IF($T5488="","",IF($X5488&gt;N($X5487),$X5488,""))</f>
        <v/>
      </c>
      <c r="X5488">
        <f>IF($T5488="",N($X5487),IF(MATCH($T5488,$T$6:$T$6005,0)=ROW()-5,N($X5487)+1,N($X5487)))</f>
        <v/>
      </c>
      <c r="Z5488">
        <f>IF($V5488="","",IF($AA5488&gt;N($AA5487),$AA5488,""))</f>
        <v/>
      </c>
      <c r="AA5488">
        <f>IF($V5488="",N($AA5487),IF(MATCH($V5488,$V$6:$V$6005,0)=ROW()-5,N($AA5487)+1,N($AA5487)))</f>
        <v/>
      </c>
    </row>
    <row r="5489" ht="21" customHeight="1" s="66">
      <c r="A5489" s="56" t="n"/>
      <c r="B5489" s="57" t="n"/>
      <c r="C5489" s="57" t="n"/>
      <c r="D5489" s="57" t="n"/>
      <c r="E5489" s="56" t="n"/>
      <c r="F5489" s="57" t="n"/>
      <c r="G5489" s="57" t="n"/>
      <c r="H5489" s="56" t="n"/>
      <c r="I5489" s="56" t="n"/>
      <c r="J5489" s="58" t="n"/>
      <c r="K5489" s="58" t="n"/>
      <c r="L5489" s="13">
        <f>IF(OR($A5489="",AND($J5489="",$K5489="")),"",ROUND(N($J5489)-N($K5489),2))</f>
        <v/>
      </c>
      <c r="M5489" s="13">
        <f>IF(OR($A5489="",AND($J5489="",$K5489="")),"",MIN($J5489,$K5489))</f>
        <v/>
      </c>
      <c r="Q5489">
        <f>IF($A5489="","",$D5489&amp;"("&amp;SUBSTITUTE($E5489," ","")&amp;")")</f>
        <v/>
      </c>
      <c r="R5489">
        <f>IF($A5489="","",$B5489&amp;" - "&amp;$C5489)</f>
        <v/>
      </c>
      <c r="S5489">
        <f>IF($A5489="","",$R5489&amp;"|"&amp;$Q5489)</f>
        <v/>
      </c>
      <c r="T5489">
        <f>IF($A5489="","",$S5489&amp;"|"&amp;$F5489)</f>
        <v/>
      </c>
      <c r="U5489">
        <f>IF($A5489="","",$R5489&amp;"("&amp;$E5489&amp;")")</f>
        <v/>
      </c>
      <c r="V5489">
        <f>IF($A5489="","",$F5489&amp;"|"&amp;$U5489&amp;"|"&amp;$D5489)</f>
        <v/>
      </c>
      <c r="W5489">
        <f>IF($T5489="","",IF($X5489&gt;N($X5488),$X5489,""))</f>
        <v/>
      </c>
      <c r="X5489">
        <f>IF($T5489="",N($X5488),IF(MATCH($T5489,$T$6:$T$6005,0)=ROW()-5,N($X5488)+1,N($X5488)))</f>
        <v/>
      </c>
      <c r="Z5489">
        <f>IF($V5489="","",IF($AA5489&gt;N($AA5488),$AA5489,""))</f>
        <v/>
      </c>
      <c r="AA5489">
        <f>IF($V5489="",N($AA5488),IF(MATCH($V5489,$V$6:$V$6005,0)=ROW()-5,N($AA5488)+1,N($AA5488)))</f>
        <v/>
      </c>
    </row>
    <row r="5490" ht="21" customHeight="1" s="66">
      <c r="A5490" s="56" t="n"/>
      <c r="B5490" s="57" t="n"/>
      <c r="C5490" s="57" t="n"/>
      <c r="D5490" s="57" t="n"/>
      <c r="E5490" s="56" t="n"/>
      <c r="F5490" s="57" t="n"/>
      <c r="G5490" s="57" t="n"/>
      <c r="H5490" s="56" t="n"/>
      <c r="I5490" s="56" t="n"/>
      <c r="J5490" s="58" t="n"/>
      <c r="K5490" s="58" t="n"/>
      <c r="L5490" s="13">
        <f>IF(OR($A5490="",AND($J5490="",$K5490="")),"",ROUND(N($J5490)-N($K5490),2))</f>
        <v/>
      </c>
      <c r="M5490" s="13">
        <f>IF(OR($A5490="",AND($J5490="",$K5490="")),"",MIN($J5490,$K5490))</f>
        <v/>
      </c>
      <c r="Q5490">
        <f>IF($A5490="","",$D5490&amp;"("&amp;SUBSTITUTE($E5490," ","")&amp;")")</f>
        <v/>
      </c>
      <c r="R5490">
        <f>IF($A5490="","",$B5490&amp;" - "&amp;$C5490)</f>
        <v/>
      </c>
      <c r="S5490">
        <f>IF($A5490="","",$R5490&amp;"|"&amp;$Q5490)</f>
        <v/>
      </c>
      <c r="T5490">
        <f>IF($A5490="","",$S5490&amp;"|"&amp;$F5490)</f>
        <v/>
      </c>
      <c r="U5490">
        <f>IF($A5490="","",$R5490&amp;"("&amp;$E5490&amp;")")</f>
        <v/>
      </c>
      <c r="V5490">
        <f>IF($A5490="","",$F5490&amp;"|"&amp;$U5490&amp;"|"&amp;$D5490)</f>
        <v/>
      </c>
      <c r="W5490">
        <f>IF($T5490="","",IF($X5490&gt;N($X5489),$X5490,""))</f>
        <v/>
      </c>
      <c r="X5490">
        <f>IF($T5490="",N($X5489),IF(MATCH($T5490,$T$6:$T$6005,0)=ROW()-5,N($X5489)+1,N($X5489)))</f>
        <v/>
      </c>
      <c r="Z5490">
        <f>IF($V5490="","",IF($AA5490&gt;N($AA5489),$AA5490,""))</f>
        <v/>
      </c>
      <c r="AA5490">
        <f>IF($V5490="",N($AA5489),IF(MATCH($V5490,$V$6:$V$6005,0)=ROW()-5,N($AA5489)+1,N($AA5489)))</f>
        <v/>
      </c>
    </row>
    <row r="5491" ht="21" customHeight="1" s="66">
      <c r="A5491" s="56" t="n"/>
      <c r="B5491" s="57" t="n"/>
      <c r="C5491" s="57" t="n"/>
      <c r="D5491" s="57" t="n"/>
      <c r="E5491" s="56" t="n"/>
      <c r="F5491" s="57" t="n"/>
      <c r="G5491" s="57" t="n"/>
      <c r="H5491" s="56" t="n"/>
      <c r="I5491" s="56" t="n"/>
      <c r="J5491" s="58" t="n"/>
      <c r="K5491" s="58" t="n"/>
      <c r="L5491" s="13">
        <f>IF(OR($A5491="",AND($J5491="",$K5491="")),"",ROUND(N($J5491)-N($K5491),2))</f>
        <v/>
      </c>
      <c r="M5491" s="13">
        <f>IF(OR($A5491="",AND($J5491="",$K5491="")),"",MIN($J5491,$K5491))</f>
        <v/>
      </c>
      <c r="Q5491">
        <f>IF($A5491="","",$D5491&amp;"("&amp;SUBSTITUTE($E5491," ","")&amp;")")</f>
        <v/>
      </c>
      <c r="R5491">
        <f>IF($A5491="","",$B5491&amp;" - "&amp;$C5491)</f>
        <v/>
      </c>
      <c r="S5491">
        <f>IF($A5491="","",$R5491&amp;"|"&amp;$Q5491)</f>
        <v/>
      </c>
      <c r="T5491">
        <f>IF($A5491="","",$S5491&amp;"|"&amp;$F5491)</f>
        <v/>
      </c>
      <c r="U5491">
        <f>IF($A5491="","",$R5491&amp;"("&amp;$E5491&amp;")")</f>
        <v/>
      </c>
      <c r="V5491">
        <f>IF($A5491="","",$F5491&amp;"|"&amp;$U5491&amp;"|"&amp;$D5491)</f>
        <v/>
      </c>
      <c r="W5491">
        <f>IF($T5491="","",IF($X5491&gt;N($X5490),$X5491,""))</f>
        <v/>
      </c>
      <c r="X5491">
        <f>IF($T5491="",N($X5490),IF(MATCH($T5491,$T$6:$T$6005,0)=ROW()-5,N($X5490)+1,N($X5490)))</f>
        <v/>
      </c>
      <c r="Z5491">
        <f>IF($V5491="","",IF($AA5491&gt;N($AA5490),$AA5491,""))</f>
        <v/>
      </c>
      <c r="AA5491">
        <f>IF($V5491="",N($AA5490),IF(MATCH($V5491,$V$6:$V$6005,0)=ROW()-5,N($AA5490)+1,N($AA5490)))</f>
        <v/>
      </c>
    </row>
    <row r="5492" ht="21" customHeight="1" s="66">
      <c r="A5492" s="56" t="n"/>
      <c r="B5492" s="57" t="n"/>
      <c r="C5492" s="57" t="n"/>
      <c r="D5492" s="57" t="n"/>
      <c r="E5492" s="56" t="n"/>
      <c r="F5492" s="57" t="n"/>
      <c r="G5492" s="57" t="n"/>
      <c r="H5492" s="56" t="n"/>
      <c r="I5492" s="56" t="n"/>
      <c r="J5492" s="58" t="n"/>
      <c r="K5492" s="58" t="n"/>
      <c r="L5492" s="13">
        <f>IF(OR($A5492="",AND($J5492="",$K5492="")),"",ROUND(N($J5492)-N($K5492),2))</f>
        <v/>
      </c>
      <c r="M5492" s="13">
        <f>IF(OR($A5492="",AND($J5492="",$K5492="")),"",MIN($J5492,$K5492))</f>
        <v/>
      </c>
      <c r="Q5492">
        <f>IF($A5492="","",$D5492&amp;"("&amp;SUBSTITUTE($E5492," ","")&amp;")")</f>
        <v/>
      </c>
      <c r="R5492">
        <f>IF($A5492="","",$B5492&amp;" - "&amp;$C5492)</f>
        <v/>
      </c>
      <c r="S5492">
        <f>IF($A5492="","",$R5492&amp;"|"&amp;$Q5492)</f>
        <v/>
      </c>
      <c r="T5492">
        <f>IF($A5492="","",$S5492&amp;"|"&amp;$F5492)</f>
        <v/>
      </c>
      <c r="U5492">
        <f>IF($A5492="","",$R5492&amp;"("&amp;$E5492&amp;")")</f>
        <v/>
      </c>
      <c r="V5492">
        <f>IF($A5492="","",$F5492&amp;"|"&amp;$U5492&amp;"|"&amp;$D5492)</f>
        <v/>
      </c>
      <c r="W5492">
        <f>IF($T5492="","",IF($X5492&gt;N($X5491),$X5492,""))</f>
        <v/>
      </c>
      <c r="X5492">
        <f>IF($T5492="",N($X5491),IF(MATCH($T5492,$T$6:$T$6005,0)=ROW()-5,N($X5491)+1,N($X5491)))</f>
        <v/>
      </c>
      <c r="Z5492">
        <f>IF($V5492="","",IF($AA5492&gt;N($AA5491),$AA5492,""))</f>
        <v/>
      </c>
      <c r="AA5492">
        <f>IF($V5492="",N($AA5491),IF(MATCH($V5492,$V$6:$V$6005,0)=ROW()-5,N($AA5491)+1,N($AA5491)))</f>
        <v/>
      </c>
    </row>
    <row r="5493" ht="21" customHeight="1" s="66">
      <c r="A5493" s="56" t="n"/>
      <c r="B5493" s="57" t="n"/>
      <c r="C5493" s="57" t="n"/>
      <c r="D5493" s="57" t="n"/>
      <c r="E5493" s="56" t="n"/>
      <c r="F5493" s="57" t="n"/>
      <c r="G5493" s="57" t="n"/>
      <c r="H5493" s="56" t="n"/>
      <c r="I5493" s="56" t="n"/>
      <c r="J5493" s="58" t="n"/>
      <c r="K5493" s="58" t="n"/>
      <c r="L5493" s="13">
        <f>IF(OR($A5493="",AND($J5493="",$K5493="")),"",ROUND(N($J5493)-N($K5493),2))</f>
        <v/>
      </c>
      <c r="M5493" s="13">
        <f>IF(OR($A5493="",AND($J5493="",$K5493="")),"",MIN($J5493,$K5493))</f>
        <v/>
      </c>
      <c r="Q5493">
        <f>IF($A5493="","",$D5493&amp;"("&amp;SUBSTITUTE($E5493," ","")&amp;")")</f>
        <v/>
      </c>
      <c r="R5493">
        <f>IF($A5493="","",$B5493&amp;" - "&amp;$C5493)</f>
        <v/>
      </c>
      <c r="S5493">
        <f>IF($A5493="","",$R5493&amp;"|"&amp;$Q5493)</f>
        <v/>
      </c>
      <c r="T5493">
        <f>IF($A5493="","",$S5493&amp;"|"&amp;$F5493)</f>
        <v/>
      </c>
      <c r="U5493">
        <f>IF($A5493="","",$R5493&amp;"("&amp;$E5493&amp;")")</f>
        <v/>
      </c>
      <c r="V5493">
        <f>IF($A5493="","",$F5493&amp;"|"&amp;$U5493&amp;"|"&amp;$D5493)</f>
        <v/>
      </c>
      <c r="W5493">
        <f>IF($T5493="","",IF($X5493&gt;N($X5492),$X5493,""))</f>
        <v/>
      </c>
      <c r="X5493">
        <f>IF($T5493="",N($X5492),IF(MATCH($T5493,$T$6:$T$6005,0)=ROW()-5,N($X5492)+1,N($X5492)))</f>
        <v/>
      </c>
      <c r="Z5493">
        <f>IF($V5493="","",IF($AA5493&gt;N($AA5492),$AA5493,""))</f>
        <v/>
      </c>
      <c r="AA5493">
        <f>IF($V5493="",N($AA5492),IF(MATCH($V5493,$V$6:$V$6005,0)=ROW()-5,N($AA5492)+1,N($AA5492)))</f>
        <v/>
      </c>
    </row>
    <row r="5494" ht="21" customHeight="1" s="66">
      <c r="A5494" s="56" t="n"/>
      <c r="B5494" s="57" t="n"/>
      <c r="C5494" s="57" t="n"/>
      <c r="D5494" s="57" t="n"/>
      <c r="E5494" s="56" t="n"/>
      <c r="F5494" s="57" t="n"/>
      <c r="G5494" s="57" t="n"/>
      <c r="H5494" s="56" t="n"/>
      <c r="I5494" s="56" t="n"/>
      <c r="J5494" s="58" t="n"/>
      <c r="K5494" s="58" t="n"/>
      <c r="L5494" s="13">
        <f>IF(OR($A5494="",AND($J5494="",$K5494="")),"",ROUND(N($J5494)-N($K5494),2))</f>
        <v/>
      </c>
      <c r="M5494" s="13">
        <f>IF(OR($A5494="",AND($J5494="",$K5494="")),"",MIN($J5494,$K5494))</f>
        <v/>
      </c>
      <c r="Q5494">
        <f>IF($A5494="","",$D5494&amp;"("&amp;SUBSTITUTE($E5494," ","")&amp;")")</f>
        <v/>
      </c>
      <c r="R5494">
        <f>IF($A5494="","",$B5494&amp;" - "&amp;$C5494)</f>
        <v/>
      </c>
      <c r="S5494">
        <f>IF($A5494="","",$R5494&amp;"|"&amp;$Q5494)</f>
        <v/>
      </c>
      <c r="T5494">
        <f>IF($A5494="","",$S5494&amp;"|"&amp;$F5494)</f>
        <v/>
      </c>
      <c r="U5494">
        <f>IF($A5494="","",$R5494&amp;"("&amp;$E5494&amp;")")</f>
        <v/>
      </c>
      <c r="V5494">
        <f>IF($A5494="","",$F5494&amp;"|"&amp;$U5494&amp;"|"&amp;$D5494)</f>
        <v/>
      </c>
      <c r="W5494">
        <f>IF($T5494="","",IF($X5494&gt;N($X5493),$X5494,""))</f>
        <v/>
      </c>
      <c r="X5494">
        <f>IF($T5494="",N($X5493),IF(MATCH($T5494,$T$6:$T$6005,0)=ROW()-5,N($X5493)+1,N($X5493)))</f>
        <v/>
      </c>
      <c r="Z5494">
        <f>IF($V5494="","",IF($AA5494&gt;N($AA5493),$AA5494,""))</f>
        <v/>
      </c>
      <c r="AA5494">
        <f>IF($V5494="",N($AA5493),IF(MATCH($V5494,$V$6:$V$6005,0)=ROW()-5,N($AA5493)+1,N($AA5493)))</f>
        <v/>
      </c>
    </row>
    <row r="5495" ht="21" customHeight="1" s="66">
      <c r="A5495" s="56" t="n"/>
      <c r="B5495" s="57" t="n"/>
      <c r="C5495" s="57" t="n"/>
      <c r="D5495" s="57" t="n"/>
      <c r="E5495" s="56" t="n"/>
      <c r="F5495" s="57" t="n"/>
      <c r="G5495" s="57" t="n"/>
      <c r="H5495" s="56" t="n"/>
      <c r="I5495" s="56" t="n"/>
      <c r="J5495" s="58" t="n"/>
      <c r="K5495" s="58" t="n"/>
      <c r="L5495" s="13">
        <f>IF(OR($A5495="",AND($J5495="",$K5495="")),"",ROUND(N($J5495)-N($K5495),2))</f>
        <v/>
      </c>
      <c r="M5495" s="13">
        <f>IF(OR($A5495="",AND($J5495="",$K5495="")),"",MIN($J5495,$K5495))</f>
        <v/>
      </c>
      <c r="Q5495">
        <f>IF($A5495="","",$D5495&amp;"("&amp;SUBSTITUTE($E5495," ","")&amp;")")</f>
        <v/>
      </c>
      <c r="R5495">
        <f>IF($A5495="","",$B5495&amp;" - "&amp;$C5495)</f>
        <v/>
      </c>
      <c r="S5495">
        <f>IF($A5495="","",$R5495&amp;"|"&amp;$Q5495)</f>
        <v/>
      </c>
      <c r="T5495">
        <f>IF($A5495="","",$S5495&amp;"|"&amp;$F5495)</f>
        <v/>
      </c>
      <c r="U5495">
        <f>IF($A5495="","",$R5495&amp;"("&amp;$E5495&amp;")")</f>
        <v/>
      </c>
      <c r="V5495">
        <f>IF($A5495="","",$F5495&amp;"|"&amp;$U5495&amp;"|"&amp;$D5495)</f>
        <v/>
      </c>
      <c r="W5495">
        <f>IF($T5495="","",IF($X5495&gt;N($X5494),$X5495,""))</f>
        <v/>
      </c>
      <c r="X5495">
        <f>IF($T5495="",N($X5494),IF(MATCH($T5495,$T$6:$T$6005,0)=ROW()-5,N($X5494)+1,N($X5494)))</f>
        <v/>
      </c>
      <c r="Z5495">
        <f>IF($V5495="","",IF($AA5495&gt;N($AA5494),$AA5495,""))</f>
        <v/>
      </c>
      <c r="AA5495">
        <f>IF($V5495="",N($AA5494),IF(MATCH($V5495,$V$6:$V$6005,0)=ROW()-5,N($AA5494)+1,N($AA5494)))</f>
        <v/>
      </c>
    </row>
    <row r="5496" ht="21" customHeight="1" s="66">
      <c r="A5496" s="56" t="n"/>
      <c r="B5496" s="57" t="n"/>
      <c r="C5496" s="57" t="n"/>
      <c r="D5496" s="57" t="n"/>
      <c r="E5496" s="56" t="n"/>
      <c r="F5496" s="57" t="n"/>
      <c r="G5496" s="57" t="n"/>
      <c r="H5496" s="56" t="n"/>
      <c r="I5496" s="56" t="n"/>
      <c r="J5496" s="58" t="n"/>
      <c r="K5496" s="58" t="n"/>
      <c r="L5496" s="13">
        <f>IF(OR($A5496="",AND($J5496="",$K5496="")),"",ROUND(N($J5496)-N($K5496),2))</f>
        <v/>
      </c>
      <c r="M5496" s="13">
        <f>IF(OR($A5496="",AND($J5496="",$K5496="")),"",MIN($J5496,$K5496))</f>
        <v/>
      </c>
      <c r="Q5496">
        <f>IF($A5496="","",$D5496&amp;"("&amp;SUBSTITUTE($E5496," ","")&amp;")")</f>
        <v/>
      </c>
      <c r="R5496">
        <f>IF($A5496="","",$B5496&amp;" - "&amp;$C5496)</f>
        <v/>
      </c>
      <c r="S5496">
        <f>IF($A5496="","",$R5496&amp;"|"&amp;$Q5496)</f>
        <v/>
      </c>
      <c r="T5496">
        <f>IF($A5496="","",$S5496&amp;"|"&amp;$F5496)</f>
        <v/>
      </c>
      <c r="U5496">
        <f>IF($A5496="","",$R5496&amp;"("&amp;$E5496&amp;")")</f>
        <v/>
      </c>
      <c r="V5496">
        <f>IF($A5496="","",$F5496&amp;"|"&amp;$U5496&amp;"|"&amp;$D5496)</f>
        <v/>
      </c>
      <c r="W5496">
        <f>IF($T5496="","",IF($X5496&gt;N($X5495),$X5496,""))</f>
        <v/>
      </c>
      <c r="X5496">
        <f>IF($T5496="",N($X5495),IF(MATCH($T5496,$T$6:$T$6005,0)=ROW()-5,N($X5495)+1,N($X5495)))</f>
        <v/>
      </c>
      <c r="Z5496">
        <f>IF($V5496="","",IF($AA5496&gt;N($AA5495),$AA5496,""))</f>
        <v/>
      </c>
      <c r="AA5496">
        <f>IF($V5496="",N($AA5495),IF(MATCH($V5496,$V$6:$V$6005,0)=ROW()-5,N($AA5495)+1,N($AA5495)))</f>
        <v/>
      </c>
    </row>
    <row r="5497" ht="21" customHeight="1" s="66">
      <c r="A5497" s="56" t="n"/>
      <c r="B5497" s="57" t="n"/>
      <c r="C5497" s="57" t="n"/>
      <c r="D5497" s="57" t="n"/>
      <c r="E5497" s="56" t="n"/>
      <c r="F5497" s="57" t="n"/>
      <c r="G5497" s="57" t="n"/>
      <c r="H5497" s="56" t="n"/>
      <c r="I5497" s="56" t="n"/>
      <c r="J5497" s="58" t="n"/>
      <c r="K5497" s="58" t="n"/>
      <c r="L5497" s="13">
        <f>IF(OR($A5497="",AND($J5497="",$K5497="")),"",ROUND(N($J5497)-N($K5497),2))</f>
        <v/>
      </c>
      <c r="M5497" s="13">
        <f>IF(OR($A5497="",AND($J5497="",$K5497="")),"",MIN($J5497,$K5497))</f>
        <v/>
      </c>
      <c r="Q5497">
        <f>IF($A5497="","",$D5497&amp;"("&amp;SUBSTITUTE($E5497," ","")&amp;")")</f>
        <v/>
      </c>
      <c r="R5497">
        <f>IF($A5497="","",$B5497&amp;" - "&amp;$C5497)</f>
        <v/>
      </c>
      <c r="S5497">
        <f>IF($A5497="","",$R5497&amp;"|"&amp;$Q5497)</f>
        <v/>
      </c>
      <c r="T5497">
        <f>IF($A5497="","",$S5497&amp;"|"&amp;$F5497)</f>
        <v/>
      </c>
      <c r="U5497">
        <f>IF($A5497="","",$R5497&amp;"("&amp;$E5497&amp;")")</f>
        <v/>
      </c>
      <c r="V5497">
        <f>IF($A5497="","",$F5497&amp;"|"&amp;$U5497&amp;"|"&amp;$D5497)</f>
        <v/>
      </c>
      <c r="W5497">
        <f>IF($T5497="","",IF($X5497&gt;N($X5496),$X5497,""))</f>
        <v/>
      </c>
      <c r="X5497">
        <f>IF($T5497="",N($X5496),IF(MATCH($T5497,$T$6:$T$6005,0)=ROW()-5,N($X5496)+1,N($X5496)))</f>
        <v/>
      </c>
      <c r="Z5497">
        <f>IF($V5497="","",IF($AA5497&gt;N($AA5496),$AA5497,""))</f>
        <v/>
      </c>
      <c r="AA5497">
        <f>IF($V5497="",N($AA5496),IF(MATCH($V5497,$V$6:$V$6005,0)=ROW()-5,N($AA5496)+1,N($AA5496)))</f>
        <v/>
      </c>
    </row>
    <row r="5498" ht="21" customHeight="1" s="66">
      <c r="A5498" s="56" t="n"/>
      <c r="B5498" s="57" t="n"/>
      <c r="C5498" s="57" t="n"/>
      <c r="D5498" s="57" t="n"/>
      <c r="E5498" s="56" t="n"/>
      <c r="F5498" s="57" t="n"/>
      <c r="G5498" s="57" t="n"/>
      <c r="H5498" s="56" t="n"/>
      <c r="I5498" s="56" t="n"/>
      <c r="J5498" s="58" t="n"/>
      <c r="K5498" s="58" t="n"/>
      <c r="L5498" s="13">
        <f>IF(OR($A5498="",AND($J5498="",$K5498="")),"",ROUND(N($J5498)-N($K5498),2))</f>
        <v/>
      </c>
      <c r="M5498" s="13">
        <f>IF(OR($A5498="",AND($J5498="",$K5498="")),"",MIN($J5498,$K5498))</f>
        <v/>
      </c>
      <c r="Q5498">
        <f>IF($A5498="","",$D5498&amp;"("&amp;SUBSTITUTE($E5498," ","")&amp;")")</f>
        <v/>
      </c>
      <c r="R5498">
        <f>IF($A5498="","",$B5498&amp;" - "&amp;$C5498)</f>
        <v/>
      </c>
      <c r="S5498">
        <f>IF($A5498="","",$R5498&amp;"|"&amp;$Q5498)</f>
        <v/>
      </c>
      <c r="T5498">
        <f>IF($A5498="","",$S5498&amp;"|"&amp;$F5498)</f>
        <v/>
      </c>
      <c r="U5498">
        <f>IF($A5498="","",$R5498&amp;"("&amp;$E5498&amp;")")</f>
        <v/>
      </c>
      <c r="V5498">
        <f>IF($A5498="","",$F5498&amp;"|"&amp;$U5498&amp;"|"&amp;$D5498)</f>
        <v/>
      </c>
      <c r="W5498">
        <f>IF($T5498="","",IF($X5498&gt;N($X5497),$X5498,""))</f>
        <v/>
      </c>
      <c r="X5498">
        <f>IF($T5498="",N($X5497),IF(MATCH($T5498,$T$6:$T$6005,0)=ROW()-5,N($X5497)+1,N($X5497)))</f>
        <v/>
      </c>
      <c r="Z5498">
        <f>IF($V5498="","",IF($AA5498&gt;N($AA5497),$AA5498,""))</f>
        <v/>
      </c>
      <c r="AA5498">
        <f>IF($V5498="",N($AA5497),IF(MATCH($V5498,$V$6:$V$6005,0)=ROW()-5,N($AA5497)+1,N($AA5497)))</f>
        <v/>
      </c>
    </row>
    <row r="5499" ht="21" customHeight="1" s="66">
      <c r="A5499" s="56" t="n"/>
      <c r="B5499" s="57" t="n"/>
      <c r="C5499" s="57" t="n"/>
      <c r="D5499" s="57" t="n"/>
      <c r="E5499" s="56" t="n"/>
      <c r="F5499" s="57" t="n"/>
      <c r="G5499" s="57" t="n"/>
      <c r="H5499" s="56" t="n"/>
      <c r="I5499" s="56" t="n"/>
      <c r="J5499" s="58" t="n"/>
      <c r="K5499" s="58" t="n"/>
      <c r="L5499" s="13">
        <f>IF(OR($A5499="",AND($J5499="",$K5499="")),"",ROUND(N($J5499)-N($K5499),2))</f>
        <v/>
      </c>
      <c r="M5499" s="13">
        <f>IF(OR($A5499="",AND($J5499="",$K5499="")),"",MIN($J5499,$K5499))</f>
        <v/>
      </c>
      <c r="Q5499">
        <f>IF($A5499="","",$D5499&amp;"("&amp;SUBSTITUTE($E5499," ","")&amp;")")</f>
        <v/>
      </c>
      <c r="R5499">
        <f>IF($A5499="","",$B5499&amp;" - "&amp;$C5499)</f>
        <v/>
      </c>
      <c r="S5499">
        <f>IF($A5499="","",$R5499&amp;"|"&amp;$Q5499)</f>
        <v/>
      </c>
      <c r="T5499">
        <f>IF($A5499="","",$S5499&amp;"|"&amp;$F5499)</f>
        <v/>
      </c>
      <c r="U5499">
        <f>IF($A5499="","",$R5499&amp;"("&amp;$E5499&amp;")")</f>
        <v/>
      </c>
      <c r="V5499">
        <f>IF($A5499="","",$F5499&amp;"|"&amp;$U5499&amp;"|"&amp;$D5499)</f>
        <v/>
      </c>
      <c r="W5499">
        <f>IF($T5499="","",IF($X5499&gt;N($X5498),$X5499,""))</f>
        <v/>
      </c>
      <c r="X5499">
        <f>IF($T5499="",N($X5498),IF(MATCH($T5499,$T$6:$T$6005,0)=ROW()-5,N($X5498)+1,N($X5498)))</f>
        <v/>
      </c>
      <c r="Z5499">
        <f>IF($V5499="","",IF($AA5499&gt;N($AA5498),$AA5499,""))</f>
        <v/>
      </c>
      <c r="AA5499">
        <f>IF($V5499="",N($AA5498),IF(MATCH($V5499,$V$6:$V$6005,0)=ROW()-5,N($AA5498)+1,N($AA5498)))</f>
        <v/>
      </c>
    </row>
    <row r="5500" ht="21" customHeight="1" s="66">
      <c r="A5500" s="56" t="n"/>
      <c r="B5500" s="57" t="n"/>
      <c r="C5500" s="57" t="n"/>
      <c r="D5500" s="57" t="n"/>
      <c r="E5500" s="56" t="n"/>
      <c r="F5500" s="57" t="n"/>
      <c r="G5500" s="57" t="n"/>
      <c r="H5500" s="56" t="n"/>
      <c r="I5500" s="56" t="n"/>
      <c r="J5500" s="58" t="n"/>
      <c r="K5500" s="58" t="n"/>
      <c r="L5500" s="13">
        <f>IF(OR($A5500="",AND($J5500="",$K5500="")),"",ROUND(N($J5500)-N($K5500),2))</f>
        <v/>
      </c>
      <c r="M5500" s="13">
        <f>IF(OR($A5500="",AND($J5500="",$K5500="")),"",MIN($J5500,$K5500))</f>
        <v/>
      </c>
      <c r="Q5500">
        <f>IF($A5500="","",$D5500&amp;"("&amp;SUBSTITUTE($E5500," ","")&amp;")")</f>
        <v/>
      </c>
      <c r="R5500">
        <f>IF($A5500="","",$B5500&amp;" - "&amp;$C5500)</f>
        <v/>
      </c>
      <c r="S5500">
        <f>IF($A5500="","",$R5500&amp;"|"&amp;$Q5500)</f>
        <v/>
      </c>
      <c r="T5500">
        <f>IF($A5500="","",$S5500&amp;"|"&amp;$F5500)</f>
        <v/>
      </c>
      <c r="U5500">
        <f>IF($A5500="","",$R5500&amp;"("&amp;$E5500&amp;")")</f>
        <v/>
      </c>
      <c r="V5500">
        <f>IF($A5500="","",$F5500&amp;"|"&amp;$U5500&amp;"|"&amp;$D5500)</f>
        <v/>
      </c>
      <c r="W5500">
        <f>IF($T5500="","",IF($X5500&gt;N($X5499),$X5500,""))</f>
        <v/>
      </c>
      <c r="X5500">
        <f>IF($T5500="",N($X5499),IF(MATCH($T5500,$T$6:$T$6005,0)=ROW()-5,N($X5499)+1,N($X5499)))</f>
        <v/>
      </c>
      <c r="Z5500">
        <f>IF($V5500="","",IF($AA5500&gt;N($AA5499),$AA5500,""))</f>
        <v/>
      </c>
      <c r="AA5500">
        <f>IF($V5500="",N($AA5499),IF(MATCH($V5500,$V$6:$V$6005,0)=ROW()-5,N($AA5499)+1,N($AA5499)))</f>
        <v/>
      </c>
    </row>
    <row r="5501" ht="21" customHeight="1" s="66">
      <c r="A5501" s="56" t="n"/>
      <c r="B5501" s="57" t="n"/>
      <c r="C5501" s="57" t="n"/>
      <c r="D5501" s="57" t="n"/>
      <c r="E5501" s="56" t="n"/>
      <c r="F5501" s="57" t="n"/>
      <c r="G5501" s="57" t="n"/>
      <c r="H5501" s="56" t="n"/>
      <c r="I5501" s="56" t="n"/>
      <c r="J5501" s="58" t="n"/>
      <c r="K5501" s="58" t="n"/>
      <c r="L5501" s="13">
        <f>IF(OR($A5501="",AND($J5501="",$K5501="")),"",ROUND(N($J5501)-N($K5501),2))</f>
        <v/>
      </c>
      <c r="M5501" s="13">
        <f>IF(OR($A5501="",AND($J5501="",$K5501="")),"",MIN($J5501,$K5501))</f>
        <v/>
      </c>
      <c r="Q5501">
        <f>IF($A5501="","",$D5501&amp;"("&amp;SUBSTITUTE($E5501," ","")&amp;")")</f>
        <v/>
      </c>
      <c r="R5501">
        <f>IF($A5501="","",$B5501&amp;" - "&amp;$C5501)</f>
        <v/>
      </c>
      <c r="S5501">
        <f>IF($A5501="","",$R5501&amp;"|"&amp;$Q5501)</f>
        <v/>
      </c>
      <c r="T5501">
        <f>IF($A5501="","",$S5501&amp;"|"&amp;$F5501)</f>
        <v/>
      </c>
      <c r="U5501">
        <f>IF($A5501="","",$R5501&amp;"("&amp;$E5501&amp;")")</f>
        <v/>
      </c>
      <c r="V5501">
        <f>IF($A5501="","",$F5501&amp;"|"&amp;$U5501&amp;"|"&amp;$D5501)</f>
        <v/>
      </c>
      <c r="W5501">
        <f>IF($T5501="","",IF($X5501&gt;N($X5500),$X5501,""))</f>
        <v/>
      </c>
      <c r="X5501">
        <f>IF($T5501="",N($X5500),IF(MATCH($T5501,$T$6:$T$6005,0)=ROW()-5,N($X5500)+1,N($X5500)))</f>
        <v/>
      </c>
      <c r="Z5501">
        <f>IF($V5501="","",IF($AA5501&gt;N($AA5500),$AA5501,""))</f>
        <v/>
      </c>
      <c r="AA5501">
        <f>IF($V5501="",N($AA5500),IF(MATCH($V5501,$V$6:$V$6005,0)=ROW()-5,N($AA5500)+1,N($AA5500)))</f>
        <v/>
      </c>
    </row>
    <row r="5502" ht="21" customHeight="1" s="66">
      <c r="A5502" s="56" t="n"/>
      <c r="B5502" s="57" t="n"/>
      <c r="C5502" s="57" t="n"/>
      <c r="D5502" s="57" t="n"/>
      <c r="E5502" s="56" t="n"/>
      <c r="F5502" s="57" t="n"/>
      <c r="G5502" s="57" t="n"/>
      <c r="H5502" s="56" t="n"/>
      <c r="I5502" s="56" t="n"/>
      <c r="J5502" s="58" t="n"/>
      <c r="K5502" s="58" t="n"/>
      <c r="L5502" s="13">
        <f>IF(OR($A5502="",AND($J5502="",$K5502="")),"",ROUND(N($J5502)-N($K5502),2))</f>
        <v/>
      </c>
      <c r="M5502" s="13">
        <f>IF(OR($A5502="",AND($J5502="",$K5502="")),"",MIN($J5502,$K5502))</f>
        <v/>
      </c>
      <c r="Q5502">
        <f>IF($A5502="","",$D5502&amp;"("&amp;SUBSTITUTE($E5502," ","")&amp;")")</f>
        <v/>
      </c>
      <c r="R5502">
        <f>IF($A5502="","",$B5502&amp;" - "&amp;$C5502)</f>
        <v/>
      </c>
      <c r="S5502">
        <f>IF($A5502="","",$R5502&amp;"|"&amp;$Q5502)</f>
        <v/>
      </c>
      <c r="T5502">
        <f>IF($A5502="","",$S5502&amp;"|"&amp;$F5502)</f>
        <v/>
      </c>
      <c r="U5502">
        <f>IF($A5502="","",$R5502&amp;"("&amp;$E5502&amp;")")</f>
        <v/>
      </c>
      <c r="V5502">
        <f>IF($A5502="","",$F5502&amp;"|"&amp;$U5502&amp;"|"&amp;$D5502)</f>
        <v/>
      </c>
      <c r="W5502">
        <f>IF($T5502="","",IF($X5502&gt;N($X5501),$X5502,""))</f>
        <v/>
      </c>
      <c r="X5502">
        <f>IF($T5502="",N($X5501),IF(MATCH($T5502,$T$6:$T$6005,0)=ROW()-5,N($X5501)+1,N($X5501)))</f>
        <v/>
      </c>
      <c r="Z5502">
        <f>IF($V5502="","",IF($AA5502&gt;N($AA5501),$AA5502,""))</f>
        <v/>
      </c>
      <c r="AA5502">
        <f>IF($V5502="",N($AA5501),IF(MATCH($V5502,$V$6:$V$6005,0)=ROW()-5,N($AA5501)+1,N($AA5501)))</f>
        <v/>
      </c>
    </row>
    <row r="5503" ht="21" customHeight="1" s="66">
      <c r="A5503" s="56" t="n"/>
      <c r="B5503" s="57" t="n"/>
      <c r="C5503" s="57" t="n"/>
      <c r="D5503" s="57" t="n"/>
      <c r="E5503" s="56" t="n"/>
      <c r="F5503" s="57" t="n"/>
      <c r="G5503" s="57" t="n"/>
      <c r="H5503" s="56" t="n"/>
      <c r="I5503" s="56" t="n"/>
      <c r="J5503" s="58" t="n"/>
      <c r="K5503" s="58" t="n"/>
      <c r="L5503" s="13">
        <f>IF(OR($A5503="",AND($J5503="",$K5503="")),"",ROUND(N($J5503)-N($K5503),2))</f>
        <v/>
      </c>
      <c r="M5503" s="13">
        <f>IF(OR($A5503="",AND($J5503="",$K5503="")),"",MIN($J5503,$K5503))</f>
        <v/>
      </c>
      <c r="Q5503">
        <f>IF($A5503="","",$D5503&amp;"("&amp;SUBSTITUTE($E5503," ","")&amp;")")</f>
        <v/>
      </c>
      <c r="R5503">
        <f>IF($A5503="","",$B5503&amp;" - "&amp;$C5503)</f>
        <v/>
      </c>
      <c r="S5503">
        <f>IF($A5503="","",$R5503&amp;"|"&amp;$Q5503)</f>
        <v/>
      </c>
      <c r="T5503">
        <f>IF($A5503="","",$S5503&amp;"|"&amp;$F5503)</f>
        <v/>
      </c>
      <c r="U5503">
        <f>IF($A5503="","",$R5503&amp;"("&amp;$E5503&amp;")")</f>
        <v/>
      </c>
      <c r="V5503">
        <f>IF($A5503="","",$F5503&amp;"|"&amp;$U5503&amp;"|"&amp;$D5503)</f>
        <v/>
      </c>
      <c r="W5503">
        <f>IF($T5503="","",IF($X5503&gt;N($X5502),$X5503,""))</f>
        <v/>
      </c>
      <c r="X5503">
        <f>IF($T5503="",N($X5502),IF(MATCH($T5503,$T$6:$T$6005,0)=ROW()-5,N($X5502)+1,N($X5502)))</f>
        <v/>
      </c>
      <c r="Z5503">
        <f>IF($V5503="","",IF($AA5503&gt;N($AA5502),$AA5503,""))</f>
        <v/>
      </c>
      <c r="AA5503">
        <f>IF($V5503="",N($AA5502),IF(MATCH($V5503,$V$6:$V$6005,0)=ROW()-5,N($AA5502)+1,N($AA5502)))</f>
        <v/>
      </c>
    </row>
    <row r="5504" ht="21" customHeight="1" s="66">
      <c r="A5504" s="56" t="n"/>
      <c r="B5504" s="57" t="n"/>
      <c r="C5504" s="57" t="n"/>
      <c r="D5504" s="57" t="n"/>
      <c r="E5504" s="56" t="n"/>
      <c r="F5504" s="57" t="n"/>
      <c r="G5504" s="57" t="n"/>
      <c r="H5504" s="56" t="n"/>
      <c r="I5504" s="56" t="n"/>
      <c r="J5504" s="58" t="n"/>
      <c r="K5504" s="58" t="n"/>
      <c r="L5504" s="13">
        <f>IF(OR($A5504="",AND($J5504="",$K5504="")),"",ROUND(N($J5504)-N($K5504),2))</f>
        <v/>
      </c>
      <c r="M5504" s="13">
        <f>IF(OR($A5504="",AND($J5504="",$K5504="")),"",MIN($J5504,$K5504))</f>
        <v/>
      </c>
      <c r="Q5504">
        <f>IF($A5504="","",$D5504&amp;"("&amp;SUBSTITUTE($E5504," ","")&amp;")")</f>
        <v/>
      </c>
      <c r="R5504">
        <f>IF($A5504="","",$B5504&amp;" - "&amp;$C5504)</f>
        <v/>
      </c>
      <c r="S5504">
        <f>IF($A5504="","",$R5504&amp;"|"&amp;$Q5504)</f>
        <v/>
      </c>
      <c r="T5504">
        <f>IF($A5504="","",$S5504&amp;"|"&amp;$F5504)</f>
        <v/>
      </c>
      <c r="U5504">
        <f>IF($A5504="","",$R5504&amp;"("&amp;$E5504&amp;")")</f>
        <v/>
      </c>
      <c r="V5504">
        <f>IF($A5504="","",$F5504&amp;"|"&amp;$U5504&amp;"|"&amp;$D5504)</f>
        <v/>
      </c>
      <c r="W5504">
        <f>IF($T5504="","",IF($X5504&gt;N($X5503),$X5504,""))</f>
        <v/>
      </c>
      <c r="X5504">
        <f>IF($T5504="",N($X5503),IF(MATCH($T5504,$T$6:$T$6005,0)=ROW()-5,N($X5503)+1,N($X5503)))</f>
        <v/>
      </c>
      <c r="Z5504">
        <f>IF($V5504="","",IF($AA5504&gt;N($AA5503),$AA5504,""))</f>
        <v/>
      </c>
      <c r="AA5504">
        <f>IF($V5504="",N($AA5503),IF(MATCH($V5504,$V$6:$V$6005,0)=ROW()-5,N($AA5503)+1,N($AA5503)))</f>
        <v/>
      </c>
    </row>
    <row r="5505" ht="21" customHeight="1" s="66">
      <c r="A5505" s="56" t="n"/>
      <c r="B5505" s="57" t="n"/>
      <c r="C5505" s="57" t="n"/>
      <c r="D5505" s="57" t="n"/>
      <c r="E5505" s="56" t="n"/>
      <c r="F5505" s="57" t="n"/>
      <c r="G5505" s="57" t="n"/>
      <c r="H5505" s="56" t="n"/>
      <c r="I5505" s="56" t="n"/>
      <c r="J5505" s="58" t="n"/>
      <c r="K5505" s="58" t="n"/>
      <c r="L5505" s="13">
        <f>IF(OR($A5505="",AND($J5505="",$K5505="")),"",ROUND(N($J5505)-N($K5505),2))</f>
        <v/>
      </c>
      <c r="M5505" s="13">
        <f>IF(OR($A5505="",AND($J5505="",$K5505="")),"",MIN($J5505,$K5505))</f>
        <v/>
      </c>
      <c r="Q5505">
        <f>IF($A5505="","",$D5505&amp;"("&amp;SUBSTITUTE($E5505," ","")&amp;")")</f>
        <v/>
      </c>
      <c r="R5505">
        <f>IF($A5505="","",$B5505&amp;" - "&amp;$C5505)</f>
        <v/>
      </c>
      <c r="S5505">
        <f>IF($A5505="","",$R5505&amp;"|"&amp;$Q5505)</f>
        <v/>
      </c>
      <c r="T5505">
        <f>IF($A5505="","",$S5505&amp;"|"&amp;$F5505)</f>
        <v/>
      </c>
      <c r="U5505">
        <f>IF($A5505="","",$R5505&amp;"("&amp;$E5505&amp;")")</f>
        <v/>
      </c>
      <c r="V5505">
        <f>IF($A5505="","",$F5505&amp;"|"&amp;$U5505&amp;"|"&amp;$D5505)</f>
        <v/>
      </c>
      <c r="W5505">
        <f>IF($T5505="","",IF($X5505&gt;N($X5504),$X5505,""))</f>
        <v/>
      </c>
      <c r="X5505">
        <f>IF($T5505="",N($X5504),IF(MATCH($T5505,$T$6:$T$6005,0)=ROW()-5,N($X5504)+1,N($X5504)))</f>
        <v/>
      </c>
      <c r="Z5505">
        <f>IF($V5505="","",IF($AA5505&gt;N($AA5504),$AA5505,""))</f>
        <v/>
      </c>
      <c r="AA5505">
        <f>IF($V5505="",N($AA5504),IF(MATCH($V5505,$V$6:$V$6005,0)=ROW()-5,N($AA5504)+1,N($AA5504)))</f>
        <v/>
      </c>
    </row>
    <row r="5506" ht="21" customHeight="1" s="66">
      <c r="A5506" s="56" t="n"/>
      <c r="B5506" s="57" t="n"/>
      <c r="C5506" s="57" t="n"/>
      <c r="D5506" s="57" t="n"/>
      <c r="E5506" s="56" t="n"/>
      <c r="F5506" s="57" t="n"/>
      <c r="G5506" s="57" t="n"/>
      <c r="H5506" s="56" t="n"/>
      <c r="I5506" s="56" t="n"/>
      <c r="J5506" s="58" t="n"/>
      <c r="K5506" s="58" t="n"/>
      <c r="L5506" s="13">
        <f>IF(OR($A5506="",AND($J5506="",$K5506="")),"",ROUND(N($J5506)-N($K5506),2))</f>
        <v/>
      </c>
      <c r="M5506" s="13">
        <f>IF(OR($A5506="",AND($J5506="",$K5506="")),"",MIN($J5506,$K5506))</f>
        <v/>
      </c>
      <c r="Q5506">
        <f>IF($A5506="","",$D5506&amp;"("&amp;SUBSTITUTE($E5506," ","")&amp;")")</f>
        <v/>
      </c>
      <c r="R5506">
        <f>IF($A5506="","",$B5506&amp;" - "&amp;$C5506)</f>
        <v/>
      </c>
      <c r="S5506">
        <f>IF($A5506="","",$R5506&amp;"|"&amp;$Q5506)</f>
        <v/>
      </c>
      <c r="T5506">
        <f>IF($A5506="","",$S5506&amp;"|"&amp;$F5506)</f>
        <v/>
      </c>
      <c r="U5506">
        <f>IF($A5506="","",$R5506&amp;"("&amp;$E5506&amp;")")</f>
        <v/>
      </c>
      <c r="V5506">
        <f>IF($A5506="","",$F5506&amp;"|"&amp;$U5506&amp;"|"&amp;$D5506)</f>
        <v/>
      </c>
      <c r="W5506">
        <f>IF($T5506="","",IF($X5506&gt;N($X5505),$X5506,""))</f>
        <v/>
      </c>
      <c r="X5506">
        <f>IF($T5506="",N($X5505),IF(MATCH($T5506,$T$6:$T$6005,0)=ROW()-5,N($X5505)+1,N($X5505)))</f>
        <v/>
      </c>
      <c r="Z5506">
        <f>IF($V5506="","",IF($AA5506&gt;N($AA5505),$AA5506,""))</f>
        <v/>
      </c>
      <c r="AA5506">
        <f>IF($V5506="",N($AA5505),IF(MATCH($V5506,$V$6:$V$6005,0)=ROW()-5,N($AA5505)+1,N($AA5505)))</f>
        <v/>
      </c>
    </row>
    <row r="5507" ht="21" customHeight="1" s="66">
      <c r="A5507" s="56" t="n"/>
      <c r="B5507" s="57" t="n"/>
      <c r="C5507" s="57" t="n"/>
      <c r="D5507" s="57" t="n"/>
      <c r="E5507" s="56" t="n"/>
      <c r="F5507" s="57" t="n"/>
      <c r="G5507" s="57" t="n"/>
      <c r="H5507" s="56" t="n"/>
      <c r="I5507" s="56" t="n"/>
      <c r="J5507" s="58" t="n"/>
      <c r="K5507" s="58" t="n"/>
      <c r="L5507" s="13">
        <f>IF(OR($A5507="",AND($J5507="",$K5507="")),"",ROUND(N($J5507)-N($K5507),2))</f>
        <v/>
      </c>
      <c r="M5507" s="13">
        <f>IF(OR($A5507="",AND($J5507="",$K5507="")),"",MIN($J5507,$K5507))</f>
        <v/>
      </c>
      <c r="Q5507">
        <f>IF($A5507="","",$D5507&amp;"("&amp;SUBSTITUTE($E5507," ","")&amp;")")</f>
        <v/>
      </c>
      <c r="R5507">
        <f>IF($A5507="","",$B5507&amp;" - "&amp;$C5507)</f>
        <v/>
      </c>
      <c r="S5507">
        <f>IF($A5507="","",$R5507&amp;"|"&amp;$Q5507)</f>
        <v/>
      </c>
      <c r="T5507">
        <f>IF($A5507="","",$S5507&amp;"|"&amp;$F5507)</f>
        <v/>
      </c>
      <c r="U5507">
        <f>IF($A5507="","",$R5507&amp;"("&amp;$E5507&amp;")")</f>
        <v/>
      </c>
      <c r="V5507">
        <f>IF($A5507="","",$F5507&amp;"|"&amp;$U5507&amp;"|"&amp;$D5507)</f>
        <v/>
      </c>
      <c r="W5507">
        <f>IF($T5507="","",IF($X5507&gt;N($X5506),$X5507,""))</f>
        <v/>
      </c>
      <c r="X5507">
        <f>IF($T5507="",N($X5506),IF(MATCH($T5507,$T$6:$T$6005,0)=ROW()-5,N($X5506)+1,N($X5506)))</f>
        <v/>
      </c>
      <c r="Z5507">
        <f>IF($V5507="","",IF($AA5507&gt;N($AA5506),$AA5507,""))</f>
        <v/>
      </c>
      <c r="AA5507">
        <f>IF($V5507="",N($AA5506),IF(MATCH($V5507,$V$6:$V$6005,0)=ROW()-5,N($AA5506)+1,N($AA5506)))</f>
        <v/>
      </c>
    </row>
    <row r="5508" ht="21" customHeight="1" s="66">
      <c r="A5508" s="56" t="n"/>
      <c r="B5508" s="57" t="n"/>
      <c r="C5508" s="57" t="n"/>
      <c r="D5508" s="57" t="n"/>
      <c r="E5508" s="56" t="n"/>
      <c r="F5508" s="57" t="n"/>
      <c r="G5508" s="57" t="n"/>
      <c r="H5508" s="56" t="n"/>
      <c r="I5508" s="56" t="n"/>
      <c r="J5508" s="58" t="n"/>
      <c r="K5508" s="58" t="n"/>
      <c r="L5508" s="13">
        <f>IF(OR($A5508="",AND($J5508="",$K5508="")),"",ROUND(N($J5508)-N($K5508),2))</f>
        <v/>
      </c>
      <c r="M5508" s="13">
        <f>IF(OR($A5508="",AND($J5508="",$K5508="")),"",MIN($J5508,$K5508))</f>
        <v/>
      </c>
      <c r="Q5508">
        <f>IF($A5508="","",$D5508&amp;"("&amp;SUBSTITUTE($E5508," ","")&amp;")")</f>
        <v/>
      </c>
      <c r="R5508">
        <f>IF($A5508="","",$B5508&amp;" - "&amp;$C5508)</f>
        <v/>
      </c>
      <c r="S5508">
        <f>IF($A5508="","",$R5508&amp;"|"&amp;$Q5508)</f>
        <v/>
      </c>
      <c r="T5508">
        <f>IF($A5508="","",$S5508&amp;"|"&amp;$F5508)</f>
        <v/>
      </c>
      <c r="U5508">
        <f>IF($A5508="","",$R5508&amp;"("&amp;$E5508&amp;")")</f>
        <v/>
      </c>
      <c r="V5508">
        <f>IF($A5508="","",$F5508&amp;"|"&amp;$U5508&amp;"|"&amp;$D5508)</f>
        <v/>
      </c>
      <c r="W5508">
        <f>IF($T5508="","",IF($X5508&gt;N($X5507),$X5508,""))</f>
        <v/>
      </c>
      <c r="X5508">
        <f>IF($T5508="",N($X5507),IF(MATCH($T5508,$T$6:$T$6005,0)=ROW()-5,N($X5507)+1,N($X5507)))</f>
        <v/>
      </c>
      <c r="Z5508">
        <f>IF($V5508="","",IF($AA5508&gt;N($AA5507),$AA5508,""))</f>
        <v/>
      </c>
      <c r="AA5508">
        <f>IF($V5508="",N($AA5507),IF(MATCH($V5508,$V$6:$V$6005,0)=ROW()-5,N($AA5507)+1,N($AA5507)))</f>
        <v/>
      </c>
    </row>
    <row r="5509" ht="21" customHeight="1" s="66">
      <c r="A5509" s="56" t="n"/>
      <c r="B5509" s="57" t="n"/>
      <c r="C5509" s="57" t="n"/>
      <c r="D5509" s="57" t="n"/>
      <c r="E5509" s="56" t="n"/>
      <c r="F5509" s="57" t="n"/>
      <c r="G5509" s="57" t="n"/>
      <c r="H5509" s="56" t="n"/>
      <c r="I5509" s="56" t="n"/>
      <c r="J5509" s="58" t="n"/>
      <c r="K5509" s="58" t="n"/>
      <c r="L5509" s="13">
        <f>IF(OR($A5509="",AND($J5509="",$K5509="")),"",ROUND(N($J5509)-N($K5509),2))</f>
        <v/>
      </c>
      <c r="M5509" s="13">
        <f>IF(OR($A5509="",AND($J5509="",$K5509="")),"",MIN($J5509,$K5509))</f>
        <v/>
      </c>
      <c r="Q5509">
        <f>IF($A5509="","",$D5509&amp;"("&amp;SUBSTITUTE($E5509," ","")&amp;")")</f>
        <v/>
      </c>
      <c r="R5509">
        <f>IF($A5509="","",$B5509&amp;" - "&amp;$C5509)</f>
        <v/>
      </c>
      <c r="S5509">
        <f>IF($A5509="","",$R5509&amp;"|"&amp;$Q5509)</f>
        <v/>
      </c>
      <c r="T5509">
        <f>IF($A5509="","",$S5509&amp;"|"&amp;$F5509)</f>
        <v/>
      </c>
      <c r="U5509">
        <f>IF($A5509="","",$R5509&amp;"("&amp;$E5509&amp;")")</f>
        <v/>
      </c>
      <c r="V5509">
        <f>IF($A5509="","",$F5509&amp;"|"&amp;$U5509&amp;"|"&amp;$D5509)</f>
        <v/>
      </c>
      <c r="W5509">
        <f>IF($T5509="","",IF($X5509&gt;N($X5508),$X5509,""))</f>
        <v/>
      </c>
      <c r="X5509">
        <f>IF($T5509="",N($X5508),IF(MATCH($T5509,$T$6:$T$6005,0)=ROW()-5,N($X5508)+1,N($X5508)))</f>
        <v/>
      </c>
      <c r="Z5509">
        <f>IF($V5509="","",IF($AA5509&gt;N($AA5508),$AA5509,""))</f>
        <v/>
      </c>
      <c r="AA5509">
        <f>IF($V5509="",N($AA5508),IF(MATCH($V5509,$V$6:$V$6005,0)=ROW()-5,N($AA5508)+1,N($AA5508)))</f>
        <v/>
      </c>
    </row>
    <row r="5510" ht="21" customHeight="1" s="66">
      <c r="A5510" s="56" t="n"/>
      <c r="B5510" s="57" t="n"/>
      <c r="C5510" s="57" t="n"/>
      <c r="D5510" s="57" t="n"/>
      <c r="E5510" s="56" t="n"/>
      <c r="F5510" s="57" t="n"/>
      <c r="G5510" s="57" t="n"/>
      <c r="H5510" s="56" t="n"/>
      <c r="I5510" s="56" t="n"/>
      <c r="J5510" s="58" t="n"/>
      <c r="K5510" s="58" t="n"/>
      <c r="L5510" s="13">
        <f>IF(OR($A5510="",AND($J5510="",$K5510="")),"",ROUND(N($J5510)-N($K5510),2))</f>
        <v/>
      </c>
      <c r="M5510" s="13">
        <f>IF(OR($A5510="",AND($J5510="",$K5510="")),"",MIN($J5510,$K5510))</f>
        <v/>
      </c>
      <c r="Q5510">
        <f>IF($A5510="","",$D5510&amp;"("&amp;SUBSTITUTE($E5510," ","")&amp;")")</f>
        <v/>
      </c>
      <c r="R5510">
        <f>IF($A5510="","",$B5510&amp;" - "&amp;$C5510)</f>
        <v/>
      </c>
      <c r="S5510">
        <f>IF($A5510="","",$R5510&amp;"|"&amp;$Q5510)</f>
        <v/>
      </c>
      <c r="T5510">
        <f>IF($A5510="","",$S5510&amp;"|"&amp;$F5510)</f>
        <v/>
      </c>
      <c r="U5510">
        <f>IF($A5510="","",$R5510&amp;"("&amp;$E5510&amp;")")</f>
        <v/>
      </c>
      <c r="V5510">
        <f>IF($A5510="","",$F5510&amp;"|"&amp;$U5510&amp;"|"&amp;$D5510)</f>
        <v/>
      </c>
      <c r="W5510">
        <f>IF($T5510="","",IF($X5510&gt;N($X5509),$X5510,""))</f>
        <v/>
      </c>
      <c r="X5510">
        <f>IF($T5510="",N($X5509),IF(MATCH($T5510,$T$6:$T$6005,0)=ROW()-5,N($X5509)+1,N($X5509)))</f>
        <v/>
      </c>
      <c r="Z5510">
        <f>IF($V5510="","",IF($AA5510&gt;N($AA5509),$AA5510,""))</f>
        <v/>
      </c>
      <c r="AA5510">
        <f>IF($V5510="",N($AA5509),IF(MATCH($V5510,$V$6:$V$6005,0)=ROW()-5,N($AA5509)+1,N($AA5509)))</f>
        <v/>
      </c>
    </row>
    <row r="5511" ht="21" customHeight="1" s="66">
      <c r="A5511" s="56" t="n"/>
      <c r="B5511" s="57" t="n"/>
      <c r="C5511" s="57" t="n"/>
      <c r="D5511" s="57" t="n"/>
      <c r="E5511" s="56" t="n"/>
      <c r="F5511" s="57" t="n"/>
      <c r="G5511" s="57" t="n"/>
      <c r="H5511" s="56" t="n"/>
      <c r="I5511" s="56" t="n"/>
      <c r="J5511" s="58" t="n"/>
      <c r="K5511" s="58" t="n"/>
      <c r="L5511" s="13">
        <f>IF(OR($A5511="",AND($J5511="",$K5511="")),"",ROUND(N($J5511)-N($K5511),2))</f>
        <v/>
      </c>
      <c r="M5511" s="13">
        <f>IF(OR($A5511="",AND($J5511="",$K5511="")),"",MIN($J5511,$K5511))</f>
        <v/>
      </c>
      <c r="Q5511">
        <f>IF($A5511="","",$D5511&amp;"("&amp;SUBSTITUTE($E5511," ","")&amp;")")</f>
        <v/>
      </c>
      <c r="R5511">
        <f>IF($A5511="","",$B5511&amp;" - "&amp;$C5511)</f>
        <v/>
      </c>
      <c r="S5511">
        <f>IF($A5511="","",$R5511&amp;"|"&amp;$Q5511)</f>
        <v/>
      </c>
      <c r="T5511">
        <f>IF($A5511="","",$S5511&amp;"|"&amp;$F5511)</f>
        <v/>
      </c>
      <c r="U5511">
        <f>IF($A5511="","",$R5511&amp;"("&amp;$E5511&amp;")")</f>
        <v/>
      </c>
      <c r="V5511">
        <f>IF($A5511="","",$F5511&amp;"|"&amp;$U5511&amp;"|"&amp;$D5511)</f>
        <v/>
      </c>
      <c r="W5511">
        <f>IF($T5511="","",IF($X5511&gt;N($X5510),$X5511,""))</f>
        <v/>
      </c>
      <c r="X5511">
        <f>IF($T5511="",N($X5510),IF(MATCH($T5511,$T$6:$T$6005,0)=ROW()-5,N($X5510)+1,N($X5510)))</f>
        <v/>
      </c>
      <c r="Z5511">
        <f>IF($V5511="","",IF($AA5511&gt;N($AA5510),$AA5511,""))</f>
        <v/>
      </c>
      <c r="AA5511">
        <f>IF($V5511="",N($AA5510),IF(MATCH($V5511,$V$6:$V$6005,0)=ROW()-5,N($AA5510)+1,N($AA5510)))</f>
        <v/>
      </c>
    </row>
    <row r="5512" ht="21" customHeight="1" s="66">
      <c r="A5512" s="56" t="n"/>
      <c r="B5512" s="57" t="n"/>
      <c r="C5512" s="57" t="n"/>
      <c r="D5512" s="57" t="n"/>
      <c r="E5512" s="56" t="n"/>
      <c r="F5512" s="57" t="n"/>
      <c r="G5512" s="57" t="n"/>
      <c r="H5512" s="56" t="n"/>
      <c r="I5512" s="56" t="n"/>
      <c r="J5512" s="58" t="n"/>
      <c r="K5512" s="58" t="n"/>
      <c r="L5512" s="13">
        <f>IF(OR($A5512="",AND($J5512="",$K5512="")),"",ROUND(N($J5512)-N($K5512),2))</f>
        <v/>
      </c>
      <c r="M5512" s="13">
        <f>IF(OR($A5512="",AND($J5512="",$K5512="")),"",MIN($J5512,$K5512))</f>
        <v/>
      </c>
      <c r="Q5512">
        <f>IF($A5512="","",$D5512&amp;"("&amp;SUBSTITUTE($E5512," ","")&amp;")")</f>
        <v/>
      </c>
      <c r="R5512">
        <f>IF($A5512="","",$B5512&amp;" - "&amp;$C5512)</f>
        <v/>
      </c>
      <c r="S5512">
        <f>IF($A5512="","",$R5512&amp;"|"&amp;$Q5512)</f>
        <v/>
      </c>
      <c r="T5512">
        <f>IF($A5512="","",$S5512&amp;"|"&amp;$F5512)</f>
        <v/>
      </c>
      <c r="U5512">
        <f>IF($A5512="","",$R5512&amp;"("&amp;$E5512&amp;")")</f>
        <v/>
      </c>
      <c r="V5512">
        <f>IF($A5512="","",$F5512&amp;"|"&amp;$U5512&amp;"|"&amp;$D5512)</f>
        <v/>
      </c>
      <c r="W5512">
        <f>IF($T5512="","",IF($X5512&gt;N($X5511),$X5512,""))</f>
        <v/>
      </c>
      <c r="X5512">
        <f>IF($T5512="",N($X5511),IF(MATCH($T5512,$T$6:$T$6005,0)=ROW()-5,N($X5511)+1,N($X5511)))</f>
        <v/>
      </c>
      <c r="Z5512">
        <f>IF($V5512="","",IF($AA5512&gt;N($AA5511),$AA5512,""))</f>
        <v/>
      </c>
      <c r="AA5512">
        <f>IF($V5512="",N($AA5511),IF(MATCH($V5512,$V$6:$V$6005,0)=ROW()-5,N($AA5511)+1,N($AA5511)))</f>
        <v/>
      </c>
    </row>
    <row r="5513" ht="21" customHeight="1" s="66">
      <c r="A5513" s="56" t="n"/>
      <c r="B5513" s="57" t="n"/>
      <c r="C5513" s="57" t="n"/>
      <c r="D5513" s="57" t="n"/>
      <c r="E5513" s="56" t="n"/>
      <c r="F5513" s="57" t="n"/>
      <c r="G5513" s="57" t="n"/>
      <c r="H5513" s="56" t="n"/>
      <c r="I5513" s="56" t="n"/>
      <c r="J5513" s="58" t="n"/>
      <c r="K5513" s="58" t="n"/>
      <c r="L5513" s="13">
        <f>IF(OR($A5513="",AND($J5513="",$K5513="")),"",ROUND(N($J5513)-N($K5513),2))</f>
        <v/>
      </c>
      <c r="M5513" s="13">
        <f>IF(OR($A5513="",AND($J5513="",$K5513="")),"",MIN($J5513,$K5513))</f>
        <v/>
      </c>
      <c r="Q5513">
        <f>IF($A5513="","",$D5513&amp;"("&amp;SUBSTITUTE($E5513," ","")&amp;")")</f>
        <v/>
      </c>
      <c r="R5513">
        <f>IF($A5513="","",$B5513&amp;" - "&amp;$C5513)</f>
        <v/>
      </c>
      <c r="S5513">
        <f>IF($A5513="","",$R5513&amp;"|"&amp;$Q5513)</f>
        <v/>
      </c>
      <c r="T5513">
        <f>IF($A5513="","",$S5513&amp;"|"&amp;$F5513)</f>
        <v/>
      </c>
      <c r="U5513">
        <f>IF($A5513="","",$R5513&amp;"("&amp;$E5513&amp;")")</f>
        <v/>
      </c>
      <c r="V5513">
        <f>IF($A5513="","",$F5513&amp;"|"&amp;$U5513&amp;"|"&amp;$D5513)</f>
        <v/>
      </c>
      <c r="W5513">
        <f>IF($T5513="","",IF($X5513&gt;N($X5512),$X5513,""))</f>
        <v/>
      </c>
      <c r="X5513">
        <f>IF($T5513="",N($X5512),IF(MATCH($T5513,$T$6:$T$6005,0)=ROW()-5,N($X5512)+1,N($X5512)))</f>
        <v/>
      </c>
      <c r="Z5513">
        <f>IF($V5513="","",IF($AA5513&gt;N($AA5512),$AA5513,""))</f>
        <v/>
      </c>
      <c r="AA5513">
        <f>IF($V5513="",N($AA5512),IF(MATCH($V5513,$V$6:$V$6005,0)=ROW()-5,N($AA5512)+1,N($AA5512)))</f>
        <v/>
      </c>
    </row>
    <row r="5514" ht="21" customHeight="1" s="66">
      <c r="A5514" s="56" t="n"/>
      <c r="B5514" s="57" t="n"/>
      <c r="C5514" s="57" t="n"/>
      <c r="D5514" s="57" t="n"/>
      <c r="E5514" s="56" t="n"/>
      <c r="F5514" s="57" t="n"/>
      <c r="G5514" s="57" t="n"/>
      <c r="H5514" s="56" t="n"/>
      <c r="I5514" s="56" t="n"/>
      <c r="J5514" s="58" t="n"/>
      <c r="K5514" s="58" t="n"/>
      <c r="L5514" s="13">
        <f>IF(OR($A5514="",AND($J5514="",$K5514="")),"",ROUND(N($J5514)-N($K5514),2))</f>
        <v/>
      </c>
      <c r="M5514" s="13">
        <f>IF(OR($A5514="",AND($J5514="",$K5514="")),"",MIN($J5514,$K5514))</f>
        <v/>
      </c>
      <c r="Q5514">
        <f>IF($A5514="","",$D5514&amp;"("&amp;SUBSTITUTE($E5514," ","")&amp;")")</f>
        <v/>
      </c>
      <c r="R5514">
        <f>IF($A5514="","",$B5514&amp;" - "&amp;$C5514)</f>
        <v/>
      </c>
      <c r="S5514">
        <f>IF($A5514="","",$R5514&amp;"|"&amp;$Q5514)</f>
        <v/>
      </c>
      <c r="T5514">
        <f>IF($A5514="","",$S5514&amp;"|"&amp;$F5514)</f>
        <v/>
      </c>
      <c r="U5514">
        <f>IF($A5514="","",$R5514&amp;"("&amp;$E5514&amp;")")</f>
        <v/>
      </c>
      <c r="V5514">
        <f>IF($A5514="","",$F5514&amp;"|"&amp;$U5514&amp;"|"&amp;$D5514)</f>
        <v/>
      </c>
      <c r="W5514">
        <f>IF($T5514="","",IF($X5514&gt;N($X5513),$X5514,""))</f>
        <v/>
      </c>
      <c r="X5514">
        <f>IF($T5514="",N($X5513),IF(MATCH($T5514,$T$6:$T$6005,0)=ROW()-5,N($X5513)+1,N($X5513)))</f>
        <v/>
      </c>
      <c r="Z5514">
        <f>IF($V5514="","",IF($AA5514&gt;N($AA5513),$AA5514,""))</f>
        <v/>
      </c>
      <c r="AA5514">
        <f>IF($V5514="",N($AA5513),IF(MATCH($V5514,$V$6:$V$6005,0)=ROW()-5,N($AA5513)+1,N($AA5513)))</f>
        <v/>
      </c>
    </row>
    <row r="5515" ht="21" customHeight="1" s="66">
      <c r="A5515" s="56" t="n"/>
      <c r="B5515" s="57" t="n"/>
      <c r="C5515" s="57" t="n"/>
      <c r="D5515" s="57" t="n"/>
      <c r="E5515" s="56" t="n"/>
      <c r="F5515" s="57" t="n"/>
      <c r="G5515" s="57" t="n"/>
      <c r="H5515" s="56" t="n"/>
      <c r="I5515" s="56" t="n"/>
      <c r="J5515" s="58" t="n"/>
      <c r="K5515" s="58" t="n"/>
      <c r="L5515" s="13">
        <f>IF(OR($A5515="",AND($J5515="",$K5515="")),"",ROUND(N($J5515)-N($K5515),2))</f>
        <v/>
      </c>
      <c r="M5515" s="13">
        <f>IF(OR($A5515="",AND($J5515="",$K5515="")),"",MIN($J5515,$K5515))</f>
        <v/>
      </c>
      <c r="Q5515">
        <f>IF($A5515="","",$D5515&amp;"("&amp;SUBSTITUTE($E5515," ","")&amp;")")</f>
        <v/>
      </c>
      <c r="R5515">
        <f>IF($A5515="","",$B5515&amp;" - "&amp;$C5515)</f>
        <v/>
      </c>
      <c r="S5515">
        <f>IF($A5515="","",$R5515&amp;"|"&amp;$Q5515)</f>
        <v/>
      </c>
      <c r="T5515">
        <f>IF($A5515="","",$S5515&amp;"|"&amp;$F5515)</f>
        <v/>
      </c>
      <c r="U5515">
        <f>IF($A5515="","",$R5515&amp;"("&amp;$E5515&amp;")")</f>
        <v/>
      </c>
      <c r="V5515">
        <f>IF($A5515="","",$F5515&amp;"|"&amp;$U5515&amp;"|"&amp;$D5515)</f>
        <v/>
      </c>
      <c r="W5515">
        <f>IF($T5515="","",IF($X5515&gt;N($X5514),$X5515,""))</f>
        <v/>
      </c>
      <c r="X5515">
        <f>IF($T5515="",N($X5514),IF(MATCH($T5515,$T$6:$T$6005,0)=ROW()-5,N($X5514)+1,N($X5514)))</f>
        <v/>
      </c>
      <c r="Z5515">
        <f>IF($V5515="","",IF($AA5515&gt;N($AA5514),$AA5515,""))</f>
        <v/>
      </c>
      <c r="AA5515">
        <f>IF($V5515="",N($AA5514),IF(MATCH($V5515,$V$6:$V$6005,0)=ROW()-5,N($AA5514)+1,N($AA5514)))</f>
        <v/>
      </c>
    </row>
    <row r="5516" ht="21" customHeight="1" s="66">
      <c r="A5516" s="56" t="n"/>
      <c r="B5516" s="57" t="n"/>
      <c r="C5516" s="57" t="n"/>
      <c r="D5516" s="57" t="n"/>
      <c r="E5516" s="56" t="n"/>
      <c r="F5516" s="57" t="n"/>
      <c r="G5516" s="57" t="n"/>
      <c r="H5516" s="56" t="n"/>
      <c r="I5516" s="56" t="n"/>
      <c r="J5516" s="58" t="n"/>
      <c r="K5516" s="58" t="n"/>
      <c r="L5516" s="13">
        <f>IF(OR($A5516="",AND($J5516="",$K5516="")),"",ROUND(N($J5516)-N($K5516),2))</f>
        <v/>
      </c>
      <c r="M5516" s="13">
        <f>IF(OR($A5516="",AND($J5516="",$K5516="")),"",MIN($J5516,$K5516))</f>
        <v/>
      </c>
      <c r="Q5516">
        <f>IF($A5516="","",$D5516&amp;"("&amp;SUBSTITUTE($E5516," ","")&amp;")")</f>
        <v/>
      </c>
      <c r="R5516">
        <f>IF($A5516="","",$B5516&amp;" - "&amp;$C5516)</f>
        <v/>
      </c>
      <c r="S5516">
        <f>IF($A5516="","",$R5516&amp;"|"&amp;$Q5516)</f>
        <v/>
      </c>
      <c r="T5516">
        <f>IF($A5516="","",$S5516&amp;"|"&amp;$F5516)</f>
        <v/>
      </c>
      <c r="U5516">
        <f>IF($A5516="","",$R5516&amp;"("&amp;$E5516&amp;")")</f>
        <v/>
      </c>
      <c r="V5516">
        <f>IF($A5516="","",$F5516&amp;"|"&amp;$U5516&amp;"|"&amp;$D5516)</f>
        <v/>
      </c>
      <c r="W5516">
        <f>IF($T5516="","",IF($X5516&gt;N($X5515),$X5516,""))</f>
        <v/>
      </c>
      <c r="X5516">
        <f>IF($T5516="",N($X5515),IF(MATCH($T5516,$T$6:$T$6005,0)=ROW()-5,N($X5515)+1,N($X5515)))</f>
        <v/>
      </c>
      <c r="Z5516">
        <f>IF($V5516="","",IF($AA5516&gt;N($AA5515),$AA5516,""))</f>
        <v/>
      </c>
      <c r="AA5516">
        <f>IF($V5516="",N($AA5515),IF(MATCH($V5516,$V$6:$V$6005,0)=ROW()-5,N($AA5515)+1,N($AA5515)))</f>
        <v/>
      </c>
    </row>
    <row r="5517" ht="21" customHeight="1" s="66">
      <c r="A5517" s="56" t="n"/>
      <c r="B5517" s="57" t="n"/>
      <c r="C5517" s="57" t="n"/>
      <c r="D5517" s="57" t="n"/>
      <c r="E5517" s="56" t="n"/>
      <c r="F5517" s="57" t="n"/>
      <c r="G5517" s="57" t="n"/>
      <c r="H5517" s="56" t="n"/>
      <c r="I5517" s="56" t="n"/>
      <c r="J5517" s="58" t="n"/>
      <c r="K5517" s="58" t="n"/>
      <c r="L5517" s="13">
        <f>IF(OR($A5517="",AND($J5517="",$K5517="")),"",ROUND(N($J5517)-N($K5517),2))</f>
        <v/>
      </c>
      <c r="M5517" s="13">
        <f>IF(OR($A5517="",AND($J5517="",$K5517="")),"",MIN($J5517,$K5517))</f>
        <v/>
      </c>
      <c r="Q5517">
        <f>IF($A5517="","",$D5517&amp;"("&amp;SUBSTITUTE($E5517," ","")&amp;")")</f>
        <v/>
      </c>
      <c r="R5517">
        <f>IF($A5517="","",$B5517&amp;" - "&amp;$C5517)</f>
        <v/>
      </c>
      <c r="S5517">
        <f>IF($A5517="","",$R5517&amp;"|"&amp;$Q5517)</f>
        <v/>
      </c>
      <c r="T5517">
        <f>IF($A5517="","",$S5517&amp;"|"&amp;$F5517)</f>
        <v/>
      </c>
      <c r="U5517">
        <f>IF($A5517="","",$R5517&amp;"("&amp;$E5517&amp;")")</f>
        <v/>
      </c>
      <c r="V5517">
        <f>IF($A5517="","",$F5517&amp;"|"&amp;$U5517&amp;"|"&amp;$D5517)</f>
        <v/>
      </c>
      <c r="W5517">
        <f>IF($T5517="","",IF($X5517&gt;N($X5516),$X5517,""))</f>
        <v/>
      </c>
      <c r="X5517">
        <f>IF($T5517="",N($X5516),IF(MATCH($T5517,$T$6:$T$6005,0)=ROW()-5,N($X5516)+1,N($X5516)))</f>
        <v/>
      </c>
      <c r="Z5517">
        <f>IF($V5517="","",IF($AA5517&gt;N($AA5516),$AA5517,""))</f>
        <v/>
      </c>
      <c r="AA5517">
        <f>IF($V5517="",N($AA5516),IF(MATCH($V5517,$V$6:$V$6005,0)=ROW()-5,N($AA5516)+1,N($AA5516)))</f>
        <v/>
      </c>
    </row>
    <row r="5518" ht="21" customHeight="1" s="66">
      <c r="A5518" s="56" t="n"/>
      <c r="B5518" s="57" t="n"/>
      <c r="C5518" s="57" t="n"/>
      <c r="D5518" s="57" t="n"/>
      <c r="E5518" s="56" t="n"/>
      <c r="F5518" s="57" t="n"/>
      <c r="G5518" s="57" t="n"/>
      <c r="H5518" s="56" t="n"/>
      <c r="I5518" s="56" t="n"/>
      <c r="J5518" s="58" t="n"/>
      <c r="K5518" s="58" t="n"/>
      <c r="L5518" s="13">
        <f>IF(OR($A5518="",AND($J5518="",$K5518="")),"",ROUND(N($J5518)-N($K5518),2))</f>
        <v/>
      </c>
      <c r="M5518" s="13">
        <f>IF(OR($A5518="",AND($J5518="",$K5518="")),"",MIN($J5518,$K5518))</f>
        <v/>
      </c>
      <c r="Q5518">
        <f>IF($A5518="","",$D5518&amp;"("&amp;SUBSTITUTE($E5518," ","")&amp;")")</f>
        <v/>
      </c>
      <c r="R5518">
        <f>IF($A5518="","",$B5518&amp;" - "&amp;$C5518)</f>
        <v/>
      </c>
      <c r="S5518">
        <f>IF($A5518="","",$R5518&amp;"|"&amp;$Q5518)</f>
        <v/>
      </c>
      <c r="T5518">
        <f>IF($A5518="","",$S5518&amp;"|"&amp;$F5518)</f>
        <v/>
      </c>
      <c r="U5518">
        <f>IF($A5518="","",$R5518&amp;"("&amp;$E5518&amp;")")</f>
        <v/>
      </c>
      <c r="V5518">
        <f>IF($A5518="","",$F5518&amp;"|"&amp;$U5518&amp;"|"&amp;$D5518)</f>
        <v/>
      </c>
      <c r="W5518">
        <f>IF($T5518="","",IF($X5518&gt;N($X5517),$X5518,""))</f>
        <v/>
      </c>
      <c r="X5518">
        <f>IF($T5518="",N($X5517),IF(MATCH($T5518,$T$6:$T$6005,0)=ROW()-5,N($X5517)+1,N($X5517)))</f>
        <v/>
      </c>
      <c r="Z5518">
        <f>IF($V5518="","",IF($AA5518&gt;N($AA5517),$AA5518,""))</f>
        <v/>
      </c>
      <c r="AA5518">
        <f>IF($V5518="",N($AA5517),IF(MATCH($V5518,$V$6:$V$6005,0)=ROW()-5,N($AA5517)+1,N($AA5517)))</f>
        <v/>
      </c>
    </row>
    <row r="5519" ht="21" customHeight="1" s="66">
      <c r="A5519" s="56" t="n"/>
      <c r="B5519" s="57" t="n"/>
      <c r="C5519" s="57" t="n"/>
      <c r="D5519" s="57" t="n"/>
      <c r="E5519" s="56" t="n"/>
      <c r="F5519" s="57" t="n"/>
      <c r="G5519" s="57" t="n"/>
      <c r="H5519" s="56" t="n"/>
      <c r="I5519" s="56" t="n"/>
      <c r="J5519" s="58" t="n"/>
      <c r="K5519" s="58" t="n"/>
      <c r="L5519" s="13">
        <f>IF(OR($A5519="",AND($J5519="",$K5519="")),"",ROUND(N($J5519)-N($K5519),2))</f>
        <v/>
      </c>
      <c r="M5519" s="13">
        <f>IF(OR($A5519="",AND($J5519="",$K5519="")),"",MIN($J5519,$K5519))</f>
        <v/>
      </c>
      <c r="Q5519">
        <f>IF($A5519="","",$D5519&amp;"("&amp;SUBSTITUTE($E5519," ","")&amp;")")</f>
        <v/>
      </c>
      <c r="R5519">
        <f>IF($A5519="","",$B5519&amp;" - "&amp;$C5519)</f>
        <v/>
      </c>
      <c r="S5519">
        <f>IF($A5519="","",$R5519&amp;"|"&amp;$Q5519)</f>
        <v/>
      </c>
      <c r="T5519">
        <f>IF($A5519="","",$S5519&amp;"|"&amp;$F5519)</f>
        <v/>
      </c>
      <c r="U5519">
        <f>IF($A5519="","",$R5519&amp;"("&amp;$E5519&amp;")")</f>
        <v/>
      </c>
      <c r="V5519">
        <f>IF($A5519="","",$F5519&amp;"|"&amp;$U5519&amp;"|"&amp;$D5519)</f>
        <v/>
      </c>
      <c r="W5519">
        <f>IF($T5519="","",IF($X5519&gt;N($X5518),$X5519,""))</f>
        <v/>
      </c>
      <c r="X5519">
        <f>IF($T5519="",N($X5518),IF(MATCH($T5519,$T$6:$T$6005,0)=ROW()-5,N($X5518)+1,N($X5518)))</f>
        <v/>
      </c>
      <c r="Z5519">
        <f>IF($V5519="","",IF($AA5519&gt;N($AA5518),$AA5519,""))</f>
        <v/>
      </c>
      <c r="AA5519">
        <f>IF($V5519="",N($AA5518),IF(MATCH($V5519,$V$6:$V$6005,0)=ROW()-5,N($AA5518)+1,N($AA5518)))</f>
        <v/>
      </c>
    </row>
    <row r="5520" ht="21" customHeight="1" s="66">
      <c r="A5520" s="56" t="n"/>
      <c r="B5520" s="57" t="n"/>
      <c r="C5520" s="57" t="n"/>
      <c r="D5520" s="57" t="n"/>
      <c r="E5520" s="56" t="n"/>
      <c r="F5520" s="57" t="n"/>
      <c r="G5520" s="57" t="n"/>
      <c r="H5520" s="56" t="n"/>
      <c r="I5520" s="56" t="n"/>
      <c r="J5520" s="58" t="n"/>
      <c r="K5520" s="58" t="n"/>
      <c r="L5520" s="13">
        <f>IF(OR($A5520="",AND($J5520="",$K5520="")),"",ROUND(N($J5520)-N($K5520),2))</f>
        <v/>
      </c>
      <c r="M5520" s="13">
        <f>IF(OR($A5520="",AND($J5520="",$K5520="")),"",MIN($J5520,$K5520))</f>
        <v/>
      </c>
      <c r="Q5520">
        <f>IF($A5520="","",$D5520&amp;"("&amp;SUBSTITUTE($E5520," ","")&amp;")")</f>
        <v/>
      </c>
      <c r="R5520">
        <f>IF($A5520="","",$B5520&amp;" - "&amp;$C5520)</f>
        <v/>
      </c>
      <c r="S5520">
        <f>IF($A5520="","",$R5520&amp;"|"&amp;$Q5520)</f>
        <v/>
      </c>
      <c r="T5520">
        <f>IF($A5520="","",$S5520&amp;"|"&amp;$F5520)</f>
        <v/>
      </c>
      <c r="U5520">
        <f>IF($A5520="","",$R5520&amp;"("&amp;$E5520&amp;")")</f>
        <v/>
      </c>
      <c r="V5520">
        <f>IF($A5520="","",$F5520&amp;"|"&amp;$U5520&amp;"|"&amp;$D5520)</f>
        <v/>
      </c>
      <c r="W5520">
        <f>IF($T5520="","",IF($X5520&gt;N($X5519),$X5520,""))</f>
        <v/>
      </c>
      <c r="X5520">
        <f>IF($T5520="",N($X5519),IF(MATCH($T5520,$T$6:$T$6005,0)=ROW()-5,N($X5519)+1,N($X5519)))</f>
        <v/>
      </c>
      <c r="Z5520">
        <f>IF($V5520="","",IF($AA5520&gt;N($AA5519),$AA5520,""))</f>
        <v/>
      </c>
      <c r="AA5520">
        <f>IF($V5520="",N($AA5519),IF(MATCH($V5520,$V$6:$V$6005,0)=ROW()-5,N($AA5519)+1,N($AA5519)))</f>
        <v/>
      </c>
    </row>
    <row r="5521" ht="21" customHeight="1" s="66">
      <c r="A5521" s="56" t="n"/>
      <c r="B5521" s="57" t="n"/>
      <c r="C5521" s="57" t="n"/>
      <c r="D5521" s="57" t="n"/>
      <c r="E5521" s="56" t="n"/>
      <c r="F5521" s="57" t="n"/>
      <c r="G5521" s="57" t="n"/>
      <c r="H5521" s="56" t="n"/>
      <c r="I5521" s="56" t="n"/>
      <c r="J5521" s="58" t="n"/>
      <c r="K5521" s="58" t="n"/>
      <c r="L5521" s="13">
        <f>IF(OR($A5521="",AND($J5521="",$K5521="")),"",ROUND(N($J5521)-N($K5521),2))</f>
        <v/>
      </c>
      <c r="M5521" s="13">
        <f>IF(OR($A5521="",AND($J5521="",$K5521="")),"",MIN($J5521,$K5521))</f>
        <v/>
      </c>
      <c r="Q5521">
        <f>IF($A5521="","",$D5521&amp;"("&amp;SUBSTITUTE($E5521," ","")&amp;")")</f>
        <v/>
      </c>
      <c r="R5521">
        <f>IF($A5521="","",$B5521&amp;" - "&amp;$C5521)</f>
        <v/>
      </c>
      <c r="S5521">
        <f>IF($A5521="","",$R5521&amp;"|"&amp;$Q5521)</f>
        <v/>
      </c>
      <c r="T5521">
        <f>IF($A5521="","",$S5521&amp;"|"&amp;$F5521)</f>
        <v/>
      </c>
      <c r="U5521">
        <f>IF($A5521="","",$R5521&amp;"("&amp;$E5521&amp;")")</f>
        <v/>
      </c>
      <c r="V5521">
        <f>IF($A5521="","",$F5521&amp;"|"&amp;$U5521&amp;"|"&amp;$D5521)</f>
        <v/>
      </c>
      <c r="W5521">
        <f>IF($T5521="","",IF($X5521&gt;N($X5520),$X5521,""))</f>
        <v/>
      </c>
      <c r="X5521">
        <f>IF($T5521="",N($X5520),IF(MATCH($T5521,$T$6:$T$6005,0)=ROW()-5,N($X5520)+1,N($X5520)))</f>
        <v/>
      </c>
      <c r="Z5521">
        <f>IF($V5521="","",IF($AA5521&gt;N($AA5520),$AA5521,""))</f>
        <v/>
      </c>
      <c r="AA5521">
        <f>IF($V5521="",N($AA5520),IF(MATCH($V5521,$V$6:$V$6005,0)=ROW()-5,N($AA5520)+1,N($AA5520)))</f>
        <v/>
      </c>
    </row>
    <row r="5522" ht="21" customHeight="1" s="66">
      <c r="A5522" s="56" t="n"/>
      <c r="B5522" s="57" t="n"/>
      <c r="C5522" s="57" t="n"/>
      <c r="D5522" s="57" t="n"/>
      <c r="E5522" s="56" t="n"/>
      <c r="F5522" s="57" t="n"/>
      <c r="G5522" s="57" t="n"/>
      <c r="H5522" s="56" t="n"/>
      <c r="I5522" s="56" t="n"/>
      <c r="J5522" s="58" t="n"/>
      <c r="K5522" s="58" t="n"/>
      <c r="L5522" s="13">
        <f>IF(OR($A5522="",AND($J5522="",$K5522="")),"",ROUND(N($J5522)-N($K5522),2))</f>
        <v/>
      </c>
      <c r="M5522" s="13">
        <f>IF(OR($A5522="",AND($J5522="",$K5522="")),"",MIN($J5522,$K5522))</f>
        <v/>
      </c>
      <c r="Q5522">
        <f>IF($A5522="","",$D5522&amp;"("&amp;SUBSTITUTE($E5522," ","")&amp;")")</f>
        <v/>
      </c>
      <c r="R5522">
        <f>IF($A5522="","",$B5522&amp;" - "&amp;$C5522)</f>
        <v/>
      </c>
      <c r="S5522">
        <f>IF($A5522="","",$R5522&amp;"|"&amp;$Q5522)</f>
        <v/>
      </c>
      <c r="T5522">
        <f>IF($A5522="","",$S5522&amp;"|"&amp;$F5522)</f>
        <v/>
      </c>
      <c r="U5522">
        <f>IF($A5522="","",$R5522&amp;"("&amp;$E5522&amp;")")</f>
        <v/>
      </c>
      <c r="V5522">
        <f>IF($A5522="","",$F5522&amp;"|"&amp;$U5522&amp;"|"&amp;$D5522)</f>
        <v/>
      </c>
      <c r="W5522">
        <f>IF($T5522="","",IF($X5522&gt;N($X5521),$X5522,""))</f>
        <v/>
      </c>
      <c r="X5522">
        <f>IF($T5522="",N($X5521),IF(MATCH($T5522,$T$6:$T$6005,0)=ROW()-5,N($X5521)+1,N($X5521)))</f>
        <v/>
      </c>
      <c r="Z5522">
        <f>IF($V5522="","",IF($AA5522&gt;N($AA5521),$AA5522,""))</f>
        <v/>
      </c>
      <c r="AA5522">
        <f>IF($V5522="",N($AA5521),IF(MATCH($V5522,$V$6:$V$6005,0)=ROW()-5,N($AA5521)+1,N($AA5521)))</f>
        <v/>
      </c>
    </row>
    <row r="5523" ht="21" customHeight="1" s="66">
      <c r="A5523" s="56" t="n"/>
      <c r="B5523" s="57" t="n"/>
      <c r="C5523" s="57" t="n"/>
      <c r="D5523" s="57" t="n"/>
      <c r="E5523" s="56" t="n"/>
      <c r="F5523" s="57" t="n"/>
      <c r="G5523" s="57" t="n"/>
      <c r="H5523" s="56" t="n"/>
      <c r="I5523" s="56" t="n"/>
      <c r="J5523" s="58" t="n"/>
      <c r="K5523" s="58" t="n"/>
      <c r="L5523" s="13">
        <f>IF(OR($A5523="",AND($J5523="",$K5523="")),"",ROUND(N($J5523)-N($K5523),2))</f>
        <v/>
      </c>
      <c r="M5523" s="13">
        <f>IF(OR($A5523="",AND($J5523="",$K5523="")),"",MIN($J5523,$K5523))</f>
        <v/>
      </c>
      <c r="Q5523">
        <f>IF($A5523="","",$D5523&amp;"("&amp;SUBSTITUTE($E5523," ","")&amp;")")</f>
        <v/>
      </c>
      <c r="R5523">
        <f>IF($A5523="","",$B5523&amp;" - "&amp;$C5523)</f>
        <v/>
      </c>
      <c r="S5523">
        <f>IF($A5523="","",$R5523&amp;"|"&amp;$Q5523)</f>
        <v/>
      </c>
      <c r="T5523">
        <f>IF($A5523="","",$S5523&amp;"|"&amp;$F5523)</f>
        <v/>
      </c>
      <c r="U5523">
        <f>IF($A5523="","",$R5523&amp;"("&amp;$E5523&amp;")")</f>
        <v/>
      </c>
      <c r="V5523">
        <f>IF($A5523="","",$F5523&amp;"|"&amp;$U5523&amp;"|"&amp;$D5523)</f>
        <v/>
      </c>
      <c r="W5523">
        <f>IF($T5523="","",IF($X5523&gt;N($X5522),$X5523,""))</f>
        <v/>
      </c>
      <c r="X5523">
        <f>IF($T5523="",N($X5522),IF(MATCH($T5523,$T$6:$T$6005,0)=ROW()-5,N($X5522)+1,N($X5522)))</f>
        <v/>
      </c>
      <c r="Z5523">
        <f>IF($V5523="","",IF($AA5523&gt;N($AA5522),$AA5523,""))</f>
        <v/>
      </c>
      <c r="AA5523">
        <f>IF($V5523="",N($AA5522),IF(MATCH($V5523,$V$6:$V$6005,0)=ROW()-5,N($AA5522)+1,N($AA5522)))</f>
        <v/>
      </c>
    </row>
    <row r="5524" ht="21" customHeight="1" s="66">
      <c r="A5524" s="56" t="n"/>
      <c r="B5524" s="57" t="n"/>
      <c r="C5524" s="57" t="n"/>
      <c r="D5524" s="57" t="n"/>
      <c r="E5524" s="56" t="n"/>
      <c r="F5524" s="57" t="n"/>
      <c r="G5524" s="57" t="n"/>
      <c r="H5524" s="56" t="n"/>
      <c r="I5524" s="56" t="n"/>
      <c r="J5524" s="58" t="n"/>
      <c r="K5524" s="58" t="n"/>
      <c r="L5524" s="13">
        <f>IF(OR($A5524="",AND($J5524="",$K5524="")),"",ROUND(N($J5524)-N($K5524),2))</f>
        <v/>
      </c>
      <c r="M5524" s="13">
        <f>IF(OR($A5524="",AND($J5524="",$K5524="")),"",MIN($J5524,$K5524))</f>
        <v/>
      </c>
      <c r="Q5524">
        <f>IF($A5524="","",$D5524&amp;"("&amp;SUBSTITUTE($E5524," ","")&amp;")")</f>
        <v/>
      </c>
      <c r="R5524">
        <f>IF($A5524="","",$B5524&amp;" - "&amp;$C5524)</f>
        <v/>
      </c>
      <c r="S5524">
        <f>IF($A5524="","",$R5524&amp;"|"&amp;$Q5524)</f>
        <v/>
      </c>
      <c r="T5524">
        <f>IF($A5524="","",$S5524&amp;"|"&amp;$F5524)</f>
        <v/>
      </c>
      <c r="U5524">
        <f>IF($A5524="","",$R5524&amp;"("&amp;$E5524&amp;")")</f>
        <v/>
      </c>
      <c r="V5524">
        <f>IF($A5524="","",$F5524&amp;"|"&amp;$U5524&amp;"|"&amp;$D5524)</f>
        <v/>
      </c>
      <c r="W5524">
        <f>IF($T5524="","",IF($X5524&gt;N($X5523),$X5524,""))</f>
        <v/>
      </c>
      <c r="X5524">
        <f>IF($T5524="",N($X5523),IF(MATCH($T5524,$T$6:$T$6005,0)=ROW()-5,N($X5523)+1,N($X5523)))</f>
        <v/>
      </c>
      <c r="Z5524">
        <f>IF($V5524="","",IF($AA5524&gt;N($AA5523),$AA5524,""))</f>
        <v/>
      </c>
      <c r="AA5524">
        <f>IF($V5524="",N($AA5523),IF(MATCH($V5524,$V$6:$V$6005,0)=ROW()-5,N($AA5523)+1,N($AA5523)))</f>
        <v/>
      </c>
    </row>
    <row r="5525" ht="21" customHeight="1" s="66">
      <c r="A5525" s="56" t="n"/>
      <c r="B5525" s="57" t="n"/>
      <c r="C5525" s="57" t="n"/>
      <c r="D5525" s="57" t="n"/>
      <c r="E5525" s="56" t="n"/>
      <c r="F5525" s="57" t="n"/>
      <c r="G5525" s="57" t="n"/>
      <c r="H5525" s="56" t="n"/>
      <c r="I5525" s="56" t="n"/>
      <c r="J5525" s="58" t="n"/>
      <c r="K5525" s="58" t="n"/>
      <c r="L5525" s="13">
        <f>IF(OR($A5525="",AND($J5525="",$K5525="")),"",ROUND(N($J5525)-N($K5525),2))</f>
        <v/>
      </c>
      <c r="M5525" s="13">
        <f>IF(OR($A5525="",AND($J5525="",$K5525="")),"",MIN($J5525,$K5525))</f>
        <v/>
      </c>
      <c r="Q5525">
        <f>IF($A5525="","",$D5525&amp;"("&amp;SUBSTITUTE($E5525," ","")&amp;")")</f>
        <v/>
      </c>
      <c r="R5525">
        <f>IF($A5525="","",$B5525&amp;" - "&amp;$C5525)</f>
        <v/>
      </c>
      <c r="S5525">
        <f>IF($A5525="","",$R5525&amp;"|"&amp;$Q5525)</f>
        <v/>
      </c>
      <c r="T5525">
        <f>IF($A5525="","",$S5525&amp;"|"&amp;$F5525)</f>
        <v/>
      </c>
      <c r="U5525">
        <f>IF($A5525="","",$R5525&amp;"("&amp;$E5525&amp;")")</f>
        <v/>
      </c>
      <c r="V5525">
        <f>IF($A5525="","",$F5525&amp;"|"&amp;$U5525&amp;"|"&amp;$D5525)</f>
        <v/>
      </c>
      <c r="W5525">
        <f>IF($T5525="","",IF($X5525&gt;N($X5524),$X5525,""))</f>
        <v/>
      </c>
      <c r="X5525">
        <f>IF($T5525="",N($X5524),IF(MATCH($T5525,$T$6:$T$6005,0)=ROW()-5,N($X5524)+1,N($X5524)))</f>
        <v/>
      </c>
      <c r="Z5525">
        <f>IF($V5525="","",IF($AA5525&gt;N($AA5524),$AA5525,""))</f>
        <v/>
      </c>
      <c r="AA5525">
        <f>IF($V5525="",N($AA5524),IF(MATCH($V5525,$V$6:$V$6005,0)=ROW()-5,N($AA5524)+1,N($AA5524)))</f>
        <v/>
      </c>
    </row>
    <row r="5526" ht="21" customHeight="1" s="66">
      <c r="A5526" s="56" t="n"/>
      <c r="B5526" s="57" t="n"/>
      <c r="C5526" s="57" t="n"/>
      <c r="D5526" s="57" t="n"/>
      <c r="E5526" s="56" t="n"/>
      <c r="F5526" s="57" t="n"/>
      <c r="G5526" s="57" t="n"/>
      <c r="H5526" s="56" t="n"/>
      <c r="I5526" s="56" t="n"/>
      <c r="J5526" s="58" t="n"/>
      <c r="K5526" s="58" t="n"/>
      <c r="L5526" s="13">
        <f>IF(OR($A5526="",AND($J5526="",$K5526="")),"",ROUND(N($J5526)-N($K5526),2))</f>
        <v/>
      </c>
      <c r="M5526" s="13">
        <f>IF(OR($A5526="",AND($J5526="",$K5526="")),"",MIN($J5526,$K5526))</f>
        <v/>
      </c>
      <c r="Q5526">
        <f>IF($A5526="","",$D5526&amp;"("&amp;SUBSTITUTE($E5526," ","")&amp;")")</f>
        <v/>
      </c>
      <c r="R5526">
        <f>IF($A5526="","",$B5526&amp;" - "&amp;$C5526)</f>
        <v/>
      </c>
      <c r="S5526">
        <f>IF($A5526="","",$R5526&amp;"|"&amp;$Q5526)</f>
        <v/>
      </c>
      <c r="T5526">
        <f>IF($A5526="","",$S5526&amp;"|"&amp;$F5526)</f>
        <v/>
      </c>
      <c r="U5526">
        <f>IF($A5526="","",$R5526&amp;"("&amp;$E5526&amp;")")</f>
        <v/>
      </c>
      <c r="V5526">
        <f>IF($A5526="","",$F5526&amp;"|"&amp;$U5526&amp;"|"&amp;$D5526)</f>
        <v/>
      </c>
      <c r="W5526">
        <f>IF($T5526="","",IF($X5526&gt;N($X5525),$X5526,""))</f>
        <v/>
      </c>
      <c r="X5526">
        <f>IF($T5526="",N($X5525),IF(MATCH($T5526,$T$6:$T$6005,0)=ROW()-5,N($X5525)+1,N($X5525)))</f>
        <v/>
      </c>
      <c r="Z5526">
        <f>IF($V5526="","",IF($AA5526&gt;N($AA5525),$AA5526,""))</f>
        <v/>
      </c>
      <c r="AA5526">
        <f>IF($V5526="",N($AA5525),IF(MATCH($V5526,$V$6:$V$6005,0)=ROW()-5,N($AA5525)+1,N($AA5525)))</f>
        <v/>
      </c>
    </row>
    <row r="5527" ht="21" customHeight="1" s="66">
      <c r="A5527" s="56" t="n"/>
      <c r="B5527" s="57" t="n"/>
      <c r="C5527" s="57" t="n"/>
      <c r="D5527" s="57" t="n"/>
      <c r="E5527" s="56" t="n"/>
      <c r="F5527" s="57" t="n"/>
      <c r="G5527" s="57" t="n"/>
      <c r="H5527" s="56" t="n"/>
      <c r="I5527" s="56" t="n"/>
      <c r="J5527" s="58" t="n"/>
      <c r="K5527" s="58" t="n"/>
      <c r="L5527" s="13">
        <f>IF(OR($A5527="",AND($J5527="",$K5527="")),"",ROUND(N($J5527)-N($K5527),2))</f>
        <v/>
      </c>
      <c r="M5527" s="13">
        <f>IF(OR($A5527="",AND($J5527="",$K5527="")),"",MIN($J5527,$K5527))</f>
        <v/>
      </c>
      <c r="Q5527">
        <f>IF($A5527="","",$D5527&amp;"("&amp;SUBSTITUTE($E5527," ","")&amp;")")</f>
        <v/>
      </c>
      <c r="R5527">
        <f>IF($A5527="","",$B5527&amp;" - "&amp;$C5527)</f>
        <v/>
      </c>
      <c r="S5527">
        <f>IF($A5527="","",$R5527&amp;"|"&amp;$Q5527)</f>
        <v/>
      </c>
      <c r="T5527">
        <f>IF($A5527="","",$S5527&amp;"|"&amp;$F5527)</f>
        <v/>
      </c>
      <c r="U5527">
        <f>IF($A5527="","",$R5527&amp;"("&amp;$E5527&amp;")")</f>
        <v/>
      </c>
      <c r="V5527">
        <f>IF($A5527="","",$F5527&amp;"|"&amp;$U5527&amp;"|"&amp;$D5527)</f>
        <v/>
      </c>
      <c r="W5527">
        <f>IF($T5527="","",IF($X5527&gt;N($X5526),$X5527,""))</f>
        <v/>
      </c>
      <c r="X5527">
        <f>IF($T5527="",N($X5526),IF(MATCH($T5527,$T$6:$T$6005,0)=ROW()-5,N($X5526)+1,N($X5526)))</f>
        <v/>
      </c>
      <c r="Z5527">
        <f>IF($V5527="","",IF($AA5527&gt;N($AA5526),$AA5527,""))</f>
        <v/>
      </c>
      <c r="AA5527">
        <f>IF($V5527="",N($AA5526),IF(MATCH($V5527,$V$6:$V$6005,0)=ROW()-5,N($AA5526)+1,N($AA5526)))</f>
        <v/>
      </c>
    </row>
    <row r="5528" ht="21" customHeight="1" s="66">
      <c r="A5528" s="56" t="n"/>
      <c r="B5528" s="57" t="n"/>
      <c r="C5528" s="57" t="n"/>
      <c r="D5528" s="57" t="n"/>
      <c r="E5528" s="56" t="n"/>
      <c r="F5528" s="57" t="n"/>
      <c r="G5528" s="57" t="n"/>
      <c r="H5528" s="56" t="n"/>
      <c r="I5528" s="56" t="n"/>
      <c r="J5528" s="58" t="n"/>
      <c r="K5528" s="58" t="n"/>
      <c r="L5528" s="13">
        <f>IF(OR($A5528="",AND($J5528="",$K5528="")),"",ROUND(N($J5528)-N($K5528),2))</f>
        <v/>
      </c>
      <c r="M5528" s="13">
        <f>IF(OR($A5528="",AND($J5528="",$K5528="")),"",MIN($J5528,$K5528))</f>
        <v/>
      </c>
      <c r="Q5528">
        <f>IF($A5528="","",$D5528&amp;"("&amp;SUBSTITUTE($E5528," ","")&amp;")")</f>
        <v/>
      </c>
      <c r="R5528">
        <f>IF($A5528="","",$B5528&amp;" - "&amp;$C5528)</f>
        <v/>
      </c>
      <c r="S5528">
        <f>IF($A5528="","",$R5528&amp;"|"&amp;$Q5528)</f>
        <v/>
      </c>
      <c r="T5528">
        <f>IF($A5528="","",$S5528&amp;"|"&amp;$F5528)</f>
        <v/>
      </c>
      <c r="U5528">
        <f>IF($A5528="","",$R5528&amp;"("&amp;$E5528&amp;")")</f>
        <v/>
      </c>
      <c r="V5528">
        <f>IF($A5528="","",$F5528&amp;"|"&amp;$U5528&amp;"|"&amp;$D5528)</f>
        <v/>
      </c>
      <c r="W5528">
        <f>IF($T5528="","",IF($X5528&gt;N($X5527),$X5528,""))</f>
        <v/>
      </c>
      <c r="X5528">
        <f>IF($T5528="",N($X5527),IF(MATCH($T5528,$T$6:$T$6005,0)=ROW()-5,N($X5527)+1,N($X5527)))</f>
        <v/>
      </c>
      <c r="Z5528">
        <f>IF($V5528="","",IF($AA5528&gt;N($AA5527),$AA5528,""))</f>
        <v/>
      </c>
      <c r="AA5528">
        <f>IF($V5528="",N($AA5527),IF(MATCH($V5528,$V$6:$V$6005,0)=ROW()-5,N($AA5527)+1,N($AA5527)))</f>
        <v/>
      </c>
    </row>
    <row r="5529" ht="21" customHeight="1" s="66">
      <c r="A5529" s="56" t="n"/>
      <c r="B5529" s="57" t="n"/>
      <c r="C5529" s="57" t="n"/>
      <c r="D5529" s="57" t="n"/>
      <c r="E5529" s="56" t="n"/>
      <c r="F5529" s="57" t="n"/>
      <c r="G5529" s="57" t="n"/>
      <c r="H5529" s="56" t="n"/>
      <c r="I5529" s="56" t="n"/>
      <c r="J5529" s="58" t="n"/>
      <c r="K5529" s="58" t="n"/>
      <c r="L5529" s="13">
        <f>IF(OR($A5529="",AND($J5529="",$K5529="")),"",ROUND(N($J5529)-N($K5529),2))</f>
        <v/>
      </c>
      <c r="M5529" s="13">
        <f>IF(OR($A5529="",AND($J5529="",$K5529="")),"",MIN($J5529,$K5529))</f>
        <v/>
      </c>
      <c r="Q5529">
        <f>IF($A5529="","",$D5529&amp;"("&amp;SUBSTITUTE($E5529," ","")&amp;")")</f>
        <v/>
      </c>
      <c r="R5529">
        <f>IF($A5529="","",$B5529&amp;" - "&amp;$C5529)</f>
        <v/>
      </c>
      <c r="S5529">
        <f>IF($A5529="","",$R5529&amp;"|"&amp;$Q5529)</f>
        <v/>
      </c>
      <c r="T5529">
        <f>IF($A5529="","",$S5529&amp;"|"&amp;$F5529)</f>
        <v/>
      </c>
      <c r="U5529">
        <f>IF($A5529="","",$R5529&amp;"("&amp;$E5529&amp;")")</f>
        <v/>
      </c>
      <c r="V5529">
        <f>IF($A5529="","",$F5529&amp;"|"&amp;$U5529&amp;"|"&amp;$D5529)</f>
        <v/>
      </c>
      <c r="W5529">
        <f>IF($T5529="","",IF($X5529&gt;N($X5528),$X5529,""))</f>
        <v/>
      </c>
      <c r="X5529">
        <f>IF($T5529="",N($X5528),IF(MATCH($T5529,$T$6:$T$6005,0)=ROW()-5,N($X5528)+1,N($X5528)))</f>
        <v/>
      </c>
      <c r="Z5529">
        <f>IF($V5529="","",IF($AA5529&gt;N($AA5528),$AA5529,""))</f>
        <v/>
      </c>
      <c r="AA5529">
        <f>IF($V5529="",N($AA5528),IF(MATCH($V5529,$V$6:$V$6005,0)=ROW()-5,N($AA5528)+1,N($AA5528)))</f>
        <v/>
      </c>
    </row>
    <row r="5530" ht="21" customHeight="1" s="66">
      <c r="A5530" s="56" t="n"/>
      <c r="B5530" s="57" t="n"/>
      <c r="C5530" s="57" t="n"/>
      <c r="D5530" s="57" t="n"/>
      <c r="E5530" s="56" t="n"/>
      <c r="F5530" s="57" t="n"/>
      <c r="G5530" s="57" t="n"/>
      <c r="H5530" s="56" t="n"/>
      <c r="I5530" s="56" t="n"/>
      <c r="J5530" s="58" t="n"/>
      <c r="K5530" s="58" t="n"/>
      <c r="L5530" s="13">
        <f>IF(OR($A5530="",AND($J5530="",$K5530="")),"",ROUND(N($J5530)-N($K5530),2))</f>
        <v/>
      </c>
      <c r="M5530" s="13">
        <f>IF(OR($A5530="",AND($J5530="",$K5530="")),"",MIN($J5530,$K5530))</f>
        <v/>
      </c>
      <c r="Q5530">
        <f>IF($A5530="","",$D5530&amp;"("&amp;SUBSTITUTE($E5530," ","")&amp;")")</f>
        <v/>
      </c>
      <c r="R5530">
        <f>IF($A5530="","",$B5530&amp;" - "&amp;$C5530)</f>
        <v/>
      </c>
      <c r="S5530">
        <f>IF($A5530="","",$R5530&amp;"|"&amp;$Q5530)</f>
        <v/>
      </c>
      <c r="T5530">
        <f>IF($A5530="","",$S5530&amp;"|"&amp;$F5530)</f>
        <v/>
      </c>
      <c r="U5530">
        <f>IF($A5530="","",$R5530&amp;"("&amp;$E5530&amp;")")</f>
        <v/>
      </c>
      <c r="V5530">
        <f>IF($A5530="","",$F5530&amp;"|"&amp;$U5530&amp;"|"&amp;$D5530)</f>
        <v/>
      </c>
      <c r="W5530">
        <f>IF($T5530="","",IF($X5530&gt;N($X5529),$X5530,""))</f>
        <v/>
      </c>
      <c r="X5530">
        <f>IF($T5530="",N($X5529),IF(MATCH($T5530,$T$6:$T$6005,0)=ROW()-5,N($X5529)+1,N($X5529)))</f>
        <v/>
      </c>
      <c r="Z5530">
        <f>IF($V5530="","",IF($AA5530&gt;N($AA5529),$AA5530,""))</f>
        <v/>
      </c>
      <c r="AA5530">
        <f>IF($V5530="",N($AA5529),IF(MATCH($V5530,$V$6:$V$6005,0)=ROW()-5,N($AA5529)+1,N($AA5529)))</f>
        <v/>
      </c>
    </row>
    <row r="5531" ht="21" customHeight="1" s="66">
      <c r="A5531" s="56" t="n"/>
      <c r="B5531" s="57" t="n"/>
      <c r="C5531" s="57" t="n"/>
      <c r="D5531" s="57" t="n"/>
      <c r="E5531" s="56" t="n"/>
      <c r="F5531" s="57" t="n"/>
      <c r="G5531" s="57" t="n"/>
      <c r="H5531" s="56" t="n"/>
      <c r="I5531" s="56" t="n"/>
      <c r="J5531" s="58" t="n"/>
      <c r="K5531" s="58" t="n"/>
      <c r="L5531" s="13">
        <f>IF(OR($A5531="",AND($J5531="",$K5531="")),"",ROUND(N($J5531)-N($K5531),2))</f>
        <v/>
      </c>
      <c r="M5531" s="13">
        <f>IF(OR($A5531="",AND($J5531="",$K5531="")),"",MIN($J5531,$K5531))</f>
        <v/>
      </c>
      <c r="Q5531">
        <f>IF($A5531="","",$D5531&amp;"("&amp;SUBSTITUTE($E5531," ","")&amp;")")</f>
        <v/>
      </c>
      <c r="R5531">
        <f>IF($A5531="","",$B5531&amp;" - "&amp;$C5531)</f>
        <v/>
      </c>
      <c r="S5531">
        <f>IF($A5531="","",$R5531&amp;"|"&amp;$Q5531)</f>
        <v/>
      </c>
      <c r="T5531">
        <f>IF($A5531="","",$S5531&amp;"|"&amp;$F5531)</f>
        <v/>
      </c>
      <c r="U5531">
        <f>IF($A5531="","",$R5531&amp;"("&amp;$E5531&amp;")")</f>
        <v/>
      </c>
      <c r="V5531">
        <f>IF($A5531="","",$F5531&amp;"|"&amp;$U5531&amp;"|"&amp;$D5531)</f>
        <v/>
      </c>
      <c r="W5531">
        <f>IF($T5531="","",IF($X5531&gt;N($X5530),$X5531,""))</f>
        <v/>
      </c>
      <c r="X5531">
        <f>IF($T5531="",N($X5530),IF(MATCH($T5531,$T$6:$T$6005,0)=ROW()-5,N($X5530)+1,N($X5530)))</f>
        <v/>
      </c>
      <c r="Z5531">
        <f>IF($V5531="","",IF($AA5531&gt;N($AA5530),$AA5531,""))</f>
        <v/>
      </c>
      <c r="AA5531">
        <f>IF($V5531="",N($AA5530),IF(MATCH($V5531,$V$6:$V$6005,0)=ROW()-5,N($AA5530)+1,N($AA5530)))</f>
        <v/>
      </c>
    </row>
    <row r="5532" ht="21" customHeight="1" s="66">
      <c r="A5532" s="56" t="n"/>
      <c r="B5532" s="57" t="n"/>
      <c r="C5532" s="57" t="n"/>
      <c r="D5532" s="57" t="n"/>
      <c r="E5532" s="56" t="n"/>
      <c r="F5532" s="57" t="n"/>
      <c r="G5532" s="57" t="n"/>
      <c r="H5532" s="56" t="n"/>
      <c r="I5532" s="56" t="n"/>
      <c r="J5532" s="58" t="n"/>
      <c r="K5532" s="58" t="n"/>
      <c r="L5532" s="13">
        <f>IF(OR($A5532="",AND($J5532="",$K5532="")),"",ROUND(N($J5532)-N($K5532),2))</f>
        <v/>
      </c>
      <c r="M5532" s="13">
        <f>IF(OR($A5532="",AND($J5532="",$K5532="")),"",MIN($J5532,$K5532))</f>
        <v/>
      </c>
      <c r="Q5532">
        <f>IF($A5532="","",$D5532&amp;"("&amp;SUBSTITUTE($E5532," ","")&amp;")")</f>
        <v/>
      </c>
      <c r="R5532">
        <f>IF($A5532="","",$B5532&amp;" - "&amp;$C5532)</f>
        <v/>
      </c>
      <c r="S5532">
        <f>IF($A5532="","",$R5532&amp;"|"&amp;$Q5532)</f>
        <v/>
      </c>
      <c r="T5532">
        <f>IF($A5532="","",$S5532&amp;"|"&amp;$F5532)</f>
        <v/>
      </c>
      <c r="U5532">
        <f>IF($A5532="","",$R5532&amp;"("&amp;$E5532&amp;")")</f>
        <v/>
      </c>
      <c r="V5532">
        <f>IF($A5532="","",$F5532&amp;"|"&amp;$U5532&amp;"|"&amp;$D5532)</f>
        <v/>
      </c>
      <c r="W5532">
        <f>IF($T5532="","",IF($X5532&gt;N($X5531),$X5532,""))</f>
        <v/>
      </c>
      <c r="X5532">
        <f>IF($T5532="",N($X5531),IF(MATCH($T5532,$T$6:$T$6005,0)=ROW()-5,N($X5531)+1,N($X5531)))</f>
        <v/>
      </c>
      <c r="Z5532">
        <f>IF($V5532="","",IF($AA5532&gt;N($AA5531),$AA5532,""))</f>
        <v/>
      </c>
      <c r="AA5532">
        <f>IF($V5532="",N($AA5531),IF(MATCH($V5532,$V$6:$V$6005,0)=ROW()-5,N($AA5531)+1,N($AA5531)))</f>
        <v/>
      </c>
    </row>
    <row r="5533" ht="21" customHeight="1" s="66">
      <c r="A5533" s="56" t="n"/>
      <c r="B5533" s="57" t="n"/>
      <c r="C5533" s="57" t="n"/>
      <c r="D5533" s="57" t="n"/>
      <c r="E5533" s="56" t="n"/>
      <c r="F5533" s="57" t="n"/>
      <c r="G5533" s="57" t="n"/>
      <c r="H5533" s="56" t="n"/>
      <c r="I5533" s="56" t="n"/>
      <c r="J5533" s="58" t="n"/>
      <c r="K5533" s="58" t="n"/>
      <c r="L5533" s="13">
        <f>IF(OR($A5533="",AND($J5533="",$K5533="")),"",ROUND(N($J5533)-N($K5533),2))</f>
        <v/>
      </c>
      <c r="M5533" s="13">
        <f>IF(OR($A5533="",AND($J5533="",$K5533="")),"",MIN($J5533,$K5533))</f>
        <v/>
      </c>
      <c r="Q5533">
        <f>IF($A5533="","",$D5533&amp;"("&amp;SUBSTITUTE($E5533," ","")&amp;")")</f>
        <v/>
      </c>
      <c r="R5533">
        <f>IF($A5533="","",$B5533&amp;" - "&amp;$C5533)</f>
        <v/>
      </c>
      <c r="S5533">
        <f>IF($A5533="","",$R5533&amp;"|"&amp;$Q5533)</f>
        <v/>
      </c>
      <c r="T5533">
        <f>IF($A5533="","",$S5533&amp;"|"&amp;$F5533)</f>
        <v/>
      </c>
      <c r="U5533">
        <f>IF($A5533="","",$R5533&amp;"("&amp;$E5533&amp;")")</f>
        <v/>
      </c>
      <c r="V5533">
        <f>IF($A5533="","",$F5533&amp;"|"&amp;$U5533&amp;"|"&amp;$D5533)</f>
        <v/>
      </c>
      <c r="W5533">
        <f>IF($T5533="","",IF($X5533&gt;N($X5532),$X5533,""))</f>
        <v/>
      </c>
      <c r="X5533">
        <f>IF($T5533="",N($X5532),IF(MATCH($T5533,$T$6:$T$6005,0)=ROW()-5,N($X5532)+1,N($X5532)))</f>
        <v/>
      </c>
      <c r="Z5533">
        <f>IF($V5533="","",IF($AA5533&gt;N($AA5532),$AA5533,""))</f>
        <v/>
      </c>
      <c r="AA5533">
        <f>IF($V5533="",N($AA5532),IF(MATCH($V5533,$V$6:$V$6005,0)=ROW()-5,N($AA5532)+1,N($AA5532)))</f>
        <v/>
      </c>
    </row>
    <row r="5534" ht="21" customHeight="1" s="66">
      <c r="A5534" s="56" t="n"/>
      <c r="B5534" s="57" t="n"/>
      <c r="C5534" s="57" t="n"/>
      <c r="D5534" s="57" t="n"/>
      <c r="E5534" s="56" t="n"/>
      <c r="F5534" s="57" t="n"/>
      <c r="G5534" s="57" t="n"/>
      <c r="H5534" s="56" t="n"/>
      <c r="I5534" s="56" t="n"/>
      <c r="J5534" s="58" t="n"/>
      <c r="K5534" s="58" t="n"/>
      <c r="L5534" s="13">
        <f>IF(OR($A5534="",AND($J5534="",$K5534="")),"",ROUND(N($J5534)-N($K5534),2))</f>
        <v/>
      </c>
      <c r="M5534" s="13">
        <f>IF(OR($A5534="",AND($J5534="",$K5534="")),"",MIN($J5534,$K5534))</f>
        <v/>
      </c>
      <c r="Q5534">
        <f>IF($A5534="","",$D5534&amp;"("&amp;SUBSTITUTE($E5534," ","")&amp;")")</f>
        <v/>
      </c>
      <c r="R5534">
        <f>IF($A5534="","",$B5534&amp;" - "&amp;$C5534)</f>
        <v/>
      </c>
      <c r="S5534">
        <f>IF($A5534="","",$R5534&amp;"|"&amp;$Q5534)</f>
        <v/>
      </c>
      <c r="T5534">
        <f>IF($A5534="","",$S5534&amp;"|"&amp;$F5534)</f>
        <v/>
      </c>
      <c r="U5534">
        <f>IF($A5534="","",$R5534&amp;"("&amp;$E5534&amp;")")</f>
        <v/>
      </c>
      <c r="V5534">
        <f>IF($A5534="","",$F5534&amp;"|"&amp;$U5534&amp;"|"&amp;$D5534)</f>
        <v/>
      </c>
      <c r="W5534">
        <f>IF($T5534="","",IF($X5534&gt;N($X5533),$X5534,""))</f>
        <v/>
      </c>
      <c r="X5534">
        <f>IF($T5534="",N($X5533),IF(MATCH($T5534,$T$6:$T$6005,0)=ROW()-5,N($X5533)+1,N($X5533)))</f>
        <v/>
      </c>
      <c r="Z5534">
        <f>IF($V5534="","",IF($AA5534&gt;N($AA5533),$AA5534,""))</f>
        <v/>
      </c>
      <c r="AA5534">
        <f>IF($V5534="",N($AA5533),IF(MATCH($V5534,$V$6:$V$6005,0)=ROW()-5,N($AA5533)+1,N($AA5533)))</f>
        <v/>
      </c>
    </row>
    <row r="5535" ht="21" customHeight="1" s="66">
      <c r="A5535" s="56" t="n"/>
      <c r="B5535" s="57" t="n"/>
      <c r="C5535" s="57" t="n"/>
      <c r="D5535" s="57" t="n"/>
      <c r="E5535" s="56" t="n"/>
      <c r="F5535" s="57" t="n"/>
      <c r="G5535" s="57" t="n"/>
      <c r="H5535" s="56" t="n"/>
      <c r="I5535" s="56" t="n"/>
      <c r="J5535" s="58" t="n"/>
      <c r="K5535" s="58" t="n"/>
      <c r="L5535" s="13">
        <f>IF(OR($A5535="",AND($J5535="",$K5535="")),"",ROUND(N($J5535)-N($K5535),2))</f>
        <v/>
      </c>
      <c r="M5535" s="13">
        <f>IF(OR($A5535="",AND($J5535="",$K5535="")),"",MIN($J5535,$K5535))</f>
        <v/>
      </c>
      <c r="Q5535">
        <f>IF($A5535="","",$D5535&amp;"("&amp;SUBSTITUTE($E5535," ","")&amp;")")</f>
        <v/>
      </c>
      <c r="R5535">
        <f>IF($A5535="","",$B5535&amp;" - "&amp;$C5535)</f>
        <v/>
      </c>
      <c r="S5535">
        <f>IF($A5535="","",$R5535&amp;"|"&amp;$Q5535)</f>
        <v/>
      </c>
      <c r="T5535">
        <f>IF($A5535="","",$S5535&amp;"|"&amp;$F5535)</f>
        <v/>
      </c>
      <c r="U5535">
        <f>IF($A5535="","",$R5535&amp;"("&amp;$E5535&amp;")")</f>
        <v/>
      </c>
      <c r="V5535">
        <f>IF($A5535="","",$F5535&amp;"|"&amp;$U5535&amp;"|"&amp;$D5535)</f>
        <v/>
      </c>
      <c r="W5535">
        <f>IF($T5535="","",IF($X5535&gt;N($X5534),$X5535,""))</f>
        <v/>
      </c>
      <c r="X5535">
        <f>IF($T5535="",N($X5534),IF(MATCH($T5535,$T$6:$T$6005,0)=ROW()-5,N($X5534)+1,N($X5534)))</f>
        <v/>
      </c>
      <c r="Z5535">
        <f>IF($V5535="","",IF($AA5535&gt;N($AA5534),$AA5535,""))</f>
        <v/>
      </c>
      <c r="AA5535">
        <f>IF($V5535="",N($AA5534),IF(MATCH($V5535,$V$6:$V$6005,0)=ROW()-5,N($AA5534)+1,N($AA5534)))</f>
        <v/>
      </c>
    </row>
    <row r="5536" ht="21" customHeight="1" s="66">
      <c r="A5536" s="56" t="n"/>
      <c r="B5536" s="57" t="n"/>
      <c r="C5536" s="57" t="n"/>
      <c r="D5536" s="57" t="n"/>
      <c r="E5536" s="56" t="n"/>
      <c r="F5536" s="57" t="n"/>
      <c r="G5536" s="57" t="n"/>
      <c r="H5536" s="56" t="n"/>
      <c r="I5536" s="56" t="n"/>
      <c r="J5536" s="58" t="n"/>
      <c r="K5536" s="58" t="n"/>
      <c r="L5536" s="13">
        <f>IF(OR($A5536="",AND($J5536="",$K5536="")),"",ROUND(N($J5536)-N($K5536),2))</f>
        <v/>
      </c>
      <c r="M5536" s="13">
        <f>IF(OR($A5536="",AND($J5536="",$K5536="")),"",MIN($J5536,$K5536))</f>
        <v/>
      </c>
      <c r="Q5536">
        <f>IF($A5536="","",$D5536&amp;"("&amp;SUBSTITUTE($E5536," ","")&amp;")")</f>
        <v/>
      </c>
      <c r="R5536">
        <f>IF($A5536="","",$B5536&amp;" - "&amp;$C5536)</f>
        <v/>
      </c>
      <c r="S5536">
        <f>IF($A5536="","",$R5536&amp;"|"&amp;$Q5536)</f>
        <v/>
      </c>
      <c r="T5536">
        <f>IF($A5536="","",$S5536&amp;"|"&amp;$F5536)</f>
        <v/>
      </c>
      <c r="U5536">
        <f>IF($A5536="","",$R5536&amp;"("&amp;$E5536&amp;")")</f>
        <v/>
      </c>
      <c r="V5536">
        <f>IF($A5536="","",$F5536&amp;"|"&amp;$U5536&amp;"|"&amp;$D5536)</f>
        <v/>
      </c>
      <c r="W5536">
        <f>IF($T5536="","",IF($X5536&gt;N($X5535),$X5536,""))</f>
        <v/>
      </c>
      <c r="X5536">
        <f>IF($T5536="",N($X5535),IF(MATCH($T5536,$T$6:$T$6005,0)=ROW()-5,N($X5535)+1,N($X5535)))</f>
        <v/>
      </c>
      <c r="Z5536">
        <f>IF($V5536="","",IF($AA5536&gt;N($AA5535),$AA5536,""))</f>
        <v/>
      </c>
      <c r="AA5536">
        <f>IF($V5536="",N($AA5535),IF(MATCH($V5536,$V$6:$V$6005,0)=ROW()-5,N($AA5535)+1,N($AA5535)))</f>
        <v/>
      </c>
    </row>
    <row r="5537" ht="21" customHeight="1" s="66">
      <c r="A5537" s="56" t="n"/>
      <c r="B5537" s="57" t="n"/>
      <c r="C5537" s="57" t="n"/>
      <c r="D5537" s="57" t="n"/>
      <c r="E5537" s="56" t="n"/>
      <c r="F5537" s="57" t="n"/>
      <c r="G5537" s="57" t="n"/>
      <c r="H5537" s="56" t="n"/>
      <c r="I5537" s="56" t="n"/>
      <c r="J5537" s="58" t="n"/>
      <c r="K5537" s="58" t="n"/>
      <c r="L5537" s="13">
        <f>IF(OR($A5537="",AND($J5537="",$K5537="")),"",ROUND(N($J5537)-N($K5537),2))</f>
        <v/>
      </c>
      <c r="M5537" s="13">
        <f>IF(OR($A5537="",AND($J5537="",$K5537="")),"",MIN($J5537,$K5537))</f>
        <v/>
      </c>
      <c r="Q5537">
        <f>IF($A5537="","",$D5537&amp;"("&amp;SUBSTITUTE($E5537," ","")&amp;")")</f>
        <v/>
      </c>
      <c r="R5537">
        <f>IF($A5537="","",$B5537&amp;" - "&amp;$C5537)</f>
        <v/>
      </c>
      <c r="S5537">
        <f>IF($A5537="","",$R5537&amp;"|"&amp;$Q5537)</f>
        <v/>
      </c>
      <c r="T5537">
        <f>IF($A5537="","",$S5537&amp;"|"&amp;$F5537)</f>
        <v/>
      </c>
      <c r="U5537">
        <f>IF($A5537="","",$R5537&amp;"("&amp;$E5537&amp;")")</f>
        <v/>
      </c>
      <c r="V5537">
        <f>IF($A5537="","",$F5537&amp;"|"&amp;$U5537&amp;"|"&amp;$D5537)</f>
        <v/>
      </c>
      <c r="W5537">
        <f>IF($T5537="","",IF($X5537&gt;N($X5536),$X5537,""))</f>
        <v/>
      </c>
      <c r="X5537">
        <f>IF($T5537="",N($X5536),IF(MATCH($T5537,$T$6:$T$6005,0)=ROW()-5,N($X5536)+1,N($X5536)))</f>
        <v/>
      </c>
      <c r="Z5537">
        <f>IF($V5537="","",IF($AA5537&gt;N($AA5536),$AA5537,""))</f>
        <v/>
      </c>
      <c r="AA5537">
        <f>IF($V5537="",N($AA5536),IF(MATCH($V5537,$V$6:$V$6005,0)=ROW()-5,N($AA5536)+1,N($AA5536)))</f>
        <v/>
      </c>
    </row>
    <row r="5538" ht="21" customHeight="1" s="66">
      <c r="A5538" s="56" t="n"/>
      <c r="B5538" s="57" t="n"/>
      <c r="C5538" s="57" t="n"/>
      <c r="D5538" s="57" t="n"/>
      <c r="E5538" s="56" t="n"/>
      <c r="F5538" s="57" t="n"/>
      <c r="G5538" s="57" t="n"/>
      <c r="H5538" s="56" t="n"/>
      <c r="I5538" s="56" t="n"/>
      <c r="J5538" s="58" t="n"/>
      <c r="K5538" s="58" t="n"/>
      <c r="L5538" s="13">
        <f>IF(OR($A5538="",AND($J5538="",$K5538="")),"",ROUND(N($J5538)-N($K5538),2))</f>
        <v/>
      </c>
      <c r="M5538" s="13">
        <f>IF(OR($A5538="",AND($J5538="",$K5538="")),"",MIN($J5538,$K5538))</f>
        <v/>
      </c>
      <c r="Q5538">
        <f>IF($A5538="","",$D5538&amp;"("&amp;SUBSTITUTE($E5538," ","")&amp;")")</f>
        <v/>
      </c>
      <c r="R5538">
        <f>IF($A5538="","",$B5538&amp;" - "&amp;$C5538)</f>
        <v/>
      </c>
      <c r="S5538">
        <f>IF($A5538="","",$R5538&amp;"|"&amp;$Q5538)</f>
        <v/>
      </c>
      <c r="T5538">
        <f>IF($A5538="","",$S5538&amp;"|"&amp;$F5538)</f>
        <v/>
      </c>
      <c r="U5538">
        <f>IF($A5538="","",$R5538&amp;"("&amp;$E5538&amp;")")</f>
        <v/>
      </c>
      <c r="V5538">
        <f>IF($A5538="","",$F5538&amp;"|"&amp;$U5538&amp;"|"&amp;$D5538)</f>
        <v/>
      </c>
      <c r="W5538">
        <f>IF($T5538="","",IF($X5538&gt;N($X5537),$X5538,""))</f>
        <v/>
      </c>
      <c r="X5538">
        <f>IF($T5538="",N($X5537),IF(MATCH($T5538,$T$6:$T$6005,0)=ROW()-5,N($X5537)+1,N($X5537)))</f>
        <v/>
      </c>
      <c r="Z5538">
        <f>IF($V5538="","",IF($AA5538&gt;N($AA5537),$AA5538,""))</f>
        <v/>
      </c>
      <c r="AA5538">
        <f>IF($V5538="",N($AA5537),IF(MATCH($V5538,$V$6:$V$6005,0)=ROW()-5,N($AA5537)+1,N($AA5537)))</f>
        <v/>
      </c>
    </row>
    <row r="5539" ht="21" customHeight="1" s="66">
      <c r="A5539" s="56" t="n"/>
      <c r="B5539" s="57" t="n"/>
      <c r="C5539" s="57" t="n"/>
      <c r="D5539" s="57" t="n"/>
      <c r="E5539" s="56" t="n"/>
      <c r="F5539" s="57" t="n"/>
      <c r="G5539" s="57" t="n"/>
      <c r="H5539" s="56" t="n"/>
      <c r="I5539" s="56" t="n"/>
      <c r="J5539" s="58" t="n"/>
      <c r="K5539" s="58" t="n"/>
      <c r="L5539" s="13">
        <f>IF(OR($A5539="",AND($J5539="",$K5539="")),"",ROUND(N($J5539)-N($K5539),2))</f>
        <v/>
      </c>
      <c r="M5539" s="13">
        <f>IF(OR($A5539="",AND($J5539="",$K5539="")),"",MIN($J5539,$K5539))</f>
        <v/>
      </c>
      <c r="Q5539">
        <f>IF($A5539="","",$D5539&amp;"("&amp;SUBSTITUTE($E5539," ","")&amp;")")</f>
        <v/>
      </c>
      <c r="R5539">
        <f>IF($A5539="","",$B5539&amp;" - "&amp;$C5539)</f>
        <v/>
      </c>
      <c r="S5539">
        <f>IF($A5539="","",$R5539&amp;"|"&amp;$Q5539)</f>
        <v/>
      </c>
      <c r="T5539">
        <f>IF($A5539="","",$S5539&amp;"|"&amp;$F5539)</f>
        <v/>
      </c>
      <c r="U5539">
        <f>IF($A5539="","",$R5539&amp;"("&amp;$E5539&amp;")")</f>
        <v/>
      </c>
      <c r="V5539">
        <f>IF($A5539="","",$F5539&amp;"|"&amp;$U5539&amp;"|"&amp;$D5539)</f>
        <v/>
      </c>
      <c r="W5539">
        <f>IF($T5539="","",IF($X5539&gt;N($X5538),$X5539,""))</f>
        <v/>
      </c>
      <c r="X5539">
        <f>IF($T5539="",N($X5538),IF(MATCH($T5539,$T$6:$T$6005,0)=ROW()-5,N($X5538)+1,N($X5538)))</f>
        <v/>
      </c>
      <c r="Z5539">
        <f>IF($V5539="","",IF($AA5539&gt;N($AA5538),$AA5539,""))</f>
        <v/>
      </c>
      <c r="AA5539">
        <f>IF($V5539="",N($AA5538),IF(MATCH($V5539,$V$6:$V$6005,0)=ROW()-5,N($AA5538)+1,N($AA5538)))</f>
        <v/>
      </c>
    </row>
    <row r="5540" ht="21" customHeight="1" s="66">
      <c r="A5540" s="56" t="n"/>
      <c r="B5540" s="57" t="n"/>
      <c r="C5540" s="57" t="n"/>
      <c r="D5540" s="57" t="n"/>
      <c r="E5540" s="56" t="n"/>
      <c r="F5540" s="57" t="n"/>
      <c r="G5540" s="57" t="n"/>
      <c r="H5540" s="56" t="n"/>
      <c r="I5540" s="56" t="n"/>
      <c r="J5540" s="58" t="n"/>
      <c r="K5540" s="58" t="n"/>
      <c r="L5540" s="13">
        <f>IF(OR($A5540="",AND($J5540="",$K5540="")),"",ROUND(N($J5540)-N($K5540),2))</f>
        <v/>
      </c>
      <c r="M5540" s="13">
        <f>IF(OR($A5540="",AND($J5540="",$K5540="")),"",MIN($J5540,$K5540))</f>
        <v/>
      </c>
      <c r="Q5540">
        <f>IF($A5540="","",$D5540&amp;"("&amp;SUBSTITUTE($E5540," ","")&amp;")")</f>
        <v/>
      </c>
      <c r="R5540">
        <f>IF($A5540="","",$B5540&amp;" - "&amp;$C5540)</f>
        <v/>
      </c>
      <c r="S5540">
        <f>IF($A5540="","",$R5540&amp;"|"&amp;$Q5540)</f>
        <v/>
      </c>
      <c r="T5540">
        <f>IF($A5540="","",$S5540&amp;"|"&amp;$F5540)</f>
        <v/>
      </c>
      <c r="U5540">
        <f>IF($A5540="","",$R5540&amp;"("&amp;$E5540&amp;")")</f>
        <v/>
      </c>
      <c r="V5540">
        <f>IF($A5540="","",$F5540&amp;"|"&amp;$U5540&amp;"|"&amp;$D5540)</f>
        <v/>
      </c>
      <c r="W5540">
        <f>IF($T5540="","",IF($X5540&gt;N($X5539),$X5540,""))</f>
        <v/>
      </c>
      <c r="X5540">
        <f>IF($T5540="",N($X5539),IF(MATCH($T5540,$T$6:$T$6005,0)=ROW()-5,N($X5539)+1,N($X5539)))</f>
        <v/>
      </c>
      <c r="Z5540">
        <f>IF($V5540="","",IF($AA5540&gt;N($AA5539),$AA5540,""))</f>
        <v/>
      </c>
      <c r="AA5540">
        <f>IF($V5540="",N($AA5539),IF(MATCH($V5540,$V$6:$V$6005,0)=ROW()-5,N($AA5539)+1,N($AA5539)))</f>
        <v/>
      </c>
    </row>
    <row r="5541" ht="21" customHeight="1" s="66">
      <c r="A5541" s="56" t="n"/>
      <c r="B5541" s="57" t="n"/>
      <c r="C5541" s="57" t="n"/>
      <c r="D5541" s="57" t="n"/>
      <c r="E5541" s="56" t="n"/>
      <c r="F5541" s="57" t="n"/>
      <c r="G5541" s="57" t="n"/>
      <c r="H5541" s="56" t="n"/>
      <c r="I5541" s="56" t="n"/>
      <c r="J5541" s="58" t="n"/>
      <c r="K5541" s="58" t="n"/>
      <c r="L5541" s="13">
        <f>IF(OR($A5541="",AND($J5541="",$K5541="")),"",ROUND(N($J5541)-N($K5541),2))</f>
        <v/>
      </c>
      <c r="M5541" s="13">
        <f>IF(OR($A5541="",AND($J5541="",$K5541="")),"",MIN($J5541,$K5541))</f>
        <v/>
      </c>
      <c r="Q5541">
        <f>IF($A5541="","",$D5541&amp;"("&amp;SUBSTITUTE($E5541," ","")&amp;")")</f>
        <v/>
      </c>
      <c r="R5541">
        <f>IF($A5541="","",$B5541&amp;" - "&amp;$C5541)</f>
        <v/>
      </c>
      <c r="S5541">
        <f>IF($A5541="","",$R5541&amp;"|"&amp;$Q5541)</f>
        <v/>
      </c>
      <c r="T5541">
        <f>IF($A5541="","",$S5541&amp;"|"&amp;$F5541)</f>
        <v/>
      </c>
      <c r="U5541">
        <f>IF($A5541="","",$R5541&amp;"("&amp;$E5541&amp;")")</f>
        <v/>
      </c>
      <c r="V5541">
        <f>IF($A5541="","",$F5541&amp;"|"&amp;$U5541&amp;"|"&amp;$D5541)</f>
        <v/>
      </c>
      <c r="W5541">
        <f>IF($T5541="","",IF($X5541&gt;N($X5540),$X5541,""))</f>
        <v/>
      </c>
      <c r="X5541">
        <f>IF($T5541="",N($X5540),IF(MATCH($T5541,$T$6:$T$6005,0)=ROW()-5,N($X5540)+1,N($X5540)))</f>
        <v/>
      </c>
      <c r="Z5541">
        <f>IF($V5541="","",IF($AA5541&gt;N($AA5540),$AA5541,""))</f>
        <v/>
      </c>
      <c r="AA5541">
        <f>IF($V5541="",N($AA5540),IF(MATCH($V5541,$V$6:$V$6005,0)=ROW()-5,N($AA5540)+1,N($AA5540)))</f>
        <v/>
      </c>
    </row>
    <row r="5542" ht="21" customHeight="1" s="66">
      <c r="A5542" s="56" t="n"/>
      <c r="B5542" s="57" t="n"/>
      <c r="C5542" s="57" t="n"/>
      <c r="D5542" s="57" t="n"/>
      <c r="E5542" s="56" t="n"/>
      <c r="F5542" s="57" t="n"/>
      <c r="G5542" s="57" t="n"/>
      <c r="H5542" s="56" t="n"/>
      <c r="I5542" s="56" t="n"/>
      <c r="J5542" s="58" t="n"/>
      <c r="K5542" s="58" t="n"/>
      <c r="L5542" s="13">
        <f>IF(OR($A5542="",AND($J5542="",$K5542="")),"",ROUND(N($J5542)-N($K5542),2))</f>
        <v/>
      </c>
      <c r="M5542" s="13">
        <f>IF(OR($A5542="",AND($J5542="",$K5542="")),"",MIN($J5542,$K5542))</f>
        <v/>
      </c>
      <c r="Q5542">
        <f>IF($A5542="","",$D5542&amp;"("&amp;SUBSTITUTE($E5542," ","")&amp;")")</f>
        <v/>
      </c>
      <c r="R5542">
        <f>IF($A5542="","",$B5542&amp;" - "&amp;$C5542)</f>
        <v/>
      </c>
      <c r="S5542">
        <f>IF($A5542="","",$R5542&amp;"|"&amp;$Q5542)</f>
        <v/>
      </c>
      <c r="T5542">
        <f>IF($A5542="","",$S5542&amp;"|"&amp;$F5542)</f>
        <v/>
      </c>
      <c r="U5542">
        <f>IF($A5542="","",$R5542&amp;"("&amp;$E5542&amp;")")</f>
        <v/>
      </c>
      <c r="V5542">
        <f>IF($A5542="","",$F5542&amp;"|"&amp;$U5542&amp;"|"&amp;$D5542)</f>
        <v/>
      </c>
      <c r="W5542">
        <f>IF($T5542="","",IF($X5542&gt;N($X5541),$X5542,""))</f>
        <v/>
      </c>
      <c r="X5542">
        <f>IF($T5542="",N($X5541),IF(MATCH($T5542,$T$6:$T$6005,0)=ROW()-5,N($X5541)+1,N($X5541)))</f>
        <v/>
      </c>
      <c r="Z5542">
        <f>IF($V5542="","",IF($AA5542&gt;N($AA5541),$AA5542,""))</f>
        <v/>
      </c>
      <c r="AA5542">
        <f>IF($V5542="",N($AA5541),IF(MATCH($V5542,$V$6:$V$6005,0)=ROW()-5,N($AA5541)+1,N($AA5541)))</f>
        <v/>
      </c>
    </row>
    <row r="5543" ht="21" customHeight="1" s="66">
      <c r="A5543" s="56" t="n"/>
      <c r="B5543" s="57" t="n"/>
      <c r="C5543" s="57" t="n"/>
      <c r="D5543" s="57" t="n"/>
      <c r="E5543" s="56" t="n"/>
      <c r="F5543" s="57" t="n"/>
      <c r="G5543" s="57" t="n"/>
      <c r="H5543" s="56" t="n"/>
      <c r="I5543" s="56" t="n"/>
      <c r="J5543" s="58" t="n"/>
      <c r="K5543" s="58" t="n"/>
      <c r="L5543" s="13">
        <f>IF(OR($A5543="",AND($J5543="",$K5543="")),"",ROUND(N($J5543)-N($K5543),2))</f>
        <v/>
      </c>
      <c r="M5543" s="13">
        <f>IF(OR($A5543="",AND($J5543="",$K5543="")),"",MIN($J5543,$K5543))</f>
        <v/>
      </c>
      <c r="Q5543">
        <f>IF($A5543="","",$D5543&amp;"("&amp;SUBSTITUTE($E5543," ","")&amp;")")</f>
        <v/>
      </c>
      <c r="R5543">
        <f>IF($A5543="","",$B5543&amp;" - "&amp;$C5543)</f>
        <v/>
      </c>
      <c r="S5543">
        <f>IF($A5543="","",$R5543&amp;"|"&amp;$Q5543)</f>
        <v/>
      </c>
      <c r="T5543">
        <f>IF($A5543="","",$S5543&amp;"|"&amp;$F5543)</f>
        <v/>
      </c>
      <c r="U5543">
        <f>IF($A5543="","",$R5543&amp;"("&amp;$E5543&amp;")")</f>
        <v/>
      </c>
      <c r="V5543">
        <f>IF($A5543="","",$F5543&amp;"|"&amp;$U5543&amp;"|"&amp;$D5543)</f>
        <v/>
      </c>
      <c r="W5543">
        <f>IF($T5543="","",IF($X5543&gt;N($X5542),$X5543,""))</f>
        <v/>
      </c>
      <c r="X5543">
        <f>IF($T5543="",N($X5542),IF(MATCH($T5543,$T$6:$T$6005,0)=ROW()-5,N($X5542)+1,N($X5542)))</f>
        <v/>
      </c>
      <c r="Z5543">
        <f>IF($V5543="","",IF($AA5543&gt;N($AA5542),$AA5543,""))</f>
        <v/>
      </c>
      <c r="AA5543">
        <f>IF($V5543="",N($AA5542),IF(MATCH($V5543,$V$6:$V$6005,0)=ROW()-5,N($AA5542)+1,N($AA5542)))</f>
        <v/>
      </c>
    </row>
    <row r="5544" ht="21" customHeight="1" s="66">
      <c r="A5544" s="56" t="n"/>
      <c r="B5544" s="57" t="n"/>
      <c r="C5544" s="57" t="n"/>
      <c r="D5544" s="57" t="n"/>
      <c r="E5544" s="56" t="n"/>
      <c r="F5544" s="57" t="n"/>
      <c r="G5544" s="57" t="n"/>
      <c r="H5544" s="56" t="n"/>
      <c r="I5544" s="56" t="n"/>
      <c r="J5544" s="58" t="n"/>
      <c r="K5544" s="58" t="n"/>
      <c r="L5544" s="13">
        <f>IF(OR($A5544="",AND($J5544="",$K5544="")),"",ROUND(N($J5544)-N($K5544),2))</f>
        <v/>
      </c>
      <c r="M5544" s="13">
        <f>IF(OR($A5544="",AND($J5544="",$K5544="")),"",MIN($J5544,$K5544))</f>
        <v/>
      </c>
      <c r="Q5544">
        <f>IF($A5544="","",$D5544&amp;"("&amp;SUBSTITUTE($E5544," ","")&amp;")")</f>
        <v/>
      </c>
      <c r="R5544">
        <f>IF($A5544="","",$B5544&amp;" - "&amp;$C5544)</f>
        <v/>
      </c>
      <c r="S5544">
        <f>IF($A5544="","",$R5544&amp;"|"&amp;$Q5544)</f>
        <v/>
      </c>
      <c r="T5544">
        <f>IF($A5544="","",$S5544&amp;"|"&amp;$F5544)</f>
        <v/>
      </c>
      <c r="U5544">
        <f>IF($A5544="","",$R5544&amp;"("&amp;$E5544&amp;")")</f>
        <v/>
      </c>
      <c r="V5544">
        <f>IF($A5544="","",$F5544&amp;"|"&amp;$U5544&amp;"|"&amp;$D5544)</f>
        <v/>
      </c>
      <c r="W5544">
        <f>IF($T5544="","",IF($X5544&gt;N($X5543),$X5544,""))</f>
        <v/>
      </c>
      <c r="X5544">
        <f>IF($T5544="",N($X5543),IF(MATCH($T5544,$T$6:$T$6005,0)=ROW()-5,N($X5543)+1,N($X5543)))</f>
        <v/>
      </c>
      <c r="Z5544">
        <f>IF($V5544="","",IF($AA5544&gt;N($AA5543),$AA5544,""))</f>
        <v/>
      </c>
      <c r="AA5544">
        <f>IF($V5544="",N($AA5543),IF(MATCH($V5544,$V$6:$V$6005,0)=ROW()-5,N($AA5543)+1,N($AA5543)))</f>
        <v/>
      </c>
    </row>
    <row r="5545" ht="21" customHeight="1" s="66">
      <c r="A5545" s="56" t="n"/>
      <c r="B5545" s="57" t="n"/>
      <c r="C5545" s="57" t="n"/>
      <c r="D5545" s="57" t="n"/>
      <c r="E5545" s="56" t="n"/>
      <c r="F5545" s="57" t="n"/>
      <c r="G5545" s="57" t="n"/>
      <c r="H5545" s="56" t="n"/>
      <c r="I5545" s="56" t="n"/>
      <c r="J5545" s="58" t="n"/>
      <c r="K5545" s="58" t="n"/>
      <c r="L5545" s="13">
        <f>IF(OR($A5545="",AND($J5545="",$K5545="")),"",ROUND(N($J5545)-N($K5545),2))</f>
        <v/>
      </c>
      <c r="M5545" s="13">
        <f>IF(OR($A5545="",AND($J5545="",$K5545="")),"",MIN($J5545,$K5545))</f>
        <v/>
      </c>
      <c r="Q5545">
        <f>IF($A5545="","",$D5545&amp;"("&amp;SUBSTITUTE($E5545," ","")&amp;")")</f>
        <v/>
      </c>
      <c r="R5545">
        <f>IF($A5545="","",$B5545&amp;" - "&amp;$C5545)</f>
        <v/>
      </c>
      <c r="S5545">
        <f>IF($A5545="","",$R5545&amp;"|"&amp;$Q5545)</f>
        <v/>
      </c>
      <c r="T5545">
        <f>IF($A5545="","",$S5545&amp;"|"&amp;$F5545)</f>
        <v/>
      </c>
      <c r="U5545">
        <f>IF($A5545="","",$R5545&amp;"("&amp;$E5545&amp;")")</f>
        <v/>
      </c>
      <c r="V5545">
        <f>IF($A5545="","",$F5545&amp;"|"&amp;$U5545&amp;"|"&amp;$D5545)</f>
        <v/>
      </c>
      <c r="W5545">
        <f>IF($T5545="","",IF($X5545&gt;N($X5544),$X5545,""))</f>
        <v/>
      </c>
      <c r="X5545">
        <f>IF($T5545="",N($X5544),IF(MATCH($T5545,$T$6:$T$6005,0)=ROW()-5,N($X5544)+1,N($X5544)))</f>
        <v/>
      </c>
      <c r="Z5545">
        <f>IF($V5545="","",IF($AA5545&gt;N($AA5544),$AA5545,""))</f>
        <v/>
      </c>
      <c r="AA5545">
        <f>IF($V5545="",N($AA5544),IF(MATCH($V5545,$V$6:$V$6005,0)=ROW()-5,N($AA5544)+1,N($AA5544)))</f>
        <v/>
      </c>
    </row>
    <row r="5546" ht="21" customHeight="1" s="66">
      <c r="A5546" s="56" t="n"/>
      <c r="B5546" s="57" t="n"/>
      <c r="C5546" s="57" t="n"/>
      <c r="D5546" s="57" t="n"/>
      <c r="E5546" s="56" t="n"/>
      <c r="F5546" s="57" t="n"/>
      <c r="G5546" s="57" t="n"/>
      <c r="H5546" s="56" t="n"/>
      <c r="I5546" s="56" t="n"/>
      <c r="J5546" s="58" t="n"/>
      <c r="K5546" s="58" t="n"/>
      <c r="L5546" s="13">
        <f>IF(OR($A5546="",AND($J5546="",$K5546="")),"",ROUND(N($J5546)-N($K5546),2))</f>
        <v/>
      </c>
      <c r="M5546" s="13">
        <f>IF(OR($A5546="",AND($J5546="",$K5546="")),"",MIN($J5546,$K5546))</f>
        <v/>
      </c>
      <c r="Q5546">
        <f>IF($A5546="","",$D5546&amp;"("&amp;SUBSTITUTE($E5546," ","")&amp;")")</f>
        <v/>
      </c>
      <c r="R5546">
        <f>IF($A5546="","",$B5546&amp;" - "&amp;$C5546)</f>
        <v/>
      </c>
      <c r="S5546">
        <f>IF($A5546="","",$R5546&amp;"|"&amp;$Q5546)</f>
        <v/>
      </c>
      <c r="T5546">
        <f>IF($A5546="","",$S5546&amp;"|"&amp;$F5546)</f>
        <v/>
      </c>
      <c r="U5546">
        <f>IF($A5546="","",$R5546&amp;"("&amp;$E5546&amp;")")</f>
        <v/>
      </c>
      <c r="V5546">
        <f>IF($A5546="","",$F5546&amp;"|"&amp;$U5546&amp;"|"&amp;$D5546)</f>
        <v/>
      </c>
      <c r="W5546">
        <f>IF($T5546="","",IF($X5546&gt;N($X5545),$X5546,""))</f>
        <v/>
      </c>
      <c r="X5546">
        <f>IF($T5546="",N($X5545),IF(MATCH($T5546,$T$6:$T$6005,0)=ROW()-5,N($X5545)+1,N($X5545)))</f>
        <v/>
      </c>
      <c r="Z5546">
        <f>IF($V5546="","",IF($AA5546&gt;N($AA5545),$AA5546,""))</f>
        <v/>
      </c>
      <c r="AA5546">
        <f>IF($V5546="",N($AA5545),IF(MATCH($V5546,$V$6:$V$6005,0)=ROW()-5,N($AA5545)+1,N($AA5545)))</f>
        <v/>
      </c>
    </row>
    <row r="5547" ht="21" customHeight="1" s="66">
      <c r="A5547" s="56" t="n"/>
      <c r="B5547" s="57" t="n"/>
      <c r="C5547" s="57" t="n"/>
      <c r="D5547" s="57" t="n"/>
      <c r="E5547" s="56" t="n"/>
      <c r="F5547" s="57" t="n"/>
      <c r="G5547" s="57" t="n"/>
      <c r="H5547" s="56" t="n"/>
      <c r="I5547" s="56" t="n"/>
      <c r="J5547" s="58" t="n"/>
      <c r="K5547" s="58" t="n"/>
      <c r="L5547" s="13">
        <f>IF(OR($A5547="",AND($J5547="",$K5547="")),"",ROUND(N($J5547)-N($K5547),2))</f>
        <v/>
      </c>
      <c r="M5547" s="13">
        <f>IF(OR($A5547="",AND($J5547="",$K5547="")),"",MIN($J5547,$K5547))</f>
        <v/>
      </c>
      <c r="Q5547">
        <f>IF($A5547="","",$D5547&amp;"("&amp;SUBSTITUTE($E5547," ","")&amp;")")</f>
        <v/>
      </c>
      <c r="R5547">
        <f>IF($A5547="","",$B5547&amp;" - "&amp;$C5547)</f>
        <v/>
      </c>
      <c r="S5547">
        <f>IF($A5547="","",$R5547&amp;"|"&amp;$Q5547)</f>
        <v/>
      </c>
      <c r="T5547">
        <f>IF($A5547="","",$S5547&amp;"|"&amp;$F5547)</f>
        <v/>
      </c>
      <c r="U5547">
        <f>IF($A5547="","",$R5547&amp;"("&amp;$E5547&amp;")")</f>
        <v/>
      </c>
      <c r="V5547">
        <f>IF($A5547="","",$F5547&amp;"|"&amp;$U5547&amp;"|"&amp;$D5547)</f>
        <v/>
      </c>
      <c r="W5547">
        <f>IF($T5547="","",IF($X5547&gt;N($X5546),$X5547,""))</f>
        <v/>
      </c>
      <c r="X5547">
        <f>IF($T5547="",N($X5546),IF(MATCH($T5547,$T$6:$T$6005,0)=ROW()-5,N($X5546)+1,N($X5546)))</f>
        <v/>
      </c>
      <c r="Z5547">
        <f>IF($V5547="","",IF($AA5547&gt;N($AA5546),$AA5547,""))</f>
        <v/>
      </c>
      <c r="AA5547">
        <f>IF($V5547="",N($AA5546),IF(MATCH($V5547,$V$6:$V$6005,0)=ROW()-5,N($AA5546)+1,N($AA5546)))</f>
        <v/>
      </c>
    </row>
    <row r="5548" ht="21" customHeight="1" s="66">
      <c r="A5548" s="56" t="n"/>
      <c r="B5548" s="57" t="n"/>
      <c r="C5548" s="57" t="n"/>
      <c r="D5548" s="57" t="n"/>
      <c r="E5548" s="56" t="n"/>
      <c r="F5548" s="57" t="n"/>
      <c r="G5548" s="57" t="n"/>
      <c r="H5548" s="56" t="n"/>
      <c r="I5548" s="56" t="n"/>
      <c r="J5548" s="58" t="n"/>
      <c r="K5548" s="58" t="n"/>
      <c r="L5548" s="13">
        <f>IF(OR($A5548="",AND($J5548="",$K5548="")),"",ROUND(N($J5548)-N($K5548),2))</f>
        <v/>
      </c>
      <c r="M5548" s="13">
        <f>IF(OR($A5548="",AND($J5548="",$K5548="")),"",MIN($J5548,$K5548))</f>
        <v/>
      </c>
      <c r="Q5548">
        <f>IF($A5548="","",$D5548&amp;"("&amp;SUBSTITUTE($E5548," ","")&amp;")")</f>
        <v/>
      </c>
      <c r="R5548">
        <f>IF($A5548="","",$B5548&amp;" - "&amp;$C5548)</f>
        <v/>
      </c>
      <c r="S5548">
        <f>IF($A5548="","",$R5548&amp;"|"&amp;$Q5548)</f>
        <v/>
      </c>
      <c r="T5548">
        <f>IF($A5548="","",$S5548&amp;"|"&amp;$F5548)</f>
        <v/>
      </c>
      <c r="U5548">
        <f>IF($A5548="","",$R5548&amp;"("&amp;$E5548&amp;")")</f>
        <v/>
      </c>
      <c r="V5548">
        <f>IF($A5548="","",$F5548&amp;"|"&amp;$U5548&amp;"|"&amp;$D5548)</f>
        <v/>
      </c>
      <c r="W5548">
        <f>IF($T5548="","",IF($X5548&gt;N($X5547),$X5548,""))</f>
        <v/>
      </c>
      <c r="X5548">
        <f>IF($T5548="",N($X5547),IF(MATCH($T5548,$T$6:$T$6005,0)=ROW()-5,N($X5547)+1,N($X5547)))</f>
        <v/>
      </c>
      <c r="Z5548">
        <f>IF($V5548="","",IF($AA5548&gt;N($AA5547),$AA5548,""))</f>
        <v/>
      </c>
      <c r="AA5548">
        <f>IF($V5548="",N($AA5547),IF(MATCH($V5548,$V$6:$V$6005,0)=ROW()-5,N($AA5547)+1,N($AA5547)))</f>
        <v/>
      </c>
    </row>
    <row r="5549" ht="21" customHeight="1" s="66">
      <c r="A5549" s="56" t="n"/>
      <c r="B5549" s="57" t="n"/>
      <c r="C5549" s="57" t="n"/>
      <c r="D5549" s="57" t="n"/>
      <c r="E5549" s="56" t="n"/>
      <c r="F5549" s="57" t="n"/>
      <c r="G5549" s="57" t="n"/>
      <c r="H5549" s="56" t="n"/>
      <c r="I5549" s="56" t="n"/>
      <c r="J5549" s="58" t="n"/>
      <c r="K5549" s="58" t="n"/>
      <c r="L5549" s="13">
        <f>IF(OR($A5549="",AND($J5549="",$K5549="")),"",ROUND(N($J5549)-N($K5549),2))</f>
        <v/>
      </c>
      <c r="M5549" s="13">
        <f>IF(OR($A5549="",AND($J5549="",$K5549="")),"",MIN($J5549,$K5549))</f>
        <v/>
      </c>
      <c r="Q5549">
        <f>IF($A5549="","",$D5549&amp;"("&amp;SUBSTITUTE($E5549," ","")&amp;")")</f>
        <v/>
      </c>
      <c r="R5549">
        <f>IF($A5549="","",$B5549&amp;" - "&amp;$C5549)</f>
        <v/>
      </c>
      <c r="S5549">
        <f>IF($A5549="","",$R5549&amp;"|"&amp;$Q5549)</f>
        <v/>
      </c>
      <c r="T5549">
        <f>IF($A5549="","",$S5549&amp;"|"&amp;$F5549)</f>
        <v/>
      </c>
      <c r="U5549">
        <f>IF($A5549="","",$R5549&amp;"("&amp;$E5549&amp;")")</f>
        <v/>
      </c>
      <c r="V5549">
        <f>IF($A5549="","",$F5549&amp;"|"&amp;$U5549&amp;"|"&amp;$D5549)</f>
        <v/>
      </c>
      <c r="W5549">
        <f>IF($T5549="","",IF($X5549&gt;N($X5548),$X5549,""))</f>
        <v/>
      </c>
      <c r="X5549">
        <f>IF($T5549="",N($X5548),IF(MATCH($T5549,$T$6:$T$6005,0)=ROW()-5,N($X5548)+1,N($X5548)))</f>
        <v/>
      </c>
      <c r="Z5549">
        <f>IF($V5549="","",IF($AA5549&gt;N($AA5548),$AA5549,""))</f>
        <v/>
      </c>
      <c r="AA5549">
        <f>IF($V5549="",N($AA5548),IF(MATCH($V5549,$V$6:$V$6005,0)=ROW()-5,N($AA5548)+1,N($AA5548)))</f>
        <v/>
      </c>
    </row>
    <row r="5550" ht="21" customHeight="1" s="66">
      <c r="A5550" s="56" t="n"/>
      <c r="B5550" s="57" t="n"/>
      <c r="C5550" s="57" t="n"/>
      <c r="D5550" s="57" t="n"/>
      <c r="E5550" s="56" t="n"/>
      <c r="F5550" s="57" t="n"/>
      <c r="G5550" s="57" t="n"/>
      <c r="H5550" s="56" t="n"/>
      <c r="I5550" s="56" t="n"/>
      <c r="J5550" s="58" t="n"/>
      <c r="K5550" s="58" t="n"/>
      <c r="L5550" s="13">
        <f>IF(OR($A5550="",AND($J5550="",$K5550="")),"",ROUND(N($J5550)-N($K5550),2))</f>
        <v/>
      </c>
      <c r="M5550" s="13">
        <f>IF(OR($A5550="",AND($J5550="",$K5550="")),"",MIN($J5550,$K5550))</f>
        <v/>
      </c>
      <c r="Q5550">
        <f>IF($A5550="","",$D5550&amp;"("&amp;SUBSTITUTE($E5550," ","")&amp;")")</f>
        <v/>
      </c>
      <c r="R5550">
        <f>IF($A5550="","",$B5550&amp;" - "&amp;$C5550)</f>
        <v/>
      </c>
      <c r="S5550">
        <f>IF($A5550="","",$R5550&amp;"|"&amp;$Q5550)</f>
        <v/>
      </c>
      <c r="T5550">
        <f>IF($A5550="","",$S5550&amp;"|"&amp;$F5550)</f>
        <v/>
      </c>
      <c r="U5550">
        <f>IF($A5550="","",$R5550&amp;"("&amp;$E5550&amp;")")</f>
        <v/>
      </c>
      <c r="V5550">
        <f>IF($A5550="","",$F5550&amp;"|"&amp;$U5550&amp;"|"&amp;$D5550)</f>
        <v/>
      </c>
      <c r="W5550">
        <f>IF($T5550="","",IF($X5550&gt;N($X5549),$X5550,""))</f>
        <v/>
      </c>
      <c r="X5550">
        <f>IF($T5550="",N($X5549),IF(MATCH($T5550,$T$6:$T$6005,0)=ROW()-5,N($X5549)+1,N($X5549)))</f>
        <v/>
      </c>
      <c r="Z5550">
        <f>IF($V5550="","",IF($AA5550&gt;N($AA5549),$AA5550,""))</f>
        <v/>
      </c>
      <c r="AA5550">
        <f>IF($V5550="",N($AA5549),IF(MATCH($V5550,$V$6:$V$6005,0)=ROW()-5,N($AA5549)+1,N($AA5549)))</f>
        <v/>
      </c>
    </row>
    <row r="5551" ht="21" customHeight="1" s="66">
      <c r="A5551" s="56" t="n"/>
      <c r="B5551" s="57" t="n"/>
      <c r="C5551" s="57" t="n"/>
      <c r="D5551" s="57" t="n"/>
      <c r="E5551" s="56" t="n"/>
      <c r="F5551" s="57" t="n"/>
      <c r="G5551" s="57" t="n"/>
      <c r="H5551" s="56" t="n"/>
      <c r="I5551" s="56" t="n"/>
      <c r="J5551" s="58" t="n"/>
      <c r="K5551" s="58" t="n"/>
      <c r="L5551" s="13">
        <f>IF(OR($A5551="",AND($J5551="",$K5551="")),"",ROUND(N($J5551)-N($K5551),2))</f>
        <v/>
      </c>
      <c r="M5551" s="13">
        <f>IF(OR($A5551="",AND($J5551="",$K5551="")),"",MIN($J5551,$K5551))</f>
        <v/>
      </c>
      <c r="Q5551">
        <f>IF($A5551="","",$D5551&amp;"("&amp;SUBSTITUTE($E5551," ","")&amp;")")</f>
        <v/>
      </c>
      <c r="R5551">
        <f>IF($A5551="","",$B5551&amp;" - "&amp;$C5551)</f>
        <v/>
      </c>
      <c r="S5551">
        <f>IF($A5551="","",$R5551&amp;"|"&amp;$Q5551)</f>
        <v/>
      </c>
      <c r="T5551">
        <f>IF($A5551="","",$S5551&amp;"|"&amp;$F5551)</f>
        <v/>
      </c>
      <c r="U5551">
        <f>IF($A5551="","",$R5551&amp;"("&amp;$E5551&amp;")")</f>
        <v/>
      </c>
      <c r="V5551">
        <f>IF($A5551="","",$F5551&amp;"|"&amp;$U5551&amp;"|"&amp;$D5551)</f>
        <v/>
      </c>
      <c r="W5551">
        <f>IF($T5551="","",IF($X5551&gt;N($X5550),$X5551,""))</f>
        <v/>
      </c>
      <c r="X5551">
        <f>IF($T5551="",N($X5550),IF(MATCH($T5551,$T$6:$T$6005,0)=ROW()-5,N($X5550)+1,N($X5550)))</f>
        <v/>
      </c>
      <c r="Z5551">
        <f>IF($V5551="","",IF($AA5551&gt;N($AA5550),$AA5551,""))</f>
        <v/>
      </c>
      <c r="AA5551">
        <f>IF($V5551="",N($AA5550),IF(MATCH($V5551,$V$6:$V$6005,0)=ROW()-5,N($AA5550)+1,N($AA5550)))</f>
        <v/>
      </c>
    </row>
    <row r="5552" ht="21" customHeight="1" s="66">
      <c r="A5552" s="56" t="n"/>
      <c r="B5552" s="57" t="n"/>
      <c r="C5552" s="57" t="n"/>
      <c r="D5552" s="57" t="n"/>
      <c r="E5552" s="56" t="n"/>
      <c r="F5552" s="57" t="n"/>
      <c r="G5552" s="57" t="n"/>
      <c r="H5552" s="56" t="n"/>
      <c r="I5552" s="56" t="n"/>
      <c r="J5552" s="58" t="n"/>
      <c r="K5552" s="58" t="n"/>
      <c r="L5552" s="13">
        <f>IF(OR($A5552="",AND($J5552="",$K5552="")),"",ROUND(N($J5552)-N($K5552),2))</f>
        <v/>
      </c>
      <c r="M5552" s="13">
        <f>IF(OR($A5552="",AND($J5552="",$K5552="")),"",MIN($J5552,$K5552))</f>
        <v/>
      </c>
      <c r="Q5552">
        <f>IF($A5552="","",$D5552&amp;"("&amp;SUBSTITUTE($E5552," ","")&amp;")")</f>
        <v/>
      </c>
      <c r="R5552">
        <f>IF($A5552="","",$B5552&amp;" - "&amp;$C5552)</f>
        <v/>
      </c>
      <c r="S5552">
        <f>IF($A5552="","",$R5552&amp;"|"&amp;$Q5552)</f>
        <v/>
      </c>
      <c r="T5552">
        <f>IF($A5552="","",$S5552&amp;"|"&amp;$F5552)</f>
        <v/>
      </c>
      <c r="U5552">
        <f>IF($A5552="","",$R5552&amp;"("&amp;$E5552&amp;")")</f>
        <v/>
      </c>
      <c r="V5552">
        <f>IF($A5552="","",$F5552&amp;"|"&amp;$U5552&amp;"|"&amp;$D5552)</f>
        <v/>
      </c>
      <c r="W5552">
        <f>IF($T5552="","",IF($X5552&gt;N($X5551),$X5552,""))</f>
        <v/>
      </c>
      <c r="X5552">
        <f>IF($T5552="",N($X5551),IF(MATCH($T5552,$T$6:$T$6005,0)=ROW()-5,N($X5551)+1,N($X5551)))</f>
        <v/>
      </c>
      <c r="Z5552">
        <f>IF($V5552="","",IF($AA5552&gt;N($AA5551),$AA5552,""))</f>
        <v/>
      </c>
      <c r="AA5552">
        <f>IF($V5552="",N($AA5551),IF(MATCH($V5552,$V$6:$V$6005,0)=ROW()-5,N($AA5551)+1,N($AA5551)))</f>
        <v/>
      </c>
    </row>
    <row r="5553" ht="21" customHeight="1" s="66">
      <c r="A5553" s="56" t="n"/>
      <c r="B5553" s="57" t="n"/>
      <c r="C5553" s="57" t="n"/>
      <c r="D5553" s="57" t="n"/>
      <c r="E5553" s="56" t="n"/>
      <c r="F5553" s="57" t="n"/>
      <c r="G5553" s="57" t="n"/>
      <c r="H5553" s="56" t="n"/>
      <c r="I5553" s="56" t="n"/>
      <c r="J5553" s="58" t="n"/>
      <c r="K5553" s="58" t="n"/>
      <c r="L5553" s="13">
        <f>IF(OR($A5553="",AND($J5553="",$K5553="")),"",ROUND(N($J5553)-N($K5553),2))</f>
        <v/>
      </c>
      <c r="M5553" s="13">
        <f>IF(OR($A5553="",AND($J5553="",$K5553="")),"",MIN($J5553,$K5553))</f>
        <v/>
      </c>
      <c r="Q5553">
        <f>IF($A5553="","",$D5553&amp;"("&amp;SUBSTITUTE($E5553," ","")&amp;")")</f>
        <v/>
      </c>
      <c r="R5553">
        <f>IF($A5553="","",$B5553&amp;" - "&amp;$C5553)</f>
        <v/>
      </c>
      <c r="S5553">
        <f>IF($A5553="","",$R5553&amp;"|"&amp;$Q5553)</f>
        <v/>
      </c>
      <c r="T5553">
        <f>IF($A5553="","",$S5553&amp;"|"&amp;$F5553)</f>
        <v/>
      </c>
      <c r="U5553">
        <f>IF($A5553="","",$R5553&amp;"("&amp;$E5553&amp;")")</f>
        <v/>
      </c>
      <c r="V5553">
        <f>IF($A5553="","",$F5553&amp;"|"&amp;$U5553&amp;"|"&amp;$D5553)</f>
        <v/>
      </c>
      <c r="W5553">
        <f>IF($T5553="","",IF($X5553&gt;N($X5552),$X5553,""))</f>
        <v/>
      </c>
      <c r="X5553">
        <f>IF($T5553="",N($X5552),IF(MATCH($T5553,$T$6:$T$6005,0)=ROW()-5,N($X5552)+1,N($X5552)))</f>
        <v/>
      </c>
      <c r="Z5553">
        <f>IF($V5553="","",IF($AA5553&gt;N($AA5552),$AA5553,""))</f>
        <v/>
      </c>
      <c r="AA5553">
        <f>IF($V5553="",N($AA5552),IF(MATCH($V5553,$V$6:$V$6005,0)=ROW()-5,N($AA5552)+1,N($AA5552)))</f>
        <v/>
      </c>
    </row>
    <row r="5554" ht="21" customHeight="1" s="66">
      <c r="A5554" s="56" t="n"/>
      <c r="B5554" s="57" t="n"/>
      <c r="C5554" s="57" t="n"/>
      <c r="D5554" s="57" t="n"/>
      <c r="E5554" s="56" t="n"/>
      <c r="F5554" s="57" t="n"/>
      <c r="G5554" s="57" t="n"/>
      <c r="H5554" s="56" t="n"/>
      <c r="I5554" s="56" t="n"/>
      <c r="J5554" s="58" t="n"/>
      <c r="K5554" s="58" t="n"/>
      <c r="L5554" s="13">
        <f>IF(OR($A5554="",AND($J5554="",$K5554="")),"",ROUND(N($J5554)-N($K5554),2))</f>
        <v/>
      </c>
      <c r="M5554" s="13">
        <f>IF(OR($A5554="",AND($J5554="",$K5554="")),"",MIN($J5554,$K5554))</f>
        <v/>
      </c>
      <c r="Q5554">
        <f>IF($A5554="","",$D5554&amp;"("&amp;SUBSTITUTE($E5554," ","")&amp;")")</f>
        <v/>
      </c>
      <c r="R5554">
        <f>IF($A5554="","",$B5554&amp;" - "&amp;$C5554)</f>
        <v/>
      </c>
      <c r="S5554">
        <f>IF($A5554="","",$R5554&amp;"|"&amp;$Q5554)</f>
        <v/>
      </c>
      <c r="T5554">
        <f>IF($A5554="","",$S5554&amp;"|"&amp;$F5554)</f>
        <v/>
      </c>
      <c r="U5554">
        <f>IF($A5554="","",$R5554&amp;"("&amp;$E5554&amp;")")</f>
        <v/>
      </c>
      <c r="V5554">
        <f>IF($A5554="","",$F5554&amp;"|"&amp;$U5554&amp;"|"&amp;$D5554)</f>
        <v/>
      </c>
      <c r="W5554">
        <f>IF($T5554="","",IF($X5554&gt;N($X5553),$X5554,""))</f>
        <v/>
      </c>
      <c r="X5554">
        <f>IF($T5554="",N($X5553),IF(MATCH($T5554,$T$6:$T$6005,0)=ROW()-5,N($X5553)+1,N($X5553)))</f>
        <v/>
      </c>
      <c r="Z5554">
        <f>IF($V5554="","",IF($AA5554&gt;N($AA5553),$AA5554,""))</f>
        <v/>
      </c>
      <c r="AA5554">
        <f>IF($V5554="",N($AA5553),IF(MATCH($V5554,$V$6:$V$6005,0)=ROW()-5,N($AA5553)+1,N($AA5553)))</f>
        <v/>
      </c>
    </row>
    <row r="5555" ht="21" customHeight="1" s="66">
      <c r="A5555" s="56" t="n"/>
      <c r="B5555" s="57" t="n"/>
      <c r="C5555" s="57" t="n"/>
      <c r="D5555" s="57" t="n"/>
      <c r="E5555" s="56" t="n"/>
      <c r="F5555" s="57" t="n"/>
      <c r="G5555" s="57" t="n"/>
      <c r="H5555" s="56" t="n"/>
      <c r="I5555" s="56" t="n"/>
      <c r="J5555" s="58" t="n"/>
      <c r="K5555" s="58" t="n"/>
      <c r="L5555" s="13">
        <f>IF(OR($A5555="",AND($J5555="",$K5555="")),"",ROUND(N($J5555)-N($K5555),2))</f>
        <v/>
      </c>
      <c r="M5555" s="13">
        <f>IF(OR($A5555="",AND($J5555="",$K5555="")),"",MIN($J5555,$K5555))</f>
        <v/>
      </c>
      <c r="Q5555">
        <f>IF($A5555="","",$D5555&amp;"("&amp;SUBSTITUTE($E5555," ","")&amp;")")</f>
        <v/>
      </c>
      <c r="R5555">
        <f>IF($A5555="","",$B5555&amp;" - "&amp;$C5555)</f>
        <v/>
      </c>
      <c r="S5555">
        <f>IF($A5555="","",$R5555&amp;"|"&amp;$Q5555)</f>
        <v/>
      </c>
      <c r="T5555">
        <f>IF($A5555="","",$S5555&amp;"|"&amp;$F5555)</f>
        <v/>
      </c>
      <c r="U5555">
        <f>IF($A5555="","",$R5555&amp;"("&amp;$E5555&amp;")")</f>
        <v/>
      </c>
      <c r="V5555">
        <f>IF($A5555="","",$F5555&amp;"|"&amp;$U5555&amp;"|"&amp;$D5555)</f>
        <v/>
      </c>
      <c r="W5555">
        <f>IF($T5555="","",IF($X5555&gt;N($X5554),$X5555,""))</f>
        <v/>
      </c>
      <c r="X5555">
        <f>IF($T5555="",N($X5554),IF(MATCH($T5555,$T$6:$T$6005,0)=ROW()-5,N($X5554)+1,N($X5554)))</f>
        <v/>
      </c>
      <c r="Z5555">
        <f>IF($V5555="","",IF($AA5555&gt;N($AA5554),$AA5555,""))</f>
        <v/>
      </c>
      <c r="AA5555">
        <f>IF($V5555="",N($AA5554),IF(MATCH($V5555,$V$6:$V$6005,0)=ROW()-5,N($AA5554)+1,N($AA5554)))</f>
        <v/>
      </c>
    </row>
    <row r="5556" ht="21" customHeight="1" s="66">
      <c r="A5556" s="56" t="n"/>
      <c r="B5556" s="57" t="n"/>
      <c r="C5556" s="57" t="n"/>
      <c r="D5556" s="57" t="n"/>
      <c r="E5556" s="56" t="n"/>
      <c r="F5556" s="57" t="n"/>
      <c r="G5556" s="57" t="n"/>
      <c r="H5556" s="56" t="n"/>
      <c r="I5556" s="56" t="n"/>
      <c r="J5556" s="58" t="n"/>
      <c r="K5556" s="58" t="n"/>
      <c r="L5556" s="13">
        <f>IF(OR($A5556="",AND($J5556="",$K5556="")),"",ROUND(N($J5556)-N($K5556),2))</f>
        <v/>
      </c>
      <c r="M5556" s="13">
        <f>IF(OR($A5556="",AND($J5556="",$K5556="")),"",MIN($J5556,$K5556))</f>
        <v/>
      </c>
      <c r="Q5556">
        <f>IF($A5556="","",$D5556&amp;"("&amp;SUBSTITUTE($E5556," ","")&amp;")")</f>
        <v/>
      </c>
      <c r="R5556">
        <f>IF($A5556="","",$B5556&amp;" - "&amp;$C5556)</f>
        <v/>
      </c>
      <c r="S5556">
        <f>IF($A5556="","",$R5556&amp;"|"&amp;$Q5556)</f>
        <v/>
      </c>
      <c r="T5556">
        <f>IF($A5556="","",$S5556&amp;"|"&amp;$F5556)</f>
        <v/>
      </c>
      <c r="U5556">
        <f>IF($A5556="","",$R5556&amp;"("&amp;$E5556&amp;")")</f>
        <v/>
      </c>
      <c r="V5556">
        <f>IF($A5556="","",$F5556&amp;"|"&amp;$U5556&amp;"|"&amp;$D5556)</f>
        <v/>
      </c>
      <c r="W5556">
        <f>IF($T5556="","",IF($X5556&gt;N($X5555),$X5556,""))</f>
        <v/>
      </c>
      <c r="X5556">
        <f>IF($T5556="",N($X5555),IF(MATCH($T5556,$T$6:$T$6005,0)=ROW()-5,N($X5555)+1,N($X5555)))</f>
        <v/>
      </c>
      <c r="Z5556">
        <f>IF($V5556="","",IF($AA5556&gt;N($AA5555),$AA5556,""))</f>
        <v/>
      </c>
      <c r="AA5556">
        <f>IF($V5556="",N($AA5555),IF(MATCH($V5556,$V$6:$V$6005,0)=ROW()-5,N($AA5555)+1,N($AA5555)))</f>
        <v/>
      </c>
    </row>
    <row r="5557" ht="21" customHeight="1" s="66">
      <c r="A5557" s="56" t="n"/>
      <c r="B5557" s="57" t="n"/>
      <c r="C5557" s="57" t="n"/>
      <c r="D5557" s="57" t="n"/>
      <c r="E5557" s="56" t="n"/>
      <c r="F5557" s="57" t="n"/>
      <c r="G5557" s="57" t="n"/>
      <c r="H5557" s="56" t="n"/>
      <c r="I5557" s="56" t="n"/>
      <c r="J5557" s="58" t="n"/>
      <c r="K5557" s="58" t="n"/>
      <c r="L5557" s="13">
        <f>IF(OR($A5557="",AND($J5557="",$K5557="")),"",ROUND(N($J5557)-N($K5557),2))</f>
        <v/>
      </c>
      <c r="M5557" s="13">
        <f>IF(OR($A5557="",AND($J5557="",$K5557="")),"",MIN($J5557,$K5557))</f>
        <v/>
      </c>
      <c r="Q5557">
        <f>IF($A5557="","",$D5557&amp;"("&amp;SUBSTITUTE($E5557," ","")&amp;")")</f>
        <v/>
      </c>
      <c r="R5557">
        <f>IF($A5557="","",$B5557&amp;" - "&amp;$C5557)</f>
        <v/>
      </c>
      <c r="S5557">
        <f>IF($A5557="","",$R5557&amp;"|"&amp;$Q5557)</f>
        <v/>
      </c>
      <c r="T5557">
        <f>IF($A5557="","",$S5557&amp;"|"&amp;$F5557)</f>
        <v/>
      </c>
      <c r="U5557">
        <f>IF($A5557="","",$R5557&amp;"("&amp;$E5557&amp;")")</f>
        <v/>
      </c>
      <c r="V5557">
        <f>IF($A5557="","",$F5557&amp;"|"&amp;$U5557&amp;"|"&amp;$D5557)</f>
        <v/>
      </c>
      <c r="W5557">
        <f>IF($T5557="","",IF($X5557&gt;N($X5556),$X5557,""))</f>
        <v/>
      </c>
      <c r="X5557">
        <f>IF($T5557="",N($X5556),IF(MATCH($T5557,$T$6:$T$6005,0)=ROW()-5,N($X5556)+1,N($X5556)))</f>
        <v/>
      </c>
      <c r="Z5557">
        <f>IF($V5557="","",IF($AA5557&gt;N($AA5556),$AA5557,""))</f>
        <v/>
      </c>
      <c r="AA5557">
        <f>IF($V5557="",N($AA5556),IF(MATCH($V5557,$V$6:$V$6005,0)=ROW()-5,N($AA5556)+1,N($AA5556)))</f>
        <v/>
      </c>
    </row>
    <row r="5558" ht="21" customHeight="1" s="66">
      <c r="A5558" s="56" t="n"/>
      <c r="B5558" s="57" t="n"/>
      <c r="C5558" s="57" t="n"/>
      <c r="D5558" s="57" t="n"/>
      <c r="E5558" s="56" t="n"/>
      <c r="F5558" s="57" t="n"/>
      <c r="G5558" s="57" t="n"/>
      <c r="H5558" s="56" t="n"/>
      <c r="I5558" s="56" t="n"/>
      <c r="J5558" s="58" t="n"/>
      <c r="K5558" s="58" t="n"/>
      <c r="L5558" s="13">
        <f>IF(OR($A5558="",AND($J5558="",$K5558="")),"",ROUND(N($J5558)-N($K5558),2))</f>
        <v/>
      </c>
      <c r="M5558" s="13">
        <f>IF(OR($A5558="",AND($J5558="",$K5558="")),"",MIN($J5558,$K5558))</f>
        <v/>
      </c>
      <c r="Q5558">
        <f>IF($A5558="","",$D5558&amp;"("&amp;SUBSTITUTE($E5558," ","")&amp;")")</f>
        <v/>
      </c>
      <c r="R5558">
        <f>IF($A5558="","",$B5558&amp;" - "&amp;$C5558)</f>
        <v/>
      </c>
      <c r="S5558">
        <f>IF($A5558="","",$R5558&amp;"|"&amp;$Q5558)</f>
        <v/>
      </c>
      <c r="T5558">
        <f>IF($A5558="","",$S5558&amp;"|"&amp;$F5558)</f>
        <v/>
      </c>
      <c r="U5558">
        <f>IF($A5558="","",$R5558&amp;"("&amp;$E5558&amp;")")</f>
        <v/>
      </c>
      <c r="V5558">
        <f>IF($A5558="","",$F5558&amp;"|"&amp;$U5558&amp;"|"&amp;$D5558)</f>
        <v/>
      </c>
      <c r="W5558">
        <f>IF($T5558="","",IF($X5558&gt;N($X5557),$X5558,""))</f>
        <v/>
      </c>
      <c r="X5558">
        <f>IF($T5558="",N($X5557),IF(MATCH($T5558,$T$6:$T$6005,0)=ROW()-5,N($X5557)+1,N($X5557)))</f>
        <v/>
      </c>
      <c r="Z5558">
        <f>IF($V5558="","",IF($AA5558&gt;N($AA5557),$AA5558,""))</f>
        <v/>
      </c>
      <c r="AA5558">
        <f>IF($V5558="",N($AA5557),IF(MATCH($V5558,$V$6:$V$6005,0)=ROW()-5,N($AA5557)+1,N($AA5557)))</f>
        <v/>
      </c>
    </row>
    <row r="5559" ht="21" customHeight="1" s="66">
      <c r="A5559" s="56" t="n"/>
      <c r="B5559" s="57" t="n"/>
      <c r="C5559" s="57" t="n"/>
      <c r="D5559" s="57" t="n"/>
      <c r="E5559" s="56" t="n"/>
      <c r="F5559" s="57" t="n"/>
      <c r="G5559" s="57" t="n"/>
      <c r="H5559" s="56" t="n"/>
      <c r="I5559" s="56" t="n"/>
      <c r="J5559" s="58" t="n"/>
      <c r="K5559" s="58" t="n"/>
      <c r="L5559" s="13">
        <f>IF(OR($A5559="",AND($J5559="",$K5559="")),"",ROUND(N($J5559)-N($K5559),2))</f>
        <v/>
      </c>
      <c r="M5559" s="13">
        <f>IF(OR($A5559="",AND($J5559="",$K5559="")),"",MIN($J5559,$K5559))</f>
        <v/>
      </c>
      <c r="Q5559">
        <f>IF($A5559="","",$D5559&amp;"("&amp;SUBSTITUTE($E5559," ","")&amp;")")</f>
        <v/>
      </c>
      <c r="R5559">
        <f>IF($A5559="","",$B5559&amp;" - "&amp;$C5559)</f>
        <v/>
      </c>
      <c r="S5559">
        <f>IF($A5559="","",$R5559&amp;"|"&amp;$Q5559)</f>
        <v/>
      </c>
      <c r="T5559">
        <f>IF($A5559="","",$S5559&amp;"|"&amp;$F5559)</f>
        <v/>
      </c>
      <c r="U5559">
        <f>IF($A5559="","",$R5559&amp;"("&amp;$E5559&amp;")")</f>
        <v/>
      </c>
      <c r="V5559">
        <f>IF($A5559="","",$F5559&amp;"|"&amp;$U5559&amp;"|"&amp;$D5559)</f>
        <v/>
      </c>
      <c r="W5559">
        <f>IF($T5559="","",IF($X5559&gt;N($X5558),$X5559,""))</f>
        <v/>
      </c>
      <c r="X5559">
        <f>IF($T5559="",N($X5558),IF(MATCH($T5559,$T$6:$T$6005,0)=ROW()-5,N($X5558)+1,N($X5558)))</f>
        <v/>
      </c>
      <c r="Z5559">
        <f>IF($V5559="","",IF($AA5559&gt;N($AA5558),$AA5559,""))</f>
        <v/>
      </c>
      <c r="AA5559">
        <f>IF($V5559="",N($AA5558),IF(MATCH($V5559,$V$6:$V$6005,0)=ROW()-5,N($AA5558)+1,N($AA5558)))</f>
        <v/>
      </c>
    </row>
    <row r="5560" ht="21" customHeight="1" s="66">
      <c r="A5560" s="56" t="n"/>
      <c r="B5560" s="57" t="n"/>
      <c r="C5560" s="57" t="n"/>
      <c r="D5560" s="57" t="n"/>
      <c r="E5560" s="56" t="n"/>
      <c r="F5560" s="57" t="n"/>
      <c r="G5560" s="57" t="n"/>
      <c r="H5560" s="56" t="n"/>
      <c r="I5560" s="56" t="n"/>
      <c r="J5560" s="58" t="n"/>
      <c r="K5560" s="58" t="n"/>
      <c r="L5560" s="13">
        <f>IF(OR($A5560="",AND($J5560="",$K5560="")),"",ROUND(N($J5560)-N($K5560),2))</f>
        <v/>
      </c>
      <c r="M5560" s="13">
        <f>IF(OR($A5560="",AND($J5560="",$K5560="")),"",MIN($J5560,$K5560))</f>
        <v/>
      </c>
      <c r="Q5560">
        <f>IF($A5560="","",$D5560&amp;"("&amp;SUBSTITUTE($E5560," ","")&amp;")")</f>
        <v/>
      </c>
      <c r="R5560">
        <f>IF($A5560="","",$B5560&amp;" - "&amp;$C5560)</f>
        <v/>
      </c>
      <c r="S5560">
        <f>IF($A5560="","",$R5560&amp;"|"&amp;$Q5560)</f>
        <v/>
      </c>
      <c r="T5560">
        <f>IF($A5560="","",$S5560&amp;"|"&amp;$F5560)</f>
        <v/>
      </c>
      <c r="U5560">
        <f>IF($A5560="","",$R5560&amp;"("&amp;$E5560&amp;")")</f>
        <v/>
      </c>
      <c r="V5560">
        <f>IF($A5560="","",$F5560&amp;"|"&amp;$U5560&amp;"|"&amp;$D5560)</f>
        <v/>
      </c>
      <c r="W5560">
        <f>IF($T5560="","",IF($X5560&gt;N($X5559),$X5560,""))</f>
        <v/>
      </c>
      <c r="X5560">
        <f>IF($T5560="",N($X5559),IF(MATCH($T5560,$T$6:$T$6005,0)=ROW()-5,N($X5559)+1,N($X5559)))</f>
        <v/>
      </c>
      <c r="Z5560">
        <f>IF($V5560="","",IF($AA5560&gt;N($AA5559),$AA5560,""))</f>
        <v/>
      </c>
      <c r="AA5560">
        <f>IF($V5560="",N($AA5559),IF(MATCH($V5560,$V$6:$V$6005,0)=ROW()-5,N($AA5559)+1,N($AA5559)))</f>
        <v/>
      </c>
    </row>
    <row r="5561" ht="21" customHeight="1" s="66">
      <c r="A5561" s="56" t="n"/>
      <c r="B5561" s="57" t="n"/>
      <c r="C5561" s="57" t="n"/>
      <c r="D5561" s="57" t="n"/>
      <c r="E5561" s="56" t="n"/>
      <c r="F5561" s="57" t="n"/>
      <c r="G5561" s="57" t="n"/>
      <c r="H5561" s="56" t="n"/>
      <c r="I5561" s="56" t="n"/>
      <c r="J5561" s="58" t="n"/>
      <c r="K5561" s="58" t="n"/>
      <c r="L5561" s="13">
        <f>IF(OR($A5561="",AND($J5561="",$K5561="")),"",ROUND(N($J5561)-N($K5561),2))</f>
        <v/>
      </c>
      <c r="M5561" s="13">
        <f>IF(OR($A5561="",AND($J5561="",$K5561="")),"",MIN($J5561,$K5561))</f>
        <v/>
      </c>
      <c r="Q5561">
        <f>IF($A5561="","",$D5561&amp;"("&amp;SUBSTITUTE($E5561," ","")&amp;")")</f>
        <v/>
      </c>
      <c r="R5561">
        <f>IF($A5561="","",$B5561&amp;" - "&amp;$C5561)</f>
        <v/>
      </c>
      <c r="S5561">
        <f>IF($A5561="","",$R5561&amp;"|"&amp;$Q5561)</f>
        <v/>
      </c>
      <c r="T5561">
        <f>IF($A5561="","",$S5561&amp;"|"&amp;$F5561)</f>
        <v/>
      </c>
      <c r="U5561">
        <f>IF($A5561="","",$R5561&amp;"("&amp;$E5561&amp;")")</f>
        <v/>
      </c>
      <c r="V5561">
        <f>IF($A5561="","",$F5561&amp;"|"&amp;$U5561&amp;"|"&amp;$D5561)</f>
        <v/>
      </c>
      <c r="W5561">
        <f>IF($T5561="","",IF($X5561&gt;N($X5560),$X5561,""))</f>
        <v/>
      </c>
      <c r="X5561">
        <f>IF($T5561="",N($X5560),IF(MATCH($T5561,$T$6:$T$6005,0)=ROW()-5,N($X5560)+1,N($X5560)))</f>
        <v/>
      </c>
      <c r="Z5561">
        <f>IF($V5561="","",IF($AA5561&gt;N($AA5560),$AA5561,""))</f>
        <v/>
      </c>
      <c r="AA5561">
        <f>IF($V5561="",N($AA5560),IF(MATCH($V5561,$V$6:$V$6005,0)=ROW()-5,N($AA5560)+1,N($AA5560)))</f>
        <v/>
      </c>
    </row>
    <row r="5562" ht="21" customHeight="1" s="66">
      <c r="A5562" s="56" t="n"/>
      <c r="B5562" s="57" t="n"/>
      <c r="C5562" s="57" t="n"/>
      <c r="D5562" s="57" t="n"/>
      <c r="E5562" s="56" t="n"/>
      <c r="F5562" s="57" t="n"/>
      <c r="G5562" s="57" t="n"/>
      <c r="H5562" s="56" t="n"/>
      <c r="I5562" s="56" t="n"/>
      <c r="J5562" s="58" t="n"/>
      <c r="K5562" s="58" t="n"/>
      <c r="L5562" s="13">
        <f>IF(OR($A5562="",AND($J5562="",$K5562="")),"",ROUND(N($J5562)-N($K5562),2))</f>
        <v/>
      </c>
      <c r="M5562" s="13">
        <f>IF(OR($A5562="",AND($J5562="",$K5562="")),"",MIN($J5562,$K5562))</f>
        <v/>
      </c>
      <c r="Q5562">
        <f>IF($A5562="","",$D5562&amp;"("&amp;SUBSTITUTE($E5562," ","")&amp;")")</f>
        <v/>
      </c>
      <c r="R5562">
        <f>IF($A5562="","",$B5562&amp;" - "&amp;$C5562)</f>
        <v/>
      </c>
      <c r="S5562">
        <f>IF($A5562="","",$R5562&amp;"|"&amp;$Q5562)</f>
        <v/>
      </c>
      <c r="T5562">
        <f>IF($A5562="","",$S5562&amp;"|"&amp;$F5562)</f>
        <v/>
      </c>
      <c r="U5562">
        <f>IF($A5562="","",$R5562&amp;"("&amp;$E5562&amp;")")</f>
        <v/>
      </c>
      <c r="V5562">
        <f>IF($A5562="","",$F5562&amp;"|"&amp;$U5562&amp;"|"&amp;$D5562)</f>
        <v/>
      </c>
      <c r="W5562">
        <f>IF($T5562="","",IF($X5562&gt;N($X5561),$X5562,""))</f>
        <v/>
      </c>
      <c r="X5562">
        <f>IF($T5562="",N($X5561),IF(MATCH($T5562,$T$6:$T$6005,0)=ROW()-5,N($X5561)+1,N($X5561)))</f>
        <v/>
      </c>
      <c r="Z5562">
        <f>IF($V5562="","",IF($AA5562&gt;N($AA5561),$AA5562,""))</f>
        <v/>
      </c>
      <c r="AA5562">
        <f>IF($V5562="",N($AA5561),IF(MATCH($V5562,$V$6:$V$6005,0)=ROW()-5,N($AA5561)+1,N($AA5561)))</f>
        <v/>
      </c>
    </row>
    <row r="5563" ht="21" customHeight="1" s="66">
      <c r="A5563" s="56" t="n"/>
      <c r="B5563" s="57" t="n"/>
      <c r="C5563" s="57" t="n"/>
      <c r="D5563" s="57" t="n"/>
      <c r="E5563" s="56" t="n"/>
      <c r="F5563" s="57" t="n"/>
      <c r="G5563" s="57" t="n"/>
      <c r="H5563" s="56" t="n"/>
      <c r="I5563" s="56" t="n"/>
      <c r="J5563" s="58" t="n"/>
      <c r="K5563" s="58" t="n"/>
      <c r="L5563" s="13">
        <f>IF(OR($A5563="",AND($J5563="",$K5563="")),"",ROUND(N($J5563)-N($K5563),2))</f>
        <v/>
      </c>
      <c r="M5563" s="13">
        <f>IF(OR($A5563="",AND($J5563="",$K5563="")),"",MIN($J5563,$K5563))</f>
        <v/>
      </c>
      <c r="Q5563">
        <f>IF($A5563="","",$D5563&amp;"("&amp;SUBSTITUTE($E5563," ","")&amp;")")</f>
        <v/>
      </c>
      <c r="R5563">
        <f>IF($A5563="","",$B5563&amp;" - "&amp;$C5563)</f>
        <v/>
      </c>
      <c r="S5563">
        <f>IF($A5563="","",$R5563&amp;"|"&amp;$Q5563)</f>
        <v/>
      </c>
      <c r="T5563">
        <f>IF($A5563="","",$S5563&amp;"|"&amp;$F5563)</f>
        <v/>
      </c>
      <c r="U5563">
        <f>IF($A5563="","",$R5563&amp;"("&amp;$E5563&amp;")")</f>
        <v/>
      </c>
      <c r="V5563">
        <f>IF($A5563="","",$F5563&amp;"|"&amp;$U5563&amp;"|"&amp;$D5563)</f>
        <v/>
      </c>
      <c r="W5563">
        <f>IF($T5563="","",IF($X5563&gt;N($X5562),$X5563,""))</f>
        <v/>
      </c>
      <c r="X5563">
        <f>IF($T5563="",N($X5562),IF(MATCH($T5563,$T$6:$T$6005,0)=ROW()-5,N($X5562)+1,N($X5562)))</f>
        <v/>
      </c>
      <c r="Z5563">
        <f>IF($V5563="","",IF($AA5563&gt;N($AA5562),$AA5563,""))</f>
        <v/>
      </c>
      <c r="AA5563">
        <f>IF($V5563="",N($AA5562),IF(MATCH($V5563,$V$6:$V$6005,0)=ROW()-5,N($AA5562)+1,N($AA5562)))</f>
        <v/>
      </c>
    </row>
    <row r="5564" ht="21" customHeight="1" s="66">
      <c r="A5564" s="56" t="n"/>
      <c r="B5564" s="57" t="n"/>
      <c r="C5564" s="57" t="n"/>
      <c r="D5564" s="57" t="n"/>
      <c r="E5564" s="56" t="n"/>
      <c r="F5564" s="57" t="n"/>
      <c r="G5564" s="57" t="n"/>
      <c r="H5564" s="56" t="n"/>
      <c r="I5564" s="56" t="n"/>
      <c r="J5564" s="58" t="n"/>
      <c r="K5564" s="58" t="n"/>
      <c r="L5564" s="13">
        <f>IF(OR($A5564="",AND($J5564="",$K5564="")),"",ROUND(N($J5564)-N($K5564),2))</f>
        <v/>
      </c>
      <c r="M5564" s="13">
        <f>IF(OR($A5564="",AND($J5564="",$K5564="")),"",MIN($J5564,$K5564))</f>
        <v/>
      </c>
      <c r="Q5564">
        <f>IF($A5564="","",$D5564&amp;"("&amp;SUBSTITUTE($E5564," ","")&amp;")")</f>
        <v/>
      </c>
      <c r="R5564">
        <f>IF($A5564="","",$B5564&amp;" - "&amp;$C5564)</f>
        <v/>
      </c>
      <c r="S5564">
        <f>IF($A5564="","",$R5564&amp;"|"&amp;$Q5564)</f>
        <v/>
      </c>
      <c r="T5564">
        <f>IF($A5564="","",$S5564&amp;"|"&amp;$F5564)</f>
        <v/>
      </c>
      <c r="U5564">
        <f>IF($A5564="","",$R5564&amp;"("&amp;$E5564&amp;")")</f>
        <v/>
      </c>
      <c r="V5564">
        <f>IF($A5564="","",$F5564&amp;"|"&amp;$U5564&amp;"|"&amp;$D5564)</f>
        <v/>
      </c>
      <c r="W5564">
        <f>IF($T5564="","",IF($X5564&gt;N($X5563),$X5564,""))</f>
        <v/>
      </c>
      <c r="X5564">
        <f>IF($T5564="",N($X5563),IF(MATCH($T5564,$T$6:$T$6005,0)=ROW()-5,N($X5563)+1,N($X5563)))</f>
        <v/>
      </c>
      <c r="Z5564">
        <f>IF($V5564="","",IF($AA5564&gt;N($AA5563),$AA5564,""))</f>
        <v/>
      </c>
      <c r="AA5564">
        <f>IF($V5564="",N($AA5563),IF(MATCH($V5564,$V$6:$V$6005,0)=ROW()-5,N($AA5563)+1,N($AA5563)))</f>
        <v/>
      </c>
    </row>
    <row r="5565" ht="21" customHeight="1" s="66">
      <c r="A5565" s="56" t="n"/>
      <c r="B5565" s="57" t="n"/>
      <c r="C5565" s="57" t="n"/>
      <c r="D5565" s="57" t="n"/>
      <c r="E5565" s="56" t="n"/>
      <c r="F5565" s="57" t="n"/>
      <c r="G5565" s="57" t="n"/>
      <c r="H5565" s="56" t="n"/>
      <c r="I5565" s="56" t="n"/>
      <c r="J5565" s="58" t="n"/>
      <c r="K5565" s="58" t="n"/>
      <c r="L5565" s="13">
        <f>IF(OR($A5565="",AND($J5565="",$K5565="")),"",ROUND(N($J5565)-N($K5565),2))</f>
        <v/>
      </c>
      <c r="M5565" s="13">
        <f>IF(OR($A5565="",AND($J5565="",$K5565="")),"",MIN($J5565,$K5565))</f>
        <v/>
      </c>
      <c r="Q5565">
        <f>IF($A5565="","",$D5565&amp;"("&amp;SUBSTITUTE($E5565," ","")&amp;")")</f>
        <v/>
      </c>
      <c r="R5565">
        <f>IF($A5565="","",$B5565&amp;" - "&amp;$C5565)</f>
        <v/>
      </c>
      <c r="S5565">
        <f>IF($A5565="","",$R5565&amp;"|"&amp;$Q5565)</f>
        <v/>
      </c>
      <c r="T5565">
        <f>IF($A5565="","",$S5565&amp;"|"&amp;$F5565)</f>
        <v/>
      </c>
      <c r="U5565">
        <f>IF($A5565="","",$R5565&amp;"("&amp;$E5565&amp;")")</f>
        <v/>
      </c>
      <c r="V5565">
        <f>IF($A5565="","",$F5565&amp;"|"&amp;$U5565&amp;"|"&amp;$D5565)</f>
        <v/>
      </c>
      <c r="W5565">
        <f>IF($T5565="","",IF($X5565&gt;N($X5564),$X5565,""))</f>
        <v/>
      </c>
      <c r="X5565">
        <f>IF($T5565="",N($X5564),IF(MATCH($T5565,$T$6:$T$6005,0)=ROW()-5,N($X5564)+1,N($X5564)))</f>
        <v/>
      </c>
      <c r="Z5565">
        <f>IF($V5565="","",IF($AA5565&gt;N($AA5564),$AA5565,""))</f>
        <v/>
      </c>
      <c r="AA5565">
        <f>IF($V5565="",N($AA5564),IF(MATCH($V5565,$V$6:$V$6005,0)=ROW()-5,N($AA5564)+1,N($AA5564)))</f>
        <v/>
      </c>
    </row>
    <row r="5566" ht="21" customHeight="1" s="66">
      <c r="A5566" s="56" t="n"/>
      <c r="B5566" s="57" t="n"/>
      <c r="C5566" s="57" t="n"/>
      <c r="D5566" s="57" t="n"/>
      <c r="E5566" s="56" t="n"/>
      <c r="F5566" s="57" t="n"/>
      <c r="G5566" s="57" t="n"/>
      <c r="H5566" s="56" t="n"/>
      <c r="I5566" s="56" t="n"/>
      <c r="J5566" s="58" t="n"/>
      <c r="K5566" s="58" t="n"/>
      <c r="L5566" s="13">
        <f>IF(OR($A5566="",AND($J5566="",$K5566="")),"",ROUND(N($J5566)-N($K5566),2))</f>
        <v/>
      </c>
      <c r="M5566" s="13">
        <f>IF(OR($A5566="",AND($J5566="",$K5566="")),"",MIN($J5566,$K5566))</f>
        <v/>
      </c>
      <c r="Q5566">
        <f>IF($A5566="","",$D5566&amp;"("&amp;SUBSTITUTE($E5566," ","")&amp;")")</f>
        <v/>
      </c>
      <c r="R5566">
        <f>IF($A5566="","",$B5566&amp;" - "&amp;$C5566)</f>
        <v/>
      </c>
      <c r="S5566">
        <f>IF($A5566="","",$R5566&amp;"|"&amp;$Q5566)</f>
        <v/>
      </c>
      <c r="T5566">
        <f>IF($A5566="","",$S5566&amp;"|"&amp;$F5566)</f>
        <v/>
      </c>
      <c r="U5566">
        <f>IF($A5566="","",$R5566&amp;"("&amp;$E5566&amp;")")</f>
        <v/>
      </c>
      <c r="V5566">
        <f>IF($A5566="","",$F5566&amp;"|"&amp;$U5566&amp;"|"&amp;$D5566)</f>
        <v/>
      </c>
      <c r="W5566">
        <f>IF($T5566="","",IF($X5566&gt;N($X5565),$X5566,""))</f>
        <v/>
      </c>
      <c r="X5566">
        <f>IF($T5566="",N($X5565),IF(MATCH($T5566,$T$6:$T$6005,0)=ROW()-5,N($X5565)+1,N($X5565)))</f>
        <v/>
      </c>
      <c r="Z5566">
        <f>IF($V5566="","",IF($AA5566&gt;N($AA5565),$AA5566,""))</f>
        <v/>
      </c>
      <c r="AA5566">
        <f>IF($V5566="",N($AA5565),IF(MATCH($V5566,$V$6:$V$6005,0)=ROW()-5,N($AA5565)+1,N($AA5565)))</f>
        <v/>
      </c>
    </row>
    <row r="5567" ht="21" customHeight="1" s="66">
      <c r="A5567" s="56" t="n"/>
      <c r="B5567" s="57" t="n"/>
      <c r="C5567" s="57" t="n"/>
      <c r="D5567" s="57" t="n"/>
      <c r="E5567" s="56" t="n"/>
      <c r="F5567" s="57" t="n"/>
      <c r="G5567" s="57" t="n"/>
      <c r="H5567" s="56" t="n"/>
      <c r="I5567" s="56" t="n"/>
      <c r="J5567" s="58" t="n"/>
      <c r="K5567" s="58" t="n"/>
      <c r="L5567" s="13">
        <f>IF(OR($A5567="",AND($J5567="",$K5567="")),"",ROUND(N($J5567)-N($K5567),2))</f>
        <v/>
      </c>
      <c r="M5567" s="13">
        <f>IF(OR($A5567="",AND($J5567="",$K5567="")),"",MIN($J5567,$K5567))</f>
        <v/>
      </c>
      <c r="Q5567">
        <f>IF($A5567="","",$D5567&amp;"("&amp;SUBSTITUTE($E5567," ","")&amp;")")</f>
        <v/>
      </c>
      <c r="R5567">
        <f>IF($A5567="","",$B5567&amp;" - "&amp;$C5567)</f>
        <v/>
      </c>
      <c r="S5567">
        <f>IF($A5567="","",$R5567&amp;"|"&amp;$Q5567)</f>
        <v/>
      </c>
      <c r="T5567">
        <f>IF($A5567="","",$S5567&amp;"|"&amp;$F5567)</f>
        <v/>
      </c>
      <c r="U5567">
        <f>IF($A5567="","",$R5567&amp;"("&amp;$E5567&amp;")")</f>
        <v/>
      </c>
      <c r="V5567">
        <f>IF($A5567="","",$F5567&amp;"|"&amp;$U5567&amp;"|"&amp;$D5567)</f>
        <v/>
      </c>
      <c r="W5567">
        <f>IF($T5567="","",IF($X5567&gt;N($X5566),$X5567,""))</f>
        <v/>
      </c>
      <c r="X5567">
        <f>IF($T5567="",N($X5566),IF(MATCH($T5567,$T$6:$T$6005,0)=ROW()-5,N($X5566)+1,N($X5566)))</f>
        <v/>
      </c>
      <c r="Z5567">
        <f>IF($V5567="","",IF($AA5567&gt;N($AA5566),$AA5567,""))</f>
        <v/>
      </c>
      <c r="AA5567">
        <f>IF($V5567="",N($AA5566),IF(MATCH($V5567,$V$6:$V$6005,0)=ROW()-5,N($AA5566)+1,N($AA5566)))</f>
        <v/>
      </c>
    </row>
    <row r="5568" ht="21" customHeight="1" s="66">
      <c r="A5568" s="56" t="n"/>
      <c r="B5568" s="57" t="n"/>
      <c r="C5568" s="57" t="n"/>
      <c r="D5568" s="57" t="n"/>
      <c r="E5568" s="56" t="n"/>
      <c r="F5568" s="57" t="n"/>
      <c r="G5568" s="57" t="n"/>
      <c r="H5568" s="56" t="n"/>
      <c r="I5568" s="56" t="n"/>
      <c r="J5568" s="58" t="n"/>
      <c r="K5568" s="58" t="n"/>
      <c r="L5568" s="13">
        <f>IF(OR($A5568="",AND($J5568="",$K5568="")),"",ROUND(N($J5568)-N($K5568),2))</f>
        <v/>
      </c>
      <c r="M5568" s="13">
        <f>IF(OR($A5568="",AND($J5568="",$K5568="")),"",MIN($J5568,$K5568))</f>
        <v/>
      </c>
      <c r="Q5568">
        <f>IF($A5568="","",$D5568&amp;"("&amp;SUBSTITUTE($E5568," ","")&amp;")")</f>
        <v/>
      </c>
      <c r="R5568">
        <f>IF($A5568="","",$B5568&amp;" - "&amp;$C5568)</f>
        <v/>
      </c>
      <c r="S5568">
        <f>IF($A5568="","",$R5568&amp;"|"&amp;$Q5568)</f>
        <v/>
      </c>
      <c r="T5568">
        <f>IF($A5568="","",$S5568&amp;"|"&amp;$F5568)</f>
        <v/>
      </c>
      <c r="U5568">
        <f>IF($A5568="","",$R5568&amp;"("&amp;$E5568&amp;")")</f>
        <v/>
      </c>
      <c r="V5568">
        <f>IF($A5568="","",$F5568&amp;"|"&amp;$U5568&amp;"|"&amp;$D5568)</f>
        <v/>
      </c>
      <c r="W5568">
        <f>IF($T5568="","",IF($X5568&gt;N($X5567),$X5568,""))</f>
        <v/>
      </c>
      <c r="X5568">
        <f>IF($T5568="",N($X5567),IF(MATCH($T5568,$T$6:$T$6005,0)=ROW()-5,N($X5567)+1,N($X5567)))</f>
        <v/>
      </c>
      <c r="Z5568">
        <f>IF($V5568="","",IF($AA5568&gt;N($AA5567),$AA5568,""))</f>
        <v/>
      </c>
      <c r="AA5568">
        <f>IF($V5568="",N($AA5567),IF(MATCH($V5568,$V$6:$V$6005,0)=ROW()-5,N($AA5567)+1,N($AA5567)))</f>
        <v/>
      </c>
    </row>
    <row r="5569" ht="21" customHeight="1" s="66">
      <c r="A5569" s="56" t="n"/>
      <c r="B5569" s="57" t="n"/>
      <c r="C5569" s="57" t="n"/>
      <c r="D5569" s="57" t="n"/>
      <c r="E5569" s="56" t="n"/>
      <c r="F5569" s="57" t="n"/>
      <c r="G5569" s="57" t="n"/>
      <c r="H5569" s="56" t="n"/>
      <c r="I5569" s="56" t="n"/>
      <c r="J5569" s="58" t="n"/>
      <c r="K5569" s="58" t="n"/>
      <c r="L5569" s="13">
        <f>IF(OR($A5569="",AND($J5569="",$K5569="")),"",ROUND(N($J5569)-N($K5569),2))</f>
        <v/>
      </c>
      <c r="M5569" s="13">
        <f>IF(OR($A5569="",AND($J5569="",$K5569="")),"",MIN($J5569,$K5569))</f>
        <v/>
      </c>
      <c r="Q5569">
        <f>IF($A5569="","",$D5569&amp;"("&amp;SUBSTITUTE($E5569," ","")&amp;")")</f>
        <v/>
      </c>
      <c r="R5569">
        <f>IF($A5569="","",$B5569&amp;" - "&amp;$C5569)</f>
        <v/>
      </c>
      <c r="S5569">
        <f>IF($A5569="","",$R5569&amp;"|"&amp;$Q5569)</f>
        <v/>
      </c>
      <c r="T5569">
        <f>IF($A5569="","",$S5569&amp;"|"&amp;$F5569)</f>
        <v/>
      </c>
      <c r="U5569">
        <f>IF($A5569="","",$R5569&amp;"("&amp;$E5569&amp;")")</f>
        <v/>
      </c>
      <c r="V5569">
        <f>IF($A5569="","",$F5569&amp;"|"&amp;$U5569&amp;"|"&amp;$D5569)</f>
        <v/>
      </c>
      <c r="W5569">
        <f>IF($T5569="","",IF($X5569&gt;N($X5568),$X5569,""))</f>
        <v/>
      </c>
      <c r="X5569">
        <f>IF($T5569="",N($X5568),IF(MATCH($T5569,$T$6:$T$6005,0)=ROW()-5,N($X5568)+1,N($X5568)))</f>
        <v/>
      </c>
      <c r="Z5569">
        <f>IF($V5569="","",IF($AA5569&gt;N($AA5568),$AA5569,""))</f>
        <v/>
      </c>
      <c r="AA5569">
        <f>IF($V5569="",N($AA5568),IF(MATCH($V5569,$V$6:$V$6005,0)=ROW()-5,N($AA5568)+1,N($AA5568)))</f>
        <v/>
      </c>
    </row>
    <row r="5570" ht="21" customHeight="1" s="66">
      <c r="A5570" s="56" t="n"/>
      <c r="B5570" s="57" t="n"/>
      <c r="C5570" s="57" t="n"/>
      <c r="D5570" s="57" t="n"/>
      <c r="E5570" s="56" t="n"/>
      <c r="F5570" s="57" t="n"/>
      <c r="G5570" s="57" t="n"/>
      <c r="H5570" s="56" t="n"/>
      <c r="I5570" s="56" t="n"/>
      <c r="J5570" s="58" t="n"/>
      <c r="K5570" s="58" t="n"/>
      <c r="L5570" s="13">
        <f>IF(OR($A5570="",AND($J5570="",$K5570="")),"",ROUND(N($J5570)-N($K5570),2))</f>
        <v/>
      </c>
      <c r="M5570" s="13">
        <f>IF(OR($A5570="",AND($J5570="",$K5570="")),"",MIN($J5570,$K5570))</f>
        <v/>
      </c>
      <c r="Q5570">
        <f>IF($A5570="","",$D5570&amp;"("&amp;SUBSTITUTE($E5570," ","")&amp;")")</f>
        <v/>
      </c>
      <c r="R5570">
        <f>IF($A5570="","",$B5570&amp;" - "&amp;$C5570)</f>
        <v/>
      </c>
      <c r="S5570">
        <f>IF($A5570="","",$R5570&amp;"|"&amp;$Q5570)</f>
        <v/>
      </c>
      <c r="T5570">
        <f>IF($A5570="","",$S5570&amp;"|"&amp;$F5570)</f>
        <v/>
      </c>
      <c r="U5570">
        <f>IF($A5570="","",$R5570&amp;"("&amp;$E5570&amp;")")</f>
        <v/>
      </c>
      <c r="V5570">
        <f>IF($A5570="","",$F5570&amp;"|"&amp;$U5570&amp;"|"&amp;$D5570)</f>
        <v/>
      </c>
      <c r="W5570">
        <f>IF($T5570="","",IF($X5570&gt;N($X5569),$X5570,""))</f>
        <v/>
      </c>
      <c r="X5570">
        <f>IF($T5570="",N($X5569),IF(MATCH($T5570,$T$6:$T$6005,0)=ROW()-5,N($X5569)+1,N($X5569)))</f>
        <v/>
      </c>
      <c r="Z5570">
        <f>IF($V5570="","",IF($AA5570&gt;N($AA5569),$AA5570,""))</f>
        <v/>
      </c>
      <c r="AA5570">
        <f>IF($V5570="",N($AA5569),IF(MATCH($V5570,$V$6:$V$6005,0)=ROW()-5,N($AA5569)+1,N($AA5569)))</f>
        <v/>
      </c>
    </row>
    <row r="5571" ht="21" customHeight="1" s="66">
      <c r="A5571" s="56" t="n"/>
      <c r="B5571" s="57" t="n"/>
      <c r="C5571" s="57" t="n"/>
      <c r="D5571" s="57" t="n"/>
      <c r="E5571" s="56" t="n"/>
      <c r="F5571" s="57" t="n"/>
      <c r="G5571" s="57" t="n"/>
      <c r="H5571" s="56" t="n"/>
      <c r="I5571" s="56" t="n"/>
      <c r="J5571" s="58" t="n"/>
      <c r="K5571" s="58" t="n"/>
      <c r="L5571" s="13">
        <f>IF(OR($A5571="",AND($J5571="",$K5571="")),"",ROUND(N($J5571)-N($K5571),2))</f>
        <v/>
      </c>
      <c r="M5571" s="13">
        <f>IF(OR($A5571="",AND($J5571="",$K5571="")),"",MIN($J5571,$K5571))</f>
        <v/>
      </c>
      <c r="Q5571">
        <f>IF($A5571="","",$D5571&amp;"("&amp;SUBSTITUTE($E5571," ","")&amp;")")</f>
        <v/>
      </c>
      <c r="R5571">
        <f>IF($A5571="","",$B5571&amp;" - "&amp;$C5571)</f>
        <v/>
      </c>
      <c r="S5571">
        <f>IF($A5571="","",$R5571&amp;"|"&amp;$Q5571)</f>
        <v/>
      </c>
      <c r="T5571">
        <f>IF($A5571="","",$S5571&amp;"|"&amp;$F5571)</f>
        <v/>
      </c>
      <c r="U5571">
        <f>IF($A5571="","",$R5571&amp;"("&amp;$E5571&amp;")")</f>
        <v/>
      </c>
      <c r="V5571">
        <f>IF($A5571="","",$F5571&amp;"|"&amp;$U5571&amp;"|"&amp;$D5571)</f>
        <v/>
      </c>
      <c r="W5571">
        <f>IF($T5571="","",IF($X5571&gt;N($X5570),$X5571,""))</f>
        <v/>
      </c>
      <c r="X5571">
        <f>IF($T5571="",N($X5570),IF(MATCH($T5571,$T$6:$T$6005,0)=ROW()-5,N($X5570)+1,N($X5570)))</f>
        <v/>
      </c>
      <c r="Z5571">
        <f>IF($V5571="","",IF($AA5571&gt;N($AA5570),$AA5571,""))</f>
        <v/>
      </c>
      <c r="AA5571">
        <f>IF($V5571="",N($AA5570),IF(MATCH($V5571,$V$6:$V$6005,0)=ROW()-5,N($AA5570)+1,N($AA5570)))</f>
        <v/>
      </c>
    </row>
    <row r="5572" ht="21" customHeight="1" s="66">
      <c r="A5572" s="56" t="n"/>
      <c r="B5572" s="57" t="n"/>
      <c r="C5572" s="57" t="n"/>
      <c r="D5572" s="57" t="n"/>
      <c r="E5572" s="56" t="n"/>
      <c r="F5572" s="57" t="n"/>
      <c r="G5572" s="57" t="n"/>
      <c r="H5572" s="56" t="n"/>
      <c r="I5572" s="56" t="n"/>
      <c r="J5572" s="58" t="n"/>
      <c r="K5572" s="58" t="n"/>
      <c r="L5572" s="13">
        <f>IF(OR($A5572="",AND($J5572="",$K5572="")),"",ROUND(N($J5572)-N($K5572),2))</f>
        <v/>
      </c>
      <c r="M5572" s="13">
        <f>IF(OR($A5572="",AND($J5572="",$K5572="")),"",MIN($J5572,$K5572))</f>
        <v/>
      </c>
      <c r="Q5572">
        <f>IF($A5572="","",$D5572&amp;"("&amp;SUBSTITUTE($E5572," ","")&amp;")")</f>
        <v/>
      </c>
      <c r="R5572">
        <f>IF($A5572="","",$B5572&amp;" - "&amp;$C5572)</f>
        <v/>
      </c>
      <c r="S5572">
        <f>IF($A5572="","",$R5572&amp;"|"&amp;$Q5572)</f>
        <v/>
      </c>
      <c r="T5572">
        <f>IF($A5572="","",$S5572&amp;"|"&amp;$F5572)</f>
        <v/>
      </c>
      <c r="U5572">
        <f>IF($A5572="","",$R5572&amp;"("&amp;$E5572&amp;")")</f>
        <v/>
      </c>
      <c r="V5572">
        <f>IF($A5572="","",$F5572&amp;"|"&amp;$U5572&amp;"|"&amp;$D5572)</f>
        <v/>
      </c>
      <c r="W5572">
        <f>IF($T5572="","",IF($X5572&gt;N($X5571),$X5572,""))</f>
        <v/>
      </c>
      <c r="X5572">
        <f>IF($T5572="",N($X5571),IF(MATCH($T5572,$T$6:$T$6005,0)=ROW()-5,N($X5571)+1,N($X5571)))</f>
        <v/>
      </c>
      <c r="Z5572">
        <f>IF($V5572="","",IF($AA5572&gt;N($AA5571),$AA5572,""))</f>
        <v/>
      </c>
      <c r="AA5572">
        <f>IF($V5572="",N($AA5571),IF(MATCH($V5572,$V$6:$V$6005,0)=ROW()-5,N($AA5571)+1,N($AA5571)))</f>
        <v/>
      </c>
    </row>
    <row r="5573" ht="21" customHeight="1" s="66">
      <c r="A5573" s="56" t="n"/>
      <c r="B5573" s="57" t="n"/>
      <c r="C5573" s="57" t="n"/>
      <c r="D5573" s="57" t="n"/>
      <c r="E5573" s="56" t="n"/>
      <c r="F5573" s="57" t="n"/>
      <c r="G5573" s="57" t="n"/>
      <c r="H5573" s="56" t="n"/>
      <c r="I5573" s="56" t="n"/>
      <c r="J5573" s="58" t="n"/>
      <c r="K5573" s="58" t="n"/>
      <c r="L5573" s="13">
        <f>IF(OR($A5573="",AND($J5573="",$K5573="")),"",ROUND(N($J5573)-N($K5573),2))</f>
        <v/>
      </c>
      <c r="M5573" s="13">
        <f>IF(OR($A5573="",AND($J5573="",$K5573="")),"",MIN($J5573,$K5573))</f>
        <v/>
      </c>
      <c r="Q5573">
        <f>IF($A5573="","",$D5573&amp;"("&amp;SUBSTITUTE($E5573," ","")&amp;")")</f>
        <v/>
      </c>
      <c r="R5573">
        <f>IF($A5573="","",$B5573&amp;" - "&amp;$C5573)</f>
        <v/>
      </c>
      <c r="S5573">
        <f>IF($A5573="","",$R5573&amp;"|"&amp;$Q5573)</f>
        <v/>
      </c>
      <c r="T5573">
        <f>IF($A5573="","",$S5573&amp;"|"&amp;$F5573)</f>
        <v/>
      </c>
      <c r="U5573">
        <f>IF($A5573="","",$R5573&amp;"("&amp;$E5573&amp;")")</f>
        <v/>
      </c>
      <c r="V5573">
        <f>IF($A5573="","",$F5573&amp;"|"&amp;$U5573&amp;"|"&amp;$D5573)</f>
        <v/>
      </c>
      <c r="W5573">
        <f>IF($T5573="","",IF($X5573&gt;N($X5572),$X5573,""))</f>
        <v/>
      </c>
      <c r="X5573">
        <f>IF($T5573="",N($X5572),IF(MATCH($T5573,$T$6:$T$6005,0)=ROW()-5,N($X5572)+1,N($X5572)))</f>
        <v/>
      </c>
      <c r="Z5573">
        <f>IF($V5573="","",IF($AA5573&gt;N($AA5572),$AA5573,""))</f>
        <v/>
      </c>
      <c r="AA5573">
        <f>IF($V5573="",N($AA5572),IF(MATCH($V5573,$V$6:$V$6005,0)=ROW()-5,N($AA5572)+1,N($AA5572)))</f>
        <v/>
      </c>
    </row>
    <row r="5574" ht="21" customHeight="1" s="66">
      <c r="A5574" s="56" t="n"/>
      <c r="B5574" s="57" t="n"/>
      <c r="C5574" s="57" t="n"/>
      <c r="D5574" s="57" t="n"/>
      <c r="E5574" s="56" t="n"/>
      <c r="F5574" s="57" t="n"/>
      <c r="G5574" s="57" t="n"/>
      <c r="H5574" s="56" t="n"/>
      <c r="I5574" s="56" t="n"/>
      <c r="J5574" s="58" t="n"/>
      <c r="K5574" s="58" t="n"/>
      <c r="L5574" s="13">
        <f>IF(OR($A5574="",AND($J5574="",$K5574="")),"",ROUND(N($J5574)-N($K5574),2))</f>
        <v/>
      </c>
      <c r="M5574" s="13">
        <f>IF(OR($A5574="",AND($J5574="",$K5574="")),"",MIN($J5574,$K5574))</f>
        <v/>
      </c>
      <c r="Q5574">
        <f>IF($A5574="","",$D5574&amp;"("&amp;SUBSTITUTE($E5574," ","")&amp;")")</f>
        <v/>
      </c>
      <c r="R5574">
        <f>IF($A5574="","",$B5574&amp;" - "&amp;$C5574)</f>
        <v/>
      </c>
      <c r="S5574">
        <f>IF($A5574="","",$R5574&amp;"|"&amp;$Q5574)</f>
        <v/>
      </c>
      <c r="T5574">
        <f>IF($A5574="","",$S5574&amp;"|"&amp;$F5574)</f>
        <v/>
      </c>
      <c r="U5574">
        <f>IF($A5574="","",$R5574&amp;"("&amp;$E5574&amp;")")</f>
        <v/>
      </c>
      <c r="V5574">
        <f>IF($A5574="","",$F5574&amp;"|"&amp;$U5574&amp;"|"&amp;$D5574)</f>
        <v/>
      </c>
      <c r="W5574">
        <f>IF($T5574="","",IF($X5574&gt;N($X5573),$X5574,""))</f>
        <v/>
      </c>
      <c r="X5574">
        <f>IF($T5574="",N($X5573),IF(MATCH($T5574,$T$6:$T$6005,0)=ROW()-5,N($X5573)+1,N($X5573)))</f>
        <v/>
      </c>
      <c r="Z5574">
        <f>IF($V5574="","",IF($AA5574&gt;N($AA5573),$AA5574,""))</f>
        <v/>
      </c>
      <c r="AA5574">
        <f>IF($V5574="",N($AA5573),IF(MATCH($V5574,$V$6:$V$6005,0)=ROW()-5,N($AA5573)+1,N($AA5573)))</f>
        <v/>
      </c>
    </row>
    <row r="5575" ht="21" customHeight="1" s="66">
      <c r="A5575" s="56" t="n"/>
      <c r="B5575" s="57" t="n"/>
      <c r="C5575" s="57" t="n"/>
      <c r="D5575" s="57" t="n"/>
      <c r="E5575" s="56" t="n"/>
      <c r="F5575" s="57" t="n"/>
      <c r="G5575" s="57" t="n"/>
      <c r="H5575" s="56" t="n"/>
      <c r="I5575" s="56" t="n"/>
      <c r="J5575" s="58" t="n"/>
      <c r="K5575" s="58" t="n"/>
      <c r="L5575" s="13">
        <f>IF(OR($A5575="",AND($J5575="",$K5575="")),"",ROUND(N($J5575)-N($K5575),2))</f>
        <v/>
      </c>
      <c r="M5575" s="13">
        <f>IF(OR($A5575="",AND($J5575="",$K5575="")),"",MIN($J5575,$K5575))</f>
        <v/>
      </c>
      <c r="Q5575">
        <f>IF($A5575="","",$D5575&amp;"("&amp;SUBSTITUTE($E5575," ","")&amp;")")</f>
        <v/>
      </c>
      <c r="R5575">
        <f>IF($A5575="","",$B5575&amp;" - "&amp;$C5575)</f>
        <v/>
      </c>
      <c r="S5575">
        <f>IF($A5575="","",$R5575&amp;"|"&amp;$Q5575)</f>
        <v/>
      </c>
      <c r="T5575">
        <f>IF($A5575="","",$S5575&amp;"|"&amp;$F5575)</f>
        <v/>
      </c>
      <c r="U5575">
        <f>IF($A5575="","",$R5575&amp;"("&amp;$E5575&amp;")")</f>
        <v/>
      </c>
      <c r="V5575">
        <f>IF($A5575="","",$F5575&amp;"|"&amp;$U5575&amp;"|"&amp;$D5575)</f>
        <v/>
      </c>
      <c r="W5575">
        <f>IF($T5575="","",IF($X5575&gt;N($X5574),$X5575,""))</f>
        <v/>
      </c>
      <c r="X5575">
        <f>IF($T5575="",N($X5574),IF(MATCH($T5575,$T$6:$T$6005,0)=ROW()-5,N($X5574)+1,N($X5574)))</f>
        <v/>
      </c>
      <c r="Z5575">
        <f>IF($V5575="","",IF($AA5575&gt;N($AA5574),$AA5575,""))</f>
        <v/>
      </c>
      <c r="AA5575">
        <f>IF($V5575="",N($AA5574),IF(MATCH($V5575,$V$6:$V$6005,0)=ROW()-5,N($AA5574)+1,N($AA5574)))</f>
        <v/>
      </c>
    </row>
    <row r="5576" ht="21" customHeight="1" s="66">
      <c r="A5576" s="56" t="n"/>
      <c r="B5576" s="57" t="n"/>
      <c r="C5576" s="57" t="n"/>
      <c r="D5576" s="57" t="n"/>
      <c r="E5576" s="56" t="n"/>
      <c r="F5576" s="57" t="n"/>
      <c r="G5576" s="57" t="n"/>
      <c r="H5576" s="56" t="n"/>
      <c r="I5576" s="56" t="n"/>
      <c r="J5576" s="58" t="n"/>
      <c r="K5576" s="58" t="n"/>
      <c r="L5576" s="13">
        <f>IF(OR($A5576="",AND($J5576="",$K5576="")),"",ROUND(N($J5576)-N($K5576),2))</f>
        <v/>
      </c>
      <c r="M5576" s="13">
        <f>IF(OR($A5576="",AND($J5576="",$K5576="")),"",MIN($J5576,$K5576))</f>
        <v/>
      </c>
      <c r="Q5576">
        <f>IF($A5576="","",$D5576&amp;"("&amp;SUBSTITUTE($E5576," ","")&amp;")")</f>
        <v/>
      </c>
      <c r="R5576">
        <f>IF($A5576="","",$B5576&amp;" - "&amp;$C5576)</f>
        <v/>
      </c>
      <c r="S5576">
        <f>IF($A5576="","",$R5576&amp;"|"&amp;$Q5576)</f>
        <v/>
      </c>
      <c r="T5576">
        <f>IF($A5576="","",$S5576&amp;"|"&amp;$F5576)</f>
        <v/>
      </c>
      <c r="U5576">
        <f>IF($A5576="","",$R5576&amp;"("&amp;$E5576&amp;")")</f>
        <v/>
      </c>
      <c r="V5576">
        <f>IF($A5576="","",$F5576&amp;"|"&amp;$U5576&amp;"|"&amp;$D5576)</f>
        <v/>
      </c>
      <c r="W5576">
        <f>IF($T5576="","",IF($X5576&gt;N($X5575),$X5576,""))</f>
        <v/>
      </c>
      <c r="X5576">
        <f>IF($T5576="",N($X5575),IF(MATCH($T5576,$T$6:$T$6005,0)=ROW()-5,N($X5575)+1,N($X5575)))</f>
        <v/>
      </c>
      <c r="Z5576">
        <f>IF($V5576="","",IF($AA5576&gt;N($AA5575),$AA5576,""))</f>
        <v/>
      </c>
      <c r="AA5576">
        <f>IF($V5576="",N($AA5575),IF(MATCH($V5576,$V$6:$V$6005,0)=ROW()-5,N($AA5575)+1,N($AA5575)))</f>
        <v/>
      </c>
    </row>
    <row r="5577" ht="21" customHeight="1" s="66">
      <c r="A5577" s="56" t="n"/>
      <c r="B5577" s="57" t="n"/>
      <c r="C5577" s="57" t="n"/>
      <c r="D5577" s="57" t="n"/>
      <c r="E5577" s="56" t="n"/>
      <c r="F5577" s="57" t="n"/>
      <c r="G5577" s="57" t="n"/>
      <c r="H5577" s="56" t="n"/>
      <c r="I5577" s="56" t="n"/>
      <c r="J5577" s="58" t="n"/>
      <c r="K5577" s="58" t="n"/>
      <c r="L5577" s="13">
        <f>IF(OR($A5577="",AND($J5577="",$K5577="")),"",ROUND(N($J5577)-N($K5577),2))</f>
        <v/>
      </c>
      <c r="M5577" s="13">
        <f>IF(OR($A5577="",AND($J5577="",$K5577="")),"",MIN($J5577,$K5577))</f>
        <v/>
      </c>
      <c r="Q5577">
        <f>IF($A5577="","",$D5577&amp;"("&amp;SUBSTITUTE($E5577," ","")&amp;")")</f>
        <v/>
      </c>
      <c r="R5577">
        <f>IF($A5577="","",$B5577&amp;" - "&amp;$C5577)</f>
        <v/>
      </c>
      <c r="S5577">
        <f>IF($A5577="","",$R5577&amp;"|"&amp;$Q5577)</f>
        <v/>
      </c>
      <c r="T5577">
        <f>IF($A5577="","",$S5577&amp;"|"&amp;$F5577)</f>
        <v/>
      </c>
      <c r="U5577">
        <f>IF($A5577="","",$R5577&amp;"("&amp;$E5577&amp;")")</f>
        <v/>
      </c>
      <c r="V5577">
        <f>IF($A5577="","",$F5577&amp;"|"&amp;$U5577&amp;"|"&amp;$D5577)</f>
        <v/>
      </c>
      <c r="W5577">
        <f>IF($T5577="","",IF($X5577&gt;N($X5576),$X5577,""))</f>
        <v/>
      </c>
      <c r="X5577">
        <f>IF($T5577="",N($X5576),IF(MATCH($T5577,$T$6:$T$6005,0)=ROW()-5,N($X5576)+1,N($X5576)))</f>
        <v/>
      </c>
      <c r="Z5577">
        <f>IF($V5577="","",IF($AA5577&gt;N($AA5576),$AA5577,""))</f>
        <v/>
      </c>
      <c r="AA5577">
        <f>IF($V5577="",N($AA5576),IF(MATCH($V5577,$V$6:$V$6005,0)=ROW()-5,N($AA5576)+1,N($AA5576)))</f>
        <v/>
      </c>
    </row>
    <row r="5578" ht="21" customHeight="1" s="66">
      <c r="A5578" s="56" t="n"/>
      <c r="B5578" s="57" t="n"/>
      <c r="C5578" s="57" t="n"/>
      <c r="D5578" s="57" t="n"/>
      <c r="E5578" s="56" t="n"/>
      <c r="F5578" s="57" t="n"/>
      <c r="G5578" s="57" t="n"/>
      <c r="H5578" s="56" t="n"/>
      <c r="I5578" s="56" t="n"/>
      <c r="J5578" s="58" t="n"/>
      <c r="K5578" s="58" t="n"/>
      <c r="L5578" s="13">
        <f>IF(OR($A5578="",AND($J5578="",$K5578="")),"",ROUND(N($J5578)-N($K5578),2))</f>
        <v/>
      </c>
      <c r="M5578" s="13">
        <f>IF(OR($A5578="",AND($J5578="",$K5578="")),"",MIN($J5578,$K5578))</f>
        <v/>
      </c>
      <c r="Q5578">
        <f>IF($A5578="","",$D5578&amp;"("&amp;SUBSTITUTE($E5578," ","")&amp;")")</f>
        <v/>
      </c>
      <c r="R5578">
        <f>IF($A5578="","",$B5578&amp;" - "&amp;$C5578)</f>
        <v/>
      </c>
      <c r="S5578">
        <f>IF($A5578="","",$R5578&amp;"|"&amp;$Q5578)</f>
        <v/>
      </c>
      <c r="T5578">
        <f>IF($A5578="","",$S5578&amp;"|"&amp;$F5578)</f>
        <v/>
      </c>
      <c r="U5578">
        <f>IF($A5578="","",$R5578&amp;"("&amp;$E5578&amp;")")</f>
        <v/>
      </c>
      <c r="V5578">
        <f>IF($A5578="","",$F5578&amp;"|"&amp;$U5578&amp;"|"&amp;$D5578)</f>
        <v/>
      </c>
      <c r="W5578">
        <f>IF($T5578="","",IF($X5578&gt;N($X5577),$X5578,""))</f>
        <v/>
      </c>
      <c r="X5578">
        <f>IF($T5578="",N($X5577),IF(MATCH($T5578,$T$6:$T$6005,0)=ROW()-5,N($X5577)+1,N($X5577)))</f>
        <v/>
      </c>
      <c r="Z5578">
        <f>IF($V5578="","",IF($AA5578&gt;N($AA5577),$AA5578,""))</f>
        <v/>
      </c>
      <c r="AA5578">
        <f>IF($V5578="",N($AA5577),IF(MATCH($V5578,$V$6:$V$6005,0)=ROW()-5,N($AA5577)+1,N($AA5577)))</f>
        <v/>
      </c>
    </row>
    <row r="5579" ht="21" customHeight="1" s="66">
      <c r="A5579" s="56" t="n"/>
      <c r="B5579" s="57" t="n"/>
      <c r="C5579" s="57" t="n"/>
      <c r="D5579" s="57" t="n"/>
      <c r="E5579" s="56" t="n"/>
      <c r="F5579" s="57" t="n"/>
      <c r="G5579" s="57" t="n"/>
      <c r="H5579" s="56" t="n"/>
      <c r="I5579" s="56" t="n"/>
      <c r="J5579" s="58" t="n"/>
      <c r="K5579" s="58" t="n"/>
      <c r="L5579" s="13">
        <f>IF(OR($A5579="",AND($J5579="",$K5579="")),"",ROUND(N($J5579)-N($K5579),2))</f>
        <v/>
      </c>
      <c r="M5579" s="13">
        <f>IF(OR($A5579="",AND($J5579="",$K5579="")),"",MIN($J5579,$K5579))</f>
        <v/>
      </c>
      <c r="Q5579">
        <f>IF($A5579="","",$D5579&amp;"("&amp;SUBSTITUTE($E5579," ","")&amp;")")</f>
        <v/>
      </c>
      <c r="R5579">
        <f>IF($A5579="","",$B5579&amp;" - "&amp;$C5579)</f>
        <v/>
      </c>
      <c r="S5579">
        <f>IF($A5579="","",$R5579&amp;"|"&amp;$Q5579)</f>
        <v/>
      </c>
      <c r="T5579">
        <f>IF($A5579="","",$S5579&amp;"|"&amp;$F5579)</f>
        <v/>
      </c>
      <c r="U5579">
        <f>IF($A5579="","",$R5579&amp;"("&amp;$E5579&amp;")")</f>
        <v/>
      </c>
      <c r="V5579">
        <f>IF($A5579="","",$F5579&amp;"|"&amp;$U5579&amp;"|"&amp;$D5579)</f>
        <v/>
      </c>
      <c r="W5579">
        <f>IF($T5579="","",IF($X5579&gt;N($X5578),$X5579,""))</f>
        <v/>
      </c>
      <c r="X5579">
        <f>IF($T5579="",N($X5578),IF(MATCH($T5579,$T$6:$T$6005,0)=ROW()-5,N($X5578)+1,N($X5578)))</f>
        <v/>
      </c>
      <c r="Z5579">
        <f>IF($V5579="","",IF($AA5579&gt;N($AA5578),$AA5579,""))</f>
        <v/>
      </c>
      <c r="AA5579">
        <f>IF($V5579="",N($AA5578),IF(MATCH($V5579,$V$6:$V$6005,0)=ROW()-5,N($AA5578)+1,N($AA5578)))</f>
        <v/>
      </c>
    </row>
    <row r="5580" ht="21" customHeight="1" s="66">
      <c r="A5580" s="56" t="n"/>
      <c r="B5580" s="57" t="n"/>
      <c r="C5580" s="57" t="n"/>
      <c r="D5580" s="57" t="n"/>
      <c r="E5580" s="56" t="n"/>
      <c r="F5580" s="57" t="n"/>
      <c r="G5580" s="57" t="n"/>
      <c r="H5580" s="56" t="n"/>
      <c r="I5580" s="56" t="n"/>
      <c r="J5580" s="58" t="n"/>
      <c r="K5580" s="58" t="n"/>
      <c r="L5580" s="13">
        <f>IF(OR($A5580="",AND($J5580="",$K5580="")),"",ROUND(N($J5580)-N($K5580),2))</f>
        <v/>
      </c>
      <c r="M5580" s="13">
        <f>IF(OR($A5580="",AND($J5580="",$K5580="")),"",MIN($J5580,$K5580))</f>
        <v/>
      </c>
      <c r="Q5580">
        <f>IF($A5580="","",$D5580&amp;"("&amp;SUBSTITUTE($E5580," ","")&amp;")")</f>
        <v/>
      </c>
      <c r="R5580">
        <f>IF($A5580="","",$B5580&amp;" - "&amp;$C5580)</f>
        <v/>
      </c>
      <c r="S5580">
        <f>IF($A5580="","",$R5580&amp;"|"&amp;$Q5580)</f>
        <v/>
      </c>
      <c r="T5580">
        <f>IF($A5580="","",$S5580&amp;"|"&amp;$F5580)</f>
        <v/>
      </c>
      <c r="U5580">
        <f>IF($A5580="","",$R5580&amp;"("&amp;$E5580&amp;")")</f>
        <v/>
      </c>
      <c r="V5580">
        <f>IF($A5580="","",$F5580&amp;"|"&amp;$U5580&amp;"|"&amp;$D5580)</f>
        <v/>
      </c>
      <c r="W5580">
        <f>IF($T5580="","",IF($X5580&gt;N($X5579),$X5580,""))</f>
        <v/>
      </c>
      <c r="X5580">
        <f>IF($T5580="",N($X5579),IF(MATCH($T5580,$T$6:$T$6005,0)=ROW()-5,N($X5579)+1,N($X5579)))</f>
        <v/>
      </c>
      <c r="Z5580">
        <f>IF($V5580="","",IF($AA5580&gt;N($AA5579),$AA5580,""))</f>
        <v/>
      </c>
      <c r="AA5580">
        <f>IF($V5580="",N($AA5579),IF(MATCH($V5580,$V$6:$V$6005,0)=ROW()-5,N($AA5579)+1,N($AA5579)))</f>
        <v/>
      </c>
    </row>
    <row r="5581" ht="21" customHeight="1" s="66">
      <c r="A5581" s="56" t="n"/>
      <c r="B5581" s="57" t="n"/>
      <c r="C5581" s="57" t="n"/>
      <c r="D5581" s="57" t="n"/>
      <c r="E5581" s="56" t="n"/>
      <c r="F5581" s="57" t="n"/>
      <c r="G5581" s="57" t="n"/>
      <c r="H5581" s="56" t="n"/>
      <c r="I5581" s="56" t="n"/>
      <c r="J5581" s="58" t="n"/>
      <c r="K5581" s="58" t="n"/>
      <c r="L5581" s="13">
        <f>IF(OR($A5581="",AND($J5581="",$K5581="")),"",ROUND(N($J5581)-N($K5581),2))</f>
        <v/>
      </c>
      <c r="M5581" s="13">
        <f>IF(OR($A5581="",AND($J5581="",$K5581="")),"",MIN($J5581,$K5581))</f>
        <v/>
      </c>
      <c r="Q5581">
        <f>IF($A5581="","",$D5581&amp;"("&amp;SUBSTITUTE($E5581," ","")&amp;")")</f>
        <v/>
      </c>
      <c r="R5581">
        <f>IF($A5581="","",$B5581&amp;" - "&amp;$C5581)</f>
        <v/>
      </c>
      <c r="S5581">
        <f>IF($A5581="","",$R5581&amp;"|"&amp;$Q5581)</f>
        <v/>
      </c>
      <c r="T5581">
        <f>IF($A5581="","",$S5581&amp;"|"&amp;$F5581)</f>
        <v/>
      </c>
      <c r="U5581">
        <f>IF($A5581="","",$R5581&amp;"("&amp;$E5581&amp;")")</f>
        <v/>
      </c>
      <c r="V5581">
        <f>IF($A5581="","",$F5581&amp;"|"&amp;$U5581&amp;"|"&amp;$D5581)</f>
        <v/>
      </c>
      <c r="W5581">
        <f>IF($T5581="","",IF($X5581&gt;N($X5580),$X5581,""))</f>
        <v/>
      </c>
      <c r="X5581">
        <f>IF($T5581="",N($X5580),IF(MATCH($T5581,$T$6:$T$6005,0)=ROW()-5,N($X5580)+1,N($X5580)))</f>
        <v/>
      </c>
      <c r="Z5581">
        <f>IF($V5581="","",IF($AA5581&gt;N($AA5580),$AA5581,""))</f>
        <v/>
      </c>
      <c r="AA5581">
        <f>IF($V5581="",N($AA5580),IF(MATCH($V5581,$V$6:$V$6005,0)=ROW()-5,N($AA5580)+1,N($AA5580)))</f>
        <v/>
      </c>
    </row>
    <row r="5582" ht="21" customHeight="1" s="66">
      <c r="A5582" s="56" t="n"/>
      <c r="B5582" s="57" t="n"/>
      <c r="C5582" s="57" t="n"/>
      <c r="D5582" s="57" t="n"/>
      <c r="E5582" s="56" t="n"/>
      <c r="F5582" s="57" t="n"/>
      <c r="G5582" s="57" t="n"/>
      <c r="H5582" s="56" t="n"/>
      <c r="I5582" s="56" t="n"/>
      <c r="J5582" s="58" t="n"/>
      <c r="K5582" s="58" t="n"/>
      <c r="L5582" s="13">
        <f>IF(OR($A5582="",AND($J5582="",$K5582="")),"",ROUND(N($J5582)-N($K5582),2))</f>
        <v/>
      </c>
      <c r="M5582" s="13">
        <f>IF(OR($A5582="",AND($J5582="",$K5582="")),"",MIN($J5582,$K5582))</f>
        <v/>
      </c>
      <c r="Q5582">
        <f>IF($A5582="","",$D5582&amp;"("&amp;SUBSTITUTE($E5582," ","")&amp;")")</f>
        <v/>
      </c>
      <c r="R5582">
        <f>IF($A5582="","",$B5582&amp;" - "&amp;$C5582)</f>
        <v/>
      </c>
      <c r="S5582">
        <f>IF($A5582="","",$R5582&amp;"|"&amp;$Q5582)</f>
        <v/>
      </c>
      <c r="T5582">
        <f>IF($A5582="","",$S5582&amp;"|"&amp;$F5582)</f>
        <v/>
      </c>
      <c r="U5582">
        <f>IF($A5582="","",$R5582&amp;"("&amp;$E5582&amp;")")</f>
        <v/>
      </c>
      <c r="V5582">
        <f>IF($A5582="","",$F5582&amp;"|"&amp;$U5582&amp;"|"&amp;$D5582)</f>
        <v/>
      </c>
      <c r="W5582">
        <f>IF($T5582="","",IF($X5582&gt;N($X5581),$X5582,""))</f>
        <v/>
      </c>
      <c r="X5582">
        <f>IF($T5582="",N($X5581),IF(MATCH($T5582,$T$6:$T$6005,0)=ROW()-5,N($X5581)+1,N($X5581)))</f>
        <v/>
      </c>
      <c r="Z5582">
        <f>IF($V5582="","",IF($AA5582&gt;N($AA5581),$AA5582,""))</f>
        <v/>
      </c>
      <c r="AA5582">
        <f>IF($V5582="",N($AA5581),IF(MATCH($V5582,$V$6:$V$6005,0)=ROW()-5,N($AA5581)+1,N($AA5581)))</f>
        <v/>
      </c>
    </row>
    <row r="5583" ht="21" customHeight="1" s="66">
      <c r="A5583" s="56" t="n"/>
      <c r="B5583" s="57" t="n"/>
      <c r="C5583" s="57" t="n"/>
      <c r="D5583" s="57" t="n"/>
      <c r="E5583" s="56" t="n"/>
      <c r="F5583" s="57" t="n"/>
      <c r="G5583" s="57" t="n"/>
      <c r="H5583" s="56" t="n"/>
      <c r="I5583" s="56" t="n"/>
      <c r="J5583" s="58" t="n"/>
      <c r="K5583" s="58" t="n"/>
      <c r="L5583" s="13">
        <f>IF(OR($A5583="",AND($J5583="",$K5583="")),"",ROUND(N($J5583)-N($K5583),2))</f>
        <v/>
      </c>
      <c r="M5583" s="13">
        <f>IF(OR($A5583="",AND($J5583="",$K5583="")),"",MIN($J5583,$K5583))</f>
        <v/>
      </c>
      <c r="Q5583">
        <f>IF($A5583="","",$D5583&amp;"("&amp;SUBSTITUTE($E5583," ","")&amp;")")</f>
        <v/>
      </c>
      <c r="R5583">
        <f>IF($A5583="","",$B5583&amp;" - "&amp;$C5583)</f>
        <v/>
      </c>
      <c r="S5583">
        <f>IF($A5583="","",$R5583&amp;"|"&amp;$Q5583)</f>
        <v/>
      </c>
      <c r="T5583">
        <f>IF($A5583="","",$S5583&amp;"|"&amp;$F5583)</f>
        <v/>
      </c>
      <c r="U5583">
        <f>IF($A5583="","",$R5583&amp;"("&amp;$E5583&amp;")")</f>
        <v/>
      </c>
      <c r="V5583">
        <f>IF($A5583="","",$F5583&amp;"|"&amp;$U5583&amp;"|"&amp;$D5583)</f>
        <v/>
      </c>
      <c r="W5583">
        <f>IF($T5583="","",IF($X5583&gt;N($X5582),$X5583,""))</f>
        <v/>
      </c>
      <c r="X5583">
        <f>IF($T5583="",N($X5582),IF(MATCH($T5583,$T$6:$T$6005,0)=ROW()-5,N($X5582)+1,N($X5582)))</f>
        <v/>
      </c>
      <c r="Z5583">
        <f>IF($V5583="","",IF($AA5583&gt;N($AA5582),$AA5583,""))</f>
        <v/>
      </c>
      <c r="AA5583">
        <f>IF($V5583="",N($AA5582),IF(MATCH($V5583,$V$6:$V$6005,0)=ROW()-5,N($AA5582)+1,N($AA5582)))</f>
        <v/>
      </c>
    </row>
    <row r="5584" ht="21" customHeight="1" s="66">
      <c r="A5584" s="56" t="n"/>
      <c r="B5584" s="57" t="n"/>
      <c r="C5584" s="57" t="n"/>
      <c r="D5584" s="57" t="n"/>
      <c r="E5584" s="56" t="n"/>
      <c r="F5584" s="57" t="n"/>
      <c r="G5584" s="57" t="n"/>
      <c r="H5584" s="56" t="n"/>
      <c r="I5584" s="56" t="n"/>
      <c r="J5584" s="58" t="n"/>
      <c r="K5584" s="58" t="n"/>
      <c r="L5584" s="13">
        <f>IF(OR($A5584="",AND($J5584="",$K5584="")),"",ROUND(N($J5584)-N($K5584),2))</f>
        <v/>
      </c>
      <c r="M5584" s="13">
        <f>IF(OR($A5584="",AND($J5584="",$K5584="")),"",MIN($J5584,$K5584))</f>
        <v/>
      </c>
      <c r="Q5584">
        <f>IF($A5584="","",$D5584&amp;"("&amp;SUBSTITUTE($E5584," ","")&amp;")")</f>
        <v/>
      </c>
      <c r="R5584">
        <f>IF($A5584="","",$B5584&amp;" - "&amp;$C5584)</f>
        <v/>
      </c>
      <c r="S5584">
        <f>IF($A5584="","",$R5584&amp;"|"&amp;$Q5584)</f>
        <v/>
      </c>
      <c r="T5584">
        <f>IF($A5584="","",$S5584&amp;"|"&amp;$F5584)</f>
        <v/>
      </c>
      <c r="U5584">
        <f>IF($A5584="","",$R5584&amp;"("&amp;$E5584&amp;")")</f>
        <v/>
      </c>
      <c r="V5584">
        <f>IF($A5584="","",$F5584&amp;"|"&amp;$U5584&amp;"|"&amp;$D5584)</f>
        <v/>
      </c>
      <c r="W5584">
        <f>IF($T5584="","",IF($X5584&gt;N($X5583),$X5584,""))</f>
        <v/>
      </c>
      <c r="X5584">
        <f>IF($T5584="",N($X5583),IF(MATCH($T5584,$T$6:$T$6005,0)=ROW()-5,N($X5583)+1,N($X5583)))</f>
        <v/>
      </c>
      <c r="Z5584">
        <f>IF($V5584="","",IF($AA5584&gt;N($AA5583),$AA5584,""))</f>
        <v/>
      </c>
      <c r="AA5584">
        <f>IF($V5584="",N($AA5583),IF(MATCH($V5584,$V$6:$V$6005,0)=ROW()-5,N($AA5583)+1,N($AA5583)))</f>
        <v/>
      </c>
    </row>
    <row r="5585" ht="21" customHeight="1" s="66">
      <c r="A5585" s="56" t="n"/>
      <c r="B5585" s="57" t="n"/>
      <c r="C5585" s="57" t="n"/>
      <c r="D5585" s="57" t="n"/>
      <c r="E5585" s="56" t="n"/>
      <c r="F5585" s="57" t="n"/>
      <c r="G5585" s="57" t="n"/>
      <c r="H5585" s="56" t="n"/>
      <c r="I5585" s="56" t="n"/>
      <c r="J5585" s="58" t="n"/>
      <c r="K5585" s="58" t="n"/>
      <c r="L5585" s="13">
        <f>IF(OR($A5585="",AND($J5585="",$K5585="")),"",ROUND(N($J5585)-N($K5585),2))</f>
        <v/>
      </c>
      <c r="M5585" s="13">
        <f>IF(OR($A5585="",AND($J5585="",$K5585="")),"",MIN($J5585,$K5585))</f>
        <v/>
      </c>
      <c r="Q5585">
        <f>IF($A5585="","",$D5585&amp;"("&amp;SUBSTITUTE($E5585," ","")&amp;")")</f>
        <v/>
      </c>
      <c r="R5585">
        <f>IF($A5585="","",$B5585&amp;" - "&amp;$C5585)</f>
        <v/>
      </c>
      <c r="S5585">
        <f>IF($A5585="","",$R5585&amp;"|"&amp;$Q5585)</f>
        <v/>
      </c>
      <c r="T5585">
        <f>IF($A5585="","",$S5585&amp;"|"&amp;$F5585)</f>
        <v/>
      </c>
      <c r="U5585">
        <f>IF($A5585="","",$R5585&amp;"("&amp;$E5585&amp;")")</f>
        <v/>
      </c>
      <c r="V5585">
        <f>IF($A5585="","",$F5585&amp;"|"&amp;$U5585&amp;"|"&amp;$D5585)</f>
        <v/>
      </c>
      <c r="W5585">
        <f>IF($T5585="","",IF($X5585&gt;N($X5584),$X5585,""))</f>
        <v/>
      </c>
      <c r="X5585">
        <f>IF($T5585="",N($X5584),IF(MATCH($T5585,$T$6:$T$6005,0)=ROW()-5,N($X5584)+1,N($X5584)))</f>
        <v/>
      </c>
      <c r="Z5585">
        <f>IF($V5585="","",IF($AA5585&gt;N($AA5584),$AA5585,""))</f>
        <v/>
      </c>
      <c r="AA5585">
        <f>IF($V5585="",N($AA5584),IF(MATCH($V5585,$V$6:$V$6005,0)=ROW()-5,N($AA5584)+1,N($AA5584)))</f>
        <v/>
      </c>
    </row>
    <row r="5586" ht="21" customHeight="1" s="66">
      <c r="A5586" s="56" t="n"/>
      <c r="B5586" s="57" t="n"/>
      <c r="C5586" s="57" t="n"/>
      <c r="D5586" s="57" t="n"/>
      <c r="E5586" s="56" t="n"/>
      <c r="F5586" s="57" t="n"/>
      <c r="G5586" s="57" t="n"/>
      <c r="H5586" s="56" t="n"/>
      <c r="I5586" s="56" t="n"/>
      <c r="J5586" s="58" t="n"/>
      <c r="K5586" s="58" t="n"/>
      <c r="L5586" s="13">
        <f>IF(OR($A5586="",AND($J5586="",$K5586="")),"",ROUND(N($J5586)-N($K5586),2))</f>
        <v/>
      </c>
      <c r="M5586" s="13">
        <f>IF(OR($A5586="",AND($J5586="",$K5586="")),"",MIN($J5586,$K5586))</f>
        <v/>
      </c>
      <c r="Q5586">
        <f>IF($A5586="","",$D5586&amp;"("&amp;SUBSTITUTE($E5586," ","")&amp;")")</f>
        <v/>
      </c>
      <c r="R5586">
        <f>IF($A5586="","",$B5586&amp;" - "&amp;$C5586)</f>
        <v/>
      </c>
      <c r="S5586">
        <f>IF($A5586="","",$R5586&amp;"|"&amp;$Q5586)</f>
        <v/>
      </c>
      <c r="T5586">
        <f>IF($A5586="","",$S5586&amp;"|"&amp;$F5586)</f>
        <v/>
      </c>
      <c r="U5586">
        <f>IF($A5586="","",$R5586&amp;"("&amp;$E5586&amp;")")</f>
        <v/>
      </c>
      <c r="V5586">
        <f>IF($A5586="","",$F5586&amp;"|"&amp;$U5586&amp;"|"&amp;$D5586)</f>
        <v/>
      </c>
      <c r="W5586">
        <f>IF($T5586="","",IF($X5586&gt;N($X5585),$X5586,""))</f>
        <v/>
      </c>
      <c r="X5586">
        <f>IF($T5586="",N($X5585),IF(MATCH($T5586,$T$6:$T$6005,0)=ROW()-5,N($X5585)+1,N($X5585)))</f>
        <v/>
      </c>
      <c r="Z5586">
        <f>IF($V5586="","",IF($AA5586&gt;N($AA5585),$AA5586,""))</f>
        <v/>
      </c>
      <c r="AA5586">
        <f>IF($V5586="",N($AA5585),IF(MATCH($V5586,$V$6:$V$6005,0)=ROW()-5,N($AA5585)+1,N($AA5585)))</f>
        <v/>
      </c>
    </row>
    <row r="5587" ht="21" customHeight="1" s="66">
      <c r="A5587" s="56" t="n"/>
      <c r="B5587" s="57" t="n"/>
      <c r="C5587" s="57" t="n"/>
      <c r="D5587" s="57" t="n"/>
      <c r="E5587" s="56" t="n"/>
      <c r="F5587" s="57" t="n"/>
      <c r="G5587" s="57" t="n"/>
      <c r="H5587" s="56" t="n"/>
      <c r="I5587" s="56" t="n"/>
      <c r="J5587" s="58" t="n"/>
      <c r="K5587" s="58" t="n"/>
      <c r="L5587" s="13">
        <f>IF(OR($A5587="",AND($J5587="",$K5587="")),"",ROUND(N($J5587)-N($K5587),2))</f>
        <v/>
      </c>
      <c r="M5587" s="13">
        <f>IF(OR($A5587="",AND($J5587="",$K5587="")),"",MIN($J5587,$K5587))</f>
        <v/>
      </c>
      <c r="Q5587">
        <f>IF($A5587="","",$D5587&amp;"("&amp;SUBSTITUTE($E5587," ","")&amp;")")</f>
        <v/>
      </c>
      <c r="R5587">
        <f>IF($A5587="","",$B5587&amp;" - "&amp;$C5587)</f>
        <v/>
      </c>
      <c r="S5587">
        <f>IF($A5587="","",$R5587&amp;"|"&amp;$Q5587)</f>
        <v/>
      </c>
      <c r="T5587">
        <f>IF($A5587="","",$S5587&amp;"|"&amp;$F5587)</f>
        <v/>
      </c>
      <c r="U5587">
        <f>IF($A5587="","",$R5587&amp;"("&amp;$E5587&amp;")")</f>
        <v/>
      </c>
      <c r="V5587">
        <f>IF($A5587="","",$F5587&amp;"|"&amp;$U5587&amp;"|"&amp;$D5587)</f>
        <v/>
      </c>
      <c r="W5587">
        <f>IF($T5587="","",IF($X5587&gt;N($X5586),$X5587,""))</f>
        <v/>
      </c>
      <c r="X5587">
        <f>IF($T5587="",N($X5586),IF(MATCH($T5587,$T$6:$T$6005,0)=ROW()-5,N($X5586)+1,N($X5586)))</f>
        <v/>
      </c>
      <c r="Z5587">
        <f>IF($V5587="","",IF($AA5587&gt;N($AA5586),$AA5587,""))</f>
        <v/>
      </c>
      <c r="AA5587">
        <f>IF($V5587="",N($AA5586),IF(MATCH($V5587,$V$6:$V$6005,0)=ROW()-5,N($AA5586)+1,N($AA5586)))</f>
        <v/>
      </c>
    </row>
    <row r="5588" ht="21" customHeight="1" s="66">
      <c r="A5588" s="56" t="n"/>
      <c r="B5588" s="57" t="n"/>
      <c r="C5588" s="57" t="n"/>
      <c r="D5588" s="57" t="n"/>
      <c r="E5588" s="56" t="n"/>
      <c r="F5588" s="57" t="n"/>
      <c r="G5588" s="57" t="n"/>
      <c r="H5588" s="56" t="n"/>
      <c r="I5588" s="56" t="n"/>
      <c r="J5588" s="58" t="n"/>
      <c r="K5588" s="58" t="n"/>
      <c r="L5588" s="13">
        <f>IF(OR($A5588="",AND($J5588="",$K5588="")),"",ROUND(N($J5588)-N($K5588),2))</f>
        <v/>
      </c>
      <c r="M5588" s="13">
        <f>IF(OR($A5588="",AND($J5588="",$K5588="")),"",MIN($J5588,$K5588))</f>
        <v/>
      </c>
      <c r="Q5588">
        <f>IF($A5588="","",$D5588&amp;"("&amp;SUBSTITUTE($E5588," ","")&amp;")")</f>
        <v/>
      </c>
      <c r="R5588">
        <f>IF($A5588="","",$B5588&amp;" - "&amp;$C5588)</f>
        <v/>
      </c>
      <c r="S5588">
        <f>IF($A5588="","",$R5588&amp;"|"&amp;$Q5588)</f>
        <v/>
      </c>
      <c r="T5588">
        <f>IF($A5588="","",$S5588&amp;"|"&amp;$F5588)</f>
        <v/>
      </c>
      <c r="U5588">
        <f>IF($A5588="","",$R5588&amp;"("&amp;$E5588&amp;")")</f>
        <v/>
      </c>
      <c r="V5588">
        <f>IF($A5588="","",$F5588&amp;"|"&amp;$U5588&amp;"|"&amp;$D5588)</f>
        <v/>
      </c>
      <c r="W5588">
        <f>IF($T5588="","",IF($X5588&gt;N($X5587),$X5588,""))</f>
        <v/>
      </c>
      <c r="X5588">
        <f>IF($T5588="",N($X5587),IF(MATCH($T5588,$T$6:$T$6005,0)=ROW()-5,N($X5587)+1,N($X5587)))</f>
        <v/>
      </c>
      <c r="Z5588">
        <f>IF($V5588="","",IF($AA5588&gt;N($AA5587),$AA5588,""))</f>
        <v/>
      </c>
      <c r="AA5588">
        <f>IF($V5588="",N($AA5587),IF(MATCH($V5588,$V$6:$V$6005,0)=ROW()-5,N($AA5587)+1,N($AA5587)))</f>
        <v/>
      </c>
    </row>
    <row r="5589" ht="21" customHeight="1" s="66">
      <c r="A5589" s="56" t="n"/>
      <c r="B5589" s="57" t="n"/>
      <c r="C5589" s="57" t="n"/>
      <c r="D5589" s="57" t="n"/>
      <c r="E5589" s="56" t="n"/>
      <c r="F5589" s="57" t="n"/>
      <c r="G5589" s="57" t="n"/>
      <c r="H5589" s="56" t="n"/>
      <c r="I5589" s="56" t="n"/>
      <c r="J5589" s="58" t="n"/>
      <c r="K5589" s="58" t="n"/>
      <c r="L5589" s="13">
        <f>IF(OR($A5589="",AND($J5589="",$K5589="")),"",ROUND(N($J5589)-N($K5589),2))</f>
        <v/>
      </c>
      <c r="M5589" s="13">
        <f>IF(OR($A5589="",AND($J5589="",$K5589="")),"",MIN($J5589,$K5589))</f>
        <v/>
      </c>
      <c r="Q5589">
        <f>IF($A5589="","",$D5589&amp;"("&amp;SUBSTITUTE($E5589," ","")&amp;")")</f>
        <v/>
      </c>
      <c r="R5589">
        <f>IF($A5589="","",$B5589&amp;" - "&amp;$C5589)</f>
        <v/>
      </c>
      <c r="S5589">
        <f>IF($A5589="","",$R5589&amp;"|"&amp;$Q5589)</f>
        <v/>
      </c>
      <c r="T5589">
        <f>IF($A5589="","",$S5589&amp;"|"&amp;$F5589)</f>
        <v/>
      </c>
      <c r="U5589">
        <f>IF($A5589="","",$R5589&amp;"("&amp;$E5589&amp;")")</f>
        <v/>
      </c>
      <c r="V5589">
        <f>IF($A5589="","",$F5589&amp;"|"&amp;$U5589&amp;"|"&amp;$D5589)</f>
        <v/>
      </c>
      <c r="W5589">
        <f>IF($T5589="","",IF($X5589&gt;N($X5588),$X5589,""))</f>
        <v/>
      </c>
      <c r="X5589">
        <f>IF($T5589="",N($X5588),IF(MATCH($T5589,$T$6:$T$6005,0)=ROW()-5,N($X5588)+1,N($X5588)))</f>
        <v/>
      </c>
      <c r="Z5589">
        <f>IF($V5589="","",IF($AA5589&gt;N($AA5588),$AA5589,""))</f>
        <v/>
      </c>
      <c r="AA5589">
        <f>IF($V5589="",N($AA5588),IF(MATCH($V5589,$V$6:$V$6005,0)=ROW()-5,N($AA5588)+1,N($AA5588)))</f>
        <v/>
      </c>
    </row>
    <row r="5590" ht="21" customHeight="1" s="66">
      <c r="A5590" s="56" t="n"/>
      <c r="B5590" s="57" t="n"/>
      <c r="C5590" s="57" t="n"/>
      <c r="D5590" s="57" t="n"/>
      <c r="E5590" s="56" t="n"/>
      <c r="F5590" s="57" t="n"/>
      <c r="G5590" s="57" t="n"/>
      <c r="H5590" s="56" t="n"/>
      <c r="I5590" s="56" t="n"/>
      <c r="J5590" s="58" t="n"/>
      <c r="K5590" s="58" t="n"/>
      <c r="L5590" s="13">
        <f>IF(OR($A5590="",AND($J5590="",$K5590="")),"",ROUND(N($J5590)-N($K5590),2))</f>
        <v/>
      </c>
      <c r="M5590" s="13">
        <f>IF(OR($A5590="",AND($J5590="",$K5590="")),"",MIN($J5590,$K5590))</f>
        <v/>
      </c>
      <c r="Q5590">
        <f>IF($A5590="","",$D5590&amp;"("&amp;SUBSTITUTE($E5590," ","")&amp;")")</f>
        <v/>
      </c>
      <c r="R5590">
        <f>IF($A5590="","",$B5590&amp;" - "&amp;$C5590)</f>
        <v/>
      </c>
      <c r="S5590">
        <f>IF($A5590="","",$R5590&amp;"|"&amp;$Q5590)</f>
        <v/>
      </c>
      <c r="T5590">
        <f>IF($A5590="","",$S5590&amp;"|"&amp;$F5590)</f>
        <v/>
      </c>
      <c r="U5590">
        <f>IF($A5590="","",$R5590&amp;"("&amp;$E5590&amp;")")</f>
        <v/>
      </c>
      <c r="V5590">
        <f>IF($A5590="","",$F5590&amp;"|"&amp;$U5590&amp;"|"&amp;$D5590)</f>
        <v/>
      </c>
      <c r="W5590">
        <f>IF($T5590="","",IF($X5590&gt;N($X5589),$X5590,""))</f>
        <v/>
      </c>
      <c r="X5590">
        <f>IF($T5590="",N($X5589),IF(MATCH($T5590,$T$6:$T$6005,0)=ROW()-5,N($X5589)+1,N($X5589)))</f>
        <v/>
      </c>
      <c r="Z5590">
        <f>IF($V5590="","",IF($AA5590&gt;N($AA5589),$AA5590,""))</f>
        <v/>
      </c>
      <c r="AA5590">
        <f>IF($V5590="",N($AA5589),IF(MATCH($V5590,$V$6:$V$6005,0)=ROW()-5,N($AA5589)+1,N($AA5589)))</f>
        <v/>
      </c>
    </row>
    <row r="5591" ht="21" customHeight="1" s="66">
      <c r="A5591" s="56" t="n"/>
      <c r="B5591" s="57" t="n"/>
      <c r="C5591" s="57" t="n"/>
      <c r="D5591" s="57" t="n"/>
      <c r="E5591" s="56" t="n"/>
      <c r="F5591" s="57" t="n"/>
      <c r="G5591" s="57" t="n"/>
      <c r="H5591" s="56" t="n"/>
      <c r="I5591" s="56" t="n"/>
      <c r="J5591" s="58" t="n"/>
      <c r="K5591" s="58" t="n"/>
      <c r="L5591" s="13">
        <f>IF(OR($A5591="",AND($J5591="",$K5591="")),"",ROUND(N($J5591)-N($K5591),2))</f>
        <v/>
      </c>
      <c r="M5591" s="13">
        <f>IF(OR($A5591="",AND($J5591="",$K5591="")),"",MIN($J5591,$K5591))</f>
        <v/>
      </c>
      <c r="Q5591">
        <f>IF($A5591="","",$D5591&amp;"("&amp;SUBSTITUTE($E5591," ","")&amp;")")</f>
        <v/>
      </c>
      <c r="R5591">
        <f>IF($A5591="","",$B5591&amp;" - "&amp;$C5591)</f>
        <v/>
      </c>
      <c r="S5591">
        <f>IF($A5591="","",$R5591&amp;"|"&amp;$Q5591)</f>
        <v/>
      </c>
      <c r="T5591">
        <f>IF($A5591="","",$S5591&amp;"|"&amp;$F5591)</f>
        <v/>
      </c>
      <c r="U5591">
        <f>IF($A5591="","",$R5591&amp;"("&amp;$E5591&amp;")")</f>
        <v/>
      </c>
      <c r="V5591">
        <f>IF($A5591="","",$F5591&amp;"|"&amp;$U5591&amp;"|"&amp;$D5591)</f>
        <v/>
      </c>
      <c r="W5591">
        <f>IF($T5591="","",IF($X5591&gt;N($X5590),$X5591,""))</f>
        <v/>
      </c>
      <c r="X5591">
        <f>IF($T5591="",N($X5590),IF(MATCH($T5591,$T$6:$T$6005,0)=ROW()-5,N($X5590)+1,N($X5590)))</f>
        <v/>
      </c>
      <c r="Z5591">
        <f>IF($V5591="","",IF($AA5591&gt;N($AA5590),$AA5591,""))</f>
        <v/>
      </c>
      <c r="AA5591">
        <f>IF($V5591="",N($AA5590),IF(MATCH($V5591,$V$6:$V$6005,0)=ROW()-5,N($AA5590)+1,N($AA5590)))</f>
        <v/>
      </c>
    </row>
    <row r="5592" ht="21" customHeight="1" s="66">
      <c r="A5592" s="56" t="n"/>
      <c r="B5592" s="57" t="n"/>
      <c r="C5592" s="57" t="n"/>
      <c r="D5592" s="57" t="n"/>
      <c r="E5592" s="56" t="n"/>
      <c r="F5592" s="57" t="n"/>
      <c r="G5592" s="57" t="n"/>
      <c r="H5592" s="56" t="n"/>
      <c r="I5592" s="56" t="n"/>
      <c r="J5592" s="58" t="n"/>
      <c r="K5592" s="58" t="n"/>
      <c r="L5592" s="13">
        <f>IF(OR($A5592="",AND($J5592="",$K5592="")),"",ROUND(N($J5592)-N($K5592),2))</f>
        <v/>
      </c>
      <c r="M5592" s="13">
        <f>IF(OR($A5592="",AND($J5592="",$K5592="")),"",MIN($J5592,$K5592))</f>
        <v/>
      </c>
      <c r="Q5592">
        <f>IF($A5592="","",$D5592&amp;"("&amp;SUBSTITUTE($E5592," ","")&amp;")")</f>
        <v/>
      </c>
      <c r="R5592">
        <f>IF($A5592="","",$B5592&amp;" - "&amp;$C5592)</f>
        <v/>
      </c>
      <c r="S5592">
        <f>IF($A5592="","",$R5592&amp;"|"&amp;$Q5592)</f>
        <v/>
      </c>
      <c r="T5592">
        <f>IF($A5592="","",$S5592&amp;"|"&amp;$F5592)</f>
        <v/>
      </c>
      <c r="U5592">
        <f>IF($A5592="","",$R5592&amp;"("&amp;$E5592&amp;")")</f>
        <v/>
      </c>
      <c r="V5592">
        <f>IF($A5592="","",$F5592&amp;"|"&amp;$U5592&amp;"|"&amp;$D5592)</f>
        <v/>
      </c>
      <c r="W5592">
        <f>IF($T5592="","",IF($X5592&gt;N($X5591),$X5592,""))</f>
        <v/>
      </c>
      <c r="X5592">
        <f>IF($T5592="",N($X5591),IF(MATCH($T5592,$T$6:$T$6005,0)=ROW()-5,N($X5591)+1,N($X5591)))</f>
        <v/>
      </c>
      <c r="Z5592">
        <f>IF($V5592="","",IF($AA5592&gt;N($AA5591),$AA5592,""))</f>
        <v/>
      </c>
      <c r="AA5592">
        <f>IF($V5592="",N($AA5591),IF(MATCH($V5592,$V$6:$V$6005,0)=ROW()-5,N($AA5591)+1,N($AA5591)))</f>
        <v/>
      </c>
    </row>
    <row r="5593" ht="21" customHeight="1" s="66">
      <c r="A5593" s="56" t="n"/>
      <c r="B5593" s="57" t="n"/>
      <c r="C5593" s="57" t="n"/>
      <c r="D5593" s="57" t="n"/>
      <c r="E5593" s="56" t="n"/>
      <c r="F5593" s="57" t="n"/>
      <c r="G5593" s="57" t="n"/>
      <c r="H5593" s="56" t="n"/>
      <c r="I5593" s="56" t="n"/>
      <c r="J5593" s="58" t="n"/>
      <c r="K5593" s="58" t="n"/>
      <c r="L5593" s="13">
        <f>IF(OR($A5593="",AND($J5593="",$K5593="")),"",ROUND(N($J5593)-N($K5593),2))</f>
        <v/>
      </c>
      <c r="M5593" s="13">
        <f>IF(OR($A5593="",AND($J5593="",$K5593="")),"",MIN($J5593,$K5593))</f>
        <v/>
      </c>
      <c r="Q5593">
        <f>IF($A5593="","",$D5593&amp;"("&amp;SUBSTITUTE($E5593," ","")&amp;")")</f>
        <v/>
      </c>
      <c r="R5593">
        <f>IF($A5593="","",$B5593&amp;" - "&amp;$C5593)</f>
        <v/>
      </c>
      <c r="S5593">
        <f>IF($A5593="","",$R5593&amp;"|"&amp;$Q5593)</f>
        <v/>
      </c>
      <c r="T5593">
        <f>IF($A5593="","",$S5593&amp;"|"&amp;$F5593)</f>
        <v/>
      </c>
      <c r="U5593">
        <f>IF($A5593="","",$R5593&amp;"("&amp;$E5593&amp;")")</f>
        <v/>
      </c>
      <c r="V5593">
        <f>IF($A5593="","",$F5593&amp;"|"&amp;$U5593&amp;"|"&amp;$D5593)</f>
        <v/>
      </c>
      <c r="W5593">
        <f>IF($T5593="","",IF($X5593&gt;N($X5592),$X5593,""))</f>
        <v/>
      </c>
      <c r="X5593">
        <f>IF($T5593="",N($X5592),IF(MATCH($T5593,$T$6:$T$6005,0)=ROW()-5,N($X5592)+1,N($X5592)))</f>
        <v/>
      </c>
      <c r="Z5593">
        <f>IF($V5593="","",IF($AA5593&gt;N($AA5592),$AA5593,""))</f>
        <v/>
      </c>
      <c r="AA5593">
        <f>IF($V5593="",N($AA5592),IF(MATCH($V5593,$V$6:$V$6005,0)=ROW()-5,N($AA5592)+1,N($AA5592)))</f>
        <v/>
      </c>
    </row>
    <row r="5594" ht="21" customHeight="1" s="66">
      <c r="A5594" s="56" t="n"/>
      <c r="B5594" s="57" t="n"/>
      <c r="C5594" s="57" t="n"/>
      <c r="D5594" s="57" t="n"/>
      <c r="E5594" s="56" t="n"/>
      <c r="F5594" s="57" t="n"/>
      <c r="G5594" s="57" t="n"/>
      <c r="H5594" s="56" t="n"/>
      <c r="I5594" s="56" t="n"/>
      <c r="J5594" s="58" t="n"/>
      <c r="K5594" s="58" t="n"/>
      <c r="L5594" s="13">
        <f>IF(OR($A5594="",AND($J5594="",$K5594="")),"",ROUND(N($J5594)-N($K5594),2))</f>
        <v/>
      </c>
      <c r="M5594" s="13">
        <f>IF(OR($A5594="",AND($J5594="",$K5594="")),"",MIN($J5594,$K5594))</f>
        <v/>
      </c>
      <c r="Q5594">
        <f>IF($A5594="","",$D5594&amp;"("&amp;SUBSTITUTE($E5594," ","")&amp;")")</f>
        <v/>
      </c>
      <c r="R5594">
        <f>IF($A5594="","",$B5594&amp;" - "&amp;$C5594)</f>
        <v/>
      </c>
      <c r="S5594">
        <f>IF($A5594="","",$R5594&amp;"|"&amp;$Q5594)</f>
        <v/>
      </c>
      <c r="T5594">
        <f>IF($A5594="","",$S5594&amp;"|"&amp;$F5594)</f>
        <v/>
      </c>
      <c r="U5594">
        <f>IF($A5594="","",$R5594&amp;"("&amp;$E5594&amp;")")</f>
        <v/>
      </c>
      <c r="V5594">
        <f>IF($A5594="","",$F5594&amp;"|"&amp;$U5594&amp;"|"&amp;$D5594)</f>
        <v/>
      </c>
      <c r="W5594">
        <f>IF($T5594="","",IF($X5594&gt;N($X5593),$X5594,""))</f>
        <v/>
      </c>
      <c r="X5594">
        <f>IF($T5594="",N($X5593),IF(MATCH($T5594,$T$6:$T$6005,0)=ROW()-5,N($X5593)+1,N($X5593)))</f>
        <v/>
      </c>
      <c r="Z5594">
        <f>IF($V5594="","",IF($AA5594&gt;N($AA5593),$AA5594,""))</f>
        <v/>
      </c>
      <c r="AA5594">
        <f>IF($V5594="",N($AA5593),IF(MATCH($V5594,$V$6:$V$6005,0)=ROW()-5,N($AA5593)+1,N($AA5593)))</f>
        <v/>
      </c>
    </row>
    <row r="5595" ht="21" customHeight="1" s="66">
      <c r="A5595" s="56" t="n"/>
      <c r="B5595" s="57" t="n"/>
      <c r="C5595" s="57" t="n"/>
      <c r="D5595" s="57" t="n"/>
      <c r="E5595" s="56" t="n"/>
      <c r="F5595" s="57" t="n"/>
      <c r="G5595" s="57" t="n"/>
      <c r="H5595" s="56" t="n"/>
      <c r="I5595" s="56" t="n"/>
      <c r="J5595" s="58" t="n"/>
      <c r="K5595" s="58" t="n"/>
      <c r="L5595" s="13">
        <f>IF(OR($A5595="",AND($J5595="",$K5595="")),"",ROUND(N($J5595)-N($K5595),2))</f>
        <v/>
      </c>
      <c r="M5595" s="13">
        <f>IF(OR($A5595="",AND($J5595="",$K5595="")),"",MIN($J5595,$K5595))</f>
        <v/>
      </c>
      <c r="Q5595">
        <f>IF($A5595="","",$D5595&amp;"("&amp;SUBSTITUTE($E5595," ","")&amp;")")</f>
        <v/>
      </c>
      <c r="R5595">
        <f>IF($A5595="","",$B5595&amp;" - "&amp;$C5595)</f>
        <v/>
      </c>
      <c r="S5595">
        <f>IF($A5595="","",$R5595&amp;"|"&amp;$Q5595)</f>
        <v/>
      </c>
      <c r="T5595">
        <f>IF($A5595="","",$S5595&amp;"|"&amp;$F5595)</f>
        <v/>
      </c>
      <c r="U5595">
        <f>IF($A5595="","",$R5595&amp;"("&amp;$E5595&amp;")")</f>
        <v/>
      </c>
      <c r="V5595">
        <f>IF($A5595="","",$F5595&amp;"|"&amp;$U5595&amp;"|"&amp;$D5595)</f>
        <v/>
      </c>
      <c r="W5595">
        <f>IF($T5595="","",IF($X5595&gt;N($X5594),$X5595,""))</f>
        <v/>
      </c>
      <c r="X5595">
        <f>IF($T5595="",N($X5594),IF(MATCH($T5595,$T$6:$T$6005,0)=ROW()-5,N($X5594)+1,N($X5594)))</f>
        <v/>
      </c>
      <c r="Z5595">
        <f>IF($V5595="","",IF($AA5595&gt;N($AA5594),$AA5595,""))</f>
        <v/>
      </c>
      <c r="AA5595">
        <f>IF($V5595="",N($AA5594),IF(MATCH($V5595,$V$6:$V$6005,0)=ROW()-5,N($AA5594)+1,N($AA5594)))</f>
        <v/>
      </c>
    </row>
    <row r="5596" ht="21" customHeight="1" s="66">
      <c r="A5596" s="56" t="n"/>
      <c r="B5596" s="57" t="n"/>
      <c r="C5596" s="57" t="n"/>
      <c r="D5596" s="57" t="n"/>
      <c r="E5596" s="56" t="n"/>
      <c r="F5596" s="57" t="n"/>
      <c r="G5596" s="57" t="n"/>
      <c r="H5596" s="56" t="n"/>
      <c r="I5596" s="56" t="n"/>
      <c r="J5596" s="58" t="n"/>
      <c r="K5596" s="58" t="n"/>
      <c r="L5596" s="13">
        <f>IF(OR($A5596="",AND($J5596="",$K5596="")),"",ROUND(N($J5596)-N($K5596),2))</f>
        <v/>
      </c>
      <c r="M5596" s="13">
        <f>IF(OR($A5596="",AND($J5596="",$K5596="")),"",MIN($J5596,$K5596))</f>
        <v/>
      </c>
      <c r="Q5596">
        <f>IF($A5596="","",$D5596&amp;"("&amp;SUBSTITUTE($E5596," ","")&amp;")")</f>
        <v/>
      </c>
      <c r="R5596">
        <f>IF($A5596="","",$B5596&amp;" - "&amp;$C5596)</f>
        <v/>
      </c>
      <c r="S5596">
        <f>IF($A5596="","",$R5596&amp;"|"&amp;$Q5596)</f>
        <v/>
      </c>
      <c r="T5596">
        <f>IF($A5596="","",$S5596&amp;"|"&amp;$F5596)</f>
        <v/>
      </c>
      <c r="U5596">
        <f>IF($A5596="","",$R5596&amp;"("&amp;$E5596&amp;")")</f>
        <v/>
      </c>
      <c r="V5596">
        <f>IF($A5596="","",$F5596&amp;"|"&amp;$U5596&amp;"|"&amp;$D5596)</f>
        <v/>
      </c>
      <c r="W5596">
        <f>IF($T5596="","",IF($X5596&gt;N($X5595),$X5596,""))</f>
        <v/>
      </c>
      <c r="X5596">
        <f>IF($T5596="",N($X5595),IF(MATCH($T5596,$T$6:$T$6005,0)=ROW()-5,N($X5595)+1,N($X5595)))</f>
        <v/>
      </c>
      <c r="Z5596">
        <f>IF($V5596="","",IF($AA5596&gt;N($AA5595),$AA5596,""))</f>
        <v/>
      </c>
      <c r="AA5596">
        <f>IF($V5596="",N($AA5595),IF(MATCH($V5596,$V$6:$V$6005,0)=ROW()-5,N($AA5595)+1,N($AA5595)))</f>
        <v/>
      </c>
    </row>
    <row r="5597" ht="21" customHeight="1" s="66">
      <c r="A5597" s="56" t="n"/>
      <c r="B5597" s="57" t="n"/>
      <c r="C5597" s="57" t="n"/>
      <c r="D5597" s="57" t="n"/>
      <c r="E5597" s="56" t="n"/>
      <c r="F5597" s="57" t="n"/>
      <c r="G5597" s="57" t="n"/>
      <c r="H5597" s="56" t="n"/>
      <c r="I5597" s="56" t="n"/>
      <c r="J5597" s="58" t="n"/>
      <c r="K5597" s="58" t="n"/>
      <c r="L5597" s="13">
        <f>IF(OR($A5597="",AND($J5597="",$K5597="")),"",ROUND(N($J5597)-N($K5597),2))</f>
        <v/>
      </c>
      <c r="M5597" s="13">
        <f>IF(OR($A5597="",AND($J5597="",$K5597="")),"",MIN($J5597,$K5597))</f>
        <v/>
      </c>
      <c r="Q5597">
        <f>IF($A5597="","",$D5597&amp;"("&amp;SUBSTITUTE($E5597," ","")&amp;")")</f>
        <v/>
      </c>
      <c r="R5597">
        <f>IF($A5597="","",$B5597&amp;" - "&amp;$C5597)</f>
        <v/>
      </c>
      <c r="S5597">
        <f>IF($A5597="","",$R5597&amp;"|"&amp;$Q5597)</f>
        <v/>
      </c>
      <c r="T5597">
        <f>IF($A5597="","",$S5597&amp;"|"&amp;$F5597)</f>
        <v/>
      </c>
      <c r="U5597">
        <f>IF($A5597="","",$R5597&amp;"("&amp;$E5597&amp;")")</f>
        <v/>
      </c>
      <c r="V5597">
        <f>IF($A5597="","",$F5597&amp;"|"&amp;$U5597&amp;"|"&amp;$D5597)</f>
        <v/>
      </c>
      <c r="W5597">
        <f>IF($T5597="","",IF($X5597&gt;N($X5596),$X5597,""))</f>
        <v/>
      </c>
      <c r="X5597">
        <f>IF($T5597="",N($X5596),IF(MATCH($T5597,$T$6:$T$6005,0)=ROW()-5,N($X5596)+1,N($X5596)))</f>
        <v/>
      </c>
      <c r="Z5597">
        <f>IF($V5597="","",IF($AA5597&gt;N($AA5596),$AA5597,""))</f>
        <v/>
      </c>
      <c r="AA5597">
        <f>IF($V5597="",N($AA5596),IF(MATCH($V5597,$V$6:$V$6005,0)=ROW()-5,N($AA5596)+1,N($AA5596)))</f>
        <v/>
      </c>
    </row>
    <row r="5598" ht="21" customHeight="1" s="66">
      <c r="A5598" s="56" t="n"/>
      <c r="B5598" s="57" t="n"/>
      <c r="C5598" s="57" t="n"/>
      <c r="D5598" s="57" t="n"/>
      <c r="E5598" s="56" t="n"/>
      <c r="F5598" s="57" t="n"/>
      <c r="G5598" s="57" t="n"/>
      <c r="H5598" s="56" t="n"/>
      <c r="I5598" s="56" t="n"/>
      <c r="J5598" s="58" t="n"/>
      <c r="K5598" s="58" t="n"/>
      <c r="L5598" s="13">
        <f>IF(OR($A5598="",AND($J5598="",$K5598="")),"",ROUND(N($J5598)-N($K5598),2))</f>
        <v/>
      </c>
      <c r="M5598" s="13">
        <f>IF(OR($A5598="",AND($J5598="",$K5598="")),"",MIN($J5598,$K5598))</f>
        <v/>
      </c>
      <c r="Q5598">
        <f>IF($A5598="","",$D5598&amp;"("&amp;SUBSTITUTE($E5598," ","")&amp;")")</f>
        <v/>
      </c>
      <c r="R5598">
        <f>IF($A5598="","",$B5598&amp;" - "&amp;$C5598)</f>
        <v/>
      </c>
      <c r="S5598">
        <f>IF($A5598="","",$R5598&amp;"|"&amp;$Q5598)</f>
        <v/>
      </c>
      <c r="T5598">
        <f>IF($A5598="","",$S5598&amp;"|"&amp;$F5598)</f>
        <v/>
      </c>
      <c r="U5598">
        <f>IF($A5598="","",$R5598&amp;"("&amp;$E5598&amp;")")</f>
        <v/>
      </c>
      <c r="V5598">
        <f>IF($A5598="","",$F5598&amp;"|"&amp;$U5598&amp;"|"&amp;$D5598)</f>
        <v/>
      </c>
      <c r="W5598">
        <f>IF($T5598="","",IF($X5598&gt;N($X5597),$X5598,""))</f>
        <v/>
      </c>
      <c r="X5598">
        <f>IF($T5598="",N($X5597),IF(MATCH($T5598,$T$6:$T$6005,0)=ROW()-5,N($X5597)+1,N($X5597)))</f>
        <v/>
      </c>
      <c r="Z5598">
        <f>IF($V5598="","",IF($AA5598&gt;N($AA5597),$AA5598,""))</f>
        <v/>
      </c>
      <c r="AA5598">
        <f>IF($V5598="",N($AA5597),IF(MATCH($V5598,$V$6:$V$6005,0)=ROW()-5,N($AA5597)+1,N($AA5597)))</f>
        <v/>
      </c>
    </row>
    <row r="5599" ht="21" customHeight="1" s="66">
      <c r="A5599" s="56" t="n"/>
      <c r="B5599" s="57" t="n"/>
      <c r="C5599" s="57" t="n"/>
      <c r="D5599" s="57" t="n"/>
      <c r="E5599" s="56" t="n"/>
      <c r="F5599" s="57" t="n"/>
      <c r="G5599" s="57" t="n"/>
      <c r="H5599" s="56" t="n"/>
      <c r="I5599" s="56" t="n"/>
      <c r="J5599" s="58" t="n"/>
      <c r="K5599" s="58" t="n"/>
      <c r="L5599" s="13">
        <f>IF(OR($A5599="",AND($J5599="",$K5599="")),"",ROUND(N($J5599)-N($K5599),2))</f>
        <v/>
      </c>
      <c r="M5599" s="13">
        <f>IF(OR($A5599="",AND($J5599="",$K5599="")),"",MIN($J5599,$K5599))</f>
        <v/>
      </c>
      <c r="Q5599">
        <f>IF($A5599="","",$D5599&amp;"("&amp;SUBSTITUTE($E5599," ","")&amp;")")</f>
        <v/>
      </c>
      <c r="R5599">
        <f>IF($A5599="","",$B5599&amp;" - "&amp;$C5599)</f>
        <v/>
      </c>
      <c r="S5599">
        <f>IF($A5599="","",$R5599&amp;"|"&amp;$Q5599)</f>
        <v/>
      </c>
      <c r="T5599">
        <f>IF($A5599="","",$S5599&amp;"|"&amp;$F5599)</f>
        <v/>
      </c>
      <c r="U5599">
        <f>IF($A5599="","",$R5599&amp;"("&amp;$E5599&amp;")")</f>
        <v/>
      </c>
      <c r="V5599">
        <f>IF($A5599="","",$F5599&amp;"|"&amp;$U5599&amp;"|"&amp;$D5599)</f>
        <v/>
      </c>
      <c r="W5599">
        <f>IF($T5599="","",IF($X5599&gt;N($X5598),$X5599,""))</f>
        <v/>
      </c>
      <c r="X5599">
        <f>IF($T5599="",N($X5598),IF(MATCH($T5599,$T$6:$T$6005,0)=ROW()-5,N($X5598)+1,N($X5598)))</f>
        <v/>
      </c>
      <c r="Z5599">
        <f>IF($V5599="","",IF($AA5599&gt;N($AA5598),$AA5599,""))</f>
        <v/>
      </c>
      <c r="AA5599">
        <f>IF($V5599="",N($AA5598),IF(MATCH($V5599,$V$6:$V$6005,0)=ROW()-5,N($AA5598)+1,N($AA5598)))</f>
        <v/>
      </c>
    </row>
    <row r="5600" ht="21" customHeight="1" s="66">
      <c r="A5600" s="56" t="n"/>
      <c r="B5600" s="57" t="n"/>
      <c r="C5600" s="57" t="n"/>
      <c r="D5600" s="57" t="n"/>
      <c r="E5600" s="56" t="n"/>
      <c r="F5600" s="57" t="n"/>
      <c r="G5600" s="57" t="n"/>
      <c r="H5600" s="56" t="n"/>
      <c r="I5600" s="56" t="n"/>
      <c r="J5600" s="58" t="n"/>
      <c r="K5600" s="58" t="n"/>
      <c r="L5600" s="13">
        <f>IF(OR($A5600="",AND($J5600="",$K5600="")),"",ROUND(N($J5600)-N($K5600),2))</f>
        <v/>
      </c>
      <c r="M5600" s="13">
        <f>IF(OR($A5600="",AND($J5600="",$K5600="")),"",MIN($J5600,$K5600))</f>
        <v/>
      </c>
      <c r="Q5600">
        <f>IF($A5600="","",$D5600&amp;"("&amp;SUBSTITUTE($E5600," ","")&amp;")")</f>
        <v/>
      </c>
      <c r="R5600">
        <f>IF($A5600="","",$B5600&amp;" - "&amp;$C5600)</f>
        <v/>
      </c>
      <c r="S5600">
        <f>IF($A5600="","",$R5600&amp;"|"&amp;$Q5600)</f>
        <v/>
      </c>
      <c r="T5600">
        <f>IF($A5600="","",$S5600&amp;"|"&amp;$F5600)</f>
        <v/>
      </c>
      <c r="U5600">
        <f>IF($A5600="","",$R5600&amp;"("&amp;$E5600&amp;")")</f>
        <v/>
      </c>
      <c r="V5600">
        <f>IF($A5600="","",$F5600&amp;"|"&amp;$U5600&amp;"|"&amp;$D5600)</f>
        <v/>
      </c>
      <c r="W5600">
        <f>IF($T5600="","",IF($X5600&gt;N($X5599),$X5600,""))</f>
        <v/>
      </c>
      <c r="X5600">
        <f>IF($T5600="",N($X5599),IF(MATCH($T5600,$T$6:$T$6005,0)=ROW()-5,N($X5599)+1,N($X5599)))</f>
        <v/>
      </c>
      <c r="Z5600">
        <f>IF($V5600="","",IF($AA5600&gt;N($AA5599),$AA5600,""))</f>
        <v/>
      </c>
      <c r="AA5600">
        <f>IF($V5600="",N($AA5599),IF(MATCH($V5600,$V$6:$V$6005,0)=ROW()-5,N($AA5599)+1,N($AA5599)))</f>
        <v/>
      </c>
    </row>
    <row r="5601" ht="21" customHeight="1" s="66">
      <c r="A5601" s="56" t="n"/>
      <c r="B5601" s="57" t="n"/>
      <c r="C5601" s="57" t="n"/>
      <c r="D5601" s="57" t="n"/>
      <c r="E5601" s="56" t="n"/>
      <c r="F5601" s="57" t="n"/>
      <c r="G5601" s="57" t="n"/>
      <c r="H5601" s="56" t="n"/>
      <c r="I5601" s="56" t="n"/>
      <c r="J5601" s="58" t="n"/>
      <c r="K5601" s="58" t="n"/>
      <c r="L5601" s="13">
        <f>IF(OR($A5601="",AND($J5601="",$K5601="")),"",ROUND(N($J5601)-N($K5601),2))</f>
        <v/>
      </c>
      <c r="M5601" s="13">
        <f>IF(OR($A5601="",AND($J5601="",$K5601="")),"",MIN($J5601,$K5601))</f>
        <v/>
      </c>
      <c r="Q5601">
        <f>IF($A5601="","",$D5601&amp;"("&amp;SUBSTITUTE($E5601," ","")&amp;")")</f>
        <v/>
      </c>
      <c r="R5601">
        <f>IF($A5601="","",$B5601&amp;" - "&amp;$C5601)</f>
        <v/>
      </c>
      <c r="S5601">
        <f>IF($A5601="","",$R5601&amp;"|"&amp;$Q5601)</f>
        <v/>
      </c>
      <c r="T5601">
        <f>IF($A5601="","",$S5601&amp;"|"&amp;$F5601)</f>
        <v/>
      </c>
      <c r="U5601">
        <f>IF($A5601="","",$R5601&amp;"("&amp;$E5601&amp;")")</f>
        <v/>
      </c>
      <c r="V5601">
        <f>IF($A5601="","",$F5601&amp;"|"&amp;$U5601&amp;"|"&amp;$D5601)</f>
        <v/>
      </c>
      <c r="W5601">
        <f>IF($T5601="","",IF($X5601&gt;N($X5600),$X5601,""))</f>
        <v/>
      </c>
      <c r="X5601">
        <f>IF($T5601="",N($X5600),IF(MATCH($T5601,$T$6:$T$6005,0)=ROW()-5,N($X5600)+1,N($X5600)))</f>
        <v/>
      </c>
      <c r="Z5601">
        <f>IF($V5601="","",IF($AA5601&gt;N($AA5600),$AA5601,""))</f>
        <v/>
      </c>
      <c r="AA5601">
        <f>IF($V5601="",N($AA5600),IF(MATCH($V5601,$V$6:$V$6005,0)=ROW()-5,N($AA5600)+1,N($AA5600)))</f>
        <v/>
      </c>
    </row>
    <row r="5602" ht="21" customHeight="1" s="66">
      <c r="A5602" s="56" t="n"/>
      <c r="B5602" s="57" t="n"/>
      <c r="C5602" s="57" t="n"/>
      <c r="D5602" s="57" t="n"/>
      <c r="E5602" s="56" t="n"/>
      <c r="F5602" s="57" t="n"/>
      <c r="G5602" s="57" t="n"/>
      <c r="H5602" s="56" t="n"/>
      <c r="I5602" s="56" t="n"/>
      <c r="J5602" s="58" t="n"/>
      <c r="K5602" s="58" t="n"/>
      <c r="L5602" s="13">
        <f>IF(OR($A5602="",AND($J5602="",$K5602="")),"",ROUND(N($J5602)-N($K5602),2))</f>
        <v/>
      </c>
      <c r="M5602" s="13">
        <f>IF(OR($A5602="",AND($J5602="",$K5602="")),"",MIN($J5602,$K5602))</f>
        <v/>
      </c>
      <c r="Q5602">
        <f>IF($A5602="","",$D5602&amp;"("&amp;SUBSTITUTE($E5602," ","")&amp;")")</f>
        <v/>
      </c>
      <c r="R5602">
        <f>IF($A5602="","",$B5602&amp;" - "&amp;$C5602)</f>
        <v/>
      </c>
      <c r="S5602">
        <f>IF($A5602="","",$R5602&amp;"|"&amp;$Q5602)</f>
        <v/>
      </c>
      <c r="T5602">
        <f>IF($A5602="","",$S5602&amp;"|"&amp;$F5602)</f>
        <v/>
      </c>
      <c r="U5602">
        <f>IF($A5602="","",$R5602&amp;"("&amp;$E5602&amp;")")</f>
        <v/>
      </c>
      <c r="V5602">
        <f>IF($A5602="","",$F5602&amp;"|"&amp;$U5602&amp;"|"&amp;$D5602)</f>
        <v/>
      </c>
      <c r="W5602">
        <f>IF($T5602="","",IF($X5602&gt;N($X5601),$X5602,""))</f>
        <v/>
      </c>
      <c r="X5602">
        <f>IF($T5602="",N($X5601),IF(MATCH($T5602,$T$6:$T$6005,0)=ROW()-5,N($X5601)+1,N($X5601)))</f>
        <v/>
      </c>
      <c r="Z5602">
        <f>IF($V5602="","",IF($AA5602&gt;N($AA5601),$AA5602,""))</f>
        <v/>
      </c>
      <c r="AA5602">
        <f>IF($V5602="",N($AA5601),IF(MATCH($V5602,$V$6:$V$6005,0)=ROW()-5,N($AA5601)+1,N($AA5601)))</f>
        <v/>
      </c>
    </row>
    <row r="5603" ht="21" customHeight="1" s="66">
      <c r="A5603" s="56" t="n"/>
      <c r="B5603" s="57" t="n"/>
      <c r="C5603" s="57" t="n"/>
      <c r="D5603" s="57" t="n"/>
      <c r="E5603" s="56" t="n"/>
      <c r="F5603" s="57" t="n"/>
      <c r="G5603" s="57" t="n"/>
      <c r="H5603" s="56" t="n"/>
      <c r="I5603" s="56" t="n"/>
      <c r="J5603" s="58" t="n"/>
      <c r="K5603" s="58" t="n"/>
      <c r="L5603" s="13">
        <f>IF(OR($A5603="",AND($J5603="",$K5603="")),"",ROUND(N($J5603)-N($K5603),2))</f>
        <v/>
      </c>
      <c r="M5603" s="13">
        <f>IF(OR($A5603="",AND($J5603="",$K5603="")),"",MIN($J5603,$K5603))</f>
        <v/>
      </c>
      <c r="Q5603">
        <f>IF($A5603="","",$D5603&amp;"("&amp;SUBSTITUTE($E5603," ","")&amp;")")</f>
        <v/>
      </c>
      <c r="R5603">
        <f>IF($A5603="","",$B5603&amp;" - "&amp;$C5603)</f>
        <v/>
      </c>
      <c r="S5603">
        <f>IF($A5603="","",$R5603&amp;"|"&amp;$Q5603)</f>
        <v/>
      </c>
      <c r="T5603">
        <f>IF($A5603="","",$S5603&amp;"|"&amp;$F5603)</f>
        <v/>
      </c>
      <c r="U5603">
        <f>IF($A5603="","",$R5603&amp;"("&amp;$E5603&amp;")")</f>
        <v/>
      </c>
      <c r="V5603">
        <f>IF($A5603="","",$F5603&amp;"|"&amp;$U5603&amp;"|"&amp;$D5603)</f>
        <v/>
      </c>
      <c r="W5603">
        <f>IF($T5603="","",IF($X5603&gt;N($X5602),$X5603,""))</f>
        <v/>
      </c>
      <c r="X5603">
        <f>IF($T5603="",N($X5602),IF(MATCH($T5603,$T$6:$T$6005,0)=ROW()-5,N($X5602)+1,N($X5602)))</f>
        <v/>
      </c>
      <c r="Z5603">
        <f>IF($V5603="","",IF($AA5603&gt;N($AA5602),$AA5603,""))</f>
        <v/>
      </c>
      <c r="AA5603">
        <f>IF($V5603="",N($AA5602),IF(MATCH($V5603,$V$6:$V$6005,0)=ROW()-5,N($AA5602)+1,N($AA5602)))</f>
        <v/>
      </c>
    </row>
    <row r="5604" ht="21" customHeight="1" s="66">
      <c r="A5604" s="56" t="n"/>
      <c r="B5604" s="57" t="n"/>
      <c r="C5604" s="57" t="n"/>
      <c r="D5604" s="57" t="n"/>
      <c r="E5604" s="56" t="n"/>
      <c r="F5604" s="57" t="n"/>
      <c r="G5604" s="57" t="n"/>
      <c r="H5604" s="56" t="n"/>
      <c r="I5604" s="56" t="n"/>
      <c r="J5604" s="58" t="n"/>
      <c r="K5604" s="58" t="n"/>
      <c r="L5604" s="13">
        <f>IF(OR($A5604="",AND($J5604="",$K5604="")),"",ROUND(N($J5604)-N($K5604),2))</f>
        <v/>
      </c>
      <c r="M5604" s="13">
        <f>IF(OR($A5604="",AND($J5604="",$K5604="")),"",MIN($J5604,$K5604))</f>
        <v/>
      </c>
      <c r="Q5604">
        <f>IF($A5604="","",$D5604&amp;"("&amp;SUBSTITUTE($E5604," ","")&amp;")")</f>
        <v/>
      </c>
      <c r="R5604">
        <f>IF($A5604="","",$B5604&amp;" - "&amp;$C5604)</f>
        <v/>
      </c>
      <c r="S5604">
        <f>IF($A5604="","",$R5604&amp;"|"&amp;$Q5604)</f>
        <v/>
      </c>
      <c r="T5604">
        <f>IF($A5604="","",$S5604&amp;"|"&amp;$F5604)</f>
        <v/>
      </c>
      <c r="U5604">
        <f>IF($A5604="","",$R5604&amp;"("&amp;$E5604&amp;")")</f>
        <v/>
      </c>
      <c r="V5604">
        <f>IF($A5604="","",$F5604&amp;"|"&amp;$U5604&amp;"|"&amp;$D5604)</f>
        <v/>
      </c>
      <c r="W5604">
        <f>IF($T5604="","",IF($X5604&gt;N($X5603),$X5604,""))</f>
        <v/>
      </c>
      <c r="X5604">
        <f>IF($T5604="",N($X5603),IF(MATCH($T5604,$T$6:$T$6005,0)=ROW()-5,N($X5603)+1,N($X5603)))</f>
        <v/>
      </c>
      <c r="Z5604">
        <f>IF($V5604="","",IF($AA5604&gt;N($AA5603),$AA5604,""))</f>
        <v/>
      </c>
      <c r="AA5604">
        <f>IF($V5604="",N($AA5603),IF(MATCH($V5604,$V$6:$V$6005,0)=ROW()-5,N($AA5603)+1,N($AA5603)))</f>
        <v/>
      </c>
    </row>
    <row r="5605" ht="21" customHeight="1" s="66">
      <c r="A5605" s="56" t="n"/>
      <c r="B5605" s="57" t="n"/>
      <c r="C5605" s="57" t="n"/>
      <c r="D5605" s="57" t="n"/>
      <c r="E5605" s="56" t="n"/>
      <c r="F5605" s="57" t="n"/>
      <c r="G5605" s="57" t="n"/>
      <c r="H5605" s="56" t="n"/>
      <c r="I5605" s="56" t="n"/>
      <c r="J5605" s="58" t="n"/>
      <c r="K5605" s="58" t="n"/>
      <c r="L5605" s="13">
        <f>IF(OR($A5605="",AND($J5605="",$K5605="")),"",ROUND(N($J5605)-N($K5605),2))</f>
        <v/>
      </c>
      <c r="M5605" s="13">
        <f>IF(OR($A5605="",AND($J5605="",$K5605="")),"",MIN($J5605,$K5605))</f>
        <v/>
      </c>
      <c r="Q5605">
        <f>IF($A5605="","",$D5605&amp;"("&amp;SUBSTITUTE($E5605," ","")&amp;")")</f>
        <v/>
      </c>
      <c r="R5605">
        <f>IF($A5605="","",$B5605&amp;" - "&amp;$C5605)</f>
        <v/>
      </c>
      <c r="S5605">
        <f>IF($A5605="","",$R5605&amp;"|"&amp;$Q5605)</f>
        <v/>
      </c>
      <c r="T5605">
        <f>IF($A5605="","",$S5605&amp;"|"&amp;$F5605)</f>
        <v/>
      </c>
      <c r="U5605">
        <f>IF($A5605="","",$R5605&amp;"("&amp;$E5605&amp;")")</f>
        <v/>
      </c>
      <c r="V5605">
        <f>IF($A5605="","",$F5605&amp;"|"&amp;$U5605&amp;"|"&amp;$D5605)</f>
        <v/>
      </c>
      <c r="W5605">
        <f>IF($T5605="","",IF($X5605&gt;N($X5604),$X5605,""))</f>
        <v/>
      </c>
      <c r="X5605">
        <f>IF($T5605="",N($X5604),IF(MATCH($T5605,$T$6:$T$6005,0)=ROW()-5,N($X5604)+1,N($X5604)))</f>
        <v/>
      </c>
      <c r="Z5605">
        <f>IF($V5605="","",IF($AA5605&gt;N($AA5604),$AA5605,""))</f>
        <v/>
      </c>
      <c r="AA5605">
        <f>IF($V5605="",N($AA5604),IF(MATCH($V5605,$V$6:$V$6005,0)=ROW()-5,N($AA5604)+1,N($AA5604)))</f>
        <v/>
      </c>
    </row>
    <row r="5606" ht="21" customHeight="1" s="66">
      <c r="A5606" s="56" t="n"/>
      <c r="B5606" s="57" t="n"/>
      <c r="C5606" s="57" t="n"/>
      <c r="D5606" s="57" t="n"/>
      <c r="E5606" s="56" t="n"/>
      <c r="F5606" s="57" t="n"/>
      <c r="G5606" s="57" t="n"/>
      <c r="H5606" s="56" t="n"/>
      <c r="I5606" s="56" t="n"/>
      <c r="J5606" s="58" t="n"/>
      <c r="K5606" s="58" t="n"/>
      <c r="L5606" s="13">
        <f>IF(OR($A5606="",AND($J5606="",$K5606="")),"",ROUND(N($J5606)-N($K5606),2))</f>
        <v/>
      </c>
      <c r="M5606" s="13">
        <f>IF(OR($A5606="",AND($J5606="",$K5606="")),"",MIN($J5606,$K5606))</f>
        <v/>
      </c>
      <c r="Q5606">
        <f>IF($A5606="","",$D5606&amp;"("&amp;SUBSTITUTE($E5606," ","")&amp;")")</f>
        <v/>
      </c>
      <c r="R5606">
        <f>IF($A5606="","",$B5606&amp;" - "&amp;$C5606)</f>
        <v/>
      </c>
      <c r="S5606">
        <f>IF($A5606="","",$R5606&amp;"|"&amp;$Q5606)</f>
        <v/>
      </c>
      <c r="T5606">
        <f>IF($A5606="","",$S5606&amp;"|"&amp;$F5606)</f>
        <v/>
      </c>
      <c r="U5606">
        <f>IF($A5606="","",$R5606&amp;"("&amp;$E5606&amp;")")</f>
        <v/>
      </c>
      <c r="V5606">
        <f>IF($A5606="","",$F5606&amp;"|"&amp;$U5606&amp;"|"&amp;$D5606)</f>
        <v/>
      </c>
      <c r="W5606">
        <f>IF($T5606="","",IF($X5606&gt;N($X5605),$X5606,""))</f>
        <v/>
      </c>
      <c r="X5606">
        <f>IF($T5606="",N($X5605),IF(MATCH($T5606,$T$6:$T$6005,0)=ROW()-5,N($X5605)+1,N($X5605)))</f>
        <v/>
      </c>
      <c r="Z5606">
        <f>IF($V5606="","",IF($AA5606&gt;N($AA5605),$AA5606,""))</f>
        <v/>
      </c>
      <c r="AA5606">
        <f>IF($V5606="",N($AA5605),IF(MATCH($V5606,$V$6:$V$6005,0)=ROW()-5,N($AA5605)+1,N($AA5605)))</f>
        <v/>
      </c>
    </row>
    <row r="5607" ht="21" customHeight="1" s="66">
      <c r="A5607" s="56" t="n"/>
      <c r="B5607" s="57" t="n"/>
      <c r="C5607" s="57" t="n"/>
      <c r="D5607" s="57" t="n"/>
      <c r="E5607" s="56" t="n"/>
      <c r="F5607" s="57" t="n"/>
      <c r="G5607" s="57" t="n"/>
      <c r="H5607" s="56" t="n"/>
      <c r="I5607" s="56" t="n"/>
      <c r="J5607" s="58" t="n"/>
      <c r="K5607" s="58" t="n"/>
      <c r="L5607" s="13">
        <f>IF(OR($A5607="",AND($J5607="",$K5607="")),"",ROUND(N($J5607)-N($K5607),2))</f>
        <v/>
      </c>
      <c r="M5607" s="13">
        <f>IF(OR($A5607="",AND($J5607="",$K5607="")),"",MIN($J5607,$K5607))</f>
        <v/>
      </c>
      <c r="Q5607">
        <f>IF($A5607="","",$D5607&amp;"("&amp;SUBSTITUTE($E5607," ","")&amp;")")</f>
        <v/>
      </c>
      <c r="R5607">
        <f>IF($A5607="","",$B5607&amp;" - "&amp;$C5607)</f>
        <v/>
      </c>
      <c r="S5607">
        <f>IF($A5607="","",$R5607&amp;"|"&amp;$Q5607)</f>
        <v/>
      </c>
      <c r="T5607">
        <f>IF($A5607="","",$S5607&amp;"|"&amp;$F5607)</f>
        <v/>
      </c>
      <c r="U5607">
        <f>IF($A5607="","",$R5607&amp;"("&amp;$E5607&amp;")")</f>
        <v/>
      </c>
      <c r="V5607">
        <f>IF($A5607="","",$F5607&amp;"|"&amp;$U5607&amp;"|"&amp;$D5607)</f>
        <v/>
      </c>
      <c r="W5607">
        <f>IF($T5607="","",IF($X5607&gt;N($X5606),$X5607,""))</f>
        <v/>
      </c>
      <c r="X5607">
        <f>IF($T5607="",N($X5606),IF(MATCH($T5607,$T$6:$T$6005,0)=ROW()-5,N($X5606)+1,N($X5606)))</f>
        <v/>
      </c>
      <c r="Z5607">
        <f>IF($V5607="","",IF($AA5607&gt;N($AA5606),$AA5607,""))</f>
        <v/>
      </c>
      <c r="AA5607">
        <f>IF($V5607="",N($AA5606),IF(MATCH($V5607,$V$6:$V$6005,0)=ROW()-5,N($AA5606)+1,N($AA5606)))</f>
        <v/>
      </c>
    </row>
    <row r="5608" ht="21" customHeight="1" s="66">
      <c r="A5608" s="56" t="n"/>
      <c r="B5608" s="57" t="n"/>
      <c r="C5608" s="57" t="n"/>
      <c r="D5608" s="57" t="n"/>
      <c r="E5608" s="56" t="n"/>
      <c r="F5608" s="57" t="n"/>
      <c r="G5608" s="57" t="n"/>
      <c r="H5608" s="56" t="n"/>
      <c r="I5608" s="56" t="n"/>
      <c r="J5608" s="58" t="n"/>
      <c r="K5608" s="58" t="n"/>
      <c r="L5608" s="13">
        <f>IF(OR($A5608="",AND($J5608="",$K5608="")),"",ROUND(N($J5608)-N($K5608),2))</f>
        <v/>
      </c>
      <c r="M5608" s="13">
        <f>IF(OR($A5608="",AND($J5608="",$K5608="")),"",MIN($J5608,$K5608))</f>
        <v/>
      </c>
      <c r="Q5608">
        <f>IF($A5608="","",$D5608&amp;"("&amp;SUBSTITUTE($E5608," ","")&amp;")")</f>
        <v/>
      </c>
      <c r="R5608">
        <f>IF($A5608="","",$B5608&amp;" - "&amp;$C5608)</f>
        <v/>
      </c>
      <c r="S5608">
        <f>IF($A5608="","",$R5608&amp;"|"&amp;$Q5608)</f>
        <v/>
      </c>
      <c r="T5608">
        <f>IF($A5608="","",$S5608&amp;"|"&amp;$F5608)</f>
        <v/>
      </c>
      <c r="U5608">
        <f>IF($A5608="","",$R5608&amp;"("&amp;$E5608&amp;")")</f>
        <v/>
      </c>
      <c r="V5608">
        <f>IF($A5608="","",$F5608&amp;"|"&amp;$U5608&amp;"|"&amp;$D5608)</f>
        <v/>
      </c>
      <c r="W5608">
        <f>IF($T5608="","",IF($X5608&gt;N($X5607),$X5608,""))</f>
        <v/>
      </c>
      <c r="X5608">
        <f>IF($T5608="",N($X5607),IF(MATCH($T5608,$T$6:$T$6005,0)=ROW()-5,N($X5607)+1,N($X5607)))</f>
        <v/>
      </c>
      <c r="Z5608">
        <f>IF($V5608="","",IF($AA5608&gt;N($AA5607),$AA5608,""))</f>
        <v/>
      </c>
      <c r="AA5608">
        <f>IF($V5608="",N($AA5607),IF(MATCH($V5608,$V$6:$V$6005,0)=ROW()-5,N($AA5607)+1,N($AA5607)))</f>
        <v/>
      </c>
    </row>
    <row r="5609" ht="21" customHeight="1" s="66">
      <c r="A5609" s="56" t="n"/>
      <c r="B5609" s="57" t="n"/>
      <c r="C5609" s="57" t="n"/>
      <c r="D5609" s="57" t="n"/>
      <c r="E5609" s="56" t="n"/>
      <c r="F5609" s="57" t="n"/>
      <c r="G5609" s="57" t="n"/>
      <c r="H5609" s="56" t="n"/>
      <c r="I5609" s="56" t="n"/>
      <c r="J5609" s="58" t="n"/>
      <c r="K5609" s="58" t="n"/>
      <c r="L5609" s="13">
        <f>IF(OR($A5609="",AND($J5609="",$K5609="")),"",ROUND(N($J5609)-N($K5609),2))</f>
        <v/>
      </c>
      <c r="M5609" s="13">
        <f>IF(OR($A5609="",AND($J5609="",$K5609="")),"",MIN($J5609,$K5609))</f>
        <v/>
      </c>
      <c r="Q5609">
        <f>IF($A5609="","",$D5609&amp;"("&amp;SUBSTITUTE($E5609," ","")&amp;")")</f>
        <v/>
      </c>
      <c r="R5609">
        <f>IF($A5609="","",$B5609&amp;" - "&amp;$C5609)</f>
        <v/>
      </c>
      <c r="S5609">
        <f>IF($A5609="","",$R5609&amp;"|"&amp;$Q5609)</f>
        <v/>
      </c>
      <c r="T5609">
        <f>IF($A5609="","",$S5609&amp;"|"&amp;$F5609)</f>
        <v/>
      </c>
      <c r="U5609">
        <f>IF($A5609="","",$R5609&amp;"("&amp;$E5609&amp;")")</f>
        <v/>
      </c>
      <c r="V5609">
        <f>IF($A5609="","",$F5609&amp;"|"&amp;$U5609&amp;"|"&amp;$D5609)</f>
        <v/>
      </c>
      <c r="W5609">
        <f>IF($T5609="","",IF($X5609&gt;N($X5608),$X5609,""))</f>
        <v/>
      </c>
      <c r="X5609">
        <f>IF($T5609="",N($X5608),IF(MATCH($T5609,$T$6:$T$6005,0)=ROW()-5,N($X5608)+1,N($X5608)))</f>
        <v/>
      </c>
      <c r="Z5609">
        <f>IF($V5609="","",IF($AA5609&gt;N($AA5608),$AA5609,""))</f>
        <v/>
      </c>
      <c r="AA5609">
        <f>IF($V5609="",N($AA5608),IF(MATCH($V5609,$V$6:$V$6005,0)=ROW()-5,N($AA5608)+1,N($AA5608)))</f>
        <v/>
      </c>
    </row>
    <row r="5610" ht="21" customHeight="1" s="66">
      <c r="A5610" s="56" t="n"/>
      <c r="B5610" s="57" t="n"/>
      <c r="C5610" s="57" t="n"/>
      <c r="D5610" s="57" t="n"/>
      <c r="E5610" s="56" t="n"/>
      <c r="F5610" s="57" t="n"/>
      <c r="G5610" s="57" t="n"/>
      <c r="H5610" s="56" t="n"/>
      <c r="I5610" s="56" t="n"/>
      <c r="J5610" s="58" t="n"/>
      <c r="K5610" s="58" t="n"/>
      <c r="L5610" s="13">
        <f>IF(OR($A5610="",AND($J5610="",$K5610="")),"",ROUND(N($J5610)-N($K5610),2))</f>
        <v/>
      </c>
      <c r="M5610" s="13">
        <f>IF(OR($A5610="",AND($J5610="",$K5610="")),"",MIN($J5610,$K5610))</f>
        <v/>
      </c>
      <c r="Q5610">
        <f>IF($A5610="","",$D5610&amp;"("&amp;SUBSTITUTE($E5610," ","")&amp;")")</f>
        <v/>
      </c>
      <c r="R5610">
        <f>IF($A5610="","",$B5610&amp;" - "&amp;$C5610)</f>
        <v/>
      </c>
      <c r="S5610">
        <f>IF($A5610="","",$R5610&amp;"|"&amp;$Q5610)</f>
        <v/>
      </c>
      <c r="T5610">
        <f>IF($A5610="","",$S5610&amp;"|"&amp;$F5610)</f>
        <v/>
      </c>
      <c r="U5610">
        <f>IF($A5610="","",$R5610&amp;"("&amp;$E5610&amp;")")</f>
        <v/>
      </c>
      <c r="V5610">
        <f>IF($A5610="","",$F5610&amp;"|"&amp;$U5610&amp;"|"&amp;$D5610)</f>
        <v/>
      </c>
      <c r="W5610">
        <f>IF($T5610="","",IF($X5610&gt;N($X5609),$X5610,""))</f>
        <v/>
      </c>
      <c r="X5610">
        <f>IF($T5610="",N($X5609),IF(MATCH($T5610,$T$6:$T$6005,0)=ROW()-5,N($X5609)+1,N($X5609)))</f>
        <v/>
      </c>
      <c r="Z5610">
        <f>IF($V5610="","",IF($AA5610&gt;N($AA5609),$AA5610,""))</f>
        <v/>
      </c>
      <c r="AA5610">
        <f>IF($V5610="",N($AA5609),IF(MATCH($V5610,$V$6:$V$6005,0)=ROW()-5,N($AA5609)+1,N($AA5609)))</f>
        <v/>
      </c>
    </row>
    <row r="5611" ht="21" customHeight="1" s="66">
      <c r="A5611" s="56" t="n"/>
      <c r="B5611" s="57" t="n"/>
      <c r="C5611" s="57" t="n"/>
      <c r="D5611" s="57" t="n"/>
      <c r="E5611" s="56" t="n"/>
      <c r="F5611" s="57" t="n"/>
      <c r="G5611" s="57" t="n"/>
      <c r="H5611" s="56" t="n"/>
      <c r="I5611" s="56" t="n"/>
      <c r="J5611" s="58" t="n"/>
      <c r="K5611" s="58" t="n"/>
      <c r="L5611" s="13">
        <f>IF(OR($A5611="",AND($J5611="",$K5611="")),"",ROUND(N($J5611)-N($K5611),2))</f>
        <v/>
      </c>
      <c r="M5611" s="13">
        <f>IF(OR($A5611="",AND($J5611="",$K5611="")),"",MIN($J5611,$K5611))</f>
        <v/>
      </c>
      <c r="Q5611">
        <f>IF($A5611="","",$D5611&amp;"("&amp;SUBSTITUTE($E5611," ","")&amp;")")</f>
        <v/>
      </c>
      <c r="R5611">
        <f>IF($A5611="","",$B5611&amp;" - "&amp;$C5611)</f>
        <v/>
      </c>
      <c r="S5611">
        <f>IF($A5611="","",$R5611&amp;"|"&amp;$Q5611)</f>
        <v/>
      </c>
      <c r="T5611">
        <f>IF($A5611="","",$S5611&amp;"|"&amp;$F5611)</f>
        <v/>
      </c>
      <c r="U5611">
        <f>IF($A5611="","",$R5611&amp;"("&amp;$E5611&amp;")")</f>
        <v/>
      </c>
      <c r="V5611">
        <f>IF($A5611="","",$F5611&amp;"|"&amp;$U5611&amp;"|"&amp;$D5611)</f>
        <v/>
      </c>
      <c r="W5611">
        <f>IF($T5611="","",IF($X5611&gt;N($X5610),$X5611,""))</f>
        <v/>
      </c>
      <c r="X5611">
        <f>IF($T5611="",N($X5610),IF(MATCH($T5611,$T$6:$T$6005,0)=ROW()-5,N($X5610)+1,N($X5610)))</f>
        <v/>
      </c>
      <c r="Z5611">
        <f>IF($V5611="","",IF($AA5611&gt;N($AA5610),$AA5611,""))</f>
        <v/>
      </c>
      <c r="AA5611">
        <f>IF($V5611="",N($AA5610),IF(MATCH($V5611,$V$6:$V$6005,0)=ROW()-5,N($AA5610)+1,N($AA5610)))</f>
        <v/>
      </c>
    </row>
    <row r="5612" ht="21" customHeight="1" s="66">
      <c r="A5612" s="56" t="n"/>
      <c r="B5612" s="57" t="n"/>
      <c r="C5612" s="57" t="n"/>
      <c r="D5612" s="57" t="n"/>
      <c r="E5612" s="56" t="n"/>
      <c r="F5612" s="57" t="n"/>
      <c r="G5612" s="57" t="n"/>
      <c r="H5612" s="56" t="n"/>
      <c r="I5612" s="56" t="n"/>
      <c r="J5612" s="58" t="n"/>
      <c r="K5612" s="58" t="n"/>
      <c r="L5612" s="13">
        <f>IF(OR($A5612="",AND($J5612="",$K5612="")),"",ROUND(N($J5612)-N($K5612),2))</f>
        <v/>
      </c>
      <c r="M5612" s="13">
        <f>IF(OR($A5612="",AND($J5612="",$K5612="")),"",MIN($J5612,$K5612))</f>
        <v/>
      </c>
      <c r="Q5612">
        <f>IF($A5612="","",$D5612&amp;"("&amp;SUBSTITUTE($E5612," ","")&amp;")")</f>
        <v/>
      </c>
      <c r="R5612">
        <f>IF($A5612="","",$B5612&amp;" - "&amp;$C5612)</f>
        <v/>
      </c>
      <c r="S5612">
        <f>IF($A5612="","",$R5612&amp;"|"&amp;$Q5612)</f>
        <v/>
      </c>
      <c r="T5612">
        <f>IF($A5612="","",$S5612&amp;"|"&amp;$F5612)</f>
        <v/>
      </c>
      <c r="U5612">
        <f>IF($A5612="","",$R5612&amp;"("&amp;$E5612&amp;")")</f>
        <v/>
      </c>
      <c r="V5612">
        <f>IF($A5612="","",$F5612&amp;"|"&amp;$U5612&amp;"|"&amp;$D5612)</f>
        <v/>
      </c>
      <c r="W5612">
        <f>IF($T5612="","",IF($X5612&gt;N($X5611),$X5612,""))</f>
        <v/>
      </c>
      <c r="X5612">
        <f>IF($T5612="",N($X5611),IF(MATCH($T5612,$T$6:$T$6005,0)=ROW()-5,N($X5611)+1,N($X5611)))</f>
        <v/>
      </c>
      <c r="Z5612">
        <f>IF($V5612="","",IF($AA5612&gt;N($AA5611),$AA5612,""))</f>
        <v/>
      </c>
      <c r="AA5612">
        <f>IF($V5612="",N($AA5611),IF(MATCH($V5612,$V$6:$V$6005,0)=ROW()-5,N($AA5611)+1,N($AA5611)))</f>
        <v/>
      </c>
    </row>
    <row r="5613" ht="21" customHeight="1" s="66">
      <c r="A5613" s="56" t="n"/>
      <c r="B5613" s="57" t="n"/>
      <c r="C5613" s="57" t="n"/>
      <c r="D5613" s="57" t="n"/>
      <c r="E5613" s="56" t="n"/>
      <c r="F5613" s="57" t="n"/>
      <c r="G5613" s="57" t="n"/>
      <c r="H5613" s="56" t="n"/>
      <c r="I5613" s="56" t="n"/>
      <c r="J5613" s="58" t="n"/>
      <c r="K5613" s="58" t="n"/>
      <c r="L5613" s="13">
        <f>IF(OR($A5613="",AND($J5613="",$K5613="")),"",ROUND(N($J5613)-N($K5613),2))</f>
        <v/>
      </c>
      <c r="M5613" s="13">
        <f>IF(OR($A5613="",AND($J5613="",$K5613="")),"",MIN($J5613,$K5613))</f>
        <v/>
      </c>
      <c r="Q5613">
        <f>IF($A5613="","",$D5613&amp;"("&amp;SUBSTITUTE($E5613," ","")&amp;")")</f>
        <v/>
      </c>
      <c r="R5613">
        <f>IF($A5613="","",$B5613&amp;" - "&amp;$C5613)</f>
        <v/>
      </c>
      <c r="S5613">
        <f>IF($A5613="","",$R5613&amp;"|"&amp;$Q5613)</f>
        <v/>
      </c>
      <c r="T5613">
        <f>IF($A5613="","",$S5613&amp;"|"&amp;$F5613)</f>
        <v/>
      </c>
      <c r="U5613">
        <f>IF($A5613="","",$R5613&amp;"("&amp;$E5613&amp;")")</f>
        <v/>
      </c>
      <c r="V5613">
        <f>IF($A5613="","",$F5613&amp;"|"&amp;$U5613&amp;"|"&amp;$D5613)</f>
        <v/>
      </c>
      <c r="W5613">
        <f>IF($T5613="","",IF($X5613&gt;N($X5612),$X5613,""))</f>
        <v/>
      </c>
      <c r="X5613">
        <f>IF($T5613="",N($X5612),IF(MATCH($T5613,$T$6:$T$6005,0)=ROW()-5,N($X5612)+1,N($X5612)))</f>
        <v/>
      </c>
      <c r="Z5613">
        <f>IF($V5613="","",IF($AA5613&gt;N($AA5612),$AA5613,""))</f>
        <v/>
      </c>
      <c r="AA5613">
        <f>IF($V5613="",N($AA5612),IF(MATCH($V5613,$V$6:$V$6005,0)=ROW()-5,N($AA5612)+1,N($AA5612)))</f>
        <v/>
      </c>
    </row>
    <row r="5614" ht="21" customHeight="1" s="66">
      <c r="A5614" s="56" t="n"/>
      <c r="B5614" s="57" t="n"/>
      <c r="C5614" s="57" t="n"/>
      <c r="D5614" s="57" t="n"/>
      <c r="E5614" s="56" t="n"/>
      <c r="F5614" s="57" t="n"/>
      <c r="G5614" s="57" t="n"/>
      <c r="H5614" s="56" t="n"/>
      <c r="I5614" s="56" t="n"/>
      <c r="J5614" s="58" t="n"/>
      <c r="K5614" s="58" t="n"/>
      <c r="L5614" s="13">
        <f>IF(OR($A5614="",AND($J5614="",$K5614="")),"",ROUND(N($J5614)-N($K5614),2))</f>
        <v/>
      </c>
      <c r="M5614" s="13">
        <f>IF(OR($A5614="",AND($J5614="",$K5614="")),"",MIN($J5614,$K5614))</f>
        <v/>
      </c>
      <c r="Q5614">
        <f>IF($A5614="","",$D5614&amp;"("&amp;SUBSTITUTE($E5614," ","")&amp;")")</f>
        <v/>
      </c>
      <c r="R5614">
        <f>IF($A5614="","",$B5614&amp;" - "&amp;$C5614)</f>
        <v/>
      </c>
      <c r="S5614">
        <f>IF($A5614="","",$R5614&amp;"|"&amp;$Q5614)</f>
        <v/>
      </c>
      <c r="T5614">
        <f>IF($A5614="","",$S5614&amp;"|"&amp;$F5614)</f>
        <v/>
      </c>
      <c r="U5614">
        <f>IF($A5614="","",$R5614&amp;"("&amp;$E5614&amp;")")</f>
        <v/>
      </c>
      <c r="V5614">
        <f>IF($A5614="","",$F5614&amp;"|"&amp;$U5614&amp;"|"&amp;$D5614)</f>
        <v/>
      </c>
      <c r="W5614">
        <f>IF($T5614="","",IF($X5614&gt;N($X5613),$X5614,""))</f>
        <v/>
      </c>
      <c r="X5614">
        <f>IF($T5614="",N($X5613),IF(MATCH($T5614,$T$6:$T$6005,0)=ROW()-5,N($X5613)+1,N($X5613)))</f>
        <v/>
      </c>
      <c r="Z5614">
        <f>IF($V5614="","",IF($AA5614&gt;N($AA5613),$AA5614,""))</f>
        <v/>
      </c>
      <c r="AA5614">
        <f>IF($V5614="",N($AA5613),IF(MATCH($V5614,$V$6:$V$6005,0)=ROW()-5,N($AA5613)+1,N($AA5613)))</f>
        <v/>
      </c>
    </row>
    <row r="5615" ht="21" customHeight="1" s="66">
      <c r="A5615" s="56" t="n"/>
      <c r="B5615" s="57" t="n"/>
      <c r="C5615" s="57" t="n"/>
      <c r="D5615" s="57" t="n"/>
      <c r="E5615" s="56" t="n"/>
      <c r="F5615" s="57" t="n"/>
      <c r="G5615" s="57" t="n"/>
      <c r="H5615" s="56" t="n"/>
      <c r="I5615" s="56" t="n"/>
      <c r="J5615" s="58" t="n"/>
      <c r="K5615" s="58" t="n"/>
      <c r="L5615" s="13">
        <f>IF(OR($A5615="",AND($J5615="",$K5615="")),"",ROUND(N($J5615)-N($K5615),2))</f>
        <v/>
      </c>
      <c r="M5615" s="13">
        <f>IF(OR($A5615="",AND($J5615="",$K5615="")),"",MIN($J5615,$K5615))</f>
        <v/>
      </c>
      <c r="Q5615">
        <f>IF($A5615="","",$D5615&amp;"("&amp;SUBSTITUTE($E5615," ","")&amp;")")</f>
        <v/>
      </c>
      <c r="R5615">
        <f>IF($A5615="","",$B5615&amp;" - "&amp;$C5615)</f>
        <v/>
      </c>
      <c r="S5615">
        <f>IF($A5615="","",$R5615&amp;"|"&amp;$Q5615)</f>
        <v/>
      </c>
      <c r="T5615">
        <f>IF($A5615="","",$S5615&amp;"|"&amp;$F5615)</f>
        <v/>
      </c>
      <c r="U5615">
        <f>IF($A5615="","",$R5615&amp;"("&amp;$E5615&amp;")")</f>
        <v/>
      </c>
      <c r="V5615">
        <f>IF($A5615="","",$F5615&amp;"|"&amp;$U5615&amp;"|"&amp;$D5615)</f>
        <v/>
      </c>
      <c r="W5615">
        <f>IF($T5615="","",IF($X5615&gt;N($X5614),$X5615,""))</f>
        <v/>
      </c>
      <c r="X5615">
        <f>IF($T5615="",N($X5614),IF(MATCH($T5615,$T$6:$T$6005,0)=ROW()-5,N($X5614)+1,N($X5614)))</f>
        <v/>
      </c>
      <c r="Z5615">
        <f>IF($V5615="","",IF($AA5615&gt;N($AA5614),$AA5615,""))</f>
        <v/>
      </c>
      <c r="AA5615">
        <f>IF($V5615="",N($AA5614),IF(MATCH($V5615,$V$6:$V$6005,0)=ROW()-5,N($AA5614)+1,N($AA5614)))</f>
        <v/>
      </c>
    </row>
    <row r="5616" ht="21" customHeight="1" s="66">
      <c r="A5616" s="56" t="n"/>
      <c r="B5616" s="57" t="n"/>
      <c r="C5616" s="57" t="n"/>
      <c r="D5616" s="57" t="n"/>
      <c r="E5616" s="56" t="n"/>
      <c r="F5616" s="57" t="n"/>
      <c r="G5616" s="57" t="n"/>
      <c r="H5616" s="56" t="n"/>
      <c r="I5616" s="56" t="n"/>
      <c r="J5616" s="58" t="n"/>
      <c r="K5616" s="58" t="n"/>
      <c r="L5616" s="13">
        <f>IF(OR($A5616="",AND($J5616="",$K5616="")),"",ROUND(N($J5616)-N($K5616),2))</f>
        <v/>
      </c>
      <c r="M5616" s="13">
        <f>IF(OR($A5616="",AND($J5616="",$K5616="")),"",MIN($J5616,$K5616))</f>
        <v/>
      </c>
      <c r="Q5616">
        <f>IF($A5616="","",$D5616&amp;"("&amp;SUBSTITUTE($E5616," ","")&amp;")")</f>
        <v/>
      </c>
      <c r="R5616">
        <f>IF($A5616="","",$B5616&amp;" - "&amp;$C5616)</f>
        <v/>
      </c>
      <c r="S5616">
        <f>IF($A5616="","",$R5616&amp;"|"&amp;$Q5616)</f>
        <v/>
      </c>
      <c r="T5616">
        <f>IF($A5616="","",$S5616&amp;"|"&amp;$F5616)</f>
        <v/>
      </c>
      <c r="U5616">
        <f>IF($A5616="","",$R5616&amp;"("&amp;$E5616&amp;")")</f>
        <v/>
      </c>
      <c r="V5616">
        <f>IF($A5616="","",$F5616&amp;"|"&amp;$U5616&amp;"|"&amp;$D5616)</f>
        <v/>
      </c>
      <c r="W5616">
        <f>IF($T5616="","",IF($X5616&gt;N($X5615),$X5616,""))</f>
        <v/>
      </c>
      <c r="X5616">
        <f>IF($T5616="",N($X5615),IF(MATCH($T5616,$T$6:$T$6005,0)=ROW()-5,N($X5615)+1,N($X5615)))</f>
        <v/>
      </c>
      <c r="Z5616">
        <f>IF($V5616="","",IF($AA5616&gt;N($AA5615),$AA5616,""))</f>
        <v/>
      </c>
      <c r="AA5616">
        <f>IF($V5616="",N($AA5615),IF(MATCH($V5616,$V$6:$V$6005,0)=ROW()-5,N($AA5615)+1,N($AA5615)))</f>
        <v/>
      </c>
    </row>
    <row r="5617" ht="21" customHeight="1" s="66">
      <c r="A5617" s="56" t="n"/>
      <c r="B5617" s="57" t="n"/>
      <c r="C5617" s="57" t="n"/>
      <c r="D5617" s="57" t="n"/>
      <c r="E5617" s="56" t="n"/>
      <c r="F5617" s="57" t="n"/>
      <c r="G5617" s="57" t="n"/>
      <c r="H5617" s="56" t="n"/>
      <c r="I5617" s="56" t="n"/>
      <c r="J5617" s="58" t="n"/>
      <c r="K5617" s="58" t="n"/>
      <c r="L5617" s="13">
        <f>IF(OR($A5617="",AND($J5617="",$K5617="")),"",ROUND(N($J5617)-N($K5617),2))</f>
        <v/>
      </c>
      <c r="M5617" s="13">
        <f>IF(OR($A5617="",AND($J5617="",$K5617="")),"",MIN($J5617,$K5617))</f>
        <v/>
      </c>
      <c r="Q5617">
        <f>IF($A5617="","",$D5617&amp;"("&amp;SUBSTITUTE($E5617," ","")&amp;")")</f>
        <v/>
      </c>
      <c r="R5617">
        <f>IF($A5617="","",$B5617&amp;" - "&amp;$C5617)</f>
        <v/>
      </c>
      <c r="S5617">
        <f>IF($A5617="","",$R5617&amp;"|"&amp;$Q5617)</f>
        <v/>
      </c>
      <c r="T5617">
        <f>IF($A5617="","",$S5617&amp;"|"&amp;$F5617)</f>
        <v/>
      </c>
      <c r="U5617">
        <f>IF($A5617="","",$R5617&amp;"("&amp;$E5617&amp;")")</f>
        <v/>
      </c>
      <c r="V5617">
        <f>IF($A5617="","",$F5617&amp;"|"&amp;$U5617&amp;"|"&amp;$D5617)</f>
        <v/>
      </c>
      <c r="W5617">
        <f>IF($T5617="","",IF($X5617&gt;N($X5616),$X5617,""))</f>
        <v/>
      </c>
      <c r="X5617">
        <f>IF($T5617="",N($X5616),IF(MATCH($T5617,$T$6:$T$6005,0)=ROW()-5,N($X5616)+1,N($X5616)))</f>
        <v/>
      </c>
      <c r="Z5617">
        <f>IF($V5617="","",IF($AA5617&gt;N($AA5616),$AA5617,""))</f>
        <v/>
      </c>
      <c r="AA5617">
        <f>IF($V5617="",N($AA5616),IF(MATCH($V5617,$V$6:$V$6005,0)=ROW()-5,N($AA5616)+1,N($AA5616)))</f>
        <v/>
      </c>
    </row>
    <row r="5618" ht="21" customHeight="1" s="66">
      <c r="A5618" s="56" t="n"/>
      <c r="B5618" s="57" t="n"/>
      <c r="C5618" s="57" t="n"/>
      <c r="D5618" s="57" t="n"/>
      <c r="E5618" s="56" t="n"/>
      <c r="F5618" s="57" t="n"/>
      <c r="G5618" s="57" t="n"/>
      <c r="H5618" s="56" t="n"/>
      <c r="I5618" s="56" t="n"/>
      <c r="J5618" s="58" t="n"/>
      <c r="K5618" s="58" t="n"/>
      <c r="L5618" s="13">
        <f>IF(OR($A5618="",AND($J5618="",$K5618="")),"",ROUND(N($J5618)-N($K5618),2))</f>
        <v/>
      </c>
      <c r="M5618" s="13">
        <f>IF(OR($A5618="",AND($J5618="",$K5618="")),"",MIN($J5618,$K5618))</f>
        <v/>
      </c>
      <c r="Q5618">
        <f>IF($A5618="","",$D5618&amp;"("&amp;SUBSTITUTE($E5618," ","")&amp;")")</f>
        <v/>
      </c>
      <c r="R5618">
        <f>IF($A5618="","",$B5618&amp;" - "&amp;$C5618)</f>
        <v/>
      </c>
      <c r="S5618">
        <f>IF($A5618="","",$R5618&amp;"|"&amp;$Q5618)</f>
        <v/>
      </c>
      <c r="T5618">
        <f>IF($A5618="","",$S5618&amp;"|"&amp;$F5618)</f>
        <v/>
      </c>
      <c r="U5618">
        <f>IF($A5618="","",$R5618&amp;"("&amp;$E5618&amp;")")</f>
        <v/>
      </c>
      <c r="V5618">
        <f>IF($A5618="","",$F5618&amp;"|"&amp;$U5618&amp;"|"&amp;$D5618)</f>
        <v/>
      </c>
      <c r="W5618">
        <f>IF($T5618="","",IF($X5618&gt;N($X5617),$X5618,""))</f>
        <v/>
      </c>
      <c r="X5618">
        <f>IF($T5618="",N($X5617),IF(MATCH($T5618,$T$6:$T$6005,0)=ROW()-5,N($X5617)+1,N($X5617)))</f>
        <v/>
      </c>
      <c r="Z5618">
        <f>IF($V5618="","",IF($AA5618&gt;N($AA5617),$AA5618,""))</f>
        <v/>
      </c>
      <c r="AA5618">
        <f>IF($V5618="",N($AA5617),IF(MATCH($V5618,$V$6:$V$6005,0)=ROW()-5,N($AA5617)+1,N($AA5617)))</f>
        <v/>
      </c>
    </row>
    <row r="5619" ht="21" customHeight="1" s="66">
      <c r="A5619" s="56" t="n"/>
      <c r="B5619" s="57" t="n"/>
      <c r="C5619" s="57" t="n"/>
      <c r="D5619" s="57" t="n"/>
      <c r="E5619" s="56" t="n"/>
      <c r="F5619" s="57" t="n"/>
      <c r="G5619" s="57" t="n"/>
      <c r="H5619" s="56" t="n"/>
      <c r="I5619" s="56" t="n"/>
      <c r="J5619" s="58" t="n"/>
      <c r="K5619" s="58" t="n"/>
      <c r="L5619" s="13">
        <f>IF(OR($A5619="",AND($J5619="",$K5619="")),"",ROUND(N($J5619)-N($K5619),2))</f>
        <v/>
      </c>
      <c r="M5619" s="13">
        <f>IF(OR($A5619="",AND($J5619="",$K5619="")),"",MIN($J5619,$K5619))</f>
        <v/>
      </c>
      <c r="Q5619">
        <f>IF($A5619="","",$D5619&amp;"("&amp;SUBSTITUTE($E5619," ","")&amp;")")</f>
        <v/>
      </c>
      <c r="R5619">
        <f>IF($A5619="","",$B5619&amp;" - "&amp;$C5619)</f>
        <v/>
      </c>
      <c r="S5619">
        <f>IF($A5619="","",$R5619&amp;"|"&amp;$Q5619)</f>
        <v/>
      </c>
      <c r="T5619">
        <f>IF($A5619="","",$S5619&amp;"|"&amp;$F5619)</f>
        <v/>
      </c>
      <c r="U5619">
        <f>IF($A5619="","",$R5619&amp;"("&amp;$E5619&amp;")")</f>
        <v/>
      </c>
      <c r="V5619">
        <f>IF($A5619="","",$F5619&amp;"|"&amp;$U5619&amp;"|"&amp;$D5619)</f>
        <v/>
      </c>
      <c r="W5619">
        <f>IF($T5619="","",IF($X5619&gt;N($X5618),$X5619,""))</f>
        <v/>
      </c>
      <c r="X5619">
        <f>IF($T5619="",N($X5618),IF(MATCH($T5619,$T$6:$T$6005,0)=ROW()-5,N($X5618)+1,N($X5618)))</f>
        <v/>
      </c>
      <c r="Z5619">
        <f>IF($V5619="","",IF($AA5619&gt;N($AA5618),$AA5619,""))</f>
        <v/>
      </c>
      <c r="AA5619">
        <f>IF($V5619="",N($AA5618),IF(MATCH($V5619,$V$6:$V$6005,0)=ROW()-5,N($AA5618)+1,N($AA5618)))</f>
        <v/>
      </c>
    </row>
    <row r="5620" ht="21" customHeight="1" s="66">
      <c r="A5620" s="56" t="n"/>
      <c r="B5620" s="57" t="n"/>
      <c r="C5620" s="57" t="n"/>
      <c r="D5620" s="57" t="n"/>
      <c r="E5620" s="56" t="n"/>
      <c r="F5620" s="57" t="n"/>
      <c r="G5620" s="57" t="n"/>
      <c r="H5620" s="56" t="n"/>
      <c r="I5620" s="56" t="n"/>
      <c r="J5620" s="58" t="n"/>
      <c r="K5620" s="58" t="n"/>
      <c r="L5620" s="13">
        <f>IF(OR($A5620="",AND($J5620="",$K5620="")),"",ROUND(N($J5620)-N($K5620),2))</f>
        <v/>
      </c>
      <c r="M5620" s="13">
        <f>IF(OR($A5620="",AND($J5620="",$K5620="")),"",MIN($J5620,$K5620))</f>
        <v/>
      </c>
      <c r="Q5620">
        <f>IF($A5620="","",$D5620&amp;"("&amp;SUBSTITUTE($E5620," ","")&amp;")")</f>
        <v/>
      </c>
      <c r="R5620">
        <f>IF($A5620="","",$B5620&amp;" - "&amp;$C5620)</f>
        <v/>
      </c>
      <c r="S5620">
        <f>IF($A5620="","",$R5620&amp;"|"&amp;$Q5620)</f>
        <v/>
      </c>
      <c r="T5620">
        <f>IF($A5620="","",$S5620&amp;"|"&amp;$F5620)</f>
        <v/>
      </c>
      <c r="U5620">
        <f>IF($A5620="","",$R5620&amp;"("&amp;$E5620&amp;")")</f>
        <v/>
      </c>
      <c r="V5620">
        <f>IF($A5620="","",$F5620&amp;"|"&amp;$U5620&amp;"|"&amp;$D5620)</f>
        <v/>
      </c>
      <c r="W5620">
        <f>IF($T5620="","",IF($X5620&gt;N($X5619),$X5620,""))</f>
        <v/>
      </c>
      <c r="X5620">
        <f>IF($T5620="",N($X5619),IF(MATCH($T5620,$T$6:$T$6005,0)=ROW()-5,N($X5619)+1,N($X5619)))</f>
        <v/>
      </c>
      <c r="Z5620">
        <f>IF($V5620="","",IF($AA5620&gt;N($AA5619),$AA5620,""))</f>
        <v/>
      </c>
      <c r="AA5620">
        <f>IF($V5620="",N($AA5619),IF(MATCH($V5620,$V$6:$V$6005,0)=ROW()-5,N($AA5619)+1,N($AA5619)))</f>
        <v/>
      </c>
    </row>
    <row r="5621" ht="21" customHeight="1" s="66">
      <c r="A5621" s="56" t="n"/>
      <c r="B5621" s="57" t="n"/>
      <c r="C5621" s="57" t="n"/>
      <c r="D5621" s="57" t="n"/>
      <c r="E5621" s="56" t="n"/>
      <c r="F5621" s="57" t="n"/>
      <c r="G5621" s="57" t="n"/>
      <c r="H5621" s="56" t="n"/>
      <c r="I5621" s="56" t="n"/>
      <c r="J5621" s="58" t="n"/>
      <c r="K5621" s="58" t="n"/>
      <c r="L5621" s="13">
        <f>IF(OR($A5621="",AND($J5621="",$K5621="")),"",ROUND(N($J5621)-N($K5621),2))</f>
        <v/>
      </c>
      <c r="M5621" s="13">
        <f>IF(OR($A5621="",AND($J5621="",$K5621="")),"",MIN($J5621,$K5621))</f>
        <v/>
      </c>
      <c r="Q5621">
        <f>IF($A5621="","",$D5621&amp;"("&amp;SUBSTITUTE($E5621," ","")&amp;")")</f>
        <v/>
      </c>
      <c r="R5621">
        <f>IF($A5621="","",$B5621&amp;" - "&amp;$C5621)</f>
        <v/>
      </c>
      <c r="S5621">
        <f>IF($A5621="","",$R5621&amp;"|"&amp;$Q5621)</f>
        <v/>
      </c>
      <c r="T5621">
        <f>IF($A5621="","",$S5621&amp;"|"&amp;$F5621)</f>
        <v/>
      </c>
      <c r="U5621">
        <f>IF($A5621="","",$R5621&amp;"("&amp;$E5621&amp;")")</f>
        <v/>
      </c>
      <c r="V5621">
        <f>IF($A5621="","",$F5621&amp;"|"&amp;$U5621&amp;"|"&amp;$D5621)</f>
        <v/>
      </c>
      <c r="W5621">
        <f>IF($T5621="","",IF($X5621&gt;N($X5620),$X5621,""))</f>
        <v/>
      </c>
      <c r="X5621">
        <f>IF($T5621="",N($X5620),IF(MATCH($T5621,$T$6:$T$6005,0)=ROW()-5,N($X5620)+1,N($X5620)))</f>
        <v/>
      </c>
      <c r="Z5621">
        <f>IF($V5621="","",IF($AA5621&gt;N($AA5620),$AA5621,""))</f>
        <v/>
      </c>
      <c r="AA5621">
        <f>IF($V5621="",N($AA5620),IF(MATCH($V5621,$V$6:$V$6005,0)=ROW()-5,N($AA5620)+1,N($AA5620)))</f>
        <v/>
      </c>
    </row>
    <row r="5622" ht="21" customHeight="1" s="66">
      <c r="A5622" s="56" t="n"/>
      <c r="B5622" s="57" t="n"/>
      <c r="C5622" s="57" t="n"/>
      <c r="D5622" s="57" t="n"/>
      <c r="E5622" s="56" t="n"/>
      <c r="F5622" s="57" t="n"/>
      <c r="G5622" s="57" t="n"/>
      <c r="H5622" s="56" t="n"/>
      <c r="I5622" s="56" t="n"/>
      <c r="J5622" s="58" t="n"/>
      <c r="K5622" s="58" t="n"/>
      <c r="L5622" s="13">
        <f>IF(OR($A5622="",AND($J5622="",$K5622="")),"",ROUND(N($J5622)-N($K5622),2))</f>
        <v/>
      </c>
      <c r="M5622" s="13">
        <f>IF(OR($A5622="",AND($J5622="",$K5622="")),"",MIN($J5622,$K5622))</f>
        <v/>
      </c>
      <c r="Q5622">
        <f>IF($A5622="","",$D5622&amp;"("&amp;SUBSTITUTE($E5622," ","")&amp;")")</f>
        <v/>
      </c>
      <c r="R5622">
        <f>IF($A5622="","",$B5622&amp;" - "&amp;$C5622)</f>
        <v/>
      </c>
      <c r="S5622">
        <f>IF($A5622="","",$R5622&amp;"|"&amp;$Q5622)</f>
        <v/>
      </c>
      <c r="T5622">
        <f>IF($A5622="","",$S5622&amp;"|"&amp;$F5622)</f>
        <v/>
      </c>
      <c r="U5622">
        <f>IF($A5622="","",$R5622&amp;"("&amp;$E5622&amp;")")</f>
        <v/>
      </c>
      <c r="V5622">
        <f>IF($A5622="","",$F5622&amp;"|"&amp;$U5622&amp;"|"&amp;$D5622)</f>
        <v/>
      </c>
      <c r="W5622">
        <f>IF($T5622="","",IF($X5622&gt;N($X5621),$X5622,""))</f>
        <v/>
      </c>
      <c r="X5622">
        <f>IF($T5622="",N($X5621),IF(MATCH($T5622,$T$6:$T$6005,0)=ROW()-5,N($X5621)+1,N($X5621)))</f>
        <v/>
      </c>
      <c r="Z5622">
        <f>IF($V5622="","",IF($AA5622&gt;N($AA5621),$AA5622,""))</f>
        <v/>
      </c>
      <c r="AA5622">
        <f>IF($V5622="",N($AA5621),IF(MATCH($V5622,$V$6:$V$6005,0)=ROW()-5,N($AA5621)+1,N($AA5621)))</f>
        <v/>
      </c>
    </row>
    <row r="5623" ht="21" customHeight="1" s="66">
      <c r="A5623" s="56" t="n"/>
      <c r="B5623" s="57" t="n"/>
      <c r="C5623" s="57" t="n"/>
      <c r="D5623" s="57" t="n"/>
      <c r="E5623" s="56" t="n"/>
      <c r="F5623" s="57" t="n"/>
      <c r="G5623" s="57" t="n"/>
      <c r="H5623" s="56" t="n"/>
      <c r="I5623" s="56" t="n"/>
      <c r="J5623" s="58" t="n"/>
      <c r="K5623" s="58" t="n"/>
      <c r="L5623" s="13">
        <f>IF(OR($A5623="",AND($J5623="",$K5623="")),"",ROUND(N($J5623)-N($K5623),2))</f>
        <v/>
      </c>
      <c r="M5623" s="13">
        <f>IF(OR($A5623="",AND($J5623="",$K5623="")),"",MIN($J5623,$K5623))</f>
        <v/>
      </c>
      <c r="Q5623">
        <f>IF($A5623="","",$D5623&amp;"("&amp;SUBSTITUTE($E5623," ","")&amp;")")</f>
        <v/>
      </c>
      <c r="R5623">
        <f>IF($A5623="","",$B5623&amp;" - "&amp;$C5623)</f>
        <v/>
      </c>
      <c r="S5623">
        <f>IF($A5623="","",$R5623&amp;"|"&amp;$Q5623)</f>
        <v/>
      </c>
      <c r="T5623">
        <f>IF($A5623="","",$S5623&amp;"|"&amp;$F5623)</f>
        <v/>
      </c>
      <c r="U5623">
        <f>IF($A5623="","",$R5623&amp;"("&amp;$E5623&amp;")")</f>
        <v/>
      </c>
      <c r="V5623">
        <f>IF($A5623="","",$F5623&amp;"|"&amp;$U5623&amp;"|"&amp;$D5623)</f>
        <v/>
      </c>
      <c r="W5623">
        <f>IF($T5623="","",IF($X5623&gt;N($X5622),$X5623,""))</f>
        <v/>
      </c>
      <c r="X5623">
        <f>IF($T5623="",N($X5622),IF(MATCH($T5623,$T$6:$T$6005,0)=ROW()-5,N($X5622)+1,N($X5622)))</f>
        <v/>
      </c>
      <c r="Z5623">
        <f>IF($V5623="","",IF($AA5623&gt;N($AA5622),$AA5623,""))</f>
        <v/>
      </c>
      <c r="AA5623">
        <f>IF($V5623="",N($AA5622),IF(MATCH($V5623,$V$6:$V$6005,0)=ROW()-5,N($AA5622)+1,N($AA5622)))</f>
        <v/>
      </c>
    </row>
    <row r="5624" ht="21" customHeight="1" s="66">
      <c r="A5624" s="56" t="n"/>
      <c r="B5624" s="57" t="n"/>
      <c r="C5624" s="57" t="n"/>
      <c r="D5624" s="57" t="n"/>
      <c r="E5624" s="56" t="n"/>
      <c r="F5624" s="57" t="n"/>
      <c r="G5624" s="57" t="n"/>
      <c r="H5624" s="56" t="n"/>
      <c r="I5624" s="56" t="n"/>
      <c r="J5624" s="58" t="n"/>
      <c r="K5624" s="58" t="n"/>
      <c r="L5624" s="13">
        <f>IF(OR($A5624="",AND($J5624="",$K5624="")),"",ROUND(N($J5624)-N($K5624),2))</f>
        <v/>
      </c>
      <c r="M5624" s="13">
        <f>IF(OR($A5624="",AND($J5624="",$K5624="")),"",MIN($J5624,$K5624))</f>
        <v/>
      </c>
      <c r="Q5624">
        <f>IF($A5624="","",$D5624&amp;"("&amp;SUBSTITUTE($E5624," ","")&amp;")")</f>
        <v/>
      </c>
      <c r="R5624">
        <f>IF($A5624="","",$B5624&amp;" - "&amp;$C5624)</f>
        <v/>
      </c>
      <c r="S5624">
        <f>IF($A5624="","",$R5624&amp;"|"&amp;$Q5624)</f>
        <v/>
      </c>
      <c r="T5624">
        <f>IF($A5624="","",$S5624&amp;"|"&amp;$F5624)</f>
        <v/>
      </c>
      <c r="U5624">
        <f>IF($A5624="","",$R5624&amp;"("&amp;$E5624&amp;")")</f>
        <v/>
      </c>
      <c r="V5624">
        <f>IF($A5624="","",$F5624&amp;"|"&amp;$U5624&amp;"|"&amp;$D5624)</f>
        <v/>
      </c>
      <c r="W5624">
        <f>IF($T5624="","",IF($X5624&gt;N($X5623),$X5624,""))</f>
        <v/>
      </c>
      <c r="X5624">
        <f>IF($T5624="",N($X5623),IF(MATCH($T5624,$T$6:$T$6005,0)=ROW()-5,N($X5623)+1,N($X5623)))</f>
        <v/>
      </c>
      <c r="Z5624">
        <f>IF($V5624="","",IF($AA5624&gt;N($AA5623),$AA5624,""))</f>
        <v/>
      </c>
      <c r="AA5624">
        <f>IF($V5624="",N($AA5623),IF(MATCH($V5624,$V$6:$V$6005,0)=ROW()-5,N($AA5623)+1,N($AA5623)))</f>
        <v/>
      </c>
    </row>
    <row r="5625" ht="21" customHeight="1" s="66">
      <c r="A5625" s="56" t="n"/>
      <c r="B5625" s="57" t="n"/>
      <c r="C5625" s="57" t="n"/>
      <c r="D5625" s="57" t="n"/>
      <c r="E5625" s="56" t="n"/>
      <c r="F5625" s="57" t="n"/>
      <c r="G5625" s="57" t="n"/>
      <c r="H5625" s="56" t="n"/>
      <c r="I5625" s="56" t="n"/>
      <c r="J5625" s="58" t="n"/>
      <c r="K5625" s="58" t="n"/>
      <c r="L5625" s="13">
        <f>IF(OR($A5625="",AND($J5625="",$K5625="")),"",ROUND(N($J5625)-N($K5625),2))</f>
        <v/>
      </c>
      <c r="M5625" s="13">
        <f>IF(OR($A5625="",AND($J5625="",$K5625="")),"",MIN($J5625,$K5625))</f>
        <v/>
      </c>
      <c r="Q5625">
        <f>IF($A5625="","",$D5625&amp;"("&amp;SUBSTITUTE($E5625," ","")&amp;")")</f>
        <v/>
      </c>
      <c r="R5625">
        <f>IF($A5625="","",$B5625&amp;" - "&amp;$C5625)</f>
        <v/>
      </c>
      <c r="S5625">
        <f>IF($A5625="","",$R5625&amp;"|"&amp;$Q5625)</f>
        <v/>
      </c>
      <c r="T5625">
        <f>IF($A5625="","",$S5625&amp;"|"&amp;$F5625)</f>
        <v/>
      </c>
      <c r="U5625">
        <f>IF($A5625="","",$R5625&amp;"("&amp;$E5625&amp;")")</f>
        <v/>
      </c>
      <c r="V5625">
        <f>IF($A5625="","",$F5625&amp;"|"&amp;$U5625&amp;"|"&amp;$D5625)</f>
        <v/>
      </c>
      <c r="W5625">
        <f>IF($T5625="","",IF($X5625&gt;N($X5624),$X5625,""))</f>
        <v/>
      </c>
      <c r="X5625">
        <f>IF($T5625="",N($X5624),IF(MATCH($T5625,$T$6:$T$6005,0)=ROW()-5,N($X5624)+1,N($X5624)))</f>
        <v/>
      </c>
      <c r="Z5625">
        <f>IF($V5625="","",IF($AA5625&gt;N($AA5624),$AA5625,""))</f>
        <v/>
      </c>
      <c r="AA5625">
        <f>IF($V5625="",N($AA5624),IF(MATCH($V5625,$V$6:$V$6005,0)=ROW()-5,N($AA5624)+1,N($AA5624)))</f>
        <v/>
      </c>
    </row>
    <row r="5626" ht="21" customHeight="1" s="66">
      <c r="A5626" s="56" t="n"/>
      <c r="B5626" s="57" t="n"/>
      <c r="C5626" s="57" t="n"/>
      <c r="D5626" s="57" t="n"/>
      <c r="E5626" s="56" t="n"/>
      <c r="F5626" s="57" t="n"/>
      <c r="G5626" s="57" t="n"/>
      <c r="H5626" s="56" t="n"/>
      <c r="I5626" s="56" t="n"/>
      <c r="J5626" s="58" t="n"/>
      <c r="K5626" s="58" t="n"/>
      <c r="L5626" s="13">
        <f>IF(OR($A5626="",AND($J5626="",$K5626="")),"",ROUND(N($J5626)-N($K5626),2))</f>
        <v/>
      </c>
      <c r="M5626" s="13">
        <f>IF(OR($A5626="",AND($J5626="",$K5626="")),"",MIN($J5626,$K5626))</f>
        <v/>
      </c>
      <c r="Q5626">
        <f>IF($A5626="","",$D5626&amp;"("&amp;SUBSTITUTE($E5626," ","")&amp;")")</f>
        <v/>
      </c>
      <c r="R5626">
        <f>IF($A5626="","",$B5626&amp;" - "&amp;$C5626)</f>
        <v/>
      </c>
      <c r="S5626">
        <f>IF($A5626="","",$R5626&amp;"|"&amp;$Q5626)</f>
        <v/>
      </c>
      <c r="T5626">
        <f>IF($A5626="","",$S5626&amp;"|"&amp;$F5626)</f>
        <v/>
      </c>
      <c r="U5626">
        <f>IF($A5626="","",$R5626&amp;"("&amp;$E5626&amp;")")</f>
        <v/>
      </c>
      <c r="V5626">
        <f>IF($A5626="","",$F5626&amp;"|"&amp;$U5626&amp;"|"&amp;$D5626)</f>
        <v/>
      </c>
      <c r="W5626">
        <f>IF($T5626="","",IF($X5626&gt;N($X5625),$X5626,""))</f>
        <v/>
      </c>
      <c r="X5626">
        <f>IF($T5626="",N($X5625),IF(MATCH($T5626,$T$6:$T$6005,0)=ROW()-5,N($X5625)+1,N($X5625)))</f>
        <v/>
      </c>
      <c r="Z5626">
        <f>IF($V5626="","",IF($AA5626&gt;N($AA5625),$AA5626,""))</f>
        <v/>
      </c>
      <c r="AA5626">
        <f>IF($V5626="",N($AA5625),IF(MATCH($V5626,$V$6:$V$6005,0)=ROW()-5,N($AA5625)+1,N($AA5625)))</f>
        <v/>
      </c>
    </row>
    <row r="5627" ht="21" customHeight="1" s="66">
      <c r="A5627" s="56" t="n"/>
      <c r="B5627" s="57" t="n"/>
      <c r="C5627" s="57" t="n"/>
      <c r="D5627" s="57" t="n"/>
      <c r="E5627" s="56" t="n"/>
      <c r="F5627" s="57" t="n"/>
      <c r="G5627" s="57" t="n"/>
      <c r="H5627" s="56" t="n"/>
      <c r="I5627" s="56" t="n"/>
      <c r="J5627" s="58" t="n"/>
      <c r="K5627" s="58" t="n"/>
      <c r="L5627" s="13">
        <f>IF(OR($A5627="",AND($J5627="",$K5627="")),"",ROUND(N($J5627)-N($K5627),2))</f>
        <v/>
      </c>
      <c r="M5627" s="13">
        <f>IF(OR($A5627="",AND($J5627="",$K5627="")),"",MIN($J5627,$K5627))</f>
        <v/>
      </c>
      <c r="Q5627">
        <f>IF($A5627="","",$D5627&amp;"("&amp;SUBSTITUTE($E5627," ","")&amp;")")</f>
        <v/>
      </c>
      <c r="R5627">
        <f>IF($A5627="","",$B5627&amp;" - "&amp;$C5627)</f>
        <v/>
      </c>
      <c r="S5627">
        <f>IF($A5627="","",$R5627&amp;"|"&amp;$Q5627)</f>
        <v/>
      </c>
      <c r="T5627">
        <f>IF($A5627="","",$S5627&amp;"|"&amp;$F5627)</f>
        <v/>
      </c>
      <c r="U5627">
        <f>IF($A5627="","",$R5627&amp;"("&amp;$E5627&amp;")")</f>
        <v/>
      </c>
      <c r="V5627">
        <f>IF($A5627="","",$F5627&amp;"|"&amp;$U5627&amp;"|"&amp;$D5627)</f>
        <v/>
      </c>
      <c r="W5627">
        <f>IF($T5627="","",IF($X5627&gt;N($X5626),$X5627,""))</f>
        <v/>
      </c>
      <c r="X5627">
        <f>IF($T5627="",N($X5626),IF(MATCH($T5627,$T$6:$T$6005,0)=ROW()-5,N($X5626)+1,N($X5626)))</f>
        <v/>
      </c>
      <c r="Z5627">
        <f>IF($V5627="","",IF($AA5627&gt;N($AA5626),$AA5627,""))</f>
        <v/>
      </c>
      <c r="AA5627">
        <f>IF($V5627="",N($AA5626),IF(MATCH($V5627,$V$6:$V$6005,0)=ROW()-5,N($AA5626)+1,N($AA5626)))</f>
        <v/>
      </c>
    </row>
    <row r="5628" ht="21" customHeight="1" s="66">
      <c r="A5628" s="56" t="n"/>
      <c r="B5628" s="57" t="n"/>
      <c r="C5628" s="57" t="n"/>
      <c r="D5628" s="57" t="n"/>
      <c r="E5628" s="56" t="n"/>
      <c r="F5628" s="57" t="n"/>
      <c r="G5628" s="57" t="n"/>
      <c r="H5628" s="56" t="n"/>
      <c r="I5628" s="56" t="n"/>
      <c r="J5628" s="58" t="n"/>
      <c r="K5628" s="58" t="n"/>
      <c r="L5628" s="13">
        <f>IF(OR($A5628="",AND($J5628="",$K5628="")),"",ROUND(N($J5628)-N($K5628),2))</f>
        <v/>
      </c>
      <c r="M5628" s="13">
        <f>IF(OR($A5628="",AND($J5628="",$K5628="")),"",MIN($J5628,$K5628))</f>
        <v/>
      </c>
      <c r="Q5628">
        <f>IF($A5628="","",$D5628&amp;"("&amp;SUBSTITUTE($E5628," ","")&amp;")")</f>
        <v/>
      </c>
      <c r="R5628">
        <f>IF($A5628="","",$B5628&amp;" - "&amp;$C5628)</f>
        <v/>
      </c>
      <c r="S5628">
        <f>IF($A5628="","",$R5628&amp;"|"&amp;$Q5628)</f>
        <v/>
      </c>
      <c r="T5628">
        <f>IF($A5628="","",$S5628&amp;"|"&amp;$F5628)</f>
        <v/>
      </c>
      <c r="U5628">
        <f>IF($A5628="","",$R5628&amp;"("&amp;$E5628&amp;")")</f>
        <v/>
      </c>
      <c r="V5628">
        <f>IF($A5628="","",$F5628&amp;"|"&amp;$U5628&amp;"|"&amp;$D5628)</f>
        <v/>
      </c>
      <c r="W5628">
        <f>IF($T5628="","",IF($X5628&gt;N($X5627),$X5628,""))</f>
        <v/>
      </c>
      <c r="X5628">
        <f>IF($T5628="",N($X5627),IF(MATCH($T5628,$T$6:$T$6005,0)=ROW()-5,N($X5627)+1,N($X5627)))</f>
        <v/>
      </c>
      <c r="Z5628">
        <f>IF($V5628="","",IF($AA5628&gt;N($AA5627),$AA5628,""))</f>
        <v/>
      </c>
      <c r="AA5628">
        <f>IF($V5628="",N($AA5627),IF(MATCH($V5628,$V$6:$V$6005,0)=ROW()-5,N($AA5627)+1,N($AA5627)))</f>
        <v/>
      </c>
    </row>
    <row r="5629" ht="21" customHeight="1" s="66">
      <c r="A5629" s="56" t="n"/>
      <c r="B5629" s="57" t="n"/>
      <c r="C5629" s="57" t="n"/>
      <c r="D5629" s="57" t="n"/>
      <c r="E5629" s="56" t="n"/>
      <c r="F5629" s="57" t="n"/>
      <c r="G5629" s="57" t="n"/>
      <c r="H5629" s="56" t="n"/>
      <c r="I5629" s="56" t="n"/>
      <c r="J5629" s="58" t="n"/>
      <c r="K5629" s="58" t="n"/>
      <c r="L5629" s="13">
        <f>IF(OR($A5629="",AND($J5629="",$K5629="")),"",ROUND(N($J5629)-N($K5629),2))</f>
        <v/>
      </c>
      <c r="M5629" s="13">
        <f>IF(OR($A5629="",AND($J5629="",$K5629="")),"",MIN($J5629,$K5629))</f>
        <v/>
      </c>
      <c r="Q5629">
        <f>IF($A5629="","",$D5629&amp;"("&amp;SUBSTITUTE($E5629," ","")&amp;")")</f>
        <v/>
      </c>
      <c r="R5629">
        <f>IF($A5629="","",$B5629&amp;" - "&amp;$C5629)</f>
        <v/>
      </c>
      <c r="S5629">
        <f>IF($A5629="","",$R5629&amp;"|"&amp;$Q5629)</f>
        <v/>
      </c>
      <c r="T5629">
        <f>IF($A5629="","",$S5629&amp;"|"&amp;$F5629)</f>
        <v/>
      </c>
      <c r="U5629">
        <f>IF($A5629="","",$R5629&amp;"("&amp;$E5629&amp;")")</f>
        <v/>
      </c>
      <c r="V5629">
        <f>IF($A5629="","",$F5629&amp;"|"&amp;$U5629&amp;"|"&amp;$D5629)</f>
        <v/>
      </c>
      <c r="W5629">
        <f>IF($T5629="","",IF($X5629&gt;N($X5628),$X5629,""))</f>
        <v/>
      </c>
      <c r="X5629">
        <f>IF($T5629="",N($X5628),IF(MATCH($T5629,$T$6:$T$6005,0)=ROW()-5,N($X5628)+1,N($X5628)))</f>
        <v/>
      </c>
      <c r="Z5629">
        <f>IF($V5629="","",IF($AA5629&gt;N($AA5628),$AA5629,""))</f>
        <v/>
      </c>
      <c r="AA5629">
        <f>IF($V5629="",N($AA5628),IF(MATCH($V5629,$V$6:$V$6005,0)=ROW()-5,N($AA5628)+1,N($AA5628)))</f>
        <v/>
      </c>
    </row>
    <row r="5630" ht="21" customHeight="1" s="66">
      <c r="A5630" s="56" t="n"/>
      <c r="B5630" s="57" t="n"/>
      <c r="C5630" s="57" t="n"/>
      <c r="D5630" s="57" t="n"/>
      <c r="E5630" s="56" t="n"/>
      <c r="F5630" s="57" t="n"/>
      <c r="G5630" s="57" t="n"/>
      <c r="H5630" s="56" t="n"/>
      <c r="I5630" s="56" t="n"/>
      <c r="J5630" s="58" t="n"/>
      <c r="K5630" s="58" t="n"/>
      <c r="L5630" s="13">
        <f>IF(OR($A5630="",AND($J5630="",$K5630="")),"",ROUND(N($J5630)-N($K5630),2))</f>
        <v/>
      </c>
      <c r="M5630" s="13">
        <f>IF(OR($A5630="",AND($J5630="",$K5630="")),"",MIN($J5630,$K5630))</f>
        <v/>
      </c>
      <c r="Q5630">
        <f>IF($A5630="","",$D5630&amp;"("&amp;SUBSTITUTE($E5630," ","")&amp;")")</f>
        <v/>
      </c>
      <c r="R5630">
        <f>IF($A5630="","",$B5630&amp;" - "&amp;$C5630)</f>
        <v/>
      </c>
      <c r="S5630">
        <f>IF($A5630="","",$R5630&amp;"|"&amp;$Q5630)</f>
        <v/>
      </c>
      <c r="T5630">
        <f>IF($A5630="","",$S5630&amp;"|"&amp;$F5630)</f>
        <v/>
      </c>
      <c r="U5630">
        <f>IF($A5630="","",$R5630&amp;"("&amp;$E5630&amp;")")</f>
        <v/>
      </c>
      <c r="V5630">
        <f>IF($A5630="","",$F5630&amp;"|"&amp;$U5630&amp;"|"&amp;$D5630)</f>
        <v/>
      </c>
      <c r="W5630">
        <f>IF($T5630="","",IF($X5630&gt;N($X5629),$X5630,""))</f>
        <v/>
      </c>
      <c r="X5630">
        <f>IF($T5630="",N($X5629),IF(MATCH($T5630,$T$6:$T$6005,0)=ROW()-5,N($X5629)+1,N($X5629)))</f>
        <v/>
      </c>
      <c r="Z5630">
        <f>IF($V5630="","",IF($AA5630&gt;N($AA5629),$AA5630,""))</f>
        <v/>
      </c>
      <c r="AA5630">
        <f>IF($V5630="",N($AA5629),IF(MATCH($V5630,$V$6:$V$6005,0)=ROW()-5,N($AA5629)+1,N($AA5629)))</f>
        <v/>
      </c>
    </row>
    <row r="5631" ht="21" customHeight="1" s="66">
      <c r="A5631" s="56" t="n"/>
      <c r="B5631" s="57" t="n"/>
      <c r="C5631" s="57" t="n"/>
      <c r="D5631" s="57" t="n"/>
      <c r="E5631" s="56" t="n"/>
      <c r="F5631" s="57" t="n"/>
      <c r="G5631" s="57" t="n"/>
      <c r="H5631" s="56" t="n"/>
      <c r="I5631" s="56" t="n"/>
      <c r="J5631" s="58" t="n"/>
      <c r="K5631" s="58" t="n"/>
      <c r="L5631" s="13">
        <f>IF(OR($A5631="",AND($J5631="",$K5631="")),"",ROUND(N($J5631)-N($K5631),2))</f>
        <v/>
      </c>
      <c r="M5631" s="13">
        <f>IF(OR($A5631="",AND($J5631="",$K5631="")),"",MIN($J5631,$K5631))</f>
        <v/>
      </c>
      <c r="Q5631">
        <f>IF($A5631="","",$D5631&amp;"("&amp;SUBSTITUTE($E5631," ","")&amp;")")</f>
        <v/>
      </c>
      <c r="R5631">
        <f>IF($A5631="","",$B5631&amp;" - "&amp;$C5631)</f>
        <v/>
      </c>
      <c r="S5631">
        <f>IF($A5631="","",$R5631&amp;"|"&amp;$Q5631)</f>
        <v/>
      </c>
      <c r="T5631">
        <f>IF($A5631="","",$S5631&amp;"|"&amp;$F5631)</f>
        <v/>
      </c>
      <c r="U5631">
        <f>IF($A5631="","",$R5631&amp;"("&amp;$E5631&amp;")")</f>
        <v/>
      </c>
      <c r="V5631">
        <f>IF($A5631="","",$F5631&amp;"|"&amp;$U5631&amp;"|"&amp;$D5631)</f>
        <v/>
      </c>
      <c r="W5631">
        <f>IF($T5631="","",IF($X5631&gt;N($X5630),$X5631,""))</f>
        <v/>
      </c>
      <c r="X5631">
        <f>IF($T5631="",N($X5630),IF(MATCH($T5631,$T$6:$T$6005,0)=ROW()-5,N($X5630)+1,N($X5630)))</f>
        <v/>
      </c>
      <c r="Z5631">
        <f>IF($V5631="","",IF($AA5631&gt;N($AA5630),$AA5631,""))</f>
        <v/>
      </c>
      <c r="AA5631">
        <f>IF($V5631="",N($AA5630),IF(MATCH($V5631,$V$6:$V$6005,0)=ROW()-5,N($AA5630)+1,N($AA5630)))</f>
        <v/>
      </c>
    </row>
    <row r="5632" ht="21" customHeight="1" s="66">
      <c r="A5632" s="56" t="n"/>
      <c r="B5632" s="57" t="n"/>
      <c r="C5632" s="57" t="n"/>
      <c r="D5632" s="57" t="n"/>
      <c r="E5632" s="56" t="n"/>
      <c r="F5632" s="57" t="n"/>
      <c r="G5632" s="57" t="n"/>
      <c r="H5632" s="56" t="n"/>
      <c r="I5632" s="56" t="n"/>
      <c r="J5632" s="58" t="n"/>
      <c r="K5632" s="58" t="n"/>
      <c r="L5632" s="13">
        <f>IF(OR($A5632="",AND($J5632="",$K5632="")),"",ROUND(N($J5632)-N($K5632),2))</f>
        <v/>
      </c>
      <c r="M5632" s="13">
        <f>IF(OR($A5632="",AND($J5632="",$K5632="")),"",MIN($J5632,$K5632))</f>
        <v/>
      </c>
      <c r="Q5632">
        <f>IF($A5632="","",$D5632&amp;"("&amp;SUBSTITUTE($E5632," ","")&amp;")")</f>
        <v/>
      </c>
      <c r="R5632">
        <f>IF($A5632="","",$B5632&amp;" - "&amp;$C5632)</f>
        <v/>
      </c>
      <c r="S5632">
        <f>IF($A5632="","",$R5632&amp;"|"&amp;$Q5632)</f>
        <v/>
      </c>
      <c r="T5632">
        <f>IF($A5632="","",$S5632&amp;"|"&amp;$F5632)</f>
        <v/>
      </c>
      <c r="U5632">
        <f>IF($A5632="","",$R5632&amp;"("&amp;$E5632&amp;")")</f>
        <v/>
      </c>
      <c r="V5632">
        <f>IF($A5632="","",$F5632&amp;"|"&amp;$U5632&amp;"|"&amp;$D5632)</f>
        <v/>
      </c>
      <c r="W5632">
        <f>IF($T5632="","",IF($X5632&gt;N($X5631),$X5632,""))</f>
        <v/>
      </c>
      <c r="X5632">
        <f>IF($T5632="",N($X5631),IF(MATCH($T5632,$T$6:$T$6005,0)=ROW()-5,N($X5631)+1,N($X5631)))</f>
        <v/>
      </c>
      <c r="Z5632">
        <f>IF($V5632="","",IF($AA5632&gt;N($AA5631),$AA5632,""))</f>
        <v/>
      </c>
      <c r="AA5632">
        <f>IF($V5632="",N($AA5631),IF(MATCH($V5632,$V$6:$V$6005,0)=ROW()-5,N($AA5631)+1,N($AA5631)))</f>
        <v/>
      </c>
    </row>
    <row r="5633" ht="21" customHeight="1" s="66">
      <c r="A5633" s="56" t="n"/>
      <c r="B5633" s="57" t="n"/>
      <c r="C5633" s="57" t="n"/>
      <c r="D5633" s="57" t="n"/>
      <c r="E5633" s="56" t="n"/>
      <c r="F5633" s="57" t="n"/>
      <c r="G5633" s="57" t="n"/>
      <c r="H5633" s="56" t="n"/>
      <c r="I5633" s="56" t="n"/>
      <c r="J5633" s="58" t="n"/>
      <c r="K5633" s="58" t="n"/>
      <c r="L5633" s="13">
        <f>IF(OR($A5633="",AND($J5633="",$K5633="")),"",ROUND(N($J5633)-N($K5633),2))</f>
        <v/>
      </c>
      <c r="M5633" s="13">
        <f>IF(OR($A5633="",AND($J5633="",$K5633="")),"",MIN($J5633,$K5633))</f>
        <v/>
      </c>
      <c r="Q5633">
        <f>IF($A5633="","",$D5633&amp;"("&amp;SUBSTITUTE($E5633," ","")&amp;")")</f>
        <v/>
      </c>
      <c r="R5633">
        <f>IF($A5633="","",$B5633&amp;" - "&amp;$C5633)</f>
        <v/>
      </c>
      <c r="S5633">
        <f>IF($A5633="","",$R5633&amp;"|"&amp;$Q5633)</f>
        <v/>
      </c>
      <c r="T5633">
        <f>IF($A5633="","",$S5633&amp;"|"&amp;$F5633)</f>
        <v/>
      </c>
      <c r="U5633">
        <f>IF($A5633="","",$R5633&amp;"("&amp;$E5633&amp;")")</f>
        <v/>
      </c>
      <c r="V5633">
        <f>IF($A5633="","",$F5633&amp;"|"&amp;$U5633&amp;"|"&amp;$D5633)</f>
        <v/>
      </c>
      <c r="W5633">
        <f>IF($T5633="","",IF($X5633&gt;N($X5632),$X5633,""))</f>
        <v/>
      </c>
      <c r="X5633">
        <f>IF($T5633="",N($X5632),IF(MATCH($T5633,$T$6:$T$6005,0)=ROW()-5,N($X5632)+1,N($X5632)))</f>
        <v/>
      </c>
      <c r="Z5633">
        <f>IF($V5633="","",IF($AA5633&gt;N($AA5632),$AA5633,""))</f>
        <v/>
      </c>
      <c r="AA5633">
        <f>IF($V5633="",N($AA5632),IF(MATCH($V5633,$V$6:$V$6005,0)=ROW()-5,N($AA5632)+1,N($AA5632)))</f>
        <v/>
      </c>
    </row>
    <row r="5634" ht="21" customHeight="1" s="66">
      <c r="A5634" s="56" t="n"/>
      <c r="B5634" s="57" t="n"/>
      <c r="C5634" s="57" t="n"/>
      <c r="D5634" s="57" t="n"/>
      <c r="E5634" s="56" t="n"/>
      <c r="F5634" s="57" t="n"/>
      <c r="G5634" s="57" t="n"/>
      <c r="H5634" s="56" t="n"/>
      <c r="I5634" s="56" t="n"/>
      <c r="J5634" s="58" t="n"/>
      <c r="K5634" s="58" t="n"/>
      <c r="L5634" s="13">
        <f>IF(OR($A5634="",AND($J5634="",$K5634="")),"",ROUND(N($J5634)-N($K5634),2))</f>
        <v/>
      </c>
      <c r="M5634" s="13">
        <f>IF(OR($A5634="",AND($J5634="",$K5634="")),"",MIN($J5634,$K5634))</f>
        <v/>
      </c>
      <c r="Q5634">
        <f>IF($A5634="","",$D5634&amp;"("&amp;SUBSTITUTE($E5634," ","")&amp;")")</f>
        <v/>
      </c>
      <c r="R5634">
        <f>IF($A5634="","",$B5634&amp;" - "&amp;$C5634)</f>
        <v/>
      </c>
      <c r="S5634">
        <f>IF($A5634="","",$R5634&amp;"|"&amp;$Q5634)</f>
        <v/>
      </c>
      <c r="T5634">
        <f>IF($A5634="","",$S5634&amp;"|"&amp;$F5634)</f>
        <v/>
      </c>
      <c r="U5634">
        <f>IF($A5634="","",$R5634&amp;"("&amp;$E5634&amp;")")</f>
        <v/>
      </c>
      <c r="V5634">
        <f>IF($A5634="","",$F5634&amp;"|"&amp;$U5634&amp;"|"&amp;$D5634)</f>
        <v/>
      </c>
      <c r="W5634">
        <f>IF($T5634="","",IF($X5634&gt;N($X5633),$X5634,""))</f>
        <v/>
      </c>
      <c r="X5634">
        <f>IF($T5634="",N($X5633),IF(MATCH($T5634,$T$6:$T$6005,0)=ROW()-5,N($X5633)+1,N($X5633)))</f>
        <v/>
      </c>
      <c r="Z5634">
        <f>IF($V5634="","",IF($AA5634&gt;N($AA5633),$AA5634,""))</f>
        <v/>
      </c>
      <c r="AA5634">
        <f>IF($V5634="",N($AA5633),IF(MATCH($V5634,$V$6:$V$6005,0)=ROW()-5,N($AA5633)+1,N($AA5633)))</f>
        <v/>
      </c>
    </row>
    <row r="5635" ht="21" customHeight="1" s="66">
      <c r="A5635" s="56" t="n"/>
      <c r="B5635" s="57" t="n"/>
      <c r="C5635" s="57" t="n"/>
      <c r="D5635" s="57" t="n"/>
      <c r="E5635" s="56" t="n"/>
      <c r="F5635" s="57" t="n"/>
      <c r="G5635" s="57" t="n"/>
      <c r="H5635" s="56" t="n"/>
      <c r="I5635" s="56" t="n"/>
      <c r="J5635" s="58" t="n"/>
      <c r="K5635" s="58" t="n"/>
      <c r="L5635" s="13">
        <f>IF(OR($A5635="",AND($J5635="",$K5635="")),"",ROUND(N($J5635)-N($K5635),2))</f>
        <v/>
      </c>
      <c r="M5635" s="13">
        <f>IF(OR($A5635="",AND($J5635="",$K5635="")),"",MIN($J5635,$K5635))</f>
        <v/>
      </c>
      <c r="Q5635">
        <f>IF($A5635="","",$D5635&amp;"("&amp;SUBSTITUTE($E5635," ","")&amp;")")</f>
        <v/>
      </c>
      <c r="R5635">
        <f>IF($A5635="","",$B5635&amp;" - "&amp;$C5635)</f>
        <v/>
      </c>
      <c r="S5635">
        <f>IF($A5635="","",$R5635&amp;"|"&amp;$Q5635)</f>
        <v/>
      </c>
      <c r="T5635">
        <f>IF($A5635="","",$S5635&amp;"|"&amp;$F5635)</f>
        <v/>
      </c>
      <c r="U5635">
        <f>IF($A5635="","",$R5635&amp;"("&amp;$E5635&amp;")")</f>
        <v/>
      </c>
      <c r="V5635">
        <f>IF($A5635="","",$F5635&amp;"|"&amp;$U5635&amp;"|"&amp;$D5635)</f>
        <v/>
      </c>
      <c r="W5635">
        <f>IF($T5635="","",IF($X5635&gt;N($X5634),$X5635,""))</f>
        <v/>
      </c>
      <c r="X5635">
        <f>IF($T5635="",N($X5634),IF(MATCH($T5635,$T$6:$T$6005,0)=ROW()-5,N($X5634)+1,N($X5634)))</f>
        <v/>
      </c>
      <c r="Z5635">
        <f>IF($V5635="","",IF($AA5635&gt;N($AA5634),$AA5635,""))</f>
        <v/>
      </c>
      <c r="AA5635">
        <f>IF($V5635="",N($AA5634),IF(MATCH($V5635,$V$6:$V$6005,0)=ROW()-5,N($AA5634)+1,N($AA5634)))</f>
        <v/>
      </c>
    </row>
    <row r="5636" ht="21" customHeight="1" s="66">
      <c r="A5636" s="56" t="n"/>
      <c r="B5636" s="57" t="n"/>
      <c r="C5636" s="57" t="n"/>
      <c r="D5636" s="57" t="n"/>
      <c r="E5636" s="56" t="n"/>
      <c r="F5636" s="57" t="n"/>
      <c r="G5636" s="57" t="n"/>
      <c r="H5636" s="56" t="n"/>
      <c r="I5636" s="56" t="n"/>
      <c r="J5636" s="58" t="n"/>
      <c r="K5636" s="58" t="n"/>
      <c r="L5636" s="13">
        <f>IF(OR($A5636="",AND($J5636="",$K5636="")),"",ROUND(N($J5636)-N($K5636),2))</f>
        <v/>
      </c>
      <c r="M5636" s="13">
        <f>IF(OR($A5636="",AND($J5636="",$K5636="")),"",MIN($J5636,$K5636))</f>
        <v/>
      </c>
      <c r="Q5636">
        <f>IF($A5636="","",$D5636&amp;"("&amp;SUBSTITUTE($E5636," ","")&amp;")")</f>
        <v/>
      </c>
      <c r="R5636">
        <f>IF($A5636="","",$B5636&amp;" - "&amp;$C5636)</f>
        <v/>
      </c>
      <c r="S5636">
        <f>IF($A5636="","",$R5636&amp;"|"&amp;$Q5636)</f>
        <v/>
      </c>
      <c r="T5636">
        <f>IF($A5636="","",$S5636&amp;"|"&amp;$F5636)</f>
        <v/>
      </c>
      <c r="U5636">
        <f>IF($A5636="","",$R5636&amp;"("&amp;$E5636&amp;")")</f>
        <v/>
      </c>
      <c r="V5636">
        <f>IF($A5636="","",$F5636&amp;"|"&amp;$U5636&amp;"|"&amp;$D5636)</f>
        <v/>
      </c>
      <c r="W5636">
        <f>IF($T5636="","",IF($X5636&gt;N($X5635),$X5636,""))</f>
        <v/>
      </c>
      <c r="X5636">
        <f>IF($T5636="",N($X5635),IF(MATCH($T5636,$T$6:$T$6005,0)=ROW()-5,N($X5635)+1,N($X5635)))</f>
        <v/>
      </c>
      <c r="Z5636">
        <f>IF($V5636="","",IF($AA5636&gt;N($AA5635),$AA5636,""))</f>
        <v/>
      </c>
      <c r="AA5636">
        <f>IF($V5636="",N($AA5635),IF(MATCH($V5636,$V$6:$V$6005,0)=ROW()-5,N($AA5635)+1,N($AA5635)))</f>
        <v/>
      </c>
    </row>
    <row r="5637" ht="21" customHeight="1" s="66">
      <c r="A5637" s="56" t="n"/>
      <c r="B5637" s="57" t="n"/>
      <c r="C5637" s="57" t="n"/>
      <c r="D5637" s="57" t="n"/>
      <c r="E5637" s="56" t="n"/>
      <c r="F5637" s="57" t="n"/>
      <c r="G5637" s="57" t="n"/>
      <c r="H5637" s="56" t="n"/>
      <c r="I5637" s="56" t="n"/>
      <c r="J5637" s="58" t="n"/>
      <c r="K5637" s="58" t="n"/>
      <c r="L5637" s="13">
        <f>IF(OR($A5637="",AND($J5637="",$K5637="")),"",ROUND(N($J5637)-N($K5637),2))</f>
        <v/>
      </c>
      <c r="M5637" s="13">
        <f>IF(OR($A5637="",AND($J5637="",$K5637="")),"",MIN($J5637,$K5637))</f>
        <v/>
      </c>
      <c r="Q5637">
        <f>IF($A5637="","",$D5637&amp;"("&amp;SUBSTITUTE($E5637," ","")&amp;")")</f>
        <v/>
      </c>
      <c r="R5637">
        <f>IF($A5637="","",$B5637&amp;" - "&amp;$C5637)</f>
        <v/>
      </c>
      <c r="S5637">
        <f>IF($A5637="","",$R5637&amp;"|"&amp;$Q5637)</f>
        <v/>
      </c>
      <c r="T5637">
        <f>IF($A5637="","",$S5637&amp;"|"&amp;$F5637)</f>
        <v/>
      </c>
      <c r="U5637">
        <f>IF($A5637="","",$R5637&amp;"("&amp;$E5637&amp;")")</f>
        <v/>
      </c>
      <c r="V5637">
        <f>IF($A5637="","",$F5637&amp;"|"&amp;$U5637&amp;"|"&amp;$D5637)</f>
        <v/>
      </c>
      <c r="W5637">
        <f>IF($T5637="","",IF($X5637&gt;N($X5636),$X5637,""))</f>
        <v/>
      </c>
      <c r="X5637">
        <f>IF($T5637="",N($X5636),IF(MATCH($T5637,$T$6:$T$6005,0)=ROW()-5,N($X5636)+1,N($X5636)))</f>
        <v/>
      </c>
      <c r="Z5637">
        <f>IF($V5637="","",IF($AA5637&gt;N($AA5636),$AA5637,""))</f>
        <v/>
      </c>
      <c r="AA5637">
        <f>IF($V5637="",N($AA5636),IF(MATCH($V5637,$V$6:$V$6005,0)=ROW()-5,N($AA5636)+1,N($AA5636)))</f>
        <v/>
      </c>
    </row>
    <row r="5638" ht="21" customHeight="1" s="66">
      <c r="A5638" s="56" t="n"/>
      <c r="B5638" s="57" t="n"/>
      <c r="C5638" s="57" t="n"/>
      <c r="D5638" s="57" t="n"/>
      <c r="E5638" s="56" t="n"/>
      <c r="F5638" s="57" t="n"/>
      <c r="G5638" s="57" t="n"/>
      <c r="H5638" s="56" t="n"/>
      <c r="I5638" s="56" t="n"/>
      <c r="J5638" s="58" t="n"/>
      <c r="K5638" s="58" t="n"/>
      <c r="L5638" s="13">
        <f>IF(OR($A5638="",AND($J5638="",$K5638="")),"",ROUND(N($J5638)-N($K5638),2))</f>
        <v/>
      </c>
      <c r="M5638" s="13">
        <f>IF(OR($A5638="",AND($J5638="",$K5638="")),"",MIN($J5638,$K5638))</f>
        <v/>
      </c>
      <c r="Q5638">
        <f>IF($A5638="","",$D5638&amp;"("&amp;SUBSTITUTE($E5638," ","")&amp;")")</f>
        <v/>
      </c>
      <c r="R5638">
        <f>IF($A5638="","",$B5638&amp;" - "&amp;$C5638)</f>
        <v/>
      </c>
      <c r="S5638">
        <f>IF($A5638="","",$R5638&amp;"|"&amp;$Q5638)</f>
        <v/>
      </c>
      <c r="T5638">
        <f>IF($A5638="","",$S5638&amp;"|"&amp;$F5638)</f>
        <v/>
      </c>
      <c r="U5638">
        <f>IF($A5638="","",$R5638&amp;"("&amp;$E5638&amp;")")</f>
        <v/>
      </c>
      <c r="V5638">
        <f>IF($A5638="","",$F5638&amp;"|"&amp;$U5638&amp;"|"&amp;$D5638)</f>
        <v/>
      </c>
      <c r="W5638">
        <f>IF($T5638="","",IF($X5638&gt;N($X5637),$X5638,""))</f>
        <v/>
      </c>
      <c r="X5638">
        <f>IF($T5638="",N($X5637),IF(MATCH($T5638,$T$6:$T$6005,0)=ROW()-5,N($X5637)+1,N($X5637)))</f>
        <v/>
      </c>
      <c r="Z5638">
        <f>IF($V5638="","",IF($AA5638&gt;N($AA5637),$AA5638,""))</f>
        <v/>
      </c>
      <c r="AA5638">
        <f>IF($V5638="",N($AA5637),IF(MATCH($V5638,$V$6:$V$6005,0)=ROW()-5,N($AA5637)+1,N($AA5637)))</f>
        <v/>
      </c>
    </row>
    <row r="5639" ht="21" customHeight="1" s="66">
      <c r="A5639" s="56" t="n"/>
      <c r="B5639" s="57" t="n"/>
      <c r="C5639" s="57" t="n"/>
      <c r="D5639" s="57" t="n"/>
      <c r="E5639" s="56" t="n"/>
      <c r="F5639" s="57" t="n"/>
      <c r="G5639" s="57" t="n"/>
      <c r="H5639" s="56" t="n"/>
      <c r="I5639" s="56" t="n"/>
      <c r="J5639" s="58" t="n"/>
      <c r="K5639" s="58" t="n"/>
      <c r="L5639" s="13">
        <f>IF(OR($A5639="",AND($J5639="",$K5639="")),"",ROUND(N($J5639)-N($K5639),2))</f>
        <v/>
      </c>
      <c r="M5639" s="13">
        <f>IF(OR($A5639="",AND($J5639="",$K5639="")),"",MIN($J5639,$K5639))</f>
        <v/>
      </c>
      <c r="Q5639">
        <f>IF($A5639="","",$D5639&amp;"("&amp;SUBSTITUTE($E5639," ","")&amp;")")</f>
        <v/>
      </c>
      <c r="R5639">
        <f>IF($A5639="","",$B5639&amp;" - "&amp;$C5639)</f>
        <v/>
      </c>
      <c r="S5639">
        <f>IF($A5639="","",$R5639&amp;"|"&amp;$Q5639)</f>
        <v/>
      </c>
      <c r="T5639">
        <f>IF($A5639="","",$S5639&amp;"|"&amp;$F5639)</f>
        <v/>
      </c>
      <c r="U5639">
        <f>IF($A5639="","",$R5639&amp;"("&amp;$E5639&amp;")")</f>
        <v/>
      </c>
      <c r="V5639">
        <f>IF($A5639="","",$F5639&amp;"|"&amp;$U5639&amp;"|"&amp;$D5639)</f>
        <v/>
      </c>
      <c r="W5639">
        <f>IF($T5639="","",IF($X5639&gt;N($X5638),$X5639,""))</f>
        <v/>
      </c>
      <c r="X5639">
        <f>IF($T5639="",N($X5638),IF(MATCH($T5639,$T$6:$T$6005,0)=ROW()-5,N($X5638)+1,N($X5638)))</f>
        <v/>
      </c>
      <c r="Z5639">
        <f>IF($V5639="","",IF($AA5639&gt;N($AA5638),$AA5639,""))</f>
        <v/>
      </c>
      <c r="AA5639">
        <f>IF($V5639="",N($AA5638),IF(MATCH($V5639,$V$6:$V$6005,0)=ROW()-5,N($AA5638)+1,N($AA5638)))</f>
        <v/>
      </c>
    </row>
    <row r="5640" ht="21" customHeight="1" s="66">
      <c r="A5640" s="56" t="n"/>
      <c r="B5640" s="57" t="n"/>
      <c r="C5640" s="57" t="n"/>
      <c r="D5640" s="57" t="n"/>
      <c r="E5640" s="56" t="n"/>
      <c r="F5640" s="57" t="n"/>
      <c r="G5640" s="57" t="n"/>
      <c r="H5640" s="56" t="n"/>
      <c r="I5640" s="56" t="n"/>
      <c r="J5640" s="58" t="n"/>
      <c r="K5640" s="58" t="n"/>
      <c r="L5640" s="13">
        <f>IF(OR($A5640="",AND($J5640="",$K5640="")),"",ROUND(N($J5640)-N($K5640),2))</f>
        <v/>
      </c>
      <c r="M5640" s="13">
        <f>IF(OR($A5640="",AND($J5640="",$K5640="")),"",MIN($J5640,$K5640))</f>
        <v/>
      </c>
      <c r="Q5640">
        <f>IF($A5640="","",$D5640&amp;"("&amp;SUBSTITUTE($E5640," ","")&amp;")")</f>
        <v/>
      </c>
      <c r="R5640">
        <f>IF($A5640="","",$B5640&amp;" - "&amp;$C5640)</f>
        <v/>
      </c>
      <c r="S5640">
        <f>IF($A5640="","",$R5640&amp;"|"&amp;$Q5640)</f>
        <v/>
      </c>
      <c r="T5640">
        <f>IF($A5640="","",$S5640&amp;"|"&amp;$F5640)</f>
        <v/>
      </c>
      <c r="U5640">
        <f>IF($A5640="","",$R5640&amp;"("&amp;$E5640&amp;")")</f>
        <v/>
      </c>
      <c r="V5640">
        <f>IF($A5640="","",$F5640&amp;"|"&amp;$U5640&amp;"|"&amp;$D5640)</f>
        <v/>
      </c>
      <c r="W5640">
        <f>IF($T5640="","",IF($X5640&gt;N($X5639),$X5640,""))</f>
        <v/>
      </c>
      <c r="X5640">
        <f>IF($T5640="",N($X5639),IF(MATCH($T5640,$T$6:$T$6005,0)=ROW()-5,N($X5639)+1,N($X5639)))</f>
        <v/>
      </c>
      <c r="Z5640">
        <f>IF($V5640="","",IF($AA5640&gt;N($AA5639),$AA5640,""))</f>
        <v/>
      </c>
      <c r="AA5640">
        <f>IF($V5640="",N($AA5639),IF(MATCH($V5640,$V$6:$V$6005,0)=ROW()-5,N($AA5639)+1,N($AA5639)))</f>
        <v/>
      </c>
    </row>
    <row r="5641" ht="21" customHeight="1" s="66">
      <c r="A5641" s="56" t="n"/>
      <c r="B5641" s="57" t="n"/>
      <c r="C5641" s="57" t="n"/>
      <c r="D5641" s="57" t="n"/>
      <c r="E5641" s="56" t="n"/>
      <c r="F5641" s="57" t="n"/>
      <c r="G5641" s="57" t="n"/>
      <c r="H5641" s="56" t="n"/>
      <c r="I5641" s="56" t="n"/>
      <c r="J5641" s="58" t="n"/>
      <c r="K5641" s="58" t="n"/>
      <c r="L5641" s="13">
        <f>IF(OR($A5641="",AND($J5641="",$K5641="")),"",ROUND(N($J5641)-N($K5641),2))</f>
        <v/>
      </c>
      <c r="M5641" s="13">
        <f>IF(OR($A5641="",AND($J5641="",$K5641="")),"",MIN($J5641,$K5641))</f>
        <v/>
      </c>
      <c r="Q5641">
        <f>IF($A5641="","",$D5641&amp;"("&amp;SUBSTITUTE($E5641," ","")&amp;")")</f>
        <v/>
      </c>
      <c r="R5641">
        <f>IF($A5641="","",$B5641&amp;" - "&amp;$C5641)</f>
        <v/>
      </c>
      <c r="S5641">
        <f>IF($A5641="","",$R5641&amp;"|"&amp;$Q5641)</f>
        <v/>
      </c>
      <c r="T5641">
        <f>IF($A5641="","",$S5641&amp;"|"&amp;$F5641)</f>
        <v/>
      </c>
      <c r="U5641">
        <f>IF($A5641="","",$R5641&amp;"("&amp;$E5641&amp;")")</f>
        <v/>
      </c>
      <c r="V5641">
        <f>IF($A5641="","",$F5641&amp;"|"&amp;$U5641&amp;"|"&amp;$D5641)</f>
        <v/>
      </c>
      <c r="W5641">
        <f>IF($T5641="","",IF($X5641&gt;N($X5640),$X5641,""))</f>
        <v/>
      </c>
      <c r="X5641">
        <f>IF($T5641="",N($X5640),IF(MATCH($T5641,$T$6:$T$6005,0)=ROW()-5,N($X5640)+1,N($X5640)))</f>
        <v/>
      </c>
      <c r="Z5641">
        <f>IF($V5641="","",IF($AA5641&gt;N($AA5640),$AA5641,""))</f>
        <v/>
      </c>
      <c r="AA5641">
        <f>IF($V5641="",N($AA5640),IF(MATCH($V5641,$V$6:$V$6005,0)=ROW()-5,N($AA5640)+1,N($AA5640)))</f>
        <v/>
      </c>
    </row>
    <row r="5642" ht="21" customHeight="1" s="66">
      <c r="A5642" s="56" t="n"/>
      <c r="B5642" s="57" t="n"/>
      <c r="C5642" s="57" t="n"/>
      <c r="D5642" s="57" t="n"/>
      <c r="E5642" s="56" t="n"/>
      <c r="F5642" s="57" t="n"/>
      <c r="G5642" s="57" t="n"/>
      <c r="H5642" s="56" t="n"/>
      <c r="I5642" s="56" t="n"/>
      <c r="J5642" s="58" t="n"/>
      <c r="K5642" s="58" t="n"/>
      <c r="L5642" s="13">
        <f>IF(OR($A5642="",AND($J5642="",$K5642="")),"",ROUND(N($J5642)-N($K5642),2))</f>
        <v/>
      </c>
      <c r="M5642" s="13">
        <f>IF(OR($A5642="",AND($J5642="",$K5642="")),"",MIN($J5642,$K5642))</f>
        <v/>
      </c>
      <c r="Q5642">
        <f>IF($A5642="","",$D5642&amp;"("&amp;SUBSTITUTE($E5642," ","")&amp;")")</f>
        <v/>
      </c>
      <c r="R5642">
        <f>IF($A5642="","",$B5642&amp;" - "&amp;$C5642)</f>
        <v/>
      </c>
      <c r="S5642">
        <f>IF($A5642="","",$R5642&amp;"|"&amp;$Q5642)</f>
        <v/>
      </c>
      <c r="T5642">
        <f>IF($A5642="","",$S5642&amp;"|"&amp;$F5642)</f>
        <v/>
      </c>
      <c r="U5642">
        <f>IF($A5642="","",$R5642&amp;"("&amp;$E5642&amp;")")</f>
        <v/>
      </c>
      <c r="V5642">
        <f>IF($A5642="","",$F5642&amp;"|"&amp;$U5642&amp;"|"&amp;$D5642)</f>
        <v/>
      </c>
      <c r="W5642">
        <f>IF($T5642="","",IF($X5642&gt;N($X5641),$X5642,""))</f>
        <v/>
      </c>
      <c r="X5642">
        <f>IF($T5642="",N($X5641),IF(MATCH($T5642,$T$6:$T$6005,0)=ROW()-5,N($X5641)+1,N($X5641)))</f>
        <v/>
      </c>
      <c r="Z5642">
        <f>IF($V5642="","",IF($AA5642&gt;N($AA5641),$AA5642,""))</f>
        <v/>
      </c>
      <c r="AA5642">
        <f>IF($V5642="",N($AA5641),IF(MATCH($V5642,$V$6:$V$6005,0)=ROW()-5,N($AA5641)+1,N($AA5641)))</f>
        <v/>
      </c>
    </row>
    <row r="5643" ht="21" customHeight="1" s="66">
      <c r="A5643" s="56" t="n"/>
      <c r="B5643" s="57" t="n"/>
      <c r="C5643" s="57" t="n"/>
      <c r="D5643" s="57" t="n"/>
      <c r="E5643" s="56" t="n"/>
      <c r="F5643" s="57" t="n"/>
      <c r="G5643" s="57" t="n"/>
      <c r="H5643" s="56" t="n"/>
      <c r="I5643" s="56" t="n"/>
      <c r="J5643" s="58" t="n"/>
      <c r="K5643" s="58" t="n"/>
      <c r="L5643" s="13">
        <f>IF(OR($A5643="",AND($J5643="",$K5643="")),"",ROUND(N($J5643)-N($K5643),2))</f>
        <v/>
      </c>
      <c r="M5643" s="13">
        <f>IF(OR($A5643="",AND($J5643="",$K5643="")),"",MIN($J5643,$K5643))</f>
        <v/>
      </c>
      <c r="Q5643">
        <f>IF($A5643="","",$D5643&amp;"("&amp;SUBSTITUTE($E5643," ","")&amp;")")</f>
        <v/>
      </c>
      <c r="R5643">
        <f>IF($A5643="","",$B5643&amp;" - "&amp;$C5643)</f>
        <v/>
      </c>
      <c r="S5643">
        <f>IF($A5643="","",$R5643&amp;"|"&amp;$Q5643)</f>
        <v/>
      </c>
      <c r="T5643">
        <f>IF($A5643="","",$S5643&amp;"|"&amp;$F5643)</f>
        <v/>
      </c>
      <c r="U5643">
        <f>IF($A5643="","",$R5643&amp;"("&amp;$E5643&amp;")")</f>
        <v/>
      </c>
      <c r="V5643">
        <f>IF($A5643="","",$F5643&amp;"|"&amp;$U5643&amp;"|"&amp;$D5643)</f>
        <v/>
      </c>
      <c r="W5643">
        <f>IF($T5643="","",IF($X5643&gt;N($X5642),$X5643,""))</f>
        <v/>
      </c>
      <c r="X5643">
        <f>IF($T5643="",N($X5642),IF(MATCH($T5643,$T$6:$T$6005,0)=ROW()-5,N($X5642)+1,N($X5642)))</f>
        <v/>
      </c>
      <c r="Z5643">
        <f>IF($V5643="","",IF($AA5643&gt;N($AA5642),$AA5643,""))</f>
        <v/>
      </c>
      <c r="AA5643">
        <f>IF($V5643="",N($AA5642),IF(MATCH($V5643,$V$6:$V$6005,0)=ROW()-5,N($AA5642)+1,N($AA5642)))</f>
        <v/>
      </c>
    </row>
    <row r="5644" ht="21" customHeight="1" s="66">
      <c r="A5644" s="56" t="n"/>
      <c r="B5644" s="57" t="n"/>
      <c r="C5644" s="57" t="n"/>
      <c r="D5644" s="57" t="n"/>
      <c r="E5644" s="56" t="n"/>
      <c r="F5644" s="57" t="n"/>
      <c r="G5644" s="57" t="n"/>
      <c r="H5644" s="56" t="n"/>
      <c r="I5644" s="56" t="n"/>
      <c r="J5644" s="58" t="n"/>
      <c r="K5644" s="58" t="n"/>
      <c r="L5644" s="13">
        <f>IF(OR($A5644="",AND($J5644="",$K5644="")),"",ROUND(N($J5644)-N($K5644),2))</f>
        <v/>
      </c>
      <c r="M5644" s="13">
        <f>IF(OR($A5644="",AND($J5644="",$K5644="")),"",MIN($J5644,$K5644))</f>
        <v/>
      </c>
      <c r="Q5644">
        <f>IF($A5644="","",$D5644&amp;"("&amp;SUBSTITUTE($E5644," ","")&amp;")")</f>
        <v/>
      </c>
      <c r="R5644">
        <f>IF($A5644="","",$B5644&amp;" - "&amp;$C5644)</f>
        <v/>
      </c>
      <c r="S5644">
        <f>IF($A5644="","",$R5644&amp;"|"&amp;$Q5644)</f>
        <v/>
      </c>
      <c r="T5644">
        <f>IF($A5644="","",$S5644&amp;"|"&amp;$F5644)</f>
        <v/>
      </c>
      <c r="U5644">
        <f>IF($A5644="","",$R5644&amp;"("&amp;$E5644&amp;")")</f>
        <v/>
      </c>
      <c r="V5644">
        <f>IF($A5644="","",$F5644&amp;"|"&amp;$U5644&amp;"|"&amp;$D5644)</f>
        <v/>
      </c>
      <c r="W5644">
        <f>IF($T5644="","",IF($X5644&gt;N($X5643),$X5644,""))</f>
        <v/>
      </c>
      <c r="X5644">
        <f>IF($T5644="",N($X5643),IF(MATCH($T5644,$T$6:$T$6005,0)=ROW()-5,N($X5643)+1,N($X5643)))</f>
        <v/>
      </c>
      <c r="Z5644">
        <f>IF($V5644="","",IF($AA5644&gt;N($AA5643),$AA5644,""))</f>
        <v/>
      </c>
      <c r="AA5644">
        <f>IF($V5644="",N($AA5643),IF(MATCH($V5644,$V$6:$V$6005,0)=ROW()-5,N($AA5643)+1,N($AA5643)))</f>
        <v/>
      </c>
    </row>
    <row r="5645" ht="21" customHeight="1" s="66">
      <c r="A5645" s="56" t="n"/>
      <c r="B5645" s="57" t="n"/>
      <c r="C5645" s="57" t="n"/>
      <c r="D5645" s="57" t="n"/>
      <c r="E5645" s="56" t="n"/>
      <c r="F5645" s="57" t="n"/>
      <c r="G5645" s="57" t="n"/>
      <c r="H5645" s="56" t="n"/>
      <c r="I5645" s="56" t="n"/>
      <c r="J5645" s="58" t="n"/>
      <c r="K5645" s="58" t="n"/>
      <c r="L5645" s="13">
        <f>IF(OR($A5645="",AND($J5645="",$K5645="")),"",ROUND(N($J5645)-N($K5645),2))</f>
        <v/>
      </c>
      <c r="M5645" s="13">
        <f>IF(OR($A5645="",AND($J5645="",$K5645="")),"",MIN($J5645,$K5645))</f>
        <v/>
      </c>
      <c r="Q5645">
        <f>IF($A5645="","",$D5645&amp;"("&amp;SUBSTITUTE($E5645," ","")&amp;")")</f>
        <v/>
      </c>
      <c r="R5645">
        <f>IF($A5645="","",$B5645&amp;" - "&amp;$C5645)</f>
        <v/>
      </c>
      <c r="S5645">
        <f>IF($A5645="","",$R5645&amp;"|"&amp;$Q5645)</f>
        <v/>
      </c>
      <c r="T5645">
        <f>IF($A5645="","",$S5645&amp;"|"&amp;$F5645)</f>
        <v/>
      </c>
      <c r="U5645">
        <f>IF($A5645="","",$R5645&amp;"("&amp;$E5645&amp;")")</f>
        <v/>
      </c>
      <c r="V5645">
        <f>IF($A5645="","",$F5645&amp;"|"&amp;$U5645&amp;"|"&amp;$D5645)</f>
        <v/>
      </c>
      <c r="W5645">
        <f>IF($T5645="","",IF($X5645&gt;N($X5644),$X5645,""))</f>
        <v/>
      </c>
      <c r="X5645">
        <f>IF($T5645="",N($X5644),IF(MATCH($T5645,$T$6:$T$6005,0)=ROW()-5,N($X5644)+1,N($X5644)))</f>
        <v/>
      </c>
      <c r="Z5645">
        <f>IF($V5645="","",IF($AA5645&gt;N($AA5644),$AA5645,""))</f>
        <v/>
      </c>
      <c r="AA5645">
        <f>IF($V5645="",N($AA5644),IF(MATCH($V5645,$V$6:$V$6005,0)=ROW()-5,N($AA5644)+1,N($AA5644)))</f>
        <v/>
      </c>
    </row>
    <row r="5646" ht="21" customHeight="1" s="66">
      <c r="A5646" s="56" t="n"/>
      <c r="B5646" s="57" t="n"/>
      <c r="C5646" s="57" t="n"/>
      <c r="D5646" s="57" t="n"/>
      <c r="E5646" s="56" t="n"/>
      <c r="F5646" s="57" t="n"/>
      <c r="G5646" s="57" t="n"/>
      <c r="H5646" s="56" t="n"/>
      <c r="I5646" s="56" t="n"/>
      <c r="J5646" s="58" t="n"/>
      <c r="K5646" s="58" t="n"/>
      <c r="L5646" s="13">
        <f>IF(OR($A5646="",AND($J5646="",$K5646="")),"",ROUND(N($J5646)-N($K5646),2))</f>
        <v/>
      </c>
      <c r="M5646" s="13">
        <f>IF(OR($A5646="",AND($J5646="",$K5646="")),"",MIN($J5646,$K5646))</f>
        <v/>
      </c>
      <c r="Q5646">
        <f>IF($A5646="","",$D5646&amp;"("&amp;SUBSTITUTE($E5646," ","")&amp;")")</f>
        <v/>
      </c>
      <c r="R5646">
        <f>IF($A5646="","",$B5646&amp;" - "&amp;$C5646)</f>
        <v/>
      </c>
      <c r="S5646">
        <f>IF($A5646="","",$R5646&amp;"|"&amp;$Q5646)</f>
        <v/>
      </c>
      <c r="T5646">
        <f>IF($A5646="","",$S5646&amp;"|"&amp;$F5646)</f>
        <v/>
      </c>
      <c r="U5646">
        <f>IF($A5646="","",$R5646&amp;"("&amp;$E5646&amp;")")</f>
        <v/>
      </c>
      <c r="V5646">
        <f>IF($A5646="","",$F5646&amp;"|"&amp;$U5646&amp;"|"&amp;$D5646)</f>
        <v/>
      </c>
      <c r="W5646">
        <f>IF($T5646="","",IF($X5646&gt;N($X5645),$X5646,""))</f>
        <v/>
      </c>
      <c r="X5646">
        <f>IF($T5646="",N($X5645),IF(MATCH($T5646,$T$6:$T$6005,0)=ROW()-5,N($X5645)+1,N($X5645)))</f>
        <v/>
      </c>
      <c r="Z5646">
        <f>IF($V5646="","",IF($AA5646&gt;N($AA5645),$AA5646,""))</f>
        <v/>
      </c>
      <c r="AA5646">
        <f>IF($V5646="",N($AA5645),IF(MATCH($V5646,$V$6:$V$6005,0)=ROW()-5,N($AA5645)+1,N($AA5645)))</f>
        <v/>
      </c>
    </row>
    <row r="5647" ht="21" customHeight="1" s="66">
      <c r="A5647" s="56" t="n"/>
      <c r="B5647" s="57" t="n"/>
      <c r="C5647" s="57" t="n"/>
      <c r="D5647" s="57" t="n"/>
      <c r="E5647" s="56" t="n"/>
      <c r="F5647" s="57" t="n"/>
      <c r="G5647" s="57" t="n"/>
      <c r="H5647" s="56" t="n"/>
      <c r="I5647" s="56" t="n"/>
      <c r="J5647" s="58" t="n"/>
      <c r="K5647" s="58" t="n"/>
      <c r="L5647" s="13">
        <f>IF(OR($A5647="",AND($J5647="",$K5647="")),"",ROUND(N($J5647)-N($K5647),2))</f>
        <v/>
      </c>
      <c r="M5647" s="13">
        <f>IF(OR($A5647="",AND($J5647="",$K5647="")),"",MIN($J5647,$K5647))</f>
        <v/>
      </c>
      <c r="Q5647">
        <f>IF($A5647="","",$D5647&amp;"("&amp;SUBSTITUTE($E5647," ","")&amp;")")</f>
        <v/>
      </c>
      <c r="R5647">
        <f>IF($A5647="","",$B5647&amp;" - "&amp;$C5647)</f>
        <v/>
      </c>
      <c r="S5647">
        <f>IF($A5647="","",$R5647&amp;"|"&amp;$Q5647)</f>
        <v/>
      </c>
      <c r="T5647">
        <f>IF($A5647="","",$S5647&amp;"|"&amp;$F5647)</f>
        <v/>
      </c>
      <c r="U5647">
        <f>IF($A5647="","",$R5647&amp;"("&amp;$E5647&amp;")")</f>
        <v/>
      </c>
      <c r="V5647">
        <f>IF($A5647="","",$F5647&amp;"|"&amp;$U5647&amp;"|"&amp;$D5647)</f>
        <v/>
      </c>
      <c r="W5647">
        <f>IF($T5647="","",IF($X5647&gt;N($X5646),$X5647,""))</f>
        <v/>
      </c>
      <c r="X5647">
        <f>IF($T5647="",N($X5646),IF(MATCH($T5647,$T$6:$T$6005,0)=ROW()-5,N($X5646)+1,N($X5646)))</f>
        <v/>
      </c>
      <c r="Z5647">
        <f>IF($V5647="","",IF($AA5647&gt;N($AA5646),$AA5647,""))</f>
        <v/>
      </c>
      <c r="AA5647">
        <f>IF($V5647="",N($AA5646),IF(MATCH($V5647,$V$6:$V$6005,0)=ROW()-5,N($AA5646)+1,N($AA5646)))</f>
        <v/>
      </c>
    </row>
    <row r="5648" ht="21" customHeight="1" s="66">
      <c r="A5648" s="56" t="n"/>
      <c r="B5648" s="57" t="n"/>
      <c r="C5648" s="57" t="n"/>
      <c r="D5648" s="57" t="n"/>
      <c r="E5648" s="56" t="n"/>
      <c r="F5648" s="57" t="n"/>
      <c r="G5648" s="57" t="n"/>
      <c r="H5648" s="56" t="n"/>
      <c r="I5648" s="56" t="n"/>
      <c r="J5648" s="58" t="n"/>
      <c r="K5648" s="58" t="n"/>
      <c r="L5648" s="13">
        <f>IF(OR($A5648="",AND($J5648="",$K5648="")),"",ROUND(N($J5648)-N($K5648),2))</f>
        <v/>
      </c>
      <c r="M5648" s="13">
        <f>IF(OR($A5648="",AND($J5648="",$K5648="")),"",MIN($J5648,$K5648))</f>
        <v/>
      </c>
      <c r="Q5648">
        <f>IF($A5648="","",$D5648&amp;"("&amp;SUBSTITUTE($E5648," ","")&amp;")")</f>
        <v/>
      </c>
      <c r="R5648">
        <f>IF($A5648="","",$B5648&amp;" - "&amp;$C5648)</f>
        <v/>
      </c>
      <c r="S5648">
        <f>IF($A5648="","",$R5648&amp;"|"&amp;$Q5648)</f>
        <v/>
      </c>
      <c r="T5648">
        <f>IF($A5648="","",$S5648&amp;"|"&amp;$F5648)</f>
        <v/>
      </c>
      <c r="U5648">
        <f>IF($A5648="","",$R5648&amp;"("&amp;$E5648&amp;")")</f>
        <v/>
      </c>
      <c r="V5648">
        <f>IF($A5648="","",$F5648&amp;"|"&amp;$U5648&amp;"|"&amp;$D5648)</f>
        <v/>
      </c>
      <c r="W5648">
        <f>IF($T5648="","",IF($X5648&gt;N($X5647),$X5648,""))</f>
        <v/>
      </c>
      <c r="X5648">
        <f>IF($T5648="",N($X5647),IF(MATCH($T5648,$T$6:$T$6005,0)=ROW()-5,N($X5647)+1,N($X5647)))</f>
        <v/>
      </c>
      <c r="Z5648">
        <f>IF($V5648="","",IF($AA5648&gt;N($AA5647),$AA5648,""))</f>
        <v/>
      </c>
      <c r="AA5648">
        <f>IF($V5648="",N($AA5647),IF(MATCH($V5648,$V$6:$V$6005,0)=ROW()-5,N($AA5647)+1,N($AA5647)))</f>
        <v/>
      </c>
    </row>
    <row r="5649" ht="21" customHeight="1" s="66">
      <c r="A5649" s="56" t="n"/>
      <c r="B5649" s="57" t="n"/>
      <c r="C5649" s="57" t="n"/>
      <c r="D5649" s="57" t="n"/>
      <c r="E5649" s="56" t="n"/>
      <c r="F5649" s="57" t="n"/>
      <c r="G5649" s="57" t="n"/>
      <c r="H5649" s="56" t="n"/>
      <c r="I5649" s="56" t="n"/>
      <c r="J5649" s="58" t="n"/>
      <c r="K5649" s="58" t="n"/>
      <c r="L5649" s="13">
        <f>IF(OR($A5649="",AND($J5649="",$K5649="")),"",ROUND(N($J5649)-N($K5649),2))</f>
        <v/>
      </c>
      <c r="M5649" s="13">
        <f>IF(OR($A5649="",AND($J5649="",$K5649="")),"",MIN($J5649,$K5649))</f>
        <v/>
      </c>
      <c r="Q5649">
        <f>IF($A5649="","",$D5649&amp;"("&amp;SUBSTITUTE($E5649," ","")&amp;")")</f>
        <v/>
      </c>
      <c r="R5649">
        <f>IF($A5649="","",$B5649&amp;" - "&amp;$C5649)</f>
        <v/>
      </c>
      <c r="S5649">
        <f>IF($A5649="","",$R5649&amp;"|"&amp;$Q5649)</f>
        <v/>
      </c>
      <c r="T5649">
        <f>IF($A5649="","",$S5649&amp;"|"&amp;$F5649)</f>
        <v/>
      </c>
      <c r="U5649">
        <f>IF($A5649="","",$R5649&amp;"("&amp;$E5649&amp;")")</f>
        <v/>
      </c>
      <c r="V5649">
        <f>IF($A5649="","",$F5649&amp;"|"&amp;$U5649&amp;"|"&amp;$D5649)</f>
        <v/>
      </c>
      <c r="W5649">
        <f>IF($T5649="","",IF($X5649&gt;N($X5648),$X5649,""))</f>
        <v/>
      </c>
      <c r="X5649">
        <f>IF($T5649="",N($X5648),IF(MATCH($T5649,$T$6:$T$6005,0)=ROW()-5,N($X5648)+1,N($X5648)))</f>
        <v/>
      </c>
      <c r="Z5649">
        <f>IF($V5649="","",IF($AA5649&gt;N($AA5648),$AA5649,""))</f>
        <v/>
      </c>
      <c r="AA5649">
        <f>IF($V5649="",N($AA5648),IF(MATCH($V5649,$V$6:$V$6005,0)=ROW()-5,N($AA5648)+1,N($AA5648)))</f>
        <v/>
      </c>
    </row>
    <row r="5650" ht="21" customHeight="1" s="66">
      <c r="A5650" s="56" t="n"/>
      <c r="B5650" s="57" t="n"/>
      <c r="C5650" s="57" t="n"/>
      <c r="D5650" s="57" t="n"/>
      <c r="E5650" s="56" t="n"/>
      <c r="F5650" s="57" t="n"/>
      <c r="G5650" s="57" t="n"/>
      <c r="H5650" s="56" t="n"/>
      <c r="I5650" s="56" t="n"/>
      <c r="J5650" s="58" t="n"/>
      <c r="K5650" s="58" t="n"/>
      <c r="L5650" s="13">
        <f>IF(OR($A5650="",AND($J5650="",$K5650="")),"",ROUND(N($J5650)-N($K5650),2))</f>
        <v/>
      </c>
      <c r="M5650" s="13">
        <f>IF(OR($A5650="",AND($J5650="",$K5650="")),"",MIN($J5650,$K5650))</f>
        <v/>
      </c>
      <c r="Q5650">
        <f>IF($A5650="","",$D5650&amp;"("&amp;SUBSTITUTE($E5650," ","")&amp;")")</f>
        <v/>
      </c>
      <c r="R5650">
        <f>IF($A5650="","",$B5650&amp;" - "&amp;$C5650)</f>
        <v/>
      </c>
      <c r="S5650">
        <f>IF($A5650="","",$R5650&amp;"|"&amp;$Q5650)</f>
        <v/>
      </c>
      <c r="T5650">
        <f>IF($A5650="","",$S5650&amp;"|"&amp;$F5650)</f>
        <v/>
      </c>
      <c r="U5650">
        <f>IF($A5650="","",$R5650&amp;"("&amp;$E5650&amp;")")</f>
        <v/>
      </c>
      <c r="V5650">
        <f>IF($A5650="","",$F5650&amp;"|"&amp;$U5650&amp;"|"&amp;$D5650)</f>
        <v/>
      </c>
      <c r="W5650">
        <f>IF($T5650="","",IF($X5650&gt;N($X5649),$X5650,""))</f>
        <v/>
      </c>
      <c r="X5650">
        <f>IF($T5650="",N($X5649),IF(MATCH($T5650,$T$6:$T$6005,0)=ROW()-5,N($X5649)+1,N($X5649)))</f>
        <v/>
      </c>
      <c r="Z5650">
        <f>IF($V5650="","",IF($AA5650&gt;N($AA5649),$AA5650,""))</f>
        <v/>
      </c>
      <c r="AA5650">
        <f>IF($V5650="",N($AA5649),IF(MATCH($V5650,$V$6:$V$6005,0)=ROW()-5,N($AA5649)+1,N($AA5649)))</f>
        <v/>
      </c>
    </row>
    <row r="5651" ht="21" customHeight="1" s="66">
      <c r="A5651" s="56" t="n"/>
      <c r="B5651" s="57" t="n"/>
      <c r="C5651" s="57" t="n"/>
      <c r="D5651" s="57" t="n"/>
      <c r="E5651" s="56" t="n"/>
      <c r="F5651" s="57" t="n"/>
      <c r="G5651" s="57" t="n"/>
      <c r="H5651" s="56" t="n"/>
      <c r="I5651" s="56" t="n"/>
      <c r="J5651" s="58" t="n"/>
      <c r="K5651" s="58" t="n"/>
      <c r="L5651" s="13">
        <f>IF(OR($A5651="",AND($J5651="",$K5651="")),"",ROUND(N($J5651)-N($K5651),2))</f>
        <v/>
      </c>
      <c r="M5651" s="13">
        <f>IF(OR($A5651="",AND($J5651="",$K5651="")),"",MIN($J5651,$K5651))</f>
        <v/>
      </c>
      <c r="Q5651">
        <f>IF($A5651="","",$D5651&amp;"("&amp;SUBSTITUTE($E5651," ","")&amp;")")</f>
        <v/>
      </c>
      <c r="R5651">
        <f>IF($A5651="","",$B5651&amp;" - "&amp;$C5651)</f>
        <v/>
      </c>
      <c r="S5651">
        <f>IF($A5651="","",$R5651&amp;"|"&amp;$Q5651)</f>
        <v/>
      </c>
      <c r="T5651">
        <f>IF($A5651="","",$S5651&amp;"|"&amp;$F5651)</f>
        <v/>
      </c>
      <c r="U5651">
        <f>IF($A5651="","",$R5651&amp;"("&amp;$E5651&amp;")")</f>
        <v/>
      </c>
      <c r="V5651">
        <f>IF($A5651="","",$F5651&amp;"|"&amp;$U5651&amp;"|"&amp;$D5651)</f>
        <v/>
      </c>
      <c r="W5651">
        <f>IF($T5651="","",IF($X5651&gt;N($X5650),$X5651,""))</f>
        <v/>
      </c>
      <c r="X5651">
        <f>IF($T5651="",N($X5650),IF(MATCH($T5651,$T$6:$T$6005,0)=ROW()-5,N($X5650)+1,N($X5650)))</f>
        <v/>
      </c>
      <c r="Z5651">
        <f>IF($V5651="","",IF($AA5651&gt;N($AA5650),$AA5651,""))</f>
        <v/>
      </c>
      <c r="AA5651">
        <f>IF($V5651="",N($AA5650),IF(MATCH($V5651,$V$6:$V$6005,0)=ROW()-5,N($AA5650)+1,N($AA5650)))</f>
        <v/>
      </c>
    </row>
    <row r="5652" ht="21" customHeight="1" s="66">
      <c r="A5652" s="56" t="n"/>
      <c r="B5652" s="57" t="n"/>
      <c r="C5652" s="57" t="n"/>
      <c r="D5652" s="57" t="n"/>
      <c r="E5652" s="56" t="n"/>
      <c r="F5652" s="57" t="n"/>
      <c r="G5652" s="57" t="n"/>
      <c r="H5652" s="56" t="n"/>
      <c r="I5652" s="56" t="n"/>
      <c r="J5652" s="58" t="n"/>
      <c r="K5652" s="58" t="n"/>
      <c r="L5652" s="13">
        <f>IF(OR($A5652="",AND($J5652="",$K5652="")),"",ROUND(N($J5652)-N($K5652),2))</f>
        <v/>
      </c>
      <c r="M5652" s="13">
        <f>IF(OR($A5652="",AND($J5652="",$K5652="")),"",MIN($J5652,$K5652))</f>
        <v/>
      </c>
      <c r="Q5652">
        <f>IF($A5652="","",$D5652&amp;"("&amp;SUBSTITUTE($E5652," ","")&amp;")")</f>
        <v/>
      </c>
      <c r="R5652">
        <f>IF($A5652="","",$B5652&amp;" - "&amp;$C5652)</f>
        <v/>
      </c>
      <c r="S5652">
        <f>IF($A5652="","",$R5652&amp;"|"&amp;$Q5652)</f>
        <v/>
      </c>
      <c r="T5652">
        <f>IF($A5652="","",$S5652&amp;"|"&amp;$F5652)</f>
        <v/>
      </c>
      <c r="U5652">
        <f>IF($A5652="","",$R5652&amp;"("&amp;$E5652&amp;")")</f>
        <v/>
      </c>
      <c r="V5652">
        <f>IF($A5652="","",$F5652&amp;"|"&amp;$U5652&amp;"|"&amp;$D5652)</f>
        <v/>
      </c>
      <c r="W5652">
        <f>IF($T5652="","",IF($X5652&gt;N($X5651),$X5652,""))</f>
        <v/>
      </c>
      <c r="X5652">
        <f>IF($T5652="",N($X5651),IF(MATCH($T5652,$T$6:$T$6005,0)=ROW()-5,N($X5651)+1,N($X5651)))</f>
        <v/>
      </c>
      <c r="Z5652">
        <f>IF($V5652="","",IF($AA5652&gt;N($AA5651),$AA5652,""))</f>
        <v/>
      </c>
      <c r="AA5652">
        <f>IF($V5652="",N($AA5651),IF(MATCH($V5652,$V$6:$V$6005,0)=ROW()-5,N($AA5651)+1,N($AA5651)))</f>
        <v/>
      </c>
    </row>
    <row r="5653" ht="21" customHeight="1" s="66">
      <c r="A5653" s="56" t="n"/>
      <c r="B5653" s="57" t="n"/>
      <c r="C5653" s="57" t="n"/>
      <c r="D5653" s="57" t="n"/>
      <c r="E5653" s="56" t="n"/>
      <c r="F5653" s="57" t="n"/>
      <c r="G5653" s="57" t="n"/>
      <c r="H5653" s="56" t="n"/>
      <c r="I5653" s="56" t="n"/>
      <c r="J5653" s="58" t="n"/>
      <c r="K5653" s="58" t="n"/>
      <c r="L5653" s="13">
        <f>IF(OR($A5653="",AND($J5653="",$K5653="")),"",ROUND(N($J5653)-N($K5653),2))</f>
        <v/>
      </c>
      <c r="M5653" s="13">
        <f>IF(OR($A5653="",AND($J5653="",$K5653="")),"",MIN($J5653,$K5653))</f>
        <v/>
      </c>
      <c r="Q5653">
        <f>IF($A5653="","",$D5653&amp;"("&amp;SUBSTITUTE($E5653," ","")&amp;")")</f>
        <v/>
      </c>
      <c r="R5653">
        <f>IF($A5653="","",$B5653&amp;" - "&amp;$C5653)</f>
        <v/>
      </c>
      <c r="S5653">
        <f>IF($A5653="","",$R5653&amp;"|"&amp;$Q5653)</f>
        <v/>
      </c>
      <c r="T5653">
        <f>IF($A5653="","",$S5653&amp;"|"&amp;$F5653)</f>
        <v/>
      </c>
      <c r="U5653">
        <f>IF($A5653="","",$R5653&amp;"("&amp;$E5653&amp;")")</f>
        <v/>
      </c>
      <c r="V5653">
        <f>IF($A5653="","",$F5653&amp;"|"&amp;$U5653&amp;"|"&amp;$D5653)</f>
        <v/>
      </c>
      <c r="W5653">
        <f>IF($T5653="","",IF($X5653&gt;N($X5652),$X5653,""))</f>
        <v/>
      </c>
      <c r="X5653">
        <f>IF($T5653="",N($X5652),IF(MATCH($T5653,$T$6:$T$6005,0)=ROW()-5,N($X5652)+1,N($X5652)))</f>
        <v/>
      </c>
      <c r="Z5653">
        <f>IF($V5653="","",IF($AA5653&gt;N($AA5652),$AA5653,""))</f>
        <v/>
      </c>
      <c r="AA5653">
        <f>IF($V5653="",N($AA5652),IF(MATCH($V5653,$V$6:$V$6005,0)=ROW()-5,N($AA5652)+1,N($AA5652)))</f>
        <v/>
      </c>
    </row>
    <row r="5654" ht="21" customHeight="1" s="66">
      <c r="A5654" s="56" t="n"/>
      <c r="B5654" s="57" t="n"/>
      <c r="C5654" s="57" t="n"/>
      <c r="D5654" s="57" t="n"/>
      <c r="E5654" s="56" t="n"/>
      <c r="F5654" s="57" t="n"/>
      <c r="G5654" s="57" t="n"/>
      <c r="H5654" s="56" t="n"/>
      <c r="I5654" s="56" t="n"/>
      <c r="J5654" s="58" t="n"/>
      <c r="K5654" s="58" t="n"/>
      <c r="L5654" s="13">
        <f>IF(OR($A5654="",AND($J5654="",$K5654="")),"",ROUND(N($J5654)-N($K5654),2))</f>
        <v/>
      </c>
      <c r="M5654" s="13">
        <f>IF(OR($A5654="",AND($J5654="",$K5654="")),"",MIN($J5654,$K5654))</f>
        <v/>
      </c>
      <c r="Q5654">
        <f>IF($A5654="","",$D5654&amp;"("&amp;SUBSTITUTE($E5654," ","")&amp;")")</f>
        <v/>
      </c>
      <c r="R5654">
        <f>IF($A5654="","",$B5654&amp;" - "&amp;$C5654)</f>
        <v/>
      </c>
      <c r="S5654">
        <f>IF($A5654="","",$R5654&amp;"|"&amp;$Q5654)</f>
        <v/>
      </c>
      <c r="T5654">
        <f>IF($A5654="","",$S5654&amp;"|"&amp;$F5654)</f>
        <v/>
      </c>
      <c r="U5654">
        <f>IF($A5654="","",$R5654&amp;"("&amp;$E5654&amp;")")</f>
        <v/>
      </c>
      <c r="V5654">
        <f>IF($A5654="","",$F5654&amp;"|"&amp;$U5654&amp;"|"&amp;$D5654)</f>
        <v/>
      </c>
      <c r="W5654">
        <f>IF($T5654="","",IF($X5654&gt;N($X5653),$X5654,""))</f>
        <v/>
      </c>
      <c r="X5654">
        <f>IF($T5654="",N($X5653),IF(MATCH($T5654,$T$6:$T$6005,0)=ROW()-5,N($X5653)+1,N($X5653)))</f>
        <v/>
      </c>
      <c r="Z5654">
        <f>IF($V5654="","",IF($AA5654&gt;N($AA5653),$AA5654,""))</f>
        <v/>
      </c>
      <c r="AA5654">
        <f>IF($V5654="",N($AA5653),IF(MATCH($V5654,$V$6:$V$6005,0)=ROW()-5,N($AA5653)+1,N($AA5653)))</f>
        <v/>
      </c>
    </row>
    <row r="5655" ht="21" customHeight="1" s="66">
      <c r="A5655" s="56" t="n"/>
      <c r="B5655" s="57" t="n"/>
      <c r="C5655" s="57" t="n"/>
      <c r="D5655" s="57" t="n"/>
      <c r="E5655" s="56" t="n"/>
      <c r="F5655" s="57" t="n"/>
      <c r="G5655" s="57" t="n"/>
      <c r="H5655" s="56" t="n"/>
      <c r="I5655" s="56" t="n"/>
      <c r="J5655" s="58" t="n"/>
      <c r="K5655" s="58" t="n"/>
      <c r="L5655" s="13">
        <f>IF(OR($A5655="",AND($J5655="",$K5655="")),"",ROUND(N($J5655)-N($K5655),2))</f>
        <v/>
      </c>
      <c r="M5655" s="13">
        <f>IF(OR($A5655="",AND($J5655="",$K5655="")),"",MIN($J5655,$K5655))</f>
        <v/>
      </c>
      <c r="Q5655">
        <f>IF($A5655="","",$D5655&amp;"("&amp;SUBSTITUTE($E5655," ","")&amp;")")</f>
        <v/>
      </c>
      <c r="R5655">
        <f>IF($A5655="","",$B5655&amp;" - "&amp;$C5655)</f>
        <v/>
      </c>
      <c r="S5655">
        <f>IF($A5655="","",$R5655&amp;"|"&amp;$Q5655)</f>
        <v/>
      </c>
      <c r="T5655">
        <f>IF($A5655="","",$S5655&amp;"|"&amp;$F5655)</f>
        <v/>
      </c>
      <c r="U5655">
        <f>IF($A5655="","",$R5655&amp;"("&amp;$E5655&amp;")")</f>
        <v/>
      </c>
      <c r="V5655">
        <f>IF($A5655="","",$F5655&amp;"|"&amp;$U5655&amp;"|"&amp;$D5655)</f>
        <v/>
      </c>
      <c r="W5655">
        <f>IF($T5655="","",IF($X5655&gt;N($X5654),$X5655,""))</f>
        <v/>
      </c>
      <c r="X5655">
        <f>IF($T5655="",N($X5654),IF(MATCH($T5655,$T$6:$T$6005,0)=ROW()-5,N($X5654)+1,N($X5654)))</f>
        <v/>
      </c>
      <c r="Z5655">
        <f>IF($V5655="","",IF($AA5655&gt;N($AA5654),$AA5655,""))</f>
        <v/>
      </c>
      <c r="AA5655">
        <f>IF($V5655="",N($AA5654),IF(MATCH($V5655,$V$6:$V$6005,0)=ROW()-5,N($AA5654)+1,N($AA5654)))</f>
        <v/>
      </c>
    </row>
    <row r="5656" ht="21" customHeight="1" s="66">
      <c r="A5656" s="56" t="n"/>
      <c r="B5656" s="57" t="n"/>
      <c r="C5656" s="57" t="n"/>
      <c r="D5656" s="57" t="n"/>
      <c r="E5656" s="56" t="n"/>
      <c r="F5656" s="57" t="n"/>
      <c r="G5656" s="57" t="n"/>
      <c r="H5656" s="56" t="n"/>
      <c r="I5656" s="56" t="n"/>
      <c r="J5656" s="58" t="n"/>
      <c r="K5656" s="58" t="n"/>
      <c r="L5656" s="13">
        <f>IF(OR($A5656="",AND($J5656="",$K5656="")),"",ROUND(N($J5656)-N($K5656),2))</f>
        <v/>
      </c>
      <c r="M5656" s="13">
        <f>IF(OR($A5656="",AND($J5656="",$K5656="")),"",MIN($J5656,$K5656))</f>
        <v/>
      </c>
      <c r="Q5656">
        <f>IF($A5656="","",$D5656&amp;"("&amp;SUBSTITUTE($E5656," ","")&amp;")")</f>
        <v/>
      </c>
      <c r="R5656">
        <f>IF($A5656="","",$B5656&amp;" - "&amp;$C5656)</f>
        <v/>
      </c>
      <c r="S5656">
        <f>IF($A5656="","",$R5656&amp;"|"&amp;$Q5656)</f>
        <v/>
      </c>
      <c r="T5656">
        <f>IF($A5656="","",$S5656&amp;"|"&amp;$F5656)</f>
        <v/>
      </c>
      <c r="U5656">
        <f>IF($A5656="","",$R5656&amp;"("&amp;$E5656&amp;")")</f>
        <v/>
      </c>
      <c r="V5656">
        <f>IF($A5656="","",$F5656&amp;"|"&amp;$U5656&amp;"|"&amp;$D5656)</f>
        <v/>
      </c>
      <c r="W5656">
        <f>IF($T5656="","",IF($X5656&gt;N($X5655),$X5656,""))</f>
        <v/>
      </c>
      <c r="X5656">
        <f>IF($T5656="",N($X5655),IF(MATCH($T5656,$T$6:$T$6005,0)=ROW()-5,N($X5655)+1,N($X5655)))</f>
        <v/>
      </c>
      <c r="Z5656">
        <f>IF($V5656="","",IF($AA5656&gt;N($AA5655),$AA5656,""))</f>
        <v/>
      </c>
      <c r="AA5656">
        <f>IF($V5656="",N($AA5655),IF(MATCH($V5656,$V$6:$V$6005,0)=ROW()-5,N($AA5655)+1,N($AA5655)))</f>
        <v/>
      </c>
    </row>
    <row r="5657" ht="21" customHeight="1" s="66">
      <c r="A5657" s="56" t="n"/>
      <c r="B5657" s="57" t="n"/>
      <c r="C5657" s="57" t="n"/>
      <c r="D5657" s="57" t="n"/>
      <c r="E5657" s="56" t="n"/>
      <c r="F5657" s="57" t="n"/>
      <c r="G5657" s="57" t="n"/>
      <c r="H5657" s="56" t="n"/>
      <c r="I5657" s="56" t="n"/>
      <c r="J5657" s="58" t="n"/>
      <c r="K5657" s="58" t="n"/>
      <c r="L5657" s="13">
        <f>IF(OR($A5657="",AND($J5657="",$K5657="")),"",ROUND(N($J5657)-N($K5657),2))</f>
        <v/>
      </c>
      <c r="M5657" s="13">
        <f>IF(OR($A5657="",AND($J5657="",$K5657="")),"",MIN($J5657,$K5657))</f>
        <v/>
      </c>
      <c r="Q5657">
        <f>IF($A5657="","",$D5657&amp;"("&amp;SUBSTITUTE($E5657," ","")&amp;")")</f>
        <v/>
      </c>
      <c r="R5657">
        <f>IF($A5657="","",$B5657&amp;" - "&amp;$C5657)</f>
        <v/>
      </c>
      <c r="S5657">
        <f>IF($A5657="","",$R5657&amp;"|"&amp;$Q5657)</f>
        <v/>
      </c>
      <c r="T5657">
        <f>IF($A5657="","",$S5657&amp;"|"&amp;$F5657)</f>
        <v/>
      </c>
      <c r="U5657">
        <f>IF($A5657="","",$R5657&amp;"("&amp;$E5657&amp;")")</f>
        <v/>
      </c>
      <c r="V5657">
        <f>IF($A5657="","",$F5657&amp;"|"&amp;$U5657&amp;"|"&amp;$D5657)</f>
        <v/>
      </c>
      <c r="W5657">
        <f>IF($T5657="","",IF($X5657&gt;N($X5656),$X5657,""))</f>
        <v/>
      </c>
      <c r="X5657">
        <f>IF($T5657="",N($X5656),IF(MATCH($T5657,$T$6:$T$6005,0)=ROW()-5,N($X5656)+1,N($X5656)))</f>
        <v/>
      </c>
      <c r="Z5657">
        <f>IF($V5657="","",IF($AA5657&gt;N($AA5656),$AA5657,""))</f>
        <v/>
      </c>
      <c r="AA5657">
        <f>IF($V5657="",N($AA5656),IF(MATCH($V5657,$V$6:$V$6005,0)=ROW()-5,N($AA5656)+1,N($AA5656)))</f>
        <v/>
      </c>
    </row>
    <row r="5658" ht="21" customHeight="1" s="66">
      <c r="A5658" s="56" t="n"/>
      <c r="B5658" s="57" t="n"/>
      <c r="C5658" s="57" t="n"/>
      <c r="D5658" s="57" t="n"/>
      <c r="E5658" s="56" t="n"/>
      <c r="F5658" s="57" t="n"/>
      <c r="G5658" s="57" t="n"/>
      <c r="H5658" s="56" t="n"/>
      <c r="I5658" s="56" t="n"/>
      <c r="J5658" s="58" t="n"/>
      <c r="K5658" s="58" t="n"/>
      <c r="L5658" s="13">
        <f>IF(OR($A5658="",AND($J5658="",$K5658="")),"",ROUND(N($J5658)-N($K5658),2))</f>
        <v/>
      </c>
      <c r="M5658" s="13">
        <f>IF(OR($A5658="",AND($J5658="",$K5658="")),"",MIN($J5658,$K5658))</f>
        <v/>
      </c>
      <c r="Q5658">
        <f>IF($A5658="","",$D5658&amp;"("&amp;SUBSTITUTE($E5658," ","")&amp;")")</f>
        <v/>
      </c>
      <c r="R5658">
        <f>IF($A5658="","",$B5658&amp;" - "&amp;$C5658)</f>
        <v/>
      </c>
      <c r="S5658">
        <f>IF($A5658="","",$R5658&amp;"|"&amp;$Q5658)</f>
        <v/>
      </c>
      <c r="T5658">
        <f>IF($A5658="","",$S5658&amp;"|"&amp;$F5658)</f>
        <v/>
      </c>
      <c r="U5658">
        <f>IF($A5658="","",$R5658&amp;"("&amp;$E5658&amp;")")</f>
        <v/>
      </c>
      <c r="V5658">
        <f>IF($A5658="","",$F5658&amp;"|"&amp;$U5658&amp;"|"&amp;$D5658)</f>
        <v/>
      </c>
      <c r="W5658">
        <f>IF($T5658="","",IF($X5658&gt;N($X5657),$X5658,""))</f>
        <v/>
      </c>
      <c r="X5658">
        <f>IF($T5658="",N($X5657),IF(MATCH($T5658,$T$6:$T$6005,0)=ROW()-5,N($X5657)+1,N($X5657)))</f>
        <v/>
      </c>
      <c r="Z5658">
        <f>IF($V5658="","",IF($AA5658&gt;N($AA5657),$AA5658,""))</f>
        <v/>
      </c>
      <c r="AA5658">
        <f>IF($V5658="",N($AA5657),IF(MATCH($V5658,$V$6:$V$6005,0)=ROW()-5,N($AA5657)+1,N($AA5657)))</f>
        <v/>
      </c>
    </row>
    <row r="5659" ht="21" customHeight="1" s="66">
      <c r="A5659" s="56" t="n"/>
      <c r="B5659" s="57" t="n"/>
      <c r="C5659" s="57" t="n"/>
      <c r="D5659" s="57" t="n"/>
      <c r="E5659" s="56" t="n"/>
      <c r="F5659" s="57" t="n"/>
      <c r="G5659" s="57" t="n"/>
      <c r="H5659" s="56" t="n"/>
      <c r="I5659" s="56" t="n"/>
      <c r="J5659" s="58" t="n"/>
      <c r="K5659" s="58" t="n"/>
      <c r="L5659" s="13">
        <f>IF(OR($A5659="",AND($J5659="",$K5659="")),"",ROUND(N($J5659)-N($K5659),2))</f>
        <v/>
      </c>
      <c r="M5659" s="13">
        <f>IF(OR($A5659="",AND($J5659="",$K5659="")),"",MIN($J5659,$K5659))</f>
        <v/>
      </c>
      <c r="Q5659">
        <f>IF($A5659="","",$D5659&amp;"("&amp;SUBSTITUTE($E5659," ","")&amp;")")</f>
        <v/>
      </c>
      <c r="R5659">
        <f>IF($A5659="","",$B5659&amp;" - "&amp;$C5659)</f>
        <v/>
      </c>
      <c r="S5659">
        <f>IF($A5659="","",$R5659&amp;"|"&amp;$Q5659)</f>
        <v/>
      </c>
      <c r="T5659">
        <f>IF($A5659="","",$S5659&amp;"|"&amp;$F5659)</f>
        <v/>
      </c>
      <c r="U5659">
        <f>IF($A5659="","",$R5659&amp;"("&amp;$E5659&amp;")")</f>
        <v/>
      </c>
      <c r="V5659">
        <f>IF($A5659="","",$F5659&amp;"|"&amp;$U5659&amp;"|"&amp;$D5659)</f>
        <v/>
      </c>
      <c r="W5659">
        <f>IF($T5659="","",IF($X5659&gt;N($X5658),$X5659,""))</f>
        <v/>
      </c>
      <c r="X5659">
        <f>IF($T5659="",N($X5658),IF(MATCH($T5659,$T$6:$T$6005,0)=ROW()-5,N($X5658)+1,N($X5658)))</f>
        <v/>
      </c>
      <c r="Z5659">
        <f>IF($V5659="","",IF($AA5659&gt;N($AA5658),$AA5659,""))</f>
        <v/>
      </c>
      <c r="AA5659">
        <f>IF($V5659="",N($AA5658),IF(MATCH($V5659,$V$6:$V$6005,0)=ROW()-5,N($AA5658)+1,N($AA5658)))</f>
        <v/>
      </c>
    </row>
    <row r="5660" ht="21" customHeight="1" s="66">
      <c r="A5660" s="56" t="n"/>
      <c r="B5660" s="57" t="n"/>
      <c r="C5660" s="57" t="n"/>
      <c r="D5660" s="57" t="n"/>
      <c r="E5660" s="56" t="n"/>
      <c r="F5660" s="57" t="n"/>
      <c r="G5660" s="57" t="n"/>
      <c r="H5660" s="56" t="n"/>
      <c r="I5660" s="56" t="n"/>
      <c r="J5660" s="58" t="n"/>
      <c r="K5660" s="58" t="n"/>
      <c r="L5660" s="13">
        <f>IF(OR($A5660="",AND($J5660="",$K5660="")),"",ROUND(N($J5660)-N($K5660),2))</f>
        <v/>
      </c>
      <c r="M5660" s="13">
        <f>IF(OR($A5660="",AND($J5660="",$K5660="")),"",MIN($J5660,$K5660))</f>
        <v/>
      </c>
      <c r="Q5660">
        <f>IF($A5660="","",$D5660&amp;"("&amp;SUBSTITUTE($E5660," ","")&amp;")")</f>
        <v/>
      </c>
      <c r="R5660">
        <f>IF($A5660="","",$B5660&amp;" - "&amp;$C5660)</f>
        <v/>
      </c>
      <c r="S5660">
        <f>IF($A5660="","",$R5660&amp;"|"&amp;$Q5660)</f>
        <v/>
      </c>
      <c r="T5660">
        <f>IF($A5660="","",$S5660&amp;"|"&amp;$F5660)</f>
        <v/>
      </c>
      <c r="U5660">
        <f>IF($A5660="","",$R5660&amp;"("&amp;$E5660&amp;")")</f>
        <v/>
      </c>
      <c r="V5660">
        <f>IF($A5660="","",$F5660&amp;"|"&amp;$U5660&amp;"|"&amp;$D5660)</f>
        <v/>
      </c>
      <c r="W5660">
        <f>IF($T5660="","",IF($X5660&gt;N($X5659),$X5660,""))</f>
        <v/>
      </c>
      <c r="X5660">
        <f>IF($T5660="",N($X5659),IF(MATCH($T5660,$T$6:$T$6005,0)=ROW()-5,N($X5659)+1,N($X5659)))</f>
        <v/>
      </c>
      <c r="Z5660">
        <f>IF($V5660="","",IF($AA5660&gt;N($AA5659),$AA5660,""))</f>
        <v/>
      </c>
      <c r="AA5660">
        <f>IF($V5660="",N($AA5659),IF(MATCH($V5660,$V$6:$V$6005,0)=ROW()-5,N($AA5659)+1,N($AA5659)))</f>
        <v/>
      </c>
    </row>
    <row r="5661" ht="21" customHeight="1" s="66">
      <c r="A5661" s="56" t="n"/>
      <c r="B5661" s="57" t="n"/>
      <c r="C5661" s="57" t="n"/>
      <c r="D5661" s="57" t="n"/>
      <c r="E5661" s="56" t="n"/>
      <c r="F5661" s="57" t="n"/>
      <c r="G5661" s="57" t="n"/>
      <c r="H5661" s="56" t="n"/>
      <c r="I5661" s="56" t="n"/>
      <c r="J5661" s="58" t="n"/>
      <c r="K5661" s="58" t="n"/>
      <c r="L5661" s="13">
        <f>IF(OR($A5661="",AND($J5661="",$K5661="")),"",ROUND(N($J5661)-N($K5661),2))</f>
        <v/>
      </c>
      <c r="M5661" s="13">
        <f>IF(OR($A5661="",AND($J5661="",$K5661="")),"",MIN($J5661,$K5661))</f>
        <v/>
      </c>
      <c r="Q5661">
        <f>IF($A5661="","",$D5661&amp;"("&amp;SUBSTITUTE($E5661," ","")&amp;")")</f>
        <v/>
      </c>
      <c r="R5661">
        <f>IF($A5661="","",$B5661&amp;" - "&amp;$C5661)</f>
        <v/>
      </c>
      <c r="S5661">
        <f>IF($A5661="","",$R5661&amp;"|"&amp;$Q5661)</f>
        <v/>
      </c>
      <c r="T5661">
        <f>IF($A5661="","",$S5661&amp;"|"&amp;$F5661)</f>
        <v/>
      </c>
      <c r="U5661">
        <f>IF($A5661="","",$R5661&amp;"("&amp;$E5661&amp;")")</f>
        <v/>
      </c>
      <c r="V5661">
        <f>IF($A5661="","",$F5661&amp;"|"&amp;$U5661&amp;"|"&amp;$D5661)</f>
        <v/>
      </c>
      <c r="W5661">
        <f>IF($T5661="","",IF($X5661&gt;N($X5660),$X5661,""))</f>
        <v/>
      </c>
      <c r="X5661">
        <f>IF($T5661="",N($X5660),IF(MATCH($T5661,$T$6:$T$6005,0)=ROW()-5,N($X5660)+1,N($X5660)))</f>
        <v/>
      </c>
      <c r="Z5661">
        <f>IF($V5661="","",IF($AA5661&gt;N($AA5660),$AA5661,""))</f>
        <v/>
      </c>
      <c r="AA5661">
        <f>IF($V5661="",N($AA5660),IF(MATCH($V5661,$V$6:$V$6005,0)=ROW()-5,N($AA5660)+1,N($AA5660)))</f>
        <v/>
      </c>
    </row>
    <row r="5662" ht="21" customHeight="1" s="66">
      <c r="A5662" s="56" t="n"/>
      <c r="B5662" s="57" t="n"/>
      <c r="C5662" s="57" t="n"/>
      <c r="D5662" s="57" t="n"/>
      <c r="E5662" s="56" t="n"/>
      <c r="F5662" s="57" t="n"/>
      <c r="G5662" s="57" t="n"/>
      <c r="H5662" s="56" t="n"/>
      <c r="I5662" s="56" t="n"/>
      <c r="J5662" s="58" t="n"/>
      <c r="K5662" s="58" t="n"/>
      <c r="L5662" s="13">
        <f>IF(OR($A5662="",AND($J5662="",$K5662="")),"",ROUND(N($J5662)-N($K5662),2))</f>
        <v/>
      </c>
      <c r="M5662" s="13">
        <f>IF(OR($A5662="",AND($J5662="",$K5662="")),"",MIN($J5662,$K5662))</f>
        <v/>
      </c>
      <c r="Q5662">
        <f>IF($A5662="","",$D5662&amp;"("&amp;SUBSTITUTE($E5662," ","")&amp;")")</f>
        <v/>
      </c>
      <c r="R5662">
        <f>IF($A5662="","",$B5662&amp;" - "&amp;$C5662)</f>
        <v/>
      </c>
      <c r="S5662">
        <f>IF($A5662="","",$R5662&amp;"|"&amp;$Q5662)</f>
        <v/>
      </c>
      <c r="T5662">
        <f>IF($A5662="","",$S5662&amp;"|"&amp;$F5662)</f>
        <v/>
      </c>
      <c r="U5662">
        <f>IF($A5662="","",$R5662&amp;"("&amp;$E5662&amp;")")</f>
        <v/>
      </c>
      <c r="V5662">
        <f>IF($A5662="","",$F5662&amp;"|"&amp;$U5662&amp;"|"&amp;$D5662)</f>
        <v/>
      </c>
      <c r="W5662">
        <f>IF($T5662="","",IF($X5662&gt;N($X5661),$X5662,""))</f>
        <v/>
      </c>
      <c r="X5662">
        <f>IF($T5662="",N($X5661),IF(MATCH($T5662,$T$6:$T$6005,0)=ROW()-5,N($X5661)+1,N($X5661)))</f>
        <v/>
      </c>
      <c r="Z5662">
        <f>IF($V5662="","",IF($AA5662&gt;N($AA5661),$AA5662,""))</f>
        <v/>
      </c>
      <c r="AA5662">
        <f>IF($V5662="",N($AA5661),IF(MATCH($V5662,$V$6:$V$6005,0)=ROW()-5,N($AA5661)+1,N($AA5661)))</f>
        <v/>
      </c>
    </row>
    <row r="5663" ht="21" customHeight="1" s="66">
      <c r="A5663" s="56" t="n"/>
      <c r="B5663" s="57" t="n"/>
      <c r="C5663" s="57" t="n"/>
      <c r="D5663" s="57" t="n"/>
      <c r="E5663" s="56" t="n"/>
      <c r="F5663" s="57" t="n"/>
      <c r="G5663" s="57" t="n"/>
      <c r="H5663" s="56" t="n"/>
      <c r="I5663" s="56" t="n"/>
      <c r="J5663" s="58" t="n"/>
      <c r="K5663" s="58" t="n"/>
      <c r="L5663" s="13">
        <f>IF(OR($A5663="",AND($J5663="",$K5663="")),"",ROUND(N($J5663)-N($K5663),2))</f>
        <v/>
      </c>
      <c r="M5663" s="13">
        <f>IF(OR($A5663="",AND($J5663="",$K5663="")),"",MIN($J5663,$K5663))</f>
        <v/>
      </c>
      <c r="Q5663">
        <f>IF($A5663="","",$D5663&amp;"("&amp;SUBSTITUTE($E5663," ","")&amp;")")</f>
        <v/>
      </c>
      <c r="R5663">
        <f>IF($A5663="","",$B5663&amp;" - "&amp;$C5663)</f>
        <v/>
      </c>
      <c r="S5663">
        <f>IF($A5663="","",$R5663&amp;"|"&amp;$Q5663)</f>
        <v/>
      </c>
      <c r="T5663">
        <f>IF($A5663="","",$S5663&amp;"|"&amp;$F5663)</f>
        <v/>
      </c>
      <c r="U5663">
        <f>IF($A5663="","",$R5663&amp;"("&amp;$E5663&amp;")")</f>
        <v/>
      </c>
      <c r="V5663">
        <f>IF($A5663="","",$F5663&amp;"|"&amp;$U5663&amp;"|"&amp;$D5663)</f>
        <v/>
      </c>
      <c r="W5663">
        <f>IF($T5663="","",IF($X5663&gt;N($X5662),$X5663,""))</f>
        <v/>
      </c>
      <c r="X5663">
        <f>IF($T5663="",N($X5662),IF(MATCH($T5663,$T$6:$T$6005,0)=ROW()-5,N($X5662)+1,N($X5662)))</f>
        <v/>
      </c>
      <c r="Z5663">
        <f>IF($V5663="","",IF($AA5663&gt;N($AA5662),$AA5663,""))</f>
        <v/>
      </c>
      <c r="AA5663">
        <f>IF($V5663="",N($AA5662),IF(MATCH($V5663,$V$6:$V$6005,0)=ROW()-5,N($AA5662)+1,N($AA5662)))</f>
        <v/>
      </c>
    </row>
    <row r="5664" ht="21" customHeight="1" s="66">
      <c r="A5664" s="56" t="n"/>
      <c r="B5664" s="57" t="n"/>
      <c r="C5664" s="57" t="n"/>
      <c r="D5664" s="57" t="n"/>
      <c r="E5664" s="56" t="n"/>
      <c r="F5664" s="57" t="n"/>
      <c r="G5664" s="57" t="n"/>
      <c r="H5664" s="56" t="n"/>
      <c r="I5664" s="56" t="n"/>
      <c r="J5664" s="58" t="n"/>
      <c r="K5664" s="58" t="n"/>
      <c r="L5664" s="13">
        <f>IF(OR($A5664="",AND($J5664="",$K5664="")),"",ROUND(N($J5664)-N($K5664),2))</f>
        <v/>
      </c>
      <c r="M5664" s="13">
        <f>IF(OR($A5664="",AND($J5664="",$K5664="")),"",MIN($J5664,$K5664))</f>
        <v/>
      </c>
      <c r="Q5664">
        <f>IF($A5664="","",$D5664&amp;"("&amp;SUBSTITUTE($E5664," ","")&amp;")")</f>
        <v/>
      </c>
      <c r="R5664">
        <f>IF($A5664="","",$B5664&amp;" - "&amp;$C5664)</f>
        <v/>
      </c>
      <c r="S5664">
        <f>IF($A5664="","",$R5664&amp;"|"&amp;$Q5664)</f>
        <v/>
      </c>
      <c r="T5664">
        <f>IF($A5664="","",$S5664&amp;"|"&amp;$F5664)</f>
        <v/>
      </c>
      <c r="U5664">
        <f>IF($A5664="","",$R5664&amp;"("&amp;$E5664&amp;")")</f>
        <v/>
      </c>
      <c r="V5664">
        <f>IF($A5664="","",$F5664&amp;"|"&amp;$U5664&amp;"|"&amp;$D5664)</f>
        <v/>
      </c>
      <c r="W5664">
        <f>IF($T5664="","",IF($X5664&gt;N($X5663),$X5664,""))</f>
        <v/>
      </c>
      <c r="X5664">
        <f>IF($T5664="",N($X5663),IF(MATCH($T5664,$T$6:$T$6005,0)=ROW()-5,N($X5663)+1,N($X5663)))</f>
        <v/>
      </c>
      <c r="Z5664">
        <f>IF($V5664="","",IF($AA5664&gt;N($AA5663),$AA5664,""))</f>
        <v/>
      </c>
      <c r="AA5664">
        <f>IF($V5664="",N($AA5663),IF(MATCH($V5664,$V$6:$V$6005,0)=ROW()-5,N($AA5663)+1,N($AA5663)))</f>
        <v/>
      </c>
    </row>
    <row r="5665" ht="21" customHeight="1" s="66">
      <c r="A5665" s="56" t="n"/>
      <c r="B5665" s="57" t="n"/>
      <c r="C5665" s="57" t="n"/>
      <c r="D5665" s="57" t="n"/>
      <c r="E5665" s="56" t="n"/>
      <c r="F5665" s="57" t="n"/>
      <c r="G5665" s="57" t="n"/>
      <c r="H5665" s="56" t="n"/>
      <c r="I5665" s="56" t="n"/>
      <c r="J5665" s="58" t="n"/>
      <c r="K5665" s="58" t="n"/>
      <c r="L5665" s="13">
        <f>IF(OR($A5665="",AND($J5665="",$K5665="")),"",ROUND(N($J5665)-N($K5665),2))</f>
        <v/>
      </c>
      <c r="M5665" s="13">
        <f>IF(OR($A5665="",AND($J5665="",$K5665="")),"",MIN($J5665,$K5665))</f>
        <v/>
      </c>
      <c r="Q5665">
        <f>IF($A5665="","",$D5665&amp;"("&amp;SUBSTITUTE($E5665," ","")&amp;")")</f>
        <v/>
      </c>
      <c r="R5665">
        <f>IF($A5665="","",$B5665&amp;" - "&amp;$C5665)</f>
        <v/>
      </c>
      <c r="S5665">
        <f>IF($A5665="","",$R5665&amp;"|"&amp;$Q5665)</f>
        <v/>
      </c>
      <c r="T5665">
        <f>IF($A5665="","",$S5665&amp;"|"&amp;$F5665)</f>
        <v/>
      </c>
      <c r="U5665">
        <f>IF($A5665="","",$R5665&amp;"("&amp;$E5665&amp;")")</f>
        <v/>
      </c>
      <c r="V5665">
        <f>IF($A5665="","",$F5665&amp;"|"&amp;$U5665&amp;"|"&amp;$D5665)</f>
        <v/>
      </c>
      <c r="W5665">
        <f>IF($T5665="","",IF($X5665&gt;N($X5664),$X5665,""))</f>
        <v/>
      </c>
      <c r="X5665">
        <f>IF($T5665="",N($X5664),IF(MATCH($T5665,$T$6:$T$6005,0)=ROW()-5,N($X5664)+1,N($X5664)))</f>
        <v/>
      </c>
      <c r="Z5665">
        <f>IF($V5665="","",IF($AA5665&gt;N($AA5664),$AA5665,""))</f>
        <v/>
      </c>
      <c r="AA5665">
        <f>IF($V5665="",N($AA5664),IF(MATCH($V5665,$V$6:$V$6005,0)=ROW()-5,N($AA5664)+1,N($AA5664)))</f>
        <v/>
      </c>
    </row>
    <row r="5666" ht="21" customHeight="1" s="66">
      <c r="A5666" s="56" t="n"/>
      <c r="B5666" s="57" t="n"/>
      <c r="C5666" s="57" t="n"/>
      <c r="D5666" s="57" t="n"/>
      <c r="E5666" s="56" t="n"/>
      <c r="F5666" s="57" t="n"/>
      <c r="G5666" s="57" t="n"/>
      <c r="H5666" s="56" t="n"/>
      <c r="I5666" s="56" t="n"/>
      <c r="J5666" s="58" t="n"/>
      <c r="K5666" s="58" t="n"/>
      <c r="L5666" s="13">
        <f>IF(OR($A5666="",AND($J5666="",$K5666="")),"",ROUND(N($J5666)-N($K5666),2))</f>
        <v/>
      </c>
      <c r="M5666" s="13">
        <f>IF(OR($A5666="",AND($J5666="",$K5666="")),"",MIN($J5666,$K5666))</f>
        <v/>
      </c>
      <c r="Q5666">
        <f>IF($A5666="","",$D5666&amp;"("&amp;SUBSTITUTE($E5666," ","")&amp;")")</f>
        <v/>
      </c>
      <c r="R5666">
        <f>IF($A5666="","",$B5666&amp;" - "&amp;$C5666)</f>
        <v/>
      </c>
      <c r="S5666">
        <f>IF($A5666="","",$R5666&amp;"|"&amp;$Q5666)</f>
        <v/>
      </c>
      <c r="T5666">
        <f>IF($A5666="","",$S5666&amp;"|"&amp;$F5666)</f>
        <v/>
      </c>
      <c r="U5666">
        <f>IF($A5666="","",$R5666&amp;"("&amp;$E5666&amp;")")</f>
        <v/>
      </c>
      <c r="V5666">
        <f>IF($A5666="","",$F5666&amp;"|"&amp;$U5666&amp;"|"&amp;$D5666)</f>
        <v/>
      </c>
      <c r="W5666">
        <f>IF($T5666="","",IF($X5666&gt;N($X5665),$X5666,""))</f>
        <v/>
      </c>
      <c r="X5666">
        <f>IF($T5666="",N($X5665),IF(MATCH($T5666,$T$6:$T$6005,0)=ROW()-5,N($X5665)+1,N($X5665)))</f>
        <v/>
      </c>
      <c r="Z5666">
        <f>IF($V5666="","",IF($AA5666&gt;N($AA5665),$AA5666,""))</f>
        <v/>
      </c>
      <c r="AA5666">
        <f>IF($V5666="",N($AA5665),IF(MATCH($V5666,$V$6:$V$6005,0)=ROW()-5,N($AA5665)+1,N($AA5665)))</f>
        <v/>
      </c>
    </row>
    <row r="5667" ht="21" customHeight="1" s="66">
      <c r="A5667" s="56" t="n"/>
      <c r="B5667" s="57" t="n"/>
      <c r="C5667" s="57" t="n"/>
      <c r="D5667" s="57" t="n"/>
      <c r="E5667" s="56" t="n"/>
      <c r="F5667" s="57" t="n"/>
      <c r="G5667" s="57" t="n"/>
      <c r="H5667" s="56" t="n"/>
      <c r="I5667" s="56" t="n"/>
      <c r="J5667" s="58" t="n"/>
      <c r="K5667" s="58" t="n"/>
      <c r="L5667" s="13">
        <f>IF(OR($A5667="",AND($J5667="",$K5667="")),"",ROUND(N($J5667)-N($K5667),2))</f>
        <v/>
      </c>
      <c r="M5667" s="13">
        <f>IF(OR($A5667="",AND($J5667="",$K5667="")),"",MIN($J5667,$K5667))</f>
        <v/>
      </c>
      <c r="Q5667">
        <f>IF($A5667="","",$D5667&amp;"("&amp;SUBSTITUTE($E5667," ","")&amp;")")</f>
        <v/>
      </c>
      <c r="R5667">
        <f>IF($A5667="","",$B5667&amp;" - "&amp;$C5667)</f>
        <v/>
      </c>
      <c r="S5667">
        <f>IF($A5667="","",$R5667&amp;"|"&amp;$Q5667)</f>
        <v/>
      </c>
      <c r="T5667">
        <f>IF($A5667="","",$S5667&amp;"|"&amp;$F5667)</f>
        <v/>
      </c>
      <c r="U5667">
        <f>IF($A5667="","",$R5667&amp;"("&amp;$E5667&amp;")")</f>
        <v/>
      </c>
      <c r="V5667">
        <f>IF($A5667="","",$F5667&amp;"|"&amp;$U5667&amp;"|"&amp;$D5667)</f>
        <v/>
      </c>
      <c r="W5667">
        <f>IF($T5667="","",IF($X5667&gt;N($X5666),$X5667,""))</f>
        <v/>
      </c>
      <c r="X5667">
        <f>IF($T5667="",N($X5666),IF(MATCH($T5667,$T$6:$T$6005,0)=ROW()-5,N($X5666)+1,N($X5666)))</f>
        <v/>
      </c>
      <c r="Z5667">
        <f>IF($V5667="","",IF($AA5667&gt;N($AA5666),$AA5667,""))</f>
        <v/>
      </c>
      <c r="AA5667">
        <f>IF($V5667="",N($AA5666),IF(MATCH($V5667,$V$6:$V$6005,0)=ROW()-5,N($AA5666)+1,N($AA5666)))</f>
        <v/>
      </c>
    </row>
    <row r="5668" ht="21" customHeight="1" s="66">
      <c r="A5668" s="56" t="n"/>
      <c r="B5668" s="57" t="n"/>
      <c r="C5668" s="57" t="n"/>
      <c r="D5668" s="57" t="n"/>
      <c r="E5668" s="56" t="n"/>
      <c r="F5668" s="57" t="n"/>
      <c r="G5668" s="57" t="n"/>
      <c r="H5668" s="56" t="n"/>
      <c r="I5668" s="56" t="n"/>
      <c r="J5668" s="58" t="n"/>
      <c r="K5668" s="58" t="n"/>
      <c r="L5668" s="13">
        <f>IF(OR($A5668="",AND($J5668="",$K5668="")),"",ROUND(N($J5668)-N($K5668),2))</f>
        <v/>
      </c>
      <c r="M5668" s="13">
        <f>IF(OR($A5668="",AND($J5668="",$K5668="")),"",MIN($J5668,$K5668))</f>
        <v/>
      </c>
      <c r="Q5668">
        <f>IF($A5668="","",$D5668&amp;"("&amp;SUBSTITUTE($E5668," ","")&amp;")")</f>
        <v/>
      </c>
      <c r="R5668">
        <f>IF($A5668="","",$B5668&amp;" - "&amp;$C5668)</f>
        <v/>
      </c>
      <c r="S5668">
        <f>IF($A5668="","",$R5668&amp;"|"&amp;$Q5668)</f>
        <v/>
      </c>
      <c r="T5668">
        <f>IF($A5668="","",$S5668&amp;"|"&amp;$F5668)</f>
        <v/>
      </c>
      <c r="U5668">
        <f>IF($A5668="","",$R5668&amp;"("&amp;$E5668&amp;")")</f>
        <v/>
      </c>
      <c r="V5668">
        <f>IF($A5668="","",$F5668&amp;"|"&amp;$U5668&amp;"|"&amp;$D5668)</f>
        <v/>
      </c>
      <c r="W5668">
        <f>IF($T5668="","",IF($X5668&gt;N($X5667),$X5668,""))</f>
        <v/>
      </c>
      <c r="X5668">
        <f>IF($T5668="",N($X5667),IF(MATCH($T5668,$T$6:$T$6005,0)=ROW()-5,N($X5667)+1,N($X5667)))</f>
        <v/>
      </c>
      <c r="Z5668">
        <f>IF($V5668="","",IF($AA5668&gt;N($AA5667),$AA5668,""))</f>
        <v/>
      </c>
      <c r="AA5668">
        <f>IF($V5668="",N($AA5667),IF(MATCH($V5668,$V$6:$V$6005,0)=ROW()-5,N($AA5667)+1,N($AA5667)))</f>
        <v/>
      </c>
    </row>
    <row r="5669" ht="21" customHeight="1" s="66">
      <c r="A5669" s="56" t="n"/>
      <c r="B5669" s="57" t="n"/>
      <c r="C5669" s="57" t="n"/>
      <c r="D5669" s="57" t="n"/>
      <c r="E5669" s="56" t="n"/>
      <c r="F5669" s="57" t="n"/>
      <c r="G5669" s="57" t="n"/>
      <c r="H5669" s="56" t="n"/>
      <c r="I5669" s="56" t="n"/>
      <c r="J5669" s="58" t="n"/>
      <c r="K5669" s="58" t="n"/>
      <c r="L5669" s="13">
        <f>IF(OR($A5669="",AND($J5669="",$K5669="")),"",ROUND(N($J5669)-N($K5669),2))</f>
        <v/>
      </c>
      <c r="M5669" s="13">
        <f>IF(OR($A5669="",AND($J5669="",$K5669="")),"",MIN($J5669,$K5669))</f>
        <v/>
      </c>
      <c r="Q5669">
        <f>IF($A5669="","",$D5669&amp;"("&amp;SUBSTITUTE($E5669," ","")&amp;")")</f>
        <v/>
      </c>
      <c r="R5669">
        <f>IF($A5669="","",$B5669&amp;" - "&amp;$C5669)</f>
        <v/>
      </c>
      <c r="S5669">
        <f>IF($A5669="","",$R5669&amp;"|"&amp;$Q5669)</f>
        <v/>
      </c>
      <c r="T5669">
        <f>IF($A5669="","",$S5669&amp;"|"&amp;$F5669)</f>
        <v/>
      </c>
      <c r="U5669">
        <f>IF($A5669="","",$R5669&amp;"("&amp;$E5669&amp;")")</f>
        <v/>
      </c>
      <c r="V5669">
        <f>IF($A5669="","",$F5669&amp;"|"&amp;$U5669&amp;"|"&amp;$D5669)</f>
        <v/>
      </c>
      <c r="W5669">
        <f>IF($T5669="","",IF($X5669&gt;N($X5668),$X5669,""))</f>
        <v/>
      </c>
      <c r="X5669">
        <f>IF($T5669="",N($X5668),IF(MATCH($T5669,$T$6:$T$6005,0)=ROW()-5,N($X5668)+1,N($X5668)))</f>
        <v/>
      </c>
      <c r="Z5669">
        <f>IF($V5669="","",IF($AA5669&gt;N($AA5668),$AA5669,""))</f>
        <v/>
      </c>
      <c r="AA5669">
        <f>IF($V5669="",N($AA5668),IF(MATCH($V5669,$V$6:$V$6005,0)=ROW()-5,N($AA5668)+1,N($AA5668)))</f>
        <v/>
      </c>
    </row>
    <row r="5670" ht="21" customHeight="1" s="66">
      <c r="A5670" s="56" t="n"/>
      <c r="B5670" s="57" t="n"/>
      <c r="C5670" s="57" t="n"/>
      <c r="D5670" s="57" t="n"/>
      <c r="E5670" s="56" t="n"/>
      <c r="F5670" s="57" t="n"/>
      <c r="G5670" s="57" t="n"/>
      <c r="H5670" s="56" t="n"/>
      <c r="I5670" s="56" t="n"/>
      <c r="J5670" s="58" t="n"/>
      <c r="K5670" s="58" t="n"/>
      <c r="L5670" s="13">
        <f>IF(OR($A5670="",AND($J5670="",$K5670="")),"",ROUND(N($J5670)-N($K5670),2))</f>
        <v/>
      </c>
      <c r="M5670" s="13">
        <f>IF(OR($A5670="",AND($J5670="",$K5670="")),"",MIN($J5670,$K5670))</f>
        <v/>
      </c>
      <c r="Q5670">
        <f>IF($A5670="","",$D5670&amp;"("&amp;SUBSTITUTE($E5670," ","")&amp;")")</f>
        <v/>
      </c>
      <c r="R5670">
        <f>IF($A5670="","",$B5670&amp;" - "&amp;$C5670)</f>
        <v/>
      </c>
      <c r="S5670">
        <f>IF($A5670="","",$R5670&amp;"|"&amp;$Q5670)</f>
        <v/>
      </c>
      <c r="T5670">
        <f>IF($A5670="","",$S5670&amp;"|"&amp;$F5670)</f>
        <v/>
      </c>
      <c r="U5670">
        <f>IF($A5670="","",$R5670&amp;"("&amp;$E5670&amp;")")</f>
        <v/>
      </c>
      <c r="V5670">
        <f>IF($A5670="","",$F5670&amp;"|"&amp;$U5670&amp;"|"&amp;$D5670)</f>
        <v/>
      </c>
      <c r="W5670">
        <f>IF($T5670="","",IF($X5670&gt;N($X5669),$X5670,""))</f>
        <v/>
      </c>
      <c r="X5670">
        <f>IF($T5670="",N($X5669),IF(MATCH($T5670,$T$6:$T$6005,0)=ROW()-5,N($X5669)+1,N($X5669)))</f>
        <v/>
      </c>
      <c r="Z5670">
        <f>IF($V5670="","",IF($AA5670&gt;N($AA5669),$AA5670,""))</f>
        <v/>
      </c>
      <c r="AA5670">
        <f>IF($V5670="",N($AA5669),IF(MATCH($V5670,$V$6:$V$6005,0)=ROW()-5,N($AA5669)+1,N($AA5669)))</f>
        <v/>
      </c>
    </row>
    <row r="5671" ht="21" customHeight="1" s="66">
      <c r="A5671" s="56" t="n"/>
      <c r="B5671" s="57" t="n"/>
      <c r="C5671" s="57" t="n"/>
      <c r="D5671" s="57" t="n"/>
      <c r="E5671" s="56" t="n"/>
      <c r="F5671" s="57" t="n"/>
      <c r="G5671" s="57" t="n"/>
      <c r="H5671" s="56" t="n"/>
      <c r="I5671" s="56" t="n"/>
      <c r="J5671" s="58" t="n"/>
      <c r="K5671" s="58" t="n"/>
      <c r="L5671" s="13">
        <f>IF(OR($A5671="",AND($J5671="",$K5671="")),"",ROUND(N($J5671)-N($K5671),2))</f>
        <v/>
      </c>
      <c r="M5671" s="13">
        <f>IF(OR($A5671="",AND($J5671="",$K5671="")),"",MIN($J5671,$K5671))</f>
        <v/>
      </c>
      <c r="Q5671">
        <f>IF($A5671="","",$D5671&amp;"("&amp;SUBSTITUTE($E5671," ","")&amp;")")</f>
        <v/>
      </c>
      <c r="R5671">
        <f>IF($A5671="","",$B5671&amp;" - "&amp;$C5671)</f>
        <v/>
      </c>
      <c r="S5671">
        <f>IF($A5671="","",$R5671&amp;"|"&amp;$Q5671)</f>
        <v/>
      </c>
      <c r="T5671">
        <f>IF($A5671="","",$S5671&amp;"|"&amp;$F5671)</f>
        <v/>
      </c>
      <c r="U5671">
        <f>IF($A5671="","",$R5671&amp;"("&amp;$E5671&amp;")")</f>
        <v/>
      </c>
      <c r="V5671">
        <f>IF($A5671="","",$F5671&amp;"|"&amp;$U5671&amp;"|"&amp;$D5671)</f>
        <v/>
      </c>
      <c r="W5671">
        <f>IF($T5671="","",IF($X5671&gt;N($X5670),$X5671,""))</f>
        <v/>
      </c>
      <c r="X5671">
        <f>IF($T5671="",N($X5670),IF(MATCH($T5671,$T$6:$T$6005,0)=ROW()-5,N($X5670)+1,N($X5670)))</f>
        <v/>
      </c>
      <c r="Z5671">
        <f>IF($V5671="","",IF($AA5671&gt;N($AA5670),$AA5671,""))</f>
        <v/>
      </c>
      <c r="AA5671">
        <f>IF($V5671="",N($AA5670),IF(MATCH($V5671,$V$6:$V$6005,0)=ROW()-5,N($AA5670)+1,N($AA5670)))</f>
        <v/>
      </c>
    </row>
    <row r="5672" ht="21" customHeight="1" s="66">
      <c r="A5672" s="56" t="n"/>
      <c r="B5672" s="57" t="n"/>
      <c r="C5672" s="57" t="n"/>
      <c r="D5672" s="57" t="n"/>
      <c r="E5672" s="56" t="n"/>
      <c r="F5672" s="57" t="n"/>
      <c r="G5672" s="57" t="n"/>
      <c r="H5672" s="56" t="n"/>
      <c r="I5672" s="56" t="n"/>
      <c r="J5672" s="58" t="n"/>
      <c r="K5672" s="58" t="n"/>
      <c r="L5672" s="13">
        <f>IF(OR($A5672="",AND($J5672="",$K5672="")),"",ROUND(N($J5672)-N($K5672),2))</f>
        <v/>
      </c>
      <c r="M5672" s="13">
        <f>IF(OR($A5672="",AND($J5672="",$K5672="")),"",MIN($J5672,$K5672))</f>
        <v/>
      </c>
      <c r="Q5672">
        <f>IF($A5672="","",$D5672&amp;"("&amp;SUBSTITUTE($E5672," ","")&amp;")")</f>
        <v/>
      </c>
      <c r="R5672">
        <f>IF($A5672="","",$B5672&amp;" - "&amp;$C5672)</f>
        <v/>
      </c>
      <c r="S5672">
        <f>IF($A5672="","",$R5672&amp;"|"&amp;$Q5672)</f>
        <v/>
      </c>
      <c r="T5672">
        <f>IF($A5672="","",$S5672&amp;"|"&amp;$F5672)</f>
        <v/>
      </c>
      <c r="U5672">
        <f>IF($A5672="","",$R5672&amp;"("&amp;$E5672&amp;")")</f>
        <v/>
      </c>
      <c r="V5672">
        <f>IF($A5672="","",$F5672&amp;"|"&amp;$U5672&amp;"|"&amp;$D5672)</f>
        <v/>
      </c>
      <c r="W5672">
        <f>IF($T5672="","",IF($X5672&gt;N($X5671),$X5672,""))</f>
        <v/>
      </c>
      <c r="X5672">
        <f>IF($T5672="",N($X5671),IF(MATCH($T5672,$T$6:$T$6005,0)=ROW()-5,N($X5671)+1,N($X5671)))</f>
        <v/>
      </c>
      <c r="Z5672">
        <f>IF($V5672="","",IF($AA5672&gt;N($AA5671),$AA5672,""))</f>
        <v/>
      </c>
      <c r="AA5672">
        <f>IF($V5672="",N($AA5671),IF(MATCH($V5672,$V$6:$V$6005,0)=ROW()-5,N($AA5671)+1,N($AA5671)))</f>
        <v/>
      </c>
    </row>
    <row r="5673" ht="21" customHeight="1" s="66">
      <c r="A5673" s="56" t="n"/>
      <c r="B5673" s="57" t="n"/>
      <c r="C5673" s="57" t="n"/>
      <c r="D5673" s="57" t="n"/>
      <c r="E5673" s="56" t="n"/>
      <c r="F5673" s="57" t="n"/>
      <c r="G5673" s="57" t="n"/>
      <c r="H5673" s="56" t="n"/>
      <c r="I5673" s="56" t="n"/>
      <c r="J5673" s="58" t="n"/>
      <c r="K5673" s="58" t="n"/>
      <c r="L5673" s="13">
        <f>IF(OR($A5673="",AND($J5673="",$K5673="")),"",ROUND(N($J5673)-N($K5673),2))</f>
        <v/>
      </c>
      <c r="M5673" s="13">
        <f>IF(OR($A5673="",AND($J5673="",$K5673="")),"",MIN($J5673,$K5673))</f>
        <v/>
      </c>
      <c r="Q5673">
        <f>IF($A5673="","",$D5673&amp;"("&amp;SUBSTITUTE($E5673," ","")&amp;")")</f>
        <v/>
      </c>
      <c r="R5673">
        <f>IF($A5673="","",$B5673&amp;" - "&amp;$C5673)</f>
        <v/>
      </c>
      <c r="S5673">
        <f>IF($A5673="","",$R5673&amp;"|"&amp;$Q5673)</f>
        <v/>
      </c>
      <c r="T5673">
        <f>IF($A5673="","",$S5673&amp;"|"&amp;$F5673)</f>
        <v/>
      </c>
      <c r="U5673">
        <f>IF($A5673="","",$R5673&amp;"("&amp;$E5673&amp;")")</f>
        <v/>
      </c>
      <c r="V5673">
        <f>IF($A5673="","",$F5673&amp;"|"&amp;$U5673&amp;"|"&amp;$D5673)</f>
        <v/>
      </c>
      <c r="W5673">
        <f>IF($T5673="","",IF($X5673&gt;N($X5672),$X5673,""))</f>
        <v/>
      </c>
      <c r="X5673">
        <f>IF($T5673="",N($X5672),IF(MATCH($T5673,$T$6:$T$6005,0)=ROW()-5,N($X5672)+1,N($X5672)))</f>
        <v/>
      </c>
      <c r="Z5673">
        <f>IF($V5673="","",IF($AA5673&gt;N($AA5672),$AA5673,""))</f>
        <v/>
      </c>
      <c r="AA5673">
        <f>IF($V5673="",N($AA5672),IF(MATCH($V5673,$V$6:$V$6005,0)=ROW()-5,N($AA5672)+1,N($AA5672)))</f>
        <v/>
      </c>
    </row>
    <row r="5674" ht="21" customHeight="1" s="66">
      <c r="A5674" s="56" t="n"/>
      <c r="B5674" s="57" t="n"/>
      <c r="C5674" s="57" t="n"/>
      <c r="D5674" s="57" t="n"/>
      <c r="E5674" s="56" t="n"/>
      <c r="F5674" s="57" t="n"/>
      <c r="G5674" s="57" t="n"/>
      <c r="H5674" s="56" t="n"/>
      <c r="I5674" s="56" t="n"/>
      <c r="J5674" s="58" t="n"/>
      <c r="K5674" s="58" t="n"/>
      <c r="L5674" s="13">
        <f>IF(OR($A5674="",AND($J5674="",$K5674="")),"",ROUND(N($J5674)-N($K5674),2))</f>
        <v/>
      </c>
      <c r="M5674" s="13">
        <f>IF(OR($A5674="",AND($J5674="",$K5674="")),"",MIN($J5674,$K5674))</f>
        <v/>
      </c>
      <c r="Q5674">
        <f>IF($A5674="","",$D5674&amp;"("&amp;SUBSTITUTE($E5674," ","")&amp;")")</f>
        <v/>
      </c>
      <c r="R5674">
        <f>IF($A5674="","",$B5674&amp;" - "&amp;$C5674)</f>
        <v/>
      </c>
      <c r="S5674">
        <f>IF($A5674="","",$R5674&amp;"|"&amp;$Q5674)</f>
        <v/>
      </c>
      <c r="T5674">
        <f>IF($A5674="","",$S5674&amp;"|"&amp;$F5674)</f>
        <v/>
      </c>
      <c r="U5674">
        <f>IF($A5674="","",$R5674&amp;"("&amp;$E5674&amp;")")</f>
        <v/>
      </c>
      <c r="V5674">
        <f>IF($A5674="","",$F5674&amp;"|"&amp;$U5674&amp;"|"&amp;$D5674)</f>
        <v/>
      </c>
      <c r="W5674">
        <f>IF($T5674="","",IF($X5674&gt;N($X5673),$X5674,""))</f>
        <v/>
      </c>
      <c r="X5674">
        <f>IF($T5674="",N($X5673),IF(MATCH($T5674,$T$6:$T$6005,0)=ROW()-5,N($X5673)+1,N($X5673)))</f>
        <v/>
      </c>
      <c r="Z5674">
        <f>IF($V5674="","",IF($AA5674&gt;N($AA5673),$AA5674,""))</f>
        <v/>
      </c>
      <c r="AA5674">
        <f>IF($V5674="",N($AA5673),IF(MATCH($V5674,$V$6:$V$6005,0)=ROW()-5,N($AA5673)+1,N($AA5673)))</f>
        <v/>
      </c>
    </row>
    <row r="5675" ht="21" customHeight="1" s="66">
      <c r="A5675" s="56" t="n"/>
      <c r="B5675" s="57" t="n"/>
      <c r="C5675" s="57" t="n"/>
      <c r="D5675" s="57" t="n"/>
      <c r="E5675" s="56" t="n"/>
      <c r="F5675" s="57" t="n"/>
      <c r="G5675" s="57" t="n"/>
      <c r="H5675" s="56" t="n"/>
      <c r="I5675" s="56" t="n"/>
      <c r="J5675" s="58" t="n"/>
      <c r="K5675" s="58" t="n"/>
      <c r="L5675" s="13">
        <f>IF(OR($A5675="",AND($J5675="",$K5675="")),"",ROUND(N($J5675)-N($K5675),2))</f>
        <v/>
      </c>
      <c r="M5675" s="13">
        <f>IF(OR($A5675="",AND($J5675="",$K5675="")),"",MIN($J5675,$K5675))</f>
        <v/>
      </c>
      <c r="Q5675">
        <f>IF($A5675="","",$D5675&amp;"("&amp;SUBSTITUTE($E5675," ","")&amp;")")</f>
        <v/>
      </c>
      <c r="R5675">
        <f>IF($A5675="","",$B5675&amp;" - "&amp;$C5675)</f>
        <v/>
      </c>
      <c r="S5675">
        <f>IF($A5675="","",$R5675&amp;"|"&amp;$Q5675)</f>
        <v/>
      </c>
      <c r="T5675">
        <f>IF($A5675="","",$S5675&amp;"|"&amp;$F5675)</f>
        <v/>
      </c>
      <c r="U5675">
        <f>IF($A5675="","",$R5675&amp;"("&amp;$E5675&amp;")")</f>
        <v/>
      </c>
      <c r="V5675">
        <f>IF($A5675="","",$F5675&amp;"|"&amp;$U5675&amp;"|"&amp;$D5675)</f>
        <v/>
      </c>
      <c r="W5675">
        <f>IF($T5675="","",IF($X5675&gt;N($X5674),$X5675,""))</f>
        <v/>
      </c>
      <c r="X5675">
        <f>IF($T5675="",N($X5674),IF(MATCH($T5675,$T$6:$T$6005,0)=ROW()-5,N($X5674)+1,N($X5674)))</f>
        <v/>
      </c>
      <c r="Z5675">
        <f>IF($V5675="","",IF($AA5675&gt;N($AA5674),$AA5675,""))</f>
        <v/>
      </c>
      <c r="AA5675">
        <f>IF($V5675="",N($AA5674),IF(MATCH($V5675,$V$6:$V$6005,0)=ROW()-5,N($AA5674)+1,N($AA5674)))</f>
        <v/>
      </c>
    </row>
    <row r="5676" ht="21" customHeight="1" s="66">
      <c r="A5676" s="56" t="n"/>
      <c r="B5676" s="57" t="n"/>
      <c r="C5676" s="57" t="n"/>
      <c r="D5676" s="57" t="n"/>
      <c r="E5676" s="56" t="n"/>
      <c r="F5676" s="57" t="n"/>
      <c r="G5676" s="57" t="n"/>
      <c r="H5676" s="56" t="n"/>
      <c r="I5676" s="56" t="n"/>
      <c r="J5676" s="58" t="n"/>
      <c r="K5676" s="58" t="n"/>
      <c r="L5676" s="13">
        <f>IF(OR($A5676="",AND($J5676="",$K5676="")),"",ROUND(N($J5676)-N($K5676),2))</f>
        <v/>
      </c>
      <c r="M5676" s="13">
        <f>IF(OR($A5676="",AND($J5676="",$K5676="")),"",MIN($J5676,$K5676))</f>
        <v/>
      </c>
      <c r="Q5676">
        <f>IF($A5676="","",$D5676&amp;"("&amp;SUBSTITUTE($E5676," ","")&amp;")")</f>
        <v/>
      </c>
      <c r="R5676">
        <f>IF($A5676="","",$B5676&amp;" - "&amp;$C5676)</f>
        <v/>
      </c>
      <c r="S5676">
        <f>IF($A5676="","",$R5676&amp;"|"&amp;$Q5676)</f>
        <v/>
      </c>
      <c r="T5676">
        <f>IF($A5676="","",$S5676&amp;"|"&amp;$F5676)</f>
        <v/>
      </c>
      <c r="U5676">
        <f>IF($A5676="","",$R5676&amp;"("&amp;$E5676&amp;")")</f>
        <v/>
      </c>
      <c r="V5676">
        <f>IF($A5676="","",$F5676&amp;"|"&amp;$U5676&amp;"|"&amp;$D5676)</f>
        <v/>
      </c>
      <c r="W5676">
        <f>IF($T5676="","",IF($X5676&gt;N($X5675),$X5676,""))</f>
        <v/>
      </c>
      <c r="X5676">
        <f>IF($T5676="",N($X5675),IF(MATCH($T5676,$T$6:$T$6005,0)=ROW()-5,N($X5675)+1,N($X5675)))</f>
        <v/>
      </c>
      <c r="Z5676">
        <f>IF($V5676="","",IF($AA5676&gt;N($AA5675),$AA5676,""))</f>
        <v/>
      </c>
      <c r="AA5676">
        <f>IF($V5676="",N($AA5675),IF(MATCH($V5676,$V$6:$V$6005,0)=ROW()-5,N($AA5675)+1,N($AA5675)))</f>
        <v/>
      </c>
    </row>
    <row r="5677" ht="21" customHeight="1" s="66">
      <c r="A5677" s="56" t="n"/>
      <c r="B5677" s="57" t="n"/>
      <c r="C5677" s="57" t="n"/>
      <c r="D5677" s="57" t="n"/>
      <c r="E5677" s="56" t="n"/>
      <c r="F5677" s="57" t="n"/>
      <c r="G5677" s="57" t="n"/>
      <c r="H5677" s="56" t="n"/>
      <c r="I5677" s="56" t="n"/>
      <c r="J5677" s="58" t="n"/>
      <c r="K5677" s="58" t="n"/>
      <c r="L5677" s="13">
        <f>IF(OR($A5677="",AND($J5677="",$K5677="")),"",ROUND(N($J5677)-N($K5677),2))</f>
        <v/>
      </c>
      <c r="M5677" s="13">
        <f>IF(OR($A5677="",AND($J5677="",$K5677="")),"",MIN($J5677,$K5677))</f>
        <v/>
      </c>
      <c r="Q5677">
        <f>IF($A5677="","",$D5677&amp;"("&amp;SUBSTITUTE($E5677," ","")&amp;")")</f>
        <v/>
      </c>
      <c r="R5677">
        <f>IF($A5677="","",$B5677&amp;" - "&amp;$C5677)</f>
        <v/>
      </c>
      <c r="S5677">
        <f>IF($A5677="","",$R5677&amp;"|"&amp;$Q5677)</f>
        <v/>
      </c>
      <c r="T5677">
        <f>IF($A5677="","",$S5677&amp;"|"&amp;$F5677)</f>
        <v/>
      </c>
      <c r="U5677">
        <f>IF($A5677="","",$R5677&amp;"("&amp;$E5677&amp;")")</f>
        <v/>
      </c>
      <c r="V5677">
        <f>IF($A5677="","",$F5677&amp;"|"&amp;$U5677&amp;"|"&amp;$D5677)</f>
        <v/>
      </c>
      <c r="W5677">
        <f>IF($T5677="","",IF($X5677&gt;N($X5676),$X5677,""))</f>
        <v/>
      </c>
      <c r="X5677">
        <f>IF($T5677="",N($X5676),IF(MATCH($T5677,$T$6:$T$6005,0)=ROW()-5,N($X5676)+1,N($X5676)))</f>
        <v/>
      </c>
      <c r="Z5677">
        <f>IF($V5677="","",IF($AA5677&gt;N($AA5676),$AA5677,""))</f>
        <v/>
      </c>
      <c r="AA5677">
        <f>IF($V5677="",N($AA5676),IF(MATCH($V5677,$V$6:$V$6005,0)=ROW()-5,N($AA5676)+1,N($AA5676)))</f>
        <v/>
      </c>
    </row>
    <row r="5678" ht="21" customHeight="1" s="66">
      <c r="A5678" s="56" t="n"/>
      <c r="B5678" s="57" t="n"/>
      <c r="C5678" s="57" t="n"/>
      <c r="D5678" s="57" t="n"/>
      <c r="E5678" s="56" t="n"/>
      <c r="F5678" s="57" t="n"/>
      <c r="G5678" s="57" t="n"/>
      <c r="H5678" s="56" t="n"/>
      <c r="I5678" s="56" t="n"/>
      <c r="J5678" s="58" t="n"/>
      <c r="K5678" s="58" t="n"/>
      <c r="L5678" s="13">
        <f>IF(OR($A5678="",AND($J5678="",$K5678="")),"",ROUND(N($J5678)-N($K5678),2))</f>
        <v/>
      </c>
      <c r="M5678" s="13">
        <f>IF(OR($A5678="",AND($J5678="",$K5678="")),"",MIN($J5678,$K5678))</f>
        <v/>
      </c>
      <c r="Q5678">
        <f>IF($A5678="","",$D5678&amp;"("&amp;SUBSTITUTE($E5678," ","")&amp;")")</f>
        <v/>
      </c>
      <c r="R5678">
        <f>IF($A5678="","",$B5678&amp;" - "&amp;$C5678)</f>
        <v/>
      </c>
      <c r="S5678">
        <f>IF($A5678="","",$R5678&amp;"|"&amp;$Q5678)</f>
        <v/>
      </c>
      <c r="T5678">
        <f>IF($A5678="","",$S5678&amp;"|"&amp;$F5678)</f>
        <v/>
      </c>
      <c r="U5678">
        <f>IF($A5678="","",$R5678&amp;"("&amp;$E5678&amp;")")</f>
        <v/>
      </c>
      <c r="V5678">
        <f>IF($A5678="","",$F5678&amp;"|"&amp;$U5678&amp;"|"&amp;$D5678)</f>
        <v/>
      </c>
      <c r="W5678">
        <f>IF($T5678="","",IF($X5678&gt;N($X5677),$X5678,""))</f>
        <v/>
      </c>
      <c r="X5678">
        <f>IF($T5678="",N($X5677),IF(MATCH($T5678,$T$6:$T$6005,0)=ROW()-5,N($X5677)+1,N($X5677)))</f>
        <v/>
      </c>
      <c r="Z5678">
        <f>IF($V5678="","",IF($AA5678&gt;N($AA5677),$AA5678,""))</f>
        <v/>
      </c>
      <c r="AA5678">
        <f>IF($V5678="",N($AA5677),IF(MATCH($V5678,$V$6:$V$6005,0)=ROW()-5,N($AA5677)+1,N($AA5677)))</f>
        <v/>
      </c>
    </row>
    <row r="5679" ht="21" customHeight="1" s="66">
      <c r="A5679" s="56" t="n"/>
      <c r="B5679" s="57" t="n"/>
      <c r="C5679" s="57" t="n"/>
      <c r="D5679" s="57" t="n"/>
      <c r="E5679" s="56" t="n"/>
      <c r="F5679" s="57" t="n"/>
      <c r="G5679" s="57" t="n"/>
      <c r="H5679" s="56" t="n"/>
      <c r="I5679" s="56" t="n"/>
      <c r="J5679" s="58" t="n"/>
      <c r="K5679" s="58" t="n"/>
      <c r="L5679" s="13">
        <f>IF(OR($A5679="",AND($J5679="",$K5679="")),"",ROUND(N($J5679)-N($K5679),2))</f>
        <v/>
      </c>
      <c r="M5679" s="13">
        <f>IF(OR($A5679="",AND($J5679="",$K5679="")),"",MIN($J5679,$K5679))</f>
        <v/>
      </c>
      <c r="Q5679">
        <f>IF($A5679="","",$D5679&amp;"("&amp;SUBSTITUTE($E5679," ","")&amp;")")</f>
        <v/>
      </c>
      <c r="R5679">
        <f>IF($A5679="","",$B5679&amp;" - "&amp;$C5679)</f>
        <v/>
      </c>
      <c r="S5679">
        <f>IF($A5679="","",$R5679&amp;"|"&amp;$Q5679)</f>
        <v/>
      </c>
      <c r="T5679">
        <f>IF($A5679="","",$S5679&amp;"|"&amp;$F5679)</f>
        <v/>
      </c>
      <c r="U5679">
        <f>IF($A5679="","",$R5679&amp;"("&amp;$E5679&amp;")")</f>
        <v/>
      </c>
      <c r="V5679">
        <f>IF($A5679="","",$F5679&amp;"|"&amp;$U5679&amp;"|"&amp;$D5679)</f>
        <v/>
      </c>
      <c r="W5679">
        <f>IF($T5679="","",IF($X5679&gt;N($X5678),$X5679,""))</f>
        <v/>
      </c>
      <c r="X5679">
        <f>IF($T5679="",N($X5678),IF(MATCH($T5679,$T$6:$T$6005,0)=ROW()-5,N($X5678)+1,N($X5678)))</f>
        <v/>
      </c>
      <c r="Z5679">
        <f>IF($V5679="","",IF($AA5679&gt;N($AA5678),$AA5679,""))</f>
        <v/>
      </c>
      <c r="AA5679">
        <f>IF($V5679="",N($AA5678),IF(MATCH($V5679,$V$6:$V$6005,0)=ROW()-5,N($AA5678)+1,N($AA5678)))</f>
        <v/>
      </c>
    </row>
    <row r="5680" ht="21" customHeight="1" s="66">
      <c r="A5680" s="56" t="n"/>
      <c r="B5680" s="57" t="n"/>
      <c r="C5680" s="57" t="n"/>
      <c r="D5680" s="57" t="n"/>
      <c r="E5680" s="56" t="n"/>
      <c r="F5680" s="57" t="n"/>
      <c r="G5680" s="57" t="n"/>
      <c r="H5680" s="56" t="n"/>
      <c r="I5680" s="56" t="n"/>
      <c r="J5680" s="58" t="n"/>
      <c r="K5680" s="58" t="n"/>
      <c r="L5680" s="13">
        <f>IF(OR($A5680="",AND($J5680="",$K5680="")),"",ROUND(N($J5680)-N($K5680),2))</f>
        <v/>
      </c>
      <c r="M5680" s="13">
        <f>IF(OR($A5680="",AND($J5680="",$K5680="")),"",MIN($J5680,$K5680))</f>
        <v/>
      </c>
      <c r="Q5680">
        <f>IF($A5680="","",$D5680&amp;"("&amp;SUBSTITUTE($E5680," ","")&amp;")")</f>
        <v/>
      </c>
      <c r="R5680">
        <f>IF($A5680="","",$B5680&amp;" - "&amp;$C5680)</f>
        <v/>
      </c>
      <c r="S5680">
        <f>IF($A5680="","",$R5680&amp;"|"&amp;$Q5680)</f>
        <v/>
      </c>
      <c r="T5680">
        <f>IF($A5680="","",$S5680&amp;"|"&amp;$F5680)</f>
        <v/>
      </c>
      <c r="U5680">
        <f>IF($A5680="","",$R5680&amp;"("&amp;$E5680&amp;")")</f>
        <v/>
      </c>
      <c r="V5680">
        <f>IF($A5680="","",$F5680&amp;"|"&amp;$U5680&amp;"|"&amp;$D5680)</f>
        <v/>
      </c>
      <c r="W5680">
        <f>IF($T5680="","",IF($X5680&gt;N($X5679),$X5680,""))</f>
        <v/>
      </c>
      <c r="X5680">
        <f>IF($T5680="",N($X5679),IF(MATCH($T5680,$T$6:$T$6005,0)=ROW()-5,N($X5679)+1,N($X5679)))</f>
        <v/>
      </c>
      <c r="Z5680">
        <f>IF($V5680="","",IF($AA5680&gt;N($AA5679),$AA5680,""))</f>
        <v/>
      </c>
      <c r="AA5680">
        <f>IF($V5680="",N($AA5679),IF(MATCH($V5680,$V$6:$V$6005,0)=ROW()-5,N($AA5679)+1,N($AA5679)))</f>
        <v/>
      </c>
    </row>
    <row r="5681" ht="21" customHeight="1" s="66">
      <c r="A5681" s="56" t="n"/>
      <c r="B5681" s="57" t="n"/>
      <c r="C5681" s="57" t="n"/>
      <c r="D5681" s="57" t="n"/>
      <c r="E5681" s="56" t="n"/>
      <c r="F5681" s="57" t="n"/>
      <c r="G5681" s="57" t="n"/>
      <c r="H5681" s="56" t="n"/>
      <c r="I5681" s="56" t="n"/>
      <c r="J5681" s="58" t="n"/>
      <c r="K5681" s="58" t="n"/>
      <c r="L5681" s="13">
        <f>IF(OR($A5681="",AND($J5681="",$K5681="")),"",ROUND(N($J5681)-N($K5681),2))</f>
        <v/>
      </c>
      <c r="M5681" s="13">
        <f>IF(OR($A5681="",AND($J5681="",$K5681="")),"",MIN($J5681,$K5681))</f>
        <v/>
      </c>
      <c r="Q5681">
        <f>IF($A5681="","",$D5681&amp;"("&amp;SUBSTITUTE($E5681," ","")&amp;")")</f>
        <v/>
      </c>
      <c r="R5681">
        <f>IF($A5681="","",$B5681&amp;" - "&amp;$C5681)</f>
        <v/>
      </c>
      <c r="S5681">
        <f>IF($A5681="","",$R5681&amp;"|"&amp;$Q5681)</f>
        <v/>
      </c>
      <c r="T5681">
        <f>IF($A5681="","",$S5681&amp;"|"&amp;$F5681)</f>
        <v/>
      </c>
      <c r="U5681">
        <f>IF($A5681="","",$R5681&amp;"("&amp;$E5681&amp;")")</f>
        <v/>
      </c>
      <c r="V5681">
        <f>IF($A5681="","",$F5681&amp;"|"&amp;$U5681&amp;"|"&amp;$D5681)</f>
        <v/>
      </c>
      <c r="W5681">
        <f>IF($T5681="","",IF($X5681&gt;N($X5680),$X5681,""))</f>
        <v/>
      </c>
      <c r="X5681">
        <f>IF($T5681="",N($X5680),IF(MATCH($T5681,$T$6:$T$6005,0)=ROW()-5,N($X5680)+1,N($X5680)))</f>
        <v/>
      </c>
      <c r="Z5681">
        <f>IF($V5681="","",IF($AA5681&gt;N($AA5680),$AA5681,""))</f>
        <v/>
      </c>
      <c r="AA5681">
        <f>IF($V5681="",N($AA5680),IF(MATCH($V5681,$V$6:$V$6005,0)=ROW()-5,N($AA5680)+1,N($AA5680)))</f>
        <v/>
      </c>
    </row>
    <row r="5682" ht="21" customHeight="1" s="66">
      <c r="A5682" s="56" t="n"/>
      <c r="B5682" s="57" t="n"/>
      <c r="C5682" s="57" t="n"/>
      <c r="D5682" s="57" t="n"/>
      <c r="E5682" s="56" t="n"/>
      <c r="F5682" s="57" t="n"/>
      <c r="G5682" s="57" t="n"/>
      <c r="H5682" s="56" t="n"/>
      <c r="I5682" s="56" t="n"/>
      <c r="J5682" s="58" t="n"/>
      <c r="K5682" s="58" t="n"/>
      <c r="L5682" s="13">
        <f>IF(OR($A5682="",AND($J5682="",$K5682="")),"",ROUND(N($J5682)-N($K5682),2))</f>
        <v/>
      </c>
      <c r="M5682" s="13">
        <f>IF(OR($A5682="",AND($J5682="",$K5682="")),"",MIN($J5682,$K5682))</f>
        <v/>
      </c>
      <c r="Q5682">
        <f>IF($A5682="","",$D5682&amp;"("&amp;SUBSTITUTE($E5682," ","")&amp;")")</f>
        <v/>
      </c>
      <c r="R5682">
        <f>IF($A5682="","",$B5682&amp;" - "&amp;$C5682)</f>
        <v/>
      </c>
      <c r="S5682">
        <f>IF($A5682="","",$R5682&amp;"|"&amp;$Q5682)</f>
        <v/>
      </c>
      <c r="T5682">
        <f>IF($A5682="","",$S5682&amp;"|"&amp;$F5682)</f>
        <v/>
      </c>
      <c r="U5682">
        <f>IF($A5682="","",$R5682&amp;"("&amp;$E5682&amp;")")</f>
        <v/>
      </c>
      <c r="V5682">
        <f>IF($A5682="","",$F5682&amp;"|"&amp;$U5682&amp;"|"&amp;$D5682)</f>
        <v/>
      </c>
      <c r="W5682">
        <f>IF($T5682="","",IF($X5682&gt;N($X5681),$X5682,""))</f>
        <v/>
      </c>
      <c r="X5682">
        <f>IF($T5682="",N($X5681),IF(MATCH($T5682,$T$6:$T$6005,0)=ROW()-5,N($X5681)+1,N($X5681)))</f>
        <v/>
      </c>
      <c r="Z5682">
        <f>IF($V5682="","",IF($AA5682&gt;N($AA5681),$AA5682,""))</f>
        <v/>
      </c>
      <c r="AA5682">
        <f>IF($V5682="",N($AA5681),IF(MATCH($V5682,$V$6:$V$6005,0)=ROW()-5,N($AA5681)+1,N($AA5681)))</f>
        <v/>
      </c>
    </row>
    <row r="5683" ht="21" customHeight="1" s="66">
      <c r="A5683" s="56" t="n"/>
      <c r="B5683" s="57" t="n"/>
      <c r="C5683" s="57" t="n"/>
      <c r="D5683" s="57" t="n"/>
      <c r="E5683" s="56" t="n"/>
      <c r="F5683" s="57" t="n"/>
      <c r="G5683" s="57" t="n"/>
      <c r="H5683" s="56" t="n"/>
      <c r="I5683" s="56" t="n"/>
      <c r="J5683" s="58" t="n"/>
      <c r="K5683" s="58" t="n"/>
      <c r="L5683" s="13">
        <f>IF(OR($A5683="",AND($J5683="",$K5683="")),"",ROUND(N($J5683)-N($K5683),2))</f>
        <v/>
      </c>
      <c r="M5683" s="13">
        <f>IF(OR($A5683="",AND($J5683="",$K5683="")),"",MIN($J5683,$K5683))</f>
        <v/>
      </c>
      <c r="Q5683">
        <f>IF($A5683="","",$D5683&amp;"("&amp;SUBSTITUTE($E5683," ","")&amp;")")</f>
        <v/>
      </c>
      <c r="R5683">
        <f>IF($A5683="","",$B5683&amp;" - "&amp;$C5683)</f>
        <v/>
      </c>
      <c r="S5683">
        <f>IF($A5683="","",$R5683&amp;"|"&amp;$Q5683)</f>
        <v/>
      </c>
      <c r="T5683">
        <f>IF($A5683="","",$S5683&amp;"|"&amp;$F5683)</f>
        <v/>
      </c>
      <c r="U5683">
        <f>IF($A5683="","",$R5683&amp;"("&amp;$E5683&amp;")")</f>
        <v/>
      </c>
      <c r="V5683">
        <f>IF($A5683="","",$F5683&amp;"|"&amp;$U5683&amp;"|"&amp;$D5683)</f>
        <v/>
      </c>
      <c r="W5683">
        <f>IF($T5683="","",IF($X5683&gt;N($X5682),$X5683,""))</f>
        <v/>
      </c>
      <c r="X5683">
        <f>IF($T5683="",N($X5682),IF(MATCH($T5683,$T$6:$T$6005,0)=ROW()-5,N($X5682)+1,N($X5682)))</f>
        <v/>
      </c>
      <c r="Z5683">
        <f>IF($V5683="","",IF($AA5683&gt;N($AA5682),$AA5683,""))</f>
        <v/>
      </c>
      <c r="AA5683">
        <f>IF($V5683="",N($AA5682),IF(MATCH($V5683,$V$6:$V$6005,0)=ROW()-5,N($AA5682)+1,N($AA5682)))</f>
        <v/>
      </c>
    </row>
    <row r="5684" ht="21" customHeight="1" s="66">
      <c r="A5684" s="56" t="n"/>
      <c r="B5684" s="57" t="n"/>
      <c r="C5684" s="57" t="n"/>
      <c r="D5684" s="57" t="n"/>
      <c r="E5684" s="56" t="n"/>
      <c r="F5684" s="57" t="n"/>
      <c r="G5684" s="57" t="n"/>
      <c r="H5684" s="56" t="n"/>
      <c r="I5684" s="56" t="n"/>
      <c r="J5684" s="58" t="n"/>
      <c r="K5684" s="58" t="n"/>
      <c r="L5684" s="13">
        <f>IF(OR($A5684="",AND($J5684="",$K5684="")),"",ROUND(N($J5684)-N($K5684),2))</f>
        <v/>
      </c>
      <c r="M5684" s="13">
        <f>IF(OR($A5684="",AND($J5684="",$K5684="")),"",MIN($J5684,$K5684))</f>
        <v/>
      </c>
      <c r="Q5684">
        <f>IF($A5684="","",$D5684&amp;"("&amp;SUBSTITUTE($E5684," ","")&amp;")")</f>
        <v/>
      </c>
      <c r="R5684">
        <f>IF($A5684="","",$B5684&amp;" - "&amp;$C5684)</f>
        <v/>
      </c>
      <c r="S5684">
        <f>IF($A5684="","",$R5684&amp;"|"&amp;$Q5684)</f>
        <v/>
      </c>
      <c r="T5684">
        <f>IF($A5684="","",$S5684&amp;"|"&amp;$F5684)</f>
        <v/>
      </c>
      <c r="U5684">
        <f>IF($A5684="","",$R5684&amp;"("&amp;$E5684&amp;")")</f>
        <v/>
      </c>
      <c r="V5684">
        <f>IF($A5684="","",$F5684&amp;"|"&amp;$U5684&amp;"|"&amp;$D5684)</f>
        <v/>
      </c>
      <c r="W5684">
        <f>IF($T5684="","",IF($X5684&gt;N($X5683),$X5684,""))</f>
        <v/>
      </c>
      <c r="X5684">
        <f>IF($T5684="",N($X5683),IF(MATCH($T5684,$T$6:$T$6005,0)=ROW()-5,N($X5683)+1,N($X5683)))</f>
        <v/>
      </c>
      <c r="Z5684">
        <f>IF($V5684="","",IF($AA5684&gt;N($AA5683),$AA5684,""))</f>
        <v/>
      </c>
      <c r="AA5684">
        <f>IF($V5684="",N($AA5683),IF(MATCH($V5684,$V$6:$V$6005,0)=ROW()-5,N($AA5683)+1,N($AA5683)))</f>
        <v/>
      </c>
    </row>
    <row r="5685" ht="21" customHeight="1" s="66">
      <c r="A5685" s="56" t="n"/>
      <c r="B5685" s="57" t="n"/>
      <c r="C5685" s="57" t="n"/>
      <c r="D5685" s="57" t="n"/>
      <c r="E5685" s="56" t="n"/>
      <c r="F5685" s="57" t="n"/>
      <c r="G5685" s="57" t="n"/>
      <c r="H5685" s="56" t="n"/>
      <c r="I5685" s="56" t="n"/>
      <c r="J5685" s="58" t="n"/>
      <c r="K5685" s="58" t="n"/>
      <c r="L5685" s="13">
        <f>IF(OR($A5685="",AND($J5685="",$K5685="")),"",ROUND(N($J5685)-N($K5685),2))</f>
        <v/>
      </c>
      <c r="M5685" s="13">
        <f>IF(OR($A5685="",AND($J5685="",$K5685="")),"",MIN($J5685,$K5685))</f>
        <v/>
      </c>
      <c r="Q5685">
        <f>IF($A5685="","",$D5685&amp;"("&amp;SUBSTITUTE($E5685," ","")&amp;")")</f>
        <v/>
      </c>
      <c r="R5685">
        <f>IF($A5685="","",$B5685&amp;" - "&amp;$C5685)</f>
        <v/>
      </c>
      <c r="S5685">
        <f>IF($A5685="","",$R5685&amp;"|"&amp;$Q5685)</f>
        <v/>
      </c>
      <c r="T5685">
        <f>IF($A5685="","",$S5685&amp;"|"&amp;$F5685)</f>
        <v/>
      </c>
      <c r="U5685">
        <f>IF($A5685="","",$R5685&amp;"("&amp;$E5685&amp;")")</f>
        <v/>
      </c>
      <c r="V5685">
        <f>IF($A5685="","",$F5685&amp;"|"&amp;$U5685&amp;"|"&amp;$D5685)</f>
        <v/>
      </c>
      <c r="W5685">
        <f>IF($T5685="","",IF($X5685&gt;N($X5684),$X5685,""))</f>
        <v/>
      </c>
      <c r="X5685">
        <f>IF($T5685="",N($X5684),IF(MATCH($T5685,$T$6:$T$6005,0)=ROW()-5,N($X5684)+1,N($X5684)))</f>
        <v/>
      </c>
      <c r="Z5685">
        <f>IF($V5685="","",IF($AA5685&gt;N($AA5684),$AA5685,""))</f>
        <v/>
      </c>
      <c r="AA5685">
        <f>IF($V5685="",N($AA5684),IF(MATCH($V5685,$V$6:$V$6005,0)=ROW()-5,N($AA5684)+1,N($AA5684)))</f>
        <v/>
      </c>
    </row>
    <row r="5686" ht="21" customHeight="1" s="66">
      <c r="A5686" s="56" t="n"/>
      <c r="B5686" s="57" t="n"/>
      <c r="C5686" s="57" t="n"/>
      <c r="D5686" s="57" t="n"/>
      <c r="E5686" s="56" t="n"/>
      <c r="F5686" s="57" t="n"/>
      <c r="G5686" s="57" t="n"/>
      <c r="H5686" s="56" t="n"/>
      <c r="I5686" s="56" t="n"/>
      <c r="J5686" s="58" t="n"/>
      <c r="K5686" s="58" t="n"/>
      <c r="L5686" s="13">
        <f>IF(OR($A5686="",AND($J5686="",$K5686="")),"",ROUND(N($J5686)-N($K5686),2))</f>
        <v/>
      </c>
      <c r="M5686" s="13">
        <f>IF(OR($A5686="",AND($J5686="",$K5686="")),"",MIN($J5686,$K5686))</f>
        <v/>
      </c>
      <c r="Q5686">
        <f>IF($A5686="","",$D5686&amp;"("&amp;SUBSTITUTE($E5686," ","")&amp;")")</f>
        <v/>
      </c>
      <c r="R5686">
        <f>IF($A5686="","",$B5686&amp;" - "&amp;$C5686)</f>
        <v/>
      </c>
      <c r="S5686">
        <f>IF($A5686="","",$R5686&amp;"|"&amp;$Q5686)</f>
        <v/>
      </c>
      <c r="T5686">
        <f>IF($A5686="","",$S5686&amp;"|"&amp;$F5686)</f>
        <v/>
      </c>
      <c r="U5686">
        <f>IF($A5686="","",$R5686&amp;"("&amp;$E5686&amp;")")</f>
        <v/>
      </c>
      <c r="V5686">
        <f>IF($A5686="","",$F5686&amp;"|"&amp;$U5686&amp;"|"&amp;$D5686)</f>
        <v/>
      </c>
      <c r="W5686">
        <f>IF($T5686="","",IF($X5686&gt;N($X5685),$X5686,""))</f>
        <v/>
      </c>
      <c r="X5686">
        <f>IF($T5686="",N($X5685),IF(MATCH($T5686,$T$6:$T$6005,0)=ROW()-5,N($X5685)+1,N($X5685)))</f>
        <v/>
      </c>
      <c r="Z5686">
        <f>IF($V5686="","",IF($AA5686&gt;N($AA5685),$AA5686,""))</f>
        <v/>
      </c>
      <c r="AA5686">
        <f>IF($V5686="",N($AA5685),IF(MATCH($V5686,$V$6:$V$6005,0)=ROW()-5,N($AA5685)+1,N($AA5685)))</f>
        <v/>
      </c>
    </row>
    <row r="5687" ht="21" customHeight="1" s="66">
      <c r="A5687" s="56" t="n"/>
      <c r="B5687" s="57" t="n"/>
      <c r="C5687" s="57" t="n"/>
      <c r="D5687" s="57" t="n"/>
      <c r="E5687" s="56" t="n"/>
      <c r="F5687" s="57" t="n"/>
      <c r="G5687" s="57" t="n"/>
      <c r="H5687" s="56" t="n"/>
      <c r="I5687" s="56" t="n"/>
      <c r="J5687" s="58" t="n"/>
      <c r="K5687" s="58" t="n"/>
      <c r="L5687" s="13">
        <f>IF(OR($A5687="",AND($J5687="",$K5687="")),"",ROUND(N($J5687)-N($K5687),2))</f>
        <v/>
      </c>
      <c r="M5687" s="13">
        <f>IF(OR($A5687="",AND($J5687="",$K5687="")),"",MIN($J5687,$K5687))</f>
        <v/>
      </c>
      <c r="Q5687">
        <f>IF($A5687="","",$D5687&amp;"("&amp;SUBSTITUTE($E5687," ","")&amp;")")</f>
        <v/>
      </c>
      <c r="R5687">
        <f>IF($A5687="","",$B5687&amp;" - "&amp;$C5687)</f>
        <v/>
      </c>
      <c r="S5687">
        <f>IF($A5687="","",$R5687&amp;"|"&amp;$Q5687)</f>
        <v/>
      </c>
      <c r="T5687">
        <f>IF($A5687="","",$S5687&amp;"|"&amp;$F5687)</f>
        <v/>
      </c>
      <c r="U5687">
        <f>IF($A5687="","",$R5687&amp;"("&amp;$E5687&amp;")")</f>
        <v/>
      </c>
      <c r="V5687">
        <f>IF($A5687="","",$F5687&amp;"|"&amp;$U5687&amp;"|"&amp;$D5687)</f>
        <v/>
      </c>
      <c r="W5687">
        <f>IF($T5687="","",IF($X5687&gt;N($X5686),$X5687,""))</f>
        <v/>
      </c>
      <c r="X5687">
        <f>IF($T5687="",N($X5686),IF(MATCH($T5687,$T$6:$T$6005,0)=ROW()-5,N($X5686)+1,N($X5686)))</f>
        <v/>
      </c>
      <c r="Z5687">
        <f>IF($V5687="","",IF($AA5687&gt;N($AA5686),$AA5687,""))</f>
        <v/>
      </c>
      <c r="AA5687">
        <f>IF($V5687="",N($AA5686),IF(MATCH($V5687,$V$6:$V$6005,0)=ROW()-5,N($AA5686)+1,N($AA5686)))</f>
        <v/>
      </c>
    </row>
    <row r="5688" ht="21" customHeight="1" s="66">
      <c r="A5688" s="56" t="n"/>
      <c r="B5688" s="57" t="n"/>
      <c r="C5688" s="57" t="n"/>
      <c r="D5688" s="57" t="n"/>
      <c r="E5688" s="56" t="n"/>
      <c r="F5688" s="57" t="n"/>
      <c r="G5688" s="57" t="n"/>
      <c r="H5688" s="56" t="n"/>
      <c r="I5688" s="56" t="n"/>
      <c r="J5688" s="58" t="n"/>
      <c r="K5688" s="58" t="n"/>
      <c r="L5688" s="13">
        <f>IF(OR($A5688="",AND($J5688="",$K5688="")),"",ROUND(N($J5688)-N($K5688),2))</f>
        <v/>
      </c>
      <c r="M5688" s="13">
        <f>IF(OR($A5688="",AND($J5688="",$K5688="")),"",MIN($J5688,$K5688))</f>
        <v/>
      </c>
      <c r="Q5688">
        <f>IF($A5688="","",$D5688&amp;"("&amp;SUBSTITUTE($E5688," ","")&amp;")")</f>
        <v/>
      </c>
      <c r="R5688">
        <f>IF($A5688="","",$B5688&amp;" - "&amp;$C5688)</f>
        <v/>
      </c>
      <c r="S5688">
        <f>IF($A5688="","",$R5688&amp;"|"&amp;$Q5688)</f>
        <v/>
      </c>
      <c r="T5688">
        <f>IF($A5688="","",$S5688&amp;"|"&amp;$F5688)</f>
        <v/>
      </c>
      <c r="U5688">
        <f>IF($A5688="","",$R5688&amp;"("&amp;$E5688&amp;")")</f>
        <v/>
      </c>
      <c r="V5688">
        <f>IF($A5688="","",$F5688&amp;"|"&amp;$U5688&amp;"|"&amp;$D5688)</f>
        <v/>
      </c>
      <c r="W5688">
        <f>IF($T5688="","",IF($X5688&gt;N($X5687),$X5688,""))</f>
        <v/>
      </c>
      <c r="X5688">
        <f>IF($T5688="",N($X5687),IF(MATCH($T5688,$T$6:$T$6005,0)=ROW()-5,N($X5687)+1,N($X5687)))</f>
        <v/>
      </c>
      <c r="Z5688">
        <f>IF($V5688="","",IF($AA5688&gt;N($AA5687),$AA5688,""))</f>
        <v/>
      </c>
      <c r="AA5688">
        <f>IF($V5688="",N($AA5687),IF(MATCH($V5688,$V$6:$V$6005,0)=ROW()-5,N($AA5687)+1,N($AA5687)))</f>
        <v/>
      </c>
    </row>
    <row r="5689" ht="21" customHeight="1" s="66">
      <c r="A5689" s="56" t="n"/>
      <c r="B5689" s="57" t="n"/>
      <c r="C5689" s="57" t="n"/>
      <c r="D5689" s="57" t="n"/>
      <c r="E5689" s="56" t="n"/>
      <c r="F5689" s="57" t="n"/>
      <c r="G5689" s="57" t="n"/>
      <c r="H5689" s="56" t="n"/>
      <c r="I5689" s="56" t="n"/>
      <c r="J5689" s="58" t="n"/>
      <c r="K5689" s="58" t="n"/>
      <c r="L5689" s="13">
        <f>IF(OR($A5689="",AND($J5689="",$K5689="")),"",ROUND(N($J5689)-N($K5689),2))</f>
        <v/>
      </c>
      <c r="M5689" s="13">
        <f>IF(OR($A5689="",AND($J5689="",$K5689="")),"",MIN($J5689,$K5689))</f>
        <v/>
      </c>
      <c r="Q5689">
        <f>IF($A5689="","",$D5689&amp;"("&amp;SUBSTITUTE($E5689," ","")&amp;")")</f>
        <v/>
      </c>
      <c r="R5689">
        <f>IF($A5689="","",$B5689&amp;" - "&amp;$C5689)</f>
        <v/>
      </c>
      <c r="S5689">
        <f>IF($A5689="","",$R5689&amp;"|"&amp;$Q5689)</f>
        <v/>
      </c>
      <c r="T5689">
        <f>IF($A5689="","",$S5689&amp;"|"&amp;$F5689)</f>
        <v/>
      </c>
      <c r="U5689">
        <f>IF($A5689="","",$R5689&amp;"("&amp;$E5689&amp;")")</f>
        <v/>
      </c>
      <c r="V5689">
        <f>IF($A5689="","",$F5689&amp;"|"&amp;$U5689&amp;"|"&amp;$D5689)</f>
        <v/>
      </c>
      <c r="W5689">
        <f>IF($T5689="","",IF($X5689&gt;N($X5688),$X5689,""))</f>
        <v/>
      </c>
      <c r="X5689">
        <f>IF($T5689="",N($X5688),IF(MATCH($T5689,$T$6:$T$6005,0)=ROW()-5,N($X5688)+1,N($X5688)))</f>
        <v/>
      </c>
      <c r="Z5689">
        <f>IF($V5689="","",IF($AA5689&gt;N($AA5688),$AA5689,""))</f>
        <v/>
      </c>
      <c r="AA5689">
        <f>IF($V5689="",N($AA5688),IF(MATCH($V5689,$V$6:$V$6005,0)=ROW()-5,N($AA5688)+1,N($AA5688)))</f>
        <v/>
      </c>
    </row>
    <row r="5690" ht="21" customHeight="1" s="66">
      <c r="A5690" s="56" t="n"/>
      <c r="B5690" s="57" t="n"/>
      <c r="C5690" s="57" t="n"/>
      <c r="D5690" s="57" t="n"/>
      <c r="E5690" s="56" t="n"/>
      <c r="F5690" s="57" t="n"/>
      <c r="G5690" s="57" t="n"/>
      <c r="H5690" s="56" t="n"/>
      <c r="I5690" s="56" t="n"/>
      <c r="J5690" s="58" t="n"/>
      <c r="K5690" s="58" t="n"/>
      <c r="L5690" s="13">
        <f>IF(OR($A5690="",AND($J5690="",$K5690="")),"",ROUND(N($J5690)-N($K5690),2))</f>
        <v/>
      </c>
      <c r="M5690" s="13">
        <f>IF(OR($A5690="",AND($J5690="",$K5690="")),"",MIN($J5690,$K5690))</f>
        <v/>
      </c>
      <c r="Q5690">
        <f>IF($A5690="","",$D5690&amp;"("&amp;SUBSTITUTE($E5690," ","")&amp;")")</f>
        <v/>
      </c>
      <c r="R5690">
        <f>IF($A5690="","",$B5690&amp;" - "&amp;$C5690)</f>
        <v/>
      </c>
      <c r="S5690">
        <f>IF($A5690="","",$R5690&amp;"|"&amp;$Q5690)</f>
        <v/>
      </c>
      <c r="T5690">
        <f>IF($A5690="","",$S5690&amp;"|"&amp;$F5690)</f>
        <v/>
      </c>
      <c r="U5690">
        <f>IF($A5690="","",$R5690&amp;"("&amp;$E5690&amp;")")</f>
        <v/>
      </c>
      <c r="V5690">
        <f>IF($A5690="","",$F5690&amp;"|"&amp;$U5690&amp;"|"&amp;$D5690)</f>
        <v/>
      </c>
      <c r="W5690">
        <f>IF($T5690="","",IF($X5690&gt;N($X5689),$X5690,""))</f>
        <v/>
      </c>
      <c r="X5690">
        <f>IF($T5690="",N($X5689),IF(MATCH($T5690,$T$6:$T$6005,0)=ROW()-5,N($X5689)+1,N($X5689)))</f>
        <v/>
      </c>
      <c r="Z5690">
        <f>IF($V5690="","",IF($AA5690&gt;N($AA5689),$AA5690,""))</f>
        <v/>
      </c>
      <c r="AA5690">
        <f>IF($V5690="",N($AA5689),IF(MATCH($V5690,$V$6:$V$6005,0)=ROW()-5,N($AA5689)+1,N($AA5689)))</f>
        <v/>
      </c>
    </row>
    <row r="5691" ht="21" customHeight="1" s="66">
      <c r="A5691" s="56" t="n"/>
      <c r="B5691" s="57" t="n"/>
      <c r="C5691" s="57" t="n"/>
      <c r="D5691" s="57" t="n"/>
      <c r="E5691" s="56" t="n"/>
      <c r="F5691" s="57" t="n"/>
      <c r="G5691" s="57" t="n"/>
      <c r="H5691" s="56" t="n"/>
      <c r="I5691" s="56" t="n"/>
      <c r="J5691" s="58" t="n"/>
      <c r="K5691" s="58" t="n"/>
      <c r="L5691" s="13">
        <f>IF(OR($A5691="",AND($J5691="",$K5691="")),"",ROUND(N($J5691)-N($K5691),2))</f>
        <v/>
      </c>
      <c r="M5691" s="13">
        <f>IF(OR($A5691="",AND($J5691="",$K5691="")),"",MIN($J5691,$K5691))</f>
        <v/>
      </c>
      <c r="Q5691">
        <f>IF($A5691="","",$D5691&amp;"("&amp;SUBSTITUTE($E5691," ","")&amp;")")</f>
        <v/>
      </c>
      <c r="R5691">
        <f>IF($A5691="","",$B5691&amp;" - "&amp;$C5691)</f>
        <v/>
      </c>
      <c r="S5691">
        <f>IF($A5691="","",$R5691&amp;"|"&amp;$Q5691)</f>
        <v/>
      </c>
      <c r="T5691">
        <f>IF($A5691="","",$S5691&amp;"|"&amp;$F5691)</f>
        <v/>
      </c>
      <c r="U5691">
        <f>IF($A5691="","",$R5691&amp;"("&amp;$E5691&amp;")")</f>
        <v/>
      </c>
      <c r="V5691">
        <f>IF($A5691="","",$F5691&amp;"|"&amp;$U5691&amp;"|"&amp;$D5691)</f>
        <v/>
      </c>
      <c r="W5691">
        <f>IF($T5691="","",IF($X5691&gt;N($X5690),$X5691,""))</f>
        <v/>
      </c>
      <c r="X5691">
        <f>IF($T5691="",N($X5690),IF(MATCH($T5691,$T$6:$T$6005,0)=ROW()-5,N($X5690)+1,N($X5690)))</f>
        <v/>
      </c>
      <c r="Z5691">
        <f>IF($V5691="","",IF($AA5691&gt;N($AA5690),$AA5691,""))</f>
        <v/>
      </c>
      <c r="AA5691">
        <f>IF($V5691="",N($AA5690),IF(MATCH($V5691,$V$6:$V$6005,0)=ROW()-5,N($AA5690)+1,N($AA5690)))</f>
        <v/>
      </c>
    </row>
    <row r="5692" ht="21" customHeight="1" s="66">
      <c r="A5692" s="56" t="n"/>
      <c r="B5692" s="57" t="n"/>
      <c r="C5692" s="57" t="n"/>
      <c r="D5692" s="57" t="n"/>
      <c r="E5692" s="56" t="n"/>
      <c r="F5692" s="57" t="n"/>
      <c r="G5692" s="57" t="n"/>
      <c r="H5692" s="56" t="n"/>
      <c r="I5692" s="56" t="n"/>
      <c r="J5692" s="58" t="n"/>
      <c r="K5692" s="58" t="n"/>
      <c r="L5692" s="13">
        <f>IF(OR($A5692="",AND($J5692="",$K5692="")),"",ROUND(N($J5692)-N($K5692),2))</f>
        <v/>
      </c>
      <c r="M5692" s="13">
        <f>IF(OR($A5692="",AND($J5692="",$K5692="")),"",MIN($J5692,$K5692))</f>
        <v/>
      </c>
      <c r="Q5692">
        <f>IF($A5692="","",$D5692&amp;"("&amp;SUBSTITUTE($E5692," ","")&amp;")")</f>
        <v/>
      </c>
      <c r="R5692">
        <f>IF($A5692="","",$B5692&amp;" - "&amp;$C5692)</f>
        <v/>
      </c>
      <c r="S5692">
        <f>IF($A5692="","",$R5692&amp;"|"&amp;$Q5692)</f>
        <v/>
      </c>
      <c r="T5692">
        <f>IF($A5692="","",$S5692&amp;"|"&amp;$F5692)</f>
        <v/>
      </c>
      <c r="U5692">
        <f>IF($A5692="","",$R5692&amp;"("&amp;$E5692&amp;")")</f>
        <v/>
      </c>
      <c r="V5692">
        <f>IF($A5692="","",$F5692&amp;"|"&amp;$U5692&amp;"|"&amp;$D5692)</f>
        <v/>
      </c>
      <c r="W5692">
        <f>IF($T5692="","",IF($X5692&gt;N($X5691),$X5692,""))</f>
        <v/>
      </c>
      <c r="X5692">
        <f>IF($T5692="",N($X5691),IF(MATCH($T5692,$T$6:$T$6005,0)=ROW()-5,N($X5691)+1,N($X5691)))</f>
        <v/>
      </c>
      <c r="Z5692">
        <f>IF($V5692="","",IF($AA5692&gt;N($AA5691),$AA5692,""))</f>
        <v/>
      </c>
      <c r="AA5692">
        <f>IF($V5692="",N($AA5691),IF(MATCH($V5692,$V$6:$V$6005,0)=ROW()-5,N($AA5691)+1,N($AA5691)))</f>
        <v/>
      </c>
    </row>
    <row r="5693" ht="21" customHeight="1" s="66">
      <c r="A5693" s="56" t="n"/>
      <c r="B5693" s="57" t="n"/>
      <c r="C5693" s="57" t="n"/>
      <c r="D5693" s="57" t="n"/>
      <c r="E5693" s="56" t="n"/>
      <c r="F5693" s="57" t="n"/>
      <c r="G5693" s="57" t="n"/>
      <c r="H5693" s="56" t="n"/>
      <c r="I5693" s="56" t="n"/>
      <c r="J5693" s="58" t="n"/>
      <c r="K5693" s="58" t="n"/>
      <c r="L5693" s="13">
        <f>IF(OR($A5693="",AND($J5693="",$K5693="")),"",ROUND(N($J5693)-N($K5693),2))</f>
        <v/>
      </c>
      <c r="M5693" s="13">
        <f>IF(OR($A5693="",AND($J5693="",$K5693="")),"",MIN($J5693,$K5693))</f>
        <v/>
      </c>
      <c r="Q5693">
        <f>IF($A5693="","",$D5693&amp;"("&amp;SUBSTITUTE($E5693," ","")&amp;")")</f>
        <v/>
      </c>
      <c r="R5693">
        <f>IF($A5693="","",$B5693&amp;" - "&amp;$C5693)</f>
        <v/>
      </c>
      <c r="S5693">
        <f>IF($A5693="","",$R5693&amp;"|"&amp;$Q5693)</f>
        <v/>
      </c>
      <c r="T5693">
        <f>IF($A5693="","",$S5693&amp;"|"&amp;$F5693)</f>
        <v/>
      </c>
      <c r="U5693">
        <f>IF($A5693="","",$R5693&amp;"("&amp;$E5693&amp;")")</f>
        <v/>
      </c>
      <c r="V5693">
        <f>IF($A5693="","",$F5693&amp;"|"&amp;$U5693&amp;"|"&amp;$D5693)</f>
        <v/>
      </c>
      <c r="W5693">
        <f>IF($T5693="","",IF($X5693&gt;N($X5692),$X5693,""))</f>
        <v/>
      </c>
      <c r="X5693">
        <f>IF($T5693="",N($X5692),IF(MATCH($T5693,$T$6:$T$6005,0)=ROW()-5,N($X5692)+1,N($X5692)))</f>
        <v/>
      </c>
      <c r="Z5693">
        <f>IF($V5693="","",IF($AA5693&gt;N($AA5692),$AA5693,""))</f>
        <v/>
      </c>
      <c r="AA5693">
        <f>IF($V5693="",N($AA5692),IF(MATCH($V5693,$V$6:$V$6005,0)=ROW()-5,N($AA5692)+1,N($AA5692)))</f>
        <v/>
      </c>
    </row>
    <row r="5694" ht="21" customHeight="1" s="66">
      <c r="A5694" s="56" t="n"/>
      <c r="B5694" s="57" t="n"/>
      <c r="C5694" s="57" t="n"/>
      <c r="D5694" s="57" t="n"/>
      <c r="E5694" s="56" t="n"/>
      <c r="F5694" s="57" t="n"/>
      <c r="G5694" s="57" t="n"/>
      <c r="H5694" s="56" t="n"/>
      <c r="I5694" s="56" t="n"/>
      <c r="J5694" s="58" t="n"/>
      <c r="K5694" s="58" t="n"/>
      <c r="L5694" s="13">
        <f>IF(OR($A5694="",AND($J5694="",$K5694="")),"",ROUND(N($J5694)-N($K5694),2))</f>
        <v/>
      </c>
      <c r="M5694" s="13">
        <f>IF(OR($A5694="",AND($J5694="",$K5694="")),"",MIN($J5694,$K5694))</f>
        <v/>
      </c>
      <c r="Q5694">
        <f>IF($A5694="","",$D5694&amp;"("&amp;SUBSTITUTE($E5694," ","")&amp;")")</f>
        <v/>
      </c>
      <c r="R5694">
        <f>IF($A5694="","",$B5694&amp;" - "&amp;$C5694)</f>
        <v/>
      </c>
      <c r="S5694">
        <f>IF($A5694="","",$R5694&amp;"|"&amp;$Q5694)</f>
        <v/>
      </c>
      <c r="T5694">
        <f>IF($A5694="","",$S5694&amp;"|"&amp;$F5694)</f>
        <v/>
      </c>
      <c r="U5694">
        <f>IF($A5694="","",$R5694&amp;"("&amp;$E5694&amp;")")</f>
        <v/>
      </c>
      <c r="V5694">
        <f>IF($A5694="","",$F5694&amp;"|"&amp;$U5694&amp;"|"&amp;$D5694)</f>
        <v/>
      </c>
      <c r="W5694">
        <f>IF($T5694="","",IF($X5694&gt;N($X5693),$X5694,""))</f>
        <v/>
      </c>
      <c r="X5694">
        <f>IF($T5694="",N($X5693),IF(MATCH($T5694,$T$6:$T$6005,0)=ROW()-5,N($X5693)+1,N($X5693)))</f>
        <v/>
      </c>
      <c r="Z5694">
        <f>IF($V5694="","",IF($AA5694&gt;N($AA5693),$AA5694,""))</f>
        <v/>
      </c>
      <c r="AA5694">
        <f>IF($V5694="",N($AA5693),IF(MATCH($V5694,$V$6:$V$6005,0)=ROW()-5,N($AA5693)+1,N($AA5693)))</f>
        <v/>
      </c>
    </row>
    <row r="5695" ht="21" customHeight="1" s="66">
      <c r="A5695" s="56" t="n"/>
      <c r="B5695" s="57" t="n"/>
      <c r="C5695" s="57" t="n"/>
      <c r="D5695" s="57" t="n"/>
      <c r="E5695" s="56" t="n"/>
      <c r="F5695" s="57" t="n"/>
      <c r="G5695" s="57" t="n"/>
      <c r="H5695" s="56" t="n"/>
      <c r="I5695" s="56" t="n"/>
      <c r="J5695" s="58" t="n"/>
      <c r="K5695" s="58" t="n"/>
      <c r="L5695" s="13">
        <f>IF(OR($A5695="",AND($J5695="",$K5695="")),"",ROUND(N($J5695)-N($K5695),2))</f>
        <v/>
      </c>
      <c r="M5695" s="13">
        <f>IF(OR($A5695="",AND($J5695="",$K5695="")),"",MIN($J5695,$K5695))</f>
        <v/>
      </c>
      <c r="Q5695">
        <f>IF($A5695="","",$D5695&amp;"("&amp;SUBSTITUTE($E5695," ","")&amp;")")</f>
        <v/>
      </c>
      <c r="R5695">
        <f>IF($A5695="","",$B5695&amp;" - "&amp;$C5695)</f>
        <v/>
      </c>
      <c r="S5695">
        <f>IF($A5695="","",$R5695&amp;"|"&amp;$Q5695)</f>
        <v/>
      </c>
      <c r="T5695">
        <f>IF($A5695="","",$S5695&amp;"|"&amp;$F5695)</f>
        <v/>
      </c>
      <c r="U5695">
        <f>IF($A5695="","",$R5695&amp;"("&amp;$E5695&amp;")")</f>
        <v/>
      </c>
      <c r="V5695">
        <f>IF($A5695="","",$F5695&amp;"|"&amp;$U5695&amp;"|"&amp;$D5695)</f>
        <v/>
      </c>
      <c r="W5695">
        <f>IF($T5695="","",IF($X5695&gt;N($X5694),$X5695,""))</f>
        <v/>
      </c>
      <c r="X5695">
        <f>IF($T5695="",N($X5694),IF(MATCH($T5695,$T$6:$T$6005,0)=ROW()-5,N($X5694)+1,N($X5694)))</f>
        <v/>
      </c>
      <c r="Z5695">
        <f>IF($V5695="","",IF($AA5695&gt;N($AA5694),$AA5695,""))</f>
        <v/>
      </c>
      <c r="AA5695">
        <f>IF($V5695="",N($AA5694),IF(MATCH($V5695,$V$6:$V$6005,0)=ROW()-5,N($AA5694)+1,N($AA5694)))</f>
        <v/>
      </c>
    </row>
    <row r="5696" ht="21" customHeight="1" s="66">
      <c r="A5696" s="56" t="n"/>
      <c r="B5696" s="57" t="n"/>
      <c r="C5696" s="57" t="n"/>
      <c r="D5696" s="57" t="n"/>
      <c r="E5696" s="56" t="n"/>
      <c r="F5696" s="57" t="n"/>
      <c r="G5696" s="57" t="n"/>
      <c r="H5696" s="56" t="n"/>
      <c r="I5696" s="56" t="n"/>
      <c r="J5696" s="58" t="n"/>
      <c r="K5696" s="58" t="n"/>
      <c r="L5696" s="13">
        <f>IF(OR($A5696="",AND($J5696="",$K5696="")),"",ROUND(N($J5696)-N($K5696),2))</f>
        <v/>
      </c>
      <c r="M5696" s="13">
        <f>IF(OR($A5696="",AND($J5696="",$K5696="")),"",MIN($J5696,$K5696))</f>
        <v/>
      </c>
      <c r="Q5696">
        <f>IF($A5696="","",$D5696&amp;"("&amp;SUBSTITUTE($E5696," ","")&amp;")")</f>
        <v/>
      </c>
      <c r="R5696">
        <f>IF($A5696="","",$B5696&amp;" - "&amp;$C5696)</f>
        <v/>
      </c>
      <c r="S5696">
        <f>IF($A5696="","",$R5696&amp;"|"&amp;$Q5696)</f>
        <v/>
      </c>
      <c r="T5696">
        <f>IF($A5696="","",$S5696&amp;"|"&amp;$F5696)</f>
        <v/>
      </c>
      <c r="U5696">
        <f>IF($A5696="","",$R5696&amp;"("&amp;$E5696&amp;")")</f>
        <v/>
      </c>
      <c r="V5696">
        <f>IF($A5696="","",$F5696&amp;"|"&amp;$U5696&amp;"|"&amp;$D5696)</f>
        <v/>
      </c>
      <c r="W5696">
        <f>IF($T5696="","",IF($X5696&gt;N($X5695),$X5696,""))</f>
        <v/>
      </c>
      <c r="X5696">
        <f>IF($T5696="",N($X5695),IF(MATCH($T5696,$T$6:$T$6005,0)=ROW()-5,N($X5695)+1,N($X5695)))</f>
        <v/>
      </c>
      <c r="Z5696">
        <f>IF($V5696="","",IF($AA5696&gt;N($AA5695),$AA5696,""))</f>
        <v/>
      </c>
      <c r="AA5696">
        <f>IF($V5696="",N($AA5695),IF(MATCH($V5696,$V$6:$V$6005,0)=ROW()-5,N($AA5695)+1,N($AA5695)))</f>
        <v/>
      </c>
    </row>
    <row r="5697" ht="21" customHeight="1" s="66">
      <c r="A5697" s="56" t="n"/>
      <c r="B5697" s="57" t="n"/>
      <c r="C5697" s="57" t="n"/>
      <c r="D5697" s="57" t="n"/>
      <c r="E5697" s="56" t="n"/>
      <c r="F5697" s="57" t="n"/>
      <c r="G5697" s="57" t="n"/>
      <c r="H5697" s="56" t="n"/>
      <c r="I5697" s="56" t="n"/>
      <c r="J5697" s="58" t="n"/>
      <c r="K5697" s="58" t="n"/>
      <c r="L5697" s="13">
        <f>IF(OR($A5697="",AND($J5697="",$K5697="")),"",ROUND(N($J5697)-N($K5697),2))</f>
        <v/>
      </c>
      <c r="M5697" s="13">
        <f>IF(OR($A5697="",AND($J5697="",$K5697="")),"",MIN($J5697,$K5697))</f>
        <v/>
      </c>
      <c r="Q5697">
        <f>IF($A5697="","",$D5697&amp;"("&amp;SUBSTITUTE($E5697," ","")&amp;")")</f>
        <v/>
      </c>
      <c r="R5697">
        <f>IF($A5697="","",$B5697&amp;" - "&amp;$C5697)</f>
        <v/>
      </c>
      <c r="S5697">
        <f>IF($A5697="","",$R5697&amp;"|"&amp;$Q5697)</f>
        <v/>
      </c>
      <c r="T5697">
        <f>IF($A5697="","",$S5697&amp;"|"&amp;$F5697)</f>
        <v/>
      </c>
      <c r="U5697">
        <f>IF($A5697="","",$R5697&amp;"("&amp;$E5697&amp;")")</f>
        <v/>
      </c>
      <c r="V5697">
        <f>IF($A5697="","",$F5697&amp;"|"&amp;$U5697&amp;"|"&amp;$D5697)</f>
        <v/>
      </c>
      <c r="W5697">
        <f>IF($T5697="","",IF($X5697&gt;N($X5696),$X5697,""))</f>
        <v/>
      </c>
      <c r="X5697">
        <f>IF($T5697="",N($X5696),IF(MATCH($T5697,$T$6:$T$6005,0)=ROW()-5,N($X5696)+1,N($X5696)))</f>
        <v/>
      </c>
      <c r="Z5697">
        <f>IF($V5697="","",IF($AA5697&gt;N($AA5696),$AA5697,""))</f>
        <v/>
      </c>
      <c r="AA5697">
        <f>IF($V5697="",N($AA5696),IF(MATCH($V5697,$V$6:$V$6005,0)=ROW()-5,N($AA5696)+1,N($AA5696)))</f>
        <v/>
      </c>
    </row>
    <row r="5698" ht="21" customHeight="1" s="66">
      <c r="A5698" s="56" t="n"/>
      <c r="B5698" s="57" t="n"/>
      <c r="C5698" s="57" t="n"/>
      <c r="D5698" s="57" t="n"/>
      <c r="E5698" s="56" t="n"/>
      <c r="F5698" s="57" t="n"/>
      <c r="G5698" s="57" t="n"/>
      <c r="H5698" s="56" t="n"/>
      <c r="I5698" s="56" t="n"/>
      <c r="J5698" s="58" t="n"/>
      <c r="K5698" s="58" t="n"/>
      <c r="L5698" s="13">
        <f>IF(OR($A5698="",AND($J5698="",$K5698="")),"",ROUND(N($J5698)-N($K5698),2))</f>
        <v/>
      </c>
      <c r="M5698" s="13">
        <f>IF(OR($A5698="",AND($J5698="",$K5698="")),"",MIN($J5698,$K5698))</f>
        <v/>
      </c>
      <c r="Q5698">
        <f>IF($A5698="","",$D5698&amp;"("&amp;SUBSTITUTE($E5698," ","")&amp;")")</f>
        <v/>
      </c>
      <c r="R5698">
        <f>IF($A5698="","",$B5698&amp;" - "&amp;$C5698)</f>
        <v/>
      </c>
      <c r="S5698">
        <f>IF($A5698="","",$R5698&amp;"|"&amp;$Q5698)</f>
        <v/>
      </c>
      <c r="T5698">
        <f>IF($A5698="","",$S5698&amp;"|"&amp;$F5698)</f>
        <v/>
      </c>
      <c r="U5698">
        <f>IF($A5698="","",$R5698&amp;"("&amp;$E5698&amp;")")</f>
        <v/>
      </c>
      <c r="V5698">
        <f>IF($A5698="","",$F5698&amp;"|"&amp;$U5698&amp;"|"&amp;$D5698)</f>
        <v/>
      </c>
      <c r="W5698">
        <f>IF($T5698="","",IF($X5698&gt;N($X5697),$X5698,""))</f>
        <v/>
      </c>
      <c r="X5698">
        <f>IF($T5698="",N($X5697),IF(MATCH($T5698,$T$6:$T$6005,0)=ROW()-5,N($X5697)+1,N($X5697)))</f>
        <v/>
      </c>
      <c r="Z5698">
        <f>IF($V5698="","",IF($AA5698&gt;N($AA5697),$AA5698,""))</f>
        <v/>
      </c>
      <c r="AA5698">
        <f>IF($V5698="",N($AA5697),IF(MATCH($V5698,$V$6:$V$6005,0)=ROW()-5,N($AA5697)+1,N($AA5697)))</f>
        <v/>
      </c>
    </row>
    <row r="5699" ht="21" customHeight="1" s="66">
      <c r="A5699" s="56" t="n"/>
      <c r="B5699" s="57" t="n"/>
      <c r="C5699" s="57" t="n"/>
      <c r="D5699" s="57" t="n"/>
      <c r="E5699" s="56" t="n"/>
      <c r="F5699" s="57" t="n"/>
      <c r="G5699" s="57" t="n"/>
      <c r="H5699" s="56" t="n"/>
      <c r="I5699" s="56" t="n"/>
      <c r="J5699" s="58" t="n"/>
      <c r="K5699" s="58" t="n"/>
      <c r="L5699" s="13">
        <f>IF(OR($A5699="",AND($J5699="",$K5699="")),"",ROUND(N($J5699)-N($K5699),2))</f>
        <v/>
      </c>
      <c r="M5699" s="13">
        <f>IF(OR($A5699="",AND($J5699="",$K5699="")),"",MIN($J5699,$K5699))</f>
        <v/>
      </c>
      <c r="Q5699">
        <f>IF($A5699="","",$D5699&amp;"("&amp;SUBSTITUTE($E5699," ","")&amp;")")</f>
        <v/>
      </c>
      <c r="R5699">
        <f>IF($A5699="","",$B5699&amp;" - "&amp;$C5699)</f>
        <v/>
      </c>
      <c r="S5699">
        <f>IF($A5699="","",$R5699&amp;"|"&amp;$Q5699)</f>
        <v/>
      </c>
      <c r="T5699">
        <f>IF($A5699="","",$S5699&amp;"|"&amp;$F5699)</f>
        <v/>
      </c>
      <c r="U5699">
        <f>IF($A5699="","",$R5699&amp;"("&amp;$E5699&amp;")")</f>
        <v/>
      </c>
      <c r="V5699">
        <f>IF($A5699="","",$F5699&amp;"|"&amp;$U5699&amp;"|"&amp;$D5699)</f>
        <v/>
      </c>
      <c r="W5699">
        <f>IF($T5699="","",IF($X5699&gt;N($X5698),$X5699,""))</f>
        <v/>
      </c>
      <c r="X5699">
        <f>IF($T5699="",N($X5698),IF(MATCH($T5699,$T$6:$T$6005,0)=ROW()-5,N($X5698)+1,N($X5698)))</f>
        <v/>
      </c>
      <c r="Z5699">
        <f>IF($V5699="","",IF($AA5699&gt;N($AA5698),$AA5699,""))</f>
        <v/>
      </c>
      <c r="AA5699">
        <f>IF($V5699="",N($AA5698),IF(MATCH($V5699,$V$6:$V$6005,0)=ROW()-5,N($AA5698)+1,N($AA5698)))</f>
        <v/>
      </c>
    </row>
    <row r="5700" ht="21" customHeight="1" s="66">
      <c r="A5700" s="56" t="n"/>
      <c r="B5700" s="57" t="n"/>
      <c r="C5700" s="57" t="n"/>
      <c r="D5700" s="57" t="n"/>
      <c r="E5700" s="56" t="n"/>
      <c r="F5700" s="57" t="n"/>
      <c r="G5700" s="57" t="n"/>
      <c r="H5700" s="56" t="n"/>
      <c r="I5700" s="56" t="n"/>
      <c r="J5700" s="58" t="n"/>
      <c r="K5700" s="58" t="n"/>
      <c r="L5700" s="13">
        <f>IF(OR($A5700="",AND($J5700="",$K5700="")),"",ROUND(N($J5700)-N($K5700),2))</f>
        <v/>
      </c>
      <c r="M5700" s="13">
        <f>IF(OR($A5700="",AND($J5700="",$K5700="")),"",MIN($J5700,$K5700))</f>
        <v/>
      </c>
      <c r="Q5700">
        <f>IF($A5700="","",$D5700&amp;"("&amp;SUBSTITUTE($E5700," ","")&amp;")")</f>
        <v/>
      </c>
      <c r="R5700">
        <f>IF($A5700="","",$B5700&amp;" - "&amp;$C5700)</f>
        <v/>
      </c>
      <c r="S5700">
        <f>IF($A5700="","",$R5700&amp;"|"&amp;$Q5700)</f>
        <v/>
      </c>
      <c r="T5700">
        <f>IF($A5700="","",$S5700&amp;"|"&amp;$F5700)</f>
        <v/>
      </c>
      <c r="U5700">
        <f>IF($A5700="","",$R5700&amp;"("&amp;$E5700&amp;")")</f>
        <v/>
      </c>
      <c r="V5700">
        <f>IF($A5700="","",$F5700&amp;"|"&amp;$U5700&amp;"|"&amp;$D5700)</f>
        <v/>
      </c>
      <c r="W5700">
        <f>IF($T5700="","",IF($X5700&gt;N($X5699),$X5700,""))</f>
        <v/>
      </c>
      <c r="X5700">
        <f>IF($T5700="",N($X5699),IF(MATCH($T5700,$T$6:$T$6005,0)=ROW()-5,N($X5699)+1,N($X5699)))</f>
        <v/>
      </c>
      <c r="Z5700">
        <f>IF($V5700="","",IF($AA5700&gt;N($AA5699),$AA5700,""))</f>
        <v/>
      </c>
      <c r="AA5700">
        <f>IF($V5700="",N($AA5699),IF(MATCH($V5700,$V$6:$V$6005,0)=ROW()-5,N($AA5699)+1,N($AA5699)))</f>
        <v/>
      </c>
    </row>
    <row r="5701" ht="21" customHeight="1" s="66">
      <c r="A5701" s="56" t="n"/>
      <c r="B5701" s="57" t="n"/>
      <c r="C5701" s="57" t="n"/>
      <c r="D5701" s="57" t="n"/>
      <c r="E5701" s="56" t="n"/>
      <c r="F5701" s="57" t="n"/>
      <c r="G5701" s="57" t="n"/>
      <c r="H5701" s="56" t="n"/>
      <c r="I5701" s="56" t="n"/>
      <c r="J5701" s="58" t="n"/>
      <c r="K5701" s="58" t="n"/>
      <c r="L5701" s="13">
        <f>IF(OR($A5701="",AND($J5701="",$K5701="")),"",ROUND(N($J5701)-N($K5701),2))</f>
        <v/>
      </c>
      <c r="M5701" s="13">
        <f>IF(OR($A5701="",AND($J5701="",$K5701="")),"",MIN($J5701,$K5701))</f>
        <v/>
      </c>
      <c r="Q5701">
        <f>IF($A5701="","",$D5701&amp;"("&amp;SUBSTITUTE($E5701," ","")&amp;")")</f>
        <v/>
      </c>
      <c r="R5701">
        <f>IF($A5701="","",$B5701&amp;" - "&amp;$C5701)</f>
        <v/>
      </c>
      <c r="S5701">
        <f>IF($A5701="","",$R5701&amp;"|"&amp;$Q5701)</f>
        <v/>
      </c>
      <c r="T5701">
        <f>IF($A5701="","",$S5701&amp;"|"&amp;$F5701)</f>
        <v/>
      </c>
      <c r="U5701">
        <f>IF($A5701="","",$R5701&amp;"("&amp;$E5701&amp;")")</f>
        <v/>
      </c>
      <c r="V5701">
        <f>IF($A5701="","",$F5701&amp;"|"&amp;$U5701&amp;"|"&amp;$D5701)</f>
        <v/>
      </c>
      <c r="W5701">
        <f>IF($T5701="","",IF($X5701&gt;N($X5700),$X5701,""))</f>
        <v/>
      </c>
      <c r="X5701">
        <f>IF($T5701="",N($X5700),IF(MATCH($T5701,$T$6:$T$6005,0)=ROW()-5,N($X5700)+1,N($X5700)))</f>
        <v/>
      </c>
      <c r="Z5701">
        <f>IF($V5701="","",IF($AA5701&gt;N($AA5700),$AA5701,""))</f>
        <v/>
      </c>
      <c r="AA5701">
        <f>IF($V5701="",N($AA5700),IF(MATCH($V5701,$V$6:$V$6005,0)=ROW()-5,N($AA5700)+1,N($AA5700)))</f>
        <v/>
      </c>
    </row>
    <row r="5702" ht="21" customHeight="1" s="66">
      <c r="A5702" s="56" t="n"/>
      <c r="B5702" s="57" t="n"/>
      <c r="C5702" s="57" t="n"/>
      <c r="D5702" s="57" t="n"/>
      <c r="E5702" s="56" t="n"/>
      <c r="F5702" s="57" t="n"/>
      <c r="G5702" s="57" t="n"/>
      <c r="H5702" s="56" t="n"/>
      <c r="I5702" s="56" t="n"/>
      <c r="J5702" s="58" t="n"/>
      <c r="K5702" s="58" t="n"/>
      <c r="L5702" s="13">
        <f>IF(OR($A5702="",AND($J5702="",$K5702="")),"",ROUND(N($J5702)-N($K5702),2))</f>
        <v/>
      </c>
      <c r="M5702" s="13">
        <f>IF(OR($A5702="",AND($J5702="",$K5702="")),"",MIN($J5702,$K5702))</f>
        <v/>
      </c>
      <c r="Q5702">
        <f>IF($A5702="","",$D5702&amp;"("&amp;SUBSTITUTE($E5702," ","")&amp;")")</f>
        <v/>
      </c>
      <c r="R5702">
        <f>IF($A5702="","",$B5702&amp;" - "&amp;$C5702)</f>
        <v/>
      </c>
      <c r="S5702">
        <f>IF($A5702="","",$R5702&amp;"|"&amp;$Q5702)</f>
        <v/>
      </c>
      <c r="T5702">
        <f>IF($A5702="","",$S5702&amp;"|"&amp;$F5702)</f>
        <v/>
      </c>
      <c r="U5702">
        <f>IF($A5702="","",$R5702&amp;"("&amp;$E5702&amp;")")</f>
        <v/>
      </c>
      <c r="V5702">
        <f>IF($A5702="","",$F5702&amp;"|"&amp;$U5702&amp;"|"&amp;$D5702)</f>
        <v/>
      </c>
      <c r="W5702">
        <f>IF($T5702="","",IF($X5702&gt;N($X5701),$X5702,""))</f>
        <v/>
      </c>
      <c r="X5702">
        <f>IF($T5702="",N($X5701),IF(MATCH($T5702,$T$6:$T$6005,0)=ROW()-5,N($X5701)+1,N($X5701)))</f>
        <v/>
      </c>
      <c r="Z5702">
        <f>IF($V5702="","",IF($AA5702&gt;N($AA5701),$AA5702,""))</f>
        <v/>
      </c>
      <c r="AA5702">
        <f>IF($V5702="",N($AA5701),IF(MATCH($V5702,$V$6:$V$6005,0)=ROW()-5,N($AA5701)+1,N($AA5701)))</f>
        <v/>
      </c>
    </row>
    <row r="5703" ht="21" customHeight="1" s="66">
      <c r="A5703" s="56" t="n"/>
      <c r="B5703" s="57" t="n"/>
      <c r="C5703" s="57" t="n"/>
      <c r="D5703" s="57" t="n"/>
      <c r="E5703" s="56" t="n"/>
      <c r="F5703" s="57" t="n"/>
      <c r="G5703" s="57" t="n"/>
      <c r="H5703" s="56" t="n"/>
      <c r="I5703" s="56" t="n"/>
      <c r="J5703" s="58" t="n"/>
      <c r="K5703" s="58" t="n"/>
      <c r="L5703" s="13">
        <f>IF(OR($A5703="",AND($J5703="",$K5703="")),"",ROUND(N($J5703)-N($K5703),2))</f>
        <v/>
      </c>
      <c r="M5703" s="13">
        <f>IF(OR($A5703="",AND($J5703="",$K5703="")),"",MIN($J5703,$K5703))</f>
        <v/>
      </c>
      <c r="Q5703">
        <f>IF($A5703="","",$D5703&amp;"("&amp;SUBSTITUTE($E5703," ","")&amp;")")</f>
        <v/>
      </c>
      <c r="R5703">
        <f>IF($A5703="","",$B5703&amp;" - "&amp;$C5703)</f>
        <v/>
      </c>
      <c r="S5703">
        <f>IF($A5703="","",$R5703&amp;"|"&amp;$Q5703)</f>
        <v/>
      </c>
      <c r="T5703">
        <f>IF($A5703="","",$S5703&amp;"|"&amp;$F5703)</f>
        <v/>
      </c>
      <c r="U5703">
        <f>IF($A5703="","",$R5703&amp;"("&amp;$E5703&amp;")")</f>
        <v/>
      </c>
      <c r="V5703">
        <f>IF($A5703="","",$F5703&amp;"|"&amp;$U5703&amp;"|"&amp;$D5703)</f>
        <v/>
      </c>
      <c r="W5703">
        <f>IF($T5703="","",IF($X5703&gt;N($X5702),$X5703,""))</f>
        <v/>
      </c>
      <c r="X5703">
        <f>IF($T5703="",N($X5702),IF(MATCH($T5703,$T$6:$T$6005,0)=ROW()-5,N($X5702)+1,N($X5702)))</f>
        <v/>
      </c>
      <c r="Z5703">
        <f>IF($V5703="","",IF($AA5703&gt;N($AA5702),$AA5703,""))</f>
        <v/>
      </c>
      <c r="AA5703">
        <f>IF($V5703="",N($AA5702),IF(MATCH($V5703,$V$6:$V$6005,0)=ROW()-5,N($AA5702)+1,N($AA5702)))</f>
        <v/>
      </c>
    </row>
    <row r="5704" ht="21" customHeight="1" s="66">
      <c r="A5704" s="56" t="n"/>
      <c r="B5704" s="57" t="n"/>
      <c r="C5704" s="57" t="n"/>
      <c r="D5704" s="57" t="n"/>
      <c r="E5704" s="56" t="n"/>
      <c r="F5704" s="57" t="n"/>
      <c r="G5704" s="57" t="n"/>
      <c r="H5704" s="56" t="n"/>
      <c r="I5704" s="56" t="n"/>
      <c r="J5704" s="58" t="n"/>
      <c r="K5704" s="58" t="n"/>
      <c r="L5704" s="13">
        <f>IF(OR($A5704="",AND($J5704="",$K5704="")),"",ROUND(N($J5704)-N($K5704),2))</f>
        <v/>
      </c>
      <c r="M5704" s="13">
        <f>IF(OR($A5704="",AND($J5704="",$K5704="")),"",MIN($J5704,$K5704))</f>
        <v/>
      </c>
      <c r="Q5704">
        <f>IF($A5704="","",$D5704&amp;"("&amp;SUBSTITUTE($E5704," ","")&amp;")")</f>
        <v/>
      </c>
      <c r="R5704">
        <f>IF($A5704="","",$B5704&amp;" - "&amp;$C5704)</f>
        <v/>
      </c>
      <c r="S5704">
        <f>IF($A5704="","",$R5704&amp;"|"&amp;$Q5704)</f>
        <v/>
      </c>
      <c r="T5704">
        <f>IF($A5704="","",$S5704&amp;"|"&amp;$F5704)</f>
        <v/>
      </c>
      <c r="U5704">
        <f>IF($A5704="","",$R5704&amp;"("&amp;$E5704&amp;")")</f>
        <v/>
      </c>
      <c r="V5704">
        <f>IF($A5704="","",$F5704&amp;"|"&amp;$U5704&amp;"|"&amp;$D5704)</f>
        <v/>
      </c>
      <c r="W5704">
        <f>IF($T5704="","",IF($X5704&gt;N($X5703),$X5704,""))</f>
        <v/>
      </c>
      <c r="X5704">
        <f>IF($T5704="",N($X5703),IF(MATCH($T5704,$T$6:$T$6005,0)=ROW()-5,N($X5703)+1,N($X5703)))</f>
        <v/>
      </c>
      <c r="Z5704">
        <f>IF($V5704="","",IF($AA5704&gt;N($AA5703),$AA5704,""))</f>
        <v/>
      </c>
      <c r="AA5704">
        <f>IF($V5704="",N($AA5703),IF(MATCH($V5704,$V$6:$V$6005,0)=ROW()-5,N($AA5703)+1,N($AA5703)))</f>
        <v/>
      </c>
    </row>
    <row r="5705" ht="21" customHeight="1" s="66">
      <c r="A5705" s="56" t="n"/>
      <c r="B5705" s="57" t="n"/>
      <c r="C5705" s="57" t="n"/>
      <c r="D5705" s="57" t="n"/>
      <c r="E5705" s="56" t="n"/>
      <c r="F5705" s="57" t="n"/>
      <c r="G5705" s="57" t="n"/>
      <c r="H5705" s="56" t="n"/>
      <c r="I5705" s="56" t="n"/>
      <c r="J5705" s="58" t="n"/>
      <c r="K5705" s="58" t="n"/>
      <c r="L5705" s="13">
        <f>IF(OR($A5705="",AND($J5705="",$K5705="")),"",ROUND(N($J5705)-N($K5705),2))</f>
        <v/>
      </c>
      <c r="M5705" s="13">
        <f>IF(OR($A5705="",AND($J5705="",$K5705="")),"",MIN($J5705,$K5705))</f>
        <v/>
      </c>
      <c r="Q5705">
        <f>IF($A5705="","",$D5705&amp;"("&amp;SUBSTITUTE($E5705," ","")&amp;")")</f>
        <v/>
      </c>
      <c r="R5705">
        <f>IF($A5705="","",$B5705&amp;" - "&amp;$C5705)</f>
        <v/>
      </c>
      <c r="S5705">
        <f>IF($A5705="","",$R5705&amp;"|"&amp;$Q5705)</f>
        <v/>
      </c>
      <c r="T5705">
        <f>IF($A5705="","",$S5705&amp;"|"&amp;$F5705)</f>
        <v/>
      </c>
      <c r="U5705">
        <f>IF($A5705="","",$R5705&amp;"("&amp;$E5705&amp;")")</f>
        <v/>
      </c>
      <c r="V5705">
        <f>IF($A5705="","",$F5705&amp;"|"&amp;$U5705&amp;"|"&amp;$D5705)</f>
        <v/>
      </c>
      <c r="W5705">
        <f>IF($T5705="","",IF($X5705&gt;N($X5704),$X5705,""))</f>
        <v/>
      </c>
      <c r="X5705">
        <f>IF($T5705="",N($X5704),IF(MATCH($T5705,$T$6:$T$6005,0)=ROW()-5,N($X5704)+1,N($X5704)))</f>
        <v/>
      </c>
      <c r="Z5705">
        <f>IF($V5705="","",IF($AA5705&gt;N($AA5704),$AA5705,""))</f>
        <v/>
      </c>
      <c r="AA5705">
        <f>IF($V5705="",N($AA5704),IF(MATCH($V5705,$V$6:$V$6005,0)=ROW()-5,N($AA5704)+1,N($AA5704)))</f>
        <v/>
      </c>
    </row>
    <row r="5706" ht="21" customHeight="1" s="66">
      <c r="A5706" s="56" t="n"/>
      <c r="B5706" s="57" t="n"/>
      <c r="C5706" s="57" t="n"/>
      <c r="D5706" s="57" t="n"/>
      <c r="E5706" s="56" t="n"/>
      <c r="F5706" s="57" t="n"/>
      <c r="G5706" s="57" t="n"/>
      <c r="H5706" s="56" t="n"/>
      <c r="I5706" s="56" t="n"/>
      <c r="J5706" s="58" t="n"/>
      <c r="K5706" s="58" t="n"/>
      <c r="L5706" s="13">
        <f>IF(OR($A5706="",AND($J5706="",$K5706="")),"",ROUND(N($J5706)-N($K5706),2))</f>
        <v/>
      </c>
      <c r="M5706" s="13">
        <f>IF(OR($A5706="",AND($J5706="",$K5706="")),"",MIN($J5706,$K5706))</f>
        <v/>
      </c>
      <c r="Q5706">
        <f>IF($A5706="","",$D5706&amp;"("&amp;SUBSTITUTE($E5706," ","")&amp;")")</f>
        <v/>
      </c>
      <c r="R5706">
        <f>IF($A5706="","",$B5706&amp;" - "&amp;$C5706)</f>
        <v/>
      </c>
      <c r="S5706">
        <f>IF($A5706="","",$R5706&amp;"|"&amp;$Q5706)</f>
        <v/>
      </c>
      <c r="T5706">
        <f>IF($A5706="","",$S5706&amp;"|"&amp;$F5706)</f>
        <v/>
      </c>
      <c r="U5706">
        <f>IF($A5706="","",$R5706&amp;"("&amp;$E5706&amp;")")</f>
        <v/>
      </c>
      <c r="V5706">
        <f>IF($A5706="","",$F5706&amp;"|"&amp;$U5706&amp;"|"&amp;$D5706)</f>
        <v/>
      </c>
      <c r="W5706">
        <f>IF($T5706="","",IF($X5706&gt;N($X5705),$X5706,""))</f>
        <v/>
      </c>
      <c r="X5706">
        <f>IF($T5706="",N($X5705),IF(MATCH($T5706,$T$6:$T$6005,0)=ROW()-5,N($X5705)+1,N($X5705)))</f>
        <v/>
      </c>
      <c r="Z5706">
        <f>IF($V5706="","",IF($AA5706&gt;N($AA5705),$AA5706,""))</f>
        <v/>
      </c>
      <c r="AA5706">
        <f>IF($V5706="",N($AA5705),IF(MATCH($V5706,$V$6:$V$6005,0)=ROW()-5,N($AA5705)+1,N($AA5705)))</f>
        <v/>
      </c>
    </row>
    <row r="5707" ht="21" customHeight="1" s="66">
      <c r="A5707" s="56" t="n"/>
      <c r="B5707" s="57" t="n"/>
      <c r="C5707" s="57" t="n"/>
      <c r="D5707" s="57" t="n"/>
      <c r="E5707" s="56" t="n"/>
      <c r="F5707" s="57" t="n"/>
      <c r="G5707" s="57" t="n"/>
      <c r="H5707" s="56" t="n"/>
      <c r="I5707" s="56" t="n"/>
      <c r="J5707" s="58" t="n"/>
      <c r="K5707" s="58" t="n"/>
      <c r="L5707" s="13">
        <f>IF(OR($A5707="",AND($J5707="",$K5707="")),"",ROUND(N($J5707)-N($K5707),2))</f>
        <v/>
      </c>
      <c r="M5707" s="13">
        <f>IF(OR($A5707="",AND($J5707="",$K5707="")),"",MIN($J5707,$K5707))</f>
        <v/>
      </c>
      <c r="Q5707">
        <f>IF($A5707="","",$D5707&amp;"("&amp;SUBSTITUTE($E5707," ","")&amp;")")</f>
        <v/>
      </c>
      <c r="R5707">
        <f>IF($A5707="","",$B5707&amp;" - "&amp;$C5707)</f>
        <v/>
      </c>
      <c r="S5707">
        <f>IF($A5707="","",$R5707&amp;"|"&amp;$Q5707)</f>
        <v/>
      </c>
      <c r="T5707">
        <f>IF($A5707="","",$S5707&amp;"|"&amp;$F5707)</f>
        <v/>
      </c>
      <c r="U5707">
        <f>IF($A5707="","",$R5707&amp;"("&amp;$E5707&amp;")")</f>
        <v/>
      </c>
      <c r="V5707">
        <f>IF($A5707="","",$F5707&amp;"|"&amp;$U5707&amp;"|"&amp;$D5707)</f>
        <v/>
      </c>
      <c r="W5707">
        <f>IF($T5707="","",IF($X5707&gt;N($X5706),$X5707,""))</f>
        <v/>
      </c>
      <c r="X5707">
        <f>IF($T5707="",N($X5706),IF(MATCH($T5707,$T$6:$T$6005,0)=ROW()-5,N($X5706)+1,N($X5706)))</f>
        <v/>
      </c>
      <c r="Z5707">
        <f>IF($V5707="","",IF($AA5707&gt;N($AA5706),$AA5707,""))</f>
        <v/>
      </c>
      <c r="AA5707">
        <f>IF($V5707="",N($AA5706),IF(MATCH($V5707,$V$6:$V$6005,0)=ROW()-5,N($AA5706)+1,N($AA5706)))</f>
        <v/>
      </c>
    </row>
    <row r="5708" ht="21" customHeight="1" s="66">
      <c r="A5708" s="56" t="n"/>
      <c r="B5708" s="57" t="n"/>
      <c r="C5708" s="57" t="n"/>
      <c r="D5708" s="57" t="n"/>
      <c r="E5708" s="56" t="n"/>
      <c r="F5708" s="57" t="n"/>
      <c r="G5708" s="57" t="n"/>
      <c r="H5708" s="56" t="n"/>
      <c r="I5708" s="56" t="n"/>
      <c r="J5708" s="58" t="n"/>
      <c r="K5708" s="58" t="n"/>
      <c r="L5708" s="13">
        <f>IF(OR($A5708="",AND($J5708="",$K5708="")),"",ROUND(N($J5708)-N($K5708),2))</f>
        <v/>
      </c>
      <c r="M5708" s="13">
        <f>IF(OR($A5708="",AND($J5708="",$K5708="")),"",MIN($J5708,$K5708))</f>
        <v/>
      </c>
      <c r="Q5708">
        <f>IF($A5708="","",$D5708&amp;"("&amp;SUBSTITUTE($E5708," ","")&amp;")")</f>
        <v/>
      </c>
      <c r="R5708">
        <f>IF($A5708="","",$B5708&amp;" - "&amp;$C5708)</f>
        <v/>
      </c>
      <c r="S5708">
        <f>IF($A5708="","",$R5708&amp;"|"&amp;$Q5708)</f>
        <v/>
      </c>
      <c r="T5708">
        <f>IF($A5708="","",$S5708&amp;"|"&amp;$F5708)</f>
        <v/>
      </c>
      <c r="U5708">
        <f>IF($A5708="","",$R5708&amp;"("&amp;$E5708&amp;")")</f>
        <v/>
      </c>
      <c r="V5708">
        <f>IF($A5708="","",$F5708&amp;"|"&amp;$U5708&amp;"|"&amp;$D5708)</f>
        <v/>
      </c>
      <c r="W5708">
        <f>IF($T5708="","",IF($X5708&gt;N($X5707),$X5708,""))</f>
        <v/>
      </c>
      <c r="X5708">
        <f>IF($T5708="",N($X5707),IF(MATCH($T5708,$T$6:$T$6005,0)=ROW()-5,N($X5707)+1,N($X5707)))</f>
        <v/>
      </c>
      <c r="Z5708">
        <f>IF($V5708="","",IF($AA5708&gt;N($AA5707),$AA5708,""))</f>
        <v/>
      </c>
      <c r="AA5708">
        <f>IF($V5708="",N($AA5707),IF(MATCH($V5708,$V$6:$V$6005,0)=ROW()-5,N($AA5707)+1,N($AA5707)))</f>
        <v/>
      </c>
    </row>
    <row r="5709" ht="21" customHeight="1" s="66">
      <c r="A5709" s="56" t="n"/>
      <c r="B5709" s="57" t="n"/>
      <c r="C5709" s="57" t="n"/>
      <c r="D5709" s="57" t="n"/>
      <c r="E5709" s="56" t="n"/>
      <c r="F5709" s="57" t="n"/>
      <c r="G5709" s="57" t="n"/>
      <c r="H5709" s="56" t="n"/>
      <c r="I5709" s="56" t="n"/>
      <c r="J5709" s="58" t="n"/>
      <c r="K5709" s="58" t="n"/>
      <c r="L5709" s="13">
        <f>IF(OR($A5709="",AND($J5709="",$K5709="")),"",ROUND(N($J5709)-N($K5709),2))</f>
        <v/>
      </c>
      <c r="M5709" s="13">
        <f>IF(OR($A5709="",AND($J5709="",$K5709="")),"",MIN($J5709,$K5709))</f>
        <v/>
      </c>
      <c r="Q5709">
        <f>IF($A5709="","",$D5709&amp;"("&amp;SUBSTITUTE($E5709," ","")&amp;")")</f>
        <v/>
      </c>
      <c r="R5709">
        <f>IF($A5709="","",$B5709&amp;" - "&amp;$C5709)</f>
        <v/>
      </c>
      <c r="S5709">
        <f>IF($A5709="","",$R5709&amp;"|"&amp;$Q5709)</f>
        <v/>
      </c>
      <c r="T5709">
        <f>IF($A5709="","",$S5709&amp;"|"&amp;$F5709)</f>
        <v/>
      </c>
      <c r="U5709">
        <f>IF($A5709="","",$R5709&amp;"("&amp;$E5709&amp;")")</f>
        <v/>
      </c>
      <c r="V5709">
        <f>IF($A5709="","",$F5709&amp;"|"&amp;$U5709&amp;"|"&amp;$D5709)</f>
        <v/>
      </c>
      <c r="W5709">
        <f>IF($T5709="","",IF($X5709&gt;N($X5708),$X5709,""))</f>
        <v/>
      </c>
      <c r="X5709">
        <f>IF($T5709="",N($X5708),IF(MATCH($T5709,$T$6:$T$6005,0)=ROW()-5,N($X5708)+1,N($X5708)))</f>
        <v/>
      </c>
      <c r="Z5709">
        <f>IF($V5709="","",IF($AA5709&gt;N($AA5708),$AA5709,""))</f>
        <v/>
      </c>
      <c r="AA5709">
        <f>IF($V5709="",N($AA5708),IF(MATCH($V5709,$V$6:$V$6005,0)=ROW()-5,N($AA5708)+1,N($AA5708)))</f>
        <v/>
      </c>
    </row>
    <row r="5710" ht="21" customHeight="1" s="66">
      <c r="A5710" s="56" t="n"/>
      <c r="B5710" s="57" t="n"/>
      <c r="C5710" s="57" t="n"/>
      <c r="D5710" s="57" t="n"/>
      <c r="E5710" s="56" t="n"/>
      <c r="F5710" s="57" t="n"/>
      <c r="G5710" s="57" t="n"/>
      <c r="H5710" s="56" t="n"/>
      <c r="I5710" s="56" t="n"/>
      <c r="J5710" s="58" t="n"/>
      <c r="K5710" s="58" t="n"/>
      <c r="L5710" s="13">
        <f>IF(OR($A5710="",AND($J5710="",$K5710="")),"",ROUND(N($J5710)-N($K5710),2))</f>
        <v/>
      </c>
      <c r="M5710" s="13">
        <f>IF(OR($A5710="",AND($J5710="",$K5710="")),"",MIN($J5710,$K5710))</f>
        <v/>
      </c>
      <c r="Q5710">
        <f>IF($A5710="","",$D5710&amp;"("&amp;SUBSTITUTE($E5710," ","")&amp;")")</f>
        <v/>
      </c>
      <c r="R5710">
        <f>IF($A5710="","",$B5710&amp;" - "&amp;$C5710)</f>
        <v/>
      </c>
      <c r="S5710">
        <f>IF($A5710="","",$R5710&amp;"|"&amp;$Q5710)</f>
        <v/>
      </c>
      <c r="T5710">
        <f>IF($A5710="","",$S5710&amp;"|"&amp;$F5710)</f>
        <v/>
      </c>
      <c r="U5710">
        <f>IF($A5710="","",$R5710&amp;"("&amp;$E5710&amp;")")</f>
        <v/>
      </c>
      <c r="V5710">
        <f>IF($A5710="","",$F5710&amp;"|"&amp;$U5710&amp;"|"&amp;$D5710)</f>
        <v/>
      </c>
      <c r="W5710">
        <f>IF($T5710="","",IF($X5710&gt;N($X5709),$X5710,""))</f>
        <v/>
      </c>
      <c r="X5710">
        <f>IF($T5710="",N($X5709),IF(MATCH($T5710,$T$6:$T$6005,0)=ROW()-5,N($X5709)+1,N($X5709)))</f>
        <v/>
      </c>
      <c r="Z5710">
        <f>IF($V5710="","",IF($AA5710&gt;N($AA5709),$AA5710,""))</f>
        <v/>
      </c>
      <c r="AA5710">
        <f>IF($V5710="",N($AA5709),IF(MATCH($V5710,$V$6:$V$6005,0)=ROW()-5,N($AA5709)+1,N($AA5709)))</f>
        <v/>
      </c>
    </row>
    <row r="5711" ht="21" customHeight="1" s="66">
      <c r="A5711" s="56" t="n"/>
      <c r="B5711" s="57" t="n"/>
      <c r="C5711" s="57" t="n"/>
      <c r="D5711" s="57" t="n"/>
      <c r="E5711" s="56" t="n"/>
      <c r="F5711" s="57" t="n"/>
      <c r="G5711" s="57" t="n"/>
      <c r="H5711" s="56" t="n"/>
      <c r="I5711" s="56" t="n"/>
      <c r="J5711" s="58" t="n"/>
      <c r="K5711" s="58" t="n"/>
      <c r="L5711" s="13">
        <f>IF(OR($A5711="",AND($J5711="",$K5711="")),"",ROUND(N($J5711)-N($K5711),2))</f>
        <v/>
      </c>
      <c r="M5711" s="13">
        <f>IF(OR($A5711="",AND($J5711="",$K5711="")),"",MIN($J5711,$K5711))</f>
        <v/>
      </c>
      <c r="Q5711">
        <f>IF($A5711="","",$D5711&amp;"("&amp;SUBSTITUTE($E5711," ","")&amp;")")</f>
        <v/>
      </c>
      <c r="R5711">
        <f>IF($A5711="","",$B5711&amp;" - "&amp;$C5711)</f>
        <v/>
      </c>
      <c r="S5711">
        <f>IF($A5711="","",$R5711&amp;"|"&amp;$Q5711)</f>
        <v/>
      </c>
      <c r="T5711">
        <f>IF($A5711="","",$S5711&amp;"|"&amp;$F5711)</f>
        <v/>
      </c>
      <c r="U5711">
        <f>IF($A5711="","",$R5711&amp;"("&amp;$E5711&amp;")")</f>
        <v/>
      </c>
      <c r="V5711">
        <f>IF($A5711="","",$F5711&amp;"|"&amp;$U5711&amp;"|"&amp;$D5711)</f>
        <v/>
      </c>
      <c r="W5711">
        <f>IF($T5711="","",IF($X5711&gt;N($X5710),$X5711,""))</f>
        <v/>
      </c>
      <c r="X5711">
        <f>IF($T5711="",N($X5710),IF(MATCH($T5711,$T$6:$T$6005,0)=ROW()-5,N($X5710)+1,N($X5710)))</f>
        <v/>
      </c>
      <c r="Z5711">
        <f>IF($V5711="","",IF($AA5711&gt;N($AA5710),$AA5711,""))</f>
        <v/>
      </c>
      <c r="AA5711">
        <f>IF($V5711="",N($AA5710),IF(MATCH($V5711,$V$6:$V$6005,0)=ROW()-5,N($AA5710)+1,N($AA5710)))</f>
        <v/>
      </c>
    </row>
    <row r="5712" ht="21" customHeight="1" s="66">
      <c r="A5712" s="56" t="n"/>
      <c r="B5712" s="57" t="n"/>
      <c r="C5712" s="57" t="n"/>
      <c r="D5712" s="57" t="n"/>
      <c r="E5712" s="56" t="n"/>
      <c r="F5712" s="57" t="n"/>
      <c r="G5712" s="57" t="n"/>
      <c r="H5712" s="56" t="n"/>
      <c r="I5712" s="56" t="n"/>
      <c r="J5712" s="58" t="n"/>
      <c r="K5712" s="58" t="n"/>
      <c r="L5712" s="13">
        <f>IF(OR($A5712="",AND($J5712="",$K5712="")),"",ROUND(N($J5712)-N($K5712),2))</f>
        <v/>
      </c>
      <c r="M5712" s="13">
        <f>IF(OR($A5712="",AND($J5712="",$K5712="")),"",MIN($J5712,$K5712))</f>
        <v/>
      </c>
      <c r="Q5712">
        <f>IF($A5712="","",$D5712&amp;"("&amp;SUBSTITUTE($E5712," ","")&amp;")")</f>
        <v/>
      </c>
      <c r="R5712">
        <f>IF($A5712="","",$B5712&amp;" - "&amp;$C5712)</f>
        <v/>
      </c>
      <c r="S5712">
        <f>IF($A5712="","",$R5712&amp;"|"&amp;$Q5712)</f>
        <v/>
      </c>
      <c r="T5712">
        <f>IF($A5712="","",$S5712&amp;"|"&amp;$F5712)</f>
        <v/>
      </c>
      <c r="U5712">
        <f>IF($A5712="","",$R5712&amp;"("&amp;$E5712&amp;")")</f>
        <v/>
      </c>
      <c r="V5712">
        <f>IF($A5712="","",$F5712&amp;"|"&amp;$U5712&amp;"|"&amp;$D5712)</f>
        <v/>
      </c>
      <c r="W5712">
        <f>IF($T5712="","",IF($X5712&gt;N($X5711),$X5712,""))</f>
        <v/>
      </c>
      <c r="X5712">
        <f>IF($T5712="",N($X5711),IF(MATCH($T5712,$T$6:$T$6005,0)=ROW()-5,N($X5711)+1,N($X5711)))</f>
        <v/>
      </c>
      <c r="Z5712">
        <f>IF($V5712="","",IF($AA5712&gt;N($AA5711),$AA5712,""))</f>
        <v/>
      </c>
      <c r="AA5712">
        <f>IF($V5712="",N($AA5711),IF(MATCH($V5712,$V$6:$V$6005,0)=ROW()-5,N($AA5711)+1,N($AA5711)))</f>
        <v/>
      </c>
    </row>
    <row r="5713" ht="21" customHeight="1" s="66">
      <c r="A5713" s="56" t="n"/>
      <c r="B5713" s="57" t="n"/>
      <c r="C5713" s="57" t="n"/>
      <c r="D5713" s="57" t="n"/>
      <c r="E5713" s="56" t="n"/>
      <c r="F5713" s="57" t="n"/>
      <c r="G5713" s="57" t="n"/>
      <c r="H5713" s="56" t="n"/>
      <c r="I5713" s="56" t="n"/>
      <c r="J5713" s="58" t="n"/>
      <c r="K5713" s="58" t="n"/>
      <c r="L5713" s="13">
        <f>IF(OR($A5713="",AND($J5713="",$K5713="")),"",ROUND(N($J5713)-N($K5713),2))</f>
        <v/>
      </c>
      <c r="M5713" s="13">
        <f>IF(OR($A5713="",AND($J5713="",$K5713="")),"",MIN($J5713,$K5713))</f>
        <v/>
      </c>
      <c r="Q5713">
        <f>IF($A5713="","",$D5713&amp;"("&amp;SUBSTITUTE($E5713," ","")&amp;")")</f>
        <v/>
      </c>
      <c r="R5713">
        <f>IF($A5713="","",$B5713&amp;" - "&amp;$C5713)</f>
        <v/>
      </c>
      <c r="S5713">
        <f>IF($A5713="","",$R5713&amp;"|"&amp;$Q5713)</f>
        <v/>
      </c>
      <c r="T5713">
        <f>IF($A5713="","",$S5713&amp;"|"&amp;$F5713)</f>
        <v/>
      </c>
      <c r="U5713">
        <f>IF($A5713="","",$R5713&amp;"("&amp;$E5713&amp;")")</f>
        <v/>
      </c>
      <c r="V5713">
        <f>IF($A5713="","",$F5713&amp;"|"&amp;$U5713&amp;"|"&amp;$D5713)</f>
        <v/>
      </c>
      <c r="W5713">
        <f>IF($T5713="","",IF($X5713&gt;N($X5712),$X5713,""))</f>
        <v/>
      </c>
      <c r="X5713">
        <f>IF($T5713="",N($X5712),IF(MATCH($T5713,$T$6:$T$6005,0)=ROW()-5,N($X5712)+1,N($X5712)))</f>
        <v/>
      </c>
      <c r="Z5713">
        <f>IF($V5713="","",IF($AA5713&gt;N($AA5712),$AA5713,""))</f>
        <v/>
      </c>
      <c r="AA5713">
        <f>IF($V5713="",N($AA5712),IF(MATCH($V5713,$V$6:$V$6005,0)=ROW()-5,N($AA5712)+1,N($AA5712)))</f>
        <v/>
      </c>
    </row>
    <row r="5714" ht="21" customHeight="1" s="66">
      <c r="A5714" s="56" t="n"/>
      <c r="B5714" s="57" t="n"/>
      <c r="C5714" s="57" t="n"/>
      <c r="D5714" s="57" t="n"/>
      <c r="E5714" s="56" t="n"/>
      <c r="F5714" s="57" t="n"/>
      <c r="G5714" s="57" t="n"/>
      <c r="H5714" s="56" t="n"/>
      <c r="I5714" s="56" t="n"/>
      <c r="J5714" s="58" t="n"/>
      <c r="K5714" s="58" t="n"/>
      <c r="L5714" s="13">
        <f>IF(OR($A5714="",AND($J5714="",$K5714="")),"",ROUND(N($J5714)-N($K5714),2))</f>
        <v/>
      </c>
      <c r="M5714" s="13">
        <f>IF(OR($A5714="",AND($J5714="",$K5714="")),"",MIN($J5714,$K5714))</f>
        <v/>
      </c>
      <c r="Q5714">
        <f>IF($A5714="","",$D5714&amp;"("&amp;SUBSTITUTE($E5714," ","")&amp;")")</f>
        <v/>
      </c>
      <c r="R5714">
        <f>IF($A5714="","",$B5714&amp;" - "&amp;$C5714)</f>
        <v/>
      </c>
      <c r="S5714">
        <f>IF($A5714="","",$R5714&amp;"|"&amp;$Q5714)</f>
        <v/>
      </c>
      <c r="T5714">
        <f>IF($A5714="","",$S5714&amp;"|"&amp;$F5714)</f>
        <v/>
      </c>
      <c r="U5714">
        <f>IF($A5714="","",$R5714&amp;"("&amp;$E5714&amp;")")</f>
        <v/>
      </c>
      <c r="V5714">
        <f>IF($A5714="","",$F5714&amp;"|"&amp;$U5714&amp;"|"&amp;$D5714)</f>
        <v/>
      </c>
      <c r="W5714">
        <f>IF($T5714="","",IF($X5714&gt;N($X5713),$X5714,""))</f>
        <v/>
      </c>
      <c r="X5714">
        <f>IF($T5714="",N($X5713),IF(MATCH($T5714,$T$6:$T$6005,0)=ROW()-5,N($X5713)+1,N($X5713)))</f>
        <v/>
      </c>
      <c r="Z5714">
        <f>IF($V5714="","",IF($AA5714&gt;N($AA5713),$AA5714,""))</f>
        <v/>
      </c>
      <c r="AA5714">
        <f>IF($V5714="",N($AA5713),IF(MATCH($V5714,$V$6:$V$6005,0)=ROW()-5,N($AA5713)+1,N($AA5713)))</f>
        <v/>
      </c>
    </row>
    <row r="5715" ht="21" customHeight="1" s="66">
      <c r="A5715" s="56" t="n"/>
      <c r="B5715" s="57" t="n"/>
      <c r="C5715" s="57" t="n"/>
      <c r="D5715" s="57" t="n"/>
      <c r="E5715" s="56" t="n"/>
      <c r="F5715" s="57" t="n"/>
      <c r="G5715" s="57" t="n"/>
      <c r="H5715" s="56" t="n"/>
      <c r="I5715" s="56" t="n"/>
      <c r="J5715" s="58" t="n"/>
      <c r="K5715" s="58" t="n"/>
      <c r="L5715" s="13">
        <f>IF(OR($A5715="",AND($J5715="",$K5715="")),"",ROUND(N($J5715)-N($K5715),2))</f>
        <v/>
      </c>
      <c r="M5715" s="13">
        <f>IF(OR($A5715="",AND($J5715="",$K5715="")),"",MIN($J5715,$K5715))</f>
        <v/>
      </c>
      <c r="Q5715">
        <f>IF($A5715="","",$D5715&amp;"("&amp;SUBSTITUTE($E5715," ","")&amp;")")</f>
        <v/>
      </c>
      <c r="R5715">
        <f>IF($A5715="","",$B5715&amp;" - "&amp;$C5715)</f>
        <v/>
      </c>
      <c r="S5715">
        <f>IF($A5715="","",$R5715&amp;"|"&amp;$Q5715)</f>
        <v/>
      </c>
      <c r="T5715">
        <f>IF($A5715="","",$S5715&amp;"|"&amp;$F5715)</f>
        <v/>
      </c>
      <c r="U5715">
        <f>IF($A5715="","",$R5715&amp;"("&amp;$E5715&amp;")")</f>
        <v/>
      </c>
      <c r="V5715">
        <f>IF($A5715="","",$F5715&amp;"|"&amp;$U5715&amp;"|"&amp;$D5715)</f>
        <v/>
      </c>
      <c r="W5715">
        <f>IF($T5715="","",IF($X5715&gt;N($X5714),$X5715,""))</f>
        <v/>
      </c>
      <c r="X5715">
        <f>IF($T5715="",N($X5714),IF(MATCH($T5715,$T$6:$T$6005,0)=ROW()-5,N($X5714)+1,N($X5714)))</f>
        <v/>
      </c>
      <c r="Z5715">
        <f>IF($V5715="","",IF($AA5715&gt;N($AA5714),$AA5715,""))</f>
        <v/>
      </c>
      <c r="AA5715">
        <f>IF($V5715="",N($AA5714),IF(MATCH($V5715,$V$6:$V$6005,0)=ROW()-5,N($AA5714)+1,N($AA5714)))</f>
        <v/>
      </c>
    </row>
    <row r="5716" ht="21" customHeight="1" s="66">
      <c r="A5716" s="56" t="n"/>
      <c r="B5716" s="57" t="n"/>
      <c r="C5716" s="57" t="n"/>
      <c r="D5716" s="57" t="n"/>
      <c r="E5716" s="56" t="n"/>
      <c r="F5716" s="57" t="n"/>
      <c r="G5716" s="57" t="n"/>
      <c r="H5716" s="56" t="n"/>
      <c r="I5716" s="56" t="n"/>
      <c r="J5716" s="58" t="n"/>
      <c r="K5716" s="58" t="n"/>
      <c r="L5716" s="13">
        <f>IF(OR($A5716="",AND($J5716="",$K5716="")),"",ROUND(N($J5716)-N($K5716),2))</f>
        <v/>
      </c>
      <c r="M5716" s="13">
        <f>IF(OR($A5716="",AND($J5716="",$K5716="")),"",MIN($J5716,$K5716))</f>
        <v/>
      </c>
      <c r="Q5716">
        <f>IF($A5716="","",$D5716&amp;"("&amp;SUBSTITUTE($E5716," ","")&amp;")")</f>
        <v/>
      </c>
      <c r="R5716">
        <f>IF($A5716="","",$B5716&amp;" - "&amp;$C5716)</f>
        <v/>
      </c>
      <c r="S5716">
        <f>IF($A5716="","",$R5716&amp;"|"&amp;$Q5716)</f>
        <v/>
      </c>
      <c r="T5716">
        <f>IF($A5716="","",$S5716&amp;"|"&amp;$F5716)</f>
        <v/>
      </c>
      <c r="U5716">
        <f>IF($A5716="","",$R5716&amp;"("&amp;$E5716&amp;")")</f>
        <v/>
      </c>
      <c r="V5716">
        <f>IF($A5716="","",$F5716&amp;"|"&amp;$U5716&amp;"|"&amp;$D5716)</f>
        <v/>
      </c>
      <c r="W5716">
        <f>IF($T5716="","",IF($X5716&gt;N($X5715),$X5716,""))</f>
        <v/>
      </c>
      <c r="X5716">
        <f>IF($T5716="",N($X5715),IF(MATCH($T5716,$T$6:$T$6005,0)=ROW()-5,N($X5715)+1,N($X5715)))</f>
        <v/>
      </c>
      <c r="Z5716">
        <f>IF($V5716="","",IF($AA5716&gt;N($AA5715),$AA5716,""))</f>
        <v/>
      </c>
      <c r="AA5716">
        <f>IF($V5716="",N($AA5715),IF(MATCH($V5716,$V$6:$V$6005,0)=ROW()-5,N($AA5715)+1,N($AA5715)))</f>
        <v/>
      </c>
    </row>
    <row r="5717" ht="21" customHeight="1" s="66">
      <c r="A5717" s="56" t="n"/>
      <c r="B5717" s="57" t="n"/>
      <c r="C5717" s="57" t="n"/>
      <c r="D5717" s="57" t="n"/>
      <c r="E5717" s="56" t="n"/>
      <c r="F5717" s="57" t="n"/>
      <c r="G5717" s="57" t="n"/>
      <c r="H5717" s="56" t="n"/>
      <c r="I5717" s="56" t="n"/>
      <c r="J5717" s="58" t="n"/>
      <c r="K5717" s="58" t="n"/>
      <c r="L5717" s="13">
        <f>IF(OR($A5717="",AND($J5717="",$K5717="")),"",ROUND(N($J5717)-N($K5717),2))</f>
        <v/>
      </c>
      <c r="M5717" s="13">
        <f>IF(OR($A5717="",AND($J5717="",$K5717="")),"",MIN($J5717,$K5717))</f>
        <v/>
      </c>
      <c r="Q5717">
        <f>IF($A5717="","",$D5717&amp;"("&amp;SUBSTITUTE($E5717," ","")&amp;")")</f>
        <v/>
      </c>
      <c r="R5717">
        <f>IF($A5717="","",$B5717&amp;" - "&amp;$C5717)</f>
        <v/>
      </c>
      <c r="S5717">
        <f>IF($A5717="","",$R5717&amp;"|"&amp;$Q5717)</f>
        <v/>
      </c>
      <c r="T5717">
        <f>IF($A5717="","",$S5717&amp;"|"&amp;$F5717)</f>
        <v/>
      </c>
      <c r="U5717">
        <f>IF($A5717="","",$R5717&amp;"("&amp;$E5717&amp;")")</f>
        <v/>
      </c>
      <c r="V5717">
        <f>IF($A5717="","",$F5717&amp;"|"&amp;$U5717&amp;"|"&amp;$D5717)</f>
        <v/>
      </c>
      <c r="W5717">
        <f>IF($T5717="","",IF($X5717&gt;N($X5716),$X5717,""))</f>
        <v/>
      </c>
      <c r="X5717">
        <f>IF($T5717="",N($X5716),IF(MATCH($T5717,$T$6:$T$6005,0)=ROW()-5,N($X5716)+1,N($X5716)))</f>
        <v/>
      </c>
      <c r="Z5717">
        <f>IF($V5717="","",IF($AA5717&gt;N($AA5716),$AA5717,""))</f>
        <v/>
      </c>
      <c r="AA5717">
        <f>IF($V5717="",N($AA5716),IF(MATCH($V5717,$V$6:$V$6005,0)=ROW()-5,N($AA5716)+1,N($AA5716)))</f>
        <v/>
      </c>
    </row>
    <row r="5718" ht="21" customHeight="1" s="66">
      <c r="A5718" s="56" t="n"/>
      <c r="B5718" s="57" t="n"/>
      <c r="C5718" s="57" t="n"/>
      <c r="D5718" s="57" t="n"/>
      <c r="E5718" s="56" t="n"/>
      <c r="F5718" s="57" t="n"/>
      <c r="G5718" s="57" t="n"/>
      <c r="H5718" s="56" t="n"/>
      <c r="I5718" s="56" t="n"/>
      <c r="J5718" s="58" t="n"/>
      <c r="K5718" s="58" t="n"/>
      <c r="L5718" s="13">
        <f>IF(OR($A5718="",AND($J5718="",$K5718="")),"",ROUND(N($J5718)-N($K5718),2))</f>
        <v/>
      </c>
      <c r="M5718" s="13">
        <f>IF(OR($A5718="",AND($J5718="",$K5718="")),"",MIN($J5718,$K5718))</f>
        <v/>
      </c>
      <c r="Q5718">
        <f>IF($A5718="","",$D5718&amp;"("&amp;SUBSTITUTE($E5718," ","")&amp;")")</f>
        <v/>
      </c>
      <c r="R5718">
        <f>IF($A5718="","",$B5718&amp;" - "&amp;$C5718)</f>
        <v/>
      </c>
      <c r="S5718">
        <f>IF($A5718="","",$R5718&amp;"|"&amp;$Q5718)</f>
        <v/>
      </c>
      <c r="T5718">
        <f>IF($A5718="","",$S5718&amp;"|"&amp;$F5718)</f>
        <v/>
      </c>
      <c r="U5718">
        <f>IF($A5718="","",$R5718&amp;"("&amp;$E5718&amp;")")</f>
        <v/>
      </c>
      <c r="V5718">
        <f>IF($A5718="","",$F5718&amp;"|"&amp;$U5718&amp;"|"&amp;$D5718)</f>
        <v/>
      </c>
      <c r="W5718">
        <f>IF($T5718="","",IF($X5718&gt;N($X5717),$X5718,""))</f>
        <v/>
      </c>
      <c r="X5718">
        <f>IF($T5718="",N($X5717),IF(MATCH($T5718,$T$6:$T$6005,0)=ROW()-5,N($X5717)+1,N($X5717)))</f>
        <v/>
      </c>
      <c r="Z5718">
        <f>IF($V5718="","",IF($AA5718&gt;N($AA5717),$AA5718,""))</f>
        <v/>
      </c>
      <c r="AA5718">
        <f>IF($V5718="",N($AA5717),IF(MATCH($V5718,$V$6:$V$6005,0)=ROW()-5,N($AA5717)+1,N($AA5717)))</f>
        <v/>
      </c>
    </row>
    <row r="5719" ht="21" customHeight="1" s="66">
      <c r="A5719" s="56" t="n"/>
      <c r="B5719" s="57" t="n"/>
      <c r="C5719" s="57" t="n"/>
      <c r="D5719" s="57" t="n"/>
      <c r="E5719" s="56" t="n"/>
      <c r="F5719" s="57" t="n"/>
      <c r="G5719" s="57" t="n"/>
      <c r="H5719" s="56" t="n"/>
      <c r="I5719" s="56" t="n"/>
      <c r="J5719" s="58" t="n"/>
      <c r="K5719" s="58" t="n"/>
      <c r="L5719" s="13">
        <f>IF(OR($A5719="",AND($J5719="",$K5719="")),"",ROUND(N($J5719)-N($K5719),2))</f>
        <v/>
      </c>
      <c r="M5719" s="13">
        <f>IF(OR($A5719="",AND($J5719="",$K5719="")),"",MIN($J5719,$K5719))</f>
        <v/>
      </c>
      <c r="Q5719">
        <f>IF($A5719="","",$D5719&amp;"("&amp;SUBSTITUTE($E5719," ","")&amp;")")</f>
        <v/>
      </c>
      <c r="R5719">
        <f>IF($A5719="","",$B5719&amp;" - "&amp;$C5719)</f>
        <v/>
      </c>
      <c r="S5719">
        <f>IF($A5719="","",$R5719&amp;"|"&amp;$Q5719)</f>
        <v/>
      </c>
      <c r="T5719">
        <f>IF($A5719="","",$S5719&amp;"|"&amp;$F5719)</f>
        <v/>
      </c>
      <c r="U5719">
        <f>IF($A5719="","",$R5719&amp;"("&amp;$E5719&amp;")")</f>
        <v/>
      </c>
      <c r="V5719">
        <f>IF($A5719="","",$F5719&amp;"|"&amp;$U5719&amp;"|"&amp;$D5719)</f>
        <v/>
      </c>
      <c r="W5719">
        <f>IF($T5719="","",IF($X5719&gt;N($X5718),$X5719,""))</f>
        <v/>
      </c>
      <c r="X5719">
        <f>IF($T5719="",N($X5718),IF(MATCH($T5719,$T$6:$T$6005,0)=ROW()-5,N($X5718)+1,N($X5718)))</f>
        <v/>
      </c>
      <c r="Z5719">
        <f>IF($V5719="","",IF($AA5719&gt;N($AA5718),$AA5719,""))</f>
        <v/>
      </c>
      <c r="AA5719">
        <f>IF($V5719="",N($AA5718),IF(MATCH($V5719,$V$6:$V$6005,0)=ROW()-5,N($AA5718)+1,N($AA5718)))</f>
        <v/>
      </c>
    </row>
    <row r="5720" ht="21" customHeight="1" s="66">
      <c r="A5720" s="56" t="n"/>
      <c r="B5720" s="57" t="n"/>
      <c r="C5720" s="57" t="n"/>
      <c r="D5720" s="57" t="n"/>
      <c r="E5720" s="56" t="n"/>
      <c r="F5720" s="57" t="n"/>
      <c r="G5720" s="57" t="n"/>
      <c r="H5720" s="56" t="n"/>
      <c r="I5720" s="56" t="n"/>
      <c r="J5720" s="58" t="n"/>
      <c r="K5720" s="58" t="n"/>
      <c r="L5720" s="13">
        <f>IF(OR($A5720="",AND($J5720="",$K5720="")),"",ROUND(N($J5720)-N($K5720),2))</f>
        <v/>
      </c>
      <c r="M5720" s="13">
        <f>IF(OR($A5720="",AND($J5720="",$K5720="")),"",MIN($J5720,$K5720))</f>
        <v/>
      </c>
      <c r="Q5720">
        <f>IF($A5720="","",$D5720&amp;"("&amp;SUBSTITUTE($E5720," ","")&amp;")")</f>
        <v/>
      </c>
      <c r="R5720">
        <f>IF($A5720="","",$B5720&amp;" - "&amp;$C5720)</f>
        <v/>
      </c>
      <c r="S5720">
        <f>IF($A5720="","",$R5720&amp;"|"&amp;$Q5720)</f>
        <v/>
      </c>
      <c r="T5720">
        <f>IF($A5720="","",$S5720&amp;"|"&amp;$F5720)</f>
        <v/>
      </c>
      <c r="U5720">
        <f>IF($A5720="","",$R5720&amp;"("&amp;$E5720&amp;")")</f>
        <v/>
      </c>
      <c r="V5720">
        <f>IF($A5720="","",$F5720&amp;"|"&amp;$U5720&amp;"|"&amp;$D5720)</f>
        <v/>
      </c>
      <c r="W5720">
        <f>IF($T5720="","",IF($X5720&gt;N($X5719),$X5720,""))</f>
        <v/>
      </c>
      <c r="X5720">
        <f>IF($T5720="",N($X5719),IF(MATCH($T5720,$T$6:$T$6005,0)=ROW()-5,N($X5719)+1,N($X5719)))</f>
        <v/>
      </c>
      <c r="Z5720">
        <f>IF($V5720="","",IF($AA5720&gt;N($AA5719),$AA5720,""))</f>
        <v/>
      </c>
      <c r="AA5720">
        <f>IF($V5720="",N($AA5719),IF(MATCH($V5720,$V$6:$V$6005,0)=ROW()-5,N($AA5719)+1,N($AA5719)))</f>
        <v/>
      </c>
    </row>
    <row r="5721" ht="21" customHeight="1" s="66">
      <c r="A5721" s="56" t="n"/>
      <c r="B5721" s="57" t="n"/>
      <c r="C5721" s="57" t="n"/>
      <c r="D5721" s="57" t="n"/>
      <c r="E5721" s="56" t="n"/>
      <c r="F5721" s="57" t="n"/>
      <c r="G5721" s="57" t="n"/>
      <c r="H5721" s="56" t="n"/>
      <c r="I5721" s="56" t="n"/>
      <c r="J5721" s="58" t="n"/>
      <c r="K5721" s="58" t="n"/>
      <c r="L5721" s="13">
        <f>IF(OR($A5721="",AND($J5721="",$K5721="")),"",ROUND(N($J5721)-N($K5721),2))</f>
        <v/>
      </c>
      <c r="M5721" s="13">
        <f>IF(OR($A5721="",AND($J5721="",$K5721="")),"",MIN($J5721,$K5721))</f>
        <v/>
      </c>
      <c r="Q5721">
        <f>IF($A5721="","",$D5721&amp;"("&amp;SUBSTITUTE($E5721," ","")&amp;")")</f>
        <v/>
      </c>
      <c r="R5721">
        <f>IF($A5721="","",$B5721&amp;" - "&amp;$C5721)</f>
        <v/>
      </c>
      <c r="S5721">
        <f>IF($A5721="","",$R5721&amp;"|"&amp;$Q5721)</f>
        <v/>
      </c>
      <c r="T5721">
        <f>IF($A5721="","",$S5721&amp;"|"&amp;$F5721)</f>
        <v/>
      </c>
      <c r="U5721">
        <f>IF($A5721="","",$R5721&amp;"("&amp;$E5721&amp;")")</f>
        <v/>
      </c>
      <c r="V5721">
        <f>IF($A5721="","",$F5721&amp;"|"&amp;$U5721&amp;"|"&amp;$D5721)</f>
        <v/>
      </c>
      <c r="W5721">
        <f>IF($T5721="","",IF($X5721&gt;N($X5720),$X5721,""))</f>
        <v/>
      </c>
      <c r="X5721">
        <f>IF($T5721="",N($X5720),IF(MATCH($T5721,$T$6:$T$6005,0)=ROW()-5,N($X5720)+1,N($X5720)))</f>
        <v/>
      </c>
      <c r="Z5721">
        <f>IF($V5721="","",IF($AA5721&gt;N($AA5720),$AA5721,""))</f>
        <v/>
      </c>
      <c r="AA5721">
        <f>IF($V5721="",N($AA5720),IF(MATCH($V5721,$V$6:$V$6005,0)=ROW()-5,N($AA5720)+1,N($AA5720)))</f>
        <v/>
      </c>
    </row>
    <row r="5722" ht="21" customHeight="1" s="66">
      <c r="A5722" s="56" t="n"/>
      <c r="B5722" s="57" t="n"/>
      <c r="C5722" s="57" t="n"/>
      <c r="D5722" s="57" t="n"/>
      <c r="E5722" s="56" t="n"/>
      <c r="F5722" s="57" t="n"/>
      <c r="G5722" s="57" t="n"/>
      <c r="H5722" s="56" t="n"/>
      <c r="I5722" s="56" t="n"/>
      <c r="J5722" s="58" t="n"/>
      <c r="K5722" s="58" t="n"/>
      <c r="L5722" s="13">
        <f>IF(OR($A5722="",AND($J5722="",$K5722="")),"",ROUND(N($J5722)-N($K5722),2))</f>
        <v/>
      </c>
      <c r="M5722" s="13">
        <f>IF(OR($A5722="",AND($J5722="",$K5722="")),"",MIN($J5722,$K5722))</f>
        <v/>
      </c>
      <c r="Q5722">
        <f>IF($A5722="","",$D5722&amp;"("&amp;SUBSTITUTE($E5722," ","")&amp;")")</f>
        <v/>
      </c>
      <c r="R5722">
        <f>IF($A5722="","",$B5722&amp;" - "&amp;$C5722)</f>
        <v/>
      </c>
      <c r="S5722">
        <f>IF($A5722="","",$R5722&amp;"|"&amp;$Q5722)</f>
        <v/>
      </c>
      <c r="T5722">
        <f>IF($A5722="","",$S5722&amp;"|"&amp;$F5722)</f>
        <v/>
      </c>
      <c r="U5722">
        <f>IF($A5722="","",$R5722&amp;"("&amp;$E5722&amp;")")</f>
        <v/>
      </c>
      <c r="V5722">
        <f>IF($A5722="","",$F5722&amp;"|"&amp;$U5722&amp;"|"&amp;$D5722)</f>
        <v/>
      </c>
      <c r="W5722">
        <f>IF($T5722="","",IF($X5722&gt;N($X5721),$X5722,""))</f>
        <v/>
      </c>
      <c r="X5722">
        <f>IF($T5722="",N($X5721),IF(MATCH($T5722,$T$6:$T$6005,0)=ROW()-5,N($X5721)+1,N($X5721)))</f>
        <v/>
      </c>
      <c r="Z5722">
        <f>IF($V5722="","",IF($AA5722&gt;N($AA5721),$AA5722,""))</f>
        <v/>
      </c>
      <c r="AA5722">
        <f>IF($V5722="",N($AA5721),IF(MATCH($V5722,$V$6:$V$6005,0)=ROW()-5,N($AA5721)+1,N($AA5721)))</f>
        <v/>
      </c>
    </row>
    <row r="5723" ht="21" customHeight="1" s="66">
      <c r="A5723" s="56" t="n"/>
      <c r="B5723" s="57" t="n"/>
      <c r="C5723" s="57" t="n"/>
      <c r="D5723" s="57" t="n"/>
      <c r="E5723" s="56" t="n"/>
      <c r="F5723" s="57" t="n"/>
      <c r="G5723" s="57" t="n"/>
      <c r="H5723" s="56" t="n"/>
      <c r="I5723" s="56" t="n"/>
      <c r="J5723" s="58" t="n"/>
      <c r="K5723" s="58" t="n"/>
      <c r="L5723" s="13">
        <f>IF(OR($A5723="",AND($J5723="",$K5723="")),"",ROUND(N($J5723)-N($K5723),2))</f>
        <v/>
      </c>
      <c r="M5723" s="13">
        <f>IF(OR($A5723="",AND($J5723="",$K5723="")),"",MIN($J5723,$K5723))</f>
        <v/>
      </c>
      <c r="Q5723">
        <f>IF($A5723="","",$D5723&amp;"("&amp;SUBSTITUTE($E5723," ","")&amp;")")</f>
        <v/>
      </c>
      <c r="R5723">
        <f>IF($A5723="","",$B5723&amp;" - "&amp;$C5723)</f>
        <v/>
      </c>
      <c r="S5723">
        <f>IF($A5723="","",$R5723&amp;"|"&amp;$Q5723)</f>
        <v/>
      </c>
      <c r="T5723">
        <f>IF($A5723="","",$S5723&amp;"|"&amp;$F5723)</f>
        <v/>
      </c>
      <c r="U5723">
        <f>IF($A5723="","",$R5723&amp;"("&amp;$E5723&amp;")")</f>
        <v/>
      </c>
      <c r="V5723">
        <f>IF($A5723="","",$F5723&amp;"|"&amp;$U5723&amp;"|"&amp;$D5723)</f>
        <v/>
      </c>
      <c r="W5723">
        <f>IF($T5723="","",IF($X5723&gt;N($X5722),$X5723,""))</f>
        <v/>
      </c>
      <c r="X5723">
        <f>IF($T5723="",N($X5722),IF(MATCH($T5723,$T$6:$T$6005,0)=ROW()-5,N($X5722)+1,N($X5722)))</f>
        <v/>
      </c>
      <c r="Z5723">
        <f>IF($V5723="","",IF($AA5723&gt;N($AA5722),$AA5723,""))</f>
        <v/>
      </c>
      <c r="AA5723">
        <f>IF($V5723="",N($AA5722),IF(MATCH($V5723,$V$6:$V$6005,0)=ROW()-5,N($AA5722)+1,N($AA5722)))</f>
        <v/>
      </c>
    </row>
    <row r="5724" ht="21" customHeight="1" s="66">
      <c r="A5724" s="56" t="n"/>
      <c r="B5724" s="57" t="n"/>
      <c r="C5724" s="57" t="n"/>
      <c r="D5724" s="57" t="n"/>
      <c r="E5724" s="56" t="n"/>
      <c r="F5724" s="57" t="n"/>
      <c r="G5724" s="57" t="n"/>
      <c r="H5724" s="56" t="n"/>
      <c r="I5724" s="56" t="n"/>
      <c r="J5724" s="58" t="n"/>
      <c r="K5724" s="58" t="n"/>
      <c r="L5724" s="13">
        <f>IF(OR($A5724="",AND($J5724="",$K5724="")),"",ROUND(N($J5724)-N($K5724),2))</f>
        <v/>
      </c>
      <c r="M5724" s="13">
        <f>IF(OR($A5724="",AND($J5724="",$K5724="")),"",MIN($J5724,$K5724))</f>
        <v/>
      </c>
      <c r="Q5724">
        <f>IF($A5724="","",$D5724&amp;"("&amp;SUBSTITUTE($E5724," ","")&amp;")")</f>
        <v/>
      </c>
      <c r="R5724">
        <f>IF($A5724="","",$B5724&amp;" - "&amp;$C5724)</f>
        <v/>
      </c>
      <c r="S5724">
        <f>IF($A5724="","",$R5724&amp;"|"&amp;$Q5724)</f>
        <v/>
      </c>
      <c r="T5724">
        <f>IF($A5724="","",$S5724&amp;"|"&amp;$F5724)</f>
        <v/>
      </c>
      <c r="U5724">
        <f>IF($A5724="","",$R5724&amp;"("&amp;$E5724&amp;")")</f>
        <v/>
      </c>
      <c r="V5724">
        <f>IF($A5724="","",$F5724&amp;"|"&amp;$U5724&amp;"|"&amp;$D5724)</f>
        <v/>
      </c>
      <c r="W5724">
        <f>IF($T5724="","",IF($X5724&gt;N($X5723),$X5724,""))</f>
        <v/>
      </c>
      <c r="X5724">
        <f>IF($T5724="",N($X5723),IF(MATCH($T5724,$T$6:$T$6005,0)=ROW()-5,N($X5723)+1,N($X5723)))</f>
        <v/>
      </c>
      <c r="Z5724">
        <f>IF($V5724="","",IF($AA5724&gt;N($AA5723),$AA5724,""))</f>
        <v/>
      </c>
      <c r="AA5724">
        <f>IF($V5724="",N($AA5723),IF(MATCH($V5724,$V$6:$V$6005,0)=ROW()-5,N($AA5723)+1,N($AA5723)))</f>
        <v/>
      </c>
    </row>
    <row r="5725" ht="21" customHeight="1" s="66">
      <c r="A5725" s="56" t="n"/>
      <c r="B5725" s="57" t="n"/>
      <c r="C5725" s="57" t="n"/>
      <c r="D5725" s="57" t="n"/>
      <c r="E5725" s="56" t="n"/>
      <c r="F5725" s="57" t="n"/>
      <c r="G5725" s="57" t="n"/>
      <c r="H5725" s="56" t="n"/>
      <c r="I5725" s="56" t="n"/>
      <c r="J5725" s="58" t="n"/>
      <c r="K5725" s="58" t="n"/>
      <c r="L5725" s="13">
        <f>IF(OR($A5725="",AND($J5725="",$K5725="")),"",ROUND(N($J5725)-N($K5725),2))</f>
        <v/>
      </c>
      <c r="M5725" s="13">
        <f>IF(OR($A5725="",AND($J5725="",$K5725="")),"",MIN($J5725,$K5725))</f>
        <v/>
      </c>
      <c r="Q5725">
        <f>IF($A5725="","",$D5725&amp;"("&amp;SUBSTITUTE($E5725," ","")&amp;")")</f>
        <v/>
      </c>
      <c r="R5725">
        <f>IF($A5725="","",$B5725&amp;" - "&amp;$C5725)</f>
        <v/>
      </c>
      <c r="S5725">
        <f>IF($A5725="","",$R5725&amp;"|"&amp;$Q5725)</f>
        <v/>
      </c>
      <c r="T5725">
        <f>IF($A5725="","",$S5725&amp;"|"&amp;$F5725)</f>
        <v/>
      </c>
      <c r="U5725">
        <f>IF($A5725="","",$R5725&amp;"("&amp;$E5725&amp;")")</f>
        <v/>
      </c>
      <c r="V5725">
        <f>IF($A5725="","",$F5725&amp;"|"&amp;$U5725&amp;"|"&amp;$D5725)</f>
        <v/>
      </c>
      <c r="W5725">
        <f>IF($T5725="","",IF($X5725&gt;N($X5724),$X5725,""))</f>
        <v/>
      </c>
      <c r="X5725">
        <f>IF($T5725="",N($X5724),IF(MATCH($T5725,$T$6:$T$6005,0)=ROW()-5,N($X5724)+1,N($X5724)))</f>
        <v/>
      </c>
      <c r="Z5725">
        <f>IF($V5725="","",IF($AA5725&gt;N($AA5724),$AA5725,""))</f>
        <v/>
      </c>
      <c r="AA5725">
        <f>IF($V5725="",N($AA5724),IF(MATCH($V5725,$V$6:$V$6005,0)=ROW()-5,N($AA5724)+1,N($AA5724)))</f>
        <v/>
      </c>
    </row>
    <row r="5726" ht="21" customHeight="1" s="66">
      <c r="A5726" s="56" t="n"/>
      <c r="B5726" s="57" t="n"/>
      <c r="C5726" s="57" t="n"/>
      <c r="D5726" s="57" t="n"/>
      <c r="E5726" s="56" t="n"/>
      <c r="F5726" s="57" t="n"/>
      <c r="G5726" s="57" t="n"/>
      <c r="H5726" s="56" t="n"/>
      <c r="I5726" s="56" t="n"/>
      <c r="J5726" s="58" t="n"/>
      <c r="K5726" s="58" t="n"/>
      <c r="L5726" s="13">
        <f>IF(OR($A5726="",AND($J5726="",$K5726="")),"",ROUND(N($J5726)-N($K5726),2))</f>
        <v/>
      </c>
      <c r="M5726" s="13">
        <f>IF(OR($A5726="",AND($J5726="",$K5726="")),"",MIN($J5726,$K5726))</f>
        <v/>
      </c>
      <c r="Q5726">
        <f>IF($A5726="","",$D5726&amp;"("&amp;SUBSTITUTE($E5726," ","")&amp;")")</f>
        <v/>
      </c>
      <c r="R5726">
        <f>IF($A5726="","",$B5726&amp;" - "&amp;$C5726)</f>
        <v/>
      </c>
      <c r="S5726">
        <f>IF($A5726="","",$R5726&amp;"|"&amp;$Q5726)</f>
        <v/>
      </c>
      <c r="T5726">
        <f>IF($A5726="","",$S5726&amp;"|"&amp;$F5726)</f>
        <v/>
      </c>
      <c r="U5726">
        <f>IF($A5726="","",$R5726&amp;"("&amp;$E5726&amp;")")</f>
        <v/>
      </c>
      <c r="V5726">
        <f>IF($A5726="","",$F5726&amp;"|"&amp;$U5726&amp;"|"&amp;$D5726)</f>
        <v/>
      </c>
      <c r="W5726">
        <f>IF($T5726="","",IF($X5726&gt;N($X5725),$X5726,""))</f>
        <v/>
      </c>
      <c r="X5726">
        <f>IF($T5726="",N($X5725),IF(MATCH($T5726,$T$6:$T$6005,0)=ROW()-5,N($X5725)+1,N($X5725)))</f>
        <v/>
      </c>
      <c r="Z5726">
        <f>IF($V5726="","",IF($AA5726&gt;N($AA5725),$AA5726,""))</f>
        <v/>
      </c>
      <c r="AA5726">
        <f>IF($V5726="",N($AA5725),IF(MATCH($V5726,$V$6:$V$6005,0)=ROW()-5,N($AA5725)+1,N($AA5725)))</f>
        <v/>
      </c>
    </row>
    <row r="5727" ht="21" customHeight="1" s="66">
      <c r="A5727" s="56" t="n"/>
      <c r="B5727" s="57" t="n"/>
      <c r="C5727" s="57" t="n"/>
      <c r="D5727" s="57" t="n"/>
      <c r="E5727" s="56" t="n"/>
      <c r="F5727" s="57" t="n"/>
      <c r="G5727" s="57" t="n"/>
      <c r="H5727" s="56" t="n"/>
      <c r="I5727" s="56" t="n"/>
      <c r="J5727" s="58" t="n"/>
      <c r="K5727" s="58" t="n"/>
      <c r="L5727" s="13">
        <f>IF(OR($A5727="",AND($J5727="",$K5727="")),"",ROUND(N($J5727)-N($K5727),2))</f>
        <v/>
      </c>
      <c r="M5727" s="13">
        <f>IF(OR($A5727="",AND($J5727="",$K5727="")),"",MIN($J5727,$K5727))</f>
        <v/>
      </c>
      <c r="Q5727">
        <f>IF($A5727="","",$D5727&amp;"("&amp;SUBSTITUTE($E5727," ","")&amp;")")</f>
        <v/>
      </c>
      <c r="R5727">
        <f>IF($A5727="","",$B5727&amp;" - "&amp;$C5727)</f>
        <v/>
      </c>
      <c r="S5727">
        <f>IF($A5727="","",$R5727&amp;"|"&amp;$Q5727)</f>
        <v/>
      </c>
      <c r="T5727">
        <f>IF($A5727="","",$S5727&amp;"|"&amp;$F5727)</f>
        <v/>
      </c>
      <c r="U5727">
        <f>IF($A5727="","",$R5727&amp;"("&amp;$E5727&amp;")")</f>
        <v/>
      </c>
      <c r="V5727">
        <f>IF($A5727="","",$F5727&amp;"|"&amp;$U5727&amp;"|"&amp;$D5727)</f>
        <v/>
      </c>
      <c r="W5727">
        <f>IF($T5727="","",IF($X5727&gt;N($X5726),$X5727,""))</f>
        <v/>
      </c>
      <c r="X5727">
        <f>IF($T5727="",N($X5726),IF(MATCH($T5727,$T$6:$T$6005,0)=ROW()-5,N($X5726)+1,N($X5726)))</f>
        <v/>
      </c>
      <c r="Z5727">
        <f>IF($V5727="","",IF($AA5727&gt;N($AA5726),$AA5727,""))</f>
        <v/>
      </c>
      <c r="AA5727">
        <f>IF($V5727="",N($AA5726),IF(MATCH($V5727,$V$6:$V$6005,0)=ROW()-5,N($AA5726)+1,N($AA5726)))</f>
        <v/>
      </c>
    </row>
    <row r="5728" ht="21" customHeight="1" s="66">
      <c r="A5728" s="56" t="n"/>
      <c r="B5728" s="57" t="n"/>
      <c r="C5728" s="57" t="n"/>
      <c r="D5728" s="57" t="n"/>
      <c r="E5728" s="56" t="n"/>
      <c r="F5728" s="57" t="n"/>
      <c r="G5728" s="57" t="n"/>
      <c r="H5728" s="56" t="n"/>
      <c r="I5728" s="56" t="n"/>
      <c r="J5728" s="58" t="n"/>
      <c r="K5728" s="58" t="n"/>
      <c r="L5728" s="13">
        <f>IF(OR($A5728="",AND($J5728="",$K5728="")),"",ROUND(N($J5728)-N($K5728),2))</f>
        <v/>
      </c>
      <c r="M5728" s="13">
        <f>IF(OR($A5728="",AND($J5728="",$K5728="")),"",MIN($J5728,$K5728))</f>
        <v/>
      </c>
      <c r="Q5728">
        <f>IF($A5728="","",$D5728&amp;"("&amp;SUBSTITUTE($E5728," ","")&amp;")")</f>
        <v/>
      </c>
      <c r="R5728">
        <f>IF($A5728="","",$B5728&amp;" - "&amp;$C5728)</f>
        <v/>
      </c>
      <c r="S5728">
        <f>IF($A5728="","",$R5728&amp;"|"&amp;$Q5728)</f>
        <v/>
      </c>
      <c r="T5728">
        <f>IF($A5728="","",$S5728&amp;"|"&amp;$F5728)</f>
        <v/>
      </c>
      <c r="U5728">
        <f>IF($A5728="","",$R5728&amp;"("&amp;$E5728&amp;")")</f>
        <v/>
      </c>
      <c r="V5728">
        <f>IF($A5728="","",$F5728&amp;"|"&amp;$U5728&amp;"|"&amp;$D5728)</f>
        <v/>
      </c>
      <c r="W5728">
        <f>IF($T5728="","",IF($X5728&gt;N($X5727),$X5728,""))</f>
        <v/>
      </c>
      <c r="X5728">
        <f>IF($T5728="",N($X5727),IF(MATCH($T5728,$T$6:$T$6005,0)=ROW()-5,N($X5727)+1,N($X5727)))</f>
        <v/>
      </c>
      <c r="Z5728">
        <f>IF($V5728="","",IF($AA5728&gt;N($AA5727),$AA5728,""))</f>
        <v/>
      </c>
      <c r="AA5728">
        <f>IF($V5728="",N($AA5727),IF(MATCH($V5728,$V$6:$V$6005,0)=ROW()-5,N($AA5727)+1,N($AA5727)))</f>
        <v/>
      </c>
    </row>
    <row r="5729" ht="21" customHeight="1" s="66">
      <c r="A5729" s="56" t="n"/>
      <c r="B5729" s="57" t="n"/>
      <c r="C5729" s="57" t="n"/>
      <c r="D5729" s="57" t="n"/>
      <c r="E5729" s="56" t="n"/>
      <c r="F5729" s="57" t="n"/>
      <c r="G5729" s="57" t="n"/>
      <c r="H5729" s="56" t="n"/>
      <c r="I5729" s="56" t="n"/>
      <c r="J5729" s="58" t="n"/>
      <c r="K5729" s="58" t="n"/>
      <c r="L5729" s="13">
        <f>IF(OR($A5729="",AND($J5729="",$K5729="")),"",ROUND(N($J5729)-N($K5729),2))</f>
        <v/>
      </c>
      <c r="M5729" s="13">
        <f>IF(OR($A5729="",AND($J5729="",$K5729="")),"",MIN($J5729,$K5729))</f>
        <v/>
      </c>
      <c r="Q5729">
        <f>IF($A5729="","",$D5729&amp;"("&amp;SUBSTITUTE($E5729," ","")&amp;")")</f>
        <v/>
      </c>
      <c r="R5729">
        <f>IF($A5729="","",$B5729&amp;" - "&amp;$C5729)</f>
        <v/>
      </c>
      <c r="S5729">
        <f>IF($A5729="","",$R5729&amp;"|"&amp;$Q5729)</f>
        <v/>
      </c>
      <c r="T5729">
        <f>IF($A5729="","",$S5729&amp;"|"&amp;$F5729)</f>
        <v/>
      </c>
      <c r="U5729">
        <f>IF($A5729="","",$R5729&amp;"("&amp;$E5729&amp;")")</f>
        <v/>
      </c>
      <c r="V5729">
        <f>IF($A5729="","",$F5729&amp;"|"&amp;$U5729&amp;"|"&amp;$D5729)</f>
        <v/>
      </c>
      <c r="W5729">
        <f>IF($T5729="","",IF($X5729&gt;N($X5728),$X5729,""))</f>
        <v/>
      </c>
      <c r="X5729">
        <f>IF($T5729="",N($X5728),IF(MATCH($T5729,$T$6:$T$6005,0)=ROW()-5,N($X5728)+1,N($X5728)))</f>
        <v/>
      </c>
      <c r="Z5729">
        <f>IF($V5729="","",IF($AA5729&gt;N($AA5728),$AA5729,""))</f>
        <v/>
      </c>
      <c r="AA5729">
        <f>IF($V5729="",N($AA5728),IF(MATCH($V5729,$V$6:$V$6005,0)=ROW()-5,N($AA5728)+1,N($AA5728)))</f>
        <v/>
      </c>
    </row>
    <row r="5730" ht="21" customHeight="1" s="66">
      <c r="A5730" s="56" t="n"/>
      <c r="B5730" s="57" t="n"/>
      <c r="C5730" s="57" t="n"/>
      <c r="D5730" s="57" t="n"/>
      <c r="E5730" s="56" t="n"/>
      <c r="F5730" s="57" t="n"/>
      <c r="G5730" s="57" t="n"/>
      <c r="H5730" s="56" t="n"/>
      <c r="I5730" s="56" t="n"/>
      <c r="J5730" s="58" t="n"/>
      <c r="K5730" s="58" t="n"/>
      <c r="L5730" s="13">
        <f>IF(OR($A5730="",AND($J5730="",$K5730="")),"",ROUND(N($J5730)-N($K5730),2))</f>
        <v/>
      </c>
      <c r="M5730" s="13">
        <f>IF(OR($A5730="",AND($J5730="",$K5730="")),"",MIN($J5730,$K5730))</f>
        <v/>
      </c>
      <c r="Q5730">
        <f>IF($A5730="","",$D5730&amp;"("&amp;SUBSTITUTE($E5730," ","")&amp;")")</f>
        <v/>
      </c>
      <c r="R5730">
        <f>IF($A5730="","",$B5730&amp;" - "&amp;$C5730)</f>
        <v/>
      </c>
      <c r="S5730">
        <f>IF($A5730="","",$R5730&amp;"|"&amp;$Q5730)</f>
        <v/>
      </c>
      <c r="T5730">
        <f>IF($A5730="","",$S5730&amp;"|"&amp;$F5730)</f>
        <v/>
      </c>
      <c r="U5730">
        <f>IF($A5730="","",$R5730&amp;"("&amp;$E5730&amp;")")</f>
        <v/>
      </c>
      <c r="V5730">
        <f>IF($A5730="","",$F5730&amp;"|"&amp;$U5730&amp;"|"&amp;$D5730)</f>
        <v/>
      </c>
      <c r="W5730">
        <f>IF($T5730="","",IF($X5730&gt;N($X5729),$X5730,""))</f>
        <v/>
      </c>
      <c r="X5730">
        <f>IF($T5730="",N($X5729),IF(MATCH($T5730,$T$6:$T$6005,0)=ROW()-5,N($X5729)+1,N($X5729)))</f>
        <v/>
      </c>
      <c r="Z5730">
        <f>IF($V5730="","",IF($AA5730&gt;N($AA5729),$AA5730,""))</f>
        <v/>
      </c>
      <c r="AA5730">
        <f>IF($V5730="",N($AA5729),IF(MATCH($V5730,$V$6:$V$6005,0)=ROW()-5,N($AA5729)+1,N($AA5729)))</f>
        <v/>
      </c>
    </row>
    <row r="5731" ht="21" customHeight="1" s="66">
      <c r="A5731" s="56" t="n"/>
      <c r="B5731" s="57" t="n"/>
      <c r="C5731" s="57" t="n"/>
      <c r="D5731" s="57" t="n"/>
      <c r="E5731" s="56" t="n"/>
      <c r="F5731" s="57" t="n"/>
      <c r="G5731" s="57" t="n"/>
      <c r="H5731" s="56" t="n"/>
      <c r="I5731" s="56" t="n"/>
      <c r="J5731" s="58" t="n"/>
      <c r="K5731" s="58" t="n"/>
      <c r="L5731" s="13">
        <f>IF(OR($A5731="",AND($J5731="",$K5731="")),"",ROUND(N($J5731)-N($K5731),2))</f>
        <v/>
      </c>
      <c r="M5731" s="13">
        <f>IF(OR($A5731="",AND($J5731="",$K5731="")),"",MIN($J5731,$K5731))</f>
        <v/>
      </c>
      <c r="Q5731">
        <f>IF($A5731="","",$D5731&amp;"("&amp;SUBSTITUTE($E5731," ","")&amp;")")</f>
        <v/>
      </c>
      <c r="R5731">
        <f>IF($A5731="","",$B5731&amp;" - "&amp;$C5731)</f>
        <v/>
      </c>
      <c r="S5731">
        <f>IF($A5731="","",$R5731&amp;"|"&amp;$Q5731)</f>
        <v/>
      </c>
      <c r="T5731">
        <f>IF($A5731="","",$S5731&amp;"|"&amp;$F5731)</f>
        <v/>
      </c>
      <c r="U5731">
        <f>IF($A5731="","",$R5731&amp;"("&amp;$E5731&amp;")")</f>
        <v/>
      </c>
      <c r="V5731">
        <f>IF($A5731="","",$F5731&amp;"|"&amp;$U5731&amp;"|"&amp;$D5731)</f>
        <v/>
      </c>
      <c r="W5731">
        <f>IF($T5731="","",IF($X5731&gt;N($X5730),$X5731,""))</f>
        <v/>
      </c>
      <c r="X5731">
        <f>IF($T5731="",N($X5730),IF(MATCH($T5731,$T$6:$T$6005,0)=ROW()-5,N($X5730)+1,N($X5730)))</f>
        <v/>
      </c>
      <c r="Z5731">
        <f>IF($V5731="","",IF($AA5731&gt;N($AA5730),$AA5731,""))</f>
        <v/>
      </c>
      <c r="AA5731">
        <f>IF($V5731="",N($AA5730),IF(MATCH($V5731,$V$6:$V$6005,0)=ROW()-5,N($AA5730)+1,N($AA5730)))</f>
        <v/>
      </c>
    </row>
    <row r="5732" ht="21" customHeight="1" s="66">
      <c r="A5732" s="56" t="n"/>
      <c r="B5732" s="57" t="n"/>
      <c r="C5732" s="57" t="n"/>
      <c r="D5732" s="57" t="n"/>
      <c r="E5732" s="56" t="n"/>
      <c r="F5732" s="57" t="n"/>
      <c r="G5732" s="57" t="n"/>
      <c r="H5732" s="56" t="n"/>
      <c r="I5732" s="56" t="n"/>
      <c r="J5732" s="58" t="n"/>
      <c r="K5732" s="58" t="n"/>
      <c r="L5732" s="13">
        <f>IF(OR($A5732="",AND($J5732="",$K5732="")),"",ROUND(N($J5732)-N($K5732),2))</f>
        <v/>
      </c>
      <c r="M5732" s="13">
        <f>IF(OR($A5732="",AND($J5732="",$K5732="")),"",MIN($J5732,$K5732))</f>
        <v/>
      </c>
      <c r="Q5732">
        <f>IF($A5732="","",$D5732&amp;"("&amp;SUBSTITUTE($E5732," ","")&amp;")")</f>
        <v/>
      </c>
      <c r="R5732">
        <f>IF($A5732="","",$B5732&amp;" - "&amp;$C5732)</f>
        <v/>
      </c>
      <c r="S5732">
        <f>IF($A5732="","",$R5732&amp;"|"&amp;$Q5732)</f>
        <v/>
      </c>
      <c r="T5732">
        <f>IF($A5732="","",$S5732&amp;"|"&amp;$F5732)</f>
        <v/>
      </c>
      <c r="U5732">
        <f>IF($A5732="","",$R5732&amp;"("&amp;$E5732&amp;")")</f>
        <v/>
      </c>
      <c r="V5732">
        <f>IF($A5732="","",$F5732&amp;"|"&amp;$U5732&amp;"|"&amp;$D5732)</f>
        <v/>
      </c>
      <c r="W5732">
        <f>IF($T5732="","",IF($X5732&gt;N($X5731),$X5732,""))</f>
        <v/>
      </c>
      <c r="X5732">
        <f>IF($T5732="",N($X5731),IF(MATCH($T5732,$T$6:$T$6005,0)=ROW()-5,N($X5731)+1,N($X5731)))</f>
        <v/>
      </c>
      <c r="Z5732">
        <f>IF($V5732="","",IF($AA5732&gt;N($AA5731),$AA5732,""))</f>
        <v/>
      </c>
      <c r="AA5732">
        <f>IF($V5732="",N($AA5731),IF(MATCH($V5732,$V$6:$V$6005,0)=ROW()-5,N($AA5731)+1,N($AA5731)))</f>
        <v/>
      </c>
    </row>
    <row r="5733" ht="21" customHeight="1" s="66">
      <c r="A5733" s="56" t="n"/>
      <c r="B5733" s="57" t="n"/>
      <c r="C5733" s="57" t="n"/>
      <c r="D5733" s="57" t="n"/>
      <c r="E5733" s="56" t="n"/>
      <c r="F5733" s="57" t="n"/>
      <c r="G5733" s="57" t="n"/>
      <c r="H5733" s="56" t="n"/>
      <c r="I5733" s="56" t="n"/>
      <c r="J5733" s="58" t="n"/>
      <c r="K5733" s="58" t="n"/>
      <c r="L5733" s="13">
        <f>IF(OR($A5733="",AND($J5733="",$K5733="")),"",ROUND(N($J5733)-N($K5733),2))</f>
        <v/>
      </c>
      <c r="M5733" s="13">
        <f>IF(OR($A5733="",AND($J5733="",$K5733="")),"",MIN($J5733,$K5733))</f>
        <v/>
      </c>
      <c r="Q5733">
        <f>IF($A5733="","",$D5733&amp;"("&amp;SUBSTITUTE($E5733," ","")&amp;")")</f>
        <v/>
      </c>
      <c r="R5733">
        <f>IF($A5733="","",$B5733&amp;" - "&amp;$C5733)</f>
        <v/>
      </c>
      <c r="S5733">
        <f>IF($A5733="","",$R5733&amp;"|"&amp;$Q5733)</f>
        <v/>
      </c>
      <c r="T5733">
        <f>IF($A5733="","",$S5733&amp;"|"&amp;$F5733)</f>
        <v/>
      </c>
      <c r="U5733">
        <f>IF($A5733="","",$R5733&amp;"("&amp;$E5733&amp;")")</f>
        <v/>
      </c>
      <c r="V5733">
        <f>IF($A5733="","",$F5733&amp;"|"&amp;$U5733&amp;"|"&amp;$D5733)</f>
        <v/>
      </c>
      <c r="W5733">
        <f>IF($T5733="","",IF($X5733&gt;N($X5732),$X5733,""))</f>
        <v/>
      </c>
      <c r="X5733">
        <f>IF($T5733="",N($X5732),IF(MATCH($T5733,$T$6:$T$6005,0)=ROW()-5,N($X5732)+1,N($X5732)))</f>
        <v/>
      </c>
      <c r="Z5733">
        <f>IF($V5733="","",IF($AA5733&gt;N($AA5732),$AA5733,""))</f>
        <v/>
      </c>
      <c r="AA5733">
        <f>IF($V5733="",N($AA5732),IF(MATCH($V5733,$V$6:$V$6005,0)=ROW()-5,N($AA5732)+1,N($AA5732)))</f>
        <v/>
      </c>
    </row>
    <row r="5734" ht="21" customHeight="1" s="66">
      <c r="A5734" s="56" t="n"/>
      <c r="B5734" s="57" t="n"/>
      <c r="C5734" s="57" t="n"/>
      <c r="D5734" s="57" t="n"/>
      <c r="E5734" s="56" t="n"/>
      <c r="F5734" s="57" t="n"/>
      <c r="G5734" s="57" t="n"/>
      <c r="H5734" s="56" t="n"/>
      <c r="I5734" s="56" t="n"/>
      <c r="J5734" s="58" t="n"/>
      <c r="K5734" s="58" t="n"/>
      <c r="L5734" s="13">
        <f>IF(OR($A5734="",AND($J5734="",$K5734="")),"",ROUND(N($J5734)-N($K5734),2))</f>
        <v/>
      </c>
      <c r="M5734" s="13">
        <f>IF(OR($A5734="",AND($J5734="",$K5734="")),"",MIN($J5734,$K5734))</f>
        <v/>
      </c>
      <c r="Q5734">
        <f>IF($A5734="","",$D5734&amp;"("&amp;SUBSTITUTE($E5734," ","")&amp;")")</f>
        <v/>
      </c>
      <c r="R5734">
        <f>IF($A5734="","",$B5734&amp;" - "&amp;$C5734)</f>
        <v/>
      </c>
      <c r="S5734">
        <f>IF($A5734="","",$R5734&amp;"|"&amp;$Q5734)</f>
        <v/>
      </c>
      <c r="T5734">
        <f>IF($A5734="","",$S5734&amp;"|"&amp;$F5734)</f>
        <v/>
      </c>
      <c r="U5734">
        <f>IF($A5734="","",$R5734&amp;"("&amp;$E5734&amp;")")</f>
        <v/>
      </c>
      <c r="V5734">
        <f>IF($A5734="","",$F5734&amp;"|"&amp;$U5734&amp;"|"&amp;$D5734)</f>
        <v/>
      </c>
      <c r="W5734">
        <f>IF($T5734="","",IF($X5734&gt;N($X5733),$X5734,""))</f>
        <v/>
      </c>
      <c r="X5734">
        <f>IF($T5734="",N($X5733),IF(MATCH($T5734,$T$6:$T$6005,0)=ROW()-5,N($X5733)+1,N($X5733)))</f>
        <v/>
      </c>
      <c r="Z5734">
        <f>IF($V5734="","",IF($AA5734&gt;N($AA5733),$AA5734,""))</f>
        <v/>
      </c>
      <c r="AA5734">
        <f>IF($V5734="",N($AA5733),IF(MATCH($V5734,$V$6:$V$6005,0)=ROW()-5,N($AA5733)+1,N($AA5733)))</f>
        <v/>
      </c>
    </row>
    <row r="5735" ht="21" customHeight="1" s="66">
      <c r="A5735" s="56" t="n"/>
      <c r="B5735" s="57" t="n"/>
      <c r="C5735" s="57" t="n"/>
      <c r="D5735" s="57" t="n"/>
      <c r="E5735" s="56" t="n"/>
      <c r="F5735" s="57" t="n"/>
      <c r="G5735" s="57" t="n"/>
      <c r="H5735" s="56" t="n"/>
      <c r="I5735" s="56" t="n"/>
      <c r="J5735" s="58" t="n"/>
      <c r="K5735" s="58" t="n"/>
      <c r="L5735" s="13">
        <f>IF(OR($A5735="",AND($J5735="",$K5735="")),"",ROUND(N($J5735)-N($K5735),2))</f>
        <v/>
      </c>
      <c r="M5735" s="13">
        <f>IF(OR($A5735="",AND($J5735="",$K5735="")),"",MIN($J5735,$K5735))</f>
        <v/>
      </c>
      <c r="Q5735">
        <f>IF($A5735="","",$D5735&amp;"("&amp;SUBSTITUTE($E5735," ","")&amp;")")</f>
        <v/>
      </c>
      <c r="R5735">
        <f>IF($A5735="","",$B5735&amp;" - "&amp;$C5735)</f>
        <v/>
      </c>
      <c r="S5735">
        <f>IF($A5735="","",$R5735&amp;"|"&amp;$Q5735)</f>
        <v/>
      </c>
      <c r="T5735">
        <f>IF($A5735="","",$S5735&amp;"|"&amp;$F5735)</f>
        <v/>
      </c>
      <c r="U5735">
        <f>IF($A5735="","",$R5735&amp;"("&amp;$E5735&amp;")")</f>
        <v/>
      </c>
      <c r="V5735">
        <f>IF($A5735="","",$F5735&amp;"|"&amp;$U5735&amp;"|"&amp;$D5735)</f>
        <v/>
      </c>
      <c r="W5735">
        <f>IF($T5735="","",IF($X5735&gt;N($X5734),$X5735,""))</f>
        <v/>
      </c>
      <c r="X5735">
        <f>IF($T5735="",N($X5734),IF(MATCH($T5735,$T$6:$T$6005,0)=ROW()-5,N($X5734)+1,N($X5734)))</f>
        <v/>
      </c>
      <c r="Z5735">
        <f>IF($V5735="","",IF($AA5735&gt;N($AA5734),$AA5735,""))</f>
        <v/>
      </c>
      <c r="AA5735">
        <f>IF($V5735="",N($AA5734),IF(MATCH($V5735,$V$6:$V$6005,0)=ROW()-5,N($AA5734)+1,N($AA5734)))</f>
        <v/>
      </c>
    </row>
    <row r="5736" ht="21" customHeight="1" s="66">
      <c r="A5736" s="56" t="n"/>
      <c r="B5736" s="57" t="n"/>
      <c r="C5736" s="57" t="n"/>
      <c r="D5736" s="57" t="n"/>
      <c r="E5736" s="56" t="n"/>
      <c r="F5736" s="57" t="n"/>
      <c r="G5736" s="57" t="n"/>
      <c r="H5736" s="56" t="n"/>
      <c r="I5736" s="56" t="n"/>
      <c r="J5736" s="58" t="n"/>
      <c r="K5736" s="58" t="n"/>
      <c r="L5736" s="13">
        <f>IF(OR($A5736="",AND($J5736="",$K5736="")),"",ROUND(N($J5736)-N($K5736),2))</f>
        <v/>
      </c>
      <c r="M5736" s="13">
        <f>IF(OR($A5736="",AND($J5736="",$K5736="")),"",MIN($J5736,$K5736))</f>
        <v/>
      </c>
      <c r="Q5736">
        <f>IF($A5736="","",$D5736&amp;"("&amp;SUBSTITUTE($E5736," ","")&amp;")")</f>
        <v/>
      </c>
      <c r="R5736">
        <f>IF($A5736="","",$B5736&amp;" - "&amp;$C5736)</f>
        <v/>
      </c>
      <c r="S5736">
        <f>IF($A5736="","",$R5736&amp;"|"&amp;$Q5736)</f>
        <v/>
      </c>
      <c r="T5736">
        <f>IF($A5736="","",$S5736&amp;"|"&amp;$F5736)</f>
        <v/>
      </c>
      <c r="U5736">
        <f>IF($A5736="","",$R5736&amp;"("&amp;$E5736&amp;")")</f>
        <v/>
      </c>
      <c r="V5736">
        <f>IF($A5736="","",$F5736&amp;"|"&amp;$U5736&amp;"|"&amp;$D5736)</f>
        <v/>
      </c>
      <c r="W5736">
        <f>IF($T5736="","",IF($X5736&gt;N($X5735),$X5736,""))</f>
        <v/>
      </c>
      <c r="X5736">
        <f>IF($T5736="",N($X5735),IF(MATCH($T5736,$T$6:$T$6005,0)=ROW()-5,N($X5735)+1,N($X5735)))</f>
        <v/>
      </c>
      <c r="Z5736">
        <f>IF($V5736="","",IF($AA5736&gt;N($AA5735),$AA5736,""))</f>
        <v/>
      </c>
      <c r="AA5736">
        <f>IF($V5736="",N($AA5735),IF(MATCH($V5736,$V$6:$V$6005,0)=ROW()-5,N($AA5735)+1,N($AA5735)))</f>
        <v/>
      </c>
    </row>
    <row r="5737" ht="21" customHeight="1" s="66">
      <c r="A5737" s="56" t="n"/>
      <c r="B5737" s="57" t="n"/>
      <c r="C5737" s="57" t="n"/>
      <c r="D5737" s="57" t="n"/>
      <c r="E5737" s="56" t="n"/>
      <c r="F5737" s="57" t="n"/>
      <c r="G5737" s="57" t="n"/>
      <c r="H5737" s="56" t="n"/>
      <c r="I5737" s="56" t="n"/>
      <c r="J5737" s="58" t="n"/>
      <c r="K5737" s="58" t="n"/>
      <c r="L5737" s="13">
        <f>IF(OR($A5737="",AND($J5737="",$K5737="")),"",ROUND(N($J5737)-N($K5737),2))</f>
        <v/>
      </c>
      <c r="M5737" s="13">
        <f>IF(OR($A5737="",AND($J5737="",$K5737="")),"",MIN($J5737,$K5737))</f>
        <v/>
      </c>
      <c r="Q5737">
        <f>IF($A5737="","",$D5737&amp;"("&amp;SUBSTITUTE($E5737," ","")&amp;")")</f>
        <v/>
      </c>
      <c r="R5737">
        <f>IF($A5737="","",$B5737&amp;" - "&amp;$C5737)</f>
        <v/>
      </c>
      <c r="S5737">
        <f>IF($A5737="","",$R5737&amp;"|"&amp;$Q5737)</f>
        <v/>
      </c>
      <c r="T5737">
        <f>IF($A5737="","",$S5737&amp;"|"&amp;$F5737)</f>
        <v/>
      </c>
      <c r="U5737">
        <f>IF($A5737="","",$R5737&amp;"("&amp;$E5737&amp;")")</f>
        <v/>
      </c>
      <c r="V5737">
        <f>IF($A5737="","",$F5737&amp;"|"&amp;$U5737&amp;"|"&amp;$D5737)</f>
        <v/>
      </c>
      <c r="W5737">
        <f>IF($T5737="","",IF($X5737&gt;N($X5736),$X5737,""))</f>
        <v/>
      </c>
      <c r="X5737">
        <f>IF($T5737="",N($X5736),IF(MATCH($T5737,$T$6:$T$6005,0)=ROW()-5,N($X5736)+1,N($X5736)))</f>
        <v/>
      </c>
      <c r="Z5737">
        <f>IF($V5737="","",IF($AA5737&gt;N($AA5736),$AA5737,""))</f>
        <v/>
      </c>
      <c r="AA5737">
        <f>IF($V5737="",N($AA5736),IF(MATCH($V5737,$V$6:$V$6005,0)=ROW()-5,N($AA5736)+1,N($AA5736)))</f>
        <v/>
      </c>
    </row>
    <row r="5738" ht="21" customHeight="1" s="66">
      <c r="A5738" s="56" t="n"/>
      <c r="B5738" s="57" t="n"/>
      <c r="C5738" s="57" t="n"/>
      <c r="D5738" s="57" t="n"/>
      <c r="E5738" s="56" t="n"/>
      <c r="F5738" s="57" t="n"/>
      <c r="G5738" s="57" t="n"/>
      <c r="H5738" s="56" t="n"/>
      <c r="I5738" s="56" t="n"/>
      <c r="J5738" s="58" t="n"/>
      <c r="K5738" s="58" t="n"/>
      <c r="L5738" s="13">
        <f>IF(OR($A5738="",AND($J5738="",$K5738="")),"",ROUND(N($J5738)-N($K5738),2))</f>
        <v/>
      </c>
      <c r="M5738" s="13">
        <f>IF(OR($A5738="",AND($J5738="",$K5738="")),"",MIN($J5738,$K5738))</f>
        <v/>
      </c>
      <c r="Q5738">
        <f>IF($A5738="","",$D5738&amp;"("&amp;SUBSTITUTE($E5738," ","")&amp;")")</f>
        <v/>
      </c>
      <c r="R5738">
        <f>IF($A5738="","",$B5738&amp;" - "&amp;$C5738)</f>
        <v/>
      </c>
      <c r="S5738">
        <f>IF($A5738="","",$R5738&amp;"|"&amp;$Q5738)</f>
        <v/>
      </c>
      <c r="T5738">
        <f>IF($A5738="","",$S5738&amp;"|"&amp;$F5738)</f>
        <v/>
      </c>
      <c r="U5738">
        <f>IF($A5738="","",$R5738&amp;"("&amp;$E5738&amp;")")</f>
        <v/>
      </c>
      <c r="V5738">
        <f>IF($A5738="","",$F5738&amp;"|"&amp;$U5738&amp;"|"&amp;$D5738)</f>
        <v/>
      </c>
      <c r="W5738">
        <f>IF($T5738="","",IF($X5738&gt;N($X5737),$X5738,""))</f>
        <v/>
      </c>
      <c r="X5738">
        <f>IF($T5738="",N($X5737),IF(MATCH($T5738,$T$6:$T$6005,0)=ROW()-5,N($X5737)+1,N($X5737)))</f>
        <v/>
      </c>
      <c r="Z5738">
        <f>IF($V5738="","",IF($AA5738&gt;N($AA5737),$AA5738,""))</f>
        <v/>
      </c>
      <c r="AA5738">
        <f>IF($V5738="",N($AA5737),IF(MATCH($V5738,$V$6:$V$6005,0)=ROW()-5,N($AA5737)+1,N($AA5737)))</f>
        <v/>
      </c>
    </row>
    <row r="5739" ht="21" customHeight="1" s="66">
      <c r="A5739" s="56" t="n"/>
      <c r="B5739" s="57" t="n"/>
      <c r="C5739" s="57" t="n"/>
      <c r="D5739" s="57" t="n"/>
      <c r="E5739" s="56" t="n"/>
      <c r="F5739" s="57" t="n"/>
      <c r="G5739" s="57" t="n"/>
      <c r="H5739" s="56" t="n"/>
      <c r="I5739" s="56" t="n"/>
      <c r="J5739" s="58" t="n"/>
      <c r="K5739" s="58" t="n"/>
      <c r="L5739" s="13">
        <f>IF(OR($A5739="",AND($J5739="",$K5739="")),"",ROUND(N($J5739)-N($K5739),2))</f>
        <v/>
      </c>
      <c r="M5739" s="13">
        <f>IF(OR($A5739="",AND($J5739="",$K5739="")),"",MIN($J5739,$K5739))</f>
        <v/>
      </c>
      <c r="Q5739">
        <f>IF($A5739="","",$D5739&amp;"("&amp;SUBSTITUTE($E5739," ","")&amp;")")</f>
        <v/>
      </c>
      <c r="R5739">
        <f>IF($A5739="","",$B5739&amp;" - "&amp;$C5739)</f>
        <v/>
      </c>
      <c r="S5739">
        <f>IF($A5739="","",$R5739&amp;"|"&amp;$Q5739)</f>
        <v/>
      </c>
      <c r="T5739">
        <f>IF($A5739="","",$S5739&amp;"|"&amp;$F5739)</f>
        <v/>
      </c>
      <c r="U5739">
        <f>IF($A5739="","",$R5739&amp;"("&amp;$E5739&amp;")")</f>
        <v/>
      </c>
      <c r="V5739">
        <f>IF($A5739="","",$F5739&amp;"|"&amp;$U5739&amp;"|"&amp;$D5739)</f>
        <v/>
      </c>
      <c r="W5739">
        <f>IF($T5739="","",IF($X5739&gt;N($X5738),$X5739,""))</f>
        <v/>
      </c>
      <c r="X5739">
        <f>IF($T5739="",N($X5738),IF(MATCH($T5739,$T$6:$T$6005,0)=ROW()-5,N($X5738)+1,N($X5738)))</f>
        <v/>
      </c>
      <c r="Z5739">
        <f>IF($V5739="","",IF($AA5739&gt;N($AA5738),$AA5739,""))</f>
        <v/>
      </c>
      <c r="AA5739">
        <f>IF($V5739="",N($AA5738),IF(MATCH($V5739,$V$6:$V$6005,0)=ROW()-5,N($AA5738)+1,N($AA5738)))</f>
        <v/>
      </c>
    </row>
    <row r="5740" ht="21" customHeight="1" s="66">
      <c r="A5740" s="56" t="n"/>
      <c r="B5740" s="57" t="n"/>
      <c r="C5740" s="57" t="n"/>
      <c r="D5740" s="57" t="n"/>
      <c r="E5740" s="56" t="n"/>
      <c r="F5740" s="57" t="n"/>
      <c r="G5740" s="57" t="n"/>
      <c r="H5740" s="56" t="n"/>
      <c r="I5740" s="56" t="n"/>
      <c r="J5740" s="58" t="n"/>
      <c r="K5740" s="58" t="n"/>
      <c r="L5740" s="13">
        <f>IF(OR($A5740="",AND($J5740="",$K5740="")),"",ROUND(N($J5740)-N($K5740),2))</f>
        <v/>
      </c>
      <c r="M5740" s="13">
        <f>IF(OR($A5740="",AND($J5740="",$K5740="")),"",MIN($J5740,$K5740))</f>
        <v/>
      </c>
      <c r="Q5740">
        <f>IF($A5740="","",$D5740&amp;"("&amp;SUBSTITUTE($E5740," ","")&amp;")")</f>
        <v/>
      </c>
      <c r="R5740">
        <f>IF($A5740="","",$B5740&amp;" - "&amp;$C5740)</f>
        <v/>
      </c>
      <c r="S5740">
        <f>IF($A5740="","",$R5740&amp;"|"&amp;$Q5740)</f>
        <v/>
      </c>
      <c r="T5740">
        <f>IF($A5740="","",$S5740&amp;"|"&amp;$F5740)</f>
        <v/>
      </c>
      <c r="U5740">
        <f>IF($A5740="","",$R5740&amp;"("&amp;$E5740&amp;")")</f>
        <v/>
      </c>
      <c r="V5740">
        <f>IF($A5740="","",$F5740&amp;"|"&amp;$U5740&amp;"|"&amp;$D5740)</f>
        <v/>
      </c>
      <c r="W5740">
        <f>IF($T5740="","",IF($X5740&gt;N($X5739),$X5740,""))</f>
        <v/>
      </c>
      <c r="X5740">
        <f>IF($T5740="",N($X5739),IF(MATCH($T5740,$T$6:$T$6005,0)=ROW()-5,N($X5739)+1,N($X5739)))</f>
        <v/>
      </c>
      <c r="Z5740">
        <f>IF($V5740="","",IF($AA5740&gt;N($AA5739),$AA5740,""))</f>
        <v/>
      </c>
      <c r="AA5740">
        <f>IF($V5740="",N($AA5739),IF(MATCH($V5740,$V$6:$V$6005,0)=ROW()-5,N($AA5739)+1,N($AA5739)))</f>
        <v/>
      </c>
    </row>
    <row r="5741" ht="21" customHeight="1" s="66">
      <c r="A5741" s="56" t="n"/>
      <c r="B5741" s="57" t="n"/>
      <c r="C5741" s="57" t="n"/>
      <c r="D5741" s="57" t="n"/>
      <c r="E5741" s="56" t="n"/>
      <c r="F5741" s="57" t="n"/>
      <c r="G5741" s="57" t="n"/>
      <c r="H5741" s="56" t="n"/>
      <c r="I5741" s="56" t="n"/>
      <c r="J5741" s="58" t="n"/>
      <c r="K5741" s="58" t="n"/>
      <c r="L5741" s="13">
        <f>IF(OR($A5741="",AND($J5741="",$K5741="")),"",ROUND(N($J5741)-N($K5741),2))</f>
        <v/>
      </c>
      <c r="M5741" s="13">
        <f>IF(OR($A5741="",AND($J5741="",$K5741="")),"",MIN($J5741,$K5741))</f>
        <v/>
      </c>
      <c r="Q5741">
        <f>IF($A5741="","",$D5741&amp;"("&amp;SUBSTITUTE($E5741," ","")&amp;")")</f>
        <v/>
      </c>
      <c r="R5741">
        <f>IF($A5741="","",$B5741&amp;" - "&amp;$C5741)</f>
        <v/>
      </c>
      <c r="S5741">
        <f>IF($A5741="","",$R5741&amp;"|"&amp;$Q5741)</f>
        <v/>
      </c>
      <c r="T5741">
        <f>IF($A5741="","",$S5741&amp;"|"&amp;$F5741)</f>
        <v/>
      </c>
      <c r="U5741">
        <f>IF($A5741="","",$R5741&amp;"("&amp;$E5741&amp;")")</f>
        <v/>
      </c>
      <c r="V5741">
        <f>IF($A5741="","",$F5741&amp;"|"&amp;$U5741&amp;"|"&amp;$D5741)</f>
        <v/>
      </c>
      <c r="W5741">
        <f>IF($T5741="","",IF($X5741&gt;N($X5740),$X5741,""))</f>
        <v/>
      </c>
      <c r="X5741">
        <f>IF($T5741="",N($X5740),IF(MATCH($T5741,$T$6:$T$6005,0)=ROW()-5,N($X5740)+1,N($X5740)))</f>
        <v/>
      </c>
      <c r="Z5741">
        <f>IF($V5741="","",IF($AA5741&gt;N($AA5740),$AA5741,""))</f>
        <v/>
      </c>
      <c r="AA5741">
        <f>IF($V5741="",N($AA5740),IF(MATCH($V5741,$V$6:$V$6005,0)=ROW()-5,N($AA5740)+1,N($AA5740)))</f>
        <v/>
      </c>
    </row>
    <row r="5742" ht="21" customHeight="1" s="66">
      <c r="A5742" s="56" t="n"/>
      <c r="B5742" s="57" t="n"/>
      <c r="C5742" s="57" t="n"/>
      <c r="D5742" s="57" t="n"/>
      <c r="E5742" s="56" t="n"/>
      <c r="F5742" s="57" t="n"/>
      <c r="G5742" s="57" t="n"/>
      <c r="H5742" s="56" t="n"/>
      <c r="I5742" s="56" t="n"/>
      <c r="J5742" s="58" t="n"/>
      <c r="K5742" s="58" t="n"/>
      <c r="L5742" s="13">
        <f>IF(OR($A5742="",AND($J5742="",$K5742="")),"",ROUND(N($J5742)-N($K5742),2))</f>
        <v/>
      </c>
      <c r="M5742" s="13">
        <f>IF(OR($A5742="",AND($J5742="",$K5742="")),"",MIN($J5742,$K5742))</f>
        <v/>
      </c>
      <c r="Q5742">
        <f>IF($A5742="","",$D5742&amp;"("&amp;SUBSTITUTE($E5742," ","")&amp;")")</f>
        <v/>
      </c>
      <c r="R5742">
        <f>IF($A5742="","",$B5742&amp;" - "&amp;$C5742)</f>
        <v/>
      </c>
      <c r="S5742">
        <f>IF($A5742="","",$R5742&amp;"|"&amp;$Q5742)</f>
        <v/>
      </c>
      <c r="T5742">
        <f>IF($A5742="","",$S5742&amp;"|"&amp;$F5742)</f>
        <v/>
      </c>
      <c r="U5742">
        <f>IF($A5742="","",$R5742&amp;"("&amp;$E5742&amp;")")</f>
        <v/>
      </c>
      <c r="V5742">
        <f>IF($A5742="","",$F5742&amp;"|"&amp;$U5742&amp;"|"&amp;$D5742)</f>
        <v/>
      </c>
      <c r="W5742">
        <f>IF($T5742="","",IF($X5742&gt;N($X5741),$X5742,""))</f>
        <v/>
      </c>
      <c r="X5742">
        <f>IF($T5742="",N($X5741),IF(MATCH($T5742,$T$6:$T$6005,0)=ROW()-5,N($X5741)+1,N($X5741)))</f>
        <v/>
      </c>
      <c r="Z5742">
        <f>IF($V5742="","",IF($AA5742&gt;N($AA5741),$AA5742,""))</f>
        <v/>
      </c>
      <c r="AA5742">
        <f>IF($V5742="",N($AA5741),IF(MATCH($V5742,$V$6:$V$6005,0)=ROW()-5,N($AA5741)+1,N($AA5741)))</f>
        <v/>
      </c>
    </row>
    <row r="5743" ht="21" customHeight="1" s="66">
      <c r="A5743" s="56" t="n"/>
      <c r="B5743" s="57" t="n"/>
      <c r="C5743" s="57" t="n"/>
      <c r="D5743" s="57" t="n"/>
      <c r="E5743" s="56" t="n"/>
      <c r="F5743" s="57" t="n"/>
      <c r="G5743" s="57" t="n"/>
      <c r="H5743" s="56" t="n"/>
      <c r="I5743" s="56" t="n"/>
      <c r="J5743" s="58" t="n"/>
      <c r="K5743" s="58" t="n"/>
      <c r="L5743" s="13">
        <f>IF(OR($A5743="",AND($J5743="",$K5743="")),"",ROUND(N($J5743)-N($K5743),2))</f>
        <v/>
      </c>
      <c r="M5743" s="13">
        <f>IF(OR($A5743="",AND($J5743="",$K5743="")),"",MIN($J5743,$K5743))</f>
        <v/>
      </c>
      <c r="Q5743">
        <f>IF($A5743="","",$D5743&amp;"("&amp;SUBSTITUTE($E5743," ","")&amp;")")</f>
        <v/>
      </c>
      <c r="R5743">
        <f>IF($A5743="","",$B5743&amp;" - "&amp;$C5743)</f>
        <v/>
      </c>
      <c r="S5743">
        <f>IF($A5743="","",$R5743&amp;"|"&amp;$Q5743)</f>
        <v/>
      </c>
      <c r="T5743">
        <f>IF($A5743="","",$S5743&amp;"|"&amp;$F5743)</f>
        <v/>
      </c>
      <c r="U5743">
        <f>IF($A5743="","",$R5743&amp;"("&amp;$E5743&amp;")")</f>
        <v/>
      </c>
      <c r="V5743">
        <f>IF($A5743="","",$F5743&amp;"|"&amp;$U5743&amp;"|"&amp;$D5743)</f>
        <v/>
      </c>
      <c r="W5743">
        <f>IF($T5743="","",IF($X5743&gt;N($X5742),$X5743,""))</f>
        <v/>
      </c>
      <c r="X5743">
        <f>IF($T5743="",N($X5742),IF(MATCH($T5743,$T$6:$T$6005,0)=ROW()-5,N($X5742)+1,N($X5742)))</f>
        <v/>
      </c>
      <c r="Z5743">
        <f>IF($V5743="","",IF($AA5743&gt;N($AA5742),$AA5743,""))</f>
        <v/>
      </c>
      <c r="AA5743">
        <f>IF($V5743="",N($AA5742),IF(MATCH($V5743,$V$6:$V$6005,0)=ROW()-5,N($AA5742)+1,N($AA5742)))</f>
        <v/>
      </c>
    </row>
    <row r="5744" ht="21" customHeight="1" s="66">
      <c r="A5744" s="56" t="n"/>
      <c r="B5744" s="57" t="n"/>
      <c r="C5744" s="57" t="n"/>
      <c r="D5744" s="57" t="n"/>
      <c r="E5744" s="56" t="n"/>
      <c r="F5744" s="57" t="n"/>
      <c r="G5744" s="57" t="n"/>
      <c r="H5744" s="56" t="n"/>
      <c r="I5744" s="56" t="n"/>
      <c r="J5744" s="58" t="n"/>
      <c r="K5744" s="58" t="n"/>
      <c r="L5744" s="13">
        <f>IF(OR($A5744="",AND($J5744="",$K5744="")),"",ROUND(N($J5744)-N($K5744),2))</f>
        <v/>
      </c>
      <c r="M5744" s="13">
        <f>IF(OR($A5744="",AND($J5744="",$K5744="")),"",MIN($J5744,$K5744))</f>
        <v/>
      </c>
      <c r="Q5744">
        <f>IF($A5744="","",$D5744&amp;"("&amp;SUBSTITUTE($E5744," ","")&amp;")")</f>
        <v/>
      </c>
      <c r="R5744">
        <f>IF($A5744="","",$B5744&amp;" - "&amp;$C5744)</f>
        <v/>
      </c>
      <c r="S5744">
        <f>IF($A5744="","",$R5744&amp;"|"&amp;$Q5744)</f>
        <v/>
      </c>
      <c r="T5744">
        <f>IF($A5744="","",$S5744&amp;"|"&amp;$F5744)</f>
        <v/>
      </c>
      <c r="U5744">
        <f>IF($A5744="","",$R5744&amp;"("&amp;$E5744&amp;")")</f>
        <v/>
      </c>
      <c r="V5744">
        <f>IF($A5744="","",$F5744&amp;"|"&amp;$U5744&amp;"|"&amp;$D5744)</f>
        <v/>
      </c>
      <c r="W5744">
        <f>IF($T5744="","",IF($X5744&gt;N($X5743),$X5744,""))</f>
        <v/>
      </c>
      <c r="X5744">
        <f>IF($T5744="",N($X5743),IF(MATCH($T5744,$T$6:$T$6005,0)=ROW()-5,N($X5743)+1,N($X5743)))</f>
        <v/>
      </c>
      <c r="Z5744">
        <f>IF($V5744="","",IF($AA5744&gt;N($AA5743),$AA5744,""))</f>
        <v/>
      </c>
      <c r="AA5744">
        <f>IF($V5744="",N($AA5743),IF(MATCH($V5744,$V$6:$V$6005,0)=ROW()-5,N($AA5743)+1,N($AA5743)))</f>
        <v/>
      </c>
    </row>
    <row r="5745" ht="21" customHeight="1" s="66">
      <c r="A5745" s="56" t="n"/>
      <c r="B5745" s="57" t="n"/>
      <c r="C5745" s="57" t="n"/>
      <c r="D5745" s="57" t="n"/>
      <c r="E5745" s="56" t="n"/>
      <c r="F5745" s="57" t="n"/>
      <c r="G5745" s="57" t="n"/>
      <c r="H5745" s="56" t="n"/>
      <c r="I5745" s="56" t="n"/>
      <c r="J5745" s="58" t="n"/>
      <c r="K5745" s="58" t="n"/>
      <c r="L5745" s="13">
        <f>IF(OR($A5745="",AND($J5745="",$K5745="")),"",ROUND(N($J5745)-N($K5745),2))</f>
        <v/>
      </c>
      <c r="M5745" s="13">
        <f>IF(OR($A5745="",AND($J5745="",$K5745="")),"",MIN($J5745,$K5745))</f>
        <v/>
      </c>
      <c r="Q5745">
        <f>IF($A5745="","",$D5745&amp;"("&amp;SUBSTITUTE($E5745," ","")&amp;")")</f>
        <v/>
      </c>
      <c r="R5745">
        <f>IF($A5745="","",$B5745&amp;" - "&amp;$C5745)</f>
        <v/>
      </c>
      <c r="S5745">
        <f>IF($A5745="","",$R5745&amp;"|"&amp;$Q5745)</f>
        <v/>
      </c>
      <c r="T5745">
        <f>IF($A5745="","",$S5745&amp;"|"&amp;$F5745)</f>
        <v/>
      </c>
      <c r="U5745">
        <f>IF($A5745="","",$R5745&amp;"("&amp;$E5745&amp;")")</f>
        <v/>
      </c>
      <c r="V5745">
        <f>IF($A5745="","",$F5745&amp;"|"&amp;$U5745&amp;"|"&amp;$D5745)</f>
        <v/>
      </c>
      <c r="W5745">
        <f>IF($T5745="","",IF($X5745&gt;N($X5744),$X5745,""))</f>
        <v/>
      </c>
      <c r="X5745">
        <f>IF($T5745="",N($X5744),IF(MATCH($T5745,$T$6:$T$6005,0)=ROW()-5,N($X5744)+1,N($X5744)))</f>
        <v/>
      </c>
      <c r="Z5745">
        <f>IF($V5745="","",IF($AA5745&gt;N($AA5744),$AA5745,""))</f>
        <v/>
      </c>
      <c r="AA5745">
        <f>IF($V5745="",N($AA5744),IF(MATCH($V5745,$V$6:$V$6005,0)=ROW()-5,N($AA5744)+1,N($AA5744)))</f>
        <v/>
      </c>
    </row>
    <row r="5746" ht="21" customHeight="1" s="66">
      <c r="A5746" s="56" t="n"/>
      <c r="B5746" s="57" t="n"/>
      <c r="C5746" s="57" t="n"/>
      <c r="D5746" s="57" t="n"/>
      <c r="E5746" s="56" t="n"/>
      <c r="F5746" s="57" t="n"/>
      <c r="G5746" s="57" t="n"/>
      <c r="H5746" s="56" t="n"/>
      <c r="I5746" s="56" t="n"/>
      <c r="J5746" s="58" t="n"/>
      <c r="K5746" s="58" t="n"/>
      <c r="L5746" s="13">
        <f>IF(OR($A5746="",AND($J5746="",$K5746="")),"",ROUND(N($J5746)-N($K5746),2))</f>
        <v/>
      </c>
      <c r="M5746" s="13">
        <f>IF(OR($A5746="",AND($J5746="",$K5746="")),"",MIN($J5746,$K5746))</f>
        <v/>
      </c>
      <c r="Q5746">
        <f>IF($A5746="","",$D5746&amp;"("&amp;SUBSTITUTE($E5746," ","")&amp;")")</f>
        <v/>
      </c>
      <c r="R5746">
        <f>IF($A5746="","",$B5746&amp;" - "&amp;$C5746)</f>
        <v/>
      </c>
      <c r="S5746">
        <f>IF($A5746="","",$R5746&amp;"|"&amp;$Q5746)</f>
        <v/>
      </c>
      <c r="T5746">
        <f>IF($A5746="","",$S5746&amp;"|"&amp;$F5746)</f>
        <v/>
      </c>
      <c r="U5746">
        <f>IF($A5746="","",$R5746&amp;"("&amp;$E5746&amp;")")</f>
        <v/>
      </c>
      <c r="V5746">
        <f>IF($A5746="","",$F5746&amp;"|"&amp;$U5746&amp;"|"&amp;$D5746)</f>
        <v/>
      </c>
      <c r="W5746">
        <f>IF($T5746="","",IF($X5746&gt;N($X5745),$X5746,""))</f>
        <v/>
      </c>
      <c r="X5746">
        <f>IF($T5746="",N($X5745),IF(MATCH($T5746,$T$6:$T$6005,0)=ROW()-5,N($X5745)+1,N($X5745)))</f>
        <v/>
      </c>
      <c r="Z5746">
        <f>IF($V5746="","",IF($AA5746&gt;N($AA5745),$AA5746,""))</f>
        <v/>
      </c>
      <c r="AA5746">
        <f>IF($V5746="",N($AA5745),IF(MATCH($V5746,$V$6:$V$6005,0)=ROW()-5,N($AA5745)+1,N($AA5745)))</f>
        <v/>
      </c>
    </row>
    <row r="5747" ht="21" customHeight="1" s="66">
      <c r="A5747" s="56" t="n"/>
      <c r="B5747" s="57" t="n"/>
      <c r="C5747" s="57" t="n"/>
      <c r="D5747" s="57" t="n"/>
      <c r="E5747" s="56" t="n"/>
      <c r="F5747" s="57" t="n"/>
      <c r="G5747" s="57" t="n"/>
      <c r="H5747" s="56" t="n"/>
      <c r="I5747" s="56" t="n"/>
      <c r="J5747" s="58" t="n"/>
      <c r="K5747" s="58" t="n"/>
      <c r="L5747" s="13">
        <f>IF(OR($A5747="",AND($J5747="",$K5747="")),"",ROUND(N($J5747)-N($K5747),2))</f>
        <v/>
      </c>
      <c r="M5747" s="13">
        <f>IF(OR($A5747="",AND($J5747="",$K5747="")),"",MIN($J5747,$K5747))</f>
        <v/>
      </c>
      <c r="Q5747">
        <f>IF($A5747="","",$D5747&amp;"("&amp;SUBSTITUTE($E5747," ","")&amp;")")</f>
        <v/>
      </c>
      <c r="R5747">
        <f>IF($A5747="","",$B5747&amp;" - "&amp;$C5747)</f>
        <v/>
      </c>
      <c r="S5747">
        <f>IF($A5747="","",$R5747&amp;"|"&amp;$Q5747)</f>
        <v/>
      </c>
      <c r="T5747">
        <f>IF($A5747="","",$S5747&amp;"|"&amp;$F5747)</f>
        <v/>
      </c>
      <c r="U5747">
        <f>IF($A5747="","",$R5747&amp;"("&amp;$E5747&amp;")")</f>
        <v/>
      </c>
      <c r="V5747">
        <f>IF($A5747="","",$F5747&amp;"|"&amp;$U5747&amp;"|"&amp;$D5747)</f>
        <v/>
      </c>
      <c r="W5747">
        <f>IF($T5747="","",IF($X5747&gt;N($X5746),$X5747,""))</f>
        <v/>
      </c>
      <c r="X5747">
        <f>IF($T5747="",N($X5746),IF(MATCH($T5747,$T$6:$T$6005,0)=ROW()-5,N($X5746)+1,N($X5746)))</f>
        <v/>
      </c>
      <c r="Z5747">
        <f>IF($V5747="","",IF($AA5747&gt;N($AA5746),$AA5747,""))</f>
        <v/>
      </c>
      <c r="AA5747">
        <f>IF($V5747="",N($AA5746),IF(MATCH($V5747,$V$6:$V$6005,0)=ROW()-5,N($AA5746)+1,N($AA5746)))</f>
        <v/>
      </c>
    </row>
    <row r="5748" ht="21" customHeight="1" s="66">
      <c r="A5748" s="56" t="n"/>
      <c r="B5748" s="57" t="n"/>
      <c r="C5748" s="57" t="n"/>
      <c r="D5748" s="57" t="n"/>
      <c r="E5748" s="56" t="n"/>
      <c r="F5748" s="57" t="n"/>
      <c r="G5748" s="57" t="n"/>
      <c r="H5748" s="56" t="n"/>
      <c r="I5748" s="56" t="n"/>
      <c r="J5748" s="58" t="n"/>
      <c r="K5748" s="58" t="n"/>
      <c r="L5748" s="13">
        <f>IF(OR($A5748="",AND($J5748="",$K5748="")),"",ROUND(N($J5748)-N($K5748),2))</f>
        <v/>
      </c>
      <c r="M5748" s="13">
        <f>IF(OR($A5748="",AND($J5748="",$K5748="")),"",MIN($J5748,$K5748))</f>
        <v/>
      </c>
      <c r="Q5748">
        <f>IF($A5748="","",$D5748&amp;"("&amp;SUBSTITUTE($E5748," ","")&amp;")")</f>
        <v/>
      </c>
      <c r="R5748">
        <f>IF($A5748="","",$B5748&amp;" - "&amp;$C5748)</f>
        <v/>
      </c>
      <c r="S5748">
        <f>IF($A5748="","",$R5748&amp;"|"&amp;$Q5748)</f>
        <v/>
      </c>
      <c r="T5748">
        <f>IF($A5748="","",$S5748&amp;"|"&amp;$F5748)</f>
        <v/>
      </c>
      <c r="U5748">
        <f>IF($A5748="","",$R5748&amp;"("&amp;$E5748&amp;")")</f>
        <v/>
      </c>
      <c r="V5748">
        <f>IF($A5748="","",$F5748&amp;"|"&amp;$U5748&amp;"|"&amp;$D5748)</f>
        <v/>
      </c>
      <c r="W5748">
        <f>IF($T5748="","",IF($X5748&gt;N($X5747),$X5748,""))</f>
        <v/>
      </c>
      <c r="X5748">
        <f>IF($T5748="",N($X5747),IF(MATCH($T5748,$T$6:$T$6005,0)=ROW()-5,N($X5747)+1,N($X5747)))</f>
        <v/>
      </c>
      <c r="Z5748">
        <f>IF($V5748="","",IF($AA5748&gt;N($AA5747),$AA5748,""))</f>
        <v/>
      </c>
      <c r="AA5748">
        <f>IF($V5748="",N($AA5747),IF(MATCH($V5748,$V$6:$V$6005,0)=ROW()-5,N($AA5747)+1,N($AA5747)))</f>
        <v/>
      </c>
    </row>
    <row r="5749" ht="21" customHeight="1" s="66">
      <c r="A5749" s="56" t="n"/>
      <c r="B5749" s="57" t="n"/>
      <c r="C5749" s="57" t="n"/>
      <c r="D5749" s="57" t="n"/>
      <c r="E5749" s="56" t="n"/>
      <c r="F5749" s="57" t="n"/>
      <c r="G5749" s="57" t="n"/>
      <c r="H5749" s="56" t="n"/>
      <c r="I5749" s="56" t="n"/>
      <c r="J5749" s="58" t="n"/>
      <c r="K5749" s="58" t="n"/>
      <c r="L5749" s="13">
        <f>IF(OR($A5749="",AND($J5749="",$K5749="")),"",ROUND(N($J5749)-N($K5749),2))</f>
        <v/>
      </c>
      <c r="M5749" s="13">
        <f>IF(OR($A5749="",AND($J5749="",$K5749="")),"",MIN($J5749,$K5749))</f>
        <v/>
      </c>
      <c r="Q5749">
        <f>IF($A5749="","",$D5749&amp;"("&amp;SUBSTITUTE($E5749," ","")&amp;")")</f>
        <v/>
      </c>
      <c r="R5749">
        <f>IF($A5749="","",$B5749&amp;" - "&amp;$C5749)</f>
        <v/>
      </c>
      <c r="S5749">
        <f>IF($A5749="","",$R5749&amp;"|"&amp;$Q5749)</f>
        <v/>
      </c>
      <c r="T5749">
        <f>IF($A5749="","",$S5749&amp;"|"&amp;$F5749)</f>
        <v/>
      </c>
      <c r="U5749">
        <f>IF($A5749="","",$R5749&amp;"("&amp;$E5749&amp;")")</f>
        <v/>
      </c>
      <c r="V5749">
        <f>IF($A5749="","",$F5749&amp;"|"&amp;$U5749&amp;"|"&amp;$D5749)</f>
        <v/>
      </c>
      <c r="W5749">
        <f>IF($T5749="","",IF($X5749&gt;N($X5748),$X5749,""))</f>
        <v/>
      </c>
      <c r="X5749">
        <f>IF($T5749="",N($X5748),IF(MATCH($T5749,$T$6:$T$6005,0)=ROW()-5,N($X5748)+1,N($X5748)))</f>
        <v/>
      </c>
      <c r="Z5749">
        <f>IF($V5749="","",IF($AA5749&gt;N($AA5748),$AA5749,""))</f>
        <v/>
      </c>
      <c r="AA5749">
        <f>IF($V5749="",N($AA5748),IF(MATCH($V5749,$V$6:$V$6005,0)=ROW()-5,N($AA5748)+1,N($AA5748)))</f>
        <v/>
      </c>
    </row>
    <row r="5750" ht="21" customHeight="1" s="66">
      <c r="A5750" s="56" t="n"/>
      <c r="B5750" s="57" t="n"/>
      <c r="C5750" s="57" t="n"/>
      <c r="D5750" s="57" t="n"/>
      <c r="E5750" s="56" t="n"/>
      <c r="F5750" s="57" t="n"/>
      <c r="G5750" s="57" t="n"/>
      <c r="H5750" s="56" t="n"/>
      <c r="I5750" s="56" t="n"/>
      <c r="J5750" s="58" t="n"/>
      <c r="K5750" s="58" t="n"/>
      <c r="L5750" s="13">
        <f>IF(OR($A5750="",AND($J5750="",$K5750="")),"",ROUND(N($J5750)-N($K5750),2))</f>
        <v/>
      </c>
      <c r="M5750" s="13">
        <f>IF(OR($A5750="",AND($J5750="",$K5750="")),"",MIN($J5750,$K5750))</f>
        <v/>
      </c>
      <c r="Q5750">
        <f>IF($A5750="","",$D5750&amp;"("&amp;SUBSTITUTE($E5750," ","")&amp;")")</f>
        <v/>
      </c>
      <c r="R5750">
        <f>IF($A5750="","",$B5750&amp;" - "&amp;$C5750)</f>
        <v/>
      </c>
      <c r="S5750">
        <f>IF($A5750="","",$R5750&amp;"|"&amp;$Q5750)</f>
        <v/>
      </c>
      <c r="T5750">
        <f>IF($A5750="","",$S5750&amp;"|"&amp;$F5750)</f>
        <v/>
      </c>
      <c r="U5750">
        <f>IF($A5750="","",$R5750&amp;"("&amp;$E5750&amp;")")</f>
        <v/>
      </c>
      <c r="V5750">
        <f>IF($A5750="","",$F5750&amp;"|"&amp;$U5750&amp;"|"&amp;$D5750)</f>
        <v/>
      </c>
      <c r="W5750">
        <f>IF($T5750="","",IF($X5750&gt;N($X5749),$X5750,""))</f>
        <v/>
      </c>
      <c r="X5750">
        <f>IF($T5750="",N($X5749),IF(MATCH($T5750,$T$6:$T$6005,0)=ROW()-5,N($X5749)+1,N($X5749)))</f>
        <v/>
      </c>
      <c r="Z5750">
        <f>IF($V5750="","",IF($AA5750&gt;N($AA5749),$AA5750,""))</f>
        <v/>
      </c>
      <c r="AA5750">
        <f>IF($V5750="",N($AA5749),IF(MATCH($V5750,$V$6:$V$6005,0)=ROW()-5,N($AA5749)+1,N($AA5749)))</f>
        <v/>
      </c>
    </row>
    <row r="5751" ht="21" customHeight="1" s="66">
      <c r="A5751" s="56" t="n"/>
      <c r="B5751" s="57" t="n"/>
      <c r="C5751" s="57" t="n"/>
      <c r="D5751" s="57" t="n"/>
      <c r="E5751" s="56" t="n"/>
      <c r="F5751" s="57" t="n"/>
      <c r="G5751" s="57" t="n"/>
      <c r="H5751" s="56" t="n"/>
      <c r="I5751" s="56" t="n"/>
      <c r="J5751" s="58" t="n"/>
      <c r="K5751" s="58" t="n"/>
      <c r="L5751" s="13">
        <f>IF(OR($A5751="",AND($J5751="",$K5751="")),"",ROUND(N($J5751)-N($K5751),2))</f>
        <v/>
      </c>
      <c r="M5751" s="13">
        <f>IF(OR($A5751="",AND($J5751="",$K5751="")),"",MIN($J5751,$K5751))</f>
        <v/>
      </c>
      <c r="Q5751">
        <f>IF($A5751="","",$D5751&amp;"("&amp;SUBSTITUTE($E5751," ","")&amp;")")</f>
        <v/>
      </c>
      <c r="R5751">
        <f>IF($A5751="","",$B5751&amp;" - "&amp;$C5751)</f>
        <v/>
      </c>
      <c r="S5751">
        <f>IF($A5751="","",$R5751&amp;"|"&amp;$Q5751)</f>
        <v/>
      </c>
      <c r="T5751">
        <f>IF($A5751="","",$S5751&amp;"|"&amp;$F5751)</f>
        <v/>
      </c>
      <c r="U5751">
        <f>IF($A5751="","",$R5751&amp;"("&amp;$E5751&amp;")")</f>
        <v/>
      </c>
      <c r="V5751">
        <f>IF($A5751="","",$F5751&amp;"|"&amp;$U5751&amp;"|"&amp;$D5751)</f>
        <v/>
      </c>
      <c r="W5751">
        <f>IF($T5751="","",IF($X5751&gt;N($X5750),$X5751,""))</f>
        <v/>
      </c>
      <c r="X5751">
        <f>IF($T5751="",N($X5750),IF(MATCH($T5751,$T$6:$T$6005,0)=ROW()-5,N($X5750)+1,N($X5750)))</f>
        <v/>
      </c>
      <c r="Z5751">
        <f>IF($V5751="","",IF($AA5751&gt;N($AA5750),$AA5751,""))</f>
        <v/>
      </c>
      <c r="AA5751">
        <f>IF($V5751="",N($AA5750),IF(MATCH($V5751,$V$6:$V$6005,0)=ROW()-5,N($AA5750)+1,N($AA5750)))</f>
        <v/>
      </c>
    </row>
    <row r="5752" ht="21" customHeight="1" s="66">
      <c r="A5752" s="56" t="n"/>
      <c r="B5752" s="57" t="n"/>
      <c r="C5752" s="57" t="n"/>
      <c r="D5752" s="57" t="n"/>
      <c r="E5752" s="56" t="n"/>
      <c r="F5752" s="57" t="n"/>
      <c r="G5752" s="57" t="n"/>
      <c r="H5752" s="56" t="n"/>
      <c r="I5752" s="56" t="n"/>
      <c r="J5752" s="58" t="n"/>
      <c r="K5752" s="58" t="n"/>
      <c r="L5752" s="13">
        <f>IF(OR($A5752="",AND($J5752="",$K5752="")),"",ROUND(N($J5752)-N($K5752),2))</f>
        <v/>
      </c>
      <c r="M5752" s="13">
        <f>IF(OR($A5752="",AND($J5752="",$K5752="")),"",MIN($J5752,$K5752))</f>
        <v/>
      </c>
      <c r="Q5752">
        <f>IF($A5752="","",$D5752&amp;"("&amp;SUBSTITUTE($E5752," ","")&amp;")")</f>
        <v/>
      </c>
      <c r="R5752">
        <f>IF($A5752="","",$B5752&amp;" - "&amp;$C5752)</f>
        <v/>
      </c>
      <c r="S5752">
        <f>IF($A5752="","",$R5752&amp;"|"&amp;$Q5752)</f>
        <v/>
      </c>
      <c r="T5752">
        <f>IF($A5752="","",$S5752&amp;"|"&amp;$F5752)</f>
        <v/>
      </c>
      <c r="U5752">
        <f>IF($A5752="","",$R5752&amp;"("&amp;$E5752&amp;")")</f>
        <v/>
      </c>
      <c r="V5752">
        <f>IF($A5752="","",$F5752&amp;"|"&amp;$U5752&amp;"|"&amp;$D5752)</f>
        <v/>
      </c>
      <c r="W5752">
        <f>IF($T5752="","",IF($X5752&gt;N($X5751),$X5752,""))</f>
        <v/>
      </c>
      <c r="X5752">
        <f>IF($T5752="",N($X5751),IF(MATCH($T5752,$T$6:$T$6005,0)=ROW()-5,N($X5751)+1,N($X5751)))</f>
        <v/>
      </c>
      <c r="Z5752">
        <f>IF($V5752="","",IF($AA5752&gt;N($AA5751),$AA5752,""))</f>
        <v/>
      </c>
      <c r="AA5752">
        <f>IF($V5752="",N($AA5751),IF(MATCH($V5752,$V$6:$V$6005,0)=ROW()-5,N($AA5751)+1,N($AA5751)))</f>
        <v/>
      </c>
    </row>
    <row r="5753" ht="21" customHeight="1" s="66">
      <c r="A5753" s="56" t="n"/>
      <c r="B5753" s="57" t="n"/>
      <c r="C5753" s="57" t="n"/>
      <c r="D5753" s="57" t="n"/>
      <c r="E5753" s="56" t="n"/>
      <c r="F5753" s="57" t="n"/>
      <c r="G5753" s="57" t="n"/>
      <c r="H5753" s="56" t="n"/>
      <c r="I5753" s="56" t="n"/>
      <c r="J5753" s="58" t="n"/>
      <c r="K5753" s="58" t="n"/>
      <c r="L5753" s="13">
        <f>IF(OR($A5753="",AND($J5753="",$K5753="")),"",ROUND(N($J5753)-N($K5753),2))</f>
        <v/>
      </c>
      <c r="M5753" s="13">
        <f>IF(OR($A5753="",AND($J5753="",$K5753="")),"",MIN($J5753,$K5753))</f>
        <v/>
      </c>
      <c r="Q5753">
        <f>IF($A5753="","",$D5753&amp;"("&amp;SUBSTITUTE($E5753," ","")&amp;")")</f>
        <v/>
      </c>
      <c r="R5753">
        <f>IF($A5753="","",$B5753&amp;" - "&amp;$C5753)</f>
        <v/>
      </c>
      <c r="S5753">
        <f>IF($A5753="","",$R5753&amp;"|"&amp;$Q5753)</f>
        <v/>
      </c>
      <c r="T5753">
        <f>IF($A5753="","",$S5753&amp;"|"&amp;$F5753)</f>
        <v/>
      </c>
      <c r="U5753">
        <f>IF($A5753="","",$R5753&amp;"("&amp;$E5753&amp;")")</f>
        <v/>
      </c>
      <c r="V5753">
        <f>IF($A5753="","",$F5753&amp;"|"&amp;$U5753&amp;"|"&amp;$D5753)</f>
        <v/>
      </c>
      <c r="W5753">
        <f>IF($T5753="","",IF($X5753&gt;N($X5752),$X5753,""))</f>
        <v/>
      </c>
      <c r="X5753">
        <f>IF($T5753="",N($X5752),IF(MATCH($T5753,$T$6:$T$6005,0)=ROW()-5,N($X5752)+1,N($X5752)))</f>
        <v/>
      </c>
      <c r="Z5753">
        <f>IF($V5753="","",IF($AA5753&gt;N($AA5752),$AA5753,""))</f>
        <v/>
      </c>
      <c r="AA5753">
        <f>IF($V5753="",N($AA5752),IF(MATCH($V5753,$V$6:$V$6005,0)=ROW()-5,N($AA5752)+1,N($AA5752)))</f>
        <v/>
      </c>
    </row>
    <row r="5754" ht="21" customHeight="1" s="66">
      <c r="A5754" s="56" t="n"/>
      <c r="B5754" s="57" t="n"/>
      <c r="C5754" s="57" t="n"/>
      <c r="D5754" s="57" t="n"/>
      <c r="E5754" s="56" t="n"/>
      <c r="F5754" s="57" t="n"/>
      <c r="G5754" s="57" t="n"/>
      <c r="H5754" s="56" t="n"/>
      <c r="I5754" s="56" t="n"/>
      <c r="J5754" s="58" t="n"/>
      <c r="K5754" s="58" t="n"/>
      <c r="L5754" s="13">
        <f>IF(OR($A5754="",AND($J5754="",$K5754="")),"",ROUND(N($J5754)-N($K5754),2))</f>
        <v/>
      </c>
      <c r="M5754" s="13">
        <f>IF(OR($A5754="",AND($J5754="",$K5754="")),"",MIN($J5754,$K5754))</f>
        <v/>
      </c>
      <c r="Q5754">
        <f>IF($A5754="","",$D5754&amp;"("&amp;SUBSTITUTE($E5754," ","")&amp;")")</f>
        <v/>
      </c>
      <c r="R5754">
        <f>IF($A5754="","",$B5754&amp;" - "&amp;$C5754)</f>
        <v/>
      </c>
      <c r="S5754">
        <f>IF($A5754="","",$R5754&amp;"|"&amp;$Q5754)</f>
        <v/>
      </c>
      <c r="T5754">
        <f>IF($A5754="","",$S5754&amp;"|"&amp;$F5754)</f>
        <v/>
      </c>
      <c r="U5754">
        <f>IF($A5754="","",$R5754&amp;"("&amp;$E5754&amp;")")</f>
        <v/>
      </c>
      <c r="V5754">
        <f>IF($A5754="","",$F5754&amp;"|"&amp;$U5754&amp;"|"&amp;$D5754)</f>
        <v/>
      </c>
      <c r="W5754">
        <f>IF($T5754="","",IF($X5754&gt;N($X5753),$X5754,""))</f>
        <v/>
      </c>
      <c r="X5754">
        <f>IF($T5754="",N($X5753),IF(MATCH($T5754,$T$6:$T$6005,0)=ROW()-5,N($X5753)+1,N($X5753)))</f>
        <v/>
      </c>
      <c r="Z5754">
        <f>IF($V5754="","",IF($AA5754&gt;N($AA5753),$AA5754,""))</f>
        <v/>
      </c>
      <c r="AA5754">
        <f>IF($V5754="",N($AA5753),IF(MATCH($V5754,$V$6:$V$6005,0)=ROW()-5,N($AA5753)+1,N($AA5753)))</f>
        <v/>
      </c>
    </row>
    <row r="5755" ht="21" customHeight="1" s="66">
      <c r="A5755" s="56" t="n"/>
      <c r="B5755" s="57" t="n"/>
      <c r="C5755" s="57" t="n"/>
      <c r="D5755" s="57" t="n"/>
      <c r="E5755" s="56" t="n"/>
      <c r="F5755" s="57" t="n"/>
      <c r="G5755" s="57" t="n"/>
      <c r="H5755" s="56" t="n"/>
      <c r="I5755" s="56" t="n"/>
      <c r="J5755" s="58" t="n"/>
      <c r="K5755" s="58" t="n"/>
      <c r="L5755" s="13">
        <f>IF(OR($A5755="",AND($J5755="",$K5755="")),"",ROUND(N($J5755)-N($K5755),2))</f>
        <v/>
      </c>
      <c r="M5755" s="13">
        <f>IF(OR($A5755="",AND($J5755="",$K5755="")),"",MIN($J5755,$K5755))</f>
        <v/>
      </c>
      <c r="Q5755">
        <f>IF($A5755="","",$D5755&amp;"("&amp;SUBSTITUTE($E5755," ","")&amp;")")</f>
        <v/>
      </c>
      <c r="R5755">
        <f>IF($A5755="","",$B5755&amp;" - "&amp;$C5755)</f>
        <v/>
      </c>
      <c r="S5755">
        <f>IF($A5755="","",$R5755&amp;"|"&amp;$Q5755)</f>
        <v/>
      </c>
      <c r="T5755">
        <f>IF($A5755="","",$S5755&amp;"|"&amp;$F5755)</f>
        <v/>
      </c>
      <c r="U5755">
        <f>IF($A5755="","",$R5755&amp;"("&amp;$E5755&amp;")")</f>
        <v/>
      </c>
      <c r="V5755">
        <f>IF($A5755="","",$F5755&amp;"|"&amp;$U5755&amp;"|"&amp;$D5755)</f>
        <v/>
      </c>
      <c r="W5755">
        <f>IF($T5755="","",IF($X5755&gt;N($X5754),$X5755,""))</f>
        <v/>
      </c>
      <c r="X5755">
        <f>IF($T5755="",N($X5754),IF(MATCH($T5755,$T$6:$T$6005,0)=ROW()-5,N($X5754)+1,N($X5754)))</f>
        <v/>
      </c>
      <c r="Z5755">
        <f>IF($V5755="","",IF($AA5755&gt;N($AA5754),$AA5755,""))</f>
        <v/>
      </c>
      <c r="AA5755">
        <f>IF($V5755="",N($AA5754),IF(MATCH($V5755,$V$6:$V$6005,0)=ROW()-5,N($AA5754)+1,N($AA5754)))</f>
        <v/>
      </c>
    </row>
    <row r="5756" ht="21" customHeight="1" s="66">
      <c r="A5756" s="56" t="n"/>
      <c r="B5756" s="57" t="n"/>
      <c r="C5756" s="57" t="n"/>
      <c r="D5756" s="57" t="n"/>
      <c r="E5756" s="56" t="n"/>
      <c r="F5756" s="57" t="n"/>
      <c r="G5756" s="57" t="n"/>
      <c r="H5756" s="56" t="n"/>
      <c r="I5756" s="56" t="n"/>
      <c r="J5756" s="58" t="n"/>
      <c r="K5756" s="58" t="n"/>
      <c r="L5756" s="13">
        <f>IF(OR($A5756="",AND($J5756="",$K5756="")),"",ROUND(N($J5756)-N($K5756),2))</f>
        <v/>
      </c>
      <c r="M5756" s="13">
        <f>IF(OR($A5756="",AND($J5756="",$K5756="")),"",MIN($J5756,$K5756))</f>
        <v/>
      </c>
      <c r="Q5756">
        <f>IF($A5756="","",$D5756&amp;"("&amp;SUBSTITUTE($E5756," ","")&amp;")")</f>
        <v/>
      </c>
      <c r="R5756">
        <f>IF($A5756="","",$B5756&amp;" - "&amp;$C5756)</f>
        <v/>
      </c>
      <c r="S5756">
        <f>IF($A5756="","",$R5756&amp;"|"&amp;$Q5756)</f>
        <v/>
      </c>
      <c r="T5756">
        <f>IF($A5756="","",$S5756&amp;"|"&amp;$F5756)</f>
        <v/>
      </c>
      <c r="U5756">
        <f>IF($A5756="","",$R5756&amp;"("&amp;$E5756&amp;")")</f>
        <v/>
      </c>
      <c r="V5756">
        <f>IF($A5756="","",$F5756&amp;"|"&amp;$U5756&amp;"|"&amp;$D5756)</f>
        <v/>
      </c>
      <c r="W5756">
        <f>IF($T5756="","",IF($X5756&gt;N($X5755),$X5756,""))</f>
        <v/>
      </c>
      <c r="X5756">
        <f>IF($T5756="",N($X5755),IF(MATCH($T5756,$T$6:$T$6005,0)=ROW()-5,N($X5755)+1,N($X5755)))</f>
        <v/>
      </c>
      <c r="Z5756">
        <f>IF($V5756="","",IF($AA5756&gt;N($AA5755),$AA5756,""))</f>
        <v/>
      </c>
      <c r="AA5756">
        <f>IF($V5756="",N($AA5755),IF(MATCH($V5756,$V$6:$V$6005,0)=ROW()-5,N($AA5755)+1,N($AA5755)))</f>
        <v/>
      </c>
    </row>
    <row r="5757" ht="21" customHeight="1" s="66">
      <c r="A5757" s="56" t="n"/>
      <c r="B5757" s="57" t="n"/>
      <c r="C5757" s="57" t="n"/>
      <c r="D5757" s="57" t="n"/>
      <c r="E5757" s="56" t="n"/>
      <c r="F5757" s="57" t="n"/>
      <c r="G5757" s="57" t="n"/>
      <c r="H5757" s="56" t="n"/>
      <c r="I5757" s="56" t="n"/>
      <c r="J5757" s="58" t="n"/>
      <c r="K5757" s="58" t="n"/>
      <c r="L5757" s="13">
        <f>IF(OR($A5757="",AND($J5757="",$K5757="")),"",ROUND(N($J5757)-N($K5757),2))</f>
        <v/>
      </c>
      <c r="M5757" s="13">
        <f>IF(OR($A5757="",AND($J5757="",$K5757="")),"",MIN($J5757,$K5757))</f>
        <v/>
      </c>
      <c r="Q5757">
        <f>IF($A5757="","",$D5757&amp;"("&amp;SUBSTITUTE($E5757," ","")&amp;")")</f>
        <v/>
      </c>
      <c r="R5757">
        <f>IF($A5757="","",$B5757&amp;" - "&amp;$C5757)</f>
        <v/>
      </c>
      <c r="S5757">
        <f>IF($A5757="","",$R5757&amp;"|"&amp;$Q5757)</f>
        <v/>
      </c>
      <c r="T5757">
        <f>IF($A5757="","",$S5757&amp;"|"&amp;$F5757)</f>
        <v/>
      </c>
      <c r="U5757">
        <f>IF($A5757="","",$R5757&amp;"("&amp;$E5757&amp;")")</f>
        <v/>
      </c>
      <c r="V5757">
        <f>IF($A5757="","",$F5757&amp;"|"&amp;$U5757&amp;"|"&amp;$D5757)</f>
        <v/>
      </c>
      <c r="W5757">
        <f>IF($T5757="","",IF($X5757&gt;N($X5756),$X5757,""))</f>
        <v/>
      </c>
      <c r="X5757">
        <f>IF($T5757="",N($X5756),IF(MATCH($T5757,$T$6:$T$6005,0)=ROW()-5,N($X5756)+1,N($X5756)))</f>
        <v/>
      </c>
      <c r="Z5757">
        <f>IF($V5757="","",IF($AA5757&gt;N($AA5756),$AA5757,""))</f>
        <v/>
      </c>
      <c r="AA5757">
        <f>IF($V5757="",N($AA5756),IF(MATCH($V5757,$V$6:$V$6005,0)=ROW()-5,N($AA5756)+1,N($AA5756)))</f>
        <v/>
      </c>
    </row>
    <row r="5758" ht="21" customHeight="1" s="66">
      <c r="A5758" s="56" t="n"/>
      <c r="B5758" s="57" t="n"/>
      <c r="C5758" s="57" t="n"/>
      <c r="D5758" s="57" t="n"/>
      <c r="E5758" s="56" t="n"/>
      <c r="F5758" s="57" t="n"/>
      <c r="G5758" s="57" t="n"/>
      <c r="H5758" s="56" t="n"/>
      <c r="I5758" s="56" t="n"/>
      <c r="J5758" s="58" t="n"/>
      <c r="K5758" s="58" t="n"/>
      <c r="L5758" s="13">
        <f>IF(OR($A5758="",AND($J5758="",$K5758="")),"",ROUND(N($J5758)-N($K5758),2))</f>
        <v/>
      </c>
      <c r="M5758" s="13">
        <f>IF(OR($A5758="",AND($J5758="",$K5758="")),"",MIN($J5758,$K5758))</f>
        <v/>
      </c>
      <c r="Q5758">
        <f>IF($A5758="","",$D5758&amp;"("&amp;SUBSTITUTE($E5758," ","")&amp;")")</f>
        <v/>
      </c>
      <c r="R5758">
        <f>IF($A5758="","",$B5758&amp;" - "&amp;$C5758)</f>
        <v/>
      </c>
      <c r="S5758">
        <f>IF($A5758="","",$R5758&amp;"|"&amp;$Q5758)</f>
        <v/>
      </c>
      <c r="T5758">
        <f>IF($A5758="","",$S5758&amp;"|"&amp;$F5758)</f>
        <v/>
      </c>
      <c r="U5758">
        <f>IF($A5758="","",$R5758&amp;"("&amp;$E5758&amp;")")</f>
        <v/>
      </c>
      <c r="V5758">
        <f>IF($A5758="","",$F5758&amp;"|"&amp;$U5758&amp;"|"&amp;$D5758)</f>
        <v/>
      </c>
      <c r="W5758">
        <f>IF($T5758="","",IF($X5758&gt;N($X5757),$X5758,""))</f>
        <v/>
      </c>
      <c r="X5758">
        <f>IF($T5758="",N($X5757),IF(MATCH($T5758,$T$6:$T$6005,0)=ROW()-5,N($X5757)+1,N($X5757)))</f>
        <v/>
      </c>
      <c r="Z5758">
        <f>IF($V5758="","",IF($AA5758&gt;N($AA5757),$AA5758,""))</f>
        <v/>
      </c>
      <c r="AA5758">
        <f>IF($V5758="",N($AA5757),IF(MATCH($V5758,$V$6:$V$6005,0)=ROW()-5,N($AA5757)+1,N($AA5757)))</f>
        <v/>
      </c>
    </row>
    <row r="5759" ht="21" customHeight="1" s="66">
      <c r="A5759" s="56" t="n"/>
      <c r="B5759" s="57" t="n"/>
      <c r="C5759" s="57" t="n"/>
      <c r="D5759" s="57" t="n"/>
      <c r="E5759" s="56" t="n"/>
      <c r="F5759" s="57" t="n"/>
      <c r="G5759" s="57" t="n"/>
      <c r="H5759" s="56" t="n"/>
      <c r="I5759" s="56" t="n"/>
      <c r="J5759" s="58" t="n"/>
      <c r="K5759" s="58" t="n"/>
      <c r="L5759" s="13">
        <f>IF(OR($A5759="",AND($J5759="",$K5759="")),"",ROUND(N($J5759)-N($K5759),2))</f>
        <v/>
      </c>
      <c r="M5759" s="13">
        <f>IF(OR($A5759="",AND($J5759="",$K5759="")),"",MIN($J5759,$K5759))</f>
        <v/>
      </c>
      <c r="Q5759">
        <f>IF($A5759="","",$D5759&amp;"("&amp;SUBSTITUTE($E5759," ","")&amp;")")</f>
        <v/>
      </c>
      <c r="R5759">
        <f>IF($A5759="","",$B5759&amp;" - "&amp;$C5759)</f>
        <v/>
      </c>
      <c r="S5759">
        <f>IF($A5759="","",$R5759&amp;"|"&amp;$Q5759)</f>
        <v/>
      </c>
      <c r="T5759">
        <f>IF($A5759="","",$S5759&amp;"|"&amp;$F5759)</f>
        <v/>
      </c>
      <c r="U5759">
        <f>IF($A5759="","",$R5759&amp;"("&amp;$E5759&amp;")")</f>
        <v/>
      </c>
      <c r="V5759">
        <f>IF($A5759="","",$F5759&amp;"|"&amp;$U5759&amp;"|"&amp;$D5759)</f>
        <v/>
      </c>
      <c r="W5759">
        <f>IF($T5759="","",IF($X5759&gt;N($X5758),$X5759,""))</f>
        <v/>
      </c>
      <c r="X5759">
        <f>IF($T5759="",N($X5758),IF(MATCH($T5759,$T$6:$T$6005,0)=ROW()-5,N($X5758)+1,N($X5758)))</f>
        <v/>
      </c>
      <c r="Z5759">
        <f>IF($V5759="","",IF($AA5759&gt;N($AA5758),$AA5759,""))</f>
        <v/>
      </c>
      <c r="AA5759">
        <f>IF($V5759="",N($AA5758),IF(MATCH($V5759,$V$6:$V$6005,0)=ROW()-5,N($AA5758)+1,N($AA5758)))</f>
        <v/>
      </c>
    </row>
    <row r="5760" ht="21" customHeight="1" s="66">
      <c r="A5760" s="56" t="n"/>
      <c r="B5760" s="57" t="n"/>
      <c r="C5760" s="57" t="n"/>
      <c r="D5760" s="57" t="n"/>
      <c r="E5760" s="56" t="n"/>
      <c r="F5760" s="57" t="n"/>
      <c r="G5760" s="57" t="n"/>
      <c r="H5760" s="56" t="n"/>
      <c r="I5760" s="56" t="n"/>
      <c r="J5760" s="58" t="n"/>
      <c r="K5760" s="58" t="n"/>
      <c r="L5760" s="13">
        <f>IF(OR($A5760="",AND($J5760="",$K5760="")),"",ROUND(N($J5760)-N($K5760),2))</f>
        <v/>
      </c>
      <c r="M5760" s="13">
        <f>IF(OR($A5760="",AND($J5760="",$K5760="")),"",MIN($J5760,$K5760))</f>
        <v/>
      </c>
      <c r="Q5760">
        <f>IF($A5760="","",$D5760&amp;"("&amp;SUBSTITUTE($E5760," ","")&amp;")")</f>
        <v/>
      </c>
      <c r="R5760">
        <f>IF($A5760="","",$B5760&amp;" - "&amp;$C5760)</f>
        <v/>
      </c>
      <c r="S5760">
        <f>IF($A5760="","",$R5760&amp;"|"&amp;$Q5760)</f>
        <v/>
      </c>
      <c r="T5760">
        <f>IF($A5760="","",$S5760&amp;"|"&amp;$F5760)</f>
        <v/>
      </c>
      <c r="U5760">
        <f>IF($A5760="","",$R5760&amp;"("&amp;$E5760&amp;")")</f>
        <v/>
      </c>
      <c r="V5760">
        <f>IF($A5760="","",$F5760&amp;"|"&amp;$U5760&amp;"|"&amp;$D5760)</f>
        <v/>
      </c>
      <c r="W5760">
        <f>IF($T5760="","",IF($X5760&gt;N($X5759),$X5760,""))</f>
        <v/>
      </c>
      <c r="X5760">
        <f>IF($T5760="",N($X5759),IF(MATCH($T5760,$T$6:$T$6005,0)=ROW()-5,N($X5759)+1,N($X5759)))</f>
        <v/>
      </c>
      <c r="Z5760">
        <f>IF($V5760="","",IF($AA5760&gt;N($AA5759),$AA5760,""))</f>
        <v/>
      </c>
      <c r="AA5760">
        <f>IF($V5760="",N($AA5759),IF(MATCH($V5760,$V$6:$V$6005,0)=ROW()-5,N($AA5759)+1,N($AA5759)))</f>
        <v/>
      </c>
    </row>
    <row r="5761" ht="21" customHeight="1" s="66">
      <c r="A5761" s="56" t="n"/>
      <c r="B5761" s="57" t="n"/>
      <c r="C5761" s="57" t="n"/>
      <c r="D5761" s="57" t="n"/>
      <c r="E5761" s="56" t="n"/>
      <c r="F5761" s="57" t="n"/>
      <c r="G5761" s="57" t="n"/>
      <c r="H5761" s="56" t="n"/>
      <c r="I5761" s="56" t="n"/>
      <c r="J5761" s="58" t="n"/>
      <c r="K5761" s="58" t="n"/>
      <c r="L5761" s="13">
        <f>IF(OR($A5761="",AND($J5761="",$K5761="")),"",ROUND(N($J5761)-N($K5761),2))</f>
        <v/>
      </c>
      <c r="M5761" s="13">
        <f>IF(OR($A5761="",AND($J5761="",$K5761="")),"",MIN($J5761,$K5761))</f>
        <v/>
      </c>
      <c r="Q5761">
        <f>IF($A5761="","",$D5761&amp;"("&amp;SUBSTITUTE($E5761," ","")&amp;")")</f>
        <v/>
      </c>
      <c r="R5761">
        <f>IF($A5761="","",$B5761&amp;" - "&amp;$C5761)</f>
        <v/>
      </c>
      <c r="S5761">
        <f>IF($A5761="","",$R5761&amp;"|"&amp;$Q5761)</f>
        <v/>
      </c>
      <c r="T5761">
        <f>IF($A5761="","",$S5761&amp;"|"&amp;$F5761)</f>
        <v/>
      </c>
      <c r="U5761">
        <f>IF($A5761="","",$R5761&amp;"("&amp;$E5761&amp;")")</f>
        <v/>
      </c>
      <c r="V5761">
        <f>IF($A5761="","",$F5761&amp;"|"&amp;$U5761&amp;"|"&amp;$D5761)</f>
        <v/>
      </c>
      <c r="W5761">
        <f>IF($T5761="","",IF($X5761&gt;N($X5760),$X5761,""))</f>
        <v/>
      </c>
      <c r="X5761">
        <f>IF($T5761="",N($X5760),IF(MATCH($T5761,$T$6:$T$6005,0)=ROW()-5,N($X5760)+1,N($X5760)))</f>
        <v/>
      </c>
      <c r="Z5761">
        <f>IF($V5761="","",IF($AA5761&gt;N($AA5760),$AA5761,""))</f>
        <v/>
      </c>
      <c r="AA5761">
        <f>IF($V5761="",N($AA5760),IF(MATCH($V5761,$V$6:$V$6005,0)=ROW()-5,N($AA5760)+1,N($AA5760)))</f>
        <v/>
      </c>
    </row>
    <row r="5762" ht="21" customHeight="1" s="66">
      <c r="A5762" s="56" t="n"/>
      <c r="B5762" s="57" t="n"/>
      <c r="C5762" s="57" t="n"/>
      <c r="D5762" s="57" t="n"/>
      <c r="E5762" s="56" t="n"/>
      <c r="F5762" s="57" t="n"/>
      <c r="G5762" s="57" t="n"/>
      <c r="H5762" s="56" t="n"/>
      <c r="I5762" s="56" t="n"/>
      <c r="J5762" s="58" t="n"/>
      <c r="K5762" s="58" t="n"/>
      <c r="L5762" s="13">
        <f>IF(OR($A5762="",AND($J5762="",$K5762="")),"",ROUND(N($J5762)-N($K5762),2))</f>
        <v/>
      </c>
      <c r="M5762" s="13">
        <f>IF(OR($A5762="",AND($J5762="",$K5762="")),"",MIN($J5762,$K5762))</f>
        <v/>
      </c>
      <c r="Q5762">
        <f>IF($A5762="","",$D5762&amp;"("&amp;SUBSTITUTE($E5762," ","")&amp;")")</f>
        <v/>
      </c>
      <c r="R5762">
        <f>IF($A5762="","",$B5762&amp;" - "&amp;$C5762)</f>
        <v/>
      </c>
      <c r="S5762">
        <f>IF($A5762="","",$R5762&amp;"|"&amp;$Q5762)</f>
        <v/>
      </c>
      <c r="T5762">
        <f>IF($A5762="","",$S5762&amp;"|"&amp;$F5762)</f>
        <v/>
      </c>
      <c r="U5762">
        <f>IF($A5762="","",$R5762&amp;"("&amp;$E5762&amp;")")</f>
        <v/>
      </c>
      <c r="V5762">
        <f>IF($A5762="","",$F5762&amp;"|"&amp;$U5762&amp;"|"&amp;$D5762)</f>
        <v/>
      </c>
      <c r="W5762">
        <f>IF($T5762="","",IF($X5762&gt;N($X5761),$X5762,""))</f>
        <v/>
      </c>
      <c r="X5762">
        <f>IF($T5762="",N($X5761),IF(MATCH($T5762,$T$6:$T$6005,0)=ROW()-5,N($X5761)+1,N($X5761)))</f>
        <v/>
      </c>
      <c r="Z5762">
        <f>IF($V5762="","",IF($AA5762&gt;N($AA5761),$AA5762,""))</f>
        <v/>
      </c>
      <c r="AA5762">
        <f>IF($V5762="",N($AA5761),IF(MATCH($V5762,$V$6:$V$6005,0)=ROW()-5,N($AA5761)+1,N($AA5761)))</f>
        <v/>
      </c>
    </row>
    <row r="5763" ht="21" customHeight="1" s="66">
      <c r="A5763" s="56" t="n"/>
      <c r="B5763" s="57" t="n"/>
      <c r="C5763" s="57" t="n"/>
      <c r="D5763" s="57" t="n"/>
      <c r="E5763" s="56" t="n"/>
      <c r="F5763" s="57" t="n"/>
      <c r="G5763" s="57" t="n"/>
      <c r="H5763" s="56" t="n"/>
      <c r="I5763" s="56" t="n"/>
      <c r="J5763" s="58" t="n"/>
      <c r="K5763" s="58" t="n"/>
      <c r="L5763" s="13">
        <f>IF(OR($A5763="",AND($J5763="",$K5763="")),"",ROUND(N($J5763)-N($K5763),2))</f>
        <v/>
      </c>
      <c r="M5763" s="13">
        <f>IF(OR($A5763="",AND($J5763="",$K5763="")),"",MIN($J5763,$K5763))</f>
        <v/>
      </c>
      <c r="Q5763">
        <f>IF($A5763="","",$D5763&amp;"("&amp;SUBSTITUTE($E5763," ","")&amp;")")</f>
        <v/>
      </c>
      <c r="R5763">
        <f>IF($A5763="","",$B5763&amp;" - "&amp;$C5763)</f>
        <v/>
      </c>
      <c r="S5763">
        <f>IF($A5763="","",$R5763&amp;"|"&amp;$Q5763)</f>
        <v/>
      </c>
      <c r="T5763">
        <f>IF($A5763="","",$S5763&amp;"|"&amp;$F5763)</f>
        <v/>
      </c>
      <c r="U5763">
        <f>IF($A5763="","",$R5763&amp;"("&amp;$E5763&amp;")")</f>
        <v/>
      </c>
      <c r="V5763">
        <f>IF($A5763="","",$F5763&amp;"|"&amp;$U5763&amp;"|"&amp;$D5763)</f>
        <v/>
      </c>
      <c r="W5763">
        <f>IF($T5763="","",IF($X5763&gt;N($X5762),$X5763,""))</f>
        <v/>
      </c>
      <c r="X5763">
        <f>IF($T5763="",N($X5762),IF(MATCH($T5763,$T$6:$T$6005,0)=ROW()-5,N($X5762)+1,N($X5762)))</f>
        <v/>
      </c>
      <c r="Z5763">
        <f>IF($V5763="","",IF($AA5763&gt;N($AA5762),$AA5763,""))</f>
        <v/>
      </c>
      <c r="AA5763">
        <f>IF($V5763="",N($AA5762),IF(MATCH($V5763,$V$6:$V$6005,0)=ROW()-5,N($AA5762)+1,N($AA5762)))</f>
        <v/>
      </c>
    </row>
    <row r="5764" ht="21" customHeight="1" s="66">
      <c r="A5764" s="56" t="n"/>
      <c r="B5764" s="57" t="n"/>
      <c r="C5764" s="57" t="n"/>
      <c r="D5764" s="57" t="n"/>
      <c r="E5764" s="56" t="n"/>
      <c r="F5764" s="57" t="n"/>
      <c r="G5764" s="57" t="n"/>
      <c r="H5764" s="56" t="n"/>
      <c r="I5764" s="56" t="n"/>
      <c r="J5764" s="58" t="n"/>
      <c r="K5764" s="58" t="n"/>
      <c r="L5764" s="13">
        <f>IF(OR($A5764="",AND($J5764="",$K5764="")),"",ROUND(N($J5764)-N($K5764),2))</f>
        <v/>
      </c>
      <c r="M5764" s="13">
        <f>IF(OR($A5764="",AND($J5764="",$K5764="")),"",MIN($J5764,$K5764))</f>
        <v/>
      </c>
      <c r="Q5764">
        <f>IF($A5764="","",$D5764&amp;"("&amp;SUBSTITUTE($E5764," ","")&amp;")")</f>
        <v/>
      </c>
      <c r="R5764">
        <f>IF($A5764="","",$B5764&amp;" - "&amp;$C5764)</f>
        <v/>
      </c>
      <c r="S5764">
        <f>IF($A5764="","",$R5764&amp;"|"&amp;$Q5764)</f>
        <v/>
      </c>
      <c r="T5764">
        <f>IF($A5764="","",$S5764&amp;"|"&amp;$F5764)</f>
        <v/>
      </c>
      <c r="U5764">
        <f>IF($A5764="","",$R5764&amp;"("&amp;$E5764&amp;")")</f>
        <v/>
      </c>
      <c r="V5764">
        <f>IF($A5764="","",$F5764&amp;"|"&amp;$U5764&amp;"|"&amp;$D5764)</f>
        <v/>
      </c>
      <c r="W5764">
        <f>IF($T5764="","",IF($X5764&gt;N($X5763),$X5764,""))</f>
        <v/>
      </c>
      <c r="X5764">
        <f>IF($T5764="",N($X5763),IF(MATCH($T5764,$T$6:$T$6005,0)=ROW()-5,N($X5763)+1,N($X5763)))</f>
        <v/>
      </c>
      <c r="Z5764">
        <f>IF($V5764="","",IF($AA5764&gt;N($AA5763),$AA5764,""))</f>
        <v/>
      </c>
      <c r="AA5764">
        <f>IF($V5764="",N($AA5763),IF(MATCH($V5764,$V$6:$V$6005,0)=ROW()-5,N($AA5763)+1,N($AA5763)))</f>
        <v/>
      </c>
    </row>
    <row r="5765" ht="21" customHeight="1" s="66">
      <c r="A5765" s="56" t="n"/>
      <c r="B5765" s="57" t="n"/>
      <c r="C5765" s="57" t="n"/>
      <c r="D5765" s="57" t="n"/>
      <c r="E5765" s="56" t="n"/>
      <c r="F5765" s="57" t="n"/>
      <c r="G5765" s="57" t="n"/>
      <c r="H5765" s="56" t="n"/>
      <c r="I5765" s="56" t="n"/>
      <c r="J5765" s="58" t="n"/>
      <c r="K5765" s="58" t="n"/>
      <c r="L5765" s="13">
        <f>IF(OR($A5765="",AND($J5765="",$K5765="")),"",ROUND(N($J5765)-N($K5765),2))</f>
        <v/>
      </c>
      <c r="M5765" s="13">
        <f>IF(OR($A5765="",AND($J5765="",$K5765="")),"",MIN($J5765,$K5765))</f>
        <v/>
      </c>
      <c r="Q5765">
        <f>IF($A5765="","",$D5765&amp;"("&amp;SUBSTITUTE($E5765," ","")&amp;")")</f>
        <v/>
      </c>
      <c r="R5765">
        <f>IF($A5765="","",$B5765&amp;" - "&amp;$C5765)</f>
        <v/>
      </c>
      <c r="S5765">
        <f>IF($A5765="","",$R5765&amp;"|"&amp;$Q5765)</f>
        <v/>
      </c>
      <c r="T5765">
        <f>IF($A5765="","",$S5765&amp;"|"&amp;$F5765)</f>
        <v/>
      </c>
      <c r="U5765">
        <f>IF($A5765="","",$R5765&amp;"("&amp;$E5765&amp;")")</f>
        <v/>
      </c>
      <c r="V5765">
        <f>IF($A5765="","",$F5765&amp;"|"&amp;$U5765&amp;"|"&amp;$D5765)</f>
        <v/>
      </c>
      <c r="W5765">
        <f>IF($T5765="","",IF($X5765&gt;N($X5764),$X5765,""))</f>
        <v/>
      </c>
      <c r="X5765">
        <f>IF($T5765="",N($X5764),IF(MATCH($T5765,$T$6:$T$6005,0)=ROW()-5,N($X5764)+1,N($X5764)))</f>
        <v/>
      </c>
      <c r="Z5765">
        <f>IF($V5765="","",IF($AA5765&gt;N($AA5764),$AA5765,""))</f>
        <v/>
      </c>
      <c r="AA5765">
        <f>IF($V5765="",N($AA5764),IF(MATCH($V5765,$V$6:$V$6005,0)=ROW()-5,N($AA5764)+1,N($AA5764)))</f>
        <v/>
      </c>
    </row>
    <row r="5766" ht="21" customHeight="1" s="66">
      <c r="A5766" s="56" t="n"/>
      <c r="B5766" s="57" t="n"/>
      <c r="C5766" s="57" t="n"/>
      <c r="D5766" s="57" t="n"/>
      <c r="E5766" s="56" t="n"/>
      <c r="F5766" s="57" t="n"/>
      <c r="G5766" s="57" t="n"/>
      <c r="H5766" s="56" t="n"/>
      <c r="I5766" s="56" t="n"/>
      <c r="J5766" s="58" t="n"/>
      <c r="K5766" s="58" t="n"/>
      <c r="L5766" s="13">
        <f>IF(OR($A5766="",AND($J5766="",$K5766="")),"",ROUND(N($J5766)-N($K5766),2))</f>
        <v/>
      </c>
      <c r="M5766" s="13">
        <f>IF(OR($A5766="",AND($J5766="",$K5766="")),"",MIN($J5766,$K5766))</f>
        <v/>
      </c>
      <c r="Q5766">
        <f>IF($A5766="","",$D5766&amp;"("&amp;SUBSTITUTE($E5766," ","")&amp;")")</f>
        <v/>
      </c>
      <c r="R5766">
        <f>IF($A5766="","",$B5766&amp;" - "&amp;$C5766)</f>
        <v/>
      </c>
      <c r="S5766">
        <f>IF($A5766="","",$R5766&amp;"|"&amp;$Q5766)</f>
        <v/>
      </c>
      <c r="T5766">
        <f>IF($A5766="","",$S5766&amp;"|"&amp;$F5766)</f>
        <v/>
      </c>
      <c r="U5766">
        <f>IF($A5766="","",$R5766&amp;"("&amp;$E5766&amp;")")</f>
        <v/>
      </c>
      <c r="V5766">
        <f>IF($A5766="","",$F5766&amp;"|"&amp;$U5766&amp;"|"&amp;$D5766)</f>
        <v/>
      </c>
      <c r="W5766">
        <f>IF($T5766="","",IF($X5766&gt;N($X5765),$X5766,""))</f>
        <v/>
      </c>
      <c r="X5766">
        <f>IF($T5766="",N($X5765),IF(MATCH($T5766,$T$6:$T$6005,0)=ROW()-5,N($X5765)+1,N($X5765)))</f>
        <v/>
      </c>
      <c r="Z5766">
        <f>IF($V5766="","",IF($AA5766&gt;N($AA5765),$AA5766,""))</f>
        <v/>
      </c>
      <c r="AA5766">
        <f>IF($V5766="",N($AA5765),IF(MATCH($V5766,$V$6:$V$6005,0)=ROW()-5,N($AA5765)+1,N($AA5765)))</f>
        <v/>
      </c>
    </row>
    <row r="5767" ht="21" customHeight="1" s="66">
      <c r="A5767" s="56" t="n"/>
      <c r="B5767" s="57" t="n"/>
      <c r="C5767" s="57" t="n"/>
      <c r="D5767" s="57" t="n"/>
      <c r="E5767" s="56" t="n"/>
      <c r="F5767" s="57" t="n"/>
      <c r="G5767" s="57" t="n"/>
      <c r="H5767" s="56" t="n"/>
      <c r="I5767" s="56" t="n"/>
      <c r="J5767" s="58" t="n"/>
      <c r="K5767" s="58" t="n"/>
      <c r="L5767" s="13">
        <f>IF(OR($A5767="",AND($J5767="",$K5767="")),"",ROUND(N($J5767)-N($K5767),2))</f>
        <v/>
      </c>
      <c r="M5767" s="13">
        <f>IF(OR($A5767="",AND($J5767="",$K5767="")),"",MIN($J5767,$K5767))</f>
        <v/>
      </c>
      <c r="Q5767">
        <f>IF($A5767="","",$D5767&amp;"("&amp;SUBSTITUTE($E5767," ","")&amp;")")</f>
        <v/>
      </c>
      <c r="R5767">
        <f>IF($A5767="","",$B5767&amp;" - "&amp;$C5767)</f>
        <v/>
      </c>
      <c r="S5767">
        <f>IF($A5767="","",$R5767&amp;"|"&amp;$Q5767)</f>
        <v/>
      </c>
      <c r="T5767">
        <f>IF($A5767="","",$S5767&amp;"|"&amp;$F5767)</f>
        <v/>
      </c>
      <c r="U5767">
        <f>IF($A5767="","",$R5767&amp;"("&amp;$E5767&amp;")")</f>
        <v/>
      </c>
      <c r="V5767">
        <f>IF($A5767="","",$F5767&amp;"|"&amp;$U5767&amp;"|"&amp;$D5767)</f>
        <v/>
      </c>
      <c r="W5767">
        <f>IF($T5767="","",IF($X5767&gt;N($X5766),$X5767,""))</f>
        <v/>
      </c>
      <c r="X5767">
        <f>IF($T5767="",N($X5766),IF(MATCH($T5767,$T$6:$T$6005,0)=ROW()-5,N($X5766)+1,N($X5766)))</f>
        <v/>
      </c>
      <c r="Z5767">
        <f>IF($V5767="","",IF($AA5767&gt;N($AA5766),$AA5767,""))</f>
        <v/>
      </c>
      <c r="AA5767">
        <f>IF($V5767="",N($AA5766),IF(MATCH($V5767,$V$6:$V$6005,0)=ROW()-5,N($AA5766)+1,N($AA5766)))</f>
        <v/>
      </c>
    </row>
    <row r="5768" ht="21" customHeight="1" s="66">
      <c r="A5768" s="56" t="n"/>
      <c r="B5768" s="57" t="n"/>
      <c r="C5768" s="57" t="n"/>
      <c r="D5768" s="57" t="n"/>
      <c r="E5768" s="56" t="n"/>
      <c r="F5768" s="57" t="n"/>
      <c r="G5768" s="57" t="n"/>
      <c r="H5768" s="56" t="n"/>
      <c r="I5768" s="56" t="n"/>
      <c r="J5768" s="58" t="n"/>
      <c r="K5768" s="58" t="n"/>
      <c r="L5768" s="13">
        <f>IF(OR($A5768="",AND($J5768="",$K5768="")),"",ROUND(N($J5768)-N($K5768),2))</f>
        <v/>
      </c>
      <c r="M5768" s="13">
        <f>IF(OR($A5768="",AND($J5768="",$K5768="")),"",MIN($J5768,$K5768))</f>
        <v/>
      </c>
      <c r="Q5768">
        <f>IF($A5768="","",$D5768&amp;"("&amp;SUBSTITUTE($E5768," ","")&amp;")")</f>
        <v/>
      </c>
      <c r="R5768">
        <f>IF($A5768="","",$B5768&amp;" - "&amp;$C5768)</f>
        <v/>
      </c>
      <c r="S5768">
        <f>IF($A5768="","",$R5768&amp;"|"&amp;$Q5768)</f>
        <v/>
      </c>
      <c r="T5768">
        <f>IF($A5768="","",$S5768&amp;"|"&amp;$F5768)</f>
        <v/>
      </c>
      <c r="U5768">
        <f>IF($A5768="","",$R5768&amp;"("&amp;$E5768&amp;")")</f>
        <v/>
      </c>
      <c r="V5768">
        <f>IF($A5768="","",$F5768&amp;"|"&amp;$U5768&amp;"|"&amp;$D5768)</f>
        <v/>
      </c>
      <c r="W5768">
        <f>IF($T5768="","",IF($X5768&gt;N($X5767),$X5768,""))</f>
        <v/>
      </c>
      <c r="X5768">
        <f>IF($T5768="",N($X5767),IF(MATCH($T5768,$T$6:$T$6005,0)=ROW()-5,N($X5767)+1,N($X5767)))</f>
        <v/>
      </c>
      <c r="Z5768">
        <f>IF($V5768="","",IF($AA5768&gt;N($AA5767),$AA5768,""))</f>
        <v/>
      </c>
      <c r="AA5768">
        <f>IF($V5768="",N($AA5767),IF(MATCH($V5768,$V$6:$V$6005,0)=ROW()-5,N($AA5767)+1,N($AA5767)))</f>
        <v/>
      </c>
    </row>
    <row r="5769" ht="21" customHeight="1" s="66">
      <c r="A5769" s="56" t="n"/>
      <c r="B5769" s="57" t="n"/>
      <c r="C5769" s="57" t="n"/>
      <c r="D5769" s="57" t="n"/>
      <c r="E5769" s="56" t="n"/>
      <c r="F5769" s="57" t="n"/>
      <c r="G5769" s="57" t="n"/>
      <c r="H5769" s="56" t="n"/>
      <c r="I5769" s="56" t="n"/>
      <c r="J5769" s="58" t="n"/>
      <c r="K5769" s="58" t="n"/>
      <c r="L5769" s="13">
        <f>IF(OR($A5769="",AND($J5769="",$K5769="")),"",ROUND(N($J5769)-N($K5769),2))</f>
        <v/>
      </c>
      <c r="M5769" s="13">
        <f>IF(OR($A5769="",AND($J5769="",$K5769="")),"",MIN($J5769,$K5769))</f>
        <v/>
      </c>
      <c r="Q5769">
        <f>IF($A5769="","",$D5769&amp;"("&amp;SUBSTITUTE($E5769," ","")&amp;")")</f>
        <v/>
      </c>
      <c r="R5769">
        <f>IF($A5769="","",$B5769&amp;" - "&amp;$C5769)</f>
        <v/>
      </c>
      <c r="S5769">
        <f>IF($A5769="","",$R5769&amp;"|"&amp;$Q5769)</f>
        <v/>
      </c>
      <c r="T5769">
        <f>IF($A5769="","",$S5769&amp;"|"&amp;$F5769)</f>
        <v/>
      </c>
      <c r="U5769">
        <f>IF($A5769="","",$R5769&amp;"("&amp;$E5769&amp;")")</f>
        <v/>
      </c>
      <c r="V5769">
        <f>IF($A5769="","",$F5769&amp;"|"&amp;$U5769&amp;"|"&amp;$D5769)</f>
        <v/>
      </c>
      <c r="W5769">
        <f>IF($T5769="","",IF($X5769&gt;N($X5768),$X5769,""))</f>
        <v/>
      </c>
      <c r="X5769">
        <f>IF($T5769="",N($X5768),IF(MATCH($T5769,$T$6:$T$6005,0)=ROW()-5,N($X5768)+1,N($X5768)))</f>
        <v/>
      </c>
      <c r="Z5769">
        <f>IF($V5769="","",IF($AA5769&gt;N($AA5768),$AA5769,""))</f>
        <v/>
      </c>
      <c r="AA5769">
        <f>IF($V5769="",N($AA5768),IF(MATCH($V5769,$V$6:$V$6005,0)=ROW()-5,N($AA5768)+1,N($AA5768)))</f>
        <v/>
      </c>
    </row>
    <row r="5770" ht="21" customHeight="1" s="66">
      <c r="A5770" s="56" t="n"/>
      <c r="B5770" s="57" t="n"/>
      <c r="C5770" s="57" t="n"/>
      <c r="D5770" s="57" t="n"/>
      <c r="E5770" s="56" t="n"/>
      <c r="F5770" s="57" t="n"/>
      <c r="G5770" s="57" t="n"/>
      <c r="H5770" s="56" t="n"/>
      <c r="I5770" s="56" t="n"/>
      <c r="J5770" s="58" t="n"/>
      <c r="K5770" s="58" t="n"/>
      <c r="L5770" s="13">
        <f>IF(OR($A5770="",AND($J5770="",$K5770="")),"",ROUND(N($J5770)-N($K5770),2))</f>
        <v/>
      </c>
      <c r="M5770" s="13">
        <f>IF(OR($A5770="",AND($J5770="",$K5770="")),"",MIN($J5770,$K5770))</f>
        <v/>
      </c>
      <c r="Q5770">
        <f>IF($A5770="","",$D5770&amp;"("&amp;SUBSTITUTE($E5770," ","")&amp;")")</f>
        <v/>
      </c>
      <c r="R5770">
        <f>IF($A5770="","",$B5770&amp;" - "&amp;$C5770)</f>
        <v/>
      </c>
      <c r="S5770">
        <f>IF($A5770="","",$R5770&amp;"|"&amp;$Q5770)</f>
        <v/>
      </c>
      <c r="T5770">
        <f>IF($A5770="","",$S5770&amp;"|"&amp;$F5770)</f>
        <v/>
      </c>
      <c r="U5770">
        <f>IF($A5770="","",$R5770&amp;"("&amp;$E5770&amp;")")</f>
        <v/>
      </c>
      <c r="V5770">
        <f>IF($A5770="","",$F5770&amp;"|"&amp;$U5770&amp;"|"&amp;$D5770)</f>
        <v/>
      </c>
      <c r="W5770">
        <f>IF($T5770="","",IF($X5770&gt;N($X5769),$X5770,""))</f>
        <v/>
      </c>
      <c r="X5770">
        <f>IF($T5770="",N($X5769),IF(MATCH($T5770,$T$6:$T$6005,0)=ROW()-5,N($X5769)+1,N($X5769)))</f>
        <v/>
      </c>
      <c r="Z5770">
        <f>IF($V5770="","",IF($AA5770&gt;N($AA5769),$AA5770,""))</f>
        <v/>
      </c>
      <c r="AA5770">
        <f>IF($V5770="",N($AA5769),IF(MATCH($V5770,$V$6:$V$6005,0)=ROW()-5,N($AA5769)+1,N($AA5769)))</f>
        <v/>
      </c>
    </row>
    <row r="5771" ht="21" customHeight="1" s="66">
      <c r="A5771" s="56" t="n"/>
      <c r="B5771" s="57" t="n"/>
      <c r="C5771" s="57" t="n"/>
      <c r="D5771" s="57" t="n"/>
      <c r="E5771" s="56" t="n"/>
      <c r="F5771" s="57" t="n"/>
      <c r="G5771" s="57" t="n"/>
      <c r="H5771" s="56" t="n"/>
      <c r="I5771" s="56" t="n"/>
      <c r="J5771" s="58" t="n"/>
      <c r="K5771" s="58" t="n"/>
      <c r="L5771" s="13">
        <f>IF(OR($A5771="",AND($J5771="",$K5771="")),"",ROUND(N($J5771)-N($K5771),2))</f>
        <v/>
      </c>
      <c r="M5771" s="13">
        <f>IF(OR($A5771="",AND($J5771="",$K5771="")),"",MIN($J5771,$K5771))</f>
        <v/>
      </c>
      <c r="Q5771">
        <f>IF($A5771="","",$D5771&amp;"("&amp;SUBSTITUTE($E5771," ","")&amp;")")</f>
        <v/>
      </c>
      <c r="R5771">
        <f>IF($A5771="","",$B5771&amp;" - "&amp;$C5771)</f>
        <v/>
      </c>
      <c r="S5771">
        <f>IF($A5771="","",$R5771&amp;"|"&amp;$Q5771)</f>
        <v/>
      </c>
      <c r="T5771">
        <f>IF($A5771="","",$S5771&amp;"|"&amp;$F5771)</f>
        <v/>
      </c>
      <c r="U5771">
        <f>IF($A5771="","",$R5771&amp;"("&amp;$E5771&amp;")")</f>
        <v/>
      </c>
      <c r="V5771">
        <f>IF($A5771="","",$F5771&amp;"|"&amp;$U5771&amp;"|"&amp;$D5771)</f>
        <v/>
      </c>
      <c r="W5771">
        <f>IF($T5771="","",IF($X5771&gt;N($X5770),$X5771,""))</f>
        <v/>
      </c>
      <c r="X5771">
        <f>IF($T5771="",N($X5770),IF(MATCH($T5771,$T$6:$T$6005,0)=ROW()-5,N($X5770)+1,N($X5770)))</f>
        <v/>
      </c>
      <c r="Z5771">
        <f>IF($V5771="","",IF($AA5771&gt;N($AA5770),$AA5771,""))</f>
        <v/>
      </c>
      <c r="AA5771">
        <f>IF($V5771="",N($AA5770),IF(MATCH($V5771,$V$6:$V$6005,0)=ROW()-5,N($AA5770)+1,N($AA5770)))</f>
        <v/>
      </c>
    </row>
    <row r="5772" ht="21" customHeight="1" s="66">
      <c r="A5772" s="56" t="n"/>
      <c r="B5772" s="57" t="n"/>
      <c r="C5772" s="57" t="n"/>
      <c r="D5772" s="57" t="n"/>
      <c r="E5772" s="56" t="n"/>
      <c r="F5772" s="57" t="n"/>
      <c r="G5772" s="57" t="n"/>
      <c r="H5772" s="56" t="n"/>
      <c r="I5772" s="56" t="n"/>
      <c r="J5772" s="58" t="n"/>
      <c r="K5772" s="58" t="n"/>
      <c r="L5772" s="13">
        <f>IF(OR($A5772="",AND($J5772="",$K5772="")),"",ROUND(N($J5772)-N($K5772),2))</f>
        <v/>
      </c>
      <c r="M5772" s="13">
        <f>IF(OR($A5772="",AND($J5772="",$K5772="")),"",MIN($J5772,$K5772))</f>
        <v/>
      </c>
      <c r="Q5772">
        <f>IF($A5772="","",$D5772&amp;"("&amp;SUBSTITUTE($E5772," ","")&amp;")")</f>
        <v/>
      </c>
      <c r="R5772">
        <f>IF($A5772="","",$B5772&amp;" - "&amp;$C5772)</f>
        <v/>
      </c>
      <c r="S5772">
        <f>IF($A5772="","",$R5772&amp;"|"&amp;$Q5772)</f>
        <v/>
      </c>
      <c r="T5772">
        <f>IF($A5772="","",$S5772&amp;"|"&amp;$F5772)</f>
        <v/>
      </c>
      <c r="U5772">
        <f>IF($A5772="","",$R5772&amp;"("&amp;$E5772&amp;")")</f>
        <v/>
      </c>
      <c r="V5772">
        <f>IF($A5772="","",$F5772&amp;"|"&amp;$U5772&amp;"|"&amp;$D5772)</f>
        <v/>
      </c>
      <c r="W5772">
        <f>IF($T5772="","",IF($X5772&gt;N($X5771),$X5772,""))</f>
        <v/>
      </c>
      <c r="X5772">
        <f>IF($T5772="",N($X5771),IF(MATCH($T5772,$T$6:$T$6005,0)=ROW()-5,N($X5771)+1,N($X5771)))</f>
        <v/>
      </c>
      <c r="Z5772">
        <f>IF($V5772="","",IF($AA5772&gt;N($AA5771),$AA5772,""))</f>
        <v/>
      </c>
      <c r="AA5772">
        <f>IF($V5772="",N($AA5771),IF(MATCH($V5772,$V$6:$V$6005,0)=ROW()-5,N($AA5771)+1,N($AA5771)))</f>
        <v/>
      </c>
    </row>
    <row r="5773" ht="21" customHeight="1" s="66">
      <c r="A5773" s="56" t="n"/>
      <c r="B5773" s="57" t="n"/>
      <c r="C5773" s="57" t="n"/>
      <c r="D5773" s="57" t="n"/>
      <c r="E5773" s="56" t="n"/>
      <c r="F5773" s="57" t="n"/>
      <c r="G5773" s="57" t="n"/>
      <c r="H5773" s="56" t="n"/>
      <c r="I5773" s="56" t="n"/>
      <c r="J5773" s="58" t="n"/>
      <c r="K5773" s="58" t="n"/>
      <c r="L5773" s="13">
        <f>IF(OR($A5773="",AND($J5773="",$K5773="")),"",ROUND(N($J5773)-N($K5773),2))</f>
        <v/>
      </c>
      <c r="M5773" s="13">
        <f>IF(OR($A5773="",AND($J5773="",$K5773="")),"",MIN($J5773,$K5773))</f>
        <v/>
      </c>
      <c r="Q5773">
        <f>IF($A5773="","",$D5773&amp;"("&amp;SUBSTITUTE($E5773," ","")&amp;")")</f>
        <v/>
      </c>
      <c r="R5773">
        <f>IF($A5773="","",$B5773&amp;" - "&amp;$C5773)</f>
        <v/>
      </c>
      <c r="S5773">
        <f>IF($A5773="","",$R5773&amp;"|"&amp;$Q5773)</f>
        <v/>
      </c>
      <c r="T5773">
        <f>IF($A5773="","",$S5773&amp;"|"&amp;$F5773)</f>
        <v/>
      </c>
      <c r="U5773">
        <f>IF($A5773="","",$R5773&amp;"("&amp;$E5773&amp;")")</f>
        <v/>
      </c>
      <c r="V5773">
        <f>IF($A5773="","",$F5773&amp;"|"&amp;$U5773&amp;"|"&amp;$D5773)</f>
        <v/>
      </c>
      <c r="W5773">
        <f>IF($T5773="","",IF($X5773&gt;N($X5772),$X5773,""))</f>
        <v/>
      </c>
      <c r="X5773">
        <f>IF($T5773="",N($X5772),IF(MATCH($T5773,$T$6:$T$6005,0)=ROW()-5,N($X5772)+1,N($X5772)))</f>
        <v/>
      </c>
      <c r="Z5773">
        <f>IF($V5773="","",IF($AA5773&gt;N($AA5772),$AA5773,""))</f>
        <v/>
      </c>
      <c r="AA5773">
        <f>IF($V5773="",N($AA5772),IF(MATCH($V5773,$V$6:$V$6005,0)=ROW()-5,N($AA5772)+1,N($AA5772)))</f>
        <v/>
      </c>
    </row>
    <row r="5774" ht="21" customHeight="1" s="66">
      <c r="A5774" s="56" t="n"/>
      <c r="B5774" s="57" t="n"/>
      <c r="C5774" s="57" t="n"/>
      <c r="D5774" s="57" t="n"/>
      <c r="E5774" s="56" t="n"/>
      <c r="F5774" s="57" t="n"/>
      <c r="G5774" s="57" t="n"/>
      <c r="H5774" s="56" t="n"/>
      <c r="I5774" s="56" t="n"/>
      <c r="J5774" s="58" t="n"/>
      <c r="K5774" s="58" t="n"/>
      <c r="L5774" s="13">
        <f>IF(OR($A5774="",AND($J5774="",$K5774="")),"",ROUND(N($J5774)-N($K5774),2))</f>
        <v/>
      </c>
      <c r="M5774" s="13">
        <f>IF(OR($A5774="",AND($J5774="",$K5774="")),"",MIN($J5774,$K5774))</f>
        <v/>
      </c>
      <c r="Q5774">
        <f>IF($A5774="","",$D5774&amp;"("&amp;SUBSTITUTE($E5774," ","")&amp;")")</f>
        <v/>
      </c>
      <c r="R5774">
        <f>IF($A5774="","",$B5774&amp;" - "&amp;$C5774)</f>
        <v/>
      </c>
      <c r="S5774">
        <f>IF($A5774="","",$R5774&amp;"|"&amp;$Q5774)</f>
        <v/>
      </c>
      <c r="T5774">
        <f>IF($A5774="","",$S5774&amp;"|"&amp;$F5774)</f>
        <v/>
      </c>
      <c r="U5774">
        <f>IF($A5774="","",$R5774&amp;"("&amp;$E5774&amp;")")</f>
        <v/>
      </c>
      <c r="V5774">
        <f>IF($A5774="","",$F5774&amp;"|"&amp;$U5774&amp;"|"&amp;$D5774)</f>
        <v/>
      </c>
      <c r="W5774">
        <f>IF($T5774="","",IF($X5774&gt;N($X5773),$X5774,""))</f>
        <v/>
      </c>
      <c r="X5774">
        <f>IF($T5774="",N($X5773),IF(MATCH($T5774,$T$6:$T$6005,0)=ROW()-5,N($X5773)+1,N($X5773)))</f>
        <v/>
      </c>
      <c r="Z5774">
        <f>IF($V5774="","",IF($AA5774&gt;N($AA5773),$AA5774,""))</f>
        <v/>
      </c>
      <c r="AA5774">
        <f>IF($V5774="",N($AA5773),IF(MATCH($V5774,$V$6:$V$6005,0)=ROW()-5,N($AA5773)+1,N($AA5773)))</f>
        <v/>
      </c>
    </row>
    <row r="5775" ht="21" customHeight="1" s="66">
      <c r="A5775" s="56" t="n"/>
      <c r="B5775" s="57" t="n"/>
      <c r="C5775" s="57" t="n"/>
      <c r="D5775" s="57" t="n"/>
      <c r="E5775" s="56" t="n"/>
      <c r="F5775" s="57" t="n"/>
      <c r="G5775" s="57" t="n"/>
      <c r="H5775" s="56" t="n"/>
      <c r="I5775" s="56" t="n"/>
      <c r="J5775" s="58" t="n"/>
      <c r="K5775" s="58" t="n"/>
      <c r="L5775" s="13">
        <f>IF(OR($A5775="",AND($J5775="",$K5775="")),"",ROUND(N($J5775)-N($K5775),2))</f>
        <v/>
      </c>
      <c r="M5775" s="13">
        <f>IF(OR($A5775="",AND($J5775="",$K5775="")),"",MIN($J5775,$K5775))</f>
        <v/>
      </c>
      <c r="Q5775">
        <f>IF($A5775="","",$D5775&amp;"("&amp;SUBSTITUTE($E5775," ","")&amp;")")</f>
        <v/>
      </c>
      <c r="R5775">
        <f>IF($A5775="","",$B5775&amp;" - "&amp;$C5775)</f>
        <v/>
      </c>
      <c r="S5775">
        <f>IF($A5775="","",$R5775&amp;"|"&amp;$Q5775)</f>
        <v/>
      </c>
      <c r="T5775">
        <f>IF($A5775="","",$S5775&amp;"|"&amp;$F5775)</f>
        <v/>
      </c>
      <c r="U5775">
        <f>IF($A5775="","",$R5775&amp;"("&amp;$E5775&amp;")")</f>
        <v/>
      </c>
      <c r="V5775">
        <f>IF($A5775="","",$F5775&amp;"|"&amp;$U5775&amp;"|"&amp;$D5775)</f>
        <v/>
      </c>
      <c r="W5775">
        <f>IF($T5775="","",IF($X5775&gt;N($X5774),$X5775,""))</f>
        <v/>
      </c>
      <c r="X5775">
        <f>IF($T5775="",N($X5774),IF(MATCH($T5775,$T$6:$T$6005,0)=ROW()-5,N($X5774)+1,N($X5774)))</f>
        <v/>
      </c>
      <c r="Z5775">
        <f>IF($V5775="","",IF($AA5775&gt;N($AA5774),$AA5775,""))</f>
        <v/>
      </c>
      <c r="AA5775">
        <f>IF($V5775="",N($AA5774),IF(MATCH($V5775,$V$6:$V$6005,0)=ROW()-5,N($AA5774)+1,N($AA5774)))</f>
        <v/>
      </c>
    </row>
    <row r="5776" ht="21" customHeight="1" s="66">
      <c r="A5776" s="56" t="n"/>
      <c r="B5776" s="57" t="n"/>
      <c r="C5776" s="57" t="n"/>
      <c r="D5776" s="57" t="n"/>
      <c r="E5776" s="56" t="n"/>
      <c r="F5776" s="57" t="n"/>
      <c r="G5776" s="57" t="n"/>
      <c r="H5776" s="56" t="n"/>
      <c r="I5776" s="56" t="n"/>
      <c r="J5776" s="58" t="n"/>
      <c r="K5776" s="58" t="n"/>
      <c r="L5776" s="13">
        <f>IF(OR($A5776="",AND($J5776="",$K5776="")),"",ROUND(N($J5776)-N($K5776),2))</f>
        <v/>
      </c>
      <c r="M5776" s="13">
        <f>IF(OR($A5776="",AND($J5776="",$K5776="")),"",MIN($J5776,$K5776))</f>
        <v/>
      </c>
      <c r="Q5776">
        <f>IF($A5776="","",$D5776&amp;"("&amp;SUBSTITUTE($E5776," ","")&amp;")")</f>
        <v/>
      </c>
      <c r="R5776">
        <f>IF($A5776="","",$B5776&amp;" - "&amp;$C5776)</f>
        <v/>
      </c>
      <c r="S5776">
        <f>IF($A5776="","",$R5776&amp;"|"&amp;$Q5776)</f>
        <v/>
      </c>
      <c r="T5776">
        <f>IF($A5776="","",$S5776&amp;"|"&amp;$F5776)</f>
        <v/>
      </c>
      <c r="U5776">
        <f>IF($A5776="","",$R5776&amp;"("&amp;$E5776&amp;")")</f>
        <v/>
      </c>
      <c r="V5776">
        <f>IF($A5776="","",$F5776&amp;"|"&amp;$U5776&amp;"|"&amp;$D5776)</f>
        <v/>
      </c>
      <c r="W5776">
        <f>IF($T5776="","",IF($X5776&gt;N($X5775),$X5776,""))</f>
        <v/>
      </c>
      <c r="X5776">
        <f>IF($T5776="",N($X5775),IF(MATCH($T5776,$T$6:$T$6005,0)=ROW()-5,N($X5775)+1,N($X5775)))</f>
        <v/>
      </c>
      <c r="Z5776">
        <f>IF($V5776="","",IF($AA5776&gt;N($AA5775),$AA5776,""))</f>
        <v/>
      </c>
      <c r="AA5776">
        <f>IF($V5776="",N($AA5775),IF(MATCH($V5776,$V$6:$V$6005,0)=ROW()-5,N($AA5775)+1,N($AA5775)))</f>
        <v/>
      </c>
    </row>
    <row r="5777" ht="21" customHeight="1" s="66">
      <c r="A5777" s="56" t="n"/>
      <c r="B5777" s="57" t="n"/>
      <c r="C5777" s="57" t="n"/>
      <c r="D5777" s="57" t="n"/>
      <c r="E5777" s="56" t="n"/>
      <c r="F5777" s="57" t="n"/>
      <c r="G5777" s="57" t="n"/>
      <c r="H5777" s="56" t="n"/>
      <c r="I5777" s="56" t="n"/>
      <c r="J5777" s="58" t="n"/>
      <c r="K5777" s="58" t="n"/>
      <c r="L5777" s="13">
        <f>IF(OR($A5777="",AND($J5777="",$K5777="")),"",ROUND(N($J5777)-N($K5777),2))</f>
        <v/>
      </c>
      <c r="M5777" s="13">
        <f>IF(OR($A5777="",AND($J5777="",$K5777="")),"",MIN($J5777,$K5777))</f>
        <v/>
      </c>
      <c r="Q5777">
        <f>IF($A5777="","",$D5777&amp;"("&amp;SUBSTITUTE($E5777," ","")&amp;")")</f>
        <v/>
      </c>
      <c r="R5777">
        <f>IF($A5777="","",$B5777&amp;" - "&amp;$C5777)</f>
        <v/>
      </c>
      <c r="S5777">
        <f>IF($A5777="","",$R5777&amp;"|"&amp;$Q5777)</f>
        <v/>
      </c>
      <c r="T5777">
        <f>IF($A5777="","",$S5777&amp;"|"&amp;$F5777)</f>
        <v/>
      </c>
      <c r="U5777">
        <f>IF($A5777="","",$R5777&amp;"("&amp;$E5777&amp;")")</f>
        <v/>
      </c>
      <c r="V5777">
        <f>IF($A5777="","",$F5777&amp;"|"&amp;$U5777&amp;"|"&amp;$D5777)</f>
        <v/>
      </c>
      <c r="W5777">
        <f>IF($T5777="","",IF($X5777&gt;N($X5776),$X5777,""))</f>
        <v/>
      </c>
      <c r="X5777">
        <f>IF($T5777="",N($X5776),IF(MATCH($T5777,$T$6:$T$6005,0)=ROW()-5,N($X5776)+1,N($X5776)))</f>
        <v/>
      </c>
      <c r="Z5777">
        <f>IF($V5777="","",IF($AA5777&gt;N($AA5776),$AA5777,""))</f>
        <v/>
      </c>
      <c r="AA5777">
        <f>IF($V5777="",N($AA5776),IF(MATCH($V5777,$V$6:$V$6005,0)=ROW()-5,N($AA5776)+1,N($AA5776)))</f>
        <v/>
      </c>
    </row>
    <row r="5778" ht="21" customHeight="1" s="66">
      <c r="A5778" s="56" t="n"/>
      <c r="B5778" s="57" t="n"/>
      <c r="C5778" s="57" t="n"/>
      <c r="D5778" s="57" t="n"/>
      <c r="E5778" s="56" t="n"/>
      <c r="F5778" s="57" t="n"/>
      <c r="G5778" s="57" t="n"/>
      <c r="H5778" s="56" t="n"/>
      <c r="I5778" s="56" t="n"/>
      <c r="J5778" s="58" t="n"/>
      <c r="K5778" s="58" t="n"/>
      <c r="L5778" s="13">
        <f>IF(OR($A5778="",AND($J5778="",$K5778="")),"",ROUND(N($J5778)-N($K5778),2))</f>
        <v/>
      </c>
      <c r="M5778" s="13">
        <f>IF(OR($A5778="",AND($J5778="",$K5778="")),"",MIN($J5778,$K5778))</f>
        <v/>
      </c>
      <c r="Q5778">
        <f>IF($A5778="","",$D5778&amp;"("&amp;SUBSTITUTE($E5778," ","")&amp;")")</f>
        <v/>
      </c>
      <c r="R5778">
        <f>IF($A5778="","",$B5778&amp;" - "&amp;$C5778)</f>
        <v/>
      </c>
      <c r="S5778">
        <f>IF($A5778="","",$R5778&amp;"|"&amp;$Q5778)</f>
        <v/>
      </c>
      <c r="T5778">
        <f>IF($A5778="","",$S5778&amp;"|"&amp;$F5778)</f>
        <v/>
      </c>
      <c r="U5778">
        <f>IF($A5778="","",$R5778&amp;"("&amp;$E5778&amp;")")</f>
        <v/>
      </c>
      <c r="V5778">
        <f>IF($A5778="","",$F5778&amp;"|"&amp;$U5778&amp;"|"&amp;$D5778)</f>
        <v/>
      </c>
      <c r="W5778">
        <f>IF($T5778="","",IF($X5778&gt;N($X5777),$X5778,""))</f>
        <v/>
      </c>
      <c r="X5778">
        <f>IF($T5778="",N($X5777),IF(MATCH($T5778,$T$6:$T$6005,0)=ROW()-5,N($X5777)+1,N($X5777)))</f>
        <v/>
      </c>
      <c r="Z5778">
        <f>IF($V5778="","",IF($AA5778&gt;N($AA5777),$AA5778,""))</f>
        <v/>
      </c>
      <c r="AA5778">
        <f>IF($V5778="",N($AA5777),IF(MATCH($V5778,$V$6:$V$6005,0)=ROW()-5,N($AA5777)+1,N($AA5777)))</f>
        <v/>
      </c>
    </row>
    <row r="5779" ht="21" customHeight="1" s="66">
      <c r="A5779" s="56" t="n"/>
      <c r="B5779" s="57" t="n"/>
      <c r="C5779" s="57" t="n"/>
      <c r="D5779" s="57" t="n"/>
      <c r="E5779" s="56" t="n"/>
      <c r="F5779" s="57" t="n"/>
      <c r="G5779" s="57" t="n"/>
      <c r="H5779" s="56" t="n"/>
      <c r="I5779" s="56" t="n"/>
      <c r="J5779" s="58" t="n"/>
      <c r="K5779" s="58" t="n"/>
      <c r="L5779" s="13">
        <f>IF(OR($A5779="",AND($J5779="",$K5779="")),"",ROUND(N($J5779)-N($K5779),2))</f>
        <v/>
      </c>
      <c r="M5779" s="13">
        <f>IF(OR($A5779="",AND($J5779="",$K5779="")),"",MIN($J5779,$K5779))</f>
        <v/>
      </c>
      <c r="Q5779">
        <f>IF($A5779="","",$D5779&amp;"("&amp;SUBSTITUTE($E5779," ","")&amp;")")</f>
        <v/>
      </c>
      <c r="R5779">
        <f>IF($A5779="","",$B5779&amp;" - "&amp;$C5779)</f>
        <v/>
      </c>
      <c r="S5779">
        <f>IF($A5779="","",$R5779&amp;"|"&amp;$Q5779)</f>
        <v/>
      </c>
      <c r="T5779">
        <f>IF($A5779="","",$S5779&amp;"|"&amp;$F5779)</f>
        <v/>
      </c>
      <c r="U5779">
        <f>IF($A5779="","",$R5779&amp;"("&amp;$E5779&amp;")")</f>
        <v/>
      </c>
      <c r="V5779">
        <f>IF($A5779="","",$F5779&amp;"|"&amp;$U5779&amp;"|"&amp;$D5779)</f>
        <v/>
      </c>
      <c r="W5779">
        <f>IF($T5779="","",IF($X5779&gt;N($X5778),$X5779,""))</f>
        <v/>
      </c>
      <c r="X5779">
        <f>IF($T5779="",N($X5778),IF(MATCH($T5779,$T$6:$T$6005,0)=ROW()-5,N($X5778)+1,N($X5778)))</f>
        <v/>
      </c>
      <c r="Z5779">
        <f>IF($V5779="","",IF($AA5779&gt;N($AA5778),$AA5779,""))</f>
        <v/>
      </c>
      <c r="AA5779">
        <f>IF($V5779="",N($AA5778),IF(MATCH($V5779,$V$6:$V$6005,0)=ROW()-5,N($AA5778)+1,N($AA5778)))</f>
        <v/>
      </c>
    </row>
    <row r="5780" ht="21" customHeight="1" s="66">
      <c r="A5780" s="56" t="n"/>
      <c r="B5780" s="57" t="n"/>
      <c r="C5780" s="57" t="n"/>
      <c r="D5780" s="57" t="n"/>
      <c r="E5780" s="56" t="n"/>
      <c r="F5780" s="57" t="n"/>
      <c r="G5780" s="57" t="n"/>
      <c r="H5780" s="56" t="n"/>
      <c r="I5780" s="56" t="n"/>
      <c r="J5780" s="58" t="n"/>
      <c r="K5780" s="58" t="n"/>
      <c r="L5780" s="13">
        <f>IF(OR($A5780="",AND($J5780="",$K5780="")),"",ROUND(N($J5780)-N($K5780),2))</f>
        <v/>
      </c>
      <c r="M5780" s="13">
        <f>IF(OR($A5780="",AND($J5780="",$K5780="")),"",MIN($J5780,$K5780))</f>
        <v/>
      </c>
      <c r="Q5780">
        <f>IF($A5780="","",$D5780&amp;"("&amp;SUBSTITUTE($E5780," ","")&amp;")")</f>
        <v/>
      </c>
      <c r="R5780">
        <f>IF($A5780="","",$B5780&amp;" - "&amp;$C5780)</f>
        <v/>
      </c>
      <c r="S5780">
        <f>IF($A5780="","",$R5780&amp;"|"&amp;$Q5780)</f>
        <v/>
      </c>
      <c r="T5780">
        <f>IF($A5780="","",$S5780&amp;"|"&amp;$F5780)</f>
        <v/>
      </c>
      <c r="U5780">
        <f>IF($A5780="","",$R5780&amp;"("&amp;$E5780&amp;")")</f>
        <v/>
      </c>
      <c r="V5780">
        <f>IF($A5780="","",$F5780&amp;"|"&amp;$U5780&amp;"|"&amp;$D5780)</f>
        <v/>
      </c>
      <c r="W5780">
        <f>IF($T5780="","",IF($X5780&gt;N($X5779),$X5780,""))</f>
        <v/>
      </c>
      <c r="X5780">
        <f>IF($T5780="",N($X5779),IF(MATCH($T5780,$T$6:$T$6005,0)=ROW()-5,N($X5779)+1,N($X5779)))</f>
        <v/>
      </c>
      <c r="Z5780">
        <f>IF($V5780="","",IF($AA5780&gt;N($AA5779),$AA5780,""))</f>
        <v/>
      </c>
      <c r="AA5780">
        <f>IF($V5780="",N($AA5779),IF(MATCH($V5780,$V$6:$V$6005,0)=ROW()-5,N($AA5779)+1,N($AA5779)))</f>
        <v/>
      </c>
    </row>
    <row r="5781" ht="21" customHeight="1" s="66">
      <c r="A5781" s="56" t="n"/>
      <c r="B5781" s="57" t="n"/>
      <c r="C5781" s="57" t="n"/>
      <c r="D5781" s="57" t="n"/>
      <c r="E5781" s="56" t="n"/>
      <c r="F5781" s="57" t="n"/>
      <c r="G5781" s="57" t="n"/>
      <c r="H5781" s="56" t="n"/>
      <c r="I5781" s="56" t="n"/>
      <c r="J5781" s="58" t="n"/>
      <c r="K5781" s="58" t="n"/>
      <c r="L5781" s="13">
        <f>IF(OR($A5781="",AND($J5781="",$K5781="")),"",ROUND(N($J5781)-N($K5781),2))</f>
        <v/>
      </c>
      <c r="M5781" s="13">
        <f>IF(OR($A5781="",AND($J5781="",$K5781="")),"",MIN($J5781,$K5781))</f>
        <v/>
      </c>
      <c r="Q5781">
        <f>IF($A5781="","",$D5781&amp;"("&amp;SUBSTITUTE($E5781," ","")&amp;")")</f>
        <v/>
      </c>
      <c r="R5781">
        <f>IF($A5781="","",$B5781&amp;" - "&amp;$C5781)</f>
        <v/>
      </c>
      <c r="S5781">
        <f>IF($A5781="","",$R5781&amp;"|"&amp;$Q5781)</f>
        <v/>
      </c>
      <c r="T5781">
        <f>IF($A5781="","",$S5781&amp;"|"&amp;$F5781)</f>
        <v/>
      </c>
      <c r="U5781">
        <f>IF($A5781="","",$R5781&amp;"("&amp;$E5781&amp;")")</f>
        <v/>
      </c>
      <c r="V5781">
        <f>IF($A5781="","",$F5781&amp;"|"&amp;$U5781&amp;"|"&amp;$D5781)</f>
        <v/>
      </c>
      <c r="W5781">
        <f>IF($T5781="","",IF($X5781&gt;N($X5780),$X5781,""))</f>
        <v/>
      </c>
      <c r="X5781">
        <f>IF($T5781="",N($X5780),IF(MATCH($T5781,$T$6:$T$6005,0)=ROW()-5,N($X5780)+1,N($X5780)))</f>
        <v/>
      </c>
      <c r="Z5781">
        <f>IF($V5781="","",IF($AA5781&gt;N($AA5780),$AA5781,""))</f>
        <v/>
      </c>
      <c r="AA5781">
        <f>IF($V5781="",N($AA5780),IF(MATCH($V5781,$V$6:$V$6005,0)=ROW()-5,N($AA5780)+1,N($AA5780)))</f>
        <v/>
      </c>
    </row>
    <row r="5782" ht="21" customHeight="1" s="66">
      <c r="A5782" s="56" t="n"/>
      <c r="B5782" s="57" t="n"/>
      <c r="C5782" s="57" t="n"/>
      <c r="D5782" s="57" t="n"/>
      <c r="E5782" s="56" t="n"/>
      <c r="F5782" s="57" t="n"/>
      <c r="G5782" s="57" t="n"/>
      <c r="H5782" s="56" t="n"/>
      <c r="I5782" s="56" t="n"/>
      <c r="J5782" s="58" t="n"/>
      <c r="K5782" s="58" t="n"/>
      <c r="L5782" s="13">
        <f>IF(OR($A5782="",AND($J5782="",$K5782="")),"",ROUND(N($J5782)-N($K5782),2))</f>
        <v/>
      </c>
      <c r="M5782" s="13">
        <f>IF(OR($A5782="",AND($J5782="",$K5782="")),"",MIN($J5782,$K5782))</f>
        <v/>
      </c>
      <c r="Q5782">
        <f>IF($A5782="","",$D5782&amp;"("&amp;SUBSTITUTE($E5782," ","")&amp;")")</f>
        <v/>
      </c>
      <c r="R5782">
        <f>IF($A5782="","",$B5782&amp;" - "&amp;$C5782)</f>
        <v/>
      </c>
      <c r="S5782">
        <f>IF($A5782="","",$R5782&amp;"|"&amp;$Q5782)</f>
        <v/>
      </c>
      <c r="T5782">
        <f>IF($A5782="","",$S5782&amp;"|"&amp;$F5782)</f>
        <v/>
      </c>
      <c r="U5782">
        <f>IF($A5782="","",$R5782&amp;"("&amp;$E5782&amp;")")</f>
        <v/>
      </c>
      <c r="V5782">
        <f>IF($A5782="","",$F5782&amp;"|"&amp;$U5782&amp;"|"&amp;$D5782)</f>
        <v/>
      </c>
      <c r="W5782">
        <f>IF($T5782="","",IF($X5782&gt;N($X5781),$X5782,""))</f>
        <v/>
      </c>
      <c r="X5782">
        <f>IF($T5782="",N($X5781),IF(MATCH($T5782,$T$6:$T$6005,0)=ROW()-5,N($X5781)+1,N($X5781)))</f>
        <v/>
      </c>
      <c r="Z5782">
        <f>IF($V5782="","",IF($AA5782&gt;N($AA5781),$AA5782,""))</f>
        <v/>
      </c>
      <c r="AA5782">
        <f>IF($V5782="",N($AA5781),IF(MATCH($V5782,$V$6:$V$6005,0)=ROW()-5,N($AA5781)+1,N($AA5781)))</f>
        <v/>
      </c>
    </row>
    <row r="5783" ht="21" customHeight="1" s="66">
      <c r="A5783" s="56" t="n"/>
      <c r="B5783" s="57" t="n"/>
      <c r="C5783" s="57" t="n"/>
      <c r="D5783" s="57" t="n"/>
      <c r="E5783" s="56" t="n"/>
      <c r="F5783" s="57" t="n"/>
      <c r="G5783" s="57" t="n"/>
      <c r="H5783" s="56" t="n"/>
      <c r="I5783" s="56" t="n"/>
      <c r="J5783" s="58" t="n"/>
      <c r="K5783" s="58" t="n"/>
      <c r="L5783" s="13">
        <f>IF(OR($A5783="",AND($J5783="",$K5783="")),"",ROUND(N($J5783)-N($K5783),2))</f>
        <v/>
      </c>
      <c r="M5783" s="13">
        <f>IF(OR($A5783="",AND($J5783="",$K5783="")),"",MIN($J5783,$K5783))</f>
        <v/>
      </c>
      <c r="Q5783">
        <f>IF($A5783="","",$D5783&amp;"("&amp;SUBSTITUTE($E5783," ","")&amp;")")</f>
        <v/>
      </c>
      <c r="R5783">
        <f>IF($A5783="","",$B5783&amp;" - "&amp;$C5783)</f>
        <v/>
      </c>
      <c r="S5783">
        <f>IF($A5783="","",$R5783&amp;"|"&amp;$Q5783)</f>
        <v/>
      </c>
      <c r="T5783">
        <f>IF($A5783="","",$S5783&amp;"|"&amp;$F5783)</f>
        <v/>
      </c>
      <c r="U5783">
        <f>IF($A5783="","",$R5783&amp;"("&amp;$E5783&amp;")")</f>
        <v/>
      </c>
      <c r="V5783">
        <f>IF($A5783="","",$F5783&amp;"|"&amp;$U5783&amp;"|"&amp;$D5783)</f>
        <v/>
      </c>
      <c r="W5783">
        <f>IF($T5783="","",IF($X5783&gt;N($X5782),$X5783,""))</f>
        <v/>
      </c>
      <c r="X5783">
        <f>IF($T5783="",N($X5782),IF(MATCH($T5783,$T$6:$T$6005,0)=ROW()-5,N($X5782)+1,N($X5782)))</f>
        <v/>
      </c>
      <c r="Z5783">
        <f>IF($V5783="","",IF($AA5783&gt;N($AA5782),$AA5783,""))</f>
        <v/>
      </c>
      <c r="AA5783">
        <f>IF($V5783="",N($AA5782),IF(MATCH($V5783,$V$6:$V$6005,0)=ROW()-5,N($AA5782)+1,N($AA5782)))</f>
        <v/>
      </c>
    </row>
    <row r="5784" ht="21" customHeight="1" s="66">
      <c r="A5784" s="56" t="n"/>
      <c r="B5784" s="57" t="n"/>
      <c r="C5784" s="57" t="n"/>
      <c r="D5784" s="57" t="n"/>
      <c r="E5784" s="56" t="n"/>
      <c r="F5784" s="57" t="n"/>
      <c r="G5784" s="57" t="n"/>
      <c r="H5784" s="56" t="n"/>
      <c r="I5784" s="56" t="n"/>
      <c r="J5784" s="58" t="n"/>
      <c r="K5784" s="58" t="n"/>
      <c r="L5784" s="13">
        <f>IF(OR($A5784="",AND($J5784="",$K5784="")),"",ROUND(N($J5784)-N($K5784),2))</f>
        <v/>
      </c>
      <c r="M5784" s="13">
        <f>IF(OR($A5784="",AND($J5784="",$K5784="")),"",MIN($J5784,$K5784))</f>
        <v/>
      </c>
      <c r="Q5784">
        <f>IF($A5784="","",$D5784&amp;"("&amp;SUBSTITUTE($E5784," ","")&amp;")")</f>
        <v/>
      </c>
      <c r="R5784">
        <f>IF($A5784="","",$B5784&amp;" - "&amp;$C5784)</f>
        <v/>
      </c>
      <c r="S5784">
        <f>IF($A5784="","",$R5784&amp;"|"&amp;$Q5784)</f>
        <v/>
      </c>
      <c r="T5784">
        <f>IF($A5784="","",$S5784&amp;"|"&amp;$F5784)</f>
        <v/>
      </c>
      <c r="U5784">
        <f>IF($A5784="","",$R5784&amp;"("&amp;$E5784&amp;")")</f>
        <v/>
      </c>
      <c r="V5784">
        <f>IF($A5784="","",$F5784&amp;"|"&amp;$U5784&amp;"|"&amp;$D5784)</f>
        <v/>
      </c>
      <c r="W5784">
        <f>IF($T5784="","",IF($X5784&gt;N($X5783),$X5784,""))</f>
        <v/>
      </c>
      <c r="X5784">
        <f>IF($T5784="",N($X5783),IF(MATCH($T5784,$T$6:$T$6005,0)=ROW()-5,N($X5783)+1,N($X5783)))</f>
        <v/>
      </c>
      <c r="Z5784">
        <f>IF($V5784="","",IF($AA5784&gt;N($AA5783),$AA5784,""))</f>
        <v/>
      </c>
      <c r="AA5784">
        <f>IF($V5784="",N($AA5783),IF(MATCH($V5784,$V$6:$V$6005,0)=ROW()-5,N($AA5783)+1,N($AA5783)))</f>
        <v/>
      </c>
    </row>
    <row r="5785" ht="21" customHeight="1" s="66">
      <c r="A5785" s="56" t="n"/>
      <c r="B5785" s="57" t="n"/>
      <c r="C5785" s="57" t="n"/>
      <c r="D5785" s="57" t="n"/>
      <c r="E5785" s="56" t="n"/>
      <c r="F5785" s="57" t="n"/>
      <c r="G5785" s="57" t="n"/>
      <c r="H5785" s="56" t="n"/>
      <c r="I5785" s="56" t="n"/>
      <c r="J5785" s="58" t="n"/>
      <c r="K5785" s="58" t="n"/>
      <c r="L5785" s="13">
        <f>IF(OR($A5785="",AND($J5785="",$K5785="")),"",ROUND(N($J5785)-N($K5785),2))</f>
        <v/>
      </c>
      <c r="M5785" s="13">
        <f>IF(OR($A5785="",AND($J5785="",$K5785="")),"",MIN($J5785,$K5785))</f>
        <v/>
      </c>
      <c r="Q5785">
        <f>IF($A5785="","",$D5785&amp;"("&amp;SUBSTITUTE($E5785," ","")&amp;")")</f>
        <v/>
      </c>
      <c r="R5785">
        <f>IF($A5785="","",$B5785&amp;" - "&amp;$C5785)</f>
        <v/>
      </c>
      <c r="S5785">
        <f>IF($A5785="","",$R5785&amp;"|"&amp;$Q5785)</f>
        <v/>
      </c>
      <c r="T5785">
        <f>IF($A5785="","",$S5785&amp;"|"&amp;$F5785)</f>
        <v/>
      </c>
      <c r="U5785">
        <f>IF($A5785="","",$R5785&amp;"("&amp;$E5785&amp;")")</f>
        <v/>
      </c>
      <c r="V5785">
        <f>IF($A5785="","",$F5785&amp;"|"&amp;$U5785&amp;"|"&amp;$D5785)</f>
        <v/>
      </c>
      <c r="W5785">
        <f>IF($T5785="","",IF($X5785&gt;N($X5784),$X5785,""))</f>
        <v/>
      </c>
      <c r="X5785">
        <f>IF($T5785="",N($X5784),IF(MATCH($T5785,$T$6:$T$6005,0)=ROW()-5,N($X5784)+1,N($X5784)))</f>
        <v/>
      </c>
      <c r="Z5785">
        <f>IF($V5785="","",IF($AA5785&gt;N($AA5784),$AA5785,""))</f>
        <v/>
      </c>
      <c r="AA5785">
        <f>IF($V5785="",N($AA5784),IF(MATCH($V5785,$V$6:$V$6005,0)=ROW()-5,N($AA5784)+1,N($AA5784)))</f>
        <v/>
      </c>
    </row>
    <row r="5786" ht="21" customHeight="1" s="66">
      <c r="A5786" s="56" t="n"/>
      <c r="B5786" s="57" t="n"/>
      <c r="C5786" s="57" t="n"/>
      <c r="D5786" s="57" t="n"/>
      <c r="E5786" s="56" t="n"/>
      <c r="F5786" s="57" t="n"/>
      <c r="G5786" s="57" t="n"/>
      <c r="H5786" s="56" t="n"/>
      <c r="I5786" s="56" t="n"/>
      <c r="J5786" s="58" t="n"/>
      <c r="K5786" s="58" t="n"/>
      <c r="L5786" s="13">
        <f>IF(OR($A5786="",AND($J5786="",$K5786="")),"",ROUND(N($J5786)-N($K5786),2))</f>
        <v/>
      </c>
      <c r="M5786" s="13">
        <f>IF(OR($A5786="",AND($J5786="",$K5786="")),"",MIN($J5786,$K5786))</f>
        <v/>
      </c>
      <c r="Q5786">
        <f>IF($A5786="","",$D5786&amp;"("&amp;SUBSTITUTE($E5786," ","")&amp;")")</f>
        <v/>
      </c>
      <c r="R5786">
        <f>IF($A5786="","",$B5786&amp;" - "&amp;$C5786)</f>
        <v/>
      </c>
      <c r="S5786">
        <f>IF($A5786="","",$R5786&amp;"|"&amp;$Q5786)</f>
        <v/>
      </c>
      <c r="T5786">
        <f>IF($A5786="","",$S5786&amp;"|"&amp;$F5786)</f>
        <v/>
      </c>
      <c r="U5786">
        <f>IF($A5786="","",$R5786&amp;"("&amp;$E5786&amp;")")</f>
        <v/>
      </c>
      <c r="V5786">
        <f>IF($A5786="","",$F5786&amp;"|"&amp;$U5786&amp;"|"&amp;$D5786)</f>
        <v/>
      </c>
      <c r="W5786">
        <f>IF($T5786="","",IF($X5786&gt;N($X5785),$X5786,""))</f>
        <v/>
      </c>
      <c r="X5786">
        <f>IF($T5786="",N($X5785),IF(MATCH($T5786,$T$6:$T$6005,0)=ROW()-5,N($X5785)+1,N($X5785)))</f>
        <v/>
      </c>
      <c r="Z5786">
        <f>IF($V5786="","",IF($AA5786&gt;N($AA5785),$AA5786,""))</f>
        <v/>
      </c>
      <c r="AA5786">
        <f>IF($V5786="",N($AA5785),IF(MATCH($V5786,$V$6:$V$6005,0)=ROW()-5,N($AA5785)+1,N($AA5785)))</f>
        <v/>
      </c>
    </row>
    <row r="5787" ht="21" customHeight="1" s="66">
      <c r="A5787" s="56" t="n"/>
      <c r="B5787" s="57" t="n"/>
      <c r="C5787" s="57" t="n"/>
      <c r="D5787" s="57" t="n"/>
      <c r="E5787" s="56" t="n"/>
      <c r="F5787" s="57" t="n"/>
      <c r="G5787" s="57" t="n"/>
      <c r="H5787" s="56" t="n"/>
      <c r="I5787" s="56" t="n"/>
      <c r="J5787" s="58" t="n"/>
      <c r="K5787" s="58" t="n"/>
      <c r="L5787" s="13">
        <f>IF(OR($A5787="",AND($J5787="",$K5787="")),"",ROUND(N($J5787)-N($K5787),2))</f>
        <v/>
      </c>
      <c r="M5787" s="13">
        <f>IF(OR($A5787="",AND($J5787="",$K5787="")),"",MIN($J5787,$K5787))</f>
        <v/>
      </c>
      <c r="Q5787">
        <f>IF($A5787="","",$D5787&amp;"("&amp;SUBSTITUTE($E5787," ","")&amp;")")</f>
        <v/>
      </c>
      <c r="R5787">
        <f>IF($A5787="","",$B5787&amp;" - "&amp;$C5787)</f>
        <v/>
      </c>
      <c r="S5787">
        <f>IF($A5787="","",$R5787&amp;"|"&amp;$Q5787)</f>
        <v/>
      </c>
      <c r="T5787">
        <f>IF($A5787="","",$S5787&amp;"|"&amp;$F5787)</f>
        <v/>
      </c>
      <c r="U5787">
        <f>IF($A5787="","",$R5787&amp;"("&amp;$E5787&amp;")")</f>
        <v/>
      </c>
      <c r="V5787">
        <f>IF($A5787="","",$F5787&amp;"|"&amp;$U5787&amp;"|"&amp;$D5787)</f>
        <v/>
      </c>
      <c r="W5787">
        <f>IF($T5787="","",IF($X5787&gt;N($X5786),$X5787,""))</f>
        <v/>
      </c>
      <c r="X5787">
        <f>IF($T5787="",N($X5786),IF(MATCH($T5787,$T$6:$T$6005,0)=ROW()-5,N($X5786)+1,N($X5786)))</f>
        <v/>
      </c>
      <c r="Z5787">
        <f>IF($V5787="","",IF($AA5787&gt;N($AA5786),$AA5787,""))</f>
        <v/>
      </c>
      <c r="AA5787">
        <f>IF($V5787="",N($AA5786),IF(MATCH($V5787,$V$6:$V$6005,0)=ROW()-5,N($AA5786)+1,N($AA5786)))</f>
        <v/>
      </c>
    </row>
    <row r="5788" ht="21" customHeight="1" s="66">
      <c r="A5788" s="56" t="n"/>
      <c r="B5788" s="57" t="n"/>
      <c r="C5788" s="57" t="n"/>
      <c r="D5788" s="57" t="n"/>
      <c r="E5788" s="56" t="n"/>
      <c r="F5788" s="57" t="n"/>
      <c r="G5788" s="57" t="n"/>
      <c r="H5788" s="56" t="n"/>
      <c r="I5788" s="56" t="n"/>
      <c r="J5788" s="58" t="n"/>
      <c r="K5788" s="58" t="n"/>
      <c r="L5788" s="13">
        <f>IF(OR($A5788="",AND($J5788="",$K5788="")),"",ROUND(N($J5788)-N($K5788),2))</f>
        <v/>
      </c>
      <c r="M5788" s="13">
        <f>IF(OR($A5788="",AND($J5788="",$K5788="")),"",MIN($J5788,$K5788))</f>
        <v/>
      </c>
      <c r="Q5788">
        <f>IF($A5788="","",$D5788&amp;"("&amp;SUBSTITUTE($E5788," ","")&amp;")")</f>
        <v/>
      </c>
      <c r="R5788">
        <f>IF($A5788="","",$B5788&amp;" - "&amp;$C5788)</f>
        <v/>
      </c>
      <c r="S5788">
        <f>IF($A5788="","",$R5788&amp;"|"&amp;$Q5788)</f>
        <v/>
      </c>
      <c r="T5788">
        <f>IF($A5788="","",$S5788&amp;"|"&amp;$F5788)</f>
        <v/>
      </c>
      <c r="U5788">
        <f>IF($A5788="","",$R5788&amp;"("&amp;$E5788&amp;")")</f>
        <v/>
      </c>
      <c r="V5788">
        <f>IF($A5788="","",$F5788&amp;"|"&amp;$U5788&amp;"|"&amp;$D5788)</f>
        <v/>
      </c>
      <c r="W5788">
        <f>IF($T5788="","",IF($X5788&gt;N($X5787),$X5788,""))</f>
        <v/>
      </c>
      <c r="X5788">
        <f>IF($T5788="",N($X5787),IF(MATCH($T5788,$T$6:$T$6005,0)=ROW()-5,N($X5787)+1,N($X5787)))</f>
        <v/>
      </c>
      <c r="Z5788">
        <f>IF($V5788="","",IF($AA5788&gt;N($AA5787),$AA5788,""))</f>
        <v/>
      </c>
      <c r="AA5788">
        <f>IF($V5788="",N($AA5787),IF(MATCH($V5788,$V$6:$V$6005,0)=ROW()-5,N($AA5787)+1,N($AA5787)))</f>
        <v/>
      </c>
    </row>
    <row r="5789" ht="21" customHeight="1" s="66">
      <c r="A5789" s="56" t="n"/>
      <c r="B5789" s="57" t="n"/>
      <c r="C5789" s="57" t="n"/>
      <c r="D5789" s="57" t="n"/>
      <c r="E5789" s="56" t="n"/>
      <c r="F5789" s="57" t="n"/>
      <c r="G5789" s="57" t="n"/>
      <c r="H5789" s="56" t="n"/>
      <c r="I5789" s="56" t="n"/>
      <c r="J5789" s="58" t="n"/>
      <c r="K5789" s="58" t="n"/>
      <c r="L5789" s="13">
        <f>IF(OR($A5789="",AND($J5789="",$K5789="")),"",ROUND(N($J5789)-N($K5789),2))</f>
        <v/>
      </c>
      <c r="M5789" s="13">
        <f>IF(OR($A5789="",AND($J5789="",$K5789="")),"",MIN($J5789,$K5789))</f>
        <v/>
      </c>
      <c r="Q5789">
        <f>IF($A5789="","",$D5789&amp;"("&amp;SUBSTITUTE($E5789," ","")&amp;")")</f>
        <v/>
      </c>
      <c r="R5789">
        <f>IF($A5789="","",$B5789&amp;" - "&amp;$C5789)</f>
        <v/>
      </c>
      <c r="S5789">
        <f>IF($A5789="","",$R5789&amp;"|"&amp;$Q5789)</f>
        <v/>
      </c>
      <c r="T5789">
        <f>IF($A5789="","",$S5789&amp;"|"&amp;$F5789)</f>
        <v/>
      </c>
      <c r="U5789">
        <f>IF($A5789="","",$R5789&amp;"("&amp;$E5789&amp;")")</f>
        <v/>
      </c>
      <c r="V5789">
        <f>IF($A5789="","",$F5789&amp;"|"&amp;$U5789&amp;"|"&amp;$D5789)</f>
        <v/>
      </c>
      <c r="W5789">
        <f>IF($T5789="","",IF($X5789&gt;N($X5788),$X5789,""))</f>
        <v/>
      </c>
      <c r="X5789">
        <f>IF($T5789="",N($X5788),IF(MATCH($T5789,$T$6:$T$6005,0)=ROW()-5,N($X5788)+1,N($X5788)))</f>
        <v/>
      </c>
      <c r="Z5789">
        <f>IF($V5789="","",IF($AA5789&gt;N($AA5788),$AA5789,""))</f>
        <v/>
      </c>
      <c r="AA5789">
        <f>IF($V5789="",N($AA5788),IF(MATCH($V5789,$V$6:$V$6005,0)=ROW()-5,N($AA5788)+1,N($AA5788)))</f>
        <v/>
      </c>
    </row>
    <row r="5790" ht="21" customHeight="1" s="66">
      <c r="A5790" s="56" t="n"/>
      <c r="B5790" s="57" t="n"/>
      <c r="C5790" s="57" t="n"/>
      <c r="D5790" s="57" t="n"/>
      <c r="E5790" s="56" t="n"/>
      <c r="F5790" s="57" t="n"/>
      <c r="G5790" s="57" t="n"/>
      <c r="H5790" s="56" t="n"/>
      <c r="I5790" s="56" t="n"/>
      <c r="J5790" s="58" t="n"/>
      <c r="K5790" s="58" t="n"/>
      <c r="L5790" s="13">
        <f>IF(OR($A5790="",AND($J5790="",$K5790="")),"",ROUND(N($J5790)-N($K5790),2))</f>
        <v/>
      </c>
      <c r="M5790" s="13">
        <f>IF(OR($A5790="",AND($J5790="",$K5790="")),"",MIN($J5790,$K5790))</f>
        <v/>
      </c>
      <c r="Q5790">
        <f>IF($A5790="","",$D5790&amp;"("&amp;SUBSTITUTE($E5790," ","")&amp;")")</f>
        <v/>
      </c>
      <c r="R5790">
        <f>IF($A5790="","",$B5790&amp;" - "&amp;$C5790)</f>
        <v/>
      </c>
      <c r="S5790">
        <f>IF($A5790="","",$R5790&amp;"|"&amp;$Q5790)</f>
        <v/>
      </c>
      <c r="T5790">
        <f>IF($A5790="","",$S5790&amp;"|"&amp;$F5790)</f>
        <v/>
      </c>
      <c r="U5790">
        <f>IF($A5790="","",$R5790&amp;"("&amp;$E5790&amp;")")</f>
        <v/>
      </c>
      <c r="V5790">
        <f>IF($A5790="","",$F5790&amp;"|"&amp;$U5790&amp;"|"&amp;$D5790)</f>
        <v/>
      </c>
      <c r="W5790">
        <f>IF($T5790="","",IF($X5790&gt;N($X5789),$X5790,""))</f>
        <v/>
      </c>
      <c r="X5790">
        <f>IF($T5790="",N($X5789),IF(MATCH($T5790,$T$6:$T$6005,0)=ROW()-5,N($X5789)+1,N($X5789)))</f>
        <v/>
      </c>
      <c r="Z5790">
        <f>IF($V5790="","",IF($AA5790&gt;N($AA5789),$AA5790,""))</f>
        <v/>
      </c>
      <c r="AA5790">
        <f>IF($V5790="",N($AA5789),IF(MATCH($V5790,$V$6:$V$6005,0)=ROW()-5,N($AA5789)+1,N($AA5789)))</f>
        <v/>
      </c>
    </row>
    <row r="5791" ht="21" customHeight="1" s="66">
      <c r="A5791" s="56" t="n"/>
      <c r="B5791" s="57" t="n"/>
      <c r="C5791" s="57" t="n"/>
      <c r="D5791" s="57" t="n"/>
      <c r="E5791" s="56" t="n"/>
      <c r="F5791" s="57" t="n"/>
      <c r="G5791" s="57" t="n"/>
      <c r="H5791" s="56" t="n"/>
      <c r="I5791" s="56" t="n"/>
      <c r="J5791" s="58" t="n"/>
      <c r="K5791" s="58" t="n"/>
      <c r="L5791" s="13">
        <f>IF(OR($A5791="",AND($J5791="",$K5791="")),"",ROUND(N($J5791)-N($K5791),2))</f>
        <v/>
      </c>
      <c r="M5791" s="13">
        <f>IF(OR($A5791="",AND($J5791="",$K5791="")),"",MIN($J5791,$K5791))</f>
        <v/>
      </c>
      <c r="Q5791">
        <f>IF($A5791="","",$D5791&amp;"("&amp;SUBSTITUTE($E5791," ","")&amp;")")</f>
        <v/>
      </c>
      <c r="R5791">
        <f>IF($A5791="","",$B5791&amp;" - "&amp;$C5791)</f>
        <v/>
      </c>
      <c r="S5791">
        <f>IF($A5791="","",$R5791&amp;"|"&amp;$Q5791)</f>
        <v/>
      </c>
      <c r="T5791">
        <f>IF($A5791="","",$S5791&amp;"|"&amp;$F5791)</f>
        <v/>
      </c>
      <c r="U5791">
        <f>IF($A5791="","",$R5791&amp;"("&amp;$E5791&amp;")")</f>
        <v/>
      </c>
      <c r="V5791">
        <f>IF($A5791="","",$F5791&amp;"|"&amp;$U5791&amp;"|"&amp;$D5791)</f>
        <v/>
      </c>
      <c r="W5791">
        <f>IF($T5791="","",IF($X5791&gt;N($X5790),$X5791,""))</f>
        <v/>
      </c>
      <c r="X5791">
        <f>IF($T5791="",N($X5790),IF(MATCH($T5791,$T$6:$T$6005,0)=ROW()-5,N($X5790)+1,N($X5790)))</f>
        <v/>
      </c>
      <c r="Z5791">
        <f>IF($V5791="","",IF($AA5791&gt;N($AA5790),$AA5791,""))</f>
        <v/>
      </c>
      <c r="AA5791">
        <f>IF($V5791="",N($AA5790),IF(MATCH($V5791,$V$6:$V$6005,0)=ROW()-5,N($AA5790)+1,N($AA5790)))</f>
        <v/>
      </c>
    </row>
    <row r="5792" ht="21" customHeight="1" s="66">
      <c r="A5792" s="56" t="n"/>
      <c r="B5792" s="57" t="n"/>
      <c r="C5792" s="57" t="n"/>
      <c r="D5792" s="57" t="n"/>
      <c r="E5792" s="56" t="n"/>
      <c r="F5792" s="57" t="n"/>
      <c r="G5792" s="57" t="n"/>
      <c r="H5792" s="56" t="n"/>
      <c r="I5792" s="56" t="n"/>
      <c r="J5792" s="58" t="n"/>
      <c r="K5792" s="58" t="n"/>
      <c r="L5792" s="13">
        <f>IF(OR($A5792="",AND($J5792="",$K5792="")),"",ROUND(N($J5792)-N($K5792),2))</f>
        <v/>
      </c>
      <c r="M5792" s="13">
        <f>IF(OR($A5792="",AND($J5792="",$K5792="")),"",MIN($J5792,$K5792))</f>
        <v/>
      </c>
      <c r="Q5792">
        <f>IF($A5792="","",$D5792&amp;"("&amp;SUBSTITUTE($E5792," ","")&amp;")")</f>
        <v/>
      </c>
      <c r="R5792">
        <f>IF($A5792="","",$B5792&amp;" - "&amp;$C5792)</f>
        <v/>
      </c>
      <c r="S5792">
        <f>IF($A5792="","",$R5792&amp;"|"&amp;$Q5792)</f>
        <v/>
      </c>
      <c r="T5792">
        <f>IF($A5792="","",$S5792&amp;"|"&amp;$F5792)</f>
        <v/>
      </c>
      <c r="U5792">
        <f>IF($A5792="","",$R5792&amp;"("&amp;$E5792&amp;")")</f>
        <v/>
      </c>
      <c r="V5792">
        <f>IF($A5792="","",$F5792&amp;"|"&amp;$U5792&amp;"|"&amp;$D5792)</f>
        <v/>
      </c>
      <c r="W5792">
        <f>IF($T5792="","",IF($X5792&gt;N($X5791),$X5792,""))</f>
        <v/>
      </c>
      <c r="X5792">
        <f>IF($T5792="",N($X5791),IF(MATCH($T5792,$T$6:$T$6005,0)=ROW()-5,N($X5791)+1,N($X5791)))</f>
        <v/>
      </c>
      <c r="Z5792">
        <f>IF($V5792="","",IF($AA5792&gt;N($AA5791),$AA5792,""))</f>
        <v/>
      </c>
      <c r="AA5792">
        <f>IF($V5792="",N($AA5791),IF(MATCH($V5792,$V$6:$V$6005,0)=ROW()-5,N($AA5791)+1,N($AA5791)))</f>
        <v/>
      </c>
    </row>
    <row r="5793" ht="21" customHeight="1" s="66">
      <c r="A5793" s="56" t="n"/>
      <c r="B5793" s="57" t="n"/>
      <c r="C5793" s="57" t="n"/>
      <c r="D5793" s="57" t="n"/>
      <c r="E5793" s="56" t="n"/>
      <c r="F5793" s="57" t="n"/>
      <c r="G5793" s="57" t="n"/>
      <c r="H5793" s="56" t="n"/>
      <c r="I5793" s="56" t="n"/>
      <c r="J5793" s="58" t="n"/>
      <c r="K5793" s="58" t="n"/>
      <c r="L5793" s="13">
        <f>IF(OR($A5793="",AND($J5793="",$K5793="")),"",ROUND(N($J5793)-N($K5793),2))</f>
        <v/>
      </c>
      <c r="M5793" s="13">
        <f>IF(OR($A5793="",AND($J5793="",$K5793="")),"",MIN($J5793,$K5793))</f>
        <v/>
      </c>
      <c r="Q5793">
        <f>IF($A5793="","",$D5793&amp;"("&amp;SUBSTITUTE($E5793," ","")&amp;")")</f>
        <v/>
      </c>
      <c r="R5793">
        <f>IF($A5793="","",$B5793&amp;" - "&amp;$C5793)</f>
        <v/>
      </c>
      <c r="S5793">
        <f>IF($A5793="","",$R5793&amp;"|"&amp;$Q5793)</f>
        <v/>
      </c>
      <c r="T5793">
        <f>IF($A5793="","",$S5793&amp;"|"&amp;$F5793)</f>
        <v/>
      </c>
      <c r="U5793">
        <f>IF($A5793="","",$R5793&amp;"("&amp;$E5793&amp;")")</f>
        <v/>
      </c>
      <c r="V5793">
        <f>IF($A5793="","",$F5793&amp;"|"&amp;$U5793&amp;"|"&amp;$D5793)</f>
        <v/>
      </c>
      <c r="W5793">
        <f>IF($T5793="","",IF($X5793&gt;N($X5792),$X5793,""))</f>
        <v/>
      </c>
      <c r="X5793">
        <f>IF($T5793="",N($X5792),IF(MATCH($T5793,$T$6:$T$6005,0)=ROW()-5,N($X5792)+1,N($X5792)))</f>
        <v/>
      </c>
      <c r="Z5793">
        <f>IF($V5793="","",IF($AA5793&gt;N($AA5792),$AA5793,""))</f>
        <v/>
      </c>
      <c r="AA5793">
        <f>IF($V5793="",N($AA5792),IF(MATCH($V5793,$V$6:$V$6005,0)=ROW()-5,N($AA5792)+1,N($AA5792)))</f>
        <v/>
      </c>
    </row>
    <row r="5794" ht="21" customHeight="1" s="66">
      <c r="A5794" s="56" t="n"/>
      <c r="B5794" s="57" t="n"/>
      <c r="C5794" s="57" t="n"/>
      <c r="D5794" s="57" t="n"/>
      <c r="E5794" s="56" t="n"/>
      <c r="F5794" s="57" t="n"/>
      <c r="G5794" s="57" t="n"/>
      <c r="H5794" s="56" t="n"/>
      <c r="I5794" s="56" t="n"/>
      <c r="J5794" s="58" t="n"/>
      <c r="K5794" s="58" t="n"/>
      <c r="L5794" s="13">
        <f>IF(OR($A5794="",AND($J5794="",$K5794="")),"",ROUND(N($J5794)-N($K5794),2))</f>
        <v/>
      </c>
      <c r="M5794" s="13">
        <f>IF(OR($A5794="",AND($J5794="",$K5794="")),"",MIN($J5794,$K5794))</f>
        <v/>
      </c>
      <c r="Q5794">
        <f>IF($A5794="","",$D5794&amp;"("&amp;SUBSTITUTE($E5794," ","")&amp;")")</f>
        <v/>
      </c>
      <c r="R5794">
        <f>IF($A5794="","",$B5794&amp;" - "&amp;$C5794)</f>
        <v/>
      </c>
      <c r="S5794">
        <f>IF($A5794="","",$R5794&amp;"|"&amp;$Q5794)</f>
        <v/>
      </c>
      <c r="T5794">
        <f>IF($A5794="","",$S5794&amp;"|"&amp;$F5794)</f>
        <v/>
      </c>
      <c r="U5794">
        <f>IF($A5794="","",$R5794&amp;"("&amp;$E5794&amp;")")</f>
        <v/>
      </c>
      <c r="V5794">
        <f>IF($A5794="","",$F5794&amp;"|"&amp;$U5794&amp;"|"&amp;$D5794)</f>
        <v/>
      </c>
      <c r="W5794">
        <f>IF($T5794="","",IF($X5794&gt;N($X5793),$X5794,""))</f>
        <v/>
      </c>
      <c r="X5794">
        <f>IF($T5794="",N($X5793),IF(MATCH($T5794,$T$6:$T$6005,0)=ROW()-5,N($X5793)+1,N($X5793)))</f>
        <v/>
      </c>
      <c r="Z5794">
        <f>IF($V5794="","",IF($AA5794&gt;N($AA5793),$AA5794,""))</f>
        <v/>
      </c>
      <c r="AA5794">
        <f>IF($V5794="",N($AA5793),IF(MATCH($V5794,$V$6:$V$6005,0)=ROW()-5,N($AA5793)+1,N($AA5793)))</f>
        <v/>
      </c>
    </row>
    <row r="5795" ht="21" customHeight="1" s="66">
      <c r="A5795" s="56" t="n"/>
      <c r="B5795" s="57" t="n"/>
      <c r="C5795" s="57" t="n"/>
      <c r="D5795" s="57" t="n"/>
      <c r="E5795" s="56" t="n"/>
      <c r="F5795" s="57" t="n"/>
      <c r="G5795" s="57" t="n"/>
      <c r="H5795" s="56" t="n"/>
      <c r="I5795" s="56" t="n"/>
      <c r="J5795" s="58" t="n"/>
      <c r="K5795" s="58" t="n"/>
      <c r="L5795" s="13">
        <f>IF(OR($A5795="",AND($J5795="",$K5795="")),"",ROUND(N($J5795)-N($K5795),2))</f>
        <v/>
      </c>
      <c r="M5795" s="13">
        <f>IF(OR($A5795="",AND($J5795="",$K5795="")),"",MIN($J5795,$K5795))</f>
        <v/>
      </c>
      <c r="Q5795">
        <f>IF($A5795="","",$D5795&amp;"("&amp;SUBSTITUTE($E5795," ","")&amp;")")</f>
        <v/>
      </c>
      <c r="R5795">
        <f>IF($A5795="","",$B5795&amp;" - "&amp;$C5795)</f>
        <v/>
      </c>
      <c r="S5795">
        <f>IF($A5795="","",$R5795&amp;"|"&amp;$Q5795)</f>
        <v/>
      </c>
      <c r="T5795">
        <f>IF($A5795="","",$S5795&amp;"|"&amp;$F5795)</f>
        <v/>
      </c>
      <c r="U5795">
        <f>IF($A5795="","",$R5795&amp;"("&amp;$E5795&amp;")")</f>
        <v/>
      </c>
      <c r="V5795">
        <f>IF($A5795="","",$F5795&amp;"|"&amp;$U5795&amp;"|"&amp;$D5795)</f>
        <v/>
      </c>
      <c r="W5795">
        <f>IF($T5795="","",IF($X5795&gt;N($X5794),$X5795,""))</f>
        <v/>
      </c>
      <c r="X5795">
        <f>IF($T5795="",N($X5794),IF(MATCH($T5795,$T$6:$T$6005,0)=ROW()-5,N($X5794)+1,N($X5794)))</f>
        <v/>
      </c>
      <c r="Z5795">
        <f>IF($V5795="","",IF($AA5795&gt;N($AA5794),$AA5795,""))</f>
        <v/>
      </c>
      <c r="AA5795">
        <f>IF($V5795="",N($AA5794),IF(MATCH($V5795,$V$6:$V$6005,0)=ROW()-5,N($AA5794)+1,N($AA5794)))</f>
        <v/>
      </c>
    </row>
    <row r="5796" ht="21" customHeight="1" s="66">
      <c r="A5796" s="56" t="n"/>
      <c r="B5796" s="57" t="n"/>
      <c r="C5796" s="57" t="n"/>
      <c r="D5796" s="57" t="n"/>
      <c r="E5796" s="56" t="n"/>
      <c r="F5796" s="57" t="n"/>
      <c r="G5796" s="57" t="n"/>
      <c r="H5796" s="56" t="n"/>
      <c r="I5796" s="56" t="n"/>
      <c r="J5796" s="58" t="n"/>
      <c r="K5796" s="58" t="n"/>
      <c r="L5796" s="13">
        <f>IF(OR($A5796="",AND($J5796="",$K5796="")),"",ROUND(N($J5796)-N($K5796),2))</f>
        <v/>
      </c>
      <c r="M5796" s="13">
        <f>IF(OR($A5796="",AND($J5796="",$K5796="")),"",MIN($J5796,$K5796))</f>
        <v/>
      </c>
      <c r="Q5796">
        <f>IF($A5796="","",$D5796&amp;"("&amp;SUBSTITUTE($E5796," ","")&amp;")")</f>
        <v/>
      </c>
      <c r="R5796">
        <f>IF($A5796="","",$B5796&amp;" - "&amp;$C5796)</f>
        <v/>
      </c>
      <c r="S5796">
        <f>IF($A5796="","",$R5796&amp;"|"&amp;$Q5796)</f>
        <v/>
      </c>
      <c r="T5796">
        <f>IF($A5796="","",$S5796&amp;"|"&amp;$F5796)</f>
        <v/>
      </c>
      <c r="U5796">
        <f>IF($A5796="","",$R5796&amp;"("&amp;$E5796&amp;")")</f>
        <v/>
      </c>
      <c r="V5796">
        <f>IF($A5796="","",$F5796&amp;"|"&amp;$U5796&amp;"|"&amp;$D5796)</f>
        <v/>
      </c>
      <c r="W5796">
        <f>IF($T5796="","",IF($X5796&gt;N($X5795),$X5796,""))</f>
        <v/>
      </c>
      <c r="X5796">
        <f>IF($T5796="",N($X5795),IF(MATCH($T5796,$T$6:$T$6005,0)=ROW()-5,N($X5795)+1,N($X5795)))</f>
        <v/>
      </c>
      <c r="Z5796">
        <f>IF($V5796="","",IF($AA5796&gt;N($AA5795),$AA5796,""))</f>
        <v/>
      </c>
      <c r="AA5796">
        <f>IF($V5796="",N($AA5795),IF(MATCH($V5796,$V$6:$V$6005,0)=ROW()-5,N($AA5795)+1,N($AA5795)))</f>
        <v/>
      </c>
    </row>
    <row r="5797" ht="21" customHeight="1" s="66">
      <c r="A5797" s="56" t="n"/>
      <c r="B5797" s="57" t="n"/>
      <c r="C5797" s="57" t="n"/>
      <c r="D5797" s="57" t="n"/>
      <c r="E5797" s="56" t="n"/>
      <c r="F5797" s="57" t="n"/>
      <c r="G5797" s="57" t="n"/>
      <c r="H5797" s="56" t="n"/>
      <c r="I5797" s="56" t="n"/>
      <c r="J5797" s="58" t="n"/>
      <c r="K5797" s="58" t="n"/>
      <c r="L5797" s="13">
        <f>IF(OR($A5797="",AND($J5797="",$K5797="")),"",ROUND(N($J5797)-N($K5797),2))</f>
        <v/>
      </c>
      <c r="M5797" s="13">
        <f>IF(OR($A5797="",AND($J5797="",$K5797="")),"",MIN($J5797,$K5797))</f>
        <v/>
      </c>
      <c r="Q5797">
        <f>IF($A5797="","",$D5797&amp;"("&amp;SUBSTITUTE($E5797," ","")&amp;")")</f>
        <v/>
      </c>
      <c r="R5797">
        <f>IF($A5797="","",$B5797&amp;" - "&amp;$C5797)</f>
        <v/>
      </c>
      <c r="S5797">
        <f>IF($A5797="","",$R5797&amp;"|"&amp;$Q5797)</f>
        <v/>
      </c>
      <c r="T5797">
        <f>IF($A5797="","",$S5797&amp;"|"&amp;$F5797)</f>
        <v/>
      </c>
      <c r="U5797">
        <f>IF($A5797="","",$R5797&amp;"("&amp;$E5797&amp;")")</f>
        <v/>
      </c>
      <c r="V5797">
        <f>IF($A5797="","",$F5797&amp;"|"&amp;$U5797&amp;"|"&amp;$D5797)</f>
        <v/>
      </c>
      <c r="W5797">
        <f>IF($T5797="","",IF($X5797&gt;N($X5796),$X5797,""))</f>
        <v/>
      </c>
      <c r="X5797">
        <f>IF($T5797="",N($X5796),IF(MATCH($T5797,$T$6:$T$6005,0)=ROW()-5,N($X5796)+1,N($X5796)))</f>
        <v/>
      </c>
      <c r="Z5797">
        <f>IF($V5797="","",IF($AA5797&gt;N($AA5796),$AA5797,""))</f>
        <v/>
      </c>
      <c r="AA5797">
        <f>IF($V5797="",N($AA5796),IF(MATCH($V5797,$V$6:$V$6005,0)=ROW()-5,N($AA5796)+1,N($AA5796)))</f>
        <v/>
      </c>
    </row>
    <row r="5798" ht="21" customHeight="1" s="66">
      <c r="A5798" s="56" t="n"/>
      <c r="B5798" s="57" t="n"/>
      <c r="C5798" s="57" t="n"/>
      <c r="D5798" s="57" t="n"/>
      <c r="E5798" s="56" t="n"/>
      <c r="F5798" s="57" t="n"/>
      <c r="G5798" s="57" t="n"/>
      <c r="H5798" s="56" t="n"/>
      <c r="I5798" s="56" t="n"/>
      <c r="J5798" s="58" t="n"/>
      <c r="K5798" s="58" t="n"/>
      <c r="L5798" s="13">
        <f>IF(OR($A5798="",AND($J5798="",$K5798="")),"",ROUND(N($J5798)-N($K5798),2))</f>
        <v/>
      </c>
      <c r="M5798" s="13">
        <f>IF(OR($A5798="",AND($J5798="",$K5798="")),"",MIN($J5798,$K5798))</f>
        <v/>
      </c>
      <c r="Q5798">
        <f>IF($A5798="","",$D5798&amp;"("&amp;SUBSTITUTE($E5798," ","")&amp;")")</f>
        <v/>
      </c>
      <c r="R5798">
        <f>IF($A5798="","",$B5798&amp;" - "&amp;$C5798)</f>
        <v/>
      </c>
      <c r="S5798">
        <f>IF($A5798="","",$R5798&amp;"|"&amp;$Q5798)</f>
        <v/>
      </c>
      <c r="T5798">
        <f>IF($A5798="","",$S5798&amp;"|"&amp;$F5798)</f>
        <v/>
      </c>
      <c r="U5798">
        <f>IF($A5798="","",$R5798&amp;"("&amp;$E5798&amp;")")</f>
        <v/>
      </c>
      <c r="V5798">
        <f>IF($A5798="","",$F5798&amp;"|"&amp;$U5798&amp;"|"&amp;$D5798)</f>
        <v/>
      </c>
      <c r="W5798">
        <f>IF($T5798="","",IF($X5798&gt;N($X5797),$X5798,""))</f>
        <v/>
      </c>
      <c r="X5798">
        <f>IF($T5798="",N($X5797),IF(MATCH($T5798,$T$6:$T$6005,0)=ROW()-5,N($X5797)+1,N($X5797)))</f>
        <v/>
      </c>
      <c r="Z5798">
        <f>IF($V5798="","",IF($AA5798&gt;N($AA5797),$AA5798,""))</f>
        <v/>
      </c>
      <c r="AA5798">
        <f>IF($V5798="",N($AA5797),IF(MATCH($V5798,$V$6:$V$6005,0)=ROW()-5,N($AA5797)+1,N($AA5797)))</f>
        <v/>
      </c>
    </row>
    <row r="5799" ht="21" customHeight="1" s="66">
      <c r="A5799" s="56" t="n"/>
      <c r="B5799" s="57" t="n"/>
      <c r="C5799" s="57" t="n"/>
      <c r="D5799" s="57" t="n"/>
      <c r="E5799" s="56" t="n"/>
      <c r="F5799" s="57" t="n"/>
      <c r="G5799" s="57" t="n"/>
      <c r="H5799" s="56" t="n"/>
      <c r="I5799" s="56" t="n"/>
      <c r="J5799" s="58" t="n"/>
      <c r="K5799" s="58" t="n"/>
      <c r="L5799" s="13">
        <f>IF(OR($A5799="",AND($J5799="",$K5799="")),"",ROUND(N($J5799)-N($K5799),2))</f>
        <v/>
      </c>
      <c r="M5799" s="13">
        <f>IF(OR($A5799="",AND($J5799="",$K5799="")),"",MIN($J5799,$K5799))</f>
        <v/>
      </c>
      <c r="Q5799">
        <f>IF($A5799="","",$D5799&amp;"("&amp;SUBSTITUTE($E5799," ","")&amp;")")</f>
        <v/>
      </c>
      <c r="R5799">
        <f>IF($A5799="","",$B5799&amp;" - "&amp;$C5799)</f>
        <v/>
      </c>
      <c r="S5799">
        <f>IF($A5799="","",$R5799&amp;"|"&amp;$Q5799)</f>
        <v/>
      </c>
      <c r="T5799">
        <f>IF($A5799="","",$S5799&amp;"|"&amp;$F5799)</f>
        <v/>
      </c>
      <c r="U5799">
        <f>IF($A5799="","",$R5799&amp;"("&amp;$E5799&amp;")")</f>
        <v/>
      </c>
      <c r="V5799">
        <f>IF($A5799="","",$F5799&amp;"|"&amp;$U5799&amp;"|"&amp;$D5799)</f>
        <v/>
      </c>
      <c r="W5799">
        <f>IF($T5799="","",IF($X5799&gt;N($X5798),$X5799,""))</f>
        <v/>
      </c>
      <c r="X5799">
        <f>IF($T5799="",N($X5798),IF(MATCH($T5799,$T$6:$T$6005,0)=ROW()-5,N($X5798)+1,N($X5798)))</f>
        <v/>
      </c>
      <c r="Z5799">
        <f>IF($V5799="","",IF($AA5799&gt;N($AA5798),$AA5799,""))</f>
        <v/>
      </c>
      <c r="AA5799">
        <f>IF($V5799="",N($AA5798),IF(MATCH($V5799,$V$6:$V$6005,0)=ROW()-5,N($AA5798)+1,N($AA5798)))</f>
        <v/>
      </c>
    </row>
    <row r="5800" ht="21" customHeight="1" s="66">
      <c r="A5800" s="56" t="n"/>
      <c r="B5800" s="57" t="n"/>
      <c r="C5800" s="57" t="n"/>
      <c r="D5800" s="57" t="n"/>
      <c r="E5800" s="56" t="n"/>
      <c r="F5800" s="57" t="n"/>
      <c r="G5800" s="57" t="n"/>
      <c r="H5800" s="56" t="n"/>
      <c r="I5800" s="56" t="n"/>
      <c r="J5800" s="58" t="n"/>
      <c r="K5800" s="58" t="n"/>
      <c r="L5800" s="13">
        <f>IF(OR($A5800="",AND($J5800="",$K5800="")),"",ROUND(N($J5800)-N($K5800),2))</f>
        <v/>
      </c>
      <c r="M5800" s="13">
        <f>IF(OR($A5800="",AND($J5800="",$K5800="")),"",MIN($J5800,$K5800))</f>
        <v/>
      </c>
      <c r="Q5800">
        <f>IF($A5800="","",$D5800&amp;"("&amp;SUBSTITUTE($E5800," ","")&amp;")")</f>
        <v/>
      </c>
      <c r="R5800">
        <f>IF($A5800="","",$B5800&amp;" - "&amp;$C5800)</f>
        <v/>
      </c>
      <c r="S5800">
        <f>IF($A5800="","",$R5800&amp;"|"&amp;$Q5800)</f>
        <v/>
      </c>
      <c r="T5800">
        <f>IF($A5800="","",$S5800&amp;"|"&amp;$F5800)</f>
        <v/>
      </c>
      <c r="U5800">
        <f>IF($A5800="","",$R5800&amp;"("&amp;$E5800&amp;")")</f>
        <v/>
      </c>
      <c r="V5800">
        <f>IF($A5800="","",$F5800&amp;"|"&amp;$U5800&amp;"|"&amp;$D5800)</f>
        <v/>
      </c>
      <c r="W5800">
        <f>IF($T5800="","",IF($X5800&gt;N($X5799),$X5800,""))</f>
        <v/>
      </c>
      <c r="X5800">
        <f>IF($T5800="",N($X5799),IF(MATCH($T5800,$T$6:$T$6005,0)=ROW()-5,N($X5799)+1,N($X5799)))</f>
        <v/>
      </c>
      <c r="Z5800">
        <f>IF($V5800="","",IF($AA5800&gt;N($AA5799),$AA5800,""))</f>
        <v/>
      </c>
      <c r="AA5800">
        <f>IF($V5800="",N($AA5799),IF(MATCH($V5800,$V$6:$V$6005,0)=ROW()-5,N($AA5799)+1,N($AA5799)))</f>
        <v/>
      </c>
    </row>
    <row r="5801" ht="21" customHeight="1" s="66">
      <c r="A5801" s="56" t="n"/>
      <c r="B5801" s="57" t="n"/>
      <c r="C5801" s="57" t="n"/>
      <c r="D5801" s="57" t="n"/>
      <c r="E5801" s="56" t="n"/>
      <c r="F5801" s="57" t="n"/>
      <c r="G5801" s="57" t="n"/>
      <c r="H5801" s="56" t="n"/>
      <c r="I5801" s="56" t="n"/>
      <c r="J5801" s="58" t="n"/>
      <c r="K5801" s="58" t="n"/>
      <c r="L5801" s="13">
        <f>IF(OR($A5801="",AND($J5801="",$K5801="")),"",ROUND(N($J5801)-N($K5801),2))</f>
        <v/>
      </c>
      <c r="M5801" s="13">
        <f>IF(OR($A5801="",AND($J5801="",$K5801="")),"",MIN($J5801,$K5801))</f>
        <v/>
      </c>
      <c r="Q5801">
        <f>IF($A5801="","",$D5801&amp;"("&amp;SUBSTITUTE($E5801," ","")&amp;")")</f>
        <v/>
      </c>
      <c r="R5801">
        <f>IF($A5801="","",$B5801&amp;" - "&amp;$C5801)</f>
        <v/>
      </c>
      <c r="S5801">
        <f>IF($A5801="","",$R5801&amp;"|"&amp;$Q5801)</f>
        <v/>
      </c>
      <c r="T5801">
        <f>IF($A5801="","",$S5801&amp;"|"&amp;$F5801)</f>
        <v/>
      </c>
      <c r="U5801">
        <f>IF($A5801="","",$R5801&amp;"("&amp;$E5801&amp;")")</f>
        <v/>
      </c>
      <c r="V5801">
        <f>IF($A5801="","",$F5801&amp;"|"&amp;$U5801&amp;"|"&amp;$D5801)</f>
        <v/>
      </c>
      <c r="W5801">
        <f>IF($T5801="","",IF($X5801&gt;N($X5800),$X5801,""))</f>
        <v/>
      </c>
      <c r="X5801">
        <f>IF($T5801="",N($X5800),IF(MATCH($T5801,$T$6:$T$6005,0)=ROW()-5,N($X5800)+1,N($X5800)))</f>
        <v/>
      </c>
      <c r="Z5801">
        <f>IF($V5801="","",IF($AA5801&gt;N($AA5800),$AA5801,""))</f>
        <v/>
      </c>
      <c r="AA5801">
        <f>IF($V5801="",N($AA5800),IF(MATCH($V5801,$V$6:$V$6005,0)=ROW()-5,N($AA5800)+1,N($AA5800)))</f>
        <v/>
      </c>
    </row>
    <row r="5802" ht="21" customHeight="1" s="66">
      <c r="A5802" s="56" t="n"/>
      <c r="B5802" s="57" t="n"/>
      <c r="C5802" s="57" t="n"/>
      <c r="D5802" s="57" t="n"/>
      <c r="E5802" s="56" t="n"/>
      <c r="F5802" s="57" t="n"/>
      <c r="G5802" s="57" t="n"/>
      <c r="H5802" s="56" t="n"/>
      <c r="I5802" s="56" t="n"/>
      <c r="J5802" s="58" t="n"/>
      <c r="K5802" s="58" t="n"/>
      <c r="L5802" s="13">
        <f>IF(OR($A5802="",AND($J5802="",$K5802="")),"",ROUND(N($J5802)-N($K5802),2))</f>
        <v/>
      </c>
      <c r="M5802" s="13">
        <f>IF(OR($A5802="",AND($J5802="",$K5802="")),"",MIN($J5802,$K5802))</f>
        <v/>
      </c>
      <c r="Q5802">
        <f>IF($A5802="","",$D5802&amp;"("&amp;SUBSTITUTE($E5802," ","")&amp;")")</f>
        <v/>
      </c>
      <c r="R5802">
        <f>IF($A5802="","",$B5802&amp;" - "&amp;$C5802)</f>
        <v/>
      </c>
      <c r="S5802">
        <f>IF($A5802="","",$R5802&amp;"|"&amp;$Q5802)</f>
        <v/>
      </c>
      <c r="T5802">
        <f>IF($A5802="","",$S5802&amp;"|"&amp;$F5802)</f>
        <v/>
      </c>
      <c r="U5802">
        <f>IF($A5802="","",$R5802&amp;"("&amp;$E5802&amp;")")</f>
        <v/>
      </c>
      <c r="V5802">
        <f>IF($A5802="","",$F5802&amp;"|"&amp;$U5802&amp;"|"&amp;$D5802)</f>
        <v/>
      </c>
      <c r="W5802">
        <f>IF($T5802="","",IF($X5802&gt;N($X5801),$X5802,""))</f>
        <v/>
      </c>
      <c r="X5802">
        <f>IF($T5802="",N($X5801),IF(MATCH($T5802,$T$6:$T$6005,0)=ROW()-5,N($X5801)+1,N($X5801)))</f>
        <v/>
      </c>
      <c r="Z5802">
        <f>IF($V5802="","",IF($AA5802&gt;N($AA5801),$AA5802,""))</f>
        <v/>
      </c>
      <c r="AA5802">
        <f>IF($V5802="",N($AA5801),IF(MATCH($V5802,$V$6:$V$6005,0)=ROW()-5,N($AA5801)+1,N($AA5801)))</f>
        <v/>
      </c>
    </row>
    <row r="5803" ht="21" customHeight="1" s="66">
      <c r="A5803" s="56" t="n"/>
      <c r="B5803" s="57" t="n"/>
      <c r="C5803" s="57" t="n"/>
      <c r="D5803" s="57" t="n"/>
      <c r="E5803" s="56" t="n"/>
      <c r="F5803" s="57" t="n"/>
      <c r="G5803" s="57" t="n"/>
      <c r="H5803" s="56" t="n"/>
      <c r="I5803" s="56" t="n"/>
      <c r="J5803" s="58" t="n"/>
      <c r="K5803" s="58" t="n"/>
      <c r="L5803" s="13">
        <f>IF(OR($A5803="",AND($J5803="",$K5803="")),"",ROUND(N($J5803)-N($K5803),2))</f>
        <v/>
      </c>
      <c r="M5803" s="13">
        <f>IF(OR($A5803="",AND($J5803="",$K5803="")),"",MIN($J5803,$K5803))</f>
        <v/>
      </c>
      <c r="Q5803">
        <f>IF($A5803="","",$D5803&amp;"("&amp;SUBSTITUTE($E5803," ","")&amp;")")</f>
        <v/>
      </c>
      <c r="R5803">
        <f>IF($A5803="","",$B5803&amp;" - "&amp;$C5803)</f>
        <v/>
      </c>
      <c r="S5803">
        <f>IF($A5803="","",$R5803&amp;"|"&amp;$Q5803)</f>
        <v/>
      </c>
      <c r="T5803">
        <f>IF($A5803="","",$S5803&amp;"|"&amp;$F5803)</f>
        <v/>
      </c>
      <c r="U5803">
        <f>IF($A5803="","",$R5803&amp;"("&amp;$E5803&amp;")")</f>
        <v/>
      </c>
      <c r="V5803">
        <f>IF($A5803="","",$F5803&amp;"|"&amp;$U5803&amp;"|"&amp;$D5803)</f>
        <v/>
      </c>
      <c r="W5803">
        <f>IF($T5803="","",IF($X5803&gt;N($X5802),$X5803,""))</f>
        <v/>
      </c>
      <c r="X5803">
        <f>IF($T5803="",N($X5802),IF(MATCH($T5803,$T$6:$T$6005,0)=ROW()-5,N($X5802)+1,N($X5802)))</f>
        <v/>
      </c>
      <c r="Z5803">
        <f>IF($V5803="","",IF($AA5803&gt;N($AA5802),$AA5803,""))</f>
        <v/>
      </c>
      <c r="AA5803">
        <f>IF($V5803="",N($AA5802),IF(MATCH($V5803,$V$6:$V$6005,0)=ROW()-5,N($AA5802)+1,N($AA5802)))</f>
        <v/>
      </c>
    </row>
    <row r="5804" ht="21" customHeight="1" s="66">
      <c r="A5804" s="56" t="n"/>
      <c r="B5804" s="57" t="n"/>
      <c r="C5804" s="57" t="n"/>
      <c r="D5804" s="57" t="n"/>
      <c r="E5804" s="56" t="n"/>
      <c r="F5804" s="57" t="n"/>
      <c r="G5804" s="57" t="n"/>
      <c r="H5804" s="56" t="n"/>
      <c r="I5804" s="56" t="n"/>
      <c r="J5804" s="58" t="n"/>
      <c r="K5804" s="58" t="n"/>
      <c r="L5804" s="13">
        <f>IF(OR($A5804="",AND($J5804="",$K5804="")),"",ROUND(N($J5804)-N($K5804),2))</f>
        <v/>
      </c>
      <c r="M5804" s="13">
        <f>IF(OR($A5804="",AND($J5804="",$K5804="")),"",MIN($J5804,$K5804))</f>
        <v/>
      </c>
      <c r="Q5804">
        <f>IF($A5804="","",$D5804&amp;"("&amp;SUBSTITUTE($E5804," ","")&amp;")")</f>
        <v/>
      </c>
      <c r="R5804">
        <f>IF($A5804="","",$B5804&amp;" - "&amp;$C5804)</f>
        <v/>
      </c>
      <c r="S5804">
        <f>IF($A5804="","",$R5804&amp;"|"&amp;$Q5804)</f>
        <v/>
      </c>
      <c r="T5804">
        <f>IF($A5804="","",$S5804&amp;"|"&amp;$F5804)</f>
        <v/>
      </c>
      <c r="U5804">
        <f>IF($A5804="","",$R5804&amp;"("&amp;$E5804&amp;")")</f>
        <v/>
      </c>
      <c r="V5804">
        <f>IF($A5804="","",$F5804&amp;"|"&amp;$U5804&amp;"|"&amp;$D5804)</f>
        <v/>
      </c>
      <c r="W5804">
        <f>IF($T5804="","",IF($X5804&gt;N($X5803),$X5804,""))</f>
        <v/>
      </c>
      <c r="X5804">
        <f>IF($T5804="",N($X5803),IF(MATCH($T5804,$T$6:$T$6005,0)=ROW()-5,N($X5803)+1,N($X5803)))</f>
        <v/>
      </c>
      <c r="Z5804">
        <f>IF($V5804="","",IF($AA5804&gt;N($AA5803),$AA5804,""))</f>
        <v/>
      </c>
      <c r="AA5804">
        <f>IF($V5804="",N($AA5803),IF(MATCH($V5804,$V$6:$V$6005,0)=ROW()-5,N($AA5803)+1,N($AA5803)))</f>
        <v/>
      </c>
    </row>
    <row r="5805" ht="21" customHeight="1" s="66">
      <c r="A5805" s="56" t="n"/>
      <c r="B5805" s="57" t="n"/>
      <c r="C5805" s="57" t="n"/>
      <c r="D5805" s="57" t="n"/>
      <c r="E5805" s="56" t="n"/>
      <c r="F5805" s="57" t="n"/>
      <c r="G5805" s="57" t="n"/>
      <c r="H5805" s="56" t="n"/>
      <c r="I5805" s="56" t="n"/>
      <c r="J5805" s="58" t="n"/>
      <c r="K5805" s="58" t="n"/>
      <c r="L5805" s="13">
        <f>IF(OR($A5805="",AND($J5805="",$K5805="")),"",ROUND(N($J5805)-N($K5805),2))</f>
        <v/>
      </c>
      <c r="M5805" s="13">
        <f>IF(OR($A5805="",AND($J5805="",$K5805="")),"",MIN($J5805,$K5805))</f>
        <v/>
      </c>
      <c r="Q5805">
        <f>IF($A5805="","",$D5805&amp;"("&amp;SUBSTITUTE($E5805," ","")&amp;")")</f>
        <v/>
      </c>
      <c r="R5805">
        <f>IF($A5805="","",$B5805&amp;" - "&amp;$C5805)</f>
        <v/>
      </c>
      <c r="S5805">
        <f>IF($A5805="","",$R5805&amp;"|"&amp;$Q5805)</f>
        <v/>
      </c>
      <c r="T5805">
        <f>IF($A5805="","",$S5805&amp;"|"&amp;$F5805)</f>
        <v/>
      </c>
      <c r="U5805">
        <f>IF($A5805="","",$R5805&amp;"("&amp;$E5805&amp;")")</f>
        <v/>
      </c>
      <c r="V5805">
        <f>IF($A5805="","",$F5805&amp;"|"&amp;$U5805&amp;"|"&amp;$D5805)</f>
        <v/>
      </c>
      <c r="W5805">
        <f>IF($T5805="","",IF($X5805&gt;N($X5804),$X5805,""))</f>
        <v/>
      </c>
      <c r="X5805">
        <f>IF($T5805="",N($X5804),IF(MATCH($T5805,$T$6:$T$6005,0)=ROW()-5,N($X5804)+1,N($X5804)))</f>
        <v/>
      </c>
      <c r="Z5805">
        <f>IF($V5805="","",IF($AA5805&gt;N($AA5804),$AA5805,""))</f>
        <v/>
      </c>
      <c r="AA5805">
        <f>IF($V5805="",N($AA5804),IF(MATCH($V5805,$V$6:$V$6005,0)=ROW()-5,N($AA5804)+1,N($AA5804)))</f>
        <v/>
      </c>
    </row>
    <row r="5806" ht="21" customHeight="1" s="66">
      <c r="A5806" s="56" t="n"/>
      <c r="B5806" s="57" t="n"/>
      <c r="C5806" s="57" t="n"/>
      <c r="D5806" s="57" t="n"/>
      <c r="E5806" s="56" t="n"/>
      <c r="F5806" s="57" t="n"/>
      <c r="G5806" s="57" t="n"/>
      <c r="H5806" s="56" t="n"/>
      <c r="I5806" s="56" t="n"/>
      <c r="J5806" s="58" t="n"/>
      <c r="K5806" s="58" t="n"/>
      <c r="L5806" s="13">
        <f>IF(OR($A5806="",AND($J5806="",$K5806="")),"",ROUND(N($J5806)-N($K5806),2))</f>
        <v/>
      </c>
      <c r="M5806" s="13">
        <f>IF(OR($A5806="",AND($J5806="",$K5806="")),"",MIN($J5806,$K5806))</f>
        <v/>
      </c>
      <c r="Q5806">
        <f>IF($A5806="","",$D5806&amp;"("&amp;SUBSTITUTE($E5806," ","")&amp;")")</f>
        <v/>
      </c>
      <c r="R5806">
        <f>IF($A5806="","",$B5806&amp;" - "&amp;$C5806)</f>
        <v/>
      </c>
      <c r="S5806">
        <f>IF($A5806="","",$R5806&amp;"|"&amp;$Q5806)</f>
        <v/>
      </c>
      <c r="T5806">
        <f>IF($A5806="","",$S5806&amp;"|"&amp;$F5806)</f>
        <v/>
      </c>
      <c r="U5806">
        <f>IF($A5806="","",$R5806&amp;"("&amp;$E5806&amp;")")</f>
        <v/>
      </c>
      <c r="V5806">
        <f>IF($A5806="","",$F5806&amp;"|"&amp;$U5806&amp;"|"&amp;$D5806)</f>
        <v/>
      </c>
      <c r="W5806">
        <f>IF($T5806="","",IF($X5806&gt;N($X5805),$X5806,""))</f>
        <v/>
      </c>
      <c r="X5806">
        <f>IF($T5806="",N($X5805),IF(MATCH($T5806,$T$6:$T$6005,0)=ROW()-5,N($X5805)+1,N($X5805)))</f>
        <v/>
      </c>
      <c r="Z5806">
        <f>IF($V5806="","",IF($AA5806&gt;N($AA5805),$AA5806,""))</f>
        <v/>
      </c>
      <c r="AA5806">
        <f>IF($V5806="",N($AA5805),IF(MATCH($V5806,$V$6:$V$6005,0)=ROW()-5,N($AA5805)+1,N($AA5805)))</f>
        <v/>
      </c>
    </row>
    <row r="5807" ht="21" customHeight="1" s="66">
      <c r="A5807" s="56" t="n"/>
      <c r="B5807" s="57" t="n"/>
      <c r="C5807" s="57" t="n"/>
      <c r="D5807" s="57" t="n"/>
      <c r="E5807" s="56" t="n"/>
      <c r="F5807" s="57" t="n"/>
      <c r="G5807" s="57" t="n"/>
      <c r="H5807" s="56" t="n"/>
      <c r="I5807" s="56" t="n"/>
      <c r="J5807" s="58" t="n"/>
      <c r="K5807" s="58" t="n"/>
      <c r="L5807" s="13">
        <f>IF(OR($A5807="",AND($J5807="",$K5807="")),"",ROUND(N($J5807)-N($K5807),2))</f>
        <v/>
      </c>
      <c r="M5807" s="13">
        <f>IF(OR($A5807="",AND($J5807="",$K5807="")),"",MIN($J5807,$K5807))</f>
        <v/>
      </c>
      <c r="Q5807">
        <f>IF($A5807="","",$D5807&amp;"("&amp;SUBSTITUTE($E5807," ","")&amp;")")</f>
        <v/>
      </c>
      <c r="R5807">
        <f>IF($A5807="","",$B5807&amp;" - "&amp;$C5807)</f>
        <v/>
      </c>
      <c r="S5807">
        <f>IF($A5807="","",$R5807&amp;"|"&amp;$Q5807)</f>
        <v/>
      </c>
      <c r="T5807">
        <f>IF($A5807="","",$S5807&amp;"|"&amp;$F5807)</f>
        <v/>
      </c>
      <c r="U5807">
        <f>IF($A5807="","",$R5807&amp;"("&amp;$E5807&amp;")")</f>
        <v/>
      </c>
      <c r="V5807">
        <f>IF($A5807="","",$F5807&amp;"|"&amp;$U5807&amp;"|"&amp;$D5807)</f>
        <v/>
      </c>
      <c r="W5807">
        <f>IF($T5807="","",IF($X5807&gt;N($X5806),$X5807,""))</f>
        <v/>
      </c>
      <c r="X5807">
        <f>IF($T5807="",N($X5806),IF(MATCH($T5807,$T$6:$T$6005,0)=ROW()-5,N($X5806)+1,N($X5806)))</f>
        <v/>
      </c>
      <c r="Z5807">
        <f>IF($V5807="","",IF($AA5807&gt;N($AA5806),$AA5807,""))</f>
        <v/>
      </c>
      <c r="AA5807">
        <f>IF($V5807="",N($AA5806),IF(MATCH($V5807,$V$6:$V$6005,0)=ROW()-5,N($AA5806)+1,N($AA5806)))</f>
        <v/>
      </c>
    </row>
    <row r="5808" ht="21" customHeight="1" s="66">
      <c r="A5808" s="56" t="n"/>
      <c r="B5808" s="57" t="n"/>
      <c r="C5808" s="57" t="n"/>
      <c r="D5808" s="57" t="n"/>
      <c r="E5808" s="56" t="n"/>
      <c r="F5808" s="57" t="n"/>
      <c r="G5808" s="57" t="n"/>
      <c r="H5808" s="56" t="n"/>
      <c r="I5808" s="56" t="n"/>
      <c r="J5808" s="58" t="n"/>
      <c r="K5808" s="58" t="n"/>
      <c r="L5808" s="13">
        <f>IF(OR($A5808="",AND($J5808="",$K5808="")),"",ROUND(N($J5808)-N($K5808),2))</f>
        <v/>
      </c>
      <c r="M5808" s="13">
        <f>IF(OR($A5808="",AND($J5808="",$K5808="")),"",MIN($J5808,$K5808))</f>
        <v/>
      </c>
      <c r="Q5808">
        <f>IF($A5808="","",$D5808&amp;"("&amp;SUBSTITUTE($E5808," ","")&amp;")")</f>
        <v/>
      </c>
      <c r="R5808">
        <f>IF($A5808="","",$B5808&amp;" - "&amp;$C5808)</f>
        <v/>
      </c>
      <c r="S5808">
        <f>IF($A5808="","",$R5808&amp;"|"&amp;$Q5808)</f>
        <v/>
      </c>
      <c r="T5808">
        <f>IF($A5808="","",$S5808&amp;"|"&amp;$F5808)</f>
        <v/>
      </c>
      <c r="U5808">
        <f>IF($A5808="","",$R5808&amp;"("&amp;$E5808&amp;")")</f>
        <v/>
      </c>
      <c r="V5808">
        <f>IF($A5808="","",$F5808&amp;"|"&amp;$U5808&amp;"|"&amp;$D5808)</f>
        <v/>
      </c>
      <c r="W5808">
        <f>IF($T5808="","",IF($X5808&gt;N($X5807),$X5808,""))</f>
        <v/>
      </c>
      <c r="X5808">
        <f>IF($T5808="",N($X5807),IF(MATCH($T5808,$T$6:$T$6005,0)=ROW()-5,N($X5807)+1,N($X5807)))</f>
        <v/>
      </c>
      <c r="Z5808">
        <f>IF($V5808="","",IF($AA5808&gt;N($AA5807),$AA5808,""))</f>
        <v/>
      </c>
      <c r="AA5808">
        <f>IF($V5808="",N($AA5807),IF(MATCH($V5808,$V$6:$V$6005,0)=ROW()-5,N($AA5807)+1,N($AA5807)))</f>
        <v/>
      </c>
    </row>
    <row r="5809" ht="21" customHeight="1" s="66">
      <c r="A5809" s="56" t="n"/>
      <c r="B5809" s="57" t="n"/>
      <c r="C5809" s="57" t="n"/>
      <c r="D5809" s="57" t="n"/>
      <c r="E5809" s="56" t="n"/>
      <c r="F5809" s="57" t="n"/>
      <c r="G5809" s="57" t="n"/>
      <c r="H5809" s="56" t="n"/>
      <c r="I5809" s="56" t="n"/>
      <c r="J5809" s="58" t="n"/>
      <c r="K5809" s="58" t="n"/>
      <c r="L5809" s="13">
        <f>IF(OR($A5809="",AND($J5809="",$K5809="")),"",ROUND(N($J5809)-N($K5809),2))</f>
        <v/>
      </c>
      <c r="M5809" s="13">
        <f>IF(OR($A5809="",AND($J5809="",$K5809="")),"",MIN($J5809,$K5809))</f>
        <v/>
      </c>
      <c r="Q5809">
        <f>IF($A5809="","",$D5809&amp;"("&amp;SUBSTITUTE($E5809," ","")&amp;")")</f>
        <v/>
      </c>
      <c r="R5809">
        <f>IF($A5809="","",$B5809&amp;" - "&amp;$C5809)</f>
        <v/>
      </c>
      <c r="S5809">
        <f>IF($A5809="","",$R5809&amp;"|"&amp;$Q5809)</f>
        <v/>
      </c>
      <c r="T5809">
        <f>IF($A5809="","",$S5809&amp;"|"&amp;$F5809)</f>
        <v/>
      </c>
      <c r="U5809">
        <f>IF($A5809="","",$R5809&amp;"("&amp;$E5809&amp;")")</f>
        <v/>
      </c>
      <c r="V5809">
        <f>IF($A5809="","",$F5809&amp;"|"&amp;$U5809&amp;"|"&amp;$D5809)</f>
        <v/>
      </c>
      <c r="W5809">
        <f>IF($T5809="","",IF($X5809&gt;N($X5808),$X5809,""))</f>
        <v/>
      </c>
      <c r="X5809">
        <f>IF($T5809="",N($X5808),IF(MATCH($T5809,$T$6:$T$6005,0)=ROW()-5,N($X5808)+1,N($X5808)))</f>
        <v/>
      </c>
      <c r="Z5809">
        <f>IF($V5809="","",IF($AA5809&gt;N($AA5808),$AA5809,""))</f>
        <v/>
      </c>
      <c r="AA5809">
        <f>IF($V5809="",N($AA5808),IF(MATCH($V5809,$V$6:$V$6005,0)=ROW()-5,N($AA5808)+1,N($AA5808)))</f>
        <v/>
      </c>
    </row>
    <row r="5810" ht="21" customHeight="1" s="66">
      <c r="A5810" s="56" t="n"/>
      <c r="B5810" s="57" t="n"/>
      <c r="C5810" s="57" t="n"/>
      <c r="D5810" s="57" t="n"/>
      <c r="E5810" s="56" t="n"/>
      <c r="F5810" s="57" t="n"/>
      <c r="G5810" s="57" t="n"/>
      <c r="H5810" s="56" t="n"/>
      <c r="I5810" s="56" t="n"/>
      <c r="J5810" s="58" t="n"/>
      <c r="K5810" s="58" t="n"/>
      <c r="L5810" s="13">
        <f>IF(OR($A5810="",AND($J5810="",$K5810="")),"",ROUND(N($J5810)-N($K5810),2))</f>
        <v/>
      </c>
      <c r="M5810" s="13">
        <f>IF(OR($A5810="",AND($J5810="",$K5810="")),"",MIN($J5810,$K5810))</f>
        <v/>
      </c>
      <c r="Q5810">
        <f>IF($A5810="","",$D5810&amp;"("&amp;SUBSTITUTE($E5810," ","")&amp;")")</f>
        <v/>
      </c>
      <c r="R5810">
        <f>IF($A5810="","",$B5810&amp;" - "&amp;$C5810)</f>
        <v/>
      </c>
      <c r="S5810">
        <f>IF($A5810="","",$R5810&amp;"|"&amp;$Q5810)</f>
        <v/>
      </c>
      <c r="T5810">
        <f>IF($A5810="","",$S5810&amp;"|"&amp;$F5810)</f>
        <v/>
      </c>
      <c r="U5810">
        <f>IF($A5810="","",$R5810&amp;"("&amp;$E5810&amp;")")</f>
        <v/>
      </c>
      <c r="V5810">
        <f>IF($A5810="","",$F5810&amp;"|"&amp;$U5810&amp;"|"&amp;$D5810)</f>
        <v/>
      </c>
      <c r="W5810">
        <f>IF($T5810="","",IF($X5810&gt;N($X5809),$X5810,""))</f>
        <v/>
      </c>
      <c r="X5810">
        <f>IF($T5810="",N($X5809),IF(MATCH($T5810,$T$6:$T$6005,0)=ROW()-5,N($X5809)+1,N($X5809)))</f>
        <v/>
      </c>
      <c r="Z5810">
        <f>IF($V5810="","",IF($AA5810&gt;N($AA5809),$AA5810,""))</f>
        <v/>
      </c>
      <c r="AA5810">
        <f>IF($V5810="",N($AA5809),IF(MATCH($V5810,$V$6:$V$6005,0)=ROW()-5,N($AA5809)+1,N($AA5809)))</f>
        <v/>
      </c>
    </row>
    <row r="5811" ht="21" customHeight="1" s="66">
      <c r="A5811" s="56" t="n"/>
      <c r="B5811" s="57" t="n"/>
      <c r="C5811" s="57" t="n"/>
      <c r="D5811" s="57" t="n"/>
      <c r="E5811" s="56" t="n"/>
      <c r="F5811" s="57" t="n"/>
      <c r="G5811" s="57" t="n"/>
      <c r="H5811" s="56" t="n"/>
      <c r="I5811" s="56" t="n"/>
      <c r="J5811" s="58" t="n"/>
      <c r="K5811" s="58" t="n"/>
      <c r="L5811" s="13">
        <f>IF(OR($A5811="",AND($J5811="",$K5811="")),"",ROUND(N($J5811)-N($K5811),2))</f>
        <v/>
      </c>
      <c r="M5811" s="13">
        <f>IF(OR($A5811="",AND($J5811="",$K5811="")),"",MIN($J5811,$K5811))</f>
        <v/>
      </c>
      <c r="Q5811">
        <f>IF($A5811="","",$D5811&amp;"("&amp;SUBSTITUTE($E5811," ","")&amp;")")</f>
        <v/>
      </c>
      <c r="R5811">
        <f>IF($A5811="","",$B5811&amp;" - "&amp;$C5811)</f>
        <v/>
      </c>
      <c r="S5811">
        <f>IF($A5811="","",$R5811&amp;"|"&amp;$Q5811)</f>
        <v/>
      </c>
      <c r="T5811">
        <f>IF($A5811="","",$S5811&amp;"|"&amp;$F5811)</f>
        <v/>
      </c>
      <c r="U5811">
        <f>IF($A5811="","",$R5811&amp;"("&amp;$E5811&amp;")")</f>
        <v/>
      </c>
      <c r="V5811">
        <f>IF($A5811="","",$F5811&amp;"|"&amp;$U5811&amp;"|"&amp;$D5811)</f>
        <v/>
      </c>
      <c r="W5811">
        <f>IF($T5811="","",IF($X5811&gt;N($X5810),$X5811,""))</f>
        <v/>
      </c>
      <c r="X5811">
        <f>IF($T5811="",N($X5810),IF(MATCH($T5811,$T$6:$T$6005,0)=ROW()-5,N($X5810)+1,N($X5810)))</f>
        <v/>
      </c>
      <c r="Z5811">
        <f>IF($V5811="","",IF($AA5811&gt;N($AA5810),$AA5811,""))</f>
        <v/>
      </c>
      <c r="AA5811">
        <f>IF($V5811="",N($AA5810),IF(MATCH($V5811,$V$6:$V$6005,0)=ROW()-5,N($AA5810)+1,N($AA5810)))</f>
        <v/>
      </c>
    </row>
    <row r="5812" ht="21" customHeight="1" s="66">
      <c r="A5812" s="56" t="n"/>
      <c r="B5812" s="57" t="n"/>
      <c r="C5812" s="57" t="n"/>
      <c r="D5812" s="57" t="n"/>
      <c r="E5812" s="56" t="n"/>
      <c r="F5812" s="57" t="n"/>
      <c r="G5812" s="57" t="n"/>
      <c r="H5812" s="56" t="n"/>
      <c r="I5812" s="56" t="n"/>
      <c r="J5812" s="58" t="n"/>
      <c r="K5812" s="58" t="n"/>
      <c r="L5812" s="13">
        <f>IF(OR($A5812="",AND($J5812="",$K5812="")),"",ROUND(N($J5812)-N($K5812),2))</f>
        <v/>
      </c>
      <c r="M5812" s="13">
        <f>IF(OR($A5812="",AND($J5812="",$K5812="")),"",MIN($J5812,$K5812))</f>
        <v/>
      </c>
      <c r="Q5812">
        <f>IF($A5812="","",$D5812&amp;"("&amp;SUBSTITUTE($E5812," ","")&amp;")")</f>
        <v/>
      </c>
      <c r="R5812">
        <f>IF($A5812="","",$B5812&amp;" - "&amp;$C5812)</f>
        <v/>
      </c>
      <c r="S5812">
        <f>IF($A5812="","",$R5812&amp;"|"&amp;$Q5812)</f>
        <v/>
      </c>
      <c r="T5812">
        <f>IF($A5812="","",$S5812&amp;"|"&amp;$F5812)</f>
        <v/>
      </c>
      <c r="U5812">
        <f>IF($A5812="","",$R5812&amp;"("&amp;$E5812&amp;")")</f>
        <v/>
      </c>
      <c r="V5812">
        <f>IF($A5812="","",$F5812&amp;"|"&amp;$U5812&amp;"|"&amp;$D5812)</f>
        <v/>
      </c>
      <c r="W5812">
        <f>IF($T5812="","",IF($X5812&gt;N($X5811),$X5812,""))</f>
        <v/>
      </c>
      <c r="X5812">
        <f>IF($T5812="",N($X5811),IF(MATCH($T5812,$T$6:$T$6005,0)=ROW()-5,N($X5811)+1,N($X5811)))</f>
        <v/>
      </c>
      <c r="Z5812">
        <f>IF($V5812="","",IF($AA5812&gt;N($AA5811),$AA5812,""))</f>
        <v/>
      </c>
      <c r="AA5812">
        <f>IF($V5812="",N($AA5811),IF(MATCH($V5812,$V$6:$V$6005,0)=ROW()-5,N($AA5811)+1,N($AA5811)))</f>
        <v/>
      </c>
    </row>
    <row r="5813" ht="21" customHeight="1" s="66">
      <c r="A5813" s="56" t="n"/>
      <c r="B5813" s="57" t="n"/>
      <c r="C5813" s="57" t="n"/>
      <c r="D5813" s="57" t="n"/>
      <c r="E5813" s="56" t="n"/>
      <c r="F5813" s="57" t="n"/>
      <c r="G5813" s="57" t="n"/>
      <c r="H5813" s="56" t="n"/>
      <c r="I5813" s="56" t="n"/>
      <c r="J5813" s="58" t="n"/>
      <c r="K5813" s="58" t="n"/>
      <c r="L5813" s="13">
        <f>IF(OR($A5813="",AND($J5813="",$K5813="")),"",ROUND(N($J5813)-N($K5813),2))</f>
        <v/>
      </c>
      <c r="M5813" s="13">
        <f>IF(OR($A5813="",AND($J5813="",$K5813="")),"",MIN($J5813,$K5813))</f>
        <v/>
      </c>
      <c r="Q5813">
        <f>IF($A5813="","",$D5813&amp;"("&amp;SUBSTITUTE($E5813," ","")&amp;")")</f>
        <v/>
      </c>
      <c r="R5813">
        <f>IF($A5813="","",$B5813&amp;" - "&amp;$C5813)</f>
        <v/>
      </c>
      <c r="S5813">
        <f>IF($A5813="","",$R5813&amp;"|"&amp;$Q5813)</f>
        <v/>
      </c>
      <c r="T5813">
        <f>IF($A5813="","",$S5813&amp;"|"&amp;$F5813)</f>
        <v/>
      </c>
      <c r="U5813">
        <f>IF($A5813="","",$R5813&amp;"("&amp;$E5813&amp;")")</f>
        <v/>
      </c>
      <c r="V5813">
        <f>IF($A5813="","",$F5813&amp;"|"&amp;$U5813&amp;"|"&amp;$D5813)</f>
        <v/>
      </c>
      <c r="W5813">
        <f>IF($T5813="","",IF($X5813&gt;N($X5812),$X5813,""))</f>
        <v/>
      </c>
      <c r="X5813">
        <f>IF($T5813="",N($X5812),IF(MATCH($T5813,$T$6:$T$6005,0)=ROW()-5,N($X5812)+1,N($X5812)))</f>
        <v/>
      </c>
      <c r="Z5813">
        <f>IF($V5813="","",IF($AA5813&gt;N($AA5812),$AA5813,""))</f>
        <v/>
      </c>
      <c r="AA5813">
        <f>IF($V5813="",N($AA5812),IF(MATCH($V5813,$V$6:$V$6005,0)=ROW()-5,N($AA5812)+1,N($AA5812)))</f>
        <v/>
      </c>
    </row>
    <row r="5814" ht="21" customHeight="1" s="66">
      <c r="A5814" s="56" t="n"/>
      <c r="B5814" s="57" t="n"/>
      <c r="C5814" s="57" t="n"/>
      <c r="D5814" s="57" t="n"/>
      <c r="E5814" s="56" t="n"/>
      <c r="F5814" s="57" t="n"/>
      <c r="G5814" s="57" t="n"/>
      <c r="H5814" s="56" t="n"/>
      <c r="I5814" s="56" t="n"/>
      <c r="J5814" s="58" t="n"/>
      <c r="K5814" s="58" t="n"/>
      <c r="L5814" s="13">
        <f>IF(OR($A5814="",AND($J5814="",$K5814="")),"",ROUND(N($J5814)-N($K5814),2))</f>
        <v/>
      </c>
      <c r="M5814" s="13">
        <f>IF(OR($A5814="",AND($J5814="",$K5814="")),"",MIN($J5814,$K5814))</f>
        <v/>
      </c>
      <c r="Q5814">
        <f>IF($A5814="","",$D5814&amp;"("&amp;SUBSTITUTE($E5814," ","")&amp;")")</f>
        <v/>
      </c>
      <c r="R5814">
        <f>IF($A5814="","",$B5814&amp;" - "&amp;$C5814)</f>
        <v/>
      </c>
      <c r="S5814">
        <f>IF($A5814="","",$R5814&amp;"|"&amp;$Q5814)</f>
        <v/>
      </c>
      <c r="T5814">
        <f>IF($A5814="","",$S5814&amp;"|"&amp;$F5814)</f>
        <v/>
      </c>
      <c r="U5814">
        <f>IF($A5814="","",$R5814&amp;"("&amp;$E5814&amp;")")</f>
        <v/>
      </c>
      <c r="V5814">
        <f>IF($A5814="","",$F5814&amp;"|"&amp;$U5814&amp;"|"&amp;$D5814)</f>
        <v/>
      </c>
      <c r="W5814">
        <f>IF($T5814="","",IF($X5814&gt;N($X5813),$X5814,""))</f>
        <v/>
      </c>
      <c r="X5814">
        <f>IF($T5814="",N($X5813),IF(MATCH($T5814,$T$6:$T$6005,0)=ROW()-5,N($X5813)+1,N($X5813)))</f>
        <v/>
      </c>
      <c r="Z5814">
        <f>IF($V5814="","",IF($AA5814&gt;N($AA5813),$AA5814,""))</f>
        <v/>
      </c>
      <c r="AA5814">
        <f>IF($V5814="",N($AA5813),IF(MATCH($V5814,$V$6:$V$6005,0)=ROW()-5,N($AA5813)+1,N($AA5813)))</f>
        <v/>
      </c>
    </row>
    <row r="5815" ht="21" customHeight="1" s="66">
      <c r="A5815" s="56" t="n"/>
      <c r="B5815" s="57" t="n"/>
      <c r="C5815" s="57" t="n"/>
      <c r="D5815" s="57" t="n"/>
      <c r="E5815" s="56" t="n"/>
      <c r="F5815" s="57" t="n"/>
      <c r="G5815" s="57" t="n"/>
      <c r="H5815" s="56" t="n"/>
      <c r="I5815" s="56" t="n"/>
      <c r="J5815" s="58" t="n"/>
      <c r="K5815" s="58" t="n"/>
      <c r="L5815" s="13">
        <f>IF(OR($A5815="",AND($J5815="",$K5815="")),"",ROUND(N($J5815)-N($K5815),2))</f>
        <v/>
      </c>
      <c r="M5815" s="13">
        <f>IF(OR($A5815="",AND($J5815="",$K5815="")),"",MIN($J5815,$K5815))</f>
        <v/>
      </c>
      <c r="Q5815">
        <f>IF($A5815="","",$D5815&amp;"("&amp;SUBSTITUTE($E5815," ","")&amp;")")</f>
        <v/>
      </c>
      <c r="R5815">
        <f>IF($A5815="","",$B5815&amp;" - "&amp;$C5815)</f>
        <v/>
      </c>
      <c r="S5815">
        <f>IF($A5815="","",$R5815&amp;"|"&amp;$Q5815)</f>
        <v/>
      </c>
      <c r="T5815">
        <f>IF($A5815="","",$S5815&amp;"|"&amp;$F5815)</f>
        <v/>
      </c>
      <c r="U5815">
        <f>IF($A5815="","",$R5815&amp;"("&amp;$E5815&amp;")")</f>
        <v/>
      </c>
      <c r="V5815">
        <f>IF($A5815="","",$F5815&amp;"|"&amp;$U5815&amp;"|"&amp;$D5815)</f>
        <v/>
      </c>
      <c r="W5815">
        <f>IF($T5815="","",IF($X5815&gt;N($X5814),$X5815,""))</f>
        <v/>
      </c>
      <c r="X5815">
        <f>IF($T5815="",N($X5814),IF(MATCH($T5815,$T$6:$T$6005,0)=ROW()-5,N($X5814)+1,N($X5814)))</f>
        <v/>
      </c>
      <c r="Z5815">
        <f>IF($V5815="","",IF($AA5815&gt;N($AA5814),$AA5815,""))</f>
        <v/>
      </c>
      <c r="AA5815">
        <f>IF($V5815="",N($AA5814),IF(MATCH($V5815,$V$6:$V$6005,0)=ROW()-5,N($AA5814)+1,N($AA5814)))</f>
        <v/>
      </c>
    </row>
    <row r="5816" ht="21" customHeight="1" s="66">
      <c r="A5816" s="56" t="n"/>
      <c r="B5816" s="57" t="n"/>
      <c r="C5816" s="57" t="n"/>
      <c r="D5816" s="57" t="n"/>
      <c r="E5816" s="56" t="n"/>
      <c r="F5816" s="57" t="n"/>
      <c r="G5816" s="57" t="n"/>
      <c r="H5816" s="56" t="n"/>
      <c r="I5816" s="56" t="n"/>
      <c r="J5816" s="58" t="n"/>
      <c r="K5816" s="58" t="n"/>
      <c r="L5816" s="13">
        <f>IF(OR($A5816="",AND($J5816="",$K5816="")),"",ROUND(N($J5816)-N($K5816),2))</f>
        <v/>
      </c>
      <c r="M5816" s="13">
        <f>IF(OR($A5816="",AND($J5816="",$K5816="")),"",MIN($J5816,$K5816))</f>
        <v/>
      </c>
      <c r="Q5816">
        <f>IF($A5816="","",$D5816&amp;"("&amp;SUBSTITUTE($E5816," ","")&amp;")")</f>
        <v/>
      </c>
      <c r="R5816">
        <f>IF($A5816="","",$B5816&amp;" - "&amp;$C5816)</f>
        <v/>
      </c>
      <c r="S5816">
        <f>IF($A5816="","",$R5816&amp;"|"&amp;$Q5816)</f>
        <v/>
      </c>
      <c r="T5816">
        <f>IF($A5816="","",$S5816&amp;"|"&amp;$F5816)</f>
        <v/>
      </c>
      <c r="U5816">
        <f>IF($A5816="","",$R5816&amp;"("&amp;$E5816&amp;")")</f>
        <v/>
      </c>
      <c r="V5816">
        <f>IF($A5816="","",$F5816&amp;"|"&amp;$U5816&amp;"|"&amp;$D5816)</f>
        <v/>
      </c>
      <c r="W5816">
        <f>IF($T5816="","",IF($X5816&gt;N($X5815),$X5816,""))</f>
        <v/>
      </c>
      <c r="X5816">
        <f>IF($T5816="",N($X5815),IF(MATCH($T5816,$T$6:$T$6005,0)=ROW()-5,N($X5815)+1,N($X5815)))</f>
        <v/>
      </c>
      <c r="Z5816">
        <f>IF($V5816="","",IF($AA5816&gt;N($AA5815),$AA5816,""))</f>
        <v/>
      </c>
      <c r="AA5816">
        <f>IF($V5816="",N($AA5815),IF(MATCH($V5816,$V$6:$V$6005,0)=ROW()-5,N($AA5815)+1,N($AA5815)))</f>
        <v/>
      </c>
    </row>
    <row r="5817" ht="21" customHeight="1" s="66">
      <c r="A5817" s="56" t="n"/>
      <c r="B5817" s="57" t="n"/>
      <c r="C5817" s="57" t="n"/>
      <c r="D5817" s="57" t="n"/>
      <c r="E5817" s="56" t="n"/>
      <c r="F5817" s="57" t="n"/>
      <c r="G5817" s="57" t="n"/>
      <c r="H5817" s="56" t="n"/>
      <c r="I5817" s="56" t="n"/>
      <c r="J5817" s="58" t="n"/>
      <c r="K5817" s="58" t="n"/>
      <c r="L5817" s="13">
        <f>IF(OR($A5817="",AND($J5817="",$K5817="")),"",ROUND(N($J5817)-N($K5817),2))</f>
        <v/>
      </c>
      <c r="M5817" s="13">
        <f>IF(OR($A5817="",AND($J5817="",$K5817="")),"",MIN($J5817,$K5817))</f>
        <v/>
      </c>
      <c r="Q5817">
        <f>IF($A5817="","",$D5817&amp;"("&amp;SUBSTITUTE($E5817," ","")&amp;")")</f>
        <v/>
      </c>
      <c r="R5817">
        <f>IF($A5817="","",$B5817&amp;" - "&amp;$C5817)</f>
        <v/>
      </c>
      <c r="S5817">
        <f>IF($A5817="","",$R5817&amp;"|"&amp;$Q5817)</f>
        <v/>
      </c>
      <c r="T5817">
        <f>IF($A5817="","",$S5817&amp;"|"&amp;$F5817)</f>
        <v/>
      </c>
      <c r="U5817">
        <f>IF($A5817="","",$R5817&amp;"("&amp;$E5817&amp;")")</f>
        <v/>
      </c>
      <c r="V5817">
        <f>IF($A5817="","",$F5817&amp;"|"&amp;$U5817&amp;"|"&amp;$D5817)</f>
        <v/>
      </c>
      <c r="W5817">
        <f>IF($T5817="","",IF($X5817&gt;N($X5816),$X5817,""))</f>
        <v/>
      </c>
      <c r="X5817">
        <f>IF($T5817="",N($X5816),IF(MATCH($T5817,$T$6:$T$6005,0)=ROW()-5,N($X5816)+1,N($X5816)))</f>
        <v/>
      </c>
      <c r="Z5817">
        <f>IF($V5817="","",IF($AA5817&gt;N($AA5816),$AA5817,""))</f>
        <v/>
      </c>
      <c r="AA5817">
        <f>IF($V5817="",N($AA5816),IF(MATCH($V5817,$V$6:$V$6005,0)=ROW()-5,N($AA5816)+1,N($AA5816)))</f>
        <v/>
      </c>
    </row>
    <row r="5818" ht="21" customHeight="1" s="66">
      <c r="A5818" s="56" t="n"/>
      <c r="B5818" s="57" t="n"/>
      <c r="C5818" s="57" t="n"/>
      <c r="D5818" s="57" t="n"/>
      <c r="E5818" s="56" t="n"/>
      <c r="F5818" s="57" t="n"/>
      <c r="G5818" s="57" t="n"/>
      <c r="H5818" s="56" t="n"/>
      <c r="I5818" s="56" t="n"/>
      <c r="J5818" s="58" t="n"/>
      <c r="K5818" s="58" t="n"/>
      <c r="L5818" s="13">
        <f>IF(OR($A5818="",AND($J5818="",$K5818="")),"",ROUND(N($J5818)-N($K5818),2))</f>
        <v/>
      </c>
      <c r="M5818" s="13">
        <f>IF(OR($A5818="",AND($J5818="",$K5818="")),"",MIN($J5818,$K5818))</f>
        <v/>
      </c>
      <c r="Q5818">
        <f>IF($A5818="","",$D5818&amp;"("&amp;SUBSTITUTE($E5818," ","")&amp;")")</f>
        <v/>
      </c>
      <c r="R5818">
        <f>IF($A5818="","",$B5818&amp;" - "&amp;$C5818)</f>
        <v/>
      </c>
      <c r="S5818">
        <f>IF($A5818="","",$R5818&amp;"|"&amp;$Q5818)</f>
        <v/>
      </c>
      <c r="T5818">
        <f>IF($A5818="","",$S5818&amp;"|"&amp;$F5818)</f>
        <v/>
      </c>
      <c r="U5818">
        <f>IF($A5818="","",$R5818&amp;"("&amp;$E5818&amp;")")</f>
        <v/>
      </c>
      <c r="V5818">
        <f>IF($A5818="","",$F5818&amp;"|"&amp;$U5818&amp;"|"&amp;$D5818)</f>
        <v/>
      </c>
      <c r="W5818">
        <f>IF($T5818="","",IF($X5818&gt;N($X5817),$X5818,""))</f>
        <v/>
      </c>
      <c r="X5818">
        <f>IF($T5818="",N($X5817),IF(MATCH($T5818,$T$6:$T$6005,0)=ROW()-5,N($X5817)+1,N($X5817)))</f>
        <v/>
      </c>
      <c r="Z5818">
        <f>IF($V5818="","",IF($AA5818&gt;N($AA5817),$AA5818,""))</f>
        <v/>
      </c>
      <c r="AA5818">
        <f>IF($V5818="",N($AA5817),IF(MATCH($V5818,$V$6:$V$6005,0)=ROW()-5,N($AA5817)+1,N($AA5817)))</f>
        <v/>
      </c>
    </row>
    <row r="5819" ht="21" customHeight="1" s="66">
      <c r="A5819" s="56" t="n"/>
      <c r="B5819" s="57" t="n"/>
      <c r="C5819" s="57" t="n"/>
      <c r="D5819" s="57" t="n"/>
      <c r="E5819" s="56" t="n"/>
      <c r="F5819" s="57" t="n"/>
      <c r="G5819" s="57" t="n"/>
      <c r="H5819" s="56" t="n"/>
      <c r="I5819" s="56" t="n"/>
      <c r="J5819" s="58" t="n"/>
      <c r="K5819" s="58" t="n"/>
      <c r="L5819" s="13">
        <f>IF(OR($A5819="",AND($J5819="",$K5819="")),"",ROUND(N($J5819)-N($K5819),2))</f>
        <v/>
      </c>
      <c r="M5819" s="13">
        <f>IF(OR($A5819="",AND($J5819="",$K5819="")),"",MIN($J5819,$K5819))</f>
        <v/>
      </c>
      <c r="Q5819">
        <f>IF($A5819="","",$D5819&amp;"("&amp;SUBSTITUTE($E5819," ","")&amp;")")</f>
        <v/>
      </c>
      <c r="R5819">
        <f>IF($A5819="","",$B5819&amp;" - "&amp;$C5819)</f>
        <v/>
      </c>
      <c r="S5819">
        <f>IF($A5819="","",$R5819&amp;"|"&amp;$Q5819)</f>
        <v/>
      </c>
      <c r="T5819">
        <f>IF($A5819="","",$S5819&amp;"|"&amp;$F5819)</f>
        <v/>
      </c>
      <c r="U5819">
        <f>IF($A5819="","",$R5819&amp;"("&amp;$E5819&amp;")")</f>
        <v/>
      </c>
      <c r="V5819">
        <f>IF($A5819="","",$F5819&amp;"|"&amp;$U5819&amp;"|"&amp;$D5819)</f>
        <v/>
      </c>
      <c r="W5819">
        <f>IF($T5819="","",IF($X5819&gt;N($X5818),$X5819,""))</f>
        <v/>
      </c>
      <c r="X5819">
        <f>IF($T5819="",N($X5818),IF(MATCH($T5819,$T$6:$T$6005,0)=ROW()-5,N($X5818)+1,N($X5818)))</f>
        <v/>
      </c>
      <c r="Z5819">
        <f>IF($V5819="","",IF($AA5819&gt;N($AA5818),$AA5819,""))</f>
        <v/>
      </c>
      <c r="AA5819">
        <f>IF($V5819="",N($AA5818),IF(MATCH($V5819,$V$6:$V$6005,0)=ROW()-5,N($AA5818)+1,N($AA5818)))</f>
        <v/>
      </c>
    </row>
    <row r="5820" ht="21" customHeight="1" s="66">
      <c r="A5820" s="56" t="n"/>
      <c r="B5820" s="57" t="n"/>
      <c r="C5820" s="57" t="n"/>
      <c r="D5820" s="57" t="n"/>
      <c r="E5820" s="56" t="n"/>
      <c r="F5820" s="57" t="n"/>
      <c r="G5820" s="57" t="n"/>
      <c r="H5820" s="56" t="n"/>
      <c r="I5820" s="56" t="n"/>
      <c r="J5820" s="58" t="n"/>
      <c r="K5820" s="58" t="n"/>
      <c r="L5820" s="13">
        <f>IF(OR($A5820="",AND($J5820="",$K5820="")),"",ROUND(N($J5820)-N($K5820),2))</f>
        <v/>
      </c>
      <c r="M5820" s="13">
        <f>IF(OR($A5820="",AND($J5820="",$K5820="")),"",MIN($J5820,$K5820))</f>
        <v/>
      </c>
      <c r="Q5820">
        <f>IF($A5820="","",$D5820&amp;"("&amp;SUBSTITUTE($E5820," ","")&amp;")")</f>
        <v/>
      </c>
      <c r="R5820">
        <f>IF($A5820="","",$B5820&amp;" - "&amp;$C5820)</f>
        <v/>
      </c>
      <c r="S5820">
        <f>IF($A5820="","",$R5820&amp;"|"&amp;$Q5820)</f>
        <v/>
      </c>
      <c r="T5820">
        <f>IF($A5820="","",$S5820&amp;"|"&amp;$F5820)</f>
        <v/>
      </c>
      <c r="U5820">
        <f>IF($A5820="","",$R5820&amp;"("&amp;$E5820&amp;")")</f>
        <v/>
      </c>
      <c r="V5820">
        <f>IF($A5820="","",$F5820&amp;"|"&amp;$U5820&amp;"|"&amp;$D5820)</f>
        <v/>
      </c>
      <c r="W5820">
        <f>IF($T5820="","",IF($X5820&gt;N($X5819),$X5820,""))</f>
        <v/>
      </c>
      <c r="X5820">
        <f>IF($T5820="",N($X5819),IF(MATCH($T5820,$T$6:$T$6005,0)=ROW()-5,N($X5819)+1,N($X5819)))</f>
        <v/>
      </c>
      <c r="Z5820">
        <f>IF($V5820="","",IF($AA5820&gt;N($AA5819),$AA5820,""))</f>
        <v/>
      </c>
      <c r="AA5820">
        <f>IF($V5820="",N($AA5819),IF(MATCH($V5820,$V$6:$V$6005,0)=ROW()-5,N($AA5819)+1,N($AA5819)))</f>
        <v/>
      </c>
    </row>
    <row r="5821" ht="21" customHeight="1" s="66">
      <c r="A5821" s="56" t="n"/>
      <c r="B5821" s="57" t="n"/>
      <c r="C5821" s="57" t="n"/>
      <c r="D5821" s="57" t="n"/>
      <c r="E5821" s="56" t="n"/>
      <c r="F5821" s="57" t="n"/>
      <c r="G5821" s="57" t="n"/>
      <c r="H5821" s="56" t="n"/>
      <c r="I5821" s="56" t="n"/>
      <c r="J5821" s="58" t="n"/>
      <c r="K5821" s="58" t="n"/>
      <c r="L5821" s="13">
        <f>IF(OR($A5821="",AND($J5821="",$K5821="")),"",ROUND(N($J5821)-N($K5821),2))</f>
        <v/>
      </c>
      <c r="M5821" s="13">
        <f>IF(OR($A5821="",AND($J5821="",$K5821="")),"",MIN($J5821,$K5821))</f>
        <v/>
      </c>
      <c r="Q5821">
        <f>IF($A5821="","",$D5821&amp;"("&amp;SUBSTITUTE($E5821," ","")&amp;")")</f>
        <v/>
      </c>
      <c r="R5821">
        <f>IF($A5821="","",$B5821&amp;" - "&amp;$C5821)</f>
        <v/>
      </c>
      <c r="S5821">
        <f>IF($A5821="","",$R5821&amp;"|"&amp;$Q5821)</f>
        <v/>
      </c>
      <c r="T5821">
        <f>IF($A5821="","",$S5821&amp;"|"&amp;$F5821)</f>
        <v/>
      </c>
      <c r="U5821">
        <f>IF($A5821="","",$R5821&amp;"("&amp;$E5821&amp;")")</f>
        <v/>
      </c>
      <c r="V5821">
        <f>IF($A5821="","",$F5821&amp;"|"&amp;$U5821&amp;"|"&amp;$D5821)</f>
        <v/>
      </c>
      <c r="W5821">
        <f>IF($T5821="","",IF($X5821&gt;N($X5820),$X5821,""))</f>
        <v/>
      </c>
      <c r="X5821">
        <f>IF($T5821="",N($X5820),IF(MATCH($T5821,$T$6:$T$6005,0)=ROW()-5,N($X5820)+1,N($X5820)))</f>
        <v/>
      </c>
      <c r="Z5821">
        <f>IF($V5821="","",IF($AA5821&gt;N($AA5820),$AA5821,""))</f>
        <v/>
      </c>
      <c r="AA5821">
        <f>IF($V5821="",N($AA5820),IF(MATCH($V5821,$V$6:$V$6005,0)=ROW()-5,N($AA5820)+1,N($AA5820)))</f>
        <v/>
      </c>
    </row>
    <row r="5822" ht="21" customHeight="1" s="66">
      <c r="A5822" s="56" t="n"/>
      <c r="B5822" s="57" t="n"/>
      <c r="C5822" s="57" t="n"/>
      <c r="D5822" s="57" t="n"/>
      <c r="E5822" s="56" t="n"/>
      <c r="F5822" s="57" t="n"/>
      <c r="G5822" s="57" t="n"/>
      <c r="H5822" s="56" t="n"/>
      <c r="I5822" s="56" t="n"/>
      <c r="J5822" s="58" t="n"/>
      <c r="K5822" s="58" t="n"/>
      <c r="L5822" s="13">
        <f>IF(OR($A5822="",AND($J5822="",$K5822="")),"",ROUND(N($J5822)-N($K5822),2))</f>
        <v/>
      </c>
      <c r="M5822" s="13">
        <f>IF(OR($A5822="",AND($J5822="",$K5822="")),"",MIN($J5822,$K5822))</f>
        <v/>
      </c>
      <c r="Q5822">
        <f>IF($A5822="","",$D5822&amp;"("&amp;SUBSTITUTE($E5822," ","")&amp;")")</f>
        <v/>
      </c>
      <c r="R5822">
        <f>IF($A5822="","",$B5822&amp;" - "&amp;$C5822)</f>
        <v/>
      </c>
      <c r="S5822">
        <f>IF($A5822="","",$R5822&amp;"|"&amp;$Q5822)</f>
        <v/>
      </c>
      <c r="T5822">
        <f>IF($A5822="","",$S5822&amp;"|"&amp;$F5822)</f>
        <v/>
      </c>
      <c r="U5822">
        <f>IF($A5822="","",$R5822&amp;"("&amp;$E5822&amp;")")</f>
        <v/>
      </c>
      <c r="V5822">
        <f>IF($A5822="","",$F5822&amp;"|"&amp;$U5822&amp;"|"&amp;$D5822)</f>
        <v/>
      </c>
      <c r="W5822">
        <f>IF($T5822="","",IF($X5822&gt;N($X5821),$X5822,""))</f>
        <v/>
      </c>
      <c r="X5822">
        <f>IF($T5822="",N($X5821),IF(MATCH($T5822,$T$6:$T$6005,0)=ROW()-5,N($X5821)+1,N($X5821)))</f>
        <v/>
      </c>
      <c r="Z5822">
        <f>IF($V5822="","",IF($AA5822&gt;N($AA5821),$AA5822,""))</f>
        <v/>
      </c>
      <c r="AA5822">
        <f>IF($V5822="",N($AA5821),IF(MATCH($V5822,$V$6:$V$6005,0)=ROW()-5,N($AA5821)+1,N($AA5821)))</f>
        <v/>
      </c>
    </row>
    <row r="5823" ht="21" customHeight="1" s="66">
      <c r="A5823" s="56" t="n"/>
      <c r="B5823" s="57" t="n"/>
      <c r="C5823" s="57" t="n"/>
      <c r="D5823" s="57" t="n"/>
      <c r="E5823" s="56" t="n"/>
      <c r="F5823" s="57" t="n"/>
      <c r="G5823" s="57" t="n"/>
      <c r="H5823" s="56" t="n"/>
      <c r="I5823" s="56" t="n"/>
      <c r="J5823" s="58" t="n"/>
      <c r="K5823" s="58" t="n"/>
      <c r="L5823" s="13">
        <f>IF(OR($A5823="",AND($J5823="",$K5823="")),"",ROUND(N($J5823)-N($K5823),2))</f>
        <v/>
      </c>
      <c r="M5823" s="13">
        <f>IF(OR($A5823="",AND($J5823="",$K5823="")),"",MIN($J5823,$K5823))</f>
        <v/>
      </c>
      <c r="Q5823">
        <f>IF($A5823="","",$D5823&amp;"("&amp;SUBSTITUTE($E5823," ","")&amp;")")</f>
        <v/>
      </c>
      <c r="R5823">
        <f>IF($A5823="","",$B5823&amp;" - "&amp;$C5823)</f>
        <v/>
      </c>
      <c r="S5823">
        <f>IF($A5823="","",$R5823&amp;"|"&amp;$Q5823)</f>
        <v/>
      </c>
      <c r="T5823">
        <f>IF($A5823="","",$S5823&amp;"|"&amp;$F5823)</f>
        <v/>
      </c>
      <c r="U5823">
        <f>IF($A5823="","",$R5823&amp;"("&amp;$E5823&amp;")")</f>
        <v/>
      </c>
      <c r="V5823">
        <f>IF($A5823="","",$F5823&amp;"|"&amp;$U5823&amp;"|"&amp;$D5823)</f>
        <v/>
      </c>
      <c r="W5823">
        <f>IF($T5823="","",IF($X5823&gt;N($X5822),$X5823,""))</f>
        <v/>
      </c>
      <c r="X5823">
        <f>IF($T5823="",N($X5822),IF(MATCH($T5823,$T$6:$T$6005,0)=ROW()-5,N($X5822)+1,N($X5822)))</f>
        <v/>
      </c>
      <c r="Z5823">
        <f>IF($V5823="","",IF($AA5823&gt;N($AA5822),$AA5823,""))</f>
        <v/>
      </c>
      <c r="AA5823">
        <f>IF($V5823="",N($AA5822),IF(MATCH($V5823,$V$6:$V$6005,0)=ROW()-5,N($AA5822)+1,N($AA5822)))</f>
        <v/>
      </c>
    </row>
    <row r="5824" ht="21" customHeight="1" s="66">
      <c r="A5824" s="56" t="n"/>
      <c r="B5824" s="57" t="n"/>
      <c r="C5824" s="57" t="n"/>
      <c r="D5824" s="57" t="n"/>
      <c r="E5824" s="56" t="n"/>
      <c r="F5824" s="57" t="n"/>
      <c r="G5824" s="57" t="n"/>
      <c r="H5824" s="56" t="n"/>
      <c r="I5824" s="56" t="n"/>
      <c r="J5824" s="58" t="n"/>
      <c r="K5824" s="58" t="n"/>
      <c r="L5824" s="13">
        <f>IF(OR($A5824="",AND($J5824="",$K5824="")),"",ROUND(N($J5824)-N($K5824),2))</f>
        <v/>
      </c>
      <c r="M5824" s="13">
        <f>IF(OR($A5824="",AND($J5824="",$K5824="")),"",MIN($J5824,$K5824))</f>
        <v/>
      </c>
      <c r="Q5824">
        <f>IF($A5824="","",$D5824&amp;"("&amp;SUBSTITUTE($E5824," ","")&amp;")")</f>
        <v/>
      </c>
      <c r="R5824">
        <f>IF($A5824="","",$B5824&amp;" - "&amp;$C5824)</f>
        <v/>
      </c>
      <c r="S5824">
        <f>IF($A5824="","",$R5824&amp;"|"&amp;$Q5824)</f>
        <v/>
      </c>
      <c r="T5824">
        <f>IF($A5824="","",$S5824&amp;"|"&amp;$F5824)</f>
        <v/>
      </c>
      <c r="U5824">
        <f>IF($A5824="","",$R5824&amp;"("&amp;$E5824&amp;")")</f>
        <v/>
      </c>
      <c r="V5824">
        <f>IF($A5824="","",$F5824&amp;"|"&amp;$U5824&amp;"|"&amp;$D5824)</f>
        <v/>
      </c>
      <c r="W5824">
        <f>IF($T5824="","",IF($X5824&gt;N($X5823),$X5824,""))</f>
        <v/>
      </c>
      <c r="X5824">
        <f>IF($T5824="",N($X5823),IF(MATCH($T5824,$T$6:$T$6005,0)=ROW()-5,N($X5823)+1,N($X5823)))</f>
        <v/>
      </c>
      <c r="Z5824">
        <f>IF($V5824="","",IF($AA5824&gt;N($AA5823),$AA5824,""))</f>
        <v/>
      </c>
      <c r="AA5824">
        <f>IF($V5824="",N($AA5823),IF(MATCH($V5824,$V$6:$V$6005,0)=ROW()-5,N($AA5823)+1,N($AA5823)))</f>
        <v/>
      </c>
    </row>
    <row r="5825" ht="21" customHeight="1" s="66">
      <c r="A5825" s="56" t="n"/>
      <c r="B5825" s="57" t="n"/>
      <c r="C5825" s="57" t="n"/>
      <c r="D5825" s="57" t="n"/>
      <c r="E5825" s="56" t="n"/>
      <c r="F5825" s="57" t="n"/>
      <c r="G5825" s="57" t="n"/>
      <c r="H5825" s="56" t="n"/>
      <c r="I5825" s="56" t="n"/>
      <c r="J5825" s="58" t="n"/>
      <c r="K5825" s="58" t="n"/>
      <c r="L5825" s="13">
        <f>IF(OR($A5825="",AND($J5825="",$K5825="")),"",ROUND(N($J5825)-N($K5825),2))</f>
        <v/>
      </c>
      <c r="M5825" s="13">
        <f>IF(OR($A5825="",AND($J5825="",$K5825="")),"",MIN($J5825,$K5825))</f>
        <v/>
      </c>
      <c r="Q5825">
        <f>IF($A5825="","",$D5825&amp;"("&amp;SUBSTITUTE($E5825," ","")&amp;")")</f>
        <v/>
      </c>
      <c r="R5825">
        <f>IF($A5825="","",$B5825&amp;" - "&amp;$C5825)</f>
        <v/>
      </c>
      <c r="S5825">
        <f>IF($A5825="","",$R5825&amp;"|"&amp;$Q5825)</f>
        <v/>
      </c>
      <c r="T5825">
        <f>IF($A5825="","",$S5825&amp;"|"&amp;$F5825)</f>
        <v/>
      </c>
      <c r="U5825">
        <f>IF($A5825="","",$R5825&amp;"("&amp;$E5825&amp;")")</f>
        <v/>
      </c>
      <c r="V5825">
        <f>IF($A5825="","",$F5825&amp;"|"&amp;$U5825&amp;"|"&amp;$D5825)</f>
        <v/>
      </c>
      <c r="W5825">
        <f>IF($T5825="","",IF($X5825&gt;N($X5824),$X5825,""))</f>
        <v/>
      </c>
      <c r="X5825">
        <f>IF($T5825="",N($X5824),IF(MATCH($T5825,$T$6:$T$6005,0)=ROW()-5,N($X5824)+1,N($X5824)))</f>
        <v/>
      </c>
      <c r="Z5825">
        <f>IF($V5825="","",IF($AA5825&gt;N($AA5824),$AA5825,""))</f>
        <v/>
      </c>
      <c r="AA5825">
        <f>IF($V5825="",N($AA5824),IF(MATCH($V5825,$V$6:$V$6005,0)=ROW()-5,N($AA5824)+1,N($AA5824)))</f>
        <v/>
      </c>
    </row>
    <row r="5826" ht="21" customHeight="1" s="66">
      <c r="A5826" s="56" t="n"/>
      <c r="B5826" s="57" t="n"/>
      <c r="C5826" s="57" t="n"/>
      <c r="D5826" s="57" t="n"/>
      <c r="E5826" s="56" t="n"/>
      <c r="F5826" s="57" t="n"/>
      <c r="G5826" s="57" t="n"/>
      <c r="H5826" s="56" t="n"/>
      <c r="I5826" s="56" t="n"/>
      <c r="J5826" s="58" t="n"/>
      <c r="K5826" s="58" t="n"/>
      <c r="L5826" s="13">
        <f>IF(OR($A5826="",AND($J5826="",$K5826="")),"",ROUND(N($J5826)-N($K5826),2))</f>
        <v/>
      </c>
      <c r="M5826" s="13">
        <f>IF(OR($A5826="",AND($J5826="",$K5826="")),"",MIN($J5826,$K5826))</f>
        <v/>
      </c>
      <c r="Q5826">
        <f>IF($A5826="","",$D5826&amp;"("&amp;SUBSTITUTE($E5826," ","")&amp;")")</f>
        <v/>
      </c>
      <c r="R5826">
        <f>IF($A5826="","",$B5826&amp;" - "&amp;$C5826)</f>
        <v/>
      </c>
      <c r="S5826">
        <f>IF($A5826="","",$R5826&amp;"|"&amp;$Q5826)</f>
        <v/>
      </c>
      <c r="T5826">
        <f>IF($A5826="","",$S5826&amp;"|"&amp;$F5826)</f>
        <v/>
      </c>
      <c r="U5826">
        <f>IF($A5826="","",$R5826&amp;"("&amp;$E5826&amp;")")</f>
        <v/>
      </c>
      <c r="V5826">
        <f>IF($A5826="","",$F5826&amp;"|"&amp;$U5826&amp;"|"&amp;$D5826)</f>
        <v/>
      </c>
      <c r="W5826">
        <f>IF($T5826="","",IF($X5826&gt;N($X5825),$X5826,""))</f>
        <v/>
      </c>
      <c r="X5826">
        <f>IF($T5826="",N($X5825),IF(MATCH($T5826,$T$6:$T$6005,0)=ROW()-5,N($X5825)+1,N($X5825)))</f>
        <v/>
      </c>
      <c r="Z5826">
        <f>IF($V5826="","",IF($AA5826&gt;N($AA5825),$AA5826,""))</f>
        <v/>
      </c>
      <c r="AA5826">
        <f>IF($V5826="",N($AA5825),IF(MATCH($V5826,$V$6:$V$6005,0)=ROW()-5,N($AA5825)+1,N($AA5825)))</f>
        <v/>
      </c>
    </row>
    <row r="5827" ht="21" customHeight="1" s="66">
      <c r="A5827" s="56" t="n"/>
      <c r="B5827" s="57" t="n"/>
      <c r="C5827" s="57" t="n"/>
      <c r="D5827" s="57" t="n"/>
      <c r="E5827" s="56" t="n"/>
      <c r="F5827" s="57" t="n"/>
      <c r="G5827" s="57" t="n"/>
      <c r="H5827" s="56" t="n"/>
      <c r="I5827" s="56" t="n"/>
      <c r="J5827" s="58" t="n"/>
      <c r="K5827" s="58" t="n"/>
      <c r="L5827" s="13">
        <f>IF(OR($A5827="",AND($J5827="",$K5827="")),"",ROUND(N($J5827)-N($K5827),2))</f>
        <v/>
      </c>
      <c r="M5827" s="13">
        <f>IF(OR($A5827="",AND($J5827="",$K5827="")),"",MIN($J5827,$K5827))</f>
        <v/>
      </c>
      <c r="Q5827">
        <f>IF($A5827="","",$D5827&amp;"("&amp;SUBSTITUTE($E5827," ","")&amp;")")</f>
        <v/>
      </c>
      <c r="R5827">
        <f>IF($A5827="","",$B5827&amp;" - "&amp;$C5827)</f>
        <v/>
      </c>
      <c r="S5827">
        <f>IF($A5827="","",$R5827&amp;"|"&amp;$Q5827)</f>
        <v/>
      </c>
      <c r="T5827">
        <f>IF($A5827="","",$S5827&amp;"|"&amp;$F5827)</f>
        <v/>
      </c>
      <c r="U5827">
        <f>IF($A5827="","",$R5827&amp;"("&amp;$E5827&amp;")")</f>
        <v/>
      </c>
      <c r="V5827">
        <f>IF($A5827="","",$F5827&amp;"|"&amp;$U5827&amp;"|"&amp;$D5827)</f>
        <v/>
      </c>
      <c r="W5827">
        <f>IF($T5827="","",IF($X5827&gt;N($X5826),$X5827,""))</f>
        <v/>
      </c>
      <c r="X5827">
        <f>IF($T5827="",N($X5826),IF(MATCH($T5827,$T$6:$T$6005,0)=ROW()-5,N($X5826)+1,N($X5826)))</f>
        <v/>
      </c>
      <c r="Z5827">
        <f>IF($V5827="","",IF($AA5827&gt;N($AA5826),$AA5827,""))</f>
        <v/>
      </c>
      <c r="AA5827">
        <f>IF($V5827="",N($AA5826),IF(MATCH($V5827,$V$6:$V$6005,0)=ROW()-5,N($AA5826)+1,N($AA5826)))</f>
        <v/>
      </c>
    </row>
    <row r="5828" ht="21" customHeight="1" s="66">
      <c r="A5828" s="56" t="n"/>
      <c r="B5828" s="57" t="n"/>
      <c r="C5828" s="57" t="n"/>
      <c r="D5828" s="57" t="n"/>
      <c r="E5828" s="56" t="n"/>
      <c r="F5828" s="57" t="n"/>
      <c r="G5828" s="57" t="n"/>
      <c r="H5828" s="56" t="n"/>
      <c r="I5828" s="56" t="n"/>
      <c r="J5828" s="58" t="n"/>
      <c r="K5828" s="58" t="n"/>
      <c r="L5828" s="13">
        <f>IF(OR($A5828="",AND($J5828="",$K5828="")),"",ROUND(N($J5828)-N($K5828),2))</f>
        <v/>
      </c>
      <c r="M5828" s="13">
        <f>IF(OR($A5828="",AND($J5828="",$K5828="")),"",MIN($J5828,$K5828))</f>
        <v/>
      </c>
      <c r="Q5828">
        <f>IF($A5828="","",$D5828&amp;"("&amp;SUBSTITUTE($E5828," ","")&amp;")")</f>
        <v/>
      </c>
      <c r="R5828">
        <f>IF($A5828="","",$B5828&amp;" - "&amp;$C5828)</f>
        <v/>
      </c>
      <c r="S5828">
        <f>IF($A5828="","",$R5828&amp;"|"&amp;$Q5828)</f>
        <v/>
      </c>
      <c r="T5828">
        <f>IF($A5828="","",$S5828&amp;"|"&amp;$F5828)</f>
        <v/>
      </c>
      <c r="U5828">
        <f>IF($A5828="","",$R5828&amp;"("&amp;$E5828&amp;")")</f>
        <v/>
      </c>
      <c r="V5828">
        <f>IF($A5828="","",$F5828&amp;"|"&amp;$U5828&amp;"|"&amp;$D5828)</f>
        <v/>
      </c>
      <c r="W5828">
        <f>IF($T5828="","",IF($X5828&gt;N($X5827),$X5828,""))</f>
        <v/>
      </c>
      <c r="X5828">
        <f>IF($T5828="",N($X5827),IF(MATCH($T5828,$T$6:$T$6005,0)=ROW()-5,N($X5827)+1,N($X5827)))</f>
        <v/>
      </c>
      <c r="Z5828">
        <f>IF($V5828="","",IF($AA5828&gt;N($AA5827),$AA5828,""))</f>
        <v/>
      </c>
      <c r="AA5828">
        <f>IF($V5828="",N($AA5827),IF(MATCH($V5828,$V$6:$V$6005,0)=ROW()-5,N($AA5827)+1,N($AA5827)))</f>
        <v/>
      </c>
    </row>
    <row r="5829" ht="21" customHeight="1" s="66">
      <c r="A5829" s="56" t="n"/>
      <c r="B5829" s="57" t="n"/>
      <c r="C5829" s="57" t="n"/>
      <c r="D5829" s="57" t="n"/>
      <c r="E5829" s="56" t="n"/>
      <c r="F5829" s="57" t="n"/>
      <c r="G5829" s="57" t="n"/>
      <c r="H5829" s="56" t="n"/>
      <c r="I5829" s="56" t="n"/>
      <c r="J5829" s="58" t="n"/>
      <c r="K5829" s="58" t="n"/>
      <c r="L5829" s="13">
        <f>IF(OR($A5829="",AND($J5829="",$K5829="")),"",ROUND(N($J5829)-N($K5829),2))</f>
        <v/>
      </c>
      <c r="M5829" s="13">
        <f>IF(OR($A5829="",AND($J5829="",$K5829="")),"",MIN($J5829,$K5829))</f>
        <v/>
      </c>
      <c r="Q5829">
        <f>IF($A5829="","",$D5829&amp;"("&amp;SUBSTITUTE($E5829," ","")&amp;")")</f>
        <v/>
      </c>
      <c r="R5829">
        <f>IF($A5829="","",$B5829&amp;" - "&amp;$C5829)</f>
        <v/>
      </c>
      <c r="S5829">
        <f>IF($A5829="","",$R5829&amp;"|"&amp;$Q5829)</f>
        <v/>
      </c>
      <c r="T5829">
        <f>IF($A5829="","",$S5829&amp;"|"&amp;$F5829)</f>
        <v/>
      </c>
      <c r="U5829">
        <f>IF($A5829="","",$R5829&amp;"("&amp;$E5829&amp;")")</f>
        <v/>
      </c>
      <c r="V5829">
        <f>IF($A5829="","",$F5829&amp;"|"&amp;$U5829&amp;"|"&amp;$D5829)</f>
        <v/>
      </c>
      <c r="W5829">
        <f>IF($T5829="","",IF($X5829&gt;N($X5828),$X5829,""))</f>
        <v/>
      </c>
      <c r="X5829">
        <f>IF($T5829="",N($X5828),IF(MATCH($T5829,$T$6:$T$6005,0)=ROW()-5,N($X5828)+1,N($X5828)))</f>
        <v/>
      </c>
      <c r="Z5829">
        <f>IF($V5829="","",IF($AA5829&gt;N($AA5828),$AA5829,""))</f>
        <v/>
      </c>
      <c r="AA5829">
        <f>IF($V5829="",N($AA5828),IF(MATCH($V5829,$V$6:$V$6005,0)=ROW()-5,N($AA5828)+1,N($AA5828)))</f>
        <v/>
      </c>
    </row>
    <row r="5830" ht="21" customHeight="1" s="66">
      <c r="A5830" s="56" t="n"/>
      <c r="B5830" s="57" t="n"/>
      <c r="C5830" s="57" t="n"/>
      <c r="D5830" s="57" t="n"/>
      <c r="E5830" s="56" t="n"/>
      <c r="F5830" s="57" t="n"/>
      <c r="G5830" s="57" t="n"/>
      <c r="H5830" s="56" t="n"/>
      <c r="I5830" s="56" t="n"/>
      <c r="J5830" s="58" t="n"/>
      <c r="K5830" s="58" t="n"/>
      <c r="L5830" s="13">
        <f>IF(OR($A5830="",AND($J5830="",$K5830="")),"",ROUND(N($J5830)-N($K5830),2))</f>
        <v/>
      </c>
      <c r="M5830" s="13">
        <f>IF(OR($A5830="",AND($J5830="",$K5830="")),"",MIN($J5830,$K5830))</f>
        <v/>
      </c>
      <c r="Q5830">
        <f>IF($A5830="","",$D5830&amp;"("&amp;SUBSTITUTE($E5830," ","")&amp;")")</f>
        <v/>
      </c>
      <c r="R5830">
        <f>IF($A5830="","",$B5830&amp;" - "&amp;$C5830)</f>
        <v/>
      </c>
      <c r="S5830">
        <f>IF($A5830="","",$R5830&amp;"|"&amp;$Q5830)</f>
        <v/>
      </c>
      <c r="T5830">
        <f>IF($A5830="","",$S5830&amp;"|"&amp;$F5830)</f>
        <v/>
      </c>
      <c r="U5830">
        <f>IF($A5830="","",$R5830&amp;"("&amp;$E5830&amp;")")</f>
        <v/>
      </c>
      <c r="V5830">
        <f>IF($A5830="","",$F5830&amp;"|"&amp;$U5830&amp;"|"&amp;$D5830)</f>
        <v/>
      </c>
      <c r="W5830">
        <f>IF($T5830="","",IF($X5830&gt;N($X5829),$X5830,""))</f>
        <v/>
      </c>
      <c r="X5830">
        <f>IF($T5830="",N($X5829),IF(MATCH($T5830,$T$6:$T$6005,0)=ROW()-5,N($X5829)+1,N($X5829)))</f>
        <v/>
      </c>
      <c r="Z5830">
        <f>IF($V5830="","",IF($AA5830&gt;N($AA5829),$AA5830,""))</f>
        <v/>
      </c>
      <c r="AA5830">
        <f>IF($V5830="",N($AA5829),IF(MATCH($V5830,$V$6:$V$6005,0)=ROW()-5,N($AA5829)+1,N($AA5829)))</f>
        <v/>
      </c>
    </row>
    <row r="5831" ht="21" customHeight="1" s="66">
      <c r="A5831" s="56" t="n"/>
      <c r="B5831" s="57" t="n"/>
      <c r="C5831" s="57" t="n"/>
      <c r="D5831" s="57" t="n"/>
      <c r="E5831" s="56" t="n"/>
      <c r="F5831" s="57" t="n"/>
      <c r="G5831" s="57" t="n"/>
      <c r="H5831" s="56" t="n"/>
      <c r="I5831" s="56" t="n"/>
      <c r="J5831" s="58" t="n"/>
      <c r="K5831" s="58" t="n"/>
      <c r="L5831" s="13">
        <f>IF(OR($A5831="",AND($J5831="",$K5831="")),"",ROUND(N($J5831)-N($K5831),2))</f>
        <v/>
      </c>
      <c r="M5831" s="13">
        <f>IF(OR($A5831="",AND($J5831="",$K5831="")),"",MIN($J5831,$K5831))</f>
        <v/>
      </c>
      <c r="Q5831">
        <f>IF($A5831="","",$D5831&amp;"("&amp;SUBSTITUTE($E5831," ","")&amp;")")</f>
        <v/>
      </c>
      <c r="R5831">
        <f>IF($A5831="","",$B5831&amp;" - "&amp;$C5831)</f>
        <v/>
      </c>
      <c r="S5831">
        <f>IF($A5831="","",$R5831&amp;"|"&amp;$Q5831)</f>
        <v/>
      </c>
      <c r="T5831">
        <f>IF($A5831="","",$S5831&amp;"|"&amp;$F5831)</f>
        <v/>
      </c>
      <c r="U5831">
        <f>IF($A5831="","",$R5831&amp;"("&amp;$E5831&amp;")")</f>
        <v/>
      </c>
      <c r="V5831">
        <f>IF($A5831="","",$F5831&amp;"|"&amp;$U5831&amp;"|"&amp;$D5831)</f>
        <v/>
      </c>
      <c r="W5831">
        <f>IF($T5831="","",IF($X5831&gt;N($X5830),$X5831,""))</f>
        <v/>
      </c>
      <c r="X5831">
        <f>IF($T5831="",N($X5830),IF(MATCH($T5831,$T$6:$T$6005,0)=ROW()-5,N($X5830)+1,N($X5830)))</f>
        <v/>
      </c>
      <c r="Z5831">
        <f>IF($V5831="","",IF($AA5831&gt;N($AA5830),$AA5831,""))</f>
        <v/>
      </c>
      <c r="AA5831">
        <f>IF($V5831="",N($AA5830),IF(MATCH($V5831,$V$6:$V$6005,0)=ROW()-5,N($AA5830)+1,N($AA5830)))</f>
        <v/>
      </c>
    </row>
    <row r="5832" ht="21" customHeight="1" s="66">
      <c r="A5832" s="56" t="n"/>
      <c r="B5832" s="57" t="n"/>
      <c r="C5832" s="57" t="n"/>
      <c r="D5832" s="57" t="n"/>
      <c r="E5832" s="56" t="n"/>
      <c r="F5832" s="57" t="n"/>
      <c r="G5832" s="57" t="n"/>
      <c r="H5832" s="56" t="n"/>
      <c r="I5832" s="56" t="n"/>
      <c r="J5832" s="58" t="n"/>
      <c r="K5832" s="58" t="n"/>
      <c r="L5832" s="13">
        <f>IF(OR($A5832="",AND($J5832="",$K5832="")),"",ROUND(N($J5832)-N($K5832),2))</f>
        <v/>
      </c>
      <c r="M5832" s="13">
        <f>IF(OR($A5832="",AND($J5832="",$K5832="")),"",MIN($J5832,$K5832))</f>
        <v/>
      </c>
      <c r="Q5832">
        <f>IF($A5832="","",$D5832&amp;"("&amp;SUBSTITUTE($E5832," ","")&amp;")")</f>
        <v/>
      </c>
      <c r="R5832">
        <f>IF($A5832="","",$B5832&amp;" - "&amp;$C5832)</f>
        <v/>
      </c>
      <c r="S5832">
        <f>IF($A5832="","",$R5832&amp;"|"&amp;$Q5832)</f>
        <v/>
      </c>
      <c r="T5832">
        <f>IF($A5832="","",$S5832&amp;"|"&amp;$F5832)</f>
        <v/>
      </c>
      <c r="U5832">
        <f>IF($A5832="","",$R5832&amp;"("&amp;$E5832&amp;")")</f>
        <v/>
      </c>
      <c r="V5832">
        <f>IF($A5832="","",$F5832&amp;"|"&amp;$U5832&amp;"|"&amp;$D5832)</f>
        <v/>
      </c>
      <c r="W5832">
        <f>IF($T5832="","",IF($X5832&gt;N($X5831),$X5832,""))</f>
        <v/>
      </c>
      <c r="X5832">
        <f>IF($T5832="",N($X5831),IF(MATCH($T5832,$T$6:$T$6005,0)=ROW()-5,N($X5831)+1,N($X5831)))</f>
        <v/>
      </c>
      <c r="Z5832">
        <f>IF($V5832="","",IF($AA5832&gt;N($AA5831),$AA5832,""))</f>
        <v/>
      </c>
      <c r="AA5832">
        <f>IF($V5832="",N($AA5831),IF(MATCH($V5832,$V$6:$V$6005,0)=ROW()-5,N($AA5831)+1,N($AA5831)))</f>
        <v/>
      </c>
    </row>
    <row r="5833" ht="21" customHeight="1" s="66">
      <c r="A5833" s="56" t="n"/>
      <c r="B5833" s="57" t="n"/>
      <c r="C5833" s="57" t="n"/>
      <c r="D5833" s="57" t="n"/>
      <c r="E5833" s="56" t="n"/>
      <c r="F5833" s="57" t="n"/>
      <c r="G5833" s="57" t="n"/>
      <c r="H5833" s="56" t="n"/>
      <c r="I5833" s="56" t="n"/>
      <c r="J5833" s="58" t="n"/>
      <c r="K5833" s="58" t="n"/>
      <c r="L5833" s="13">
        <f>IF(OR($A5833="",AND($J5833="",$K5833="")),"",ROUND(N($J5833)-N($K5833),2))</f>
        <v/>
      </c>
      <c r="M5833" s="13">
        <f>IF(OR($A5833="",AND($J5833="",$K5833="")),"",MIN($J5833,$K5833))</f>
        <v/>
      </c>
      <c r="Q5833">
        <f>IF($A5833="","",$D5833&amp;"("&amp;SUBSTITUTE($E5833," ","")&amp;")")</f>
        <v/>
      </c>
      <c r="R5833">
        <f>IF($A5833="","",$B5833&amp;" - "&amp;$C5833)</f>
        <v/>
      </c>
      <c r="S5833">
        <f>IF($A5833="","",$R5833&amp;"|"&amp;$Q5833)</f>
        <v/>
      </c>
      <c r="T5833">
        <f>IF($A5833="","",$S5833&amp;"|"&amp;$F5833)</f>
        <v/>
      </c>
      <c r="U5833">
        <f>IF($A5833="","",$R5833&amp;"("&amp;$E5833&amp;")")</f>
        <v/>
      </c>
      <c r="V5833">
        <f>IF($A5833="","",$F5833&amp;"|"&amp;$U5833&amp;"|"&amp;$D5833)</f>
        <v/>
      </c>
      <c r="W5833">
        <f>IF($T5833="","",IF($X5833&gt;N($X5832),$X5833,""))</f>
        <v/>
      </c>
      <c r="X5833">
        <f>IF($T5833="",N($X5832),IF(MATCH($T5833,$T$6:$T$6005,0)=ROW()-5,N($X5832)+1,N($X5832)))</f>
        <v/>
      </c>
      <c r="Z5833">
        <f>IF($V5833="","",IF($AA5833&gt;N($AA5832),$AA5833,""))</f>
        <v/>
      </c>
      <c r="AA5833">
        <f>IF($V5833="",N($AA5832),IF(MATCH($V5833,$V$6:$V$6005,0)=ROW()-5,N($AA5832)+1,N($AA5832)))</f>
        <v/>
      </c>
    </row>
    <row r="5834" ht="21" customHeight="1" s="66">
      <c r="A5834" s="56" t="n"/>
      <c r="B5834" s="57" t="n"/>
      <c r="C5834" s="57" t="n"/>
      <c r="D5834" s="57" t="n"/>
      <c r="E5834" s="56" t="n"/>
      <c r="F5834" s="57" t="n"/>
      <c r="G5834" s="57" t="n"/>
      <c r="H5834" s="56" t="n"/>
      <c r="I5834" s="56" t="n"/>
      <c r="J5834" s="58" t="n"/>
      <c r="K5834" s="58" t="n"/>
      <c r="L5834" s="13">
        <f>IF(OR($A5834="",AND($J5834="",$K5834="")),"",ROUND(N($J5834)-N($K5834),2))</f>
        <v/>
      </c>
      <c r="M5834" s="13">
        <f>IF(OR($A5834="",AND($J5834="",$K5834="")),"",MIN($J5834,$K5834))</f>
        <v/>
      </c>
      <c r="Q5834">
        <f>IF($A5834="","",$D5834&amp;"("&amp;SUBSTITUTE($E5834," ","")&amp;")")</f>
        <v/>
      </c>
      <c r="R5834">
        <f>IF($A5834="","",$B5834&amp;" - "&amp;$C5834)</f>
        <v/>
      </c>
      <c r="S5834">
        <f>IF($A5834="","",$R5834&amp;"|"&amp;$Q5834)</f>
        <v/>
      </c>
      <c r="T5834">
        <f>IF($A5834="","",$S5834&amp;"|"&amp;$F5834)</f>
        <v/>
      </c>
      <c r="U5834">
        <f>IF($A5834="","",$R5834&amp;"("&amp;$E5834&amp;")")</f>
        <v/>
      </c>
      <c r="V5834">
        <f>IF($A5834="","",$F5834&amp;"|"&amp;$U5834&amp;"|"&amp;$D5834)</f>
        <v/>
      </c>
      <c r="W5834">
        <f>IF($T5834="","",IF($X5834&gt;N($X5833),$X5834,""))</f>
        <v/>
      </c>
      <c r="X5834">
        <f>IF($T5834="",N($X5833),IF(MATCH($T5834,$T$6:$T$6005,0)=ROW()-5,N($X5833)+1,N($X5833)))</f>
        <v/>
      </c>
      <c r="Z5834">
        <f>IF($V5834="","",IF($AA5834&gt;N($AA5833),$AA5834,""))</f>
        <v/>
      </c>
      <c r="AA5834">
        <f>IF($V5834="",N($AA5833),IF(MATCH($V5834,$V$6:$V$6005,0)=ROW()-5,N($AA5833)+1,N($AA5833)))</f>
        <v/>
      </c>
    </row>
    <row r="5835" ht="21" customHeight="1" s="66">
      <c r="A5835" s="56" t="n"/>
      <c r="B5835" s="57" t="n"/>
      <c r="C5835" s="57" t="n"/>
      <c r="D5835" s="57" t="n"/>
      <c r="E5835" s="56" t="n"/>
      <c r="F5835" s="57" t="n"/>
      <c r="G5835" s="57" t="n"/>
      <c r="H5835" s="56" t="n"/>
      <c r="I5835" s="56" t="n"/>
      <c r="J5835" s="58" t="n"/>
      <c r="K5835" s="58" t="n"/>
      <c r="L5835" s="13">
        <f>IF(OR($A5835="",AND($J5835="",$K5835="")),"",ROUND(N($J5835)-N($K5835),2))</f>
        <v/>
      </c>
      <c r="M5835" s="13">
        <f>IF(OR($A5835="",AND($J5835="",$K5835="")),"",MIN($J5835,$K5835))</f>
        <v/>
      </c>
      <c r="Q5835">
        <f>IF($A5835="","",$D5835&amp;"("&amp;SUBSTITUTE($E5835," ","")&amp;")")</f>
        <v/>
      </c>
      <c r="R5835">
        <f>IF($A5835="","",$B5835&amp;" - "&amp;$C5835)</f>
        <v/>
      </c>
      <c r="S5835">
        <f>IF($A5835="","",$R5835&amp;"|"&amp;$Q5835)</f>
        <v/>
      </c>
      <c r="T5835">
        <f>IF($A5835="","",$S5835&amp;"|"&amp;$F5835)</f>
        <v/>
      </c>
      <c r="U5835">
        <f>IF($A5835="","",$R5835&amp;"("&amp;$E5835&amp;")")</f>
        <v/>
      </c>
      <c r="V5835">
        <f>IF($A5835="","",$F5835&amp;"|"&amp;$U5835&amp;"|"&amp;$D5835)</f>
        <v/>
      </c>
      <c r="W5835">
        <f>IF($T5835="","",IF($X5835&gt;N($X5834),$X5835,""))</f>
        <v/>
      </c>
      <c r="X5835">
        <f>IF($T5835="",N($X5834),IF(MATCH($T5835,$T$6:$T$6005,0)=ROW()-5,N($X5834)+1,N($X5834)))</f>
        <v/>
      </c>
      <c r="Z5835">
        <f>IF($V5835="","",IF($AA5835&gt;N($AA5834),$AA5835,""))</f>
        <v/>
      </c>
      <c r="AA5835">
        <f>IF($V5835="",N($AA5834),IF(MATCH($V5835,$V$6:$V$6005,0)=ROW()-5,N($AA5834)+1,N($AA5834)))</f>
        <v/>
      </c>
    </row>
    <row r="5836" ht="21" customHeight="1" s="66">
      <c r="A5836" s="56" t="n"/>
      <c r="B5836" s="57" t="n"/>
      <c r="C5836" s="57" t="n"/>
      <c r="D5836" s="57" t="n"/>
      <c r="E5836" s="56" t="n"/>
      <c r="F5836" s="57" t="n"/>
      <c r="G5836" s="57" t="n"/>
      <c r="H5836" s="56" t="n"/>
      <c r="I5836" s="56" t="n"/>
      <c r="J5836" s="58" t="n"/>
      <c r="K5836" s="58" t="n"/>
      <c r="L5836" s="13">
        <f>IF(OR($A5836="",AND($J5836="",$K5836="")),"",ROUND(N($J5836)-N($K5836),2))</f>
        <v/>
      </c>
      <c r="M5836" s="13">
        <f>IF(OR($A5836="",AND($J5836="",$K5836="")),"",MIN($J5836,$K5836))</f>
        <v/>
      </c>
      <c r="Q5836">
        <f>IF($A5836="","",$D5836&amp;"("&amp;SUBSTITUTE($E5836," ","")&amp;")")</f>
        <v/>
      </c>
      <c r="R5836">
        <f>IF($A5836="","",$B5836&amp;" - "&amp;$C5836)</f>
        <v/>
      </c>
      <c r="S5836">
        <f>IF($A5836="","",$R5836&amp;"|"&amp;$Q5836)</f>
        <v/>
      </c>
      <c r="T5836">
        <f>IF($A5836="","",$S5836&amp;"|"&amp;$F5836)</f>
        <v/>
      </c>
      <c r="U5836">
        <f>IF($A5836="","",$R5836&amp;"("&amp;$E5836&amp;")")</f>
        <v/>
      </c>
      <c r="V5836">
        <f>IF($A5836="","",$F5836&amp;"|"&amp;$U5836&amp;"|"&amp;$D5836)</f>
        <v/>
      </c>
      <c r="W5836">
        <f>IF($T5836="","",IF($X5836&gt;N($X5835),$X5836,""))</f>
        <v/>
      </c>
      <c r="X5836">
        <f>IF($T5836="",N($X5835),IF(MATCH($T5836,$T$6:$T$6005,0)=ROW()-5,N($X5835)+1,N($X5835)))</f>
        <v/>
      </c>
      <c r="Z5836">
        <f>IF($V5836="","",IF($AA5836&gt;N($AA5835),$AA5836,""))</f>
        <v/>
      </c>
      <c r="AA5836">
        <f>IF($V5836="",N($AA5835),IF(MATCH($V5836,$V$6:$V$6005,0)=ROW()-5,N($AA5835)+1,N($AA5835)))</f>
        <v/>
      </c>
    </row>
    <row r="5837" ht="21" customHeight="1" s="66">
      <c r="A5837" s="56" t="n"/>
      <c r="B5837" s="57" t="n"/>
      <c r="C5837" s="57" t="n"/>
      <c r="D5837" s="57" t="n"/>
      <c r="E5837" s="56" t="n"/>
      <c r="F5837" s="57" t="n"/>
      <c r="G5837" s="57" t="n"/>
      <c r="H5837" s="56" t="n"/>
      <c r="I5837" s="56" t="n"/>
      <c r="J5837" s="58" t="n"/>
      <c r="K5837" s="58" t="n"/>
      <c r="L5837" s="13">
        <f>IF(OR($A5837="",AND($J5837="",$K5837="")),"",ROUND(N($J5837)-N($K5837),2))</f>
        <v/>
      </c>
      <c r="M5837" s="13">
        <f>IF(OR($A5837="",AND($J5837="",$K5837="")),"",MIN($J5837,$K5837))</f>
        <v/>
      </c>
      <c r="Q5837">
        <f>IF($A5837="","",$D5837&amp;"("&amp;SUBSTITUTE($E5837," ","")&amp;")")</f>
        <v/>
      </c>
      <c r="R5837">
        <f>IF($A5837="","",$B5837&amp;" - "&amp;$C5837)</f>
        <v/>
      </c>
      <c r="S5837">
        <f>IF($A5837="","",$R5837&amp;"|"&amp;$Q5837)</f>
        <v/>
      </c>
      <c r="T5837">
        <f>IF($A5837="","",$S5837&amp;"|"&amp;$F5837)</f>
        <v/>
      </c>
      <c r="U5837">
        <f>IF($A5837="","",$R5837&amp;"("&amp;$E5837&amp;")")</f>
        <v/>
      </c>
      <c r="V5837">
        <f>IF($A5837="","",$F5837&amp;"|"&amp;$U5837&amp;"|"&amp;$D5837)</f>
        <v/>
      </c>
      <c r="W5837">
        <f>IF($T5837="","",IF($X5837&gt;N($X5836),$X5837,""))</f>
        <v/>
      </c>
      <c r="X5837">
        <f>IF($T5837="",N($X5836),IF(MATCH($T5837,$T$6:$T$6005,0)=ROW()-5,N($X5836)+1,N($X5836)))</f>
        <v/>
      </c>
      <c r="Z5837">
        <f>IF($V5837="","",IF($AA5837&gt;N($AA5836),$AA5837,""))</f>
        <v/>
      </c>
      <c r="AA5837">
        <f>IF($V5837="",N($AA5836),IF(MATCH($V5837,$V$6:$V$6005,0)=ROW()-5,N($AA5836)+1,N($AA5836)))</f>
        <v/>
      </c>
    </row>
    <row r="5838" ht="21" customHeight="1" s="66">
      <c r="A5838" s="56" t="n"/>
      <c r="B5838" s="57" t="n"/>
      <c r="C5838" s="57" t="n"/>
      <c r="D5838" s="57" t="n"/>
      <c r="E5838" s="56" t="n"/>
      <c r="F5838" s="57" t="n"/>
      <c r="G5838" s="57" t="n"/>
      <c r="H5838" s="56" t="n"/>
      <c r="I5838" s="56" t="n"/>
      <c r="J5838" s="58" t="n"/>
      <c r="K5838" s="58" t="n"/>
      <c r="L5838" s="13">
        <f>IF(OR($A5838="",AND($J5838="",$K5838="")),"",ROUND(N($J5838)-N($K5838),2))</f>
        <v/>
      </c>
      <c r="M5838" s="13">
        <f>IF(OR($A5838="",AND($J5838="",$K5838="")),"",MIN($J5838,$K5838))</f>
        <v/>
      </c>
      <c r="Q5838">
        <f>IF($A5838="","",$D5838&amp;"("&amp;SUBSTITUTE($E5838," ","")&amp;")")</f>
        <v/>
      </c>
      <c r="R5838">
        <f>IF($A5838="","",$B5838&amp;" - "&amp;$C5838)</f>
        <v/>
      </c>
      <c r="S5838">
        <f>IF($A5838="","",$R5838&amp;"|"&amp;$Q5838)</f>
        <v/>
      </c>
      <c r="T5838">
        <f>IF($A5838="","",$S5838&amp;"|"&amp;$F5838)</f>
        <v/>
      </c>
      <c r="U5838">
        <f>IF($A5838="","",$R5838&amp;"("&amp;$E5838&amp;")")</f>
        <v/>
      </c>
      <c r="V5838">
        <f>IF($A5838="","",$F5838&amp;"|"&amp;$U5838&amp;"|"&amp;$D5838)</f>
        <v/>
      </c>
      <c r="W5838">
        <f>IF($T5838="","",IF($X5838&gt;N($X5837),$X5838,""))</f>
        <v/>
      </c>
      <c r="X5838">
        <f>IF($T5838="",N($X5837),IF(MATCH($T5838,$T$6:$T$6005,0)=ROW()-5,N($X5837)+1,N($X5837)))</f>
        <v/>
      </c>
      <c r="Z5838">
        <f>IF($V5838="","",IF($AA5838&gt;N($AA5837),$AA5838,""))</f>
        <v/>
      </c>
      <c r="AA5838">
        <f>IF($V5838="",N($AA5837),IF(MATCH($V5838,$V$6:$V$6005,0)=ROW()-5,N($AA5837)+1,N($AA5837)))</f>
        <v/>
      </c>
    </row>
    <row r="5839" ht="21" customHeight="1" s="66">
      <c r="A5839" s="56" t="n"/>
      <c r="B5839" s="57" t="n"/>
      <c r="C5839" s="57" t="n"/>
      <c r="D5839" s="57" t="n"/>
      <c r="E5839" s="56" t="n"/>
      <c r="F5839" s="57" t="n"/>
      <c r="G5839" s="57" t="n"/>
      <c r="H5839" s="56" t="n"/>
      <c r="I5839" s="56" t="n"/>
      <c r="J5839" s="58" t="n"/>
      <c r="K5839" s="58" t="n"/>
      <c r="L5839" s="13">
        <f>IF(OR($A5839="",AND($J5839="",$K5839="")),"",ROUND(N($J5839)-N($K5839),2))</f>
        <v/>
      </c>
      <c r="M5839" s="13">
        <f>IF(OR($A5839="",AND($J5839="",$K5839="")),"",MIN($J5839,$K5839))</f>
        <v/>
      </c>
      <c r="Q5839">
        <f>IF($A5839="","",$D5839&amp;"("&amp;SUBSTITUTE($E5839," ","")&amp;")")</f>
        <v/>
      </c>
      <c r="R5839">
        <f>IF($A5839="","",$B5839&amp;" - "&amp;$C5839)</f>
        <v/>
      </c>
      <c r="S5839">
        <f>IF($A5839="","",$R5839&amp;"|"&amp;$Q5839)</f>
        <v/>
      </c>
      <c r="T5839">
        <f>IF($A5839="","",$S5839&amp;"|"&amp;$F5839)</f>
        <v/>
      </c>
      <c r="U5839">
        <f>IF($A5839="","",$R5839&amp;"("&amp;$E5839&amp;")")</f>
        <v/>
      </c>
      <c r="V5839">
        <f>IF($A5839="","",$F5839&amp;"|"&amp;$U5839&amp;"|"&amp;$D5839)</f>
        <v/>
      </c>
      <c r="W5839">
        <f>IF($T5839="","",IF($X5839&gt;N($X5838),$X5839,""))</f>
        <v/>
      </c>
      <c r="X5839">
        <f>IF($T5839="",N($X5838),IF(MATCH($T5839,$T$6:$T$6005,0)=ROW()-5,N($X5838)+1,N($X5838)))</f>
        <v/>
      </c>
      <c r="Z5839">
        <f>IF($V5839="","",IF($AA5839&gt;N($AA5838),$AA5839,""))</f>
        <v/>
      </c>
      <c r="AA5839">
        <f>IF($V5839="",N($AA5838),IF(MATCH($V5839,$V$6:$V$6005,0)=ROW()-5,N($AA5838)+1,N($AA5838)))</f>
        <v/>
      </c>
    </row>
    <row r="5840" ht="21" customHeight="1" s="66">
      <c r="A5840" s="56" t="n"/>
      <c r="B5840" s="57" t="n"/>
      <c r="C5840" s="57" t="n"/>
      <c r="D5840" s="57" t="n"/>
      <c r="E5840" s="56" t="n"/>
      <c r="F5840" s="57" t="n"/>
      <c r="G5840" s="57" t="n"/>
      <c r="H5840" s="56" t="n"/>
      <c r="I5840" s="56" t="n"/>
      <c r="J5840" s="58" t="n"/>
      <c r="K5840" s="58" t="n"/>
      <c r="L5840" s="13">
        <f>IF(OR($A5840="",AND($J5840="",$K5840="")),"",ROUND(N($J5840)-N($K5840),2))</f>
        <v/>
      </c>
      <c r="M5840" s="13">
        <f>IF(OR($A5840="",AND($J5840="",$K5840="")),"",MIN($J5840,$K5840))</f>
        <v/>
      </c>
      <c r="Q5840">
        <f>IF($A5840="","",$D5840&amp;"("&amp;SUBSTITUTE($E5840," ","")&amp;")")</f>
        <v/>
      </c>
      <c r="R5840">
        <f>IF($A5840="","",$B5840&amp;" - "&amp;$C5840)</f>
        <v/>
      </c>
      <c r="S5840">
        <f>IF($A5840="","",$R5840&amp;"|"&amp;$Q5840)</f>
        <v/>
      </c>
      <c r="T5840">
        <f>IF($A5840="","",$S5840&amp;"|"&amp;$F5840)</f>
        <v/>
      </c>
      <c r="U5840">
        <f>IF($A5840="","",$R5840&amp;"("&amp;$E5840&amp;")")</f>
        <v/>
      </c>
      <c r="V5840">
        <f>IF($A5840="","",$F5840&amp;"|"&amp;$U5840&amp;"|"&amp;$D5840)</f>
        <v/>
      </c>
      <c r="W5840">
        <f>IF($T5840="","",IF($X5840&gt;N($X5839),$X5840,""))</f>
        <v/>
      </c>
      <c r="X5840">
        <f>IF($T5840="",N($X5839),IF(MATCH($T5840,$T$6:$T$6005,0)=ROW()-5,N($X5839)+1,N($X5839)))</f>
        <v/>
      </c>
      <c r="Z5840">
        <f>IF($V5840="","",IF($AA5840&gt;N($AA5839),$AA5840,""))</f>
        <v/>
      </c>
      <c r="AA5840">
        <f>IF($V5840="",N($AA5839),IF(MATCH($V5840,$V$6:$V$6005,0)=ROW()-5,N($AA5839)+1,N($AA5839)))</f>
        <v/>
      </c>
    </row>
    <row r="5841" ht="21" customHeight="1" s="66">
      <c r="A5841" s="56" t="n"/>
      <c r="B5841" s="57" t="n"/>
      <c r="C5841" s="57" t="n"/>
      <c r="D5841" s="57" t="n"/>
      <c r="E5841" s="56" t="n"/>
      <c r="F5841" s="57" t="n"/>
      <c r="G5841" s="57" t="n"/>
      <c r="H5841" s="56" t="n"/>
      <c r="I5841" s="56" t="n"/>
      <c r="J5841" s="58" t="n"/>
      <c r="K5841" s="58" t="n"/>
      <c r="L5841" s="13">
        <f>IF(OR($A5841="",AND($J5841="",$K5841="")),"",ROUND(N($J5841)-N($K5841),2))</f>
        <v/>
      </c>
      <c r="M5841" s="13">
        <f>IF(OR($A5841="",AND($J5841="",$K5841="")),"",MIN($J5841,$K5841))</f>
        <v/>
      </c>
      <c r="Q5841">
        <f>IF($A5841="","",$D5841&amp;"("&amp;SUBSTITUTE($E5841," ","")&amp;")")</f>
        <v/>
      </c>
      <c r="R5841">
        <f>IF($A5841="","",$B5841&amp;" - "&amp;$C5841)</f>
        <v/>
      </c>
      <c r="S5841">
        <f>IF($A5841="","",$R5841&amp;"|"&amp;$Q5841)</f>
        <v/>
      </c>
      <c r="T5841">
        <f>IF($A5841="","",$S5841&amp;"|"&amp;$F5841)</f>
        <v/>
      </c>
      <c r="U5841">
        <f>IF($A5841="","",$R5841&amp;"("&amp;$E5841&amp;")")</f>
        <v/>
      </c>
      <c r="V5841">
        <f>IF($A5841="","",$F5841&amp;"|"&amp;$U5841&amp;"|"&amp;$D5841)</f>
        <v/>
      </c>
      <c r="W5841">
        <f>IF($T5841="","",IF($X5841&gt;N($X5840),$X5841,""))</f>
        <v/>
      </c>
      <c r="X5841">
        <f>IF($T5841="",N($X5840),IF(MATCH($T5841,$T$6:$T$6005,0)=ROW()-5,N($X5840)+1,N($X5840)))</f>
        <v/>
      </c>
      <c r="Z5841">
        <f>IF($V5841="","",IF($AA5841&gt;N($AA5840),$AA5841,""))</f>
        <v/>
      </c>
      <c r="AA5841">
        <f>IF($V5841="",N($AA5840),IF(MATCH($V5841,$V$6:$V$6005,0)=ROW()-5,N($AA5840)+1,N($AA5840)))</f>
        <v/>
      </c>
    </row>
    <row r="5842" ht="21" customHeight="1" s="66">
      <c r="A5842" s="56" t="n"/>
      <c r="B5842" s="57" t="n"/>
      <c r="C5842" s="57" t="n"/>
      <c r="D5842" s="57" t="n"/>
      <c r="E5842" s="56" t="n"/>
      <c r="F5842" s="57" t="n"/>
      <c r="G5842" s="57" t="n"/>
      <c r="H5842" s="56" t="n"/>
      <c r="I5842" s="56" t="n"/>
      <c r="J5842" s="58" t="n"/>
      <c r="K5842" s="58" t="n"/>
      <c r="L5842" s="13">
        <f>IF(OR($A5842="",AND($J5842="",$K5842="")),"",ROUND(N($J5842)-N($K5842),2))</f>
        <v/>
      </c>
      <c r="M5842" s="13">
        <f>IF(OR($A5842="",AND($J5842="",$K5842="")),"",MIN($J5842,$K5842))</f>
        <v/>
      </c>
      <c r="Q5842">
        <f>IF($A5842="","",$D5842&amp;"("&amp;SUBSTITUTE($E5842," ","")&amp;")")</f>
        <v/>
      </c>
      <c r="R5842">
        <f>IF($A5842="","",$B5842&amp;" - "&amp;$C5842)</f>
        <v/>
      </c>
      <c r="S5842">
        <f>IF($A5842="","",$R5842&amp;"|"&amp;$Q5842)</f>
        <v/>
      </c>
      <c r="T5842">
        <f>IF($A5842="","",$S5842&amp;"|"&amp;$F5842)</f>
        <v/>
      </c>
      <c r="U5842">
        <f>IF($A5842="","",$R5842&amp;"("&amp;$E5842&amp;")")</f>
        <v/>
      </c>
      <c r="V5842">
        <f>IF($A5842="","",$F5842&amp;"|"&amp;$U5842&amp;"|"&amp;$D5842)</f>
        <v/>
      </c>
      <c r="W5842">
        <f>IF($T5842="","",IF($X5842&gt;N($X5841),$X5842,""))</f>
        <v/>
      </c>
      <c r="X5842">
        <f>IF($T5842="",N($X5841),IF(MATCH($T5842,$T$6:$T$6005,0)=ROW()-5,N($X5841)+1,N($X5841)))</f>
        <v/>
      </c>
      <c r="Z5842">
        <f>IF($V5842="","",IF($AA5842&gt;N($AA5841),$AA5842,""))</f>
        <v/>
      </c>
      <c r="AA5842">
        <f>IF($V5842="",N($AA5841),IF(MATCH($V5842,$V$6:$V$6005,0)=ROW()-5,N($AA5841)+1,N($AA5841)))</f>
        <v/>
      </c>
    </row>
    <row r="5843" ht="21" customHeight="1" s="66">
      <c r="A5843" s="56" t="n"/>
      <c r="B5843" s="57" t="n"/>
      <c r="C5843" s="57" t="n"/>
      <c r="D5843" s="57" t="n"/>
      <c r="E5843" s="56" t="n"/>
      <c r="F5843" s="57" t="n"/>
      <c r="G5843" s="57" t="n"/>
      <c r="H5843" s="56" t="n"/>
      <c r="I5843" s="56" t="n"/>
      <c r="J5843" s="58" t="n"/>
      <c r="K5843" s="58" t="n"/>
      <c r="L5843" s="13">
        <f>IF(OR($A5843="",AND($J5843="",$K5843="")),"",ROUND(N($J5843)-N($K5843),2))</f>
        <v/>
      </c>
      <c r="M5843" s="13">
        <f>IF(OR($A5843="",AND($J5843="",$K5843="")),"",MIN($J5843,$K5843))</f>
        <v/>
      </c>
      <c r="Q5843">
        <f>IF($A5843="","",$D5843&amp;"("&amp;SUBSTITUTE($E5843," ","")&amp;")")</f>
        <v/>
      </c>
      <c r="R5843">
        <f>IF($A5843="","",$B5843&amp;" - "&amp;$C5843)</f>
        <v/>
      </c>
      <c r="S5843">
        <f>IF($A5843="","",$R5843&amp;"|"&amp;$Q5843)</f>
        <v/>
      </c>
      <c r="T5843">
        <f>IF($A5843="","",$S5843&amp;"|"&amp;$F5843)</f>
        <v/>
      </c>
      <c r="U5843">
        <f>IF($A5843="","",$R5843&amp;"("&amp;$E5843&amp;")")</f>
        <v/>
      </c>
      <c r="V5843">
        <f>IF($A5843="","",$F5843&amp;"|"&amp;$U5843&amp;"|"&amp;$D5843)</f>
        <v/>
      </c>
      <c r="W5843">
        <f>IF($T5843="","",IF($X5843&gt;N($X5842),$X5843,""))</f>
        <v/>
      </c>
      <c r="X5843">
        <f>IF($T5843="",N($X5842),IF(MATCH($T5843,$T$6:$T$6005,0)=ROW()-5,N($X5842)+1,N($X5842)))</f>
        <v/>
      </c>
      <c r="Z5843">
        <f>IF($V5843="","",IF($AA5843&gt;N($AA5842),$AA5843,""))</f>
        <v/>
      </c>
      <c r="AA5843">
        <f>IF($V5843="",N($AA5842),IF(MATCH($V5843,$V$6:$V$6005,0)=ROW()-5,N($AA5842)+1,N($AA5842)))</f>
        <v/>
      </c>
    </row>
    <row r="5844" ht="21" customHeight="1" s="66">
      <c r="A5844" s="56" t="n"/>
      <c r="B5844" s="57" t="n"/>
      <c r="C5844" s="57" t="n"/>
      <c r="D5844" s="57" t="n"/>
      <c r="E5844" s="56" t="n"/>
      <c r="F5844" s="57" t="n"/>
      <c r="G5844" s="57" t="n"/>
      <c r="H5844" s="56" t="n"/>
      <c r="I5844" s="56" t="n"/>
      <c r="J5844" s="58" t="n"/>
      <c r="K5844" s="58" t="n"/>
      <c r="L5844" s="13">
        <f>IF(OR($A5844="",AND($J5844="",$K5844="")),"",ROUND(N($J5844)-N($K5844),2))</f>
        <v/>
      </c>
      <c r="M5844" s="13">
        <f>IF(OR($A5844="",AND($J5844="",$K5844="")),"",MIN($J5844,$K5844))</f>
        <v/>
      </c>
      <c r="Q5844">
        <f>IF($A5844="","",$D5844&amp;"("&amp;SUBSTITUTE($E5844," ","")&amp;")")</f>
        <v/>
      </c>
      <c r="R5844">
        <f>IF($A5844="","",$B5844&amp;" - "&amp;$C5844)</f>
        <v/>
      </c>
      <c r="S5844">
        <f>IF($A5844="","",$R5844&amp;"|"&amp;$Q5844)</f>
        <v/>
      </c>
      <c r="T5844">
        <f>IF($A5844="","",$S5844&amp;"|"&amp;$F5844)</f>
        <v/>
      </c>
      <c r="U5844">
        <f>IF($A5844="","",$R5844&amp;"("&amp;$E5844&amp;")")</f>
        <v/>
      </c>
      <c r="V5844">
        <f>IF($A5844="","",$F5844&amp;"|"&amp;$U5844&amp;"|"&amp;$D5844)</f>
        <v/>
      </c>
      <c r="W5844">
        <f>IF($T5844="","",IF($X5844&gt;N($X5843),$X5844,""))</f>
        <v/>
      </c>
      <c r="X5844">
        <f>IF($T5844="",N($X5843),IF(MATCH($T5844,$T$6:$T$6005,0)=ROW()-5,N($X5843)+1,N($X5843)))</f>
        <v/>
      </c>
      <c r="Z5844">
        <f>IF($V5844="","",IF($AA5844&gt;N($AA5843),$AA5844,""))</f>
        <v/>
      </c>
      <c r="AA5844">
        <f>IF($V5844="",N($AA5843),IF(MATCH($V5844,$V$6:$V$6005,0)=ROW()-5,N($AA5843)+1,N($AA5843)))</f>
        <v/>
      </c>
    </row>
    <row r="5845" ht="21" customHeight="1" s="66">
      <c r="A5845" s="56" t="n"/>
      <c r="B5845" s="57" t="n"/>
      <c r="C5845" s="57" t="n"/>
      <c r="D5845" s="57" t="n"/>
      <c r="E5845" s="56" t="n"/>
      <c r="F5845" s="57" t="n"/>
      <c r="G5845" s="57" t="n"/>
      <c r="H5845" s="56" t="n"/>
      <c r="I5845" s="56" t="n"/>
      <c r="J5845" s="58" t="n"/>
      <c r="K5845" s="58" t="n"/>
      <c r="L5845" s="13">
        <f>IF(OR($A5845="",AND($J5845="",$K5845="")),"",ROUND(N($J5845)-N($K5845),2))</f>
        <v/>
      </c>
      <c r="M5845" s="13">
        <f>IF(OR($A5845="",AND($J5845="",$K5845="")),"",MIN($J5845,$K5845))</f>
        <v/>
      </c>
      <c r="Q5845">
        <f>IF($A5845="","",$D5845&amp;"("&amp;SUBSTITUTE($E5845," ","")&amp;")")</f>
        <v/>
      </c>
      <c r="R5845">
        <f>IF($A5845="","",$B5845&amp;" - "&amp;$C5845)</f>
        <v/>
      </c>
      <c r="S5845">
        <f>IF($A5845="","",$R5845&amp;"|"&amp;$Q5845)</f>
        <v/>
      </c>
      <c r="T5845">
        <f>IF($A5845="","",$S5845&amp;"|"&amp;$F5845)</f>
        <v/>
      </c>
      <c r="U5845">
        <f>IF($A5845="","",$R5845&amp;"("&amp;$E5845&amp;")")</f>
        <v/>
      </c>
      <c r="V5845">
        <f>IF($A5845="","",$F5845&amp;"|"&amp;$U5845&amp;"|"&amp;$D5845)</f>
        <v/>
      </c>
      <c r="W5845">
        <f>IF($T5845="","",IF($X5845&gt;N($X5844),$X5845,""))</f>
        <v/>
      </c>
      <c r="X5845">
        <f>IF($T5845="",N($X5844),IF(MATCH($T5845,$T$6:$T$6005,0)=ROW()-5,N($X5844)+1,N($X5844)))</f>
        <v/>
      </c>
      <c r="Z5845">
        <f>IF($V5845="","",IF($AA5845&gt;N($AA5844),$AA5845,""))</f>
        <v/>
      </c>
      <c r="AA5845">
        <f>IF($V5845="",N($AA5844),IF(MATCH($V5845,$V$6:$V$6005,0)=ROW()-5,N($AA5844)+1,N($AA5844)))</f>
        <v/>
      </c>
    </row>
    <row r="5846" ht="21" customHeight="1" s="66">
      <c r="A5846" s="56" t="n"/>
      <c r="B5846" s="57" t="n"/>
      <c r="C5846" s="57" t="n"/>
      <c r="D5846" s="57" t="n"/>
      <c r="E5846" s="56" t="n"/>
      <c r="F5846" s="57" t="n"/>
      <c r="G5846" s="57" t="n"/>
      <c r="H5846" s="56" t="n"/>
      <c r="I5846" s="56" t="n"/>
      <c r="J5846" s="58" t="n"/>
      <c r="K5846" s="58" t="n"/>
      <c r="L5846" s="13">
        <f>IF(OR($A5846="",AND($J5846="",$K5846="")),"",ROUND(N($J5846)-N($K5846),2))</f>
        <v/>
      </c>
      <c r="M5846" s="13">
        <f>IF(OR($A5846="",AND($J5846="",$K5846="")),"",MIN($J5846,$K5846))</f>
        <v/>
      </c>
      <c r="Q5846">
        <f>IF($A5846="","",$D5846&amp;"("&amp;SUBSTITUTE($E5846," ","")&amp;")")</f>
        <v/>
      </c>
      <c r="R5846">
        <f>IF($A5846="","",$B5846&amp;" - "&amp;$C5846)</f>
        <v/>
      </c>
      <c r="S5846">
        <f>IF($A5846="","",$R5846&amp;"|"&amp;$Q5846)</f>
        <v/>
      </c>
      <c r="T5846">
        <f>IF($A5846="","",$S5846&amp;"|"&amp;$F5846)</f>
        <v/>
      </c>
      <c r="U5846">
        <f>IF($A5846="","",$R5846&amp;"("&amp;$E5846&amp;")")</f>
        <v/>
      </c>
      <c r="V5846">
        <f>IF($A5846="","",$F5846&amp;"|"&amp;$U5846&amp;"|"&amp;$D5846)</f>
        <v/>
      </c>
      <c r="W5846">
        <f>IF($T5846="","",IF($X5846&gt;N($X5845),$X5846,""))</f>
        <v/>
      </c>
      <c r="X5846">
        <f>IF($T5846="",N($X5845),IF(MATCH($T5846,$T$6:$T$6005,0)=ROW()-5,N($X5845)+1,N($X5845)))</f>
        <v/>
      </c>
      <c r="Z5846">
        <f>IF($V5846="","",IF($AA5846&gt;N($AA5845),$AA5846,""))</f>
        <v/>
      </c>
      <c r="AA5846">
        <f>IF($V5846="",N($AA5845),IF(MATCH($V5846,$V$6:$V$6005,0)=ROW()-5,N($AA5845)+1,N($AA5845)))</f>
        <v/>
      </c>
    </row>
    <row r="5847" ht="21" customHeight="1" s="66">
      <c r="A5847" s="56" t="n"/>
      <c r="B5847" s="57" t="n"/>
      <c r="C5847" s="57" t="n"/>
      <c r="D5847" s="57" t="n"/>
      <c r="E5847" s="56" t="n"/>
      <c r="F5847" s="57" t="n"/>
      <c r="G5847" s="57" t="n"/>
      <c r="H5847" s="56" t="n"/>
      <c r="I5847" s="56" t="n"/>
      <c r="J5847" s="58" t="n"/>
      <c r="K5847" s="58" t="n"/>
      <c r="L5847" s="13">
        <f>IF(OR($A5847="",AND($J5847="",$K5847="")),"",ROUND(N($J5847)-N($K5847),2))</f>
        <v/>
      </c>
      <c r="M5847" s="13">
        <f>IF(OR($A5847="",AND($J5847="",$K5847="")),"",MIN($J5847,$K5847))</f>
        <v/>
      </c>
      <c r="Q5847">
        <f>IF($A5847="","",$D5847&amp;"("&amp;SUBSTITUTE($E5847," ","")&amp;")")</f>
        <v/>
      </c>
      <c r="R5847">
        <f>IF($A5847="","",$B5847&amp;" - "&amp;$C5847)</f>
        <v/>
      </c>
      <c r="S5847">
        <f>IF($A5847="","",$R5847&amp;"|"&amp;$Q5847)</f>
        <v/>
      </c>
      <c r="T5847">
        <f>IF($A5847="","",$S5847&amp;"|"&amp;$F5847)</f>
        <v/>
      </c>
      <c r="U5847">
        <f>IF($A5847="","",$R5847&amp;"("&amp;$E5847&amp;")")</f>
        <v/>
      </c>
      <c r="V5847">
        <f>IF($A5847="","",$F5847&amp;"|"&amp;$U5847&amp;"|"&amp;$D5847)</f>
        <v/>
      </c>
      <c r="W5847">
        <f>IF($T5847="","",IF($X5847&gt;N($X5846),$X5847,""))</f>
        <v/>
      </c>
      <c r="X5847">
        <f>IF($T5847="",N($X5846),IF(MATCH($T5847,$T$6:$T$6005,0)=ROW()-5,N($X5846)+1,N($X5846)))</f>
        <v/>
      </c>
      <c r="Z5847">
        <f>IF($V5847="","",IF($AA5847&gt;N($AA5846),$AA5847,""))</f>
        <v/>
      </c>
      <c r="AA5847">
        <f>IF($V5847="",N($AA5846),IF(MATCH($V5847,$V$6:$V$6005,0)=ROW()-5,N($AA5846)+1,N($AA5846)))</f>
        <v/>
      </c>
    </row>
    <row r="5848" ht="21" customHeight="1" s="66">
      <c r="A5848" s="56" t="n"/>
      <c r="B5848" s="57" t="n"/>
      <c r="C5848" s="57" t="n"/>
      <c r="D5848" s="57" t="n"/>
      <c r="E5848" s="56" t="n"/>
      <c r="F5848" s="57" t="n"/>
      <c r="G5848" s="57" t="n"/>
      <c r="H5848" s="56" t="n"/>
      <c r="I5848" s="56" t="n"/>
      <c r="J5848" s="58" t="n"/>
      <c r="K5848" s="58" t="n"/>
      <c r="L5848" s="13">
        <f>IF(OR($A5848="",AND($J5848="",$K5848="")),"",ROUND(N($J5848)-N($K5848),2))</f>
        <v/>
      </c>
      <c r="M5848" s="13">
        <f>IF(OR($A5848="",AND($J5848="",$K5848="")),"",MIN($J5848,$K5848))</f>
        <v/>
      </c>
      <c r="Q5848">
        <f>IF($A5848="","",$D5848&amp;"("&amp;SUBSTITUTE($E5848," ","")&amp;")")</f>
        <v/>
      </c>
      <c r="R5848">
        <f>IF($A5848="","",$B5848&amp;" - "&amp;$C5848)</f>
        <v/>
      </c>
      <c r="S5848">
        <f>IF($A5848="","",$R5848&amp;"|"&amp;$Q5848)</f>
        <v/>
      </c>
      <c r="T5848">
        <f>IF($A5848="","",$S5848&amp;"|"&amp;$F5848)</f>
        <v/>
      </c>
      <c r="U5848">
        <f>IF($A5848="","",$R5848&amp;"("&amp;$E5848&amp;")")</f>
        <v/>
      </c>
      <c r="V5848">
        <f>IF($A5848="","",$F5848&amp;"|"&amp;$U5848&amp;"|"&amp;$D5848)</f>
        <v/>
      </c>
      <c r="W5848">
        <f>IF($T5848="","",IF($X5848&gt;N($X5847),$X5848,""))</f>
        <v/>
      </c>
      <c r="X5848">
        <f>IF($T5848="",N($X5847),IF(MATCH($T5848,$T$6:$T$6005,0)=ROW()-5,N($X5847)+1,N($X5847)))</f>
        <v/>
      </c>
      <c r="Z5848">
        <f>IF($V5848="","",IF($AA5848&gt;N($AA5847),$AA5848,""))</f>
        <v/>
      </c>
      <c r="AA5848">
        <f>IF($V5848="",N($AA5847),IF(MATCH($V5848,$V$6:$V$6005,0)=ROW()-5,N($AA5847)+1,N($AA5847)))</f>
        <v/>
      </c>
    </row>
    <row r="5849" ht="21" customHeight="1" s="66">
      <c r="A5849" s="56" t="n"/>
      <c r="B5849" s="57" t="n"/>
      <c r="C5849" s="57" t="n"/>
      <c r="D5849" s="57" t="n"/>
      <c r="E5849" s="56" t="n"/>
      <c r="F5849" s="57" t="n"/>
      <c r="G5849" s="57" t="n"/>
      <c r="H5849" s="56" t="n"/>
      <c r="I5849" s="56" t="n"/>
      <c r="J5849" s="58" t="n"/>
      <c r="K5849" s="58" t="n"/>
      <c r="L5849" s="13">
        <f>IF(OR($A5849="",AND($J5849="",$K5849="")),"",ROUND(N($J5849)-N($K5849),2))</f>
        <v/>
      </c>
      <c r="M5849" s="13">
        <f>IF(OR($A5849="",AND($J5849="",$K5849="")),"",MIN($J5849,$K5849))</f>
        <v/>
      </c>
      <c r="Q5849">
        <f>IF($A5849="","",$D5849&amp;"("&amp;SUBSTITUTE($E5849," ","")&amp;")")</f>
        <v/>
      </c>
      <c r="R5849">
        <f>IF($A5849="","",$B5849&amp;" - "&amp;$C5849)</f>
        <v/>
      </c>
      <c r="S5849">
        <f>IF($A5849="","",$R5849&amp;"|"&amp;$Q5849)</f>
        <v/>
      </c>
      <c r="T5849">
        <f>IF($A5849="","",$S5849&amp;"|"&amp;$F5849)</f>
        <v/>
      </c>
      <c r="U5849">
        <f>IF($A5849="","",$R5849&amp;"("&amp;$E5849&amp;")")</f>
        <v/>
      </c>
      <c r="V5849">
        <f>IF($A5849="","",$F5849&amp;"|"&amp;$U5849&amp;"|"&amp;$D5849)</f>
        <v/>
      </c>
      <c r="W5849">
        <f>IF($T5849="","",IF($X5849&gt;N($X5848),$X5849,""))</f>
        <v/>
      </c>
      <c r="X5849">
        <f>IF($T5849="",N($X5848),IF(MATCH($T5849,$T$6:$T$6005,0)=ROW()-5,N($X5848)+1,N($X5848)))</f>
        <v/>
      </c>
      <c r="Z5849">
        <f>IF($V5849="","",IF($AA5849&gt;N($AA5848),$AA5849,""))</f>
        <v/>
      </c>
      <c r="AA5849">
        <f>IF($V5849="",N($AA5848),IF(MATCH($V5849,$V$6:$V$6005,0)=ROW()-5,N($AA5848)+1,N($AA5848)))</f>
        <v/>
      </c>
    </row>
    <row r="5850" ht="21" customHeight="1" s="66">
      <c r="A5850" s="56" t="n"/>
      <c r="B5850" s="57" t="n"/>
      <c r="C5850" s="57" t="n"/>
      <c r="D5850" s="57" t="n"/>
      <c r="E5850" s="56" t="n"/>
      <c r="F5850" s="57" t="n"/>
      <c r="G5850" s="57" t="n"/>
      <c r="H5850" s="56" t="n"/>
      <c r="I5850" s="56" t="n"/>
      <c r="J5850" s="58" t="n"/>
      <c r="K5850" s="58" t="n"/>
      <c r="L5850" s="13">
        <f>IF(OR($A5850="",AND($J5850="",$K5850="")),"",ROUND(N($J5850)-N($K5850),2))</f>
        <v/>
      </c>
      <c r="M5850" s="13">
        <f>IF(OR($A5850="",AND($J5850="",$K5850="")),"",MIN($J5850,$K5850))</f>
        <v/>
      </c>
      <c r="Q5850">
        <f>IF($A5850="","",$D5850&amp;"("&amp;SUBSTITUTE($E5850," ","")&amp;")")</f>
        <v/>
      </c>
      <c r="R5850">
        <f>IF($A5850="","",$B5850&amp;" - "&amp;$C5850)</f>
        <v/>
      </c>
      <c r="S5850">
        <f>IF($A5850="","",$R5850&amp;"|"&amp;$Q5850)</f>
        <v/>
      </c>
      <c r="T5850">
        <f>IF($A5850="","",$S5850&amp;"|"&amp;$F5850)</f>
        <v/>
      </c>
      <c r="U5850">
        <f>IF($A5850="","",$R5850&amp;"("&amp;$E5850&amp;")")</f>
        <v/>
      </c>
      <c r="V5850">
        <f>IF($A5850="","",$F5850&amp;"|"&amp;$U5850&amp;"|"&amp;$D5850)</f>
        <v/>
      </c>
      <c r="W5850">
        <f>IF($T5850="","",IF($X5850&gt;N($X5849),$X5850,""))</f>
        <v/>
      </c>
      <c r="X5850">
        <f>IF($T5850="",N($X5849),IF(MATCH($T5850,$T$6:$T$6005,0)=ROW()-5,N($X5849)+1,N($X5849)))</f>
        <v/>
      </c>
      <c r="Z5850">
        <f>IF($V5850="","",IF($AA5850&gt;N($AA5849),$AA5850,""))</f>
        <v/>
      </c>
      <c r="AA5850">
        <f>IF($V5850="",N($AA5849),IF(MATCH($V5850,$V$6:$V$6005,0)=ROW()-5,N($AA5849)+1,N($AA5849)))</f>
        <v/>
      </c>
    </row>
    <row r="5851" ht="21" customHeight="1" s="66">
      <c r="A5851" s="56" t="n"/>
      <c r="B5851" s="57" t="n"/>
      <c r="C5851" s="57" t="n"/>
      <c r="D5851" s="57" t="n"/>
      <c r="E5851" s="56" t="n"/>
      <c r="F5851" s="57" t="n"/>
      <c r="G5851" s="57" t="n"/>
      <c r="H5851" s="56" t="n"/>
      <c r="I5851" s="56" t="n"/>
      <c r="J5851" s="58" t="n"/>
      <c r="K5851" s="58" t="n"/>
      <c r="L5851" s="13">
        <f>IF(OR($A5851="",AND($J5851="",$K5851="")),"",ROUND(N($J5851)-N($K5851),2))</f>
        <v/>
      </c>
      <c r="M5851" s="13">
        <f>IF(OR($A5851="",AND($J5851="",$K5851="")),"",MIN($J5851,$K5851))</f>
        <v/>
      </c>
      <c r="Q5851">
        <f>IF($A5851="","",$D5851&amp;"("&amp;SUBSTITUTE($E5851," ","")&amp;")")</f>
        <v/>
      </c>
      <c r="R5851">
        <f>IF($A5851="","",$B5851&amp;" - "&amp;$C5851)</f>
        <v/>
      </c>
      <c r="S5851">
        <f>IF($A5851="","",$R5851&amp;"|"&amp;$Q5851)</f>
        <v/>
      </c>
      <c r="T5851">
        <f>IF($A5851="","",$S5851&amp;"|"&amp;$F5851)</f>
        <v/>
      </c>
      <c r="U5851">
        <f>IF($A5851="","",$R5851&amp;"("&amp;$E5851&amp;")")</f>
        <v/>
      </c>
      <c r="V5851">
        <f>IF($A5851="","",$F5851&amp;"|"&amp;$U5851&amp;"|"&amp;$D5851)</f>
        <v/>
      </c>
      <c r="W5851">
        <f>IF($T5851="","",IF($X5851&gt;N($X5850),$X5851,""))</f>
        <v/>
      </c>
      <c r="X5851">
        <f>IF($T5851="",N($X5850),IF(MATCH($T5851,$T$6:$T$6005,0)=ROW()-5,N($X5850)+1,N($X5850)))</f>
        <v/>
      </c>
      <c r="Z5851">
        <f>IF($V5851="","",IF($AA5851&gt;N($AA5850),$AA5851,""))</f>
        <v/>
      </c>
      <c r="AA5851">
        <f>IF($V5851="",N($AA5850),IF(MATCH($V5851,$V$6:$V$6005,0)=ROW()-5,N($AA5850)+1,N($AA5850)))</f>
        <v/>
      </c>
    </row>
    <row r="5852" ht="21" customHeight="1" s="66">
      <c r="A5852" s="56" t="n"/>
      <c r="B5852" s="57" t="n"/>
      <c r="C5852" s="57" t="n"/>
      <c r="D5852" s="57" t="n"/>
      <c r="E5852" s="56" t="n"/>
      <c r="F5852" s="57" t="n"/>
      <c r="G5852" s="57" t="n"/>
      <c r="H5852" s="56" t="n"/>
      <c r="I5852" s="56" t="n"/>
      <c r="J5852" s="58" t="n"/>
      <c r="K5852" s="58" t="n"/>
      <c r="L5852" s="13">
        <f>IF(OR($A5852="",AND($J5852="",$K5852="")),"",ROUND(N($J5852)-N($K5852),2))</f>
        <v/>
      </c>
      <c r="M5852" s="13">
        <f>IF(OR($A5852="",AND($J5852="",$K5852="")),"",MIN($J5852,$K5852))</f>
        <v/>
      </c>
      <c r="Q5852">
        <f>IF($A5852="","",$D5852&amp;"("&amp;SUBSTITUTE($E5852," ","")&amp;")")</f>
        <v/>
      </c>
      <c r="R5852">
        <f>IF($A5852="","",$B5852&amp;" - "&amp;$C5852)</f>
        <v/>
      </c>
      <c r="S5852">
        <f>IF($A5852="","",$R5852&amp;"|"&amp;$Q5852)</f>
        <v/>
      </c>
      <c r="T5852">
        <f>IF($A5852="","",$S5852&amp;"|"&amp;$F5852)</f>
        <v/>
      </c>
      <c r="U5852">
        <f>IF($A5852="","",$R5852&amp;"("&amp;$E5852&amp;")")</f>
        <v/>
      </c>
      <c r="V5852">
        <f>IF($A5852="","",$F5852&amp;"|"&amp;$U5852&amp;"|"&amp;$D5852)</f>
        <v/>
      </c>
      <c r="W5852">
        <f>IF($T5852="","",IF($X5852&gt;N($X5851),$X5852,""))</f>
        <v/>
      </c>
      <c r="X5852">
        <f>IF($T5852="",N($X5851),IF(MATCH($T5852,$T$6:$T$6005,0)=ROW()-5,N($X5851)+1,N($X5851)))</f>
        <v/>
      </c>
      <c r="Z5852">
        <f>IF($V5852="","",IF($AA5852&gt;N($AA5851),$AA5852,""))</f>
        <v/>
      </c>
      <c r="AA5852">
        <f>IF($V5852="",N($AA5851),IF(MATCH($V5852,$V$6:$V$6005,0)=ROW()-5,N($AA5851)+1,N($AA5851)))</f>
        <v/>
      </c>
    </row>
    <row r="5853" ht="21" customHeight="1" s="66">
      <c r="A5853" s="56" t="n"/>
      <c r="B5853" s="57" t="n"/>
      <c r="C5853" s="57" t="n"/>
      <c r="D5853" s="57" t="n"/>
      <c r="E5853" s="56" t="n"/>
      <c r="F5853" s="57" t="n"/>
      <c r="G5853" s="57" t="n"/>
      <c r="H5853" s="56" t="n"/>
      <c r="I5853" s="56" t="n"/>
      <c r="J5853" s="58" t="n"/>
      <c r="K5853" s="58" t="n"/>
      <c r="L5853" s="13">
        <f>IF(OR($A5853="",AND($J5853="",$K5853="")),"",ROUND(N($J5853)-N($K5853),2))</f>
        <v/>
      </c>
      <c r="M5853" s="13">
        <f>IF(OR($A5853="",AND($J5853="",$K5853="")),"",MIN($J5853,$K5853))</f>
        <v/>
      </c>
      <c r="Q5853">
        <f>IF($A5853="","",$D5853&amp;"("&amp;SUBSTITUTE($E5853," ","")&amp;")")</f>
        <v/>
      </c>
      <c r="R5853">
        <f>IF($A5853="","",$B5853&amp;" - "&amp;$C5853)</f>
        <v/>
      </c>
      <c r="S5853">
        <f>IF($A5853="","",$R5853&amp;"|"&amp;$Q5853)</f>
        <v/>
      </c>
      <c r="T5853">
        <f>IF($A5853="","",$S5853&amp;"|"&amp;$F5853)</f>
        <v/>
      </c>
      <c r="U5853">
        <f>IF($A5853="","",$R5853&amp;"("&amp;$E5853&amp;")")</f>
        <v/>
      </c>
      <c r="V5853">
        <f>IF($A5853="","",$F5853&amp;"|"&amp;$U5853&amp;"|"&amp;$D5853)</f>
        <v/>
      </c>
      <c r="W5853">
        <f>IF($T5853="","",IF($X5853&gt;N($X5852),$X5853,""))</f>
        <v/>
      </c>
      <c r="X5853">
        <f>IF($T5853="",N($X5852),IF(MATCH($T5853,$T$6:$T$6005,0)=ROW()-5,N($X5852)+1,N($X5852)))</f>
        <v/>
      </c>
      <c r="Z5853">
        <f>IF($V5853="","",IF($AA5853&gt;N($AA5852),$AA5853,""))</f>
        <v/>
      </c>
      <c r="AA5853">
        <f>IF($V5853="",N($AA5852),IF(MATCH($V5853,$V$6:$V$6005,0)=ROW()-5,N($AA5852)+1,N($AA5852)))</f>
        <v/>
      </c>
    </row>
    <row r="5854" ht="21" customHeight="1" s="66">
      <c r="A5854" s="56" t="n"/>
      <c r="B5854" s="57" t="n"/>
      <c r="C5854" s="57" t="n"/>
      <c r="D5854" s="57" t="n"/>
      <c r="E5854" s="56" t="n"/>
      <c r="F5854" s="57" t="n"/>
      <c r="G5854" s="57" t="n"/>
      <c r="H5854" s="56" t="n"/>
      <c r="I5854" s="56" t="n"/>
      <c r="J5854" s="58" t="n"/>
      <c r="K5854" s="58" t="n"/>
      <c r="L5854" s="13">
        <f>IF(OR($A5854="",AND($J5854="",$K5854="")),"",ROUND(N($J5854)-N($K5854),2))</f>
        <v/>
      </c>
      <c r="M5854" s="13">
        <f>IF(OR($A5854="",AND($J5854="",$K5854="")),"",MIN($J5854,$K5854))</f>
        <v/>
      </c>
      <c r="Q5854">
        <f>IF($A5854="","",$D5854&amp;"("&amp;SUBSTITUTE($E5854," ","")&amp;")")</f>
        <v/>
      </c>
      <c r="R5854">
        <f>IF($A5854="","",$B5854&amp;" - "&amp;$C5854)</f>
        <v/>
      </c>
      <c r="S5854">
        <f>IF($A5854="","",$R5854&amp;"|"&amp;$Q5854)</f>
        <v/>
      </c>
      <c r="T5854">
        <f>IF($A5854="","",$S5854&amp;"|"&amp;$F5854)</f>
        <v/>
      </c>
      <c r="U5854">
        <f>IF($A5854="","",$R5854&amp;"("&amp;$E5854&amp;")")</f>
        <v/>
      </c>
      <c r="V5854">
        <f>IF($A5854="","",$F5854&amp;"|"&amp;$U5854&amp;"|"&amp;$D5854)</f>
        <v/>
      </c>
      <c r="W5854">
        <f>IF($T5854="","",IF($X5854&gt;N($X5853),$X5854,""))</f>
        <v/>
      </c>
      <c r="X5854">
        <f>IF($T5854="",N($X5853),IF(MATCH($T5854,$T$6:$T$6005,0)=ROW()-5,N($X5853)+1,N($X5853)))</f>
        <v/>
      </c>
      <c r="Z5854">
        <f>IF($V5854="","",IF($AA5854&gt;N($AA5853),$AA5854,""))</f>
        <v/>
      </c>
      <c r="AA5854">
        <f>IF($V5854="",N($AA5853),IF(MATCH($V5854,$V$6:$V$6005,0)=ROW()-5,N($AA5853)+1,N($AA5853)))</f>
        <v/>
      </c>
    </row>
    <row r="5855" ht="21" customHeight="1" s="66">
      <c r="A5855" s="56" t="n"/>
      <c r="B5855" s="57" t="n"/>
      <c r="C5855" s="57" t="n"/>
      <c r="D5855" s="57" t="n"/>
      <c r="E5855" s="56" t="n"/>
      <c r="F5855" s="57" t="n"/>
      <c r="G5855" s="57" t="n"/>
      <c r="H5855" s="56" t="n"/>
      <c r="I5855" s="56" t="n"/>
      <c r="J5855" s="58" t="n"/>
      <c r="K5855" s="58" t="n"/>
      <c r="L5855" s="13">
        <f>IF(OR($A5855="",AND($J5855="",$K5855="")),"",ROUND(N($J5855)-N($K5855),2))</f>
        <v/>
      </c>
      <c r="M5855" s="13">
        <f>IF(OR($A5855="",AND($J5855="",$K5855="")),"",MIN($J5855,$K5855))</f>
        <v/>
      </c>
      <c r="Q5855">
        <f>IF($A5855="","",$D5855&amp;"("&amp;SUBSTITUTE($E5855," ","")&amp;")")</f>
        <v/>
      </c>
      <c r="R5855">
        <f>IF($A5855="","",$B5855&amp;" - "&amp;$C5855)</f>
        <v/>
      </c>
      <c r="S5855">
        <f>IF($A5855="","",$R5855&amp;"|"&amp;$Q5855)</f>
        <v/>
      </c>
      <c r="T5855">
        <f>IF($A5855="","",$S5855&amp;"|"&amp;$F5855)</f>
        <v/>
      </c>
      <c r="U5855">
        <f>IF($A5855="","",$R5855&amp;"("&amp;$E5855&amp;")")</f>
        <v/>
      </c>
      <c r="V5855">
        <f>IF($A5855="","",$F5855&amp;"|"&amp;$U5855&amp;"|"&amp;$D5855)</f>
        <v/>
      </c>
      <c r="W5855">
        <f>IF($T5855="","",IF($X5855&gt;N($X5854),$X5855,""))</f>
        <v/>
      </c>
      <c r="X5855">
        <f>IF($T5855="",N($X5854),IF(MATCH($T5855,$T$6:$T$6005,0)=ROW()-5,N($X5854)+1,N($X5854)))</f>
        <v/>
      </c>
      <c r="Z5855">
        <f>IF($V5855="","",IF($AA5855&gt;N($AA5854),$AA5855,""))</f>
        <v/>
      </c>
      <c r="AA5855">
        <f>IF($V5855="",N($AA5854),IF(MATCH($V5855,$V$6:$V$6005,0)=ROW()-5,N($AA5854)+1,N($AA5854)))</f>
        <v/>
      </c>
    </row>
    <row r="5856" ht="21" customHeight="1" s="66">
      <c r="A5856" s="56" t="n"/>
      <c r="B5856" s="57" t="n"/>
      <c r="C5856" s="57" t="n"/>
      <c r="D5856" s="57" t="n"/>
      <c r="E5856" s="56" t="n"/>
      <c r="F5856" s="57" t="n"/>
      <c r="G5856" s="57" t="n"/>
      <c r="H5856" s="56" t="n"/>
      <c r="I5856" s="56" t="n"/>
      <c r="J5856" s="58" t="n"/>
      <c r="K5856" s="58" t="n"/>
      <c r="L5856" s="13">
        <f>IF(OR($A5856="",AND($J5856="",$K5856="")),"",ROUND(N($J5856)-N($K5856),2))</f>
        <v/>
      </c>
      <c r="M5856" s="13">
        <f>IF(OR($A5856="",AND($J5856="",$K5856="")),"",MIN($J5856,$K5856))</f>
        <v/>
      </c>
      <c r="Q5856">
        <f>IF($A5856="","",$D5856&amp;"("&amp;SUBSTITUTE($E5856," ","")&amp;")")</f>
        <v/>
      </c>
      <c r="R5856">
        <f>IF($A5856="","",$B5856&amp;" - "&amp;$C5856)</f>
        <v/>
      </c>
      <c r="S5856">
        <f>IF($A5856="","",$R5856&amp;"|"&amp;$Q5856)</f>
        <v/>
      </c>
      <c r="T5856">
        <f>IF($A5856="","",$S5856&amp;"|"&amp;$F5856)</f>
        <v/>
      </c>
      <c r="U5856">
        <f>IF($A5856="","",$R5856&amp;"("&amp;$E5856&amp;")")</f>
        <v/>
      </c>
      <c r="V5856">
        <f>IF($A5856="","",$F5856&amp;"|"&amp;$U5856&amp;"|"&amp;$D5856)</f>
        <v/>
      </c>
      <c r="W5856">
        <f>IF($T5856="","",IF($X5856&gt;N($X5855),$X5856,""))</f>
        <v/>
      </c>
      <c r="X5856">
        <f>IF($T5856="",N($X5855),IF(MATCH($T5856,$T$6:$T$6005,0)=ROW()-5,N($X5855)+1,N($X5855)))</f>
        <v/>
      </c>
      <c r="Z5856">
        <f>IF($V5856="","",IF($AA5856&gt;N($AA5855),$AA5856,""))</f>
        <v/>
      </c>
      <c r="AA5856">
        <f>IF($V5856="",N($AA5855),IF(MATCH($V5856,$V$6:$V$6005,0)=ROW()-5,N($AA5855)+1,N($AA5855)))</f>
        <v/>
      </c>
    </row>
    <row r="5857" ht="21" customHeight="1" s="66">
      <c r="A5857" s="56" t="n"/>
      <c r="B5857" s="57" t="n"/>
      <c r="C5857" s="57" t="n"/>
      <c r="D5857" s="57" t="n"/>
      <c r="E5857" s="56" t="n"/>
      <c r="F5857" s="57" t="n"/>
      <c r="G5857" s="57" t="n"/>
      <c r="H5857" s="56" t="n"/>
      <c r="I5857" s="56" t="n"/>
      <c r="J5857" s="58" t="n"/>
      <c r="K5857" s="58" t="n"/>
      <c r="L5857" s="13">
        <f>IF(OR($A5857="",AND($J5857="",$K5857="")),"",ROUND(N($J5857)-N($K5857),2))</f>
        <v/>
      </c>
      <c r="M5857" s="13">
        <f>IF(OR($A5857="",AND($J5857="",$K5857="")),"",MIN($J5857,$K5857))</f>
        <v/>
      </c>
      <c r="Q5857">
        <f>IF($A5857="","",$D5857&amp;"("&amp;SUBSTITUTE($E5857," ","")&amp;")")</f>
        <v/>
      </c>
      <c r="R5857">
        <f>IF($A5857="","",$B5857&amp;" - "&amp;$C5857)</f>
        <v/>
      </c>
      <c r="S5857">
        <f>IF($A5857="","",$R5857&amp;"|"&amp;$Q5857)</f>
        <v/>
      </c>
      <c r="T5857">
        <f>IF($A5857="","",$S5857&amp;"|"&amp;$F5857)</f>
        <v/>
      </c>
      <c r="U5857">
        <f>IF($A5857="","",$R5857&amp;"("&amp;$E5857&amp;")")</f>
        <v/>
      </c>
      <c r="V5857">
        <f>IF($A5857="","",$F5857&amp;"|"&amp;$U5857&amp;"|"&amp;$D5857)</f>
        <v/>
      </c>
      <c r="W5857">
        <f>IF($T5857="","",IF($X5857&gt;N($X5856),$X5857,""))</f>
        <v/>
      </c>
      <c r="X5857">
        <f>IF($T5857="",N($X5856),IF(MATCH($T5857,$T$6:$T$6005,0)=ROW()-5,N($X5856)+1,N($X5856)))</f>
        <v/>
      </c>
      <c r="Z5857">
        <f>IF($V5857="","",IF($AA5857&gt;N($AA5856),$AA5857,""))</f>
        <v/>
      </c>
      <c r="AA5857">
        <f>IF($V5857="",N($AA5856),IF(MATCH($V5857,$V$6:$V$6005,0)=ROW()-5,N($AA5856)+1,N($AA5856)))</f>
        <v/>
      </c>
    </row>
    <row r="5858" ht="21" customHeight="1" s="66">
      <c r="A5858" s="56" t="n"/>
      <c r="B5858" s="57" t="n"/>
      <c r="C5858" s="57" t="n"/>
      <c r="D5858" s="57" t="n"/>
      <c r="E5858" s="56" t="n"/>
      <c r="F5858" s="57" t="n"/>
      <c r="G5858" s="57" t="n"/>
      <c r="H5858" s="56" t="n"/>
      <c r="I5858" s="56" t="n"/>
      <c r="J5858" s="58" t="n"/>
      <c r="K5858" s="58" t="n"/>
      <c r="L5858" s="13">
        <f>IF(OR($A5858="",AND($J5858="",$K5858="")),"",ROUND(N($J5858)-N($K5858),2))</f>
        <v/>
      </c>
      <c r="M5858" s="13">
        <f>IF(OR($A5858="",AND($J5858="",$K5858="")),"",MIN($J5858,$K5858))</f>
        <v/>
      </c>
      <c r="Q5858">
        <f>IF($A5858="","",$D5858&amp;"("&amp;SUBSTITUTE($E5858," ","")&amp;")")</f>
        <v/>
      </c>
      <c r="R5858">
        <f>IF($A5858="","",$B5858&amp;" - "&amp;$C5858)</f>
        <v/>
      </c>
      <c r="S5858">
        <f>IF($A5858="","",$R5858&amp;"|"&amp;$Q5858)</f>
        <v/>
      </c>
      <c r="T5858">
        <f>IF($A5858="","",$S5858&amp;"|"&amp;$F5858)</f>
        <v/>
      </c>
      <c r="U5858">
        <f>IF($A5858="","",$R5858&amp;"("&amp;$E5858&amp;")")</f>
        <v/>
      </c>
      <c r="V5858">
        <f>IF($A5858="","",$F5858&amp;"|"&amp;$U5858&amp;"|"&amp;$D5858)</f>
        <v/>
      </c>
      <c r="W5858">
        <f>IF($T5858="","",IF($X5858&gt;N($X5857),$X5858,""))</f>
        <v/>
      </c>
      <c r="X5858">
        <f>IF($T5858="",N($X5857),IF(MATCH($T5858,$T$6:$T$6005,0)=ROW()-5,N($X5857)+1,N($X5857)))</f>
        <v/>
      </c>
      <c r="Z5858">
        <f>IF($V5858="","",IF($AA5858&gt;N($AA5857),$AA5858,""))</f>
        <v/>
      </c>
      <c r="AA5858">
        <f>IF($V5858="",N($AA5857),IF(MATCH($V5858,$V$6:$V$6005,0)=ROW()-5,N($AA5857)+1,N($AA5857)))</f>
        <v/>
      </c>
    </row>
    <row r="5859" ht="21" customHeight="1" s="66">
      <c r="A5859" s="56" t="n"/>
      <c r="B5859" s="57" t="n"/>
      <c r="C5859" s="57" t="n"/>
      <c r="D5859" s="57" t="n"/>
      <c r="E5859" s="56" t="n"/>
      <c r="F5859" s="57" t="n"/>
      <c r="G5859" s="57" t="n"/>
      <c r="H5859" s="56" t="n"/>
      <c r="I5859" s="56" t="n"/>
      <c r="J5859" s="58" t="n"/>
      <c r="K5859" s="58" t="n"/>
      <c r="L5859" s="13">
        <f>IF(OR($A5859="",AND($J5859="",$K5859="")),"",ROUND(N($J5859)-N($K5859),2))</f>
        <v/>
      </c>
      <c r="M5859" s="13">
        <f>IF(OR($A5859="",AND($J5859="",$K5859="")),"",MIN($J5859,$K5859))</f>
        <v/>
      </c>
      <c r="Q5859">
        <f>IF($A5859="","",$D5859&amp;"("&amp;SUBSTITUTE($E5859," ","")&amp;")")</f>
        <v/>
      </c>
      <c r="R5859">
        <f>IF($A5859="","",$B5859&amp;" - "&amp;$C5859)</f>
        <v/>
      </c>
      <c r="S5859">
        <f>IF($A5859="","",$R5859&amp;"|"&amp;$Q5859)</f>
        <v/>
      </c>
      <c r="T5859">
        <f>IF($A5859="","",$S5859&amp;"|"&amp;$F5859)</f>
        <v/>
      </c>
      <c r="U5859">
        <f>IF($A5859="","",$R5859&amp;"("&amp;$E5859&amp;")")</f>
        <v/>
      </c>
      <c r="V5859">
        <f>IF($A5859="","",$F5859&amp;"|"&amp;$U5859&amp;"|"&amp;$D5859)</f>
        <v/>
      </c>
      <c r="W5859">
        <f>IF($T5859="","",IF($X5859&gt;N($X5858),$X5859,""))</f>
        <v/>
      </c>
      <c r="X5859">
        <f>IF($T5859="",N($X5858),IF(MATCH($T5859,$T$6:$T$6005,0)=ROW()-5,N($X5858)+1,N($X5858)))</f>
        <v/>
      </c>
      <c r="Z5859">
        <f>IF($V5859="","",IF($AA5859&gt;N($AA5858),$AA5859,""))</f>
        <v/>
      </c>
      <c r="AA5859">
        <f>IF($V5859="",N($AA5858),IF(MATCH($V5859,$V$6:$V$6005,0)=ROW()-5,N($AA5858)+1,N($AA5858)))</f>
        <v/>
      </c>
    </row>
    <row r="5860" ht="21" customHeight="1" s="66">
      <c r="A5860" s="56" t="n"/>
      <c r="B5860" s="57" t="n"/>
      <c r="C5860" s="57" t="n"/>
      <c r="D5860" s="57" t="n"/>
      <c r="E5860" s="56" t="n"/>
      <c r="F5860" s="57" t="n"/>
      <c r="G5860" s="57" t="n"/>
      <c r="H5860" s="56" t="n"/>
      <c r="I5860" s="56" t="n"/>
      <c r="J5860" s="58" t="n"/>
      <c r="K5860" s="58" t="n"/>
      <c r="L5860" s="13">
        <f>IF(OR($A5860="",AND($J5860="",$K5860="")),"",ROUND(N($J5860)-N($K5860),2))</f>
        <v/>
      </c>
      <c r="M5860" s="13">
        <f>IF(OR($A5860="",AND($J5860="",$K5860="")),"",MIN($J5860,$K5860))</f>
        <v/>
      </c>
      <c r="Q5860">
        <f>IF($A5860="","",$D5860&amp;"("&amp;SUBSTITUTE($E5860," ","")&amp;")")</f>
        <v/>
      </c>
      <c r="R5860">
        <f>IF($A5860="","",$B5860&amp;" - "&amp;$C5860)</f>
        <v/>
      </c>
      <c r="S5860">
        <f>IF($A5860="","",$R5860&amp;"|"&amp;$Q5860)</f>
        <v/>
      </c>
      <c r="T5860">
        <f>IF($A5860="","",$S5860&amp;"|"&amp;$F5860)</f>
        <v/>
      </c>
      <c r="U5860">
        <f>IF($A5860="","",$R5860&amp;"("&amp;$E5860&amp;")")</f>
        <v/>
      </c>
      <c r="V5860">
        <f>IF($A5860="","",$F5860&amp;"|"&amp;$U5860&amp;"|"&amp;$D5860)</f>
        <v/>
      </c>
      <c r="W5860">
        <f>IF($T5860="","",IF($X5860&gt;N($X5859),$X5860,""))</f>
        <v/>
      </c>
      <c r="X5860">
        <f>IF($T5860="",N($X5859),IF(MATCH($T5860,$T$6:$T$6005,0)=ROW()-5,N($X5859)+1,N($X5859)))</f>
        <v/>
      </c>
      <c r="Z5860">
        <f>IF($V5860="","",IF($AA5860&gt;N($AA5859),$AA5860,""))</f>
        <v/>
      </c>
      <c r="AA5860">
        <f>IF($V5860="",N($AA5859),IF(MATCH($V5860,$V$6:$V$6005,0)=ROW()-5,N($AA5859)+1,N($AA5859)))</f>
        <v/>
      </c>
    </row>
    <row r="5861" ht="21" customHeight="1" s="66">
      <c r="A5861" s="56" t="n"/>
      <c r="B5861" s="57" t="n"/>
      <c r="C5861" s="57" t="n"/>
      <c r="D5861" s="57" t="n"/>
      <c r="E5861" s="56" t="n"/>
      <c r="F5861" s="57" t="n"/>
      <c r="G5861" s="57" t="n"/>
      <c r="H5861" s="56" t="n"/>
      <c r="I5861" s="56" t="n"/>
      <c r="J5861" s="58" t="n"/>
      <c r="K5861" s="58" t="n"/>
      <c r="L5861" s="13">
        <f>IF(OR($A5861="",AND($J5861="",$K5861="")),"",ROUND(N($J5861)-N($K5861),2))</f>
        <v/>
      </c>
      <c r="M5861" s="13">
        <f>IF(OR($A5861="",AND($J5861="",$K5861="")),"",MIN($J5861,$K5861))</f>
        <v/>
      </c>
      <c r="Q5861">
        <f>IF($A5861="","",$D5861&amp;"("&amp;SUBSTITUTE($E5861," ","")&amp;")")</f>
        <v/>
      </c>
      <c r="R5861">
        <f>IF($A5861="","",$B5861&amp;" - "&amp;$C5861)</f>
        <v/>
      </c>
      <c r="S5861">
        <f>IF($A5861="","",$R5861&amp;"|"&amp;$Q5861)</f>
        <v/>
      </c>
      <c r="T5861">
        <f>IF($A5861="","",$S5861&amp;"|"&amp;$F5861)</f>
        <v/>
      </c>
      <c r="U5861">
        <f>IF($A5861="","",$R5861&amp;"("&amp;$E5861&amp;")")</f>
        <v/>
      </c>
      <c r="V5861">
        <f>IF($A5861="","",$F5861&amp;"|"&amp;$U5861&amp;"|"&amp;$D5861)</f>
        <v/>
      </c>
      <c r="W5861">
        <f>IF($T5861="","",IF($X5861&gt;N($X5860),$X5861,""))</f>
        <v/>
      </c>
      <c r="X5861">
        <f>IF($T5861="",N($X5860),IF(MATCH($T5861,$T$6:$T$6005,0)=ROW()-5,N($X5860)+1,N($X5860)))</f>
        <v/>
      </c>
      <c r="Z5861">
        <f>IF($V5861="","",IF($AA5861&gt;N($AA5860),$AA5861,""))</f>
        <v/>
      </c>
      <c r="AA5861">
        <f>IF($V5861="",N($AA5860),IF(MATCH($V5861,$V$6:$V$6005,0)=ROW()-5,N($AA5860)+1,N($AA5860)))</f>
        <v/>
      </c>
    </row>
    <row r="5862" ht="21" customHeight="1" s="66">
      <c r="A5862" s="56" t="n"/>
      <c r="B5862" s="57" t="n"/>
      <c r="C5862" s="57" t="n"/>
      <c r="D5862" s="57" t="n"/>
      <c r="E5862" s="56" t="n"/>
      <c r="F5862" s="57" t="n"/>
      <c r="G5862" s="57" t="n"/>
      <c r="H5862" s="56" t="n"/>
      <c r="I5862" s="56" t="n"/>
      <c r="J5862" s="58" t="n"/>
      <c r="K5862" s="58" t="n"/>
      <c r="L5862" s="13">
        <f>IF(OR($A5862="",AND($J5862="",$K5862="")),"",ROUND(N($J5862)-N($K5862),2))</f>
        <v/>
      </c>
      <c r="M5862" s="13">
        <f>IF(OR($A5862="",AND($J5862="",$K5862="")),"",MIN($J5862,$K5862))</f>
        <v/>
      </c>
      <c r="Q5862">
        <f>IF($A5862="","",$D5862&amp;"("&amp;SUBSTITUTE($E5862," ","")&amp;")")</f>
        <v/>
      </c>
      <c r="R5862">
        <f>IF($A5862="","",$B5862&amp;" - "&amp;$C5862)</f>
        <v/>
      </c>
      <c r="S5862">
        <f>IF($A5862="","",$R5862&amp;"|"&amp;$Q5862)</f>
        <v/>
      </c>
      <c r="T5862">
        <f>IF($A5862="","",$S5862&amp;"|"&amp;$F5862)</f>
        <v/>
      </c>
      <c r="U5862">
        <f>IF($A5862="","",$R5862&amp;"("&amp;$E5862&amp;")")</f>
        <v/>
      </c>
      <c r="V5862">
        <f>IF($A5862="","",$F5862&amp;"|"&amp;$U5862&amp;"|"&amp;$D5862)</f>
        <v/>
      </c>
      <c r="W5862">
        <f>IF($T5862="","",IF($X5862&gt;N($X5861),$X5862,""))</f>
        <v/>
      </c>
      <c r="X5862">
        <f>IF($T5862="",N($X5861),IF(MATCH($T5862,$T$6:$T$6005,0)=ROW()-5,N($X5861)+1,N($X5861)))</f>
        <v/>
      </c>
      <c r="Z5862">
        <f>IF($V5862="","",IF($AA5862&gt;N($AA5861),$AA5862,""))</f>
        <v/>
      </c>
      <c r="AA5862">
        <f>IF($V5862="",N($AA5861),IF(MATCH($V5862,$V$6:$V$6005,0)=ROW()-5,N($AA5861)+1,N($AA5861)))</f>
        <v/>
      </c>
    </row>
    <row r="5863" ht="21" customHeight="1" s="66">
      <c r="A5863" s="56" t="n"/>
      <c r="B5863" s="57" t="n"/>
      <c r="C5863" s="57" t="n"/>
      <c r="D5863" s="57" t="n"/>
      <c r="E5863" s="56" t="n"/>
      <c r="F5863" s="57" t="n"/>
      <c r="G5863" s="57" t="n"/>
      <c r="H5863" s="56" t="n"/>
      <c r="I5863" s="56" t="n"/>
      <c r="J5863" s="58" t="n"/>
      <c r="K5863" s="58" t="n"/>
      <c r="L5863" s="13">
        <f>IF(OR($A5863="",AND($J5863="",$K5863="")),"",ROUND(N($J5863)-N($K5863),2))</f>
        <v/>
      </c>
      <c r="M5863" s="13">
        <f>IF(OR($A5863="",AND($J5863="",$K5863="")),"",MIN($J5863,$K5863))</f>
        <v/>
      </c>
      <c r="Q5863">
        <f>IF($A5863="","",$D5863&amp;"("&amp;SUBSTITUTE($E5863," ","")&amp;")")</f>
        <v/>
      </c>
      <c r="R5863">
        <f>IF($A5863="","",$B5863&amp;" - "&amp;$C5863)</f>
        <v/>
      </c>
      <c r="S5863">
        <f>IF($A5863="","",$R5863&amp;"|"&amp;$Q5863)</f>
        <v/>
      </c>
      <c r="T5863">
        <f>IF($A5863="","",$S5863&amp;"|"&amp;$F5863)</f>
        <v/>
      </c>
      <c r="U5863">
        <f>IF($A5863="","",$R5863&amp;"("&amp;$E5863&amp;")")</f>
        <v/>
      </c>
      <c r="V5863">
        <f>IF($A5863="","",$F5863&amp;"|"&amp;$U5863&amp;"|"&amp;$D5863)</f>
        <v/>
      </c>
      <c r="W5863">
        <f>IF($T5863="","",IF($X5863&gt;N($X5862),$X5863,""))</f>
        <v/>
      </c>
      <c r="X5863">
        <f>IF($T5863="",N($X5862),IF(MATCH($T5863,$T$6:$T$6005,0)=ROW()-5,N($X5862)+1,N($X5862)))</f>
        <v/>
      </c>
      <c r="Z5863">
        <f>IF($V5863="","",IF($AA5863&gt;N($AA5862),$AA5863,""))</f>
        <v/>
      </c>
      <c r="AA5863">
        <f>IF($V5863="",N($AA5862),IF(MATCH($V5863,$V$6:$V$6005,0)=ROW()-5,N($AA5862)+1,N($AA5862)))</f>
        <v/>
      </c>
    </row>
    <row r="5864" ht="21" customHeight="1" s="66">
      <c r="A5864" s="56" t="n"/>
      <c r="B5864" s="57" t="n"/>
      <c r="C5864" s="57" t="n"/>
      <c r="D5864" s="57" t="n"/>
      <c r="E5864" s="56" t="n"/>
      <c r="F5864" s="57" t="n"/>
      <c r="G5864" s="57" t="n"/>
      <c r="H5864" s="56" t="n"/>
      <c r="I5864" s="56" t="n"/>
      <c r="J5864" s="58" t="n"/>
      <c r="K5864" s="58" t="n"/>
      <c r="L5864" s="13">
        <f>IF(OR($A5864="",AND($J5864="",$K5864="")),"",ROUND(N($J5864)-N($K5864),2))</f>
        <v/>
      </c>
      <c r="M5864" s="13">
        <f>IF(OR($A5864="",AND($J5864="",$K5864="")),"",MIN($J5864,$K5864))</f>
        <v/>
      </c>
      <c r="Q5864">
        <f>IF($A5864="","",$D5864&amp;"("&amp;SUBSTITUTE($E5864," ","")&amp;")")</f>
        <v/>
      </c>
      <c r="R5864">
        <f>IF($A5864="","",$B5864&amp;" - "&amp;$C5864)</f>
        <v/>
      </c>
      <c r="S5864">
        <f>IF($A5864="","",$R5864&amp;"|"&amp;$Q5864)</f>
        <v/>
      </c>
      <c r="T5864">
        <f>IF($A5864="","",$S5864&amp;"|"&amp;$F5864)</f>
        <v/>
      </c>
      <c r="U5864">
        <f>IF($A5864="","",$R5864&amp;"("&amp;$E5864&amp;")")</f>
        <v/>
      </c>
      <c r="V5864">
        <f>IF($A5864="","",$F5864&amp;"|"&amp;$U5864&amp;"|"&amp;$D5864)</f>
        <v/>
      </c>
      <c r="W5864">
        <f>IF($T5864="","",IF($X5864&gt;N($X5863),$X5864,""))</f>
        <v/>
      </c>
      <c r="X5864">
        <f>IF($T5864="",N($X5863),IF(MATCH($T5864,$T$6:$T$6005,0)=ROW()-5,N($X5863)+1,N($X5863)))</f>
        <v/>
      </c>
      <c r="Z5864">
        <f>IF($V5864="","",IF($AA5864&gt;N($AA5863),$AA5864,""))</f>
        <v/>
      </c>
      <c r="AA5864">
        <f>IF($V5864="",N($AA5863),IF(MATCH($V5864,$V$6:$V$6005,0)=ROW()-5,N($AA5863)+1,N($AA5863)))</f>
        <v/>
      </c>
    </row>
    <row r="5865" ht="21" customHeight="1" s="66">
      <c r="A5865" s="56" t="n"/>
      <c r="B5865" s="57" t="n"/>
      <c r="C5865" s="57" t="n"/>
      <c r="D5865" s="57" t="n"/>
      <c r="E5865" s="56" t="n"/>
      <c r="F5865" s="57" t="n"/>
      <c r="G5865" s="57" t="n"/>
      <c r="H5865" s="56" t="n"/>
      <c r="I5865" s="56" t="n"/>
      <c r="J5865" s="58" t="n"/>
      <c r="K5865" s="58" t="n"/>
      <c r="L5865" s="13">
        <f>IF(OR($A5865="",AND($J5865="",$K5865="")),"",ROUND(N($J5865)-N($K5865),2))</f>
        <v/>
      </c>
      <c r="M5865" s="13">
        <f>IF(OR($A5865="",AND($J5865="",$K5865="")),"",MIN($J5865,$K5865))</f>
        <v/>
      </c>
      <c r="Q5865">
        <f>IF($A5865="","",$D5865&amp;"("&amp;SUBSTITUTE($E5865," ","")&amp;")")</f>
        <v/>
      </c>
      <c r="R5865">
        <f>IF($A5865="","",$B5865&amp;" - "&amp;$C5865)</f>
        <v/>
      </c>
      <c r="S5865">
        <f>IF($A5865="","",$R5865&amp;"|"&amp;$Q5865)</f>
        <v/>
      </c>
      <c r="T5865">
        <f>IF($A5865="","",$S5865&amp;"|"&amp;$F5865)</f>
        <v/>
      </c>
      <c r="U5865">
        <f>IF($A5865="","",$R5865&amp;"("&amp;$E5865&amp;")")</f>
        <v/>
      </c>
      <c r="V5865">
        <f>IF($A5865="","",$F5865&amp;"|"&amp;$U5865&amp;"|"&amp;$D5865)</f>
        <v/>
      </c>
      <c r="W5865">
        <f>IF($T5865="","",IF($X5865&gt;N($X5864),$X5865,""))</f>
        <v/>
      </c>
      <c r="X5865">
        <f>IF($T5865="",N($X5864),IF(MATCH($T5865,$T$6:$T$6005,0)=ROW()-5,N($X5864)+1,N($X5864)))</f>
        <v/>
      </c>
      <c r="Z5865">
        <f>IF($V5865="","",IF($AA5865&gt;N($AA5864),$AA5865,""))</f>
        <v/>
      </c>
      <c r="AA5865">
        <f>IF($V5865="",N($AA5864),IF(MATCH($V5865,$V$6:$V$6005,0)=ROW()-5,N($AA5864)+1,N($AA5864)))</f>
        <v/>
      </c>
    </row>
    <row r="5866" ht="21" customHeight="1" s="66">
      <c r="A5866" s="56" t="n"/>
      <c r="B5866" s="57" t="n"/>
      <c r="C5866" s="57" t="n"/>
      <c r="D5866" s="57" t="n"/>
      <c r="E5866" s="56" t="n"/>
      <c r="F5866" s="57" t="n"/>
      <c r="G5866" s="57" t="n"/>
      <c r="H5866" s="56" t="n"/>
      <c r="I5866" s="56" t="n"/>
      <c r="J5866" s="58" t="n"/>
      <c r="K5866" s="58" t="n"/>
      <c r="L5866" s="13">
        <f>IF(OR($A5866="",AND($J5866="",$K5866="")),"",ROUND(N($J5866)-N($K5866),2))</f>
        <v/>
      </c>
      <c r="M5866" s="13">
        <f>IF(OR($A5866="",AND($J5866="",$K5866="")),"",MIN($J5866,$K5866))</f>
        <v/>
      </c>
      <c r="Q5866">
        <f>IF($A5866="","",$D5866&amp;"("&amp;SUBSTITUTE($E5866," ","")&amp;")")</f>
        <v/>
      </c>
      <c r="R5866">
        <f>IF($A5866="","",$B5866&amp;" - "&amp;$C5866)</f>
        <v/>
      </c>
      <c r="S5866">
        <f>IF($A5866="","",$R5866&amp;"|"&amp;$Q5866)</f>
        <v/>
      </c>
      <c r="T5866">
        <f>IF($A5866="","",$S5866&amp;"|"&amp;$F5866)</f>
        <v/>
      </c>
      <c r="U5866">
        <f>IF($A5866="","",$R5866&amp;"("&amp;$E5866&amp;")")</f>
        <v/>
      </c>
      <c r="V5866">
        <f>IF($A5866="","",$F5866&amp;"|"&amp;$U5866&amp;"|"&amp;$D5866)</f>
        <v/>
      </c>
      <c r="W5866">
        <f>IF($T5866="","",IF($X5866&gt;N($X5865),$X5866,""))</f>
        <v/>
      </c>
      <c r="X5866">
        <f>IF($T5866="",N($X5865),IF(MATCH($T5866,$T$6:$T$6005,0)=ROW()-5,N($X5865)+1,N($X5865)))</f>
        <v/>
      </c>
      <c r="Z5866">
        <f>IF($V5866="","",IF($AA5866&gt;N($AA5865),$AA5866,""))</f>
        <v/>
      </c>
      <c r="AA5866">
        <f>IF($V5866="",N($AA5865),IF(MATCH($V5866,$V$6:$V$6005,0)=ROW()-5,N($AA5865)+1,N($AA5865)))</f>
        <v/>
      </c>
    </row>
    <row r="5867" ht="21" customHeight="1" s="66">
      <c r="A5867" s="56" t="n"/>
      <c r="B5867" s="57" t="n"/>
      <c r="C5867" s="57" t="n"/>
      <c r="D5867" s="57" t="n"/>
      <c r="E5867" s="56" t="n"/>
      <c r="F5867" s="57" t="n"/>
      <c r="G5867" s="57" t="n"/>
      <c r="H5867" s="56" t="n"/>
      <c r="I5867" s="56" t="n"/>
      <c r="J5867" s="58" t="n"/>
      <c r="K5867" s="58" t="n"/>
      <c r="L5867" s="13">
        <f>IF(OR($A5867="",AND($J5867="",$K5867="")),"",ROUND(N($J5867)-N($K5867),2))</f>
        <v/>
      </c>
      <c r="M5867" s="13">
        <f>IF(OR($A5867="",AND($J5867="",$K5867="")),"",MIN($J5867,$K5867))</f>
        <v/>
      </c>
      <c r="Q5867">
        <f>IF($A5867="","",$D5867&amp;"("&amp;SUBSTITUTE($E5867," ","")&amp;")")</f>
        <v/>
      </c>
      <c r="R5867">
        <f>IF($A5867="","",$B5867&amp;" - "&amp;$C5867)</f>
        <v/>
      </c>
      <c r="S5867">
        <f>IF($A5867="","",$R5867&amp;"|"&amp;$Q5867)</f>
        <v/>
      </c>
      <c r="T5867">
        <f>IF($A5867="","",$S5867&amp;"|"&amp;$F5867)</f>
        <v/>
      </c>
      <c r="U5867">
        <f>IF($A5867="","",$R5867&amp;"("&amp;$E5867&amp;")")</f>
        <v/>
      </c>
      <c r="V5867">
        <f>IF($A5867="","",$F5867&amp;"|"&amp;$U5867&amp;"|"&amp;$D5867)</f>
        <v/>
      </c>
      <c r="W5867">
        <f>IF($T5867="","",IF($X5867&gt;N($X5866),$X5867,""))</f>
        <v/>
      </c>
      <c r="X5867">
        <f>IF($T5867="",N($X5866),IF(MATCH($T5867,$T$6:$T$6005,0)=ROW()-5,N($X5866)+1,N($X5866)))</f>
        <v/>
      </c>
      <c r="Z5867">
        <f>IF($V5867="","",IF($AA5867&gt;N($AA5866),$AA5867,""))</f>
        <v/>
      </c>
      <c r="AA5867">
        <f>IF($V5867="",N($AA5866),IF(MATCH($V5867,$V$6:$V$6005,0)=ROW()-5,N($AA5866)+1,N($AA5866)))</f>
        <v/>
      </c>
    </row>
    <row r="5868" ht="21" customHeight="1" s="66">
      <c r="A5868" s="56" t="n"/>
      <c r="B5868" s="57" t="n"/>
      <c r="C5868" s="57" t="n"/>
      <c r="D5868" s="57" t="n"/>
      <c r="E5868" s="56" t="n"/>
      <c r="F5868" s="57" t="n"/>
      <c r="G5868" s="57" t="n"/>
      <c r="H5868" s="56" t="n"/>
      <c r="I5868" s="56" t="n"/>
      <c r="J5868" s="58" t="n"/>
      <c r="K5868" s="58" t="n"/>
      <c r="L5868" s="13">
        <f>IF(OR($A5868="",AND($J5868="",$K5868="")),"",ROUND(N($J5868)-N($K5868),2))</f>
        <v/>
      </c>
      <c r="M5868" s="13">
        <f>IF(OR($A5868="",AND($J5868="",$K5868="")),"",MIN($J5868,$K5868))</f>
        <v/>
      </c>
      <c r="Q5868">
        <f>IF($A5868="","",$D5868&amp;"("&amp;SUBSTITUTE($E5868," ","")&amp;")")</f>
        <v/>
      </c>
      <c r="R5868">
        <f>IF($A5868="","",$B5868&amp;" - "&amp;$C5868)</f>
        <v/>
      </c>
      <c r="S5868">
        <f>IF($A5868="","",$R5868&amp;"|"&amp;$Q5868)</f>
        <v/>
      </c>
      <c r="T5868">
        <f>IF($A5868="","",$S5868&amp;"|"&amp;$F5868)</f>
        <v/>
      </c>
      <c r="U5868">
        <f>IF($A5868="","",$R5868&amp;"("&amp;$E5868&amp;")")</f>
        <v/>
      </c>
      <c r="V5868">
        <f>IF($A5868="","",$F5868&amp;"|"&amp;$U5868&amp;"|"&amp;$D5868)</f>
        <v/>
      </c>
      <c r="W5868">
        <f>IF($T5868="","",IF($X5868&gt;N($X5867),$X5868,""))</f>
        <v/>
      </c>
      <c r="X5868">
        <f>IF($T5868="",N($X5867),IF(MATCH($T5868,$T$6:$T$6005,0)=ROW()-5,N($X5867)+1,N($X5867)))</f>
        <v/>
      </c>
      <c r="Z5868">
        <f>IF($V5868="","",IF($AA5868&gt;N($AA5867),$AA5868,""))</f>
        <v/>
      </c>
      <c r="AA5868">
        <f>IF($V5868="",N($AA5867),IF(MATCH($V5868,$V$6:$V$6005,0)=ROW()-5,N($AA5867)+1,N($AA5867)))</f>
        <v/>
      </c>
    </row>
    <row r="5869" ht="21" customHeight="1" s="66">
      <c r="A5869" s="56" t="n"/>
      <c r="B5869" s="57" t="n"/>
      <c r="C5869" s="57" t="n"/>
      <c r="D5869" s="57" t="n"/>
      <c r="E5869" s="56" t="n"/>
      <c r="F5869" s="57" t="n"/>
      <c r="G5869" s="57" t="n"/>
      <c r="H5869" s="56" t="n"/>
      <c r="I5869" s="56" t="n"/>
      <c r="J5869" s="58" t="n"/>
      <c r="K5869" s="58" t="n"/>
      <c r="L5869" s="13">
        <f>IF(OR($A5869="",AND($J5869="",$K5869="")),"",ROUND(N($J5869)-N($K5869),2))</f>
        <v/>
      </c>
      <c r="M5869" s="13">
        <f>IF(OR($A5869="",AND($J5869="",$K5869="")),"",MIN($J5869,$K5869))</f>
        <v/>
      </c>
      <c r="Q5869">
        <f>IF($A5869="","",$D5869&amp;"("&amp;SUBSTITUTE($E5869," ","")&amp;")")</f>
        <v/>
      </c>
      <c r="R5869">
        <f>IF($A5869="","",$B5869&amp;" - "&amp;$C5869)</f>
        <v/>
      </c>
      <c r="S5869">
        <f>IF($A5869="","",$R5869&amp;"|"&amp;$Q5869)</f>
        <v/>
      </c>
      <c r="T5869">
        <f>IF($A5869="","",$S5869&amp;"|"&amp;$F5869)</f>
        <v/>
      </c>
      <c r="U5869">
        <f>IF($A5869="","",$R5869&amp;"("&amp;$E5869&amp;")")</f>
        <v/>
      </c>
      <c r="V5869">
        <f>IF($A5869="","",$F5869&amp;"|"&amp;$U5869&amp;"|"&amp;$D5869)</f>
        <v/>
      </c>
      <c r="W5869">
        <f>IF($T5869="","",IF($X5869&gt;N($X5868),$X5869,""))</f>
        <v/>
      </c>
      <c r="X5869">
        <f>IF($T5869="",N($X5868),IF(MATCH($T5869,$T$6:$T$6005,0)=ROW()-5,N($X5868)+1,N($X5868)))</f>
        <v/>
      </c>
      <c r="Z5869">
        <f>IF($V5869="","",IF($AA5869&gt;N($AA5868),$AA5869,""))</f>
        <v/>
      </c>
      <c r="AA5869">
        <f>IF($V5869="",N($AA5868),IF(MATCH($V5869,$V$6:$V$6005,0)=ROW()-5,N($AA5868)+1,N($AA5868)))</f>
        <v/>
      </c>
    </row>
    <row r="5870" ht="21" customHeight="1" s="66">
      <c r="A5870" s="56" t="n"/>
      <c r="B5870" s="57" t="n"/>
      <c r="C5870" s="57" t="n"/>
      <c r="D5870" s="57" t="n"/>
      <c r="E5870" s="56" t="n"/>
      <c r="F5870" s="57" t="n"/>
      <c r="G5870" s="57" t="n"/>
      <c r="H5870" s="56" t="n"/>
      <c r="I5870" s="56" t="n"/>
      <c r="J5870" s="58" t="n"/>
      <c r="K5870" s="58" t="n"/>
      <c r="L5870" s="13">
        <f>IF(OR($A5870="",AND($J5870="",$K5870="")),"",ROUND(N($J5870)-N($K5870),2))</f>
        <v/>
      </c>
      <c r="M5870" s="13">
        <f>IF(OR($A5870="",AND($J5870="",$K5870="")),"",MIN($J5870,$K5870))</f>
        <v/>
      </c>
      <c r="Q5870">
        <f>IF($A5870="","",$D5870&amp;"("&amp;SUBSTITUTE($E5870," ","")&amp;")")</f>
        <v/>
      </c>
      <c r="R5870">
        <f>IF($A5870="","",$B5870&amp;" - "&amp;$C5870)</f>
        <v/>
      </c>
      <c r="S5870">
        <f>IF($A5870="","",$R5870&amp;"|"&amp;$Q5870)</f>
        <v/>
      </c>
      <c r="T5870">
        <f>IF($A5870="","",$S5870&amp;"|"&amp;$F5870)</f>
        <v/>
      </c>
      <c r="U5870">
        <f>IF($A5870="","",$R5870&amp;"("&amp;$E5870&amp;")")</f>
        <v/>
      </c>
      <c r="V5870">
        <f>IF($A5870="","",$F5870&amp;"|"&amp;$U5870&amp;"|"&amp;$D5870)</f>
        <v/>
      </c>
      <c r="W5870">
        <f>IF($T5870="","",IF($X5870&gt;N($X5869),$X5870,""))</f>
        <v/>
      </c>
      <c r="X5870">
        <f>IF($T5870="",N($X5869),IF(MATCH($T5870,$T$6:$T$6005,0)=ROW()-5,N($X5869)+1,N($X5869)))</f>
        <v/>
      </c>
      <c r="Z5870">
        <f>IF($V5870="","",IF($AA5870&gt;N($AA5869),$AA5870,""))</f>
        <v/>
      </c>
      <c r="AA5870">
        <f>IF($V5870="",N($AA5869),IF(MATCH($V5870,$V$6:$V$6005,0)=ROW()-5,N($AA5869)+1,N($AA5869)))</f>
        <v/>
      </c>
    </row>
    <row r="5871" ht="21" customHeight="1" s="66">
      <c r="A5871" s="56" t="n"/>
      <c r="B5871" s="57" t="n"/>
      <c r="C5871" s="57" t="n"/>
      <c r="D5871" s="57" t="n"/>
      <c r="E5871" s="56" t="n"/>
      <c r="F5871" s="57" t="n"/>
      <c r="G5871" s="57" t="n"/>
      <c r="H5871" s="56" t="n"/>
      <c r="I5871" s="56" t="n"/>
      <c r="J5871" s="58" t="n"/>
      <c r="K5871" s="58" t="n"/>
      <c r="L5871" s="13">
        <f>IF(OR($A5871="",AND($J5871="",$K5871="")),"",ROUND(N($J5871)-N($K5871),2))</f>
        <v/>
      </c>
      <c r="M5871" s="13">
        <f>IF(OR($A5871="",AND($J5871="",$K5871="")),"",MIN($J5871,$K5871))</f>
        <v/>
      </c>
      <c r="Q5871">
        <f>IF($A5871="","",$D5871&amp;"("&amp;SUBSTITUTE($E5871," ","")&amp;")")</f>
        <v/>
      </c>
      <c r="R5871">
        <f>IF($A5871="","",$B5871&amp;" - "&amp;$C5871)</f>
        <v/>
      </c>
      <c r="S5871">
        <f>IF($A5871="","",$R5871&amp;"|"&amp;$Q5871)</f>
        <v/>
      </c>
      <c r="T5871">
        <f>IF($A5871="","",$S5871&amp;"|"&amp;$F5871)</f>
        <v/>
      </c>
      <c r="U5871">
        <f>IF($A5871="","",$R5871&amp;"("&amp;$E5871&amp;")")</f>
        <v/>
      </c>
      <c r="V5871">
        <f>IF($A5871="","",$F5871&amp;"|"&amp;$U5871&amp;"|"&amp;$D5871)</f>
        <v/>
      </c>
      <c r="W5871">
        <f>IF($T5871="","",IF($X5871&gt;N($X5870),$X5871,""))</f>
        <v/>
      </c>
      <c r="X5871">
        <f>IF($T5871="",N($X5870),IF(MATCH($T5871,$T$6:$T$6005,0)=ROW()-5,N($X5870)+1,N($X5870)))</f>
        <v/>
      </c>
      <c r="Z5871">
        <f>IF($V5871="","",IF($AA5871&gt;N($AA5870),$AA5871,""))</f>
        <v/>
      </c>
      <c r="AA5871">
        <f>IF($V5871="",N($AA5870),IF(MATCH($V5871,$V$6:$V$6005,0)=ROW()-5,N($AA5870)+1,N($AA5870)))</f>
        <v/>
      </c>
    </row>
    <row r="5872" ht="21" customHeight="1" s="66">
      <c r="A5872" s="56" t="n"/>
      <c r="B5872" s="57" t="n"/>
      <c r="C5872" s="57" t="n"/>
      <c r="D5872" s="57" t="n"/>
      <c r="E5872" s="56" t="n"/>
      <c r="F5872" s="57" t="n"/>
      <c r="G5872" s="57" t="n"/>
      <c r="H5872" s="56" t="n"/>
      <c r="I5872" s="56" t="n"/>
      <c r="J5872" s="58" t="n"/>
      <c r="K5872" s="58" t="n"/>
      <c r="L5872" s="13">
        <f>IF(OR($A5872="",AND($J5872="",$K5872="")),"",ROUND(N($J5872)-N($K5872),2))</f>
        <v/>
      </c>
      <c r="M5872" s="13">
        <f>IF(OR($A5872="",AND($J5872="",$K5872="")),"",MIN($J5872,$K5872))</f>
        <v/>
      </c>
      <c r="Q5872">
        <f>IF($A5872="","",$D5872&amp;"("&amp;SUBSTITUTE($E5872," ","")&amp;")")</f>
        <v/>
      </c>
      <c r="R5872">
        <f>IF($A5872="","",$B5872&amp;" - "&amp;$C5872)</f>
        <v/>
      </c>
      <c r="S5872">
        <f>IF($A5872="","",$R5872&amp;"|"&amp;$Q5872)</f>
        <v/>
      </c>
      <c r="T5872">
        <f>IF($A5872="","",$S5872&amp;"|"&amp;$F5872)</f>
        <v/>
      </c>
      <c r="U5872">
        <f>IF($A5872="","",$R5872&amp;"("&amp;$E5872&amp;")")</f>
        <v/>
      </c>
      <c r="V5872">
        <f>IF($A5872="","",$F5872&amp;"|"&amp;$U5872&amp;"|"&amp;$D5872)</f>
        <v/>
      </c>
      <c r="W5872">
        <f>IF($T5872="","",IF($X5872&gt;N($X5871),$X5872,""))</f>
        <v/>
      </c>
      <c r="X5872">
        <f>IF($T5872="",N($X5871),IF(MATCH($T5872,$T$6:$T$6005,0)=ROW()-5,N($X5871)+1,N($X5871)))</f>
        <v/>
      </c>
      <c r="Z5872">
        <f>IF($V5872="","",IF($AA5872&gt;N($AA5871),$AA5872,""))</f>
        <v/>
      </c>
      <c r="AA5872">
        <f>IF($V5872="",N($AA5871),IF(MATCH($V5872,$V$6:$V$6005,0)=ROW()-5,N($AA5871)+1,N($AA5871)))</f>
        <v/>
      </c>
    </row>
    <row r="5873" ht="21" customHeight="1" s="66">
      <c r="A5873" s="56" t="n"/>
      <c r="B5873" s="57" t="n"/>
      <c r="C5873" s="57" t="n"/>
      <c r="D5873" s="57" t="n"/>
      <c r="E5873" s="56" t="n"/>
      <c r="F5873" s="57" t="n"/>
      <c r="G5873" s="57" t="n"/>
      <c r="H5873" s="56" t="n"/>
      <c r="I5873" s="56" t="n"/>
      <c r="J5873" s="58" t="n"/>
      <c r="K5873" s="58" t="n"/>
      <c r="L5873" s="13">
        <f>IF(OR($A5873="",AND($J5873="",$K5873="")),"",ROUND(N($J5873)-N($K5873),2))</f>
        <v/>
      </c>
      <c r="M5873" s="13">
        <f>IF(OR($A5873="",AND($J5873="",$K5873="")),"",MIN($J5873,$K5873))</f>
        <v/>
      </c>
      <c r="Q5873">
        <f>IF($A5873="","",$D5873&amp;"("&amp;SUBSTITUTE($E5873," ","")&amp;")")</f>
        <v/>
      </c>
      <c r="R5873">
        <f>IF($A5873="","",$B5873&amp;" - "&amp;$C5873)</f>
        <v/>
      </c>
      <c r="S5873">
        <f>IF($A5873="","",$R5873&amp;"|"&amp;$Q5873)</f>
        <v/>
      </c>
      <c r="T5873">
        <f>IF($A5873="","",$S5873&amp;"|"&amp;$F5873)</f>
        <v/>
      </c>
      <c r="U5873">
        <f>IF($A5873="","",$R5873&amp;"("&amp;$E5873&amp;")")</f>
        <v/>
      </c>
      <c r="V5873">
        <f>IF($A5873="","",$F5873&amp;"|"&amp;$U5873&amp;"|"&amp;$D5873)</f>
        <v/>
      </c>
      <c r="W5873">
        <f>IF($T5873="","",IF($X5873&gt;N($X5872),$X5873,""))</f>
        <v/>
      </c>
      <c r="X5873">
        <f>IF($T5873="",N($X5872),IF(MATCH($T5873,$T$6:$T$6005,0)=ROW()-5,N($X5872)+1,N($X5872)))</f>
        <v/>
      </c>
      <c r="Z5873">
        <f>IF($V5873="","",IF($AA5873&gt;N($AA5872),$AA5873,""))</f>
        <v/>
      </c>
      <c r="AA5873">
        <f>IF($V5873="",N($AA5872),IF(MATCH($V5873,$V$6:$V$6005,0)=ROW()-5,N($AA5872)+1,N($AA5872)))</f>
        <v/>
      </c>
    </row>
    <row r="5874" ht="21" customHeight="1" s="66">
      <c r="A5874" s="56" t="n"/>
      <c r="B5874" s="57" t="n"/>
      <c r="C5874" s="57" t="n"/>
      <c r="D5874" s="57" t="n"/>
      <c r="E5874" s="56" t="n"/>
      <c r="F5874" s="57" t="n"/>
      <c r="G5874" s="57" t="n"/>
      <c r="H5874" s="56" t="n"/>
      <c r="I5874" s="56" t="n"/>
      <c r="J5874" s="58" t="n"/>
      <c r="K5874" s="58" t="n"/>
      <c r="L5874" s="13">
        <f>IF(OR($A5874="",AND($J5874="",$K5874="")),"",ROUND(N($J5874)-N($K5874),2))</f>
        <v/>
      </c>
      <c r="M5874" s="13">
        <f>IF(OR($A5874="",AND($J5874="",$K5874="")),"",MIN($J5874,$K5874))</f>
        <v/>
      </c>
      <c r="Q5874">
        <f>IF($A5874="","",$D5874&amp;"("&amp;SUBSTITUTE($E5874," ","")&amp;")")</f>
        <v/>
      </c>
      <c r="R5874">
        <f>IF($A5874="","",$B5874&amp;" - "&amp;$C5874)</f>
        <v/>
      </c>
      <c r="S5874">
        <f>IF($A5874="","",$R5874&amp;"|"&amp;$Q5874)</f>
        <v/>
      </c>
      <c r="T5874">
        <f>IF($A5874="","",$S5874&amp;"|"&amp;$F5874)</f>
        <v/>
      </c>
      <c r="U5874">
        <f>IF($A5874="","",$R5874&amp;"("&amp;$E5874&amp;")")</f>
        <v/>
      </c>
      <c r="V5874">
        <f>IF($A5874="","",$F5874&amp;"|"&amp;$U5874&amp;"|"&amp;$D5874)</f>
        <v/>
      </c>
      <c r="W5874">
        <f>IF($T5874="","",IF($X5874&gt;N($X5873),$X5874,""))</f>
        <v/>
      </c>
      <c r="X5874">
        <f>IF($T5874="",N($X5873),IF(MATCH($T5874,$T$6:$T$6005,0)=ROW()-5,N($X5873)+1,N($X5873)))</f>
        <v/>
      </c>
      <c r="Z5874">
        <f>IF($V5874="","",IF($AA5874&gt;N($AA5873),$AA5874,""))</f>
        <v/>
      </c>
      <c r="AA5874">
        <f>IF($V5874="",N($AA5873),IF(MATCH($V5874,$V$6:$V$6005,0)=ROW()-5,N($AA5873)+1,N($AA5873)))</f>
        <v/>
      </c>
    </row>
    <row r="5875" ht="21" customHeight="1" s="66">
      <c r="A5875" s="56" t="n"/>
      <c r="B5875" s="57" t="n"/>
      <c r="C5875" s="57" t="n"/>
      <c r="D5875" s="57" t="n"/>
      <c r="E5875" s="56" t="n"/>
      <c r="F5875" s="57" t="n"/>
      <c r="G5875" s="57" t="n"/>
      <c r="H5875" s="56" t="n"/>
      <c r="I5875" s="56" t="n"/>
      <c r="J5875" s="58" t="n"/>
      <c r="K5875" s="58" t="n"/>
      <c r="L5875" s="13">
        <f>IF(OR($A5875="",AND($J5875="",$K5875="")),"",ROUND(N($J5875)-N($K5875),2))</f>
        <v/>
      </c>
      <c r="M5875" s="13">
        <f>IF(OR($A5875="",AND($J5875="",$K5875="")),"",MIN($J5875,$K5875))</f>
        <v/>
      </c>
      <c r="Q5875">
        <f>IF($A5875="","",$D5875&amp;"("&amp;SUBSTITUTE($E5875," ","")&amp;")")</f>
        <v/>
      </c>
      <c r="R5875">
        <f>IF($A5875="","",$B5875&amp;" - "&amp;$C5875)</f>
        <v/>
      </c>
      <c r="S5875">
        <f>IF($A5875="","",$R5875&amp;"|"&amp;$Q5875)</f>
        <v/>
      </c>
      <c r="T5875">
        <f>IF($A5875="","",$S5875&amp;"|"&amp;$F5875)</f>
        <v/>
      </c>
      <c r="U5875">
        <f>IF($A5875="","",$R5875&amp;"("&amp;$E5875&amp;")")</f>
        <v/>
      </c>
      <c r="V5875">
        <f>IF($A5875="","",$F5875&amp;"|"&amp;$U5875&amp;"|"&amp;$D5875)</f>
        <v/>
      </c>
      <c r="W5875">
        <f>IF($T5875="","",IF($X5875&gt;N($X5874),$X5875,""))</f>
        <v/>
      </c>
      <c r="X5875">
        <f>IF($T5875="",N($X5874),IF(MATCH($T5875,$T$6:$T$6005,0)=ROW()-5,N($X5874)+1,N($X5874)))</f>
        <v/>
      </c>
      <c r="Z5875">
        <f>IF($V5875="","",IF($AA5875&gt;N($AA5874),$AA5875,""))</f>
        <v/>
      </c>
      <c r="AA5875">
        <f>IF($V5875="",N($AA5874),IF(MATCH($V5875,$V$6:$V$6005,0)=ROW()-5,N($AA5874)+1,N($AA5874)))</f>
        <v/>
      </c>
    </row>
    <row r="5876" ht="21" customHeight="1" s="66">
      <c r="A5876" s="56" t="n"/>
      <c r="B5876" s="57" t="n"/>
      <c r="C5876" s="57" t="n"/>
      <c r="D5876" s="57" t="n"/>
      <c r="E5876" s="56" t="n"/>
      <c r="F5876" s="57" t="n"/>
      <c r="G5876" s="57" t="n"/>
      <c r="H5876" s="56" t="n"/>
      <c r="I5876" s="56" t="n"/>
      <c r="J5876" s="58" t="n"/>
      <c r="K5876" s="58" t="n"/>
      <c r="L5876" s="13">
        <f>IF(OR($A5876="",AND($J5876="",$K5876="")),"",ROUND(N($J5876)-N($K5876),2))</f>
        <v/>
      </c>
      <c r="M5876" s="13">
        <f>IF(OR($A5876="",AND($J5876="",$K5876="")),"",MIN($J5876,$K5876))</f>
        <v/>
      </c>
      <c r="Q5876">
        <f>IF($A5876="","",$D5876&amp;"("&amp;SUBSTITUTE($E5876," ","")&amp;")")</f>
        <v/>
      </c>
      <c r="R5876">
        <f>IF($A5876="","",$B5876&amp;" - "&amp;$C5876)</f>
        <v/>
      </c>
      <c r="S5876">
        <f>IF($A5876="","",$R5876&amp;"|"&amp;$Q5876)</f>
        <v/>
      </c>
      <c r="T5876">
        <f>IF($A5876="","",$S5876&amp;"|"&amp;$F5876)</f>
        <v/>
      </c>
      <c r="U5876">
        <f>IF($A5876="","",$R5876&amp;"("&amp;$E5876&amp;")")</f>
        <v/>
      </c>
      <c r="V5876">
        <f>IF($A5876="","",$F5876&amp;"|"&amp;$U5876&amp;"|"&amp;$D5876)</f>
        <v/>
      </c>
      <c r="W5876">
        <f>IF($T5876="","",IF($X5876&gt;N($X5875),$X5876,""))</f>
        <v/>
      </c>
      <c r="X5876">
        <f>IF($T5876="",N($X5875),IF(MATCH($T5876,$T$6:$T$6005,0)=ROW()-5,N($X5875)+1,N($X5875)))</f>
        <v/>
      </c>
      <c r="Z5876">
        <f>IF($V5876="","",IF($AA5876&gt;N($AA5875),$AA5876,""))</f>
        <v/>
      </c>
      <c r="AA5876">
        <f>IF($V5876="",N($AA5875),IF(MATCH($V5876,$V$6:$V$6005,0)=ROW()-5,N($AA5875)+1,N($AA5875)))</f>
        <v/>
      </c>
    </row>
    <row r="5877" ht="21" customHeight="1" s="66">
      <c r="A5877" s="56" t="n"/>
      <c r="B5877" s="57" t="n"/>
      <c r="C5877" s="57" t="n"/>
      <c r="D5877" s="57" t="n"/>
      <c r="E5877" s="56" t="n"/>
      <c r="F5877" s="57" t="n"/>
      <c r="G5877" s="57" t="n"/>
      <c r="H5877" s="56" t="n"/>
      <c r="I5877" s="56" t="n"/>
      <c r="J5877" s="58" t="n"/>
      <c r="K5877" s="58" t="n"/>
      <c r="L5877" s="13">
        <f>IF(OR($A5877="",AND($J5877="",$K5877="")),"",ROUND(N($J5877)-N($K5877),2))</f>
        <v/>
      </c>
      <c r="M5877" s="13">
        <f>IF(OR($A5877="",AND($J5877="",$K5877="")),"",MIN($J5877,$K5877))</f>
        <v/>
      </c>
      <c r="Q5877">
        <f>IF($A5877="","",$D5877&amp;"("&amp;SUBSTITUTE($E5877," ","")&amp;")")</f>
        <v/>
      </c>
      <c r="R5877">
        <f>IF($A5877="","",$B5877&amp;" - "&amp;$C5877)</f>
        <v/>
      </c>
      <c r="S5877">
        <f>IF($A5877="","",$R5877&amp;"|"&amp;$Q5877)</f>
        <v/>
      </c>
      <c r="T5877">
        <f>IF($A5877="","",$S5877&amp;"|"&amp;$F5877)</f>
        <v/>
      </c>
      <c r="U5877">
        <f>IF($A5877="","",$R5877&amp;"("&amp;$E5877&amp;")")</f>
        <v/>
      </c>
      <c r="V5877">
        <f>IF($A5877="","",$F5877&amp;"|"&amp;$U5877&amp;"|"&amp;$D5877)</f>
        <v/>
      </c>
      <c r="W5877">
        <f>IF($T5877="","",IF($X5877&gt;N($X5876),$X5877,""))</f>
        <v/>
      </c>
      <c r="X5877">
        <f>IF($T5877="",N($X5876),IF(MATCH($T5877,$T$6:$T$6005,0)=ROW()-5,N($X5876)+1,N($X5876)))</f>
        <v/>
      </c>
      <c r="Z5877">
        <f>IF($V5877="","",IF($AA5877&gt;N($AA5876),$AA5877,""))</f>
        <v/>
      </c>
      <c r="AA5877">
        <f>IF($V5877="",N($AA5876),IF(MATCH($V5877,$V$6:$V$6005,0)=ROW()-5,N($AA5876)+1,N($AA5876)))</f>
        <v/>
      </c>
    </row>
    <row r="5878" ht="21" customHeight="1" s="66">
      <c r="A5878" s="56" t="n"/>
      <c r="B5878" s="57" t="n"/>
      <c r="C5878" s="57" t="n"/>
      <c r="D5878" s="57" t="n"/>
      <c r="E5878" s="56" t="n"/>
      <c r="F5878" s="57" t="n"/>
      <c r="G5878" s="57" t="n"/>
      <c r="H5878" s="56" t="n"/>
      <c r="I5878" s="56" t="n"/>
      <c r="J5878" s="58" t="n"/>
      <c r="K5878" s="58" t="n"/>
      <c r="L5878" s="13">
        <f>IF(OR($A5878="",AND($J5878="",$K5878="")),"",ROUND(N($J5878)-N($K5878),2))</f>
        <v/>
      </c>
      <c r="M5878" s="13">
        <f>IF(OR($A5878="",AND($J5878="",$K5878="")),"",MIN($J5878,$K5878))</f>
        <v/>
      </c>
      <c r="Q5878">
        <f>IF($A5878="","",$D5878&amp;"("&amp;SUBSTITUTE($E5878," ","")&amp;")")</f>
        <v/>
      </c>
      <c r="R5878">
        <f>IF($A5878="","",$B5878&amp;" - "&amp;$C5878)</f>
        <v/>
      </c>
      <c r="S5878">
        <f>IF($A5878="","",$R5878&amp;"|"&amp;$Q5878)</f>
        <v/>
      </c>
      <c r="T5878">
        <f>IF($A5878="","",$S5878&amp;"|"&amp;$F5878)</f>
        <v/>
      </c>
      <c r="U5878">
        <f>IF($A5878="","",$R5878&amp;"("&amp;$E5878&amp;")")</f>
        <v/>
      </c>
      <c r="V5878">
        <f>IF($A5878="","",$F5878&amp;"|"&amp;$U5878&amp;"|"&amp;$D5878)</f>
        <v/>
      </c>
      <c r="W5878">
        <f>IF($T5878="","",IF($X5878&gt;N($X5877),$X5878,""))</f>
        <v/>
      </c>
      <c r="X5878">
        <f>IF($T5878="",N($X5877),IF(MATCH($T5878,$T$6:$T$6005,0)=ROW()-5,N($X5877)+1,N($X5877)))</f>
        <v/>
      </c>
      <c r="Z5878">
        <f>IF($V5878="","",IF($AA5878&gt;N($AA5877),$AA5878,""))</f>
        <v/>
      </c>
      <c r="AA5878">
        <f>IF($V5878="",N($AA5877),IF(MATCH($V5878,$V$6:$V$6005,0)=ROW()-5,N($AA5877)+1,N($AA5877)))</f>
        <v/>
      </c>
    </row>
    <row r="5879" ht="21" customHeight="1" s="66">
      <c r="A5879" s="56" t="n"/>
      <c r="B5879" s="57" t="n"/>
      <c r="C5879" s="57" t="n"/>
      <c r="D5879" s="57" t="n"/>
      <c r="E5879" s="56" t="n"/>
      <c r="F5879" s="57" t="n"/>
      <c r="G5879" s="57" t="n"/>
      <c r="H5879" s="56" t="n"/>
      <c r="I5879" s="56" t="n"/>
      <c r="J5879" s="58" t="n"/>
      <c r="K5879" s="58" t="n"/>
      <c r="L5879" s="13">
        <f>IF(OR($A5879="",AND($J5879="",$K5879="")),"",ROUND(N($J5879)-N($K5879),2))</f>
        <v/>
      </c>
      <c r="M5879" s="13">
        <f>IF(OR($A5879="",AND($J5879="",$K5879="")),"",MIN($J5879,$K5879))</f>
        <v/>
      </c>
      <c r="Q5879">
        <f>IF($A5879="","",$D5879&amp;"("&amp;SUBSTITUTE($E5879," ","")&amp;")")</f>
        <v/>
      </c>
      <c r="R5879">
        <f>IF($A5879="","",$B5879&amp;" - "&amp;$C5879)</f>
        <v/>
      </c>
      <c r="S5879">
        <f>IF($A5879="","",$R5879&amp;"|"&amp;$Q5879)</f>
        <v/>
      </c>
      <c r="T5879">
        <f>IF($A5879="","",$S5879&amp;"|"&amp;$F5879)</f>
        <v/>
      </c>
      <c r="U5879">
        <f>IF($A5879="","",$R5879&amp;"("&amp;$E5879&amp;")")</f>
        <v/>
      </c>
      <c r="V5879">
        <f>IF($A5879="","",$F5879&amp;"|"&amp;$U5879&amp;"|"&amp;$D5879)</f>
        <v/>
      </c>
      <c r="W5879">
        <f>IF($T5879="","",IF($X5879&gt;N($X5878),$X5879,""))</f>
        <v/>
      </c>
      <c r="X5879">
        <f>IF($T5879="",N($X5878),IF(MATCH($T5879,$T$6:$T$6005,0)=ROW()-5,N($X5878)+1,N($X5878)))</f>
        <v/>
      </c>
      <c r="Z5879">
        <f>IF($V5879="","",IF($AA5879&gt;N($AA5878),$AA5879,""))</f>
        <v/>
      </c>
      <c r="AA5879">
        <f>IF($V5879="",N($AA5878),IF(MATCH($V5879,$V$6:$V$6005,0)=ROW()-5,N($AA5878)+1,N($AA5878)))</f>
        <v/>
      </c>
    </row>
    <row r="5880" ht="21" customHeight="1" s="66">
      <c r="A5880" s="56" t="n"/>
      <c r="B5880" s="57" t="n"/>
      <c r="C5880" s="57" t="n"/>
      <c r="D5880" s="57" t="n"/>
      <c r="E5880" s="56" t="n"/>
      <c r="F5880" s="57" t="n"/>
      <c r="G5880" s="57" t="n"/>
      <c r="H5880" s="56" t="n"/>
      <c r="I5880" s="56" t="n"/>
      <c r="J5880" s="58" t="n"/>
      <c r="K5880" s="58" t="n"/>
      <c r="L5880" s="13">
        <f>IF(OR($A5880="",AND($J5880="",$K5880="")),"",ROUND(N($J5880)-N($K5880),2))</f>
        <v/>
      </c>
      <c r="M5880" s="13">
        <f>IF(OR($A5880="",AND($J5880="",$K5880="")),"",MIN($J5880,$K5880))</f>
        <v/>
      </c>
      <c r="Q5880">
        <f>IF($A5880="","",$D5880&amp;"("&amp;SUBSTITUTE($E5880," ","")&amp;")")</f>
        <v/>
      </c>
      <c r="R5880">
        <f>IF($A5880="","",$B5880&amp;" - "&amp;$C5880)</f>
        <v/>
      </c>
      <c r="S5880">
        <f>IF($A5880="","",$R5880&amp;"|"&amp;$Q5880)</f>
        <v/>
      </c>
      <c r="T5880">
        <f>IF($A5880="","",$S5880&amp;"|"&amp;$F5880)</f>
        <v/>
      </c>
      <c r="U5880">
        <f>IF($A5880="","",$R5880&amp;"("&amp;$E5880&amp;")")</f>
        <v/>
      </c>
      <c r="V5880">
        <f>IF($A5880="","",$F5880&amp;"|"&amp;$U5880&amp;"|"&amp;$D5880)</f>
        <v/>
      </c>
      <c r="W5880">
        <f>IF($T5880="","",IF($X5880&gt;N($X5879),$X5880,""))</f>
        <v/>
      </c>
      <c r="X5880">
        <f>IF($T5880="",N($X5879),IF(MATCH($T5880,$T$6:$T$6005,0)=ROW()-5,N($X5879)+1,N($X5879)))</f>
        <v/>
      </c>
      <c r="Z5880">
        <f>IF($V5880="","",IF($AA5880&gt;N($AA5879),$AA5880,""))</f>
        <v/>
      </c>
      <c r="AA5880">
        <f>IF($V5880="",N($AA5879),IF(MATCH($V5880,$V$6:$V$6005,0)=ROW()-5,N($AA5879)+1,N($AA5879)))</f>
        <v/>
      </c>
    </row>
    <row r="5881" ht="21" customHeight="1" s="66">
      <c r="A5881" s="56" t="n"/>
      <c r="B5881" s="57" t="n"/>
      <c r="C5881" s="57" t="n"/>
      <c r="D5881" s="57" t="n"/>
      <c r="E5881" s="56" t="n"/>
      <c r="F5881" s="57" t="n"/>
      <c r="G5881" s="57" t="n"/>
      <c r="H5881" s="56" t="n"/>
      <c r="I5881" s="56" t="n"/>
      <c r="J5881" s="58" t="n"/>
      <c r="K5881" s="58" t="n"/>
      <c r="L5881" s="13">
        <f>IF(OR($A5881="",AND($J5881="",$K5881="")),"",ROUND(N($J5881)-N($K5881),2))</f>
        <v/>
      </c>
      <c r="M5881" s="13">
        <f>IF(OR($A5881="",AND($J5881="",$K5881="")),"",MIN($J5881,$K5881))</f>
        <v/>
      </c>
      <c r="Q5881">
        <f>IF($A5881="","",$D5881&amp;"("&amp;SUBSTITUTE($E5881," ","")&amp;")")</f>
        <v/>
      </c>
      <c r="R5881">
        <f>IF($A5881="","",$B5881&amp;" - "&amp;$C5881)</f>
        <v/>
      </c>
      <c r="S5881">
        <f>IF($A5881="","",$R5881&amp;"|"&amp;$Q5881)</f>
        <v/>
      </c>
      <c r="T5881">
        <f>IF($A5881="","",$S5881&amp;"|"&amp;$F5881)</f>
        <v/>
      </c>
      <c r="U5881">
        <f>IF($A5881="","",$R5881&amp;"("&amp;$E5881&amp;")")</f>
        <v/>
      </c>
      <c r="V5881">
        <f>IF($A5881="","",$F5881&amp;"|"&amp;$U5881&amp;"|"&amp;$D5881)</f>
        <v/>
      </c>
      <c r="W5881">
        <f>IF($T5881="","",IF($X5881&gt;N($X5880),$X5881,""))</f>
        <v/>
      </c>
      <c r="X5881">
        <f>IF($T5881="",N($X5880),IF(MATCH($T5881,$T$6:$T$6005,0)=ROW()-5,N($X5880)+1,N($X5880)))</f>
        <v/>
      </c>
      <c r="Z5881">
        <f>IF($V5881="","",IF($AA5881&gt;N($AA5880),$AA5881,""))</f>
        <v/>
      </c>
      <c r="AA5881">
        <f>IF($V5881="",N($AA5880),IF(MATCH($V5881,$V$6:$V$6005,0)=ROW()-5,N($AA5880)+1,N($AA5880)))</f>
        <v/>
      </c>
    </row>
    <row r="5882" ht="21" customHeight="1" s="66">
      <c r="A5882" s="56" t="n"/>
      <c r="B5882" s="57" t="n"/>
      <c r="C5882" s="57" t="n"/>
      <c r="D5882" s="57" t="n"/>
      <c r="E5882" s="56" t="n"/>
      <c r="F5882" s="57" t="n"/>
      <c r="G5882" s="57" t="n"/>
      <c r="H5882" s="56" t="n"/>
      <c r="I5882" s="56" t="n"/>
      <c r="J5882" s="58" t="n"/>
      <c r="K5882" s="58" t="n"/>
      <c r="L5882" s="13">
        <f>IF(OR($A5882="",AND($J5882="",$K5882="")),"",ROUND(N($J5882)-N($K5882),2))</f>
        <v/>
      </c>
      <c r="M5882" s="13">
        <f>IF(OR($A5882="",AND($J5882="",$K5882="")),"",MIN($J5882,$K5882))</f>
        <v/>
      </c>
      <c r="Q5882">
        <f>IF($A5882="","",$D5882&amp;"("&amp;SUBSTITUTE($E5882," ","")&amp;")")</f>
        <v/>
      </c>
      <c r="R5882">
        <f>IF($A5882="","",$B5882&amp;" - "&amp;$C5882)</f>
        <v/>
      </c>
      <c r="S5882">
        <f>IF($A5882="","",$R5882&amp;"|"&amp;$Q5882)</f>
        <v/>
      </c>
      <c r="T5882">
        <f>IF($A5882="","",$S5882&amp;"|"&amp;$F5882)</f>
        <v/>
      </c>
      <c r="U5882">
        <f>IF($A5882="","",$R5882&amp;"("&amp;$E5882&amp;")")</f>
        <v/>
      </c>
      <c r="V5882">
        <f>IF($A5882="","",$F5882&amp;"|"&amp;$U5882&amp;"|"&amp;$D5882)</f>
        <v/>
      </c>
      <c r="W5882">
        <f>IF($T5882="","",IF($X5882&gt;N($X5881),$X5882,""))</f>
        <v/>
      </c>
      <c r="X5882">
        <f>IF($T5882="",N($X5881),IF(MATCH($T5882,$T$6:$T$6005,0)=ROW()-5,N($X5881)+1,N($X5881)))</f>
        <v/>
      </c>
      <c r="Z5882">
        <f>IF($V5882="","",IF($AA5882&gt;N($AA5881),$AA5882,""))</f>
        <v/>
      </c>
      <c r="AA5882">
        <f>IF($V5882="",N($AA5881),IF(MATCH($V5882,$V$6:$V$6005,0)=ROW()-5,N($AA5881)+1,N($AA5881)))</f>
        <v/>
      </c>
    </row>
    <row r="5883" ht="21" customHeight="1" s="66">
      <c r="A5883" s="56" t="n"/>
      <c r="B5883" s="57" t="n"/>
      <c r="C5883" s="57" t="n"/>
      <c r="D5883" s="57" t="n"/>
      <c r="E5883" s="56" t="n"/>
      <c r="F5883" s="57" t="n"/>
      <c r="G5883" s="57" t="n"/>
      <c r="H5883" s="56" t="n"/>
      <c r="I5883" s="56" t="n"/>
      <c r="J5883" s="58" t="n"/>
      <c r="K5883" s="58" t="n"/>
      <c r="L5883" s="13">
        <f>IF(OR($A5883="",AND($J5883="",$K5883="")),"",ROUND(N($J5883)-N($K5883),2))</f>
        <v/>
      </c>
      <c r="M5883" s="13">
        <f>IF(OR($A5883="",AND($J5883="",$K5883="")),"",MIN($J5883,$K5883))</f>
        <v/>
      </c>
      <c r="Q5883">
        <f>IF($A5883="","",$D5883&amp;"("&amp;SUBSTITUTE($E5883," ","")&amp;")")</f>
        <v/>
      </c>
      <c r="R5883">
        <f>IF($A5883="","",$B5883&amp;" - "&amp;$C5883)</f>
        <v/>
      </c>
      <c r="S5883">
        <f>IF($A5883="","",$R5883&amp;"|"&amp;$Q5883)</f>
        <v/>
      </c>
      <c r="T5883">
        <f>IF($A5883="","",$S5883&amp;"|"&amp;$F5883)</f>
        <v/>
      </c>
      <c r="U5883">
        <f>IF($A5883="","",$R5883&amp;"("&amp;$E5883&amp;")")</f>
        <v/>
      </c>
      <c r="V5883">
        <f>IF($A5883="","",$F5883&amp;"|"&amp;$U5883&amp;"|"&amp;$D5883)</f>
        <v/>
      </c>
      <c r="W5883">
        <f>IF($T5883="","",IF($X5883&gt;N($X5882),$X5883,""))</f>
        <v/>
      </c>
      <c r="X5883">
        <f>IF($T5883="",N($X5882),IF(MATCH($T5883,$T$6:$T$6005,0)=ROW()-5,N($X5882)+1,N($X5882)))</f>
        <v/>
      </c>
      <c r="Z5883">
        <f>IF($V5883="","",IF($AA5883&gt;N($AA5882),$AA5883,""))</f>
        <v/>
      </c>
      <c r="AA5883">
        <f>IF($V5883="",N($AA5882),IF(MATCH($V5883,$V$6:$V$6005,0)=ROW()-5,N($AA5882)+1,N($AA5882)))</f>
        <v/>
      </c>
    </row>
    <row r="5884" ht="21" customHeight="1" s="66">
      <c r="A5884" s="56" t="n"/>
      <c r="B5884" s="57" t="n"/>
      <c r="C5884" s="57" t="n"/>
      <c r="D5884" s="57" t="n"/>
      <c r="E5884" s="56" t="n"/>
      <c r="F5884" s="57" t="n"/>
      <c r="G5884" s="57" t="n"/>
      <c r="H5884" s="56" t="n"/>
      <c r="I5884" s="56" t="n"/>
      <c r="J5884" s="58" t="n"/>
      <c r="K5884" s="58" t="n"/>
      <c r="L5884" s="13">
        <f>IF(OR($A5884="",AND($J5884="",$K5884="")),"",ROUND(N($J5884)-N($K5884),2))</f>
        <v/>
      </c>
      <c r="M5884" s="13">
        <f>IF(OR($A5884="",AND($J5884="",$K5884="")),"",MIN($J5884,$K5884))</f>
        <v/>
      </c>
      <c r="Q5884">
        <f>IF($A5884="","",$D5884&amp;"("&amp;SUBSTITUTE($E5884," ","")&amp;")")</f>
        <v/>
      </c>
      <c r="R5884">
        <f>IF($A5884="","",$B5884&amp;" - "&amp;$C5884)</f>
        <v/>
      </c>
      <c r="S5884">
        <f>IF($A5884="","",$R5884&amp;"|"&amp;$Q5884)</f>
        <v/>
      </c>
      <c r="T5884">
        <f>IF($A5884="","",$S5884&amp;"|"&amp;$F5884)</f>
        <v/>
      </c>
      <c r="U5884">
        <f>IF($A5884="","",$R5884&amp;"("&amp;$E5884&amp;")")</f>
        <v/>
      </c>
      <c r="V5884">
        <f>IF($A5884="","",$F5884&amp;"|"&amp;$U5884&amp;"|"&amp;$D5884)</f>
        <v/>
      </c>
      <c r="W5884">
        <f>IF($T5884="","",IF($X5884&gt;N($X5883),$X5884,""))</f>
        <v/>
      </c>
      <c r="X5884">
        <f>IF($T5884="",N($X5883),IF(MATCH($T5884,$T$6:$T$6005,0)=ROW()-5,N($X5883)+1,N($X5883)))</f>
        <v/>
      </c>
      <c r="Z5884">
        <f>IF($V5884="","",IF($AA5884&gt;N($AA5883),$AA5884,""))</f>
        <v/>
      </c>
      <c r="AA5884">
        <f>IF($V5884="",N($AA5883),IF(MATCH($V5884,$V$6:$V$6005,0)=ROW()-5,N($AA5883)+1,N($AA5883)))</f>
        <v/>
      </c>
    </row>
    <row r="5885" ht="21" customHeight="1" s="66">
      <c r="A5885" s="56" t="n"/>
      <c r="B5885" s="57" t="n"/>
      <c r="C5885" s="57" t="n"/>
      <c r="D5885" s="57" t="n"/>
      <c r="E5885" s="56" t="n"/>
      <c r="F5885" s="57" t="n"/>
      <c r="G5885" s="57" t="n"/>
      <c r="H5885" s="56" t="n"/>
      <c r="I5885" s="56" t="n"/>
      <c r="J5885" s="58" t="n"/>
      <c r="K5885" s="58" t="n"/>
      <c r="L5885" s="13">
        <f>IF(OR($A5885="",AND($J5885="",$K5885="")),"",ROUND(N($J5885)-N($K5885),2))</f>
        <v/>
      </c>
      <c r="M5885" s="13">
        <f>IF(OR($A5885="",AND($J5885="",$K5885="")),"",MIN($J5885,$K5885))</f>
        <v/>
      </c>
      <c r="Q5885">
        <f>IF($A5885="","",$D5885&amp;"("&amp;SUBSTITUTE($E5885," ","")&amp;")")</f>
        <v/>
      </c>
      <c r="R5885">
        <f>IF($A5885="","",$B5885&amp;" - "&amp;$C5885)</f>
        <v/>
      </c>
      <c r="S5885">
        <f>IF($A5885="","",$R5885&amp;"|"&amp;$Q5885)</f>
        <v/>
      </c>
      <c r="T5885">
        <f>IF($A5885="","",$S5885&amp;"|"&amp;$F5885)</f>
        <v/>
      </c>
      <c r="U5885">
        <f>IF($A5885="","",$R5885&amp;"("&amp;$E5885&amp;")")</f>
        <v/>
      </c>
      <c r="V5885">
        <f>IF($A5885="","",$F5885&amp;"|"&amp;$U5885&amp;"|"&amp;$D5885)</f>
        <v/>
      </c>
      <c r="W5885">
        <f>IF($T5885="","",IF($X5885&gt;N($X5884),$X5885,""))</f>
        <v/>
      </c>
      <c r="X5885">
        <f>IF($T5885="",N($X5884),IF(MATCH($T5885,$T$6:$T$6005,0)=ROW()-5,N($X5884)+1,N($X5884)))</f>
        <v/>
      </c>
      <c r="Z5885">
        <f>IF($V5885="","",IF($AA5885&gt;N($AA5884),$AA5885,""))</f>
        <v/>
      </c>
      <c r="AA5885">
        <f>IF($V5885="",N($AA5884),IF(MATCH($V5885,$V$6:$V$6005,0)=ROW()-5,N($AA5884)+1,N($AA5884)))</f>
        <v/>
      </c>
    </row>
    <row r="5886" ht="21" customHeight="1" s="66">
      <c r="A5886" s="56" t="n"/>
      <c r="B5886" s="57" t="n"/>
      <c r="C5886" s="57" t="n"/>
      <c r="D5886" s="57" t="n"/>
      <c r="E5886" s="56" t="n"/>
      <c r="F5886" s="57" t="n"/>
      <c r="G5886" s="57" t="n"/>
      <c r="H5886" s="56" t="n"/>
      <c r="I5886" s="56" t="n"/>
      <c r="J5886" s="58" t="n"/>
      <c r="K5886" s="58" t="n"/>
      <c r="L5886" s="13">
        <f>IF(OR($A5886="",AND($J5886="",$K5886="")),"",ROUND(N($J5886)-N($K5886),2))</f>
        <v/>
      </c>
      <c r="M5886" s="13">
        <f>IF(OR($A5886="",AND($J5886="",$K5886="")),"",MIN($J5886,$K5886))</f>
        <v/>
      </c>
      <c r="Q5886">
        <f>IF($A5886="","",$D5886&amp;"("&amp;SUBSTITUTE($E5886," ","")&amp;")")</f>
        <v/>
      </c>
      <c r="R5886">
        <f>IF($A5886="","",$B5886&amp;" - "&amp;$C5886)</f>
        <v/>
      </c>
      <c r="S5886">
        <f>IF($A5886="","",$R5886&amp;"|"&amp;$Q5886)</f>
        <v/>
      </c>
      <c r="T5886">
        <f>IF($A5886="","",$S5886&amp;"|"&amp;$F5886)</f>
        <v/>
      </c>
      <c r="U5886">
        <f>IF($A5886="","",$R5886&amp;"("&amp;$E5886&amp;")")</f>
        <v/>
      </c>
      <c r="V5886">
        <f>IF($A5886="","",$F5886&amp;"|"&amp;$U5886&amp;"|"&amp;$D5886)</f>
        <v/>
      </c>
      <c r="W5886">
        <f>IF($T5886="","",IF($X5886&gt;N($X5885),$X5886,""))</f>
        <v/>
      </c>
      <c r="X5886">
        <f>IF($T5886="",N($X5885),IF(MATCH($T5886,$T$6:$T$6005,0)=ROW()-5,N($X5885)+1,N($X5885)))</f>
        <v/>
      </c>
      <c r="Z5886">
        <f>IF($V5886="","",IF($AA5886&gt;N($AA5885),$AA5886,""))</f>
        <v/>
      </c>
      <c r="AA5886">
        <f>IF($V5886="",N($AA5885),IF(MATCH($V5886,$V$6:$V$6005,0)=ROW()-5,N($AA5885)+1,N($AA5885)))</f>
        <v/>
      </c>
    </row>
    <row r="5887" ht="21" customHeight="1" s="66">
      <c r="A5887" s="56" t="n"/>
      <c r="B5887" s="57" t="n"/>
      <c r="C5887" s="57" t="n"/>
      <c r="D5887" s="57" t="n"/>
      <c r="E5887" s="56" t="n"/>
      <c r="F5887" s="57" t="n"/>
      <c r="G5887" s="57" t="n"/>
      <c r="H5887" s="56" t="n"/>
      <c r="I5887" s="56" t="n"/>
      <c r="J5887" s="58" t="n"/>
      <c r="K5887" s="58" t="n"/>
      <c r="L5887" s="13">
        <f>IF(OR($A5887="",AND($J5887="",$K5887="")),"",ROUND(N($J5887)-N($K5887),2))</f>
        <v/>
      </c>
      <c r="M5887" s="13">
        <f>IF(OR($A5887="",AND($J5887="",$K5887="")),"",MIN($J5887,$K5887))</f>
        <v/>
      </c>
      <c r="Q5887">
        <f>IF($A5887="","",$D5887&amp;"("&amp;SUBSTITUTE($E5887," ","")&amp;")")</f>
        <v/>
      </c>
      <c r="R5887">
        <f>IF($A5887="","",$B5887&amp;" - "&amp;$C5887)</f>
        <v/>
      </c>
      <c r="S5887">
        <f>IF($A5887="","",$R5887&amp;"|"&amp;$Q5887)</f>
        <v/>
      </c>
      <c r="T5887">
        <f>IF($A5887="","",$S5887&amp;"|"&amp;$F5887)</f>
        <v/>
      </c>
      <c r="U5887">
        <f>IF($A5887="","",$R5887&amp;"("&amp;$E5887&amp;")")</f>
        <v/>
      </c>
      <c r="V5887">
        <f>IF($A5887="","",$F5887&amp;"|"&amp;$U5887&amp;"|"&amp;$D5887)</f>
        <v/>
      </c>
      <c r="W5887">
        <f>IF($T5887="","",IF($X5887&gt;N($X5886),$X5887,""))</f>
        <v/>
      </c>
      <c r="X5887">
        <f>IF($T5887="",N($X5886),IF(MATCH($T5887,$T$6:$T$6005,0)=ROW()-5,N($X5886)+1,N($X5886)))</f>
        <v/>
      </c>
      <c r="Z5887">
        <f>IF($V5887="","",IF($AA5887&gt;N($AA5886),$AA5887,""))</f>
        <v/>
      </c>
      <c r="AA5887">
        <f>IF($V5887="",N($AA5886),IF(MATCH($V5887,$V$6:$V$6005,0)=ROW()-5,N($AA5886)+1,N($AA5886)))</f>
        <v/>
      </c>
    </row>
    <row r="5888" ht="21" customHeight="1" s="66">
      <c r="A5888" s="56" t="n"/>
      <c r="B5888" s="57" t="n"/>
      <c r="C5888" s="57" t="n"/>
      <c r="D5888" s="57" t="n"/>
      <c r="E5888" s="56" t="n"/>
      <c r="F5888" s="57" t="n"/>
      <c r="G5888" s="57" t="n"/>
      <c r="H5888" s="56" t="n"/>
      <c r="I5888" s="56" t="n"/>
      <c r="J5888" s="58" t="n"/>
      <c r="K5888" s="58" t="n"/>
      <c r="L5888" s="13">
        <f>IF(OR($A5888="",AND($J5888="",$K5888="")),"",ROUND(N($J5888)-N($K5888),2))</f>
        <v/>
      </c>
      <c r="M5888" s="13">
        <f>IF(OR($A5888="",AND($J5888="",$K5888="")),"",MIN($J5888,$K5888))</f>
        <v/>
      </c>
      <c r="Q5888">
        <f>IF($A5888="","",$D5888&amp;"("&amp;SUBSTITUTE($E5888," ","")&amp;")")</f>
        <v/>
      </c>
      <c r="R5888">
        <f>IF($A5888="","",$B5888&amp;" - "&amp;$C5888)</f>
        <v/>
      </c>
      <c r="S5888">
        <f>IF($A5888="","",$R5888&amp;"|"&amp;$Q5888)</f>
        <v/>
      </c>
      <c r="T5888">
        <f>IF($A5888="","",$S5888&amp;"|"&amp;$F5888)</f>
        <v/>
      </c>
      <c r="U5888">
        <f>IF($A5888="","",$R5888&amp;"("&amp;$E5888&amp;")")</f>
        <v/>
      </c>
      <c r="V5888">
        <f>IF($A5888="","",$F5888&amp;"|"&amp;$U5888&amp;"|"&amp;$D5888)</f>
        <v/>
      </c>
      <c r="W5888">
        <f>IF($T5888="","",IF($X5888&gt;N($X5887),$X5888,""))</f>
        <v/>
      </c>
      <c r="X5888">
        <f>IF($T5888="",N($X5887),IF(MATCH($T5888,$T$6:$T$6005,0)=ROW()-5,N($X5887)+1,N($X5887)))</f>
        <v/>
      </c>
      <c r="Z5888">
        <f>IF($V5888="","",IF($AA5888&gt;N($AA5887),$AA5888,""))</f>
        <v/>
      </c>
      <c r="AA5888">
        <f>IF($V5888="",N($AA5887),IF(MATCH($V5888,$V$6:$V$6005,0)=ROW()-5,N($AA5887)+1,N($AA5887)))</f>
        <v/>
      </c>
    </row>
    <row r="5889" ht="21" customHeight="1" s="66">
      <c r="A5889" s="56" t="n"/>
      <c r="B5889" s="57" t="n"/>
      <c r="C5889" s="57" t="n"/>
      <c r="D5889" s="57" t="n"/>
      <c r="E5889" s="56" t="n"/>
      <c r="F5889" s="57" t="n"/>
      <c r="G5889" s="57" t="n"/>
      <c r="H5889" s="56" t="n"/>
      <c r="I5889" s="56" t="n"/>
      <c r="J5889" s="58" t="n"/>
      <c r="K5889" s="58" t="n"/>
      <c r="L5889" s="13">
        <f>IF(OR($A5889="",AND($J5889="",$K5889="")),"",ROUND(N($J5889)-N($K5889),2))</f>
        <v/>
      </c>
      <c r="M5889" s="13">
        <f>IF(OR($A5889="",AND($J5889="",$K5889="")),"",MIN($J5889,$K5889))</f>
        <v/>
      </c>
      <c r="Q5889">
        <f>IF($A5889="","",$D5889&amp;"("&amp;SUBSTITUTE($E5889," ","")&amp;")")</f>
        <v/>
      </c>
      <c r="R5889">
        <f>IF($A5889="","",$B5889&amp;" - "&amp;$C5889)</f>
        <v/>
      </c>
      <c r="S5889">
        <f>IF($A5889="","",$R5889&amp;"|"&amp;$Q5889)</f>
        <v/>
      </c>
      <c r="T5889">
        <f>IF($A5889="","",$S5889&amp;"|"&amp;$F5889)</f>
        <v/>
      </c>
      <c r="U5889">
        <f>IF($A5889="","",$R5889&amp;"("&amp;$E5889&amp;")")</f>
        <v/>
      </c>
      <c r="V5889">
        <f>IF($A5889="","",$F5889&amp;"|"&amp;$U5889&amp;"|"&amp;$D5889)</f>
        <v/>
      </c>
      <c r="W5889">
        <f>IF($T5889="","",IF($X5889&gt;N($X5888),$X5889,""))</f>
        <v/>
      </c>
      <c r="X5889">
        <f>IF($T5889="",N($X5888),IF(MATCH($T5889,$T$6:$T$6005,0)=ROW()-5,N($X5888)+1,N($X5888)))</f>
        <v/>
      </c>
      <c r="Z5889">
        <f>IF($V5889="","",IF($AA5889&gt;N($AA5888),$AA5889,""))</f>
        <v/>
      </c>
      <c r="AA5889">
        <f>IF($V5889="",N($AA5888),IF(MATCH($V5889,$V$6:$V$6005,0)=ROW()-5,N($AA5888)+1,N($AA5888)))</f>
        <v/>
      </c>
    </row>
    <row r="5890" ht="21" customHeight="1" s="66">
      <c r="A5890" s="56" t="n"/>
      <c r="B5890" s="57" t="n"/>
      <c r="C5890" s="57" t="n"/>
      <c r="D5890" s="57" t="n"/>
      <c r="E5890" s="56" t="n"/>
      <c r="F5890" s="57" t="n"/>
      <c r="G5890" s="57" t="n"/>
      <c r="H5890" s="56" t="n"/>
      <c r="I5890" s="56" t="n"/>
      <c r="J5890" s="58" t="n"/>
      <c r="K5890" s="58" t="n"/>
      <c r="L5890" s="13">
        <f>IF(OR($A5890="",AND($J5890="",$K5890="")),"",ROUND(N($J5890)-N($K5890),2))</f>
        <v/>
      </c>
      <c r="M5890" s="13">
        <f>IF(OR($A5890="",AND($J5890="",$K5890="")),"",MIN($J5890,$K5890))</f>
        <v/>
      </c>
      <c r="Q5890">
        <f>IF($A5890="","",$D5890&amp;"("&amp;SUBSTITUTE($E5890," ","")&amp;")")</f>
        <v/>
      </c>
      <c r="R5890">
        <f>IF($A5890="","",$B5890&amp;" - "&amp;$C5890)</f>
        <v/>
      </c>
      <c r="S5890">
        <f>IF($A5890="","",$R5890&amp;"|"&amp;$Q5890)</f>
        <v/>
      </c>
      <c r="T5890">
        <f>IF($A5890="","",$S5890&amp;"|"&amp;$F5890)</f>
        <v/>
      </c>
      <c r="U5890">
        <f>IF($A5890="","",$R5890&amp;"("&amp;$E5890&amp;")")</f>
        <v/>
      </c>
      <c r="V5890">
        <f>IF($A5890="","",$F5890&amp;"|"&amp;$U5890&amp;"|"&amp;$D5890)</f>
        <v/>
      </c>
      <c r="W5890">
        <f>IF($T5890="","",IF($X5890&gt;N($X5889),$X5890,""))</f>
        <v/>
      </c>
      <c r="X5890">
        <f>IF($T5890="",N($X5889),IF(MATCH($T5890,$T$6:$T$6005,0)=ROW()-5,N($X5889)+1,N($X5889)))</f>
        <v/>
      </c>
      <c r="Z5890">
        <f>IF($V5890="","",IF($AA5890&gt;N($AA5889),$AA5890,""))</f>
        <v/>
      </c>
      <c r="AA5890">
        <f>IF($V5890="",N($AA5889),IF(MATCH($V5890,$V$6:$V$6005,0)=ROW()-5,N($AA5889)+1,N($AA5889)))</f>
        <v/>
      </c>
    </row>
    <row r="5891" ht="21" customHeight="1" s="66">
      <c r="A5891" s="56" t="n"/>
      <c r="B5891" s="57" t="n"/>
      <c r="C5891" s="57" t="n"/>
      <c r="D5891" s="57" t="n"/>
      <c r="E5891" s="56" t="n"/>
      <c r="F5891" s="57" t="n"/>
      <c r="G5891" s="57" t="n"/>
      <c r="H5891" s="56" t="n"/>
      <c r="I5891" s="56" t="n"/>
      <c r="J5891" s="58" t="n"/>
      <c r="K5891" s="58" t="n"/>
      <c r="L5891" s="13">
        <f>IF(OR($A5891="",AND($J5891="",$K5891="")),"",ROUND(N($J5891)-N($K5891),2))</f>
        <v/>
      </c>
      <c r="M5891" s="13">
        <f>IF(OR($A5891="",AND($J5891="",$K5891="")),"",MIN($J5891,$K5891))</f>
        <v/>
      </c>
      <c r="Q5891">
        <f>IF($A5891="","",$D5891&amp;"("&amp;SUBSTITUTE($E5891," ","")&amp;")")</f>
        <v/>
      </c>
      <c r="R5891">
        <f>IF($A5891="","",$B5891&amp;" - "&amp;$C5891)</f>
        <v/>
      </c>
      <c r="S5891">
        <f>IF($A5891="","",$R5891&amp;"|"&amp;$Q5891)</f>
        <v/>
      </c>
      <c r="T5891">
        <f>IF($A5891="","",$S5891&amp;"|"&amp;$F5891)</f>
        <v/>
      </c>
      <c r="U5891">
        <f>IF($A5891="","",$R5891&amp;"("&amp;$E5891&amp;")")</f>
        <v/>
      </c>
      <c r="V5891">
        <f>IF($A5891="","",$F5891&amp;"|"&amp;$U5891&amp;"|"&amp;$D5891)</f>
        <v/>
      </c>
      <c r="W5891">
        <f>IF($T5891="","",IF($X5891&gt;N($X5890),$X5891,""))</f>
        <v/>
      </c>
      <c r="X5891">
        <f>IF($T5891="",N($X5890),IF(MATCH($T5891,$T$6:$T$6005,0)=ROW()-5,N($X5890)+1,N($X5890)))</f>
        <v/>
      </c>
      <c r="Z5891">
        <f>IF($V5891="","",IF($AA5891&gt;N($AA5890),$AA5891,""))</f>
        <v/>
      </c>
      <c r="AA5891">
        <f>IF($V5891="",N($AA5890),IF(MATCH($V5891,$V$6:$V$6005,0)=ROW()-5,N($AA5890)+1,N($AA5890)))</f>
        <v/>
      </c>
    </row>
    <row r="5892" ht="21" customHeight="1" s="66">
      <c r="A5892" s="56" t="n"/>
      <c r="B5892" s="57" t="n"/>
      <c r="C5892" s="57" t="n"/>
      <c r="D5892" s="57" t="n"/>
      <c r="E5892" s="56" t="n"/>
      <c r="F5892" s="57" t="n"/>
      <c r="G5892" s="57" t="n"/>
      <c r="H5892" s="56" t="n"/>
      <c r="I5892" s="56" t="n"/>
      <c r="J5892" s="58" t="n"/>
      <c r="K5892" s="58" t="n"/>
      <c r="L5892" s="13">
        <f>IF(OR($A5892="",AND($J5892="",$K5892="")),"",ROUND(N($J5892)-N($K5892),2))</f>
        <v/>
      </c>
      <c r="M5892" s="13">
        <f>IF(OR($A5892="",AND($J5892="",$K5892="")),"",MIN($J5892,$K5892))</f>
        <v/>
      </c>
      <c r="Q5892">
        <f>IF($A5892="","",$D5892&amp;"("&amp;SUBSTITUTE($E5892," ","")&amp;")")</f>
        <v/>
      </c>
      <c r="R5892">
        <f>IF($A5892="","",$B5892&amp;" - "&amp;$C5892)</f>
        <v/>
      </c>
      <c r="S5892">
        <f>IF($A5892="","",$R5892&amp;"|"&amp;$Q5892)</f>
        <v/>
      </c>
      <c r="T5892">
        <f>IF($A5892="","",$S5892&amp;"|"&amp;$F5892)</f>
        <v/>
      </c>
      <c r="U5892">
        <f>IF($A5892="","",$R5892&amp;"("&amp;$E5892&amp;")")</f>
        <v/>
      </c>
      <c r="V5892">
        <f>IF($A5892="","",$F5892&amp;"|"&amp;$U5892&amp;"|"&amp;$D5892)</f>
        <v/>
      </c>
      <c r="W5892">
        <f>IF($T5892="","",IF($X5892&gt;N($X5891),$X5892,""))</f>
        <v/>
      </c>
      <c r="X5892">
        <f>IF($T5892="",N($X5891),IF(MATCH($T5892,$T$6:$T$6005,0)=ROW()-5,N($X5891)+1,N($X5891)))</f>
        <v/>
      </c>
      <c r="Z5892">
        <f>IF($V5892="","",IF($AA5892&gt;N($AA5891),$AA5892,""))</f>
        <v/>
      </c>
      <c r="AA5892">
        <f>IF($V5892="",N($AA5891),IF(MATCH($V5892,$V$6:$V$6005,0)=ROW()-5,N($AA5891)+1,N($AA5891)))</f>
        <v/>
      </c>
    </row>
    <row r="5893" ht="21" customHeight="1" s="66">
      <c r="A5893" s="56" t="n"/>
      <c r="B5893" s="57" t="n"/>
      <c r="C5893" s="57" t="n"/>
      <c r="D5893" s="57" t="n"/>
      <c r="E5893" s="56" t="n"/>
      <c r="F5893" s="57" t="n"/>
      <c r="G5893" s="57" t="n"/>
      <c r="H5893" s="56" t="n"/>
      <c r="I5893" s="56" t="n"/>
      <c r="J5893" s="58" t="n"/>
      <c r="K5893" s="58" t="n"/>
      <c r="L5893" s="13">
        <f>IF(OR($A5893="",AND($J5893="",$K5893="")),"",ROUND(N($J5893)-N($K5893),2))</f>
        <v/>
      </c>
      <c r="M5893" s="13">
        <f>IF(OR($A5893="",AND($J5893="",$K5893="")),"",MIN($J5893,$K5893))</f>
        <v/>
      </c>
      <c r="Q5893">
        <f>IF($A5893="","",$D5893&amp;"("&amp;SUBSTITUTE($E5893," ","")&amp;")")</f>
        <v/>
      </c>
      <c r="R5893">
        <f>IF($A5893="","",$B5893&amp;" - "&amp;$C5893)</f>
        <v/>
      </c>
      <c r="S5893">
        <f>IF($A5893="","",$R5893&amp;"|"&amp;$Q5893)</f>
        <v/>
      </c>
      <c r="T5893">
        <f>IF($A5893="","",$S5893&amp;"|"&amp;$F5893)</f>
        <v/>
      </c>
      <c r="U5893">
        <f>IF($A5893="","",$R5893&amp;"("&amp;$E5893&amp;")")</f>
        <v/>
      </c>
      <c r="V5893">
        <f>IF($A5893="","",$F5893&amp;"|"&amp;$U5893&amp;"|"&amp;$D5893)</f>
        <v/>
      </c>
      <c r="W5893">
        <f>IF($T5893="","",IF($X5893&gt;N($X5892),$X5893,""))</f>
        <v/>
      </c>
      <c r="X5893">
        <f>IF($T5893="",N($X5892),IF(MATCH($T5893,$T$6:$T$6005,0)=ROW()-5,N($X5892)+1,N($X5892)))</f>
        <v/>
      </c>
      <c r="Z5893">
        <f>IF($V5893="","",IF($AA5893&gt;N($AA5892),$AA5893,""))</f>
        <v/>
      </c>
      <c r="AA5893">
        <f>IF($V5893="",N($AA5892),IF(MATCH($V5893,$V$6:$V$6005,0)=ROW()-5,N($AA5892)+1,N($AA5892)))</f>
        <v/>
      </c>
    </row>
    <row r="5894" ht="21" customHeight="1" s="66">
      <c r="A5894" s="56" t="n"/>
      <c r="B5894" s="57" t="n"/>
      <c r="C5894" s="57" t="n"/>
      <c r="D5894" s="57" t="n"/>
      <c r="E5894" s="56" t="n"/>
      <c r="F5894" s="57" t="n"/>
      <c r="G5894" s="57" t="n"/>
      <c r="H5894" s="56" t="n"/>
      <c r="I5894" s="56" t="n"/>
      <c r="J5894" s="58" t="n"/>
      <c r="K5894" s="58" t="n"/>
      <c r="L5894" s="13">
        <f>IF(OR($A5894="",AND($J5894="",$K5894="")),"",ROUND(N($J5894)-N($K5894),2))</f>
        <v/>
      </c>
      <c r="M5894" s="13">
        <f>IF(OR($A5894="",AND($J5894="",$K5894="")),"",MIN($J5894,$K5894))</f>
        <v/>
      </c>
      <c r="Q5894">
        <f>IF($A5894="","",$D5894&amp;"("&amp;SUBSTITUTE($E5894," ","")&amp;")")</f>
        <v/>
      </c>
      <c r="R5894">
        <f>IF($A5894="","",$B5894&amp;" - "&amp;$C5894)</f>
        <v/>
      </c>
      <c r="S5894">
        <f>IF($A5894="","",$R5894&amp;"|"&amp;$Q5894)</f>
        <v/>
      </c>
      <c r="T5894">
        <f>IF($A5894="","",$S5894&amp;"|"&amp;$F5894)</f>
        <v/>
      </c>
      <c r="U5894">
        <f>IF($A5894="","",$R5894&amp;"("&amp;$E5894&amp;")")</f>
        <v/>
      </c>
      <c r="V5894">
        <f>IF($A5894="","",$F5894&amp;"|"&amp;$U5894&amp;"|"&amp;$D5894)</f>
        <v/>
      </c>
      <c r="W5894">
        <f>IF($T5894="","",IF($X5894&gt;N($X5893),$X5894,""))</f>
        <v/>
      </c>
      <c r="X5894">
        <f>IF($T5894="",N($X5893),IF(MATCH($T5894,$T$6:$T$6005,0)=ROW()-5,N($X5893)+1,N($X5893)))</f>
        <v/>
      </c>
      <c r="Z5894">
        <f>IF($V5894="","",IF($AA5894&gt;N($AA5893),$AA5894,""))</f>
        <v/>
      </c>
      <c r="AA5894">
        <f>IF($V5894="",N($AA5893),IF(MATCH($V5894,$V$6:$V$6005,0)=ROW()-5,N($AA5893)+1,N($AA5893)))</f>
        <v/>
      </c>
    </row>
    <row r="5895" ht="21" customHeight="1" s="66">
      <c r="A5895" s="56" t="n"/>
      <c r="B5895" s="57" t="n"/>
      <c r="C5895" s="57" t="n"/>
      <c r="D5895" s="57" t="n"/>
      <c r="E5895" s="56" t="n"/>
      <c r="F5895" s="57" t="n"/>
      <c r="G5895" s="57" t="n"/>
      <c r="H5895" s="56" t="n"/>
      <c r="I5895" s="56" t="n"/>
      <c r="J5895" s="58" t="n"/>
      <c r="K5895" s="58" t="n"/>
      <c r="L5895" s="13">
        <f>IF(OR($A5895="",AND($J5895="",$K5895="")),"",ROUND(N($J5895)-N($K5895),2))</f>
        <v/>
      </c>
      <c r="M5895" s="13">
        <f>IF(OR($A5895="",AND($J5895="",$K5895="")),"",MIN($J5895,$K5895))</f>
        <v/>
      </c>
      <c r="Q5895">
        <f>IF($A5895="","",$D5895&amp;"("&amp;SUBSTITUTE($E5895," ","")&amp;")")</f>
        <v/>
      </c>
      <c r="R5895">
        <f>IF($A5895="","",$B5895&amp;" - "&amp;$C5895)</f>
        <v/>
      </c>
      <c r="S5895">
        <f>IF($A5895="","",$R5895&amp;"|"&amp;$Q5895)</f>
        <v/>
      </c>
      <c r="T5895">
        <f>IF($A5895="","",$S5895&amp;"|"&amp;$F5895)</f>
        <v/>
      </c>
      <c r="U5895">
        <f>IF($A5895="","",$R5895&amp;"("&amp;$E5895&amp;")")</f>
        <v/>
      </c>
      <c r="V5895">
        <f>IF($A5895="","",$F5895&amp;"|"&amp;$U5895&amp;"|"&amp;$D5895)</f>
        <v/>
      </c>
      <c r="W5895">
        <f>IF($T5895="","",IF($X5895&gt;N($X5894),$X5895,""))</f>
        <v/>
      </c>
      <c r="X5895">
        <f>IF($T5895="",N($X5894),IF(MATCH($T5895,$T$6:$T$6005,0)=ROW()-5,N($X5894)+1,N($X5894)))</f>
        <v/>
      </c>
      <c r="Z5895">
        <f>IF($V5895="","",IF($AA5895&gt;N($AA5894),$AA5895,""))</f>
        <v/>
      </c>
      <c r="AA5895">
        <f>IF($V5895="",N($AA5894),IF(MATCH($V5895,$V$6:$V$6005,0)=ROW()-5,N($AA5894)+1,N($AA5894)))</f>
        <v/>
      </c>
    </row>
    <row r="5896" ht="21" customHeight="1" s="66">
      <c r="A5896" s="56" t="n"/>
      <c r="B5896" s="57" t="n"/>
      <c r="C5896" s="57" t="n"/>
      <c r="D5896" s="57" t="n"/>
      <c r="E5896" s="56" t="n"/>
      <c r="F5896" s="57" t="n"/>
      <c r="G5896" s="57" t="n"/>
      <c r="H5896" s="56" t="n"/>
      <c r="I5896" s="56" t="n"/>
      <c r="J5896" s="58" t="n"/>
      <c r="K5896" s="58" t="n"/>
      <c r="L5896" s="13">
        <f>IF(OR($A5896="",AND($J5896="",$K5896="")),"",ROUND(N($J5896)-N($K5896),2))</f>
        <v/>
      </c>
      <c r="M5896" s="13">
        <f>IF(OR($A5896="",AND($J5896="",$K5896="")),"",MIN($J5896,$K5896))</f>
        <v/>
      </c>
      <c r="Q5896">
        <f>IF($A5896="","",$D5896&amp;"("&amp;SUBSTITUTE($E5896," ","")&amp;")")</f>
        <v/>
      </c>
      <c r="R5896">
        <f>IF($A5896="","",$B5896&amp;" - "&amp;$C5896)</f>
        <v/>
      </c>
      <c r="S5896">
        <f>IF($A5896="","",$R5896&amp;"|"&amp;$Q5896)</f>
        <v/>
      </c>
      <c r="T5896">
        <f>IF($A5896="","",$S5896&amp;"|"&amp;$F5896)</f>
        <v/>
      </c>
      <c r="U5896">
        <f>IF($A5896="","",$R5896&amp;"("&amp;$E5896&amp;")")</f>
        <v/>
      </c>
      <c r="V5896">
        <f>IF($A5896="","",$F5896&amp;"|"&amp;$U5896&amp;"|"&amp;$D5896)</f>
        <v/>
      </c>
      <c r="W5896">
        <f>IF($T5896="","",IF($X5896&gt;N($X5895),$X5896,""))</f>
        <v/>
      </c>
      <c r="X5896">
        <f>IF($T5896="",N($X5895),IF(MATCH($T5896,$T$6:$T$6005,0)=ROW()-5,N($X5895)+1,N($X5895)))</f>
        <v/>
      </c>
      <c r="Z5896">
        <f>IF($V5896="","",IF($AA5896&gt;N($AA5895),$AA5896,""))</f>
        <v/>
      </c>
      <c r="AA5896">
        <f>IF($V5896="",N($AA5895),IF(MATCH($V5896,$V$6:$V$6005,0)=ROW()-5,N($AA5895)+1,N($AA5895)))</f>
        <v/>
      </c>
    </row>
    <row r="5897" ht="21" customHeight="1" s="66">
      <c r="A5897" s="56" t="n"/>
      <c r="B5897" s="57" t="n"/>
      <c r="C5897" s="57" t="n"/>
      <c r="D5897" s="57" t="n"/>
      <c r="E5897" s="56" t="n"/>
      <c r="F5897" s="57" t="n"/>
      <c r="G5897" s="57" t="n"/>
      <c r="H5897" s="56" t="n"/>
      <c r="I5897" s="56" t="n"/>
      <c r="J5897" s="58" t="n"/>
      <c r="K5897" s="58" t="n"/>
      <c r="L5897" s="13">
        <f>IF(OR($A5897="",AND($J5897="",$K5897="")),"",ROUND(N($J5897)-N($K5897),2))</f>
        <v/>
      </c>
      <c r="M5897" s="13">
        <f>IF(OR($A5897="",AND($J5897="",$K5897="")),"",MIN($J5897,$K5897))</f>
        <v/>
      </c>
      <c r="Q5897">
        <f>IF($A5897="","",$D5897&amp;"("&amp;SUBSTITUTE($E5897," ","")&amp;")")</f>
        <v/>
      </c>
      <c r="R5897">
        <f>IF($A5897="","",$B5897&amp;" - "&amp;$C5897)</f>
        <v/>
      </c>
      <c r="S5897">
        <f>IF($A5897="","",$R5897&amp;"|"&amp;$Q5897)</f>
        <v/>
      </c>
      <c r="T5897">
        <f>IF($A5897="","",$S5897&amp;"|"&amp;$F5897)</f>
        <v/>
      </c>
      <c r="U5897">
        <f>IF($A5897="","",$R5897&amp;"("&amp;$E5897&amp;")")</f>
        <v/>
      </c>
      <c r="V5897">
        <f>IF($A5897="","",$F5897&amp;"|"&amp;$U5897&amp;"|"&amp;$D5897)</f>
        <v/>
      </c>
      <c r="W5897">
        <f>IF($T5897="","",IF($X5897&gt;N($X5896),$X5897,""))</f>
        <v/>
      </c>
      <c r="X5897">
        <f>IF($T5897="",N($X5896),IF(MATCH($T5897,$T$6:$T$6005,0)=ROW()-5,N($X5896)+1,N($X5896)))</f>
        <v/>
      </c>
      <c r="Z5897">
        <f>IF($V5897="","",IF($AA5897&gt;N($AA5896),$AA5897,""))</f>
        <v/>
      </c>
      <c r="AA5897">
        <f>IF($V5897="",N($AA5896),IF(MATCH($V5897,$V$6:$V$6005,0)=ROW()-5,N($AA5896)+1,N($AA5896)))</f>
        <v/>
      </c>
    </row>
    <row r="5898" ht="21" customHeight="1" s="66">
      <c r="A5898" s="56" t="n"/>
      <c r="B5898" s="57" t="n"/>
      <c r="C5898" s="57" t="n"/>
      <c r="D5898" s="57" t="n"/>
      <c r="E5898" s="56" t="n"/>
      <c r="F5898" s="57" t="n"/>
      <c r="G5898" s="57" t="n"/>
      <c r="H5898" s="56" t="n"/>
      <c r="I5898" s="56" t="n"/>
      <c r="J5898" s="58" t="n"/>
      <c r="K5898" s="58" t="n"/>
      <c r="L5898" s="13">
        <f>IF(OR($A5898="",AND($J5898="",$K5898="")),"",ROUND(N($J5898)-N($K5898),2))</f>
        <v/>
      </c>
      <c r="M5898" s="13">
        <f>IF(OR($A5898="",AND($J5898="",$K5898="")),"",MIN($J5898,$K5898))</f>
        <v/>
      </c>
      <c r="Q5898">
        <f>IF($A5898="","",$D5898&amp;"("&amp;SUBSTITUTE($E5898," ","")&amp;")")</f>
        <v/>
      </c>
      <c r="R5898">
        <f>IF($A5898="","",$B5898&amp;" - "&amp;$C5898)</f>
        <v/>
      </c>
      <c r="S5898">
        <f>IF($A5898="","",$R5898&amp;"|"&amp;$Q5898)</f>
        <v/>
      </c>
      <c r="T5898">
        <f>IF($A5898="","",$S5898&amp;"|"&amp;$F5898)</f>
        <v/>
      </c>
      <c r="U5898">
        <f>IF($A5898="","",$R5898&amp;"("&amp;$E5898&amp;")")</f>
        <v/>
      </c>
      <c r="V5898">
        <f>IF($A5898="","",$F5898&amp;"|"&amp;$U5898&amp;"|"&amp;$D5898)</f>
        <v/>
      </c>
      <c r="W5898">
        <f>IF($T5898="","",IF($X5898&gt;N($X5897),$X5898,""))</f>
        <v/>
      </c>
      <c r="X5898">
        <f>IF($T5898="",N($X5897),IF(MATCH($T5898,$T$6:$T$6005,0)=ROW()-5,N($X5897)+1,N($X5897)))</f>
        <v/>
      </c>
      <c r="Z5898">
        <f>IF($V5898="","",IF($AA5898&gt;N($AA5897),$AA5898,""))</f>
        <v/>
      </c>
      <c r="AA5898">
        <f>IF($V5898="",N($AA5897),IF(MATCH($V5898,$V$6:$V$6005,0)=ROW()-5,N($AA5897)+1,N($AA5897)))</f>
        <v/>
      </c>
    </row>
    <row r="5899" ht="21" customHeight="1" s="66">
      <c r="A5899" s="56" t="n"/>
      <c r="B5899" s="57" t="n"/>
      <c r="C5899" s="57" t="n"/>
      <c r="D5899" s="57" t="n"/>
      <c r="E5899" s="56" t="n"/>
      <c r="F5899" s="57" t="n"/>
      <c r="G5899" s="57" t="n"/>
      <c r="H5899" s="56" t="n"/>
      <c r="I5899" s="56" t="n"/>
      <c r="J5899" s="58" t="n"/>
      <c r="K5899" s="58" t="n"/>
      <c r="L5899" s="13">
        <f>IF(OR($A5899="",AND($J5899="",$K5899="")),"",ROUND(N($J5899)-N($K5899),2))</f>
        <v/>
      </c>
      <c r="M5899" s="13">
        <f>IF(OR($A5899="",AND($J5899="",$K5899="")),"",MIN($J5899,$K5899))</f>
        <v/>
      </c>
      <c r="Q5899">
        <f>IF($A5899="","",$D5899&amp;"("&amp;SUBSTITUTE($E5899," ","")&amp;")")</f>
        <v/>
      </c>
      <c r="R5899">
        <f>IF($A5899="","",$B5899&amp;" - "&amp;$C5899)</f>
        <v/>
      </c>
      <c r="S5899">
        <f>IF($A5899="","",$R5899&amp;"|"&amp;$Q5899)</f>
        <v/>
      </c>
      <c r="T5899">
        <f>IF($A5899="","",$S5899&amp;"|"&amp;$F5899)</f>
        <v/>
      </c>
      <c r="U5899">
        <f>IF($A5899="","",$R5899&amp;"("&amp;$E5899&amp;")")</f>
        <v/>
      </c>
      <c r="V5899">
        <f>IF($A5899="","",$F5899&amp;"|"&amp;$U5899&amp;"|"&amp;$D5899)</f>
        <v/>
      </c>
      <c r="W5899">
        <f>IF($T5899="","",IF($X5899&gt;N($X5898),$X5899,""))</f>
        <v/>
      </c>
      <c r="X5899">
        <f>IF($T5899="",N($X5898),IF(MATCH($T5899,$T$6:$T$6005,0)=ROW()-5,N($X5898)+1,N($X5898)))</f>
        <v/>
      </c>
      <c r="Z5899">
        <f>IF($V5899="","",IF($AA5899&gt;N($AA5898),$AA5899,""))</f>
        <v/>
      </c>
      <c r="AA5899">
        <f>IF($V5899="",N($AA5898),IF(MATCH($V5899,$V$6:$V$6005,0)=ROW()-5,N($AA5898)+1,N($AA5898)))</f>
        <v/>
      </c>
    </row>
    <row r="5900" ht="21" customHeight="1" s="66">
      <c r="A5900" s="56" t="n"/>
      <c r="B5900" s="57" t="n"/>
      <c r="C5900" s="57" t="n"/>
      <c r="D5900" s="57" t="n"/>
      <c r="E5900" s="56" t="n"/>
      <c r="F5900" s="57" t="n"/>
      <c r="G5900" s="57" t="n"/>
      <c r="H5900" s="56" t="n"/>
      <c r="I5900" s="56" t="n"/>
      <c r="J5900" s="58" t="n"/>
      <c r="K5900" s="58" t="n"/>
      <c r="L5900" s="13">
        <f>IF(OR($A5900="",AND($J5900="",$K5900="")),"",ROUND(N($J5900)-N($K5900),2))</f>
        <v/>
      </c>
      <c r="M5900" s="13">
        <f>IF(OR($A5900="",AND($J5900="",$K5900="")),"",MIN($J5900,$K5900))</f>
        <v/>
      </c>
      <c r="Q5900">
        <f>IF($A5900="","",$D5900&amp;"("&amp;SUBSTITUTE($E5900," ","")&amp;")")</f>
        <v/>
      </c>
      <c r="R5900">
        <f>IF($A5900="","",$B5900&amp;" - "&amp;$C5900)</f>
        <v/>
      </c>
      <c r="S5900">
        <f>IF($A5900="","",$R5900&amp;"|"&amp;$Q5900)</f>
        <v/>
      </c>
      <c r="T5900">
        <f>IF($A5900="","",$S5900&amp;"|"&amp;$F5900)</f>
        <v/>
      </c>
      <c r="U5900">
        <f>IF($A5900="","",$R5900&amp;"("&amp;$E5900&amp;")")</f>
        <v/>
      </c>
      <c r="V5900">
        <f>IF($A5900="","",$F5900&amp;"|"&amp;$U5900&amp;"|"&amp;$D5900)</f>
        <v/>
      </c>
      <c r="W5900">
        <f>IF($T5900="","",IF($X5900&gt;N($X5899),$X5900,""))</f>
        <v/>
      </c>
      <c r="X5900">
        <f>IF($T5900="",N($X5899),IF(MATCH($T5900,$T$6:$T$6005,0)=ROW()-5,N($X5899)+1,N($X5899)))</f>
        <v/>
      </c>
      <c r="Z5900">
        <f>IF($V5900="","",IF($AA5900&gt;N($AA5899),$AA5900,""))</f>
        <v/>
      </c>
      <c r="AA5900">
        <f>IF($V5900="",N($AA5899),IF(MATCH($V5900,$V$6:$V$6005,0)=ROW()-5,N($AA5899)+1,N($AA5899)))</f>
        <v/>
      </c>
    </row>
    <row r="5901" ht="21" customHeight="1" s="66">
      <c r="A5901" s="56" t="n"/>
      <c r="B5901" s="57" t="n"/>
      <c r="C5901" s="57" t="n"/>
      <c r="D5901" s="57" t="n"/>
      <c r="E5901" s="56" t="n"/>
      <c r="F5901" s="57" t="n"/>
      <c r="G5901" s="57" t="n"/>
      <c r="H5901" s="56" t="n"/>
      <c r="I5901" s="56" t="n"/>
      <c r="J5901" s="58" t="n"/>
      <c r="K5901" s="58" t="n"/>
      <c r="L5901" s="13">
        <f>IF(OR($A5901="",AND($J5901="",$K5901="")),"",ROUND(N($J5901)-N($K5901),2))</f>
        <v/>
      </c>
      <c r="M5901" s="13">
        <f>IF(OR($A5901="",AND($J5901="",$K5901="")),"",MIN($J5901,$K5901))</f>
        <v/>
      </c>
      <c r="Q5901">
        <f>IF($A5901="","",$D5901&amp;"("&amp;SUBSTITUTE($E5901," ","")&amp;")")</f>
        <v/>
      </c>
      <c r="R5901">
        <f>IF($A5901="","",$B5901&amp;" - "&amp;$C5901)</f>
        <v/>
      </c>
      <c r="S5901">
        <f>IF($A5901="","",$R5901&amp;"|"&amp;$Q5901)</f>
        <v/>
      </c>
      <c r="T5901">
        <f>IF($A5901="","",$S5901&amp;"|"&amp;$F5901)</f>
        <v/>
      </c>
      <c r="U5901">
        <f>IF($A5901="","",$R5901&amp;"("&amp;$E5901&amp;")")</f>
        <v/>
      </c>
      <c r="V5901">
        <f>IF($A5901="","",$F5901&amp;"|"&amp;$U5901&amp;"|"&amp;$D5901)</f>
        <v/>
      </c>
      <c r="W5901">
        <f>IF($T5901="","",IF($X5901&gt;N($X5900),$X5901,""))</f>
        <v/>
      </c>
      <c r="X5901">
        <f>IF($T5901="",N($X5900),IF(MATCH($T5901,$T$6:$T$6005,0)=ROW()-5,N($X5900)+1,N($X5900)))</f>
        <v/>
      </c>
      <c r="Z5901">
        <f>IF($V5901="","",IF($AA5901&gt;N($AA5900),$AA5901,""))</f>
        <v/>
      </c>
      <c r="AA5901">
        <f>IF($V5901="",N($AA5900),IF(MATCH($V5901,$V$6:$V$6005,0)=ROW()-5,N($AA5900)+1,N($AA5900)))</f>
        <v/>
      </c>
    </row>
    <row r="5902" ht="21" customHeight="1" s="66">
      <c r="A5902" s="56" t="n"/>
      <c r="B5902" s="57" t="n"/>
      <c r="C5902" s="57" t="n"/>
      <c r="D5902" s="57" t="n"/>
      <c r="E5902" s="56" t="n"/>
      <c r="F5902" s="57" t="n"/>
      <c r="G5902" s="57" t="n"/>
      <c r="H5902" s="56" t="n"/>
      <c r="I5902" s="56" t="n"/>
      <c r="J5902" s="58" t="n"/>
      <c r="K5902" s="58" t="n"/>
      <c r="L5902" s="13">
        <f>IF(OR($A5902="",AND($J5902="",$K5902="")),"",ROUND(N($J5902)-N($K5902),2))</f>
        <v/>
      </c>
      <c r="M5902" s="13">
        <f>IF(OR($A5902="",AND($J5902="",$K5902="")),"",MIN($J5902,$K5902))</f>
        <v/>
      </c>
      <c r="Q5902">
        <f>IF($A5902="","",$D5902&amp;"("&amp;SUBSTITUTE($E5902," ","")&amp;")")</f>
        <v/>
      </c>
      <c r="R5902">
        <f>IF($A5902="","",$B5902&amp;" - "&amp;$C5902)</f>
        <v/>
      </c>
      <c r="S5902">
        <f>IF($A5902="","",$R5902&amp;"|"&amp;$Q5902)</f>
        <v/>
      </c>
      <c r="T5902">
        <f>IF($A5902="","",$S5902&amp;"|"&amp;$F5902)</f>
        <v/>
      </c>
      <c r="U5902">
        <f>IF($A5902="","",$R5902&amp;"("&amp;$E5902&amp;")")</f>
        <v/>
      </c>
      <c r="V5902">
        <f>IF($A5902="","",$F5902&amp;"|"&amp;$U5902&amp;"|"&amp;$D5902)</f>
        <v/>
      </c>
      <c r="W5902">
        <f>IF($T5902="","",IF($X5902&gt;N($X5901),$X5902,""))</f>
        <v/>
      </c>
      <c r="X5902">
        <f>IF($T5902="",N($X5901),IF(MATCH($T5902,$T$6:$T$6005,0)=ROW()-5,N($X5901)+1,N($X5901)))</f>
        <v/>
      </c>
      <c r="Z5902">
        <f>IF($V5902="","",IF($AA5902&gt;N($AA5901),$AA5902,""))</f>
        <v/>
      </c>
      <c r="AA5902">
        <f>IF($V5902="",N($AA5901),IF(MATCH($V5902,$V$6:$V$6005,0)=ROW()-5,N($AA5901)+1,N($AA5901)))</f>
        <v/>
      </c>
    </row>
    <row r="5903" ht="21" customHeight="1" s="66">
      <c r="A5903" s="56" t="n"/>
      <c r="B5903" s="57" t="n"/>
      <c r="C5903" s="57" t="n"/>
      <c r="D5903" s="57" t="n"/>
      <c r="E5903" s="56" t="n"/>
      <c r="F5903" s="57" t="n"/>
      <c r="G5903" s="57" t="n"/>
      <c r="H5903" s="56" t="n"/>
      <c r="I5903" s="56" t="n"/>
      <c r="J5903" s="58" t="n"/>
      <c r="K5903" s="58" t="n"/>
      <c r="L5903" s="13">
        <f>IF(OR($A5903="",AND($J5903="",$K5903="")),"",ROUND(N($J5903)-N($K5903),2))</f>
        <v/>
      </c>
      <c r="M5903" s="13">
        <f>IF(OR($A5903="",AND($J5903="",$K5903="")),"",MIN($J5903,$K5903))</f>
        <v/>
      </c>
      <c r="Q5903">
        <f>IF($A5903="","",$D5903&amp;"("&amp;SUBSTITUTE($E5903," ","")&amp;")")</f>
        <v/>
      </c>
      <c r="R5903">
        <f>IF($A5903="","",$B5903&amp;" - "&amp;$C5903)</f>
        <v/>
      </c>
      <c r="S5903">
        <f>IF($A5903="","",$R5903&amp;"|"&amp;$Q5903)</f>
        <v/>
      </c>
      <c r="T5903">
        <f>IF($A5903="","",$S5903&amp;"|"&amp;$F5903)</f>
        <v/>
      </c>
      <c r="U5903">
        <f>IF($A5903="","",$R5903&amp;"("&amp;$E5903&amp;")")</f>
        <v/>
      </c>
      <c r="V5903">
        <f>IF($A5903="","",$F5903&amp;"|"&amp;$U5903&amp;"|"&amp;$D5903)</f>
        <v/>
      </c>
      <c r="W5903">
        <f>IF($T5903="","",IF($X5903&gt;N($X5902),$X5903,""))</f>
        <v/>
      </c>
      <c r="X5903">
        <f>IF($T5903="",N($X5902),IF(MATCH($T5903,$T$6:$T$6005,0)=ROW()-5,N($X5902)+1,N($X5902)))</f>
        <v/>
      </c>
      <c r="Z5903">
        <f>IF($V5903="","",IF($AA5903&gt;N($AA5902),$AA5903,""))</f>
        <v/>
      </c>
      <c r="AA5903">
        <f>IF($V5903="",N($AA5902),IF(MATCH($V5903,$V$6:$V$6005,0)=ROW()-5,N($AA5902)+1,N($AA5902)))</f>
        <v/>
      </c>
    </row>
    <row r="5904" ht="21" customHeight="1" s="66">
      <c r="A5904" s="56" t="n"/>
      <c r="B5904" s="57" t="n"/>
      <c r="C5904" s="57" t="n"/>
      <c r="D5904" s="57" t="n"/>
      <c r="E5904" s="56" t="n"/>
      <c r="F5904" s="57" t="n"/>
      <c r="G5904" s="57" t="n"/>
      <c r="H5904" s="56" t="n"/>
      <c r="I5904" s="56" t="n"/>
      <c r="J5904" s="58" t="n"/>
      <c r="K5904" s="58" t="n"/>
      <c r="L5904" s="13">
        <f>IF(OR($A5904="",AND($J5904="",$K5904="")),"",ROUND(N($J5904)-N($K5904),2))</f>
        <v/>
      </c>
      <c r="M5904" s="13">
        <f>IF(OR($A5904="",AND($J5904="",$K5904="")),"",MIN($J5904,$K5904))</f>
        <v/>
      </c>
      <c r="Q5904">
        <f>IF($A5904="","",$D5904&amp;"("&amp;SUBSTITUTE($E5904," ","")&amp;")")</f>
        <v/>
      </c>
      <c r="R5904">
        <f>IF($A5904="","",$B5904&amp;" - "&amp;$C5904)</f>
        <v/>
      </c>
      <c r="S5904">
        <f>IF($A5904="","",$R5904&amp;"|"&amp;$Q5904)</f>
        <v/>
      </c>
      <c r="T5904">
        <f>IF($A5904="","",$S5904&amp;"|"&amp;$F5904)</f>
        <v/>
      </c>
      <c r="U5904">
        <f>IF($A5904="","",$R5904&amp;"("&amp;$E5904&amp;")")</f>
        <v/>
      </c>
      <c r="V5904">
        <f>IF($A5904="","",$F5904&amp;"|"&amp;$U5904&amp;"|"&amp;$D5904)</f>
        <v/>
      </c>
      <c r="W5904">
        <f>IF($T5904="","",IF($X5904&gt;N($X5903),$X5904,""))</f>
        <v/>
      </c>
      <c r="X5904">
        <f>IF($T5904="",N($X5903),IF(MATCH($T5904,$T$6:$T$6005,0)=ROW()-5,N($X5903)+1,N($X5903)))</f>
        <v/>
      </c>
      <c r="Z5904">
        <f>IF($V5904="","",IF($AA5904&gt;N($AA5903),$AA5904,""))</f>
        <v/>
      </c>
      <c r="AA5904">
        <f>IF($V5904="",N($AA5903),IF(MATCH($V5904,$V$6:$V$6005,0)=ROW()-5,N($AA5903)+1,N($AA5903)))</f>
        <v/>
      </c>
    </row>
    <row r="5905" ht="21" customHeight="1" s="66">
      <c r="A5905" s="56" t="n"/>
      <c r="B5905" s="57" t="n"/>
      <c r="C5905" s="57" t="n"/>
      <c r="D5905" s="57" t="n"/>
      <c r="E5905" s="56" t="n"/>
      <c r="F5905" s="57" t="n"/>
      <c r="G5905" s="57" t="n"/>
      <c r="H5905" s="56" t="n"/>
      <c r="I5905" s="56" t="n"/>
      <c r="J5905" s="58" t="n"/>
      <c r="K5905" s="58" t="n"/>
      <c r="L5905" s="13">
        <f>IF(OR($A5905="",AND($J5905="",$K5905="")),"",ROUND(N($J5905)-N($K5905),2))</f>
        <v/>
      </c>
      <c r="M5905" s="13">
        <f>IF(OR($A5905="",AND($J5905="",$K5905="")),"",MIN($J5905,$K5905))</f>
        <v/>
      </c>
      <c r="Q5905">
        <f>IF($A5905="","",$D5905&amp;"("&amp;SUBSTITUTE($E5905," ","")&amp;")")</f>
        <v/>
      </c>
      <c r="R5905">
        <f>IF($A5905="","",$B5905&amp;" - "&amp;$C5905)</f>
        <v/>
      </c>
      <c r="S5905">
        <f>IF($A5905="","",$R5905&amp;"|"&amp;$Q5905)</f>
        <v/>
      </c>
      <c r="T5905">
        <f>IF($A5905="","",$S5905&amp;"|"&amp;$F5905)</f>
        <v/>
      </c>
      <c r="U5905">
        <f>IF($A5905="","",$R5905&amp;"("&amp;$E5905&amp;")")</f>
        <v/>
      </c>
      <c r="V5905">
        <f>IF($A5905="","",$F5905&amp;"|"&amp;$U5905&amp;"|"&amp;$D5905)</f>
        <v/>
      </c>
      <c r="W5905">
        <f>IF($T5905="","",IF($X5905&gt;N($X5904),$X5905,""))</f>
        <v/>
      </c>
      <c r="X5905">
        <f>IF($T5905="",N($X5904),IF(MATCH($T5905,$T$6:$T$6005,0)=ROW()-5,N($X5904)+1,N($X5904)))</f>
        <v/>
      </c>
      <c r="Z5905">
        <f>IF($V5905="","",IF($AA5905&gt;N($AA5904),$AA5905,""))</f>
        <v/>
      </c>
      <c r="AA5905">
        <f>IF($V5905="",N($AA5904),IF(MATCH($V5905,$V$6:$V$6005,0)=ROW()-5,N($AA5904)+1,N($AA5904)))</f>
        <v/>
      </c>
    </row>
    <row r="5906" ht="21" customHeight="1" s="66">
      <c r="A5906" s="56" t="n"/>
      <c r="B5906" s="57" t="n"/>
      <c r="C5906" s="57" t="n"/>
      <c r="D5906" s="57" t="n"/>
      <c r="E5906" s="56" t="n"/>
      <c r="F5906" s="57" t="n"/>
      <c r="G5906" s="57" t="n"/>
      <c r="H5906" s="56" t="n"/>
      <c r="I5906" s="56" t="n"/>
      <c r="J5906" s="58" t="n"/>
      <c r="K5906" s="58" t="n"/>
      <c r="L5906" s="13">
        <f>IF(OR($A5906="",AND($J5906="",$K5906="")),"",ROUND(N($J5906)-N($K5906),2))</f>
        <v/>
      </c>
      <c r="M5906" s="13">
        <f>IF(OR($A5906="",AND($J5906="",$K5906="")),"",MIN($J5906,$K5906))</f>
        <v/>
      </c>
      <c r="Q5906">
        <f>IF($A5906="","",$D5906&amp;"("&amp;SUBSTITUTE($E5906," ","")&amp;")")</f>
        <v/>
      </c>
      <c r="R5906">
        <f>IF($A5906="","",$B5906&amp;" - "&amp;$C5906)</f>
        <v/>
      </c>
      <c r="S5906">
        <f>IF($A5906="","",$R5906&amp;"|"&amp;$Q5906)</f>
        <v/>
      </c>
      <c r="T5906">
        <f>IF($A5906="","",$S5906&amp;"|"&amp;$F5906)</f>
        <v/>
      </c>
      <c r="U5906">
        <f>IF($A5906="","",$R5906&amp;"("&amp;$E5906&amp;")")</f>
        <v/>
      </c>
      <c r="V5906">
        <f>IF($A5906="","",$F5906&amp;"|"&amp;$U5906&amp;"|"&amp;$D5906)</f>
        <v/>
      </c>
      <c r="W5906">
        <f>IF($T5906="","",IF($X5906&gt;N($X5905),$X5906,""))</f>
        <v/>
      </c>
      <c r="X5906">
        <f>IF($T5906="",N($X5905),IF(MATCH($T5906,$T$6:$T$6005,0)=ROW()-5,N($X5905)+1,N($X5905)))</f>
        <v/>
      </c>
      <c r="Z5906">
        <f>IF($V5906="","",IF($AA5906&gt;N($AA5905),$AA5906,""))</f>
        <v/>
      </c>
      <c r="AA5906">
        <f>IF($V5906="",N($AA5905),IF(MATCH($V5906,$V$6:$V$6005,0)=ROW()-5,N($AA5905)+1,N($AA5905)))</f>
        <v/>
      </c>
    </row>
    <row r="5907" ht="21" customHeight="1" s="66">
      <c r="A5907" s="56" t="n"/>
      <c r="B5907" s="57" t="n"/>
      <c r="C5907" s="57" t="n"/>
      <c r="D5907" s="57" t="n"/>
      <c r="E5907" s="56" t="n"/>
      <c r="F5907" s="57" t="n"/>
      <c r="G5907" s="57" t="n"/>
      <c r="H5907" s="56" t="n"/>
      <c r="I5907" s="56" t="n"/>
      <c r="J5907" s="58" t="n"/>
      <c r="K5907" s="58" t="n"/>
      <c r="L5907" s="13">
        <f>IF(OR($A5907="",AND($J5907="",$K5907="")),"",ROUND(N($J5907)-N($K5907),2))</f>
        <v/>
      </c>
      <c r="M5907" s="13">
        <f>IF(OR($A5907="",AND($J5907="",$K5907="")),"",MIN($J5907,$K5907))</f>
        <v/>
      </c>
      <c r="Q5907">
        <f>IF($A5907="","",$D5907&amp;"("&amp;SUBSTITUTE($E5907," ","")&amp;")")</f>
        <v/>
      </c>
      <c r="R5907">
        <f>IF($A5907="","",$B5907&amp;" - "&amp;$C5907)</f>
        <v/>
      </c>
      <c r="S5907">
        <f>IF($A5907="","",$R5907&amp;"|"&amp;$Q5907)</f>
        <v/>
      </c>
      <c r="T5907">
        <f>IF($A5907="","",$S5907&amp;"|"&amp;$F5907)</f>
        <v/>
      </c>
      <c r="U5907">
        <f>IF($A5907="","",$R5907&amp;"("&amp;$E5907&amp;")")</f>
        <v/>
      </c>
      <c r="V5907">
        <f>IF($A5907="","",$F5907&amp;"|"&amp;$U5907&amp;"|"&amp;$D5907)</f>
        <v/>
      </c>
      <c r="W5907">
        <f>IF($T5907="","",IF($X5907&gt;N($X5906),$X5907,""))</f>
        <v/>
      </c>
      <c r="X5907">
        <f>IF($T5907="",N($X5906),IF(MATCH($T5907,$T$6:$T$6005,0)=ROW()-5,N($X5906)+1,N($X5906)))</f>
        <v/>
      </c>
      <c r="Z5907">
        <f>IF($V5907="","",IF($AA5907&gt;N($AA5906),$AA5907,""))</f>
        <v/>
      </c>
      <c r="AA5907">
        <f>IF($V5907="",N($AA5906),IF(MATCH($V5907,$V$6:$V$6005,0)=ROW()-5,N($AA5906)+1,N($AA5906)))</f>
        <v/>
      </c>
    </row>
    <row r="5908" ht="21" customHeight="1" s="66">
      <c r="A5908" s="56" t="n"/>
      <c r="B5908" s="57" t="n"/>
      <c r="C5908" s="57" t="n"/>
      <c r="D5908" s="57" t="n"/>
      <c r="E5908" s="56" t="n"/>
      <c r="F5908" s="57" t="n"/>
      <c r="G5908" s="57" t="n"/>
      <c r="H5908" s="56" t="n"/>
      <c r="I5908" s="56" t="n"/>
      <c r="J5908" s="58" t="n"/>
      <c r="K5908" s="58" t="n"/>
      <c r="L5908" s="13">
        <f>IF(OR($A5908="",AND($J5908="",$K5908="")),"",ROUND(N($J5908)-N($K5908),2))</f>
        <v/>
      </c>
      <c r="M5908" s="13">
        <f>IF(OR($A5908="",AND($J5908="",$K5908="")),"",MIN($J5908,$K5908))</f>
        <v/>
      </c>
      <c r="Q5908">
        <f>IF($A5908="","",$D5908&amp;"("&amp;SUBSTITUTE($E5908," ","")&amp;")")</f>
        <v/>
      </c>
      <c r="R5908">
        <f>IF($A5908="","",$B5908&amp;" - "&amp;$C5908)</f>
        <v/>
      </c>
      <c r="S5908">
        <f>IF($A5908="","",$R5908&amp;"|"&amp;$Q5908)</f>
        <v/>
      </c>
      <c r="T5908">
        <f>IF($A5908="","",$S5908&amp;"|"&amp;$F5908)</f>
        <v/>
      </c>
      <c r="U5908">
        <f>IF($A5908="","",$R5908&amp;"("&amp;$E5908&amp;")")</f>
        <v/>
      </c>
      <c r="V5908">
        <f>IF($A5908="","",$F5908&amp;"|"&amp;$U5908&amp;"|"&amp;$D5908)</f>
        <v/>
      </c>
      <c r="W5908">
        <f>IF($T5908="","",IF($X5908&gt;N($X5907),$X5908,""))</f>
        <v/>
      </c>
      <c r="X5908">
        <f>IF($T5908="",N($X5907),IF(MATCH($T5908,$T$6:$T$6005,0)=ROW()-5,N($X5907)+1,N($X5907)))</f>
        <v/>
      </c>
      <c r="Z5908">
        <f>IF($V5908="","",IF($AA5908&gt;N($AA5907),$AA5908,""))</f>
        <v/>
      </c>
      <c r="AA5908">
        <f>IF($V5908="",N($AA5907),IF(MATCH($V5908,$V$6:$V$6005,0)=ROW()-5,N($AA5907)+1,N($AA5907)))</f>
        <v/>
      </c>
    </row>
    <row r="5909" ht="21" customHeight="1" s="66">
      <c r="A5909" s="56" t="n"/>
      <c r="B5909" s="57" t="n"/>
      <c r="C5909" s="57" t="n"/>
      <c r="D5909" s="57" t="n"/>
      <c r="E5909" s="56" t="n"/>
      <c r="F5909" s="57" t="n"/>
      <c r="G5909" s="57" t="n"/>
      <c r="H5909" s="56" t="n"/>
      <c r="I5909" s="56" t="n"/>
      <c r="J5909" s="58" t="n"/>
      <c r="K5909" s="58" t="n"/>
      <c r="L5909" s="13">
        <f>IF(OR($A5909="",AND($J5909="",$K5909="")),"",ROUND(N($J5909)-N($K5909),2))</f>
        <v/>
      </c>
      <c r="M5909" s="13">
        <f>IF(OR($A5909="",AND($J5909="",$K5909="")),"",MIN($J5909,$K5909))</f>
        <v/>
      </c>
      <c r="Q5909">
        <f>IF($A5909="","",$D5909&amp;"("&amp;SUBSTITUTE($E5909," ","")&amp;")")</f>
        <v/>
      </c>
      <c r="R5909">
        <f>IF($A5909="","",$B5909&amp;" - "&amp;$C5909)</f>
        <v/>
      </c>
      <c r="S5909">
        <f>IF($A5909="","",$R5909&amp;"|"&amp;$Q5909)</f>
        <v/>
      </c>
      <c r="T5909">
        <f>IF($A5909="","",$S5909&amp;"|"&amp;$F5909)</f>
        <v/>
      </c>
      <c r="U5909">
        <f>IF($A5909="","",$R5909&amp;"("&amp;$E5909&amp;")")</f>
        <v/>
      </c>
      <c r="V5909">
        <f>IF($A5909="","",$F5909&amp;"|"&amp;$U5909&amp;"|"&amp;$D5909)</f>
        <v/>
      </c>
      <c r="W5909">
        <f>IF($T5909="","",IF($X5909&gt;N($X5908),$X5909,""))</f>
        <v/>
      </c>
      <c r="X5909">
        <f>IF($T5909="",N($X5908),IF(MATCH($T5909,$T$6:$T$6005,0)=ROW()-5,N($X5908)+1,N($X5908)))</f>
        <v/>
      </c>
      <c r="Z5909">
        <f>IF($V5909="","",IF($AA5909&gt;N($AA5908),$AA5909,""))</f>
        <v/>
      </c>
      <c r="AA5909">
        <f>IF($V5909="",N($AA5908),IF(MATCH($V5909,$V$6:$V$6005,0)=ROW()-5,N($AA5908)+1,N($AA5908)))</f>
        <v/>
      </c>
    </row>
    <row r="5910" ht="21" customHeight="1" s="66">
      <c r="A5910" s="56" t="n"/>
      <c r="B5910" s="57" t="n"/>
      <c r="C5910" s="57" t="n"/>
      <c r="D5910" s="57" t="n"/>
      <c r="E5910" s="56" t="n"/>
      <c r="F5910" s="57" t="n"/>
      <c r="G5910" s="57" t="n"/>
      <c r="H5910" s="56" t="n"/>
      <c r="I5910" s="56" t="n"/>
      <c r="J5910" s="58" t="n"/>
      <c r="K5910" s="58" t="n"/>
      <c r="L5910" s="13">
        <f>IF(OR($A5910="",AND($J5910="",$K5910="")),"",ROUND(N($J5910)-N($K5910),2))</f>
        <v/>
      </c>
      <c r="M5910" s="13">
        <f>IF(OR($A5910="",AND($J5910="",$K5910="")),"",MIN($J5910,$K5910))</f>
        <v/>
      </c>
      <c r="Q5910">
        <f>IF($A5910="","",$D5910&amp;"("&amp;SUBSTITUTE($E5910," ","")&amp;")")</f>
        <v/>
      </c>
      <c r="R5910">
        <f>IF($A5910="","",$B5910&amp;" - "&amp;$C5910)</f>
        <v/>
      </c>
      <c r="S5910">
        <f>IF($A5910="","",$R5910&amp;"|"&amp;$Q5910)</f>
        <v/>
      </c>
      <c r="T5910">
        <f>IF($A5910="","",$S5910&amp;"|"&amp;$F5910)</f>
        <v/>
      </c>
      <c r="U5910">
        <f>IF($A5910="","",$R5910&amp;"("&amp;$E5910&amp;")")</f>
        <v/>
      </c>
      <c r="V5910">
        <f>IF($A5910="","",$F5910&amp;"|"&amp;$U5910&amp;"|"&amp;$D5910)</f>
        <v/>
      </c>
      <c r="W5910">
        <f>IF($T5910="","",IF($X5910&gt;N($X5909),$X5910,""))</f>
        <v/>
      </c>
      <c r="X5910">
        <f>IF($T5910="",N($X5909),IF(MATCH($T5910,$T$6:$T$6005,0)=ROW()-5,N($X5909)+1,N($X5909)))</f>
        <v/>
      </c>
      <c r="Z5910">
        <f>IF($V5910="","",IF($AA5910&gt;N($AA5909),$AA5910,""))</f>
        <v/>
      </c>
      <c r="AA5910">
        <f>IF($V5910="",N($AA5909),IF(MATCH($V5910,$V$6:$V$6005,0)=ROW()-5,N($AA5909)+1,N($AA5909)))</f>
        <v/>
      </c>
    </row>
    <row r="5911" ht="21" customHeight="1" s="66">
      <c r="A5911" s="56" t="n"/>
      <c r="B5911" s="57" t="n"/>
      <c r="C5911" s="57" t="n"/>
      <c r="D5911" s="57" t="n"/>
      <c r="E5911" s="56" t="n"/>
      <c r="F5911" s="57" t="n"/>
      <c r="G5911" s="57" t="n"/>
      <c r="H5911" s="56" t="n"/>
      <c r="I5911" s="56" t="n"/>
      <c r="J5911" s="58" t="n"/>
      <c r="K5911" s="58" t="n"/>
      <c r="L5911" s="13">
        <f>IF(OR($A5911="",AND($J5911="",$K5911="")),"",ROUND(N($J5911)-N($K5911),2))</f>
        <v/>
      </c>
      <c r="M5911" s="13">
        <f>IF(OR($A5911="",AND($J5911="",$K5911="")),"",MIN($J5911,$K5911))</f>
        <v/>
      </c>
      <c r="Q5911">
        <f>IF($A5911="","",$D5911&amp;"("&amp;SUBSTITUTE($E5911," ","")&amp;")")</f>
        <v/>
      </c>
      <c r="R5911">
        <f>IF($A5911="","",$B5911&amp;" - "&amp;$C5911)</f>
        <v/>
      </c>
      <c r="S5911">
        <f>IF($A5911="","",$R5911&amp;"|"&amp;$Q5911)</f>
        <v/>
      </c>
      <c r="T5911">
        <f>IF($A5911="","",$S5911&amp;"|"&amp;$F5911)</f>
        <v/>
      </c>
      <c r="U5911">
        <f>IF($A5911="","",$R5911&amp;"("&amp;$E5911&amp;")")</f>
        <v/>
      </c>
      <c r="V5911">
        <f>IF($A5911="","",$F5911&amp;"|"&amp;$U5911&amp;"|"&amp;$D5911)</f>
        <v/>
      </c>
      <c r="W5911">
        <f>IF($T5911="","",IF($X5911&gt;N($X5910),$X5911,""))</f>
        <v/>
      </c>
      <c r="X5911">
        <f>IF($T5911="",N($X5910),IF(MATCH($T5911,$T$6:$T$6005,0)=ROW()-5,N($X5910)+1,N($X5910)))</f>
        <v/>
      </c>
      <c r="Z5911">
        <f>IF($V5911="","",IF($AA5911&gt;N($AA5910),$AA5911,""))</f>
        <v/>
      </c>
      <c r="AA5911">
        <f>IF($V5911="",N($AA5910),IF(MATCH($V5911,$V$6:$V$6005,0)=ROW()-5,N($AA5910)+1,N($AA5910)))</f>
        <v/>
      </c>
    </row>
    <row r="5912" ht="21" customHeight="1" s="66">
      <c r="A5912" s="56" t="n"/>
      <c r="B5912" s="57" t="n"/>
      <c r="C5912" s="57" t="n"/>
      <c r="D5912" s="57" t="n"/>
      <c r="E5912" s="56" t="n"/>
      <c r="F5912" s="57" t="n"/>
      <c r="G5912" s="57" t="n"/>
      <c r="H5912" s="56" t="n"/>
      <c r="I5912" s="56" t="n"/>
      <c r="J5912" s="58" t="n"/>
      <c r="K5912" s="58" t="n"/>
      <c r="L5912" s="13">
        <f>IF(OR($A5912="",AND($J5912="",$K5912="")),"",ROUND(N($J5912)-N($K5912),2))</f>
        <v/>
      </c>
      <c r="M5912" s="13">
        <f>IF(OR($A5912="",AND($J5912="",$K5912="")),"",MIN($J5912,$K5912))</f>
        <v/>
      </c>
      <c r="Q5912">
        <f>IF($A5912="","",$D5912&amp;"("&amp;SUBSTITUTE($E5912," ","")&amp;")")</f>
        <v/>
      </c>
      <c r="R5912">
        <f>IF($A5912="","",$B5912&amp;" - "&amp;$C5912)</f>
        <v/>
      </c>
      <c r="S5912">
        <f>IF($A5912="","",$R5912&amp;"|"&amp;$Q5912)</f>
        <v/>
      </c>
      <c r="T5912">
        <f>IF($A5912="","",$S5912&amp;"|"&amp;$F5912)</f>
        <v/>
      </c>
      <c r="U5912">
        <f>IF($A5912="","",$R5912&amp;"("&amp;$E5912&amp;")")</f>
        <v/>
      </c>
      <c r="V5912">
        <f>IF($A5912="","",$F5912&amp;"|"&amp;$U5912&amp;"|"&amp;$D5912)</f>
        <v/>
      </c>
      <c r="W5912">
        <f>IF($T5912="","",IF($X5912&gt;N($X5911),$X5912,""))</f>
        <v/>
      </c>
      <c r="X5912">
        <f>IF($T5912="",N($X5911),IF(MATCH($T5912,$T$6:$T$6005,0)=ROW()-5,N($X5911)+1,N($X5911)))</f>
        <v/>
      </c>
      <c r="Z5912">
        <f>IF($V5912="","",IF($AA5912&gt;N($AA5911),$AA5912,""))</f>
        <v/>
      </c>
      <c r="AA5912">
        <f>IF($V5912="",N($AA5911),IF(MATCH($V5912,$V$6:$V$6005,0)=ROW()-5,N($AA5911)+1,N($AA5911)))</f>
        <v/>
      </c>
    </row>
    <row r="5913" ht="21" customHeight="1" s="66">
      <c r="A5913" s="56" t="n"/>
      <c r="B5913" s="57" t="n"/>
      <c r="C5913" s="57" t="n"/>
      <c r="D5913" s="57" t="n"/>
      <c r="E5913" s="56" t="n"/>
      <c r="F5913" s="57" t="n"/>
      <c r="G5913" s="57" t="n"/>
      <c r="H5913" s="56" t="n"/>
      <c r="I5913" s="56" t="n"/>
      <c r="J5913" s="58" t="n"/>
      <c r="K5913" s="58" t="n"/>
      <c r="L5913" s="13">
        <f>IF(OR($A5913="",AND($J5913="",$K5913="")),"",ROUND(N($J5913)-N($K5913),2))</f>
        <v/>
      </c>
      <c r="M5913" s="13">
        <f>IF(OR($A5913="",AND($J5913="",$K5913="")),"",MIN($J5913,$K5913))</f>
        <v/>
      </c>
      <c r="Q5913">
        <f>IF($A5913="","",$D5913&amp;"("&amp;SUBSTITUTE($E5913," ","")&amp;")")</f>
        <v/>
      </c>
      <c r="R5913">
        <f>IF($A5913="","",$B5913&amp;" - "&amp;$C5913)</f>
        <v/>
      </c>
      <c r="S5913">
        <f>IF($A5913="","",$R5913&amp;"|"&amp;$Q5913)</f>
        <v/>
      </c>
      <c r="T5913">
        <f>IF($A5913="","",$S5913&amp;"|"&amp;$F5913)</f>
        <v/>
      </c>
      <c r="U5913">
        <f>IF($A5913="","",$R5913&amp;"("&amp;$E5913&amp;")")</f>
        <v/>
      </c>
      <c r="V5913">
        <f>IF($A5913="","",$F5913&amp;"|"&amp;$U5913&amp;"|"&amp;$D5913)</f>
        <v/>
      </c>
      <c r="W5913">
        <f>IF($T5913="","",IF($X5913&gt;N($X5912),$X5913,""))</f>
        <v/>
      </c>
      <c r="X5913">
        <f>IF($T5913="",N($X5912),IF(MATCH($T5913,$T$6:$T$6005,0)=ROW()-5,N($X5912)+1,N($X5912)))</f>
        <v/>
      </c>
      <c r="Z5913">
        <f>IF($V5913="","",IF($AA5913&gt;N($AA5912),$AA5913,""))</f>
        <v/>
      </c>
      <c r="AA5913">
        <f>IF($V5913="",N($AA5912),IF(MATCH($V5913,$V$6:$V$6005,0)=ROW()-5,N($AA5912)+1,N($AA5912)))</f>
        <v/>
      </c>
    </row>
    <row r="5914" ht="21" customHeight="1" s="66">
      <c r="A5914" s="56" t="n"/>
      <c r="B5914" s="57" t="n"/>
      <c r="C5914" s="57" t="n"/>
      <c r="D5914" s="57" t="n"/>
      <c r="E5914" s="56" t="n"/>
      <c r="F5914" s="57" t="n"/>
      <c r="G5914" s="57" t="n"/>
      <c r="H5914" s="56" t="n"/>
      <c r="I5914" s="56" t="n"/>
      <c r="J5914" s="58" t="n"/>
      <c r="K5914" s="58" t="n"/>
      <c r="L5914" s="13">
        <f>IF(OR($A5914="",AND($J5914="",$K5914="")),"",ROUND(N($J5914)-N($K5914),2))</f>
        <v/>
      </c>
      <c r="M5914" s="13">
        <f>IF(OR($A5914="",AND($J5914="",$K5914="")),"",MIN($J5914,$K5914))</f>
        <v/>
      </c>
      <c r="Q5914">
        <f>IF($A5914="","",$D5914&amp;"("&amp;SUBSTITUTE($E5914," ","")&amp;")")</f>
        <v/>
      </c>
      <c r="R5914">
        <f>IF($A5914="","",$B5914&amp;" - "&amp;$C5914)</f>
        <v/>
      </c>
      <c r="S5914">
        <f>IF($A5914="","",$R5914&amp;"|"&amp;$Q5914)</f>
        <v/>
      </c>
      <c r="T5914">
        <f>IF($A5914="","",$S5914&amp;"|"&amp;$F5914)</f>
        <v/>
      </c>
      <c r="U5914">
        <f>IF($A5914="","",$R5914&amp;"("&amp;$E5914&amp;")")</f>
        <v/>
      </c>
      <c r="V5914">
        <f>IF($A5914="","",$F5914&amp;"|"&amp;$U5914&amp;"|"&amp;$D5914)</f>
        <v/>
      </c>
      <c r="W5914">
        <f>IF($T5914="","",IF($X5914&gt;N($X5913),$X5914,""))</f>
        <v/>
      </c>
      <c r="X5914">
        <f>IF($T5914="",N($X5913),IF(MATCH($T5914,$T$6:$T$6005,0)=ROW()-5,N($X5913)+1,N($X5913)))</f>
        <v/>
      </c>
      <c r="Z5914">
        <f>IF($V5914="","",IF($AA5914&gt;N($AA5913),$AA5914,""))</f>
        <v/>
      </c>
      <c r="AA5914">
        <f>IF($V5914="",N($AA5913),IF(MATCH($V5914,$V$6:$V$6005,0)=ROW()-5,N($AA5913)+1,N($AA5913)))</f>
        <v/>
      </c>
    </row>
    <row r="5915" ht="21" customHeight="1" s="66">
      <c r="A5915" s="56" t="n"/>
      <c r="B5915" s="57" t="n"/>
      <c r="C5915" s="57" t="n"/>
      <c r="D5915" s="57" t="n"/>
      <c r="E5915" s="56" t="n"/>
      <c r="F5915" s="57" t="n"/>
      <c r="G5915" s="57" t="n"/>
      <c r="H5915" s="56" t="n"/>
      <c r="I5915" s="56" t="n"/>
      <c r="J5915" s="58" t="n"/>
      <c r="K5915" s="58" t="n"/>
      <c r="L5915" s="13">
        <f>IF(OR($A5915="",AND($J5915="",$K5915="")),"",ROUND(N($J5915)-N($K5915),2))</f>
        <v/>
      </c>
      <c r="M5915" s="13">
        <f>IF(OR($A5915="",AND($J5915="",$K5915="")),"",MIN($J5915,$K5915))</f>
        <v/>
      </c>
      <c r="Q5915">
        <f>IF($A5915="","",$D5915&amp;"("&amp;SUBSTITUTE($E5915," ","")&amp;")")</f>
        <v/>
      </c>
      <c r="R5915">
        <f>IF($A5915="","",$B5915&amp;" - "&amp;$C5915)</f>
        <v/>
      </c>
      <c r="S5915">
        <f>IF($A5915="","",$R5915&amp;"|"&amp;$Q5915)</f>
        <v/>
      </c>
      <c r="T5915">
        <f>IF($A5915="","",$S5915&amp;"|"&amp;$F5915)</f>
        <v/>
      </c>
      <c r="U5915">
        <f>IF($A5915="","",$R5915&amp;"("&amp;$E5915&amp;")")</f>
        <v/>
      </c>
      <c r="V5915">
        <f>IF($A5915="","",$F5915&amp;"|"&amp;$U5915&amp;"|"&amp;$D5915)</f>
        <v/>
      </c>
      <c r="W5915">
        <f>IF($T5915="","",IF($X5915&gt;N($X5914),$X5915,""))</f>
        <v/>
      </c>
      <c r="X5915">
        <f>IF($T5915="",N($X5914),IF(MATCH($T5915,$T$6:$T$6005,0)=ROW()-5,N($X5914)+1,N($X5914)))</f>
        <v/>
      </c>
      <c r="Z5915">
        <f>IF($V5915="","",IF($AA5915&gt;N($AA5914),$AA5915,""))</f>
        <v/>
      </c>
      <c r="AA5915">
        <f>IF($V5915="",N($AA5914),IF(MATCH($V5915,$V$6:$V$6005,0)=ROW()-5,N($AA5914)+1,N($AA5914)))</f>
        <v/>
      </c>
    </row>
    <row r="5916" ht="21" customHeight="1" s="66">
      <c r="A5916" s="56" t="n"/>
      <c r="B5916" s="57" t="n"/>
      <c r="C5916" s="57" t="n"/>
      <c r="D5916" s="57" t="n"/>
      <c r="E5916" s="56" t="n"/>
      <c r="F5916" s="57" t="n"/>
      <c r="G5916" s="57" t="n"/>
      <c r="H5916" s="56" t="n"/>
      <c r="I5916" s="56" t="n"/>
      <c r="J5916" s="58" t="n"/>
      <c r="K5916" s="58" t="n"/>
      <c r="L5916" s="13">
        <f>IF(OR($A5916="",AND($J5916="",$K5916="")),"",ROUND(N($J5916)-N($K5916),2))</f>
        <v/>
      </c>
      <c r="M5916" s="13">
        <f>IF(OR($A5916="",AND($J5916="",$K5916="")),"",MIN($J5916,$K5916))</f>
        <v/>
      </c>
      <c r="Q5916">
        <f>IF($A5916="","",$D5916&amp;"("&amp;SUBSTITUTE($E5916," ","")&amp;")")</f>
        <v/>
      </c>
      <c r="R5916">
        <f>IF($A5916="","",$B5916&amp;" - "&amp;$C5916)</f>
        <v/>
      </c>
      <c r="S5916">
        <f>IF($A5916="","",$R5916&amp;"|"&amp;$Q5916)</f>
        <v/>
      </c>
      <c r="T5916">
        <f>IF($A5916="","",$S5916&amp;"|"&amp;$F5916)</f>
        <v/>
      </c>
      <c r="U5916">
        <f>IF($A5916="","",$R5916&amp;"("&amp;$E5916&amp;")")</f>
        <v/>
      </c>
      <c r="V5916">
        <f>IF($A5916="","",$F5916&amp;"|"&amp;$U5916&amp;"|"&amp;$D5916)</f>
        <v/>
      </c>
      <c r="W5916">
        <f>IF($T5916="","",IF($X5916&gt;N($X5915),$X5916,""))</f>
        <v/>
      </c>
      <c r="X5916">
        <f>IF($T5916="",N($X5915),IF(MATCH($T5916,$T$6:$T$6005,0)=ROW()-5,N($X5915)+1,N($X5915)))</f>
        <v/>
      </c>
      <c r="Z5916">
        <f>IF($V5916="","",IF($AA5916&gt;N($AA5915),$AA5916,""))</f>
        <v/>
      </c>
      <c r="AA5916">
        <f>IF($V5916="",N($AA5915),IF(MATCH($V5916,$V$6:$V$6005,0)=ROW()-5,N($AA5915)+1,N($AA5915)))</f>
        <v/>
      </c>
    </row>
    <row r="5917" ht="21" customHeight="1" s="66">
      <c r="A5917" s="56" t="n"/>
      <c r="B5917" s="57" t="n"/>
      <c r="C5917" s="57" t="n"/>
      <c r="D5917" s="57" t="n"/>
      <c r="E5917" s="56" t="n"/>
      <c r="F5917" s="57" t="n"/>
      <c r="G5917" s="57" t="n"/>
      <c r="H5917" s="56" t="n"/>
      <c r="I5917" s="56" t="n"/>
      <c r="J5917" s="58" t="n"/>
      <c r="K5917" s="58" t="n"/>
      <c r="L5917" s="13">
        <f>IF(OR($A5917="",AND($J5917="",$K5917="")),"",ROUND(N($J5917)-N($K5917),2))</f>
        <v/>
      </c>
      <c r="M5917" s="13">
        <f>IF(OR($A5917="",AND($J5917="",$K5917="")),"",MIN($J5917,$K5917))</f>
        <v/>
      </c>
      <c r="Q5917">
        <f>IF($A5917="","",$D5917&amp;"("&amp;SUBSTITUTE($E5917," ","")&amp;")")</f>
        <v/>
      </c>
      <c r="R5917">
        <f>IF($A5917="","",$B5917&amp;" - "&amp;$C5917)</f>
        <v/>
      </c>
      <c r="S5917">
        <f>IF($A5917="","",$R5917&amp;"|"&amp;$Q5917)</f>
        <v/>
      </c>
      <c r="T5917">
        <f>IF($A5917="","",$S5917&amp;"|"&amp;$F5917)</f>
        <v/>
      </c>
      <c r="U5917">
        <f>IF($A5917="","",$R5917&amp;"("&amp;$E5917&amp;")")</f>
        <v/>
      </c>
      <c r="V5917">
        <f>IF($A5917="","",$F5917&amp;"|"&amp;$U5917&amp;"|"&amp;$D5917)</f>
        <v/>
      </c>
      <c r="W5917">
        <f>IF($T5917="","",IF($X5917&gt;N($X5916),$X5917,""))</f>
        <v/>
      </c>
      <c r="X5917">
        <f>IF($T5917="",N($X5916),IF(MATCH($T5917,$T$6:$T$6005,0)=ROW()-5,N($X5916)+1,N($X5916)))</f>
        <v/>
      </c>
      <c r="Z5917">
        <f>IF($V5917="","",IF($AA5917&gt;N($AA5916),$AA5917,""))</f>
        <v/>
      </c>
      <c r="AA5917">
        <f>IF($V5917="",N($AA5916),IF(MATCH($V5917,$V$6:$V$6005,0)=ROW()-5,N($AA5916)+1,N($AA5916)))</f>
        <v/>
      </c>
    </row>
    <row r="5918" ht="21" customHeight="1" s="66">
      <c r="A5918" s="56" t="n"/>
      <c r="B5918" s="57" t="n"/>
      <c r="C5918" s="57" t="n"/>
      <c r="D5918" s="57" t="n"/>
      <c r="E5918" s="56" t="n"/>
      <c r="F5918" s="57" t="n"/>
      <c r="G5918" s="57" t="n"/>
      <c r="H5918" s="56" t="n"/>
      <c r="I5918" s="56" t="n"/>
      <c r="J5918" s="58" t="n"/>
      <c r="K5918" s="58" t="n"/>
      <c r="L5918" s="13">
        <f>IF(OR($A5918="",AND($J5918="",$K5918="")),"",ROUND(N($J5918)-N($K5918),2))</f>
        <v/>
      </c>
      <c r="M5918" s="13">
        <f>IF(OR($A5918="",AND($J5918="",$K5918="")),"",MIN($J5918,$K5918))</f>
        <v/>
      </c>
      <c r="Q5918">
        <f>IF($A5918="","",$D5918&amp;"("&amp;SUBSTITUTE($E5918," ","")&amp;")")</f>
        <v/>
      </c>
      <c r="R5918">
        <f>IF($A5918="","",$B5918&amp;" - "&amp;$C5918)</f>
        <v/>
      </c>
      <c r="S5918">
        <f>IF($A5918="","",$R5918&amp;"|"&amp;$Q5918)</f>
        <v/>
      </c>
      <c r="T5918">
        <f>IF($A5918="","",$S5918&amp;"|"&amp;$F5918)</f>
        <v/>
      </c>
      <c r="U5918">
        <f>IF($A5918="","",$R5918&amp;"("&amp;$E5918&amp;")")</f>
        <v/>
      </c>
      <c r="V5918">
        <f>IF($A5918="","",$F5918&amp;"|"&amp;$U5918&amp;"|"&amp;$D5918)</f>
        <v/>
      </c>
      <c r="W5918">
        <f>IF($T5918="","",IF($X5918&gt;N($X5917),$X5918,""))</f>
        <v/>
      </c>
      <c r="X5918">
        <f>IF($T5918="",N($X5917),IF(MATCH($T5918,$T$6:$T$6005,0)=ROW()-5,N($X5917)+1,N($X5917)))</f>
        <v/>
      </c>
      <c r="Z5918">
        <f>IF($V5918="","",IF($AA5918&gt;N($AA5917),$AA5918,""))</f>
        <v/>
      </c>
      <c r="AA5918">
        <f>IF($V5918="",N($AA5917),IF(MATCH($V5918,$V$6:$V$6005,0)=ROW()-5,N($AA5917)+1,N($AA5917)))</f>
        <v/>
      </c>
    </row>
    <row r="5919" ht="21" customHeight="1" s="66">
      <c r="A5919" s="56" t="n"/>
      <c r="B5919" s="57" t="n"/>
      <c r="C5919" s="57" t="n"/>
      <c r="D5919" s="57" t="n"/>
      <c r="E5919" s="56" t="n"/>
      <c r="F5919" s="57" t="n"/>
      <c r="G5919" s="57" t="n"/>
      <c r="H5919" s="56" t="n"/>
      <c r="I5919" s="56" t="n"/>
      <c r="J5919" s="58" t="n"/>
      <c r="K5919" s="58" t="n"/>
      <c r="L5919" s="13">
        <f>IF(OR($A5919="",AND($J5919="",$K5919="")),"",ROUND(N($J5919)-N($K5919),2))</f>
        <v/>
      </c>
      <c r="M5919" s="13">
        <f>IF(OR($A5919="",AND($J5919="",$K5919="")),"",MIN($J5919,$K5919))</f>
        <v/>
      </c>
      <c r="Q5919">
        <f>IF($A5919="","",$D5919&amp;"("&amp;SUBSTITUTE($E5919," ","")&amp;")")</f>
        <v/>
      </c>
      <c r="R5919">
        <f>IF($A5919="","",$B5919&amp;" - "&amp;$C5919)</f>
        <v/>
      </c>
      <c r="S5919">
        <f>IF($A5919="","",$R5919&amp;"|"&amp;$Q5919)</f>
        <v/>
      </c>
      <c r="T5919">
        <f>IF($A5919="","",$S5919&amp;"|"&amp;$F5919)</f>
        <v/>
      </c>
      <c r="U5919">
        <f>IF($A5919="","",$R5919&amp;"("&amp;$E5919&amp;")")</f>
        <v/>
      </c>
      <c r="V5919">
        <f>IF($A5919="","",$F5919&amp;"|"&amp;$U5919&amp;"|"&amp;$D5919)</f>
        <v/>
      </c>
      <c r="W5919">
        <f>IF($T5919="","",IF($X5919&gt;N($X5918),$X5919,""))</f>
        <v/>
      </c>
      <c r="X5919">
        <f>IF($T5919="",N($X5918),IF(MATCH($T5919,$T$6:$T$6005,0)=ROW()-5,N($X5918)+1,N($X5918)))</f>
        <v/>
      </c>
      <c r="Z5919">
        <f>IF($V5919="","",IF($AA5919&gt;N($AA5918),$AA5919,""))</f>
        <v/>
      </c>
      <c r="AA5919">
        <f>IF($V5919="",N($AA5918),IF(MATCH($V5919,$V$6:$V$6005,0)=ROW()-5,N($AA5918)+1,N($AA5918)))</f>
        <v/>
      </c>
    </row>
    <row r="5920" ht="21" customHeight="1" s="66">
      <c r="A5920" s="56" t="n"/>
      <c r="B5920" s="57" t="n"/>
      <c r="C5920" s="57" t="n"/>
      <c r="D5920" s="57" t="n"/>
      <c r="E5920" s="56" t="n"/>
      <c r="F5920" s="57" t="n"/>
      <c r="G5920" s="57" t="n"/>
      <c r="H5920" s="56" t="n"/>
      <c r="I5920" s="56" t="n"/>
      <c r="J5920" s="58" t="n"/>
      <c r="K5920" s="58" t="n"/>
      <c r="L5920" s="13">
        <f>IF(OR($A5920="",AND($J5920="",$K5920="")),"",ROUND(N($J5920)-N($K5920),2))</f>
        <v/>
      </c>
      <c r="M5920" s="13">
        <f>IF(OR($A5920="",AND($J5920="",$K5920="")),"",MIN($J5920,$K5920))</f>
        <v/>
      </c>
      <c r="Q5920">
        <f>IF($A5920="","",$D5920&amp;"("&amp;SUBSTITUTE($E5920," ","")&amp;")")</f>
        <v/>
      </c>
      <c r="R5920">
        <f>IF($A5920="","",$B5920&amp;" - "&amp;$C5920)</f>
        <v/>
      </c>
      <c r="S5920">
        <f>IF($A5920="","",$R5920&amp;"|"&amp;$Q5920)</f>
        <v/>
      </c>
      <c r="T5920">
        <f>IF($A5920="","",$S5920&amp;"|"&amp;$F5920)</f>
        <v/>
      </c>
      <c r="U5920">
        <f>IF($A5920="","",$R5920&amp;"("&amp;$E5920&amp;")")</f>
        <v/>
      </c>
      <c r="V5920">
        <f>IF($A5920="","",$F5920&amp;"|"&amp;$U5920&amp;"|"&amp;$D5920)</f>
        <v/>
      </c>
      <c r="W5920">
        <f>IF($T5920="","",IF($X5920&gt;N($X5919),$X5920,""))</f>
        <v/>
      </c>
      <c r="X5920">
        <f>IF($T5920="",N($X5919),IF(MATCH($T5920,$T$6:$T$6005,0)=ROW()-5,N($X5919)+1,N($X5919)))</f>
        <v/>
      </c>
      <c r="Z5920">
        <f>IF($V5920="","",IF($AA5920&gt;N($AA5919),$AA5920,""))</f>
        <v/>
      </c>
      <c r="AA5920">
        <f>IF($V5920="",N($AA5919),IF(MATCH($V5920,$V$6:$V$6005,0)=ROW()-5,N($AA5919)+1,N($AA5919)))</f>
        <v/>
      </c>
    </row>
    <row r="5921" ht="21" customHeight="1" s="66">
      <c r="A5921" s="56" t="n"/>
      <c r="B5921" s="57" t="n"/>
      <c r="C5921" s="57" t="n"/>
      <c r="D5921" s="57" t="n"/>
      <c r="E5921" s="56" t="n"/>
      <c r="F5921" s="57" t="n"/>
      <c r="G5921" s="57" t="n"/>
      <c r="H5921" s="56" t="n"/>
      <c r="I5921" s="56" t="n"/>
      <c r="J5921" s="58" t="n"/>
      <c r="K5921" s="58" t="n"/>
      <c r="L5921" s="13">
        <f>IF(OR($A5921="",AND($J5921="",$K5921="")),"",ROUND(N($J5921)-N($K5921),2))</f>
        <v/>
      </c>
      <c r="M5921" s="13">
        <f>IF(OR($A5921="",AND($J5921="",$K5921="")),"",MIN($J5921,$K5921))</f>
        <v/>
      </c>
      <c r="Q5921">
        <f>IF($A5921="","",$D5921&amp;"("&amp;SUBSTITUTE($E5921," ","")&amp;")")</f>
        <v/>
      </c>
      <c r="R5921">
        <f>IF($A5921="","",$B5921&amp;" - "&amp;$C5921)</f>
        <v/>
      </c>
      <c r="S5921">
        <f>IF($A5921="","",$R5921&amp;"|"&amp;$Q5921)</f>
        <v/>
      </c>
      <c r="T5921">
        <f>IF($A5921="","",$S5921&amp;"|"&amp;$F5921)</f>
        <v/>
      </c>
      <c r="U5921">
        <f>IF($A5921="","",$R5921&amp;"("&amp;$E5921&amp;")")</f>
        <v/>
      </c>
      <c r="V5921">
        <f>IF($A5921="","",$F5921&amp;"|"&amp;$U5921&amp;"|"&amp;$D5921)</f>
        <v/>
      </c>
      <c r="W5921">
        <f>IF($T5921="","",IF($X5921&gt;N($X5920),$X5921,""))</f>
        <v/>
      </c>
      <c r="X5921">
        <f>IF($T5921="",N($X5920),IF(MATCH($T5921,$T$6:$T$6005,0)=ROW()-5,N($X5920)+1,N($X5920)))</f>
        <v/>
      </c>
      <c r="Z5921">
        <f>IF($V5921="","",IF($AA5921&gt;N($AA5920),$AA5921,""))</f>
        <v/>
      </c>
      <c r="AA5921">
        <f>IF($V5921="",N($AA5920),IF(MATCH($V5921,$V$6:$V$6005,0)=ROW()-5,N($AA5920)+1,N($AA5920)))</f>
        <v/>
      </c>
    </row>
    <row r="5922" ht="21" customHeight="1" s="66">
      <c r="A5922" s="56" t="n"/>
      <c r="B5922" s="57" t="n"/>
      <c r="C5922" s="57" t="n"/>
      <c r="D5922" s="57" t="n"/>
      <c r="E5922" s="56" t="n"/>
      <c r="F5922" s="57" t="n"/>
      <c r="G5922" s="57" t="n"/>
      <c r="H5922" s="56" t="n"/>
      <c r="I5922" s="56" t="n"/>
      <c r="J5922" s="58" t="n"/>
      <c r="K5922" s="58" t="n"/>
      <c r="L5922" s="13">
        <f>IF(OR($A5922="",AND($J5922="",$K5922="")),"",ROUND(N($J5922)-N($K5922),2))</f>
        <v/>
      </c>
      <c r="M5922" s="13">
        <f>IF(OR($A5922="",AND($J5922="",$K5922="")),"",MIN($J5922,$K5922))</f>
        <v/>
      </c>
      <c r="Q5922">
        <f>IF($A5922="","",$D5922&amp;"("&amp;SUBSTITUTE($E5922," ","")&amp;")")</f>
        <v/>
      </c>
      <c r="R5922">
        <f>IF($A5922="","",$B5922&amp;" - "&amp;$C5922)</f>
        <v/>
      </c>
      <c r="S5922">
        <f>IF($A5922="","",$R5922&amp;"|"&amp;$Q5922)</f>
        <v/>
      </c>
      <c r="T5922">
        <f>IF($A5922="","",$S5922&amp;"|"&amp;$F5922)</f>
        <v/>
      </c>
      <c r="U5922">
        <f>IF($A5922="","",$R5922&amp;"("&amp;$E5922&amp;")")</f>
        <v/>
      </c>
      <c r="V5922">
        <f>IF($A5922="","",$F5922&amp;"|"&amp;$U5922&amp;"|"&amp;$D5922)</f>
        <v/>
      </c>
      <c r="W5922">
        <f>IF($T5922="","",IF($X5922&gt;N($X5921),$X5922,""))</f>
        <v/>
      </c>
      <c r="X5922">
        <f>IF($T5922="",N($X5921),IF(MATCH($T5922,$T$6:$T$6005,0)=ROW()-5,N($X5921)+1,N($X5921)))</f>
        <v/>
      </c>
      <c r="Z5922">
        <f>IF($V5922="","",IF($AA5922&gt;N($AA5921),$AA5922,""))</f>
        <v/>
      </c>
      <c r="AA5922">
        <f>IF($V5922="",N($AA5921),IF(MATCH($V5922,$V$6:$V$6005,0)=ROW()-5,N($AA5921)+1,N($AA5921)))</f>
        <v/>
      </c>
    </row>
    <row r="5923" ht="21" customHeight="1" s="66">
      <c r="A5923" s="56" t="n"/>
      <c r="B5923" s="57" t="n"/>
      <c r="C5923" s="57" t="n"/>
      <c r="D5923" s="57" t="n"/>
      <c r="E5923" s="56" t="n"/>
      <c r="F5923" s="57" t="n"/>
      <c r="G5923" s="57" t="n"/>
      <c r="H5923" s="56" t="n"/>
      <c r="I5923" s="56" t="n"/>
      <c r="J5923" s="58" t="n"/>
      <c r="K5923" s="58" t="n"/>
      <c r="L5923" s="13">
        <f>IF(OR($A5923="",AND($J5923="",$K5923="")),"",ROUND(N($J5923)-N($K5923),2))</f>
        <v/>
      </c>
      <c r="M5923" s="13">
        <f>IF(OR($A5923="",AND($J5923="",$K5923="")),"",MIN($J5923,$K5923))</f>
        <v/>
      </c>
      <c r="Q5923">
        <f>IF($A5923="","",$D5923&amp;"("&amp;SUBSTITUTE($E5923," ","")&amp;")")</f>
        <v/>
      </c>
      <c r="R5923">
        <f>IF($A5923="","",$B5923&amp;" - "&amp;$C5923)</f>
        <v/>
      </c>
      <c r="S5923">
        <f>IF($A5923="","",$R5923&amp;"|"&amp;$Q5923)</f>
        <v/>
      </c>
      <c r="T5923">
        <f>IF($A5923="","",$S5923&amp;"|"&amp;$F5923)</f>
        <v/>
      </c>
      <c r="U5923">
        <f>IF($A5923="","",$R5923&amp;"("&amp;$E5923&amp;")")</f>
        <v/>
      </c>
      <c r="V5923">
        <f>IF($A5923="","",$F5923&amp;"|"&amp;$U5923&amp;"|"&amp;$D5923)</f>
        <v/>
      </c>
      <c r="W5923">
        <f>IF($T5923="","",IF($X5923&gt;N($X5922),$X5923,""))</f>
        <v/>
      </c>
      <c r="X5923">
        <f>IF($T5923="",N($X5922),IF(MATCH($T5923,$T$6:$T$6005,0)=ROW()-5,N($X5922)+1,N($X5922)))</f>
        <v/>
      </c>
      <c r="Z5923">
        <f>IF($V5923="","",IF($AA5923&gt;N($AA5922),$AA5923,""))</f>
        <v/>
      </c>
      <c r="AA5923">
        <f>IF($V5923="",N($AA5922),IF(MATCH($V5923,$V$6:$V$6005,0)=ROW()-5,N($AA5922)+1,N($AA5922)))</f>
        <v/>
      </c>
    </row>
    <row r="5924" ht="21" customHeight="1" s="66">
      <c r="A5924" s="56" t="n"/>
      <c r="B5924" s="57" t="n"/>
      <c r="C5924" s="57" t="n"/>
      <c r="D5924" s="57" t="n"/>
      <c r="E5924" s="56" t="n"/>
      <c r="F5924" s="57" t="n"/>
      <c r="G5924" s="57" t="n"/>
      <c r="H5924" s="56" t="n"/>
      <c r="I5924" s="56" t="n"/>
      <c r="J5924" s="58" t="n"/>
      <c r="K5924" s="58" t="n"/>
      <c r="L5924" s="13">
        <f>IF(OR($A5924="",AND($J5924="",$K5924="")),"",ROUND(N($J5924)-N($K5924),2))</f>
        <v/>
      </c>
      <c r="M5924" s="13">
        <f>IF(OR($A5924="",AND($J5924="",$K5924="")),"",MIN($J5924,$K5924))</f>
        <v/>
      </c>
      <c r="Q5924">
        <f>IF($A5924="","",$D5924&amp;"("&amp;SUBSTITUTE($E5924," ","")&amp;")")</f>
        <v/>
      </c>
      <c r="R5924">
        <f>IF($A5924="","",$B5924&amp;" - "&amp;$C5924)</f>
        <v/>
      </c>
      <c r="S5924">
        <f>IF($A5924="","",$R5924&amp;"|"&amp;$Q5924)</f>
        <v/>
      </c>
      <c r="T5924">
        <f>IF($A5924="","",$S5924&amp;"|"&amp;$F5924)</f>
        <v/>
      </c>
      <c r="U5924">
        <f>IF($A5924="","",$R5924&amp;"("&amp;$E5924&amp;")")</f>
        <v/>
      </c>
      <c r="V5924">
        <f>IF($A5924="","",$F5924&amp;"|"&amp;$U5924&amp;"|"&amp;$D5924)</f>
        <v/>
      </c>
      <c r="W5924">
        <f>IF($T5924="","",IF($X5924&gt;N($X5923),$X5924,""))</f>
        <v/>
      </c>
      <c r="X5924">
        <f>IF($T5924="",N($X5923),IF(MATCH($T5924,$T$6:$T$6005,0)=ROW()-5,N($X5923)+1,N($X5923)))</f>
        <v/>
      </c>
      <c r="Z5924">
        <f>IF($V5924="","",IF($AA5924&gt;N($AA5923),$AA5924,""))</f>
        <v/>
      </c>
      <c r="AA5924">
        <f>IF($V5924="",N($AA5923),IF(MATCH($V5924,$V$6:$V$6005,0)=ROW()-5,N($AA5923)+1,N($AA5923)))</f>
        <v/>
      </c>
    </row>
    <row r="5925" ht="21" customHeight="1" s="66">
      <c r="A5925" s="56" t="n"/>
      <c r="B5925" s="57" t="n"/>
      <c r="C5925" s="57" t="n"/>
      <c r="D5925" s="57" t="n"/>
      <c r="E5925" s="56" t="n"/>
      <c r="F5925" s="57" t="n"/>
      <c r="G5925" s="57" t="n"/>
      <c r="H5925" s="56" t="n"/>
      <c r="I5925" s="56" t="n"/>
      <c r="J5925" s="58" t="n"/>
      <c r="K5925" s="58" t="n"/>
      <c r="L5925" s="13">
        <f>IF(OR($A5925="",AND($J5925="",$K5925="")),"",ROUND(N($J5925)-N($K5925),2))</f>
        <v/>
      </c>
      <c r="M5925" s="13">
        <f>IF(OR($A5925="",AND($J5925="",$K5925="")),"",MIN($J5925,$K5925))</f>
        <v/>
      </c>
      <c r="Q5925">
        <f>IF($A5925="","",$D5925&amp;"("&amp;SUBSTITUTE($E5925," ","")&amp;")")</f>
        <v/>
      </c>
      <c r="R5925">
        <f>IF($A5925="","",$B5925&amp;" - "&amp;$C5925)</f>
        <v/>
      </c>
      <c r="S5925">
        <f>IF($A5925="","",$R5925&amp;"|"&amp;$Q5925)</f>
        <v/>
      </c>
      <c r="T5925">
        <f>IF($A5925="","",$S5925&amp;"|"&amp;$F5925)</f>
        <v/>
      </c>
      <c r="U5925">
        <f>IF($A5925="","",$R5925&amp;"("&amp;$E5925&amp;")")</f>
        <v/>
      </c>
      <c r="V5925">
        <f>IF($A5925="","",$F5925&amp;"|"&amp;$U5925&amp;"|"&amp;$D5925)</f>
        <v/>
      </c>
      <c r="W5925">
        <f>IF($T5925="","",IF($X5925&gt;N($X5924),$X5925,""))</f>
        <v/>
      </c>
      <c r="X5925">
        <f>IF($T5925="",N($X5924),IF(MATCH($T5925,$T$6:$T$6005,0)=ROW()-5,N($X5924)+1,N($X5924)))</f>
        <v/>
      </c>
      <c r="Z5925">
        <f>IF($V5925="","",IF($AA5925&gt;N($AA5924),$AA5925,""))</f>
        <v/>
      </c>
      <c r="AA5925">
        <f>IF($V5925="",N($AA5924),IF(MATCH($V5925,$V$6:$V$6005,0)=ROW()-5,N($AA5924)+1,N($AA5924)))</f>
        <v/>
      </c>
    </row>
    <row r="5926" ht="21" customHeight="1" s="66">
      <c r="A5926" s="56" t="n"/>
      <c r="B5926" s="57" t="n"/>
      <c r="C5926" s="57" t="n"/>
      <c r="D5926" s="57" t="n"/>
      <c r="E5926" s="56" t="n"/>
      <c r="F5926" s="57" t="n"/>
      <c r="G5926" s="57" t="n"/>
      <c r="H5926" s="56" t="n"/>
      <c r="I5926" s="56" t="n"/>
      <c r="J5926" s="58" t="n"/>
      <c r="K5926" s="58" t="n"/>
      <c r="L5926" s="13">
        <f>IF(OR($A5926="",AND($J5926="",$K5926="")),"",ROUND(N($J5926)-N($K5926),2))</f>
        <v/>
      </c>
      <c r="M5926" s="13">
        <f>IF(OR($A5926="",AND($J5926="",$K5926="")),"",MIN($J5926,$K5926))</f>
        <v/>
      </c>
      <c r="Q5926">
        <f>IF($A5926="","",$D5926&amp;"("&amp;SUBSTITUTE($E5926," ","")&amp;")")</f>
        <v/>
      </c>
      <c r="R5926">
        <f>IF($A5926="","",$B5926&amp;" - "&amp;$C5926)</f>
        <v/>
      </c>
      <c r="S5926">
        <f>IF($A5926="","",$R5926&amp;"|"&amp;$Q5926)</f>
        <v/>
      </c>
      <c r="T5926">
        <f>IF($A5926="","",$S5926&amp;"|"&amp;$F5926)</f>
        <v/>
      </c>
      <c r="U5926">
        <f>IF($A5926="","",$R5926&amp;"("&amp;$E5926&amp;")")</f>
        <v/>
      </c>
      <c r="V5926">
        <f>IF($A5926="","",$F5926&amp;"|"&amp;$U5926&amp;"|"&amp;$D5926)</f>
        <v/>
      </c>
      <c r="W5926">
        <f>IF($T5926="","",IF($X5926&gt;N($X5925),$X5926,""))</f>
        <v/>
      </c>
      <c r="X5926">
        <f>IF($T5926="",N($X5925),IF(MATCH($T5926,$T$6:$T$6005,0)=ROW()-5,N($X5925)+1,N($X5925)))</f>
        <v/>
      </c>
      <c r="Z5926">
        <f>IF($V5926="","",IF($AA5926&gt;N($AA5925),$AA5926,""))</f>
        <v/>
      </c>
      <c r="AA5926">
        <f>IF($V5926="",N($AA5925),IF(MATCH($V5926,$V$6:$V$6005,0)=ROW()-5,N($AA5925)+1,N($AA5925)))</f>
        <v/>
      </c>
    </row>
    <row r="5927" ht="21" customHeight="1" s="66">
      <c r="A5927" s="56" t="n"/>
      <c r="B5927" s="57" t="n"/>
      <c r="C5927" s="57" t="n"/>
      <c r="D5927" s="57" t="n"/>
      <c r="E5927" s="56" t="n"/>
      <c r="F5927" s="57" t="n"/>
      <c r="G5927" s="57" t="n"/>
      <c r="H5927" s="56" t="n"/>
      <c r="I5927" s="56" t="n"/>
      <c r="J5927" s="58" t="n"/>
      <c r="K5927" s="58" t="n"/>
      <c r="L5927" s="13">
        <f>IF(OR($A5927="",AND($J5927="",$K5927="")),"",ROUND(N($J5927)-N($K5927),2))</f>
        <v/>
      </c>
      <c r="M5927" s="13">
        <f>IF(OR($A5927="",AND($J5927="",$K5927="")),"",MIN($J5927,$K5927))</f>
        <v/>
      </c>
      <c r="Q5927">
        <f>IF($A5927="","",$D5927&amp;"("&amp;SUBSTITUTE($E5927," ","")&amp;")")</f>
        <v/>
      </c>
      <c r="R5927">
        <f>IF($A5927="","",$B5927&amp;" - "&amp;$C5927)</f>
        <v/>
      </c>
      <c r="S5927">
        <f>IF($A5927="","",$R5927&amp;"|"&amp;$Q5927)</f>
        <v/>
      </c>
      <c r="T5927">
        <f>IF($A5927="","",$S5927&amp;"|"&amp;$F5927)</f>
        <v/>
      </c>
      <c r="U5927">
        <f>IF($A5927="","",$R5927&amp;"("&amp;$E5927&amp;")")</f>
        <v/>
      </c>
      <c r="V5927">
        <f>IF($A5927="","",$F5927&amp;"|"&amp;$U5927&amp;"|"&amp;$D5927)</f>
        <v/>
      </c>
      <c r="W5927">
        <f>IF($T5927="","",IF($X5927&gt;N($X5926),$X5927,""))</f>
        <v/>
      </c>
      <c r="X5927">
        <f>IF($T5927="",N($X5926),IF(MATCH($T5927,$T$6:$T$6005,0)=ROW()-5,N($X5926)+1,N($X5926)))</f>
        <v/>
      </c>
      <c r="Z5927">
        <f>IF($V5927="","",IF($AA5927&gt;N($AA5926),$AA5927,""))</f>
        <v/>
      </c>
      <c r="AA5927">
        <f>IF($V5927="",N($AA5926),IF(MATCH($V5927,$V$6:$V$6005,0)=ROW()-5,N($AA5926)+1,N($AA5926)))</f>
        <v/>
      </c>
    </row>
    <row r="5928" ht="21" customHeight="1" s="66">
      <c r="A5928" s="56" t="n"/>
      <c r="B5928" s="57" t="n"/>
      <c r="C5928" s="57" t="n"/>
      <c r="D5928" s="57" t="n"/>
      <c r="E5928" s="56" t="n"/>
      <c r="F5928" s="57" t="n"/>
      <c r="G5928" s="57" t="n"/>
      <c r="H5928" s="56" t="n"/>
      <c r="I5928" s="56" t="n"/>
      <c r="J5928" s="58" t="n"/>
      <c r="K5928" s="58" t="n"/>
      <c r="L5928" s="13">
        <f>IF(OR($A5928="",AND($J5928="",$K5928="")),"",ROUND(N($J5928)-N($K5928),2))</f>
        <v/>
      </c>
      <c r="M5928" s="13">
        <f>IF(OR($A5928="",AND($J5928="",$K5928="")),"",MIN($J5928,$K5928))</f>
        <v/>
      </c>
      <c r="Q5928">
        <f>IF($A5928="","",$D5928&amp;"("&amp;SUBSTITUTE($E5928," ","")&amp;")")</f>
        <v/>
      </c>
      <c r="R5928">
        <f>IF($A5928="","",$B5928&amp;" - "&amp;$C5928)</f>
        <v/>
      </c>
      <c r="S5928">
        <f>IF($A5928="","",$R5928&amp;"|"&amp;$Q5928)</f>
        <v/>
      </c>
      <c r="T5928">
        <f>IF($A5928="","",$S5928&amp;"|"&amp;$F5928)</f>
        <v/>
      </c>
      <c r="U5928">
        <f>IF($A5928="","",$R5928&amp;"("&amp;$E5928&amp;")")</f>
        <v/>
      </c>
      <c r="V5928">
        <f>IF($A5928="","",$F5928&amp;"|"&amp;$U5928&amp;"|"&amp;$D5928)</f>
        <v/>
      </c>
      <c r="W5928">
        <f>IF($T5928="","",IF($X5928&gt;N($X5927),$X5928,""))</f>
        <v/>
      </c>
      <c r="X5928">
        <f>IF($T5928="",N($X5927),IF(MATCH($T5928,$T$6:$T$6005,0)=ROW()-5,N($X5927)+1,N($X5927)))</f>
        <v/>
      </c>
      <c r="Z5928">
        <f>IF($V5928="","",IF($AA5928&gt;N($AA5927),$AA5928,""))</f>
        <v/>
      </c>
      <c r="AA5928">
        <f>IF($V5928="",N($AA5927),IF(MATCH($V5928,$V$6:$V$6005,0)=ROW()-5,N($AA5927)+1,N($AA5927)))</f>
        <v/>
      </c>
    </row>
    <row r="5929" ht="21" customHeight="1" s="66">
      <c r="A5929" s="56" t="n"/>
      <c r="B5929" s="57" t="n"/>
      <c r="C5929" s="57" t="n"/>
      <c r="D5929" s="57" t="n"/>
      <c r="E5929" s="56" t="n"/>
      <c r="F5929" s="57" t="n"/>
      <c r="G5929" s="57" t="n"/>
      <c r="H5929" s="56" t="n"/>
      <c r="I5929" s="56" t="n"/>
      <c r="J5929" s="58" t="n"/>
      <c r="K5929" s="58" t="n"/>
      <c r="L5929" s="13">
        <f>IF(OR($A5929="",AND($J5929="",$K5929="")),"",ROUND(N($J5929)-N($K5929),2))</f>
        <v/>
      </c>
      <c r="M5929" s="13">
        <f>IF(OR($A5929="",AND($J5929="",$K5929="")),"",MIN($J5929,$K5929))</f>
        <v/>
      </c>
      <c r="Q5929">
        <f>IF($A5929="","",$D5929&amp;"("&amp;SUBSTITUTE($E5929," ","")&amp;")")</f>
        <v/>
      </c>
      <c r="R5929">
        <f>IF($A5929="","",$B5929&amp;" - "&amp;$C5929)</f>
        <v/>
      </c>
      <c r="S5929">
        <f>IF($A5929="","",$R5929&amp;"|"&amp;$Q5929)</f>
        <v/>
      </c>
      <c r="T5929">
        <f>IF($A5929="","",$S5929&amp;"|"&amp;$F5929)</f>
        <v/>
      </c>
      <c r="U5929">
        <f>IF($A5929="","",$R5929&amp;"("&amp;$E5929&amp;")")</f>
        <v/>
      </c>
      <c r="V5929">
        <f>IF($A5929="","",$F5929&amp;"|"&amp;$U5929&amp;"|"&amp;$D5929)</f>
        <v/>
      </c>
      <c r="W5929">
        <f>IF($T5929="","",IF($X5929&gt;N($X5928),$X5929,""))</f>
        <v/>
      </c>
      <c r="X5929">
        <f>IF($T5929="",N($X5928),IF(MATCH($T5929,$T$6:$T$6005,0)=ROW()-5,N($X5928)+1,N($X5928)))</f>
        <v/>
      </c>
      <c r="Z5929">
        <f>IF($V5929="","",IF($AA5929&gt;N($AA5928),$AA5929,""))</f>
        <v/>
      </c>
      <c r="AA5929">
        <f>IF($V5929="",N($AA5928),IF(MATCH($V5929,$V$6:$V$6005,0)=ROW()-5,N($AA5928)+1,N($AA5928)))</f>
        <v/>
      </c>
    </row>
    <row r="5930" ht="21" customHeight="1" s="66">
      <c r="A5930" s="56" t="n"/>
      <c r="B5930" s="57" t="n"/>
      <c r="C5930" s="57" t="n"/>
      <c r="D5930" s="57" t="n"/>
      <c r="E5930" s="56" t="n"/>
      <c r="F5930" s="57" t="n"/>
      <c r="G5930" s="57" t="n"/>
      <c r="H5930" s="56" t="n"/>
      <c r="I5930" s="56" t="n"/>
      <c r="J5930" s="58" t="n"/>
      <c r="K5930" s="58" t="n"/>
      <c r="L5930" s="13">
        <f>IF(OR($A5930="",AND($J5930="",$K5930="")),"",ROUND(N($J5930)-N($K5930),2))</f>
        <v/>
      </c>
      <c r="M5930" s="13">
        <f>IF(OR($A5930="",AND($J5930="",$K5930="")),"",MIN($J5930,$K5930))</f>
        <v/>
      </c>
      <c r="Q5930">
        <f>IF($A5930="","",$D5930&amp;"("&amp;SUBSTITUTE($E5930," ","")&amp;")")</f>
        <v/>
      </c>
      <c r="R5930">
        <f>IF($A5930="","",$B5930&amp;" - "&amp;$C5930)</f>
        <v/>
      </c>
      <c r="S5930">
        <f>IF($A5930="","",$R5930&amp;"|"&amp;$Q5930)</f>
        <v/>
      </c>
      <c r="T5930">
        <f>IF($A5930="","",$S5930&amp;"|"&amp;$F5930)</f>
        <v/>
      </c>
      <c r="U5930">
        <f>IF($A5930="","",$R5930&amp;"("&amp;$E5930&amp;")")</f>
        <v/>
      </c>
      <c r="V5930">
        <f>IF($A5930="","",$F5930&amp;"|"&amp;$U5930&amp;"|"&amp;$D5930)</f>
        <v/>
      </c>
      <c r="W5930">
        <f>IF($T5930="","",IF($X5930&gt;N($X5929),$X5930,""))</f>
        <v/>
      </c>
      <c r="X5930">
        <f>IF($T5930="",N($X5929),IF(MATCH($T5930,$T$6:$T$6005,0)=ROW()-5,N($X5929)+1,N($X5929)))</f>
        <v/>
      </c>
      <c r="Z5930">
        <f>IF($V5930="","",IF($AA5930&gt;N($AA5929),$AA5930,""))</f>
        <v/>
      </c>
      <c r="AA5930">
        <f>IF($V5930="",N($AA5929),IF(MATCH($V5930,$V$6:$V$6005,0)=ROW()-5,N($AA5929)+1,N($AA5929)))</f>
        <v/>
      </c>
    </row>
    <row r="5931" ht="21" customHeight="1" s="66">
      <c r="A5931" s="56" t="n"/>
      <c r="B5931" s="57" t="n"/>
      <c r="C5931" s="57" t="n"/>
      <c r="D5931" s="57" t="n"/>
      <c r="E5931" s="56" t="n"/>
      <c r="F5931" s="57" t="n"/>
      <c r="G5931" s="57" t="n"/>
      <c r="H5931" s="56" t="n"/>
      <c r="I5931" s="56" t="n"/>
      <c r="J5931" s="58" t="n"/>
      <c r="K5931" s="58" t="n"/>
      <c r="L5931" s="13">
        <f>IF(OR($A5931="",AND($J5931="",$K5931="")),"",ROUND(N($J5931)-N($K5931),2))</f>
        <v/>
      </c>
      <c r="M5931" s="13">
        <f>IF(OR($A5931="",AND($J5931="",$K5931="")),"",MIN($J5931,$K5931))</f>
        <v/>
      </c>
      <c r="Q5931">
        <f>IF($A5931="","",$D5931&amp;"("&amp;SUBSTITUTE($E5931," ","")&amp;")")</f>
        <v/>
      </c>
      <c r="R5931">
        <f>IF($A5931="","",$B5931&amp;" - "&amp;$C5931)</f>
        <v/>
      </c>
      <c r="S5931">
        <f>IF($A5931="","",$R5931&amp;"|"&amp;$Q5931)</f>
        <v/>
      </c>
      <c r="T5931">
        <f>IF($A5931="","",$S5931&amp;"|"&amp;$F5931)</f>
        <v/>
      </c>
      <c r="U5931">
        <f>IF($A5931="","",$R5931&amp;"("&amp;$E5931&amp;")")</f>
        <v/>
      </c>
      <c r="V5931">
        <f>IF($A5931="","",$F5931&amp;"|"&amp;$U5931&amp;"|"&amp;$D5931)</f>
        <v/>
      </c>
      <c r="W5931">
        <f>IF($T5931="","",IF($X5931&gt;N($X5930),$X5931,""))</f>
        <v/>
      </c>
      <c r="X5931">
        <f>IF($T5931="",N($X5930),IF(MATCH($T5931,$T$6:$T$6005,0)=ROW()-5,N($X5930)+1,N($X5930)))</f>
        <v/>
      </c>
      <c r="Z5931">
        <f>IF($V5931="","",IF($AA5931&gt;N($AA5930),$AA5931,""))</f>
        <v/>
      </c>
      <c r="AA5931">
        <f>IF($V5931="",N($AA5930),IF(MATCH($V5931,$V$6:$V$6005,0)=ROW()-5,N($AA5930)+1,N($AA5930)))</f>
        <v/>
      </c>
    </row>
    <row r="5932" ht="21" customHeight="1" s="66">
      <c r="A5932" s="56" t="n"/>
      <c r="B5932" s="57" t="n"/>
      <c r="C5932" s="57" t="n"/>
      <c r="D5932" s="57" t="n"/>
      <c r="E5932" s="56" t="n"/>
      <c r="F5932" s="57" t="n"/>
      <c r="G5932" s="57" t="n"/>
      <c r="H5932" s="56" t="n"/>
      <c r="I5932" s="56" t="n"/>
      <c r="J5932" s="58" t="n"/>
      <c r="K5932" s="58" t="n"/>
      <c r="L5932" s="13">
        <f>IF(OR($A5932="",AND($J5932="",$K5932="")),"",ROUND(N($J5932)-N($K5932),2))</f>
        <v/>
      </c>
      <c r="M5932" s="13">
        <f>IF(OR($A5932="",AND($J5932="",$K5932="")),"",MIN($J5932,$K5932))</f>
        <v/>
      </c>
      <c r="Q5932">
        <f>IF($A5932="","",$D5932&amp;"("&amp;SUBSTITUTE($E5932," ","")&amp;")")</f>
        <v/>
      </c>
      <c r="R5932">
        <f>IF($A5932="","",$B5932&amp;" - "&amp;$C5932)</f>
        <v/>
      </c>
      <c r="S5932">
        <f>IF($A5932="","",$R5932&amp;"|"&amp;$Q5932)</f>
        <v/>
      </c>
      <c r="T5932">
        <f>IF($A5932="","",$S5932&amp;"|"&amp;$F5932)</f>
        <v/>
      </c>
      <c r="U5932">
        <f>IF($A5932="","",$R5932&amp;"("&amp;$E5932&amp;")")</f>
        <v/>
      </c>
      <c r="V5932">
        <f>IF($A5932="","",$F5932&amp;"|"&amp;$U5932&amp;"|"&amp;$D5932)</f>
        <v/>
      </c>
      <c r="W5932">
        <f>IF($T5932="","",IF($X5932&gt;N($X5931),$X5932,""))</f>
        <v/>
      </c>
      <c r="X5932">
        <f>IF($T5932="",N($X5931),IF(MATCH($T5932,$T$6:$T$6005,0)=ROW()-5,N($X5931)+1,N($X5931)))</f>
        <v/>
      </c>
      <c r="Z5932">
        <f>IF($V5932="","",IF($AA5932&gt;N($AA5931),$AA5932,""))</f>
        <v/>
      </c>
      <c r="AA5932">
        <f>IF($V5932="",N($AA5931),IF(MATCH($V5932,$V$6:$V$6005,0)=ROW()-5,N($AA5931)+1,N($AA5931)))</f>
        <v/>
      </c>
    </row>
    <row r="5933" ht="21" customHeight="1" s="66">
      <c r="A5933" s="56" t="n"/>
      <c r="B5933" s="57" t="n"/>
      <c r="C5933" s="57" t="n"/>
      <c r="D5933" s="57" t="n"/>
      <c r="E5933" s="56" t="n"/>
      <c r="F5933" s="57" t="n"/>
      <c r="G5933" s="57" t="n"/>
      <c r="H5933" s="56" t="n"/>
      <c r="I5933" s="56" t="n"/>
      <c r="J5933" s="58" t="n"/>
      <c r="K5933" s="58" t="n"/>
      <c r="L5933" s="13">
        <f>IF(OR($A5933="",AND($J5933="",$K5933="")),"",ROUND(N($J5933)-N($K5933),2))</f>
        <v/>
      </c>
      <c r="M5933" s="13">
        <f>IF(OR($A5933="",AND($J5933="",$K5933="")),"",MIN($J5933,$K5933))</f>
        <v/>
      </c>
      <c r="Q5933">
        <f>IF($A5933="","",$D5933&amp;"("&amp;SUBSTITUTE($E5933," ","")&amp;")")</f>
        <v/>
      </c>
      <c r="R5933">
        <f>IF($A5933="","",$B5933&amp;" - "&amp;$C5933)</f>
        <v/>
      </c>
      <c r="S5933">
        <f>IF($A5933="","",$R5933&amp;"|"&amp;$Q5933)</f>
        <v/>
      </c>
      <c r="T5933">
        <f>IF($A5933="","",$S5933&amp;"|"&amp;$F5933)</f>
        <v/>
      </c>
      <c r="U5933">
        <f>IF($A5933="","",$R5933&amp;"("&amp;$E5933&amp;")")</f>
        <v/>
      </c>
      <c r="V5933">
        <f>IF($A5933="","",$F5933&amp;"|"&amp;$U5933&amp;"|"&amp;$D5933)</f>
        <v/>
      </c>
      <c r="W5933">
        <f>IF($T5933="","",IF($X5933&gt;N($X5932),$X5933,""))</f>
        <v/>
      </c>
      <c r="X5933">
        <f>IF($T5933="",N($X5932),IF(MATCH($T5933,$T$6:$T$6005,0)=ROW()-5,N($X5932)+1,N($X5932)))</f>
        <v/>
      </c>
      <c r="Z5933">
        <f>IF($V5933="","",IF($AA5933&gt;N($AA5932),$AA5933,""))</f>
        <v/>
      </c>
      <c r="AA5933">
        <f>IF($V5933="",N($AA5932),IF(MATCH($V5933,$V$6:$V$6005,0)=ROW()-5,N($AA5932)+1,N($AA5932)))</f>
        <v/>
      </c>
    </row>
    <row r="5934" ht="21" customHeight="1" s="66">
      <c r="A5934" s="56" t="n"/>
      <c r="B5934" s="57" t="n"/>
      <c r="C5934" s="57" t="n"/>
      <c r="D5934" s="57" t="n"/>
      <c r="E5934" s="56" t="n"/>
      <c r="F5934" s="57" t="n"/>
      <c r="G5934" s="57" t="n"/>
      <c r="H5934" s="56" t="n"/>
      <c r="I5934" s="56" t="n"/>
      <c r="J5934" s="58" t="n"/>
      <c r="K5934" s="58" t="n"/>
      <c r="L5934" s="13">
        <f>IF(OR($A5934="",AND($J5934="",$K5934="")),"",ROUND(N($J5934)-N($K5934),2))</f>
        <v/>
      </c>
      <c r="M5934" s="13">
        <f>IF(OR($A5934="",AND($J5934="",$K5934="")),"",MIN($J5934,$K5934))</f>
        <v/>
      </c>
      <c r="Q5934">
        <f>IF($A5934="","",$D5934&amp;"("&amp;SUBSTITUTE($E5934," ","")&amp;")")</f>
        <v/>
      </c>
      <c r="R5934">
        <f>IF($A5934="","",$B5934&amp;" - "&amp;$C5934)</f>
        <v/>
      </c>
      <c r="S5934">
        <f>IF($A5934="","",$R5934&amp;"|"&amp;$Q5934)</f>
        <v/>
      </c>
      <c r="T5934">
        <f>IF($A5934="","",$S5934&amp;"|"&amp;$F5934)</f>
        <v/>
      </c>
      <c r="U5934">
        <f>IF($A5934="","",$R5934&amp;"("&amp;$E5934&amp;")")</f>
        <v/>
      </c>
      <c r="V5934">
        <f>IF($A5934="","",$F5934&amp;"|"&amp;$U5934&amp;"|"&amp;$D5934)</f>
        <v/>
      </c>
      <c r="W5934">
        <f>IF($T5934="","",IF($X5934&gt;N($X5933),$X5934,""))</f>
        <v/>
      </c>
      <c r="X5934">
        <f>IF($T5934="",N($X5933),IF(MATCH($T5934,$T$6:$T$6005,0)=ROW()-5,N($X5933)+1,N($X5933)))</f>
        <v/>
      </c>
      <c r="Z5934">
        <f>IF($V5934="","",IF($AA5934&gt;N($AA5933),$AA5934,""))</f>
        <v/>
      </c>
      <c r="AA5934">
        <f>IF($V5934="",N($AA5933),IF(MATCH($V5934,$V$6:$V$6005,0)=ROW()-5,N($AA5933)+1,N($AA5933)))</f>
        <v/>
      </c>
    </row>
    <row r="5935" ht="21" customHeight="1" s="66">
      <c r="A5935" s="56" t="n"/>
      <c r="B5935" s="57" t="n"/>
      <c r="C5935" s="57" t="n"/>
      <c r="D5935" s="57" t="n"/>
      <c r="E5935" s="56" t="n"/>
      <c r="F5935" s="57" t="n"/>
      <c r="G5935" s="57" t="n"/>
      <c r="H5935" s="56" t="n"/>
      <c r="I5935" s="56" t="n"/>
      <c r="J5935" s="58" t="n"/>
      <c r="K5935" s="58" t="n"/>
      <c r="L5935" s="13">
        <f>IF(OR($A5935="",AND($J5935="",$K5935="")),"",ROUND(N($J5935)-N($K5935),2))</f>
        <v/>
      </c>
      <c r="M5935" s="13">
        <f>IF(OR($A5935="",AND($J5935="",$K5935="")),"",MIN($J5935,$K5935))</f>
        <v/>
      </c>
      <c r="Q5935">
        <f>IF($A5935="","",$D5935&amp;"("&amp;SUBSTITUTE($E5935," ","")&amp;")")</f>
        <v/>
      </c>
      <c r="R5935">
        <f>IF($A5935="","",$B5935&amp;" - "&amp;$C5935)</f>
        <v/>
      </c>
      <c r="S5935">
        <f>IF($A5935="","",$R5935&amp;"|"&amp;$Q5935)</f>
        <v/>
      </c>
      <c r="T5935">
        <f>IF($A5935="","",$S5935&amp;"|"&amp;$F5935)</f>
        <v/>
      </c>
      <c r="U5935">
        <f>IF($A5935="","",$R5935&amp;"("&amp;$E5935&amp;")")</f>
        <v/>
      </c>
      <c r="V5935">
        <f>IF($A5935="","",$F5935&amp;"|"&amp;$U5935&amp;"|"&amp;$D5935)</f>
        <v/>
      </c>
      <c r="W5935">
        <f>IF($T5935="","",IF($X5935&gt;N($X5934),$X5935,""))</f>
        <v/>
      </c>
      <c r="X5935">
        <f>IF($T5935="",N($X5934),IF(MATCH($T5935,$T$6:$T$6005,0)=ROW()-5,N($X5934)+1,N($X5934)))</f>
        <v/>
      </c>
      <c r="Z5935">
        <f>IF($V5935="","",IF($AA5935&gt;N($AA5934),$AA5935,""))</f>
        <v/>
      </c>
      <c r="AA5935">
        <f>IF($V5935="",N($AA5934),IF(MATCH($V5935,$V$6:$V$6005,0)=ROW()-5,N($AA5934)+1,N($AA5934)))</f>
        <v/>
      </c>
    </row>
    <row r="5936" ht="21" customHeight="1" s="66">
      <c r="A5936" s="56" t="n"/>
      <c r="B5936" s="57" t="n"/>
      <c r="C5936" s="57" t="n"/>
      <c r="D5936" s="57" t="n"/>
      <c r="E5936" s="56" t="n"/>
      <c r="F5936" s="57" t="n"/>
      <c r="G5936" s="57" t="n"/>
      <c r="H5936" s="56" t="n"/>
      <c r="I5936" s="56" t="n"/>
      <c r="J5936" s="58" t="n"/>
      <c r="K5936" s="58" t="n"/>
      <c r="L5936" s="13">
        <f>IF(OR($A5936="",AND($J5936="",$K5936="")),"",ROUND(N($J5936)-N($K5936),2))</f>
        <v/>
      </c>
      <c r="M5936" s="13">
        <f>IF(OR($A5936="",AND($J5936="",$K5936="")),"",MIN($J5936,$K5936))</f>
        <v/>
      </c>
      <c r="Q5936">
        <f>IF($A5936="","",$D5936&amp;"("&amp;SUBSTITUTE($E5936," ","")&amp;")")</f>
        <v/>
      </c>
      <c r="R5936">
        <f>IF($A5936="","",$B5936&amp;" - "&amp;$C5936)</f>
        <v/>
      </c>
      <c r="S5936">
        <f>IF($A5936="","",$R5936&amp;"|"&amp;$Q5936)</f>
        <v/>
      </c>
      <c r="T5936">
        <f>IF($A5936="","",$S5936&amp;"|"&amp;$F5936)</f>
        <v/>
      </c>
      <c r="U5936">
        <f>IF($A5936="","",$R5936&amp;"("&amp;$E5936&amp;")")</f>
        <v/>
      </c>
      <c r="V5936">
        <f>IF($A5936="","",$F5936&amp;"|"&amp;$U5936&amp;"|"&amp;$D5936)</f>
        <v/>
      </c>
      <c r="W5936">
        <f>IF($T5936="","",IF($X5936&gt;N($X5935),$X5936,""))</f>
        <v/>
      </c>
      <c r="X5936">
        <f>IF($T5936="",N($X5935),IF(MATCH($T5936,$T$6:$T$6005,0)=ROW()-5,N($X5935)+1,N($X5935)))</f>
        <v/>
      </c>
      <c r="Z5936">
        <f>IF($V5936="","",IF($AA5936&gt;N($AA5935),$AA5936,""))</f>
        <v/>
      </c>
      <c r="AA5936">
        <f>IF($V5936="",N($AA5935),IF(MATCH($V5936,$V$6:$V$6005,0)=ROW()-5,N($AA5935)+1,N($AA5935)))</f>
        <v/>
      </c>
    </row>
    <row r="5937" ht="21" customHeight="1" s="66">
      <c r="A5937" s="56" t="n"/>
      <c r="B5937" s="57" t="n"/>
      <c r="C5937" s="57" t="n"/>
      <c r="D5937" s="57" t="n"/>
      <c r="E5937" s="56" t="n"/>
      <c r="F5937" s="57" t="n"/>
      <c r="G5937" s="57" t="n"/>
      <c r="H5937" s="56" t="n"/>
      <c r="I5937" s="56" t="n"/>
      <c r="J5937" s="58" t="n"/>
      <c r="K5937" s="58" t="n"/>
      <c r="L5937" s="13">
        <f>IF(OR($A5937="",AND($J5937="",$K5937="")),"",ROUND(N($J5937)-N($K5937),2))</f>
        <v/>
      </c>
      <c r="M5937" s="13">
        <f>IF(OR($A5937="",AND($J5937="",$K5937="")),"",MIN($J5937,$K5937))</f>
        <v/>
      </c>
      <c r="Q5937">
        <f>IF($A5937="","",$D5937&amp;"("&amp;SUBSTITUTE($E5937," ","")&amp;")")</f>
        <v/>
      </c>
      <c r="R5937">
        <f>IF($A5937="","",$B5937&amp;" - "&amp;$C5937)</f>
        <v/>
      </c>
      <c r="S5937">
        <f>IF($A5937="","",$R5937&amp;"|"&amp;$Q5937)</f>
        <v/>
      </c>
      <c r="T5937">
        <f>IF($A5937="","",$S5937&amp;"|"&amp;$F5937)</f>
        <v/>
      </c>
      <c r="U5937">
        <f>IF($A5937="","",$R5937&amp;"("&amp;$E5937&amp;")")</f>
        <v/>
      </c>
      <c r="V5937">
        <f>IF($A5937="","",$F5937&amp;"|"&amp;$U5937&amp;"|"&amp;$D5937)</f>
        <v/>
      </c>
      <c r="W5937">
        <f>IF($T5937="","",IF($X5937&gt;N($X5936),$X5937,""))</f>
        <v/>
      </c>
      <c r="X5937">
        <f>IF($T5937="",N($X5936),IF(MATCH($T5937,$T$6:$T$6005,0)=ROW()-5,N($X5936)+1,N($X5936)))</f>
        <v/>
      </c>
      <c r="Z5937">
        <f>IF($V5937="","",IF($AA5937&gt;N($AA5936),$AA5937,""))</f>
        <v/>
      </c>
      <c r="AA5937">
        <f>IF($V5937="",N($AA5936),IF(MATCH($V5937,$V$6:$V$6005,0)=ROW()-5,N($AA5936)+1,N($AA5936)))</f>
        <v/>
      </c>
    </row>
    <row r="5938" ht="21" customHeight="1" s="66">
      <c r="A5938" s="56" t="n"/>
      <c r="B5938" s="57" t="n"/>
      <c r="C5938" s="57" t="n"/>
      <c r="D5938" s="57" t="n"/>
      <c r="E5938" s="56" t="n"/>
      <c r="F5938" s="57" t="n"/>
      <c r="G5938" s="57" t="n"/>
      <c r="H5938" s="56" t="n"/>
      <c r="I5938" s="56" t="n"/>
      <c r="J5938" s="58" t="n"/>
      <c r="K5938" s="58" t="n"/>
      <c r="L5938" s="13">
        <f>IF(OR($A5938="",AND($J5938="",$K5938="")),"",ROUND(N($J5938)-N($K5938),2))</f>
        <v/>
      </c>
      <c r="M5938" s="13">
        <f>IF(OR($A5938="",AND($J5938="",$K5938="")),"",MIN($J5938,$K5938))</f>
        <v/>
      </c>
      <c r="Q5938">
        <f>IF($A5938="","",$D5938&amp;"("&amp;SUBSTITUTE($E5938," ","")&amp;")")</f>
        <v/>
      </c>
      <c r="R5938">
        <f>IF($A5938="","",$B5938&amp;" - "&amp;$C5938)</f>
        <v/>
      </c>
      <c r="S5938">
        <f>IF($A5938="","",$R5938&amp;"|"&amp;$Q5938)</f>
        <v/>
      </c>
      <c r="T5938">
        <f>IF($A5938="","",$S5938&amp;"|"&amp;$F5938)</f>
        <v/>
      </c>
      <c r="U5938">
        <f>IF($A5938="","",$R5938&amp;"("&amp;$E5938&amp;")")</f>
        <v/>
      </c>
      <c r="V5938">
        <f>IF($A5938="","",$F5938&amp;"|"&amp;$U5938&amp;"|"&amp;$D5938)</f>
        <v/>
      </c>
      <c r="W5938">
        <f>IF($T5938="","",IF($X5938&gt;N($X5937),$X5938,""))</f>
        <v/>
      </c>
      <c r="X5938">
        <f>IF($T5938="",N($X5937),IF(MATCH($T5938,$T$6:$T$6005,0)=ROW()-5,N($X5937)+1,N($X5937)))</f>
        <v/>
      </c>
      <c r="Z5938">
        <f>IF($V5938="","",IF($AA5938&gt;N($AA5937),$AA5938,""))</f>
        <v/>
      </c>
      <c r="AA5938">
        <f>IF($V5938="",N($AA5937),IF(MATCH($V5938,$V$6:$V$6005,0)=ROW()-5,N($AA5937)+1,N($AA5937)))</f>
        <v/>
      </c>
    </row>
    <row r="5939" ht="21" customHeight="1" s="66">
      <c r="A5939" s="56" t="n"/>
      <c r="B5939" s="57" t="n"/>
      <c r="C5939" s="57" t="n"/>
      <c r="D5939" s="57" t="n"/>
      <c r="E5939" s="56" t="n"/>
      <c r="F5939" s="57" t="n"/>
      <c r="G5939" s="57" t="n"/>
      <c r="H5939" s="56" t="n"/>
      <c r="I5939" s="56" t="n"/>
      <c r="J5939" s="58" t="n"/>
      <c r="K5939" s="58" t="n"/>
      <c r="L5939" s="13">
        <f>IF(OR($A5939="",AND($J5939="",$K5939="")),"",ROUND(N($J5939)-N($K5939),2))</f>
        <v/>
      </c>
      <c r="M5939" s="13">
        <f>IF(OR($A5939="",AND($J5939="",$K5939="")),"",MIN($J5939,$K5939))</f>
        <v/>
      </c>
      <c r="Q5939">
        <f>IF($A5939="","",$D5939&amp;"("&amp;SUBSTITUTE($E5939," ","")&amp;")")</f>
        <v/>
      </c>
      <c r="R5939">
        <f>IF($A5939="","",$B5939&amp;" - "&amp;$C5939)</f>
        <v/>
      </c>
      <c r="S5939">
        <f>IF($A5939="","",$R5939&amp;"|"&amp;$Q5939)</f>
        <v/>
      </c>
      <c r="T5939">
        <f>IF($A5939="","",$S5939&amp;"|"&amp;$F5939)</f>
        <v/>
      </c>
      <c r="U5939">
        <f>IF($A5939="","",$R5939&amp;"("&amp;$E5939&amp;")")</f>
        <v/>
      </c>
      <c r="V5939">
        <f>IF($A5939="","",$F5939&amp;"|"&amp;$U5939&amp;"|"&amp;$D5939)</f>
        <v/>
      </c>
      <c r="W5939">
        <f>IF($T5939="","",IF($X5939&gt;N($X5938),$X5939,""))</f>
        <v/>
      </c>
      <c r="X5939">
        <f>IF($T5939="",N($X5938),IF(MATCH($T5939,$T$6:$T$6005,0)=ROW()-5,N($X5938)+1,N($X5938)))</f>
        <v/>
      </c>
      <c r="Z5939">
        <f>IF($V5939="","",IF($AA5939&gt;N($AA5938),$AA5939,""))</f>
        <v/>
      </c>
      <c r="AA5939">
        <f>IF($V5939="",N($AA5938),IF(MATCH($V5939,$V$6:$V$6005,0)=ROW()-5,N($AA5938)+1,N($AA5938)))</f>
        <v/>
      </c>
    </row>
    <row r="5940" ht="21" customHeight="1" s="66">
      <c r="A5940" s="56" t="n"/>
      <c r="B5940" s="57" t="n"/>
      <c r="C5940" s="57" t="n"/>
      <c r="D5940" s="57" t="n"/>
      <c r="E5940" s="56" t="n"/>
      <c r="F5940" s="57" t="n"/>
      <c r="G5940" s="57" t="n"/>
      <c r="H5940" s="56" t="n"/>
      <c r="I5940" s="56" t="n"/>
      <c r="J5940" s="58" t="n"/>
      <c r="K5940" s="58" t="n"/>
      <c r="L5940" s="13">
        <f>IF(OR($A5940="",AND($J5940="",$K5940="")),"",ROUND(N($J5940)-N($K5940),2))</f>
        <v/>
      </c>
      <c r="M5940" s="13">
        <f>IF(OR($A5940="",AND($J5940="",$K5940="")),"",MIN($J5940,$K5940))</f>
        <v/>
      </c>
      <c r="Q5940">
        <f>IF($A5940="","",$D5940&amp;"("&amp;SUBSTITUTE($E5940," ","")&amp;")")</f>
        <v/>
      </c>
      <c r="R5940">
        <f>IF($A5940="","",$B5940&amp;" - "&amp;$C5940)</f>
        <v/>
      </c>
      <c r="S5940">
        <f>IF($A5940="","",$R5940&amp;"|"&amp;$Q5940)</f>
        <v/>
      </c>
      <c r="T5940">
        <f>IF($A5940="","",$S5940&amp;"|"&amp;$F5940)</f>
        <v/>
      </c>
      <c r="U5940">
        <f>IF($A5940="","",$R5940&amp;"("&amp;$E5940&amp;")")</f>
        <v/>
      </c>
      <c r="V5940">
        <f>IF($A5940="","",$F5940&amp;"|"&amp;$U5940&amp;"|"&amp;$D5940)</f>
        <v/>
      </c>
      <c r="W5940">
        <f>IF($T5940="","",IF($X5940&gt;N($X5939),$X5940,""))</f>
        <v/>
      </c>
      <c r="X5940">
        <f>IF($T5940="",N($X5939),IF(MATCH($T5940,$T$6:$T$6005,0)=ROW()-5,N($X5939)+1,N($X5939)))</f>
        <v/>
      </c>
      <c r="Z5940">
        <f>IF($V5940="","",IF($AA5940&gt;N($AA5939),$AA5940,""))</f>
        <v/>
      </c>
      <c r="AA5940">
        <f>IF($V5940="",N($AA5939),IF(MATCH($V5940,$V$6:$V$6005,0)=ROW()-5,N($AA5939)+1,N($AA5939)))</f>
        <v/>
      </c>
    </row>
    <row r="5941" ht="21" customHeight="1" s="66">
      <c r="A5941" s="56" t="n"/>
      <c r="B5941" s="57" t="n"/>
      <c r="C5941" s="57" t="n"/>
      <c r="D5941" s="57" t="n"/>
      <c r="E5941" s="56" t="n"/>
      <c r="F5941" s="57" t="n"/>
      <c r="G5941" s="57" t="n"/>
      <c r="H5941" s="56" t="n"/>
      <c r="I5941" s="56" t="n"/>
      <c r="J5941" s="58" t="n"/>
      <c r="K5941" s="58" t="n"/>
      <c r="L5941" s="13">
        <f>IF(OR($A5941="",AND($J5941="",$K5941="")),"",ROUND(N($J5941)-N($K5941),2))</f>
        <v/>
      </c>
      <c r="M5941" s="13">
        <f>IF(OR($A5941="",AND($J5941="",$K5941="")),"",MIN($J5941,$K5941))</f>
        <v/>
      </c>
      <c r="Q5941">
        <f>IF($A5941="","",$D5941&amp;"("&amp;SUBSTITUTE($E5941," ","")&amp;")")</f>
        <v/>
      </c>
      <c r="R5941">
        <f>IF($A5941="","",$B5941&amp;" - "&amp;$C5941)</f>
        <v/>
      </c>
      <c r="S5941">
        <f>IF($A5941="","",$R5941&amp;"|"&amp;$Q5941)</f>
        <v/>
      </c>
      <c r="T5941">
        <f>IF($A5941="","",$S5941&amp;"|"&amp;$F5941)</f>
        <v/>
      </c>
      <c r="U5941">
        <f>IF($A5941="","",$R5941&amp;"("&amp;$E5941&amp;")")</f>
        <v/>
      </c>
      <c r="V5941">
        <f>IF($A5941="","",$F5941&amp;"|"&amp;$U5941&amp;"|"&amp;$D5941)</f>
        <v/>
      </c>
      <c r="W5941">
        <f>IF($T5941="","",IF($X5941&gt;N($X5940),$X5941,""))</f>
        <v/>
      </c>
      <c r="X5941">
        <f>IF($T5941="",N($X5940),IF(MATCH($T5941,$T$6:$T$6005,0)=ROW()-5,N($X5940)+1,N($X5940)))</f>
        <v/>
      </c>
      <c r="Z5941">
        <f>IF($V5941="","",IF($AA5941&gt;N($AA5940),$AA5941,""))</f>
        <v/>
      </c>
      <c r="AA5941">
        <f>IF($V5941="",N($AA5940),IF(MATCH($V5941,$V$6:$V$6005,0)=ROW()-5,N($AA5940)+1,N($AA5940)))</f>
        <v/>
      </c>
    </row>
    <row r="5942" ht="21" customHeight="1" s="66">
      <c r="A5942" s="56" t="n"/>
      <c r="B5942" s="57" t="n"/>
      <c r="C5942" s="57" t="n"/>
      <c r="D5942" s="57" t="n"/>
      <c r="E5942" s="56" t="n"/>
      <c r="F5942" s="57" t="n"/>
      <c r="G5942" s="57" t="n"/>
      <c r="H5942" s="56" t="n"/>
      <c r="I5942" s="56" t="n"/>
      <c r="J5942" s="58" t="n"/>
      <c r="K5942" s="58" t="n"/>
      <c r="L5942" s="13">
        <f>IF(OR($A5942="",AND($J5942="",$K5942="")),"",ROUND(N($J5942)-N($K5942),2))</f>
        <v/>
      </c>
      <c r="M5942" s="13">
        <f>IF(OR($A5942="",AND($J5942="",$K5942="")),"",MIN($J5942,$K5942))</f>
        <v/>
      </c>
      <c r="Q5942">
        <f>IF($A5942="","",$D5942&amp;"("&amp;SUBSTITUTE($E5942," ","")&amp;")")</f>
        <v/>
      </c>
      <c r="R5942">
        <f>IF($A5942="","",$B5942&amp;" - "&amp;$C5942)</f>
        <v/>
      </c>
      <c r="S5942">
        <f>IF($A5942="","",$R5942&amp;"|"&amp;$Q5942)</f>
        <v/>
      </c>
      <c r="T5942">
        <f>IF($A5942="","",$S5942&amp;"|"&amp;$F5942)</f>
        <v/>
      </c>
      <c r="U5942">
        <f>IF($A5942="","",$R5942&amp;"("&amp;$E5942&amp;")")</f>
        <v/>
      </c>
      <c r="V5942">
        <f>IF($A5942="","",$F5942&amp;"|"&amp;$U5942&amp;"|"&amp;$D5942)</f>
        <v/>
      </c>
      <c r="W5942">
        <f>IF($T5942="","",IF($X5942&gt;N($X5941),$X5942,""))</f>
        <v/>
      </c>
      <c r="X5942">
        <f>IF($T5942="",N($X5941),IF(MATCH($T5942,$T$6:$T$6005,0)=ROW()-5,N($X5941)+1,N($X5941)))</f>
        <v/>
      </c>
      <c r="Z5942">
        <f>IF($V5942="","",IF($AA5942&gt;N($AA5941),$AA5942,""))</f>
        <v/>
      </c>
      <c r="AA5942">
        <f>IF($V5942="",N($AA5941),IF(MATCH($V5942,$V$6:$V$6005,0)=ROW()-5,N($AA5941)+1,N($AA5941)))</f>
        <v/>
      </c>
    </row>
    <row r="5943" ht="21" customHeight="1" s="66">
      <c r="A5943" s="56" t="n"/>
      <c r="B5943" s="57" t="n"/>
      <c r="C5943" s="57" t="n"/>
      <c r="D5943" s="57" t="n"/>
      <c r="E5943" s="56" t="n"/>
      <c r="F5943" s="57" t="n"/>
      <c r="G5943" s="57" t="n"/>
      <c r="H5943" s="56" t="n"/>
      <c r="I5943" s="56" t="n"/>
      <c r="J5943" s="58" t="n"/>
      <c r="K5943" s="58" t="n"/>
      <c r="L5943" s="13">
        <f>IF(OR($A5943="",AND($J5943="",$K5943="")),"",ROUND(N($J5943)-N($K5943),2))</f>
        <v/>
      </c>
      <c r="M5943" s="13">
        <f>IF(OR($A5943="",AND($J5943="",$K5943="")),"",MIN($J5943,$K5943))</f>
        <v/>
      </c>
      <c r="Q5943">
        <f>IF($A5943="","",$D5943&amp;"("&amp;SUBSTITUTE($E5943," ","")&amp;")")</f>
        <v/>
      </c>
      <c r="R5943">
        <f>IF($A5943="","",$B5943&amp;" - "&amp;$C5943)</f>
        <v/>
      </c>
      <c r="S5943">
        <f>IF($A5943="","",$R5943&amp;"|"&amp;$Q5943)</f>
        <v/>
      </c>
      <c r="T5943">
        <f>IF($A5943="","",$S5943&amp;"|"&amp;$F5943)</f>
        <v/>
      </c>
      <c r="U5943">
        <f>IF($A5943="","",$R5943&amp;"("&amp;$E5943&amp;")")</f>
        <v/>
      </c>
      <c r="V5943">
        <f>IF($A5943="","",$F5943&amp;"|"&amp;$U5943&amp;"|"&amp;$D5943)</f>
        <v/>
      </c>
      <c r="W5943">
        <f>IF($T5943="","",IF($X5943&gt;N($X5942),$X5943,""))</f>
        <v/>
      </c>
      <c r="X5943">
        <f>IF($T5943="",N($X5942),IF(MATCH($T5943,$T$6:$T$6005,0)=ROW()-5,N($X5942)+1,N($X5942)))</f>
        <v/>
      </c>
      <c r="Z5943">
        <f>IF($V5943="","",IF($AA5943&gt;N($AA5942),$AA5943,""))</f>
        <v/>
      </c>
      <c r="AA5943">
        <f>IF($V5943="",N($AA5942),IF(MATCH($V5943,$V$6:$V$6005,0)=ROW()-5,N($AA5942)+1,N($AA5942)))</f>
        <v/>
      </c>
    </row>
    <row r="5944" ht="21" customHeight="1" s="66">
      <c r="A5944" s="56" t="n"/>
      <c r="B5944" s="57" t="n"/>
      <c r="C5944" s="57" t="n"/>
      <c r="D5944" s="57" t="n"/>
      <c r="E5944" s="56" t="n"/>
      <c r="F5944" s="57" t="n"/>
      <c r="G5944" s="57" t="n"/>
      <c r="H5944" s="56" t="n"/>
      <c r="I5944" s="56" t="n"/>
      <c r="J5944" s="58" t="n"/>
      <c r="K5944" s="58" t="n"/>
      <c r="L5944" s="13">
        <f>IF(OR($A5944="",AND($J5944="",$K5944="")),"",ROUND(N($J5944)-N($K5944),2))</f>
        <v/>
      </c>
      <c r="M5944" s="13">
        <f>IF(OR($A5944="",AND($J5944="",$K5944="")),"",MIN($J5944,$K5944))</f>
        <v/>
      </c>
      <c r="Q5944">
        <f>IF($A5944="","",$D5944&amp;"("&amp;SUBSTITUTE($E5944," ","")&amp;")")</f>
        <v/>
      </c>
      <c r="R5944">
        <f>IF($A5944="","",$B5944&amp;" - "&amp;$C5944)</f>
        <v/>
      </c>
      <c r="S5944">
        <f>IF($A5944="","",$R5944&amp;"|"&amp;$Q5944)</f>
        <v/>
      </c>
      <c r="T5944">
        <f>IF($A5944="","",$S5944&amp;"|"&amp;$F5944)</f>
        <v/>
      </c>
      <c r="U5944">
        <f>IF($A5944="","",$R5944&amp;"("&amp;$E5944&amp;")")</f>
        <v/>
      </c>
      <c r="V5944">
        <f>IF($A5944="","",$F5944&amp;"|"&amp;$U5944&amp;"|"&amp;$D5944)</f>
        <v/>
      </c>
      <c r="W5944">
        <f>IF($T5944="","",IF($X5944&gt;N($X5943),$X5944,""))</f>
        <v/>
      </c>
      <c r="X5944">
        <f>IF($T5944="",N($X5943),IF(MATCH($T5944,$T$6:$T$6005,0)=ROW()-5,N($X5943)+1,N($X5943)))</f>
        <v/>
      </c>
      <c r="Z5944">
        <f>IF($V5944="","",IF($AA5944&gt;N($AA5943),$AA5944,""))</f>
        <v/>
      </c>
      <c r="AA5944">
        <f>IF($V5944="",N($AA5943),IF(MATCH($V5944,$V$6:$V$6005,0)=ROW()-5,N($AA5943)+1,N($AA5943)))</f>
        <v/>
      </c>
    </row>
    <row r="5945" ht="21" customHeight="1" s="66">
      <c r="A5945" s="56" t="n"/>
      <c r="B5945" s="57" t="n"/>
      <c r="C5945" s="57" t="n"/>
      <c r="D5945" s="57" t="n"/>
      <c r="E5945" s="56" t="n"/>
      <c r="F5945" s="57" t="n"/>
      <c r="G5945" s="57" t="n"/>
      <c r="H5945" s="56" t="n"/>
      <c r="I5945" s="56" t="n"/>
      <c r="J5945" s="58" t="n"/>
      <c r="K5945" s="58" t="n"/>
      <c r="L5945" s="13">
        <f>IF(OR($A5945="",AND($J5945="",$K5945="")),"",ROUND(N($J5945)-N($K5945),2))</f>
        <v/>
      </c>
      <c r="M5945" s="13">
        <f>IF(OR($A5945="",AND($J5945="",$K5945="")),"",MIN($J5945,$K5945))</f>
        <v/>
      </c>
      <c r="Q5945">
        <f>IF($A5945="","",$D5945&amp;"("&amp;SUBSTITUTE($E5945," ","")&amp;")")</f>
        <v/>
      </c>
      <c r="R5945">
        <f>IF($A5945="","",$B5945&amp;" - "&amp;$C5945)</f>
        <v/>
      </c>
      <c r="S5945">
        <f>IF($A5945="","",$R5945&amp;"|"&amp;$Q5945)</f>
        <v/>
      </c>
      <c r="T5945">
        <f>IF($A5945="","",$S5945&amp;"|"&amp;$F5945)</f>
        <v/>
      </c>
      <c r="U5945">
        <f>IF($A5945="","",$R5945&amp;"("&amp;$E5945&amp;")")</f>
        <v/>
      </c>
      <c r="V5945">
        <f>IF($A5945="","",$F5945&amp;"|"&amp;$U5945&amp;"|"&amp;$D5945)</f>
        <v/>
      </c>
      <c r="W5945">
        <f>IF($T5945="","",IF($X5945&gt;N($X5944),$X5945,""))</f>
        <v/>
      </c>
      <c r="X5945">
        <f>IF($T5945="",N($X5944),IF(MATCH($T5945,$T$6:$T$6005,0)=ROW()-5,N($X5944)+1,N($X5944)))</f>
        <v/>
      </c>
      <c r="Z5945">
        <f>IF($V5945="","",IF($AA5945&gt;N($AA5944),$AA5945,""))</f>
        <v/>
      </c>
      <c r="AA5945">
        <f>IF($V5945="",N($AA5944),IF(MATCH($V5945,$V$6:$V$6005,0)=ROW()-5,N($AA5944)+1,N($AA5944)))</f>
        <v/>
      </c>
    </row>
    <row r="5946" ht="21" customHeight="1" s="66">
      <c r="A5946" s="56" t="n"/>
      <c r="B5946" s="57" t="n"/>
      <c r="C5946" s="57" t="n"/>
      <c r="D5946" s="57" t="n"/>
      <c r="E5946" s="56" t="n"/>
      <c r="F5946" s="57" t="n"/>
      <c r="G5946" s="57" t="n"/>
      <c r="H5946" s="56" t="n"/>
      <c r="I5946" s="56" t="n"/>
      <c r="J5946" s="58" t="n"/>
      <c r="K5946" s="58" t="n"/>
      <c r="L5946" s="13">
        <f>IF(OR($A5946="",AND($J5946="",$K5946="")),"",ROUND(N($J5946)-N($K5946),2))</f>
        <v/>
      </c>
      <c r="M5946" s="13">
        <f>IF(OR($A5946="",AND($J5946="",$K5946="")),"",MIN($J5946,$K5946))</f>
        <v/>
      </c>
      <c r="Q5946">
        <f>IF($A5946="","",$D5946&amp;"("&amp;SUBSTITUTE($E5946," ","")&amp;")")</f>
        <v/>
      </c>
      <c r="R5946">
        <f>IF($A5946="","",$B5946&amp;" - "&amp;$C5946)</f>
        <v/>
      </c>
      <c r="S5946">
        <f>IF($A5946="","",$R5946&amp;"|"&amp;$Q5946)</f>
        <v/>
      </c>
      <c r="T5946">
        <f>IF($A5946="","",$S5946&amp;"|"&amp;$F5946)</f>
        <v/>
      </c>
      <c r="U5946">
        <f>IF($A5946="","",$R5946&amp;"("&amp;$E5946&amp;")")</f>
        <v/>
      </c>
      <c r="V5946">
        <f>IF($A5946="","",$F5946&amp;"|"&amp;$U5946&amp;"|"&amp;$D5946)</f>
        <v/>
      </c>
      <c r="W5946">
        <f>IF($T5946="","",IF($X5946&gt;N($X5945),$X5946,""))</f>
        <v/>
      </c>
      <c r="X5946">
        <f>IF($T5946="",N($X5945),IF(MATCH($T5946,$T$6:$T$6005,0)=ROW()-5,N($X5945)+1,N($X5945)))</f>
        <v/>
      </c>
      <c r="Z5946">
        <f>IF($V5946="","",IF($AA5946&gt;N($AA5945),$AA5946,""))</f>
        <v/>
      </c>
      <c r="AA5946">
        <f>IF($V5946="",N($AA5945),IF(MATCH($V5946,$V$6:$V$6005,0)=ROW()-5,N($AA5945)+1,N($AA5945)))</f>
        <v/>
      </c>
    </row>
    <row r="5947" ht="21" customHeight="1" s="66">
      <c r="A5947" s="56" t="n"/>
      <c r="B5947" s="57" t="n"/>
      <c r="C5947" s="57" t="n"/>
      <c r="D5947" s="57" t="n"/>
      <c r="E5947" s="56" t="n"/>
      <c r="F5947" s="57" t="n"/>
      <c r="G5947" s="57" t="n"/>
      <c r="H5947" s="56" t="n"/>
      <c r="I5947" s="56" t="n"/>
      <c r="J5947" s="58" t="n"/>
      <c r="K5947" s="58" t="n"/>
      <c r="L5947" s="13">
        <f>IF(OR($A5947="",AND($J5947="",$K5947="")),"",ROUND(N($J5947)-N($K5947),2))</f>
        <v/>
      </c>
      <c r="M5947" s="13">
        <f>IF(OR($A5947="",AND($J5947="",$K5947="")),"",MIN($J5947,$K5947))</f>
        <v/>
      </c>
      <c r="Q5947">
        <f>IF($A5947="","",$D5947&amp;"("&amp;SUBSTITUTE($E5947," ","")&amp;")")</f>
        <v/>
      </c>
      <c r="R5947">
        <f>IF($A5947="","",$B5947&amp;" - "&amp;$C5947)</f>
        <v/>
      </c>
      <c r="S5947">
        <f>IF($A5947="","",$R5947&amp;"|"&amp;$Q5947)</f>
        <v/>
      </c>
      <c r="T5947">
        <f>IF($A5947="","",$S5947&amp;"|"&amp;$F5947)</f>
        <v/>
      </c>
      <c r="U5947">
        <f>IF($A5947="","",$R5947&amp;"("&amp;$E5947&amp;")")</f>
        <v/>
      </c>
      <c r="V5947">
        <f>IF($A5947="","",$F5947&amp;"|"&amp;$U5947&amp;"|"&amp;$D5947)</f>
        <v/>
      </c>
      <c r="W5947">
        <f>IF($T5947="","",IF($X5947&gt;N($X5946),$X5947,""))</f>
        <v/>
      </c>
      <c r="X5947">
        <f>IF($T5947="",N($X5946),IF(MATCH($T5947,$T$6:$T$6005,0)=ROW()-5,N($X5946)+1,N($X5946)))</f>
        <v/>
      </c>
      <c r="Z5947">
        <f>IF($V5947="","",IF($AA5947&gt;N($AA5946),$AA5947,""))</f>
        <v/>
      </c>
      <c r="AA5947">
        <f>IF($V5947="",N($AA5946),IF(MATCH($V5947,$V$6:$V$6005,0)=ROW()-5,N($AA5946)+1,N($AA5946)))</f>
        <v/>
      </c>
    </row>
    <row r="5948" ht="21" customHeight="1" s="66">
      <c r="A5948" s="56" t="n"/>
      <c r="B5948" s="57" t="n"/>
      <c r="C5948" s="57" t="n"/>
      <c r="D5948" s="57" t="n"/>
      <c r="E5948" s="56" t="n"/>
      <c r="F5948" s="57" t="n"/>
      <c r="G5948" s="57" t="n"/>
      <c r="H5948" s="56" t="n"/>
      <c r="I5948" s="56" t="n"/>
      <c r="J5948" s="58" t="n"/>
      <c r="K5948" s="58" t="n"/>
      <c r="L5948" s="13">
        <f>IF(OR($A5948="",AND($J5948="",$K5948="")),"",ROUND(N($J5948)-N($K5948),2))</f>
        <v/>
      </c>
      <c r="M5948" s="13">
        <f>IF(OR($A5948="",AND($J5948="",$K5948="")),"",MIN($J5948,$K5948))</f>
        <v/>
      </c>
      <c r="Q5948">
        <f>IF($A5948="","",$D5948&amp;"("&amp;SUBSTITUTE($E5948," ","")&amp;")")</f>
        <v/>
      </c>
      <c r="R5948">
        <f>IF($A5948="","",$B5948&amp;" - "&amp;$C5948)</f>
        <v/>
      </c>
      <c r="S5948">
        <f>IF($A5948="","",$R5948&amp;"|"&amp;$Q5948)</f>
        <v/>
      </c>
      <c r="T5948">
        <f>IF($A5948="","",$S5948&amp;"|"&amp;$F5948)</f>
        <v/>
      </c>
      <c r="U5948">
        <f>IF($A5948="","",$R5948&amp;"("&amp;$E5948&amp;")")</f>
        <v/>
      </c>
      <c r="V5948">
        <f>IF($A5948="","",$F5948&amp;"|"&amp;$U5948&amp;"|"&amp;$D5948)</f>
        <v/>
      </c>
      <c r="W5948">
        <f>IF($T5948="","",IF($X5948&gt;N($X5947),$X5948,""))</f>
        <v/>
      </c>
      <c r="X5948">
        <f>IF($T5948="",N($X5947),IF(MATCH($T5948,$T$6:$T$6005,0)=ROW()-5,N($X5947)+1,N($X5947)))</f>
        <v/>
      </c>
      <c r="Z5948">
        <f>IF($V5948="","",IF($AA5948&gt;N($AA5947),$AA5948,""))</f>
        <v/>
      </c>
      <c r="AA5948">
        <f>IF($V5948="",N($AA5947),IF(MATCH($V5948,$V$6:$V$6005,0)=ROW()-5,N($AA5947)+1,N($AA5947)))</f>
        <v/>
      </c>
    </row>
    <row r="5949" ht="21" customHeight="1" s="66">
      <c r="A5949" s="56" t="n"/>
      <c r="B5949" s="57" t="n"/>
      <c r="C5949" s="57" t="n"/>
      <c r="D5949" s="57" t="n"/>
      <c r="E5949" s="56" t="n"/>
      <c r="F5949" s="57" t="n"/>
      <c r="G5949" s="57" t="n"/>
      <c r="H5949" s="56" t="n"/>
      <c r="I5949" s="56" t="n"/>
      <c r="J5949" s="58" t="n"/>
      <c r="K5949" s="58" t="n"/>
      <c r="L5949" s="13">
        <f>IF(OR($A5949="",AND($J5949="",$K5949="")),"",ROUND(N($J5949)-N($K5949),2))</f>
        <v/>
      </c>
      <c r="M5949" s="13">
        <f>IF(OR($A5949="",AND($J5949="",$K5949="")),"",MIN($J5949,$K5949))</f>
        <v/>
      </c>
      <c r="Q5949">
        <f>IF($A5949="","",$D5949&amp;"("&amp;SUBSTITUTE($E5949," ","")&amp;")")</f>
        <v/>
      </c>
      <c r="R5949">
        <f>IF($A5949="","",$B5949&amp;" - "&amp;$C5949)</f>
        <v/>
      </c>
      <c r="S5949">
        <f>IF($A5949="","",$R5949&amp;"|"&amp;$Q5949)</f>
        <v/>
      </c>
      <c r="T5949">
        <f>IF($A5949="","",$S5949&amp;"|"&amp;$F5949)</f>
        <v/>
      </c>
      <c r="U5949">
        <f>IF($A5949="","",$R5949&amp;"("&amp;$E5949&amp;")")</f>
        <v/>
      </c>
      <c r="V5949">
        <f>IF($A5949="","",$F5949&amp;"|"&amp;$U5949&amp;"|"&amp;$D5949)</f>
        <v/>
      </c>
      <c r="W5949">
        <f>IF($T5949="","",IF($X5949&gt;N($X5948),$X5949,""))</f>
        <v/>
      </c>
      <c r="X5949">
        <f>IF($T5949="",N($X5948),IF(MATCH($T5949,$T$6:$T$6005,0)=ROW()-5,N($X5948)+1,N($X5948)))</f>
        <v/>
      </c>
      <c r="Z5949">
        <f>IF($V5949="","",IF($AA5949&gt;N($AA5948),$AA5949,""))</f>
        <v/>
      </c>
      <c r="AA5949">
        <f>IF($V5949="",N($AA5948),IF(MATCH($V5949,$V$6:$V$6005,0)=ROW()-5,N($AA5948)+1,N($AA5948)))</f>
        <v/>
      </c>
    </row>
    <row r="5950" ht="21" customHeight="1" s="66">
      <c r="A5950" s="56" t="n"/>
      <c r="B5950" s="57" t="n"/>
      <c r="C5950" s="57" t="n"/>
      <c r="D5950" s="57" t="n"/>
      <c r="E5950" s="56" t="n"/>
      <c r="F5950" s="57" t="n"/>
      <c r="G5950" s="57" t="n"/>
      <c r="H5950" s="56" t="n"/>
      <c r="I5950" s="56" t="n"/>
      <c r="J5950" s="58" t="n"/>
      <c r="K5950" s="58" t="n"/>
      <c r="L5950" s="13">
        <f>IF(OR($A5950="",AND($J5950="",$K5950="")),"",ROUND(N($J5950)-N($K5950),2))</f>
        <v/>
      </c>
      <c r="M5950" s="13">
        <f>IF(OR($A5950="",AND($J5950="",$K5950="")),"",MIN($J5950,$K5950))</f>
        <v/>
      </c>
      <c r="Q5950">
        <f>IF($A5950="","",$D5950&amp;"("&amp;SUBSTITUTE($E5950," ","")&amp;")")</f>
        <v/>
      </c>
      <c r="R5950">
        <f>IF($A5950="","",$B5950&amp;" - "&amp;$C5950)</f>
        <v/>
      </c>
      <c r="S5950">
        <f>IF($A5950="","",$R5950&amp;"|"&amp;$Q5950)</f>
        <v/>
      </c>
      <c r="T5950">
        <f>IF($A5950="","",$S5950&amp;"|"&amp;$F5950)</f>
        <v/>
      </c>
      <c r="U5950">
        <f>IF($A5950="","",$R5950&amp;"("&amp;$E5950&amp;")")</f>
        <v/>
      </c>
      <c r="V5950">
        <f>IF($A5950="","",$F5950&amp;"|"&amp;$U5950&amp;"|"&amp;$D5950)</f>
        <v/>
      </c>
      <c r="W5950">
        <f>IF($T5950="","",IF($X5950&gt;N($X5949),$X5950,""))</f>
        <v/>
      </c>
      <c r="X5950">
        <f>IF($T5950="",N($X5949),IF(MATCH($T5950,$T$6:$T$6005,0)=ROW()-5,N($X5949)+1,N($X5949)))</f>
        <v/>
      </c>
      <c r="Z5950">
        <f>IF($V5950="","",IF($AA5950&gt;N($AA5949),$AA5950,""))</f>
        <v/>
      </c>
      <c r="AA5950">
        <f>IF($V5950="",N($AA5949),IF(MATCH($V5950,$V$6:$V$6005,0)=ROW()-5,N($AA5949)+1,N($AA5949)))</f>
        <v/>
      </c>
    </row>
    <row r="5951" ht="21" customHeight="1" s="66">
      <c r="A5951" s="56" t="n"/>
      <c r="B5951" s="57" t="n"/>
      <c r="C5951" s="57" t="n"/>
      <c r="D5951" s="57" t="n"/>
      <c r="E5951" s="56" t="n"/>
      <c r="F5951" s="57" t="n"/>
      <c r="G5951" s="57" t="n"/>
      <c r="H5951" s="56" t="n"/>
      <c r="I5951" s="56" t="n"/>
      <c r="J5951" s="58" t="n"/>
      <c r="K5951" s="58" t="n"/>
      <c r="L5951" s="13">
        <f>IF(OR($A5951="",AND($J5951="",$K5951="")),"",ROUND(N($J5951)-N($K5951),2))</f>
        <v/>
      </c>
      <c r="M5951" s="13">
        <f>IF(OR($A5951="",AND($J5951="",$K5951="")),"",MIN($J5951,$K5951))</f>
        <v/>
      </c>
      <c r="Q5951">
        <f>IF($A5951="","",$D5951&amp;"("&amp;SUBSTITUTE($E5951," ","")&amp;")")</f>
        <v/>
      </c>
      <c r="R5951">
        <f>IF($A5951="","",$B5951&amp;" - "&amp;$C5951)</f>
        <v/>
      </c>
      <c r="S5951">
        <f>IF($A5951="","",$R5951&amp;"|"&amp;$Q5951)</f>
        <v/>
      </c>
      <c r="T5951">
        <f>IF($A5951="","",$S5951&amp;"|"&amp;$F5951)</f>
        <v/>
      </c>
      <c r="U5951">
        <f>IF($A5951="","",$R5951&amp;"("&amp;$E5951&amp;")")</f>
        <v/>
      </c>
      <c r="V5951">
        <f>IF($A5951="","",$F5951&amp;"|"&amp;$U5951&amp;"|"&amp;$D5951)</f>
        <v/>
      </c>
      <c r="W5951">
        <f>IF($T5951="","",IF($X5951&gt;N($X5950),$X5951,""))</f>
        <v/>
      </c>
      <c r="X5951">
        <f>IF($T5951="",N($X5950),IF(MATCH($T5951,$T$6:$T$6005,0)=ROW()-5,N($X5950)+1,N($X5950)))</f>
        <v/>
      </c>
      <c r="Z5951">
        <f>IF($V5951="","",IF($AA5951&gt;N($AA5950),$AA5951,""))</f>
        <v/>
      </c>
      <c r="AA5951">
        <f>IF($V5951="",N($AA5950),IF(MATCH($V5951,$V$6:$V$6005,0)=ROW()-5,N($AA5950)+1,N($AA5950)))</f>
        <v/>
      </c>
    </row>
    <row r="5952" ht="21" customHeight="1" s="66">
      <c r="A5952" s="56" t="n"/>
      <c r="B5952" s="57" t="n"/>
      <c r="C5952" s="57" t="n"/>
      <c r="D5952" s="57" t="n"/>
      <c r="E5952" s="56" t="n"/>
      <c r="F5952" s="57" t="n"/>
      <c r="G5952" s="57" t="n"/>
      <c r="H5952" s="56" t="n"/>
      <c r="I5952" s="56" t="n"/>
      <c r="J5952" s="58" t="n"/>
      <c r="K5952" s="58" t="n"/>
      <c r="L5952" s="13">
        <f>IF(OR($A5952="",AND($J5952="",$K5952="")),"",ROUND(N($J5952)-N($K5952),2))</f>
        <v/>
      </c>
      <c r="M5952" s="13">
        <f>IF(OR($A5952="",AND($J5952="",$K5952="")),"",MIN($J5952,$K5952))</f>
        <v/>
      </c>
      <c r="Q5952">
        <f>IF($A5952="","",$D5952&amp;"("&amp;SUBSTITUTE($E5952," ","")&amp;")")</f>
        <v/>
      </c>
      <c r="R5952">
        <f>IF($A5952="","",$B5952&amp;" - "&amp;$C5952)</f>
        <v/>
      </c>
      <c r="S5952">
        <f>IF($A5952="","",$R5952&amp;"|"&amp;$Q5952)</f>
        <v/>
      </c>
      <c r="T5952">
        <f>IF($A5952="","",$S5952&amp;"|"&amp;$F5952)</f>
        <v/>
      </c>
      <c r="U5952">
        <f>IF($A5952="","",$R5952&amp;"("&amp;$E5952&amp;")")</f>
        <v/>
      </c>
      <c r="V5952">
        <f>IF($A5952="","",$F5952&amp;"|"&amp;$U5952&amp;"|"&amp;$D5952)</f>
        <v/>
      </c>
      <c r="W5952">
        <f>IF($T5952="","",IF($X5952&gt;N($X5951),$X5952,""))</f>
        <v/>
      </c>
      <c r="X5952">
        <f>IF($T5952="",N($X5951),IF(MATCH($T5952,$T$6:$T$6005,0)=ROW()-5,N($X5951)+1,N($X5951)))</f>
        <v/>
      </c>
      <c r="Z5952">
        <f>IF($V5952="","",IF($AA5952&gt;N($AA5951),$AA5952,""))</f>
        <v/>
      </c>
      <c r="AA5952">
        <f>IF($V5952="",N($AA5951),IF(MATCH($V5952,$V$6:$V$6005,0)=ROW()-5,N($AA5951)+1,N($AA5951)))</f>
        <v/>
      </c>
    </row>
    <row r="5953" ht="21" customHeight="1" s="66">
      <c r="A5953" s="56" t="n"/>
      <c r="B5953" s="57" t="n"/>
      <c r="C5953" s="57" t="n"/>
      <c r="D5953" s="57" t="n"/>
      <c r="E5953" s="56" t="n"/>
      <c r="F5953" s="57" t="n"/>
      <c r="G5953" s="57" t="n"/>
      <c r="H5953" s="56" t="n"/>
      <c r="I5953" s="56" t="n"/>
      <c r="J5953" s="58" t="n"/>
      <c r="K5953" s="58" t="n"/>
      <c r="L5953" s="13">
        <f>IF(OR($A5953="",AND($J5953="",$K5953="")),"",ROUND(N($J5953)-N($K5953),2))</f>
        <v/>
      </c>
      <c r="M5953" s="13">
        <f>IF(OR($A5953="",AND($J5953="",$K5953="")),"",MIN($J5953,$K5953))</f>
        <v/>
      </c>
      <c r="Q5953">
        <f>IF($A5953="","",$D5953&amp;"("&amp;SUBSTITUTE($E5953," ","")&amp;")")</f>
        <v/>
      </c>
      <c r="R5953">
        <f>IF($A5953="","",$B5953&amp;" - "&amp;$C5953)</f>
        <v/>
      </c>
      <c r="S5953">
        <f>IF($A5953="","",$R5953&amp;"|"&amp;$Q5953)</f>
        <v/>
      </c>
      <c r="T5953">
        <f>IF($A5953="","",$S5953&amp;"|"&amp;$F5953)</f>
        <v/>
      </c>
      <c r="U5953">
        <f>IF($A5953="","",$R5953&amp;"("&amp;$E5953&amp;")")</f>
        <v/>
      </c>
      <c r="V5953">
        <f>IF($A5953="","",$F5953&amp;"|"&amp;$U5953&amp;"|"&amp;$D5953)</f>
        <v/>
      </c>
      <c r="W5953">
        <f>IF($T5953="","",IF($X5953&gt;N($X5952),$X5953,""))</f>
        <v/>
      </c>
      <c r="X5953">
        <f>IF($T5953="",N($X5952),IF(MATCH($T5953,$T$6:$T$6005,0)=ROW()-5,N($X5952)+1,N($X5952)))</f>
        <v/>
      </c>
      <c r="Z5953">
        <f>IF($V5953="","",IF($AA5953&gt;N($AA5952),$AA5953,""))</f>
        <v/>
      </c>
      <c r="AA5953">
        <f>IF($V5953="",N($AA5952),IF(MATCH($V5953,$V$6:$V$6005,0)=ROW()-5,N($AA5952)+1,N($AA5952)))</f>
        <v/>
      </c>
    </row>
    <row r="5954" ht="21" customHeight="1" s="66">
      <c r="A5954" s="56" t="n"/>
      <c r="B5954" s="57" t="n"/>
      <c r="C5954" s="57" t="n"/>
      <c r="D5954" s="57" t="n"/>
      <c r="E5954" s="56" t="n"/>
      <c r="F5954" s="57" t="n"/>
      <c r="G5954" s="57" t="n"/>
      <c r="H5954" s="56" t="n"/>
      <c r="I5954" s="56" t="n"/>
      <c r="J5954" s="58" t="n"/>
      <c r="K5954" s="58" t="n"/>
      <c r="L5954" s="13">
        <f>IF(OR($A5954="",AND($J5954="",$K5954="")),"",ROUND(N($J5954)-N($K5954),2))</f>
        <v/>
      </c>
      <c r="M5954" s="13">
        <f>IF(OR($A5954="",AND($J5954="",$K5954="")),"",MIN($J5954,$K5954))</f>
        <v/>
      </c>
      <c r="Q5954">
        <f>IF($A5954="","",$D5954&amp;"("&amp;SUBSTITUTE($E5954," ","")&amp;")")</f>
        <v/>
      </c>
      <c r="R5954">
        <f>IF($A5954="","",$B5954&amp;" - "&amp;$C5954)</f>
        <v/>
      </c>
      <c r="S5954">
        <f>IF($A5954="","",$R5954&amp;"|"&amp;$Q5954)</f>
        <v/>
      </c>
      <c r="T5954">
        <f>IF($A5954="","",$S5954&amp;"|"&amp;$F5954)</f>
        <v/>
      </c>
      <c r="U5954">
        <f>IF($A5954="","",$R5954&amp;"("&amp;$E5954&amp;")")</f>
        <v/>
      </c>
      <c r="V5954">
        <f>IF($A5954="","",$F5954&amp;"|"&amp;$U5954&amp;"|"&amp;$D5954)</f>
        <v/>
      </c>
      <c r="W5954">
        <f>IF($T5954="","",IF($X5954&gt;N($X5953),$X5954,""))</f>
        <v/>
      </c>
      <c r="X5954">
        <f>IF($T5954="",N($X5953),IF(MATCH($T5954,$T$6:$T$6005,0)=ROW()-5,N($X5953)+1,N($X5953)))</f>
        <v/>
      </c>
      <c r="Z5954">
        <f>IF($V5954="","",IF($AA5954&gt;N($AA5953),$AA5954,""))</f>
        <v/>
      </c>
      <c r="AA5954">
        <f>IF($V5954="",N($AA5953),IF(MATCH($V5954,$V$6:$V$6005,0)=ROW()-5,N($AA5953)+1,N($AA5953)))</f>
        <v/>
      </c>
    </row>
    <row r="5955" ht="21" customHeight="1" s="66">
      <c r="A5955" s="56" t="n"/>
      <c r="B5955" s="57" t="n"/>
      <c r="C5955" s="57" t="n"/>
      <c r="D5955" s="57" t="n"/>
      <c r="E5955" s="56" t="n"/>
      <c r="F5955" s="57" t="n"/>
      <c r="G5955" s="57" t="n"/>
      <c r="H5955" s="56" t="n"/>
      <c r="I5955" s="56" t="n"/>
      <c r="J5955" s="58" t="n"/>
      <c r="K5955" s="58" t="n"/>
      <c r="L5955" s="13">
        <f>IF(OR($A5955="",AND($J5955="",$K5955="")),"",ROUND(N($J5955)-N($K5955),2))</f>
        <v/>
      </c>
      <c r="M5955" s="13">
        <f>IF(OR($A5955="",AND($J5955="",$K5955="")),"",MIN($J5955,$K5955))</f>
        <v/>
      </c>
      <c r="Q5955">
        <f>IF($A5955="","",$D5955&amp;"("&amp;SUBSTITUTE($E5955," ","")&amp;")")</f>
        <v/>
      </c>
      <c r="R5955">
        <f>IF($A5955="","",$B5955&amp;" - "&amp;$C5955)</f>
        <v/>
      </c>
      <c r="S5955">
        <f>IF($A5955="","",$R5955&amp;"|"&amp;$Q5955)</f>
        <v/>
      </c>
      <c r="T5955">
        <f>IF($A5955="","",$S5955&amp;"|"&amp;$F5955)</f>
        <v/>
      </c>
      <c r="U5955">
        <f>IF($A5955="","",$R5955&amp;"("&amp;$E5955&amp;")")</f>
        <v/>
      </c>
      <c r="V5955">
        <f>IF($A5955="","",$F5955&amp;"|"&amp;$U5955&amp;"|"&amp;$D5955)</f>
        <v/>
      </c>
      <c r="W5955">
        <f>IF($T5955="","",IF($X5955&gt;N($X5954),$X5955,""))</f>
        <v/>
      </c>
      <c r="X5955">
        <f>IF($T5955="",N($X5954),IF(MATCH($T5955,$T$6:$T$6005,0)=ROW()-5,N($X5954)+1,N($X5954)))</f>
        <v/>
      </c>
      <c r="Z5955">
        <f>IF($V5955="","",IF($AA5955&gt;N($AA5954),$AA5955,""))</f>
        <v/>
      </c>
      <c r="AA5955">
        <f>IF($V5955="",N($AA5954),IF(MATCH($V5955,$V$6:$V$6005,0)=ROW()-5,N($AA5954)+1,N($AA5954)))</f>
        <v/>
      </c>
    </row>
    <row r="5956" ht="21" customHeight="1" s="66">
      <c r="A5956" s="56" t="n"/>
      <c r="B5956" s="57" t="n"/>
      <c r="C5956" s="57" t="n"/>
      <c r="D5956" s="57" t="n"/>
      <c r="E5956" s="56" t="n"/>
      <c r="F5956" s="57" t="n"/>
      <c r="G5956" s="57" t="n"/>
      <c r="H5956" s="56" t="n"/>
      <c r="I5956" s="56" t="n"/>
      <c r="J5956" s="58" t="n"/>
      <c r="K5956" s="58" t="n"/>
      <c r="L5956" s="13">
        <f>IF(OR($A5956="",AND($J5956="",$K5956="")),"",ROUND(N($J5956)-N($K5956),2))</f>
        <v/>
      </c>
      <c r="M5956" s="13">
        <f>IF(OR($A5956="",AND($J5956="",$K5956="")),"",MIN($J5956,$K5956))</f>
        <v/>
      </c>
      <c r="Q5956">
        <f>IF($A5956="","",$D5956&amp;"("&amp;SUBSTITUTE($E5956," ","")&amp;")")</f>
        <v/>
      </c>
      <c r="R5956">
        <f>IF($A5956="","",$B5956&amp;" - "&amp;$C5956)</f>
        <v/>
      </c>
      <c r="S5956">
        <f>IF($A5956="","",$R5956&amp;"|"&amp;$Q5956)</f>
        <v/>
      </c>
      <c r="T5956">
        <f>IF($A5956="","",$S5956&amp;"|"&amp;$F5956)</f>
        <v/>
      </c>
      <c r="U5956">
        <f>IF($A5956="","",$R5956&amp;"("&amp;$E5956&amp;")")</f>
        <v/>
      </c>
      <c r="V5956">
        <f>IF($A5956="","",$F5956&amp;"|"&amp;$U5956&amp;"|"&amp;$D5956)</f>
        <v/>
      </c>
      <c r="W5956">
        <f>IF($T5956="","",IF($X5956&gt;N($X5955),$X5956,""))</f>
        <v/>
      </c>
      <c r="X5956">
        <f>IF($T5956="",N($X5955),IF(MATCH($T5956,$T$6:$T$6005,0)=ROW()-5,N($X5955)+1,N($X5955)))</f>
        <v/>
      </c>
      <c r="Z5956">
        <f>IF($V5956="","",IF($AA5956&gt;N($AA5955),$AA5956,""))</f>
        <v/>
      </c>
      <c r="AA5956">
        <f>IF($V5956="",N($AA5955),IF(MATCH($V5956,$V$6:$V$6005,0)=ROW()-5,N($AA5955)+1,N($AA5955)))</f>
        <v/>
      </c>
    </row>
    <row r="5957" ht="21" customHeight="1" s="66">
      <c r="A5957" s="56" t="n"/>
      <c r="B5957" s="57" t="n"/>
      <c r="C5957" s="57" t="n"/>
      <c r="D5957" s="57" t="n"/>
      <c r="E5957" s="56" t="n"/>
      <c r="F5957" s="57" t="n"/>
      <c r="G5957" s="57" t="n"/>
      <c r="H5957" s="56" t="n"/>
      <c r="I5957" s="56" t="n"/>
      <c r="J5957" s="58" t="n"/>
      <c r="K5957" s="58" t="n"/>
      <c r="L5957" s="13">
        <f>IF(OR($A5957="",AND($J5957="",$K5957="")),"",ROUND(N($J5957)-N($K5957),2))</f>
        <v/>
      </c>
      <c r="M5957" s="13">
        <f>IF(OR($A5957="",AND($J5957="",$K5957="")),"",MIN($J5957,$K5957))</f>
        <v/>
      </c>
      <c r="Q5957">
        <f>IF($A5957="","",$D5957&amp;"("&amp;SUBSTITUTE($E5957," ","")&amp;")")</f>
        <v/>
      </c>
      <c r="R5957">
        <f>IF($A5957="","",$B5957&amp;" - "&amp;$C5957)</f>
        <v/>
      </c>
      <c r="S5957">
        <f>IF($A5957="","",$R5957&amp;"|"&amp;$Q5957)</f>
        <v/>
      </c>
      <c r="T5957">
        <f>IF($A5957="","",$S5957&amp;"|"&amp;$F5957)</f>
        <v/>
      </c>
      <c r="U5957">
        <f>IF($A5957="","",$R5957&amp;"("&amp;$E5957&amp;")")</f>
        <v/>
      </c>
      <c r="V5957">
        <f>IF($A5957="","",$F5957&amp;"|"&amp;$U5957&amp;"|"&amp;$D5957)</f>
        <v/>
      </c>
      <c r="W5957">
        <f>IF($T5957="","",IF($X5957&gt;N($X5956),$X5957,""))</f>
        <v/>
      </c>
      <c r="X5957">
        <f>IF($T5957="",N($X5956),IF(MATCH($T5957,$T$6:$T$6005,0)=ROW()-5,N($X5956)+1,N($X5956)))</f>
        <v/>
      </c>
      <c r="Z5957">
        <f>IF($V5957="","",IF($AA5957&gt;N($AA5956),$AA5957,""))</f>
        <v/>
      </c>
      <c r="AA5957">
        <f>IF($V5957="",N($AA5956),IF(MATCH($V5957,$V$6:$V$6005,0)=ROW()-5,N($AA5956)+1,N($AA5956)))</f>
        <v/>
      </c>
    </row>
    <row r="5958" ht="21" customHeight="1" s="66">
      <c r="A5958" s="56" t="n"/>
      <c r="B5958" s="57" t="n"/>
      <c r="C5958" s="57" t="n"/>
      <c r="D5958" s="57" t="n"/>
      <c r="E5958" s="56" t="n"/>
      <c r="F5958" s="57" t="n"/>
      <c r="G5958" s="57" t="n"/>
      <c r="H5958" s="56" t="n"/>
      <c r="I5958" s="56" t="n"/>
      <c r="J5958" s="58" t="n"/>
      <c r="K5958" s="58" t="n"/>
      <c r="L5958" s="13">
        <f>IF(OR($A5958="",AND($J5958="",$K5958="")),"",ROUND(N($J5958)-N($K5958),2))</f>
        <v/>
      </c>
      <c r="M5958" s="13">
        <f>IF(OR($A5958="",AND($J5958="",$K5958="")),"",MIN($J5958,$K5958))</f>
        <v/>
      </c>
      <c r="Q5958">
        <f>IF($A5958="","",$D5958&amp;"("&amp;SUBSTITUTE($E5958," ","")&amp;")")</f>
        <v/>
      </c>
      <c r="R5958">
        <f>IF($A5958="","",$B5958&amp;" - "&amp;$C5958)</f>
        <v/>
      </c>
      <c r="S5958">
        <f>IF($A5958="","",$R5958&amp;"|"&amp;$Q5958)</f>
        <v/>
      </c>
      <c r="T5958">
        <f>IF($A5958="","",$S5958&amp;"|"&amp;$F5958)</f>
        <v/>
      </c>
      <c r="U5958">
        <f>IF($A5958="","",$R5958&amp;"("&amp;$E5958&amp;")")</f>
        <v/>
      </c>
      <c r="V5958">
        <f>IF($A5958="","",$F5958&amp;"|"&amp;$U5958&amp;"|"&amp;$D5958)</f>
        <v/>
      </c>
      <c r="W5958">
        <f>IF($T5958="","",IF($X5958&gt;N($X5957),$X5958,""))</f>
        <v/>
      </c>
      <c r="X5958">
        <f>IF($T5958="",N($X5957),IF(MATCH($T5958,$T$6:$T$6005,0)=ROW()-5,N($X5957)+1,N($X5957)))</f>
        <v/>
      </c>
      <c r="Z5958">
        <f>IF($V5958="","",IF($AA5958&gt;N($AA5957),$AA5958,""))</f>
        <v/>
      </c>
      <c r="AA5958">
        <f>IF($V5958="",N($AA5957),IF(MATCH($V5958,$V$6:$V$6005,0)=ROW()-5,N($AA5957)+1,N($AA5957)))</f>
        <v/>
      </c>
    </row>
    <row r="5959" ht="21" customHeight="1" s="66">
      <c r="A5959" s="56" t="n"/>
      <c r="B5959" s="57" t="n"/>
      <c r="C5959" s="57" t="n"/>
      <c r="D5959" s="57" t="n"/>
      <c r="E5959" s="56" t="n"/>
      <c r="F5959" s="57" t="n"/>
      <c r="G5959" s="57" t="n"/>
      <c r="H5959" s="56" t="n"/>
      <c r="I5959" s="56" t="n"/>
      <c r="J5959" s="58" t="n"/>
      <c r="K5959" s="58" t="n"/>
      <c r="L5959" s="13">
        <f>IF(OR($A5959="",AND($J5959="",$K5959="")),"",ROUND(N($J5959)-N($K5959),2))</f>
        <v/>
      </c>
      <c r="M5959" s="13">
        <f>IF(OR($A5959="",AND($J5959="",$K5959="")),"",MIN($J5959,$K5959))</f>
        <v/>
      </c>
      <c r="Q5959">
        <f>IF($A5959="","",$D5959&amp;"("&amp;SUBSTITUTE($E5959," ","")&amp;")")</f>
        <v/>
      </c>
      <c r="R5959">
        <f>IF($A5959="","",$B5959&amp;" - "&amp;$C5959)</f>
        <v/>
      </c>
      <c r="S5959">
        <f>IF($A5959="","",$R5959&amp;"|"&amp;$Q5959)</f>
        <v/>
      </c>
      <c r="T5959">
        <f>IF($A5959="","",$S5959&amp;"|"&amp;$F5959)</f>
        <v/>
      </c>
      <c r="U5959">
        <f>IF($A5959="","",$R5959&amp;"("&amp;$E5959&amp;")")</f>
        <v/>
      </c>
      <c r="V5959">
        <f>IF($A5959="","",$F5959&amp;"|"&amp;$U5959&amp;"|"&amp;$D5959)</f>
        <v/>
      </c>
      <c r="W5959">
        <f>IF($T5959="","",IF($X5959&gt;N($X5958),$X5959,""))</f>
        <v/>
      </c>
      <c r="X5959">
        <f>IF($T5959="",N($X5958),IF(MATCH($T5959,$T$6:$T$6005,0)=ROW()-5,N($X5958)+1,N($X5958)))</f>
        <v/>
      </c>
      <c r="Z5959">
        <f>IF($V5959="","",IF($AA5959&gt;N($AA5958),$AA5959,""))</f>
        <v/>
      </c>
      <c r="AA5959">
        <f>IF($V5959="",N($AA5958),IF(MATCH($V5959,$V$6:$V$6005,0)=ROW()-5,N($AA5958)+1,N($AA5958)))</f>
        <v/>
      </c>
    </row>
    <row r="5960" ht="21" customHeight="1" s="66">
      <c r="A5960" s="56" t="n"/>
      <c r="B5960" s="57" t="n"/>
      <c r="C5960" s="57" t="n"/>
      <c r="D5960" s="57" t="n"/>
      <c r="E5960" s="56" t="n"/>
      <c r="F5960" s="57" t="n"/>
      <c r="G5960" s="57" t="n"/>
      <c r="H5960" s="56" t="n"/>
      <c r="I5960" s="56" t="n"/>
      <c r="J5960" s="58" t="n"/>
      <c r="K5960" s="58" t="n"/>
      <c r="L5960" s="13">
        <f>IF(OR($A5960="",AND($J5960="",$K5960="")),"",ROUND(N($J5960)-N($K5960),2))</f>
        <v/>
      </c>
      <c r="M5960" s="13">
        <f>IF(OR($A5960="",AND($J5960="",$K5960="")),"",MIN($J5960,$K5960))</f>
        <v/>
      </c>
      <c r="Q5960">
        <f>IF($A5960="","",$D5960&amp;"("&amp;SUBSTITUTE($E5960," ","")&amp;")")</f>
        <v/>
      </c>
      <c r="R5960">
        <f>IF($A5960="","",$B5960&amp;" - "&amp;$C5960)</f>
        <v/>
      </c>
      <c r="S5960">
        <f>IF($A5960="","",$R5960&amp;"|"&amp;$Q5960)</f>
        <v/>
      </c>
      <c r="T5960">
        <f>IF($A5960="","",$S5960&amp;"|"&amp;$F5960)</f>
        <v/>
      </c>
      <c r="U5960">
        <f>IF($A5960="","",$R5960&amp;"("&amp;$E5960&amp;")")</f>
        <v/>
      </c>
      <c r="V5960">
        <f>IF($A5960="","",$F5960&amp;"|"&amp;$U5960&amp;"|"&amp;$D5960)</f>
        <v/>
      </c>
      <c r="W5960">
        <f>IF($T5960="","",IF($X5960&gt;N($X5959),$X5960,""))</f>
        <v/>
      </c>
      <c r="X5960">
        <f>IF($T5960="",N($X5959),IF(MATCH($T5960,$T$6:$T$6005,0)=ROW()-5,N($X5959)+1,N($X5959)))</f>
        <v/>
      </c>
      <c r="Z5960">
        <f>IF($V5960="","",IF($AA5960&gt;N($AA5959),$AA5960,""))</f>
        <v/>
      </c>
      <c r="AA5960">
        <f>IF($V5960="",N($AA5959),IF(MATCH($V5960,$V$6:$V$6005,0)=ROW()-5,N($AA5959)+1,N($AA5959)))</f>
        <v/>
      </c>
    </row>
    <row r="5961" ht="21" customHeight="1" s="66">
      <c r="A5961" s="56" t="n"/>
      <c r="B5961" s="57" t="n"/>
      <c r="C5961" s="57" t="n"/>
      <c r="D5961" s="57" t="n"/>
      <c r="E5961" s="56" t="n"/>
      <c r="F5961" s="57" t="n"/>
      <c r="G5961" s="57" t="n"/>
      <c r="H5961" s="56" t="n"/>
      <c r="I5961" s="56" t="n"/>
      <c r="J5961" s="58" t="n"/>
      <c r="K5961" s="58" t="n"/>
      <c r="L5961" s="13">
        <f>IF(OR($A5961="",AND($J5961="",$K5961="")),"",ROUND(N($J5961)-N($K5961),2))</f>
        <v/>
      </c>
      <c r="M5961" s="13">
        <f>IF(OR($A5961="",AND($J5961="",$K5961="")),"",MIN($J5961,$K5961))</f>
        <v/>
      </c>
      <c r="Q5961">
        <f>IF($A5961="","",$D5961&amp;"("&amp;SUBSTITUTE($E5961," ","")&amp;")")</f>
        <v/>
      </c>
      <c r="R5961">
        <f>IF($A5961="","",$B5961&amp;" - "&amp;$C5961)</f>
        <v/>
      </c>
      <c r="S5961">
        <f>IF($A5961="","",$R5961&amp;"|"&amp;$Q5961)</f>
        <v/>
      </c>
      <c r="T5961">
        <f>IF($A5961="","",$S5961&amp;"|"&amp;$F5961)</f>
        <v/>
      </c>
      <c r="U5961">
        <f>IF($A5961="","",$R5961&amp;"("&amp;$E5961&amp;")")</f>
        <v/>
      </c>
      <c r="V5961">
        <f>IF($A5961="","",$F5961&amp;"|"&amp;$U5961&amp;"|"&amp;$D5961)</f>
        <v/>
      </c>
      <c r="W5961">
        <f>IF($T5961="","",IF($X5961&gt;N($X5960),$X5961,""))</f>
        <v/>
      </c>
      <c r="X5961">
        <f>IF($T5961="",N($X5960),IF(MATCH($T5961,$T$6:$T$6005,0)=ROW()-5,N($X5960)+1,N($X5960)))</f>
        <v/>
      </c>
      <c r="Z5961">
        <f>IF($V5961="","",IF($AA5961&gt;N($AA5960),$AA5961,""))</f>
        <v/>
      </c>
      <c r="AA5961">
        <f>IF($V5961="",N($AA5960),IF(MATCH($V5961,$V$6:$V$6005,0)=ROW()-5,N($AA5960)+1,N($AA5960)))</f>
        <v/>
      </c>
    </row>
    <row r="5962" ht="21" customHeight="1" s="66">
      <c r="A5962" s="56" t="n"/>
      <c r="B5962" s="57" t="n"/>
      <c r="C5962" s="57" t="n"/>
      <c r="D5962" s="57" t="n"/>
      <c r="E5962" s="56" t="n"/>
      <c r="F5962" s="57" t="n"/>
      <c r="G5962" s="57" t="n"/>
      <c r="H5962" s="56" t="n"/>
      <c r="I5962" s="56" t="n"/>
      <c r="J5962" s="58" t="n"/>
      <c r="K5962" s="58" t="n"/>
      <c r="L5962" s="13">
        <f>IF(OR($A5962="",AND($J5962="",$K5962="")),"",ROUND(N($J5962)-N($K5962),2))</f>
        <v/>
      </c>
      <c r="M5962" s="13">
        <f>IF(OR($A5962="",AND($J5962="",$K5962="")),"",MIN($J5962,$K5962))</f>
        <v/>
      </c>
      <c r="Q5962">
        <f>IF($A5962="","",$D5962&amp;"("&amp;SUBSTITUTE($E5962," ","")&amp;")")</f>
        <v/>
      </c>
      <c r="R5962">
        <f>IF($A5962="","",$B5962&amp;" - "&amp;$C5962)</f>
        <v/>
      </c>
      <c r="S5962">
        <f>IF($A5962="","",$R5962&amp;"|"&amp;$Q5962)</f>
        <v/>
      </c>
      <c r="T5962">
        <f>IF($A5962="","",$S5962&amp;"|"&amp;$F5962)</f>
        <v/>
      </c>
      <c r="U5962">
        <f>IF($A5962="","",$R5962&amp;"("&amp;$E5962&amp;")")</f>
        <v/>
      </c>
      <c r="V5962">
        <f>IF($A5962="","",$F5962&amp;"|"&amp;$U5962&amp;"|"&amp;$D5962)</f>
        <v/>
      </c>
      <c r="W5962">
        <f>IF($T5962="","",IF($X5962&gt;N($X5961),$X5962,""))</f>
        <v/>
      </c>
      <c r="X5962">
        <f>IF($T5962="",N($X5961),IF(MATCH($T5962,$T$6:$T$6005,0)=ROW()-5,N($X5961)+1,N($X5961)))</f>
        <v/>
      </c>
      <c r="Z5962">
        <f>IF($V5962="","",IF($AA5962&gt;N($AA5961),$AA5962,""))</f>
        <v/>
      </c>
      <c r="AA5962">
        <f>IF($V5962="",N($AA5961),IF(MATCH($V5962,$V$6:$V$6005,0)=ROW()-5,N($AA5961)+1,N($AA5961)))</f>
        <v/>
      </c>
    </row>
    <row r="5963" ht="21" customHeight="1" s="66">
      <c r="A5963" s="56" t="n"/>
      <c r="B5963" s="57" t="n"/>
      <c r="C5963" s="57" t="n"/>
      <c r="D5963" s="57" t="n"/>
      <c r="E5963" s="56" t="n"/>
      <c r="F5963" s="57" t="n"/>
      <c r="G5963" s="57" t="n"/>
      <c r="H5963" s="56" t="n"/>
      <c r="I5963" s="56" t="n"/>
      <c r="J5963" s="58" t="n"/>
      <c r="K5963" s="58" t="n"/>
      <c r="L5963" s="13">
        <f>IF(OR($A5963="",AND($J5963="",$K5963="")),"",ROUND(N($J5963)-N($K5963),2))</f>
        <v/>
      </c>
      <c r="M5963" s="13">
        <f>IF(OR($A5963="",AND($J5963="",$K5963="")),"",MIN($J5963,$K5963))</f>
        <v/>
      </c>
      <c r="Q5963">
        <f>IF($A5963="","",$D5963&amp;"("&amp;SUBSTITUTE($E5963," ","")&amp;")")</f>
        <v/>
      </c>
      <c r="R5963">
        <f>IF($A5963="","",$B5963&amp;" - "&amp;$C5963)</f>
        <v/>
      </c>
      <c r="S5963">
        <f>IF($A5963="","",$R5963&amp;"|"&amp;$Q5963)</f>
        <v/>
      </c>
      <c r="T5963">
        <f>IF($A5963="","",$S5963&amp;"|"&amp;$F5963)</f>
        <v/>
      </c>
      <c r="U5963">
        <f>IF($A5963="","",$R5963&amp;"("&amp;$E5963&amp;")")</f>
        <v/>
      </c>
      <c r="V5963">
        <f>IF($A5963="","",$F5963&amp;"|"&amp;$U5963&amp;"|"&amp;$D5963)</f>
        <v/>
      </c>
      <c r="W5963">
        <f>IF($T5963="","",IF($X5963&gt;N($X5962),$X5963,""))</f>
        <v/>
      </c>
      <c r="X5963">
        <f>IF($T5963="",N($X5962),IF(MATCH($T5963,$T$6:$T$6005,0)=ROW()-5,N($X5962)+1,N($X5962)))</f>
        <v/>
      </c>
      <c r="Z5963">
        <f>IF($V5963="","",IF($AA5963&gt;N($AA5962),$AA5963,""))</f>
        <v/>
      </c>
      <c r="AA5963">
        <f>IF($V5963="",N($AA5962),IF(MATCH($V5963,$V$6:$V$6005,0)=ROW()-5,N($AA5962)+1,N($AA5962)))</f>
        <v/>
      </c>
    </row>
    <row r="5964" ht="21" customHeight="1" s="66">
      <c r="A5964" s="56" t="n"/>
      <c r="B5964" s="57" t="n"/>
      <c r="C5964" s="57" t="n"/>
      <c r="D5964" s="57" t="n"/>
      <c r="E5964" s="56" t="n"/>
      <c r="F5964" s="57" t="n"/>
      <c r="G5964" s="57" t="n"/>
      <c r="H5964" s="56" t="n"/>
      <c r="I5964" s="56" t="n"/>
      <c r="J5964" s="58" t="n"/>
      <c r="K5964" s="58" t="n"/>
      <c r="L5964" s="13">
        <f>IF(OR($A5964="",AND($J5964="",$K5964="")),"",ROUND(N($J5964)-N($K5964),2))</f>
        <v/>
      </c>
      <c r="M5964" s="13">
        <f>IF(OR($A5964="",AND($J5964="",$K5964="")),"",MIN($J5964,$K5964))</f>
        <v/>
      </c>
      <c r="Q5964">
        <f>IF($A5964="","",$D5964&amp;"("&amp;SUBSTITUTE($E5964," ","")&amp;")")</f>
        <v/>
      </c>
      <c r="R5964">
        <f>IF($A5964="","",$B5964&amp;" - "&amp;$C5964)</f>
        <v/>
      </c>
      <c r="S5964">
        <f>IF($A5964="","",$R5964&amp;"|"&amp;$Q5964)</f>
        <v/>
      </c>
      <c r="T5964">
        <f>IF($A5964="","",$S5964&amp;"|"&amp;$F5964)</f>
        <v/>
      </c>
      <c r="U5964">
        <f>IF($A5964="","",$R5964&amp;"("&amp;$E5964&amp;")")</f>
        <v/>
      </c>
      <c r="V5964">
        <f>IF($A5964="","",$F5964&amp;"|"&amp;$U5964&amp;"|"&amp;$D5964)</f>
        <v/>
      </c>
      <c r="W5964">
        <f>IF($T5964="","",IF($X5964&gt;N($X5963),$X5964,""))</f>
        <v/>
      </c>
      <c r="X5964">
        <f>IF($T5964="",N($X5963),IF(MATCH($T5964,$T$6:$T$6005,0)=ROW()-5,N($X5963)+1,N($X5963)))</f>
        <v/>
      </c>
      <c r="Z5964">
        <f>IF($V5964="","",IF($AA5964&gt;N($AA5963),$AA5964,""))</f>
        <v/>
      </c>
      <c r="AA5964">
        <f>IF($V5964="",N($AA5963),IF(MATCH($V5964,$V$6:$V$6005,0)=ROW()-5,N($AA5963)+1,N($AA5963)))</f>
        <v/>
      </c>
    </row>
    <row r="5965" ht="21" customHeight="1" s="66">
      <c r="A5965" s="56" t="n"/>
      <c r="B5965" s="57" t="n"/>
      <c r="C5965" s="57" t="n"/>
      <c r="D5965" s="57" t="n"/>
      <c r="E5965" s="56" t="n"/>
      <c r="F5965" s="57" t="n"/>
      <c r="G5965" s="57" t="n"/>
      <c r="H5965" s="56" t="n"/>
      <c r="I5965" s="56" t="n"/>
      <c r="J5965" s="58" t="n"/>
      <c r="K5965" s="58" t="n"/>
      <c r="L5965" s="13">
        <f>IF(OR($A5965="",AND($J5965="",$K5965="")),"",ROUND(N($J5965)-N($K5965),2))</f>
        <v/>
      </c>
      <c r="M5965" s="13">
        <f>IF(OR($A5965="",AND($J5965="",$K5965="")),"",MIN($J5965,$K5965))</f>
        <v/>
      </c>
      <c r="Q5965">
        <f>IF($A5965="","",$D5965&amp;"("&amp;SUBSTITUTE($E5965," ","")&amp;")")</f>
        <v/>
      </c>
      <c r="R5965">
        <f>IF($A5965="","",$B5965&amp;" - "&amp;$C5965)</f>
        <v/>
      </c>
      <c r="S5965">
        <f>IF($A5965="","",$R5965&amp;"|"&amp;$Q5965)</f>
        <v/>
      </c>
      <c r="T5965">
        <f>IF($A5965="","",$S5965&amp;"|"&amp;$F5965)</f>
        <v/>
      </c>
      <c r="U5965">
        <f>IF($A5965="","",$R5965&amp;"("&amp;$E5965&amp;")")</f>
        <v/>
      </c>
      <c r="V5965">
        <f>IF($A5965="","",$F5965&amp;"|"&amp;$U5965&amp;"|"&amp;$D5965)</f>
        <v/>
      </c>
      <c r="W5965">
        <f>IF($T5965="","",IF($X5965&gt;N($X5964),$X5965,""))</f>
        <v/>
      </c>
      <c r="X5965">
        <f>IF($T5965="",N($X5964),IF(MATCH($T5965,$T$6:$T$6005,0)=ROW()-5,N($X5964)+1,N($X5964)))</f>
        <v/>
      </c>
      <c r="Z5965">
        <f>IF($V5965="","",IF($AA5965&gt;N($AA5964),$AA5965,""))</f>
        <v/>
      </c>
      <c r="AA5965">
        <f>IF($V5965="",N($AA5964),IF(MATCH($V5965,$V$6:$V$6005,0)=ROW()-5,N($AA5964)+1,N($AA5964)))</f>
        <v/>
      </c>
    </row>
    <row r="5966" ht="21" customHeight="1" s="66">
      <c r="A5966" s="56" t="n"/>
      <c r="B5966" s="57" t="n"/>
      <c r="C5966" s="57" t="n"/>
      <c r="D5966" s="57" t="n"/>
      <c r="E5966" s="56" t="n"/>
      <c r="F5966" s="57" t="n"/>
      <c r="G5966" s="57" t="n"/>
      <c r="H5966" s="56" t="n"/>
      <c r="I5966" s="56" t="n"/>
      <c r="J5966" s="58" t="n"/>
      <c r="K5966" s="58" t="n"/>
      <c r="L5966" s="13">
        <f>IF(OR($A5966="",AND($J5966="",$K5966="")),"",ROUND(N($J5966)-N($K5966),2))</f>
        <v/>
      </c>
      <c r="M5966" s="13">
        <f>IF(OR($A5966="",AND($J5966="",$K5966="")),"",MIN($J5966,$K5966))</f>
        <v/>
      </c>
      <c r="Q5966">
        <f>IF($A5966="","",$D5966&amp;"("&amp;SUBSTITUTE($E5966," ","")&amp;")")</f>
        <v/>
      </c>
      <c r="R5966">
        <f>IF($A5966="","",$B5966&amp;" - "&amp;$C5966)</f>
        <v/>
      </c>
      <c r="S5966">
        <f>IF($A5966="","",$R5966&amp;"|"&amp;$Q5966)</f>
        <v/>
      </c>
      <c r="T5966">
        <f>IF($A5966="","",$S5966&amp;"|"&amp;$F5966)</f>
        <v/>
      </c>
      <c r="U5966">
        <f>IF($A5966="","",$R5966&amp;"("&amp;$E5966&amp;")")</f>
        <v/>
      </c>
      <c r="V5966">
        <f>IF($A5966="","",$F5966&amp;"|"&amp;$U5966&amp;"|"&amp;$D5966)</f>
        <v/>
      </c>
      <c r="W5966">
        <f>IF($T5966="","",IF($X5966&gt;N($X5965),$X5966,""))</f>
        <v/>
      </c>
      <c r="X5966">
        <f>IF($T5966="",N($X5965),IF(MATCH($T5966,$T$6:$T$6005,0)=ROW()-5,N($X5965)+1,N($X5965)))</f>
        <v/>
      </c>
      <c r="Z5966">
        <f>IF($V5966="","",IF($AA5966&gt;N($AA5965),$AA5966,""))</f>
        <v/>
      </c>
      <c r="AA5966">
        <f>IF($V5966="",N($AA5965),IF(MATCH($V5966,$V$6:$V$6005,0)=ROW()-5,N($AA5965)+1,N($AA5965)))</f>
        <v/>
      </c>
    </row>
    <row r="5967" ht="21" customHeight="1" s="66">
      <c r="A5967" s="56" t="n"/>
      <c r="B5967" s="57" t="n"/>
      <c r="C5967" s="57" t="n"/>
      <c r="D5967" s="57" t="n"/>
      <c r="E5967" s="56" t="n"/>
      <c r="F5967" s="57" t="n"/>
      <c r="G5967" s="57" t="n"/>
      <c r="H5967" s="56" t="n"/>
      <c r="I5967" s="56" t="n"/>
      <c r="J5967" s="58" t="n"/>
      <c r="K5967" s="58" t="n"/>
      <c r="L5967" s="13">
        <f>IF(OR($A5967="",AND($J5967="",$K5967="")),"",ROUND(N($J5967)-N($K5967),2))</f>
        <v/>
      </c>
      <c r="M5967" s="13">
        <f>IF(OR($A5967="",AND($J5967="",$K5967="")),"",MIN($J5967,$K5967))</f>
        <v/>
      </c>
      <c r="Q5967">
        <f>IF($A5967="","",$D5967&amp;"("&amp;SUBSTITUTE($E5967," ","")&amp;")")</f>
        <v/>
      </c>
      <c r="R5967">
        <f>IF($A5967="","",$B5967&amp;" - "&amp;$C5967)</f>
        <v/>
      </c>
      <c r="S5967">
        <f>IF($A5967="","",$R5967&amp;"|"&amp;$Q5967)</f>
        <v/>
      </c>
      <c r="T5967">
        <f>IF($A5967="","",$S5967&amp;"|"&amp;$F5967)</f>
        <v/>
      </c>
      <c r="U5967">
        <f>IF($A5967="","",$R5967&amp;"("&amp;$E5967&amp;")")</f>
        <v/>
      </c>
      <c r="V5967">
        <f>IF($A5967="","",$F5967&amp;"|"&amp;$U5967&amp;"|"&amp;$D5967)</f>
        <v/>
      </c>
      <c r="W5967">
        <f>IF($T5967="","",IF($X5967&gt;N($X5966),$X5967,""))</f>
        <v/>
      </c>
      <c r="X5967">
        <f>IF($T5967="",N($X5966),IF(MATCH($T5967,$T$6:$T$6005,0)=ROW()-5,N($X5966)+1,N($X5966)))</f>
        <v/>
      </c>
      <c r="Z5967">
        <f>IF($V5967="","",IF($AA5967&gt;N($AA5966),$AA5967,""))</f>
        <v/>
      </c>
      <c r="AA5967">
        <f>IF($V5967="",N($AA5966),IF(MATCH($V5967,$V$6:$V$6005,0)=ROW()-5,N($AA5966)+1,N($AA5966)))</f>
        <v/>
      </c>
    </row>
    <row r="5968" ht="21" customHeight="1" s="66">
      <c r="A5968" s="56" t="n"/>
      <c r="B5968" s="57" t="n"/>
      <c r="C5968" s="57" t="n"/>
      <c r="D5968" s="57" t="n"/>
      <c r="E5968" s="56" t="n"/>
      <c r="F5968" s="57" t="n"/>
      <c r="G5968" s="57" t="n"/>
      <c r="H5968" s="56" t="n"/>
      <c r="I5968" s="56" t="n"/>
      <c r="J5968" s="58" t="n"/>
      <c r="K5968" s="58" t="n"/>
      <c r="L5968" s="13">
        <f>IF(OR($A5968="",AND($J5968="",$K5968="")),"",ROUND(N($J5968)-N($K5968),2))</f>
        <v/>
      </c>
      <c r="M5968" s="13">
        <f>IF(OR($A5968="",AND($J5968="",$K5968="")),"",MIN($J5968,$K5968))</f>
        <v/>
      </c>
      <c r="Q5968">
        <f>IF($A5968="","",$D5968&amp;"("&amp;SUBSTITUTE($E5968," ","")&amp;")")</f>
        <v/>
      </c>
      <c r="R5968">
        <f>IF($A5968="","",$B5968&amp;" - "&amp;$C5968)</f>
        <v/>
      </c>
      <c r="S5968">
        <f>IF($A5968="","",$R5968&amp;"|"&amp;$Q5968)</f>
        <v/>
      </c>
      <c r="T5968">
        <f>IF($A5968="","",$S5968&amp;"|"&amp;$F5968)</f>
        <v/>
      </c>
      <c r="U5968">
        <f>IF($A5968="","",$R5968&amp;"("&amp;$E5968&amp;")")</f>
        <v/>
      </c>
      <c r="V5968">
        <f>IF($A5968="","",$F5968&amp;"|"&amp;$U5968&amp;"|"&amp;$D5968)</f>
        <v/>
      </c>
      <c r="W5968">
        <f>IF($T5968="","",IF($X5968&gt;N($X5967),$X5968,""))</f>
        <v/>
      </c>
      <c r="X5968">
        <f>IF($T5968="",N($X5967),IF(MATCH($T5968,$T$6:$T$6005,0)=ROW()-5,N($X5967)+1,N($X5967)))</f>
        <v/>
      </c>
      <c r="Z5968">
        <f>IF($V5968="","",IF($AA5968&gt;N($AA5967),$AA5968,""))</f>
        <v/>
      </c>
      <c r="AA5968">
        <f>IF($V5968="",N($AA5967),IF(MATCH($V5968,$V$6:$V$6005,0)=ROW()-5,N($AA5967)+1,N($AA5967)))</f>
        <v/>
      </c>
    </row>
    <row r="5969" ht="21" customHeight="1" s="66">
      <c r="A5969" s="56" t="n"/>
      <c r="B5969" s="57" t="n"/>
      <c r="C5969" s="57" t="n"/>
      <c r="D5969" s="57" t="n"/>
      <c r="E5969" s="56" t="n"/>
      <c r="F5969" s="57" t="n"/>
      <c r="G5969" s="57" t="n"/>
      <c r="H5969" s="56" t="n"/>
      <c r="I5969" s="56" t="n"/>
      <c r="J5969" s="58" t="n"/>
      <c r="K5969" s="58" t="n"/>
      <c r="L5969" s="13">
        <f>IF(OR($A5969="",AND($J5969="",$K5969="")),"",ROUND(N($J5969)-N($K5969),2))</f>
        <v/>
      </c>
      <c r="M5969" s="13">
        <f>IF(OR($A5969="",AND($J5969="",$K5969="")),"",MIN($J5969,$K5969))</f>
        <v/>
      </c>
      <c r="Q5969">
        <f>IF($A5969="","",$D5969&amp;"("&amp;SUBSTITUTE($E5969," ","")&amp;")")</f>
        <v/>
      </c>
      <c r="R5969">
        <f>IF($A5969="","",$B5969&amp;" - "&amp;$C5969)</f>
        <v/>
      </c>
      <c r="S5969">
        <f>IF($A5969="","",$R5969&amp;"|"&amp;$Q5969)</f>
        <v/>
      </c>
      <c r="T5969">
        <f>IF($A5969="","",$S5969&amp;"|"&amp;$F5969)</f>
        <v/>
      </c>
      <c r="U5969">
        <f>IF($A5969="","",$R5969&amp;"("&amp;$E5969&amp;")")</f>
        <v/>
      </c>
      <c r="V5969">
        <f>IF($A5969="","",$F5969&amp;"|"&amp;$U5969&amp;"|"&amp;$D5969)</f>
        <v/>
      </c>
      <c r="W5969">
        <f>IF($T5969="","",IF($X5969&gt;N($X5968),$X5969,""))</f>
        <v/>
      </c>
      <c r="X5969">
        <f>IF($T5969="",N($X5968),IF(MATCH($T5969,$T$6:$T$6005,0)=ROW()-5,N($X5968)+1,N($X5968)))</f>
        <v/>
      </c>
      <c r="Z5969">
        <f>IF($V5969="","",IF($AA5969&gt;N($AA5968),$AA5969,""))</f>
        <v/>
      </c>
      <c r="AA5969">
        <f>IF($V5969="",N($AA5968),IF(MATCH($V5969,$V$6:$V$6005,0)=ROW()-5,N($AA5968)+1,N($AA5968)))</f>
        <v/>
      </c>
    </row>
    <row r="5970" ht="21" customHeight="1" s="66">
      <c r="A5970" s="56" t="n"/>
      <c r="B5970" s="57" t="n"/>
      <c r="C5970" s="57" t="n"/>
      <c r="D5970" s="57" t="n"/>
      <c r="E5970" s="56" t="n"/>
      <c r="F5970" s="57" t="n"/>
      <c r="G5970" s="57" t="n"/>
      <c r="H5970" s="56" t="n"/>
      <c r="I5970" s="56" t="n"/>
      <c r="J5970" s="58" t="n"/>
      <c r="K5970" s="58" t="n"/>
      <c r="L5970" s="13">
        <f>IF(OR($A5970="",AND($J5970="",$K5970="")),"",ROUND(N($J5970)-N($K5970),2))</f>
        <v/>
      </c>
      <c r="M5970" s="13">
        <f>IF(OR($A5970="",AND($J5970="",$K5970="")),"",MIN($J5970,$K5970))</f>
        <v/>
      </c>
      <c r="Q5970">
        <f>IF($A5970="","",$D5970&amp;"("&amp;SUBSTITUTE($E5970," ","")&amp;")")</f>
        <v/>
      </c>
      <c r="R5970">
        <f>IF($A5970="","",$B5970&amp;" - "&amp;$C5970)</f>
        <v/>
      </c>
      <c r="S5970">
        <f>IF($A5970="","",$R5970&amp;"|"&amp;$Q5970)</f>
        <v/>
      </c>
      <c r="T5970">
        <f>IF($A5970="","",$S5970&amp;"|"&amp;$F5970)</f>
        <v/>
      </c>
      <c r="U5970">
        <f>IF($A5970="","",$R5970&amp;"("&amp;$E5970&amp;")")</f>
        <v/>
      </c>
      <c r="V5970">
        <f>IF($A5970="","",$F5970&amp;"|"&amp;$U5970&amp;"|"&amp;$D5970)</f>
        <v/>
      </c>
      <c r="W5970">
        <f>IF($T5970="","",IF($X5970&gt;N($X5969),$X5970,""))</f>
        <v/>
      </c>
      <c r="X5970">
        <f>IF($T5970="",N($X5969),IF(MATCH($T5970,$T$6:$T$6005,0)=ROW()-5,N($X5969)+1,N($X5969)))</f>
        <v/>
      </c>
      <c r="Z5970">
        <f>IF($V5970="","",IF($AA5970&gt;N($AA5969),$AA5970,""))</f>
        <v/>
      </c>
      <c r="AA5970">
        <f>IF($V5970="",N($AA5969),IF(MATCH($V5970,$V$6:$V$6005,0)=ROW()-5,N($AA5969)+1,N($AA5969)))</f>
        <v/>
      </c>
    </row>
    <row r="5971" ht="21" customHeight="1" s="66">
      <c r="A5971" s="56" t="n"/>
      <c r="B5971" s="57" t="n"/>
      <c r="C5971" s="57" t="n"/>
      <c r="D5971" s="57" t="n"/>
      <c r="E5971" s="56" t="n"/>
      <c r="F5971" s="57" t="n"/>
      <c r="G5971" s="57" t="n"/>
      <c r="H5971" s="56" t="n"/>
      <c r="I5971" s="56" t="n"/>
      <c r="J5971" s="58" t="n"/>
      <c r="K5971" s="58" t="n"/>
      <c r="L5971" s="13">
        <f>IF(OR($A5971="",AND($J5971="",$K5971="")),"",ROUND(N($J5971)-N($K5971),2))</f>
        <v/>
      </c>
      <c r="M5971" s="13">
        <f>IF(OR($A5971="",AND($J5971="",$K5971="")),"",MIN($J5971,$K5971))</f>
        <v/>
      </c>
      <c r="Q5971">
        <f>IF($A5971="","",$D5971&amp;"("&amp;SUBSTITUTE($E5971," ","")&amp;")")</f>
        <v/>
      </c>
      <c r="R5971">
        <f>IF($A5971="","",$B5971&amp;" - "&amp;$C5971)</f>
        <v/>
      </c>
      <c r="S5971">
        <f>IF($A5971="","",$R5971&amp;"|"&amp;$Q5971)</f>
        <v/>
      </c>
      <c r="T5971">
        <f>IF($A5971="","",$S5971&amp;"|"&amp;$F5971)</f>
        <v/>
      </c>
      <c r="U5971">
        <f>IF($A5971="","",$R5971&amp;"("&amp;$E5971&amp;")")</f>
        <v/>
      </c>
      <c r="V5971">
        <f>IF($A5971="","",$F5971&amp;"|"&amp;$U5971&amp;"|"&amp;$D5971)</f>
        <v/>
      </c>
      <c r="W5971">
        <f>IF($T5971="","",IF($X5971&gt;N($X5970),$X5971,""))</f>
        <v/>
      </c>
      <c r="X5971">
        <f>IF($T5971="",N($X5970),IF(MATCH($T5971,$T$6:$T$6005,0)=ROW()-5,N($X5970)+1,N($X5970)))</f>
        <v/>
      </c>
      <c r="Z5971">
        <f>IF($V5971="","",IF($AA5971&gt;N($AA5970),$AA5971,""))</f>
        <v/>
      </c>
      <c r="AA5971">
        <f>IF($V5971="",N($AA5970),IF(MATCH($V5971,$V$6:$V$6005,0)=ROW()-5,N($AA5970)+1,N($AA5970)))</f>
        <v/>
      </c>
    </row>
    <row r="5972" ht="21" customHeight="1" s="66">
      <c r="A5972" s="56" t="n"/>
      <c r="B5972" s="57" t="n"/>
      <c r="C5972" s="57" t="n"/>
      <c r="D5972" s="57" t="n"/>
      <c r="E5972" s="56" t="n"/>
      <c r="F5972" s="57" t="n"/>
      <c r="G5972" s="57" t="n"/>
      <c r="H5972" s="56" t="n"/>
      <c r="I5972" s="56" t="n"/>
      <c r="J5972" s="58" t="n"/>
      <c r="K5972" s="58" t="n"/>
      <c r="L5972" s="13">
        <f>IF(OR($A5972="",AND($J5972="",$K5972="")),"",ROUND(N($J5972)-N($K5972),2))</f>
        <v/>
      </c>
      <c r="M5972" s="13">
        <f>IF(OR($A5972="",AND($J5972="",$K5972="")),"",MIN($J5972,$K5972))</f>
        <v/>
      </c>
      <c r="Q5972">
        <f>IF($A5972="","",$D5972&amp;"("&amp;SUBSTITUTE($E5972," ","")&amp;")")</f>
        <v/>
      </c>
      <c r="R5972">
        <f>IF($A5972="","",$B5972&amp;" - "&amp;$C5972)</f>
        <v/>
      </c>
      <c r="S5972">
        <f>IF($A5972="","",$R5972&amp;"|"&amp;$Q5972)</f>
        <v/>
      </c>
      <c r="T5972">
        <f>IF($A5972="","",$S5972&amp;"|"&amp;$F5972)</f>
        <v/>
      </c>
      <c r="U5972">
        <f>IF($A5972="","",$R5972&amp;"("&amp;$E5972&amp;")")</f>
        <v/>
      </c>
      <c r="V5972">
        <f>IF($A5972="","",$F5972&amp;"|"&amp;$U5972&amp;"|"&amp;$D5972)</f>
        <v/>
      </c>
      <c r="W5972">
        <f>IF($T5972="","",IF($X5972&gt;N($X5971),$X5972,""))</f>
        <v/>
      </c>
      <c r="X5972">
        <f>IF($T5972="",N($X5971),IF(MATCH($T5972,$T$6:$T$6005,0)=ROW()-5,N($X5971)+1,N($X5971)))</f>
        <v/>
      </c>
      <c r="Z5972">
        <f>IF($V5972="","",IF($AA5972&gt;N($AA5971),$AA5972,""))</f>
        <v/>
      </c>
      <c r="AA5972">
        <f>IF($V5972="",N($AA5971),IF(MATCH($V5972,$V$6:$V$6005,0)=ROW()-5,N($AA5971)+1,N($AA5971)))</f>
        <v/>
      </c>
    </row>
    <row r="5973" ht="21" customHeight="1" s="66">
      <c r="A5973" s="56" t="n"/>
      <c r="B5973" s="57" t="n"/>
      <c r="C5973" s="57" t="n"/>
      <c r="D5973" s="57" t="n"/>
      <c r="E5973" s="56" t="n"/>
      <c r="F5973" s="57" t="n"/>
      <c r="G5973" s="57" t="n"/>
      <c r="H5973" s="56" t="n"/>
      <c r="I5973" s="56" t="n"/>
      <c r="J5973" s="58" t="n"/>
      <c r="K5973" s="58" t="n"/>
      <c r="L5973" s="13">
        <f>IF(OR($A5973="",AND($J5973="",$K5973="")),"",ROUND(N($J5973)-N($K5973),2))</f>
        <v/>
      </c>
      <c r="M5973" s="13">
        <f>IF(OR($A5973="",AND($J5973="",$K5973="")),"",MIN($J5973,$K5973))</f>
        <v/>
      </c>
      <c r="Q5973">
        <f>IF($A5973="","",$D5973&amp;"("&amp;SUBSTITUTE($E5973," ","")&amp;")")</f>
        <v/>
      </c>
      <c r="R5973">
        <f>IF($A5973="","",$B5973&amp;" - "&amp;$C5973)</f>
        <v/>
      </c>
      <c r="S5973">
        <f>IF($A5973="","",$R5973&amp;"|"&amp;$Q5973)</f>
        <v/>
      </c>
      <c r="T5973">
        <f>IF($A5973="","",$S5973&amp;"|"&amp;$F5973)</f>
        <v/>
      </c>
      <c r="U5973">
        <f>IF($A5973="","",$R5973&amp;"("&amp;$E5973&amp;")")</f>
        <v/>
      </c>
      <c r="V5973">
        <f>IF($A5973="","",$F5973&amp;"|"&amp;$U5973&amp;"|"&amp;$D5973)</f>
        <v/>
      </c>
      <c r="W5973">
        <f>IF($T5973="","",IF($X5973&gt;N($X5972),$X5973,""))</f>
        <v/>
      </c>
      <c r="X5973">
        <f>IF($T5973="",N($X5972),IF(MATCH($T5973,$T$6:$T$6005,0)=ROW()-5,N($X5972)+1,N($X5972)))</f>
        <v/>
      </c>
      <c r="Z5973">
        <f>IF($V5973="","",IF($AA5973&gt;N($AA5972),$AA5973,""))</f>
        <v/>
      </c>
      <c r="AA5973">
        <f>IF($V5973="",N($AA5972),IF(MATCH($V5973,$V$6:$V$6005,0)=ROW()-5,N($AA5972)+1,N($AA5972)))</f>
        <v/>
      </c>
    </row>
    <row r="5974" ht="21" customHeight="1" s="66">
      <c r="A5974" s="56" t="n"/>
      <c r="B5974" s="57" t="n"/>
      <c r="C5974" s="57" t="n"/>
      <c r="D5974" s="57" t="n"/>
      <c r="E5974" s="56" t="n"/>
      <c r="F5974" s="57" t="n"/>
      <c r="G5974" s="57" t="n"/>
      <c r="H5974" s="56" t="n"/>
      <c r="I5974" s="56" t="n"/>
      <c r="J5974" s="58" t="n"/>
      <c r="K5974" s="58" t="n"/>
      <c r="L5974" s="13">
        <f>IF(OR($A5974="",AND($J5974="",$K5974="")),"",ROUND(N($J5974)-N($K5974),2))</f>
        <v/>
      </c>
      <c r="M5974" s="13">
        <f>IF(OR($A5974="",AND($J5974="",$K5974="")),"",MIN($J5974,$K5974))</f>
        <v/>
      </c>
      <c r="Q5974">
        <f>IF($A5974="","",$D5974&amp;"("&amp;SUBSTITUTE($E5974," ","")&amp;")")</f>
        <v/>
      </c>
      <c r="R5974">
        <f>IF($A5974="","",$B5974&amp;" - "&amp;$C5974)</f>
        <v/>
      </c>
      <c r="S5974">
        <f>IF($A5974="","",$R5974&amp;"|"&amp;$Q5974)</f>
        <v/>
      </c>
      <c r="T5974">
        <f>IF($A5974="","",$S5974&amp;"|"&amp;$F5974)</f>
        <v/>
      </c>
      <c r="U5974">
        <f>IF($A5974="","",$R5974&amp;"("&amp;$E5974&amp;")")</f>
        <v/>
      </c>
      <c r="V5974">
        <f>IF($A5974="","",$F5974&amp;"|"&amp;$U5974&amp;"|"&amp;$D5974)</f>
        <v/>
      </c>
      <c r="W5974">
        <f>IF($T5974="","",IF($X5974&gt;N($X5973),$X5974,""))</f>
        <v/>
      </c>
      <c r="X5974">
        <f>IF($T5974="",N($X5973),IF(MATCH($T5974,$T$6:$T$6005,0)=ROW()-5,N($X5973)+1,N($X5973)))</f>
        <v/>
      </c>
      <c r="Z5974">
        <f>IF($V5974="","",IF($AA5974&gt;N($AA5973),$AA5974,""))</f>
        <v/>
      </c>
      <c r="AA5974">
        <f>IF($V5974="",N($AA5973),IF(MATCH($V5974,$V$6:$V$6005,0)=ROW()-5,N($AA5973)+1,N($AA5973)))</f>
        <v/>
      </c>
    </row>
    <row r="5975" ht="21" customHeight="1" s="66">
      <c r="A5975" s="56" t="n"/>
      <c r="B5975" s="57" t="n"/>
      <c r="C5975" s="57" t="n"/>
      <c r="D5975" s="57" t="n"/>
      <c r="E5975" s="56" t="n"/>
      <c r="F5975" s="57" t="n"/>
      <c r="G5975" s="57" t="n"/>
      <c r="H5975" s="56" t="n"/>
      <c r="I5975" s="56" t="n"/>
      <c r="J5975" s="58" t="n"/>
      <c r="K5975" s="58" t="n"/>
      <c r="L5975" s="13">
        <f>IF(OR($A5975="",AND($J5975="",$K5975="")),"",ROUND(N($J5975)-N($K5975),2))</f>
        <v/>
      </c>
      <c r="M5975" s="13">
        <f>IF(OR($A5975="",AND($J5975="",$K5975="")),"",MIN($J5975,$K5975))</f>
        <v/>
      </c>
      <c r="Q5975">
        <f>IF($A5975="","",$D5975&amp;"("&amp;SUBSTITUTE($E5975," ","")&amp;")")</f>
        <v/>
      </c>
      <c r="R5975">
        <f>IF($A5975="","",$B5975&amp;" - "&amp;$C5975)</f>
        <v/>
      </c>
      <c r="S5975">
        <f>IF($A5975="","",$R5975&amp;"|"&amp;$Q5975)</f>
        <v/>
      </c>
      <c r="T5975">
        <f>IF($A5975="","",$S5975&amp;"|"&amp;$F5975)</f>
        <v/>
      </c>
      <c r="U5975">
        <f>IF($A5975="","",$R5975&amp;"("&amp;$E5975&amp;")")</f>
        <v/>
      </c>
      <c r="V5975">
        <f>IF($A5975="","",$F5975&amp;"|"&amp;$U5975&amp;"|"&amp;$D5975)</f>
        <v/>
      </c>
      <c r="W5975">
        <f>IF($T5975="","",IF($X5975&gt;N($X5974),$X5975,""))</f>
        <v/>
      </c>
      <c r="X5975">
        <f>IF($T5975="",N($X5974),IF(MATCH($T5975,$T$6:$T$6005,0)=ROW()-5,N($X5974)+1,N($X5974)))</f>
        <v/>
      </c>
      <c r="Z5975">
        <f>IF($V5975="","",IF($AA5975&gt;N($AA5974),$AA5975,""))</f>
        <v/>
      </c>
      <c r="AA5975">
        <f>IF($V5975="",N($AA5974),IF(MATCH($V5975,$V$6:$V$6005,0)=ROW()-5,N($AA5974)+1,N($AA5974)))</f>
        <v/>
      </c>
    </row>
    <row r="5976" ht="21" customHeight="1" s="66">
      <c r="A5976" s="56" t="n"/>
      <c r="B5976" s="57" t="n"/>
      <c r="C5976" s="57" t="n"/>
      <c r="D5976" s="57" t="n"/>
      <c r="E5976" s="56" t="n"/>
      <c r="F5976" s="57" t="n"/>
      <c r="G5976" s="57" t="n"/>
      <c r="H5976" s="56" t="n"/>
      <c r="I5976" s="56" t="n"/>
      <c r="J5976" s="58" t="n"/>
      <c r="K5976" s="58" t="n"/>
      <c r="L5976" s="13">
        <f>IF(OR($A5976="",AND($J5976="",$K5976="")),"",ROUND(N($J5976)-N($K5976),2))</f>
        <v/>
      </c>
      <c r="M5976" s="13">
        <f>IF(OR($A5976="",AND($J5976="",$K5976="")),"",MIN($J5976,$K5976))</f>
        <v/>
      </c>
      <c r="Q5976">
        <f>IF($A5976="","",$D5976&amp;"("&amp;SUBSTITUTE($E5976," ","")&amp;")")</f>
        <v/>
      </c>
      <c r="R5976">
        <f>IF($A5976="","",$B5976&amp;" - "&amp;$C5976)</f>
        <v/>
      </c>
      <c r="S5976">
        <f>IF($A5976="","",$R5976&amp;"|"&amp;$Q5976)</f>
        <v/>
      </c>
      <c r="T5976">
        <f>IF($A5976="","",$S5976&amp;"|"&amp;$F5976)</f>
        <v/>
      </c>
      <c r="U5976">
        <f>IF($A5976="","",$R5976&amp;"("&amp;$E5976&amp;")")</f>
        <v/>
      </c>
      <c r="V5976">
        <f>IF($A5976="","",$F5976&amp;"|"&amp;$U5976&amp;"|"&amp;$D5976)</f>
        <v/>
      </c>
      <c r="W5976">
        <f>IF($T5976="","",IF($X5976&gt;N($X5975),$X5976,""))</f>
        <v/>
      </c>
      <c r="X5976">
        <f>IF($T5976="",N($X5975),IF(MATCH($T5976,$T$6:$T$6005,0)=ROW()-5,N($X5975)+1,N($X5975)))</f>
        <v/>
      </c>
      <c r="Z5976">
        <f>IF($V5976="","",IF($AA5976&gt;N($AA5975),$AA5976,""))</f>
        <v/>
      </c>
      <c r="AA5976">
        <f>IF($V5976="",N($AA5975),IF(MATCH($V5976,$V$6:$V$6005,0)=ROW()-5,N($AA5975)+1,N($AA5975)))</f>
        <v/>
      </c>
    </row>
    <row r="5977" ht="21" customHeight="1" s="66">
      <c r="A5977" s="56" t="n"/>
      <c r="B5977" s="57" t="n"/>
      <c r="C5977" s="57" t="n"/>
      <c r="D5977" s="57" t="n"/>
      <c r="E5977" s="56" t="n"/>
      <c r="F5977" s="57" t="n"/>
      <c r="G5977" s="57" t="n"/>
      <c r="H5977" s="56" t="n"/>
      <c r="I5977" s="56" t="n"/>
      <c r="J5977" s="58" t="n"/>
      <c r="K5977" s="58" t="n"/>
      <c r="L5977" s="13">
        <f>IF(OR($A5977="",AND($J5977="",$K5977="")),"",ROUND(N($J5977)-N($K5977),2))</f>
        <v/>
      </c>
      <c r="M5977" s="13">
        <f>IF(OR($A5977="",AND($J5977="",$K5977="")),"",MIN($J5977,$K5977))</f>
        <v/>
      </c>
      <c r="Q5977">
        <f>IF($A5977="","",$D5977&amp;"("&amp;SUBSTITUTE($E5977," ","")&amp;")")</f>
        <v/>
      </c>
      <c r="R5977">
        <f>IF($A5977="","",$B5977&amp;" - "&amp;$C5977)</f>
        <v/>
      </c>
      <c r="S5977">
        <f>IF($A5977="","",$R5977&amp;"|"&amp;$Q5977)</f>
        <v/>
      </c>
      <c r="T5977">
        <f>IF($A5977="","",$S5977&amp;"|"&amp;$F5977)</f>
        <v/>
      </c>
      <c r="U5977">
        <f>IF($A5977="","",$R5977&amp;"("&amp;$E5977&amp;")")</f>
        <v/>
      </c>
      <c r="V5977">
        <f>IF($A5977="","",$F5977&amp;"|"&amp;$U5977&amp;"|"&amp;$D5977)</f>
        <v/>
      </c>
      <c r="W5977">
        <f>IF($T5977="","",IF($X5977&gt;N($X5976),$X5977,""))</f>
        <v/>
      </c>
      <c r="X5977">
        <f>IF($T5977="",N($X5976),IF(MATCH($T5977,$T$6:$T$6005,0)=ROW()-5,N($X5976)+1,N($X5976)))</f>
        <v/>
      </c>
      <c r="Z5977">
        <f>IF($V5977="","",IF($AA5977&gt;N($AA5976),$AA5977,""))</f>
        <v/>
      </c>
      <c r="AA5977">
        <f>IF($V5977="",N($AA5976),IF(MATCH($V5977,$V$6:$V$6005,0)=ROW()-5,N($AA5976)+1,N($AA5976)))</f>
        <v/>
      </c>
    </row>
    <row r="5978" ht="21" customHeight="1" s="66">
      <c r="A5978" s="56" t="n"/>
      <c r="B5978" s="57" t="n"/>
      <c r="C5978" s="57" t="n"/>
      <c r="D5978" s="57" t="n"/>
      <c r="E5978" s="56" t="n"/>
      <c r="F5978" s="57" t="n"/>
      <c r="G5978" s="57" t="n"/>
      <c r="H5978" s="56" t="n"/>
      <c r="I5978" s="56" t="n"/>
      <c r="J5978" s="58" t="n"/>
      <c r="K5978" s="58" t="n"/>
      <c r="L5978" s="13">
        <f>IF(OR($A5978="",AND($J5978="",$K5978="")),"",ROUND(N($J5978)-N($K5978),2))</f>
        <v/>
      </c>
      <c r="M5978" s="13">
        <f>IF(OR($A5978="",AND($J5978="",$K5978="")),"",MIN($J5978,$K5978))</f>
        <v/>
      </c>
      <c r="Q5978">
        <f>IF($A5978="","",$D5978&amp;"("&amp;SUBSTITUTE($E5978," ","")&amp;")")</f>
        <v/>
      </c>
      <c r="R5978">
        <f>IF($A5978="","",$B5978&amp;" - "&amp;$C5978)</f>
        <v/>
      </c>
      <c r="S5978">
        <f>IF($A5978="","",$R5978&amp;"|"&amp;$Q5978)</f>
        <v/>
      </c>
      <c r="T5978">
        <f>IF($A5978="","",$S5978&amp;"|"&amp;$F5978)</f>
        <v/>
      </c>
      <c r="U5978">
        <f>IF($A5978="","",$R5978&amp;"("&amp;$E5978&amp;")")</f>
        <v/>
      </c>
      <c r="V5978">
        <f>IF($A5978="","",$F5978&amp;"|"&amp;$U5978&amp;"|"&amp;$D5978)</f>
        <v/>
      </c>
      <c r="W5978">
        <f>IF($T5978="","",IF($X5978&gt;N($X5977),$X5978,""))</f>
        <v/>
      </c>
      <c r="X5978">
        <f>IF($T5978="",N($X5977),IF(MATCH($T5978,$T$6:$T$6005,0)=ROW()-5,N($X5977)+1,N($X5977)))</f>
        <v/>
      </c>
      <c r="Z5978">
        <f>IF($V5978="","",IF($AA5978&gt;N($AA5977),$AA5978,""))</f>
        <v/>
      </c>
      <c r="AA5978">
        <f>IF($V5978="",N($AA5977),IF(MATCH($V5978,$V$6:$V$6005,0)=ROW()-5,N($AA5977)+1,N($AA5977)))</f>
        <v/>
      </c>
    </row>
    <row r="5979" ht="21" customHeight="1" s="66">
      <c r="A5979" s="56" t="n"/>
      <c r="B5979" s="57" t="n"/>
      <c r="C5979" s="57" t="n"/>
      <c r="D5979" s="57" t="n"/>
      <c r="E5979" s="56" t="n"/>
      <c r="F5979" s="57" t="n"/>
      <c r="G5979" s="57" t="n"/>
      <c r="H5979" s="56" t="n"/>
      <c r="I5979" s="56" t="n"/>
      <c r="J5979" s="58" t="n"/>
      <c r="K5979" s="58" t="n"/>
      <c r="L5979" s="13">
        <f>IF(OR($A5979="",AND($J5979="",$K5979="")),"",ROUND(N($J5979)-N($K5979),2))</f>
        <v/>
      </c>
      <c r="M5979" s="13">
        <f>IF(OR($A5979="",AND($J5979="",$K5979="")),"",MIN($J5979,$K5979))</f>
        <v/>
      </c>
      <c r="Q5979">
        <f>IF($A5979="","",$D5979&amp;"("&amp;SUBSTITUTE($E5979," ","")&amp;")")</f>
        <v/>
      </c>
      <c r="R5979">
        <f>IF($A5979="","",$B5979&amp;" - "&amp;$C5979)</f>
        <v/>
      </c>
      <c r="S5979">
        <f>IF($A5979="","",$R5979&amp;"|"&amp;$Q5979)</f>
        <v/>
      </c>
      <c r="T5979">
        <f>IF($A5979="","",$S5979&amp;"|"&amp;$F5979)</f>
        <v/>
      </c>
      <c r="U5979">
        <f>IF($A5979="","",$R5979&amp;"("&amp;$E5979&amp;")")</f>
        <v/>
      </c>
      <c r="V5979">
        <f>IF($A5979="","",$F5979&amp;"|"&amp;$U5979&amp;"|"&amp;$D5979)</f>
        <v/>
      </c>
      <c r="W5979">
        <f>IF($T5979="","",IF($X5979&gt;N($X5978),$X5979,""))</f>
        <v/>
      </c>
      <c r="X5979">
        <f>IF($T5979="",N($X5978),IF(MATCH($T5979,$T$6:$T$6005,0)=ROW()-5,N($X5978)+1,N($X5978)))</f>
        <v/>
      </c>
      <c r="Z5979">
        <f>IF($V5979="","",IF($AA5979&gt;N($AA5978),$AA5979,""))</f>
        <v/>
      </c>
      <c r="AA5979">
        <f>IF($V5979="",N($AA5978),IF(MATCH($V5979,$V$6:$V$6005,0)=ROW()-5,N($AA5978)+1,N($AA5978)))</f>
        <v/>
      </c>
    </row>
    <row r="5980" ht="21" customHeight="1" s="66">
      <c r="A5980" s="56" t="n"/>
      <c r="B5980" s="57" t="n"/>
      <c r="C5980" s="57" t="n"/>
      <c r="D5980" s="57" t="n"/>
      <c r="E5980" s="56" t="n"/>
      <c r="F5980" s="57" t="n"/>
      <c r="G5980" s="57" t="n"/>
      <c r="H5980" s="56" t="n"/>
      <c r="I5980" s="56" t="n"/>
      <c r="J5980" s="58" t="n"/>
      <c r="K5980" s="58" t="n"/>
      <c r="L5980" s="13">
        <f>IF(OR($A5980="",AND($J5980="",$K5980="")),"",ROUND(N($J5980)-N($K5980),2))</f>
        <v/>
      </c>
      <c r="M5980" s="13">
        <f>IF(OR($A5980="",AND($J5980="",$K5980="")),"",MIN($J5980,$K5980))</f>
        <v/>
      </c>
      <c r="Q5980">
        <f>IF($A5980="","",$D5980&amp;"("&amp;SUBSTITUTE($E5980," ","")&amp;")")</f>
        <v/>
      </c>
      <c r="R5980">
        <f>IF($A5980="","",$B5980&amp;" - "&amp;$C5980)</f>
        <v/>
      </c>
      <c r="S5980">
        <f>IF($A5980="","",$R5980&amp;"|"&amp;$Q5980)</f>
        <v/>
      </c>
      <c r="T5980">
        <f>IF($A5980="","",$S5980&amp;"|"&amp;$F5980)</f>
        <v/>
      </c>
      <c r="U5980">
        <f>IF($A5980="","",$R5980&amp;"("&amp;$E5980&amp;")")</f>
        <v/>
      </c>
      <c r="V5980">
        <f>IF($A5980="","",$F5980&amp;"|"&amp;$U5980&amp;"|"&amp;$D5980)</f>
        <v/>
      </c>
      <c r="W5980">
        <f>IF($T5980="","",IF($X5980&gt;N($X5979),$X5980,""))</f>
        <v/>
      </c>
      <c r="X5980">
        <f>IF($T5980="",N($X5979),IF(MATCH($T5980,$T$6:$T$6005,0)=ROW()-5,N($X5979)+1,N($X5979)))</f>
        <v/>
      </c>
      <c r="Z5980">
        <f>IF($V5980="","",IF($AA5980&gt;N($AA5979),$AA5980,""))</f>
        <v/>
      </c>
      <c r="AA5980">
        <f>IF($V5980="",N($AA5979),IF(MATCH($V5980,$V$6:$V$6005,0)=ROW()-5,N($AA5979)+1,N($AA5979)))</f>
        <v/>
      </c>
    </row>
    <row r="5981" ht="21" customHeight="1" s="66">
      <c r="A5981" s="56" t="n"/>
      <c r="B5981" s="57" t="n"/>
      <c r="C5981" s="57" t="n"/>
      <c r="D5981" s="57" t="n"/>
      <c r="E5981" s="56" t="n"/>
      <c r="F5981" s="57" t="n"/>
      <c r="G5981" s="57" t="n"/>
      <c r="H5981" s="56" t="n"/>
      <c r="I5981" s="56" t="n"/>
      <c r="J5981" s="58" t="n"/>
      <c r="K5981" s="58" t="n"/>
      <c r="L5981" s="13">
        <f>IF(OR($A5981="",AND($J5981="",$K5981="")),"",ROUND(N($J5981)-N($K5981),2))</f>
        <v/>
      </c>
      <c r="M5981" s="13">
        <f>IF(OR($A5981="",AND($J5981="",$K5981="")),"",MIN($J5981,$K5981))</f>
        <v/>
      </c>
      <c r="Q5981">
        <f>IF($A5981="","",$D5981&amp;"("&amp;SUBSTITUTE($E5981," ","")&amp;")")</f>
        <v/>
      </c>
      <c r="R5981">
        <f>IF($A5981="","",$B5981&amp;" - "&amp;$C5981)</f>
        <v/>
      </c>
      <c r="S5981">
        <f>IF($A5981="","",$R5981&amp;"|"&amp;$Q5981)</f>
        <v/>
      </c>
      <c r="T5981">
        <f>IF($A5981="","",$S5981&amp;"|"&amp;$F5981)</f>
        <v/>
      </c>
      <c r="U5981">
        <f>IF($A5981="","",$R5981&amp;"("&amp;$E5981&amp;")")</f>
        <v/>
      </c>
      <c r="V5981">
        <f>IF($A5981="","",$F5981&amp;"|"&amp;$U5981&amp;"|"&amp;$D5981)</f>
        <v/>
      </c>
      <c r="W5981">
        <f>IF($T5981="","",IF($X5981&gt;N($X5980),$X5981,""))</f>
        <v/>
      </c>
      <c r="X5981">
        <f>IF($T5981="",N($X5980),IF(MATCH($T5981,$T$6:$T$6005,0)=ROW()-5,N($X5980)+1,N($X5980)))</f>
        <v/>
      </c>
      <c r="Z5981">
        <f>IF($V5981="","",IF($AA5981&gt;N($AA5980),$AA5981,""))</f>
        <v/>
      </c>
      <c r="AA5981">
        <f>IF($V5981="",N($AA5980),IF(MATCH($V5981,$V$6:$V$6005,0)=ROW()-5,N($AA5980)+1,N($AA5980)))</f>
        <v/>
      </c>
    </row>
    <row r="5982" ht="21" customHeight="1" s="66">
      <c r="A5982" s="56" t="n"/>
      <c r="B5982" s="57" t="n"/>
      <c r="C5982" s="57" t="n"/>
      <c r="D5982" s="57" t="n"/>
      <c r="E5982" s="56" t="n"/>
      <c r="F5982" s="57" t="n"/>
      <c r="G5982" s="57" t="n"/>
      <c r="H5982" s="56" t="n"/>
      <c r="I5982" s="56" t="n"/>
      <c r="J5982" s="58" t="n"/>
      <c r="K5982" s="58" t="n"/>
      <c r="L5982" s="13">
        <f>IF(OR($A5982="",AND($J5982="",$K5982="")),"",ROUND(N($J5982)-N($K5982),2))</f>
        <v/>
      </c>
      <c r="M5982" s="13">
        <f>IF(OR($A5982="",AND($J5982="",$K5982="")),"",MIN($J5982,$K5982))</f>
        <v/>
      </c>
      <c r="Q5982">
        <f>IF($A5982="","",$D5982&amp;"("&amp;SUBSTITUTE($E5982," ","")&amp;")")</f>
        <v/>
      </c>
      <c r="R5982">
        <f>IF($A5982="","",$B5982&amp;" - "&amp;$C5982)</f>
        <v/>
      </c>
      <c r="S5982">
        <f>IF($A5982="","",$R5982&amp;"|"&amp;$Q5982)</f>
        <v/>
      </c>
      <c r="T5982">
        <f>IF($A5982="","",$S5982&amp;"|"&amp;$F5982)</f>
        <v/>
      </c>
      <c r="U5982">
        <f>IF($A5982="","",$R5982&amp;"("&amp;$E5982&amp;")")</f>
        <v/>
      </c>
      <c r="V5982">
        <f>IF($A5982="","",$F5982&amp;"|"&amp;$U5982&amp;"|"&amp;$D5982)</f>
        <v/>
      </c>
      <c r="W5982">
        <f>IF($T5982="","",IF($X5982&gt;N($X5981),$X5982,""))</f>
        <v/>
      </c>
      <c r="X5982">
        <f>IF($T5982="",N($X5981),IF(MATCH($T5982,$T$6:$T$6005,0)=ROW()-5,N($X5981)+1,N($X5981)))</f>
        <v/>
      </c>
      <c r="Z5982">
        <f>IF($V5982="","",IF($AA5982&gt;N($AA5981),$AA5982,""))</f>
        <v/>
      </c>
      <c r="AA5982">
        <f>IF($V5982="",N($AA5981),IF(MATCH($V5982,$V$6:$V$6005,0)=ROW()-5,N($AA5981)+1,N($AA5981)))</f>
        <v/>
      </c>
    </row>
    <row r="5983" ht="21" customHeight="1" s="66">
      <c r="A5983" s="56" t="n"/>
      <c r="B5983" s="57" t="n"/>
      <c r="C5983" s="57" t="n"/>
      <c r="D5983" s="57" t="n"/>
      <c r="E5983" s="56" t="n"/>
      <c r="F5983" s="57" t="n"/>
      <c r="G5983" s="57" t="n"/>
      <c r="H5983" s="56" t="n"/>
      <c r="I5983" s="56" t="n"/>
      <c r="J5983" s="58" t="n"/>
      <c r="K5983" s="58" t="n"/>
      <c r="L5983" s="13">
        <f>IF(OR($A5983="",AND($J5983="",$K5983="")),"",ROUND(N($J5983)-N($K5983),2))</f>
        <v/>
      </c>
      <c r="M5983" s="13">
        <f>IF(OR($A5983="",AND($J5983="",$K5983="")),"",MIN($J5983,$K5983))</f>
        <v/>
      </c>
      <c r="Q5983">
        <f>IF($A5983="","",$D5983&amp;"("&amp;SUBSTITUTE($E5983," ","")&amp;")")</f>
        <v/>
      </c>
      <c r="R5983">
        <f>IF($A5983="","",$B5983&amp;" - "&amp;$C5983)</f>
        <v/>
      </c>
      <c r="S5983">
        <f>IF($A5983="","",$R5983&amp;"|"&amp;$Q5983)</f>
        <v/>
      </c>
      <c r="T5983">
        <f>IF($A5983="","",$S5983&amp;"|"&amp;$F5983)</f>
        <v/>
      </c>
      <c r="U5983">
        <f>IF($A5983="","",$R5983&amp;"("&amp;$E5983&amp;")")</f>
        <v/>
      </c>
      <c r="V5983">
        <f>IF($A5983="","",$F5983&amp;"|"&amp;$U5983&amp;"|"&amp;$D5983)</f>
        <v/>
      </c>
      <c r="W5983">
        <f>IF($T5983="","",IF($X5983&gt;N($X5982),$X5983,""))</f>
        <v/>
      </c>
      <c r="X5983">
        <f>IF($T5983="",N($X5982),IF(MATCH($T5983,$T$6:$T$6005,0)=ROW()-5,N($X5982)+1,N($X5982)))</f>
        <v/>
      </c>
      <c r="Z5983">
        <f>IF($V5983="","",IF($AA5983&gt;N($AA5982),$AA5983,""))</f>
        <v/>
      </c>
      <c r="AA5983">
        <f>IF($V5983="",N($AA5982),IF(MATCH($V5983,$V$6:$V$6005,0)=ROW()-5,N($AA5982)+1,N($AA5982)))</f>
        <v/>
      </c>
    </row>
    <row r="5984" ht="21" customHeight="1" s="66">
      <c r="A5984" s="56" t="n"/>
      <c r="B5984" s="57" t="n"/>
      <c r="C5984" s="57" t="n"/>
      <c r="D5984" s="57" t="n"/>
      <c r="E5984" s="56" t="n"/>
      <c r="F5984" s="57" t="n"/>
      <c r="G5984" s="57" t="n"/>
      <c r="H5984" s="56" t="n"/>
      <c r="I5984" s="56" t="n"/>
      <c r="J5984" s="58" t="n"/>
      <c r="K5984" s="58" t="n"/>
      <c r="L5984" s="13">
        <f>IF(OR($A5984="",AND($J5984="",$K5984="")),"",ROUND(N($J5984)-N($K5984),2))</f>
        <v/>
      </c>
      <c r="M5984" s="13">
        <f>IF(OR($A5984="",AND($J5984="",$K5984="")),"",MIN($J5984,$K5984))</f>
        <v/>
      </c>
      <c r="Q5984">
        <f>IF($A5984="","",$D5984&amp;"("&amp;SUBSTITUTE($E5984," ","")&amp;")")</f>
        <v/>
      </c>
      <c r="R5984">
        <f>IF($A5984="","",$B5984&amp;" - "&amp;$C5984)</f>
        <v/>
      </c>
      <c r="S5984">
        <f>IF($A5984="","",$R5984&amp;"|"&amp;$Q5984)</f>
        <v/>
      </c>
      <c r="T5984">
        <f>IF($A5984="","",$S5984&amp;"|"&amp;$F5984)</f>
        <v/>
      </c>
      <c r="U5984">
        <f>IF($A5984="","",$R5984&amp;"("&amp;$E5984&amp;")")</f>
        <v/>
      </c>
      <c r="V5984">
        <f>IF($A5984="","",$F5984&amp;"|"&amp;$U5984&amp;"|"&amp;$D5984)</f>
        <v/>
      </c>
      <c r="W5984">
        <f>IF($T5984="","",IF($X5984&gt;N($X5983),$X5984,""))</f>
        <v/>
      </c>
      <c r="X5984">
        <f>IF($T5984="",N($X5983),IF(MATCH($T5984,$T$6:$T$6005,0)=ROW()-5,N($X5983)+1,N($X5983)))</f>
        <v/>
      </c>
      <c r="Z5984">
        <f>IF($V5984="","",IF($AA5984&gt;N($AA5983),$AA5984,""))</f>
        <v/>
      </c>
      <c r="AA5984">
        <f>IF($V5984="",N($AA5983),IF(MATCH($V5984,$V$6:$V$6005,0)=ROW()-5,N($AA5983)+1,N($AA5983)))</f>
        <v/>
      </c>
    </row>
    <row r="5985" ht="21" customHeight="1" s="66">
      <c r="A5985" s="56" t="n"/>
      <c r="B5985" s="57" t="n"/>
      <c r="C5985" s="57" t="n"/>
      <c r="D5985" s="57" t="n"/>
      <c r="E5985" s="56" t="n"/>
      <c r="F5985" s="57" t="n"/>
      <c r="G5985" s="57" t="n"/>
      <c r="H5985" s="56" t="n"/>
      <c r="I5985" s="56" t="n"/>
      <c r="J5985" s="58" t="n"/>
      <c r="K5985" s="58" t="n"/>
      <c r="L5985" s="13">
        <f>IF(OR($A5985="",AND($J5985="",$K5985="")),"",ROUND(N($J5985)-N($K5985),2))</f>
        <v/>
      </c>
      <c r="M5985" s="13">
        <f>IF(OR($A5985="",AND($J5985="",$K5985="")),"",MIN($J5985,$K5985))</f>
        <v/>
      </c>
      <c r="Q5985">
        <f>IF($A5985="","",$D5985&amp;"("&amp;SUBSTITUTE($E5985," ","")&amp;")")</f>
        <v/>
      </c>
      <c r="R5985">
        <f>IF($A5985="","",$B5985&amp;" - "&amp;$C5985)</f>
        <v/>
      </c>
      <c r="S5985">
        <f>IF($A5985="","",$R5985&amp;"|"&amp;$Q5985)</f>
        <v/>
      </c>
      <c r="T5985">
        <f>IF($A5985="","",$S5985&amp;"|"&amp;$F5985)</f>
        <v/>
      </c>
      <c r="U5985">
        <f>IF($A5985="","",$R5985&amp;"("&amp;$E5985&amp;")")</f>
        <v/>
      </c>
      <c r="V5985">
        <f>IF($A5985="","",$F5985&amp;"|"&amp;$U5985&amp;"|"&amp;$D5985)</f>
        <v/>
      </c>
      <c r="W5985">
        <f>IF($T5985="","",IF($X5985&gt;N($X5984),$X5985,""))</f>
        <v/>
      </c>
      <c r="X5985">
        <f>IF($T5985="",N($X5984),IF(MATCH($T5985,$T$6:$T$6005,0)=ROW()-5,N($X5984)+1,N($X5984)))</f>
        <v/>
      </c>
      <c r="Z5985">
        <f>IF($V5985="","",IF($AA5985&gt;N($AA5984),$AA5985,""))</f>
        <v/>
      </c>
      <c r="AA5985">
        <f>IF($V5985="",N($AA5984),IF(MATCH($V5985,$V$6:$V$6005,0)=ROW()-5,N($AA5984)+1,N($AA5984)))</f>
        <v/>
      </c>
    </row>
    <row r="5986" ht="21" customHeight="1" s="66">
      <c r="A5986" s="56" t="n"/>
      <c r="B5986" s="57" t="n"/>
      <c r="C5986" s="57" t="n"/>
      <c r="D5986" s="57" t="n"/>
      <c r="E5986" s="56" t="n"/>
      <c r="F5986" s="57" t="n"/>
      <c r="G5986" s="57" t="n"/>
      <c r="H5986" s="56" t="n"/>
      <c r="I5986" s="56" t="n"/>
      <c r="J5986" s="58" t="n"/>
      <c r="K5986" s="58" t="n"/>
      <c r="L5986" s="13">
        <f>IF(OR($A5986="",AND($J5986="",$K5986="")),"",ROUND(N($J5986)-N($K5986),2))</f>
        <v/>
      </c>
      <c r="M5986" s="13">
        <f>IF(OR($A5986="",AND($J5986="",$K5986="")),"",MIN($J5986,$K5986))</f>
        <v/>
      </c>
      <c r="Q5986">
        <f>IF($A5986="","",$D5986&amp;"("&amp;SUBSTITUTE($E5986," ","")&amp;")")</f>
        <v/>
      </c>
      <c r="R5986">
        <f>IF($A5986="","",$B5986&amp;" - "&amp;$C5986)</f>
        <v/>
      </c>
      <c r="S5986">
        <f>IF($A5986="","",$R5986&amp;"|"&amp;$Q5986)</f>
        <v/>
      </c>
      <c r="T5986">
        <f>IF($A5986="","",$S5986&amp;"|"&amp;$F5986)</f>
        <v/>
      </c>
      <c r="U5986">
        <f>IF($A5986="","",$R5986&amp;"("&amp;$E5986&amp;")")</f>
        <v/>
      </c>
      <c r="V5986">
        <f>IF($A5986="","",$F5986&amp;"|"&amp;$U5986&amp;"|"&amp;$D5986)</f>
        <v/>
      </c>
      <c r="W5986">
        <f>IF($T5986="","",IF($X5986&gt;N($X5985),$X5986,""))</f>
        <v/>
      </c>
      <c r="X5986">
        <f>IF($T5986="",N($X5985),IF(MATCH($T5986,$T$6:$T$6005,0)=ROW()-5,N($X5985)+1,N($X5985)))</f>
        <v/>
      </c>
      <c r="Z5986">
        <f>IF($V5986="","",IF($AA5986&gt;N($AA5985),$AA5986,""))</f>
        <v/>
      </c>
      <c r="AA5986">
        <f>IF($V5986="",N($AA5985),IF(MATCH($V5986,$V$6:$V$6005,0)=ROW()-5,N($AA5985)+1,N($AA5985)))</f>
        <v/>
      </c>
    </row>
    <row r="5987" ht="21" customHeight="1" s="66">
      <c r="A5987" s="56" t="n"/>
      <c r="B5987" s="57" t="n"/>
      <c r="C5987" s="57" t="n"/>
      <c r="D5987" s="57" t="n"/>
      <c r="E5987" s="56" t="n"/>
      <c r="F5987" s="57" t="n"/>
      <c r="G5987" s="57" t="n"/>
      <c r="H5987" s="56" t="n"/>
      <c r="I5987" s="56" t="n"/>
      <c r="J5987" s="58" t="n"/>
      <c r="K5987" s="58" t="n"/>
      <c r="L5987" s="13">
        <f>IF(OR($A5987="",AND($J5987="",$K5987="")),"",ROUND(N($J5987)-N($K5987),2))</f>
        <v/>
      </c>
      <c r="M5987" s="13">
        <f>IF(OR($A5987="",AND($J5987="",$K5987="")),"",MIN($J5987,$K5987))</f>
        <v/>
      </c>
      <c r="Q5987">
        <f>IF($A5987="","",$D5987&amp;"("&amp;SUBSTITUTE($E5987," ","")&amp;")")</f>
        <v/>
      </c>
      <c r="R5987">
        <f>IF($A5987="","",$B5987&amp;" - "&amp;$C5987)</f>
        <v/>
      </c>
      <c r="S5987">
        <f>IF($A5987="","",$R5987&amp;"|"&amp;$Q5987)</f>
        <v/>
      </c>
      <c r="T5987">
        <f>IF($A5987="","",$S5987&amp;"|"&amp;$F5987)</f>
        <v/>
      </c>
      <c r="U5987">
        <f>IF($A5987="","",$R5987&amp;"("&amp;$E5987&amp;")")</f>
        <v/>
      </c>
      <c r="V5987">
        <f>IF($A5987="","",$F5987&amp;"|"&amp;$U5987&amp;"|"&amp;$D5987)</f>
        <v/>
      </c>
      <c r="W5987">
        <f>IF($T5987="","",IF($X5987&gt;N($X5986),$X5987,""))</f>
        <v/>
      </c>
      <c r="X5987">
        <f>IF($T5987="",N($X5986),IF(MATCH($T5987,$T$6:$T$6005,0)=ROW()-5,N($X5986)+1,N($X5986)))</f>
        <v/>
      </c>
      <c r="Z5987">
        <f>IF($V5987="","",IF($AA5987&gt;N($AA5986),$AA5987,""))</f>
        <v/>
      </c>
      <c r="AA5987">
        <f>IF($V5987="",N($AA5986),IF(MATCH($V5987,$V$6:$V$6005,0)=ROW()-5,N($AA5986)+1,N($AA5986)))</f>
        <v/>
      </c>
    </row>
    <row r="5988" ht="21" customHeight="1" s="66">
      <c r="A5988" s="56" t="n"/>
      <c r="B5988" s="57" t="n"/>
      <c r="C5988" s="57" t="n"/>
      <c r="D5988" s="57" t="n"/>
      <c r="E5988" s="56" t="n"/>
      <c r="F5988" s="57" t="n"/>
      <c r="G5988" s="57" t="n"/>
      <c r="H5988" s="56" t="n"/>
      <c r="I5988" s="56" t="n"/>
      <c r="J5988" s="58" t="n"/>
      <c r="K5988" s="58" t="n"/>
      <c r="L5988" s="13">
        <f>IF(OR($A5988="",AND($J5988="",$K5988="")),"",ROUND(N($J5988)-N($K5988),2))</f>
        <v/>
      </c>
      <c r="M5988" s="13">
        <f>IF(OR($A5988="",AND($J5988="",$K5988="")),"",MIN($J5988,$K5988))</f>
        <v/>
      </c>
      <c r="Q5988">
        <f>IF($A5988="","",$D5988&amp;"("&amp;SUBSTITUTE($E5988," ","")&amp;")")</f>
        <v/>
      </c>
      <c r="R5988">
        <f>IF($A5988="","",$B5988&amp;" - "&amp;$C5988)</f>
        <v/>
      </c>
      <c r="S5988">
        <f>IF($A5988="","",$R5988&amp;"|"&amp;$Q5988)</f>
        <v/>
      </c>
      <c r="T5988">
        <f>IF($A5988="","",$S5988&amp;"|"&amp;$F5988)</f>
        <v/>
      </c>
      <c r="U5988">
        <f>IF($A5988="","",$R5988&amp;"("&amp;$E5988&amp;")")</f>
        <v/>
      </c>
      <c r="V5988">
        <f>IF($A5988="","",$F5988&amp;"|"&amp;$U5988&amp;"|"&amp;$D5988)</f>
        <v/>
      </c>
      <c r="W5988">
        <f>IF($T5988="","",IF($X5988&gt;N($X5987),$X5988,""))</f>
        <v/>
      </c>
      <c r="X5988">
        <f>IF($T5988="",N($X5987),IF(MATCH($T5988,$T$6:$T$6005,0)=ROW()-5,N($X5987)+1,N($X5987)))</f>
        <v/>
      </c>
      <c r="Z5988">
        <f>IF($V5988="","",IF($AA5988&gt;N($AA5987),$AA5988,""))</f>
        <v/>
      </c>
      <c r="AA5988">
        <f>IF($V5988="",N($AA5987),IF(MATCH($V5988,$V$6:$V$6005,0)=ROW()-5,N($AA5987)+1,N($AA5987)))</f>
        <v/>
      </c>
    </row>
    <row r="5989" ht="21" customHeight="1" s="66">
      <c r="A5989" s="56" t="n"/>
      <c r="B5989" s="57" t="n"/>
      <c r="C5989" s="57" t="n"/>
      <c r="D5989" s="57" t="n"/>
      <c r="E5989" s="56" t="n"/>
      <c r="F5989" s="57" t="n"/>
      <c r="G5989" s="57" t="n"/>
      <c r="H5989" s="56" t="n"/>
      <c r="I5989" s="56" t="n"/>
      <c r="J5989" s="58" t="n"/>
      <c r="K5989" s="58" t="n"/>
      <c r="L5989" s="13">
        <f>IF(OR($A5989="",AND($J5989="",$K5989="")),"",ROUND(N($J5989)-N($K5989),2))</f>
        <v/>
      </c>
      <c r="M5989" s="13">
        <f>IF(OR($A5989="",AND($J5989="",$K5989="")),"",MIN($J5989,$K5989))</f>
        <v/>
      </c>
      <c r="Q5989">
        <f>IF($A5989="","",$D5989&amp;"("&amp;SUBSTITUTE($E5989," ","")&amp;")")</f>
        <v/>
      </c>
      <c r="R5989">
        <f>IF($A5989="","",$B5989&amp;" - "&amp;$C5989)</f>
        <v/>
      </c>
      <c r="S5989">
        <f>IF($A5989="","",$R5989&amp;"|"&amp;$Q5989)</f>
        <v/>
      </c>
      <c r="T5989">
        <f>IF($A5989="","",$S5989&amp;"|"&amp;$F5989)</f>
        <v/>
      </c>
      <c r="U5989">
        <f>IF($A5989="","",$R5989&amp;"("&amp;$E5989&amp;")")</f>
        <v/>
      </c>
      <c r="V5989">
        <f>IF($A5989="","",$F5989&amp;"|"&amp;$U5989&amp;"|"&amp;$D5989)</f>
        <v/>
      </c>
      <c r="W5989">
        <f>IF($T5989="","",IF($X5989&gt;N($X5988),$X5989,""))</f>
        <v/>
      </c>
      <c r="X5989">
        <f>IF($T5989="",N($X5988),IF(MATCH($T5989,$T$6:$T$6005,0)=ROW()-5,N($X5988)+1,N($X5988)))</f>
        <v/>
      </c>
      <c r="Z5989">
        <f>IF($V5989="","",IF($AA5989&gt;N($AA5988),$AA5989,""))</f>
        <v/>
      </c>
      <c r="AA5989">
        <f>IF($V5989="",N($AA5988),IF(MATCH($V5989,$V$6:$V$6005,0)=ROW()-5,N($AA5988)+1,N($AA5988)))</f>
        <v/>
      </c>
    </row>
    <row r="5990" ht="21" customHeight="1" s="66">
      <c r="A5990" s="56" t="n"/>
      <c r="B5990" s="57" t="n"/>
      <c r="C5990" s="57" t="n"/>
      <c r="D5990" s="57" t="n"/>
      <c r="E5990" s="56" t="n"/>
      <c r="F5990" s="57" t="n"/>
      <c r="G5990" s="57" t="n"/>
      <c r="H5990" s="56" t="n"/>
      <c r="I5990" s="56" t="n"/>
      <c r="J5990" s="58" t="n"/>
      <c r="K5990" s="58" t="n"/>
      <c r="L5990" s="13">
        <f>IF(OR($A5990="",AND($J5990="",$K5990="")),"",ROUND(N($J5990)-N($K5990),2))</f>
        <v/>
      </c>
      <c r="M5990" s="13">
        <f>IF(OR($A5990="",AND($J5990="",$K5990="")),"",MIN($J5990,$K5990))</f>
        <v/>
      </c>
      <c r="Q5990">
        <f>IF($A5990="","",$D5990&amp;"("&amp;SUBSTITUTE($E5990," ","")&amp;")")</f>
        <v/>
      </c>
      <c r="R5990">
        <f>IF($A5990="","",$B5990&amp;" - "&amp;$C5990)</f>
        <v/>
      </c>
      <c r="S5990">
        <f>IF($A5990="","",$R5990&amp;"|"&amp;$Q5990)</f>
        <v/>
      </c>
      <c r="T5990">
        <f>IF($A5990="","",$S5990&amp;"|"&amp;$F5990)</f>
        <v/>
      </c>
      <c r="U5990">
        <f>IF($A5990="","",$R5990&amp;"("&amp;$E5990&amp;")")</f>
        <v/>
      </c>
      <c r="V5990">
        <f>IF($A5990="","",$F5990&amp;"|"&amp;$U5990&amp;"|"&amp;$D5990)</f>
        <v/>
      </c>
      <c r="W5990">
        <f>IF($T5990="","",IF($X5990&gt;N($X5989),$X5990,""))</f>
        <v/>
      </c>
      <c r="X5990">
        <f>IF($T5990="",N($X5989),IF(MATCH($T5990,$T$6:$T$6005,0)=ROW()-5,N($X5989)+1,N($X5989)))</f>
        <v/>
      </c>
      <c r="Z5990">
        <f>IF($V5990="","",IF($AA5990&gt;N($AA5989),$AA5990,""))</f>
        <v/>
      </c>
      <c r="AA5990">
        <f>IF($V5990="",N($AA5989),IF(MATCH($V5990,$V$6:$V$6005,0)=ROW()-5,N($AA5989)+1,N($AA5989)))</f>
        <v/>
      </c>
    </row>
    <row r="5991" ht="21" customHeight="1" s="66">
      <c r="A5991" s="56" t="n"/>
      <c r="B5991" s="57" t="n"/>
      <c r="C5991" s="57" t="n"/>
      <c r="D5991" s="57" t="n"/>
      <c r="E5991" s="56" t="n"/>
      <c r="F5991" s="57" t="n"/>
      <c r="G5991" s="57" t="n"/>
      <c r="H5991" s="56" t="n"/>
      <c r="I5991" s="56" t="n"/>
      <c r="J5991" s="58" t="n"/>
      <c r="K5991" s="58" t="n"/>
      <c r="L5991" s="13">
        <f>IF(OR($A5991="",AND($J5991="",$K5991="")),"",ROUND(N($J5991)-N($K5991),2))</f>
        <v/>
      </c>
      <c r="M5991" s="13">
        <f>IF(OR($A5991="",AND($J5991="",$K5991="")),"",MIN($J5991,$K5991))</f>
        <v/>
      </c>
      <c r="Q5991">
        <f>IF($A5991="","",$D5991&amp;"("&amp;SUBSTITUTE($E5991," ","")&amp;")")</f>
        <v/>
      </c>
      <c r="R5991">
        <f>IF($A5991="","",$B5991&amp;" - "&amp;$C5991)</f>
        <v/>
      </c>
      <c r="S5991">
        <f>IF($A5991="","",$R5991&amp;"|"&amp;$Q5991)</f>
        <v/>
      </c>
      <c r="T5991">
        <f>IF($A5991="","",$S5991&amp;"|"&amp;$F5991)</f>
        <v/>
      </c>
      <c r="U5991">
        <f>IF($A5991="","",$R5991&amp;"("&amp;$E5991&amp;")")</f>
        <v/>
      </c>
      <c r="V5991">
        <f>IF($A5991="","",$F5991&amp;"|"&amp;$U5991&amp;"|"&amp;$D5991)</f>
        <v/>
      </c>
      <c r="W5991">
        <f>IF($T5991="","",IF($X5991&gt;N($X5990),$X5991,""))</f>
        <v/>
      </c>
      <c r="X5991">
        <f>IF($T5991="",N($X5990),IF(MATCH($T5991,$T$6:$T$6005,0)=ROW()-5,N($X5990)+1,N($X5990)))</f>
        <v/>
      </c>
      <c r="Z5991">
        <f>IF($V5991="","",IF($AA5991&gt;N($AA5990),$AA5991,""))</f>
        <v/>
      </c>
      <c r="AA5991">
        <f>IF($V5991="",N($AA5990),IF(MATCH($V5991,$V$6:$V$6005,0)=ROW()-5,N($AA5990)+1,N($AA5990)))</f>
        <v/>
      </c>
    </row>
    <row r="5992" ht="21" customHeight="1" s="66">
      <c r="A5992" s="56" t="n"/>
      <c r="B5992" s="57" t="n"/>
      <c r="C5992" s="57" t="n"/>
      <c r="D5992" s="57" t="n"/>
      <c r="E5992" s="56" t="n"/>
      <c r="F5992" s="57" t="n"/>
      <c r="G5992" s="57" t="n"/>
      <c r="H5992" s="56" t="n"/>
      <c r="I5992" s="56" t="n"/>
      <c r="J5992" s="58" t="n"/>
      <c r="K5992" s="58" t="n"/>
      <c r="L5992" s="13">
        <f>IF(OR($A5992="",AND($J5992="",$K5992="")),"",ROUND(N($J5992)-N($K5992),2))</f>
        <v/>
      </c>
      <c r="M5992" s="13">
        <f>IF(OR($A5992="",AND($J5992="",$K5992="")),"",MIN($J5992,$K5992))</f>
        <v/>
      </c>
      <c r="Q5992">
        <f>IF($A5992="","",$D5992&amp;"("&amp;SUBSTITUTE($E5992," ","")&amp;")")</f>
        <v/>
      </c>
      <c r="R5992">
        <f>IF($A5992="","",$B5992&amp;" - "&amp;$C5992)</f>
        <v/>
      </c>
      <c r="S5992">
        <f>IF($A5992="","",$R5992&amp;"|"&amp;$Q5992)</f>
        <v/>
      </c>
      <c r="T5992">
        <f>IF($A5992="","",$S5992&amp;"|"&amp;$F5992)</f>
        <v/>
      </c>
      <c r="U5992">
        <f>IF($A5992="","",$R5992&amp;"("&amp;$E5992&amp;")")</f>
        <v/>
      </c>
      <c r="V5992">
        <f>IF($A5992="","",$F5992&amp;"|"&amp;$U5992&amp;"|"&amp;$D5992)</f>
        <v/>
      </c>
      <c r="W5992">
        <f>IF($T5992="","",IF($X5992&gt;N($X5991),$X5992,""))</f>
        <v/>
      </c>
      <c r="X5992">
        <f>IF($T5992="",N($X5991),IF(MATCH($T5992,$T$6:$T$6005,0)=ROW()-5,N($X5991)+1,N($X5991)))</f>
        <v/>
      </c>
      <c r="Z5992">
        <f>IF($V5992="","",IF($AA5992&gt;N($AA5991),$AA5992,""))</f>
        <v/>
      </c>
      <c r="AA5992">
        <f>IF($V5992="",N($AA5991),IF(MATCH($V5992,$V$6:$V$6005,0)=ROW()-5,N($AA5991)+1,N($AA5991)))</f>
        <v/>
      </c>
    </row>
    <row r="5993" ht="21" customHeight="1" s="66">
      <c r="A5993" s="56" t="n"/>
      <c r="B5993" s="57" t="n"/>
      <c r="C5993" s="57" t="n"/>
      <c r="D5993" s="57" t="n"/>
      <c r="E5993" s="56" t="n"/>
      <c r="F5993" s="57" t="n"/>
      <c r="G5993" s="57" t="n"/>
      <c r="H5993" s="56" t="n"/>
      <c r="I5993" s="56" t="n"/>
      <c r="J5993" s="58" t="n"/>
      <c r="K5993" s="58" t="n"/>
      <c r="L5993" s="13">
        <f>IF(OR($A5993="",AND($J5993="",$K5993="")),"",ROUND(N($J5993)-N($K5993),2))</f>
        <v/>
      </c>
      <c r="M5993" s="13">
        <f>IF(OR($A5993="",AND($J5993="",$K5993="")),"",MIN($J5993,$K5993))</f>
        <v/>
      </c>
      <c r="Q5993">
        <f>IF($A5993="","",$D5993&amp;"("&amp;SUBSTITUTE($E5993," ","")&amp;")")</f>
        <v/>
      </c>
      <c r="R5993">
        <f>IF($A5993="","",$B5993&amp;" - "&amp;$C5993)</f>
        <v/>
      </c>
      <c r="S5993">
        <f>IF($A5993="","",$R5993&amp;"|"&amp;$Q5993)</f>
        <v/>
      </c>
      <c r="T5993">
        <f>IF($A5993="","",$S5993&amp;"|"&amp;$F5993)</f>
        <v/>
      </c>
      <c r="U5993">
        <f>IF($A5993="","",$R5993&amp;"("&amp;$E5993&amp;")")</f>
        <v/>
      </c>
      <c r="V5993">
        <f>IF($A5993="","",$F5993&amp;"|"&amp;$U5993&amp;"|"&amp;$D5993)</f>
        <v/>
      </c>
      <c r="W5993">
        <f>IF($T5993="","",IF($X5993&gt;N($X5992),$X5993,""))</f>
        <v/>
      </c>
      <c r="X5993">
        <f>IF($T5993="",N($X5992),IF(MATCH($T5993,$T$6:$T$6005,0)=ROW()-5,N($X5992)+1,N($X5992)))</f>
        <v/>
      </c>
      <c r="Z5993">
        <f>IF($V5993="","",IF($AA5993&gt;N($AA5992),$AA5993,""))</f>
        <v/>
      </c>
      <c r="AA5993">
        <f>IF($V5993="",N($AA5992),IF(MATCH($V5993,$V$6:$V$6005,0)=ROW()-5,N($AA5992)+1,N($AA5992)))</f>
        <v/>
      </c>
    </row>
    <row r="5994" ht="21" customHeight="1" s="66">
      <c r="A5994" s="56" t="n"/>
      <c r="B5994" s="57" t="n"/>
      <c r="C5994" s="57" t="n"/>
      <c r="D5994" s="57" t="n"/>
      <c r="E5994" s="56" t="n"/>
      <c r="F5994" s="57" t="n"/>
      <c r="G5994" s="57" t="n"/>
      <c r="H5994" s="56" t="n"/>
      <c r="I5994" s="56" t="n"/>
      <c r="J5994" s="58" t="n"/>
      <c r="K5994" s="58" t="n"/>
      <c r="L5994" s="13">
        <f>IF(OR($A5994="",AND($J5994="",$K5994="")),"",ROUND(N($J5994)-N($K5994),2))</f>
        <v/>
      </c>
      <c r="M5994" s="13">
        <f>IF(OR($A5994="",AND($J5994="",$K5994="")),"",MIN($J5994,$K5994))</f>
        <v/>
      </c>
      <c r="Q5994">
        <f>IF($A5994="","",$D5994&amp;"("&amp;SUBSTITUTE($E5994," ","")&amp;")")</f>
        <v/>
      </c>
      <c r="R5994">
        <f>IF($A5994="","",$B5994&amp;" - "&amp;$C5994)</f>
        <v/>
      </c>
      <c r="S5994">
        <f>IF($A5994="","",$R5994&amp;"|"&amp;$Q5994)</f>
        <v/>
      </c>
      <c r="T5994">
        <f>IF($A5994="","",$S5994&amp;"|"&amp;$F5994)</f>
        <v/>
      </c>
      <c r="U5994">
        <f>IF($A5994="","",$R5994&amp;"("&amp;$E5994&amp;")")</f>
        <v/>
      </c>
      <c r="V5994">
        <f>IF($A5994="","",$F5994&amp;"|"&amp;$U5994&amp;"|"&amp;$D5994)</f>
        <v/>
      </c>
      <c r="W5994">
        <f>IF($T5994="","",IF($X5994&gt;N($X5993),$X5994,""))</f>
        <v/>
      </c>
      <c r="X5994">
        <f>IF($T5994="",N($X5993),IF(MATCH($T5994,$T$6:$T$6005,0)=ROW()-5,N($X5993)+1,N($X5993)))</f>
        <v/>
      </c>
      <c r="Z5994">
        <f>IF($V5994="","",IF($AA5994&gt;N($AA5993),$AA5994,""))</f>
        <v/>
      </c>
      <c r="AA5994">
        <f>IF($V5994="",N($AA5993),IF(MATCH($V5994,$V$6:$V$6005,0)=ROW()-5,N($AA5993)+1,N($AA5993)))</f>
        <v/>
      </c>
    </row>
    <row r="5995" ht="21" customHeight="1" s="66">
      <c r="A5995" s="56" t="n"/>
      <c r="B5995" s="57" t="n"/>
      <c r="C5995" s="57" t="n"/>
      <c r="D5995" s="57" t="n"/>
      <c r="E5995" s="56" t="n"/>
      <c r="F5995" s="57" t="n"/>
      <c r="G5995" s="57" t="n"/>
      <c r="H5995" s="56" t="n"/>
      <c r="I5995" s="56" t="n"/>
      <c r="J5995" s="58" t="n"/>
      <c r="K5995" s="58" t="n"/>
      <c r="L5995" s="13">
        <f>IF(OR($A5995="",AND($J5995="",$K5995="")),"",ROUND(N($J5995)-N($K5995),2))</f>
        <v/>
      </c>
      <c r="M5995" s="13">
        <f>IF(OR($A5995="",AND($J5995="",$K5995="")),"",MIN($J5995,$K5995))</f>
        <v/>
      </c>
      <c r="Q5995">
        <f>IF($A5995="","",$D5995&amp;"("&amp;SUBSTITUTE($E5995," ","")&amp;")")</f>
        <v/>
      </c>
      <c r="R5995">
        <f>IF($A5995="","",$B5995&amp;" - "&amp;$C5995)</f>
        <v/>
      </c>
      <c r="S5995">
        <f>IF($A5995="","",$R5995&amp;"|"&amp;$Q5995)</f>
        <v/>
      </c>
      <c r="T5995">
        <f>IF($A5995="","",$S5995&amp;"|"&amp;$F5995)</f>
        <v/>
      </c>
      <c r="U5995">
        <f>IF($A5995="","",$R5995&amp;"("&amp;$E5995&amp;")")</f>
        <v/>
      </c>
      <c r="V5995">
        <f>IF($A5995="","",$F5995&amp;"|"&amp;$U5995&amp;"|"&amp;$D5995)</f>
        <v/>
      </c>
      <c r="W5995">
        <f>IF($T5995="","",IF($X5995&gt;N($X5994),$X5995,""))</f>
        <v/>
      </c>
      <c r="X5995">
        <f>IF($T5995="",N($X5994),IF(MATCH($T5995,$T$6:$T$6005,0)=ROW()-5,N($X5994)+1,N($X5994)))</f>
        <v/>
      </c>
      <c r="Z5995">
        <f>IF($V5995="","",IF($AA5995&gt;N($AA5994),$AA5995,""))</f>
        <v/>
      </c>
      <c r="AA5995">
        <f>IF($V5995="",N($AA5994),IF(MATCH($V5995,$V$6:$V$6005,0)=ROW()-5,N($AA5994)+1,N($AA5994)))</f>
        <v/>
      </c>
    </row>
    <row r="5996" ht="21" customHeight="1" s="66">
      <c r="A5996" s="56" t="n"/>
      <c r="B5996" s="57" t="n"/>
      <c r="C5996" s="57" t="n"/>
      <c r="D5996" s="57" t="n"/>
      <c r="E5996" s="56" t="n"/>
      <c r="F5996" s="57" t="n"/>
      <c r="G5996" s="57" t="n"/>
      <c r="H5996" s="56" t="n"/>
      <c r="I5996" s="56" t="n"/>
      <c r="J5996" s="58" t="n"/>
      <c r="K5996" s="58" t="n"/>
      <c r="L5996" s="13">
        <f>IF(OR($A5996="",AND($J5996="",$K5996="")),"",ROUND(N($J5996)-N($K5996),2))</f>
        <v/>
      </c>
      <c r="M5996" s="13">
        <f>IF(OR($A5996="",AND($J5996="",$K5996="")),"",MIN($J5996,$K5996))</f>
        <v/>
      </c>
      <c r="Q5996">
        <f>IF($A5996="","",$D5996&amp;"("&amp;SUBSTITUTE($E5996," ","")&amp;")")</f>
        <v/>
      </c>
      <c r="R5996">
        <f>IF($A5996="","",$B5996&amp;" - "&amp;$C5996)</f>
        <v/>
      </c>
      <c r="S5996">
        <f>IF($A5996="","",$R5996&amp;"|"&amp;$Q5996)</f>
        <v/>
      </c>
      <c r="T5996">
        <f>IF($A5996="","",$S5996&amp;"|"&amp;$F5996)</f>
        <v/>
      </c>
      <c r="U5996">
        <f>IF($A5996="","",$R5996&amp;"("&amp;$E5996&amp;")")</f>
        <v/>
      </c>
      <c r="V5996">
        <f>IF($A5996="","",$F5996&amp;"|"&amp;$U5996&amp;"|"&amp;$D5996)</f>
        <v/>
      </c>
      <c r="W5996">
        <f>IF($T5996="","",IF($X5996&gt;N($X5995),$X5996,""))</f>
        <v/>
      </c>
      <c r="X5996">
        <f>IF($T5996="",N($X5995),IF(MATCH($T5996,$T$6:$T$6005,0)=ROW()-5,N($X5995)+1,N($X5995)))</f>
        <v/>
      </c>
      <c r="Z5996">
        <f>IF($V5996="","",IF($AA5996&gt;N($AA5995),$AA5996,""))</f>
        <v/>
      </c>
      <c r="AA5996">
        <f>IF($V5996="",N($AA5995),IF(MATCH($V5996,$V$6:$V$6005,0)=ROW()-5,N($AA5995)+1,N($AA5995)))</f>
        <v/>
      </c>
    </row>
    <row r="5997" ht="21" customHeight="1" s="66">
      <c r="A5997" s="56" t="n"/>
      <c r="B5997" s="57" t="n"/>
      <c r="C5997" s="57" t="n"/>
      <c r="D5997" s="57" t="n"/>
      <c r="E5997" s="56" t="n"/>
      <c r="F5997" s="57" t="n"/>
      <c r="G5997" s="57" t="n"/>
      <c r="H5997" s="56" t="n"/>
      <c r="I5997" s="56" t="n"/>
      <c r="J5997" s="58" t="n"/>
      <c r="K5997" s="58" t="n"/>
      <c r="L5997" s="13">
        <f>IF(OR($A5997="",AND($J5997="",$K5997="")),"",ROUND(N($J5997)-N($K5997),2))</f>
        <v/>
      </c>
      <c r="M5997" s="13">
        <f>IF(OR($A5997="",AND($J5997="",$K5997="")),"",MIN($J5997,$K5997))</f>
        <v/>
      </c>
      <c r="Q5997">
        <f>IF($A5997="","",$D5997&amp;"("&amp;SUBSTITUTE($E5997," ","")&amp;")")</f>
        <v/>
      </c>
      <c r="R5997">
        <f>IF($A5997="","",$B5997&amp;" - "&amp;$C5997)</f>
        <v/>
      </c>
      <c r="S5997">
        <f>IF($A5997="","",$R5997&amp;"|"&amp;$Q5997)</f>
        <v/>
      </c>
      <c r="T5997">
        <f>IF($A5997="","",$S5997&amp;"|"&amp;$F5997)</f>
        <v/>
      </c>
      <c r="U5997">
        <f>IF($A5997="","",$R5997&amp;"("&amp;$E5997&amp;")")</f>
        <v/>
      </c>
      <c r="V5997">
        <f>IF($A5997="","",$F5997&amp;"|"&amp;$U5997&amp;"|"&amp;$D5997)</f>
        <v/>
      </c>
      <c r="W5997">
        <f>IF($T5997="","",IF($X5997&gt;N($X5996),$X5997,""))</f>
        <v/>
      </c>
      <c r="X5997">
        <f>IF($T5997="",N($X5996),IF(MATCH($T5997,$T$6:$T$6005,0)=ROW()-5,N($X5996)+1,N($X5996)))</f>
        <v/>
      </c>
      <c r="Z5997">
        <f>IF($V5997="","",IF($AA5997&gt;N($AA5996),$AA5997,""))</f>
        <v/>
      </c>
      <c r="AA5997">
        <f>IF($V5997="",N($AA5996),IF(MATCH($V5997,$V$6:$V$6005,0)=ROW()-5,N($AA5996)+1,N($AA5996)))</f>
        <v/>
      </c>
    </row>
    <row r="5998" ht="21" customHeight="1" s="66">
      <c r="A5998" s="56" t="n"/>
      <c r="B5998" s="57" t="n"/>
      <c r="C5998" s="57" t="n"/>
      <c r="D5998" s="57" t="n"/>
      <c r="E5998" s="56" t="n"/>
      <c r="F5998" s="57" t="n"/>
      <c r="G5998" s="57" t="n"/>
      <c r="H5998" s="56" t="n"/>
      <c r="I5998" s="56" t="n"/>
      <c r="J5998" s="58" t="n"/>
      <c r="K5998" s="58" t="n"/>
      <c r="L5998" s="13">
        <f>IF(OR($A5998="",AND($J5998="",$K5998="")),"",ROUND(N($J5998)-N($K5998),2))</f>
        <v/>
      </c>
      <c r="M5998" s="13">
        <f>IF(OR($A5998="",AND($J5998="",$K5998="")),"",MIN($J5998,$K5998))</f>
        <v/>
      </c>
      <c r="Q5998">
        <f>IF($A5998="","",$D5998&amp;"("&amp;SUBSTITUTE($E5998," ","")&amp;")")</f>
        <v/>
      </c>
      <c r="R5998">
        <f>IF($A5998="","",$B5998&amp;" - "&amp;$C5998)</f>
        <v/>
      </c>
      <c r="S5998">
        <f>IF($A5998="","",$R5998&amp;"|"&amp;$Q5998)</f>
        <v/>
      </c>
      <c r="T5998">
        <f>IF($A5998="","",$S5998&amp;"|"&amp;$F5998)</f>
        <v/>
      </c>
      <c r="U5998">
        <f>IF($A5998="","",$R5998&amp;"("&amp;$E5998&amp;")")</f>
        <v/>
      </c>
      <c r="V5998">
        <f>IF($A5998="","",$F5998&amp;"|"&amp;$U5998&amp;"|"&amp;$D5998)</f>
        <v/>
      </c>
      <c r="W5998">
        <f>IF($T5998="","",IF($X5998&gt;N($X5997),$X5998,""))</f>
        <v/>
      </c>
      <c r="X5998">
        <f>IF($T5998="",N($X5997),IF(MATCH($T5998,$T$6:$T$6005,0)=ROW()-5,N($X5997)+1,N($X5997)))</f>
        <v/>
      </c>
      <c r="Z5998">
        <f>IF($V5998="","",IF($AA5998&gt;N($AA5997),$AA5998,""))</f>
        <v/>
      </c>
      <c r="AA5998">
        <f>IF($V5998="",N($AA5997),IF(MATCH($V5998,$V$6:$V$6005,0)=ROW()-5,N($AA5997)+1,N($AA5997)))</f>
        <v/>
      </c>
    </row>
    <row r="5999" ht="21" customHeight="1" s="66">
      <c r="A5999" s="56" t="n"/>
      <c r="B5999" s="57" t="n"/>
      <c r="C5999" s="57" t="n"/>
      <c r="D5999" s="57" t="n"/>
      <c r="E5999" s="56" t="n"/>
      <c r="F5999" s="57" t="n"/>
      <c r="G5999" s="57" t="n"/>
      <c r="H5999" s="56" t="n"/>
      <c r="I5999" s="56" t="n"/>
      <c r="J5999" s="58" t="n"/>
      <c r="K5999" s="58" t="n"/>
      <c r="L5999" s="13">
        <f>IF(OR($A5999="",AND($J5999="",$K5999="")),"",ROUND(N($J5999)-N($K5999),2))</f>
        <v/>
      </c>
      <c r="M5999" s="13">
        <f>IF(OR($A5999="",AND($J5999="",$K5999="")),"",MIN($J5999,$K5999))</f>
        <v/>
      </c>
      <c r="Q5999">
        <f>IF($A5999="","",$D5999&amp;"("&amp;SUBSTITUTE($E5999," ","")&amp;")")</f>
        <v/>
      </c>
      <c r="R5999">
        <f>IF($A5999="","",$B5999&amp;" - "&amp;$C5999)</f>
        <v/>
      </c>
      <c r="S5999">
        <f>IF($A5999="","",$R5999&amp;"|"&amp;$Q5999)</f>
        <v/>
      </c>
      <c r="T5999">
        <f>IF($A5999="","",$S5999&amp;"|"&amp;$F5999)</f>
        <v/>
      </c>
      <c r="U5999">
        <f>IF($A5999="","",$R5999&amp;"("&amp;$E5999&amp;")")</f>
        <v/>
      </c>
      <c r="V5999">
        <f>IF($A5999="","",$F5999&amp;"|"&amp;$U5999&amp;"|"&amp;$D5999)</f>
        <v/>
      </c>
      <c r="W5999">
        <f>IF($T5999="","",IF($X5999&gt;N($X5998),$X5999,""))</f>
        <v/>
      </c>
      <c r="X5999">
        <f>IF($T5999="",N($X5998),IF(MATCH($T5999,$T$6:$T$6005,0)=ROW()-5,N($X5998)+1,N($X5998)))</f>
        <v/>
      </c>
      <c r="Z5999">
        <f>IF($V5999="","",IF($AA5999&gt;N($AA5998),$AA5999,""))</f>
        <v/>
      </c>
      <c r="AA5999">
        <f>IF($V5999="",N($AA5998),IF(MATCH($V5999,$V$6:$V$6005,0)=ROW()-5,N($AA5998)+1,N($AA5998)))</f>
        <v/>
      </c>
    </row>
    <row r="6000" ht="21" customHeight="1" s="66">
      <c r="A6000" s="56" t="n"/>
      <c r="B6000" s="57" t="n"/>
      <c r="C6000" s="57" t="n"/>
      <c r="D6000" s="57" t="n"/>
      <c r="E6000" s="56" t="n"/>
      <c r="F6000" s="57" t="n"/>
      <c r="G6000" s="57" t="n"/>
      <c r="H6000" s="56" t="n"/>
      <c r="I6000" s="56" t="n"/>
      <c r="J6000" s="58" t="n"/>
      <c r="K6000" s="58" t="n"/>
      <c r="L6000" s="13">
        <f>IF(OR($A6000="",AND($J6000="",$K6000="")),"",ROUND(N($J6000)-N($K6000),2))</f>
        <v/>
      </c>
      <c r="M6000" s="13">
        <f>IF(OR($A6000="",AND($J6000="",$K6000="")),"",MIN($J6000,$K6000))</f>
        <v/>
      </c>
      <c r="Q6000">
        <f>IF($A6000="","",$D6000&amp;"("&amp;SUBSTITUTE($E6000," ","")&amp;")")</f>
        <v/>
      </c>
      <c r="R6000">
        <f>IF($A6000="","",$B6000&amp;" - "&amp;$C6000)</f>
        <v/>
      </c>
      <c r="S6000">
        <f>IF($A6000="","",$R6000&amp;"|"&amp;$Q6000)</f>
        <v/>
      </c>
      <c r="T6000">
        <f>IF($A6000="","",$S6000&amp;"|"&amp;$F6000)</f>
        <v/>
      </c>
      <c r="U6000">
        <f>IF($A6000="","",$R6000&amp;"("&amp;$E6000&amp;")")</f>
        <v/>
      </c>
      <c r="V6000">
        <f>IF($A6000="","",$F6000&amp;"|"&amp;$U6000&amp;"|"&amp;$D6000)</f>
        <v/>
      </c>
      <c r="W6000">
        <f>IF($T6000="","",IF($X6000&gt;N($X5999),$X6000,""))</f>
        <v/>
      </c>
      <c r="X6000">
        <f>IF($T6000="",N($X5999),IF(MATCH($T6000,$T$6:$T$6005,0)=ROW()-5,N($X5999)+1,N($X5999)))</f>
        <v/>
      </c>
      <c r="Z6000">
        <f>IF($V6000="","",IF($AA6000&gt;N($AA5999),$AA6000,""))</f>
        <v/>
      </c>
      <c r="AA6000">
        <f>IF($V6000="",N($AA5999),IF(MATCH($V6000,$V$6:$V$6005,0)=ROW()-5,N($AA5999)+1,N($AA5999)))</f>
        <v/>
      </c>
    </row>
    <row r="6001" ht="21" customHeight="1" s="66">
      <c r="A6001" s="56" t="n"/>
      <c r="B6001" s="57" t="n"/>
      <c r="C6001" s="57" t="n"/>
      <c r="D6001" s="57" t="n"/>
      <c r="E6001" s="56" t="n"/>
      <c r="F6001" s="57" t="n"/>
      <c r="G6001" s="57" t="n"/>
      <c r="H6001" s="56" t="n"/>
      <c r="I6001" s="56" t="n"/>
      <c r="J6001" s="58" t="n"/>
      <c r="K6001" s="58" t="n"/>
      <c r="L6001" s="13">
        <f>IF(OR($A6001="",AND($J6001="",$K6001="")),"",ROUND(N($J6001)-N($K6001),2))</f>
        <v/>
      </c>
      <c r="M6001" s="13">
        <f>IF(OR($A6001="",AND($J6001="",$K6001="")),"",MIN($J6001,$K6001))</f>
        <v/>
      </c>
      <c r="Q6001">
        <f>IF($A6001="","",$D6001&amp;"("&amp;SUBSTITUTE($E6001," ","")&amp;")")</f>
        <v/>
      </c>
      <c r="R6001">
        <f>IF($A6001="","",$B6001&amp;" - "&amp;$C6001)</f>
        <v/>
      </c>
      <c r="S6001">
        <f>IF($A6001="","",$R6001&amp;"|"&amp;$Q6001)</f>
        <v/>
      </c>
      <c r="T6001">
        <f>IF($A6001="","",$S6001&amp;"|"&amp;$F6001)</f>
        <v/>
      </c>
      <c r="U6001">
        <f>IF($A6001="","",$R6001&amp;"("&amp;$E6001&amp;")")</f>
        <v/>
      </c>
      <c r="V6001">
        <f>IF($A6001="","",$F6001&amp;"|"&amp;$U6001&amp;"|"&amp;$D6001)</f>
        <v/>
      </c>
      <c r="W6001">
        <f>IF($T6001="","",IF($X6001&gt;N($X6000),$X6001,""))</f>
        <v/>
      </c>
      <c r="X6001">
        <f>IF($T6001="",N($X6000),IF(MATCH($T6001,$T$6:$T$6005,0)=ROW()-5,N($X6000)+1,N($X6000)))</f>
        <v/>
      </c>
      <c r="Z6001">
        <f>IF($V6001="","",IF($AA6001&gt;N($AA6000),$AA6001,""))</f>
        <v/>
      </c>
      <c r="AA6001">
        <f>IF($V6001="",N($AA6000),IF(MATCH($V6001,$V$6:$V$6005,0)=ROW()-5,N($AA6000)+1,N($AA6000)))</f>
        <v/>
      </c>
    </row>
    <row r="6002" ht="21" customHeight="1" s="66">
      <c r="A6002" s="56" t="n"/>
      <c r="B6002" s="57" t="n"/>
      <c r="C6002" s="57" t="n"/>
      <c r="D6002" s="57" t="n"/>
      <c r="E6002" s="56" t="n"/>
      <c r="F6002" s="57" t="n"/>
      <c r="G6002" s="57" t="n"/>
      <c r="H6002" s="56" t="n"/>
      <c r="I6002" s="56" t="n"/>
      <c r="J6002" s="58" t="n"/>
      <c r="K6002" s="58" t="n"/>
      <c r="L6002" s="13">
        <f>IF(OR($A6002="",AND($J6002="",$K6002="")),"",ROUND(N($J6002)-N($K6002),2))</f>
        <v/>
      </c>
      <c r="M6002" s="13">
        <f>IF(OR($A6002="",AND($J6002="",$K6002="")),"",MIN($J6002,$K6002))</f>
        <v/>
      </c>
      <c r="Q6002">
        <f>IF($A6002="","",$D6002&amp;"("&amp;SUBSTITUTE($E6002," ","")&amp;")")</f>
        <v/>
      </c>
      <c r="R6002">
        <f>IF($A6002="","",$B6002&amp;" - "&amp;$C6002)</f>
        <v/>
      </c>
      <c r="S6002">
        <f>IF($A6002="","",$R6002&amp;"|"&amp;$Q6002)</f>
        <v/>
      </c>
      <c r="T6002">
        <f>IF($A6002="","",$S6002&amp;"|"&amp;$F6002)</f>
        <v/>
      </c>
      <c r="U6002">
        <f>IF($A6002="","",$R6002&amp;"("&amp;$E6002&amp;")")</f>
        <v/>
      </c>
      <c r="V6002">
        <f>IF($A6002="","",$F6002&amp;"|"&amp;$U6002&amp;"|"&amp;$D6002)</f>
        <v/>
      </c>
      <c r="W6002">
        <f>IF($T6002="","",IF($X6002&gt;N($X6001),$X6002,""))</f>
        <v/>
      </c>
      <c r="X6002">
        <f>IF($T6002="",N($X6001),IF(MATCH($T6002,$T$6:$T$6005,0)=ROW()-5,N($X6001)+1,N($X6001)))</f>
        <v/>
      </c>
      <c r="Z6002">
        <f>IF($V6002="","",IF($AA6002&gt;N($AA6001),$AA6002,""))</f>
        <v/>
      </c>
      <c r="AA6002">
        <f>IF($V6002="",N($AA6001),IF(MATCH($V6002,$V$6:$V$6005,0)=ROW()-5,N($AA6001)+1,N($AA6001)))</f>
        <v/>
      </c>
    </row>
    <row r="6003" ht="21" customHeight="1" s="66">
      <c r="A6003" s="56" t="n"/>
      <c r="B6003" s="57" t="n"/>
      <c r="C6003" s="57" t="n"/>
      <c r="D6003" s="57" t="n"/>
      <c r="E6003" s="56" t="n"/>
      <c r="F6003" s="57" t="n"/>
      <c r="G6003" s="57" t="n"/>
      <c r="H6003" s="56" t="n"/>
      <c r="I6003" s="56" t="n"/>
      <c r="J6003" s="58" t="n"/>
      <c r="K6003" s="58" t="n"/>
      <c r="L6003" s="13">
        <f>IF(OR($A6003="",AND($J6003="",$K6003="")),"",ROUND(N($J6003)-N($K6003),2))</f>
        <v/>
      </c>
      <c r="M6003" s="13">
        <f>IF(OR($A6003="",AND($J6003="",$K6003="")),"",MIN($J6003,$K6003))</f>
        <v/>
      </c>
      <c r="Q6003">
        <f>IF($A6003="","",$D6003&amp;"("&amp;SUBSTITUTE($E6003," ","")&amp;")")</f>
        <v/>
      </c>
      <c r="R6003">
        <f>IF($A6003="","",$B6003&amp;" - "&amp;$C6003)</f>
        <v/>
      </c>
      <c r="S6003">
        <f>IF($A6003="","",$R6003&amp;"|"&amp;$Q6003)</f>
        <v/>
      </c>
      <c r="T6003">
        <f>IF($A6003="","",$S6003&amp;"|"&amp;$F6003)</f>
        <v/>
      </c>
      <c r="U6003">
        <f>IF($A6003="","",$R6003&amp;"("&amp;$E6003&amp;")")</f>
        <v/>
      </c>
      <c r="V6003">
        <f>IF($A6003="","",$F6003&amp;"|"&amp;$U6003&amp;"|"&amp;$D6003)</f>
        <v/>
      </c>
      <c r="W6003">
        <f>IF($T6003="","",IF($X6003&gt;N($X6002),$X6003,""))</f>
        <v/>
      </c>
      <c r="X6003">
        <f>IF($T6003="",N($X6002),IF(MATCH($T6003,$T$6:$T$6005,0)=ROW()-5,N($X6002)+1,N($X6002)))</f>
        <v/>
      </c>
      <c r="Z6003">
        <f>IF($V6003="","",IF($AA6003&gt;N($AA6002),$AA6003,""))</f>
        <v/>
      </c>
      <c r="AA6003">
        <f>IF($V6003="",N($AA6002),IF(MATCH($V6003,$V$6:$V$6005,0)=ROW()-5,N($AA6002)+1,N($AA6002)))</f>
        <v/>
      </c>
    </row>
    <row r="6004" ht="21" customHeight="1" s="66">
      <c r="A6004" s="56" t="n"/>
      <c r="B6004" s="57" t="n"/>
      <c r="C6004" s="57" t="n"/>
      <c r="D6004" s="57" t="n"/>
      <c r="E6004" s="56" t="n"/>
      <c r="F6004" s="57" t="n"/>
      <c r="G6004" s="57" t="n"/>
      <c r="H6004" s="56" t="n"/>
      <c r="I6004" s="56" t="n"/>
      <c r="J6004" s="58" t="n"/>
      <c r="K6004" s="58" t="n"/>
      <c r="L6004" s="13">
        <f>IF(OR($A6004="",AND($J6004="",$K6004="")),"",ROUND(N($J6004)-N($K6004),2))</f>
        <v/>
      </c>
      <c r="M6004" s="13">
        <f>IF(OR($A6004="",AND($J6004="",$K6004="")),"",MIN($J6004,$K6004))</f>
        <v/>
      </c>
      <c r="Q6004">
        <f>IF($A6004="","",$D6004&amp;"("&amp;SUBSTITUTE($E6004," ","")&amp;")")</f>
        <v/>
      </c>
      <c r="R6004">
        <f>IF($A6004="","",$B6004&amp;" - "&amp;$C6004)</f>
        <v/>
      </c>
      <c r="S6004">
        <f>IF($A6004="","",$R6004&amp;"|"&amp;$Q6004)</f>
        <v/>
      </c>
      <c r="T6004">
        <f>IF($A6004="","",$S6004&amp;"|"&amp;$F6004)</f>
        <v/>
      </c>
      <c r="U6004">
        <f>IF($A6004="","",$R6004&amp;"("&amp;$E6004&amp;")")</f>
        <v/>
      </c>
      <c r="V6004">
        <f>IF($A6004="","",$F6004&amp;"|"&amp;$U6004&amp;"|"&amp;$D6004)</f>
        <v/>
      </c>
      <c r="W6004">
        <f>IF($T6004="","",IF($X6004&gt;N($X6003),$X6004,""))</f>
        <v/>
      </c>
      <c r="X6004">
        <f>IF($T6004="",N($X6003),IF(MATCH($T6004,$T$6:$T$6005,0)=ROW()-5,N($X6003)+1,N($X6003)))</f>
        <v/>
      </c>
      <c r="Z6004">
        <f>IF($V6004="","",IF($AA6004&gt;N($AA6003),$AA6004,""))</f>
        <v/>
      </c>
      <c r="AA6004">
        <f>IF($V6004="",N($AA6003),IF(MATCH($V6004,$V$6:$V$6005,0)=ROW()-5,N($AA6003)+1,N($AA6003)))</f>
        <v/>
      </c>
    </row>
    <row r="6005" ht="21" customHeight="1" s="66">
      <c r="A6005" s="56" t="n"/>
      <c r="B6005" s="57" t="n"/>
      <c r="C6005" s="57" t="n"/>
      <c r="D6005" s="57" t="n"/>
      <c r="E6005" s="56" t="n"/>
      <c r="F6005" s="57" t="n"/>
      <c r="G6005" s="57" t="n"/>
      <c r="H6005" s="56" t="n"/>
      <c r="I6005" s="56" t="n"/>
      <c r="J6005" s="58" t="n"/>
      <c r="K6005" s="58" t="n"/>
      <c r="L6005" s="13">
        <f>IF(OR($A6005="",AND($J6005="",$K6005="")),"",ROUND(N($J6005)-N($K6005),2))</f>
        <v/>
      </c>
      <c r="M6005" s="13">
        <f>IF(OR($A6005="",AND($J6005="",$K6005="")),"",MIN($J6005,$K6005))</f>
        <v/>
      </c>
      <c r="Q6005">
        <f>IF($A6005="","",$D6005&amp;"("&amp;SUBSTITUTE($E6005," ","")&amp;")")</f>
        <v/>
      </c>
      <c r="R6005">
        <f>IF($A6005="","",$B6005&amp;" - "&amp;$C6005)</f>
        <v/>
      </c>
      <c r="S6005">
        <f>IF($A6005="","",$R6005&amp;"|"&amp;$Q6005)</f>
        <v/>
      </c>
      <c r="T6005">
        <f>IF($A6005="","",$S6005&amp;"|"&amp;$F6005)</f>
        <v/>
      </c>
      <c r="U6005">
        <f>IF($A6005="","",$R6005&amp;"("&amp;$E6005&amp;")")</f>
        <v/>
      </c>
      <c r="V6005">
        <f>IF($A6005="","",$F6005&amp;"|"&amp;$U6005&amp;"|"&amp;$D6005)</f>
        <v/>
      </c>
      <c r="W6005">
        <f>IF($T6005="","",IF($X6005&gt;N($X6004),$X6005,""))</f>
        <v/>
      </c>
      <c r="X6005">
        <f>IF($T6005="",N($X6004),IF(MATCH($T6005,$T$6:$T$6005,0)=ROW()-5,N($X6004)+1,N($X6004)))</f>
        <v/>
      </c>
      <c r="Z6005">
        <f>IF($V6005="","",IF($AA6005&gt;N($AA6004),$AA6005,""))</f>
        <v/>
      </c>
      <c r="AA6005">
        <f>IF($V6005="",N($AA6004),IF(MATCH($V6005,$V$6:$V$6005,0)=ROW()-5,N($AA6004)+1,N($AA6004)))</f>
        <v/>
      </c>
    </row>
  </sheetData>
  <autoFilter ref="A5:M6005"/>
  <pageMargins left="0.75" right="0.75" top="1" bottom="1" header="0.5" footer="0.5"/>
  <pageSetup orientation="landscape" paperSize="9" fitToHeight="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รายการมาตรฐาน!$B$2:$B$302</xm:f>
          </x14:formula1>
          <xm:sqref>B6:B6005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รายการมาตรฐาน!$C$2:$C$302</xm:f>
          </x14:formula1>
          <xm:sqref>C6:C6005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รายการมาตรฐาน!$D$2:$D$302</xm:f>
          </x14:formula1>
          <xm:sqref>D6:D6005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รายการมาตรฐาน!$E$2:$E$302</xm:f>
          </x14:formula1>
          <xm:sqref>E6:E6005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รายการมาตรฐาน!$F$2:$F$302</xm:f>
          </x14:formula1>
          <xm:sqref>F6:F6005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รายการมาตรฐาน!$A$2:$A$302</xm:f>
          </x14:formula1>
          <xm:sqref>F3 G6:G6005</xm:sqref>
        </x14:dataValidation>
      </x14:dataValidations>
    </ext>
  </extLst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AI6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25"/>
  <cols>
    <col width="9" customWidth="1" style="66" min="1" max="1"/>
    <col width="34" customWidth="1" style="66" min="2" max="2"/>
    <col width="12" customWidth="1" style="66" min="3" max="3"/>
    <col width="11" customWidth="1" style="66" min="4" max="4"/>
    <col width="15" customWidth="1" style="66" min="5" max="5"/>
    <col width="12" customWidth="1" style="66" min="6" max="6"/>
    <col width="11" customWidth="1" style="66" min="7" max="7"/>
    <col width="15" customWidth="1" style="66" min="8" max="8"/>
    <col width="12" customWidth="1" style="66" min="9" max="9"/>
    <col width="11" customWidth="1" style="66" min="10" max="10"/>
    <col width="15" customWidth="1" style="66" min="11" max="11"/>
    <col width="12" customWidth="1" style="66" min="12" max="12"/>
    <col width="11" customWidth="1" style="66" min="13" max="13"/>
    <col width="15" customWidth="1" style="66" min="14" max="14"/>
    <col width="12" customWidth="1" style="66" min="15" max="15"/>
    <col width="11" customWidth="1" style="66" min="16" max="16"/>
    <col width="15" customWidth="1" style="66" min="17" max="17"/>
    <col width="12" customWidth="1" style="66" min="18" max="18"/>
    <col width="11" customWidth="1" style="66" min="19" max="19"/>
    <col width="15" customWidth="1" style="66" min="20" max="20"/>
    <col width="12" customWidth="1" style="66" min="21" max="21"/>
    <col width="11" customWidth="1" style="66" min="22" max="22"/>
    <col width="15" customWidth="1" style="66" min="23" max="23"/>
    <col width="12" customWidth="1" style="66" min="24" max="24"/>
    <col width="11" customWidth="1" style="66" min="25" max="25"/>
    <col width="15" customWidth="1" style="66" min="26" max="30"/>
    <col width="17" customWidth="1" style="66" min="31" max="31"/>
    <col hidden="1" width="13" customWidth="1" style="66" min="32" max="32"/>
    <col width="40" customWidth="1" style="66" min="34" max="34"/>
    <col width="22" customWidth="1" style="66" min="35" max="35"/>
  </cols>
  <sheetData>
    <row r="1" ht="25.9" customHeight="1" s="66">
      <c r="A1" s="1">
        <f>"ค่าใช้จ่ายของทีมรถร่วม ประจำเดือน  "&amp;บันทึกรายเที่ยว!$B$3</f>
        <v/>
      </c>
      <c r="AH1" s="18" t="inlineStr">
        <is>
          <t>▍ ช่องตรวจสอบ (ไม่ติดไปเวลาพิมพ์)</t>
        </is>
      </c>
    </row>
    <row r="2" ht="34.05" customHeight="1" s="66">
      <c r="A2" s="60" t="inlineStr">
        <is>
          <t>ลำดับที่</t>
        </is>
      </c>
      <c r="B2" s="60" t="inlineStr">
        <is>
          <t>อ้างถึงหนังสือที่</t>
        </is>
      </c>
      <c r="C2" s="62" t="inlineStr">
        <is>
          <t>(หนังสือที่ 1)</t>
        </is>
      </c>
      <c r="D2" s="63" t="n"/>
      <c r="E2" s="64" t="n"/>
      <c r="F2" s="62" t="inlineStr">
        <is>
          <t>(หนังสือที่ 2)</t>
        </is>
      </c>
      <c r="G2" s="63" t="n"/>
      <c r="H2" s="64" t="n"/>
      <c r="I2" s="62" t="inlineStr">
        <is>
          <t>(หนังสือที่ 3)</t>
        </is>
      </c>
      <c r="J2" s="63" t="n"/>
      <c r="K2" s="64" t="n"/>
      <c r="L2" s="62" t="inlineStr">
        <is>
          <t>(หนังสือที่ 4)</t>
        </is>
      </c>
      <c r="M2" s="63" t="n"/>
      <c r="N2" s="64" t="n"/>
      <c r="O2" s="62" t="inlineStr">
        <is>
          <t>(หนังสือที่ 5)</t>
        </is>
      </c>
      <c r="P2" s="63" t="n"/>
      <c r="Q2" s="64" t="n"/>
      <c r="R2" s="62" t="inlineStr">
        <is>
          <t>(หนังสือที่ 6)</t>
        </is>
      </c>
      <c r="S2" s="63" t="n"/>
      <c r="T2" s="64" t="n"/>
      <c r="U2" s="62" t="inlineStr">
        <is>
          <t>(หนังสือที่ 7)</t>
        </is>
      </c>
      <c r="V2" s="63" t="n"/>
      <c r="W2" s="64" t="n"/>
      <c r="X2" s="62" t="inlineStr">
        <is>
          <t>(หนังสือที่ 8)</t>
        </is>
      </c>
      <c r="Y2" s="63" t="n"/>
      <c r="Z2" s="64" t="n"/>
      <c r="AA2" s="60" t="inlineStr">
        <is>
          <t>หักอื่น</t>
        </is>
      </c>
      <c r="AB2" s="60" t="inlineStr">
        <is>
          <t>หักอื่น</t>
        </is>
      </c>
      <c r="AC2" s="60" t="inlineStr">
        <is>
          <t>หักอื่น</t>
        </is>
      </c>
      <c r="AD2" s="60" t="inlineStr">
        <is>
          <t>หักอื่น</t>
        </is>
      </c>
      <c r="AE2" s="60" t="inlineStr">
        <is>
          <t>รวมทั้งสิ้น</t>
        </is>
      </c>
      <c r="AH2" s="68" t="inlineStr">
        <is>
          <t>จำนวนทีมที่กรอก</t>
        </is>
      </c>
      <c r="AI2" s="9">
        <f>COUNTA($B$4:$B$63)</f>
        <v/>
      </c>
    </row>
    <row r="3" ht="30" customHeight="1" s="66">
      <c r="A3" s="61" t="n"/>
      <c r="B3" s="60" t="inlineStr">
        <is>
          <t>รถร่วม</t>
        </is>
      </c>
      <c r="C3" s="60" t="inlineStr">
        <is>
          <t>จำนวน (ลิตร)</t>
        </is>
      </c>
      <c r="D3" s="60" t="inlineStr">
        <is>
          <t>ราคา/ลิตร</t>
        </is>
      </c>
      <c r="E3" s="60" t="inlineStr">
        <is>
          <t>จำนวนเงิน</t>
        </is>
      </c>
      <c r="F3" s="60" t="inlineStr">
        <is>
          <t>จำนวน (ลิตร)</t>
        </is>
      </c>
      <c r="G3" s="60" t="inlineStr">
        <is>
          <t>ราคา/ลิตร</t>
        </is>
      </c>
      <c r="H3" s="60" t="inlineStr">
        <is>
          <t>จำนวนเงิน</t>
        </is>
      </c>
      <c r="I3" s="60" t="inlineStr">
        <is>
          <t>จำนวน (ลิตร)</t>
        </is>
      </c>
      <c r="J3" s="60" t="inlineStr">
        <is>
          <t>ราคา/ลิตร</t>
        </is>
      </c>
      <c r="K3" s="60" t="inlineStr">
        <is>
          <t>จำนวนเงิน</t>
        </is>
      </c>
      <c r="L3" s="60" t="inlineStr">
        <is>
          <t>จำนวน (ลิตร)</t>
        </is>
      </c>
      <c r="M3" s="60" t="inlineStr">
        <is>
          <t>ราคา/ลิตร</t>
        </is>
      </c>
      <c r="N3" s="60" t="inlineStr">
        <is>
          <t>จำนวนเงิน</t>
        </is>
      </c>
      <c r="O3" s="60" t="inlineStr">
        <is>
          <t>จำนวน (ลิตร)</t>
        </is>
      </c>
      <c r="P3" s="60" t="inlineStr">
        <is>
          <t>ราคา/ลิตร</t>
        </is>
      </c>
      <c r="Q3" s="60" t="inlineStr">
        <is>
          <t>จำนวนเงิน</t>
        </is>
      </c>
      <c r="R3" s="60" t="inlineStr">
        <is>
          <t>จำนวน (ลิตร)</t>
        </is>
      </c>
      <c r="S3" s="60" t="inlineStr">
        <is>
          <t>ราคา/ลิตร</t>
        </is>
      </c>
      <c r="T3" s="60" t="inlineStr">
        <is>
          <t>จำนวนเงิน</t>
        </is>
      </c>
      <c r="U3" s="60" t="inlineStr">
        <is>
          <t>จำนวน (ลิตร)</t>
        </is>
      </c>
      <c r="V3" s="60" t="inlineStr">
        <is>
          <t>ราคา/ลิตร</t>
        </is>
      </c>
      <c r="W3" s="60" t="inlineStr">
        <is>
          <t>จำนวนเงิน</t>
        </is>
      </c>
      <c r="X3" s="60" t="inlineStr">
        <is>
          <t>จำนวน (ลิตร)</t>
        </is>
      </c>
      <c r="Y3" s="60" t="inlineStr">
        <is>
          <t>ราคา/ลิตร</t>
        </is>
      </c>
      <c r="Z3" s="60" t="inlineStr">
        <is>
          <t>จำนวนเงิน</t>
        </is>
      </c>
      <c r="AA3" s="62" t="inlineStr">
        <is>
          <t>(รายการที่ 1)</t>
        </is>
      </c>
      <c r="AB3" s="62" t="inlineStr">
        <is>
          <t>(รายการที่ 2)</t>
        </is>
      </c>
      <c r="AC3" s="62" t="inlineStr">
        <is>
          <t>(รายการที่ 3)</t>
        </is>
      </c>
      <c r="AD3" s="62" t="inlineStr">
        <is>
          <t>(รายการที่ 4)</t>
        </is>
      </c>
      <c r="AE3" s="61" t="n"/>
      <c r="AH3" s="68" t="inlineStr">
        <is>
          <t>รวมค่าหักทั้งสิ้น</t>
        </is>
      </c>
      <c r="AI3" s="14">
        <f>ROUND(SUM($AE$4:$AE$63),2)</f>
        <v/>
      </c>
    </row>
    <row r="4" ht="21" customHeight="1" s="66">
      <c r="A4" s="15">
        <f>IF($B4="","",COUNTA($B$4:$B4))</f>
        <v/>
      </c>
      <c r="B4" s="20" t="n"/>
      <c r="C4" s="12" t="n"/>
      <c r="D4" s="21" t="n"/>
      <c r="E4" s="12" t="n"/>
      <c r="F4" s="12" t="n"/>
      <c r="G4" s="21" t="n"/>
      <c r="H4" s="12" t="n"/>
      <c r="I4" s="12" t="n"/>
      <c r="J4" s="21" t="n"/>
      <c r="K4" s="12" t="n"/>
      <c r="L4" s="12" t="n"/>
      <c r="M4" s="21" t="n"/>
      <c r="N4" s="12" t="n"/>
      <c r="O4" s="12" t="n"/>
      <c r="P4" s="21" t="n"/>
      <c r="Q4" s="12" t="n"/>
      <c r="R4" s="12" t="n"/>
      <c r="S4" s="21" t="n"/>
      <c r="T4" s="12" t="n"/>
      <c r="U4" s="12" t="n"/>
      <c r="V4" s="21" t="n"/>
      <c r="W4" s="12" t="n"/>
      <c r="X4" s="12" t="n"/>
      <c r="Y4" s="21" t="n"/>
      <c r="Z4" s="12" t="n"/>
      <c r="AA4" s="12" t="n"/>
      <c r="AB4" s="12" t="n"/>
      <c r="AC4" s="12" t="n"/>
      <c r="AD4" s="12" t="n"/>
      <c r="AE4" s="22">
        <f>IF($B4="","",ROUND(N($E4)+N($H4)+N($K4)+N($N4)+N($Q4)+N($T4)+N($W4)+N($Z4)+N($AA4)+N($AB4)+N($AC4)+N($AD4),2))</f>
        <v/>
      </c>
      <c r="AF4">
        <f>IF($B4="",0,IF(AND($C4&lt;&gt;"",$D4&lt;&gt;"",$E4&lt;&gt;"",ABS($C4*$D4-$E4)&gt;1),1,0)+IF(AND($F4&lt;&gt;"",$G4&lt;&gt;"",$H4&lt;&gt;"",ABS($F4*$G4-$H4)&gt;1),1,0)+IF(AND($I4&lt;&gt;"",$J4&lt;&gt;"",$K4&lt;&gt;"",ABS($I4*$J4-$K4)&gt;1),1,0)+IF(AND($L4&lt;&gt;"",$M4&lt;&gt;"",$N4&lt;&gt;"",ABS($L4*$M4-$N4)&gt;1),1,0)+IF(AND($O4&lt;&gt;"",$P4&lt;&gt;"",$Q4&lt;&gt;"",ABS($O4*$P4-$Q4)&gt;1),1,0)+IF(AND($R4&lt;&gt;"",$S4&lt;&gt;"",$T4&lt;&gt;"",ABS($R4*$S4-$T4)&gt;1),1,0)+IF(AND($U4&lt;&gt;"",$V4&lt;&gt;"",$W4&lt;&gt;"",ABS($U4*$V4-$W4)&gt;1),1,0)+IF(AND($X4&lt;&gt;"",$Y4&lt;&gt;"",$Z4&lt;&gt;"",ABS($X4*$Y4-$Z4)&gt;1),1,0))</f>
        <v/>
      </c>
      <c r="AH4" s="68" t="inlineStr">
        <is>
          <t>*** ทีมที่ไม่มีในสรุปจ่ายรถร่วม ***</t>
        </is>
      </c>
      <c r="AI4" s="9">
        <f>SUMPRODUCT(--($B$4:$B$63&lt;&gt;""),--(COUNTIF(สรุปจ่ายรถร่วม!$AF$5:$AF$704,$B$4:$B$63)=0))</f>
        <v/>
      </c>
    </row>
    <row r="5" ht="21" customHeight="1" s="66">
      <c r="A5" s="15">
        <f>IF($B5="","",COUNTA($B$4:$B5))</f>
        <v/>
      </c>
      <c r="B5" s="20" t="n"/>
      <c r="C5" s="12" t="n"/>
      <c r="D5" s="21" t="n"/>
      <c r="E5" s="12" t="n"/>
      <c r="F5" s="12" t="n"/>
      <c r="G5" s="21" t="n"/>
      <c r="H5" s="12" t="n"/>
      <c r="I5" s="12" t="n"/>
      <c r="J5" s="21" t="n"/>
      <c r="K5" s="12" t="n"/>
      <c r="L5" s="12" t="n"/>
      <c r="M5" s="21" t="n"/>
      <c r="N5" s="12" t="n"/>
      <c r="O5" s="12" t="n"/>
      <c r="P5" s="21" t="n"/>
      <c r="Q5" s="12" t="n"/>
      <c r="R5" s="12" t="n"/>
      <c r="S5" s="21" t="n"/>
      <c r="T5" s="12" t="n"/>
      <c r="U5" s="12" t="n"/>
      <c r="V5" s="21" t="n"/>
      <c r="W5" s="12" t="n"/>
      <c r="X5" s="12" t="n"/>
      <c r="Y5" s="21" t="n"/>
      <c r="Z5" s="12" t="n"/>
      <c r="AA5" s="12" t="n"/>
      <c r="AB5" s="12" t="n"/>
      <c r="AC5" s="12" t="n"/>
      <c r="AD5" s="12" t="n"/>
      <c r="AE5" s="22">
        <f>IF($B5="","",ROUND(N($E5)+N($H5)+N($K5)+N($N5)+N($Q5)+N($T5)+N($W5)+N($Z5)+N($AA5)+N($AB5)+N($AC5)+N($AD5),2))</f>
        <v/>
      </c>
      <c r="AF5">
        <f>IF($B5="",0,IF(AND($C5&lt;&gt;"",$D5&lt;&gt;"",$E5&lt;&gt;"",ABS($C5*$D5-$E5)&gt;1),1,0)+IF(AND($F5&lt;&gt;"",$G5&lt;&gt;"",$H5&lt;&gt;"",ABS($F5*$G5-$H5)&gt;1),1,0)+IF(AND($I5&lt;&gt;"",$J5&lt;&gt;"",$K5&lt;&gt;"",ABS($I5*$J5-$K5)&gt;1),1,0)+IF(AND($L5&lt;&gt;"",$M5&lt;&gt;"",$N5&lt;&gt;"",ABS($L5*$M5-$N5)&gt;1),1,0)+IF(AND($O5&lt;&gt;"",$P5&lt;&gt;"",$Q5&lt;&gt;"",ABS($O5*$P5-$Q5)&gt;1),1,0)+IF(AND($R5&lt;&gt;"",$S5&lt;&gt;"",$T5&lt;&gt;"",ABS($R5*$S5-$T5)&gt;1),1,0)+IF(AND($U5&lt;&gt;"",$V5&lt;&gt;"",$W5&lt;&gt;"",ABS($U5*$V5-$W5)&gt;1),1,0)+IF(AND($X5&lt;&gt;"",$Y5&lt;&gt;"",$Z5&lt;&gt;"",ABS($X5*$Y5-$Z5)&gt;1),1,0))</f>
        <v/>
      </c>
      <c r="AH5" s="68" t="inlineStr">
        <is>
          <t>*** แถวที่ ลิตร x ราคา ไม่ตรงกับจำนวนเงิน ***</t>
        </is>
      </c>
      <c r="AI5" s="9">
        <f>SUM($AF$4:$AF$63)</f>
        <v/>
      </c>
    </row>
    <row r="6" ht="21" customHeight="1" s="66">
      <c r="A6" s="15">
        <f>IF($B6="","",COUNTA($B$4:$B6))</f>
        <v/>
      </c>
      <c r="B6" s="20" t="n"/>
      <c r="C6" s="12" t="n"/>
      <c r="D6" s="21" t="n"/>
      <c r="E6" s="12" t="n"/>
      <c r="F6" s="12" t="n"/>
      <c r="G6" s="21" t="n"/>
      <c r="H6" s="12" t="n"/>
      <c r="I6" s="12" t="n"/>
      <c r="J6" s="21" t="n"/>
      <c r="K6" s="12" t="n"/>
      <c r="L6" s="12" t="n"/>
      <c r="M6" s="21" t="n"/>
      <c r="N6" s="12" t="n"/>
      <c r="O6" s="12" t="n"/>
      <c r="P6" s="21" t="n"/>
      <c r="Q6" s="12" t="n"/>
      <c r="R6" s="12" t="n"/>
      <c r="S6" s="21" t="n"/>
      <c r="T6" s="12" t="n"/>
      <c r="U6" s="12" t="n"/>
      <c r="V6" s="21" t="n"/>
      <c r="W6" s="12" t="n"/>
      <c r="X6" s="12" t="n"/>
      <c r="Y6" s="21" t="n"/>
      <c r="Z6" s="12" t="n"/>
      <c r="AA6" s="12" t="n"/>
      <c r="AB6" s="12" t="n"/>
      <c r="AC6" s="12" t="n"/>
      <c r="AD6" s="12" t="n"/>
      <c r="AE6" s="22">
        <f>IF($B6="","",ROUND(N($E6)+N($H6)+N($K6)+N($N6)+N($Q6)+N($T6)+N($W6)+N($Z6)+N($AA6)+N($AB6)+N($AC6)+N($AD6),2))</f>
        <v/>
      </c>
      <c r="AF6">
        <f>IF($B6="",0,IF(AND($C6&lt;&gt;"",$D6&lt;&gt;"",$E6&lt;&gt;"",ABS($C6*$D6-$E6)&gt;1),1,0)+IF(AND($F6&lt;&gt;"",$G6&lt;&gt;"",$H6&lt;&gt;"",ABS($F6*$G6-$H6)&gt;1),1,0)+IF(AND($I6&lt;&gt;"",$J6&lt;&gt;"",$K6&lt;&gt;"",ABS($I6*$J6-$K6)&gt;1),1,0)+IF(AND($L6&lt;&gt;"",$M6&lt;&gt;"",$N6&lt;&gt;"",ABS($L6*$M6-$N6)&gt;1),1,0)+IF(AND($O6&lt;&gt;"",$P6&lt;&gt;"",$Q6&lt;&gt;"",ABS($O6*$P6-$Q6)&gt;1),1,0)+IF(AND($R6&lt;&gt;"",$S6&lt;&gt;"",$T6&lt;&gt;"",ABS($R6*$S6-$T6)&gt;1),1,0)+IF(AND($U6&lt;&gt;"",$V6&lt;&gt;"",$W6&lt;&gt;"",ABS($U6*$V6-$W6)&gt;1),1,0)+IF(AND($X6&lt;&gt;"",$Y6&lt;&gt;"",$Z6&lt;&gt;"",ABS($X6*$Y6-$Z6)&gt;1),1,0))</f>
        <v/>
      </c>
      <c r="AH6" s="68" t="inlineStr">
        <is>
          <t>ยอดหักที่ลงจริงในสรุปจ่ายรถร่วม</t>
        </is>
      </c>
      <c r="AI6" s="14">
        <f>ROUND(SUMIF(สรุปจ่ายรถร่วม!$AD$5:$AD$704,"T",สรุปจ่ายรถร่วม!$M$5:$M$704),2)</f>
        <v/>
      </c>
    </row>
    <row r="7" ht="21" customHeight="1" s="66">
      <c r="A7" s="15">
        <f>IF($B7="","",COUNTA($B$4:$B7))</f>
        <v/>
      </c>
      <c r="B7" s="20" t="n"/>
      <c r="C7" s="12" t="n"/>
      <c r="D7" s="21" t="n"/>
      <c r="E7" s="12" t="n"/>
      <c r="F7" s="12" t="n"/>
      <c r="G7" s="21" t="n"/>
      <c r="H7" s="12" t="n"/>
      <c r="I7" s="12" t="n"/>
      <c r="J7" s="21" t="n"/>
      <c r="K7" s="12" t="n"/>
      <c r="L7" s="12" t="n"/>
      <c r="M7" s="21" t="n"/>
      <c r="N7" s="12" t="n"/>
      <c r="O7" s="12" t="n"/>
      <c r="P7" s="21" t="n"/>
      <c r="Q7" s="12" t="n"/>
      <c r="R7" s="12" t="n"/>
      <c r="S7" s="21" t="n"/>
      <c r="T7" s="12" t="n"/>
      <c r="U7" s="12" t="n"/>
      <c r="V7" s="21" t="n"/>
      <c r="W7" s="12" t="n"/>
      <c r="X7" s="12" t="n"/>
      <c r="Y7" s="21" t="n"/>
      <c r="Z7" s="12" t="n"/>
      <c r="AA7" s="12" t="n"/>
      <c r="AB7" s="12" t="n"/>
      <c r="AC7" s="12" t="n"/>
      <c r="AD7" s="12" t="n"/>
      <c r="AE7" s="22">
        <f>IF($B7="","",ROUND(N($E7)+N($H7)+N($K7)+N($N7)+N($Q7)+N($T7)+N($W7)+N($Z7)+N($AA7)+N($AB7)+N($AC7)+N($AD7),2))</f>
        <v/>
      </c>
      <c r="AF7">
        <f>IF($B7="",0,IF(AND($C7&lt;&gt;"",$D7&lt;&gt;"",$E7&lt;&gt;"",ABS($C7*$D7-$E7)&gt;1),1,0)+IF(AND($F7&lt;&gt;"",$G7&lt;&gt;"",$H7&lt;&gt;"",ABS($F7*$G7-$H7)&gt;1),1,0)+IF(AND($I7&lt;&gt;"",$J7&lt;&gt;"",$K7&lt;&gt;"",ABS($I7*$J7-$K7)&gt;1),1,0)+IF(AND($L7&lt;&gt;"",$M7&lt;&gt;"",$N7&lt;&gt;"",ABS($L7*$M7-$N7)&gt;1),1,0)+IF(AND($O7&lt;&gt;"",$P7&lt;&gt;"",$Q7&lt;&gt;"",ABS($O7*$P7-$Q7)&gt;1),1,0)+IF(AND($R7&lt;&gt;"",$S7&lt;&gt;"",$T7&lt;&gt;"",ABS($R7*$S7-$T7)&gt;1),1,0)+IF(AND($U7&lt;&gt;"",$V7&lt;&gt;"",$W7&lt;&gt;"",ABS($U7*$V7-$W7)&gt;1),1,0)+IF(AND($X7&lt;&gt;"",$Y7&lt;&gt;"",$Z7&lt;&gt;"",ABS($X7*$Y7-$Z7)&gt;1),1,0))</f>
        <v/>
      </c>
      <c r="AH7" s="68" t="inlineStr">
        <is>
          <t>สรุป</t>
        </is>
      </c>
      <c r="AI7" s="17">
        <f>IF($AI$4&gt;0,"*** มีทีมที่ยอดหักจะหายไป — แก้ชื่อทีมก่อน ***",IF(ROUND($AI$3,2)&lt;&gt;ROUND($AI$6,2),"*** ยอดหักไม่ตรงกับสรุปจ่ายรถร่วม ***",IF($AI$5&gt;0,"มีแถวที่ ลิตร x ราคา ไม่ตรงกับยอดเงิน (ตรวจดู)","ปกติ")))</f>
        <v/>
      </c>
    </row>
    <row r="8" ht="21" customHeight="1" s="66">
      <c r="A8" s="15">
        <f>IF($B8="","",COUNTA($B$4:$B8))</f>
        <v/>
      </c>
      <c r="B8" s="20" t="n"/>
      <c r="C8" s="12" t="n"/>
      <c r="D8" s="21" t="n"/>
      <c r="E8" s="12" t="n"/>
      <c r="F8" s="12" t="n"/>
      <c r="G8" s="21" t="n"/>
      <c r="H8" s="12" t="n"/>
      <c r="I8" s="12" t="n"/>
      <c r="J8" s="21" t="n"/>
      <c r="K8" s="12" t="n"/>
      <c r="L8" s="12" t="n"/>
      <c r="M8" s="21" t="n"/>
      <c r="N8" s="12" t="n"/>
      <c r="O8" s="12" t="n"/>
      <c r="P8" s="21" t="n"/>
      <c r="Q8" s="12" t="n"/>
      <c r="R8" s="12" t="n"/>
      <c r="S8" s="21" t="n"/>
      <c r="T8" s="12" t="n"/>
      <c r="U8" s="12" t="n"/>
      <c r="V8" s="21" t="n"/>
      <c r="W8" s="12" t="n"/>
      <c r="X8" s="12" t="n"/>
      <c r="Y8" s="21" t="n"/>
      <c r="Z8" s="12" t="n"/>
      <c r="AA8" s="12" t="n"/>
      <c r="AB8" s="12" t="n"/>
      <c r="AC8" s="12" t="n"/>
      <c r="AD8" s="12" t="n"/>
      <c r="AE8" s="22">
        <f>IF($B8="","",ROUND(N($E8)+N($H8)+N($K8)+N($N8)+N($Q8)+N($T8)+N($W8)+N($Z8)+N($AA8)+N($AB8)+N($AC8)+N($AD8),2))</f>
        <v/>
      </c>
      <c r="AF8">
        <f>IF($B8="",0,IF(AND($C8&lt;&gt;"",$D8&lt;&gt;"",$E8&lt;&gt;"",ABS($C8*$D8-$E8)&gt;1),1,0)+IF(AND($F8&lt;&gt;"",$G8&lt;&gt;"",$H8&lt;&gt;"",ABS($F8*$G8-$H8)&gt;1),1,0)+IF(AND($I8&lt;&gt;"",$J8&lt;&gt;"",$K8&lt;&gt;"",ABS($I8*$J8-$K8)&gt;1),1,0)+IF(AND($L8&lt;&gt;"",$M8&lt;&gt;"",$N8&lt;&gt;"",ABS($L8*$M8-$N8)&gt;1),1,0)+IF(AND($O8&lt;&gt;"",$P8&lt;&gt;"",$Q8&lt;&gt;"",ABS($O8*$P8-$Q8)&gt;1),1,0)+IF(AND($R8&lt;&gt;"",$S8&lt;&gt;"",$T8&lt;&gt;"",ABS($R8*$S8-$T8)&gt;1),1,0)+IF(AND($U8&lt;&gt;"",$V8&lt;&gt;"",$W8&lt;&gt;"",ABS($U8*$V8-$W8)&gt;1),1,0)+IF(AND($X8&lt;&gt;"",$Y8&lt;&gt;"",$Z8&lt;&gt;"",ABS($X8*$Y8-$Z8)&gt;1),1,0))</f>
        <v/>
      </c>
    </row>
    <row r="9" ht="21" customHeight="1" s="66">
      <c r="A9" s="15">
        <f>IF($B9="","",COUNTA($B$4:$B9))</f>
        <v/>
      </c>
      <c r="B9" s="20" t="n"/>
      <c r="C9" s="12" t="n"/>
      <c r="D9" s="21" t="n"/>
      <c r="E9" s="12" t="n"/>
      <c r="F9" s="12" t="n"/>
      <c r="G9" s="21" t="n"/>
      <c r="H9" s="12" t="n"/>
      <c r="I9" s="12" t="n"/>
      <c r="J9" s="21" t="n"/>
      <c r="K9" s="12" t="n"/>
      <c r="L9" s="12" t="n"/>
      <c r="M9" s="21" t="n"/>
      <c r="N9" s="12" t="n"/>
      <c r="O9" s="12" t="n"/>
      <c r="P9" s="21" t="n"/>
      <c r="Q9" s="12" t="n"/>
      <c r="R9" s="12" t="n"/>
      <c r="S9" s="21" t="n"/>
      <c r="T9" s="12" t="n"/>
      <c r="U9" s="12" t="n"/>
      <c r="V9" s="21" t="n"/>
      <c r="W9" s="12" t="n"/>
      <c r="X9" s="12" t="n"/>
      <c r="Y9" s="21" t="n"/>
      <c r="Z9" s="12" t="n"/>
      <c r="AA9" s="12" t="n"/>
      <c r="AB9" s="12" t="n"/>
      <c r="AC9" s="12" t="n"/>
      <c r="AD9" s="12" t="n"/>
      <c r="AE9" s="22">
        <f>IF($B9="","",ROUND(N($E9)+N($H9)+N($K9)+N($N9)+N($Q9)+N($T9)+N($W9)+N($Z9)+N($AA9)+N($AB9)+N($AC9)+N($AD9),2))</f>
        <v/>
      </c>
      <c r="AF9">
        <f>IF($B9="",0,IF(AND($C9&lt;&gt;"",$D9&lt;&gt;"",$E9&lt;&gt;"",ABS($C9*$D9-$E9)&gt;1),1,0)+IF(AND($F9&lt;&gt;"",$G9&lt;&gt;"",$H9&lt;&gt;"",ABS($F9*$G9-$H9)&gt;1),1,0)+IF(AND($I9&lt;&gt;"",$J9&lt;&gt;"",$K9&lt;&gt;"",ABS($I9*$J9-$K9)&gt;1),1,0)+IF(AND($L9&lt;&gt;"",$M9&lt;&gt;"",$N9&lt;&gt;"",ABS($L9*$M9-$N9)&gt;1),1,0)+IF(AND($O9&lt;&gt;"",$P9&lt;&gt;"",$Q9&lt;&gt;"",ABS($O9*$P9-$Q9)&gt;1),1,0)+IF(AND($R9&lt;&gt;"",$S9&lt;&gt;"",$T9&lt;&gt;"",ABS($R9*$S9-$T9)&gt;1),1,0)+IF(AND($U9&lt;&gt;"",$V9&lt;&gt;"",$W9&lt;&gt;"",ABS($U9*$V9-$W9)&gt;1),1,0)+IF(AND($X9&lt;&gt;"",$Y9&lt;&gt;"",$Z9&lt;&gt;"",ABS($X9*$Y9-$Z9)&gt;1),1,0))</f>
        <v/>
      </c>
      <c r="AH9" s="2" t="inlineStr">
        <is>
          <t>หมายเหตุ: ชื่อหนังสือในแถวที่ 2 และชื่อรายการหักในแถวที่ 3 พิมพ์ทับได้ตามแต่ละนาม | บล็อกที่ไม่ใช้ปล่อยว่างไว้</t>
        </is>
      </c>
    </row>
    <row r="10" ht="21" customHeight="1" s="66">
      <c r="A10" s="15">
        <f>IF($B10="","",COUNTA($B$4:$B10))</f>
        <v/>
      </c>
      <c r="B10" s="20" t="n"/>
      <c r="C10" s="12" t="n"/>
      <c r="D10" s="21" t="n"/>
      <c r="E10" s="12" t="n"/>
      <c r="F10" s="12" t="n"/>
      <c r="G10" s="21" t="n"/>
      <c r="H10" s="12" t="n"/>
      <c r="I10" s="12" t="n"/>
      <c r="J10" s="21" t="n"/>
      <c r="K10" s="12" t="n"/>
      <c r="L10" s="12" t="n"/>
      <c r="M10" s="21" t="n"/>
      <c r="N10" s="12" t="n"/>
      <c r="O10" s="12" t="n"/>
      <c r="P10" s="21" t="n"/>
      <c r="Q10" s="12" t="n"/>
      <c r="R10" s="12" t="n"/>
      <c r="S10" s="21" t="n"/>
      <c r="T10" s="12" t="n"/>
      <c r="U10" s="12" t="n"/>
      <c r="V10" s="21" t="n"/>
      <c r="W10" s="12" t="n"/>
      <c r="X10" s="12" t="n"/>
      <c r="Y10" s="21" t="n"/>
      <c r="Z10" s="12" t="n"/>
      <c r="AA10" s="12" t="n"/>
      <c r="AB10" s="12" t="n"/>
      <c r="AC10" s="12" t="n"/>
      <c r="AD10" s="12" t="n"/>
      <c r="AE10" s="22">
        <f>IF($B10="","",ROUND(N($E10)+N($H10)+N($K10)+N($N10)+N($Q10)+N($T10)+N($W10)+N($Z10)+N($AA10)+N($AB10)+N($AC10)+N($AD10),2))</f>
        <v/>
      </c>
      <c r="AF10">
        <f>IF($B10="",0,IF(AND($C10&lt;&gt;"",$D10&lt;&gt;"",$E10&lt;&gt;"",ABS($C10*$D10-$E10)&gt;1),1,0)+IF(AND($F10&lt;&gt;"",$G10&lt;&gt;"",$H10&lt;&gt;"",ABS($F10*$G10-$H10)&gt;1),1,0)+IF(AND($I10&lt;&gt;"",$J10&lt;&gt;"",$K10&lt;&gt;"",ABS($I10*$J10-$K10)&gt;1),1,0)+IF(AND($L10&lt;&gt;"",$M10&lt;&gt;"",$N10&lt;&gt;"",ABS($L10*$M10-$N10)&gt;1),1,0)+IF(AND($O10&lt;&gt;"",$P10&lt;&gt;"",$Q10&lt;&gt;"",ABS($O10*$P10-$Q10)&gt;1),1,0)+IF(AND($R10&lt;&gt;"",$S10&lt;&gt;"",$T10&lt;&gt;"",ABS($R10*$S10-$T10)&gt;1),1,0)+IF(AND($U10&lt;&gt;"",$V10&lt;&gt;"",$W10&lt;&gt;"",ABS($U10*$V10-$W10)&gt;1),1,0)+IF(AND($X10&lt;&gt;"",$Y10&lt;&gt;"",$Z10&lt;&gt;"",ABS($X10*$Y10-$Z10)&gt;1),1,0))</f>
        <v/>
      </c>
    </row>
    <row r="11" ht="21" customHeight="1" s="66">
      <c r="A11" s="15">
        <f>IF($B11="","",COUNTA($B$4:$B11))</f>
        <v/>
      </c>
      <c r="B11" s="20" t="n"/>
      <c r="C11" s="12" t="n"/>
      <c r="D11" s="21" t="n"/>
      <c r="E11" s="12" t="n"/>
      <c r="F11" s="12" t="n"/>
      <c r="G11" s="21" t="n"/>
      <c r="H11" s="12" t="n"/>
      <c r="I11" s="12" t="n"/>
      <c r="J11" s="21" t="n"/>
      <c r="K11" s="12" t="n"/>
      <c r="L11" s="12" t="n"/>
      <c r="M11" s="21" t="n"/>
      <c r="N11" s="12" t="n"/>
      <c r="O11" s="12" t="n"/>
      <c r="P11" s="21" t="n"/>
      <c r="Q11" s="12" t="n"/>
      <c r="R11" s="12" t="n"/>
      <c r="S11" s="21" t="n"/>
      <c r="T11" s="12" t="n"/>
      <c r="U11" s="12" t="n"/>
      <c r="V11" s="21" t="n"/>
      <c r="W11" s="12" t="n"/>
      <c r="X11" s="12" t="n"/>
      <c r="Y11" s="21" t="n"/>
      <c r="Z11" s="12" t="n"/>
      <c r="AA11" s="12" t="n"/>
      <c r="AB11" s="12" t="n"/>
      <c r="AC11" s="12" t="n"/>
      <c r="AD11" s="12" t="n"/>
      <c r="AE11" s="22">
        <f>IF($B11="","",ROUND(N($E11)+N($H11)+N($K11)+N($N11)+N($Q11)+N($T11)+N($W11)+N($Z11)+N($AA11)+N($AB11)+N($AC11)+N($AD11),2))</f>
        <v/>
      </c>
      <c r="AF11">
        <f>IF($B11="",0,IF(AND($C11&lt;&gt;"",$D11&lt;&gt;"",$E11&lt;&gt;"",ABS($C11*$D11-$E11)&gt;1),1,0)+IF(AND($F11&lt;&gt;"",$G11&lt;&gt;"",$H11&lt;&gt;"",ABS($F11*$G11-$H11)&gt;1),1,0)+IF(AND($I11&lt;&gt;"",$J11&lt;&gt;"",$K11&lt;&gt;"",ABS($I11*$J11-$K11)&gt;1),1,0)+IF(AND($L11&lt;&gt;"",$M11&lt;&gt;"",$N11&lt;&gt;"",ABS($L11*$M11-$N11)&gt;1),1,0)+IF(AND($O11&lt;&gt;"",$P11&lt;&gt;"",$Q11&lt;&gt;"",ABS($O11*$P11-$Q11)&gt;1),1,0)+IF(AND($R11&lt;&gt;"",$S11&lt;&gt;"",$T11&lt;&gt;"",ABS($R11*$S11-$T11)&gt;1),1,0)+IF(AND($U11&lt;&gt;"",$V11&lt;&gt;"",$W11&lt;&gt;"",ABS($U11*$V11-$W11)&gt;1),1,0)+IF(AND($X11&lt;&gt;"",$Y11&lt;&gt;"",$Z11&lt;&gt;"",ABS($X11*$Y11-$Z11)&gt;1),1,0))</f>
        <v/>
      </c>
      <c r="AH11" s="23" t="inlineStr">
        <is>
          <t>หน้านี้ ฝ่ายบัญชี เป็นผู้กรอก (ไม่ใช่เหมือง)</t>
        </is>
      </c>
    </row>
    <row r="12" ht="21" customHeight="1" s="66">
      <c r="A12" s="15">
        <f>IF($B12="","",COUNTA($B$4:$B12))</f>
        <v/>
      </c>
      <c r="B12" s="20" t="n"/>
      <c r="C12" s="12" t="n"/>
      <c r="D12" s="21" t="n"/>
      <c r="E12" s="12" t="n"/>
      <c r="F12" s="12" t="n"/>
      <c r="G12" s="21" t="n"/>
      <c r="H12" s="12" t="n"/>
      <c r="I12" s="12" t="n"/>
      <c r="J12" s="21" t="n"/>
      <c r="K12" s="12" t="n"/>
      <c r="L12" s="12" t="n"/>
      <c r="M12" s="21" t="n"/>
      <c r="N12" s="12" t="n"/>
      <c r="O12" s="12" t="n"/>
      <c r="P12" s="21" t="n"/>
      <c r="Q12" s="12" t="n"/>
      <c r="R12" s="12" t="n"/>
      <c r="S12" s="21" t="n"/>
      <c r="T12" s="12" t="n"/>
      <c r="U12" s="12" t="n"/>
      <c r="V12" s="21" t="n"/>
      <c r="W12" s="12" t="n"/>
      <c r="X12" s="12" t="n"/>
      <c r="Y12" s="21" t="n"/>
      <c r="Z12" s="12" t="n"/>
      <c r="AA12" s="12" t="n"/>
      <c r="AB12" s="12" t="n"/>
      <c r="AC12" s="12" t="n"/>
      <c r="AD12" s="12" t="n"/>
      <c r="AE12" s="22">
        <f>IF($B12="","",ROUND(N($E12)+N($H12)+N($K12)+N($N12)+N($Q12)+N($T12)+N($W12)+N($Z12)+N($AA12)+N($AB12)+N($AC12)+N($AD12),2))</f>
        <v/>
      </c>
      <c r="AF12">
        <f>IF($B12="",0,IF(AND($C12&lt;&gt;"",$D12&lt;&gt;"",$E12&lt;&gt;"",ABS($C12*$D12-$E12)&gt;1),1,0)+IF(AND($F12&lt;&gt;"",$G12&lt;&gt;"",$H12&lt;&gt;"",ABS($F12*$G12-$H12)&gt;1),1,0)+IF(AND($I12&lt;&gt;"",$J12&lt;&gt;"",$K12&lt;&gt;"",ABS($I12*$J12-$K12)&gt;1),1,0)+IF(AND($L12&lt;&gt;"",$M12&lt;&gt;"",$N12&lt;&gt;"",ABS($L12*$M12-$N12)&gt;1),1,0)+IF(AND($O12&lt;&gt;"",$P12&lt;&gt;"",$Q12&lt;&gt;"",ABS($O12*$P12-$Q12)&gt;1),1,0)+IF(AND($R12&lt;&gt;"",$S12&lt;&gt;"",$T12&lt;&gt;"",ABS($R12*$S12-$T12)&gt;1),1,0)+IF(AND($U12&lt;&gt;"",$V12&lt;&gt;"",$W12&lt;&gt;"",ABS($U12*$V12-$W12)&gt;1),1,0)+IF(AND($X12&lt;&gt;"",$Y12&lt;&gt;"",$Z12&lt;&gt;"",ABS($X12*$Y12-$Z12)&gt;1),1,0))</f>
        <v/>
      </c>
      <c r="AH12" s="68" t="inlineStr">
        <is>
          <t>เหมืองส่งมาเฉพาะ บันทึกรายเที่ยว ที่ตรวจหน้าสรุปเหมืองแล้ว บัญชีมากรอก oil + อัตราค่าขนส่ง แล้วตรวจหน้าสรุปจ่ายรถร่วมอีกครั้ง</t>
        </is>
      </c>
    </row>
    <row r="13" ht="21" customHeight="1" s="66">
      <c r="A13" s="15">
        <f>IF($B13="","",COUNTA($B$4:$B13))</f>
        <v/>
      </c>
      <c r="B13" s="20" t="n"/>
      <c r="C13" s="12" t="n"/>
      <c r="D13" s="21" t="n"/>
      <c r="E13" s="12" t="n"/>
      <c r="F13" s="12" t="n"/>
      <c r="G13" s="21" t="n"/>
      <c r="H13" s="12" t="n"/>
      <c r="I13" s="12" t="n"/>
      <c r="J13" s="21" t="n"/>
      <c r="K13" s="12" t="n"/>
      <c r="L13" s="12" t="n"/>
      <c r="M13" s="21" t="n"/>
      <c r="N13" s="12" t="n"/>
      <c r="O13" s="12" t="n"/>
      <c r="P13" s="21" t="n"/>
      <c r="Q13" s="12" t="n"/>
      <c r="R13" s="12" t="n"/>
      <c r="S13" s="21" t="n"/>
      <c r="T13" s="12" t="n"/>
      <c r="U13" s="12" t="n"/>
      <c r="V13" s="21" t="n"/>
      <c r="W13" s="12" t="n"/>
      <c r="X13" s="12" t="n"/>
      <c r="Y13" s="21" t="n"/>
      <c r="Z13" s="12" t="n"/>
      <c r="AA13" s="12" t="n"/>
      <c r="AB13" s="12" t="n"/>
      <c r="AC13" s="12" t="n"/>
      <c r="AD13" s="12" t="n"/>
      <c r="AE13" s="22">
        <f>IF($B13="","",ROUND(N($E13)+N($H13)+N($K13)+N($N13)+N($Q13)+N($T13)+N($W13)+N($Z13)+N($AA13)+N($AB13)+N($AC13)+N($AD13),2))</f>
        <v/>
      </c>
      <c r="AF13">
        <f>IF($B13="",0,IF(AND($C13&lt;&gt;"",$D13&lt;&gt;"",$E13&lt;&gt;"",ABS($C13*$D13-$E13)&gt;1),1,0)+IF(AND($F13&lt;&gt;"",$G13&lt;&gt;"",$H13&lt;&gt;"",ABS($F13*$G13-$H13)&gt;1),1,0)+IF(AND($I13&lt;&gt;"",$J13&lt;&gt;"",$K13&lt;&gt;"",ABS($I13*$J13-$K13)&gt;1),1,0)+IF(AND($L13&lt;&gt;"",$M13&lt;&gt;"",$N13&lt;&gt;"",ABS($L13*$M13-$N13)&gt;1),1,0)+IF(AND($O13&lt;&gt;"",$P13&lt;&gt;"",$Q13&lt;&gt;"",ABS($O13*$P13-$Q13)&gt;1),1,0)+IF(AND($R13&lt;&gt;"",$S13&lt;&gt;"",$T13&lt;&gt;"",ABS($R13*$S13-$T13)&gt;1),1,0)+IF(AND($U13&lt;&gt;"",$V13&lt;&gt;"",$W13&lt;&gt;"",ABS($U13*$V13-$W13)&gt;1),1,0)+IF(AND($X13&lt;&gt;"",$Y13&lt;&gt;"",$Z13&lt;&gt;"",ABS($X13*$Y13-$Z13)&gt;1),1,0))</f>
        <v/>
      </c>
    </row>
    <row r="14" ht="21" customHeight="1" s="66">
      <c r="A14" s="15">
        <f>IF($B14="","",COUNTA($B$4:$B14))</f>
        <v/>
      </c>
      <c r="B14" s="20" t="n"/>
      <c r="C14" s="12" t="n"/>
      <c r="D14" s="21" t="n"/>
      <c r="E14" s="12" t="n"/>
      <c r="F14" s="12" t="n"/>
      <c r="G14" s="21" t="n"/>
      <c r="H14" s="12" t="n"/>
      <c r="I14" s="12" t="n"/>
      <c r="J14" s="21" t="n"/>
      <c r="K14" s="12" t="n"/>
      <c r="L14" s="12" t="n"/>
      <c r="M14" s="21" t="n"/>
      <c r="N14" s="12" t="n"/>
      <c r="O14" s="12" t="n"/>
      <c r="P14" s="21" t="n"/>
      <c r="Q14" s="12" t="n"/>
      <c r="R14" s="12" t="n"/>
      <c r="S14" s="21" t="n"/>
      <c r="T14" s="12" t="n"/>
      <c r="U14" s="12" t="n"/>
      <c r="V14" s="21" t="n"/>
      <c r="W14" s="12" t="n"/>
      <c r="X14" s="12" t="n"/>
      <c r="Y14" s="21" t="n"/>
      <c r="Z14" s="12" t="n"/>
      <c r="AA14" s="12" t="n"/>
      <c r="AB14" s="12" t="n"/>
      <c r="AC14" s="12" t="n"/>
      <c r="AD14" s="12" t="n"/>
      <c r="AE14" s="22">
        <f>IF($B14="","",ROUND(N($E14)+N($H14)+N($K14)+N($N14)+N($Q14)+N($T14)+N($W14)+N($Z14)+N($AA14)+N($AB14)+N($AC14)+N($AD14),2))</f>
        <v/>
      </c>
      <c r="AF14">
        <f>IF($B14="",0,IF(AND($C14&lt;&gt;"",$D14&lt;&gt;"",$E14&lt;&gt;"",ABS($C14*$D14-$E14)&gt;1),1,0)+IF(AND($F14&lt;&gt;"",$G14&lt;&gt;"",$H14&lt;&gt;"",ABS($F14*$G14-$H14)&gt;1),1,0)+IF(AND($I14&lt;&gt;"",$J14&lt;&gt;"",$K14&lt;&gt;"",ABS($I14*$J14-$K14)&gt;1),1,0)+IF(AND($L14&lt;&gt;"",$M14&lt;&gt;"",$N14&lt;&gt;"",ABS($L14*$M14-$N14)&gt;1),1,0)+IF(AND($O14&lt;&gt;"",$P14&lt;&gt;"",$Q14&lt;&gt;"",ABS($O14*$P14-$Q14)&gt;1),1,0)+IF(AND($R14&lt;&gt;"",$S14&lt;&gt;"",$T14&lt;&gt;"",ABS($R14*$S14-$T14)&gt;1),1,0)+IF(AND($U14&lt;&gt;"",$V14&lt;&gt;"",$W14&lt;&gt;"",ABS($U14*$V14-$W14)&gt;1),1,0)+IF(AND($X14&lt;&gt;"",$Y14&lt;&gt;"",$Z14&lt;&gt;"",ABS($X14*$Y14-$Z14)&gt;1),1,0))</f>
        <v/>
      </c>
    </row>
    <row r="15" ht="21" customHeight="1" s="66">
      <c r="A15" s="15">
        <f>IF($B15="","",COUNTA($B$4:$B15))</f>
        <v/>
      </c>
      <c r="B15" s="20" t="n"/>
      <c r="C15" s="12" t="n"/>
      <c r="D15" s="21" t="n"/>
      <c r="E15" s="12" t="n"/>
      <c r="F15" s="12" t="n"/>
      <c r="G15" s="21" t="n"/>
      <c r="H15" s="12" t="n"/>
      <c r="I15" s="12" t="n"/>
      <c r="J15" s="21" t="n"/>
      <c r="K15" s="12" t="n"/>
      <c r="L15" s="12" t="n"/>
      <c r="M15" s="21" t="n"/>
      <c r="N15" s="12" t="n"/>
      <c r="O15" s="12" t="n"/>
      <c r="P15" s="21" t="n"/>
      <c r="Q15" s="12" t="n"/>
      <c r="R15" s="12" t="n"/>
      <c r="S15" s="21" t="n"/>
      <c r="T15" s="12" t="n"/>
      <c r="U15" s="12" t="n"/>
      <c r="V15" s="21" t="n"/>
      <c r="W15" s="12" t="n"/>
      <c r="X15" s="12" t="n"/>
      <c r="Y15" s="21" t="n"/>
      <c r="Z15" s="12" t="n"/>
      <c r="AA15" s="12" t="n"/>
      <c r="AB15" s="12" t="n"/>
      <c r="AC15" s="12" t="n"/>
      <c r="AD15" s="12" t="n"/>
      <c r="AE15" s="22">
        <f>IF($B15="","",ROUND(N($E15)+N($H15)+N($K15)+N($N15)+N($Q15)+N($T15)+N($W15)+N($Z15)+N($AA15)+N($AB15)+N($AC15)+N($AD15),2))</f>
        <v/>
      </c>
      <c r="AF15">
        <f>IF($B15="",0,IF(AND($C15&lt;&gt;"",$D15&lt;&gt;"",$E15&lt;&gt;"",ABS($C15*$D15-$E15)&gt;1),1,0)+IF(AND($F15&lt;&gt;"",$G15&lt;&gt;"",$H15&lt;&gt;"",ABS($F15*$G15-$H15)&gt;1),1,0)+IF(AND($I15&lt;&gt;"",$J15&lt;&gt;"",$K15&lt;&gt;"",ABS($I15*$J15-$K15)&gt;1),1,0)+IF(AND($L15&lt;&gt;"",$M15&lt;&gt;"",$N15&lt;&gt;"",ABS($L15*$M15-$N15)&gt;1),1,0)+IF(AND($O15&lt;&gt;"",$P15&lt;&gt;"",$Q15&lt;&gt;"",ABS($O15*$P15-$Q15)&gt;1),1,0)+IF(AND($R15&lt;&gt;"",$S15&lt;&gt;"",$T15&lt;&gt;"",ABS($R15*$S15-$T15)&gt;1),1,0)+IF(AND($U15&lt;&gt;"",$V15&lt;&gt;"",$W15&lt;&gt;"",ABS($U15*$V15-$W15)&gt;1),1,0)+IF(AND($X15&lt;&gt;"",$Y15&lt;&gt;"",$Z15&lt;&gt;"",ABS($X15*$Y15-$Z15)&gt;1),1,0))</f>
        <v/>
      </c>
    </row>
    <row r="16" ht="21" customHeight="1" s="66">
      <c r="A16" s="15">
        <f>IF($B16="","",COUNTA($B$4:$B16))</f>
        <v/>
      </c>
      <c r="B16" s="20" t="n"/>
      <c r="C16" s="12" t="n"/>
      <c r="D16" s="21" t="n"/>
      <c r="E16" s="12" t="n"/>
      <c r="F16" s="12" t="n"/>
      <c r="G16" s="21" t="n"/>
      <c r="H16" s="12" t="n"/>
      <c r="I16" s="12" t="n"/>
      <c r="J16" s="21" t="n"/>
      <c r="K16" s="12" t="n"/>
      <c r="L16" s="12" t="n"/>
      <c r="M16" s="21" t="n"/>
      <c r="N16" s="12" t="n"/>
      <c r="O16" s="12" t="n"/>
      <c r="P16" s="21" t="n"/>
      <c r="Q16" s="12" t="n"/>
      <c r="R16" s="12" t="n"/>
      <c r="S16" s="21" t="n"/>
      <c r="T16" s="12" t="n"/>
      <c r="U16" s="12" t="n"/>
      <c r="V16" s="21" t="n"/>
      <c r="W16" s="12" t="n"/>
      <c r="X16" s="12" t="n"/>
      <c r="Y16" s="21" t="n"/>
      <c r="Z16" s="12" t="n"/>
      <c r="AA16" s="12" t="n"/>
      <c r="AB16" s="12" t="n"/>
      <c r="AC16" s="12" t="n"/>
      <c r="AD16" s="12" t="n"/>
      <c r="AE16" s="22">
        <f>IF($B16="","",ROUND(N($E16)+N($H16)+N($K16)+N($N16)+N($Q16)+N($T16)+N($W16)+N($Z16)+N($AA16)+N($AB16)+N($AC16)+N($AD16),2))</f>
        <v/>
      </c>
      <c r="AF16">
        <f>IF($B16="",0,IF(AND($C16&lt;&gt;"",$D16&lt;&gt;"",$E16&lt;&gt;"",ABS($C16*$D16-$E16)&gt;1),1,0)+IF(AND($F16&lt;&gt;"",$G16&lt;&gt;"",$H16&lt;&gt;"",ABS($F16*$G16-$H16)&gt;1),1,0)+IF(AND($I16&lt;&gt;"",$J16&lt;&gt;"",$K16&lt;&gt;"",ABS($I16*$J16-$K16)&gt;1),1,0)+IF(AND($L16&lt;&gt;"",$M16&lt;&gt;"",$N16&lt;&gt;"",ABS($L16*$M16-$N16)&gt;1),1,0)+IF(AND($O16&lt;&gt;"",$P16&lt;&gt;"",$Q16&lt;&gt;"",ABS($O16*$P16-$Q16)&gt;1),1,0)+IF(AND($R16&lt;&gt;"",$S16&lt;&gt;"",$T16&lt;&gt;"",ABS($R16*$S16-$T16)&gt;1),1,0)+IF(AND($U16&lt;&gt;"",$V16&lt;&gt;"",$W16&lt;&gt;"",ABS($U16*$V16-$W16)&gt;1),1,0)+IF(AND($X16&lt;&gt;"",$Y16&lt;&gt;"",$Z16&lt;&gt;"",ABS($X16*$Y16-$Z16)&gt;1),1,0))</f>
        <v/>
      </c>
    </row>
    <row r="17" ht="21" customHeight="1" s="66">
      <c r="A17" s="15">
        <f>IF($B17="","",COUNTA($B$4:$B17))</f>
        <v/>
      </c>
      <c r="B17" s="20" t="n"/>
      <c r="C17" s="12" t="n"/>
      <c r="D17" s="21" t="n"/>
      <c r="E17" s="12" t="n"/>
      <c r="F17" s="12" t="n"/>
      <c r="G17" s="21" t="n"/>
      <c r="H17" s="12" t="n"/>
      <c r="I17" s="12" t="n"/>
      <c r="J17" s="21" t="n"/>
      <c r="K17" s="12" t="n"/>
      <c r="L17" s="12" t="n"/>
      <c r="M17" s="21" t="n"/>
      <c r="N17" s="12" t="n"/>
      <c r="O17" s="12" t="n"/>
      <c r="P17" s="21" t="n"/>
      <c r="Q17" s="12" t="n"/>
      <c r="R17" s="12" t="n"/>
      <c r="S17" s="21" t="n"/>
      <c r="T17" s="12" t="n"/>
      <c r="U17" s="12" t="n"/>
      <c r="V17" s="21" t="n"/>
      <c r="W17" s="12" t="n"/>
      <c r="X17" s="12" t="n"/>
      <c r="Y17" s="21" t="n"/>
      <c r="Z17" s="12" t="n"/>
      <c r="AA17" s="12" t="n"/>
      <c r="AB17" s="12" t="n"/>
      <c r="AC17" s="12" t="n"/>
      <c r="AD17" s="12" t="n"/>
      <c r="AE17" s="22">
        <f>IF($B17="","",ROUND(N($E17)+N($H17)+N($K17)+N($N17)+N($Q17)+N($T17)+N($W17)+N($Z17)+N($AA17)+N($AB17)+N($AC17)+N($AD17),2))</f>
        <v/>
      </c>
      <c r="AF17">
        <f>IF($B17="",0,IF(AND($C17&lt;&gt;"",$D17&lt;&gt;"",$E17&lt;&gt;"",ABS($C17*$D17-$E17)&gt;1),1,0)+IF(AND($F17&lt;&gt;"",$G17&lt;&gt;"",$H17&lt;&gt;"",ABS($F17*$G17-$H17)&gt;1),1,0)+IF(AND($I17&lt;&gt;"",$J17&lt;&gt;"",$K17&lt;&gt;"",ABS($I17*$J17-$K17)&gt;1),1,0)+IF(AND($L17&lt;&gt;"",$M17&lt;&gt;"",$N17&lt;&gt;"",ABS($L17*$M17-$N17)&gt;1),1,0)+IF(AND($O17&lt;&gt;"",$P17&lt;&gt;"",$Q17&lt;&gt;"",ABS($O17*$P17-$Q17)&gt;1),1,0)+IF(AND($R17&lt;&gt;"",$S17&lt;&gt;"",$T17&lt;&gt;"",ABS($R17*$S17-$T17)&gt;1),1,0)+IF(AND($U17&lt;&gt;"",$V17&lt;&gt;"",$W17&lt;&gt;"",ABS($U17*$V17-$W17)&gt;1),1,0)+IF(AND($X17&lt;&gt;"",$Y17&lt;&gt;"",$Z17&lt;&gt;"",ABS($X17*$Y17-$Z17)&gt;1),1,0))</f>
        <v/>
      </c>
    </row>
    <row r="18" ht="21" customHeight="1" s="66">
      <c r="A18" s="15">
        <f>IF($B18="","",COUNTA($B$4:$B18))</f>
        <v/>
      </c>
      <c r="B18" s="20" t="n"/>
      <c r="C18" s="12" t="n"/>
      <c r="D18" s="21" t="n"/>
      <c r="E18" s="12" t="n"/>
      <c r="F18" s="12" t="n"/>
      <c r="G18" s="21" t="n"/>
      <c r="H18" s="12" t="n"/>
      <c r="I18" s="12" t="n"/>
      <c r="J18" s="21" t="n"/>
      <c r="K18" s="12" t="n"/>
      <c r="L18" s="12" t="n"/>
      <c r="M18" s="21" t="n"/>
      <c r="N18" s="12" t="n"/>
      <c r="O18" s="12" t="n"/>
      <c r="P18" s="21" t="n"/>
      <c r="Q18" s="12" t="n"/>
      <c r="R18" s="12" t="n"/>
      <c r="S18" s="21" t="n"/>
      <c r="T18" s="12" t="n"/>
      <c r="U18" s="12" t="n"/>
      <c r="V18" s="21" t="n"/>
      <c r="W18" s="12" t="n"/>
      <c r="X18" s="12" t="n"/>
      <c r="Y18" s="21" t="n"/>
      <c r="Z18" s="12" t="n"/>
      <c r="AA18" s="12" t="n"/>
      <c r="AB18" s="12" t="n"/>
      <c r="AC18" s="12" t="n"/>
      <c r="AD18" s="12" t="n"/>
      <c r="AE18" s="22">
        <f>IF($B18="","",ROUND(N($E18)+N($H18)+N($K18)+N($N18)+N($Q18)+N($T18)+N($W18)+N($Z18)+N($AA18)+N($AB18)+N($AC18)+N($AD18),2))</f>
        <v/>
      </c>
      <c r="AF18">
        <f>IF($B18="",0,IF(AND($C18&lt;&gt;"",$D18&lt;&gt;"",$E18&lt;&gt;"",ABS($C18*$D18-$E18)&gt;1),1,0)+IF(AND($F18&lt;&gt;"",$G18&lt;&gt;"",$H18&lt;&gt;"",ABS($F18*$G18-$H18)&gt;1),1,0)+IF(AND($I18&lt;&gt;"",$J18&lt;&gt;"",$K18&lt;&gt;"",ABS($I18*$J18-$K18)&gt;1),1,0)+IF(AND($L18&lt;&gt;"",$M18&lt;&gt;"",$N18&lt;&gt;"",ABS($L18*$M18-$N18)&gt;1),1,0)+IF(AND($O18&lt;&gt;"",$P18&lt;&gt;"",$Q18&lt;&gt;"",ABS($O18*$P18-$Q18)&gt;1),1,0)+IF(AND($R18&lt;&gt;"",$S18&lt;&gt;"",$T18&lt;&gt;"",ABS($R18*$S18-$T18)&gt;1),1,0)+IF(AND($U18&lt;&gt;"",$V18&lt;&gt;"",$W18&lt;&gt;"",ABS($U18*$V18-$W18)&gt;1),1,0)+IF(AND($X18&lt;&gt;"",$Y18&lt;&gt;"",$Z18&lt;&gt;"",ABS($X18*$Y18-$Z18)&gt;1),1,0))</f>
        <v/>
      </c>
    </row>
    <row r="19" ht="21" customHeight="1" s="66">
      <c r="A19" s="15">
        <f>IF($B19="","",COUNTA($B$4:$B19))</f>
        <v/>
      </c>
      <c r="B19" s="20" t="n"/>
      <c r="C19" s="12" t="n"/>
      <c r="D19" s="21" t="n"/>
      <c r="E19" s="12" t="n"/>
      <c r="F19" s="12" t="n"/>
      <c r="G19" s="21" t="n"/>
      <c r="H19" s="12" t="n"/>
      <c r="I19" s="12" t="n"/>
      <c r="J19" s="21" t="n"/>
      <c r="K19" s="12" t="n"/>
      <c r="L19" s="12" t="n"/>
      <c r="M19" s="21" t="n"/>
      <c r="N19" s="12" t="n"/>
      <c r="O19" s="12" t="n"/>
      <c r="P19" s="21" t="n"/>
      <c r="Q19" s="12" t="n"/>
      <c r="R19" s="12" t="n"/>
      <c r="S19" s="21" t="n"/>
      <c r="T19" s="12" t="n"/>
      <c r="U19" s="12" t="n"/>
      <c r="V19" s="21" t="n"/>
      <c r="W19" s="12" t="n"/>
      <c r="X19" s="12" t="n"/>
      <c r="Y19" s="21" t="n"/>
      <c r="Z19" s="12" t="n"/>
      <c r="AA19" s="12" t="n"/>
      <c r="AB19" s="12" t="n"/>
      <c r="AC19" s="12" t="n"/>
      <c r="AD19" s="12" t="n"/>
      <c r="AE19" s="22">
        <f>IF($B19="","",ROUND(N($E19)+N($H19)+N($K19)+N($N19)+N($Q19)+N($T19)+N($W19)+N($Z19)+N($AA19)+N($AB19)+N($AC19)+N($AD19),2))</f>
        <v/>
      </c>
      <c r="AF19">
        <f>IF($B19="",0,IF(AND($C19&lt;&gt;"",$D19&lt;&gt;"",$E19&lt;&gt;"",ABS($C19*$D19-$E19)&gt;1),1,0)+IF(AND($F19&lt;&gt;"",$G19&lt;&gt;"",$H19&lt;&gt;"",ABS($F19*$G19-$H19)&gt;1),1,0)+IF(AND($I19&lt;&gt;"",$J19&lt;&gt;"",$K19&lt;&gt;"",ABS($I19*$J19-$K19)&gt;1),1,0)+IF(AND($L19&lt;&gt;"",$M19&lt;&gt;"",$N19&lt;&gt;"",ABS($L19*$M19-$N19)&gt;1),1,0)+IF(AND($O19&lt;&gt;"",$P19&lt;&gt;"",$Q19&lt;&gt;"",ABS($O19*$P19-$Q19)&gt;1),1,0)+IF(AND($R19&lt;&gt;"",$S19&lt;&gt;"",$T19&lt;&gt;"",ABS($R19*$S19-$T19)&gt;1),1,0)+IF(AND($U19&lt;&gt;"",$V19&lt;&gt;"",$W19&lt;&gt;"",ABS($U19*$V19-$W19)&gt;1),1,0)+IF(AND($X19&lt;&gt;"",$Y19&lt;&gt;"",$Z19&lt;&gt;"",ABS($X19*$Y19-$Z19)&gt;1),1,0))</f>
        <v/>
      </c>
    </row>
    <row r="20" ht="21" customHeight="1" s="66">
      <c r="A20" s="15">
        <f>IF($B20="","",COUNTA($B$4:$B20))</f>
        <v/>
      </c>
      <c r="B20" s="20" t="n"/>
      <c r="C20" s="12" t="n"/>
      <c r="D20" s="21" t="n"/>
      <c r="E20" s="12" t="n"/>
      <c r="F20" s="12" t="n"/>
      <c r="G20" s="21" t="n"/>
      <c r="H20" s="12" t="n"/>
      <c r="I20" s="12" t="n"/>
      <c r="J20" s="21" t="n"/>
      <c r="K20" s="12" t="n"/>
      <c r="L20" s="12" t="n"/>
      <c r="M20" s="21" t="n"/>
      <c r="N20" s="12" t="n"/>
      <c r="O20" s="12" t="n"/>
      <c r="P20" s="21" t="n"/>
      <c r="Q20" s="12" t="n"/>
      <c r="R20" s="12" t="n"/>
      <c r="S20" s="21" t="n"/>
      <c r="T20" s="12" t="n"/>
      <c r="U20" s="12" t="n"/>
      <c r="V20" s="21" t="n"/>
      <c r="W20" s="12" t="n"/>
      <c r="X20" s="12" t="n"/>
      <c r="Y20" s="21" t="n"/>
      <c r="Z20" s="12" t="n"/>
      <c r="AA20" s="12" t="n"/>
      <c r="AB20" s="12" t="n"/>
      <c r="AC20" s="12" t="n"/>
      <c r="AD20" s="12" t="n"/>
      <c r="AE20" s="22">
        <f>IF($B20="","",ROUND(N($E20)+N($H20)+N($K20)+N($N20)+N($Q20)+N($T20)+N($W20)+N($Z20)+N($AA20)+N($AB20)+N($AC20)+N($AD20),2))</f>
        <v/>
      </c>
      <c r="AF20">
        <f>IF($B20="",0,IF(AND($C20&lt;&gt;"",$D20&lt;&gt;"",$E20&lt;&gt;"",ABS($C20*$D20-$E20)&gt;1),1,0)+IF(AND($F20&lt;&gt;"",$G20&lt;&gt;"",$H20&lt;&gt;"",ABS($F20*$G20-$H20)&gt;1),1,0)+IF(AND($I20&lt;&gt;"",$J20&lt;&gt;"",$K20&lt;&gt;"",ABS($I20*$J20-$K20)&gt;1),1,0)+IF(AND($L20&lt;&gt;"",$M20&lt;&gt;"",$N20&lt;&gt;"",ABS($L20*$M20-$N20)&gt;1),1,0)+IF(AND($O20&lt;&gt;"",$P20&lt;&gt;"",$Q20&lt;&gt;"",ABS($O20*$P20-$Q20)&gt;1),1,0)+IF(AND($R20&lt;&gt;"",$S20&lt;&gt;"",$T20&lt;&gt;"",ABS($R20*$S20-$T20)&gt;1),1,0)+IF(AND($U20&lt;&gt;"",$V20&lt;&gt;"",$W20&lt;&gt;"",ABS($U20*$V20-$W20)&gt;1),1,0)+IF(AND($X20&lt;&gt;"",$Y20&lt;&gt;"",$Z20&lt;&gt;"",ABS($X20*$Y20-$Z20)&gt;1),1,0))</f>
        <v/>
      </c>
    </row>
    <row r="21" ht="21" customHeight="1" s="66">
      <c r="A21" s="15">
        <f>IF($B21="","",COUNTA($B$4:$B21))</f>
        <v/>
      </c>
      <c r="B21" s="20" t="n"/>
      <c r="C21" s="12" t="n"/>
      <c r="D21" s="21" t="n"/>
      <c r="E21" s="12" t="n"/>
      <c r="F21" s="12" t="n"/>
      <c r="G21" s="21" t="n"/>
      <c r="H21" s="12" t="n"/>
      <c r="I21" s="12" t="n"/>
      <c r="J21" s="21" t="n"/>
      <c r="K21" s="12" t="n"/>
      <c r="L21" s="12" t="n"/>
      <c r="M21" s="21" t="n"/>
      <c r="N21" s="12" t="n"/>
      <c r="O21" s="12" t="n"/>
      <c r="P21" s="21" t="n"/>
      <c r="Q21" s="12" t="n"/>
      <c r="R21" s="12" t="n"/>
      <c r="S21" s="21" t="n"/>
      <c r="T21" s="12" t="n"/>
      <c r="U21" s="12" t="n"/>
      <c r="V21" s="21" t="n"/>
      <c r="W21" s="12" t="n"/>
      <c r="X21" s="12" t="n"/>
      <c r="Y21" s="21" t="n"/>
      <c r="Z21" s="12" t="n"/>
      <c r="AA21" s="12" t="n"/>
      <c r="AB21" s="12" t="n"/>
      <c r="AC21" s="12" t="n"/>
      <c r="AD21" s="12" t="n"/>
      <c r="AE21" s="22">
        <f>IF($B21="","",ROUND(N($E21)+N($H21)+N($K21)+N($N21)+N($Q21)+N($T21)+N($W21)+N($Z21)+N($AA21)+N($AB21)+N($AC21)+N($AD21),2))</f>
        <v/>
      </c>
      <c r="AF21">
        <f>IF($B21="",0,IF(AND($C21&lt;&gt;"",$D21&lt;&gt;"",$E21&lt;&gt;"",ABS($C21*$D21-$E21)&gt;1),1,0)+IF(AND($F21&lt;&gt;"",$G21&lt;&gt;"",$H21&lt;&gt;"",ABS($F21*$G21-$H21)&gt;1),1,0)+IF(AND($I21&lt;&gt;"",$J21&lt;&gt;"",$K21&lt;&gt;"",ABS($I21*$J21-$K21)&gt;1),1,0)+IF(AND($L21&lt;&gt;"",$M21&lt;&gt;"",$N21&lt;&gt;"",ABS($L21*$M21-$N21)&gt;1),1,0)+IF(AND($O21&lt;&gt;"",$P21&lt;&gt;"",$Q21&lt;&gt;"",ABS($O21*$P21-$Q21)&gt;1),1,0)+IF(AND($R21&lt;&gt;"",$S21&lt;&gt;"",$T21&lt;&gt;"",ABS($R21*$S21-$T21)&gt;1),1,0)+IF(AND($U21&lt;&gt;"",$V21&lt;&gt;"",$W21&lt;&gt;"",ABS($U21*$V21-$W21)&gt;1),1,0)+IF(AND($X21&lt;&gt;"",$Y21&lt;&gt;"",$Z21&lt;&gt;"",ABS($X21*$Y21-$Z21)&gt;1),1,0))</f>
        <v/>
      </c>
    </row>
    <row r="22" ht="21" customHeight="1" s="66">
      <c r="A22" s="15">
        <f>IF($B22="","",COUNTA($B$4:$B22))</f>
        <v/>
      </c>
      <c r="B22" s="20" t="n"/>
      <c r="C22" s="12" t="n"/>
      <c r="D22" s="21" t="n"/>
      <c r="E22" s="12" t="n"/>
      <c r="F22" s="12" t="n"/>
      <c r="G22" s="21" t="n"/>
      <c r="H22" s="12" t="n"/>
      <c r="I22" s="12" t="n"/>
      <c r="J22" s="21" t="n"/>
      <c r="K22" s="12" t="n"/>
      <c r="L22" s="12" t="n"/>
      <c r="M22" s="21" t="n"/>
      <c r="N22" s="12" t="n"/>
      <c r="O22" s="12" t="n"/>
      <c r="P22" s="21" t="n"/>
      <c r="Q22" s="12" t="n"/>
      <c r="R22" s="12" t="n"/>
      <c r="S22" s="21" t="n"/>
      <c r="T22" s="12" t="n"/>
      <c r="U22" s="12" t="n"/>
      <c r="V22" s="21" t="n"/>
      <c r="W22" s="12" t="n"/>
      <c r="X22" s="12" t="n"/>
      <c r="Y22" s="21" t="n"/>
      <c r="Z22" s="12" t="n"/>
      <c r="AA22" s="12" t="n"/>
      <c r="AB22" s="12" t="n"/>
      <c r="AC22" s="12" t="n"/>
      <c r="AD22" s="12" t="n"/>
      <c r="AE22" s="22">
        <f>IF($B22="","",ROUND(N($E22)+N($H22)+N($K22)+N($N22)+N($Q22)+N($T22)+N($W22)+N($Z22)+N($AA22)+N($AB22)+N($AC22)+N($AD22),2))</f>
        <v/>
      </c>
      <c r="AF22">
        <f>IF($B22="",0,IF(AND($C22&lt;&gt;"",$D22&lt;&gt;"",$E22&lt;&gt;"",ABS($C22*$D22-$E22)&gt;1),1,0)+IF(AND($F22&lt;&gt;"",$G22&lt;&gt;"",$H22&lt;&gt;"",ABS($F22*$G22-$H22)&gt;1),1,0)+IF(AND($I22&lt;&gt;"",$J22&lt;&gt;"",$K22&lt;&gt;"",ABS($I22*$J22-$K22)&gt;1),1,0)+IF(AND($L22&lt;&gt;"",$M22&lt;&gt;"",$N22&lt;&gt;"",ABS($L22*$M22-$N22)&gt;1),1,0)+IF(AND($O22&lt;&gt;"",$P22&lt;&gt;"",$Q22&lt;&gt;"",ABS($O22*$P22-$Q22)&gt;1),1,0)+IF(AND($R22&lt;&gt;"",$S22&lt;&gt;"",$T22&lt;&gt;"",ABS($R22*$S22-$T22)&gt;1),1,0)+IF(AND($U22&lt;&gt;"",$V22&lt;&gt;"",$W22&lt;&gt;"",ABS($U22*$V22-$W22)&gt;1),1,0)+IF(AND($X22&lt;&gt;"",$Y22&lt;&gt;"",$Z22&lt;&gt;"",ABS($X22*$Y22-$Z22)&gt;1),1,0))</f>
        <v/>
      </c>
    </row>
    <row r="23" ht="21" customHeight="1" s="66">
      <c r="A23" s="15">
        <f>IF($B23="","",COUNTA($B$4:$B23))</f>
        <v/>
      </c>
      <c r="B23" s="20" t="n"/>
      <c r="C23" s="12" t="n"/>
      <c r="D23" s="21" t="n"/>
      <c r="E23" s="12" t="n"/>
      <c r="F23" s="12" t="n"/>
      <c r="G23" s="21" t="n"/>
      <c r="H23" s="12" t="n"/>
      <c r="I23" s="12" t="n"/>
      <c r="J23" s="21" t="n"/>
      <c r="K23" s="12" t="n"/>
      <c r="L23" s="12" t="n"/>
      <c r="M23" s="21" t="n"/>
      <c r="N23" s="12" t="n"/>
      <c r="O23" s="12" t="n"/>
      <c r="P23" s="21" t="n"/>
      <c r="Q23" s="12" t="n"/>
      <c r="R23" s="12" t="n"/>
      <c r="S23" s="21" t="n"/>
      <c r="T23" s="12" t="n"/>
      <c r="U23" s="12" t="n"/>
      <c r="V23" s="21" t="n"/>
      <c r="W23" s="12" t="n"/>
      <c r="X23" s="12" t="n"/>
      <c r="Y23" s="21" t="n"/>
      <c r="Z23" s="12" t="n"/>
      <c r="AA23" s="12" t="n"/>
      <c r="AB23" s="12" t="n"/>
      <c r="AC23" s="12" t="n"/>
      <c r="AD23" s="12" t="n"/>
      <c r="AE23" s="22">
        <f>IF($B23="","",ROUND(N($E23)+N($H23)+N($K23)+N($N23)+N($Q23)+N($T23)+N($W23)+N($Z23)+N($AA23)+N($AB23)+N($AC23)+N($AD23),2))</f>
        <v/>
      </c>
      <c r="AF23">
        <f>IF($B23="",0,IF(AND($C23&lt;&gt;"",$D23&lt;&gt;"",$E23&lt;&gt;"",ABS($C23*$D23-$E23)&gt;1),1,0)+IF(AND($F23&lt;&gt;"",$G23&lt;&gt;"",$H23&lt;&gt;"",ABS($F23*$G23-$H23)&gt;1),1,0)+IF(AND($I23&lt;&gt;"",$J23&lt;&gt;"",$K23&lt;&gt;"",ABS($I23*$J23-$K23)&gt;1),1,0)+IF(AND($L23&lt;&gt;"",$M23&lt;&gt;"",$N23&lt;&gt;"",ABS($L23*$M23-$N23)&gt;1),1,0)+IF(AND($O23&lt;&gt;"",$P23&lt;&gt;"",$Q23&lt;&gt;"",ABS($O23*$P23-$Q23)&gt;1),1,0)+IF(AND($R23&lt;&gt;"",$S23&lt;&gt;"",$T23&lt;&gt;"",ABS($R23*$S23-$T23)&gt;1),1,0)+IF(AND($U23&lt;&gt;"",$V23&lt;&gt;"",$W23&lt;&gt;"",ABS($U23*$V23-$W23)&gt;1),1,0)+IF(AND($X23&lt;&gt;"",$Y23&lt;&gt;"",$Z23&lt;&gt;"",ABS($X23*$Y23-$Z23)&gt;1),1,0))</f>
        <v/>
      </c>
    </row>
    <row r="24" ht="21" customHeight="1" s="66">
      <c r="A24" s="15">
        <f>IF($B24="","",COUNTA($B$4:$B24))</f>
        <v/>
      </c>
      <c r="B24" s="20" t="n"/>
      <c r="C24" s="12" t="n"/>
      <c r="D24" s="21" t="n"/>
      <c r="E24" s="12" t="n"/>
      <c r="F24" s="12" t="n"/>
      <c r="G24" s="21" t="n"/>
      <c r="H24" s="12" t="n"/>
      <c r="I24" s="12" t="n"/>
      <c r="J24" s="21" t="n"/>
      <c r="K24" s="12" t="n"/>
      <c r="L24" s="12" t="n"/>
      <c r="M24" s="21" t="n"/>
      <c r="N24" s="12" t="n"/>
      <c r="O24" s="12" t="n"/>
      <c r="P24" s="21" t="n"/>
      <c r="Q24" s="12" t="n"/>
      <c r="R24" s="12" t="n"/>
      <c r="S24" s="21" t="n"/>
      <c r="T24" s="12" t="n"/>
      <c r="U24" s="12" t="n"/>
      <c r="V24" s="21" t="n"/>
      <c r="W24" s="12" t="n"/>
      <c r="X24" s="12" t="n"/>
      <c r="Y24" s="21" t="n"/>
      <c r="Z24" s="12" t="n"/>
      <c r="AA24" s="12" t="n"/>
      <c r="AB24" s="12" t="n"/>
      <c r="AC24" s="12" t="n"/>
      <c r="AD24" s="12" t="n"/>
      <c r="AE24" s="22">
        <f>IF($B24="","",ROUND(N($E24)+N($H24)+N($K24)+N($N24)+N($Q24)+N($T24)+N($W24)+N($Z24)+N($AA24)+N($AB24)+N($AC24)+N($AD24),2))</f>
        <v/>
      </c>
      <c r="AF24">
        <f>IF($B24="",0,IF(AND($C24&lt;&gt;"",$D24&lt;&gt;"",$E24&lt;&gt;"",ABS($C24*$D24-$E24)&gt;1),1,0)+IF(AND($F24&lt;&gt;"",$G24&lt;&gt;"",$H24&lt;&gt;"",ABS($F24*$G24-$H24)&gt;1),1,0)+IF(AND($I24&lt;&gt;"",$J24&lt;&gt;"",$K24&lt;&gt;"",ABS($I24*$J24-$K24)&gt;1),1,0)+IF(AND($L24&lt;&gt;"",$M24&lt;&gt;"",$N24&lt;&gt;"",ABS($L24*$M24-$N24)&gt;1),1,0)+IF(AND($O24&lt;&gt;"",$P24&lt;&gt;"",$Q24&lt;&gt;"",ABS($O24*$P24-$Q24)&gt;1),1,0)+IF(AND($R24&lt;&gt;"",$S24&lt;&gt;"",$T24&lt;&gt;"",ABS($R24*$S24-$T24)&gt;1),1,0)+IF(AND($U24&lt;&gt;"",$V24&lt;&gt;"",$W24&lt;&gt;"",ABS($U24*$V24-$W24)&gt;1),1,0)+IF(AND($X24&lt;&gt;"",$Y24&lt;&gt;"",$Z24&lt;&gt;"",ABS($X24*$Y24-$Z24)&gt;1),1,0))</f>
        <v/>
      </c>
    </row>
    <row r="25" ht="21" customHeight="1" s="66">
      <c r="A25" s="15">
        <f>IF($B25="","",COUNTA($B$4:$B25))</f>
        <v/>
      </c>
      <c r="B25" s="20" t="n"/>
      <c r="C25" s="12" t="n"/>
      <c r="D25" s="21" t="n"/>
      <c r="E25" s="12" t="n"/>
      <c r="F25" s="12" t="n"/>
      <c r="G25" s="21" t="n"/>
      <c r="H25" s="12" t="n"/>
      <c r="I25" s="12" t="n"/>
      <c r="J25" s="21" t="n"/>
      <c r="K25" s="12" t="n"/>
      <c r="L25" s="12" t="n"/>
      <c r="M25" s="21" t="n"/>
      <c r="N25" s="12" t="n"/>
      <c r="O25" s="12" t="n"/>
      <c r="P25" s="21" t="n"/>
      <c r="Q25" s="12" t="n"/>
      <c r="R25" s="12" t="n"/>
      <c r="S25" s="21" t="n"/>
      <c r="T25" s="12" t="n"/>
      <c r="U25" s="12" t="n"/>
      <c r="V25" s="21" t="n"/>
      <c r="W25" s="12" t="n"/>
      <c r="X25" s="12" t="n"/>
      <c r="Y25" s="21" t="n"/>
      <c r="Z25" s="12" t="n"/>
      <c r="AA25" s="12" t="n"/>
      <c r="AB25" s="12" t="n"/>
      <c r="AC25" s="12" t="n"/>
      <c r="AD25" s="12" t="n"/>
      <c r="AE25" s="22">
        <f>IF($B25="","",ROUND(N($E25)+N($H25)+N($K25)+N($N25)+N($Q25)+N($T25)+N($W25)+N($Z25)+N($AA25)+N($AB25)+N($AC25)+N($AD25),2))</f>
        <v/>
      </c>
      <c r="AF25">
        <f>IF($B25="",0,IF(AND($C25&lt;&gt;"",$D25&lt;&gt;"",$E25&lt;&gt;"",ABS($C25*$D25-$E25)&gt;1),1,0)+IF(AND($F25&lt;&gt;"",$G25&lt;&gt;"",$H25&lt;&gt;"",ABS($F25*$G25-$H25)&gt;1),1,0)+IF(AND($I25&lt;&gt;"",$J25&lt;&gt;"",$K25&lt;&gt;"",ABS($I25*$J25-$K25)&gt;1),1,0)+IF(AND($L25&lt;&gt;"",$M25&lt;&gt;"",$N25&lt;&gt;"",ABS($L25*$M25-$N25)&gt;1),1,0)+IF(AND($O25&lt;&gt;"",$P25&lt;&gt;"",$Q25&lt;&gt;"",ABS($O25*$P25-$Q25)&gt;1),1,0)+IF(AND($R25&lt;&gt;"",$S25&lt;&gt;"",$T25&lt;&gt;"",ABS($R25*$S25-$T25)&gt;1),1,0)+IF(AND($U25&lt;&gt;"",$V25&lt;&gt;"",$W25&lt;&gt;"",ABS($U25*$V25-$W25)&gt;1),1,0)+IF(AND($X25&lt;&gt;"",$Y25&lt;&gt;"",$Z25&lt;&gt;"",ABS($X25*$Y25-$Z25)&gt;1),1,0))</f>
        <v/>
      </c>
    </row>
    <row r="26" ht="21" customHeight="1" s="66">
      <c r="A26" s="15">
        <f>IF($B26="","",COUNTA($B$4:$B26))</f>
        <v/>
      </c>
      <c r="B26" s="20" t="n"/>
      <c r="C26" s="12" t="n"/>
      <c r="D26" s="21" t="n"/>
      <c r="E26" s="12" t="n"/>
      <c r="F26" s="12" t="n"/>
      <c r="G26" s="21" t="n"/>
      <c r="H26" s="12" t="n"/>
      <c r="I26" s="12" t="n"/>
      <c r="J26" s="21" t="n"/>
      <c r="K26" s="12" t="n"/>
      <c r="L26" s="12" t="n"/>
      <c r="M26" s="21" t="n"/>
      <c r="N26" s="12" t="n"/>
      <c r="O26" s="12" t="n"/>
      <c r="P26" s="21" t="n"/>
      <c r="Q26" s="12" t="n"/>
      <c r="R26" s="12" t="n"/>
      <c r="S26" s="21" t="n"/>
      <c r="T26" s="12" t="n"/>
      <c r="U26" s="12" t="n"/>
      <c r="V26" s="21" t="n"/>
      <c r="W26" s="12" t="n"/>
      <c r="X26" s="12" t="n"/>
      <c r="Y26" s="21" t="n"/>
      <c r="Z26" s="12" t="n"/>
      <c r="AA26" s="12" t="n"/>
      <c r="AB26" s="12" t="n"/>
      <c r="AC26" s="12" t="n"/>
      <c r="AD26" s="12" t="n"/>
      <c r="AE26" s="22">
        <f>IF($B26="","",ROUND(N($E26)+N($H26)+N($K26)+N($N26)+N($Q26)+N($T26)+N($W26)+N($Z26)+N($AA26)+N($AB26)+N($AC26)+N($AD26),2))</f>
        <v/>
      </c>
      <c r="AF26">
        <f>IF($B26="",0,IF(AND($C26&lt;&gt;"",$D26&lt;&gt;"",$E26&lt;&gt;"",ABS($C26*$D26-$E26)&gt;1),1,0)+IF(AND($F26&lt;&gt;"",$G26&lt;&gt;"",$H26&lt;&gt;"",ABS($F26*$G26-$H26)&gt;1),1,0)+IF(AND($I26&lt;&gt;"",$J26&lt;&gt;"",$K26&lt;&gt;"",ABS($I26*$J26-$K26)&gt;1),1,0)+IF(AND($L26&lt;&gt;"",$M26&lt;&gt;"",$N26&lt;&gt;"",ABS($L26*$M26-$N26)&gt;1),1,0)+IF(AND($O26&lt;&gt;"",$P26&lt;&gt;"",$Q26&lt;&gt;"",ABS($O26*$P26-$Q26)&gt;1),1,0)+IF(AND($R26&lt;&gt;"",$S26&lt;&gt;"",$T26&lt;&gt;"",ABS($R26*$S26-$T26)&gt;1),1,0)+IF(AND($U26&lt;&gt;"",$V26&lt;&gt;"",$W26&lt;&gt;"",ABS($U26*$V26-$W26)&gt;1),1,0)+IF(AND($X26&lt;&gt;"",$Y26&lt;&gt;"",$Z26&lt;&gt;"",ABS($X26*$Y26-$Z26)&gt;1),1,0))</f>
        <v/>
      </c>
    </row>
    <row r="27" ht="21" customHeight="1" s="66">
      <c r="A27" s="15">
        <f>IF($B27="","",COUNTA($B$4:$B27))</f>
        <v/>
      </c>
      <c r="B27" s="20" t="n"/>
      <c r="C27" s="12" t="n"/>
      <c r="D27" s="21" t="n"/>
      <c r="E27" s="12" t="n"/>
      <c r="F27" s="12" t="n"/>
      <c r="G27" s="21" t="n"/>
      <c r="H27" s="12" t="n"/>
      <c r="I27" s="12" t="n"/>
      <c r="J27" s="21" t="n"/>
      <c r="K27" s="12" t="n"/>
      <c r="L27" s="12" t="n"/>
      <c r="M27" s="21" t="n"/>
      <c r="N27" s="12" t="n"/>
      <c r="O27" s="12" t="n"/>
      <c r="P27" s="21" t="n"/>
      <c r="Q27" s="12" t="n"/>
      <c r="R27" s="12" t="n"/>
      <c r="S27" s="21" t="n"/>
      <c r="T27" s="12" t="n"/>
      <c r="U27" s="12" t="n"/>
      <c r="V27" s="21" t="n"/>
      <c r="W27" s="12" t="n"/>
      <c r="X27" s="12" t="n"/>
      <c r="Y27" s="21" t="n"/>
      <c r="Z27" s="12" t="n"/>
      <c r="AA27" s="12" t="n"/>
      <c r="AB27" s="12" t="n"/>
      <c r="AC27" s="12" t="n"/>
      <c r="AD27" s="12" t="n"/>
      <c r="AE27" s="22">
        <f>IF($B27="","",ROUND(N($E27)+N($H27)+N($K27)+N($N27)+N($Q27)+N($T27)+N($W27)+N($Z27)+N($AA27)+N($AB27)+N($AC27)+N($AD27),2))</f>
        <v/>
      </c>
      <c r="AF27">
        <f>IF($B27="",0,IF(AND($C27&lt;&gt;"",$D27&lt;&gt;"",$E27&lt;&gt;"",ABS($C27*$D27-$E27)&gt;1),1,0)+IF(AND($F27&lt;&gt;"",$G27&lt;&gt;"",$H27&lt;&gt;"",ABS($F27*$G27-$H27)&gt;1),1,0)+IF(AND($I27&lt;&gt;"",$J27&lt;&gt;"",$K27&lt;&gt;"",ABS($I27*$J27-$K27)&gt;1),1,0)+IF(AND($L27&lt;&gt;"",$M27&lt;&gt;"",$N27&lt;&gt;"",ABS($L27*$M27-$N27)&gt;1),1,0)+IF(AND($O27&lt;&gt;"",$P27&lt;&gt;"",$Q27&lt;&gt;"",ABS($O27*$P27-$Q27)&gt;1),1,0)+IF(AND($R27&lt;&gt;"",$S27&lt;&gt;"",$T27&lt;&gt;"",ABS($R27*$S27-$T27)&gt;1),1,0)+IF(AND($U27&lt;&gt;"",$V27&lt;&gt;"",$W27&lt;&gt;"",ABS($U27*$V27-$W27)&gt;1),1,0)+IF(AND($X27&lt;&gt;"",$Y27&lt;&gt;"",$Z27&lt;&gt;"",ABS($X27*$Y27-$Z27)&gt;1),1,0))</f>
        <v/>
      </c>
    </row>
    <row r="28" ht="21" customHeight="1" s="66">
      <c r="A28" s="15">
        <f>IF($B28="","",COUNTA($B$4:$B28))</f>
        <v/>
      </c>
      <c r="B28" s="20" t="n"/>
      <c r="C28" s="12" t="n"/>
      <c r="D28" s="21" t="n"/>
      <c r="E28" s="12" t="n"/>
      <c r="F28" s="12" t="n"/>
      <c r="G28" s="21" t="n"/>
      <c r="H28" s="12" t="n"/>
      <c r="I28" s="12" t="n"/>
      <c r="J28" s="21" t="n"/>
      <c r="K28" s="12" t="n"/>
      <c r="L28" s="12" t="n"/>
      <c r="M28" s="21" t="n"/>
      <c r="N28" s="12" t="n"/>
      <c r="O28" s="12" t="n"/>
      <c r="P28" s="21" t="n"/>
      <c r="Q28" s="12" t="n"/>
      <c r="R28" s="12" t="n"/>
      <c r="S28" s="21" t="n"/>
      <c r="T28" s="12" t="n"/>
      <c r="U28" s="12" t="n"/>
      <c r="V28" s="21" t="n"/>
      <c r="W28" s="12" t="n"/>
      <c r="X28" s="12" t="n"/>
      <c r="Y28" s="21" t="n"/>
      <c r="Z28" s="12" t="n"/>
      <c r="AA28" s="12" t="n"/>
      <c r="AB28" s="12" t="n"/>
      <c r="AC28" s="12" t="n"/>
      <c r="AD28" s="12" t="n"/>
      <c r="AE28" s="22">
        <f>IF($B28="","",ROUND(N($E28)+N($H28)+N($K28)+N($N28)+N($Q28)+N($T28)+N($W28)+N($Z28)+N($AA28)+N($AB28)+N($AC28)+N($AD28),2))</f>
        <v/>
      </c>
      <c r="AF28">
        <f>IF($B28="",0,IF(AND($C28&lt;&gt;"",$D28&lt;&gt;"",$E28&lt;&gt;"",ABS($C28*$D28-$E28)&gt;1),1,0)+IF(AND($F28&lt;&gt;"",$G28&lt;&gt;"",$H28&lt;&gt;"",ABS($F28*$G28-$H28)&gt;1),1,0)+IF(AND($I28&lt;&gt;"",$J28&lt;&gt;"",$K28&lt;&gt;"",ABS($I28*$J28-$K28)&gt;1),1,0)+IF(AND($L28&lt;&gt;"",$M28&lt;&gt;"",$N28&lt;&gt;"",ABS($L28*$M28-$N28)&gt;1),1,0)+IF(AND($O28&lt;&gt;"",$P28&lt;&gt;"",$Q28&lt;&gt;"",ABS($O28*$P28-$Q28)&gt;1),1,0)+IF(AND($R28&lt;&gt;"",$S28&lt;&gt;"",$T28&lt;&gt;"",ABS($R28*$S28-$T28)&gt;1),1,0)+IF(AND($U28&lt;&gt;"",$V28&lt;&gt;"",$W28&lt;&gt;"",ABS($U28*$V28-$W28)&gt;1),1,0)+IF(AND($X28&lt;&gt;"",$Y28&lt;&gt;"",$Z28&lt;&gt;"",ABS($X28*$Y28-$Z28)&gt;1),1,0))</f>
        <v/>
      </c>
    </row>
    <row r="29" ht="21" customHeight="1" s="66">
      <c r="A29" s="15">
        <f>IF($B29="","",COUNTA($B$4:$B29))</f>
        <v/>
      </c>
      <c r="B29" s="20" t="n"/>
      <c r="C29" s="12" t="n"/>
      <c r="D29" s="21" t="n"/>
      <c r="E29" s="12" t="n"/>
      <c r="F29" s="12" t="n"/>
      <c r="G29" s="21" t="n"/>
      <c r="H29" s="12" t="n"/>
      <c r="I29" s="12" t="n"/>
      <c r="J29" s="21" t="n"/>
      <c r="K29" s="12" t="n"/>
      <c r="L29" s="12" t="n"/>
      <c r="M29" s="21" t="n"/>
      <c r="N29" s="12" t="n"/>
      <c r="O29" s="12" t="n"/>
      <c r="P29" s="21" t="n"/>
      <c r="Q29" s="12" t="n"/>
      <c r="R29" s="12" t="n"/>
      <c r="S29" s="21" t="n"/>
      <c r="T29" s="12" t="n"/>
      <c r="U29" s="12" t="n"/>
      <c r="V29" s="21" t="n"/>
      <c r="W29" s="12" t="n"/>
      <c r="X29" s="12" t="n"/>
      <c r="Y29" s="21" t="n"/>
      <c r="Z29" s="12" t="n"/>
      <c r="AA29" s="12" t="n"/>
      <c r="AB29" s="12" t="n"/>
      <c r="AC29" s="12" t="n"/>
      <c r="AD29" s="12" t="n"/>
      <c r="AE29" s="22">
        <f>IF($B29="","",ROUND(N($E29)+N($H29)+N($K29)+N($N29)+N($Q29)+N($T29)+N($W29)+N($Z29)+N($AA29)+N($AB29)+N($AC29)+N($AD29),2))</f>
        <v/>
      </c>
      <c r="AF29">
        <f>IF($B29="",0,IF(AND($C29&lt;&gt;"",$D29&lt;&gt;"",$E29&lt;&gt;"",ABS($C29*$D29-$E29)&gt;1),1,0)+IF(AND($F29&lt;&gt;"",$G29&lt;&gt;"",$H29&lt;&gt;"",ABS($F29*$G29-$H29)&gt;1),1,0)+IF(AND($I29&lt;&gt;"",$J29&lt;&gt;"",$K29&lt;&gt;"",ABS($I29*$J29-$K29)&gt;1),1,0)+IF(AND($L29&lt;&gt;"",$M29&lt;&gt;"",$N29&lt;&gt;"",ABS($L29*$M29-$N29)&gt;1),1,0)+IF(AND($O29&lt;&gt;"",$P29&lt;&gt;"",$Q29&lt;&gt;"",ABS($O29*$P29-$Q29)&gt;1),1,0)+IF(AND($R29&lt;&gt;"",$S29&lt;&gt;"",$T29&lt;&gt;"",ABS($R29*$S29-$T29)&gt;1),1,0)+IF(AND($U29&lt;&gt;"",$V29&lt;&gt;"",$W29&lt;&gt;"",ABS($U29*$V29-$W29)&gt;1),1,0)+IF(AND($X29&lt;&gt;"",$Y29&lt;&gt;"",$Z29&lt;&gt;"",ABS($X29*$Y29-$Z29)&gt;1),1,0))</f>
        <v/>
      </c>
    </row>
    <row r="30" ht="21" customHeight="1" s="66">
      <c r="A30" s="15">
        <f>IF($B30="","",COUNTA($B$4:$B30))</f>
        <v/>
      </c>
      <c r="B30" s="20" t="n"/>
      <c r="C30" s="12" t="n"/>
      <c r="D30" s="21" t="n"/>
      <c r="E30" s="12" t="n"/>
      <c r="F30" s="12" t="n"/>
      <c r="G30" s="21" t="n"/>
      <c r="H30" s="12" t="n"/>
      <c r="I30" s="12" t="n"/>
      <c r="J30" s="21" t="n"/>
      <c r="K30" s="12" t="n"/>
      <c r="L30" s="12" t="n"/>
      <c r="M30" s="21" t="n"/>
      <c r="N30" s="12" t="n"/>
      <c r="O30" s="12" t="n"/>
      <c r="P30" s="21" t="n"/>
      <c r="Q30" s="12" t="n"/>
      <c r="R30" s="12" t="n"/>
      <c r="S30" s="21" t="n"/>
      <c r="T30" s="12" t="n"/>
      <c r="U30" s="12" t="n"/>
      <c r="V30" s="21" t="n"/>
      <c r="W30" s="12" t="n"/>
      <c r="X30" s="12" t="n"/>
      <c r="Y30" s="21" t="n"/>
      <c r="Z30" s="12" t="n"/>
      <c r="AA30" s="12" t="n"/>
      <c r="AB30" s="12" t="n"/>
      <c r="AC30" s="12" t="n"/>
      <c r="AD30" s="12" t="n"/>
      <c r="AE30" s="22">
        <f>IF($B30="","",ROUND(N($E30)+N($H30)+N($K30)+N($N30)+N($Q30)+N($T30)+N($W30)+N($Z30)+N($AA30)+N($AB30)+N($AC30)+N($AD30),2))</f>
        <v/>
      </c>
      <c r="AF30">
        <f>IF($B30="",0,IF(AND($C30&lt;&gt;"",$D30&lt;&gt;"",$E30&lt;&gt;"",ABS($C30*$D30-$E30)&gt;1),1,0)+IF(AND($F30&lt;&gt;"",$G30&lt;&gt;"",$H30&lt;&gt;"",ABS($F30*$G30-$H30)&gt;1),1,0)+IF(AND($I30&lt;&gt;"",$J30&lt;&gt;"",$K30&lt;&gt;"",ABS($I30*$J30-$K30)&gt;1),1,0)+IF(AND($L30&lt;&gt;"",$M30&lt;&gt;"",$N30&lt;&gt;"",ABS($L30*$M30-$N30)&gt;1),1,0)+IF(AND($O30&lt;&gt;"",$P30&lt;&gt;"",$Q30&lt;&gt;"",ABS($O30*$P30-$Q30)&gt;1),1,0)+IF(AND($R30&lt;&gt;"",$S30&lt;&gt;"",$T30&lt;&gt;"",ABS($R30*$S30-$T30)&gt;1),1,0)+IF(AND($U30&lt;&gt;"",$V30&lt;&gt;"",$W30&lt;&gt;"",ABS($U30*$V30-$W30)&gt;1),1,0)+IF(AND($X30&lt;&gt;"",$Y30&lt;&gt;"",$Z30&lt;&gt;"",ABS($X30*$Y30-$Z30)&gt;1),1,0))</f>
        <v/>
      </c>
    </row>
    <row r="31" ht="21" customHeight="1" s="66">
      <c r="A31" s="15">
        <f>IF($B31="","",COUNTA($B$4:$B31))</f>
        <v/>
      </c>
      <c r="B31" s="20" t="n"/>
      <c r="C31" s="12" t="n"/>
      <c r="D31" s="21" t="n"/>
      <c r="E31" s="12" t="n"/>
      <c r="F31" s="12" t="n"/>
      <c r="G31" s="21" t="n"/>
      <c r="H31" s="12" t="n"/>
      <c r="I31" s="12" t="n"/>
      <c r="J31" s="21" t="n"/>
      <c r="K31" s="12" t="n"/>
      <c r="L31" s="12" t="n"/>
      <c r="M31" s="21" t="n"/>
      <c r="N31" s="12" t="n"/>
      <c r="O31" s="12" t="n"/>
      <c r="P31" s="21" t="n"/>
      <c r="Q31" s="12" t="n"/>
      <c r="R31" s="12" t="n"/>
      <c r="S31" s="21" t="n"/>
      <c r="T31" s="12" t="n"/>
      <c r="U31" s="12" t="n"/>
      <c r="V31" s="21" t="n"/>
      <c r="W31" s="12" t="n"/>
      <c r="X31" s="12" t="n"/>
      <c r="Y31" s="21" t="n"/>
      <c r="Z31" s="12" t="n"/>
      <c r="AA31" s="12" t="n"/>
      <c r="AB31" s="12" t="n"/>
      <c r="AC31" s="12" t="n"/>
      <c r="AD31" s="12" t="n"/>
      <c r="AE31" s="22">
        <f>IF($B31="","",ROUND(N($E31)+N($H31)+N($K31)+N($N31)+N($Q31)+N($T31)+N($W31)+N($Z31)+N($AA31)+N($AB31)+N($AC31)+N($AD31),2))</f>
        <v/>
      </c>
      <c r="AF31">
        <f>IF($B31="",0,IF(AND($C31&lt;&gt;"",$D31&lt;&gt;"",$E31&lt;&gt;"",ABS($C31*$D31-$E31)&gt;1),1,0)+IF(AND($F31&lt;&gt;"",$G31&lt;&gt;"",$H31&lt;&gt;"",ABS($F31*$G31-$H31)&gt;1),1,0)+IF(AND($I31&lt;&gt;"",$J31&lt;&gt;"",$K31&lt;&gt;"",ABS($I31*$J31-$K31)&gt;1),1,0)+IF(AND($L31&lt;&gt;"",$M31&lt;&gt;"",$N31&lt;&gt;"",ABS($L31*$M31-$N31)&gt;1),1,0)+IF(AND($O31&lt;&gt;"",$P31&lt;&gt;"",$Q31&lt;&gt;"",ABS($O31*$P31-$Q31)&gt;1),1,0)+IF(AND($R31&lt;&gt;"",$S31&lt;&gt;"",$T31&lt;&gt;"",ABS($R31*$S31-$T31)&gt;1),1,0)+IF(AND($U31&lt;&gt;"",$V31&lt;&gt;"",$W31&lt;&gt;"",ABS($U31*$V31-$W31)&gt;1),1,0)+IF(AND($X31&lt;&gt;"",$Y31&lt;&gt;"",$Z31&lt;&gt;"",ABS($X31*$Y31-$Z31)&gt;1),1,0))</f>
        <v/>
      </c>
    </row>
    <row r="32" ht="21" customHeight="1" s="66">
      <c r="A32" s="15">
        <f>IF($B32="","",COUNTA($B$4:$B32))</f>
        <v/>
      </c>
      <c r="B32" s="20" t="n"/>
      <c r="C32" s="12" t="n"/>
      <c r="D32" s="21" t="n"/>
      <c r="E32" s="12" t="n"/>
      <c r="F32" s="12" t="n"/>
      <c r="G32" s="21" t="n"/>
      <c r="H32" s="12" t="n"/>
      <c r="I32" s="12" t="n"/>
      <c r="J32" s="21" t="n"/>
      <c r="K32" s="12" t="n"/>
      <c r="L32" s="12" t="n"/>
      <c r="M32" s="21" t="n"/>
      <c r="N32" s="12" t="n"/>
      <c r="O32" s="12" t="n"/>
      <c r="P32" s="21" t="n"/>
      <c r="Q32" s="12" t="n"/>
      <c r="R32" s="12" t="n"/>
      <c r="S32" s="21" t="n"/>
      <c r="T32" s="12" t="n"/>
      <c r="U32" s="12" t="n"/>
      <c r="V32" s="21" t="n"/>
      <c r="W32" s="12" t="n"/>
      <c r="X32" s="12" t="n"/>
      <c r="Y32" s="21" t="n"/>
      <c r="Z32" s="12" t="n"/>
      <c r="AA32" s="12" t="n"/>
      <c r="AB32" s="12" t="n"/>
      <c r="AC32" s="12" t="n"/>
      <c r="AD32" s="12" t="n"/>
      <c r="AE32" s="22">
        <f>IF($B32="","",ROUND(N($E32)+N($H32)+N($K32)+N($N32)+N($Q32)+N($T32)+N($W32)+N($Z32)+N($AA32)+N($AB32)+N($AC32)+N($AD32),2))</f>
        <v/>
      </c>
      <c r="AF32">
        <f>IF($B32="",0,IF(AND($C32&lt;&gt;"",$D32&lt;&gt;"",$E32&lt;&gt;"",ABS($C32*$D32-$E32)&gt;1),1,0)+IF(AND($F32&lt;&gt;"",$G32&lt;&gt;"",$H32&lt;&gt;"",ABS($F32*$G32-$H32)&gt;1),1,0)+IF(AND($I32&lt;&gt;"",$J32&lt;&gt;"",$K32&lt;&gt;"",ABS($I32*$J32-$K32)&gt;1),1,0)+IF(AND($L32&lt;&gt;"",$M32&lt;&gt;"",$N32&lt;&gt;"",ABS($L32*$M32-$N32)&gt;1),1,0)+IF(AND($O32&lt;&gt;"",$P32&lt;&gt;"",$Q32&lt;&gt;"",ABS($O32*$P32-$Q32)&gt;1),1,0)+IF(AND($R32&lt;&gt;"",$S32&lt;&gt;"",$T32&lt;&gt;"",ABS($R32*$S32-$T32)&gt;1),1,0)+IF(AND($U32&lt;&gt;"",$V32&lt;&gt;"",$W32&lt;&gt;"",ABS($U32*$V32-$W32)&gt;1),1,0)+IF(AND($X32&lt;&gt;"",$Y32&lt;&gt;"",$Z32&lt;&gt;"",ABS($X32*$Y32-$Z32)&gt;1),1,0))</f>
        <v/>
      </c>
    </row>
    <row r="33" ht="21" customHeight="1" s="66">
      <c r="A33" s="15">
        <f>IF($B33="","",COUNTA($B$4:$B33))</f>
        <v/>
      </c>
      <c r="B33" s="20" t="n"/>
      <c r="C33" s="12" t="n"/>
      <c r="D33" s="21" t="n"/>
      <c r="E33" s="12" t="n"/>
      <c r="F33" s="12" t="n"/>
      <c r="G33" s="21" t="n"/>
      <c r="H33" s="12" t="n"/>
      <c r="I33" s="12" t="n"/>
      <c r="J33" s="21" t="n"/>
      <c r="K33" s="12" t="n"/>
      <c r="L33" s="12" t="n"/>
      <c r="M33" s="21" t="n"/>
      <c r="N33" s="12" t="n"/>
      <c r="O33" s="12" t="n"/>
      <c r="P33" s="21" t="n"/>
      <c r="Q33" s="12" t="n"/>
      <c r="R33" s="12" t="n"/>
      <c r="S33" s="21" t="n"/>
      <c r="T33" s="12" t="n"/>
      <c r="U33" s="12" t="n"/>
      <c r="V33" s="21" t="n"/>
      <c r="W33" s="12" t="n"/>
      <c r="X33" s="12" t="n"/>
      <c r="Y33" s="21" t="n"/>
      <c r="Z33" s="12" t="n"/>
      <c r="AA33" s="12" t="n"/>
      <c r="AB33" s="12" t="n"/>
      <c r="AC33" s="12" t="n"/>
      <c r="AD33" s="12" t="n"/>
      <c r="AE33" s="22">
        <f>IF($B33="","",ROUND(N($E33)+N($H33)+N($K33)+N($N33)+N($Q33)+N($T33)+N($W33)+N($Z33)+N($AA33)+N($AB33)+N($AC33)+N($AD33),2))</f>
        <v/>
      </c>
      <c r="AF33">
        <f>IF($B33="",0,IF(AND($C33&lt;&gt;"",$D33&lt;&gt;"",$E33&lt;&gt;"",ABS($C33*$D33-$E33)&gt;1),1,0)+IF(AND($F33&lt;&gt;"",$G33&lt;&gt;"",$H33&lt;&gt;"",ABS($F33*$G33-$H33)&gt;1),1,0)+IF(AND($I33&lt;&gt;"",$J33&lt;&gt;"",$K33&lt;&gt;"",ABS($I33*$J33-$K33)&gt;1),1,0)+IF(AND($L33&lt;&gt;"",$M33&lt;&gt;"",$N33&lt;&gt;"",ABS($L33*$M33-$N33)&gt;1),1,0)+IF(AND($O33&lt;&gt;"",$P33&lt;&gt;"",$Q33&lt;&gt;"",ABS($O33*$P33-$Q33)&gt;1),1,0)+IF(AND($R33&lt;&gt;"",$S33&lt;&gt;"",$T33&lt;&gt;"",ABS($R33*$S33-$T33)&gt;1),1,0)+IF(AND($U33&lt;&gt;"",$V33&lt;&gt;"",$W33&lt;&gt;"",ABS($U33*$V33-$W33)&gt;1),1,0)+IF(AND($X33&lt;&gt;"",$Y33&lt;&gt;"",$Z33&lt;&gt;"",ABS($X33*$Y33-$Z33)&gt;1),1,0))</f>
        <v/>
      </c>
    </row>
    <row r="34" ht="21" customHeight="1" s="66">
      <c r="A34" s="15">
        <f>IF($B34="","",COUNTA($B$4:$B34))</f>
        <v/>
      </c>
      <c r="B34" s="20" t="n"/>
      <c r="C34" s="12" t="n"/>
      <c r="D34" s="21" t="n"/>
      <c r="E34" s="12" t="n"/>
      <c r="F34" s="12" t="n"/>
      <c r="G34" s="21" t="n"/>
      <c r="H34" s="12" t="n"/>
      <c r="I34" s="12" t="n"/>
      <c r="J34" s="21" t="n"/>
      <c r="K34" s="12" t="n"/>
      <c r="L34" s="12" t="n"/>
      <c r="M34" s="21" t="n"/>
      <c r="N34" s="12" t="n"/>
      <c r="O34" s="12" t="n"/>
      <c r="P34" s="21" t="n"/>
      <c r="Q34" s="12" t="n"/>
      <c r="R34" s="12" t="n"/>
      <c r="S34" s="21" t="n"/>
      <c r="T34" s="12" t="n"/>
      <c r="U34" s="12" t="n"/>
      <c r="V34" s="21" t="n"/>
      <c r="W34" s="12" t="n"/>
      <c r="X34" s="12" t="n"/>
      <c r="Y34" s="21" t="n"/>
      <c r="Z34" s="12" t="n"/>
      <c r="AA34" s="12" t="n"/>
      <c r="AB34" s="12" t="n"/>
      <c r="AC34" s="12" t="n"/>
      <c r="AD34" s="12" t="n"/>
      <c r="AE34" s="22">
        <f>IF($B34="","",ROUND(N($E34)+N($H34)+N($K34)+N($N34)+N($Q34)+N($T34)+N($W34)+N($Z34)+N($AA34)+N($AB34)+N($AC34)+N($AD34),2))</f>
        <v/>
      </c>
      <c r="AF34">
        <f>IF($B34="",0,IF(AND($C34&lt;&gt;"",$D34&lt;&gt;"",$E34&lt;&gt;"",ABS($C34*$D34-$E34)&gt;1),1,0)+IF(AND($F34&lt;&gt;"",$G34&lt;&gt;"",$H34&lt;&gt;"",ABS($F34*$G34-$H34)&gt;1),1,0)+IF(AND($I34&lt;&gt;"",$J34&lt;&gt;"",$K34&lt;&gt;"",ABS($I34*$J34-$K34)&gt;1),1,0)+IF(AND($L34&lt;&gt;"",$M34&lt;&gt;"",$N34&lt;&gt;"",ABS($L34*$M34-$N34)&gt;1),1,0)+IF(AND($O34&lt;&gt;"",$P34&lt;&gt;"",$Q34&lt;&gt;"",ABS($O34*$P34-$Q34)&gt;1),1,0)+IF(AND($R34&lt;&gt;"",$S34&lt;&gt;"",$T34&lt;&gt;"",ABS($R34*$S34-$T34)&gt;1),1,0)+IF(AND($U34&lt;&gt;"",$V34&lt;&gt;"",$W34&lt;&gt;"",ABS($U34*$V34-$W34)&gt;1),1,0)+IF(AND($X34&lt;&gt;"",$Y34&lt;&gt;"",$Z34&lt;&gt;"",ABS($X34*$Y34-$Z34)&gt;1),1,0))</f>
        <v/>
      </c>
    </row>
    <row r="35" ht="21" customHeight="1" s="66">
      <c r="A35" s="15">
        <f>IF($B35="","",COUNTA($B$4:$B35))</f>
        <v/>
      </c>
      <c r="B35" s="20" t="n"/>
      <c r="C35" s="12" t="n"/>
      <c r="D35" s="21" t="n"/>
      <c r="E35" s="12" t="n"/>
      <c r="F35" s="12" t="n"/>
      <c r="G35" s="21" t="n"/>
      <c r="H35" s="12" t="n"/>
      <c r="I35" s="12" t="n"/>
      <c r="J35" s="21" t="n"/>
      <c r="K35" s="12" t="n"/>
      <c r="L35" s="12" t="n"/>
      <c r="M35" s="21" t="n"/>
      <c r="N35" s="12" t="n"/>
      <c r="O35" s="12" t="n"/>
      <c r="P35" s="21" t="n"/>
      <c r="Q35" s="12" t="n"/>
      <c r="R35" s="12" t="n"/>
      <c r="S35" s="21" t="n"/>
      <c r="T35" s="12" t="n"/>
      <c r="U35" s="12" t="n"/>
      <c r="V35" s="21" t="n"/>
      <c r="W35" s="12" t="n"/>
      <c r="X35" s="12" t="n"/>
      <c r="Y35" s="21" t="n"/>
      <c r="Z35" s="12" t="n"/>
      <c r="AA35" s="12" t="n"/>
      <c r="AB35" s="12" t="n"/>
      <c r="AC35" s="12" t="n"/>
      <c r="AD35" s="12" t="n"/>
      <c r="AE35" s="22">
        <f>IF($B35="","",ROUND(N($E35)+N($H35)+N($K35)+N($N35)+N($Q35)+N($T35)+N($W35)+N($Z35)+N($AA35)+N($AB35)+N($AC35)+N($AD35),2))</f>
        <v/>
      </c>
      <c r="AF35">
        <f>IF($B35="",0,IF(AND($C35&lt;&gt;"",$D35&lt;&gt;"",$E35&lt;&gt;"",ABS($C35*$D35-$E35)&gt;1),1,0)+IF(AND($F35&lt;&gt;"",$G35&lt;&gt;"",$H35&lt;&gt;"",ABS($F35*$G35-$H35)&gt;1),1,0)+IF(AND($I35&lt;&gt;"",$J35&lt;&gt;"",$K35&lt;&gt;"",ABS($I35*$J35-$K35)&gt;1),1,0)+IF(AND($L35&lt;&gt;"",$M35&lt;&gt;"",$N35&lt;&gt;"",ABS($L35*$M35-$N35)&gt;1),1,0)+IF(AND($O35&lt;&gt;"",$P35&lt;&gt;"",$Q35&lt;&gt;"",ABS($O35*$P35-$Q35)&gt;1),1,0)+IF(AND($R35&lt;&gt;"",$S35&lt;&gt;"",$T35&lt;&gt;"",ABS($R35*$S35-$T35)&gt;1),1,0)+IF(AND($U35&lt;&gt;"",$V35&lt;&gt;"",$W35&lt;&gt;"",ABS($U35*$V35-$W35)&gt;1),1,0)+IF(AND($X35&lt;&gt;"",$Y35&lt;&gt;"",$Z35&lt;&gt;"",ABS($X35*$Y35-$Z35)&gt;1),1,0))</f>
        <v/>
      </c>
    </row>
    <row r="36" ht="21" customHeight="1" s="66">
      <c r="A36" s="15">
        <f>IF($B36="","",COUNTA($B$4:$B36))</f>
        <v/>
      </c>
      <c r="B36" s="20" t="n"/>
      <c r="C36" s="12" t="n"/>
      <c r="D36" s="21" t="n"/>
      <c r="E36" s="12" t="n"/>
      <c r="F36" s="12" t="n"/>
      <c r="G36" s="21" t="n"/>
      <c r="H36" s="12" t="n"/>
      <c r="I36" s="12" t="n"/>
      <c r="J36" s="21" t="n"/>
      <c r="K36" s="12" t="n"/>
      <c r="L36" s="12" t="n"/>
      <c r="M36" s="21" t="n"/>
      <c r="N36" s="12" t="n"/>
      <c r="O36" s="12" t="n"/>
      <c r="P36" s="21" t="n"/>
      <c r="Q36" s="12" t="n"/>
      <c r="R36" s="12" t="n"/>
      <c r="S36" s="21" t="n"/>
      <c r="T36" s="12" t="n"/>
      <c r="U36" s="12" t="n"/>
      <c r="V36" s="21" t="n"/>
      <c r="W36" s="12" t="n"/>
      <c r="X36" s="12" t="n"/>
      <c r="Y36" s="21" t="n"/>
      <c r="Z36" s="12" t="n"/>
      <c r="AA36" s="12" t="n"/>
      <c r="AB36" s="12" t="n"/>
      <c r="AC36" s="12" t="n"/>
      <c r="AD36" s="12" t="n"/>
      <c r="AE36" s="22">
        <f>IF($B36="","",ROUND(N($E36)+N($H36)+N($K36)+N($N36)+N($Q36)+N($T36)+N($W36)+N($Z36)+N($AA36)+N($AB36)+N($AC36)+N($AD36),2))</f>
        <v/>
      </c>
      <c r="AF36">
        <f>IF($B36="",0,IF(AND($C36&lt;&gt;"",$D36&lt;&gt;"",$E36&lt;&gt;"",ABS($C36*$D36-$E36)&gt;1),1,0)+IF(AND($F36&lt;&gt;"",$G36&lt;&gt;"",$H36&lt;&gt;"",ABS($F36*$G36-$H36)&gt;1),1,0)+IF(AND($I36&lt;&gt;"",$J36&lt;&gt;"",$K36&lt;&gt;"",ABS($I36*$J36-$K36)&gt;1),1,0)+IF(AND($L36&lt;&gt;"",$M36&lt;&gt;"",$N36&lt;&gt;"",ABS($L36*$M36-$N36)&gt;1),1,0)+IF(AND($O36&lt;&gt;"",$P36&lt;&gt;"",$Q36&lt;&gt;"",ABS($O36*$P36-$Q36)&gt;1),1,0)+IF(AND($R36&lt;&gt;"",$S36&lt;&gt;"",$T36&lt;&gt;"",ABS($R36*$S36-$T36)&gt;1),1,0)+IF(AND($U36&lt;&gt;"",$V36&lt;&gt;"",$W36&lt;&gt;"",ABS($U36*$V36-$W36)&gt;1),1,0)+IF(AND($X36&lt;&gt;"",$Y36&lt;&gt;"",$Z36&lt;&gt;"",ABS($X36*$Y36-$Z36)&gt;1),1,0))</f>
        <v/>
      </c>
    </row>
    <row r="37" ht="21" customHeight="1" s="66">
      <c r="A37" s="15">
        <f>IF($B37="","",COUNTA($B$4:$B37))</f>
        <v/>
      </c>
      <c r="B37" s="20" t="n"/>
      <c r="C37" s="12" t="n"/>
      <c r="D37" s="21" t="n"/>
      <c r="E37" s="12" t="n"/>
      <c r="F37" s="12" t="n"/>
      <c r="G37" s="21" t="n"/>
      <c r="H37" s="12" t="n"/>
      <c r="I37" s="12" t="n"/>
      <c r="J37" s="21" t="n"/>
      <c r="K37" s="12" t="n"/>
      <c r="L37" s="12" t="n"/>
      <c r="M37" s="21" t="n"/>
      <c r="N37" s="12" t="n"/>
      <c r="O37" s="12" t="n"/>
      <c r="P37" s="21" t="n"/>
      <c r="Q37" s="12" t="n"/>
      <c r="R37" s="12" t="n"/>
      <c r="S37" s="21" t="n"/>
      <c r="T37" s="12" t="n"/>
      <c r="U37" s="12" t="n"/>
      <c r="V37" s="21" t="n"/>
      <c r="W37" s="12" t="n"/>
      <c r="X37" s="12" t="n"/>
      <c r="Y37" s="21" t="n"/>
      <c r="Z37" s="12" t="n"/>
      <c r="AA37" s="12" t="n"/>
      <c r="AB37" s="12" t="n"/>
      <c r="AC37" s="12" t="n"/>
      <c r="AD37" s="12" t="n"/>
      <c r="AE37" s="22">
        <f>IF($B37="","",ROUND(N($E37)+N($H37)+N($K37)+N($N37)+N($Q37)+N($T37)+N($W37)+N($Z37)+N($AA37)+N($AB37)+N($AC37)+N($AD37),2))</f>
        <v/>
      </c>
      <c r="AF37">
        <f>IF($B37="",0,IF(AND($C37&lt;&gt;"",$D37&lt;&gt;"",$E37&lt;&gt;"",ABS($C37*$D37-$E37)&gt;1),1,0)+IF(AND($F37&lt;&gt;"",$G37&lt;&gt;"",$H37&lt;&gt;"",ABS($F37*$G37-$H37)&gt;1),1,0)+IF(AND($I37&lt;&gt;"",$J37&lt;&gt;"",$K37&lt;&gt;"",ABS($I37*$J37-$K37)&gt;1),1,0)+IF(AND($L37&lt;&gt;"",$M37&lt;&gt;"",$N37&lt;&gt;"",ABS($L37*$M37-$N37)&gt;1),1,0)+IF(AND($O37&lt;&gt;"",$P37&lt;&gt;"",$Q37&lt;&gt;"",ABS($O37*$P37-$Q37)&gt;1),1,0)+IF(AND($R37&lt;&gt;"",$S37&lt;&gt;"",$T37&lt;&gt;"",ABS($R37*$S37-$T37)&gt;1),1,0)+IF(AND($U37&lt;&gt;"",$V37&lt;&gt;"",$W37&lt;&gt;"",ABS($U37*$V37-$W37)&gt;1),1,0)+IF(AND($X37&lt;&gt;"",$Y37&lt;&gt;"",$Z37&lt;&gt;"",ABS($X37*$Y37-$Z37)&gt;1),1,0))</f>
        <v/>
      </c>
    </row>
    <row r="38" ht="21" customHeight="1" s="66">
      <c r="A38" s="15">
        <f>IF($B38="","",COUNTA($B$4:$B38))</f>
        <v/>
      </c>
      <c r="B38" s="20" t="n"/>
      <c r="C38" s="12" t="n"/>
      <c r="D38" s="21" t="n"/>
      <c r="E38" s="12" t="n"/>
      <c r="F38" s="12" t="n"/>
      <c r="G38" s="21" t="n"/>
      <c r="H38" s="12" t="n"/>
      <c r="I38" s="12" t="n"/>
      <c r="J38" s="21" t="n"/>
      <c r="K38" s="12" t="n"/>
      <c r="L38" s="12" t="n"/>
      <c r="M38" s="21" t="n"/>
      <c r="N38" s="12" t="n"/>
      <c r="O38" s="12" t="n"/>
      <c r="P38" s="21" t="n"/>
      <c r="Q38" s="12" t="n"/>
      <c r="R38" s="12" t="n"/>
      <c r="S38" s="21" t="n"/>
      <c r="T38" s="12" t="n"/>
      <c r="U38" s="12" t="n"/>
      <c r="V38" s="21" t="n"/>
      <c r="W38" s="12" t="n"/>
      <c r="X38" s="12" t="n"/>
      <c r="Y38" s="21" t="n"/>
      <c r="Z38" s="12" t="n"/>
      <c r="AA38" s="12" t="n"/>
      <c r="AB38" s="12" t="n"/>
      <c r="AC38" s="12" t="n"/>
      <c r="AD38" s="12" t="n"/>
      <c r="AE38" s="22">
        <f>IF($B38="","",ROUND(N($E38)+N($H38)+N($K38)+N($N38)+N($Q38)+N($T38)+N($W38)+N($Z38)+N($AA38)+N($AB38)+N($AC38)+N($AD38),2))</f>
        <v/>
      </c>
      <c r="AF38">
        <f>IF($B38="",0,IF(AND($C38&lt;&gt;"",$D38&lt;&gt;"",$E38&lt;&gt;"",ABS($C38*$D38-$E38)&gt;1),1,0)+IF(AND($F38&lt;&gt;"",$G38&lt;&gt;"",$H38&lt;&gt;"",ABS($F38*$G38-$H38)&gt;1),1,0)+IF(AND($I38&lt;&gt;"",$J38&lt;&gt;"",$K38&lt;&gt;"",ABS($I38*$J38-$K38)&gt;1),1,0)+IF(AND($L38&lt;&gt;"",$M38&lt;&gt;"",$N38&lt;&gt;"",ABS($L38*$M38-$N38)&gt;1),1,0)+IF(AND($O38&lt;&gt;"",$P38&lt;&gt;"",$Q38&lt;&gt;"",ABS($O38*$P38-$Q38)&gt;1),1,0)+IF(AND($R38&lt;&gt;"",$S38&lt;&gt;"",$T38&lt;&gt;"",ABS($R38*$S38-$T38)&gt;1),1,0)+IF(AND($U38&lt;&gt;"",$V38&lt;&gt;"",$W38&lt;&gt;"",ABS($U38*$V38-$W38)&gt;1),1,0)+IF(AND($X38&lt;&gt;"",$Y38&lt;&gt;"",$Z38&lt;&gt;"",ABS($X38*$Y38-$Z38)&gt;1),1,0))</f>
        <v/>
      </c>
    </row>
    <row r="39" ht="21" customHeight="1" s="66">
      <c r="A39" s="15">
        <f>IF($B39="","",COUNTA($B$4:$B39))</f>
        <v/>
      </c>
      <c r="B39" s="20" t="n"/>
      <c r="C39" s="12" t="n"/>
      <c r="D39" s="21" t="n"/>
      <c r="E39" s="12" t="n"/>
      <c r="F39" s="12" t="n"/>
      <c r="G39" s="21" t="n"/>
      <c r="H39" s="12" t="n"/>
      <c r="I39" s="12" t="n"/>
      <c r="J39" s="21" t="n"/>
      <c r="K39" s="12" t="n"/>
      <c r="L39" s="12" t="n"/>
      <c r="M39" s="21" t="n"/>
      <c r="N39" s="12" t="n"/>
      <c r="O39" s="12" t="n"/>
      <c r="P39" s="21" t="n"/>
      <c r="Q39" s="12" t="n"/>
      <c r="R39" s="12" t="n"/>
      <c r="S39" s="21" t="n"/>
      <c r="T39" s="12" t="n"/>
      <c r="U39" s="12" t="n"/>
      <c r="V39" s="21" t="n"/>
      <c r="W39" s="12" t="n"/>
      <c r="X39" s="12" t="n"/>
      <c r="Y39" s="21" t="n"/>
      <c r="Z39" s="12" t="n"/>
      <c r="AA39" s="12" t="n"/>
      <c r="AB39" s="12" t="n"/>
      <c r="AC39" s="12" t="n"/>
      <c r="AD39" s="12" t="n"/>
      <c r="AE39" s="22">
        <f>IF($B39="","",ROUND(N($E39)+N($H39)+N($K39)+N($N39)+N($Q39)+N($T39)+N($W39)+N($Z39)+N($AA39)+N($AB39)+N($AC39)+N($AD39),2))</f>
        <v/>
      </c>
      <c r="AF39">
        <f>IF($B39="",0,IF(AND($C39&lt;&gt;"",$D39&lt;&gt;"",$E39&lt;&gt;"",ABS($C39*$D39-$E39)&gt;1),1,0)+IF(AND($F39&lt;&gt;"",$G39&lt;&gt;"",$H39&lt;&gt;"",ABS($F39*$G39-$H39)&gt;1),1,0)+IF(AND($I39&lt;&gt;"",$J39&lt;&gt;"",$K39&lt;&gt;"",ABS($I39*$J39-$K39)&gt;1),1,0)+IF(AND($L39&lt;&gt;"",$M39&lt;&gt;"",$N39&lt;&gt;"",ABS($L39*$M39-$N39)&gt;1),1,0)+IF(AND($O39&lt;&gt;"",$P39&lt;&gt;"",$Q39&lt;&gt;"",ABS($O39*$P39-$Q39)&gt;1),1,0)+IF(AND($R39&lt;&gt;"",$S39&lt;&gt;"",$T39&lt;&gt;"",ABS($R39*$S39-$T39)&gt;1),1,0)+IF(AND($U39&lt;&gt;"",$V39&lt;&gt;"",$W39&lt;&gt;"",ABS($U39*$V39-$W39)&gt;1),1,0)+IF(AND($X39&lt;&gt;"",$Y39&lt;&gt;"",$Z39&lt;&gt;"",ABS($X39*$Y39-$Z39)&gt;1),1,0))</f>
        <v/>
      </c>
    </row>
    <row r="40" ht="21" customHeight="1" s="66">
      <c r="A40" s="15">
        <f>IF($B40="","",COUNTA($B$4:$B40))</f>
        <v/>
      </c>
      <c r="B40" s="20" t="n"/>
      <c r="C40" s="12" t="n"/>
      <c r="D40" s="21" t="n"/>
      <c r="E40" s="12" t="n"/>
      <c r="F40" s="12" t="n"/>
      <c r="G40" s="21" t="n"/>
      <c r="H40" s="12" t="n"/>
      <c r="I40" s="12" t="n"/>
      <c r="J40" s="21" t="n"/>
      <c r="K40" s="12" t="n"/>
      <c r="L40" s="12" t="n"/>
      <c r="M40" s="21" t="n"/>
      <c r="N40" s="12" t="n"/>
      <c r="O40" s="12" t="n"/>
      <c r="P40" s="21" t="n"/>
      <c r="Q40" s="12" t="n"/>
      <c r="R40" s="12" t="n"/>
      <c r="S40" s="21" t="n"/>
      <c r="T40" s="12" t="n"/>
      <c r="U40" s="12" t="n"/>
      <c r="V40" s="21" t="n"/>
      <c r="W40" s="12" t="n"/>
      <c r="X40" s="12" t="n"/>
      <c r="Y40" s="21" t="n"/>
      <c r="Z40" s="12" t="n"/>
      <c r="AA40" s="12" t="n"/>
      <c r="AB40" s="12" t="n"/>
      <c r="AC40" s="12" t="n"/>
      <c r="AD40" s="12" t="n"/>
      <c r="AE40" s="22">
        <f>IF($B40="","",ROUND(N($E40)+N($H40)+N($K40)+N($N40)+N($Q40)+N($T40)+N($W40)+N($Z40)+N($AA40)+N($AB40)+N($AC40)+N($AD40),2))</f>
        <v/>
      </c>
      <c r="AF40">
        <f>IF($B40="",0,IF(AND($C40&lt;&gt;"",$D40&lt;&gt;"",$E40&lt;&gt;"",ABS($C40*$D40-$E40)&gt;1),1,0)+IF(AND($F40&lt;&gt;"",$G40&lt;&gt;"",$H40&lt;&gt;"",ABS($F40*$G40-$H40)&gt;1),1,0)+IF(AND($I40&lt;&gt;"",$J40&lt;&gt;"",$K40&lt;&gt;"",ABS($I40*$J40-$K40)&gt;1),1,0)+IF(AND($L40&lt;&gt;"",$M40&lt;&gt;"",$N40&lt;&gt;"",ABS($L40*$M40-$N40)&gt;1),1,0)+IF(AND($O40&lt;&gt;"",$P40&lt;&gt;"",$Q40&lt;&gt;"",ABS($O40*$P40-$Q40)&gt;1),1,0)+IF(AND($R40&lt;&gt;"",$S40&lt;&gt;"",$T40&lt;&gt;"",ABS($R40*$S40-$T40)&gt;1),1,0)+IF(AND($U40&lt;&gt;"",$V40&lt;&gt;"",$W40&lt;&gt;"",ABS($U40*$V40-$W40)&gt;1),1,0)+IF(AND($X40&lt;&gt;"",$Y40&lt;&gt;"",$Z40&lt;&gt;"",ABS($X40*$Y40-$Z40)&gt;1),1,0))</f>
        <v/>
      </c>
    </row>
    <row r="41" ht="21" customHeight="1" s="66">
      <c r="A41" s="15">
        <f>IF($B41="","",COUNTA($B$4:$B41))</f>
        <v/>
      </c>
      <c r="B41" s="20" t="n"/>
      <c r="C41" s="12" t="n"/>
      <c r="D41" s="21" t="n"/>
      <c r="E41" s="12" t="n"/>
      <c r="F41" s="12" t="n"/>
      <c r="G41" s="21" t="n"/>
      <c r="H41" s="12" t="n"/>
      <c r="I41" s="12" t="n"/>
      <c r="J41" s="21" t="n"/>
      <c r="K41" s="12" t="n"/>
      <c r="L41" s="12" t="n"/>
      <c r="M41" s="21" t="n"/>
      <c r="N41" s="12" t="n"/>
      <c r="O41" s="12" t="n"/>
      <c r="P41" s="21" t="n"/>
      <c r="Q41" s="12" t="n"/>
      <c r="R41" s="12" t="n"/>
      <c r="S41" s="21" t="n"/>
      <c r="T41" s="12" t="n"/>
      <c r="U41" s="12" t="n"/>
      <c r="V41" s="21" t="n"/>
      <c r="W41" s="12" t="n"/>
      <c r="X41" s="12" t="n"/>
      <c r="Y41" s="21" t="n"/>
      <c r="Z41" s="12" t="n"/>
      <c r="AA41" s="12" t="n"/>
      <c r="AB41" s="12" t="n"/>
      <c r="AC41" s="12" t="n"/>
      <c r="AD41" s="12" t="n"/>
      <c r="AE41" s="22">
        <f>IF($B41="","",ROUND(N($E41)+N($H41)+N($K41)+N($N41)+N($Q41)+N($T41)+N($W41)+N($Z41)+N($AA41)+N($AB41)+N($AC41)+N($AD41),2))</f>
        <v/>
      </c>
      <c r="AF41">
        <f>IF($B41="",0,IF(AND($C41&lt;&gt;"",$D41&lt;&gt;"",$E41&lt;&gt;"",ABS($C41*$D41-$E41)&gt;1),1,0)+IF(AND($F41&lt;&gt;"",$G41&lt;&gt;"",$H41&lt;&gt;"",ABS($F41*$G41-$H41)&gt;1),1,0)+IF(AND($I41&lt;&gt;"",$J41&lt;&gt;"",$K41&lt;&gt;"",ABS($I41*$J41-$K41)&gt;1),1,0)+IF(AND($L41&lt;&gt;"",$M41&lt;&gt;"",$N41&lt;&gt;"",ABS($L41*$M41-$N41)&gt;1),1,0)+IF(AND($O41&lt;&gt;"",$P41&lt;&gt;"",$Q41&lt;&gt;"",ABS($O41*$P41-$Q41)&gt;1),1,0)+IF(AND($R41&lt;&gt;"",$S41&lt;&gt;"",$T41&lt;&gt;"",ABS($R41*$S41-$T41)&gt;1),1,0)+IF(AND($U41&lt;&gt;"",$V41&lt;&gt;"",$W41&lt;&gt;"",ABS($U41*$V41-$W41)&gt;1),1,0)+IF(AND($X41&lt;&gt;"",$Y41&lt;&gt;"",$Z41&lt;&gt;"",ABS($X41*$Y41-$Z41)&gt;1),1,0))</f>
        <v/>
      </c>
    </row>
    <row r="42" ht="21" customHeight="1" s="66">
      <c r="A42" s="15">
        <f>IF($B42="","",COUNTA($B$4:$B42))</f>
        <v/>
      </c>
      <c r="B42" s="20" t="n"/>
      <c r="C42" s="12" t="n"/>
      <c r="D42" s="21" t="n"/>
      <c r="E42" s="12" t="n"/>
      <c r="F42" s="12" t="n"/>
      <c r="G42" s="21" t="n"/>
      <c r="H42" s="12" t="n"/>
      <c r="I42" s="12" t="n"/>
      <c r="J42" s="21" t="n"/>
      <c r="K42" s="12" t="n"/>
      <c r="L42" s="12" t="n"/>
      <c r="M42" s="21" t="n"/>
      <c r="N42" s="12" t="n"/>
      <c r="O42" s="12" t="n"/>
      <c r="P42" s="21" t="n"/>
      <c r="Q42" s="12" t="n"/>
      <c r="R42" s="12" t="n"/>
      <c r="S42" s="21" t="n"/>
      <c r="T42" s="12" t="n"/>
      <c r="U42" s="12" t="n"/>
      <c r="V42" s="21" t="n"/>
      <c r="W42" s="12" t="n"/>
      <c r="X42" s="12" t="n"/>
      <c r="Y42" s="21" t="n"/>
      <c r="Z42" s="12" t="n"/>
      <c r="AA42" s="12" t="n"/>
      <c r="AB42" s="12" t="n"/>
      <c r="AC42" s="12" t="n"/>
      <c r="AD42" s="12" t="n"/>
      <c r="AE42" s="22">
        <f>IF($B42="","",ROUND(N($E42)+N($H42)+N($K42)+N($N42)+N($Q42)+N($T42)+N($W42)+N($Z42)+N($AA42)+N($AB42)+N($AC42)+N($AD42),2))</f>
        <v/>
      </c>
      <c r="AF42">
        <f>IF($B42="",0,IF(AND($C42&lt;&gt;"",$D42&lt;&gt;"",$E42&lt;&gt;"",ABS($C42*$D42-$E42)&gt;1),1,0)+IF(AND($F42&lt;&gt;"",$G42&lt;&gt;"",$H42&lt;&gt;"",ABS($F42*$G42-$H42)&gt;1),1,0)+IF(AND($I42&lt;&gt;"",$J42&lt;&gt;"",$K42&lt;&gt;"",ABS($I42*$J42-$K42)&gt;1),1,0)+IF(AND($L42&lt;&gt;"",$M42&lt;&gt;"",$N42&lt;&gt;"",ABS($L42*$M42-$N42)&gt;1),1,0)+IF(AND($O42&lt;&gt;"",$P42&lt;&gt;"",$Q42&lt;&gt;"",ABS($O42*$P42-$Q42)&gt;1),1,0)+IF(AND($R42&lt;&gt;"",$S42&lt;&gt;"",$T42&lt;&gt;"",ABS($R42*$S42-$T42)&gt;1),1,0)+IF(AND($U42&lt;&gt;"",$V42&lt;&gt;"",$W42&lt;&gt;"",ABS($U42*$V42-$W42)&gt;1),1,0)+IF(AND($X42&lt;&gt;"",$Y42&lt;&gt;"",$Z42&lt;&gt;"",ABS($X42*$Y42-$Z42)&gt;1),1,0))</f>
        <v/>
      </c>
    </row>
    <row r="43" ht="21" customHeight="1" s="66">
      <c r="A43" s="15">
        <f>IF($B43="","",COUNTA($B$4:$B43))</f>
        <v/>
      </c>
      <c r="B43" s="20" t="n"/>
      <c r="C43" s="12" t="n"/>
      <c r="D43" s="21" t="n"/>
      <c r="E43" s="12" t="n"/>
      <c r="F43" s="12" t="n"/>
      <c r="G43" s="21" t="n"/>
      <c r="H43" s="12" t="n"/>
      <c r="I43" s="12" t="n"/>
      <c r="J43" s="21" t="n"/>
      <c r="K43" s="12" t="n"/>
      <c r="L43" s="12" t="n"/>
      <c r="M43" s="21" t="n"/>
      <c r="N43" s="12" t="n"/>
      <c r="O43" s="12" t="n"/>
      <c r="P43" s="21" t="n"/>
      <c r="Q43" s="12" t="n"/>
      <c r="R43" s="12" t="n"/>
      <c r="S43" s="21" t="n"/>
      <c r="T43" s="12" t="n"/>
      <c r="U43" s="12" t="n"/>
      <c r="V43" s="21" t="n"/>
      <c r="W43" s="12" t="n"/>
      <c r="X43" s="12" t="n"/>
      <c r="Y43" s="21" t="n"/>
      <c r="Z43" s="12" t="n"/>
      <c r="AA43" s="12" t="n"/>
      <c r="AB43" s="12" t="n"/>
      <c r="AC43" s="12" t="n"/>
      <c r="AD43" s="12" t="n"/>
      <c r="AE43" s="22">
        <f>IF($B43="","",ROUND(N($E43)+N($H43)+N($K43)+N($N43)+N($Q43)+N($T43)+N($W43)+N($Z43)+N($AA43)+N($AB43)+N($AC43)+N($AD43),2))</f>
        <v/>
      </c>
      <c r="AF43">
        <f>IF($B43="",0,IF(AND($C43&lt;&gt;"",$D43&lt;&gt;"",$E43&lt;&gt;"",ABS($C43*$D43-$E43)&gt;1),1,0)+IF(AND($F43&lt;&gt;"",$G43&lt;&gt;"",$H43&lt;&gt;"",ABS($F43*$G43-$H43)&gt;1),1,0)+IF(AND($I43&lt;&gt;"",$J43&lt;&gt;"",$K43&lt;&gt;"",ABS($I43*$J43-$K43)&gt;1),1,0)+IF(AND($L43&lt;&gt;"",$M43&lt;&gt;"",$N43&lt;&gt;"",ABS($L43*$M43-$N43)&gt;1),1,0)+IF(AND($O43&lt;&gt;"",$P43&lt;&gt;"",$Q43&lt;&gt;"",ABS($O43*$P43-$Q43)&gt;1),1,0)+IF(AND($R43&lt;&gt;"",$S43&lt;&gt;"",$T43&lt;&gt;"",ABS($R43*$S43-$T43)&gt;1),1,0)+IF(AND($U43&lt;&gt;"",$V43&lt;&gt;"",$W43&lt;&gt;"",ABS($U43*$V43-$W43)&gt;1),1,0)+IF(AND($X43&lt;&gt;"",$Y43&lt;&gt;"",$Z43&lt;&gt;"",ABS($X43*$Y43-$Z43)&gt;1),1,0))</f>
        <v/>
      </c>
    </row>
    <row r="44" ht="21" customHeight="1" s="66">
      <c r="A44" s="15">
        <f>IF($B44="","",COUNTA($B$4:$B44))</f>
        <v/>
      </c>
      <c r="B44" s="20" t="n"/>
      <c r="C44" s="12" t="n"/>
      <c r="D44" s="21" t="n"/>
      <c r="E44" s="12" t="n"/>
      <c r="F44" s="12" t="n"/>
      <c r="G44" s="21" t="n"/>
      <c r="H44" s="12" t="n"/>
      <c r="I44" s="12" t="n"/>
      <c r="J44" s="21" t="n"/>
      <c r="K44" s="12" t="n"/>
      <c r="L44" s="12" t="n"/>
      <c r="M44" s="21" t="n"/>
      <c r="N44" s="12" t="n"/>
      <c r="O44" s="12" t="n"/>
      <c r="P44" s="21" t="n"/>
      <c r="Q44" s="12" t="n"/>
      <c r="R44" s="12" t="n"/>
      <c r="S44" s="21" t="n"/>
      <c r="T44" s="12" t="n"/>
      <c r="U44" s="12" t="n"/>
      <c r="V44" s="21" t="n"/>
      <c r="W44" s="12" t="n"/>
      <c r="X44" s="12" t="n"/>
      <c r="Y44" s="21" t="n"/>
      <c r="Z44" s="12" t="n"/>
      <c r="AA44" s="12" t="n"/>
      <c r="AB44" s="12" t="n"/>
      <c r="AC44" s="12" t="n"/>
      <c r="AD44" s="12" t="n"/>
      <c r="AE44" s="22">
        <f>IF($B44="","",ROUND(N($E44)+N($H44)+N($K44)+N($N44)+N($Q44)+N($T44)+N($W44)+N($Z44)+N($AA44)+N($AB44)+N($AC44)+N($AD44),2))</f>
        <v/>
      </c>
      <c r="AF44">
        <f>IF($B44="",0,IF(AND($C44&lt;&gt;"",$D44&lt;&gt;"",$E44&lt;&gt;"",ABS($C44*$D44-$E44)&gt;1),1,0)+IF(AND($F44&lt;&gt;"",$G44&lt;&gt;"",$H44&lt;&gt;"",ABS($F44*$G44-$H44)&gt;1),1,0)+IF(AND($I44&lt;&gt;"",$J44&lt;&gt;"",$K44&lt;&gt;"",ABS($I44*$J44-$K44)&gt;1),1,0)+IF(AND($L44&lt;&gt;"",$M44&lt;&gt;"",$N44&lt;&gt;"",ABS($L44*$M44-$N44)&gt;1),1,0)+IF(AND($O44&lt;&gt;"",$P44&lt;&gt;"",$Q44&lt;&gt;"",ABS($O44*$P44-$Q44)&gt;1),1,0)+IF(AND($R44&lt;&gt;"",$S44&lt;&gt;"",$T44&lt;&gt;"",ABS($R44*$S44-$T44)&gt;1),1,0)+IF(AND($U44&lt;&gt;"",$V44&lt;&gt;"",$W44&lt;&gt;"",ABS($U44*$V44-$W44)&gt;1),1,0)+IF(AND($X44&lt;&gt;"",$Y44&lt;&gt;"",$Z44&lt;&gt;"",ABS($X44*$Y44-$Z44)&gt;1),1,0))</f>
        <v/>
      </c>
    </row>
    <row r="45" ht="21" customHeight="1" s="66">
      <c r="A45" s="15">
        <f>IF($B45="","",COUNTA($B$4:$B45))</f>
        <v/>
      </c>
      <c r="B45" s="20" t="n"/>
      <c r="C45" s="12" t="n"/>
      <c r="D45" s="21" t="n"/>
      <c r="E45" s="12" t="n"/>
      <c r="F45" s="12" t="n"/>
      <c r="G45" s="21" t="n"/>
      <c r="H45" s="12" t="n"/>
      <c r="I45" s="12" t="n"/>
      <c r="J45" s="21" t="n"/>
      <c r="K45" s="12" t="n"/>
      <c r="L45" s="12" t="n"/>
      <c r="M45" s="21" t="n"/>
      <c r="N45" s="12" t="n"/>
      <c r="O45" s="12" t="n"/>
      <c r="P45" s="21" t="n"/>
      <c r="Q45" s="12" t="n"/>
      <c r="R45" s="12" t="n"/>
      <c r="S45" s="21" t="n"/>
      <c r="T45" s="12" t="n"/>
      <c r="U45" s="12" t="n"/>
      <c r="V45" s="21" t="n"/>
      <c r="W45" s="12" t="n"/>
      <c r="X45" s="12" t="n"/>
      <c r="Y45" s="21" t="n"/>
      <c r="Z45" s="12" t="n"/>
      <c r="AA45" s="12" t="n"/>
      <c r="AB45" s="12" t="n"/>
      <c r="AC45" s="12" t="n"/>
      <c r="AD45" s="12" t="n"/>
      <c r="AE45" s="22">
        <f>IF($B45="","",ROUND(N($E45)+N($H45)+N($K45)+N($N45)+N($Q45)+N($T45)+N($W45)+N($Z45)+N($AA45)+N($AB45)+N($AC45)+N($AD45),2))</f>
        <v/>
      </c>
      <c r="AF45">
        <f>IF($B45="",0,IF(AND($C45&lt;&gt;"",$D45&lt;&gt;"",$E45&lt;&gt;"",ABS($C45*$D45-$E45)&gt;1),1,0)+IF(AND($F45&lt;&gt;"",$G45&lt;&gt;"",$H45&lt;&gt;"",ABS($F45*$G45-$H45)&gt;1),1,0)+IF(AND($I45&lt;&gt;"",$J45&lt;&gt;"",$K45&lt;&gt;"",ABS($I45*$J45-$K45)&gt;1),1,0)+IF(AND($L45&lt;&gt;"",$M45&lt;&gt;"",$N45&lt;&gt;"",ABS($L45*$M45-$N45)&gt;1),1,0)+IF(AND($O45&lt;&gt;"",$P45&lt;&gt;"",$Q45&lt;&gt;"",ABS($O45*$P45-$Q45)&gt;1),1,0)+IF(AND($R45&lt;&gt;"",$S45&lt;&gt;"",$T45&lt;&gt;"",ABS($R45*$S45-$T45)&gt;1),1,0)+IF(AND($U45&lt;&gt;"",$V45&lt;&gt;"",$W45&lt;&gt;"",ABS($U45*$V45-$W45)&gt;1),1,0)+IF(AND($X45&lt;&gt;"",$Y45&lt;&gt;"",$Z45&lt;&gt;"",ABS($X45*$Y45-$Z45)&gt;1),1,0))</f>
        <v/>
      </c>
    </row>
    <row r="46" ht="21" customHeight="1" s="66">
      <c r="A46" s="15">
        <f>IF($B46="","",COUNTA($B$4:$B46))</f>
        <v/>
      </c>
      <c r="B46" s="20" t="n"/>
      <c r="C46" s="12" t="n"/>
      <c r="D46" s="21" t="n"/>
      <c r="E46" s="12" t="n"/>
      <c r="F46" s="12" t="n"/>
      <c r="G46" s="21" t="n"/>
      <c r="H46" s="12" t="n"/>
      <c r="I46" s="12" t="n"/>
      <c r="J46" s="21" t="n"/>
      <c r="K46" s="12" t="n"/>
      <c r="L46" s="12" t="n"/>
      <c r="M46" s="21" t="n"/>
      <c r="N46" s="12" t="n"/>
      <c r="O46" s="12" t="n"/>
      <c r="P46" s="21" t="n"/>
      <c r="Q46" s="12" t="n"/>
      <c r="R46" s="12" t="n"/>
      <c r="S46" s="21" t="n"/>
      <c r="T46" s="12" t="n"/>
      <c r="U46" s="12" t="n"/>
      <c r="V46" s="21" t="n"/>
      <c r="W46" s="12" t="n"/>
      <c r="X46" s="12" t="n"/>
      <c r="Y46" s="21" t="n"/>
      <c r="Z46" s="12" t="n"/>
      <c r="AA46" s="12" t="n"/>
      <c r="AB46" s="12" t="n"/>
      <c r="AC46" s="12" t="n"/>
      <c r="AD46" s="12" t="n"/>
      <c r="AE46" s="22">
        <f>IF($B46="","",ROUND(N($E46)+N($H46)+N($K46)+N($N46)+N($Q46)+N($T46)+N($W46)+N($Z46)+N($AA46)+N($AB46)+N($AC46)+N($AD46),2))</f>
        <v/>
      </c>
      <c r="AF46">
        <f>IF($B46="",0,IF(AND($C46&lt;&gt;"",$D46&lt;&gt;"",$E46&lt;&gt;"",ABS($C46*$D46-$E46)&gt;1),1,0)+IF(AND($F46&lt;&gt;"",$G46&lt;&gt;"",$H46&lt;&gt;"",ABS($F46*$G46-$H46)&gt;1),1,0)+IF(AND($I46&lt;&gt;"",$J46&lt;&gt;"",$K46&lt;&gt;"",ABS($I46*$J46-$K46)&gt;1),1,0)+IF(AND($L46&lt;&gt;"",$M46&lt;&gt;"",$N46&lt;&gt;"",ABS($L46*$M46-$N46)&gt;1),1,0)+IF(AND($O46&lt;&gt;"",$P46&lt;&gt;"",$Q46&lt;&gt;"",ABS($O46*$P46-$Q46)&gt;1),1,0)+IF(AND($R46&lt;&gt;"",$S46&lt;&gt;"",$T46&lt;&gt;"",ABS($R46*$S46-$T46)&gt;1),1,0)+IF(AND($U46&lt;&gt;"",$V46&lt;&gt;"",$W46&lt;&gt;"",ABS($U46*$V46-$W46)&gt;1),1,0)+IF(AND($X46&lt;&gt;"",$Y46&lt;&gt;"",$Z46&lt;&gt;"",ABS($X46*$Y46-$Z46)&gt;1),1,0))</f>
        <v/>
      </c>
    </row>
    <row r="47" ht="21" customHeight="1" s="66">
      <c r="A47" s="15">
        <f>IF($B47="","",COUNTA($B$4:$B47))</f>
        <v/>
      </c>
      <c r="B47" s="20" t="n"/>
      <c r="C47" s="12" t="n"/>
      <c r="D47" s="21" t="n"/>
      <c r="E47" s="12" t="n"/>
      <c r="F47" s="12" t="n"/>
      <c r="G47" s="21" t="n"/>
      <c r="H47" s="12" t="n"/>
      <c r="I47" s="12" t="n"/>
      <c r="J47" s="21" t="n"/>
      <c r="K47" s="12" t="n"/>
      <c r="L47" s="12" t="n"/>
      <c r="M47" s="21" t="n"/>
      <c r="N47" s="12" t="n"/>
      <c r="O47" s="12" t="n"/>
      <c r="P47" s="21" t="n"/>
      <c r="Q47" s="12" t="n"/>
      <c r="R47" s="12" t="n"/>
      <c r="S47" s="21" t="n"/>
      <c r="T47" s="12" t="n"/>
      <c r="U47" s="12" t="n"/>
      <c r="V47" s="21" t="n"/>
      <c r="W47" s="12" t="n"/>
      <c r="X47" s="12" t="n"/>
      <c r="Y47" s="21" t="n"/>
      <c r="Z47" s="12" t="n"/>
      <c r="AA47" s="12" t="n"/>
      <c r="AB47" s="12" t="n"/>
      <c r="AC47" s="12" t="n"/>
      <c r="AD47" s="12" t="n"/>
      <c r="AE47" s="22">
        <f>IF($B47="","",ROUND(N($E47)+N($H47)+N($K47)+N($N47)+N($Q47)+N($T47)+N($W47)+N($Z47)+N($AA47)+N($AB47)+N($AC47)+N($AD47),2))</f>
        <v/>
      </c>
      <c r="AF47">
        <f>IF($B47="",0,IF(AND($C47&lt;&gt;"",$D47&lt;&gt;"",$E47&lt;&gt;"",ABS($C47*$D47-$E47)&gt;1),1,0)+IF(AND($F47&lt;&gt;"",$G47&lt;&gt;"",$H47&lt;&gt;"",ABS($F47*$G47-$H47)&gt;1),1,0)+IF(AND($I47&lt;&gt;"",$J47&lt;&gt;"",$K47&lt;&gt;"",ABS($I47*$J47-$K47)&gt;1),1,0)+IF(AND($L47&lt;&gt;"",$M47&lt;&gt;"",$N47&lt;&gt;"",ABS($L47*$M47-$N47)&gt;1),1,0)+IF(AND($O47&lt;&gt;"",$P47&lt;&gt;"",$Q47&lt;&gt;"",ABS($O47*$P47-$Q47)&gt;1),1,0)+IF(AND($R47&lt;&gt;"",$S47&lt;&gt;"",$T47&lt;&gt;"",ABS($R47*$S47-$T47)&gt;1),1,0)+IF(AND($U47&lt;&gt;"",$V47&lt;&gt;"",$W47&lt;&gt;"",ABS($U47*$V47-$W47)&gt;1),1,0)+IF(AND($X47&lt;&gt;"",$Y47&lt;&gt;"",$Z47&lt;&gt;"",ABS($X47*$Y47-$Z47)&gt;1),1,0))</f>
        <v/>
      </c>
    </row>
    <row r="48" ht="21" customHeight="1" s="66">
      <c r="A48" s="15">
        <f>IF($B48="","",COUNTA($B$4:$B48))</f>
        <v/>
      </c>
      <c r="B48" s="20" t="n"/>
      <c r="C48" s="12" t="n"/>
      <c r="D48" s="21" t="n"/>
      <c r="E48" s="12" t="n"/>
      <c r="F48" s="12" t="n"/>
      <c r="G48" s="21" t="n"/>
      <c r="H48" s="12" t="n"/>
      <c r="I48" s="12" t="n"/>
      <c r="J48" s="21" t="n"/>
      <c r="K48" s="12" t="n"/>
      <c r="L48" s="12" t="n"/>
      <c r="M48" s="21" t="n"/>
      <c r="N48" s="12" t="n"/>
      <c r="O48" s="12" t="n"/>
      <c r="P48" s="21" t="n"/>
      <c r="Q48" s="12" t="n"/>
      <c r="R48" s="12" t="n"/>
      <c r="S48" s="21" t="n"/>
      <c r="T48" s="12" t="n"/>
      <c r="U48" s="12" t="n"/>
      <c r="V48" s="21" t="n"/>
      <c r="W48" s="12" t="n"/>
      <c r="X48" s="12" t="n"/>
      <c r="Y48" s="21" t="n"/>
      <c r="Z48" s="12" t="n"/>
      <c r="AA48" s="12" t="n"/>
      <c r="AB48" s="12" t="n"/>
      <c r="AC48" s="12" t="n"/>
      <c r="AD48" s="12" t="n"/>
      <c r="AE48" s="22">
        <f>IF($B48="","",ROUND(N($E48)+N($H48)+N($K48)+N($N48)+N($Q48)+N($T48)+N($W48)+N($Z48)+N($AA48)+N($AB48)+N($AC48)+N($AD48),2))</f>
        <v/>
      </c>
      <c r="AF48">
        <f>IF($B48="",0,IF(AND($C48&lt;&gt;"",$D48&lt;&gt;"",$E48&lt;&gt;"",ABS($C48*$D48-$E48)&gt;1),1,0)+IF(AND($F48&lt;&gt;"",$G48&lt;&gt;"",$H48&lt;&gt;"",ABS($F48*$G48-$H48)&gt;1),1,0)+IF(AND($I48&lt;&gt;"",$J48&lt;&gt;"",$K48&lt;&gt;"",ABS($I48*$J48-$K48)&gt;1),1,0)+IF(AND($L48&lt;&gt;"",$M48&lt;&gt;"",$N48&lt;&gt;"",ABS($L48*$M48-$N48)&gt;1),1,0)+IF(AND($O48&lt;&gt;"",$P48&lt;&gt;"",$Q48&lt;&gt;"",ABS($O48*$P48-$Q48)&gt;1),1,0)+IF(AND($R48&lt;&gt;"",$S48&lt;&gt;"",$T48&lt;&gt;"",ABS($R48*$S48-$T48)&gt;1),1,0)+IF(AND($U48&lt;&gt;"",$V48&lt;&gt;"",$W48&lt;&gt;"",ABS($U48*$V48-$W48)&gt;1),1,0)+IF(AND($X48&lt;&gt;"",$Y48&lt;&gt;"",$Z48&lt;&gt;"",ABS($X48*$Y48-$Z48)&gt;1),1,0))</f>
        <v/>
      </c>
    </row>
    <row r="49" ht="21" customHeight="1" s="66">
      <c r="A49" s="15">
        <f>IF($B49="","",COUNTA($B$4:$B49))</f>
        <v/>
      </c>
      <c r="B49" s="20" t="n"/>
      <c r="C49" s="12" t="n"/>
      <c r="D49" s="21" t="n"/>
      <c r="E49" s="12" t="n"/>
      <c r="F49" s="12" t="n"/>
      <c r="G49" s="21" t="n"/>
      <c r="H49" s="12" t="n"/>
      <c r="I49" s="12" t="n"/>
      <c r="J49" s="21" t="n"/>
      <c r="K49" s="12" t="n"/>
      <c r="L49" s="12" t="n"/>
      <c r="M49" s="21" t="n"/>
      <c r="N49" s="12" t="n"/>
      <c r="O49" s="12" t="n"/>
      <c r="P49" s="21" t="n"/>
      <c r="Q49" s="12" t="n"/>
      <c r="R49" s="12" t="n"/>
      <c r="S49" s="21" t="n"/>
      <c r="T49" s="12" t="n"/>
      <c r="U49" s="12" t="n"/>
      <c r="V49" s="21" t="n"/>
      <c r="W49" s="12" t="n"/>
      <c r="X49" s="12" t="n"/>
      <c r="Y49" s="21" t="n"/>
      <c r="Z49" s="12" t="n"/>
      <c r="AA49" s="12" t="n"/>
      <c r="AB49" s="12" t="n"/>
      <c r="AC49" s="12" t="n"/>
      <c r="AD49" s="12" t="n"/>
      <c r="AE49" s="22">
        <f>IF($B49="","",ROUND(N($E49)+N($H49)+N($K49)+N($N49)+N($Q49)+N($T49)+N($W49)+N($Z49)+N($AA49)+N($AB49)+N($AC49)+N($AD49),2))</f>
        <v/>
      </c>
      <c r="AF49">
        <f>IF($B49="",0,IF(AND($C49&lt;&gt;"",$D49&lt;&gt;"",$E49&lt;&gt;"",ABS($C49*$D49-$E49)&gt;1),1,0)+IF(AND($F49&lt;&gt;"",$G49&lt;&gt;"",$H49&lt;&gt;"",ABS($F49*$G49-$H49)&gt;1),1,0)+IF(AND($I49&lt;&gt;"",$J49&lt;&gt;"",$K49&lt;&gt;"",ABS($I49*$J49-$K49)&gt;1),1,0)+IF(AND($L49&lt;&gt;"",$M49&lt;&gt;"",$N49&lt;&gt;"",ABS($L49*$M49-$N49)&gt;1),1,0)+IF(AND($O49&lt;&gt;"",$P49&lt;&gt;"",$Q49&lt;&gt;"",ABS($O49*$P49-$Q49)&gt;1),1,0)+IF(AND($R49&lt;&gt;"",$S49&lt;&gt;"",$T49&lt;&gt;"",ABS($R49*$S49-$T49)&gt;1),1,0)+IF(AND($U49&lt;&gt;"",$V49&lt;&gt;"",$W49&lt;&gt;"",ABS($U49*$V49-$W49)&gt;1),1,0)+IF(AND($X49&lt;&gt;"",$Y49&lt;&gt;"",$Z49&lt;&gt;"",ABS($X49*$Y49-$Z49)&gt;1),1,0))</f>
        <v/>
      </c>
    </row>
    <row r="50" ht="21" customHeight="1" s="66">
      <c r="A50" s="15">
        <f>IF($B50="","",COUNTA($B$4:$B50))</f>
        <v/>
      </c>
      <c r="B50" s="20" t="n"/>
      <c r="C50" s="12" t="n"/>
      <c r="D50" s="21" t="n"/>
      <c r="E50" s="12" t="n"/>
      <c r="F50" s="12" t="n"/>
      <c r="G50" s="21" t="n"/>
      <c r="H50" s="12" t="n"/>
      <c r="I50" s="12" t="n"/>
      <c r="J50" s="21" t="n"/>
      <c r="K50" s="12" t="n"/>
      <c r="L50" s="12" t="n"/>
      <c r="M50" s="21" t="n"/>
      <c r="N50" s="12" t="n"/>
      <c r="O50" s="12" t="n"/>
      <c r="P50" s="21" t="n"/>
      <c r="Q50" s="12" t="n"/>
      <c r="R50" s="12" t="n"/>
      <c r="S50" s="21" t="n"/>
      <c r="T50" s="12" t="n"/>
      <c r="U50" s="12" t="n"/>
      <c r="V50" s="21" t="n"/>
      <c r="W50" s="12" t="n"/>
      <c r="X50" s="12" t="n"/>
      <c r="Y50" s="21" t="n"/>
      <c r="Z50" s="12" t="n"/>
      <c r="AA50" s="12" t="n"/>
      <c r="AB50" s="12" t="n"/>
      <c r="AC50" s="12" t="n"/>
      <c r="AD50" s="12" t="n"/>
      <c r="AE50" s="22">
        <f>IF($B50="","",ROUND(N($E50)+N($H50)+N($K50)+N($N50)+N($Q50)+N($T50)+N($W50)+N($Z50)+N($AA50)+N($AB50)+N($AC50)+N($AD50),2))</f>
        <v/>
      </c>
      <c r="AF50">
        <f>IF($B50="",0,IF(AND($C50&lt;&gt;"",$D50&lt;&gt;"",$E50&lt;&gt;"",ABS($C50*$D50-$E50)&gt;1),1,0)+IF(AND($F50&lt;&gt;"",$G50&lt;&gt;"",$H50&lt;&gt;"",ABS($F50*$G50-$H50)&gt;1),1,0)+IF(AND($I50&lt;&gt;"",$J50&lt;&gt;"",$K50&lt;&gt;"",ABS($I50*$J50-$K50)&gt;1),1,0)+IF(AND($L50&lt;&gt;"",$M50&lt;&gt;"",$N50&lt;&gt;"",ABS($L50*$M50-$N50)&gt;1),1,0)+IF(AND($O50&lt;&gt;"",$P50&lt;&gt;"",$Q50&lt;&gt;"",ABS($O50*$P50-$Q50)&gt;1),1,0)+IF(AND($R50&lt;&gt;"",$S50&lt;&gt;"",$T50&lt;&gt;"",ABS($R50*$S50-$T50)&gt;1),1,0)+IF(AND($U50&lt;&gt;"",$V50&lt;&gt;"",$W50&lt;&gt;"",ABS($U50*$V50-$W50)&gt;1),1,0)+IF(AND($X50&lt;&gt;"",$Y50&lt;&gt;"",$Z50&lt;&gt;"",ABS($X50*$Y50-$Z50)&gt;1),1,0))</f>
        <v/>
      </c>
    </row>
    <row r="51" ht="21" customHeight="1" s="66">
      <c r="A51" s="15">
        <f>IF($B51="","",COUNTA($B$4:$B51))</f>
        <v/>
      </c>
      <c r="B51" s="20" t="n"/>
      <c r="C51" s="12" t="n"/>
      <c r="D51" s="21" t="n"/>
      <c r="E51" s="12" t="n"/>
      <c r="F51" s="12" t="n"/>
      <c r="G51" s="21" t="n"/>
      <c r="H51" s="12" t="n"/>
      <c r="I51" s="12" t="n"/>
      <c r="J51" s="21" t="n"/>
      <c r="K51" s="12" t="n"/>
      <c r="L51" s="12" t="n"/>
      <c r="M51" s="21" t="n"/>
      <c r="N51" s="12" t="n"/>
      <c r="O51" s="12" t="n"/>
      <c r="P51" s="21" t="n"/>
      <c r="Q51" s="12" t="n"/>
      <c r="R51" s="12" t="n"/>
      <c r="S51" s="21" t="n"/>
      <c r="T51" s="12" t="n"/>
      <c r="U51" s="12" t="n"/>
      <c r="V51" s="21" t="n"/>
      <c r="W51" s="12" t="n"/>
      <c r="X51" s="12" t="n"/>
      <c r="Y51" s="21" t="n"/>
      <c r="Z51" s="12" t="n"/>
      <c r="AA51" s="12" t="n"/>
      <c r="AB51" s="12" t="n"/>
      <c r="AC51" s="12" t="n"/>
      <c r="AD51" s="12" t="n"/>
      <c r="AE51" s="22">
        <f>IF($B51="","",ROUND(N($E51)+N($H51)+N($K51)+N($N51)+N($Q51)+N($T51)+N($W51)+N($Z51)+N($AA51)+N($AB51)+N($AC51)+N($AD51),2))</f>
        <v/>
      </c>
      <c r="AF51">
        <f>IF($B51="",0,IF(AND($C51&lt;&gt;"",$D51&lt;&gt;"",$E51&lt;&gt;"",ABS($C51*$D51-$E51)&gt;1),1,0)+IF(AND($F51&lt;&gt;"",$G51&lt;&gt;"",$H51&lt;&gt;"",ABS($F51*$G51-$H51)&gt;1),1,0)+IF(AND($I51&lt;&gt;"",$J51&lt;&gt;"",$K51&lt;&gt;"",ABS($I51*$J51-$K51)&gt;1),1,0)+IF(AND($L51&lt;&gt;"",$M51&lt;&gt;"",$N51&lt;&gt;"",ABS($L51*$M51-$N51)&gt;1),1,0)+IF(AND($O51&lt;&gt;"",$P51&lt;&gt;"",$Q51&lt;&gt;"",ABS($O51*$P51-$Q51)&gt;1),1,0)+IF(AND($R51&lt;&gt;"",$S51&lt;&gt;"",$T51&lt;&gt;"",ABS($R51*$S51-$T51)&gt;1),1,0)+IF(AND($U51&lt;&gt;"",$V51&lt;&gt;"",$W51&lt;&gt;"",ABS($U51*$V51-$W51)&gt;1),1,0)+IF(AND($X51&lt;&gt;"",$Y51&lt;&gt;"",$Z51&lt;&gt;"",ABS($X51*$Y51-$Z51)&gt;1),1,0))</f>
        <v/>
      </c>
    </row>
    <row r="52" ht="21" customHeight="1" s="66">
      <c r="A52" s="15">
        <f>IF($B52="","",COUNTA($B$4:$B52))</f>
        <v/>
      </c>
      <c r="B52" s="20" t="n"/>
      <c r="C52" s="12" t="n"/>
      <c r="D52" s="21" t="n"/>
      <c r="E52" s="12" t="n"/>
      <c r="F52" s="12" t="n"/>
      <c r="G52" s="21" t="n"/>
      <c r="H52" s="12" t="n"/>
      <c r="I52" s="12" t="n"/>
      <c r="J52" s="21" t="n"/>
      <c r="K52" s="12" t="n"/>
      <c r="L52" s="12" t="n"/>
      <c r="M52" s="21" t="n"/>
      <c r="N52" s="12" t="n"/>
      <c r="O52" s="12" t="n"/>
      <c r="P52" s="21" t="n"/>
      <c r="Q52" s="12" t="n"/>
      <c r="R52" s="12" t="n"/>
      <c r="S52" s="21" t="n"/>
      <c r="T52" s="12" t="n"/>
      <c r="U52" s="12" t="n"/>
      <c r="V52" s="21" t="n"/>
      <c r="W52" s="12" t="n"/>
      <c r="X52" s="12" t="n"/>
      <c r="Y52" s="21" t="n"/>
      <c r="Z52" s="12" t="n"/>
      <c r="AA52" s="12" t="n"/>
      <c r="AB52" s="12" t="n"/>
      <c r="AC52" s="12" t="n"/>
      <c r="AD52" s="12" t="n"/>
      <c r="AE52" s="22">
        <f>IF($B52="","",ROUND(N($E52)+N($H52)+N($K52)+N($N52)+N($Q52)+N($T52)+N($W52)+N($Z52)+N($AA52)+N($AB52)+N($AC52)+N($AD52),2))</f>
        <v/>
      </c>
      <c r="AF52">
        <f>IF($B52="",0,IF(AND($C52&lt;&gt;"",$D52&lt;&gt;"",$E52&lt;&gt;"",ABS($C52*$D52-$E52)&gt;1),1,0)+IF(AND($F52&lt;&gt;"",$G52&lt;&gt;"",$H52&lt;&gt;"",ABS($F52*$G52-$H52)&gt;1),1,0)+IF(AND($I52&lt;&gt;"",$J52&lt;&gt;"",$K52&lt;&gt;"",ABS($I52*$J52-$K52)&gt;1),1,0)+IF(AND($L52&lt;&gt;"",$M52&lt;&gt;"",$N52&lt;&gt;"",ABS($L52*$M52-$N52)&gt;1),1,0)+IF(AND($O52&lt;&gt;"",$P52&lt;&gt;"",$Q52&lt;&gt;"",ABS($O52*$P52-$Q52)&gt;1),1,0)+IF(AND($R52&lt;&gt;"",$S52&lt;&gt;"",$T52&lt;&gt;"",ABS($R52*$S52-$T52)&gt;1),1,0)+IF(AND($U52&lt;&gt;"",$V52&lt;&gt;"",$W52&lt;&gt;"",ABS($U52*$V52-$W52)&gt;1),1,0)+IF(AND($X52&lt;&gt;"",$Y52&lt;&gt;"",$Z52&lt;&gt;"",ABS($X52*$Y52-$Z52)&gt;1),1,0))</f>
        <v/>
      </c>
    </row>
    <row r="53" ht="21" customHeight="1" s="66">
      <c r="A53" s="15">
        <f>IF($B53="","",COUNTA($B$4:$B53))</f>
        <v/>
      </c>
      <c r="B53" s="20" t="n"/>
      <c r="C53" s="12" t="n"/>
      <c r="D53" s="21" t="n"/>
      <c r="E53" s="12" t="n"/>
      <c r="F53" s="12" t="n"/>
      <c r="G53" s="21" t="n"/>
      <c r="H53" s="12" t="n"/>
      <c r="I53" s="12" t="n"/>
      <c r="J53" s="21" t="n"/>
      <c r="K53" s="12" t="n"/>
      <c r="L53" s="12" t="n"/>
      <c r="M53" s="21" t="n"/>
      <c r="N53" s="12" t="n"/>
      <c r="O53" s="12" t="n"/>
      <c r="P53" s="21" t="n"/>
      <c r="Q53" s="12" t="n"/>
      <c r="R53" s="12" t="n"/>
      <c r="S53" s="21" t="n"/>
      <c r="T53" s="12" t="n"/>
      <c r="U53" s="12" t="n"/>
      <c r="V53" s="21" t="n"/>
      <c r="W53" s="12" t="n"/>
      <c r="X53" s="12" t="n"/>
      <c r="Y53" s="21" t="n"/>
      <c r="Z53" s="12" t="n"/>
      <c r="AA53" s="12" t="n"/>
      <c r="AB53" s="12" t="n"/>
      <c r="AC53" s="12" t="n"/>
      <c r="AD53" s="12" t="n"/>
      <c r="AE53" s="22">
        <f>IF($B53="","",ROUND(N($E53)+N($H53)+N($K53)+N($N53)+N($Q53)+N($T53)+N($W53)+N($Z53)+N($AA53)+N($AB53)+N($AC53)+N($AD53),2))</f>
        <v/>
      </c>
      <c r="AF53">
        <f>IF($B53="",0,IF(AND($C53&lt;&gt;"",$D53&lt;&gt;"",$E53&lt;&gt;"",ABS($C53*$D53-$E53)&gt;1),1,0)+IF(AND($F53&lt;&gt;"",$G53&lt;&gt;"",$H53&lt;&gt;"",ABS($F53*$G53-$H53)&gt;1),1,0)+IF(AND($I53&lt;&gt;"",$J53&lt;&gt;"",$K53&lt;&gt;"",ABS($I53*$J53-$K53)&gt;1),1,0)+IF(AND($L53&lt;&gt;"",$M53&lt;&gt;"",$N53&lt;&gt;"",ABS($L53*$M53-$N53)&gt;1),1,0)+IF(AND($O53&lt;&gt;"",$P53&lt;&gt;"",$Q53&lt;&gt;"",ABS($O53*$P53-$Q53)&gt;1),1,0)+IF(AND($R53&lt;&gt;"",$S53&lt;&gt;"",$T53&lt;&gt;"",ABS($R53*$S53-$T53)&gt;1),1,0)+IF(AND($U53&lt;&gt;"",$V53&lt;&gt;"",$W53&lt;&gt;"",ABS($U53*$V53-$W53)&gt;1),1,0)+IF(AND($X53&lt;&gt;"",$Y53&lt;&gt;"",$Z53&lt;&gt;"",ABS($X53*$Y53-$Z53)&gt;1),1,0))</f>
        <v/>
      </c>
    </row>
    <row r="54" ht="21" customHeight="1" s="66">
      <c r="A54" s="15">
        <f>IF($B54="","",COUNTA($B$4:$B54))</f>
        <v/>
      </c>
      <c r="B54" s="20" t="n"/>
      <c r="C54" s="12" t="n"/>
      <c r="D54" s="21" t="n"/>
      <c r="E54" s="12" t="n"/>
      <c r="F54" s="12" t="n"/>
      <c r="G54" s="21" t="n"/>
      <c r="H54" s="12" t="n"/>
      <c r="I54" s="12" t="n"/>
      <c r="J54" s="21" t="n"/>
      <c r="K54" s="12" t="n"/>
      <c r="L54" s="12" t="n"/>
      <c r="M54" s="21" t="n"/>
      <c r="N54" s="12" t="n"/>
      <c r="O54" s="12" t="n"/>
      <c r="P54" s="21" t="n"/>
      <c r="Q54" s="12" t="n"/>
      <c r="R54" s="12" t="n"/>
      <c r="S54" s="21" t="n"/>
      <c r="T54" s="12" t="n"/>
      <c r="U54" s="12" t="n"/>
      <c r="V54" s="21" t="n"/>
      <c r="W54" s="12" t="n"/>
      <c r="X54" s="12" t="n"/>
      <c r="Y54" s="21" t="n"/>
      <c r="Z54" s="12" t="n"/>
      <c r="AA54" s="12" t="n"/>
      <c r="AB54" s="12" t="n"/>
      <c r="AC54" s="12" t="n"/>
      <c r="AD54" s="12" t="n"/>
      <c r="AE54" s="22">
        <f>IF($B54="","",ROUND(N($E54)+N($H54)+N($K54)+N($N54)+N($Q54)+N($T54)+N($W54)+N($Z54)+N($AA54)+N($AB54)+N($AC54)+N($AD54),2))</f>
        <v/>
      </c>
      <c r="AF54">
        <f>IF($B54="",0,IF(AND($C54&lt;&gt;"",$D54&lt;&gt;"",$E54&lt;&gt;"",ABS($C54*$D54-$E54)&gt;1),1,0)+IF(AND($F54&lt;&gt;"",$G54&lt;&gt;"",$H54&lt;&gt;"",ABS($F54*$G54-$H54)&gt;1),1,0)+IF(AND($I54&lt;&gt;"",$J54&lt;&gt;"",$K54&lt;&gt;"",ABS($I54*$J54-$K54)&gt;1),1,0)+IF(AND($L54&lt;&gt;"",$M54&lt;&gt;"",$N54&lt;&gt;"",ABS($L54*$M54-$N54)&gt;1),1,0)+IF(AND($O54&lt;&gt;"",$P54&lt;&gt;"",$Q54&lt;&gt;"",ABS($O54*$P54-$Q54)&gt;1),1,0)+IF(AND($R54&lt;&gt;"",$S54&lt;&gt;"",$T54&lt;&gt;"",ABS($R54*$S54-$T54)&gt;1),1,0)+IF(AND($U54&lt;&gt;"",$V54&lt;&gt;"",$W54&lt;&gt;"",ABS($U54*$V54-$W54)&gt;1),1,0)+IF(AND($X54&lt;&gt;"",$Y54&lt;&gt;"",$Z54&lt;&gt;"",ABS($X54*$Y54-$Z54)&gt;1),1,0))</f>
        <v/>
      </c>
    </row>
    <row r="55" ht="21" customHeight="1" s="66">
      <c r="A55" s="15">
        <f>IF($B55="","",COUNTA($B$4:$B55))</f>
        <v/>
      </c>
      <c r="B55" s="20" t="n"/>
      <c r="C55" s="12" t="n"/>
      <c r="D55" s="21" t="n"/>
      <c r="E55" s="12" t="n"/>
      <c r="F55" s="12" t="n"/>
      <c r="G55" s="21" t="n"/>
      <c r="H55" s="12" t="n"/>
      <c r="I55" s="12" t="n"/>
      <c r="J55" s="21" t="n"/>
      <c r="K55" s="12" t="n"/>
      <c r="L55" s="12" t="n"/>
      <c r="M55" s="21" t="n"/>
      <c r="N55" s="12" t="n"/>
      <c r="O55" s="12" t="n"/>
      <c r="P55" s="21" t="n"/>
      <c r="Q55" s="12" t="n"/>
      <c r="R55" s="12" t="n"/>
      <c r="S55" s="21" t="n"/>
      <c r="T55" s="12" t="n"/>
      <c r="U55" s="12" t="n"/>
      <c r="V55" s="21" t="n"/>
      <c r="W55" s="12" t="n"/>
      <c r="X55" s="12" t="n"/>
      <c r="Y55" s="21" t="n"/>
      <c r="Z55" s="12" t="n"/>
      <c r="AA55" s="12" t="n"/>
      <c r="AB55" s="12" t="n"/>
      <c r="AC55" s="12" t="n"/>
      <c r="AD55" s="12" t="n"/>
      <c r="AE55" s="22">
        <f>IF($B55="","",ROUND(N($E55)+N($H55)+N($K55)+N($N55)+N($Q55)+N($T55)+N($W55)+N($Z55)+N($AA55)+N($AB55)+N($AC55)+N($AD55),2))</f>
        <v/>
      </c>
      <c r="AF55">
        <f>IF($B55="",0,IF(AND($C55&lt;&gt;"",$D55&lt;&gt;"",$E55&lt;&gt;"",ABS($C55*$D55-$E55)&gt;1),1,0)+IF(AND($F55&lt;&gt;"",$G55&lt;&gt;"",$H55&lt;&gt;"",ABS($F55*$G55-$H55)&gt;1),1,0)+IF(AND($I55&lt;&gt;"",$J55&lt;&gt;"",$K55&lt;&gt;"",ABS($I55*$J55-$K55)&gt;1),1,0)+IF(AND($L55&lt;&gt;"",$M55&lt;&gt;"",$N55&lt;&gt;"",ABS($L55*$M55-$N55)&gt;1),1,0)+IF(AND($O55&lt;&gt;"",$P55&lt;&gt;"",$Q55&lt;&gt;"",ABS($O55*$P55-$Q55)&gt;1),1,0)+IF(AND($R55&lt;&gt;"",$S55&lt;&gt;"",$T55&lt;&gt;"",ABS($R55*$S55-$T55)&gt;1),1,0)+IF(AND($U55&lt;&gt;"",$V55&lt;&gt;"",$W55&lt;&gt;"",ABS($U55*$V55-$W55)&gt;1),1,0)+IF(AND($X55&lt;&gt;"",$Y55&lt;&gt;"",$Z55&lt;&gt;"",ABS($X55*$Y55-$Z55)&gt;1),1,0))</f>
        <v/>
      </c>
    </row>
    <row r="56" ht="21" customHeight="1" s="66">
      <c r="A56" s="15">
        <f>IF($B56="","",COUNTA($B$4:$B56))</f>
        <v/>
      </c>
      <c r="B56" s="20" t="n"/>
      <c r="C56" s="12" t="n"/>
      <c r="D56" s="21" t="n"/>
      <c r="E56" s="12" t="n"/>
      <c r="F56" s="12" t="n"/>
      <c r="G56" s="21" t="n"/>
      <c r="H56" s="12" t="n"/>
      <c r="I56" s="12" t="n"/>
      <c r="J56" s="21" t="n"/>
      <c r="K56" s="12" t="n"/>
      <c r="L56" s="12" t="n"/>
      <c r="M56" s="21" t="n"/>
      <c r="N56" s="12" t="n"/>
      <c r="O56" s="12" t="n"/>
      <c r="P56" s="21" t="n"/>
      <c r="Q56" s="12" t="n"/>
      <c r="R56" s="12" t="n"/>
      <c r="S56" s="21" t="n"/>
      <c r="T56" s="12" t="n"/>
      <c r="U56" s="12" t="n"/>
      <c r="V56" s="21" t="n"/>
      <c r="W56" s="12" t="n"/>
      <c r="X56" s="12" t="n"/>
      <c r="Y56" s="21" t="n"/>
      <c r="Z56" s="12" t="n"/>
      <c r="AA56" s="12" t="n"/>
      <c r="AB56" s="12" t="n"/>
      <c r="AC56" s="12" t="n"/>
      <c r="AD56" s="12" t="n"/>
      <c r="AE56" s="22">
        <f>IF($B56="","",ROUND(N($E56)+N($H56)+N($K56)+N($N56)+N($Q56)+N($T56)+N($W56)+N($Z56)+N($AA56)+N($AB56)+N($AC56)+N($AD56),2))</f>
        <v/>
      </c>
      <c r="AF56">
        <f>IF($B56="",0,IF(AND($C56&lt;&gt;"",$D56&lt;&gt;"",$E56&lt;&gt;"",ABS($C56*$D56-$E56)&gt;1),1,0)+IF(AND($F56&lt;&gt;"",$G56&lt;&gt;"",$H56&lt;&gt;"",ABS($F56*$G56-$H56)&gt;1),1,0)+IF(AND($I56&lt;&gt;"",$J56&lt;&gt;"",$K56&lt;&gt;"",ABS($I56*$J56-$K56)&gt;1),1,0)+IF(AND($L56&lt;&gt;"",$M56&lt;&gt;"",$N56&lt;&gt;"",ABS($L56*$M56-$N56)&gt;1),1,0)+IF(AND($O56&lt;&gt;"",$P56&lt;&gt;"",$Q56&lt;&gt;"",ABS($O56*$P56-$Q56)&gt;1),1,0)+IF(AND($R56&lt;&gt;"",$S56&lt;&gt;"",$T56&lt;&gt;"",ABS($R56*$S56-$T56)&gt;1),1,0)+IF(AND($U56&lt;&gt;"",$V56&lt;&gt;"",$W56&lt;&gt;"",ABS($U56*$V56-$W56)&gt;1),1,0)+IF(AND($X56&lt;&gt;"",$Y56&lt;&gt;"",$Z56&lt;&gt;"",ABS($X56*$Y56-$Z56)&gt;1),1,0))</f>
        <v/>
      </c>
    </row>
    <row r="57" ht="21" customHeight="1" s="66">
      <c r="A57" s="15">
        <f>IF($B57="","",COUNTA($B$4:$B57))</f>
        <v/>
      </c>
      <c r="B57" s="20" t="n"/>
      <c r="C57" s="12" t="n"/>
      <c r="D57" s="21" t="n"/>
      <c r="E57" s="12" t="n"/>
      <c r="F57" s="12" t="n"/>
      <c r="G57" s="21" t="n"/>
      <c r="H57" s="12" t="n"/>
      <c r="I57" s="12" t="n"/>
      <c r="J57" s="21" t="n"/>
      <c r="K57" s="12" t="n"/>
      <c r="L57" s="12" t="n"/>
      <c r="M57" s="21" t="n"/>
      <c r="N57" s="12" t="n"/>
      <c r="O57" s="12" t="n"/>
      <c r="P57" s="21" t="n"/>
      <c r="Q57" s="12" t="n"/>
      <c r="R57" s="12" t="n"/>
      <c r="S57" s="21" t="n"/>
      <c r="T57" s="12" t="n"/>
      <c r="U57" s="12" t="n"/>
      <c r="V57" s="21" t="n"/>
      <c r="W57" s="12" t="n"/>
      <c r="X57" s="12" t="n"/>
      <c r="Y57" s="21" t="n"/>
      <c r="Z57" s="12" t="n"/>
      <c r="AA57" s="12" t="n"/>
      <c r="AB57" s="12" t="n"/>
      <c r="AC57" s="12" t="n"/>
      <c r="AD57" s="12" t="n"/>
      <c r="AE57" s="22">
        <f>IF($B57="","",ROUND(N($E57)+N($H57)+N($K57)+N($N57)+N($Q57)+N($T57)+N($W57)+N($Z57)+N($AA57)+N($AB57)+N($AC57)+N($AD57),2))</f>
        <v/>
      </c>
      <c r="AF57">
        <f>IF($B57="",0,IF(AND($C57&lt;&gt;"",$D57&lt;&gt;"",$E57&lt;&gt;"",ABS($C57*$D57-$E57)&gt;1),1,0)+IF(AND($F57&lt;&gt;"",$G57&lt;&gt;"",$H57&lt;&gt;"",ABS($F57*$G57-$H57)&gt;1),1,0)+IF(AND($I57&lt;&gt;"",$J57&lt;&gt;"",$K57&lt;&gt;"",ABS($I57*$J57-$K57)&gt;1),1,0)+IF(AND($L57&lt;&gt;"",$M57&lt;&gt;"",$N57&lt;&gt;"",ABS($L57*$M57-$N57)&gt;1),1,0)+IF(AND($O57&lt;&gt;"",$P57&lt;&gt;"",$Q57&lt;&gt;"",ABS($O57*$P57-$Q57)&gt;1),1,0)+IF(AND($R57&lt;&gt;"",$S57&lt;&gt;"",$T57&lt;&gt;"",ABS($R57*$S57-$T57)&gt;1),1,0)+IF(AND($U57&lt;&gt;"",$V57&lt;&gt;"",$W57&lt;&gt;"",ABS($U57*$V57-$W57)&gt;1),1,0)+IF(AND($X57&lt;&gt;"",$Y57&lt;&gt;"",$Z57&lt;&gt;"",ABS($X57*$Y57-$Z57)&gt;1),1,0))</f>
        <v/>
      </c>
    </row>
    <row r="58" ht="21" customHeight="1" s="66">
      <c r="A58" s="15">
        <f>IF($B58="","",COUNTA($B$4:$B58))</f>
        <v/>
      </c>
      <c r="B58" s="20" t="n"/>
      <c r="C58" s="12" t="n"/>
      <c r="D58" s="21" t="n"/>
      <c r="E58" s="12" t="n"/>
      <c r="F58" s="12" t="n"/>
      <c r="G58" s="21" t="n"/>
      <c r="H58" s="12" t="n"/>
      <c r="I58" s="12" t="n"/>
      <c r="J58" s="21" t="n"/>
      <c r="K58" s="12" t="n"/>
      <c r="L58" s="12" t="n"/>
      <c r="M58" s="21" t="n"/>
      <c r="N58" s="12" t="n"/>
      <c r="O58" s="12" t="n"/>
      <c r="P58" s="21" t="n"/>
      <c r="Q58" s="12" t="n"/>
      <c r="R58" s="12" t="n"/>
      <c r="S58" s="21" t="n"/>
      <c r="T58" s="12" t="n"/>
      <c r="U58" s="12" t="n"/>
      <c r="V58" s="21" t="n"/>
      <c r="W58" s="12" t="n"/>
      <c r="X58" s="12" t="n"/>
      <c r="Y58" s="21" t="n"/>
      <c r="Z58" s="12" t="n"/>
      <c r="AA58" s="12" t="n"/>
      <c r="AB58" s="12" t="n"/>
      <c r="AC58" s="12" t="n"/>
      <c r="AD58" s="12" t="n"/>
      <c r="AE58" s="22">
        <f>IF($B58="","",ROUND(N($E58)+N($H58)+N($K58)+N($N58)+N($Q58)+N($T58)+N($W58)+N($Z58)+N($AA58)+N($AB58)+N($AC58)+N($AD58),2))</f>
        <v/>
      </c>
      <c r="AF58">
        <f>IF($B58="",0,IF(AND($C58&lt;&gt;"",$D58&lt;&gt;"",$E58&lt;&gt;"",ABS($C58*$D58-$E58)&gt;1),1,0)+IF(AND($F58&lt;&gt;"",$G58&lt;&gt;"",$H58&lt;&gt;"",ABS($F58*$G58-$H58)&gt;1),1,0)+IF(AND($I58&lt;&gt;"",$J58&lt;&gt;"",$K58&lt;&gt;"",ABS($I58*$J58-$K58)&gt;1),1,0)+IF(AND($L58&lt;&gt;"",$M58&lt;&gt;"",$N58&lt;&gt;"",ABS($L58*$M58-$N58)&gt;1),1,0)+IF(AND($O58&lt;&gt;"",$P58&lt;&gt;"",$Q58&lt;&gt;"",ABS($O58*$P58-$Q58)&gt;1),1,0)+IF(AND($R58&lt;&gt;"",$S58&lt;&gt;"",$T58&lt;&gt;"",ABS($R58*$S58-$T58)&gt;1),1,0)+IF(AND($U58&lt;&gt;"",$V58&lt;&gt;"",$W58&lt;&gt;"",ABS($U58*$V58-$W58)&gt;1),1,0)+IF(AND($X58&lt;&gt;"",$Y58&lt;&gt;"",$Z58&lt;&gt;"",ABS($X58*$Y58-$Z58)&gt;1),1,0))</f>
        <v/>
      </c>
    </row>
    <row r="59" ht="21" customHeight="1" s="66">
      <c r="A59" s="15">
        <f>IF($B59="","",COUNTA($B$4:$B59))</f>
        <v/>
      </c>
      <c r="B59" s="20" t="n"/>
      <c r="C59" s="12" t="n"/>
      <c r="D59" s="21" t="n"/>
      <c r="E59" s="12" t="n"/>
      <c r="F59" s="12" t="n"/>
      <c r="G59" s="21" t="n"/>
      <c r="H59" s="12" t="n"/>
      <c r="I59" s="12" t="n"/>
      <c r="J59" s="21" t="n"/>
      <c r="K59" s="12" t="n"/>
      <c r="L59" s="12" t="n"/>
      <c r="M59" s="21" t="n"/>
      <c r="N59" s="12" t="n"/>
      <c r="O59" s="12" t="n"/>
      <c r="P59" s="21" t="n"/>
      <c r="Q59" s="12" t="n"/>
      <c r="R59" s="12" t="n"/>
      <c r="S59" s="21" t="n"/>
      <c r="T59" s="12" t="n"/>
      <c r="U59" s="12" t="n"/>
      <c r="V59" s="21" t="n"/>
      <c r="W59" s="12" t="n"/>
      <c r="X59" s="12" t="n"/>
      <c r="Y59" s="21" t="n"/>
      <c r="Z59" s="12" t="n"/>
      <c r="AA59" s="12" t="n"/>
      <c r="AB59" s="12" t="n"/>
      <c r="AC59" s="12" t="n"/>
      <c r="AD59" s="12" t="n"/>
      <c r="AE59" s="22">
        <f>IF($B59="","",ROUND(N($E59)+N($H59)+N($K59)+N($N59)+N($Q59)+N($T59)+N($W59)+N($Z59)+N($AA59)+N($AB59)+N($AC59)+N($AD59),2))</f>
        <v/>
      </c>
      <c r="AF59">
        <f>IF($B59="",0,IF(AND($C59&lt;&gt;"",$D59&lt;&gt;"",$E59&lt;&gt;"",ABS($C59*$D59-$E59)&gt;1),1,0)+IF(AND($F59&lt;&gt;"",$G59&lt;&gt;"",$H59&lt;&gt;"",ABS($F59*$G59-$H59)&gt;1),1,0)+IF(AND($I59&lt;&gt;"",$J59&lt;&gt;"",$K59&lt;&gt;"",ABS($I59*$J59-$K59)&gt;1),1,0)+IF(AND($L59&lt;&gt;"",$M59&lt;&gt;"",$N59&lt;&gt;"",ABS($L59*$M59-$N59)&gt;1),1,0)+IF(AND($O59&lt;&gt;"",$P59&lt;&gt;"",$Q59&lt;&gt;"",ABS($O59*$P59-$Q59)&gt;1),1,0)+IF(AND($R59&lt;&gt;"",$S59&lt;&gt;"",$T59&lt;&gt;"",ABS($R59*$S59-$T59)&gt;1),1,0)+IF(AND($U59&lt;&gt;"",$V59&lt;&gt;"",$W59&lt;&gt;"",ABS($U59*$V59-$W59)&gt;1),1,0)+IF(AND($X59&lt;&gt;"",$Y59&lt;&gt;"",$Z59&lt;&gt;"",ABS($X59*$Y59-$Z59)&gt;1),1,0))</f>
        <v/>
      </c>
    </row>
    <row r="60" ht="21" customHeight="1" s="66">
      <c r="A60" s="15">
        <f>IF($B60="","",COUNTA($B$4:$B60))</f>
        <v/>
      </c>
      <c r="B60" s="20" t="n"/>
      <c r="C60" s="12" t="n"/>
      <c r="D60" s="21" t="n"/>
      <c r="E60" s="12" t="n"/>
      <c r="F60" s="12" t="n"/>
      <c r="G60" s="21" t="n"/>
      <c r="H60" s="12" t="n"/>
      <c r="I60" s="12" t="n"/>
      <c r="J60" s="21" t="n"/>
      <c r="K60" s="12" t="n"/>
      <c r="L60" s="12" t="n"/>
      <c r="M60" s="21" t="n"/>
      <c r="N60" s="12" t="n"/>
      <c r="O60" s="12" t="n"/>
      <c r="P60" s="21" t="n"/>
      <c r="Q60" s="12" t="n"/>
      <c r="R60" s="12" t="n"/>
      <c r="S60" s="21" t="n"/>
      <c r="T60" s="12" t="n"/>
      <c r="U60" s="12" t="n"/>
      <c r="V60" s="21" t="n"/>
      <c r="W60" s="12" t="n"/>
      <c r="X60" s="12" t="n"/>
      <c r="Y60" s="21" t="n"/>
      <c r="Z60" s="12" t="n"/>
      <c r="AA60" s="12" t="n"/>
      <c r="AB60" s="12" t="n"/>
      <c r="AC60" s="12" t="n"/>
      <c r="AD60" s="12" t="n"/>
      <c r="AE60" s="22">
        <f>IF($B60="","",ROUND(N($E60)+N($H60)+N($K60)+N($N60)+N($Q60)+N($T60)+N($W60)+N($Z60)+N($AA60)+N($AB60)+N($AC60)+N($AD60),2))</f>
        <v/>
      </c>
      <c r="AF60">
        <f>IF($B60="",0,IF(AND($C60&lt;&gt;"",$D60&lt;&gt;"",$E60&lt;&gt;"",ABS($C60*$D60-$E60)&gt;1),1,0)+IF(AND($F60&lt;&gt;"",$G60&lt;&gt;"",$H60&lt;&gt;"",ABS($F60*$G60-$H60)&gt;1),1,0)+IF(AND($I60&lt;&gt;"",$J60&lt;&gt;"",$K60&lt;&gt;"",ABS($I60*$J60-$K60)&gt;1),1,0)+IF(AND($L60&lt;&gt;"",$M60&lt;&gt;"",$N60&lt;&gt;"",ABS($L60*$M60-$N60)&gt;1),1,0)+IF(AND($O60&lt;&gt;"",$P60&lt;&gt;"",$Q60&lt;&gt;"",ABS($O60*$P60-$Q60)&gt;1),1,0)+IF(AND($R60&lt;&gt;"",$S60&lt;&gt;"",$T60&lt;&gt;"",ABS($R60*$S60-$T60)&gt;1),1,0)+IF(AND($U60&lt;&gt;"",$V60&lt;&gt;"",$W60&lt;&gt;"",ABS($U60*$V60-$W60)&gt;1),1,0)+IF(AND($X60&lt;&gt;"",$Y60&lt;&gt;"",$Z60&lt;&gt;"",ABS($X60*$Y60-$Z60)&gt;1),1,0))</f>
        <v/>
      </c>
    </row>
    <row r="61" ht="21" customHeight="1" s="66">
      <c r="A61" s="15">
        <f>IF($B61="","",COUNTA($B$4:$B61))</f>
        <v/>
      </c>
      <c r="B61" s="20" t="n"/>
      <c r="C61" s="12" t="n"/>
      <c r="D61" s="21" t="n"/>
      <c r="E61" s="12" t="n"/>
      <c r="F61" s="12" t="n"/>
      <c r="G61" s="21" t="n"/>
      <c r="H61" s="12" t="n"/>
      <c r="I61" s="12" t="n"/>
      <c r="J61" s="21" t="n"/>
      <c r="K61" s="12" t="n"/>
      <c r="L61" s="12" t="n"/>
      <c r="M61" s="21" t="n"/>
      <c r="N61" s="12" t="n"/>
      <c r="O61" s="12" t="n"/>
      <c r="P61" s="21" t="n"/>
      <c r="Q61" s="12" t="n"/>
      <c r="R61" s="12" t="n"/>
      <c r="S61" s="21" t="n"/>
      <c r="T61" s="12" t="n"/>
      <c r="U61" s="12" t="n"/>
      <c r="V61" s="21" t="n"/>
      <c r="W61" s="12" t="n"/>
      <c r="X61" s="12" t="n"/>
      <c r="Y61" s="21" t="n"/>
      <c r="Z61" s="12" t="n"/>
      <c r="AA61" s="12" t="n"/>
      <c r="AB61" s="12" t="n"/>
      <c r="AC61" s="12" t="n"/>
      <c r="AD61" s="12" t="n"/>
      <c r="AE61" s="22">
        <f>IF($B61="","",ROUND(N($E61)+N($H61)+N($K61)+N($N61)+N($Q61)+N($T61)+N($W61)+N($Z61)+N($AA61)+N($AB61)+N($AC61)+N($AD61),2))</f>
        <v/>
      </c>
      <c r="AF61">
        <f>IF($B61="",0,IF(AND($C61&lt;&gt;"",$D61&lt;&gt;"",$E61&lt;&gt;"",ABS($C61*$D61-$E61)&gt;1),1,0)+IF(AND($F61&lt;&gt;"",$G61&lt;&gt;"",$H61&lt;&gt;"",ABS($F61*$G61-$H61)&gt;1),1,0)+IF(AND($I61&lt;&gt;"",$J61&lt;&gt;"",$K61&lt;&gt;"",ABS($I61*$J61-$K61)&gt;1),1,0)+IF(AND($L61&lt;&gt;"",$M61&lt;&gt;"",$N61&lt;&gt;"",ABS($L61*$M61-$N61)&gt;1),1,0)+IF(AND($O61&lt;&gt;"",$P61&lt;&gt;"",$Q61&lt;&gt;"",ABS($O61*$P61-$Q61)&gt;1),1,0)+IF(AND($R61&lt;&gt;"",$S61&lt;&gt;"",$T61&lt;&gt;"",ABS($R61*$S61-$T61)&gt;1),1,0)+IF(AND($U61&lt;&gt;"",$V61&lt;&gt;"",$W61&lt;&gt;"",ABS($U61*$V61-$W61)&gt;1),1,0)+IF(AND($X61&lt;&gt;"",$Y61&lt;&gt;"",$Z61&lt;&gt;"",ABS($X61*$Y61-$Z61)&gt;1),1,0))</f>
        <v/>
      </c>
    </row>
    <row r="62" ht="21" customHeight="1" s="66">
      <c r="A62" s="15">
        <f>IF($B62="","",COUNTA($B$4:$B62))</f>
        <v/>
      </c>
      <c r="B62" s="20" t="n"/>
      <c r="C62" s="12" t="n"/>
      <c r="D62" s="21" t="n"/>
      <c r="E62" s="12" t="n"/>
      <c r="F62" s="12" t="n"/>
      <c r="G62" s="21" t="n"/>
      <c r="H62" s="12" t="n"/>
      <c r="I62" s="12" t="n"/>
      <c r="J62" s="21" t="n"/>
      <c r="K62" s="12" t="n"/>
      <c r="L62" s="12" t="n"/>
      <c r="M62" s="21" t="n"/>
      <c r="N62" s="12" t="n"/>
      <c r="O62" s="12" t="n"/>
      <c r="P62" s="21" t="n"/>
      <c r="Q62" s="12" t="n"/>
      <c r="R62" s="12" t="n"/>
      <c r="S62" s="21" t="n"/>
      <c r="T62" s="12" t="n"/>
      <c r="U62" s="12" t="n"/>
      <c r="V62" s="21" t="n"/>
      <c r="W62" s="12" t="n"/>
      <c r="X62" s="12" t="n"/>
      <c r="Y62" s="21" t="n"/>
      <c r="Z62" s="12" t="n"/>
      <c r="AA62" s="12" t="n"/>
      <c r="AB62" s="12" t="n"/>
      <c r="AC62" s="12" t="n"/>
      <c r="AD62" s="12" t="n"/>
      <c r="AE62" s="22">
        <f>IF($B62="","",ROUND(N($E62)+N($H62)+N($K62)+N($N62)+N($Q62)+N($T62)+N($W62)+N($Z62)+N($AA62)+N($AB62)+N($AC62)+N($AD62),2))</f>
        <v/>
      </c>
      <c r="AF62">
        <f>IF($B62="",0,IF(AND($C62&lt;&gt;"",$D62&lt;&gt;"",$E62&lt;&gt;"",ABS($C62*$D62-$E62)&gt;1),1,0)+IF(AND($F62&lt;&gt;"",$G62&lt;&gt;"",$H62&lt;&gt;"",ABS($F62*$G62-$H62)&gt;1),1,0)+IF(AND($I62&lt;&gt;"",$J62&lt;&gt;"",$K62&lt;&gt;"",ABS($I62*$J62-$K62)&gt;1),1,0)+IF(AND($L62&lt;&gt;"",$M62&lt;&gt;"",$N62&lt;&gt;"",ABS($L62*$M62-$N62)&gt;1),1,0)+IF(AND($O62&lt;&gt;"",$P62&lt;&gt;"",$Q62&lt;&gt;"",ABS($O62*$P62-$Q62)&gt;1),1,0)+IF(AND($R62&lt;&gt;"",$S62&lt;&gt;"",$T62&lt;&gt;"",ABS($R62*$S62-$T62)&gt;1),1,0)+IF(AND($U62&lt;&gt;"",$V62&lt;&gt;"",$W62&lt;&gt;"",ABS($U62*$V62-$W62)&gt;1),1,0)+IF(AND($X62&lt;&gt;"",$Y62&lt;&gt;"",$Z62&lt;&gt;"",ABS($X62*$Y62-$Z62)&gt;1),1,0))</f>
        <v/>
      </c>
    </row>
    <row r="63" ht="21" customHeight="1" s="66">
      <c r="A63" s="15">
        <f>IF($B63="","",COUNTA($B$4:$B63))</f>
        <v/>
      </c>
      <c r="B63" s="20" t="n"/>
      <c r="C63" s="12" t="n"/>
      <c r="D63" s="21" t="n"/>
      <c r="E63" s="12" t="n"/>
      <c r="F63" s="12" t="n"/>
      <c r="G63" s="21" t="n"/>
      <c r="H63" s="12" t="n"/>
      <c r="I63" s="12" t="n"/>
      <c r="J63" s="21" t="n"/>
      <c r="K63" s="12" t="n"/>
      <c r="L63" s="12" t="n"/>
      <c r="M63" s="21" t="n"/>
      <c r="N63" s="12" t="n"/>
      <c r="O63" s="12" t="n"/>
      <c r="P63" s="21" t="n"/>
      <c r="Q63" s="12" t="n"/>
      <c r="R63" s="12" t="n"/>
      <c r="S63" s="21" t="n"/>
      <c r="T63" s="12" t="n"/>
      <c r="U63" s="12" t="n"/>
      <c r="V63" s="21" t="n"/>
      <c r="W63" s="12" t="n"/>
      <c r="X63" s="12" t="n"/>
      <c r="Y63" s="21" t="n"/>
      <c r="Z63" s="12" t="n"/>
      <c r="AA63" s="12" t="n"/>
      <c r="AB63" s="12" t="n"/>
      <c r="AC63" s="12" t="n"/>
      <c r="AD63" s="12" t="n"/>
      <c r="AE63" s="22">
        <f>IF($B63="","",ROUND(N($E63)+N($H63)+N($K63)+N($N63)+N($Q63)+N($T63)+N($W63)+N($Z63)+N($AA63)+N($AB63)+N($AC63)+N($AD63),2))</f>
        <v/>
      </c>
      <c r="AF63">
        <f>IF($B63="",0,IF(AND($C63&lt;&gt;"",$D63&lt;&gt;"",$E63&lt;&gt;"",ABS($C63*$D63-$E63)&gt;1),1,0)+IF(AND($F63&lt;&gt;"",$G63&lt;&gt;"",$H63&lt;&gt;"",ABS($F63*$G63-$H63)&gt;1),1,0)+IF(AND($I63&lt;&gt;"",$J63&lt;&gt;"",$K63&lt;&gt;"",ABS($I63*$J63-$K63)&gt;1),1,0)+IF(AND($L63&lt;&gt;"",$M63&lt;&gt;"",$N63&lt;&gt;"",ABS($L63*$M63-$N63)&gt;1),1,0)+IF(AND($O63&lt;&gt;"",$P63&lt;&gt;"",$Q63&lt;&gt;"",ABS($O63*$P63-$Q63)&gt;1),1,0)+IF(AND($R63&lt;&gt;"",$S63&lt;&gt;"",$T63&lt;&gt;"",ABS($R63*$S63-$T63)&gt;1),1,0)+IF(AND($U63&lt;&gt;"",$V63&lt;&gt;"",$W63&lt;&gt;"",ABS($U63*$V63-$W63)&gt;1),1,0)+IF(AND($X63&lt;&gt;"",$Y63&lt;&gt;"",$Z63&lt;&gt;"",ABS($X63*$Y63-$Z63)&gt;1),1,0))</f>
        <v/>
      </c>
    </row>
    <row r="64" ht="19.9" customHeight="1" s="66">
      <c r="A64" s="24" t="n"/>
      <c r="B64" s="24" t="inlineStr">
        <is>
          <t>รวม</t>
        </is>
      </c>
      <c r="C64" s="25">
        <f>ROUND(SUM($C$4:$C$63),2)</f>
        <v/>
      </c>
      <c r="D64" s="26">
        <f>IF(OR(N($C$64)=0,SUMPRODUCT(--($E$4:$E$63&lt;&gt;""),--($C$4:$C$63=""))&gt;0),"",ROUND($E$64/$C$64,4))</f>
        <v/>
      </c>
      <c r="E64" s="25">
        <f>ROUND(SUM($E$4:$E$63),2)</f>
        <v/>
      </c>
      <c r="F64" s="25">
        <f>ROUND(SUM($F$4:$F$63),2)</f>
        <v/>
      </c>
      <c r="G64" s="26">
        <f>IF(OR(N($F$64)=0,SUMPRODUCT(--($H$4:$H$63&lt;&gt;""),--($F$4:$F$63=""))&gt;0),"",ROUND($H$64/$F$64,4))</f>
        <v/>
      </c>
      <c r="H64" s="25">
        <f>ROUND(SUM($H$4:$H$63),2)</f>
        <v/>
      </c>
      <c r="I64" s="25">
        <f>ROUND(SUM($I$4:$I$63),2)</f>
        <v/>
      </c>
      <c r="J64" s="26">
        <f>IF(OR(N($I$64)=0,SUMPRODUCT(--($K$4:$K$63&lt;&gt;""),--($I$4:$I$63=""))&gt;0),"",ROUND($K$64/$I$64,4))</f>
        <v/>
      </c>
      <c r="K64" s="25">
        <f>ROUND(SUM($K$4:$K$63),2)</f>
        <v/>
      </c>
      <c r="L64" s="25">
        <f>ROUND(SUM($L$4:$L$63),2)</f>
        <v/>
      </c>
      <c r="M64" s="26">
        <f>IF(OR(N($L$64)=0,SUMPRODUCT(--($N$4:$N$63&lt;&gt;""),--($L$4:$L$63=""))&gt;0),"",ROUND($N$64/$L$64,4))</f>
        <v/>
      </c>
      <c r="N64" s="25">
        <f>ROUND(SUM($N$4:$N$63),2)</f>
        <v/>
      </c>
      <c r="O64" s="25">
        <f>ROUND(SUM($O$4:$O$63),2)</f>
        <v/>
      </c>
      <c r="P64" s="26">
        <f>IF(OR(N($O$64)=0,SUMPRODUCT(--($Q$4:$Q$63&lt;&gt;""),--($O$4:$O$63=""))&gt;0),"",ROUND($Q$64/$O$64,4))</f>
        <v/>
      </c>
      <c r="Q64" s="25">
        <f>ROUND(SUM($Q$4:$Q$63),2)</f>
        <v/>
      </c>
      <c r="R64" s="25">
        <f>ROUND(SUM($R$4:$R$63),2)</f>
        <v/>
      </c>
      <c r="S64" s="26">
        <f>IF(OR(N($R$64)=0,SUMPRODUCT(--($T$4:$T$63&lt;&gt;""),--($R$4:$R$63=""))&gt;0),"",ROUND($T$64/$R$64,4))</f>
        <v/>
      </c>
      <c r="T64" s="25">
        <f>ROUND(SUM($T$4:$T$63),2)</f>
        <v/>
      </c>
      <c r="U64" s="25">
        <f>ROUND(SUM($U$4:$U$63),2)</f>
        <v/>
      </c>
      <c r="V64" s="26">
        <f>IF(OR(N($U$64)=0,SUMPRODUCT(--($W$4:$W$63&lt;&gt;""),--($U$4:$U$63=""))&gt;0),"",ROUND($W$64/$U$64,4))</f>
        <v/>
      </c>
      <c r="W64" s="25">
        <f>ROUND(SUM($W$4:$W$63),2)</f>
        <v/>
      </c>
      <c r="X64" s="25">
        <f>ROUND(SUM($X$4:$X$63),2)</f>
        <v/>
      </c>
      <c r="Y64" s="26">
        <f>IF(OR(N($X$64)=0,SUMPRODUCT(--($Z$4:$Z$63&lt;&gt;""),--($X$4:$X$63=""))&gt;0),"",ROUND($Z$64/$X$64,4))</f>
        <v/>
      </c>
      <c r="Z64" s="25">
        <f>ROUND(SUM($Z$4:$Z$63),2)</f>
        <v/>
      </c>
      <c r="AA64" s="25">
        <f>ROUND(SUM($AA$4:$AA$63),2)</f>
        <v/>
      </c>
      <c r="AB64" s="25">
        <f>ROUND(SUM($AB$4:$AB$63),2)</f>
        <v/>
      </c>
      <c r="AC64" s="25">
        <f>ROUND(SUM($AC$4:$AC$63),2)</f>
        <v/>
      </c>
      <c r="AD64" s="25">
        <f>ROUND(SUM($AD$4:$AD$63),2)</f>
        <v/>
      </c>
      <c r="AE64" s="25">
        <f>ROUND(SUM($AE$4:$AE$63),2)</f>
        <v/>
      </c>
    </row>
  </sheetData>
  <mergeCells count="10">
    <mergeCell ref="A2:A3"/>
    <mergeCell ref="AE2:AE3"/>
    <mergeCell ref="L2:N2"/>
    <mergeCell ref="O2:Q2"/>
    <mergeCell ref="C2:E2"/>
    <mergeCell ref="U2:W2"/>
    <mergeCell ref="X2:Z2"/>
    <mergeCell ref="I2:K2"/>
    <mergeCell ref="R2:T2"/>
    <mergeCell ref="F2:H2"/>
  </mergeCells>
  <pageMargins left="0.75" right="0.75" top="1" bottom="1" header="0.5" footer="0.5"/>
  <pageSetup orientation="landscape" paperSize="9" fitToHeight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รายการมาตรฐาน!$F$2:$F$302</xm:f>
          </x14:formula1>
          <xm:sqref>B4:B63</xm:sqref>
        </x14:dataValidation>
      </x14:dataValidations>
    </ext>
  </extLst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AH70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4.25"/>
  <cols>
    <col width="34" customWidth="1" style="66" min="1" max="1"/>
    <col width="48" customWidth="1" style="66" min="2" max="2"/>
    <col width="42" customWidth="1" style="66" min="3" max="3"/>
    <col width="9" customWidth="1" style="66" min="4" max="4"/>
    <col width="22" customWidth="1" style="66" min="5" max="5"/>
    <col width="17" customWidth="1" style="66" min="6" max="6"/>
    <col width="13" customWidth="1" style="66" min="7" max="7"/>
    <col width="17" customWidth="1" style="66" min="8" max="8"/>
    <col width="42" customWidth="1" style="66" min="9" max="9"/>
    <col hidden="1" width="13" customWidth="1" style="66" min="10" max="34"/>
  </cols>
  <sheetData>
    <row r="1" ht="25.9" customHeight="1" s="66">
      <c r="A1" s="1" t="inlineStr">
        <is>
          <t>รายงานสรุปผลการขนส่งหิน (แบบเหมือง)</t>
        </is>
      </c>
      <c r="I1" s="18" t="inlineStr">
        <is>
          <t>▍ ตัวกรองรายงาน — เลือกแล้วตารางจะแสดงเฉพาะที่เลือก</t>
        </is>
      </c>
      <c r="AD1">
        <f>COUNT($Q$8:$Q$407)+SUM($V$8:$V$407)+SUM($W$8:$W$407)</f>
        <v/>
      </c>
    </row>
    <row r="2" ht="21" customHeight="1" s="66">
      <c r="A2" s="3" t="inlineStr">
        <is>
          <t>ที่</t>
        </is>
      </c>
      <c r="B2" s="68">
        <f>IF(บันทึกรายเที่ยว!$D$3="","",บันทึกรายเที่ยว!$D$3)</f>
        <v/>
      </c>
      <c r="D2" s="3" t="inlineStr">
        <is>
          <t>ประจำเดือน</t>
        </is>
      </c>
      <c r="E2" s="68">
        <f>IF(บันทึกรายเที่ยว!$B$3="","",บันทึกรายเที่ยว!$B$3)</f>
        <v/>
      </c>
      <c r="I2" s="27" t="inlineStr">
        <is>
          <t>ท่าปลายทาง</t>
        </is>
      </c>
    </row>
    <row r="3" ht="21" customHeight="1" s="66">
      <c r="A3" s="3" t="inlineStr">
        <is>
          <t>เรื่อง</t>
        </is>
      </c>
      <c r="B3" s="28" t="inlineStr">
        <is>
          <t>รายงานการขนส่งหินจากเหมือง ไปท่าเรือ ประจำเดือน</t>
        </is>
      </c>
      <c r="I3" s="29" t="inlineStr">
        <is>
          <t>(ทั้งหมด)</t>
        </is>
      </c>
    </row>
    <row r="4" ht="19.9" customHeight="1" s="66">
      <c r="A4" s="3" t="inlineStr">
        <is>
          <t>เรียน</t>
        </is>
      </c>
      <c r="B4" s="30" t="n"/>
      <c r="I4" s="27" t="inlineStr">
        <is>
          <t>ชนิดแร่/หิน</t>
        </is>
      </c>
    </row>
    <row r="5" ht="19.9" customHeight="1" s="66">
      <c r="A5" s="67">
        <f>IF($AD$1+7&gt;200,"*** รายงานยาวเกินพื้นที่พิมพ์ที่ตั้งไว้ — ตั้ง Print Area ใหม่เป็น "&amp;"A1:H"&amp;(8-1+$AD$1+7)&amp;" ก่อนพิมพ์ ***","")</f>
        <v/>
      </c>
      <c r="I5" s="29" t="inlineStr">
        <is>
          <t>(ทั้งหมด)</t>
        </is>
      </c>
    </row>
    <row r="6" ht="18" customHeight="1" s="66">
      <c r="A6" s="65">
        <f>" รายงานสรุปผลการขนส่ง ประจำเดือน "&amp;บันทึกรายเที่ยว!$B$3&amp;IF(AND($I$3="(ทั้งหมด)",$I$5="(ทั้งหมด)",$I$7="(ทั้งหมด)"),"","   [กรองเฉพาะ:"&amp;IF($I$3="(ทั้งหมด)",""," ปลายทาง="&amp;$I$3)&amp;IF($I$5="(ทั้งหมด)",""," ชนิด="&amp;$I$5)&amp;IF($I$7="(ทั้งหมด)",""," ทีม="&amp;$I$7)&amp;" ]")</f>
        <v/>
      </c>
      <c r="I6" s="27" t="inlineStr">
        <is>
          <t>ทีมรถร่วม</t>
        </is>
      </c>
    </row>
    <row r="7" ht="36" customHeight="1" s="66">
      <c r="A7" s="60" t="inlineStr">
        <is>
          <t>ต้นทาง - ปลายทาง</t>
        </is>
      </c>
      <c r="B7" s="60" t="inlineStr">
        <is>
          <t>ชนิดหิน</t>
        </is>
      </c>
      <c r="C7" s="60" t="inlineStr">
        <is>
          <t>ขนส่ง (ทีม)</t>
        </is>
      </c>
      <c r="D7" s="60" t="inlineStr">
        <is>
          <t>เที่ยว</t>
        </is>
      </c>
      <c r="E7" s="60" t="inlineStr">
        <is>
          <t>นน.ต้นทาง (ตัน)</t>
        </is>
      </c>
      <c r="F7" s="60" t="inlineStr">
        <is>
          <t>นน.ปลายทาง (ตัน)</t>
        </is>
      </c>
      <c r="G7" s="60" t="inlineStr">
        <is>
          <t>นน.ส่วนต่าง (ตัน)</t>
        </is>
      </c>
      <c r="H7" s="60" t="inlineStr">
        <is>
          <t>นน.จ่ายค่าบรรทุก (ตัน)</t>
        </is>
      </c>
      <c r="I7" s="29" t="inlineStr">
        <is>
          <t>(ทั้งหมด)</t>
        </is>
      </c>
    </row>
    <row r="8" ht="21" customHeight="1" s="66">
      <c r="A8" s="3">
        <f>IF($AB8="G","ผลรวมทั้งหมด",IF($AB8="R",INDEX($S$8:$S$407,$AA8),""))</f>
        <v/>
      </c>
      <c r="B8" s="3">
        <f>IF($AB8="S",INDEX($Y$8:$Y$407,$AA8),"")</f>
        <v/>
      </c>
      <c r="C8" s="68">
        <f>IF($AB8="D",INDEX($Z$8:$Z$407,$AA8),"")</f>
        <v/>
      </c>
      <c r="D8" s="31">
        <f>IF($AB8="G",SUM($AE$8:$AE$407),IF(OR($AB8="",$AB8="R"),"",IF($AB8="D",INDEX($AE$8:$AE$407,$AA8),SUMIF($T$8:$T$407,INDEX($T$8:$T$407,$AA8),$AE$8:$AE$407))))</f>
        <v/>
      </c>
      <c r="E8" s="32">
        <f>IF(1=$AD$1+3,"ขอแสดงความนับถือ",IF(1=$AD$1+6,"(                 )",IF(1=$AD$1+7,"เจ้าหน้าที่ขนส่ง",IF($AB8="G",SUM($AF$8:$AF$407),IF(OR($AB8="",$AB8="R"),"",IF($AB8="D",INDEX($AF$8:$AF$407,$AA8),SUMIF($T$8:$T$407,INDEX($T$8:$T$407,$AA8),$AF$8:$AF$407)))))))</f>
        <v/>
      </c>
      <c r="F8" s="32">
        <f>IF($AB8="G",SUM($AG$8:$AG$407),IF(OR($AB8="",$AB8="R"),"",IF($AB8="D",INDEX($AG$8:$AG$407,$AA8),SUMIF($T$8:$T$407,INDEX($T$8:$T$407,$AA8),$AG$8:$AG$407))))</f>
        <v/>
      </c>
      <c r="G8" s="32">
        <f>IF(OR($AB8="",$AB8="R"),"",ROUND($E8-$F8,2))</f>
        <v/>
      </c>
      <c r="H8" s="32">
        <f>IF($AB8="G",SUM($AH$8:$AH$407),IF(OR($AB8="",$AB8="R"),"",IF($AB8="D",INDEX($AH$8:$AH$407,$AA8),SUMIF($T$8:$T$407,INDEX($T$8:$T$407,$AA8),$AH$8:$AH$407))))</f>
        <v/>
      </c>
      <c r="I8" s="33" t="inlineStr">
        <is>
          <t>▍ ช่องตรวจสอบ (ไม่ติดไปเวลาพิมพ์)</t>
        </is>
      </c>
      <c r="J8">
        <f>IFERROR(MATCH(1,บันทึกรายเที่ยว!$W$6:$W$6005,0),"")</f>
        <v/>
      </c>
      <c r="K8">
        <f>IF($J8="","",INDEX(บันทึกรายเที่ยว!$T$6:$T$6005,$J8))</f>
        <v/>
      </c>
      <c r="L8">
        <f>IF($J8="","",INDEX(บันทึกรายเที่ยว!$S$6:$S$6005,$J8))</f>
        <v/>
      </c>
      <c r="M8">
        <f>IF($J8="","",INDEX(บันทึกรายเที่ยว!$R$6:$R$6005,$J8))</f>
        <v/>
      </c>
      <c r="N8">
        <f>IF($J8="","",MATCH($M8,บันทึกรายเที่ยว!$R$6:$R$6005,0))</f>
        <v/>
      </c>
      <c r="O8">
        <f>IF($J8="","",MATCH($L8,บันทึกรายเที่ยว!$S$6:$S$6005,0))</f>
        <v/>
      </c>
      <c r="P8">
        <f>IF($J8="","",IF(AND(OR($I$3="(ทั้งหมด)",INDEX(บันทึกรายเที่ยว!$C$6:$C$6005,$J8)=$I$3),OR($I$5="(ทั้งหมด)",INDEX(บันทึกรายเที่ยว!$D$6:$D$6005,$J8)=$I$5),OR($I$7="(ทั้งหมด)",INDEX(บันทึกรายเที่ยว!$F$6:$F$6005,$J8)=$I$7)),$N8*10000000+$O8*1000+1,""))</f>
        <v/>
      </c>
      <c r="Q8">
        <f>IFERROR(MATCH(SMALL($P$8:$P$407,1),$P$8:$P$407,0),"")</f>
        <v/>
      </c>
      <c r="R8">
        <f>IF($Q8="","",INDEX($J$8:$J$407,$Q8))</f>
        <v/>
      </c>
      <c r="S8">
        <f>IF($Q8="","",INDEX($M$8:$M$407,$Q8))</f>
        <v/>
      </c>
      <c r="T8">
        <f>IF($Q8="","",INDEX($L$8:$L$407,$Q8))</f>
        <v/>
      </c>
      <c r="U8">
        <f>IF($Q8="","",INDEX($K$8:$K$407,$Q8))</f>
        <v/>
      </c>
      <c r="V8">
        <f>IF($Q8="",0,1)</f>
        <v/>
      </c>
      <c r="W8">
        <f>IF($Q8="",0,1)</f>
        <v/>
      </c>
      <c r="X8">
        <f>IF($Q8="",99999,1)</f>
        <v/>
      </c>
      <c r="Y8">
        <f>IF($Q8="","",INDEX(บันทึกรายเที่ยว!$Q$6:$Q$6005,$R8))</f>
        <v/>
      </c>
      <c r="Z8">
        <f>IF($Q8="","",INDEX(บันทึกรายเที่ยว!$F$6:$F$6005,$R8))</f>
        <v/>
      </c>
      <c r="AA8">
        <f>IFERROR(MATCH(1,$X$8:$X$407,1),"")</f>
        <v/>
      </c>
      <c r="AB8">
        <f>IF(1=$AD$1+1,"G",IF($AA8="","",IF(INDEX($Q$8:$Q$407,$AA8)="","",IF(1&gt;INDEX($X$8:$X$407,$AA8)+INDEX($V$8:$V$407,$AA8)+INDEX($W$8:$W$407,$AA8),"",IF(1=INDEX($X$8:$X$407,$AA8)+INDEX($V$8:$V$407,$AA8)+INDEX($W$8:$W$407,$AA8),"D",IF(AND(INDEX($W$8:$W$407,$AA8)=1,1=INDEX($X$8:$X$407,$AA8)+INDEX($V$8:$V$407,$AA8)),"S","R"))))))</f>
        <v/>
      </c>
      <c r="AC8">
        <f>IF(OR($AB8="",$AB8="G"),"",IF($AB8="D",INDEX($U$8:$U$407,$AA8),IF($AB8="S",INDEX($T$8:$T$407,$AA8)&amp;"|*",INDEX($S$8:$S$407,$AA8)&amp;"|*")))</f>
        <v/>
      </c>
      <c r="AE8">
        <f>IF($U8="",0,COUNTIF(บันทึกรายเที่ยว!$T$6:$T$6005,$U8))</f>
        <v/>
      </c>
      <c r="AF8">
        <f>IF($U8="",0,ROUND(SUMIF(บันทึกรายเที่ยว!$T$6:$T$6005,$U8,บันทึกรายเที่ยว!$J$6:$J$6005),2))</f>
        <v/>
      </c>
      <c r="AG8">
        <f>IF($U8="",0,ROUND(SUMIF(บันทึกรายเที่ยว!$T$6:$T$6005,$U8,บันทึกรายเที่ยว!$K$6:$K$6005),2))</f>
        <v/>
      </c>
      <c r="AH8">
        <f>IF($U8="",0,ROUND(SUMIF(บันทึกรายเที่ยว!$T$6:$T$6005,$U8,บันทึกรายเที่ยว!$M$6:$M$6005),2))</f>
        <v/>
      </c>
    </row>
    <row r="9" ht="21" customHeight="1" s="66">
      <c r="A9" s="3">
        <f>IF($AB9="G","ผลรวมทั้งหมด",IF($AB9="R",INDEX($S$8:$S$407,$AA9),""))</f>
        <v/>
      </c>
      <c r="B9" s="3">
        <f>IF($AB9="S",INDEX($Y$8:$Y$407,$AA9),"")</f>
        <v/>
      </c>
      <c r="C9" s="68">
        <f>IF($AB9="D",INDEX($Z$8:$Z$407,$AA9),"")</f>
        <v/>
      </c>
      <c r="D9" s="31">
        <f>IF($AB9="G",SUM($AE$8:$AE$407),IF(OR($AB9="",$AB9="R"),"",IF($AB9="D",INDEX($AE$8:$AE$407,$AA9),SUMIF($T$8:$T$407,INDEX($T$8:$T$407,$AA9),$AE$8:$AE$407))))</f>
        <v/>
      </c>
      <c r="E9" s="32">
        <f>IF(2=$AD$1+3,"ขอแสดงความนับถือ",IF(2=$AD$1+6,"(                 )",IF(2=$AD$1+7,"เจ้าหน้าที่ขนส่ง",IF($AB9="G",SUM($AF$8:$AF$407),IF(OR($AB9="",$AB9="R"),"",IF($AB9="D",INDEX($AF$8:$AF$407,$AA9),SUMIF($T$8:$T$407,INDEX($T$8:$T$407,$AA9),$AF$8:$AF$407)))))))</f>
        <v/>
      </c>
      <c r="F9" s="32">
        <f>IF($AB9="G",SUM($AG$8:$AG$407),IF(OR($AB9="",$AB9="R"),"",IF($AB9="D",INDEX($AG$8:$AG$407,$AA9),SUMIF($T$8:$T$407,INDEX($T$8:$T$407,$AA9),$AG$8:$AG$407))))</f>
        <v/>
      </c>
      <c r="G9" s="32">
        <f>IF(OR($AB9="",$AB9="R"),"",ROUND($E9-$F9,2))</f>
        <v/>
      </c>
      <c r="H9" s="32">
        <f>IF($AB9="G",SUM($AH$8:$AH$407),IF(OR($AB9="",$AB9="R"),"",IF($AB9="D",INDEX($AH$8:$AH$407,$AA9),SUMIF($T$8:$T$407,INDEX($T$8:$T$407,$AA9),$AH$8:$AH$407))))</f>
        <v/>
      </c>
      <c r="I9" s="27" t="inlineStr">
        <is>
          <t>ตรวจสอบยอด</t>
        </is>
      </c>
      <c r="J9">
        <f>IFERROR(MATCH(2,บันทึกรายเที่ยว!$W$6:$W$6005,0),"")</f>
        <v/>
      </c>
      <c r="K9">
        <f>IF($J9="","",INDEX(บันทึกรายเที่ยว!$T$6:$T$6005,$J9))</f>
        <v/>
      </c>
      <c r="L9">
        <f>IF($J9="","",INDEX(บันทึกรายเที่ยว!$S$6:$S$6005,$J9))</f>
        <v/>
      </c>
      <c r="M9">
        <f>IF($J9="","",INDEX(บันทึกรายเที่ยว!$R$6:$R$6005,$J9))</f>
        <v/>
      </c>
      <c r="N9">
        <f>IF($J9="","",MATCH($M9,บันทึกรายเที่ยว!$R$6:$R$6005,0))</f>
        <v/>
      </c>
      <c r="O9">
        <f>IF($J9="","",MATCH($L9,บันทึกรายเที่ยว!$S$6:$S$6005,0))</f>
        <v/>
      </c>
      <c r="P9">
        <f>IF($J9="","",IF(AND(OR($I$3="(ทั้งหมด)",INDEX(บันทึกรายเที่ยว!$C$6:$C$6005,$J9)=$I$3),OR($I$5="(ทั้งหมด)",INDEX(บันทึกรายเที่ยว!$D$6:$D$6005,$J9)=$I$5),OR($I$7="(ทั้งหมด)",INDEX(บันทึกรายเที่ยว!$F$6:$F$6005,$J9)=$I$7)),$N9*10000000+$O9*1000+2,""))</f>
        <v/>
      </c>
      <c r="Q9">
        <f>IFERROR(MATCH(SMALL($P$8:$P$407,2),$P$8:$P$407,0),"")</f>
        <v/>
      </c>
      <c r="R9">
        <f>IF($Q9="","",INDEX($J$8:$J$407,$Q9))</f>
        <v/>
      </c>
      <c r="S9">
        <f>IF($Q9="","",INDEX($M$8:$M$407,$Q9))</f>
        <v/>
      </c>
      <c r="T9">
        <f>IF($Q9="","",INDEX($L$8:$L$407,$Q9))</f>
        <v/>
      </c>
      <c r="U9">
        <f>IF($Q9="","",INDEX($K$8:$K$407,$Q9))</f>
        <v/>
      </c>
      <c r="V9">
        <f>IF($Q9="",0,IF($S9&lt;&gt;$S8,1,0))</f>
        <v/>
      </c>
      <c r="W9">
        <f>IF($Q9="",0,IF($T9&lt;&gt;$T8,1,0))</f>
        <v/>
      </c>
      <c r="X9">
        <f>IF($Q9="",99999+2,$X8+1+$V8+$W8)</f>
        <v/>
      </c>
      <c r="Y9">
        <f>IF($Q9="","",INDEX(บันทึกรายเที่ยว!$Q$6:$Q$6005,$R9))</f>
        <v/>
      </c>
      <c r="Z9">
        <f>IF($Q9="","",INDEX(บันทึกรายเที่ยว!$F$6:$F$6005,$R9))</f>
        <v/>
      </c>
      <c r="AA9">
        <f>IFERROR(MATCH(2,$X$8:$X$407,1),"")</f>
        <v/>
      </c>
      <c r="AB9">
        <f>IF(2=$AD$1+1,"G",IF($AA9="","",IF(INDEX($Q$8:$Q$407,$AA9)="","",IF(2&gt;INDEX($X$8:$X$407,$AA9)+INDEX($V$8:$V$407,$AA9)+INDEX($W$8:$W$407,$AA9),"",IF(2=INDEX($X$8:$X$407,$AA9)+INDEX($V$8:$V$407,$AA9)+INDEX($W$8:$W$407,$AA9),"D",IF(AND(INDEX($W$8:$W$407,$AA9)=1,2=INDEX($X$8:$X$407,$AA9)+INDEX($V$8:$V$407,$AA9)),"S","R"))))))</f>
        <v/>
      </c>
      <c r="AC9">
        <f>IF(OR($AB9="",$AB9="G"),"",IF($AB9="D",INDEX($U$8:$U$407,$AA9),IF($AB9="S",INDEX($T$8:$T$407,$AA9)&amp;"|*",INDEX($S$8:$S$407,$AA9)&amp;"|*")))</f>
        <v/>
      </c>
      <c r="AE9">
        <f>IF($U9="",0,COUNTIF(บันทึกรายเที่ยว!$T$6:$T$6005,$U9))</f>
        <v/>
      </c>
      <c r="AF9">
        <f>IF($U9="",0,ROUND(SUMIF(บันทึกรายเที่ยว!$T$6:$T$6005,$U9,บันทึกรายเที่ยว!$J$6:$J$6005),2))</f>
        <v/>
      </c>
      <c r="AG9">
        <f>IF($U9="",0,ROUND(SUMIF(บันทึกรายเที่ยว!$T$6:$T$6005,$U9,บันทึกรายเที่ยว!$K$6:$K$6005),2))</f>
        <v/>
      </c>
      <c r="AH9">
        <f>IF($U9="",0,ROUND(SUMIF(บันทึกรายเที่ยว!$T$6:$T$6005,$U9,บันทึกรายเที่ยว!$M$6:$M$6005),2))</f>
        <v/>
      </c>
    </row>
    <row r="10" ht="21" customHeight="1" s="66">
      <c r="A10" s="3">
        <f>IF($AB10="G","ผลรวมทั้งหมด",IF($AB10="R",INDEX($S$8:$S$407,$AA10),""))</f>
        <v/>
      </c>
      <c r="B10" s="3">
        <f>IF($AB10="S",INDEX($Y$8:$Y$407,$AA10),"")</f>
        <v/>
      </c>
      <c r="C10" s="68">
        <f>IF($AB10="D",INDEX($Z$8:$Z$407,$AA10),"")</f>
        <v/>
      </c>
      <c r="D10" s="31">
        <f>IF($AB10="G",SUM($AE$8:$AE$407),IF(OR($AB10="",$AB10="R"),"",IF($AB10="D",INDEX($AE$8:$AE$407,$AA10),SUMIF($T$8:$T$407,INDEX($T$8:$T$407,$AA10),$AE$8:$AE$407))))</f>
        <v/>
      </c>
      <c r="E10" s="32">
        <f>IF(3=$AD$1+3,"ขอแสดงความนับถือ",IF(3=$AD$1+6,"(                 )",IF(3=$AD$1+7,"เจ้าหน้าที่ขนส่ง",IF($AB10="G",SUM($AF$8:$AF$407),IF(OR($AB10="",$AB10="R"),"",IF($AB10="D",INDEX($AF$8:$AF$407,$AA10),SUMIF($T$8:$T$407,INDEX($T$8:$T$407,$AA10),$AF$8:$AF$407)))))))</f>
        <v/>
      </c>
      <c r="F10" s="32">
        <f>IF($AB10="G",SUM($AG$8:$AG$407),IF(OR($AB10="",$AB10="R"),"",IF($AB10="D",INDEX($AG$8:$AG$407,$AA10),SUMIF($T$8:$T$407,INDEX($T$8:$T$407,$AA10),$AG$8:$AG$407))))</f>
        <v/>
      </c>
      <c r="G10" s="32">
        <f>IF(OR($AB10="",$AB10="R"),"",ROUND($E10-$F10,2))</f>
        <v/>
      </c>
      <c r="H10" s="32">
        <f>IF($AB10="G",SUM($AH$8:$AH$407),IF(OR($AB10="",$AB10="R"),"",IF($AB10="D",INDEX($AH$8:$AH$407,$AA10),SUMIF($T$8:$T$407,INDEX($T$8:$T$407,$AA10),$AH$8:$AH$407))))</f>
        <v/>
      </c>
      <c r="I10" s="34">
        <f>IF(AND($I$3="(ทั้งหมด)",$I$5="(ทั้งหมด)",$I$7="(ทั้งหมด)"),IF(ROUND(SUM($AH$8:$AH$407),2)=ROUND(SUM(บันทึกรายเที่ยว!$M$6:$M$6005),2),"ยอดตรงกับรายเที่ยว","*** ยอดไม่ตรง ***"),"กำลังกรองอยู่ — ยอดเป็นเฉพาะที่กรอง")</f>
        <v/>
      </c>
      <c r="J10">
        <f>IFERROR(MATCH(3,บันทึกรายเที่ยว!$W$6:$W$6005,0),"")</f>
        <v/>
      </c>
      <c r="K10">
        <f>IF($J10="","",INDEX(บันทึกรายเที่ยว!$T$6:$T$6005,$J10))</f>
        <v/>
      </c>
      <c r="L10">
        <f>IF($J10="","",INDEX(บันทึกรายเที่ยว!$S$6:$S$6005,$J10))</f>
        <v/>
      </c>
      <c r="M10">
        <f>IF($J10="","",INDEX(บันทึกรายเที่ยว!$R$6:$R$6005,$J10))</f>
        <v/>
      </c>
      <c r="N10">
        <f>IF($J10="","",MATCH($M10,บันทึกรายเที่ยว!$R$6:$R$6005,0))</f>
        <v/>
      </c>
      <c r="O10">
        <f>IF($J10="","",MATCH($L10,บันทึกรายเที่ยว!$S$6:$S$6005,0))</f>
        <v/>
      </c>
      <c r="P10">
        <f>IF($J10="","",IF(AND(OR($I$3="(ทั้งหมด)",INDEX(บันทึกรายเที่ยว!$C$6:$C$6005,$J10)=$I$3),OR($I$5="(ทั้งหมด)",INDEX(บันทึกรายเที่ยว!$D$6:$D$6005,$J10)=$I$5),OR($I$7="(ทั้งหมด)",INDEX(บันทึกรายเที่ยว!$F$6:$F$6005,$J10)=$I$7)),$N10*10000000+$O10*1000+3,""))</f>
        <v/>
      </c>
      <c r="Q10">
        <f>IFERROR(MATCH(SMALL($P$8:$P$407,3),$P$8:$P$407,0),"")</f>
        <v/>
      </c>
      <c r="R10">
        <f>IF($Q10="","",INDEX($J$8:$J$407,$Q10))</f>
        <v/>
      </c>
      <c r="S10">
        <f>IF($Q10="","",INDEX($M$8:$M$407,$Q10))</f>
        <v/>
      </c>
      <c r="T10">
        <f>IF($Q10="","",INDEX($L$8:$L$407,$Q10))</f>
        <v/>
      </c>
      <c r="U10">
        <f>IF($Q10="","",INDEX($K$8:$K$407,$Q10))</f>
        <v/>
      </c>
      <c r="V10">
        <f>IF($Q10="",0,IF($S10&lt;&gt;$S9,1,0))</f>
        <v/>
      </c>
      <c r="W10">
        <f>IF($Q10="",0,IF($T10&lt;&gt;$T9,1,0))</f>
        <v/>
      </c>
      <c r="X10">
        <f>IF($Q10="",99999+3,$X9+1+$V9+$W9)</f>
        <v/>
      </c>
      <c r="Y10">
        <f>IF($Q10="","",INDEX(บันทึกรายเที่ยว!$Q$6:$Q$6005,$R10))</f>
        <v/>
      </c>
      <c r="Z10">
        <f>IF($Q10="","",INDEX(บันทึกรายเที่ยว!$F$6:$F$6005,$R10))</f>
        <v/>
      </c>
      <c r="AA10">
        <f>IFERROR(MATCH(3,$X$8:$X$407,1),"")</f>
        <v/>
      </c>
      <c r="AB10">
        <f>IF(3=$AD$1+1,"G",IF($AA10="","",IF(INDEX($Q$8:$Q$407,$AA10)="","",IF(3&gt;INDEX($X$8:$X$407,$AA10)+INDEX($V$8:$V$407,$AA10)+INDEX($W$8:$W$407,$AA10),"",IF(3=INDEX($X$8:$X$407,$AA10)+INDEX($V$8:$V$407,$AA10)+INDEX($W$8:$W$407,$AA10),"D",IF(AND(INDEX($W$8:$W$407,$AA10)=1,3=INDEX($X$8:$X$407,$AA10)+INDEX($V$8:$V$407,$AA10)),"S","R"))))))</f>
        <v/>
      </c>
      <c r="AC10">
        <f>IF(OR($AB10="",$AB10="G"),"",IF($AB10="D",INDEX($U$8:$U$407,$AA10),IF($AB10="S",INDEX($T$8:$T$407,$AA10)&amp;"|*",INDEX($S$8:$S$407,$AA10)&amp;"|*")))</f>
        <v/>
      </c>
      <c r="AE10">
        <f>IF($U10="",0,COUNTIF(บันทึกรายเที่ยว!$T$6:$T$6005,$U10))</f>
        <v/>
      </c>
      <c r="AF10">
        <f>IF($U10="",0,ROUND(SUMIF(บันทึกรายเที่ยว!$T$6:$T$6005,$U10,บันทึกรายเที่ยว!$J$6:$J$6005),2))</f>
        <v/>
      </c>
      <c r="AG10">
        <f>IF($U10="",0,ROUND(SUMIF(บันทึกรายเที่ยว!$T$6:$T$6005,$U10,บันทึกรายเที่ยว!$K$6:$K$6005),2))</f>
        <v/>
      </c>
      <c r="AH10">
        <f>IF($U10="",0,ROUND(SUMIF(บันทึกรายเที่ยว!$T$6:$T$6005,$U10,บันทึกรายเที่ยว!$M$6:$M$6005),2))</f>
        <v/>
      </c>
    </row>
    <row r="11" ht="21" customHeight="1" s="66">
      <c r="A11" s="3">
        <f>IF($AB11="G","ผลรวมทั้งหมด",IF($AB11="R",INDEX($S$8:$S$407,$AA11),""))</f>
        <v/>
      </c>
      <c r="B11" s="3">
        <f>IF($AB11="S",INDEX($Y$8:$Y$407,$AA11),"")</f>
        <v/>
      </c>
      <c r="C11" s="68">
        <f>IF($AB11="D",INDEX($Z$8:$Z$407,$AA11),"")</f>
        <v/>
      </c>
      <c r="D11" s="31">
        <f>IF($AB11="G",SUM($AE$8:$AE$407),IF(OR($AB11="",$AB11="R"),"",IF($AB11="D",INDEX($AE$8:$AE$407,$AA11),SUMIF($T$8:$T$407,INDEX($T$8:$T$407,$AA11),$AE$8:$AE$407))))</f>
        <v/>
      </c>
      <c r="E11" s="32">
        <f>IF(4=$AD$1+3,"ขอแสดงความนับถือ",IF(4=$AD$1+6,"(                 )",IF(4=$AD$1+7,"เจ้าหน้าที่ขนส่ง",IF($AB11="G",SUM($AF$8:$AF$407),IF(OR($AB11="",$AB11="R"),"",IF($AB11="D",INDEX($AF$8:$AF$407,$AA11),SUMIF($T$8:$T$407,INDEX($T$8:$T$407,$AA11),$AF$8:$AF$407)))))))</f>
        <v/>
      </c>
      <c r="F11" s="32">
        <f>IF($AB11="G",SUM($AG$8:$AG$407),IF(OR($AB11="",$AB11="R"),"",IF($AB11="D",INDEX($AG$8:$AG$407,$AA11),SUMIF($T$8:$T$407,INDEX($T$8:$T$407,$AA11),$AG$8:$AG$407))))</f>
        <v/>
      </c>
      <c r="G11" s="32">
        <f>IF(OR($AB11="",$AB11="R"),"",ROUND($E11-$F11,2))</f>
        <v/>
      </c>
      <c r="H11" s="32">
        <f>IF($AB11="G",SUM($AH$8:$AH$407),IF(OR($AB11="",$AB11="R"),"",IF($AB11="D",INDEX($AH$8:$AH$407,$AA11),SUMIF($T$8:$T$407,INDEX($T$8:$T$407,$AA11),$AH$8:$AH$407))))</f>
        <v/>
      </c>
      <c r="I11" s="27" t="inlineStr">
        <is>
          <t>พื้นที่ตาราง</t>
        </is>
      </c>
      <c r="J11">
        <f>IFERROR(MATCH(4,บันทึกรายเที่ยว!$W$6:$W$6005,0),"")</f>
        <v/>
      </c>
      <c r="K11">
        <f>IF($J11="","",INDEX(บันทึกรายเที่ยว!$T$6:$T$6005,$J11))</f>
        <v/>
      </c>
      <c r="L11">
        <f>IF($J11="","",INDEX(บันทึกรายเที่ยว!$S$6:$S$6005,$J11))</f>
        <v/>
      </c>
      <c r="M11">
        <f>IF($J11="","",INDEX(บันทึกรายเที่ยว!$R$6:$R$6005,$J11))</f>
        <v/>
      </c>
      <c r="N11">
        <f>IF($J11="","",MATCH($M11,บันทึกรายเที่ยว!$R$6:$R$6005,0))</f>
        <v/>
      </c>
      <c r="O11">
        <f>IF($J11="","",MATCH($L11,บันทึกรายเที่ยว!$S$6:$S$6005,0))</f>
        <v/>
      </c>
      <c r="P11">
        <f>IF($J11="","",IF(AND(OR($I$3="(ทั้งหมด)",INDEX(บันทึกรายเที่ยว!$C$6:$C$6005,$J11)=$I$3),OR($I$5="(ทั้งหมด)",INDEX(บันทึกรายเที่ยว!$D$6:$D$6005,$J11)=$I$5),OR($I$7="(ทั้งหมด)",INDEX(บันทึกรายเที่ยว!$F$6:$F$6005,$J11)=$I$7)),$N11*10000000+$O11*1000+4,""))</f>
        <v/>
      </c>
      <c r="Q11">
        <f>IFERROR(MATCH(SMALL($P$8:$P$407,4),$P$8:$P$407,0),"")</f>
        <v/>
      </c>
      <c r="R11">
        <f>IF($Q11="","",INDEX($J$8:$J$407,$Q11))</f>
        <v/>
      </c>
      <c r="S11">
        <f>IF($Q11="","",INDEX($M$8:$M$407,$Q11))</f>
        <v/>
      </c>
      <c r="T11">
        <f>IF($Q11="","",INDEX($L$8:$L$407,$Q11))</f>
        <v/>
      </c>
      <c r="U11">
        <f>IF($Q11="","",INDEX($K$8:$K$407,$Q11))</f>
        <v/>
      </c>
      <c r="V11">
        <f>IF($Q11="",0,IF($S11&lt;&gt;$S10,1,0))</f>
        <v/>
      </c>
      <c r="W11">
        <f>IF($Q11="",0,IF($T11&lt;&gt;$T10,1,0))</f>
        <v/>
      </c>
      <c r="X11">
        <f>IF($Q11="",99999+4,$X10+1+$V10+$W10)</f>
        <v/>
      </c>
      <c r="Y11">
        <f>IF($Q11="","",INDEX(บันทึกรายเที่ยว!$Q$6:$Q$6005,$R11))</f>
        <v/>
      </c>
      <c r="Z11">
        <f>IF($Q11="","",INDEX(บันทึกรายเที่ยว!$F$6:$F$6005,$R11))</f>
        <v/>
      </c>
      <c r="AA11">
        <f>IFERROR(MATCH(4,$X$8:$X$407,1),"")</f>
        <v/>
      </c>
      <c r="AB11">
        <f>IF(4=$AD$1+1,"G",IF($AA11="","",IF(INDEX($Q$8:$Q$407,$AA11)="","",IF(4&gt;INDEX($X$8:$X$407,$AA11)+INDEX($V$8:$V$407,$AA11)+INDEX($W$8:$W$407,$AA11),"",IF(4=INDEX($X$8:$X$407,$AA11)+INDEX($V$8:$V$407,$AA11)+INDEX($W$8:$W$407,$AA11),"D",IF(AND(INDEX($W$8:$W$407,$AA11)=1,4=INDEX($X$8:$X$407,$AA11)+INDEX($V$8:$V$407,$AA11)),"S","R"))))))</f>
        <v/>
      </c>
      <c r="AC11">
        <f>IF(OR($AB11="",$AB11="G"),"",IF($AB11="D",INDEX($U$8:$U$407,$AA11),IF($AB11="S",INDEX($T$8:$T$407,$AA11)&amp;"|*",INDEX($S$8:$S$407,$AA11)&amp;"|*")))</f>
        <v/>
      </c>
      <c r="AE11">
        <f>IF($U11="",0,COUNTIF(บันทึกรายเที่ยว!$T$6:$T$6005,$U11))</f>
        <v/>
      </c>
      <c r="AF11">
        <f>IF($U11="",0,ROUND(SUMIF(บันทึกรายเที่ยว!$T$6:$T$6005,$U11,บันทึกรายเที่ยว!$J$6:$J$6005),2))</f>
        <v/>
      </c>
      <c r="AG11">
        <f>IF($U11="",0,ROUND(SUMIF(บันทึกรายเที่ยว!$T$6:$T$6005,$U11,บันทึกรายเที่ยว!$K$6:$K$6005),2))</f>
        <v/>
      </c>
      <c r="AH11">
        <f>IF($U11="",0,ROUND(SUMIF(บันทึกรายเที่ยว!$T$6:$T$6005,$U11,บันทึกรายเที่ยว!$M$6:$M$6005),2))</f>
        <v/>
      </c>
    </row>
    <row r="12" ht="21" customHeight="1" s="66">
      <c r="A12" s="3">
        <f>IF($AB12="G","ผลรวมทั้งหมด",IF($AB12="R",INDEX($S$8:$S$407,$AA12),""))</f>
        <v/>
      </c>
      <c r="B12" s="3">
        <f>IF($AB12="S",INDEX($Y$8:$Y$407,$AA12),"")</f>
        <v/>
      </c>
      <c r="C12" s="68">
        <f>IF($AB12="D",INDEX($Z$8:$Z$407,$AA12),"")</f>
        <v/>
      </c>
      <c r="D12" s="31">
        <f>IF($AB12="G",SUM($AE$8:$AE$407),IF(OR($AB12="",$AB12="R"),"",IF($AB12="D",INDEX($AE$8:$AE$407,$AA12),SUMIF($T$8:$T$407,INDEX($T$8:$T$407,$AA12),$AE$8:$AE$407))))</f>
        <v/>
      </c>
      <c r="E12" s="32">
        <f>IF(5=$AD$1+3,"ขอแสดงความนับถือ",IF(5=$AD$1+6,"(                 )",IF(5=$AD$1+7,"เจ้าหน้าที่ขนส่ง",IF($AB12="G",SUM($AF$8:$AF$407),IF(OR($AB12="",$AB12="R"),"",IF($AB12="D",INDEX($AF$8:$AF$407,$AA12),SUMIF($T$8:$T$407,INDEX($T$8:$T$407,$AA12),$AF$8:$AF$407)))))))</f>
        <v/>
      </c>
      <c r="F12" s="32">
        <f>IF($AB12="G",SUM($AG$8:$AG$407),IF(OR($AB12="",$AB12="R"),"",IF($AB12="D",INDEX($AG$8:$AG$407,$AA12),SUMIF($T$8:$T$407,INDEX($T$8:$T$407,$AA12),$AG$8:$AG$407))))</f>
        <v/>
      </c>
      <c r="G12" s="32">
        <f>IF(OR($AB12="",$AB12="R"),"",ROUND($E12-$F12,2))</f>
        <v/>
      </c>
      <c r="H12" s="32">
        <f>IF($AB12="G",SUM($AH$8:$AH$407),IF(OR($AB12="",$AB12="R"),"",IF($AB12="D",INDEX($AH$8:$AH$407,$AA12),SUMIF($T$8:$T$407,INDEX($T$8:$T$407,$AA12),$AH$8:$AH$407))))</f>
        <v/>
      </c>
      <c r="I12" s="34">
        <f>IF($AB$707&lt;&gt;"","*** บรรทัดไม่พอ แยกไฟล์ ***",IF($AD$1+7&gt;200,"*** ยาวกว่าพื้นที่พิมพ์ ตั้ง Print Area ใหม่ ***","เพียงพอ"))</f>
        <v/>
      </c>
      <c r="J12">
        <f>IFERROR(MATCH(5,บันทึกรายเที่ยว!$W$6:$W$6005,0),"")</f>
        <v/>
      </c>
      <c r="K12">
        <f>IF($J12="","",INDEX(บันทึกรายเที่ยว!$T$6:$T$6005,$J12))</f>
        <v/>
      </c>
      <c r="L12">
        <f>IF($J12="","",INDEX(บันทึกรายเที่ยว!$S$6:$S$6005,$J12))</f>
        <v/>
      </c>
      <c r="M12">
        <f>IF($J12="","",INDEX(บันทึกรายเที่ยว!$R$6:$R$6005,$J12))</f>
        <v/>
      </c>
      <c r="N12">
        <f>IF($J12="","",MATCH($M12,บันทึกรายเที่ยว!$R$6:$R$6005,0))</f>
        <v/>
      </c>
      <c r="O12">
        <f>IF($J12="","",MATCH($L12,บันทึกรายเที่ยว!$S$6:$S$6005,0))</f>
        <v/>
      </c>
      <c r="P12">
        <f>IF($J12="","",IF(AND(OR($I$3="(ทั้งหมด)",INDEX(บันทึกรายเที่ยว!$C$6:$C$6005,$J12)=$I$3),OR($I$5="(ทั้งหมด)",INDEX(บันทึกรายเที่ยว!$D$6:$D$6005,$J12)=$I$5),OR($I$7="(ทั้งหมด)",INDEX(บันทึกรายเที่ยว!$F$6:$F$6005,$J12)=$I$7)),$N12*10000000+$O12*1000+5,""))</f>
        <v/>
      </c>
      <c r="Q12">
        <f>IFERROR(MATCH(SMALL($P$8:$P$407,5),$P$8:$P$407,0),"")</f>
        <v/>
      </c>
      <c r="R12">
        <f>IF($Q12="","",INDEX($J$8:$J$407,$Q12))</f>
        <v/>
      </c>
      <c r="S12">
        <f>IF($Q12="","",INDEX($M$8:$M$407,$Q12))</f>
        <v/>
      </c>
      <c r="T12">
        <f>IF($Q12="","",INDEX($L$8:$L$407,$Q12))</f>
        <v/>
      </c>
      <c r="U12">
        <f>IF($Q12="","",INDEX($K$8:$K$407,$Q12))</f>
        <v/>
      </c>
      <c r="V12">
        <f>IF($Q12="",0,IF($S12&lt;&gt;$S11,1,0))</f>
        <v/>
      </c>
      <c r="W12">
        <f>IF($Q12="",0,IF($T12&lt;&gt;$T11,1,0))</f>
        <v/>
      </c>
      <c r="X12">
        <f>IF($Q12="",99999+5,$X11+1+$V11+$W11)</f>
        <v/>
      </c>
      <c r="Y12">
        <f>IF($Q12="","",INDEX(บันทึกรายเที่ยว!$Q$6:$Q$6005,$R12))</f>
        <v/>
      </c>
      <c r="Z12">
        <f>IF($Q12="","",INDEX(บันทึกรายเที่ยว!$F$6:$F$6005,$R12))</f>
        <v/>
      </c>
      <c r="AA12">
        <f>IFERROR(MATCH(5,$X$8:$X$407,1),"")</f>
        <v/>
      </c>
      <c r="AB12">
        <f>IF(5=$AD$1+1,"G",IF($AA12="","",IF(INDEX($Q$8:$Q$407,$AA12)="","",IF(5&gt;INDEX($X$8:$X$407,$AA12)+INDEX($V$8:$V$407,$AA12)+INDEX($W$8:$W$407,$AA12),"",IF(5=INDEX($X$8:$X$407,$AA12)+INDEX($V$8:$V$407,$AA12)+INDEX($W$8:$W$407,$AA12),"D",IF(AND(INDEX($W$8:$W$407,$AA12)=1,5=INDEX($X$8:$X$407,$AA12)+INDEX($V$8:$V$407,$AA12)),"S","R"))))))</f>
        <v/>
      </c>
      <c r="AC12">
        <f>IF(OR($AB12="",$AB12="G"),"",IF($AB12="D",INDEX($U$8:$U$407,$AA12),IF($AB12="S",INDEX($T$8:$T$407,$AA12)&amp;"|*",INDEX($S$8:$S$407,$AA12)&amp;"|*")))</f>
        <v/>
      </c>
      <c r="AE12">
        <f>IF($U12="",0,COUNTIF(บันทึกรายเที่ยว!$T$6:$T$6005,$U12))</f>
        <v/>
      </c>
      <c r="AF12">
        <f>IF($U12="",0,ROUND(SUMIF(บันทึกรายเที่ยว!$T$6:$T$6005,$U12,บันทึกรายเที่ยว!$J$6:$J$6005),2))</f>
        <v/>
      </c>
      <c r="AG12">
        <f>IF($U12="",0,ROUND(SUMIF(บันทึกรายเที่ยว!$T$6:$T$6005,$U12,บันทึกรายเที่ยว!$K$6:$K$6005),2))</f>
        <v/>
      </c>
      <c r="AH12">
        <f>IF($U12="",0,ROUND(SUMIF(บันทึกรายเที่ยว!$T$6:$T$6005,$U12,บันทึกรายเที่ยว!$M$6:$M$6005),2))</f>
        <v/>
      </c>
    </row>
    <row r="13" ht="21" customHeight="1" s="66">
      <c r="A13" s="3">
        <f>IF($AB13="G","ผลรวมทั้งหมด",IF($AB13="R",INDEX($S$8:$S$407,$AA13),""))</f>
        <v/>
      </c>
      <c r="B13" s="3">
        <f>IF($AB13="S",INDEX($Y$8:$Y$407,$AA13),"")</f>
        <v/>
      </c>
      <c r="C13" s="68">
        <f>IF($AB13="D",INDEX($Z$8:$Z$407,$AA13),"")</f>
        <v/>
      </c>
      <c r="D13" s="31">
        <f>IF($AB13="G",SUM($AE$8:$AE$407),IF(OR($AB13="",$AB13="R"),"",IF($AB13="D",INDEX($AE$8:$AE$407,$AA13),SUMIF($T$8:$T$407,INDEX($T$8:$T$407,$AA13),$AE$8:$AE$407))))</f>
        <v/>
      </c>
      <c r="E13" s="32">
        <f>IF(6=$AD$1+3,"ขอแสดงความนับถือ",IF(6=$AD$1+6,"(                 )",IF(6=$AD$1+7,"เจ้าหน้าที่ขนส่ง",IF($AB13="G",SUM($AF$8:$AF$407),IF(OR($AB13="",$AB13="R"),"",IF($AB13="D",INDEX($AF$8:$AF$407,$AA13),SUMIF($T$8:$T$407,INDEX($T$8:$T$407,$AA13),$AF$8:$AF$407)))))))</f>
        <v/>
      </c>
      <c r="F13" s="32">
        <f>IF($AB13="G",SUM($AG$8:$AG$407),IF(OR($AB13="",$AB13="R"),"",IF($AB13="D",INDEX($AG$8:$AG$407,$AA13),SUMIF($T$8:$T$407,INDEX($T$8:$T$407,$AA13),$AG$8:$AG$407))))</f>
        <v/>
      </c>
      <c r="G13" s="32">
        <f>IF(OR($AB13="",$AB13="R"),"",ROUND($E13-$F13,2))</f>
        <v/>
      </c>
      <c r="H13" s="32">
        <f>IF($AB13="G",SUM($AH$8:$AH$407),IF(OR($AB13="",$AB13="R"),"",IF($AB13="D",INDEX($AH$8:$AH$407,$AA13),SUMIF($T$8:$T$407,INDEX($T$8:$T$407,$AA13),$AH$8:$AH$407))))</f>
        <v/>
      </c>
      <c r="I13" s="27" t="inlineStr">
        <is>
          <t>ช่วงพิมพ์ที่พอดี</t>
        </is>
      </c>
      <c r="J13">
        <f>IFERROR(MATCH(6,บันทึกรายเที่ยว!$W$6:$W$6005,0),"")</f>
        <v/>
      </c>
      <c r="K13">
        <f>IF($J13="","",INDEX(บันทึกรายเที่ยว!$T$6:$T$6005,$J13))</f>
        <v/>
      </c>
      <c r="L13">
        <f>IF($J13="","",INDEX(บันทึกรายเที่ยว!$S$6:$S$6005,$J13))</f>
        <v/>
      </c>
      <c r="M13">
        <f>IF($J13="","",INDEX(บันทึกรายเที่ยว!$R$6:$R$6005,$J13))</f>
        <v/>
      </c>
      <c r="N13">
        <f>IF($J13="","",MATCH($M13,บันทึกรายเที่ยว!$R$6:$R$6005,0))</f>
        <v/>
      </c>
      <c r="O13">
        <f>IF($J13="","",MATCH($L13,บันทึกรายเที่ยว!$S$6:$S$6005,0))</f>
        <v/>
      </c>
      <c r="P13">
        <f>IF($J13="","",IF(AND(OR($I$3="(ทั้งหมด)",INDEX(บันทึกรายเที่ยว!$C$6:$C$6005,$J13)=$I$3),OR($I$5="(ทั้งหมด)",INDEX(บันทึกรายเที่ยว!$D$6:$D$6005,$J13)=$I$5),OR($I$7="(ทั้งหมด)",INDEX(บันทึกรายเที่ยว!$F$6:$F$6005,$J13)=$I$7)),$N13*10000000+$O13*1000+6,""))</f>
        <v/>
      </c>
      <c r="Q13">
        <f>IFERROR(MATCH(SMALL($P$8:$P$407,6),$P$8:$P$407,0),"")</f>
        <v/>
      </c>
      <c r="R13">
        <f>IF($Q13="","",INDEX($J$8:$J$407,$Q13))</f>
        <v/>
      </c>
      <c r="S13">
        <f>IF($Q13="","",INDEX($M$8:$M$407,$Q13))</f>
        <v/>
      </c>
      <c r="T13">
        <f>IF($Q13="","",INDEX($L$8:$L$407,$Q13))</f>
        <v/>
      </c>
      <c r="U13">
        <f>IF($Q13="","",INDEX($K$8:$K$407,$Q13))</f>
        <v/>
      </c>
      <c r="V13">
        <f>IF($Q13="",0,IF($S13&lt;&gt;$S12,1,0))</f>
        <v/>
      </c>
      <c r="W13">
        <f>IF($Q13="",0,IF($T13&lt;&gt;$T12,1,0))</f>
        <v/>
      </c>
      <c r="X13">
        <f>IF($Q13="",99999+6,$X12+1+$V12+$W12)</f>
        <v/>
      </c>
      <c r="Y13">
        <f>IF($Q13="","",INDEX(บันทึกรายเที่ยว!$Q$6:$Q$6005,$R13))</f>
        <v/>
      </c>
      <c r="Z13">
        <f>IF($Q13="","",INDEX(บันทึกรายเที่ยว!$F$6:$F$6005,$R13))</f>
        <v/>
      </c>
      <c r="AA13">
        <f>IFERROR(MATCH(6,$X$8:$X$407,1),"")</f>
        <v/>
      </c>
      <c r="AB13">
        <f>IF(6=$AD$1+1,"G",IF($AA13="","",IF(INDEX($Q$8:$Q$407,$AA13)="","",IF(6&gt;INDEX($X$8:$X$407,$AA13)+INDEX($V$8:$V$407,$AA13)+INDEX($W$8:$W$407,$AA13),"",IF(6=INDEX($X$8:$X$407,$AA13)+INDEX($V$8:$V$407,$AA13)+INDEX($W$8:$W$407,$AA13),"D",IF(AND(INDEX($W$8:$W$407,$AA13)=1,6=INDEX($X$8:$X$407,$AA13)+INDEX($V$8:$V$407,$AA13)),"S","R"))))))</f>
        <v/>
      </c>
      <c r="AC13">
        <f>IF(OR($AB13="",$AB13="G"),"",IF($AB13="D",INDEX($U$8:$U$407,$AA13),IF($AB13="S",INDEX($T$8:$T$407,$AA13)&amp;"|*",INDEX($S$8:$S$407,$AA13)&amp;"|*")))</f>
        <v/>
      </c>
      <c r="AE13">
        <f>IF($U13="",0,COUNTIF(บันทึกรายเที่ยว!$T$6:$T$6005,$U13))</f>
        <v/>
      </c>
      <c r="AF13">
        <f>IF($U13="",0,ROUND(SUMIF(บันทึกรายเที่ยว!$T$6:$T$6005,$U13,บันทึกรายเที่ยว!$J$6:$J$6005),2))</f>
        <v/>
      </c>
      <c r="AG13">
        <f>IF($U13="",0,ROUND(SUMIF(บันทึกรายเที่ยว!$T$6:$T$6005,$U13,บันทึกรายเที่ยว!$K$6:$K$6005),2))</f>
        <v/>
      </c>
      <c r="AH13">
        <f>IF($U13="",0,ROUND(SUMIF(บันทึกรายเที่ยว!$T$6:$T$6005,$U13,บันทึกรายเที่ยว!$M$6:$M$6005),2))</f>
        <v/>
      </c>
    </row>
    <row r="14" ht="21" customHeight="1" s="66">
      <c r="A14" s="3">
        <f>IF($AB14="G","ผลรวมทั้งหมด",IF($AB14="R",INDEX($S$8:$S$407,$AA14),""))</f>
        <v/>
      </c>
      <c r="B14" s="3">
        <f>IF($AB14="S",INDEX($Y$8:$Y$407,$AA14),"")</f>
        <v/>
      </c>
      <c r="C14" s="68">
        <f>IF($AB14="D",INDEX($Z$8:$Z$407,$AA14),"")</f>
        <v/>
      </c>
      <c r="D14" s="31">
        <f>IF($AB14="G",SUM($AE$8:$AE$407),IF(OR($AB14="",$AB14="R"),"",IF($AB14="D",INDEX($AE$8:$AE$407,$AA14),SUMIF($T$8:$T$407,INDEX($T$8:$T$407,$AA14),$AE$8:$AE$407))))</f>
        <v/>
      </c>
      <c r="E14" s="32">
        <f>IF(7=$AD$1+3,"ขอแสดงความนับถือ",IF(7=$AD$1+6,"(                 )",IF(7=$AD$1+7,"เจ้าหน้าที่ขนส่ง",IF($AB14="G",SUM($AF$8:$AF$407),IF(OR($AB14="",$AB14="R"),"",IF($AB14="D",INDEX($AF$8:$AF$407,$AA14),SUMIF($T$8:$T$407,INDEX($T$8:$T$407,$AA14),$AF$8:$AF$407)))))))</f>
        <v/>
      </c>
      <c r="F14" s="32">
        <f>IF($AB14="G",SUM($AG$8:$AG$407),IF(OR($AB14="",$AB14="R"),"",IF($AB14="D",INDEX($AG$8:$AG$407,$AA14),SUMIF($T$8:$T$407,INDEX($T$8:$T$407,$AA14),$AG$8:$AG$407))))</f>
        <v/>
      </c>
      <c r="G14" s="32">
        <f>IF(OR($AB14="",$AB14="R"),"",ROUND($E14-$F14,2))</f>
        <v/>
      </c>
      <c r="H14" s="32">
        <f>IF($AB14="G",SUM($AH$8:$AH$407),IF(OR($AB14="",$AB14="R"),"",IF($AB14="D",INDEX($AH$8:$AH$407,$AA14),SUMIF($T$8:$T$407,INDEX($T$8:$T$407,$AA14),$AH$8:$AH$407))))</f>
        <v/>
      </c>
      <c r="I14" s="35">
        <f>"A1:H"&amp;(8-1+$AD$1+7)</f>
        <v/>
      </c>
      <c r="J14">
        <f>IFERROR(MATCH(7,บันทึกรายเที่ยว!$W$6:$W$6005,0),"")</f>
        <v/>
      </c>
      <c r="K14">
        <f>IF($J14="","",INDEX(บันทึกรายเที่ยว!$T$6:$T$6005,$J14))</f>
        <v/>
      </c>
      <c r="L14">
        <f>IF($J14="","",INDEX(บันทึกรายเที่ยว!$S$6:$S$6005,$J14))</f>
        <v/>
      </c>
      <c r="M14">
        <f>IF($J14="","",INDEX(บันทึกรายเที่ยว!$R$6:$R$6005,$J14))</f>
        <v/>
      </c>
      <c r="N14">
        <f>IF($J14="","",MATCH($M14,บันทึกรายเที่ยว!$R$6:$R$6005,0))</f>
        <v/>
      </c>
      <c r="O14">
        <f>IF($J14="","",MATCH($L14,บันทึกรายเที่ยว!$S$6:$S$6005,0))</f>
        <v/>
      </c>
      <c r="P14">
        <f>IF($J14="","",IF(AND(OR($I$3="(ทั้งหมด)",INDEX(บันทึกรายเที่ยว!$C$6:$C$6005,$J14)=$I$3),OR($I$5="(ทั้งหมด)",INDEX(บันทึกรายเที่ยว!$D$6:$D$6005,$J14)=$I$5),OR($I$7="(ทั้งหมด)",INDEX(บันทึกรายเที่ยว!$F$6:$F$6005,$J14)=$I$7)),$N14*10000000+$O14*1000+7,""))</f>
        <v/>
      </c>
      <c r="Q14">
        <f>IFERROR(MATCH(SMALL($P$8:$P$407,7),$P$8:$P$407,0),"")</f>
        <v/>
      </c>
      <c r="R14">
        <f>IF($Q14="","",INDEX($J$8:$J$407,$Q14))</f>
        <v/>
      </c>
      <c r="S14">
        <f>IF($Q14="","",INDEX($M$8:$M$407,$Q14))</f>
        <v/>
      </c>
      <c r="T14">
        <f>IF($Q14="","",INDEX($L$8:$L$407,$Q14))</f>
        <v/>
      </c>
      <c r="U14">
        <f>IF($Q14="","",INDEX($K$8:$K$407,$Q14))</f>
        <v/>
      </c>
      <c r="V14">
        <f>IF($Q14="",0,IF($S14&lt;&gt;$S13,1,0))</f>
        <v/>
      </c>
      <c r="W14">
        <f>IF($Q14="",0,IF($T14&lt;&gt;$T13,1,0))</f>
        <v/>
      </c>
      <c r="X14">
        <f>IF($Q14="",99999+7,$X13+1+$V13+$W13)</f>
        <v/>
      </c>
      <c r="Y14">
        <f>IF($Q14="","",INDEX(บันทึกรายเที่ยว!$Q$6:$Q$6005,$R14))</f>
        <v/>
      </c>
      <c r="Z14">
        <f>IF($Q14="","",INDEX(บันทึกรายเที่ยว!$F$6:$F$6005,$R14))</f>
        <v/>
      </c>
      <c r="AA14">
        <f>IFERROR(MATCH(7,$X$8:$X$407,1),"")</f>
        <v/>
      </c>
      <c r="AB14">
        <f>IF(7=$AD$1+1,"G",IF($AA14="","",IF(INDEX($Q$8:$Q$407,$AA14)="","",IF(7&gt;INDEX($X$8:$X$407,$AA14)+INDEX($V$8:$V$407,$AA14)+INDEX($W$8:$W$407,$AA14),"",IF(7=INDEX($X$8:$X$407,$AA14)+INDEX($V$8:$V$407,$AA14)+INDEX($W$8:$W$407,$AA14),"D",IF(AND(INDEX($W$8:$W$407,$AA14)=1,7=INDEX($X$8:$X$407,$AA14)+INDEX($V$8:$V$407,$AA14)),"S","R"))))))</f>
        <v/>
      </c>
      <c r="AC14">
        <f>IF(OR($AB14="",$AB14="G"),"",IF($AB14="D",INDEX($U$8:$U$407,$AA14),IF($AB14="S",INDEX($T$8:$T$407,$AA14)&amp;"|*",INDEX($S$8:$S$407,$AA14)&amp;"|*")))</f>
        <v/>
      </c>
      <c r="AE14">
        <f>IF($U14="",0,COUNTIF(บันทึกรายเที่ยว!$T$6:$T$6005,$U14))</f>
        <v/>
      </c>
      <c r="AF14">
        <f>IF($U14="",0,ROUND(SUMIF(บันทึกรายเที่ยว!$T$6:$T$6005,$U14,บันทึกรายเที่ยว!$J$6:$J$6005),2))</f>
        <v/>
      </c>
      <c r="AG14">
        <f>IF($U14="",0,ROUND(SUMIF(บันทึกรายเที่ยว!$T$6:$T$6005,$U14,บันทึกรายเที่ยว!$K$6:$K$6005),2))</f>
        <v/>
      </c>
      <c r="AH14">
        <f>IF($U14="",0,ROUND(SUMIF(บันทึกรายเที่ยว!$T$6:$T$6005,$U14,บันทึกรายเที่ยว!$M$6:$M$6005),2))</f>
        <v/>
      </c>
    </row>
    <row r="15" ht="21" customHeight="1" s="66">
      <c r="A15" s="3">
        <f>IF($AB15="G","ผลรวมทั้งหมด",IF($AB15="R",INDEX($S$8:$S$407,$AA15),""))</f>
        <v/>
      </c>
      <c r="B15" s="3">
        <f>IF($AB15="S",INDEX($Y$8:$Y$407,$AA15),"")</f>
        <v/>
      </c>
      <c r="C15" s="68">
        <f>IF($AB15="D",INDEX($Z$8:$Z$407,$AA15),"")</f>
        <v/>
      </c>
      <c r="D15" s="31">
        <f>IF($AB15="G",SUM($AE$8:$AE$407),IF(OR($AB15="",$AB15="R"),"",IF($AB15="D",INDEX($AE$8:$AE$407,$AA15),SUMIF($T$8:$T$407,INDEX($T$8:$T$407,$AA15),$AE$8:$AE$407))))</f>
        <v/>
      </c>
      <c r="E15" s="32">
        <f>IF(8=$AD$1+3,"ขอแสดงความนับถือ",IF(8=$AD$1+6,"(                 )",IF(8=$AD$1+7,"เจ้าหน้าที่ขนส่ง",IF($AB15="G",SUM($AF$8:$AF$407),IF(OR($AB15="",$AB15="R"),"",IF($AB15="D",INDEX($AF$8:$AF$407,$AA15),SUMIF($T$8:$T$407,INDEX($T$8:$T$407,$AA15),$AF$8:$AF$407)))))))</f>
        <v/>
      </c>
      <c r="F15" s="32">
        <f>IF($AB15="G",SUM($AG$8:$AG$407),IF(OR($AB15="",$AB15="R"),"",IF($AB15="D",INDEX($AG$8:$AG$407,$AA15),SUMIF($T$8:$T$407,INDEX($T$8:$T$407,$AA15),$AG$8:$AG$407))))</f>
        <v/>
      </c>
      <c r="G15" s="32">
        <f>IF(OR($AB15="",$AB15="R"),"",ROUND($E15-$F15,2))</f>
        <v/>
      </c>
      <c r="H15" s="32">
        <f>IF($AB15="G",SUM($AH$8:$AH$407),IF(OR($AB15="",$AB15="R"),"",IF($AB15="D",INDEX($AH$8:$AH$407,$AA15),SUMIF($T$8:$T$407,INDEX($T$8:$T$407,$AA15),$AH$8:$AH$407))))</f>
        <v/>
      </c>
      <c r="J15">
        <f>IFERROR(MATCH(8,บันทึกรายเที่ยว!$W$6:$W$6005,0),"")</f>
        <v/>
      </c>
      <c r="K15">
        <f>IF($J15="","",INDEX(บันทึกรายเที่ยว!$T$6:$T$6005,$J15))</f>
        <v/>
      </c>
      <c r="L15">
        <f>IF($J15="","",INDEX(บันทึกรายเที่ยว!$S$6:$S$6005,$J15))</f>
        <v/>
      </c>
      <c r="M15">
        <f>IF($J15="","",INDEX(บันทึกรายเที่ยว!$R$6:$R$6005,$J15))</f>
        <v/>
      </c>
      <c r="N15">
        <f>IF($J15="","",MATCH($M15,บันทึกรายเที่ยว!$R$6:$R$6005,0))</f>
        <v/>
      </c>
      <c r="O15">
        <f>IF($J15="","",MATCH($L15,บันทึกรายเที่ยว!$S$6:$S$6005,0))</f>
        <v/>
      </c>
      <c r="P15">
        <f>IF($J15="","",IF(AND(OR($I$3="(ทั้งหมด)",INDEX(บันทึกรายเที่ยว!$C$6:$C$6005,$J15)=$I$3),OR($I$5="(ทั้งหมด)",INDEX(บันทึกรายเที่ยว!$D$6:$D$6005,$J15)=$I$5),OR($I$7="(ทั้งหมด)",INDEX(บันทึกรายเที่ยว!$F$6:$F$6005,$J15)=$I$7)),$N15*10000000+$O15*1000+8,""))</f>
        <v/>
      </c>
      <c r="Q15">
        <f>IFERROR(MATCH(SMALL($P$8:$P$407,8),$P$8:$P$407,0),"")</f>
        <v/>
      </c>
      <c r="R15">
        <f>IF($Q15="","",INDEX($J$8:$J$407,$Q15))</f>
        <v/>
      </c>
      <c r="S15">
        <f>IF($Q15="","",INDEX($M$8:$M$407,$Q15))</f>
        <v/>
      </c>
      <c r="T15">
        <f>IF($Q15="","",INDEX($L$8:$L$407,$Q15))</f>
        <v/>
      </c>
      <c r="U15">
        <f>IF($Q15="","",INDEX($K$8:$K$407,$Q15))</f>
        <v/>
      </c>
      <c r="V15">
        <f>IF($Q15="",0,IF($S15&lt;&gt;$S14,1,0))</f>
        <v/>
      </c>
      <c r="W15">
        <f>IF($Q15="",0,IF($T15&lt;&gt;$T14,1,0))</f>
        <v/>
      </c>
      <c r="X15">
        <f>IF($Q15="",99999+8,$X14+1+$V14+$W14)</f>
        <v/>
      </c>
      <c r="Y15">
        <f>IF($Q15="","",INDEX(บันทึกรายเที่ยว!$Q$6:$Q$6005,$R15))</f>
        <v/>
      </c>
      <c r="Z15">
        <f>IF($Q15="","",INDEX(บันทึกรายเที่ยว!$F$6:$F$6005,$R15))</f>
        <v/>
      </c>
      <c r="AA15">
        <f>IFERROR(MATCH(8,$X$8:$X$407,1),"")</f>
        <v/>
      </c>
      <c r="AB15">
        <f>IF(8=$AD$1+1,"G",IF($AA15="","",IF(INDEX($Q$8:$Q$407,$AA15)="","",IF(8&gt;INDEX($X$8:$X$407,$AA15)+INDEX($V$8:$V$407,$AA15)+INDEX($W$8:$W$407,$AA15),"",IF(8=INDEX($X$8:$X$407,$AA15)+INDEX($V$8:$V$407,$AA15)+INDEX($W$8:$W$407,$AA15),"D",IF(AND(INDEX($W$8:$W$407,$AA15)=1,8=INDEX($X$8:$X$407,$AA15)+INDEX($V$8:$V$407,$AA15)),"S","R"))))))</f>
        <v/>
      </c>
      <c r="AC15">
        <f>IF(OR($AB15="",$AB15="G"),"",IF($AB15="D",INDEX($U$8:$U$407,$AA15),IF($AB15="S",INDEX($T$8:$T$407,$AA15)&amp;"|*",INDEX($S$8:$S$407,$AA15)&amp;"|*")))</f>
        <v/>
      </c>
      <c r="AE15">
        <f>IF($U15="",0,COUNTIF(บันทึกรายเที่ยว!$T$6:$T$6005,$U15))</f>
        <v/>
      </c>
      <c r="AF15">
        <f>IF($U15="",0,ROUND(SUMIF(บันทึกรายเที่ยว!$T$6:$T$6005,$U15,บันทึกรายเที่ยว!$J$6:$J$6005),2))</f>
        <v/>
      </c>
      <c r="AG15">
        <f>IF($U15="",0,ROUND(SUMIF(บันทึกรายเที่ยว!$T$6:$T$6005,$U15,บันทึกรายเที่ยว!$K$6:$K$6005),2))</f>
        <v/>
      </c>
      <c r="AH15">
        <f>IF($U15="",0,ROUND(SUMIF(บันทึกรายเที่ยว!$T$6:$T$6005,$U15,บันทึกรายเที่ยว!$M$6:$M$6005),2))</f>
        <v/>
      </c>
    </row>
    <row r="16" ht="21" customHeight="1" s="66">
      <c r="A16" s="3">
        <f>IF($AB16="G","ผลรวมทั้งหมด",IF($AB16="R",INDEX($S$8:$S$407,$AA16),""))</f>
        <v/>
      </c>
      <c r="B16" s="3">
        <f>IF($AB16="S",INDEX($Y$8:$Y$407,$AA16),"")</f>
        <v/>
      </c>
      <c r="C16" s="68">
        <f>IF($AB16="D",INDEX($Z$8:$Z$407,$AA16),"")</f>
        <v/>
      </c>
      <c r="D16" s="31">
        <f>IF($AB16="G",SUM($AE$8:$AE$407),IF(OR($AB16="",$AB16="R"),"",IF($AB16="D",INDEX($AE$8:$AE$407,$AA16),SUMIF($T$8:$T$407,INDEX($T$8:$T$407,$AA16),$AE$8:$AE$407))))</f>
        <v/>
      </c>
      <c r="E16" s="32">
        <f>IF(9=$AD$1+3,"ขอแสดงความนับถือ",IF(9=$AD$1+6,"(                 )",IF(9=$AD$1+7,"เจ้าหน้าที่ขนส่ง",IF($AB16="G",SUM($AF$8:$AF$407),IF(OR($AB16="",$AB16="R"),"",IF($AB16="D",INDEX($AF$8:$AF$407,$AA16),SUMIF($T$8:$T$407,INDEX($T$8:$T$407,$AA16),$AF$8:$AF$407)))))))</f>
        <v/>
      </c>
      <c r="F16" s="32">
        <f>IF($AB16="G",SUM($AG$8:$AG$407),IF(OR($AB16="",$AB16="R"),"",IF($AB16="D",INDEX($AG$8:$AG$407,$AA16),SUMIF($T$8:$T$407,INDEX($T$8:$T$407,$AA16),$AG$8:$AG$407))))</f>
        <v/>
      </c>
      <c r="G16" s="32">
        <f>IF(OR($AB16="",$AB16="R"),"",ROUND($E16-$F16,2))</f>
        <v/>
      </c>
      <c r="H16" s="32">
        <f>IF($AB16="G",SUM($AH$8:$AH$407),IF(OR($AB16="",$AB16="R"),"",IF($AB16="D",INDEX($AH$8:$AH$407,$AA16),SUMIF($T$8:$T$407,INDEX($T$8:$T$407,$AA16),$AH$8:$AH$407))))</f>
        <v/>
      </c>
      <c r="J16">
        <f>IFERROR(MATCH(9,บันทึกรายเที่ยว!$W$6:$W$6005,0),"")</f>
        <v/>
      </c>
      <c r="K16">
        <f>IF($J16="","",INDEX(บันทึกรายเที่ยว!$T$6:$T$6005,$J16))</f>
        <v/>
      </c>
      <c r="L16">
        <f>IF($J16="","",INDEX(บันทึกรายเที่ยว!$S$6:$S$6005,$J16))</f>
        <v/>
      </c>
      <c r="M16">
        <f>IF($J16="","",INDEX(บันทึกรายเที่ยว!$R$6:$R$6005,$J16))</f>
        <v/>
      </c>
      <c r="N16">
        <f>IF($J16="","",MATCH($M16,บันทึกรายเที่ยว!$R$6:$R$6005,0))</f>
        <v/>
      </c>
      <c r="O16">
        <f>IF($J16="","",MATCH($L16,บันทึกรายเที่ยว!$S$6:$S$6005,0))</f>
        <v/>
      </c>
      <c r="P16">
        <f>IF($J16="","",IF(AND(OR($I$3="(ทั้งหมด)",INDEX(บันทึกรายเที่ยว!$C$6:$C$6005,$J16)=$I$3),OR($I$5="(ทั้งหมด)",INDEX(บันทึกรายเที่ยว!$D$6:$D$6005,$J16)=$I$5),OR($I$7="(ทั้งหมด)",INDEX(บันทึกรายเที่ยว!$F$6:$F$6005,$J16)=$I$7)),$N16*10000000+$O16*1000+9,""))</f>
        <v/>
      </c>
      <c r="Q16">
        <f>IFERROR(MATCH(SMALL($P$8:$P$407,9),$P$8:$P$407,0),"")</f>
        <v/>
      </c>
      <c r="R16">
        <f>IF($Q16="","",INDEX($J$8:$J$407,$Q16))</f>
        <v/>
      </c>
      <c r="S16">
        <f>IF($Q16="","",INDEX($M$8:$M$407,$Q16))</f>
        <v/>
      </c>
      <c r="T16">
        <f>IF($Q16="","",INDEX($L$8:$L$407,$Q16))</f>
        <v/>
      </c>
      <c r="U16">
        <f>IF($Q16="","",INDEX($K$8:$K$407,$Q16))</f>
        <v/>
      </c>
      <c r="V16">
        <f>IF($Q16="",0,IF($S16&lt;&gt;$S15,1,0))</f>
        <v/>
      </c>
      <c r="W16">
        <f>IF($Q16="",0,IF($T16&lt;&gt;$T15,1,0))</f>
        <v/>
      </c>
      <c r="X16">
        <f>IF($Q16="",99999+9,$X15+1+$V15+$W15)</f>
        <v/>
      </c>
      <c r="Y16">
        <f>IF($Q16="","",INDEX(บันทึกรายเที่ยว!$Q$6:$Q$6005,$R16))</f>
        <v/>
      </c>
      <c r="Z16">
        <f>IF($Q16="","",INDEX(บันทึกรายเที่ยว!$F$6:$F$6005,$R16))</f>
        <v/>
      </c>
      <c r="AA16">
        <f>IFERROR(MATCH(9,$X$8:$X$407,1),"")</f>
        <v/>
      </c>
      <c r="AB16">
        <f>IF(9=$AD$1+1,"G",IF($AA16="","",IF(INDEX($Q$8:$Q$407,$AA16)="","",IF(9&gt;INDEX($X$8:$X$407,$AA16)+INDEX($V$8:$V$407,$AA16)+INDEX($W$8:$W$407,$AA16),"",IF(9=INDEX($X$8:$X$407,$AA16)+INDEX($V$8:$V$407,$AA16)+INDEX($W$8:$W$407,$AA16),"D",IF(AND(INDEX($W$8:$W$407,$AA16)=1,9=INDEX($X$8:$X$407,$AA16)+INDEX($V$8:$V$407,$AA16)),"S","R"))))))</f>
        <v/>
      </c>
      <c r="AC16">
        <f>IF(OR($AB16="",$AB16="G"),"",IF($AB16="D",INDEX($U$8:$U$407,$AA16),IF($AB16="S",INDEX($T$8:$T$407,$AA16)&amp;"|*",INDEX($S$8:$S$407,$AA16)&amp;"|*")))</f>
        <v/>
      </c>
      <c r="AE16">
        <f>IF($U16="",0,COUNTIF(บันทึกรายเที่ยว!$T$6:$T$6005,$U16))</f>
        <v/>
      </c>
      <c r="AF16">
        <f>IF($U16="",0,ROUND(SUMIF(บันทึกรายเที่ยว!$T$6:$T$6005,$U16,บันทึกรายเที่ยว!$J$6:$J$6005),2))</f>
        <v/>
      </c>
      <c r="AG16">
        <f>IF($U16="",0,ROUND(SUMIF(บันทึกรายเที่ยว!$T$6:$T$6005,$U16,บันทึกรายเที่ยว!$K$6:$K$6005),2))</f>
        <v/>
      </c>
      <c r="AH16">
        <f>IF($U16="",0,ROUND(SUMIF(บันทึกรายเที่ยว!$T$6:$T$6005,$U16,บันทึกรายเที่ยว!$M$6:$M$6005),2))</f>
        <v/>
      </c>
    </row>
    <row r="17" ht="21" customHeight="1" s="66">
      <c r="A17" s="3">
        <f>IF($AB17="G","ผลรวมทั้งหมด",IF($AB17="R",INDEX($S$8:$S$407,$AA17),""))</f>
        <v/>
      </c>
      <c r="B17" s="3">
        <f>IF($AB17="S",INDEX($Y$8:$Y$407,$AA17),"")</f>
        <v/>
      </c>
      <c r="C17" s="68">
        <f>IF($AB17="D",INDEX($Z$8:$Z$407,$AA17),"")</f>
        <v/>
      </c>
      <c r="D17" s="31">
        <f>IF($AB17="G",SUM($AE$8:$AE$407),IF(OR($AB17="",$AB17="R"),"",IF($AB17="D",INDEX($AE$8:$AE$407,$AA17),SUMIF($T$8:$T$407,INDEX($T$8:$T$407,$AA17),$AE$8:$AE$407))))</f>
        <v/>
      </c>
      <c r="E17" s="32">
        <f>IF(10=$AD$1+3,"ขอแสดงความนับถือ",IF(10=$AD$1+6,"(                 )",IF(10=$AD$1+7,"เจ้าหน้าที่ขนส่ง",IF($AB17="G",SUM($AF$8:$AF$407),IF(OR($AB17="",$AB17="R"),"",IF($AB17="D",INDEX($AF$8:$AF$407,$AA17),SUMIF($T$8:$T$407,INDEX($T$8:$T$407,$AA17),$AF$8:$AF$407)))))))</f>
        <v/>
      </c>
      <c r="F17" s="32">
        <f>IF($AB17="G",SUM($AG$8:$AG$407),IF(OR($AB17="",$AB17="R"),"",IF($AB17="D",INDEX($AG$8:$AG$407,$AA17),SUMIF($T$8:$T$407,INDEX($T$8:$T$407,$AA17),$AG$8:$AG$407))))</f>
        <v/>
      </c>
      <c r="G17" s="32">
        <f>IF(OR($AB17="",$AB17="R"),"",ROUND($E17-$F17,2))</f>
        <v/>
      </c>
      <c r="H17" s="32">
        <f>IF($AB17="G",SUM($AH$8:$AH$407),IF(OR($AB17="",$AB17="R"),"",IF($AB17="D",INDEX($AH$8:$AH$407,$AA17),SUMIF($T$8:$T$407,INDEX($T$8:$T$407,$AA17),$AH$8:$AH$407))))</f>
        <v/>
      </c>
      <c r="J17">
        <f>IFERROR(MATCH(10,บันทึกรายเที่ยว!$W$6:$W$6005,0),"")</f>
        <v/>
      </c>
      <c r="K17">
        <f>IF($J17="","",INDEX(บันทึกรายเที่ยว!$T$6:$T$6005,$J17))</f>
        <v/>
      </c>
      <c r="L17">
        <f>IF($J17="","",INDEX(บันทึกรายเที่ยว!$S$6:$S$6005,$J17))</f>
        <v/>
      </c>
      <c r="M17">
        <f>IF($J17="","",INDEX(บันทึกรายเที่ยว!$R$6:$R$6005,$J17))</f>
        <v/>
      </c>
      <c r="N17">
        <f>IF($J17="","",MATCH($M17,บันทึกรายเที่ยว!$R$6:$R$6005,0))</f>
        <v/>
      </c>
      <c r="O17">
        <f>IF($J17="","",MATCH($L17,บันทึกรายเที่ยว!$S$6:$S$6005,0))</f>
        <v/>
      </c>
      <c r="P17">
        <f>IF($J17="","",IF(AND(OR($I$3="(ทั้งหมด)",INDEX(บันทึกรายเที่ยว!$C$6:$C$6005,$J17)=$I$3),OR($I$5="(ทั้งหมด)",INDEX(บันทึกรายเที่ยว!$D$6:$D$6005,$J17)=$I$5),OR($I$7="(ทั้งหมด)",INDEX(บันทึกรายเที่ยว!$F$6:$F$6005,$J17)=$I$7)),$N17*10000000+$O17*1000+10,""))</f>
        <v/>
      </c>
      <c r="Q17">
        <f>IFERROR(MATCH(SMALL($P$8:$P$407,10),$P$8:$P$407,0),"")</f>
        <v/>
      </c>
      <c r="R17">
        <f>IF($Q17="","",INDEX($J$8:$J$407,$Q17))</f>
        <v/>
      </c>
      <c r="S17">
        <f>IF($Q17="","",INDEX($M$8:$M$407,$Q17))</f>
        <v/>
      </c>
      <c r="T17">
        <f>IF($Q17="","",INDEX($L$8:$L$407,$Q17))</f>
        <v/>
      </c>
      <c r="U17">
        <f>IF($Q17="","",INDEX($K$8:$K$407,$Q17))</f>
        <v/>
      </c>
      <c r="V17">
        <f>IF($Q17="",0,IF($S17&lt;&gt;$S16,1,0))</f>
        <v/>
      </c>
      <c r="W17">
        <f>IF($Q17="",0,IF($T17&lt;&gt;$T16,1,0))</f>
        <v/>
      </c>
      <c r="X17">
        <f>IF($Q17="",99999+10,$X16+1+$V16+$W16)</f>
        <v/>
      </c>
      <c r="Y17">
        <f>IF($Q17="","",INDEX(บันทึกรายเที่ยว!$Q$6:$Q$6005,$R17))</f>
        <v/>
      </c>
      <c r="Z17">
        <f>IF($Q17="","",INDEX(บันทึกรายเที่ยว!$F$6:$F$6005,$R17))</f>
        <v/>
      </c>
      <c r="AA17">
        <f>IFERROR(MATCH(10,$X$8:$X$407,1),"")</f>
        <v/>
      </c>
      <c r="AB17">
        <f>IF(10=$AD$1+1,"G",IF($AA17="","",IF(INDEX($Q$8:$Q$407,$AA17)="","",IF(10&gt;INDEX($X$8:$X$407,$AA17)+INDEX($V$8:$V$407,$AA17)+INDEX($W$8:$W$407,$AA17),"",IF(10=INDEX($X$8:$X$407,$AA17)+INDEX($V$8:$V$407,$AA17)+INDEX($W$8:$W$407,$AA17),"D",IF(AND(INDEX($W$8:$W$407,$AA17)=1,10=INDEX($X$8:$X$407,$AA17)+INDEX($V$8:$V$407,$AA17)),"S","R"))))))</f>
        <v/>
      </c>
      <c r="AC17">
        <f>IF(OR($AB17="",$AB17="G"),"",IF($AB17="D",INDEX($U$8:$U$407,$AA17),IF($AB17="S",INDEX($T$8:$T$407,$AA17)&amp;"|*",INDEX($S$8:$S$407,$AA17)&amp;"|*")))</f>
        <v/>
      </c>
      <c r="AE17">
        <f>IF($U17="",0,COUNTIF(บันทึกรายเที่ยว!$T$6:$T$6005,$U17))</f>
        <v/>
      </c>
      <c r="AF17">
        <f>IF($U17="",0,ROUND(SUMIF(บันทึกรายเที่ยว!$T$6:$T$6005,$U17,บันทึกรายเที่ยว!$J$6:$J$6005),2))</f>
        <v/>
      </c>
      <c r="AG17">
        <f>IF($U17="",0,ROUND(SUMIF(บันทึกรายเที่ยว!$T$6:$T$6005,$U17,บันทึกรายเที่ยว!$K$6:$K$6005),2))</f>
        <v/>
      </c>
      <c r="AH17">
        <f>IF($U17="",0,ROUND(SUMIF(บันทึกรายเที่ยว!$T$6:$T$6005,$U17,บันทึกรายเที่ยว!$M$6:$M$6005),2))</f>
        <v/>
      </c>
    </row>
    <row r="18" ht="21" customHeight="1" s="66">
      <c r="A18" s="3">
        <f>IF($AB18="G","ผลรวมทั้งหมด",IF($AB18="R",INDEX($S$8:$S$407,$AA18),""))</f>
        <v/>
      </c>
      <c r="B18" s="3">
        <f>IF($AB18="S",INDEX($Y$8:$Y$407,$AA18),"")</f>
        <v/>
      </c>
      <c r="C18" s="68">
        <f>IF($AB18="D",INDEX($Z$8:$Z$407,$AA18),"")</f>
        <v/>
      </c>
      <c r="D18" s="31">
        <f>IF($AB18="G",SUM($AE$8:$AE$407),IF(OR($AB18="",$AB18="R"),"",IF($AB18="D",INDEX($AE$8:$AE$407,$AA18),SUMIF($T$8:$T$407,INDEX($T$8:$T$407,$AA18),$AE$8:$AE$407))))</f>
        <v/>
      </c>
      <c r="E18" s="32">
        <f>IF(11=$AD$1+3,"ขอแสดงความนับถือ",IF(11=$AD$1+6,"(                 )",IF(11=$AD$1+7,"เจ้าหน้าที่ขนส่ง",IF($AB18="G",SUM($AF$8:$AF$407),IF(OR($AB18="",$AB18="R"),"",IF($AB18="D",INDEX($AF$8:$AF$407,$AA18),SUMIF($T$8:$T$407,INDEX($T$8:$T$407,$AA18),$AF$8:$AF$407)))))))</f>
        <v/>
      </c>
      <c r="F18" s="32">
        <f>IF($AB18="G",SUM($AG$8:$AG$407),IF(OR($AB18="",$AB18="R"),"",IF($AB18="D",INDEX($AG$8:$AG$407,$AA18),SUMIF($T$8:$T$407,INDEX($T$8:$T$407,$AA18),$AG$8:$AG$407))))</f>
        <v/>
      </c>
      <c r="G18" s="32">
        <f>IF(OR($AB18="",$AB18="R"),"",ROUND($E18-$F18,2))</f>
        <v/>
      </c>
      <c r="H18" s="32">
        <f>IF($AB18="G",SUM($AH$8:$AH$407),IF(OR($AB18="",$AB18="R"),"",IF($AB18="D",INDEX($AH$8:$AH$407,$AA18),SUMIF($T$8:$T$407,INDEX($T$8:$T$407,$AA18),$AH$8:$AH$407))))</f>
        <v/>
      </c>
      <c r="J18">
        <f>IFERROR(MATCH(11,บันทึกรายเที่ยว!$W$6:$W$6005,0),"")</f>
        <v/>
      </c>
      <c r="K18">
        <f>IF($J18="","",INDEX(บันทึกรายเที่ยว!$T$6:$T$6005,$J18))</f>
        <v/>
      </c>
      <c r="L18">
        <f>IF($J18="","",INDEX(บันทึกรายเที่ยว!$S$6:$S$6005,$J18))</f>
        <v/>
      </c>
      <c r="M18">
        <f>IF($J18="","",INDEX(บันทึกรายเที่ยว!$R$6:$R$6005,$J18))</f>
        <v/>
      </c>
      <c r="N18">
        <f>IF($J18="","",MATCH($M18,บันทึกรายเที่ยว!$R$6:$R$6005,0))</f>
        <v/>
      </c>
      <c r="O18">
        <f>IF($J18="","",MATCH($L18,บันทึกรายเที่ยว!$S$6:$S$6005,0))</f>
        <v/>
      </c>
      <c r="P18">
        <f>IF($J18="","",IF(AND(OR($I$3="(ทั้งหมด)",INDEX(บันทึกรายเที่ยว!$C$6:$C$6005,$J18)=$I$3),OR($I$5="(ทั้งหมด)",INDEX(บันทึกรายเที่ยว!$D$6:$D$6005,$J18)=$I$5),OR($I$7="(ทั้งหมด)",INDEX(บันทึกรายเที่ยว!$F$6:$F$6005,$J18)=$I$7)),$N18*10000000+$O18*1000+11,""))</f>
        <v/>
      </c>
      <c r="Q18">
        <f>IFERROR(MATCH(SMALL($P$8:$P$407,11),$P$8:$P$407,0),"")</f>
        <v/>
      </c>
      <c r="R18">
        <f>IF($Q18="","",INDEX($J$8:$J$407,$Q18))</f>
        <v/>
      </c>
      <c r="S18">
        <f>IF($Q18="","",INDEX($M$8:$M$407,$Q18))</f>
        <v/>
      </c>
      <c r="T18">
        <f>IF($Q18="","",INDEX($L$8:$L$407,$Q18))</f>
        <v/>
      </c>
      <c r="U18">
        <f>IF($Q18="","",INDEX($K$8:$K$407,$Q18))</f>
        <v/>
      </c>
      <c r="V18">
        <f>IF($Q18="",0,IF($S18&lt;&gt;$S17,1,0))</f>
        <v/>
      </c>
      <c r="W18">
        <f>IF($Q18="",0,IF($T18&lt;&gt;$T17,1,0))</f>
        <v/>
      </c>
      <c r="X18">
        <f>IF($Q18="",99999+11,$X17+1+$V17+$W17)</f>
        <v/>
      </c>
      <c r="Y18">
        <f>IF($Q18="","",INDEX(บันทึกรายเที่ยว!$Q$6:$Q$6005,$R18))</f>
        <v/>
      </c>
      <c r="Z18">
        <f>IF($Q18="","",INDEX(บันทึกรายเที่ยว!$F$6:$F$6005,$R18))</f>
        <v/>
      </c>
      <c r="AA18">
        <f>IFERROR(MATCH(11,$X$8:$X$407,1),"")</f>
        <v/>
      </c>
      <c r="AB18">
        <f>IF(11=$AD$1+1,"G",IF($AA18="","",IF(INDEX($Q$8:$Q$407,$AA18)="","",IF(11&gt;INDEX($X$8:$X$407,$AA18)+INDEX($V$8:$V$407,$AA18)+INDEX($W$8:$W$407,$AA18),"",IF(11=INDEX($X$8:$X$407,$AA18)+INDEX($V$8:$V$407,$AA18)+INDEX($W$8:$W$407,$AA18),"D",IF(AND(INDEX($W$8:$W$407,$AA18)=1,11=INDEX($X$8:$X$407,$AA18)+INDEX($V$8:$V$407,$AA18)),"S","R"))))))</f>
        <v/>
      </c>
      <c r="AC18">
        <f>IF(OR($AB18="",$AB18="G"),"",IF($AB18="D",INDEX($U$8:$U$407,$AA18),IF($AB18="S",INDEX($T$8:$T$407,$AA18)&amp;"|*",INDEX($S$8:$S$407,$AA18)&amp;"|*")))</f>
        <v/>
      </c>
      <c r="AE18">
        <f>IF($U18="",0,COUNTIF(บันทึกรายเที่ยว!$T$6:$T$6005,$U18))</f>
        <v/>
      </c>
      <c r="AF18">
        <f>IF($U18="",0,ROUND(SUMIF(บันทึกรายเที่ยว!$T$6:$T$6005,$U18,บันทึกรายเที่ยว!$J$6:$J$6005),2))</f>
        <v/>
      </c>
      <c r="AG18">
        <f>IF($U18="",0,ROUND(SUMIF(บันทึกรายเที่ยว!$T$6:$T$6005,$U18,บันทึกรายเที่ยว!$K$6:$K$6005),2))</f>
        <v/>
      </c>
      <c r="AH18">
        <f>IF($U18="",0,ROUND(SUMIF(บันทึกรายเที่ยว!$T$6:$T$6005,$U18,บันทึกรายเที่ยว!$M$6:$M$6005),2))</f>
        <v/>
      </c>
    </row>
    <row r="19" ht="21" customHeight="1" s="66">
      <c r="A19" s="3">
        <f>IF($AB19="G","ผลรวมทั้งหมด",IF($AB19="R",INDEX($S$8:$S$407,$AA19),""))</f>
        <v/>
      </c>
      <c r="B19" s="3">
        <f>IF($AB19="S",INDEX($Y$8:$Y$407,$AA19),"")</f>
        <v/>
      </c>
      <c r="C19" s="68">
        <f>IF($AB19="D",INDEX($Z$8:$Z$407,$AA19),"")</f>
        <v/>
      </c>
      <c r="D19" s="31">
        <f>IF($AB19="G",SUM($AE$8:$AE$407),IF(OR($AB19="",$AB19="R"),"",IF($AB19="D",INDEX($AE$8:$AE$407,$AA19),SUMIF($T$8:$T$407,INDEX($T$8:$T$407,$AA19),$AE$8:$AE$407))))</f>
        <v/>
      </c>
      <c r="E19" s="32">
        <f>IF(12=$AD$1+3,"ขอแสดงความนับถือ",IF(12=$AD$1+6,"(                 )",IF(12=$AD$1+7,"เจ้าหน้าที่ขนส่ง",IF($AB19="G",SUM($AF$8:$AF$407),IF(OR($AB19="",$AB19="R"),"",IF($AB19="D",INDEX($AF$8:$AF$407,$AA19),SUMIF($T$8:$T$407,INDEX($T$8:$T$407,$AA19),$AF$8:$AF$407)))))))</f>
        <v/>
      </c>
      <c r="F19" s="32">
        <f>IF($AB19="G",SUM($AG$8:$AG$407),IF(OR($AB19="",$AB19="R"),"",IF($AB19="D",INDEX($AG$8:$AG$407,$AA19),SUMIF($T$8:$T$407,INDEX($T$8:$T$407,$AA19),$AG$8:$AG$407))))</f>
        <v/>
      </c>
      <c r="G19" s="32">
        <f>IF(OR($AB19="",$AB19="R"),"",ROUND($E19-$F19,2))</f>
        <v/>
      </c>
      <c r="H19" s="32">
        <f>IF($AB19="G",SUM($AH$8:$AH$407),IF(OR($AB19="",$AB19="R"),"",IF($AB19="D",INDEX($AH$8:$AH$407,$AA19),SUMIF($T$8:$T$407,INDEX($T$8:$T$407,$AA19),$AH$8:$AH$407))))</f>
        <v/>
      </c>
      <c r="J19">
        <f>IFERROR(MATCH(12,บันทึกรายเที่ยว!$W$6:$W$6005,0),"")</f>
        <v/>
      </c>
      <c r="K19">
        <f>IF($J19="","",INDEX(บันทึกรายเที่ยว!$T$6:$T$6005,$J19))</f>
        <v/>
      </c>
      <c r="L19">
        <f>IF($J19="","",INDEX(บันทึกรายเที่ยว!$S$6:$S$6005,$J19))</f>
        <v/>
      </c>
      <c r="M19">
        <f>IF($J19="","",INDEX(บันทึกรายเที่ยว!$R$6:$R$6005,$J19))</f>
        <v/>
      </c>
      <c r="N19">
        <f>IF($J19="","",MATCH($M19,บันทึกรายเที่ยว!$R$6:$R$6005,0))</f>
        <v/>
      </c>
      <c r="O19">
        <f>IF($J19="","",MATCH($L19,บันทึกรายเที่ยว!$S$6:$S$6005,0))</f>
        <v/>
      </c>
      <c r="P19">
        <f>IF($J19="","",IF(AND(OR($I$3="(ทั้งหมด)",INDEX(บันทึกรายเที่ยว!$C$6:$C$6005,$J19)=$I$3),OR($I$5="(ทั้งหมด)",INDEX(บันทึกรายเที่ยว!$D$6:$D$6005,$J19)=$I$5),OR($I$7="(ทั้งหมด)",INDEX(บันทึกรายเที่ยว!$F$6:$F$6005,$J19)=$I$7)),$N19*10000000+$O19*1000+12,""))</f>
        <v/>
      </c>
      <c r="Q19">
        <f>IFERROR(MATCH(SMALL($P$8:$P$407,12),$P$8:$P$407,0),"")</f>
        <v/>
      </c>
      <c r="R19">
        <f>IF($Q19="","",INDEX($J$8:$J$407,$Q19))</f>
        <v/>
      </c>
      <c r="S19">
        <f>IF($Q19="","",INDEX($M$8:$M$407,$Q19))</f>
        <v/>
      </c>
      <c r="T19">
        <f>IF($Q19="","",INDEX($L$8:$L$407,$Q19))</f>
        <v/>
      </c>
      <c r="U19">
        <f>IF($Q19="","",INDEX($K$8:$K$407,$Q19))</f>
        <v/>
      </c>
      <c r="V19">
        <f>IF($Q19="",0,IF($S19&lt;&gt;$S18,1,0))</f>
        <v/>
      </c>
      <c r="W19">
        <f>IF($Q19="",0,IF($T19&lt;&gt;$T18,1,0))</f>
        <v/>
      </c>
      <c r="X19">
        <f>IF($Q19="",99999+12,$X18+1+$V18+$W18)</f>
        <v/>
      </c>
      <c r="Y19">
        <f>IF($Q19="","",INDEX(บันทึกรายเที่ยว!$Q$6:$Q$6005,$R19))</f>
        <v/>
      </c>
      <c r="Z19">
        <f>IF($Q19="","",INDEX(บันทึกรายเที่ยว!$F$6:$F$6005,$R19))</f>
        <v/>
      </c>
      <c r="AA19">
        <f>IFERROR(MATCH(12,$X$8:$X$407,1),"")</f>
        <v/>
      </c>
      <c r="AB19">
        <f>IF(12=$AD$1+1,"G",IF($AA19="","",IF(INDEX($Q$8:$Q$407,$AA19)="","",IF(12&gt;INDEX($X$8:$X$407,$AA19)+INDEX($V$8:$V$407,$AA19)+INDEX($W$8:$W$407,$AA19),"",IF(12=INDEX($X$8:$X$407,$AA19)+INDEX($V$8:$V$407,$AA19)+INDEX($W$8:$W$407,$AA19),"D",IF(AND(INDEX($W$8:$W$407,$AA19)=1,12=INDEX($X$8:$X$407,$AA19)+INDEX($V$8:$V$407,$AA19)),"S","R"))))))</f>
        <v/>
      </c>
      <c r="AC19">
        <f>IF(OR($AB19="",$AB19="G"),"",IF($AB19="D",INDEX($U$8:$U$407,$AA19),IF($AB19="S",INDEX($T$8:$T$407,$AA19)&amp;"|*",INDEX($S$8:$S$407,$AA19)&amp;"|*")))</f>
        <v/>
      </c>
      <c r="AE19">
        <f>IF($U19="",0,COUNTIF(บันทึกรายเที่ยว!$T$6:$T$6005,$U19))</f>
        <v/>
      </c>
      <c r="AF19">
        <f>IF($U19="",0,ROUND(SUMIF(บันทึกรายเที่ยว!$T$6:$T$6005,$U19,บันทึกรายเที่ยว!$J$6:$J$6005),2))</f>
        <v/>
      </c>
      <c r="AG19">
        <f>IF($U19="",0,ROUND(SUMIF(บันทึกรายเที่ยว!$T$6:$T$6005,$U19,บันทึกรายเที่ยว!$K$6:$K$6005),2))</f>
        <v/>
      </c>
      <c r="AH19">
        <f>IF($U19="",0,ROUND(SUMIF(บันทึกรายเที่ยว!$T$6:$T$6005,$U19,บันทึกรายเที่ยว!$M$6:$M$6005),2))</f>
        <v/>
      </c>
    </row>
    <row r="20" ht="21" customHeight="1" s="66">
      <c r="A20" s="3">
        <f>IF($AB20="G","ผลรวมทั้งหมด",IF($AB20="R",INDEX($S$8:$S$407,$AA20),""))</f>
        <v/>
      </c>
      <c r="B20" s="3">
        <f>IF($AB20="S",INDEX($Y$8:$Y$407,$AA20),"")</f>
        <v/>
      </c>
      <c r="C20" s="68">
        <f>IF($AB20="D",INDEX($Z$8:$Z$407,$AA20),"")</f>
        <v/>
      </c>
      <c r="D20" s="31">
        <f>IF($AB20="G",SUM($AE$8:$AE$407),IF(OR($AB20="",$AB20="R"),"",IF($AB20="D",INDEX($AE$8:$AE$407,$AA20),SUMIF($T$8:$T$407,INDEX($T$8:$T$407,$AA20),$AE$8:$AE$407))))</f>
        <v/>
      </c>
      <c r="E20" s="32">
        <f>IF(13=$AD$1+3,"ขอแสดงความนับถือ",IF(13=$AD$1+6,"(                 )",IF(13=$AD$1+7,"เจ้าหน้าที่ขนส่ง",IF($AB20="G",SUM($AF$8:$AF$407),IF(OR($AB20="",$AB20="R"),"",IF($AB20="D",INDEX($AF$8:$AF$407,$AA20),SUMIF($T$8:$T$407,INDEX($T$8:$T$407,$AA20),$AF$8:$AF$407)))))))</f>
        <v/>
      </c>
      <c r="F20" s="32">
        <f>IF($AB20="G",SUM($AG$8:$AG$407),IF(OR($AB20="",$AB20="R"),"",IF($AB20="D",INDEX($AG$8:$AG$407,$AA20),SUMIF($T$8:$T$407,INDEX($T$8:$T$407,$AA20),$AG$8:$AG$407))))</f>
        <v/>
      </c>
      <c r="G20" s="32">
        <f>IF(OR($AB20="",$AB20="R"),"",ROUND($E20-$F20,2))</f>
        <v/>
      </c>
      <c r="H20" s="32">
        <f>IF($AB20="G",SUM($AH$8:$AH$407),IF(OR($AB20="",$AB20="R"),"",IF($AB20="D",INDEX($AH$8:$AH$407,$AA20),SUMIF($T$8:$T$407,INDEX($T$8:$T$407,$AA20),$AH$8:$AH$407))))</f>
        <v/>
      </c>
      <c r="J20">
        <f>IFERROR(MATCH(13,บันทึกรายเที่ยว!$W$6:$W$6005,0),"")</f>
        <v/>
      </c>
      <c r="K20">
        <f>IF($J20="","",INDEX(บันทึกรายเที่ยว!$T$6:$T$6005,$J20))</f>
        <v/>
      </c>
      <c r="L20">
        <f>IF($J20="","",INDEX(บันทึกรายเที่ยว!$S$6:$S$6005,$J20))</f>
        <v/>
      </c>
      <c r="M20">
        <f>IF($J20="","",INDEX(บันทึกรายเที่ยว!$R$6:$R$6005,$J20))</f>
        <v/>
      </c>
      <c r="N20">
        <f>IF($J20="","",MATCH($M20,บันทึกรายเที่ยว!$R$6:$R$6005,0))</f>
        <v/>
      </c>
      <c r="O20">
        <f>IF($J20="","",MATCH($L20,บันทึกรายเที่ยว!$S$6:$S$6005,0))</f>
        <v/>
      </c>
      <c r="P20">
        <f>IF($J20="","",IF(AND(OR($I$3="(ทั้งหมด)",INDEX(บันทึกรายเที่ยว!$C$6:$C$6005,$J20)=$I$3),OR($I$5="(ทั้งหมด)",INDEX(บันทึกรายเที่ยว!$D$6:$D$6005,$J20)=$I$5),OR($I$7="(ทั้งหมด)",INDEX(บันทึกรายเที่ยว!$F$6:$F$6005,$J20)=$I$7)),$N20*10000000+$O20*1000+13,""))</f>
        <v/>
      </c>
      <c r="Q20">
        <f>IFERROR(MATCH(SMALL($P$8:$P$407,13),$P$8:$P$407,0),"")</f>
        <v/>
      </c>
      <c r="R20">
        <f>IF($Q20="","",INDEX($J$8:$J$407,$Q20))</f>
        <v/>
      </c>
      <c r="S20">
        <f>IF($Q20="","",INDEX($M$8:$M$407,$Q20))</f>
        <v/>
      </c>
      <c r="T20">
        <f>IF($Q20="","",INDEX($L$8:$L$407,$Q20))</f>
        <v/>
      </c>
      <c r="U20">
        <f>IF($Q20="","",INDEX($K$8:$K$407,$Q20))</f>
        <v/>
      </c>
      <c r="V20">
        <f>IF($Q20="",0,IF($S20&lt;&gt;$S19,1,0))</f>
        <v/>
      </c>
      <c r="W20">
        <f>IF($Q20="",0,IF($T20&lt;&gt;$T19,1,0))</f>
        <v/>
      </c>
      <c r="X20">
        <f>IF($Q20="",99999+13,$X19+1+$V19+$W19)</f>
        <v/>
      </c>
      <c r="Y20">
        <f>IF($Q20="","",INDEX(บันทึกรายเที่ยว!$Q$6:$Q$6005,$R20))</f>
        <v/>
      </c>
      <c r="Z20">
        <f>IF($Q20="","",INDEX(บันทึกรายเที่ยว!$F$6:$F$6005,$R20))</f>
        <v/>
      </c>
      <c r="AA20">
        <f>IFERROR(MATCH(13,$X$8:$X$407,1),"")</f>
        <v/>
      </c>
      <c r="AB20">
        <f>IF(13=$AD$1+1,"G",IF($AA20="","",IF(INDEX($Q$8:$Q$407,$AA20)="","",IF(13&gt;INDEX($X$8:$X$407,$AA20)+INDEX($V$8:$V$407,$AA20)+INDEX($W$8:$W$407,$AA20),"",IF(13=INDEX($X$8:$X$407,$AA20)+INDEX($V$8:$V$407,$AA20)+INDEX($W$8:$W$407,$AA20),"D",IF(AND(INDEX($W$8:$W$407,$AA20)=1,13=INDEX($X$8:$X$407,$AA20)+INDEX($V$8:$V$407,$AA20)),"S","R"))))))</f>
        <v/>
      </c>
      <c r="AC20">
        <f>IF(OR($AB20="",$AB20="G"),"",IF($AB20="D",INDEX($U$8:$U$407,$AA20),IF($AB20="S",INDEX($T$8:$T$407,$AA20)&amp;"|*",INDEX($S$8:$S$407,$AA20)&amp;"|*")))</f>
        <v/>
      </c>
      <c r="AE20">
        <f>IF($U20="",0,COUNTIF(บันทึกรายเที่ยว!$T$6:$T$6005,$U20))</f>
        <v/>
      </c>
      <c r="AF20">
        <f>IF($U20="",0,ROUND(SUMIF(บันทึกรายเที่ยว!$T$6:$T$6005,$U20,บันทึกรายเที่ยว!$J$6:$J$6005),2))</f>
        <v/>
      </c>
      <c r="AG20">
        <f>IF($U20="",0,ROUND(SUMIF(บันทึกรายเที่ยว!$T$6:$T$6005,$U20,บันทึกรายเที่ยว!$K$6:$K$6005),2))</f>
        <v/>
      </c>
      <c r="AH20">
        <f>IF($U20="",0,ROUND(SUMIF(บันทึกรายเที่ยว!$T$6:$T$6005,$U20,บันทึกรายเที่ยว!$M$6:$M$6005),2))</f>
        <v/>
      </c>
    </row>
    <row r="21" ht="21" customHeight="1" s="66">
      <c r="A21" s="3">
        <f>IF($AB21="G","ผลรวมทั้งหมด",IF($AB21="R",INDEX($S$8:$S$407,$AA21),""))</f>
        <v/>
      </c>
      <c r="B21" s="3">
        <f>IF($AB21="S",INDEX($Y$8:$Y$407,$AA21),"")</f>
        <v/>
      </c>
      <c r="C21" s="68">
        <f>IF($AB21="D",INDEX($Z$8:$Z$407,$AA21),"")</f>
        <v/>
      </c>
      <c r="D21" s="31">
        <f>IF($AB21="G",SUM($AE$8:$AE$407),IF(OR($AB21="",$AB21="R"),"",IF($AB21="D",INDEX($AE$8:$AE$407,$AA21),SUMIF($T$8:$T$407,INDEX($T$8:$T$407,$AA21),$AE$8:$AE$407))))</f>
        <v/>
      </c>
      <c r="E21" s="32">
        <f>IF(14=$AD$1+3,"ขอแสดงความนับถือ",IF(14=$AD$1+6,"(                 )",IF(14=$AD$1+7,"เจ้าหน้าที่ขนส่ง",IF($AB21="G",SUM($AF$8:$AF$407),IF(OR($AB21="",$AB21="R"),"",IF($AB21="D",INDEX($AF$8:$AF$407,$AA21),SUMIF($T$8:$T$407,INDEX($T$8:$T$407,$AA21),$AF$8:$AF$407)))))))</f>
        <v/>
      </c>
      <c r="F21" s="32">
        <f>IF($AB21="G",SUM($AG$8:$AG$407),IF(OR($AB21="",$AB21="R"),"",IF($AB21="D",INDEX($AG$8:$AG$407,$AA21),SUMIF($T$8:$T$407,INDEX($T$8:$T$407,$AA21),$AG$8:$AG$407))))</f>
        <v/>
      </c>
      <c r="G21" s="32">
        <f>IF(OR($AB21="",$AB21="R"),"",ROUND($E21-$F21,2))</f>
        <v/>
      </c>
      <c r="H21" s="32">
        <f>IF($AB21="G",SUM($AH$8:$AH$407),IF(OR($AB21="",$AB21="R"),"",IF($AB21="D",INDEX($AH$8:$AH$407,$AA21),SUMIF($T$8:$T$407,INDEX($T$8:$T$407,$AA21),$AH$8:$AH$407))))</f>
        <v/>
      </c>
      <c r="J21">
        <f>IFERROR(MATCH(14,บันทึกรายเที่ยว!$W$6:$W$6005,0),"")</f>
        <v/>
      </c>
      <c r="K21">
        <f>IF($J21="","",INDEX(บันทึกรายเที่ยว!$T$6:$T$6005,$J21))</f>
        <v/>
      </c>
      <c r="L21">
        <f>IF($J21="","",INDEX(บันทึกรายเที่ยว!$S$6:$S$6005,$J21))</f>
        <v/>
      </c>
      <c r="M21">
        <f>IF($J21="","",INDEX(บันทึกรายเที่ยว!$R$6:$R$6005,$J21))</f>
        <v/>
      </c>
      <c r="N21">
        <f>IF($J21="","",MATCH($M21,บันทึกรายเที่ยว!$R$6:$R$6005,0))</f>
        <v/>
      </c>
      <c r="O21">
        <f>IF($J21="","",MATCH($L21,บันทึกรายเที่ยว!$S$6:$S$6005,0))</f>
        <v/>
      </c>
      <c r="P21">
        <f>IF($J21="","",IF(AND(OR($I$3="(ทั้งหมด)",INDEX(บันทึกรายเที่ยว!$C$6:$C$6005,$J21)=$I$3),OR($I$5="(ทั้งหมด)",INDEX(บันทึกรายเที่ยว!$D$6:$D$6005,$J21)=$I$5),OR($I$7="(ทั้งหมด)",INDEX(บันทึกรายเที่ยว!$F$6:$F$6005,$J21)=$I$7)),$N21*10000000+$O21*1000+14,""))</f>
        <v/>
      </c>
      <c r="Q21">
        <f>IFERROR(MATCH(SMALL($P$8:$P$407,14),$P$8:$P$407,0),"")</f>
        <v/>
      </c>
      <c r="R21">
        <f>IF($Q21="","",INDEX($J$8:$J$407,$Q21))</f>
        <v/>
      </c>
      <c r="S21">
        <f>IF($Q21="","",INDEX($M$8:$M$407,$Q21))</f>
        <v/>
      </c>
      <c r="T21">
        <f>IF($Q21="","",INDEX($L$8:$L$407,$Q21))</f>
        <v/>
      </c>
      <c r="U21">
        <f>IF($Q21="","",INDEX($K$8:$K$407,$Q21))</f>
        <v/>
      </c>
      <c r="V21">
        <f>IF($Q21="",0,IF($S21&lt;&gt;$S20,1,0))</f>
        <v/>
      </c>
      <c r="W21">
        <f>IF($Q21="",0,IF($T21&lt;&gt;$T20,1,0))</f>
        <v/>
      </c>
      <c r="X21">
        <f>IF($Q21="",99999+14,$X20+1+$V20+$W20)</f>
        <v/>
      </c>
      <c r="Y21">
        <f>IF($Q21="","",INDEX(บันทึกรายเที่ยว!$Q$6:$Q$6005,$R21))</f>
        <v/>
      </c>
      <c r="Z21">
        <f>IF($Q21="","",INDEX(บันทึกรายเที่ยว!$F$6:$F$6005,$R21))</f>
        <v/>
      </c>
      <c r="AA21">
        <f>IFERROR(MATCH(14,$X$8:$X$407,1),"")</f>
        <v/>
      </c>
      <c r="AB21">
        <f>IF(14=$AD$1+1,"G",IF($AA21="","",IF(INDEX($Q$8:$Q$407,$AA21)="","",IF(14&gt;INDEX($X$8:$X$407,$AA21)+INDEX($V$8:$V$407,$AA21)+INDEX($W$8:$W$407,$AA21),"",IF(14=INDEX($X$8:$X$407,$AA21)+INDEX($V$8:$V$407,$AA21)+INDEX($W$8:$W$407,$AA21),"D",IF(AND(INDEX($W$8:$W$407,$AA21)=1,14=INDEX($X$8:$X$407,$AA21)+INDEX($V$8:$V$407,$AA21)),"S","R"))))))</f>
        <v/>
      </c>
      <c r="AC21">
        <f>IF(OR($AB21="",$AB21="G"),"",IF($AB21="D",INDEX($U$8:$U$407,$AA21),IF($AB21="S",INDEX($T$8:$T$407,$AA21)&amp;"|*",INDEX($S$8:$S$407,$AA21)&amp;"|*")))</f>
        <v/>
      </c>
      <c r="AE21">
        <f>IF($U21="",0,COUNTIF(บันทึกรายเที่ยว!$T$6:$T$6005,$U21))</f>
        <v/>
      </c>
      <c r="AF21">
        <f>IF($U21="",0,ROUND(SUMIF(บันทึกรายเที่ยว!$T$6:$T$6005,$U21,บันทึกรายเที่ยว!$J$6:$J$6005),2))</f>
        <v/>
      </c>
      <c r="AG21">
        <f>IF($U21="",0,ROUND(SUMIF(บันทึกรายเที่ยว!$T$6:$T$6005,$U21,บันทึกรายเที่ยว!$K$6:$K$6005),2))</f>
        <v/>
      </c>
      <c r="AH21">
        <f>IF($U21="",0,ROUND(SUMIF(บันทึกรายเที่ยว!$T$6:$T$6005,$U21,บันทึกรายเที่ยว!$M$6:$M$6005),2))</f>
        <v/>
      </c>
    </row>
    <row r="22" ht="21" customHeight="1" s="66">
      <c r="A22" s="3">
        <f>IF($AB22="G","ผลรวมทั้งหมด",IF($AB22="R",INDEX($S$8:$S$407,$AA22),""))</f>
        <v/>
      </c>
      <c r="B22" s="3">
        <f>IF($AB22="S",INDEX($Y$8:$Y$407,$AA22),"")</f>
        <v/>
      </c>
      <c r="C22" s="68">
        <f>IF($AB22="D",INDEX($Z$8:$Z$407,$AA22),"")</f>
        <v/>
      </c>
      <c r="D22" s="31">
        <f>IF($AB22="G",SUM($AE$8:$AE$407),IF(OR($AB22="",$AB22="R"),"",IF($AB22="D",INDEX($AE$8:$AE$407,$AA22),SUMIF($T$8:$T$407,INDEX($T$8:$T$407,$AA22),$AE$8:$AE$407))))</f>
        <v/>
      </c>
      <c r="E22" s="32">
        <f>IF(15=$AD$1+3,"ขอแสดงความนับถือ",IF(15=$AD$1+6,"(                 )",IF(15=$AD$1+7,"เจ้าหน้าที่ขนส่ง",IF($AB22="G",SUM($AF$8:$AF$407),IF(OR($AB22="",$AB22="R"),"",IF($AB22="D",INDEX($AF$8:$AF$407,$AA22),SUMIF($T$8:$T$407,INDEX($T$8:$T$407,$AA22),$AF$8:$AF$407)))))))</f>
        <v/>
      </c>
      <c r="F22" s="32">
        <f>IF($AB22="G",SUM($AG$8:$AG$407),IF(OR($AB22="",$AB22="R"),"",IF($AB22="D",INDEX($AG$8:$AG$407,$AA22),SUMIF($T$8:$T$407,INDEX($T$8:$T$407,$AA22),$AG$8:$AG$407))))</f>
        <v/>
      </c>
      <c r="G22" s="32">
        <f>IF(OR($AB22="",$AB22="R"),"",ROUND($E22-$F22,2))</f>
        <v/>
      </c>
      <c r="H22" s="32">
        <f>IF($AB22="G",SUM($AH$8:$AH$407),IF(OR($AB22="",$AB22="R"),"",IF($AB22="D",INDEX($AH$8:$AH$407,$AA22),SUMIF($T$8:$T$407,INDEX($T$8:$T$407,$AA22),$AH$8:$AH$407))))</f>
        <v/>
      </c>
      <c r="J22">
        <f>IFERROR(MATCH(15,บันทึกรายเที่ยว!$W$6:$W$6005,0),"")</f>
        <v/>
      </c>
      <c r="K22">
        <f>IF($J22="","",INDEX(บันทึกรายเที่ยว!$T$6:$T$6005,$J22))</f>
        <v/>
      </c>
      <c r="L22">
        <f>IF($J22="","",INDEX(บันทึกรายเที่ยว!$S$6:$S$6005,$J22))</f>
        <v/>
      </c>
      <c r="M22">
        <f>IF($J22="","",INDEX(บันทึกรายเที่ยว!$R$6:$R$6005,$J22))</f>
        <v/>
      </c>
      <c r="N22">
        <f>IF($J22="","",MATCH($M22,บันทึกรายเที่ยว!$R$6:$R$6005,0))</f>
        <v/>
      </c>
      <c r="O22">
        <f>IF($J22="","",MATCH($L22,บันทึกรายเที่ยว!$S$6:$S$6005,0))</f>
        <v/>
      </c>
      <c r="P22">
        <f>IF($J22="","",IF(AND(OR($I$3="(ทั้งหมด)",INDEX(บันทึกรายเที่ยว!$C$6:$C$6005,$J22)=$I$3),OR($I$5="(ทั้งหมด)",INDEX(บันทึกรายเที่ยว!$D$6:$D$6005,$J22)=$I$5),OR($I$7="(ทั้งหมด)",INDEX(บันทึกรายเที่ยว!$F$6:$F$6005,$J22)=$I$7)),$N22*10000000+$O22*1000+15,""))</f>
        <v/>
      </c>
      <c r="Q22">
        <f>IFERROR(MATCH(SMALL($P$8:$P$407,15),$P$8:$P$407,0),"")</f>
        <v/>
      </c>
      <c r="R22">
        <f>IF($Q22="","",INDEX($J$8:$J$407,$Q22))</f>
        <v/>
      </c>
      <c r="S22">
        <f>IF($Q22="","",INDEX($M$8:$M$407,$Q22))</f>
        <v/>
      </c>
      <c r="T22">
        <f>IF($Q22="","",INDEX($L$8:$L$407,$Q22))</f>
        <v/>
      </c>
      <c r="U22">
        <f>IF($Q22="","",INDEX($K$8:$K$407,$Q22))</f>
        <v/>
      </c>
      <c r="V22">
        <f>IF($Q22="",0,IF($S22&lt;&gt;$S21,1,0))</f>
        <v/>
      </c>
      <c r="W22">
        <f>IF($Q22="",0,IF($T22&lt;&gt;$T21,1,0))</f>
        <v/>
      </c>
      <c r="X22">
        <f>IF($Q22="",99999+15,$X21+1+$V21+$W21)</f>
        <v/>
      </c>
      <c r="Y22">
        <f>IF($Q22="","",INDEX(บันทึกรายเที่ยว!$Q$6:$Q$6005,$R22))</f>
        <v/>
      </c>
      <c r="Z22">
        <f>IF($Q22="","",INDEX(บันทึกรายเที่ยว!$F$6:$F$6005,$R22))</f>
        <v/>
      </c>
      <c r="AA22">
        <f>IFERROR(MATCH(15,$X$8:$X$407,1),"")</f>
        <v/>
      </c>
      <c r="AB22">
        <f>IF(15=$AD$1+1,"G",IF($AA22="","",IF(INDEX($Q$8:$Q$407,$AA22)="","",IF(15&gt;INDEX($X$8:$X$407,$AA22)+INDEX($V$8:$V$407,$AA22)+INDEX($W$8:$W$407,$AA22),"",IF(15=INDEX($X$8:$X$407,$AA22)+INDEX($V$8:$V$407,$AA22)+INDEX($W$8:$W$407,$AA22),"D",IF(AND(INDEX($W$8:$W$407,$AA22)=1,15=INDEX($X$8:$X$407,$AA22)+INDEX($V$8:$V$407,$AA22)),"S","R"))))))</f>
        <v/>
      </c>
      <c r="AC22">
        <f>IF(OR($AB22="",$AB22="G"),"",IF($AB22="D",INDEX($U$8:$U$407,$AA22),IF($AB22="S",INDEX($T$8:$T$407,$AA22)&amp;"|*",INDEX($S$8:$S$407,$AA22)&amp;"|*")))</f>
        <v/>
      </c>
      <c r="AE22">
        <f>IF($U22="",0,COUNTIF(บันทึกรายเที่ยว!$T$6:$T$6005,$U22))</f>
        <v/>
      </c>
      <c r="AF22">
        <f>IF($U22="",0,ROUND(SUMIF(บันทึกรายเที่ยว!$T$6:$T$6005,$U22,บันทึกรายเที่ยว!$J$6:$J$6005),2))</f>
        <v/>
      </c>
      <c r="AG22">
        <f>IF($U22="",0,ROUND(SUMIF(บันทึกรายเที่ยว!$T$6:$T$6005,$U22,บันทึกรายเที่ยว!$K$6:$K$6005),2))</f>
        <v/>
      </c>
      <c r="AH22">
        <f>IF($U22="",0,ROUND(SUMIF(บันทึกรายเที่ยว!$T$6:$T$6005,$U22,บันทึกรายเที่ยว!$M$6:$M$6005),2))</f>
        <v/>
      </c>
    </row>
    <row r="23" ht="21" customHeight="1" s="66">
      <c r="A23" s="3">
        <f>IF($AB23="G","ผลรวมทั้งหมด",IF($AB23="R",INDEX($S$8:$S$407,$AA23),""))</f>
        <v/>
      </c>
      <c r="B23" s="3">
        <f>IF($AB23="S",INDEX($Y$8:$Y$407,$AA23),"")</f>
        <v/>
      </c>
      <c r="C23" s="68">
        <f>IF($AB23="D",INDEX($Z$8:$Z$407,$AA23),"")</f>
        <v/>
      </c>
      <c r="D23" s="31">
        <f>IF($AB23="G",SUM($AE$8:$AE$407),IF(OR($AB23="",$AB23="R"),"",IF($AB23="D",INDEX($AE$8:$AE$407,$AA23),SUMIF($T$8:$T$407,INDEX($T$8:$T$407,$AA23),$AE$8:$AE$407))))</f>
        <v/>
      </c>
      <c r="E23" s="32">
        <f>IF(16=$AD$1+3,"ขอแสดงความนับถือ",IF(16=$AD$1+6,"(                 )",IF(16=$AD$1+7,"เจ้าหน้าที่ขนส่ง",IF($AB23="G",SUM($AF$8:$AF$407),IF(OR($AB23="",$AB23="R"),"",IF($AB23="D",INDEX($AF$8:$AF$407,$AA23),SUMIF($T$8:$T$407,INDEX($T$8:$T$407,$AA23),$AF$8:$AF$407)))))))</f>
        <v/>
      </c>
      <c r="F23" s="32">
        <f>IF($AB23="G",SUM($AG$8:$AG$407),IF(OR($AB23="",$AB23="R"),"",IF($AB23="D",INDEX($AG$8:$AG$407,$AA23),SUMIF($T$8:$T$407,INDEX($T$8:$T$407,$AA23),$AG$8:$AG$407))))</f>
        <v/>
      </c>
      <c r="G23" s="32">
        <f>IF(OR($AB23="",$AB23="R"),"",ROUND($E23-$F23,2))</f>
        <v/>
      </c>
      <c r="H23" s="32">
        <f>IF($AB23="G",SUM($AH$8:$AH$407),IF(OR($AB23="",$AB23="R"),"",IF($AB23="D",INDEX($AH$8:$AH$407,$AA23),SUMIF($T$8:$T$407,INDEX($T$8:$T$407,$AA23),$AH$8:$AH$407))))</f>
        <v/>
      </c>
      <c r="J23">
        <f>IFERROR(MATCH(16,บันทึกรายเที่ยว!$W$6:$W$6005,0),"")</f>
        <v/>
      </c>
      <c r="K23">
        <f>IF($J23="","",INDEX(บันทึกรายเที่ยว!$T$6:$T$6005,$J23))</f>
        <v/>
      </c>
      <c r="L23">
        <f>IF($J23="","",INDEX(บันทึกรายเที่ยว!$S$6:$S$6005,$J23))</f>
        <v/>
      </c>
      <c r="M23">
        <f>IF($J23="","",INDEX(บันทึกรายเที่ยว!$R$6:$R$6005,$J23))</f>
        <v/>
      </c>
      <c r="N23">
        <f>IF($J23="","",MATCH($M23,บันทึกรายเที่ยว!$R$6:$R$6005,0))</f>
        <v/>
      </c>
      <c r="O23">
        <f>IF($J23="","",MATCH($L23,บันทึกรายเที่ยว!$S$6:$S$6005,0))</f>
        <v/>
      </c>
      <c r="P23">
        <f>IF($J23="","",IF(AND(OR($I$3="(ทั้งหมด)",INDEX(บันทึกรายเที่ยว!$C$6:$C$6005,$J23)=$I$3),OR($I$5="(ทั้งหมด)",INDEX(บันทึกรายเที่ยว!$D$6:$D$6005,$J23)=$I$5),OR($I$7="(ทั้งหมด)",INDEX(บันทึกรายเที่ยว!$F$6:$F$6005,$J23)=$I$7)),$N23*10000000+$O23*1000+16,""))</f>
        <v/>
      </c>
      <c r="Q23">
        <f>IFERROR(MATCH(SMALL($P$8:$P$407,16),$P$8:$P$407,0),"")</f>
        <v/>
      </c>
      <c r="R23">
        <f>IF($Q23="","",INDEX($J$8:$J$407,$Q23))</f>
        <v/>
      </c>
      <c r="S23">
        <f>IF($Q23="","",INDEX($M$8:$M$407,$Q23))</f>
        <v/>
      </c>
      <c r="T23">
        <f>IF($Q23="","",INDEX($L$8:$L$407,$Q23))</f>
        <v/>
      </c>
      <c r="U23">
        <f>IF($Q23="","",INDEX($K$8:$K$407,$Q23))</f>
        <v/>
      </c>
      <c r="V23">
        <f>IF($Q23="",0,IF($S23&lt;&gt;$S22,1,0))</f>
        <v/>
      </c>
      <c r="W23">
        <f>IF($Q23="",0,IF($T23&lt;&gt;$T22,1,0))</f>
        <v/>
      </c>
      <c r="X23">
        <f>IF($Q23="",99999+16,$X22+1+$V22+$W22)</f>
        <v/>
      </c>
      <c r="Y23">
        <f>IF($Q23="","",INDEX(บันทึกรายเที่ยว!$Q$6:$Q$6005,$R23))</f>
        <v/>
      </c>
      <c r="Z23">
        <f>IF($Q23="","",INDEX(บันทึกรายเที่ยว!$F$6:$F$6005,$R23))</f>
        <v/>
      </c>
      <c r="AA23">
        <f>IFERROR(MATCH(16,$X$8:$X$407,1),"")</f>
        <v/>
      </c>
      <c r="AB23">
        <f>IF(16=$AD$1+1,"G",IF($AA23="","",IF(INDEX($Q$8:$Q$407,$AA23)="","",IF(16&gt;INDEX($X$8:$X$407,$AA23)+INDEX($V$8:$V$407,$AA23)+INDEX($W$8:$W$407,$AA23),"",IF(16=INDEX($X$8:$X$407,$AA23)+INDEX($V$8:$V$407,$AA23)+INDEX($W$8:$W$407,$AA23),"D",IF(AND(INDEX($W$8:$W$407,$AA23)=1,16=INDEX($X$8:$X$407,$AA23)+INDEX($V$8:$V$407,$AA23)),"S","R"))))))</f>
        <v/>
      </c>
      <c r="AC23">
        <f>IF(OR($AB23="",$AB23="G"),"",IF($AB23="D",INDEX($U$8:$U$407,$AA23),IF($AB23="S",INDEX($T$8:$T$407,$AA23)&amp;"|*",INDEX($S$8:$S$407,$AA23)&amp;"|*")))</f>
        <v/>
      </c>
      <c r="AE23">
        <f>IF($U23="",0,COUNTIF(บันทึกรายเที่ยว!$T$6:$T$6005,$U23))</f>
        <v/>
      </c>
      <c r="AF23">
        <f>IF($U23="",0,ROUND(SUMIF(บันทึกรายเที่ยว!$T$6:$T$6005,$U23,บันทึกรายเที่ยว!$J$6:$J$6005),2))</f>
        <v/>
      </c>
      <c r="AG23">
        <f>IF($U23="",0,ROUND(SUMIF(บันทึกรายเที่ยว!$T$6:$T$6005,$U23,บันทึกรายเที่ยว!$K$6:$K$6005),2))</f>
        <v/>
      </c>
      <c r="AH23">
        <f>IF($U23="",0,ROUND(SUMIF(บันทึกรายเที่ยว!$T$6:$T$6005,$U23,บันทึกรายเที่ยว!$M$6:$M$6005),2))</f>
        <v/>
      </c>
    </row>
    <row r="24" ht="21" customHeight="1" s="66">
      <c r="A24" s="3">
        <f>IF($AB24="G","ผลรวมทั้งหมด",IF($AB24="R",INDEX($S$8:$S$407,$AA24),""))</f>
        <v/>
      </c>
      <c r="B24" s="3">
        <f>IF($AB24="S",INDEX($Y$8:$Y$407,$AA24),"")</f>
        <v/>
      </c>
      <c r="C24" s="68">
        <f>IF($AB24="D",INDEX($Z$8:$Z$407,$AA24),"")</f>
        <v/>
      </c>
      <c r="D24" s="31">
        <f>IF($AB24="G",SUM($AE$8:$AE$407),IF(OR($AB24="",$AB24="R"),"",IF($AB24="D",INDEX($AE$8:$AE$407,$AA24),SUMIF($T$8:$T$407,INDEX($T$8:$T$407,$AA24),$AE$8:$AE$407))))</f>
        <v/>
      </c>
      <c r="E24" s="32">
        <f>IF(17=$AD$1+3,"ขอแสดงความนับถือ",IF(17=$AD$1+6,"(                 )",IF(17=$AD$1+7,"เจ้าหน้าที่ขนส่ง",IF($AB24="G",SUM($AF$8:$AF$407),IF(OR($AB24="",$AB24="R"),"",IF($AB24="D",INDEX($AF$8:$AF$407,$AA24),SUMIF($T$8:$T$407,INDEX($T$8:$T$407,$AA24),$AF$8:$AF$407)))))))</f>
        <v/>
      </c>
      <c r="F24" s="32">
        <f>IF($AB24="G",SUM($AG$8:$AG$407),IF(OR($AB24="",$AB24="R"),"",IF($AB24="D",INDEX($AG$8:$AG$407,$AA24),SUMIF($T$8:$T$407,INDEX($T$8:$T$407,$AA24),$AG$8:$AG$407))))</f>
        <v/>
      </c>
      <c r="G24" s="32">
        <f>IF(OR($AB24="",$AB24="R"),"",ROUND($E24-$F24,2))</f>
        <v/>
      </c>
      <c r="H24" s="32">
        <f>IF($AB24="G",SUM($AH$8:$AH$407),IF(OR($AB24="",$AB24="R"),"",IF($AB24="D",INDEX($AH$8:$AH$407,$AA24),SUMIF($T$8:$T$407,INDEX($T$8:$T$407,$AA24),$AH$8:$AH$407))))</f>
        <v/>
      </c>
      <c r="J24">
        <f>IFERROR(MATCH(17,บันทึกรายเที่ยว!$W$6:$W$6005,0),"")</f>
        <v/>
      </c>
      <c r="K24">
        <f>IF($J24="","",INDEX(บันทึกรายเที่ยว!$T$6:$T$6005,$J24))</f>
        <v/>
      </c>
      <c r="L24">
        <f>IF($J24="","",INDEX(บันทึกรายเที่ยว!$S$6:$S$6005,$J24))</f>
        <v/>
      </c>
      <c r="M24">
        <f>IF($J24="","",INDEX(บันทึกรายเที่ยว!$R$6:$R$6005,$J24))</f>
        <v/>
      </c>
      <c r="N24">
        <f>IF($J24="","",MATCH($M24,บันทึกรายเที่ยว!$R$6:$R$6005,0))</f>
        <v/>
      </c>
      <c r="O24">
        <f>IF($J24="","",MATCH($L24,บันทึกรายเที่ยว!$S$6:$S$6005,0))</f>
        <v/>
      </c>
      <c r="P24">
        <f>IF($J24="","",IF(AND(OR($I$3="(ทั้งหมด)",INDEX(บันทึกรายเที่ยว!$C$6:$C$6005,$J24)=$I$3),OR($I$5="(ทั้งหมด)",INDEX(บันทึกรายเที่ยว!$D$6:$D$6005,$J24)=$I$5),OR($I$7="(ทั้งหมด)",INDEX(บันทึกรายเที่ยว!$F$6:$F$6005,$J24)=$I$7)),$N24*10000000+$O24*1000+17,""))</f>
        <v/>
      </c>
      <c r="Q24">
        <f>IFERROR(MATCH(SMALL($P$8:$P$407,17),$P$8:$P$407,0),"")</f>
        <v/>
      </c>
      <c r="R24">
        <f>IF($Q24="","",INDEX($J$8:$J$407,$Q24))</f>
        <v/>
      </c>
      <c r="S24">
        <f>IF($Q24="","",INDEX($M$8:$M$407,$Q24))</f>
        <v/>
      </c>
      <c r="T24">
        <f>IF($Q24="","",INDEX($L$8:$L$407,$Q24))</f>
        <v/>
      </c>
      <c r="U24">
        <f>IF($Q24="","",INDEX($K$8:$K$407,$Q24))</f>
        <v/>
      </c>
      <c r="V24">
        <f>IF($Q24="",0,IF($S24&lt;&gt;$S23,1,0))</f>
        <v/>
      </c>
      <c r="W24">
        <f>IF($Q24="",0,IF($T24&lt;&gt;$T23,1,0))</f>
        <v/>
      </c>
      <c r="X24">
        <f>IF($Q24="",99999+17,$X23+1+$V23+$W23)</f>
        <v/>
      </c>
      <c r="Y24">
        <f>IF($Q24="","",INDEX(บันทึกรายเที่ยว!$Q$6:$Q$6005,$R24))</f>
        <v/>
      </c>
      <c r="Z24">
        <f>IF($Q24="","",INDEX(บันทึกรายเที่ยว!$F$6:$F$6005,$R24))</f>
        <v/>
      </c>
      <c r="AA24">
        <f>IFERROR(MATCH(17,$X$8:$X$407,1),"")</f>
        <v/>
      </c>
      <c r="AB24">
        <f>IF(17=$AD$1+1,"G",IF($AA24="","",IF(INDEX($Q$8:$Q$407,$AA24)="","",IF(17&gt;INDEX($X$8:$X$407,$AA24)+INDEX($V$8:$V$407,$AA24)+INDEX($W$8:$W$407,$AA24),"",IF(17=INDEX($X$8:$X$407,$AA24)+INDEX($V$8:$V$407,$AA24)+INDEX($W$8:$W$407,$AA24),"D",IF(AND(INDEX($W$8:$W$407,$AA24)=1,17=INDEX($X$8:$X$407,$AA24)+INDEX($V$8:$V$407,$AA24)),"S","R"))))))</f>
        <v/>
      </c>
      <c r="AC24">
        <f>IF(OR($AB24="",$AB24="G"),"",IF($AB24="D",INDEX($U$8:$U$407,$AA24),IF($AB24="S",INDEX($T$8:$T$407,$AA24)&amp;"|*",INDEX($S$8:$S$407,$AA24)&amp;"|*")))</f>
        <v/>
      </c>
      <c r="AE24">
        <f>IF($U24="",0,COUNTIF(บันทึกรายเที่ยว!$T$6:$T$6005,$U24))</f>
        <v/>
      </c>
      <c r="AF24">
        <f>IF($U24="",0,ROUND(SUMIF(บันทึกรายเที่ยว!$T$6:$T$6005,$U24,บันทึกรายเที่ยว!$J$6:$J$6005),2))</f>
        <v/>
      </c>
      <c r="AG24">
        <f>IF($U24="",0,ROUND(SUMIF(บันทึกรายเที่ยว!$T$6:$T$6005,$U24,บันทึกรายเที่ยว!$K$6:$K$6005),2))</f>
        <v/>
      </c>
      <c r="AH24">
        <f>IF($U24="",0,ROUND(SUMIF(บันทึกรายเที่ยว!$T$6:$T$6005,$U24,บันทึกรายเที่ยว!$M$6:$M$6005),2))</f>
        <v/>
      </c>
    </row>
    <row r="25" ht="21" customHeight="1" s="66">
      <c r="A25" s="3">
        <f>IF($AB25="G","ผลรวมทั้งหมด",IF($AB25="R",INDEX($S$8:$S$407,$AA25),""))</f>
        <v/>
      </c>
      <c r="B25" s="3">
        <f>IF($AB25="S",INDEX($Y$8:$Y$407,$AA25),"")</f>
        <v/>
      </c>
      <c r="C25" s="68">
        <f>IF($AB25="D",INDEX($Z$8:$Z$407,$AA25),"")</f>
        <v/>
      </c>
      <c r="D25" s="31">
        <f>IF($AB25="G",SUM($AE$8:$AE$407),IF(OR($AB25="",$AB25="R"),"",IF($AB25="D",INDEX($AE$8:$AE$407,$AA25),SUMIF($T$8:$T$407,INDEX($T$8:$T$407,$AA25),$AE$8:$AE$407))))</f>
        <v/>
      </c>
      <c r="E25" s="32">
        <f>IF(18=$AD$1+3,"ขอแสดงความนับถือ",IF(18=$AD$1+6,"(                 )",IF(18=$AD$1+7,"เจ้าหน้าที่ขนส่ง",IF($AB25="G",SUM($AF$8:$AF$407),IF(OR($AB25="",$AB25="R"),"",IF($AB25="D",INDEX($AF$8:$AF$407,$AA25),SUMIF($T$8:$T$407,INDEX($T$8:$T$407,$AA25),$AF$8:$AF$407)))))))</f>
        <v/>
      </c>
      <c r="F25" s="32">
        <f>IF($AB25="G",SUM($AG$8:$AG$407),IF(OR($AB25="",$AB25="R"),"",IF($AB25="D",INDEX($AG$8:$AG$407,$AA25),SUMIF($T$8:$T$407,INDEX($T$8:$T$407,$AA25),$AG$8:$AG$407))))</f>
        <v/>
      </c>
      <c r="G25" s="32">
        <f>IF(OR($AB25="",$AB25="R"),"",ROUND($E25-$F25,2))</f>
        <v/>
      </c>
      <c r="H25" s="32">
        <f>IF($AB25="G",SUM($AH$8:$AH$407),IF(OR($AB25="",$AB25="R"),"",IF($AB25="D",INDEX($AH$8:$AH$407,$AA25),SUMIF($T$8:$T$407,INDEX($T$8:$T$407,$AA25),$AH$8:$AH$407))))</f>
        <v/>
      </c>
      <c r="J25">
        <f>IFERROR(MATCH(18,บันทึกรายเที่ยว!$W$6:$W$6005,0),"")</f>
        <v/>
      </c>
      <c r="K25">
        <f>IF($J25="","",INDEX(บันทึกรายเที่ยว!$T$6:$T$6005,$J25))</f>
        <v/>
      </c>
      <c r="L25">
        <f>IF($J25="","",INDEX(บันทึกรายเที่ยว!$S$6:$S$6005,$J25))</f>
        <v/>
      </c>
      <c r="M25">
        <f>IF($J25="","",INDEX(บันทึกรายเที่ยว!$R$6:$R$6005,$J25))</f>
        <v/>
      </c>
      <c r="N25">
        <f>IF($J25="","",MATCH($M25,บันทึกรายเที่ยว!$R$6:$R$6005,0))</f>
        <v/>
      </c>
      <c r="O25">
        <f>IF($J25="","",MATCH($L25,บันทึกรายเที่ยว!$S$6:$S$6005,0))</f>
        <v/>
      </c>
      <c r="P25">
        <f>IF($J25="","",IF(AND(OR($I$3="(ทั้งหมด)",INDEX(บันทึกรายเที่ยว!$C$6:$C$6005,$J25)=$I$3),OR($I$5="(ทั้งหมด)",INDEX(บันทึกรายเที่ยว!$D$6:$D$6005,$J25)=$I$5),OR($I$7="(ทั้งหมด)",INDEX(บันทึกรายเที่ยว!$F$6:$F$6005,$J25)=$I$7)),$N25*10000000+$O25*1000+18,""))</f>
        <v/>
      </c>
      <c r="Q25">
        <f>IFERROR(MATCH(SMALL($P$8:$P$407,18),$P$8:$P$407,0),"")</f>
        <v/>
      </c>
      <c r="R25">
        <f>IF($Q25="","",INDEX($J$8:$J$407,$Q25))</f>
        <v/>
      </c>
      <c r="S25">
        <f>IF($Q25="","",INDEX($M$8:$M$407,$Q25))</f>
        <v/>
      </c>
      <c r="T25">
        <f>IF($Q25="","",INDEX($L$8:$L$407,$Q25))</f>
        <v/>
      </c>
      <c r="U25">
        <f>IF($Q25="","",INDEX($K$8:$K$407,$Q25))</f>
        <v/>
      </c>
      <c r="V25">
        <f>IF($Q25="",0,IF($S25&lt;&gt;$S24,1,0))</f>
        <v/>
      </c>
      <c r="W25">
        <f>IF($Q25="",0,IF($T25&lt;&gt;$T24,1,0))</f>
        <v/>
      </c>
      <c r="X25">
        <f>IF($Q25="",99999+18,$X24+1+$V24+$W24)</f>
        <v/>
      </c>
      <c r="Y25">
        <f>IF($Q25="","",INDEX(บันทึกรายเที่ยว!$Q$6:$Q$6005,$R25))</f>
        <v/>
      </c>
      <c r="Z25">
        <f>IF($Q25="","",INDEX(บันทึกรายเที่ยว!$F$6:$F$6005,$R25))</f>
        <v/>
      </c>
      <c r="AA25">
        <f>IFERROR(MATCH(18,$X$8:$X$407,1),"")</f>
        <v/>
      </c>
      <c r="AB25">
        <f>IF(18=$AD$1+1,"G",IF($AA25="","",IF(INDEX($Q$8:$Q$407,$AA25)="","",IF(18&gt;INDEX($X$8:$X$407,$AA25)+INDEX($V$8:$V$407,$AA25)+INDEX($W$8:$W$407,$AA25),"",IF(18=INDEX($X$8:$X$407,$AA25)+INDEX($V$8:$V$407,$AA25)+INDEX($W$8:$W$407,$AA25),"D",IF(AND(INDEX($W$8:$W$407,$AA25)=1,18=INDEX($X$8:$X$407,$AA25)+INDEX($V$8:$V$407,$AA25)),"S","R"))))))</f>
        <v/>
      </c>
      <c r="AC25">
        <f>IF(OR($AB25="",$AB25="G"),"",IF($AB25="D",INDEX($U$8:$U$407,$AA25),IF($AB25="S",INDEX($T$8:$T$407,$AA25)&amp;"|*",INDEX($S$8:$S$407,$AA25)&amp;"|*")))</f>
        <v/>
      </c>
      <c r="AE25">
        <f>IF($U25="",0,COUNTIF(บันทึกรายเที่ยว!$T$6:$T$6005,$U25))</f>
        <v/>
      </c>
      <c r="AF25">
        <f>IF($U25="",0,ROUND(SUMIF(บันทึกรายเที่ยว!$T$6:$T$6005,$U25,บันทึกรายเที่ยว!$J$6:$J$6005),2))</f>
        <v/>
      </c>
      <c r="AG25">
        <f>IF($U25="",0,ROUND(SUMIF(บันทึกรายเที่ยว!$T$6:$T$6005,$U25,บันทึกรายเที่ยว!$K$6:$K$6005),2))</f>
        <v/>
      </c>
      <c r="AH25">
        <f>IF($U25="",0,ROUND(SUMIF(บันทึกรายเที่ยว!$T$6:$T$6005,$U25,บันทึกรายเที่ยว!$M$6:$M$6005),2))</f>
        <v/>
      </c>
    </row>
    <row r="26" ht="21" customHeight="1" s="66">
      <c r="A26" s="3">
        <f>IF($AB26="G","ผลรวมทั้งหมด",IF($AB26="R",INDEX($S$8:$S$407,$AA26),""))</f>
        <v/>
      </c>
      <c r="B26" s="3">
        <f>IF($AB26="S",INDEX($Y$8:$Y$407,$AA26),"")</f>
        <v/>
      </c>
      <c r="C26" s="68">
        <f>IF($AB26="D",INDEX($Z$8:$Z$407,$AA26),"")</f>
        <v/>
      </c>
      <c r="D26" s="31">
        <f>IF($AB26="G",SUM($AE$8:$AE$407),IF(OR($AB26="",$AB26="R"),"",IF($AB26="D",INDEX($AE$8:$AE$407,$AA26),SUMIF($T$8:$T$407,INDEX($T$8:$T$407,$AA26),$AE$8:$AE$407))))</f>
        <v/>
      </c>
      <c r="E26" s="32">
        <f>IF(19=$AD$1+3,"ขอแสดงความนับถือ",IF(19=$AD$1+6,"(                 )",IF(19=$AD$1+7,"เจ้าหน้าที่ขนส่ง",IF($AB26="G",SUM($AF$8:$AF$407),IF(OR($AB26="",$AB26="R"),"",IF($AB26="D",INDEX($AF$8:$AF$407,$AA26),SUMIF($T$8:$T$407,INDEX($T$8:$T$407,$AA26),$AF$8:$AF$407)))))))</f>
        <v/>
      </c>
      <c r="F26" s="32">
        <f>IF($AB26="G",SUM($AG$8:$AG$407),IF(OR($AB26="",$AB26="R"),"",IF($AB26="D",INDEX($AG$8:$AG$407,$AA26),SUMIF($T$8:$T$407,INDEX($T$8:$T$407,$AA26),$AG$8:$AG$407))))</f>
        <v/>
      </c>
      <c r="G26" s="32">
        <f>IF(OR($AB26="",$AB26="R"),"",ROUND($E26-$F26,2))</f>
        <v/>
      </c>
      <c r="H26" s="32">
        <f>IF($AB26="G",SUM($AH$8:$AH$407),IF(OR($AB26="",$AB26="R"),"",IF($AB26="D",INDEX($AH$8:$AH$407,$AA26),SUMIF($T$8:$T$407,INDEX($T$8:$T$407,$AA26),$AH$8:$AH$407))))</f>
        <v/>
      </c>
      <c r="J26">
        <f>IFERROR(MATCH(19,บันทึกรายเที่ยว!$W$6:$W$6005,0),"")</f>
        <v/>
      </c>
      <c r="K26">
        <f>IF($J26="","",INDEX(บันทึกรายเที่ยว!$T$6:$T$6005,$J26))</f>
        <v/>
      </c>
      <c r="L26">
        <f>IF($J26="","",INDEX(บันทึกรายเที่ยว!$S$6:$S$6005,$J26))</f>
        <v/>
      </c>
      <c r="M26">
        <f>IF($J26="","",INDEX(บันทึกรายเที่ยว!$R$6:$R$6005,$J26))</f>
        <v/>
      </c>
      <c r="N26">
        <f>IF($J26="","",MATCH($M26,บันทึกรายเที่ยว!$R$6:$R$6005,0))</f>
        <v/>
      </c>
      <c r="O26">
        <f>IF($J26="","",MATCH($L26,บันทึกรายเที่ยว!$S$6:$S$6005,0))</f>
        <v/>
      </c>
      <c r="P26">
        <f>IF($J26="","",IF(AND(OR($I$3="(ทั้งหมด)",INDEX(บันทึกรายเที่ยว!$C$6:$C$6005,$J26)=$I$3),OR($I$5="(ทั้งหมด)",INDEX(บันทึกรายเที่ยว!$D$6:$D$6005,$J26)=$I$5),OR($I$7="(ทั้งหมด)",INDEX(บันทึกรายเที่ยว!$F$6:$F$6005,$J26)=$I$7)),$N26*10000000+$O26*1000+19,""))</f>
        <v/>
      </c>
      <c r="Q26">
        <f>IFERROR(MATCH(SMALL($P$8:$P$407,19),$P$8:$P$407,0),"")</f>
        <v/>
      </c>
      <c r="R26">
        <f>IF($Q26="","",INDEX($J$8:$J$407,$Q26))</f>
        <v/>
      </c>
      <c r="S26">
        <f>IF($Q26="","",INDEX($M$8:$M$407,$Q26))</f>
        <v/>
      </c>
      <c r="T26">
        <f>IF($Q26="","",INDEX($L$8:$L$407,$Q26))</f>
        <v/>
      </c>
      <c r="U26">
        <f>IF($Q26="","",INDEX($K$8:$K$407,$Q26))</f>
        <v/>
      </c>
      <c r="V26">
        <f>IF($Q26="",0,IF($S26&lt;&gt;$S25,1,0))</f>
        <v/>
      </c>
      <c r="W26">
        <f>IF($Q26="",0,IF($T26&lt;&gt;$T25,1,0))</f>
        <v/>
      </c>
      <c r="X26">
        <f>IF($Q26="",99999+19,$X25+1+$V25+$W25)</f>
        <v/>
      </c>
      <c r="Y26">
        <f>IF($Q26="","",INDEX(บันทึกรายเที่ยว!$Q$6:$Q$6005,$R26))</f>
        <v/>
      </c>
      <c r="Z26">
        <f>IF($Q26="","",INDEX(บันทึกรายเที่ยว!$F$6:$F$6005,$R26))</f>
        <v/>
      </c>
      <c r="AA26">
        <f>IFERROR(MATCH(19,$X$8:$X$407,1),"")</f>
        <v/>
      </c>
      <c r="AB26">
        <f>IF(19=$AD$1+1,"G",IF($AA26="","",IF(INDEX($Q$8:$Q$407,$AA26)="","",IF(19&gt;INDEX($X$8:$X$407,$AA26)+INDEX($V$8:$V$407,$AA26)+INDEX($W$8:$W$407,$AA26),"",IF(19=INDEX($X$8:$X$407,$AA26)+INDEX($V$8:$V$407,$AA26)+INDEX($W$8:$W$407,$AA26),"D",IF(AND(INDEX($W$8:$W$407,$AA26)=1,19=INDEX($X$8:$X$407,$AA26)+INDEX($V$8:$V$407,$AA26)),"S","R"))))))</f>
        <v/>
      </c>
      <c r="AC26">
        <f>IF(OR($AB26="",$AB26="G"),"",IF($AB26="D",INDEX($U$8:$U$407,$AA26),IF($AB26="S",INDEX($T$8:$T$407,$AA26)&amp;"|*",INDEX($S$8:$S$407,$AA26)&amp;"|*")))</f>
        <v/>
      </c>
      <c r="AE26">
        <f>IF($U26="",0,COUNTIF(บันทึกรายเที่ยว!$T$6:$T$6005,$U26))</f>
        <v/>
      </c>
      <c r="AF26">
        <f>IF($U26="",0,ROUND(SUMIF(บันทึกรายเที่ยว!$T$6:$T$6005,$U26,บันทึกรายเที่ยว!$J$6:$J$6005),2))</f>
        <v/>
      </c>
      <c r="AG26">
        <f>IF($U26="",0,ROUND(SUMIF(บันทึกรายเที่ยว!$T$6:$T$6005,$U26,บันทึกรายเที่ยว!$K$6:$K$6005),2))</f>
        <v/>
      </c>
      <c r="AH26">
        <f>IF($U26="",0,ROUND(SUMIF(บันทึกรายเที่ยว!$T$6:$T$6005,$U26,บันทึกรายเที่ยว!$M$6:$M$6005),2))</f>
        <v/>
      </c>
    </row>
    <row r="27" ht="21" customHeight="1" s="66">
      <c r="A27" s="3">
        <f>IF($AB27="G","ผลรวมทั้งหมด",IF($AB27="R",INDEX($S$8:$S$407,$AA27),""))</f>
        <v/>
      </c>
      <c r="B27" s="3">
        <f>IF($AB27="S",INDEX($Y$8:$Y$407,$AA27),"")</f>
        <v/>
      </c>
      <c r="C27" s="68">
        <f>IF($AB27="D",INDEX($Z$8:$Z$407,$AA27),"")</f>
        <v/>
      </c>
      <c r="D27" s="31">
        <f>IF($AB27="G",SUM($AE$8:$AE$407),IF(OR($AB27="",$AB27="R"),"",IF($AB27="D",INDEX($AE$8:$AE$407,$AA27),SUMIF($T$8:$T$407,INDEX($T$8:$T$407,$AA27),$AE$8:$AE$407))))</f>
        <v/>
      </c>
      <c r="E27" s="32">
        <f>IF(20=$AD$1+3,"ขอแสดงความนับถือ",IF(20=$AD$1+6,"(                 )",IF(20=$AD$1+7,"เจ้าหน้าที่ขนส่ง",IF($AB27="G",SUM($AF$8:$AF$407),IF(OR($AB27="",$AB27="R"),"",IF($AB27="D",INDEX($AF$8:$AF$407,$AA27),SUMIF($T$8:$T$407,INDEX($T$8:$T$407,$AA27),$AF$8:$AF$407)))))))</f>
        <v/>
      </c>
      <c r="F27" s="32">
        <f>IF($AB27="G",SUM($AG$8:$AG$407),IF(OR($AB27="",$AB27="R"),"",IF($AB27="D",INDEX($AG$8:$AG$407,$AA27),SUMIF($T$8:$T$407,INDEX($T$8:$T$407,$AA27),$AG$8:$AG$407))))</f>
        <v/>
      </c>
      <c r="G27" s="32">
        <f>IF(OR($AB27="",$AB27="R"),"",ROUND($E27-$F27,2))</f>
        <v/>
      </c>
      <c r="H27" s="32">
        <f>IF($AB27="G",SUM($AH$8:$AH$407),IF(OR($AB27="",$AB27="R"),"",IF($AB27="D",INDEX($AH$8:$AH$407,$AA27),SUMIF($T$8:$T$407,INDEX($T$8:$T$407,$AA27),$AH$8:$AH$407))))</f>
        <v/>
      </c>
      <c r="J27">
        <f>IFERROR(MATCH(20,บันทึกรายเที่ยว!$W$6:$W$6005,0),"")</f>
        <v/>
      </c>
      <c r="K27">
        <f>IF($J27="","",INDEX(บันทึกรายเที่ยว!$T$6:$T$6005,$J27))</f>
        <v/>
      </c>
      <c r="L27">
        <f>IF($J27="","",INDEX(บันทึกรายเที่ยว!$S$6:$S$6005,$J27))</f>
        <v/>
      </c>
      <c r="M27">
        <f>IF($J27="","",INDEX(บันทึกรายเที่ยว!$R$6:$R$6005,$J27))</f>
        <v/>
      </c>
      <c r="N27">
        <f>IF($J27="","",MATCH($M27,บันทึกรายเที่ยว!$R$6:$R$6005,0))</f>
        <v/>
      </c>
      <c r="O27">
        <f>IF($J27="","",MATCH($L27,บันทึกรายเที่ยว!$S$6:$S$6005,0))</f>
        <v/>
      </c>
      <c r="P27">
        <f>IF($J27="","",IF(AND(OR($I$3="(ทั้งหมด)",INDEX(บันทึกรายเที่ยว!$C$6:$C$6005,$J27)=$I$3),OR($I$5="(ทั้งหมด)",INDEX(บันทึกรายเที่ยว!$D$6:$D$6005,$J27)=$I$5),OR($I$7="(ทั้งหมด)",INDEX(บันทึกรายเที่ยว!$F$6:$F$6005,$J27)=$I$7)),$N27*10000000+$O27*1000+20,""))</f>
        <v/>
      </c>
      <c r="Q27">
        <f>IFERROR(MATCH(SMALL($P$8:$P$407,20),$P$8:$P$407,0),"")</f>
        <v/>
      </c>
      <c r="R27">
        <f>IF($Q27="","",INDEX($J$8:$J$407,$Q27))</f>
        <v/>
      </c>
      <c r="S27">
        <f>IF($Q27="","",INDEX($M$8:$M$407,$Q27))</f>
        <v/>
      </c>
      <c r="T27">
        <f>IF($Q27="","",INDEX($L$8:$L$407,$Q27))</f>
        <v/>
      </c>
      <c r="U27">
        <f>IF($Q27="","",INDEX($K$8:$K$407,$Q27))</f>
        <v/>
      </c>
      <c r="V27">
        <f>IF($Q27="",0,IF($S27&lt;&gt;$S26,1,0))</f>
        <v/>
      </c>
      <c r="W27">
        <f>IF($Q27="",0,IF($T27&lt;&gt;$T26,1,0))</f>
        <v/>
      </c>
      <c r="X27">
        <f>IF($Q27="",99999+20,$X26+1+$V26+$W26)</f>
        <v/>
      </c>
      <c r="Y27">
        <f>IF($Q27="","",INDEX(บันทึกรายเที่ยว!$Q$6:$Q$6005,$R27))</f>
        <v/>
      </c>
      <c r="Z27">
        <f>IF($Q27="","",INDEX(บันทึกรายเที่ยว!$F$6:$F$6005,$R27))</f>
        <v/>
      </c>
      <c r="AA27">
        <f>IFERROR(MATCH(20,$X$8:$X$407,1),"")</f>
        <v/>
      </c>
      <c r="AB27">
        <f>IF(20=$AD$1+1,"G",IF($AA27="","",IF(INDEX($Q$8:$Q$407,$AA27)="","",IF(20&gt;INDEX($X$8:$X$407,$AA27)+INDEX($V$8:$V$407,$AA27)+INDEX($W$8:$W$407,$AA27),"",IF(20=INDEX($X$8:$X$407,$AA27)+INDEX($V$8:$V$407,$AA27)+INDEX($W$8:$W$407,$AA27),"D",IF(AND(INDEX($W$8:$W$407,$AA27)=1,20=INDEX($X$8:$X$407,$AA27)+INDEX($V$8:$V$407,$AA27)),"S","R"))))))</f>
        <v/>
      </c>
      <c r="AC27">
        <f>IF(OR($AB27="",$AB27="G"),"",IF($AB27="D",INDEX($U$8:$U$407,$AA27),IF($AB27="S",INDEX($T$8:$T$407,$AA27)&amp;"|*",INDEX($S$8:$S$407,$AA27)&amp;"|*")))</f>
        <v/>
      </c>
      <c r="AE27">
        <f>IF($U27="",0,COUNTIF(บันทึกรายเที่ยว!$T$6:$T$6005,$U27))</f>
        <v/>
      </c>
      <c r="AF27">
        <f>IF($U27="",0,ROUND(SUMIF(บันทึกรายเที่ยว!$T$6:$T$6005,$U27,บันทึกรายเที่ยว!$J$6:$J$6005),2))</f>
        <v/>
      </c>
      <c r="AG27">
        <f>IF($U27="",0,ROUND(SUMIF(บันทึกรายเที่ยว!$T$6:$T$6005,$U27,บันทึกรายเที่ยว!$K$6:$K$6005),2))</f>
        <v/>
      </c>
      <c r="AH27">
        <f>IF($U27="",0,ROUND(SUMIF(บันทึกรายเที่ยว!$T$6:$T$6005,$U27,บันทึกรายเที่ยว!$M$6:$M$6005),2))</f>
        <v/>
      </c>
    </row>
    <row r="28" ht="21" customHeight="1" s="66">
      <c r="A28" s="3">
        <f>IF($AB28="G","ผลรวมทั้งหมด",IF($AB28="R",INDEX($S$8:$S$407,$AA28),""))</f>
        <v/>
      </c>
      <c r="B28" s="3">
        <f>IF($AB28="S",INDEX($Y$8:$Y$407,$AA28),"")</f>
        <v/>
      </c>
      <c r="C28" s="68">
        <f>IF($AB28="D",INDEX($Z$8:$Z$407,$AA28),"")</f>
        <v/>
      </c>
      <c r="D28" s="31">
        <f>IF($AB28="G",SUM($AE$8:$AE$407),IF(OR($AB28="",$AB28="R"),"",IF($AB28="D",INDEX($AE$8:$AE$407,$AA28),SUMIF($T$8:$T$407,INDEX($T$8:$T$407,$AA28),$AE$8:$AE$407))))</f>
        <v/>
      </c>
      <c r="E28" s="32">
        <f>IF(21=$AD$1+3,"ขอแสดงความนับถือ",IF(21=$AD$1+6,"(                 )",IF(21=$AD$1+7,"เจ้าหน้าที่ขนส่ง",IF($AB28="G",SUM($AF$8:$AF$407),IF(OR($AB28="",$AB28="R"),"",IF($AB28="D",INDEX($AF$8:$AF$407,$AA28),SUMIF($T$8:$T$407,INDEX($T$8:$T$407,$AA28),$AF$8:$AF$407)))))))</f>
        <v/>
      </c>
      <c r="F28" s="32">
        <f>IF($AB28="G",SUM($AG$8:$AG$407),IF(OR($AB28="",$AB28="R"),"",IF($AB28="D",INDEX($AG$8:$AG$407,$AA28),SUMIF($T$8:$T$407,INDEX($T$8:$T$407,$AA28),$AG$8:$AG$407))))</f>
        <v/>
      </c>
      <c r="G28" s="32">
        <f>IF(OR($AB28="",$AB28="R"),"",ROUND($E28-$F28,2))</f>
        <v/>
      </c>
      <c r="H28" s="32">
        <f>IF($AB28="G",SUM($AH$8:$AH$407),IF(OR($AB28="",$AB28="R"),"",IF($AB28="D",INDEX($AH$8:$AH$407,$AA28),SUMIF($T$8:$T$407,INDEX($T$8:$T$407,$AA28),$AH$8:$AH$407))))</f>
        <v/>
      </c>
      <c r="J28">
        <f>IFERROR(MATCH(21,บันทึกรายเที่ยว!$W$6:$W$6005,0),"")</f>
        <v/>
      </c>
      <c r="K28">
        <f>IF($J28="","",INDEX(บันทึกรายเที่ยว!$T$6:$T$6005,$J28))</f>
        <v/>
      </c>
      <c r="L28">
        <f>IF($J28="","",INDEX(บันทึกรายเที่ยว!$S$6:$S$6005,$J28))</f>
        <v/>
      </c>
      <c r="M28">
        <f>IF($J28="","",INDEX(บันทึกรายเที่ยว!$R$6:$R$6005,$J28))</f>
        <v/>
      </c>
      <c r="N28">
        <f>IF($J28="","",MATCH($M28,บันทึกรายเที่ยว!$R$6:$R$6005,0))</f>
        <v/>
      </c>
      <c r="O28">
        <f>IF($J28="","",MATCH($L28,บันทึกรายเที่ยว!$S$6:$S$6005,0))</f>
        <v/>
      </c>
      <c r="P28">
        <f>IF($J28="","",IF(AND(OR($I$3="(ทั้งหมด)",INDEX(บันทึกรายเที่ยว!$C$6:$C$6005,$J28)=$I$3),OR($I$5="(ทั้งหมด)",INDEX(บันทึกรายเที่ยว!$D$6:$D$6005,$J28)=$I$5),OR($I$7="(ทั้งหมด)",INDEX(บันทึกรายเที่ยว!$F$6:$F$6005,$J28)=$I$7)),$N28*10000000+$O28*1000+21,""))</f>
        <v/>
      </c>
      <c r="Q28">
        <f>IFERROR(MATCH(SMALL($P$8:$P$407,21),$P$8:$P$407,0),"")</f>
        <v/>
      </c>
      <c r="R28">
        <f>IF($Q28="","",INDEX($J$8:$J$407,$Q28))</f>
        <v/>
      </c>
      <c r="S28">
        <f>IF($Q28="","",INDEX($M$8:$M$407,$Q28))</f>
        <v/>
      </c>
      <c r="T28">
        <f>IF($Q28="","",INDEX($L$8:$L$407,$Q28))</f>
        <v/>
      </c>
      <c r="U28">
        <f>IF($Q28="","",INDEX($K$8:$K$407,$Q28))</f>
        <v/>
      </c>
      <c r="V28">
        <f>IF($Q28="",0,IF($S28&lt;&gt;$S27,1,0))</f>
        <v/>
      </c>
      <c r="W28">
        <f>IF($Q28="",0,IF($T28&lt;&gt;$T27,1,0))</f>
        <v/>
      </c>
      <c r="X28">
        <f>IF($Q28="",99999+21,$X27+1+$V27+$W27)</f>
        <v/>
      </c>
      <c r="Y28">
        <f>IF($Q28="","",INDEX(บันทึกรายเที่ยว!$Q$6:$Q$6005,$R28))</f>
        <v/>
      </c>
      <c r="Z28">
        <f>IF($Q28="","",INDEX(บันทึกรายเที่ยว!$F$6:$F$6005,$R28))</f>
        <v/>
      </c>
      <c r="AA28">
        <f>IFERROR(MATCH(21,$X$8:$X$407,1),"")</f>
        <v/>
      </c>
      <c r="AB28">
        <f>IF(21=$AD$1+1,"G",IF($AA28="","",IF(INDEX($Q$8:$Q$407,$AA28)="","",IF(21&gt;INDEX($X$8:$X$407,$AA28)+INDEX($V$8:$V$407,$AA28)+INDEX($W$8:$W$407,$AA28),"",IF(21=INDEX($X$8:$X$407,$AA28)+INDEX($V$8:$V$407,$AA28)+INDEX($W$8:$W$407,$AA28),"D",IF(AND(INDEX($W$8:$W$407,$AA28)=1,21=INDEX($X$8:$X$407,$AA28)+INDEX($V$8:$V$407,$AA28)),"S","R"))))))</f>
        <v/>
      </c>
      <c r="AC28">
        <f>IF(OR($AB28="",$AB28="G"),"",IF($AB28="D",INDEX($U$8:$U$407,$AA28),IF($AB28="S",INDEX($T$8:$T$407,$AA28)&amp;"|*",INDEX($S$8:$S$407,$AA28)&amp;"|*")))</f>
        <v/>
      </c>
      <c r="AE28">
        <f>IF($U28="",0,COUNTIF(บันทึกรายเที่ยว!$T$6:$T$6005,$U28))</f>
        <v/>
      </c>
      <c r="AF28">
        <f>IF($U28="",0,ROUND(SUMIF(บันทึกรายเที่ยว!$T$6:$T$6005,$U28,บันทึกรายเที่ยว!$J$6:$J$6005),2))</f>
        <v/>
      </c>
      <c r="AG28">
        <f>IF($U28="",0,ROUND(SUMIF(บันทึกรายเที่ยว!$T$6:$T$6005,$U28,บันทึกรายเที่ยว!$K$6:$K$6005),2))</f>
        <v/>
      </c>
      <c r="AH28">
        <f>IF($U28="",0,ROUND(SUMIF(บันทึกรายเที่ยว!$T$6:$T$6005,$U28,บันทึกรายเที่ยว!$M$6:$M$6005),2))</f>
        <v/>
      </c>
    </row>
    <row r="29" ht="21" customHeight="1" s="66">
      <c r="A29" s="3">
        <f>IF($AB29="G","ผลรวมทั้งหมด",IF($AB29="R",INDEX($S$8:$S$407,$AA29),""))</f>
        <v/>
      </c>
      <c r="B29" s="3">
        <f>IF($AB29="S",INDEX($Y$8:$Y$407,$AA29),"")</f>
        <v/>
      </c>
      <c r="C29" s="68">
        <f>IF($AB29="D",INDEX($Z$8:$Z$407,$AA29),"")</f>
        <v/>
      </c>
      <c r="D29" s="31">
        <f>IF($AB29="G",SUM($AE$8:$AE$407),IF(OR($AB29="",$AB29="R"),"",IF($AB29="D",INDEX($AE$8:$AE$407,$AA29),SUMIF($T$8:$T$407,INDEX($T$8:$T$407,$AA29),$AE$8:$AE$407))))</f>
        <v/>
      </c>
      <c r="E29" s="32">
        <f>IF(22=$AD$1+3,"ขอแสดงความนับถือ",IF(22=$AD$1+6,"(                 )",IF(22=$AD$1+7,"เจ้าหน้าที่ขนส่ง",IF($AB29="G",SUM($AF$8:$AF$407),IF(OR($AB29="",$AB29="R"),"",IF($AB29="D",INDEX($AF$8:$AF$407,$AA29),SUMIF($T$8:$T$407,INDEX($T$8:$T$407,$AA29),$AF$8:$AF$407)))))))</f>
        <v/>
      </c>
      <c r="F29" s="32">
        <f>IF($AB29="G",SUM($AG$8:$AG$407),IF(OR($AB29="",$AB29="R"),"",IF($AB29="D",INDEX($AG$8:$AG$407,$AA29),SUMIF($T$8:$T$407,INDEX($T$8:$T$407,$AA29),$AG$8:$AG$407))))</f>
        <v/>
      </c>
      <c r="G29" s="32">
        <f>IF(OR($AB29="",$AB29="R"),"",ROUND($E29-$F29,2))</f>
        <v/>
      </c>
      <c r="H29" s="32">
        <f>IF($AB29="G",SUM($AH$8:$AH$407),IF(OR($AB29="",$AB29="R"),"",IF($AB29="D",INDEX($AH$8:$AH$407,$AA29),SUMIF($T$8:$T$407,INDEX($T$8:$T$407,$AA29),$AH$8:$AH$407))))</f>
        <v/>
      </c>
      <c r="J29">
        <f>IFERROR(MATCH(22,บันทึกรายเที่ยว!$W$6:$W$6005,0),"")</f>
        <v/>
      </c>
      <c r="K29">
        <f>IF($J29="","",INDEX(บันทึกรายเที่ยว!$T$6:$T$6005,$J29))</f>
        <v/>
      </c>
      <c r="L29">
        <f>IF($J29="","",INDEX(บันทึกรายเที่ยว!$S$6:$S$6005,$J29))</f>
        <v/>
      </c>
      <c r="M29">
        <f>IF($J29="","",INDEX(บันทึกรายเที่ยว!$R$6:$R$6005,$J29))</f>
        <v/>
      </c>
      <c r="N29">
        <f>IF($J29="","",MATCH($M29,บันทึกรายเที่ยว!$R$6:$R$6005,0))</f>
        <v/>
      </c>
      <c r="O29">
        <f>IF($J29="","",MATCH($L29,บันทึกรายเที่ยว!$S$6:$S$6005,0))</f>
        <v/>
      </c>
      <c r="P29">
        <f>IF($J29="","",IF(AND(OR($I$3="(ทั้งหมด)",INDEX(บันทึกรายเที่ยว!$C$6:$C$6005,$J29)=$I$3),OR($I$5="(ทั้งหมด)",INDEX(บันทึกรายเที่ยว!$D$6:$D$6005,$J29)=$I$5),OR($I$7="(ทั้งหมด)",INDEX(บันทึกรายเที่ยว!$F$6:$F$6005,$J29)=$I$7)),$N29*10000000+$O29*1000+22,""))</f>
        <v/>
      </c>
      <c r="Q29">
        <f>IFERROR(MATCH(SMALL($P$8:$P$407,22),$P$8:$P$407,0),"")</f>
        <v/>
      </c>
      <c r="R29">
        <f>IF($Q29="","",INDEX($J$8:$J$407,$Q29))</f>
        <v/>
      </c>
      <c r="S29">
        <f>IF($Q29="","",INDEX($M$8:$M$407,$Q29))</f>
        <v/>
      </c>
      <c r="T29">
        <f>IF($Q29="","",INDEX($L$8:$L$407,$Q29))</f>
        <v/>
      </c>
      <c r="U29">
        <f>IF($Q29="","",INDEX($K$8:$K$407,$Q29))</f>
        <v/>
      </c>
      <c r="V29">
        <f>IF($Q29="",0,IF($S29&lt;&gt;$S28,1,0))</f>
        <v/>
      </c>
      <c r="W29">
        <f>IF($Q29="",0,IF($T29&lt;&gt;$T28,1,0))</f>
        <v/>
      </c>
      <c r="X29">
        <f>IF($Q29="",99999+22,$X28+1+$V28+$W28)</f>
        <v/>
      </c>
      <c r="Y29">
        <f>IF($Q29="","",INDEX(บันทึกรายเที่ยว!$Q$6:$Q$6005,$R29))</f>
        <v/>
      </c>
      <c r="Z29">
        <f>IF($Q29="","",INDEX(บันทึกรายเที่ยว!$F$6:$F$6005,$R29))</f>
        <v/>
      </c>
      <c r="AA29">
        <f>IFERROR(MATCH(22,$X$8:$X$407,1),"")</f>
        <v/>
      </c>
      <c r="AB29">
        <f>IF(22=$AD$1+1,"G",IF($AA29="","",IF(INDEX($Q$8:$Q$407,$AA29)="","",IF(22&gt;INDEX($X$8:$X$407,$AA29)+INDEX($V$8:$V$407,$AA29)+INDEX($W$8:$W$407,$AA29),"",IF(22=INDEX($X$8:$X$407,$AA29)+INDEX($V$8:$V$407,$AA29)+INDEX($W$8:$W$407,$AA29),"D",IF(AND(INDEX($W$8:$W$407,$AA29)=1,22=INDEX($X$8:$X$407,$AA29)+INDEX($V$8:$V$407,$AA29)),"S","R"))))))</f>
        <v/>
      </c>
      <c r="AC29">
        <f>IF(OR($AB29="",$AB29="G"),"",IF($AB29="D",INDEX($U$8:$U$407,$AA29),IF($AB29="S",INDEX($T$8:$T$407,$AA29)&amp;"|*",INDEX($S$8:$S$407,$AA29)&amp;"|*")))</f>
        <v/>
      </c>
      <c r="AE29">
        <f>IF($U29="",0,COUNTIF(บันทึกรายเที่ยว!$T$6:$T$6005,$U29))</f>
        <v/>
      </c>
      <c r="AF29">
        <f>IF($U29="",0,ROUND(SUMIF(บันทึกรายเที่ยว!$T$6:$T$6005,$U29,บันทึกรายเที่ยว!$J$6:$J$6005),2))</f>
        <v/>
      </c>
      <c r="AG29">
        <f>IF($U29="",0,ROUND(SUMIF(บันทึกรายเที่ยว!$T$6:$T$6005,$U29,บันทึกรายเที่ยว!$K$6:$K$6005),2))</f>
        <v/>
      </c>
      <c r="AH29">
        <f>IF($U29="",0,ROUND(SUMIF(บันทึกรายเที่ยว!$T$6:$T$6005,$U29,บันทึกรายเที่ยว!$M$6:$M$6005),2))</f>
        <v/>
      </c>
    </row>
    <row r="30" ht="21" customHeight="1" s="66">
      <c r="A30" s="3">
        <f>IF($AB30="G","ผลรวมทั้งหมด",IF($AB30="R",INDEX($S$8:$S$407,$AA30),""))</f>
        <v/>
      </c>
      <c r="B30" s="3">
        <f>IF($AB30="S",INDEX($Y$8:$Y$407,$AA30),"")</f>
        <v/>
      </c>
      <c r="C30" s="68">
        <f>IF($AB30="D",INDEX($Z$8:$Z$407,$AA30),"")</f>
        <v/>
      </c>
      <c r="D30" s="31">
        <f>IF($AB30="G",SUM($AE$8:$AE$407),IF(OR($AB30="",$AB30="R"),"",IF($AB30="D",INDEX($AE$8:$AE$407,$AA30),SUMIF($T$8:$T$407,INDEX($T$8:$T$407,$AA30),$AE$8:$AE$407))))</f>
        <v/>
      </c>
      <c r="E30" s="32">
        <f>IF(23=$AD$1+3,"ขอแสดงความนับถือ",IF(23=$AD$1+6,"(                 )",IF(23=$AD$1+7,"เจ้าหน้าที่ขนส่ง",IF($AB30="G",SUM($AF$8:$AF$407),IF(OR($AB30="",$AB30="R"),"",IF($AB30="D",INDEX($AF$8:$AF$407,$AA30),SUMIF($T$8:$T$407,INDEX($T$8:$T$407,$AA30),$AF$8:$AF$407)))))))</f>
        <v/>
      </c>
      <c r="F30" s="32">
        <f>IF($AB30="G",SUM($AG$8:$AG$407),IF(OR($AB30="",$AB30="R"),"",IF($AB30="D",INDEX($AG$8:$AG$407,$AA30),SUMIF($T$8:$T$407,INDEX($T$8:$T$407,$AA30),$AG$8:$AG$407))))</f>
        <v/>
      </c>
      <c r="G30" s="32">
        <f>IF(OR($AB30="",$AB30="R"),"",ROUND($E30-$F30,2))</f>
        <v/>
      </c>
      <c r="H30" s="32">
        <f>IF($AB30="G",SUM($AH$8:$AH$407),IF(OR($AB30="",$AB30="R"),"",IF($AB30="D",INDEX($AH$8:$AH$407,$AA30),SUMIF($T$8:$T$407,INDEX($T$8:$T$407,$AA30),$AH$8:$AH$407))))</f>
        <v/>
      </c>
      <c r="J30">
        <f>IFERROR(MATCH(23,บันทึกรายเที่ยว!$W$6:$W$6005,0),"")</f>
        <v/>
      </c>
      <c r="K30">
        <f>IF($J30="","",INDEX(บันทึกรายเที่ยว!$T$6:$T$6005,$J30))</f>
        <v/>
      </c>
      <c r="L30">
        <f>IF($J30="","",INDEX(บันทึกรายเที่ยว!$S$6:$S$6005,$J30))</f>
        <v/>
      </c>
      <c r="M30">
        <f>IF($J30="","",INDEX(บันทึกรายเที่ยว!$R$6:$R$6005,$J30))</f>
        <v/>
      </c>
      <c r="N30">
        <f>IF($J30="","",MATCH($M30,บันทึกรายเที่ยว!$R$6:$R$6005,0))</f>
        <v/>
      </c>
      <c r="O30">
        <f>IF($J30="","",MATCH($L30,บันทึกรายเที่ยว!$S$6:$S$6005,0))</f>
        <v/>
      </c>
      <c r="P30">
        <f>IF($J30="","",IF(AND(OR($I$3="(ทั้งหมด)",INDEX(บันทึกรายเที่ยว!$C$6:$C$6005,$J30)=$I$3),OR($I$5="(ทั้งหมด)",INDEX(บันทึกรายเที่ยว!$D$6:$D$6005,$J30)=$I$5),OR($I$7="(ทั้งหมด)",INDEX(บันทึกรายเที่ยว!$F$6:$F$6005,$J30)=$I$7)),$N30*10000000+$O30*1000+23,""))</f>
        <v/>
      </c>
      <c r="Q30">
        <f>IFERROR(MATCH(SMALL($P$8:$P$407,23),$P$8:$P$407,0),"")</f>
        <v/>
      </c>
      <c r="R30">
        <f>IF($Q30="","",INDEX($J$8:$J$407,$Q30))</f>
        <v/>
      </c>
      <c r="S30">
        <f>IF($Q30="","",INDEX($M$8:$M$407,$Q30))</f>
        <v/>
      </c>
      <c r="T30">
        <f>IF($Q30="","",INDEX($L$8:$L$407,$Q30))</f>
        <v/>
      </c>
      <c r="U30">
        <f>IF($Q30="","",INDEX($K$8:$K$407,$Q30))</f>
        <v/>
      </c>
      <c r="V30">
        <f>IF($Q30="",0,IF($S30&lt;&gt;$S29,1,0))</f>
        <v/>
      </c>
      <c r="W30">
        <f>IF($Q30="",0,IF($T30&lt;&gt;$T29,1,0))</f>
        <v/>
      </c>
      <c r="X30">
        <f>IF($Q30="",99999+23,$X29+1+$V29+$W29)</f>
        <v/>
      </c>
      <c r="Y30">
        <f>IF($Q30="","",INDEX(บันทึกรายเที่ยว!$Q$6:$Q$6005,$R30))</f>
        <v/>
      </c>
      <c r="Z30">
        <f>IF($Q30="","",INDEX(บันทึกรายเที่ยว!$F$6:$F$6005,$R30))</f>
        <v/>
      </c>
      <c r="AA30">
        <f>IFERROR(MATCH(23,$X$8:$X$407,1),"")</f>
        <v/>
      </c>
      <c r="AB30">
        <f>IF(23=$AD$1+1,"G",IF($AA30="","",IF(INDEX($Q$8:$Q$407,$AA30)="","",IF(23&gt;INDEX($X$8:$X$407,$AA30)+INDEX($V$8:$V$407,$AA30)+INDEX($W$8:$W$407,$AA30),"",IF(23=INDEX($X$8:$X$407,$AA30)+INDEX($V$8:$V$407,$AA30)+INDEX($W$8:$W$407,$AA30),"D",IF(AND(INDEX($W$8:$W$407,$AA30)=1,23=INDEX($X$8:$X$407,$AA30)+INDEX($V$8:$V$407,$AA30)),"S","R"))))))</f>
        <v/>
      </c>
      <c r="AC30">
        <f>IF(OR($AB30="",$AB30="G"),"",IF($AB30="D",INDEX($U$8:$U$407,$AA30),IF($AB30="S",INDEX($T$8:$T$407,$AA30)&amp;"|*",INDEX($S$8:$S$407,$AA30)&amp;"|*")))</f>
        <v/>
      </c>
      <c r="AE30">
        <f>IF($U30="",0,COUNTIF(บันทึกรายเที่ยว!$T$6:$T$6005,$U30))</f>
        <v/>
      </c>
      <c r="AF30">
        <f>IF($U30="",0,ROUND(SUMIF(บันทึกรายเที่ยว!$T$6:$T$6005,$U30,บันทึกรายเที่ยว!$J$6:$J$6005),2))</f>
        <v/>
      </c>
      <c r="AG30">
        <f>IF($U30="",0,ROUND(SUMIF(บันทึกรายเที่ยว!$T$6:$T$6005,$U30,บันทึกรายเที่ยว!$K$6:$K$6005),2))</f>
        <v/>
      </c>
      <c r="AH30">
        <f>IF($U30="",0,ROUND(SUMIF(บันทึกรายเที่ยว!$T$6:$T$6005,$U30,บันทึกรายเที่ยว!$M$6:$M$6005),2))</f>
        <v/>
      </c>
    </row>
    <row r="31" ht="21" customHeight="1" s="66">
      <c r="A31" s="3">
        <f>IF($AB31="G","ผลรวมทั้งหมด",IF($AB31="R",INDEX($S$8:$S$407,$AA31),""))</f>
        <v/>
      </c>
      <c r="B31" s="3">
        <f>IF($AB31="S",INDEX($Y$8:$Y$407,$AA31),"")</f>
        <v/>
      </c>
      <c r="C31" s="68">
        <f>IF($AB31="D",INDEX($Z$8:$Z$407,$AA31),"")</f>
        <v/>
      </c>
      <c r="D31" s="31">
        <f>IF($AB31="G",SUM($AE$8:$AE$407),IF(OR($AB31="",$AB31="R"),"",IF($AB31="D",INDEX($AE$8:$AE$407,$AA31),SUMIF($T$8:$T$407,INDEX($T$8:$T$407,$AA31),$AE$8:$AE$407))))</f>
        <v/>
      </c>
      <c r="E31" s="32">
        <f>IF(24=$AD$1+3,"ขอแสดงความนับถือ",IF(24=$AD$1+6,"(                 )",IF(24=$AD$1+7,"เจ้าหน้าที่ขนส่ง",IF($AB31="G",SUM($AF$8:$AF$407),IF(OR($AB31="",$AB31="R"),"",IF($AB31="D",INDEX($AF$8:$AF$407,$AA31),SUMIF($T$8:$T$407,INDEX($T$8:$T$407,$AA31),$AF$8:$AF$407)))))))</f>
        <v/>
      </c>
      <c r="F31" s="32">
        <f>IF($AB31="G",SUM($AG$8:$AG$407),IF(OR($AB31="",$AB31="R"),"",IF($AB31="D",INDEX($AG$8:$AG$407,$AA31),SUMIF($T$8:$T$407,INDEX($T$8:$T$407,$AA31),$AG$8:$AG$407))))</f>
        <v/>
      </c>
      <c r="G31" s="32">
        <f>IF(OR($AB31="",$AB31="R"),"",ROUND($E31-$F31,2))</f>
        <v/>
      </c>
      <c r="H31" s="32">
        <f>IF($AB31="G",SUM($AH$8:$AH$407),IF(OR($AB31="",$AB31="R"),"",IF($AB31="D",INDEX($AH$8:$AH$407,$AA31),SUMIF($T$8:$T$407,INDEX($T$8:$T$407,$AA31),$AH$8:$AH$407))))</f>
        <v/>
      </c>
      <c r="J31">
        <f>IFERROR(MATCH(24,บันทึกรายเที่ยว!$W$6:$W$6005,0),"")</f>
        <v/>
      </c>
      <c r="K31">
        <f>IF($J31="","",INDEX(บันทึกรายเที่ยว!$T$6:$T$6005,$J31))</f>
        <v/>
      </c>
      <c r="L31">
        <f>IF($J31="","",INDEX(บันทึกรายเที่ยว!$S$6:$S$6005,$J31))</f>
        <v/>
      </c>
      <c r="M31">
        <f>IF($J31="","",INDEX(บันทึกรายเที่ยว!$R$6:$R$6005,$J31))</f>
        <v/>
      </c>
      <c r="N31">
        <f>IF($J31="","",MATCH($M31,บันทึกรายเที่ยว!$R$6:$R$6005,0))</f>
        <v/>
      </c>
      <c r="O31">
        <f>IF($J31="","",MATCH($L31,บันทึกรายเที่ยว!$S$6:$S$6005,0))</f>
        <v/>
      </c>
      <c r="P31">
        <f>IF($J31="","",IF(AND(OR($I$3="(ทั้งหมด)",INDEX(บันทึกรายเที่ยว!$C$6:$C$6005,$J31)=$I$3),OR($I$5="(ทั้งหมด)",INDEX(บันทึกรายเที่ยว!$D$6:$D$6005,$J31)=$I$5),OR($I$7="(ทั้งหมด)",INDEX(บันทึกรายเที่ยว!$F$6:$F$6005,$J31)=$I$7)),$N31*10000000+$O31*1000+24,""))</f>
        <v/>
      </c>
      <c r="Q31">
        <f>IFERROR(MATCH(SMALL($P$8:$P$407,24),$P$8:$P$407,0),"")</f>
        <v/>
      </c>
      <c r="R31">
        <f>IF($Q31="","",INDEX($J$8:$J$407,$Q31))</f>
        <v/>
      </c>
      <c r="S31">
        <f>IF($Q31="","",INDEX($M$8:$M$407,$Q31))</f>
        <v/>
      </c>
      <c r="T31">
        <f>IF($Q31="","",INDEX($L$8:$L$407,$Q31))</f>
        <v/>
      </c>
      <c r="U31">
        <f>IF($Q31="","",INDEX($K$8:$K$407,$Q31))</f>
        <v/>
      </c>
      <c r="V31">
        <f>IF($Q31="",0,IF($S31&lt;&gt;$S30,1,0))</f>
        <v/>
      </c>
      <c r="W31">
        <f>IF($Q31="",0,IF($T31&lt;&gt;$T30,1,0))</f>
        <v/>
      </c>
      <c r="X31">
        <f>IF($Q31="",99999+24,$X30+1+$V30+$W30)</f>
        <v/>
      </c>
      <c r="Y31">
        <f>IF($Q31="","",INDEX(บันทึกรายเที่ยว!$Q$6:$Q$6005,$R31))</f>
        <v/>
      </c>
      <c r="Z31">
        <f>IF($Q31="","",INDEX(บันทึกรายเที่ยว!$F$6:$F$6005,$R31))</f>
        <v/>
      </c>
      <c r="AA31">
        <f>IFERROR(MATCH(24,$X$8:$X$407,1),"")</f>
        <v/>
      </c>
      <c r="AB31">
        <f>IF(24=$AD$1+1,"G",IF($AA31="","",IF(INDEX($Q$8:$Q$407,$AA31)="","",IF(24&gt;INDEX($X$8:$X$407,$AA31)+INDEX($V$8:$V$407,$AA31)+INDEX($W$8:$W$407,$AA31),"",IF(24=INDEX($X$8:$X$407,$AA31)+INDEX($V$8:$V$407,$AA31)+INDEX($W$8:$W$407,$AA31),"D",IF(AND(INDEX($W$8:$W$407,$AA31)=1,24=INDEX($X$8:$X$407,$AA31)+INDEX($V$8:$V$407,$AA31)),"S","R"))))))</f>
        <v/>
      </c>
      <c r="AC31">
        <f>IF(OR($AB31="",$AB31="G"),"",IF($AB31="D",INDEX($U$8:$U$407,$AA31),IF($AB31="S",INDEX($T$8:$T$407,$AA31)&amp;"|*",INDEX($S$8:$S$407,$AA31)&amp;"|*")))</f>
        <v/>
      </c>
      <c r="AE31">
        <f>IF($U31="",0,COUNTIF(บันทึกรายเที่ยว!$T$6:$T$6005,$U31))</f>
        <v/>
      </c>
      <c r="AF31">
        <f>IF($U31="",0,ROUND(SUMIF(บันทึกรายเที่ยว!$T$6:$T$6005,$U31,บันทึกรายเที่ยว!$J$6:$J$6005),2))</f>
        <v/>
      </c>
      <c r="AG31">
        <f>IF($U31="",0,ROUND(SUMIF(บันทึกรายเที่ยว!$T$6:$T$6005,$U31,บันทึกรายเที่ยว!$K$6:$K$6005),2))</f>
        <v/>
      </c>
      <c r="AH31">
        <f>IF($U31="",0,ROUND(SUMIF(บันทึกรายเที่ยว!$T$6:$T$6005,$U31,บันทึกรายเที่ยว!$M$6:$M$6005),2))</f>
        <v/>
      </c>
    </row>
    <row r="32" ht="21" customHeight="1" s="66">
      <c r="A32" s="3">
        <f>IF($AB32="G","ผลรวมทั้งหมด",IF($AB32="R",INDEX($S$8:$S$407,$AA32),""))</f>
        <v/>
      </c>
      <c r="B32" s="3">
        <f>IF($AB32="S",INDEX($Y$8:$Y$407,$AA32),"")</f>
        <v/>
      </c>
      <c r="C32" s="68">
        <f>IF($AB32="D",INDEX($Z$8:$Z$407,$AA32),"")</f>
        <v/>
      </c>
      <c r="D32" s="31">
        <f>IF($AB32="G",SUM($AE$8:$AE$407),IF(OR($AB32="",$AB32="R"),"",IF($AB32="D",INDEX($AE$8:$AE$407,$AA32),SUMIF($T$8:$T$407,INDEX($T$8:$T$407,$AA32),$AE$8:$AE$407))))</f>
        <v/>
      </c>
      <c r="E32" s="32">
        <f>IF(25=$AD$1+3,"ขอแสดงความนับถือ",IF(25=$AD$1+6,"(                 )",IF(25=$AD$1+7,"เจ้าหน้าที่ขนส่ง",IF($AB32="G",SUM($AF$8:$AF$407),IF(OR($AB32="",$AB32="R"),"",IF($AB32="D",INDEX($AF$8:$AF$407,$AA32),SUMIF($T$8:$T$407,INDEX($T$8:$T$407,$AA32),$AF$8:$AF$407)))))))</f>
        <v/>
      </c>
      <c r="F32" s="32">
        <f>IF($AB32="G",SUM($AG$8:$AG$407),IF(OR($AB32="",$AB32="R"),"",IF($AB32="D",INDEX($AG$8:$AG$407,$AA32),SUMIF($T$8:$T$407,INDEX($T$8:$T$407,$AA32),$AG$8:$AG$407))))</f>
        <v/>
      </c>
      <c r="G32" s="32">
        <f>IF(OR($AB32="",$AB32="R"),"",ROUND($E32-$F32,2))</f>
        <v/>
      </c>
      <c r="H32" s="32">
        <f>IF($AB32="G",SUM($AH$8:$AH$407),IF(OR($AB32="",$AB32="R"),"",IF($AB32="D",INDEX($AH$8:$AH$407,$AA32),SUMIF($T$8:$T$407,INDEX($T$8:$T$407,$AA32),$AH$8:$AH$407))))</f>
        <v/>
      </c>
      <c r="J32">
        <f>IFERROR(MATCH(25,บันทึกรายเที่ยว!$W$6:$W$6005,0),"")</f>
        <v/>
      </c>
      <c r="K32">
        <f>IF($J32="","",INDEX(บันทึกรายเที่ยว!$T$6:$T$6005,$J32))</f>
        <v/>
      </c>
      <c r="L32">
        <f>IF($J32="","",INDEX(บันทึกรายเที่ยว!$S$6:$S$6005,$J32))</f>
        <v/>
      </c>
      <c r="M32">
        <f>IF($J32="","",INDEX(บันทึกรายเที่ยว!$R$6:$R$6005,$J32))</f>
        <v/>
      </c>
      <c r="N32">
        <f>IF($J32="","",MATCH($M32,บันทึกรายเที่ยว!$R$6:$R$6005,0))</f>
        <v/>
      </c>
      <c r="O32">
        <f>IF($J32="","",MATCH($L32,บันทึกรายเที่ยว!$S$6:$S$6005,0))</f>
        <v/>
      </c>
      <c r="P32">
        <f>IF($J32="","",IF(AND(OR($I$3="(ทั้งหมด)",INDEX(บันทึกรายเที่ยว!$C$6:$C$6005,$J32)=$I$3),OR($I$5="(ทั้งหมด)",INDEX(บันทึกรายเที่ยว!$D$6:$D$6005,$J32)=$I$5),OR($I$7="(ทั้งหมด)",INDEX(บันทึกรายเที่ยว!$F$6:$F$6005,$J32)=$I$7)),$N32*10000000+$O32*1000+25,""))</f>
        <v/>
      </c>
      <c r="Q32">
        <f>IFERROR(MATCH(SMALL($P$8:$P$407,25),$P$8:$P$407,0),"")</f>
        <v/>
      </c>
      <c r="R32">
        <f>IF($Q32="","",INDEX($J$8:$J$407,$Q32))</f>
        <v/>
      </c>
      <c r="S32">
        <f>IF($Q32="","",INDEX($M$8:$M$407,$Q32))</f>
        <v/>
      </c>
      <c r="T32">
        <f>IF($Q32="","",INDEX($L$8:$L$407,$Q32))</f>
        <v/>
      </c>
      <c r="U32">
        <f>IF($Q32="","",INDEX($K$8:$K$407,$Q32))</f>
        <v/>
      </c>
      <c r="V32">
        <f>IF($Q32="",0,IF($S32&lt;&gt;$S31,1,0))</f>
        <v/>
      </c>
      <c r="W32">
        <f>IF($Q32="",0,IF($T32&lt;&gt;$T31,1,0))</f>
        <v/>
      </c>
      <c r="X32">
        <f>IF($Q32="",99999+25,$X31+1+$V31+$W31)</f>
        <v/>
      </c>
      <c r="Y32">
        <f>IF($Q32="","",INDEX(บันทึกรายเที่ยว!$Q$6:$Q$6005,$R32))</f>
        <v/>
      </c>
      <c r="Z32">
        <f>IF($Q32="","",INDEX(บันทึกรายเที่ยว!$F$6:$F$6005,$R32))</f>
        <v/>
      </c>
      <c r="AA32">
        <f>IFERROR(MATCH(25,$X$8:$X$407,1),"")</f>
        <v/>
      </c>
      <c r="AB32">
        <f>IF(25=$AD$1+1,"G",IF($AA32="","",IF(INDEX($Q$8:$Q$407,$AA32)="","",IF(25&gt;INDEX($X$8:$X$407,$AA32)+INDEX($V$8:$V$407,$AA32)+INDEX($W$8:$W$407,$AA32),"",IF(25=INDEX($X$8:$X$407,$AA32)+INDEX($V$8:$V$407,$AA32)+INDEX($W$8:$W$407,$AA32),"D",IF(AND(INDEX($W$8:$W$407,$AA32)=1,25=INDEX($X$8:$X$407,$AA32)+INDEX($V$8:$V$407,$AA32)),"S","R"))))))</f>
        <v/>
      </c>
      <c r="AC32">
        <f>IF(OR($AB32="",$AB32="G"),"",IF($AB32="D",INDEX($U$8:$U$407,$AA32),IF($AB32="S",INDEX($T$8:$T$407,$AA32)&amp;"|*",INDEX($S$8:$S$407,$AA32)&amp;"|*")))</f>
        <v/>
      </c>
      <c r="AE32">
        <f>IF($U32="",0,COUNTIF(บันทึกรายเที่ยว!$T$6:$T$6005,$U32))</f>
        <v/>
      </c>
      <c r="AF32">
        <f>IF($U32="",0,ROUND(SUMIF(บันทึกรายเที่ยว!$T$6:$T$6005,$U32,บันทึกรายเที่ยว!$J$6:$J$6005),2))</f>
        <v/>
      </c>
      <c r="AG32">
        <f>IF($U32="",0,ROUND(SUMIF(บันทึกรายเที่ยว!$T$6:$T$6005,$U32,บันทึกรายเที่ยว!$K$6:$K$6005),2))</f>
        <v/>
      </c>
      <c r="AH32">
        <f>IF($U32="",0,ROUND(SUMIF(บันทึกรายเที่ยว!$T$6:$T$6005,$U32,บันทึกรายเที่ยว!$M$6:$M$6005),2))</f>
        <v/>
      </c>
    </row>
    <row r="33" ht="21" customHeight="1" s="66">
      <c r="A33" s="3">
        <f>IF($AB33="G","ผลรวมทั้งหมด",IF($AB33="R",INDEX($S$8:$S$407,$AA33),""))</f>
        <v/>
      </c>
      <c r="B33" s="3">
        <f>IF($AB33="S",INDEX($Y$8:$Y$407,$AA33),"")</f>
        <v/>
      </c>
      <c r="C33" s="68">
        <f>IF($AB33="D",INDEX($Z$8:$Z$407,$AA33),"")</f>
        <v/>
      </c>
      <c r="D33" s="31">
        <f>IF($AB33="G",SUM($AE$8:$AE$407),IF(OR($AB33="",$AB33="R"),"",IF($AB33="D",INDEX($AE$8:$AE$407,$AA33),SUMIF($T$8:$T$407,INDEX($T$8:$T$407,$AA33),$AE$8:$AE$407))))</f>
        <v/>
      </c>
      <c r="E33" s="32">
        <f>IF(26=$AD$1+3,"ขอแสดงความนับถือ",IF(26=$AD$1+6,"(                 )",IF(26=$AD$1+7,"เจ้าหน้าที่ขนส่ง",IF($AB33="G",SUM($AF$8:$AF$407),IF(OR($AB33="",$AB33="R"),"",IF($AB33="D",INDEX($AF$8:$AF$407,$AA33),SUMIF($T$8:$T$407,INDEX($T$8:$T$407,$AA33),$AF$8:$AF$407)))))))</f>
        <v/>
      </c>
      <c r="F33" s="32">
        <f>IF($AB33="G",SUM($AG$8:$AG$407),IF(OR($AB33="",$AB33="R"),"",IF($AB33="D",INDEX($AG$8:$AG$407,$AA33),SUMIF($T$8:$T$407,INDEX($T$8:$T$407,$AA33),$AG$8:$AG$407))))</f>
        <v/>
      </c>
      <c r="G33" s="32">
        <f>IF(OR($AB33="",$AB33="R"),"",ROUND($E33-$F33,2))</f>
        <v/>
      </c>
      <c r="H33" s="32">
        <f>IF($AB33="G",SUM($AH$8:$AH$407),IF(OR($AB33="",$AB33="R"),"",IF($AB33="D",INDEX($AH$8:$AH$407,$AA33),SUMIF($T$8:$T$407,INDEX($T$8:$T$407,$AA33),$AH$8:$AH$407))))</f>
        <v/>
      </c>
      <c r="J33">
        <f>IFERROR(MATCH(26,บันทึกรายเที่ยว!$W$6:$W$6005,0),"")</f>
        <v/>
      </c>
      <c r="K33">
        <f>IF($J33="","",INDEX(บันทึกรายเที่ยว!$T$6:$T$6005,$J33))</f>
        <v/>
      </c>
      <c r="L33">
        <f>IF($J33="","",INDEX(บันทึกรายเที่ยว!$S$6:$S$6005,$J33))</f>
        <v/>
      </c>
      <c r="M33">
        <f>IF($J33="","",INDEX(บันทึกรายเที่ยว!$R$6:$R$6005,$J33))</f>
        <v/>
      </c>
      <c r="N33">
        <f>IF($J33="","",MATCH($M33,บันทึกรายเที่ยว!$R$6:$R$6005,0))</f>
        <v/>
      </c>
      <c r="O33">
        <f>IF($J33="","",MATCH($L33,บันทึกรายเที่ยว!$S$6:$S$6005,0))</f>
        <v/>
      </c>
      <c r="P33">
        <f>IF($J33="","",IF(AND(OR($I$3="(ทั้งหมด)",INDEX(บันทึกรายเที่ยว!$C$6:$C$6005,$J33)=$I$3),OR($I$5="(ทั้งหมด)",INDEX(บันทึกรายเที่ยว!$D$6:$D$6005,$J33)=$I$5),OR($I$7="(ทั้งหมด)",INDEX(บันทึกรายเที่ยว!$F$6:$F$6005,$J33)=$I$7)),$N33*10000000+$O33*1000+26,""))</f>
        <v/>
      </c>
      <c r="Q33">
        <f>IFERROR(MATCH(SMALL($P$8:$P$407,26),$P$8:$P$407,0),"")</f>
        <v/>
      </c>
      <c r="R33">
        <f>IF($Q33="","",INDEX($J$8:$J$407,$Q33))</f>
        <v/>
      </c>
      <c r="S33">
        <f>IF($Q33="","",INDEX($M$8:$M$407,$Q33))</f>
        <v/>
      </c>
      <c r="T33">
        <f>IF($Q33="","",INDEX($L$8:$L$407,$Q33))</f>
        <v/>
      </c>
      <c r="U33">
        <f>IF($Q33="","",INDEX($K$8:$K$407,$Q33))</f>
        <v/>
      </c>
      <c r="V33">
        <f>IF($Q33="",0,IF($S33&lt;&gt;$S32,1,0))</f>
        <v/>
      </c>
      <c r="W33">
        <f>IF($Q33="",0,IF($T33&lt;&gt;$T32,1,0))</f>
        <v/>
      </c>
      <c r="X33">
        <f>IF($Q33="",99999+26,$X32+1+$V32+$W32)</f>
        <v/>
      </c>
      <c r="Y33">
        <f>IF($Q33="","",INDEX(บันทึกรายเที่ยว!$Q$6:$Q$6005,$R33))</f>
        <v/>
      </c>
      <c r="Z33">
        <f>IF($Q33="","",INDEX(บันทึกรายเที่ยว!$F$6:$F$6005,$R33))</f>
        <v/>
      </c>
      <c r="AA33">
        <f>IFERROR(MATCH(26,$X$8:$X$407,1),"")</f>
        <v/>
      </c>
      <c r="AB33">
        <f>IF(26=$AD$1+1,"G",IF($AA33="","",IF(INDEX($Q$8:$Q$407,$AA33)="","",IF(26&gt;INDEX($X$8:$X$407,$AA33)+INDEX($V$8:$V$407,$AA33)+INDEX($W$8:$W$407,$AA33),"",IF(26=INDEX($X$8:$X$407,$AA33)+INDEX($V$8:$V$407,$AA33)+INDEX($W$8:$W$407,$AA33),"D",IF(AND(INDEX($W$8:$W$407,$AA33)=1,26=INDEX($X$8:$X$407,$AA33)+INDEX($V$8:$V$407,$AA33)),"S","R"))))))</f>
        <v/>
      </c>
      <c r="AC33">
        <f>IF(OR($AB33="",$AB33="G"),"",IF($AB33="D",INDEX($U$8:$U$407,$AA33),IF($AB33="S",INDEX($T$8:$T$407,$AA33)&amp;"|*",INDEX($S$8:$S$407,$AA33)&amp;"|*")))</f>
        <v/>
      </c>
      <c r="AE33">
        <f>IF($U33="",0,COUNTIF(บันทึกรายเที่ยว!$T$6:$T$6005,$U33))</f>
        <v/>
      </c>
      <c r="AF33">
        <f>IF($U33="",0,ROUND(SUMIF(บันทึกรายเที่ยว!$T$6:$T$6005,$U33,บันทึกรายเที่ยว!$J$6:$J$6005),2))</f>
        <v/>
      </c>
      <c r="AG33">
        <f>IF($U33="",0,ROUND(SUMIF(บันทึกรายเที่ยว!$T$6:$T$6005,$U33,บันทึกรายเที่ยว!$K$6:$K$6005),2))</f>
        <v/>
      </c>
      <c r="AH33">
        <f>IF($U33="",0,ROUND(SUMIF(บันทึกรายเที่ยว!$T$6:$T$6005,$U33,บันทึกรายเที่ยว!$M$6:$M$6005),2))</f>
        <v/>
      </c>
    </row>
    <row r="34" ht="21" customHeight="1" s="66">
      <c r="A34" s="3">
        <f>IF($AB34="G","ผลรวมทั้งหมด",IF($AB34="R",INDEX($S$8:$S$407,$AA34),""))</f>
        <v/>
      </c>
      <c r="B34" s="3">
        <f>IF($AB34="S",INDEX($Y$8:$Y$407,$AA34),"")</f>
        <v/>
      </c>
      <c r="C34" s="68">
        <f>IF($AB34="D",INDEX($Z$8:$Z$407,$AA34),"")</f>
        <v/>
      </c>
      <c r="D34" s="31">
        <f>IF($AB34="G",SUM($AE$8:$AE$407),IF(OR($AB34="",$AB34="R"),"",IF($AB34="D",INDEX($AE$8:$AE$407,$AA34),SUMIF($T$8:$T$407,INDEX($T$8:$T$407,$AA34),$AE$8:$AE$407))))</f>
        <v/>
      </c>
      <c r="E34" s="32">
        <f>IF(27=$AD$1+3,"ขอแสดงความนับถือ",IF(27=$AD$1+6,"(                 )",IF(27=$AD$1+7,"เจ้าหน้าที่ขนส่ง",IF($AB34="G",SUM($AF$8:$AF$407),IF(OR($AB34="",$AB34="R"),"",IF($AB34="D",INDEX($AF$8:$AF$407,$AA34),SUMIF($T$8:$T$407,INDEX($T$8:$T$407,$AA34),$AF$8:$AF$407)))))))</f>
        <v/>
      </c>
      <c r="F34" s="32">
        <f>IF($AB34="G",SUM($AG$8:$AG$407),IF(OR($AB34="",$AB34="R"),"",IF($AB34="D",INDEX($AG$8:$AG$407,$AA34),SUMIF($T$8:$T$407,INDEX($T$8:$T$407,$AA34),$AG$8:$AG$407))))</f>
        <v/>
      </c>
      <c r="G34" s="32">
        <f>IF(OR($AB34="",$AB34="R"),"",ROUND($E34-$F34,2))</f>
        <v/>
      </c>
      <c r="H34" s="32">
        <f>IF($AB34="G",SUM($AH$8:$AH$407),IF(OR($AB34="",$AB34="R"),"",IF($AB34="D",INDEX($AH$8:$AH$407,$AA34),SUMIF($T$8:$T$407,INDEX($T$8:$T$407,$AA34),$AH$8:$AH$407))))</f>
        <v/>
      </c>
      <c r="J34">
        <f>IFERROR(MATCH(27,บันทึกรายเที่ยว!$W$6:$W$6005,0),"")</f>
        <v/>
      </c>
      <c r="K34">
        <f>IF($J34="","",INDEX(บันทึกรายเที่ยว!$T$6:$T$6005,$J34))</f>
        <v/>
      </c>
      <c r="L34">
        <f>IF($J34="","",INDEX(บันทึกรายเที่ยว!$S$6:$S$6005,$J34))</f>
        <v/>
      </c>
      <c r="M34">
        <f>IF($J34="","",INDEX(บันทึกรายเที่ยว!$R$6:$R$6005,$J34))</f>
        <v/>
      </c>
      <c r="N34">
        <f>IF($J34="","",MATCH($M34,บันทึกรายเที่ยว!$R$6:$R$6005,0))</f>
        <v/>
      </c>
      <c r="O34">
        <f>IF($J34="","",MATCH($L34,บันทึกรายเที่ยว!$S$6:$S$6005,0))</f>
        <v/>
      </c>
      <c r="P34">
        <f>IF($J34="","",IF(AND(OR($I$3="(ทั้งหมด)",INDEX(บันทึกรายเที่ยว!$C$6:$C$6005,$J34)=$I$3),OR($I$5="(ทั้งหมด)",INDEX(บันทึกรายเที่ยว!$D$6:$D$6005,$J34)=$I$5),OR($I$7="(ทั้งหมด)",INDEX(บันทึกรายเที่ยว!$F$6:$F$6005,$J34)=$I$7)),$N34*10000000+$O34*1000+27,""))</f>
        <v/>
      </c>
      <c r="Q34">
        <f>IFERROR(MATCH(SMALL($P$8:$P$407,27),$P$8:$P$407,0),"")</f>
        <v/>
      </c>
      <c r="R34">
        <f>IF($Q34="","",INDEX($J$8:$J$407,$Q34))</f>
        <v/>
      </c>
      <c r="S34">
        <f>IF($Q34="","",INDEX($M$8:$M$407,$Q34))</f>
        <v/>
      </c>
      <c r="T34">
        <f>IF($Q34="","",INDEX($L$8:$L$407,$Q34))</f>
        <v/>
      </c>
      <c r="U34">
        <f>IF($Q34="","",INDEX($K$8:$K$407,$Q34))</f>
        <v/>
      </c>
      <c r="V34">
        <f>IF($Q34="",0,IF($S34&lt;&gt;$S33,1,0))</f>
        <v/>
      </c>
      <c r="W34">
        <f>IF($Q34="",0,IF($T34&lt;&gt;$T33,1,0))</f>
        <v/>
      </c>
      <c r="X34">
        <f>IF($Q34="",99999+27,$X33+1+$V33+$W33)</f>
        <v/>
      </c>
      <c r="Y34">
        <f>IF($Q34="","",INDEX(บันทึกรายเที่ยว!$Q$6:$Q$6005,$R34))</f>
        <v/>
      </c>
      <c r="Z34">
        <f>IF($Q34="","",INDEX(บันทึกรายเที่ยว!$F$6:$F$6005,$R34))</f>
        <v/>
      </c>
      <c r="AA34">
        <f>IFERROR(MATCH(27,$X$8:$X$407,1),"")</f>
        <v/>
      </c>
      <c r="AB34">
        <f>IF(27=$AD$1+1,"G",IF($AA34="","",IF(INDEX($Q$8:$Q$407,$AA34)="","",IF(27&gt;INDEX($X$8:$X$407,$AA34)+INDEX($V$8:$V$407,$AA34)+INDEX($W$8:$W$407,$AA34),"",IF(27=INDEX($X$8:$X$407,$AA34)+INDEX($V$8:$V$407,$AA34)+INDEX($W$8:$W$407,$AA34),"D",IF(AND(INDEX($W$8:$W$407,$AA34)=1,27=INDEX($X$8:$X$407,$AA34)+INDEX($V$8:$V$407,$AA34)),"S","R"))))))</f>
        <v/>
      </c>
      <c r="AC34">
        <f>IF(OR($AB34="",$AB34="G"),"",IF($AB34="D",INDEX($U$8:$U$407,$AA34),IF($AB34="S",INDEX($T$8:$T$407,$AA34)&amp;"|*",INDEX($S$8:$S$407,$AA34)&amp;"|*")))</f>
        <v/>
      </c>
      <c r="AE34">
        <f>IF($U34="",0,COUNTIF(บันทึกรายเที่ยว!$T$6:$T$6005,$U34))</f>
        <v/>
      </c>
      <c r="AF34">
        <f>IF($U34="",0,ROUND(SUMIF(บันทึกรายเที่ยว!$T$6:$T$6005,$U34,บันทึกรายเที่ยว!$J$6:$J$6005),2))</f>
        <v/>
      </c>
      <c r="AG34">
        <f>IF($U34="",0,ROUND(SUMIF(บันทึกรายเที่ยว!$T$6:$T$6005,$U34,บันทึกรายเที่ยว!$K$6:$K$6005),2))</f>
        <v/>
      </c>
      <c r="AH34">
        <f>IF($U34="",0,ROUND(SUMIF(บันทึกรายเที่ยว!$T$6:$T$6005,$U34,บันทึกรายเที่ยว!$M$6:$M$6005),2))</f>
        <v/>
      </c>
    </row>
    <row r="35" ht="21" customHeight="1" s="66">
      <c r="A35" s="3">
        <f>IF($AB35="G","ผลรวมทั้งหมด",IF($AB35="R",INDEX($S$8:$S$407,$AA35),""))</f>
        <v/>
      </c>
      <c r="B35" s="3">
        <f>IF($AB35="S",INDEX($Y$8:$Y$407,$AA35),"")</f>
        <v/>
      </c>
      <c r="C35" s="68">
        <f>IF($AB35="D",INDEX($Z$8:$Z$407,$AA35),"")</f>
        <v/>
      </c>
      <c r="D35" s="31">
        <f>IF($AB35="G",SUM($AE$8:$AE$407),IF(OR($AB35="",$AB35="R"),"",IF($AB35="D",INDEX($AE$8:$AE$407,$AA35),SUMIF($T$8:$T$407,INDEX($T$8:$T$407,$AA35),$AE$8:$AE$407))))</f>
        <v/>
      </c>
      <c r="E35" s="32">
        <f>IF(28=$AD$1+3,"ขอแสดงความนับถือ",IF(28=$AD$1+6,"(                 )",IF(28=$AD$1+7,"เจ้าหน้าที่ขนส่ง",IF($AB35="G",SUM($AF$8:$AF$407),IF(OR($AB35="",$AB35="R"),"",IF($AB35="D",INDEX($AF$8:$AF$407,$AA35),SUMIF($T$8:$T$407,INDEX($T$8:$T$407,$AA35),$AF$8:$AF$407)))))))</f>
        <v/>
      </c>
      <c r="F35" s="32">
        <f>IF($AB35="G",SUM($AG$8:$AG$407),IF(OR($AB35="",$AB35="R"),"",IF($AB35="D",INDEX($AG$8:$AG$407,$AA35),SUMIF($T$8:$T$407,INDEX($T$8:$T$407,$AA35),$AG$8:$AG$407))))</f>
        <v/>
      </c>
      <c r="G35" s="32">
        <f>IF(OR($AB35="",$AB35="R"),"",ROUND($E35-$F35,2))</f>
        <v/>
      </c>
      <c r="H35" s="32">
        <f>IF($AB35="G",SUM($AH$8:$AH$407),IF(OR($AB35="",$AB35="R"),"",IF($AB35="D",INDEX($AH$8:$AH$407,$AA35),SUMIF($T$8:$T$407,INDEX($T$8:$T$407,$AA35),$AH$8:$AH$407))))</f>
        <v/>
      </c>
      <c r="J35">
        <f>IFERROR(MATCH(28,บันทึกรายเที่ยว!$W$6:$W$6005,0),"")</f>
        <v/>
      </c>
      <c r="K35">
        <f>IF($J35="","",INDEX(บันทึกรายเที่ยว!$T$6:$T$6005,$J35))</f>
        <v/>
      </c>
      <c r="L35">
        <f>IF($J35="","",INDEX(บันทึกรายเที่ยว!$S$6:$S$6005,$J35))</f>
        <v/>
      </c>
      <c r="M35">
        <f>IF($J35="","",INDEX(บันทึกรายเที่ยว!$R$6:$R$6005,$J35))</f>
        <v/>
      </c>
      <c r="N35">
        <f>IF($J35="","",MATCH($M35,บันทึกรายเที่ยว!$R$6:$R$6005,0))</f>
        <v/>
      </c>
      <c r="O35">
        <f>IF($J35="","",MATCH($L35,บันทึกรายเที่ยว!$S$6:$S$6005,0))</f>
        <v/>
      </c>
      <c r="P35">
        <f>IF($J35="","",IF(AND(OR($I$3="(ทั้งหมด)",INDEX(บันทึกรายเที่ยว!$C$6:$C$6005,$J35)=$I$3),OR($I$5="(ทั้งหมด)",INDEX(บันทึกรายเที่ยว!$D$6:$D$6005,$J35)=$I$5),OR($I$7="(ทั้งหมด)",INDEX(บันทึกรายเที่ยว!$F$6:$F$6005,$J35)=$I$7)),$N35*10000000+$O35*1000+28,""))</f>
        <v/>
      </c>
      <c r="Q35">
        <f>IFERROR(MATCH(SMALL($P$8:$P$407,28),$P$8:$P$407,0),"")</f>
        <v/>
      </c>
      <c r="R35">
        <f>IF($Q35="","",INDEX($J$8:$J$407,$Q35))</f>
        <v/>
      </c>
      <c r="S35">
        <f>IF($Q35="","",INDEX($M$8:$M$407,$Q35))</f>
        <v/>
      </c>
      <c r="T35">
        <f>IF($Q35="","",INDEX($L$8:$L$407,$Q35))</f>
        <v/>
      </c>
      <c r="U35">
        <f>IF($Q35="","",INDEX($K$8:$K$407,$Q35))</f>
        <v/>
      </c>
      <c r="V35">
        <f>IF($Q35="",0,IF($S35&lt;&gt;$S34,1,0))</f>
        <v/>
      </c>
      <c r="W35">
        <f>IF($Q35="",0,IF($T35&lt;&gt;$T34,1,0))</f>
        <v/>
      </c>
      <c r="X35">
        <f>IF($Q35="",99999+28,$X34+1+$V34+$W34)</f>
        <v/>
      </c>
      <c r="Y35">
        <f>IF($Q35="","",INDEX(บันทึกรายเที่ยว!$Q$6:$Q$6005,$R35))</f>
        <v/>
      </c>
      <c r="Z35">
        <f>IF($Q35="","",INDEX(บันทึกรายเที่ยว!$F$6:$F$6005,$R35))</f>
        <v/>
      </c>
      <c r="AA35">
        <f>IFERROR(MATCH(28,$X$8:$X$407,1),"")</f>
        <v/>
      </c>
      <c r="AB35">
        <f>IF(28=$AD$1+1,"G",IF($AA35="","",IF(INDEX($Q$8:$Q$407,$AA35)="","",IF(28&gt;INDEX($X$8:$X$407,$AA35)+INDEX($V$8:$V$407,$AA35)+INDEX($W$8:$W$407,$AA35),"",IF(28=INDEX($X$8:$X$407,$AA35)+INDEX($V$8:$V$407,$AA35)+INDEX($W$8:$W$407,$AA35),"D",IF(AND(INDEX($W$8:$W$407,$AA35)=1,28=INDEX($X$8:$X$407,$AA35)+INDEX($V$8:$V$407,$AA35)),"S","R"))))))</f>
        <v/>
      </c>
      <c r="AC35">
        <f>IF(OR($AB35="",$AB35="G"),"",IF($AB35="D",INDEX($U$8:$U$407,$AA35),IF($AB35="S",INDEX($T$8:$T$407,$AA35)&amp;"|*",INDEX($S$8:$S$407,$AA35)&amp;"|*")))</f>
        <v/>
      </c>
      <c r="AE35">
        <f>IF($U35="",0,COUNTIF(บันทึกรายเที่ยว!$T$6:$T$6005,$U35))</f>
        <v/>
      </c>
      <c r="AF35">
        <f>IF($U35="",0,ROUND(SUMIF(บันทึกรายเที่ยว!$T$6:$T$6005,$U35,บันทึกรายเที่ยว!$J$6:$J$6005),2))</f>
        <v/>
      </c>
      <c r="AG35">
        <f>IF($U35="",0,ROUND(SUMIF(บันทึกรายเที่ยว!$T$6:$T$6005,$U35,บันทึกรายเที่ยว!$K$6:$K$6005),2))</f>
        <v/>
      </c>
      <c r="AH35">
        <f>IF($U35="",0,ROUND(SUMIF(บันทึกรายเที่ยว!$T$6:$T$6005,$U35,บันทึกรายเที่ยว!$M$6:$M$6005),2))</f>
        <v/>
      </c>
    </row>
    <row r="36" ht="21" customHeight="1" s="66">
      <c r="A36" s="3">
        <f>IF($AB36="G","ผลรวมทั้งหมด",IF($AB36="R",INDEX($S$8:$S$407,$AA36),""))</f>
        <v/>
      </c>
      <c r="B36" s="3">
        <f>IF($AB36="S",INDEX($Y$8:$Y$407,$AA36),"")</f>
        <v/>
      </c>
      <c r="C36" s="68">
        <f>IF($AB36="D",INDEX($Z$8:$Z$407,$AA36),"")</f>
        <v/>
      </c>
      <c r="D36" s="31">
        <f>IF($AB36="G",SUM($AE$8:$AE$407),IF(OR($AB36="",$AB36="R"),"",IF($AB36="D",INDEX($AE$8:$AE$407,$AA36),SUMIF($T$8:$T$407,INDEX($T$8:$T$407,$AA36),$AE$8:$AE$407))))</f>
        <v/>
      </c>
      <c r="E36" s="32">
        <f>IF(29=$AD$1+3,"ขอแสดงความนับถือ",IF(29=$AD$1+6,"(                 )",IF(29=$AD$1+7,"เจ้าหน้าที่ขนส่ง",IF($AB36="G",SUM($AF$8:$AF$407),IF(OR($AB36="",$AB36="R"),"",IF($AB36="D",INDEX($AF$8:$AF$407,$AA36),SUMIF($T$8:$T$407,INDEX($T$8:$T$407,$AA36),$AF$8:$AF$407)))))))</f>
        <v/>
      </c>
      <c r="F36" s="32">
        <f>IF($AB36="G",SUM($AG$8:$AG$407),IF(OR($AB36="",$AB36="R"),"",IF($AB36="D",INDEX($AG$8:$AG$407,$AA36),SUMIF($T$8:$T$407,INDEX($T$8:$T$407,$AA36),$AG$8:$AG$407))))</f>
        <v/>
      </c>
      <c r="G36" s="32">
        <f>IF(OR($AB36="",$AB36="R"),"",ROUND($E36-$F36,2))</f>
        <v/>
      </c>
      <c r="H36" s="32">
        <f>IF($AB36="G",SUM($AH$8:$AH$407),IF(OR($AB36="",$AB36="R"),"",IF($AB36="D",INDEX($AH$8:$AH$407,$AA36),SUMIF($T$8:$T$407,INDEX($T$8:$T$407,$AA36),$AH$8:$AH$407))))</f>
        <v/>
      </c>
      <c r="J36">
        <f>IFERROR(MATCH(29,บันทึกรายเที่ยว!$W$6:$W$6005,0),"")</f>
        <v/>
      </c>
      <c r="K36">
        <f>IF($J36="","",INDEX(บันทึกรายเที่ยว!$T$6:$T$6005,$J36))</f>
        <v/>
      </c>
      <c r="L36">
        <f>IF($J36="","",INDEX(บันทึกรายเที่ยว!$S$6:$S$6005,$J36))</f>
        <v/>
      </c>
      <c r="M36">
        <f>IF($J36="","",INDEX(บันทึกรายเที่ยว!$R$6:$R$6005,$J36))</f>
        <v/>
      </c>
      <c r="N36">
        <f>IF($J36="","",MATCH($M36,บันทึกรายเที่ยว!$R$6:$R$6005,0))</f>
        <v/>
      </c>
      <c r="O36">
        <f>IF($J36="","",MATCH($L36,บันทึกรายเที่ยว!$S$6:$S$6005,0))</f>
        <v/>
      </c>
      <c r="P36">
        <f>IF($J36="","",IF(AND(OR($I$3="(ทั้งหมด)",INDEX(บันทึกรายเที่ยว!$C$6:$C$6005,$J36)=$I$3),OR($I$5="(ทั้งหมด)",INDEX(บันทึกรายเที่ยว!$D$6:$D$6005,$J36)=$I$5),OR($I$7="(ทั้งหมด)",INDEX(บันทึกรายเที่ยว!$F$6:$F$6005,$J36)=$I$7)),$N36*10000000+$O36*1000+29,""))</f>
        <v/>
      </c>
      <c r="Q36">
        <f>IFERROR(MATCH(SMALL($P$8:$P$407,29),$P$8:$P$407,0),"")</f>
        <v/>
      </c>
      <c r="R36">
        <f>IF($Q36="","",INDEX($J$8:$J$407,$Q36))</f>
        <v/>
      </c>
      <c r="S36">
        <f>IF($Q36="","",INDEX($M$8:$M$407,$Q36))</f>
        <v/>
      </c>
      <c r="T36">
        <f>IF($Q36="","",INDEX($L$8:$L$407,$Q36))</f>
        <v/>
      </c>
      <c r="U36">
        <f>IF($Q36="","",INDEX($K$8:$K$407,$Q36))</f>
        <v/>
      </c>
      <c r="V36">
        <f>IF($Q36="",0,IF($S36&lt;&gt;$S35,1,0))</f>
        <v/>
      </c>
      <c r="W36">
        <f>IF($Q36="",0,IF($T36&lt;&gt;$T35,1,0))</f>
        <v/>
      </c>
      <c r="X36">
        <f>IF($Q36="",99999+29,$X35+1+$V35+$W35)</f>
        <v/>
      </c>
      <c r="Y36">
        <f>IF($Q36="","",INDEX(บันทึกรายเที่ยว!$Q$6:$Q$6005,$R36))</f>
        <v/>
      </c>
      <c r="Z36">
        <f>IF($Q36="","",INDEX(บันทึกรายเที่ยว!$F$6:$F$6005,$R36))</f>
        <v/>
      </c>
      <c r="AA36">
        <f>IFERROR(MATCH(29,$X$8:$X$407,1),"")</f>
        <v/>
      </c>
      <c r="AB36">
        <f>IF(29=$AD$1+1,"G",IF($AA36="","",IF(INDEX($Q$8:$Q$407,$AA36)="","",IF(29&gt;INDEX($X$8:$X$407,$AA36)+INDEX($V$8:$V$407,$AA36)+INDEX($W$8:$W$407,$AA36),"",IF(29=INDEX($X$8:$X$407,$AA36)+INDEX($V$8:$V$407,$AA36)+INDEX($W$8:$W$407,$AA36),"D",IF(AND(INDEX($W$8:$W$407,$AA36)=1,29=INDEX($X$8:$X$407,$AA36)+INDEX($V$8:$V$407,$AA36)),"S","R"))))))</f>
        <v/>
      </c>
      <c r="AC36">
        <f>IF(OR($AB36="",$AB36="G"),"",IF($AB36="D",INDEX($U$8:$U$407,$AA36),IF($AB36="S",INDEX($T$8:$T$407,$AA36)&amp;"|*",INDEX($S$8:$S$407,$AA36)&amp;"|*")))</f>
        <v/>
      </c>
      <c r="AE36">
        <f>IF($U36="",0,COUNTIF(บันทึกรายเที่ยว!$T$6:$T$6005,$U36))</f>
        <v/>
      </c>
      <c r="AF36">
        <f>IF($U36="",0,ROUND(SUMIF(บันทึกรายเที่ยว!$T$6:$T$6005,$U36,บันทึกรายเที่ยว!$J$6:$J$6005),2))</f>
        <v/>
      </c>
      <c r="AG36">
        <f>IF($U36="",0,ROUND(SUMIF(บันทึกรายเที่ยว!$T$6:$T$6005,$U36,บันทึกรายเที่ยว!$K$6:$K$6005),2))</f>
        <v/>
      </c>
      <c r="AH36">
        <f>IF($U36="",0,ROUND(SUMIF(บันทึกรายเที่ยว!$T$6:$T$6005,$U36,บันทึกรายเที่ยว!$M$6:$M$6005),2))</f>
        <v/>
      </c>
    </row>
    <row r="37" ht="21" customHeight="1" s="66">
      <c r="A37" s="3">
        <f>IF($AB37="G","ผลรวมทั้งหมด",IF($AB37="R",INDEX($S$8:$S$407,$AA37),""))</f>
        <v/>
      </c>
      <c r="B37" s="3">
        <f>IF($AB37="S",INDEX($Y$8:$Y$407,$AA37),"")</f>
        <v/>
      </c>
      <c r="C37" s="68">
        <f>IF($AB37="D",INDEX($Z$8:$Z$407,$AA37),"")</f>
        <v/>
      </c>
      <c r="D37" s="31">
        <f>IF($AB37="G",SUM($AE$8:$AE$407),IF(OR($AB37="",$AB37="R"),"",IF($AB37="D",INDEX($AE$8:$AE$407,$AA37),SUMIF($T$8:$T$407,INDEX($T$8:$T$407,$AA37),$AE$8:$AE$407))))</f>
        <v/>
      </c>
      <c r="E37" s="32">
        <f>IF(30=$AD$1+3,"ขอแสดงความนับถือ",IF(30=$AD$1+6,"(                 )",IF(30=$AD$1+7,"เจ้าหน้าที่ขนส่ง",IF($AB37="G",SUM($AF$8:$AF$407),IF(OR($AB37="",$AB37="R"),"",IF($AB37="D",INDEX($AF$8:$AF$407,$AA37),SUMIF($T$8:$T$407,INDEX($T$8:$T$407,$AA37),$AF$8:$AF$407)))))))</f>
        <v/>
      </c>
      <c r="F37" s="32">
        <f>IF($AB37="G",SUM($AG$8:$AG$407),IF(OR($AB37="",$AB37="R"),"",IF($AB37="D",INDEX($AG$8:$AG$407,$AA37),SUMIF($T$8:$T$407,INDEX($T$8:$T$407,$AA37),$AG$8:$AG$407))))</f>
        <v/>
      </c>
      <c r="G37" s="32">
        <f>IF(OR($AB37="",$AB37="R"),"",ROUND($E37-$F37,2))</f>
        <v/>
      </c>
      <c r="H37" s="32">
        <f>IF($AB37="G",SUM($AH$8:$AH$407),IF(OR($AB37="",$AB37="R"),"",IF($AB37="D",INDEX($AH$8:$AH$407,$AA37),SUMIF($T$8:$T$407,INDEX($T$8:$T$407,$AA37),$AH$8:$AH$407))))</f>
        <v/>
      </c>
      <c r="J37">
        <f>IFERROR(MATCH(30,บันทึกรายเที่ยว!$W$6:$W$6005,0),"")</f>
        <v/>
      </c>
      <c r="K37">
        <f>IF($J37="","",INDEX(บันทึกรายเที่ยว!$T$6:$T$6005,$J37))</f>
        <v/>
      </c>
      <c r="L37">
        <f>IF($J37="","",INDEX(บันทึกรายเที่ยว!$S$6:$S$6005,$J37))</f>
        <v/>
      </c>
      <c r="M37">
        <f>IF($J37="","",INDEX(บันทึกรายเที่ยว!$R$6:$R$6005,$J37))</f>
        <v/>
      </c>
      <c r="N37">
        <f>IF($J37="","",MATCH($M37,บันทึกรายเที่ยว!$R$6:$R$6005,0))</f>
        <v/>
      </c>
      <c r="O37">
        <f>IF($J37="","",MATCH($L37,บันทึกรายเที่ยว!$S$6:$S$6005,0))</f>
        <v/>
      </c>
      <c r="P37">
        <f>IF($J37="","",IF(AND(OR($I$3="(ทั้งหมด)",INDEX(บันทึกรายเที่ยว!$C$6:$C$6005,$J37)=$I$3),OR($I$5="(ทั้งหมด)",INDEX(บันทึกรายเที่ยว!$D$6:$D$6005,$J37)=$I$5),OR($I$7="(ทั้งหมด)",INDEX(บันทึกรายเที่ยว!$F$6:$F$6005,$J37)=$I$7)),$N37*10000000+$O37*1000+30,""))</f>
        <v/>
      </c>
      <c r="Q37">
        <f>IFERROR(MATCH(SMALL($P$8:$P$407,30),$P$8:$P$407,0),"")</f>
        <v/>
      </c>
      <c r="R37">
        <f>IF($Q37="","",INDEX($J$8:$J$407,$Q37))</f>
        <v/>
      </c>
      <c r="S37">
        <f>IF($Q37="","",INDEX($M$8:$M$407,$Q37))</f>
        <v/>
      </c>
      <c r="T37">
        <f>IF($Q37="","",INDEX($L$8:$L$407,$Q37))</f>
        <v/>
      </c>
      <c r="U37">
        <f>IF($Q37="","",INDEX($K$8:$K$407,$Q37))</f>
        <v/>
      </c>
      <c r="V37">
        <f>IF($Q37="",0,IF($S37&lt;&gt;$S36,1,0))</f>
        <v/>
      </c>
      <c r="W37">
        <f>IF($Q37="",0,IF($T37&lt;&gt;$T36,1,0))</f>
        <v/>
      </c>
      <c r="X37">
        <f>IF($Q37="",99999+30,$X36+1+$V36+$W36)</f>
        <v/>
      </c>
      <c r="Y37">
        <f>IF($Q37="","",INDEX(บันทึกรายเที่ยว!$Q$6:$Q$6005,$R37))</f>
        <v/>
      </c>
      <c r="Z37">
        <f>IF($Q37="","",INDEX(บันทึกรายเที่ยว!$F$6:$F$6005,$R37))</f>
        <v/>
      </c>
      <c r="AA37">
        <f>IFERROR(MATCH(30,$X$8:$X$407,1),"")</f>
        <v/>
      </c>
      <c r="AB37">
        <f>IF(30=$AD$1+1,"G",IF($AA37="","",IF(INDEX($Q$8:$Q$407,$AA37)="","",IF(30&gt;INDEX($X$8:$X$407,$AA37)+INDEX($V$8:$V$407,$AA37)+INDEX($W$8:$W$407,$AA37),"",IF(30=INDEX($X$8:$X$407,$AA37)+INDEX($V$8:$V$407,$AA37)+INDEX($W$8:$W$407,$AA37),"D",IF(AND(INDEX($W$8:$W$407,$AA37)=1,30=INDEX($X$8:$X$407,$AA37)+INDEX($V$8:$V$407,$AA37)),"S","R"))))))</f>
        <v/>
      </c>
      <c r="AC37">
        <f>IF(OR($AB37="",$AB37="G"),"",IF($AB37="D",INDEX($U$8:$U$407,$AA37),IF($AB37="S",INDEX($T$8:$T$407,$AA37)&amp;"|*",INDEX($S$8:$S$407,$AA37)&amp;"|*")))</f>
        <v/>
      </c>
      <c r="AE37">
        <f>IF($U37="",0,COUNTIF(บันทึกรายเที่ยว!$T$6:$T$6005,$U37))</f>
        <v/>
      </c>
      <c r="AF37">
        <f>IF($U37="",0,ROUND(SUMIF(บันทึกรายเที่ยว!$T$6:$T$6005,$U37,บันทึกรายเที่ยว!$J$6:$J$6005),2))</f>
        <v/>
      </c>
      <c r="AG37">
        <f>IF($U37="",0,ROUND(SUMIF(บันทึกรายเที่ยว!$T$6:$T$6005,$U37,บันทึกรายเที่ยว!$K$6:$K$6005),2))</f>
        <v/>
      </c>
      <c r="AH37">
        <f>IF($U37="",0,ROUND(SUMIF(บันทึกรายเที่ยว!$T$6:$T$6005,$U37,บันทึกรายเที่ยว!$M$6:$M$6005),2))</f>
        <v/>
      </c>
    </row>
    <row r="38" ht="21" customHeight="1" s="66">
      <c r="A38" s="3">
        <f>IF($AB38="G","ผลรวมทั้งหมด",IF($AB38="R",INDEX($S$8:$S$407,$AA38),""))</f>
        <v/>
      </c>
      <c r="B38" s="3">
        <f>IF($AB38="S",INDEX($Y$8:$Y$407,$AA38),"")</f>
        <v/>
      </c>
      <c r="C38" s="68">
        <f>IF($AB38="D",INDEX($Z$8:$Z$407,$AA38),"")</f>
        <v/>
      </c>
      <c r="D38" s="31">
        <f>IF($AB38="G",SUM($AE$8:$AE$407),IF(OR($AB38="",$AB38="R"),"",IF($AB38="D",INDEX($AE$8:$AE$407,$AA38),SUMIF($T$8:$T$407,INDEX($T$8:$T$407,$AA38),$AE$8:$AE$407))))</f>
        <v/>
      </c>
      <c r="E38" s="32">
        <f>IF(31=$AD$1+3,"ขอแสดงความนับถือ",IF(31=$AD$1+6,"(                 )",IF(31=$AD$1+7,"เจ้าหน้าที่ขนส่ง",IF($AB38="G",SUM($AF$8:$AF$407),IF(OR($AB38="",$AB38="R"),"",IF($AB38="D",INDEX($AF$8:$AF$407,$AA38),SUMIF($T$8:$T$407,INDEX($T$8:$T$407,$AA38),$AF$8:$AF$407)))))))</f>
        <v/>
      </c>
      <c r="F38" s="32">
        <f>IF($AB38="G",SUM($AG$8:$AG$407),IF(OR($AB38="",$AB38="R"),"",IF($AB38="D",INDEX($AG$8:$AG$407,$AA38),SUMIF($T$8:$T$407,INDEX($T$8:$T$407,$AA38),$AG$8:$AG$407))))</f>
        <v/>
      </c>
      <c r="G38" s="32">
        <f>IF(OR($AB38="",$AB38="R"),"",ROUND($E38-$F38,2))</f>
        <v/>
      </c>
      <c r="H38" s="32">
        <f>IF($AB38="G",SUM($AH$8:$AH$407),IF(OR($AB38="",$AB38="R"),"",IF($AB38="D",INDEX($AH$8:$AH$407,$AA38),SUMIF($T$8:$T$407,INDEX($T$8:$T$407,$AA38),$AH$8:$AH$407))))</f>
        <v/>
      </c>
      <c r="J38">
        <f>IFERROR(MATCH(31,บันทึกรายเที่ยว!$W$6:$W$6005,0),"")</f>
        <v/>
      </c>
      <c r="K38">
        <f>IF($J38="","",INDEX(บันทึกรายเที่ยว!$T$6:$T$6005,$J38))</f>
        <v/>
      </c>
      <c r="L38">
        <f>IF($J38="","",INDEX(บันทึกรายเที่ยว!$S$6:$S$6005,$J38))</f>
        <v/>
      </c>
      <c r="M38">
        <f>IF($J38="","",INDEX(บันทึกรายเที่ยว!$R$6:$R$6005,$J38))</f>
        <v/>
      </c>
      <c r="N38">
        <f>IF($J38="","",MATCH($M38,บันทึกรายเที่ยว!$R$6:$R$6005,0))</f>
        <v/>
      </c>
      <c r="O38">
        <f>IF($J38="","",MATCH($L38,บันทึกรายเที่ยว!$S$6:$S$6005,0))</f>
        <v/>
      </c>
      <c r="P38">
        <f>IF($J38="","",IF(AND(OR($I$3="(ทั้งหมด)",INDEX(บันทึกรายเที่ยว!$C$6:$C$6005,$J38)=$I$3),OR($I$5="(ทั้งหมด)",INDEX(บันทึกรายเที่ยว!$D$6:$D$6005,$J38)=$I$5),OR($I$7="(ทั้งหมด)",INDEX(บันทึกรายเที่ยว!$F$6:$F$6005,$J38)=$I$7)),$N38*10000000+$O38*1000+31,""))</f>
        <v/>
      </c>
      <c r="Q38">
        <f>IFERROR(MATCH(SMALL($P$8:$P$407,31),$P$8:$P$407,0),"")</f>
        <v/>
      </c>
      <c r="R38">
        <f>IF($Q38="","",INDEX($J$8:$J$407,$Q38))</f>
        <v/>
      </c>
      <c r="S38">
        <f>IF($Q38="","",INDEX($M$8:$M$407,$Q38))</f>
        <v/>
      </c>
      <c r="T38">
        <f>IF($Q38="","",INDEX($L$8:$L$407,$Q38))</f>
        <v/>
      </c>
      <c r="U38">
        <f>IF($Q38="","",INDEX($K$8:$K$407,$Q38))</f>
        <v/>
      </c>
      <c r="V38">
        <f>IF($Q38="",0,IF($S38&lt;&gt;$S37,1,0))</f>
        <v/>
      </c>
      <c r="W38">
        <f>IF($Q38="",0,IF($T38&lt;&gt;$T37,1,0))</f>
        <v/>
      </c>
      <c r="X38">
        <f>IF($Q38="",99999+31,$X37+1+$V37+$W37)</f>
        <v/>
      </c>
      <c r="Y38">
        <f>IF($Q38="","",INDEX(บันทึกรายเที่ยว!$Q$6:$Q$6005,$R38))</f>
        <v/>
      </c>
      <c r="Z38">
        <f>IF($Q38="","",INDEX(บันทึกรายเที่ยว!$F$6:$F$6005,$R38))</f>
        <v/>
      </c>
      <c r="AA38">
        <f>IFERROR(MATCH(31,$X$8:$X$407,1),"")</f>
        <v/>
      </c>
      <c r="AB38">
        <f>IF(31=$AD$1+1,"G",IF($AA38="","",IF(INDEX($Q$8:$Q$407,$AA38)="","",IF(31&gt;INDEX($X$8:$X$407,$AA38)+INDEX($V$8:$V$407,$AA38)+INDEX($W$8:$W$407,$AA38),"",IF(31=INDEX($X$8:$X$407,$AA38)+INDEX($V$8:$V$407,$AA38)+INDEX($W$8:$W$407,$AA38),"D",IF(AND(INDEX($W$8:$W$407,$AA38)=1,31=INDEX($X$8:$X$407,$AA38)+INDEX($V$8:$V$407,$AA38)),"S","R"))))))</f>
        <v/>
      </c>
      <c r="AC38">
        <f>IF(OR($AB38="",$AB38="G"),"",IF($AB38="D",INDEX($U$8:$U$407,$AA38),IF($AB38="S",INDEX($T$8:$T$407,$AA38)&amp;"|*",INDEX($S$8:$S$407,$AA38)&amp;"|*")))</f>
        <v/>
      </c>
      <c r="AE38">
        <f>IF($U38="",0,COUNTIF(บันทึกรายเที่ยว!$T$6:$T$6005,$U38))</f>
        <v/>
      </c>
      <c r="AF38">
        <f>IF($U38="",0,ROUND(SUMIF(บันทึกรายเที่ยว!$T$6:$T$6005,$U38,บันทึกรายเที่ยว!$J$6:$J$6005),2))</f>
        <v/>
      </c>
      <c r="AG38">
        <f>IF($U38="",0,ROUND(SUMIF(บันทึกรายเที่ยว!$T$6:$T$6005,$U38,บันทึกรายเที่ยว!$K$6:$K$6005),2))</f>
        <v/>
      </c>
      <c r="AH38">
        <f>IF($U38="",0,ROUND(SUMIF(บันทึกรายเที่ยว!$T$6:$T$6005,$U38,บันทึกรายเที่ยว!$M$6:$M$6005),2))</f>
        <v/>
      </c>
    </row>
    <row r="39" ht="21" customHeight="1" s="66">
      <c r="A39" s="3">
        <f>IF($AB39="G","ผลรวมทั้งหมด",IF($AB39="R",INDEX($S$8:$S$407,$AA39),""))</f>
        <v/>
      </c>
      <c r="B39" s="3">
        <f>IF($AB39="S",INDEX($Y$8:$Y$407,$AA39),"")</f>
        <v/>
      </c>
      <c r="C39" s="68">
        <f>IF($AB39="D",INDEX($Z$8:$Z$407,$AA39),"")</f>
        <v/>
      </c>
      <c r="D39" s="31">
        <f>IF($AB39="G",SUM($AE$8:$AE$407),IF(OR($AB39="",$AB39="R"),"",IF($AB39="D",INDEX($AE$8:$AE$407,$AA39),SUMIF($T$8:$T$407,INDEX($T$8:$T$407,$AA39),$AE$8:$AE$407))))</f>
        <v/>
      </c>
      <c r="E39" s="32">
        <f>IF(32=$AD$1+3,"ขอแสดงความนับถือ",IF(32=$AD$1+6,"(                 )",IF(32=$AD$1+7,"เจ้าหน้าที่ขนส่ง",IF($AB39="G",SUM($AF$8:$AF$407),IF(OR($AB39="",$AB39="R"),"",IF($AB39="D",INDEX($AF$8:$AF$407,$AA39),SUMIF($T$8:$T$407,INDEX($T$8:$T$407,$AA39),$AF$8:$AF$407)))))))</f>
        <v/>
      </c>
      <c r="F39" s="32">
        <f>IF($AB39="G",SUM($AG$8:$AG$407),IF(OR($AB39="",$AB39="R"),"",IF($AB39="D",INDEX($AG$8:$AG$407,$AA39),SUMIF($T$8:$T$407,INDEX($T$8:$T$407,$AA39),$AG$8:$AG$407))))</f>
        <v/>
      </c>
      <c r="G39" s="32">
        <f>IF(OR($AB39="",$AB39="R"),"",ROUND($E39-$F39,2))</f>
        <v/>
      </c>
      <c r="H39" s="32">
        <f>IF($AB39="G",SUM($AH$8:$AH$407),IF(OR($AB39="",$AB39="R"),"",IF($AB39="D",INDEX($AH$8:$AH$407,$AA39),SUMIF($T$8:$T$407,INDEX($T$8:$T$407,$AA39),$AH$8:$AH$407))))</f>
        <v/>
      </c>
      <c r="J39">
        <f>IFERROR(MATCH(32,บันทึกรายเที่ยว!$W$6:$W$6005,0),"")</f>
        <v/>
      </c>
      <c r="K39">
        <f>IF($J39="","",INDEX(บันทึกรายเที่ยว!$T$6:$T$6005,$J39))</f>
        <v/>
      </c>
      <c r="L39">
        <f>IF($J39="","",INDEX(บันทึกรายเที่ยว!$S$6:$S$6005,$J39))</f>
        <v/>
      </c>
      <c r="M39">
        <f>IF($J39="","",INDEX(บันทึกรายเที่ยว!$R$6:$R$6005,$J39))</f>
        <v/>
      </c>
      <c r="N39">
        <f>IF($J39="","",MATCH($M39,บันทึกรายเที่ยว!$R$6:$R$6005,0))</f>
        <v/>
      </c>
      <c r="O39">
        <f>IF($J39="","",MATCH($L39,บันทึกรายเที่ยว!$S$6:$S$6005,0))</f>
        <v/>
      </c>
      <c r="P39">
        <f>IF($J39="","",IF(AND(OR($I$3="(ทั้งหมด)",INDEX(บันทึกรายเที่ยว!$C$6:$C$6005,$J39)=$I$3),OR($I$5="(ทั้งหมด)",INDEX(บันทึกรายเที่ยว!$D$6:$D$6005,$J39)=$I$5),OR($I$7="(ทั้งหมด)",INDEX(บันทึกรายเที่ยว!$F$6:$F$6005,$J39)=$I$7)),$N39*10000000+$O39*1000+32,""))</f>
        <v/>
      </c>
      <c r="Q39">
        <f>IFERROR(MATCH(SMALL($P$8:$P$407,32),$P$8:$P$407,0),"")</f>
        <v/>
      </c>
      <c r="R39">
        <f>IF($Q39="","",INDEX($J$8:$J$407,$Q39))</f>
        <v/>
      </c>
      <c r="S39">
        <f>IF($Q39="","",INDEX($M$8:$M$407,$Q39))</f>
        <v/>
      </c>
      <c r="T39">
        <f>IF($Q39="","",INDEX($L$8:$L$407,$Q39))</f>
        <v/>
      </c>
      <c r="U39">
        <f>IF($Q39="","",INDEX($K$8:$K$407,$Q39))</f>
        <v/>
      </c>
      <c r="V39">
        <f>IF($Q39="",0,IF($S39&lt;&gt;$S38,1,0))</f>
        <v/>
      </c>
      <c r="W39">
        <f>IF($Q39="",0,IF($T39&lt;&gt;$T38,1,0))</f>
        <v/>
      </c>
      <c r="X39">
        <f>IF($Q39="",99999+32,$X38+1+$V38+$W38)</f>
        <v/>
      </c>
      <c r="Y39">
        <f>IF($Q39="","",INDEX(บันทึกรายเที่ยว!$Q$6:$Q$6005,$R39))</f>
        <v/>
      </c>
      <c r="Z39">
        <f>IF($Q39="","",INDEX(บันทึกรายเที่ยว!$F$6:$F$6005,$R39))</f>
        <v/>
      </c>
      <c r="AA39">
        <f>IFERROR(MATCH(32,$X$8:$X$407,1),"")</f>
        <v/>
      </c>
      <c r="AB39">
        <f>IF(32=$AD$1+1,"G",IF($AA39="","",IF(INDEX($Q$8:$Q$407,$AA39)="","",IF(32&gt;INDEX($X$8:$X$407,$AA39)+INDEX($V$8:$V$407,$AA39)+INDEX($W$8:$W$407,$AA39),"",IF(32=INDEX($X$8:$X$407,$AA39)+INDEX($V$8:$V$407,$AA39)+INDEX($W$8:$W$407,$AA39),"D",IF(AND(INDEX($W$8:$W$407,$AA39)=1,32=INDEX($X$8:$X$407,$AA39)+INDEX($V$8:$V$407,$AA39)),"S","R"))))))</f>
        <v/>
      </c>
      <c r="AC39">
        <f>IF(OR($AB39="",$AB39="G"),"",IF($AB39="D",INDEX($U$8:$U$407,$AA39),IF($AB39="S",INDEX($T$8:$T$407,$AA39)&amp;"|*",INDEX($S$8:$S$407,$AA39)&amp;"|*")))</f>
        <v/>
      </c>
      <c r="AE39">
        <f>IF($U39="",0,COUNTIF(บันทึกรายเที่ยว!$T$6:$T$6005,$U39))</f>
        <v/>
      </c>
      <c r="AF39">
        <f>IF($U39="",0,ROUND(SUMIF(บันทึกรายเที่ยว!$T$6:$T$6005,$U39,บันทึกรายเที่ยว!$J$6:$J$6005),2))</f>
        <v/>
      </c>
      <c r="AG39">
        <f>IF($U39="",0,ROUND(SUMIF(บันทึกรายเที่ยว!$T$6:$T$6005,$U39,บันทึกรายเที่ยว!$K$6:$K$6005),2))</f>
        <v/>
      </c>
      <c r="AH39">
        <f>IF($U39="",0,ROUND(SUMIF(บันทึกรายเที่ยว!$T$6:$T$6005,$U39,บันทึกรายเที่ยว!$M$6:$M$6005),2))</f>
        <v/>
      </c>
    </row>
    <row r="40" ht="21" customHeight="1" s="66">
      <c r="A40" s="3">
        <f>IF($AB40="G","ผลรวมทั้งหมด",IF($AB40="R",INDEX($S$8:$S$407,$AA40),""))</f>
        <v/>
      </c>
      <c r="B40" s="3">
        <f>IF($AB40="S",INDEX($Y$8:$Y$407,$AA40),"")</f>
        <v/>
      </c>
      <c r="C40" s="68">
        <f>IF($AB40="D",INDEX($Z$8:$Z$407,$AA40),"")</f>
        <v/>
      </c>
      <c r="D40" s="31">
        <f>IF($AB40="G",SUM($AE$8:$AE$407),IF(OR($AB40="",$AB40="R"),"",IF($AB40="D",INDEX($AE$8:$AE$407,$AA40),SUMIF($T$8:$T$407,INDEX($T$8:$T$407,$AA40),$AE$8:$AE$407))))</f>
        <v/>
      </c>
      <c r="E40" s="32">
        <f>IF(33=$AD$1+3,"ขอแสดงความนับถือ",IF(33=$AD$1+6,"(                 )",IF(33=$AD$1+7,"เจ้าหน้าที่ขนส่ง",IF($AB40="G",SUM($AF$8:$AF$407),IF(OR($AB40="",$AB40="R"),"",IF($AB40="D",INDEX($AF$8:$AF$407,$AA40),SUMIF($T$8:$T$407,INDEX($T$8:$T$407,$AA40),$AF$8:$AF$407)))))))</f>
        <v/>
      </c>
      <c r="F40" s="32">
        <f>IF($AB40="G",SUM($AG$8:$AG$407),IF(OR($AB40="",$AB40="R"),"",IF($AB40="D",INDEX($AG$8:$AG$407,$AA40),SUMIF($T$8:$T$407,INDEX($T$8:$T$407,$AA40),$AG$8:$AG$407))))</f>
        <v/>
      </c>
      <c r="G40" s="32">
        <f>IF(OR($AB40="",$AB40="R"),"",ROUND($E40-$F40,2))</f>
        <v/>
      </c>
      <c r="H40" s="32">
        <f>IF($AB40="G",SUM($AH$8:$AH$407),IF(OR($AB40="",$AB40="R"),"",IF($AB40="D",INDEX($AH$8:$AH$407,$AA40),SUMIF($T$8:$T$407,INDEX($T$8:$T$407,$AA40),$AH$8:$AH$407))))</f>
        <v/>
      </c>
      <c r="J40">
        <f>IFERROR(MATCH(33,บันทึกรายเที่ยว!$W$6:$W$6005,0),"")</f>
        <v/>
      </c>
      <c r="K40">
        <f>IF($J40="","",INDEX(บันทึกรายเที่ยว!$T$6:$T$6005,$J40))</f>
        <v/>
      </c>
      <c r="L40">
        <f>IF($J40="","",INDEX(บันทึกรายเที่ยว!$S$6:$S$6005,$J40))</f>
        <v/>
      </c>
      <c r="M40">
        <f>IF($J40="","",INDEX(บันทึกรายเที่ยว!$R$6:$R$6005,$J40))</f>
        <v/>
      </c>
      <c r="N40">
        <f>IF($J40="","",MATCH($M40,บันทึกรายเที่ยว!$R$6:$R$6005,0))</f>
        <v/>
      </c>
      <c r="O40">
        <f>IF($J40="","",MATCH($L40,บันทึกรายเที่ยว!$S$6:$S$6005,0))</f>
        <v/>
      </c>
      <c r="P40">
        <f>IF($J40="","",IF(AND(OR($I$3="(ทั้งหมด)",INDEX(บันทึกรายเที่ยว!$C$6:$C$6005,$J40)=$I$3),OR($I$5="(ทั้งหมด)",INDEX(บันทึกรายเที่ยว!$D$6:$D$6005,$J40)=$I$5),OR($I$7="(ทั้งหมด)",INDEX(บันทึกรายเที่ยว!$F$6:$F$6005,$J40)=$I$7)),$N40*10000000+$O40*1000+33,""))</f>
        <v/>
      </c>
      <c r="Q40">
        <f>IFERROR(MATCH(SMALL($P$8:$P$407,33),$P$8:$P$407,0),"")</f>
        <v/>
      </c>
      <c r="R40">
        <f>IF($Q40="","",INDEX($J$8:$J$407,$Q40))</f>
        <v/>
      </c>
      <c r="S40">
        <f>IF($Q40="","",INDEX($M$8:$M$407,$Q40))</f>
        <v/>
      </c>
      <c r="T40">
        <f>IF($Q40="","",INDEX($L$8:$L$407,$Q40))</f>
        <v/>
      </c>
      <c r="U40">
        <f>IF($Q40="","",INDEX($K$8:$K$407,$Q40))</f>
        <v/>
      </c>
      <c r="V40">
        <f>IF($Q40="",0,IF($S40&lt;&gt;$S39,1,0))</f>
        <v/>
      </c>
      <c r="W40">
        <f>IF($Q40="",0,IF($T40&lt;&gt;$T39,1,0))</f>
        <v/>
      </c>
      <c r="X40">
        <f>IF($Q40="",99999+33,$X39+1+$V39+$W39)</f>
        <v/>
      </c>
      <c r="Y40">
        <f>IF($Q40="","",INDEX(บันทึกรายเที่ยว!$Q$6:$Q$6005,$R40))</f>
        <v/>
      </c>
      <c r="Z40">
        <f>IF($Q40="","",INDEX(บันทึกรายเที่ยว!$F$6:$F$6005,$R40))</f>
        <v/>
      </c>
      <c r="AA40">
        <f>IFERROR(MATCH(33,$X$8:$X$407,1),"")</f>
        <v/>
      </c>
      <c r="AB40">
        <f>IF(33=$AD$1+1,"G",IF($AA40="","",IF(INDEX($Q$8:$Q$407,$AA40)="","",IF(33&gt;INDEX($X$8:$X$407,$AA40)+INDEX($V$8:$V$407,$AA40)+INDEX($W$8:$W$407,$AA40),"",IF(33=INDEX($X$8:$X$407,$AA40)+INDEX($V$8:$V$407,$AA40)+INDEX($W$8:$W$407,$AA40),"D",IF(AND(INDEX($W$8:$W$407,$AA40)=1,33=INDEX($X$8:$X$407,$AA40)+INDEX($V$8:$V$407,$AA40)),"S","R"))))))</f>
        <v/>
      </c>
      <c r="AC40">
        <f>IF(OR($AB40="",$AB40="G"),"",IF($AB40="D",INDEX($U$8:$U$407,$AA40),IF($AB40="S",INDEX($T$8:$T$407,$AA40)&amp;"|*",INDEX($S$8:$S$407,$AA40)&amp;"|*")))</f>
        <v/>
      </c>
      <c r="AE40">
        <f>IF($U40="",0,COUNTIF(บันทึกรายเที่ยว!$T$6:$T$6005,$U40))</f>
        <v/>
      </c>
      <c r="AF40">
        <f>IF($U40="",0,ROUND(SUMIF(บันทึกรายเที่ยว!$T$6:$T$6005,$U40,บันทึกรายเที่ยว!$J$6:$J$6005),2))</f>
        <v/>
      </c>
      <c r="AG40">
        <f>IF($U40="",0,ROUND(SUMIF(บันทึกรายเที่ยว!$T$6:$T$6005,$U40,บันทึกรายเที่ยว!$K$6:$K$6005),2))</f>
        <v/>
      </c>
      <c r="AH40">
        <f>IF($U40="",0,ROUND(SUMIF(บันทึกรายเที่ยว!$T$6:$T$6005,$U40,บันทึกรายเที่ยว!$M$6:$M$6005),2))</f>
        <v/>
      </c>
    </row>
    <row r="41" ht="21" customHeight="1" s="66">
      <c r="A41" s="3">
        <f>IF($AB41="G","ผลรวมทั้งหมด",IF($AB41="R",INDEX($S$8:$S$407,$AA41),""))</f>
        <v/>
      </c>
      <c r="B41" s="3">
        <f>IF($AB41="S",INDEX($Y$8:$Y$407,$AA41),"")</f>
        <v/>
      </c>
      <c r="C41" s="68">
        <f>IF($AB41="D",INDEX($Z$8:$Z$407,$AA41),"")</f>
        <v/>
      </c>
      <c r="D41" s="31">
        <f>IF($AB41="G",SUM($AE$8:$AE$407),IF(OR($AB41="",$AB41="R"),"",IF($AB41="D",INDEX($AE$8:$AE$407,$AA41),SUMIF($T$8:$T$407,INDEX($T$8:$T$407,$AA41),$AE$8:$AE$407))))</f>
        <v/>
      </c>
      <c r="E41" s="32">
        <f>IF(34=$AD$1+3,"ขอแสดงความนับถือ",IF(34=$AD$1+6,"(                 )",IF(34=$AD$1+7,"เจ้าหน้าที่ขนส่ง",IF($AB41="G",SUM($AF$8:$AF$407),IF(OR($AB41="",$AB41="R"),"",IF($AB41="D",INDEX($AF$8:$AF$407,$AA41),SUMIF($T$8:$T$407,INDEX($T$8:$T$407,$AA41),$AF$8:$AF$407)))))))</f>
        <v/>
      </c>
      <c r="F41" s="32">
        <f>IF($AB41="G",SUM($AG$8:$AG$407),IF(OR($AB41="",$AB41="R"),"",IF($AB41="D",INDEX($AG$8:$AG$407,$AA41),SUMIF($T$8:$T$407,INDEX($T$8:$T$407,$AA41),$AG$8:$AG$407))))</f>
        <v/>
      </c>
      <c r="G41" s="32">
        <f>IF(OR($AB41="",$AB41="R"),"",ROUND($E41-$F41,2))</f>
        <v/>
      </c>
      <c r="H41" s="32">
        <f>IF($AB41="G",SUM($AH$8:$AH$407),IF(OR($AB41="",$AB41="R"),"",IF($AB41="D",INDEX($AH$8:$AH$407,$AA41),SUMIF($T$8:$T$407,INDEX($T$8:$T$407,$AA41),$AH$8:$AH$407))))</f>
        <v/>
      </c>
      <c r="J41">
        <f>IFERROR(MATCH(34,บันทึกรายเที่ยว!$W$6:$W$6005,0),"")</f>
        <v/>
      </c>
      <c r="K41">
        <f>IF($J41="","",INDEX(บันทึกรายเที่ยว!$T$6:$T$6005,$J41))</f>
        <v/>
      </c>
      <c r="L41">
        <f>IF($J41="","",INDEX(บันทึกรายเที่ยว!$S$6:$S$6005,$J41))</f>
        <v/>
      </c>
      <c r="M41">
        <f>IF($J41="","",INDEX(บันทึกรายเที่ยว!$R$6:$R$6005,$J41))</f>
        <v/>
      </c>
      <c r="N41">
        <f>IF($J41="","",MATCH($M41,บันทึกรายเที่ยว!$R$6:$R$6005,0))</f>
        <v/>
      </c>
      <c r="O41">
        <f>IF($J41="","",MATCH($L41,บันทึกรายเที่ยว!$S$6:$S$6005,0))</f>
        <v/>
      </c>
      <c r="P41">
        <f>IF($J41="","",IF(AND(OR($I$3="(ทั้งหมด)",INDEX(บันทึกรายเที่ยว!$C$6:$C$6005,$J41)=$I$3),OR($I$5="(ทั้งหมด)",INDEX(บันทึกรายเที่ยว!$D$6:$D$6005,$J41)=$I$5),OR($I$7="(ทั้งหมด)",INDEX(บันทึกรายเที่ยว!$F$6:$F$6005,$J41)=$I$7)),$N41*10000000+$O41*1000+34,""))</f>
        <v/>
      </c>
      <c r="Q41">
        <f>IFERROR(MATCH(SMALL($P$8:$P$407,34),$P$8:$P$407,0),"")</f>
        <v/>
      </c>
      <c r="R41">
        <f>IF($Q41="","",INDEX($J$8:$J$407,$Q41))</f>
        <v/>
      </c>
      <c r="S41">
        <f>IF($Q41="","",INDEX($M$8:$M$407,$Q41))</f>
        <v/>
      </c>
      <c r="T41">
        <f>IF($Q41="","",INDEX($L$8:$L$407,$Q41))</f>
        <v/>
      </c>
      <c r="U41">
        <f>IF($Q41="","",INDEX($K$8:$K$407,$Q41))</f>
        <v/>
      </c>
      <c r="V41">
        <f>IF($Q41="",0,IF($S41&lt;&gt;$S40,1,0))</f>
        <v/>
      </c>
      <c r="W41">
        <f>IF($Q41="",0,IF($T41&lt;&gt;$T40,1,0))</f>
        <v/>
      </c>
      <c r="X41">
        <f>IF($Q41="",99999+34,$X40+1+$V40+$W40)</f>
        <v/>
      </c>
      <c r="Y41">
        <f>IF($Q41="","",INDEX(บันทึกรายเที่ยว!$Q$6:$Q$6005,$R41))</f>
        <v/>
      </c>
      <c r="Z41">
        <f>IF($Q41="","",INDEX(บันทึกรายเที่ยว!$F$6:$F$6005,$R41))</f>
        <v/>
      </c>
      <c r="AA41">
        <f>IFERROR(MATCH(34,$X$8:$X$407,1),"")</f>
        <v/>
      </c>
      <c r="AB41">
        <f>IF(34=$AD$1+1,"G",IF($AA41="","",IF(INDEX($Q$8:$Q$407,$AA41)="","",IF(34&gt;INDEX($X$8:$X$407,$AA41)+INDEX($V$8:$V$407,$AA41)+INDEX($W$8:$W$407,$AA41),"",IF(34=INDEX($X$8:$X$407,$AA41)+INDEX($V$8:$V$407,$AA41)+INDEX($W$8:$W$407,$AA41),"D",IF(AND(INDEX($W$8:$W$407,$AA41)=1,34=INDEX($X$8:$X$407,$AA41)+INDEX($V$8:$V$407,$AA41)),"S","R"))))))</f>
        <v/>
      </c>
      <c r="AC41">
        <f>IF(OR($AB41="",$AB41="G"),"",IF($AB41="D",INDEX($U$8:$U$407,$AA41),IF($AB41="S",INDEX($T$8:$T$407,$AA41)&amp;"|*",INDEX($S$8:$S$407,$AA41)&amp;"|*")))</f>
        <v/>
      </c>
      <c r="AE41">
        <f>IF($U41="",0,COUNTIF(บันทึกรายเที่ยว!$T$6:$T$6005,$U41))</f>
        <v/>
      </c>
      <c r="AF41">
        <f>IF($U41="",0,ROUND(SUMIF(บันทึกรายเที่ยว!$T$6:$T$6005,$U41,บันทึกรายเที่ยว!$J$6:$J$6005),2))</f>
        <v/>
      </c>
      <c r="AG41">
        <f>IF($U41="",0,ROUND(SUMIF(บันทึกรายเที่ยว!$T$6:$T$6005,$U41,บันทึกรายเที่ยว!$K$6:$K$6005),2))</f>
        <v/>
      </c>
      <c r="AH41">
        <f>IF($U41="",0,ROUND(SUMIF(บันทึกรายเที่ยว!$T$6:$T$6005,$U41,บันทึกรายเที่ยว!$M$6:$M$6005),2))</f>
        <v/>
      </c>
    </row>
    <row r="42" ht="21" customHeight="1" s="66">
      <c r="A42" s="3">
        <f>IF($AB42="G","ผลรวมทั้งหมด",IF($AB42="R",INDEX($S$8:$S$407,$AA42),""))</f>
        <v/>
      </c>
      <c r="B42" s="3">
        <f>IF($AB42="S",INDEX($Y$8:$Y$407,$AA42),"")</f>
        <v/>
      </c>
      <c r="C42" s="68">
        <f>IF($AB42="D",INDEX($Z$8:$Z$407,$AA42),"")</f>
        <v/>
      </c>
      <c r="D42" s="31">
        <f>IF($AB42="G",SUM($AE$8:$AE$407),IF(OR($AB42="",$AB42="R"),"",IF($AB42="D",INDEX($AE$8:$AE$407,$AA42),SUMIF($T$8:$T$407,INDEX($T$8:$T$407,$AA42),$AE$8:$AE$407))))</f>
        <v/>
      </c>
      <c r="E42" s="32">
        <f>IF(35=$AD$1+3,"ขอแสดงความนับถือ",IF(35=$AD$1+6,"(                 )",IF(35=$AD$1+7,"เจ้าหน้าที่ขนส่ง",IF($AB42="G",SUM($AF$8:$AF$407),IF(OR($AB42="",$AB42="R"),"",IF($AB42="D",INDEX($AF$8:$AF$407,$AA42),SUMIF($T$8:$T$407,INDEX($T$8:$T$407,$AA42),$AF$8:$AF$407)))))))</f>
        <v/>
      </c>
      <c r="F42" s="32">
        <f>IF($AB42="G",SUM($AG$8:$AG$407),IF(OR($AB42="",$AB42="R"),"",IF($AB42="D",INDEX($AG$8:$AG$407,$AA42),SUMIF($T$8:$T$407,INDEX($T$8:$T$407,$AA42),$AG$8:$AG$407))))</f>
        <v/>
      </c>
      <c r="G42" s="32">
        <f>IF(OR($AB42="",$AB42="R"),"",ROUND($E42-$F42,2))</f>
        <v/>
      </c>
      <c r="H42" s="32">
        <f>IF($AB42="G",SUM($AH$8:$AH$407),IF(OR($AB42="",$AB42="R"),"",IF($AB42="D",INDEX($AH$8:$AH$407,$AA42),SUMIF($T$8:$T$407,INDEX($T$8:$T$407,$AA42),$AH$8:$AH$407))))</f>
        <v/>
      </c>
      <c r="J42">
        <f>IFERROR(MATCH(35,บันทึกรายเที่ยว!$W$6:$W$6005,0),"")</f>
        <v/>
      </c>
      <c r="K42">
        <f>IF($J42="","",INDEX(บันทึกรายเที่ยว!$T$6:$T$6005,$J42))</f>
        <v/>
      </c>
      <c r="L42">
        <f>IF($J42="","",INDEX(บันทึกรายเที่ยว!$S$6:$S$6005,$J42))</f>
        <v/>
      </c>
      <c r="M42">
        <f>IF($J42="","",INDEX(บันทึกรายเที่ยว!$R$6:$R$6005,$J42))</f>
        <v/>
      </c>
      <c r="N42">
        <f>IF($J42="","",MATCH($M42,บันทึกรายเที่ยว!$R$6:$R$6005,0))</f>
        <v/>
      </c>
      <c r="O42">
        <f>IF($J42="","",MATCH($L42,บันทึกรายเที่ยว!$S$6:$S$6005,0))</f>
        <v/>
      </c>
      <c r="P42">
        <f>IF($J42="","",IF(AND(OR($I$3="(ทั้งหมด)",INDEX(บันทึกรายเที่ยว!$C$6:$C$6005,$J42)=$I$3),OR($I$5="(ทั้งหมด)",INDEX(บันทึกรายเที่ยว!$D$6:$D$6005,$J42)=$I$5),OR($I$7="(ทั้งหมด)",INDEX(บันทึกรายเที่ยว!$F$6:$F$6005,$J42)=$I$7)),$N42*10000000+$O42*1000+35,""))</f>
        <v/>
      </c>
      <c r="Q42">
        <f>IFERROR(MATCH(SMALL($P$8:$P$407,35),$P$8:$P$407,0),"")</f>
        <v/>
      </c>
      <c r="R42">
        <f>IF($Q42="","",INDEX($J$8:$J$407,$Q42))</f>
        <v/>
      </c>
      <c r="S42">
        <f>IF($Q42="","",INDEX($M$8:$M$407,$Q42))</f>
        <v/>
      </c>
      <c r="T42">
        <f>IF($Q42="","",INDEX($L$8:$L$407,$Q42))</f>
        <v/>
      </c>
      <c r="U42">
        <f>IF($Q42="","",INDEX($K$8:$K$407,$Q42))</f>
        <v/>
      </c>
      <c r="V42">
        <f>IF($Q42="",0,IF($S42&lt;&gt;$S41,1,0))</f>
        <v/>
      </c>
      <c r="W42">
        <f>IF($Q42="",0,IF($T42&lt;&gt;$T41,1,0))</f>
        <v/>
      </c>
      <c r="X42">
        <f>IF($Q42="",99999+35,$X41+1+$V41+$W41)</f>
        <v/>
      </c>
      <c r="Y42">
        <f>IF($Q42="","",INDEX(บันทึกรายเที่ยว!$Q$6:$Q$6005,$R42))</f>
        <v/>
      </c>
      <c r="Z42">
        <f>IF($Q42="","",INDEX(บันทึกรายเที่ยว!$F$6:$F$6005,$R42))</f>
        <v/>
      </c>
      <c r="AA42">
        <f>IFERROR(MATCH(35,$X$8:$X$407,1),"")</f>
        <v/>
      </c>
      <c r="AB42">
        <f>IF(35=$AD$1+1,"G",IF($AA42="","",IF(INDEX($Q$8:$Q$407,$AA42)="","",IF(35&gt;INDEX($X$8:$X$407,$AA42)+INDEX($V$8:$V$407,$AA42)+INDEX($W$8:$W$407,$AA42),"",IF(35=INDEX($X$8:$X$407,$AA42)+INDEX($V$8:$V$407,$AA42)+INDEX($W$8:$W$407,$AA42),"D",IF(AND(INDEX($W$8:$W$407,$AA42)=1,35=INDEX($X$8:$X$407,$AA42)+INDEX($V$8:$V$407,$AA42)),"S","R"))))))</f>
        <v/>
      </c>
      <c r="AC42">
        <f>IF(OR($AB42="",$AB42="G"),"",IF($AB42="D",INDEX($U$8:$U$407,$AA42),IF($AB42="S",INDEX($T$8:$T$407,$AA42)&amp;"|*",INDEX($S$8:$S$407,$AA42)&amp;"|*")))</f>
        <v/>
      </c>
      <c r="AE42">
        <f>IF($U42="",0,COUNTIF(บันทึกรายเที่ยว!$T$6:$T$6005,$U42))</f>
        <v/>
      </c>
      <c r="AF42">
        <f>IF($U42="",0,ROUND(SUMIF(บันทึกรายเที่ยว!$T$6:$T$6005,$U42,บันทึกรายเที่ยว!$J$6:$J$6005),2))</f>
        <v/>
      </c>
      <c r="AG42">
        <f>IF($U42="",0,ROUND(SUMIF(บันทึกรายเที่ยว!$T$6:$T$6005,$U42,บันทึกรายเที่ยว!$K$6:$K$6005),2))</f>
        <v/>
      </c>
      <c r="AH42">
        <f>IF($U42="",0,ROUND(SUMIF(บันทึกรายเที่ยว!$T$6:$T$6005,$U42,บันทึกรายเที่ยว!$M$6:$M$6005),2))</f>
        <v/>
      </c>
    </row>
    <row r="43" ht="21" customHeight="1" s="66">
      <c r="A43" s="3">
        <f>IF($AB43="G","ผลรวมทั้งหมด",IF($AB43="R",INDEX($S$8:$S$407,$AA43),""))</f>
        <v/>
      </c>
      <c r="B43" s="3">
        <f>IF($AB43="S",INDEX($Y$8:$Y$407,$AA43),"")</f>
        <v/>
      </c>
      <c r="C43" s="68">
        <f>IF($AB43="D",INDEX($Z$8:$Z$407,$AA43),"")</f>
        <v/>
      </c>
      <c r="D43" s="31">
        <f>IF($AB43="G",SUM($AE$8:$AE$407),IF(OR($AB43="",$AB43="R"),"",IF($AB43="D",INDEX($AE$8:$AE$407,$AA43),SUMIF($T$8:$T$407,INDEX($T$8:$T$407,$AA43),$AE$8:$AE$407))))</f>
        <v/>
      </c>
      <c r="E43" s="32">
        <f>IF(36=$AD$1+3,"ขอแสดงความนับถือ",IF(36=$AD$1+6,"(                 )",IF(36=$AD$1+7,"เจ้าหน้าที่ขนส่ง",IF($AB43="G",SUM($AF$8:$AF$407),IF(OR($AB43="",$AB43="R"),"",IF($AB43="D",INDEX($AF$8:$AF$407,$AA43),SUMIF($T$8:$T$407,INDEX($T$8:$T$407,$AA43),$AF$8:$AF$407)))))))</f>
        <v/>
      </c>
      <c r="F43" s="32">
        <f>IF($AB43="G",SUM($AG$8:$AG$407),IF(OR($AB43="",$AB43="R"),"",IF($AB43="D",INDEX($AG$8:$AG$407,$AA43),SUMIF($T$8:$T$407,INDEX($T$8:$T$407,$AA43),$AG$8:$AG$407))))</f>
        <v/>
      </c>
      <c r="G43" s="32">
        <f>IF(OR($AB43="",$AB43="R"),"",ROUND($E43-$F43,2))</f>
        <v/>
      </c>
      <c r="H43" s="32">
        <f>IF($AB43="G",SUM($AH$8:$AH$407),IF(OR($AB43="",$AB43="R"),"",IF($AB43="D",INDEX($AH$8:$AH$407,$AA43),SUMIF($T$8:$T$407,INDEX($T$8:$T$407,$AA43),$AH$8:$AH$407))))</f>
        <v/>
      </c>
      <c r="J43">
        <f>IFERROR(MATCH(36,บันทึกรายเที่ยว!$W$6:$W$6005,0),"")</f>
        <v/>
      </c>
      <c r="K43">
        <f>IF($J43="","",INDEX(บันทึกรายเที่ยว!$T$6:$T$6005,$J43))</f>
        <v/>
      </c>
      <c r="L43">
        <f>IF($J43="","",INDEX(บันทึกรายเที่ยว!$S$6:$S$6005,$J43))</f>
        <v/>
      </c>
      <c r="M43">
        <f>IF($J43="","",INDEX(บันทึกรายเที่ยว!$R$6:$R$6005,$J43))</f>
        <v/>
      </c>
      <c r="N43">
        <f>IF($J43="","",MATCH($M43,บันทึกรายเที่ยว!$R$6:$R$6005,0))</f>
        <v/>
      </c>
      <c r="O43">
        <f>IF($J43="","",MATCH($L43,บันทึกรายเที่ยว!$S$6:$S$6005,0))</f>
        <v/>
      </c>
      <c r="P43">
        <f>IF($J43="","",IF(AND(OR($I$3="(ทั้งหมด)",INDEX(บันทึกรายเที่ยว!$C$6:$C$6005,$J43)=$I$3),OR($I$5="(ทั้งหมด)",INDEX(บันทึกรายเที่ยว!$D$6:$D$6005,$J43)=$I$5),OR($I$7="(ทั้งหมด)",INDEX(บันทึกรายเที่ยว!$F$6:$F$6005,$J43)=$I$7)),$N43*10000000+$O43*1000+36,""))</f>
        <v/>
      </c>
      <c r="Q43">
        <f>IFERROR(MATCH(SMALL($P$8:$P$407,36),$P$8:$P$407,0),"")</f>
        <v/>
      </c>
      <c r="R43">
        <f>IF($Q43="","",INDEX($J$8:$J$407,$Q43))</f>
        <v/>
      </c>
      <c r="S43">
        <f>IF($Q43="","",INDEX($M$8:$M$407,$Q43))</f>
        <v/>
      </c>
      <c r="T43">
        <f>IF($Q43="","",INDEX($L$8:$L$407,$Q43))</f>
        <v/>
      </c>
      <c r="U43">
        <f>IF($Q43="","",INDEX($K$8:$K$407,$Q43))</f>
        <v/>
      </c>
      <c r="V43">
        <f>IF($Q43="",0,IF($S43&lt;&gt;$S42,1,0))</f>
        <v/>
      </c>
      <c r="W43">
        <f>IF($Q43="",0,IF($T43&lt;&gt;$T42,1,0))</f>
        <v/>
      </c>
      <c r="X43">
        <f>IF($Q43="",99999+36,$X42+1+$V42+$W42)</f>
        <v/>
      </c>
      <c r="Y43">
        <f>IF($Q43="","",INDEX(บันทึกรายเที่ยว!$Q$6:$Q$6005,$R43))</f>
        <v/>
      </c>
      <c r="Z43">
        <f>IF($Q43="","",INDEX(บันทึกรายเที่ยว!$F$6:$F$6005,$R43))</f>
        <v/>
      </c>
      <c r="AA43">
        <f>IFERROR(MATCH(36,$X$8:$X$407,1),"")</f>
        <v/>
      </c>
      <c r="AB43">
        <f>IF(36=$AD$1+1,"G",IF($AA43="","",IF(INDEX($Q$8:$Q$407,$AA43)="","",IF(36&gt;INDEX($X$8:$X$407,$AA43)+INDEX($V$8:$V$407,$AA43)+INDEX($W$8:$W$407,$AA43),"",IF(36=INDEX($X$8:$X$407,$AA43)+INDEX($V$8:$V$407,$AA43)+INDEX($W$8:$W$407,$AA43),"D",IF(AND(INDEX($W$8:$W$407,$AA43)=1,36=INDEX($X$8:$X$407,$AA43)+INDEX($V$8:$V$407,$AA43)),"S","R"))))))</f>
        <v/>
      </c>
      <c r="AC43">
        <f>IF(OR($AB43="",$AB43="G"),"",IF($AB43="D",INDEX($U$8:$U$407,$AA43),IF($AB43="S",INDEX($T$8:$T$407,$AA43)&amp;"|*",INDEX($S$8:$S$407,$AA43)&amp;"|*")))</f>
        <v/>
      </c>
      <c r="AE43">
        <f>IF($U43="",0,COUNTIF(บันทึกรายเที่ยว!$T$6:$T$6005,$U43))</f>
        <v/>
      </c>
      <c r="AF43">
        <f>IF($U43="",0,ROUND(SUMIF(บันทึกรายเที่ยว!$T$6:$T$6005,$U43,บันทึกรายเที่ยว!$J$6:$J$6005),2))</f>
        <v/>
      </c>
      <c r="AG43">
        <f>IF($U43="",0,ROUND(SUMIF(บันทึกรายเที่ยว!$T$6:$T$6005,$U43,บันทึกรายเที่ยว!$K$6:$K$6005),2))</f>
        <v/>
      </c>
      <c r="AH43">
        <f>IF($U43="",0,ROUND(SUMIF(บันทึกรายเที่ยว!$T$6:$T$6005,$U43,บันทึกรายเที่ยว!$M$6:$M$6005),2))</f>
        <v/>
      </c>
    </row>
    <row r="44" ht="21" customHeight="1" s="66">
      <c r="A44" s="3">
        <f>IF($AB44="G","ผลรวมทั้งหมด",IF($AB44="R",INDEX($S$8:$S$407,$AA44),""))</f>
        <v/>
      </c>
      <c r="B44" s="3">
        <f>IF($AB44="S",INDEX($Y$8:$Y$407,$AA44),"")</f>
        <v/>
      </c>
      <c r="C44" s="68">
        <f>IF($AB44="D",INDEX($Z$8:$Z$407,$AA44),"")</f>
        <v/>
      </c>
      <c r="D44" s="31">
        <f>IF($AB44="G",SUM($AE$8:$AE$407),IF(OR($AB44="",$AB44="R"),"",IF($AB44="D",INDEX($AE$8:$AE$407,$AA44),SUMIF($T$8:$T$407,INDEX($T$8:$T$407,$AA44),$AE$8:$AE$407))))</f>
        <v/>
      </c>
      <c r="E44" s="32">
        <f>IF(37=$AD$1+3,"ขอแสดงความนับถือ",IF(37=$AD$1+6,"(                 )",IF(37=$AD$1+7,"เจ้าหน้าที่ขนส่ง",IF($AB44="G",SUM($AF$8:$AF$407),IF(OR($AB44="",$AB44="R"),"",IF($AB44="D",INDEX($AF$8:$AF$407,$AA44),SUMIF($T$8:$T$407,INDEX($T$8:$T$407,$AA44),$AF$8:$AF$407)))))))</f>
        <v/>
      </c>
      <c r="F44" s="32">
        <f>IF($AB44="G",SUM($AG$8:$AG$407),IF(OR($AB44="",$AB44="R"),"",IF($AB44="D",INDEX($AG$8:$AG$407,$AA44),SUMIF($T$8:$T$407,INDEX($T$8:$T$407,$AA44),$AG$8:$AG$407))))</f>
        <v/>
      </c>
      <c r="G44" s="32">
        <f>IF(OR($AB44="",$AB44="R"),"",ROUND($E44-$F44,2))</f>
        <v/>
      </c>
      <c r="H44" s="32">
        <f>IF($AB44="G",SUM($AH$8:$AH$407),IF(OR($AB44="",$AB44="R"),"",IF($AB44="D",INDEX($AH$8:$AH$407,$AA44),SUMIF($T$8:$T$407,INDEX($T$8:$T$407,$AA44),$AH$8:$AH$407))))</f>
        <v/>
      </c>
      <c r="J44">
        <f>IFERROR(MATCH(37,บันทึกรายเที่ยว!$W$6:$W$6005,0),"")</f>
        <v/>
      </c>
      <c r="K44">
        <f>IF($J44="","",INDEX(บันทึกรายเที่ยว!$T$6:$T$6005,$J44))</f>
        <v/>
      </c>
      <c r="L44">
        <f>IF($J44="","",INDEX(บันทึกรายเที่ยว!$S$6:$S$6005,$J44))</f>
        <v/>
      </c>
      <c r="M44">
        <f>IF($J44="","",INDEX(บันทึกรายเที่ยว!$R$6:$R$6005,$J44))</f>
        <v/>
      </c>
      <c r="N44">
        <f>IF($J44="","",MATCH($M44,บันทึกรายเที่ยว!$R$6:$R$6005,0))</f>
        <v/>
      </c>
      <c r="O44">
        <f>IF($J44="","",MATCH($L44,บันทึกรายเที่ยว!$S$6:$S$6005,0))</f>
        <v/>
      </c>
      <c r="P44">
        <f>IF($J44="","",IF(AND(OR($I$3="(ทั้งหมด)",INDEX(บันทึกรายเที่ยว!$C$6:$C$6005,$J44)=$I$3),OR($I$5="(ทั้งหมด)",INDEX(บันทึกรายเที่ยว!$D$6:$D$6005,$J44)=$I$5),OR($I$7="(ทั้งหมด)",INDEX(บันทึกรายเที่ยว!$F$6:$F$6005,$J44)=$I$7)),$N44*10000000+$O44*1000+37,""))</f>
        <v/>
      </c>
      <c r="Q44">
        <f>IFERROR(MATCH(SMALL($P$8:$P$407,37),$P$8:$P$407,0),"")</f>
        <v/>
      </c>
      <c r="R44">
        <f>IF($Q44="","",INDEX($J$8:$J$407,$Q44))</f>
        <v/>
      </c>
      <c r="S44">
        <f>IF($Q44="","",INDEX($M$8:$M$407,$Q44))</f>
        <v/>
      </c>
      <c r="T44">
        <f>IF($Q44="","",INDEX($L$8:$L$407,$Q44))</f>
        <v/>
      </c>
      <c r="U44">
        <f>IF($Q44="","",INDEX($K$8:$K$407,$Q44))</f>
        <v/>
      </c>
      <c r="V44">
        <f>IF($Q44="",0,IF($S44&lt;&gt;$S43,1,0))</f>
        <v/>
      </c>
      <c r="W44">
        <f>IF($Q44="",0,IF($T44&lt;&gt;$T43,1,0))</f>
        <v/>
      </c>
      <c r="X44">
        <f>IF($Q44="",99999+37,$X43+1+$V43+$W43)</f>
        <v/>
      </c>
      <c r="Y44">
        <f>IF($Q44="","",INDEX(บันทึกรายเที่ยว!$Q$6:$Q$6005,$R44))</f>
        <v/>
      </c>
      <c r="Z44">
        <f>IF($Q44="","",INDEX(บันทึกรายเที่ยว!$F$6:$F$6005,$R44))</f>
        <v/>
      </c>
      <c r="AA44">
        <f>IFERROR(MATCH(37,$X$8:$X$407,1),"")</f>
        <v/>
      </c>
      <c r="AB44">
        <f>IF(37=$AD$1+1,"G",IF($AA44="","",IF(INDEX($Q$8:$Q$407,$AA44)="","",IF(37&gt;INDEX($X$8:$X$407,$AA44)+INDEX($V$8:$V$407,$AA44)+INDEX($W$8:$W$407,$AA44),"",IF(37=INDEX($X$8:$X$407,$AA44)+INDEX($V$8:$V$407,$AA44)+INDEX($W$8:$W$407,$AA44),"D",IF(AND(INDEX($W$8:$W$407,$AA44)=1,37=INDEX($X$8:$X$407,$AA44)+INDEX($V$8:$V$407,$AA44)),"S","R"))))))</f>
        <v/>
      </c>
      <c r="AC44">
        <f>IF(OR($AB44="",$AB44="G"),"",IF($AB44="D",INDEX($U$8:$U$407,$AA44),IF($AB44="S",INDEX($T$8:$T$407,$AA44)&amp;"|*",INDEX($S$8:$S$407,$AA44)&amp;"|*")))</f>
        <v/>
      </c>
      <c r="AE44">
        <f>IF($U44="",0,COUNTIF(บันทึกรายเที่ยว!$T$6:$T$6005,$U44))</f>
        <v/>
      </c>
      <c r="AF44">
        <f>IF($U44="",0,ROUND(SUMIF(บันทึกรายเที่ยว!$T$6:$T$6005,$U44,บันทึกรายเที่ยว!$J$6:$J$6005),2))</f>
        <v/>
      </c>
      <c r="AG44">
        <f>IF($U44="",0,ROUND(SUMIF(บันทึกรายเที่ยว!$T$6:$T$6005,$U44,บันทึกรายเที่ยว!$K$6:$K$6005),2))</f>
        <v/>
      </c>
      <c r="AH44">
        <f>IF($U44="",0,ROUND(SUMIF(บันทึกรายเที่ยว!$T$6:$T$6005,$U44,บันทึกรายเที่ยว!$M$6:$M$6005),2))</f>
        <v/>
      </c>
    </row>
    <row r="45" ht="21" customHeight="1" s="66">
      <c r="A45" s="3">
        <f>IF($AB45="G","ผลรวมทั้งหมด",IF($AB45="R",INDEX($S$8:$S$407,$AA45),""))</f>
        <v/>
      </c>
      <c r="B45" s="3">
        <f>IF($AB45="S",INDEX($Y$8:$Y$407,$AA45),"")</f>
        <v/>
      </c>
      <c r="C45" s="68">
        <f>IF($AB45="D",INDEX($Z$8:$Z$407,$AA45),"")</f>
        <v/>
      </c>
      <c r="D45" s="31">
        <f>IF($AB45="G",SUM($AE$8:$AE$407),IF(OR($AB45="",$AB45="R"),"",IF($AB45="D",INDEX($AE$8:$AE$407,$AA45),SUMIF($T$8:$T$407,INDEX($T$8:$T$407,$AA45),$AE$8:$AE$407))))</f>
        <v/>
      </c>
      <c r="E45" s="32">
        <f>IF(38=$AD$1+3,"ขอแสดงความนับถือ",IF(38=$AD$1+6,"(                 )",IF(38=$AD$1+7,"เจ้าหน้าที่ขนส่ง",IF($AB45="G",SUM($AF$8:$AF$407),IF(OR($AB45="",$AB45="R"),"",IF($AB45="D",INDEX($AF$8:$AF$407,$AA45),SUMIF($T$8:$T$407,INDEX($T$8:$T$407,$AA45),$AF$8:$AF$407)))))))</f>
        <v/>
      </c>
      <c r="F45" s="32">
        <f>IF($AB45="G",SUM($AG$8:$AG$407),IF(OR($AB45="",$AB45="R"),"",IF($AB45="D",INDEX($AG$8:$AG$407,$AA45),SUMIF($T$8:$T$407,INDEX($T$8:$T$407,$AA45),$AG$8:$AG$407))))</f>
        <v/>
      </c>
      <c r="G45" s="32">
        <f>IF(OR($AB45="",$AB45="R"),"",ROUND($E45-$F45,2))</f>
        <v/>
      </c>
      <c r="H45" s="32">
        <f>IF($AB45="G",SUM($AH$8:$AH$407),IF(OR($AB45="",$AB45="R"),"",IF($AB45="D",INDEX($AH$8:$AH$407,$AA45),SUMIF($T$8:$T$407,INDEX($T$8:$T$407,$AA45),$AH$8:$AH$407))))</f>
        <v/>
      </c>
      <c r="J45">
        <f>IFERROR(MATCH(38,บันทึกรายเที่ยว!$W$6:$W$6005,0),"")</f>
        <v/>
      </c>
      <c r="K45">
        <f>IF($J45="","",INDEX(บันทึกรายเที่ยว!$T$6:$T$6005,$J45))</f>
        <v/>
      </c>
      <c r="L45">
        <f>IF($J45="","",INDEX(บันทึกรายเที่ยว!$S$6:$S$6005,$J45))</f>
        <v/>
      </c>
      <c r="M45">
        <f>IF($J45="","",INDEX(บันทึกรายเที่ยว!$R$6:$R$6005,$J45))</f>
        <v/>
      </c>
      <c r="N45">
        <f>IF($J45="","",MATCH($M45,บันทึกรายเที่ยว!$R$6:$R$6005,0))</f>
        <v/>
      </c>
      <c r="O45">
        <f>IF($J45="","",MATCH($L45,บันทึกรายเที่ยว!$S$6:$S$6005,0))</f>
        <v/>
      </c>
      <c r="P45">
        <f>IF($J45="","",IF(AND(OR($I$3="(ทั้งหมด)",INDEX(บันทึกรายเที่ยว!$C$6:$C$6005,$J45)=$I$3),OR($I$5="(ทั้งหมด)",INDEX(บันทึกรายเที่ยว!$D$6:$D$6005,$J45)=$I$5),OR($I$7="(ทั้งหมด)",INDEX(บันทึกรายเที่ยว!$F$6:$F$6005,$J45)=$I$7)),$N45*10000000+$O45*1000+38,""))</f>
        <v/>
      </c>
      <c r="Q45">
        <f>IFERROR(MATCH(SMALL($P$8:$P$407,38),$P$8:$P$407,0),"")</f>
        <v/>
      </c>
      <c r="R45">
        <f>IF($Q45="","",INDEX($J$8:$J$407,$Q45))</f>
        <v/>
      </c>
      <c r="S45">
        <f>IF($Q45="","",INDEX($M$8:$M$407,$Q45))</f>
        <v/>
      </c>
      <c r="T45">
        <f>IF($Q45="","",INDEX($L$8:$L$407,$Q45))</f>
        <v/>
      </c>
      <c r="U45">
        <f>IF($Q45="","",INDEX($K$8:$K$407,$Q45))</f>
        <v/>
      </c>
      <c r="V45">
        <f>IF($Q45="",0,IF($S45&lt;&gt;$S44,1,0))</f>
        <v/>
      </c>
      <c r="W45">
        <f>IF($Q45="",0,IF($T45&lt;&gt;$T44,1,0))</f>
        <v/>
      </c>
      <c r="X45">
        <f>IF($Q45="",99999+38,$X44+1+$V44+$W44)</f>
        <v/>
      </c>
      <c r="Y45">
        <f>IF($Q45="","",INDEX(บันทึกรายเที่ยว!$Q$6:$Q$6005,$R45))</f>
        <v/>
      </c>
      <c r="Z45">
        <f>IF($Q45="","",INDEX(บันทึกรายเที่ยว!$F$6:$F$6005,$R45))</f>
        <v/>
      </c>
      <c r="AA45">
        <f>IFERROR(MATCH(38,$X$8:$X$407,1),"")</f>
        <v/>
      </c>
      <c r="AB45">
        <f>IF(38=$AD$1+1,"G",IF($AA45="","",IF(INDEX($Q$8:$Q$407,$AA45)="","",IF(38&gt;INDEX($X$8:$X$407,$AA45)+INDEX($V$8:$V$407,$AA45)+INDEX($W$8:$W$407,$AA45),"",IF(38=INDEX($X$8:$X$407,$AA45)+INDEX($V$8:$V$407,$AA45)+INDEX($W$8:$W$407,$AA45),"D",IF(AND(INDEX($W$8:$W$407,$AA45)=1,38=INDEX($X$8:$X$407,$AA45)+INDEX($V$8:$V$407,$AA45)),"S","R"))))))</f>
        <v/>
      </c>
      <c r="AC45">
        <f>IF(OR($AB45="",$AB45="G"),"",IF($AB45="D",INDEX($U$8:$U$407,$AA45),IF($AB45="S",INDEX($T$8:$T$407,$AA45)&amp;"|*",INDEX($S$8:$S$407,$AA45)&amp;"|*")))</f>
        <v/>
      </c>
      <c r="AE45">
        <f>IF($U45="",0,COUNTIF(บันทึกรายเที่ยว!$T$6:$T$6005,$U45))</f>
        <v/>
      </c>
      <c r="AF45">
        <f>IF($U45="",0,ROUND(SUMIF(บันทึกรายเที่ยว!$T$6:$T$6005,$U45,บันทึกรายเที่ยว!$J$6:$J$6005),2))</f>
        <v/>
      </c>
      <c r="AG45">
        <f>IF($U45="",0,ROUND(SUMIF(บันทึกรายเที่ยว!$T$6:$T$6005,$U45,บันทึกรายเที่ยว!$K$6:$K$6005),2))</f>
        <v/>
      </c>
      <c r="AH45">
        <f>IF($U45="",0,ROUND(SUMIF(บันทึกรายเที่ยว!$T$6:$T$6005,$U45,บันทึกรายเที่ยว!$M$6:$M$6005),2))</f>
        <v/>
      </c>
    </row>
    <row r="46" ht="21" customHeight="1" s="66">
      <c r="A46" s="3">
        <f>IF($AB46="G","ผลรวมทั้งหมด",IF($AB46="R",INDEX($S$8:$S$407,$AA46),""))</f>
        <v/>
      </c>
      <c r="B46" s="3">
        <f>IF($AB46="S",INDEX($Y$8:$Y$407,$AA46),"")</f>
        <v/>
      </c>
      <c r="C46" s="68">
        <f>IF($AB46="D",INDEX($Z$8:$Z$407,$AA46),"")</f>
        <v/>
      </c>
      <c r="D46" s="31">
        <f>IF($AB46="G",SUM($AE$8:$AE$407),IF(OR($AB46="",$AB46="R"),"",IF($AB46="D",INDEX($AE$8:$AE$407,$AA46),SUMIF($T$8:$T$407,INDEX($T$8:$T$407,$AA46),$AE$8:$AE$407))))</f>
        <v/>
      </c>
      <c r="E46" s="32">
        <f>IF(39=$AD$1+3,"ขอแสดงความนับถือ",IF(39=$AD$1+6,"(                 )",IF(39=$AD$1+7,"เจ้าหน้าที่ขนส่ง",IF($AB46="G",SUM($AF$8:$AF$407),IF(OR($AB46="",$AB46="R"),"",IF($AB46="D",INDEX($AF$8:$AF$407,$AA46),SUMIF($T$8:$T$407,INDEX($T$8:$T$407,$AA46),$AF$8:$AF$407)))))))</f>
        <v/>
      </c>
      <c r="F46" s="32">
        <f>IF($AB46="G",SUM($AG$8:$AG$407),IF(OR($AB46="",$AB46="R"),"",IF($AB46="D",INDEX($AG$8:$AG$407,$AA46),SUMIF($T$8:$T$407,INDEX($T$8:$T$407,$AA46),$AG$8:$AG$407))))</f>
        <v/>
      </c>
      <c r="G46" s="32">
        <f>IF(OR($AB46="",$AB46="R"),"",ROUND($E46-$F46,2))</f>
        <v/>
      </c>
      <c r="H46" s="32">
        <f>IF($AB46="G",SUM($AH$8:$AH$407),IF(OR($AB46="",$AB46="R"),"",IF($AB46="D",INDEX($AH$8:$AH$407,$AA46),SUMIF($T$8:$T$407,INDEX($T$8:$T$407,$AA46),$AH$8:$AH$407))))</f>
        <v/>
      </c>
      <c r="J46">
        <f>IFERROR(MATCH(39,บันทึกรายเที่ยว!$W$6:$W$6005,0),"")</f>
        <v/>
      </c>
      <c r="K46">
        <f>IF($J46="","",INDEX(บันทึกรายเที่ยว!$T$6:$T$6005,$J46))</f>
        <v/>
      </c>
      <c r="L46">
        <f>IF($J46="","",INDEX(บันทึกรายเที่ยว!$S$6:$S$6005,$J46))</f>
        <v/>
      </c>
      <c r="M46">
        <f>IF($J46="","",INDEX(บันทึกรายเที่ยว!$R$6:$R$6005,$J46))</f>
        <v/>
      </c>
      <c r="N46">
        <f>IF($J46="","",MATCH($M46,บันทึกรายเที่ยว!$R$6:$R$6005,0))</f>
        <v/>
      </c>
      <c r="O46">
        <f>IF($J46="","",MATCH($L46,บันทึกรายเที่ยว!$S$6:$S$6005,0))</f>
        <v/>
      </c>
      <c r="P46">
        <f>IF($J46="","",IF(AND(OR($I$3="(ทั้งหมด)",INDEX(บันทึกรายเที่ยว!$C$6:$C$6005,$J46)=$I$3),OR($I$5="(ทั้งหมด)",INDEX(บันทึกรายเที่ยว!$D$6:$D$6005,$J46)=$I$5),OR($I$7="(ทั้งหมด)",INDEX(บันทึกรายเที่ยว!$F$6:$F$6005,$J46)=$I$7)),$N46*10000000+$O46*1000+39,""))</f>
        <v/>
      </c>
      <c r="Q46">
        <f>IFERROR(MATCH(SMALL($P$8:$P$407,39),$P$8:$P$407,0),"")</f>
        <v/>
      </c>
      <c r="R46">
        <f>IF($Q46="","",INDEX($J$8:$J$407,$Q46))</f>
        <v/>
      </c>
      <c r="S46">
        <f>IF($Q46="","",INDEX($M$8:$M$407,$Q46))</f>
        <v/>
      </c>
      <c r="T46">
        <f>IF($Q46="","",INDEX($L$8:$L$407,$Q46))</f>
        <v/>
      </c>
      <c r="U46">
        <f>IF($Q46="","",INDEX($K$8:$K$407,$Q46))</f>
        <v/>
      </c>
      <c r="V46">
        <f>IF($Q46="",0,IF($S46&lt;&gt;$S45,1,0))</f>
        <v/>
      </c>
      <c r="W46">
        <f>IF($Q46="",0,IF($T46&lt;&gt;$T45,1,0))</f>
        <v/>
      </c>
      <c r="X46">
        <f>IF($Q46="",99999+39,$X45+1+$V45+$W45)</f>
        <v/>
      </c>
      <c r="Y46">
        <f>IF($Q46="","",INDEX(บันทึกรายเที่ยว!$Q$6:$Q$6005,$R46))</f>
        <v/>
      </c>
      <c r="Z46">
        <f>IF($Q46="","",INDEX(บันทึกรายเที่ยว!$F$6:$F$6005,$R46))</f>
        <v/>
      </c>
      <c r="AA46">
        <f>IFERROR(MATCH(39,$X$8:$X$407,1),"")</f>
        <v/>
      </c>
      <c r="AB46">
        <f>IF(39=$AD$1+1,"G",IF($AA46="","",IF(INDEX($Q$8:$Q$407,$AA46)="","",IF(39&gt;INDEX($X$8:$X$407,$AA46)+INDEX($V$8:$V$407,$AA46)+INDEX($W$8:$W$407,$AA46),"",IF(39=INDEX($X$8:$X$407,$AA46)+INDEX($V$8:$V$407,$AA46)+INDEX($W$8:$W$407,$AA46),"D",IF(AND(INDEX($W$8:$W$407,$AA46)=1,39=INDEX($X$8:$X$407,$AA46)+INDEX($V$8:$V$407,$AA46)),"S","R"))))))</f>
        <v/>
      </c>
      <c r="AC46">
        <f>IF(OR($AB46="",$AB46="G"),"",IF($AB46="D",INDEX($U$8:$U$407,$AA46),IF($AB46="S",INDEX($T$8:$T$407,$AA46)&amp;"|*",INDEX($S$8:$S$407,$AA46)&amp;"|*")))</f>
        <v/>
      </c>
      <c r="AE46">
        <f>IF($U46="",0,COUNTIF(บันทึกรายเที่ยว!$T$6:$T$6005,$U46))</f>
        <v/>
      </c>
      <c r="AF46">
        <f>IF($U46="",0,ROUND(SUMIF(บันทึกรายเที่ยว!$T$6:$T$6005,$U46,บันทึกรายเที่ยว!$J$6:$J$6005),2))</f>
        <v/>
      </c>
      <c r="AG46">
        <f>IF($U46="",0,ROUND(SUMIF(บันทึกรายเที่ยว!$T$6:$T$6005,$U46,บันทึกรายเที่ยว!$K$6:$K$6005),2))</f>
        <v/>
      </c>
      <c r="AH46">
        <f>IF($U46="",0,ROUND(SUMIF(บันทึกรายเที่ยว!$T$6:$T$6005,$U46,บันทึกรายเที่ยว!$M$6:$M$6005),2))</f>
        <v/>
      </c>
    </row>
    <row r="47" ht="21" customHeight="1" s="66">
      <c r="A47" s="3">
        <f>IF($AB47="G","ผลรวมทั้งหมด",IF($AB47="R",INDEX($S$8:$S$407,$AA47),""))</f>
        <v/>
      </c>
      <c r="B47" s="3">
        <f>IF($AB47="S",INDEX($Y$8:$Y$407,$AA47),"")</f>
        <v/>
      </c>
      <c r="C47" s="68">
        <f>IF($AB47="D",INDEX($Z$8:$Z$407,$AA47),"")</f>
        <v/>
      </c>
      <c r="D47" s="31">
        <f>IF($AB47="G",SUM($AE$8:$AE$407),IF(OR($AB47="",$AB47="R"),"",IF($AB47="D",INDEX($AE$8:$AE$407,$AA47),SUMIF($T$8:$T$407,INDEX($T$8:$T$407,$AA47),$AE$8:$AE$407))))</f>
        <v/>
      </c>
      <c r="E47" s="32">
        <f>IF(40=$AD$1+3,"ขอแสดงความนับถือ",IF(40=$AD$1+6,"(                 )",IF(40=$AD$1+7,"เจ้าหน้าที่ขนส่ง",IF($AB47="G",SUM($AF$8:$AF$407),IF(OR($AB47="",$AB47="R"),"",IF($AB47="D",INDEX($AF$8:$AF$407,$AA47),SUMIF($T$8:$T$407,INDEX($T$8:$T$407,$AA47),$AF$8:$AF$407)))))))</f>
        <v/>
      </c>
      <c r="F47" s="32">
        <f>IF($AB47="G",SUM($AG$8:$AG$407),IF(OR($AB47="",$AB47="R"),"",IF($AB47="D",INDEX($AG$8:$AG$407,$AA47),SUMIF($T$8:$T$407,INDEX($T$8:$T$407,$AA47),$AG$8:$AG$407))))</f>
        <v/>
      </c>
      <c r="G47" s="32">
        <f>IF(OR($AB47="",$AB47="R"),"",ROUND($E47-$F47,2))</f>
        <v/>
      </c>
      <c r="H47" s="32">
        <f>IF($AB47="G",SUM($AH$8:$AH$407),IF(OR($AB47="",$AB47="R"),"",IF($AB47="D",INDEX($AH$8:$AH$407,$AA47),SUMIF($T$8:$T$407,INDEX($T$8:$T$407,$AA47),$AH$8:$AH$407))))</f>
        <v/>
      </c>
      <c r="J47">
        <f>IFERROR(MATCH(40,บันทึกรายเที่ยว!$W$6:$W$6005,0),"")</f>
        <v/>
      </c>
      <c r="K47">
        <f>IF($J47="","",INDEX(บันทึกรายเที่ยว!$T$6:$T$6005,$J47))</f>
        <v/>
      </c>
      <c r="L47">
        <f>IF($J47="","",INDEX(บันทึกรายเที่ยว!$S$6:$S$6005,$J47))</f>
        <v/>
      </c>
      <c r="M47">
        <f>IF($J47="","",INDEX(บันทึกรายเที่ยว!$R$6:$R$6005,$J47))</f>
        <v/>
      </c>
      <c r="N47">
        <f>IF($J47="","",MATCH($M47,บันทึกรายเที่ยว!$R$6:$R$6005,0))</f>
        <v/>
      </c>
      <c r="O47">
        <f>IF($J47="","",MATCH($L47,บันทึกรายเที่ยว!$S$6:$S$6005,0))</f>
        <v/>
      </c>
      <c r="P47">
        <f>IF($J47="","",IF(AND(OR($I$3="(ทั้งหมด)",INDEX(บันทึกรายเที่ยว!$C$6:$C$6005,$J47)=$I$3),OR($I$5="(ทั้งหมด)",INDEX(บันทึกรายเที่ยว!$D$6:$D$6005,$J47)=$I$5),OR($I$7="(ทั้งหมด)",INDEX(บันทึกรายเที่ยว!$F$6:$F$6005,$J47)=$I$7)),$N47*10000000+$O47*1000+40,""))</f>
        <v/>
      </c>
      <c r="Q47">
        <f>IFERROR(MATCH(SMALL($P$8:$P$407,40),$P$8:$P$407,0),"")</f>
        <v/>
      </c>
      <c r="R47">
        <f>IF($Q47="","",INDEX($J$8:$J$407,$Q47))</f>
        <v/>
      </c>
      <c r="S47">
        <f>IF($Q47="","",INDEX($M$8:$M$407,$Q47))</f>
        <v/>
      </c>
      <c r="T47">
        <f>IF($Q47="","",INDEX($L$8:$L$407,$Q47))</f>
        <v/>
      </c>
      <c r="U47">
        <f>IF($Q47="","",INDEX($K$8:$K$407,$Q47))</f>
        <v/>
      </c>
      <c r="V47">
        <f>IF($Q47="",0,IF($S47&lt;&gt;$S46,1,0))</f>
        <v/>
      </c>
      <c r="W47">
        <f>IF($Q47="",0,IF($T47&lt;&gt;$T46,1,0))</f>
        <v/>
      </c>
      <c r="X47">
        <f>IF($Q47="",99999+40,$X46+1+$V46+$W46)</f>
        <v/>
      </c>
      <c r="Y47">
        <f>IF($Q47="","",INDEX(บันทึกรายเที่ยว!$Q$6:$Q$6005,$R47))</f>
        <v/>
      </c>
      <c r="Z47">
        <f>IF($Q47="","",INDEX(บันทึกรายเที่ยว!$F$6:$F$6005,$R47))</f>
        <v/>
      </c>
      <c r="AA47">
        <f>IFERROR(MATCH(40,$X$8:$X$407,1),"")</f>
        <v/>
      </c>
      <c r="AB47">
        <f>IF(40=$AD$1+1,"G",IF($AA47="","",IF(INDEX($Q$8:$Q$407,$AA47)="","",IF(40&gt;INDEX($X$8:$X$407,$AA47)+INDEX($V$8:$V$407,$AA47)+INDEX($W$8:$W$407,$AA47),"",IF(40=INDEX($X$8:$X$407,$AA47)+INDEX($V$8:$V$407,$AA47)+INDEX($W$8:$W$407,$AA47),"D",IF(AND(INDEX($W$8:$W$407,$AA47)=1,40=INDEX($X$8:$X$407,$AA47)+INDEX($V$8:$V$407,$AA47)),"S","R"))))))</f>
        <v/>
      </c>
      <c r="AC47">
        <f>IF(OR($AB47="",$AB47="G"),"",IF($AB47="D",INDEX($U$8:$U$407,$AA47),IF($AB47="S",INDEX($T$8:$T$407,$AA47)&amp;"|*",INDEX($S$8:$S$407,$AA47)&amp;"|*")))</f>
        <v/>
      </c>
      <c r="AE47">
        <f>IF($U47="",0,COUNTIF(บันทึกรายเที่ยว!$T$6:$T$6005,$U47))</f>
        <v/>
      </c>
      <c r="AF47">
        <f>IF($U47="",0,ROUND(SUMIF(บันทึกรายเที่ยว!$T$6:$T$6005,$U47,บันทึกรายเที่ยว!$J$6:$J$6005),2))</f>
        <v/>
      </c>
      <c r="AG47">
        <f>IF($U47="",0,ROUND(SUMIF(บันทึกรายเที่ยว!$T$6:$T$6005,$U47,บันทึกรายเที่ยว!$K$6:$K$6005),2))</f>
        <v/>
      </c>
      <c r="AH47">
        <f>IF($U47="",0,ROUND(SUMIF(บันทึกรายเที่ยว!$T$6:$T$6005,$U47,บันทึกรายเที่ยว!$M$6:$M$6005),2))</f>
        <v/>
      </c>
    </row>
    <row r="48" ht="21" customHeight="1" s="66">
      <c r="A48" s="3">
        <f>IF($AB48="G","ผลรวมทั้งหมด",IF($AB48="R",INDEX($S$8:$S$407,$AA48),""))</f>
        <v/>
      </c>
      <c r="B48" s="3">
        <f>IF($AB48="S",INDEX($Y$8:$Y$407,$AA48),"")</f>
        <v/>
      </c>
      <c r="C48" s="68">
        <f>IF($AB48="D",INDEX($Z$8:$Z$407,$AA48),"")</f>
        <v/>
      </c>
      <c r="D48" s="31">
        <f>IF($AB48="G",SUM($AE$8:$AE$407),IF(OR($AB48="",$AB48="R"),"",IF($AB48="D",INDEX($AE$8:$AE$407,$AA48),SUMIF($T$8:$T$407,INDEX($T$8:$T$407,$AA48),$AE$8:$AE$407))))</f>
        <v/>
      </c>
      <c r="E48" s="32">
        <f>IF(41=$AD$1+3,"ขอแสดงความนับถือ",IF(41=$AD$1+6,"(                 )",IF(41=$AD$1+7,"เจ้าหน้าที่ขนส่ง",IF($AB48="G",SUM($AF$8:$AF$407),IF(OR($AB48="",$AB48="R"),"",IF($AB48="D",INDEX($AF$8:$AF$407,$AA48),SUMIF($T$8:$T$407,INDEX($T$8:$T$407,$AA48),$AF$8:$AF$407)))))))</f>
        <v/>
      </c>
      <c r="F48" s="32">
        <f>IF($AB48="G",SUM($AG$8:$AG$407),IF(OR($AB48="",$AB48="R"),"",IF($AB48="D",INDEX($AG$8:$AG$407,$AA48),SUMIF($T$8:$T$407,INDEX($T$8:$T$407,$AA48),$AG$8:$AG$407))))</f>
        <v/>
      </c>
      <c r="G48" s="32">
        <f>IF(OR($AB48="",$AB48="R"),"",ROUND($E48-$F48,2))</f>
        <v/>
      </c>
      <c r="H48" s="32">
        <f>IF($AB48="G",SUM($AH$8:$AH$407),IF(OR($AB48="",$AB48="R"),"",IF($AB48="D",INDEX($AH$8:$AH$407,$AA48),SUMIF($T$8:$T$407,INDEX($T$8:$T$407,$AA48),$AH$8:$AH$407))))</f>
        <v/>
      </c>
      <c r="J48">
        <f>IFERROR(MATCH(41,บันทึกรายเที่ยว!$W$6:$W$6005,0),"")</f>
        <v/>
      </c>
      <c r="K48">
        <f>IF($J48="","",INDEX(บันทึกรายเที่ยว!$T$6:$T$6005,$J48))</f>
        <v/>
      </c>
      <c r="L48">
        <f>IF($J48="","",INDEX(บันทึกรายเที่ยว!$S$6:$S$6005,$J48))</f>
        <v/>
      </c>
      <c r="M48">
        <f>IF($J48="","",INDEX(บันทึกรายเที่ยว!$R$6:$R$6005,$J48))</f>
        <v/>
      </c>
      <c r="N48">
        <f>IF($J48="","",MATCH($M48,บันทึกรายเที่ยว!$R$6:$R$6005,0))</f>
        <v/>
      </c>
      <c r="O48">
        <f>IF($J48="","",MATCH($L48,บันทึกรายเที่ยว!$S$6:$S$6005,0))</f>
        <v/>
      </c>
      <c r="P48">
        <f>IF($J48="","",IF(AND(OR($I$3="(ทั้งหมด)",INDEX(บันทึกรายเที่ยว!$C$6:$C$6005,$J48)=$I$3),OR($I$5="(ทั้งหมด)",INDEX(บันทึกรายเที่ยว!$D$6:$D$6005,$J48)=$I$5),OR($I$7="(ทั้งหมด)",INDEX(บันทึกรายเที่ยว!$F$6:$F$6005,$J48)=$I$7)),$N48*10000000+$O48*1000+41,""))</f>
        <v/>
      </c>
      <c r="Q48">
        <f>IFERROR(MATCH(SMALL($P$8:$P$407,41),$P$8:$P$407,0),"")</f>
        <v/>
      </c>
      <c r="R48">
        <f>IF($Q48="","",INDEX($J$8:$J$407,$Q48))</f>
        <v/>
      </c>
      <c r="S48">
        <f>IF($Q48="","",INDEX($M$8:$M$407,$Q48))</f>
        <v/>
      </c>
      <c r="T48">
        <f>IF($Q48="","",INDEX($L$8:$L$407,$Q48))</f>
        <v/>
      </c>
      <c r="U48">
        <f>IF($Q48="","",INDEX($K$8:$K$407,$Q48))</f>
        <v/>
      </c>
      <c r="V48">
        <f>IF($Q48="",0,IF($S48&lt;&gt;$S47,1,0))</f>
        <v/>
      </c>
      <c r="W48">
        <f>IF($Q48="",0,IF($T48&lt;&gt;$T47,1,0))</f>
        <v/>
      </c>
      <c r="X48">
        <f>IF($Q48="",99999+41,$X47+1+$V47+$W47)</f>
        <v/>
      </c>
      <c r="Y48">
        <f>IF($Q48="","",INDEX(บันทึกรายเที่ยว!$Q$6:$Q$6005,$R48))</f>
        <v/>
      </c>
      <c r="Z48">
        <f>IF($Q48="","",INDEX(บันทึกรายเที่ยว!$F$6:$F$6005,$R48))</f>
        <v/>
      </c>
      <c r="AA48">
        <f>IFERROR(MATCH(41,$X$8:$X$407,1),"")</f>
        <v/>
      </c>
      <c r="AB48">
        <f>IF(41=$AD$1+1,"G",IF($AA48="","",IF(INDEX($Q$8:$Q$407,$AA48)="","",IF(41&gt;INDEX($X$8:$X$407,$AA48)+INDEX($V$8:$V$407,$AA48)+INDEX($W$8:$W$407,$AA48),"",IF(41=INDEX($X$8:$X$407,$AA48)+INDEX($V$8:$V$407,$AA48)+INDEX($W$8:$W$407,$AA48),"D",IF(AND(INDEX($W$8:$W$407,$AA48)=1,41=INDEX($X$8:$X$407,$AA48)+INDEX($V$8:$V$407,$AA48)),"S","R"))))))</f>
        <v/>
      </c>
      <c r="AC48">
        <f>IF(OR($AB48="",$AB48="G"),"",IF($AB48="D",INDEX($U$8:$U$407,$AA48),IF($AB48="S",INDEX($T$8:$T$407,$AA48)&amp;"|*",INDEX($S$8:$S$407,$AA48)&amp;"|*")))</f>
        <v/>
      </c>
      <c r="AE48">
        <f>IF($U48="",0,COUNTIF(บันทึกรายเที่ยว!$T$6:$T$6005,$U48))</f>
        <v/>
      </c>
      <c r="AF48">
        <f>IF($U48="",0,ROUND(SUMIF(บันทึกรายเที่ยว!$T$6:$T$6005,$U48,บันทึกรายเที่ยว!$J$6:$J$6005),2))</f>
        <v/>
      </c>
      <c r="AG48">
        <f>IF($U48="",0,ROUND(SUMIF(บันทึกรายเที่ยว!$T$6:$T$6005,$U48,บันทึกรายเที่ยว!$K$6:$K$6005),2))</f>
        <v/>
      </c>
      <c r="AH48">
        <f>IF($U48="",0,ROUND(SUMIF(บันทึกรายเที่ยว!$T$6:$T$6005,$U48,บันทึกรายเที่ยว!$M$6:$M$6005),2))</f>
        <v/>
      </c>
    </row>
    <row r="49" ht="21" customHeight="1" s="66">
      <c r="A49" s="3">
        <f>IF($AB49="G","ผลรวมทั้งหมด",IF($AB49="R",INDEX($S$8:$S$407,$AA49),""))</f>
        <v/>
      </c>
      <c r="B49" s="3">
        <f>IF($AB49="S",INDEX($Y$8:$Y$407,$AA49),"")</f>
        <v/>
      </c>
      <c r="C49" s="68">
        <f>IF($AB49="D",INDEX($Z$8:$Z$407,$AA49),"")</f>
        <v/>
      </c>
      <c r="D49" s="31">
        <f>IF($AB49="G",SUM($AE$8:$AE$407),IF(OR($AB49="",$AB49="R"),"",IF($AB49="D",INDEX($AE$8:$AE$407,$AA49),SUMIF($T$8:$T$407,INDEX($T$8:$T$407,$AA49),$AE$8:$AE$407))))</f>
        <v/>
      </c>
      <c r="E49" s="32">
        <f>IF(42=$AD$1+3,"ขอแสดงความนับถือ",IF(42=$AD$1+6,"(                 )",IF(42=$AD$1+7,"เจ้าหน้าที่ขนส่ง",IF($AB49="G",SUM($AF$8:$AF$407),IF(OR($AB49="",$AB49="R"),"",IF($AB49="D",INDEX($AF$8:$AF$407,$AA49),SUMIF($T$8:$T$407,INDEX($T$8:$T$407,$AA49),$AF$8:$AF$407)))))))</f>
        <v/>
      </c>
      <c r="F49" s="32">
        <f>IF($AB49="G",SUM($AG$8:$AG$407),IF(OR($AB49="",$AB49="R"),"",IF($AB49="D",INDEX($AG$8:$AG$407,$AA49),SUMIF($T$8:$T$407,INDEX($T$8:$T$407,$AA49),$AG$8:$AG$407))))</f>
        <v/>
      </c>
      <c r="G49" s="32">
        <f>IF(OR($AB49="",$AB49="R"),"",ROUND($E49-$F49,2))</f>
        <v/>
      </c>
      <c r="H49" s="32">
        <f>IF($AB49="G",SUM($AH$8:$AH$407),IF(OR($AB49="",$AB49="R"),"",IF($AB49="D",INDEX($AH$8:$AH$407,$AA49),SUMIF($T$8:$T$407,INDEX($T$8:$T$407,$AA49),$AH$8:$AH$407))))</f>
        <v/>
      </c>
      <c r="J49">
        <f>IFERROR(MATCH(42,บันทึกรายเที่ยว!$W$6:$W$6005,0),"")</f>
        <v/>
      </c>
      <c r="K49">
        <f>IF($J49="","",INDEX(บันทึกรายเที่ยว!$T$6:$T$6005,$J49))</f>
        <v/>
      </c>
      <c r="L49">
        <f>IF($J49="","",INDEX(บันทึกรายเที่ยว!$S$6:$S$6005,$J49))</f>
        <v/>
      </c>
      <c r="M49">
        <f>IF($J49="","",INDEX(บันทึกรายเที่ยว!$R$6:$R$6005,$J49))</f>
        <v/>
      </c>
      <c r="N49">
        <f>IF($J49="","",MATCH($M49,บันทึกรายเที่ยว!$R$6:$R$6005,0))</f>
        <v/>
      </c>
      <c r="O49">
        <f>IF($J49="","",MATCH($L49,บันทึกรายเที่ยว!$S$6:$S$6005,0))</f>
        <v/>
      </c>
      <c r="P49">
        <f>IF($J49="","",IF(AND(OR($I$3="(ทั้งหมด)",INDEX(บันทึกรายเที่ยว!$C$6:$C$6005,$J49)=$I$3),OR($I$5="(ทั้งหมด)",INDEX(บันทึกรายเที่ยว!$D$6:$D$6005,$J49)=$I$5),OR($I$7="(ทั้งหมด)",INDEX(บันทึกรายเที่ยว!$F$6:$F$6005,$J49)=$I$7)),$N49*10000000+$O49*1000+42,""))</f>
        <v/>
      </c>
      <c r="Q49">
        <f>IFERROR(MATCH(SMALL($P$8:$P$407,42),$P$8:$P$407,0),"")</f>
        <v/>
      </c>
      <c r="R49">
        <f>IF($Q49="","",INDEX($J$8:$J$407,$Q49))</f>
        <v/>
      </c>
      <c r="S49">
        <f>IF($Q49="","",INDEX($M$8:$M$407,$Q49))</f>
        <v/>
      </c>
      <c r="T49">
        <f>IF($Q49="","",INDEX($L$8:$L$407,$Q49))</f>
        <v/>
      </c>
      <c r="U49">
        <f>IF($Q49="","",INDEX($K$8:$K$407,$Q49))</f>
        <v/>
      </c>
      <c r="V49">
        <f>IF($Q49="",0,IF($S49&lt;&gt;$S48,1,0))</f>
        <v/>
      </c>
      <c r="W49">
        <f>IF($Q49="",0,IF($T49&lt;&gt;$T48,1,0))</f>
        <v/>
      </c>
      <c r="X49">
        <f>IF($Q49="",99999+42,$X48+1+$V48+$W48)</f>
        <v/>
      </c>
      <c r="Y49">
        <f>IF($Q49="","",INDEX(บันทึกรายเที่ยว!$Q$6:$Q$6005,$R49))</f>
        <v/>
      </c>
      <c r="Z49">
        <f>IF($Q49="","",INDEX(บันทึกรายเที่ยว!$F$6:$F$6005,$R49))</f>
        <v/>
      </c>
      <c r="AA49">
        <f>IFERROR(MATCH(42,$X$8:$X$407,1),"")</f>
        <v/>
      </c>
      <c r="AB49">
        <f>IF(42=$AD$1+1,"G",IF($AA49="","",IF(INDEX($Q$8:$Q$407,$AA49)="","",IF(42&gt;INDEX($X$8:$X$407,$AA49)+INDEX($V$8:$V$407,$AA49)+INDEX($W$8:$W$407,$AA49),"",IF(42=INDEX($X$8:$X$407,$AA49)+INDEX($V$8:$V$407,$AA49)+INDEX($W$8:$W$407,$AA49),"D",IF(AND(INDEX($W$8:$W$407,$AA49)=1,42=INDEX($X$8:$X$407,$AA49)+INDEX($V$8:$V$407,$AA49)),"S","R"))))))</f>
        <v/>
      </c>
      <c r="AC49">
        <f>IF(OR($AB49="",$AB49="G"),"",IF($AB49="D",INDEX($U$8:$U$407,$AA49),IF($AB49="S",INDEX($T$8:$T$407,$AA49)&amp;"|*",INDEX($S$8:$S$407,$AA49)&amp;"|*")))</f>
        <v/>
      </c>
      <c r="AE49">
        <f>IF($U49="",0,COUNTIF(บันทึกรายเที่ยว!$T$6:$T$6005,$U49))</f>
        <v/>
      </c>
      <c r="AF49">
        <f>IF($U49="",0,ROUND(SUMIF(บันทึกรายเที่ยว!$T$6:$T$6005,$U49,บันทึกรายเที่ยว!$J$6:$J$6005),2))</f>
        <v/>
      </c>
      <c r="AG49">
        <f>IF($U49="",0,ROUND(SUMIF(บันทึกรายเที่ยว!$T$6:$T$6005,$U49,บันทึกรายเที่ยว!$K$6:$K$6005),2))</f>
        <v/>
      </c>
      <c r="AH49">
        <f>IF($U49="",0,ROUND(SUMIF(บันทึกรายเที่ยว!$T$6:$T$6005,$U49,บันทึกรายเที่ยว!$M$6:$M$6005),2))</f>
        <v/>
      </c>
    </row>
    <row r="50" ht="21" customHeight="1" s="66">
      <c r="A50" s="3">
        <f>IF($AB50="G","ผลรวมทั้งหมด",IF($AB50="R",INDEX($S$8:$S$407,$AA50),""))</f>
        <v/>
      </c>
      <c r="B50" s="3">
        <f>IF($AB50="S",INDEX($Y$8:$Y$407,$AA50),"")</f>
        <v/>
      </c>
      <c r="C50" s="68">
        <f>IF($AB50="D",INDEX($Z$8:$Z$407,$AA50),"")</f>
        <v/>
      </c>
      <c r="D50" s="31">
        <f>IF($AB50="G",SUM($AE$8:$AE$407),IF(OR($AB50="",$AB50="R"),"",IF($AB50="D",INDEX($AE$8:$AE$407,$AA50),SUMIF($T$8:$T$407,INDEX($T$8:$T$407,$AA50),$AE$8:$AE$407))))</f>
        <v/>
      </c>
      <c r="E50" s="32">
        <f>IF(43=$AD$1+3,"ขอแสดงความนับถือ",IF(43=$AD$1+6,"(                 )",IF(43=$AD$1+7,"เจ้าหน้าที่ขนส่ง",IF($AB50="G",SUM($AF$8:$AF$407),IF(OR($AB50="",$AB50="R"),"",IF($AB50="D",INDEX($AF$8:$AF$407,$AA50),SUMIF($T$8:$T$407,INDEX($T$8:$T$407,$AA50),$AF$8:$AF$407)))))))</f>
        <v/>
      </c>
      <c r="F50" s="32">
        <f>IF($AB50="G",SUM($AG$8:$AG$407),IF(OR($AB50="",$AB50="R"),"",IF($AB50="D",INDEX($AG$8:$AG$407,$AA50),SUMIF($T$8:$T$407,INDEX($T$8:$T$407,$AA50),$AG$8:$AG$407))))</f>
        <v/>
      </c>
      <c r="G50" s="32">
        <f>IF(OR($AB50="",$AB50="R"),"",ROUND($E50-$F50,2))</f>
        <v/>
      </c>
      <c r="H50" s="32">
        <f>IF($AB50="G",SUM($AH$8:$AH$407),IF(OR($AB50="",$AB50="R"),"",IF($AB50="D",INDEX($AH$8:$AH$407,$AA50),SUMIF($T$8:$T$407,INDEX($T$8:$T$407,$AA50),$AH$8:$AH$407))))</f>
        <v/>
      </c>
      <c r="J50">
        <f>IFERROR(MATCH(43,บันทึกรายเที่ยว!$W$6:$W$6005,0),"")</f>
        <v/>
      </c>
      <c r="K50">
        <f>IF($J50="","",INDEX(บันทึกรายเที่ยว!$T$6:$T$6005,$J50))</f>
        <v/>
      </c>
      <c r="L50">
        <f>IF($J50="","",INDEX(บันทึกรายเที่ยว!$S$6:$S$6005,$J50))</f>
        <v/>
      </c>
      <c r="M50">
        <f>IF($J50="","",INDEX(บันทึกรายเที่ยว!$R$6:$R$6005,$J50))</f>
        <v/>
      </c>
      <c r="N50">
        <f>IF($J50="","",MATCH($M50,บันทึกรายเที่ยว!$R$6:$R$6005,0))</f>
        <v/>
      </c>
      <c r="O50">
        <f>IF($J50="","",MATCH($L50,บันทึกรายเที่ยว!$S$6:$S$6005,0))</f>
        <v/>
      </c>
      <c r="P50">
        <f>IF($J50="","",IF(AND(OR($I$3="(ทั้งหมด)",INDEX(บันทึกรายเที่ยว!$C$6:$C$6005,$J50)=$I$3),OR($I$5="(ทั้งหมด)",INDEX(บันทึกรายเที่ยว!$D$6:$D$6005,$J50)=$I$5),OR($I$7="(ทั้งหมด)",INDEX(บันทึกรายเที่ยว!$F$6:$F$6005,$J50)=$I$7)),$N50*10000000+$O50*1000+43,""))</f>
        <v/>
      </c>
      <c r="Q50">
        <f>IFERROR(MATCH(SMALL($P$8:$P$407,43),$P$8:$P$407,0),"")</f>
        <v/>
      </c>
      <c r="R50">
        <f>IF($Q50="","",INDEX($J$8:$J$407,$Q50))</f>
        <v/>
      </c>
      <c r="S50">
        <f>IF($Q50="","",INDEX($M$8:$M$407,$Q50))</f>
        <v/>
      </c>
      <c r="T50">
        <f>IF($Q50="","",INDEX($L$8:$L$407,$Q50))</f>
        <v/>
      </c>
      <c r="U50">
        <f>IF($Q50="","",INDEX($K$8:$K$407,$Q50))</f>
        <v/>
      </c>
      <c r="V50">
        <f>IF($Q50="",0,IF($S50&lt;&gt;$S49,1,0))</f>
        <v/>
      </c>
      <c r="W50">
        <f>IF($Q50="",0,IF($T50&lt;&gt;$T49,1,0))</f>
        <v/>
      </c>
      <c r="X50">
        <f>IF($Q50="",99999+43,$X49+1+$V49+$W49)</f>
        <v/>
      </c>
      <c r="Y50">
        <f>IF($Q50="","",INDEX(บันทึกรายเที่ยว!$Q$6:$Q$6005,$R50))</f>
        <v/>
      </c>
      <c r="Z50">
        <f>IF($Q50="","",INDEX(บันทึกรายเที่ยว!$F$6:$F$6005,$R50))</f>
        <v/>
      </c>
      <c r="AA50">
        <f>IFERROR(MATCH(43,$X$8:$X$407,1),"")</f>
        <v/>
      </c>
      <c r="AB50">
        <f>IF(43=$AD$1+1,"G",IF($AA50="","",IF(INDEX($Q$8:$Q$407,$AA50)="","",IF(43&gt;INDEX($X$8:$X$407,$AA50)+INDEX($V$8:$V$407,$AA50)+INDEX($W$8:$W$407,$AA50),"",IF(43=INDEX($X$8:$X$407,$AA50)+INDEX($V$8:$V$407,$AA50)+INDEX($W$8:$W$407,$AA50),"D",IF(AND(INDEX($W$8:$W$407,$AA50)=1,43=INDEX($X$8:$X$407,$AA50)+INDEX($V$8:$V$407,$AA50)),"S","R"))))))</f>
        <v/>
      </c>
      <c r="AC50">
        <f>IF(OR($AB50="",$AB50="G"),"",IF($AB50="D",INDEX($U$8:$U$407,$AA50),IF($AB50="S",INDEX($T$8:$T$407,$AA50)&amp;"|*",INDEX($S$8:$S$407,$AA50)&amp;"|*")))</f>
        <v/>
      </c>
      <c r="AE50">
        <f>IF($U50="",0,COUNTIF(บันทึกรายเที่ยว!$T$6:$T$6005,$U50))</f>
        <v/>
      </c>
      <c r="AF50">
        <f>IF($U50="",0,ROUND(SUMIF(บันทึกรายเที่ยว!$T$6:$T$6005,$U50,บันทึกรายเที่ยว!$J$6:$J$6005),2))</f>
        <v/>
      </c>
      <c r="AG50">
        <f>IF($U50="",0,ROUND(SUMIF(บันทึกรายเที่ยว!$T$6:$T$6005,$U50,บันทึกรายเที่ยว!$K$6:$K$6005),2))</f>
        <v/>
      </c>
      <c r="AH50">
        <f>IF($U50="",0,ROUND(SUMIF(บันทึกรายเที่ยว!$T$6:$T$6005,$U50,บันทึกรายเที่ยว!$M$6:$M$6005),2))</f>
        <v/>
      </c>
    </row>
    <row r="51" ht="21" customHeight="1" s="66">
      <c r="A51" s="3">
        <f>IF($AB51="G","ผลรวมทั้งหมด",IF($AB51="R",INDEX($S$8:$S$407,$AA51),""))</f>
        <v/>
      </c>
      <c r="B51" s="3">
        <f>IF($AB51="S",INDEX($Y$8:$Y$407,$AA51),"")</f>
        <v/>
      </c>
      <c r="C51" s="68">
        <f>IF($AB51="D",INDEX($Z$8:$Z$407,$AA51),"")</f>
        <v/>
      </c>
      <c r="D51" s="31">
        <f>IF($AB51="G",SUM($AE$8:$AE$407),IF(OR($AB51="",$AB51="R"),"",IF($AB51="D",INDEX($AE$8:$AE$407,$AA51),SUMIF($T$8:$T$407,INDEX($T$8:$T$407,$AA51),$AE$8:$AE$407))))</f>
        <v/>
      </c>
      <c r="E51" s="32">
        <f>IF(44=$AD$1+3,"ขอแสดงความนับถือ",IF(44=$AD$1+6,"(                 )",IF(44=$AD$1+7,"เจ้าหน้าที่ขนส่ง",IF($AB51="G",SUM($AF$8:$AF$407),IF(OR($AB51="",$AB51="R"),"",IF($AB51="D",INDEX($AF$8:$AF$407,$AA51),SUMIF($T$8:$T$407,INDEX($T$8:$T$407,$AA51),$AF$8:$AF$407)))))))</f>
        <v/>
      </c>
      <c r="F51" s="32">
        <f>IF($AB51="G",SUM($AG$8:$AG$407),IF(OR($AB51="",$AB51="R"),"",IF($AB51="D",INDEX($AG$8:$AG$407,$AA51),SUMIF($T$8:$T$407,INDEX($T$8:$T$407,$AA51),$AG$8:$AG$407))))</f>
        <v/>
      </c>
      <c r="G51" s="32">
        <f>IF(OR($AB51="",$AB51="R"),"",ROUND($E51-$F51,2))</f>
        <v/>
      </c>
      <c r="H51" s="32">
        <f>IF($AB51="G",SUM($AH$8:$AH$407),IF(OR($AB51="",$AB51="R"),"",IF($AB51="D",INDEX($AH$8:$AH$407,$AA51),SUMIF($T$8:$T$407,INDEX($T$8:$T$407,$AA51),$AH$8:$AH$407))))</f>
        <v/>
      </c>
      <c r="J51">
        <f>IFERROR(MATCH(44,บันทึกรายเที่ยว!$W$6:$W$6005,0),"")</f>
        <v/>
      </c>
      <c r="K51">
        <f>IF($J51="","",INDEX(บันทึกรายเที่ยว!$T$6:$T$6005,$J51))</f>
        <v/>
      </c>
      <c r="L51">
        <f>IF($J51="","",INDEX(บันทึกรายเที่ยว!$S$6:$S$6005,$J51))</f>
        <v/>
      </c>
      <c r="M51">
        <f>IF($J51="","",INDEX(บันทึกรายเที่ยว!$R$6:$R$6005,$J51))</f>
        <v/>
      </c>
      <c r="N51">
        <f>IF($J51="","",MATCH($M51,บันทึกรายเที่ยว!$R$6:$R$6005,0))</f>
        <v/>
      </c>
      <c r="O51">
        <f>IF($J51="","",MATCH($L51,บันทึกรายเที่ยว!$S$6:$S$6005,0))</f>
        <v/>
      </c>
      <c r="P51">
        <f>IF($J51="","",IF(AND(OR($I$3="(ทั้งหมด)",INDEX(บันทึกรายเที่ยว!$C$6:$C$6005,$J51)=$I$3),OR($I$5="(ทั้งหมด)",INDEX(บันทึกรายเที่ยว!$D$6:$D$6005,$J51)=$I$5),OR($I$7="(ทั้งหมด)",INDEX(บันทึกรายเที่ยว!$F$6:$F$6005,$J51)=$I$7)),$N51*10000000+$O51*1000+44,""))</f>
        <v/>
      </c>
      <c r="Q51">
        <f>IFERROR(MATCH(SMALL($P$8:$P$407,44),$P$8:$P$407,0),"")</f>
        <v/>
      </c>
      <c r="R51">
        <f>IF($Q51="","",INDEX($J$8:$J$407,$Q51))</f>
        <v/>
      </c>
      <c r="S51">
        <f>IF($Q51="","",INDEX($M$8:$M$407,$Q51))</f>
        <v/>
      </c>
      <c r="T51">
        <f>IF($Q51="","",INDEX($L$8:$L$407,$Q51))</f>
        <v/>
      </c>
      <c r="U51">
        <f>IF($Q51="","",INDEX($K$8:$K$407,$Q51))</f>
        <v/>
      </c>
      <c r="V51">
        <f>IF($Q51="",0,IF($S51&lt;&gt;$S50,1,0))</f>
        <v/>
      </c>
      <c r="W51">
        <f>IF($Q51="",0,IF($T51&lt;&gt;$T50,1,0))</f>
        <v/>
      </c>
      <c r="X51">
        <f>IF($Q51="",99999+44,$X50+1+$V50+$W50)</f>
        <v/>
      </c>
      <c r="Y51">
        <f>IF($Q51="","",INDEX(บันทึกรายเที่ยว!$Q$6:$Q$6005,$R51))</f>
        <v/>
      </c>
      <c r="Z51">
        <f>IF($Q51="","",INDEX(บันทึกรายเที่ยว!$F$6:$F$6005,$R51))</f>
        <v/>
      </c>
      <c r="AA51">
        <f>IFERROR(MATCH(44,$X$8:$X$407,1),"")</f>
        <v/>
      </c>
      <c r="AB51">
        <f>IF(44=$AD$1+1,"G",IF($AA51="","",IF(INDEX($Q$8:$Q$407,$AA51)="","",IF(44&gt;INDEX($X$8:$X$407,$AA51)+INDEX($V$8:$V$407,$AA51)+INDEX($W$8:$W$407,$AA51),"",IF(44=INDEX($X$8:$X$407,$AA51)+INDEX($V$8:$V$407,$AA51)+INDEX($W$8:$W$407,$AA51),"D",IF(AND(INDEX($W$8:$W$407,$AA51)=1,44=INDEX($X$8:$X$407,$AA51)+INDEX($V$8:$V$407,$AA51)),"S","R"))))))</f>
        <v/>
      </c>
      <c r="AC51">
        <f>IF(OR($AB51="",$AB51="G"),"",IF($AB51="D",INDEX($U$8:$U$407,$AA51),IF($AB51="S",INDEX($T$8:$T$407,$AA51)&amp;"|*",INDEX($S$8:$S$407,$AA51)&amp;"|*")))</f>
        <v/>
      </c>
      <c r="AE51">
        <f>IF($U51="",0,COUNTIF(บันทึกรายเที่ยว!$T$6:$T$6005,$U51))</f>
        <v/>
      </c>
      <c r="AF51">
        <f>IF($U51="",0,ROUND(SUMIF(บันทึกรายเที่ยว!$T$6:$T$6005,$U51,บันทึกรายเที่ยว!$J$6:$J$6005),2))</f>
        <v/>
      </c>
      <c r="AG51">
        <f>IF($U51="",0,ROUND(SUMIF(บันทึกรายเที่ยว!$T$6:$T$6005,$U51,บันทึกรายเที่ยว!$K$6:$K$6005),2))</f>
        <v/>
      </c>
      <c r="AH51">
        <f>IF($U51="",0,ROUND(SUMIF(บันทึกรายเที่ยว!$T$6:$T$6005,$U51,บันทึกรายเที่ยว!$M$6:$M$6005),2))</f>
        <v/>
      </c>
    </row>
    <row r="52" ht="21" customHeight="1" s="66">
      <c r="A52" s="3">
        <f>IF($AB52="G","ผลรวมทั้งหมด",IF($AB52="R",INDEX($S$8:$S$407,$AA52),""))</f>
        <v/>
      </c>
      <c r="B52" s="3">
        <f>IF($AB52="S",INDEX($Y$8:$Y$407,$AA52),"")</f>
        <v/>
      </c>
      <c r="C52" s="68">
        <f>IF($AB52="D",INDEX($Z$8:$Z$407,$AA52),"")</f>
        <v/>
      </c>
      <c r="D52" s="31">
        <f>IF($AB52="G",SUM($AE$8:$AE$407),IF(OR($AB52="",$AB52="R"),"",IF($AB52="D",INDEX($AE$8:$AE$407,$AA52),SUMIF($T$8:$T$407,INDEX($T$8:$T$407,$AA52),$AE$8:$AE$407))))</f>
        <v/>
      </c>
      <c r="E52" s="32">
        <f>IF(45=$AD$1+3,"ขอแสดงความนับถือ",IF(45=$AD$1+6,"(                 )",IF(45=$AD$1+7,"เจ้าหน้าที่ขนส่ง",IF($AB52="G",SUM($AF$8:$AF$407),IF(OR($AB52="",$AB52="R"),"",IF($AB52="D",INDEX($AF$8:$AF$407,$AA52),SUMIF($T$8:$T$407,INDEX($T$8:$T$407,$AA52),$AF$8:$AF$407)))))))</f>
        <v/>
      </c>
      <c r="F52" s="32">
        <f>IF($AB52="G",SUM($AG$8:$AG$407),IF(OR($AB52="",$AB52="R"),"",IF($AB52="D",INDEX($AG$8:$AG$407,$AA52),SUMIF($T$8:$T$407,INDEX($T$8:$T$407,$AA52),$AG$8:$AG$407))))</f>
        <v/>
      </c>
      <c r="G52" s="32">
        <f>IF(OR($AB52="",$AB52="R"),"",ROUND($E52-$F52,2))</f>
        <v/>
      </c>
      <c r="H52" s="32">
        <f>IF($AB52="G",SUM($AH$8:$AH$407),IF(OR($AB52="",$AB52="R"),"",IF($AB52="D",INDEX($AH$8:$AH$407,$AA52),SUMIF($T$8:$T$407,INDEX($T$8:$T$407,$AA52),$AH$8:$AH$407))))</f>
        <v/>
      </c>
      <c r="J52">
        <f>IFERROR(MATCH(45,บันทึกรายเที่ยว!$W$6:$W$6005,0),"")</f>
        <v/>
      </c>
      <c r="K52">
        <f>IF($J52="","",INDEX(บันทึกรายเที่ยว!$T$6:$T$6005,$J52))</f>
        <v/>
      </c>
      <c r="L52">
        <f>IF($J52="","",INDEX(บันทึกรายเที่ยว!$S$6:$S$6005,$J52))</f>
        <v/>
      </c>
      <c r="M52">
        <f>IF($J52="","",INDEX(บันทึกรายเที่ยว!$R$6:$R$6005,$J52))</f>
        <v/>
      </c>
      <c r="N52">
        <f>IF($J52="","",MATCH($M52,บันทึกรายเที่ยว!$R$6:$R$6005,0))</f>
        <v/>
      </c>
      <c r="O52">
        <f>IF($J52="","",MATCH($L52,บันทึกรายเที่ยว!$S$6:$S$6005,0))</f>
        <v/>
      </c>
      <c r="P52">
        <f>IF($J52="","",IF(AND(OR($I$3="(ทั้งหมด)",INDEX(บันทึกรายเที่ยว!$C$6:$C$6005,$J52)=$I$3),OR($I$5="(ทั้งหมด)",INDEX(บันทึกรายเที่ยว!$D$6:$D$6005,$J52)=$I$5),OR($I$7="(ทั้งหมด)",INDEX(บันทึกรายเที่ยว!$F$6:$F$6005,$J52)=$I$7)),$N52*10000000+$O52*1000+45,""))</f>
        <v/>
      </c>
      <c r="Q52">
        <f>IFERROR(MATCH(SMALL($P$8:$P$407,45),$P$8:$P$407,0),"")</f>
        <v/>
      </c>
      <c r="R52">
        <f>IF($Q52="","",INDEX($J$8:$J$407,$Q52))</f>
        <v/>
      </c>
      <c r="S52">
        <f>IF($Q52="","",INDEX($M$8:$M$407,$Q52))</f>
        <v/>
      </c>
      <c r="T52">
        <f>IF($Q52="","",INDEX($L$8:$L$407,$Q52))</f>
        <v/>
      </c>
      <c r="U52">
        <f>IF($Q52="","",INDEX($K$8:$K$407,$Q52))</f>
        <v/>
      </c>
      <c r="V52">
        <f>IF($Q52="",0,IF($S52&lt;&gt;$S51,1,0))</f>
        <v/>
      </c>
      <c r="W52">
        <f>IF($Q52="",0,IF($T52&lt;&gt;$T51,1,0))</f>
        <v/>
      </c>
      <c r="X52">
        <f>IF($Q52="",99999+45,$X51+1+$V51+$W51)</f>
        <v/>
      </c>
      <c r="Y52">
        <f>IF($Q52="","",INDEX(บันทึกรายเที่ยว!$Q$6:$Q$6005,$R52))</f>
        <v/>
      </c>
      <c r="Z52">
        <f>IF($Q52="","",INDEX(บันทึกรายเที่ยว!$F$6:$F$6005,$R52))</f>
        <v/>
      </c>
      <c r="AA52">
        <f>IFERROR(MATCH(45,$X$8:$X$407,1),"")</f>
        <v/>
      </c>
      <c r="AB52">
        <f>IF(45=$AD$1+1,"G",IF($AA52="","",IF(INDEX($Q$8:$Q$407,$AA52)="","",IF(45&gt;INDEX($X$8:$X$407,$AA52)+INDEX($V$8:$V$407,$AA52)+INDEX($W$8:$W$407,$AA52),"",IF(45=INDEX($X$8:$X$407,$AA52)+INDEX($V$8:$V$407,$AA52)+INDEX($W$8:$W$407,$AA52),"D",IF(AND(INDEX($W$8:$W$407,$AA52)=1,45=INDEX($X$8:$X$407,$AA52)+INDEX($V$8:$V$407,$AA52)),"S","R"))))))</f>
        <v/>
      </c>
      <c r="AC52">
        <f>IF(OR($AB52="",$AB52="G"),"",IF($AB52="D",INDEX($U$8:$U$407,$AA52),IF($AB52="S",INDEX($T$8:$T$407,$AA52)&amp;"|*",INDEX($S$8:$S$407,$AA52)&amp;"|*")))</f>
        <v/>
      </c>
      <c r="AE52">
        <f>IF($U52="",0,COUNTIF(บันทึกรายเที่ยว!$T$6:$T$6005,$U52))</f>
        <v/>
      </c>
      <c r="AF52">
        <f>IF($U52="",0,ROUND(SUMIF(บันทึกรายเที่ยว!$T$6:$T$6005,$U52,บันทึกรายเที่ยว!$J$6:$J$6005),2))</f>
        <v/>
      </c>
      <c r="AG52">
        <f>IF($U52="",0,ROUND(SUMIF(บันทึกรายเที่ยว!$T$6:$T$6005,$U52,บันทึกรายเที่ยว!$K$6:$K$6005),2))</f>
        <v/>
      </c>
      <c r="AH52">
        <f>IF($U52="",0,ROUND(SUMIF(บันทึกรายเที่ยว!$T$6:$T$6005,$U52,บันทึกรายเที่ยว!$M$6:$M$6005),2))</f>
        <v/>
      </c>
    </row>
    <row r="53" ht="21" customHeight="1" s="66">
      <c r="A53" s="3">
        <f>IF($AB53="G","ผลรวมทั้งหมด",IF($AB53="R",INDEX($S$8:$S$407,$AA53),""))</f>
        <v/>
      </c>
      <c r="B53" s="3">
        <f>IF($AB53="S",INDEX($Y$8:$Y$407,$AA53),"")</f>
        <v/>
      </c>
      <c r="C53" s="68">
        <f>IF($AB53="D",INDEX($Z$8:$Z$407,$AA53),"")</f>
        <v/>
      </c>
      <c r="D53" s="31">
        <f>IF($AB53="G",SUM($AE$8:$AE$407),IF(OR($AB53="",$AB53="R"),"",IF($AB53="D",INDEX($AE$8:$AE$407,$AA53),SUMIF($T$8:$T$407,INDEX($T$8:$T$407,$AA53),$AE$8:$AE$407))))</f>
        <v/>
      </c>
      <c r="E53" s="32">
        <f>IF(46=$AD$1+3,"ขอแสดงความนับถือ",IF(46=$AD$1+6,"(                 )",IF(46=$AD$1+7,"เจ้าหน้าที่ขนส่ง",IF($AB53="G",SUM($AF$8:$AF$407),IF(OR($AB53="",$AB53="R"),"",IF($AB53="D",INDEX($AF$8:$AF$407,$AA53),SUMIF($T$8:$T$407,INDEX($T$8:$T$407,$AA53),$AF$8:$AF$407)))))))</f>
        <v/>
      </c>
      <c r="F53" s="32">
        <f>IF($AB53="G",SUM($AG$8:$AG$407),IF(OR($AB53="",$AB53="R"),"",IF($AB53="D",INDEX($AG$8:$AG$407,$AA53),SUMIF($T$8:$T$407,INDEX($T$8:$T$407,$AA53),$AG$8:$AG$407))))</f>
        <v/>
      </c>
      <c r="G53" s="32">
        <f>IF(OR($AB53="",$AB53="R"),"",ROUND($E53-$F53,2))</f>
        <v/>
      </c>
      <c r="H53" s="32">
        <f>IF($AB53="G",SUM($AH$8:$AH$407),IF(OR($AB53="",$AB53="R"),"",IF($AB53="D",INDEX($AH$8:$AH$407,$AA53),SUMIF($T$8:$T$407,INDEX($T$8:$T$407,$AA53),$AH$8:$AH$407))))</f>
        <v/>
      </c>
      <c r="J53">
        <f>IFERROR(MATCH(46,บันทึกรายเที่ยว!$W$6:$W$6005,0),"")</f>
        <v/>
      </c>
      <c r="K53">
        <f>IF($J53="","",INDEX(บันทึกรายเที่ยว!$T$6:$T$6005,$J53))</f>
        <v/>
      </c>
      <c r="L53">
        <f>IF($J53="","",INDEX(บันทึกรายเที่ยว!$S$6:$S$6005,$J53))</f>
        <v/>
      </c>
      <c r="M53">
        <f>IF($J53="","",INDEX(บันทึกรายเที่ยว!$R$6:$R$6005,$J53))</f>
        <v/>
      </c>
      <c r="N53">
        <f>IF($J53="","",MATCH($M53,บันทึกรายเที่ยว!$R$6:$R$6005,0))</f>
        <v/>
      </c>
      <c r="O53">
        <f>IF($J53="","",MATCH($L53,บันทึกรายเที่ยว!$S$6:$S$6005,0))</f>
        <v/>
      </c>
      <c r="P53">
        <f>IF($J53="","",IF(AND(OR($I$3="(ทั้งหมด)",INDEX(บันทึกรายเที่ยว!$C$6:$C$6005,$J53)=$I$3),OR($I$5="(ทั้งหมด)",INDEX(บันทึกรายเที่ยว!$D$6:$D$6005,$J53)=$I$5),OR($I$7="(ทั้งหมด)",INDEX(บันทึกรายเที่ยว!$F$6:$F$6005,$J53)=$I$7)),$N53*10000000+$O53*1000+46,""))</f>
        <v/>
      </c>
      <c r="Q53">
        <f>IFERROR(MATCH(SMALL($P$8:$P$407,46),$P$8:$P$407,0),"")</f>
        <v/>
      </c>
      <c r="R53">
        <f>IF($Q53="","",INDEX($J$8:$J$407,$Q53))</f>
        <v/>
      </c>
      <c r="S53">
        <f>IF($Q53="","",INDEX($M$8:$M$407,$Q53))</f>
        <v/>
      </c>
      <c r="T53">
        <f>IF($Q53="","",INDEX($L$8:$L$407,$Q53))</f>
        <v/>
      </c>
      <c r="U53">
        <f>IF($Q53="","",INDEX($K$8:$K$407,$Q53))</f>
        <v/>
      </c>
      <c r="V53">
        <f>IF($Q53="",0,IF($S53&lt;&gt;$S52,1,0))</f>
        <v/>
      </c>
      <c r="W53">
        <f>IF($Q53="",0,IF($T53&lt;&gt;$T52,1,0))</f>
        <v/>
      </c>
      <c r="X53">
        <f>IF($Q53="",99999+46,$X52+1+$V52+$W52)</f>
        <v/>
      </c>
      <c r="Y53">
        <f>IF($Q53="","",INDEX(บันทึกรายเที่ยว!$Q$6:$Q$6005,$R53))</f>
        <v/>
      </c>
      <c r="Z53">
        <f>IF($Q53="","",INDEX(บันทึกรายเที่ยว!$F$6:$F$6005,$R53))</f>
        <v/>
      </c>
      <c r="AA53">
        <f>IFERROR(MATCH(46,$X$8:$X$407,1),"")</f>
        <v/>
      </c>
      <c r="AB53">
        <f>IF(46=$AD$1+1,"G",IF($AA53="","",IF(INDEX($Q$8:$Q$407,$AA53)="","",IF(46&gt;INDEX($X$8:$X$407,$AA53)+INDEX($V$8:$V$407,$AA53)+INDEX($W$8:$W$407,$AA53),"",IF(46=INDEX($X$8:$X$407,$AA53)+INDEX($V$8:$V$407,$AA53)+INDEX($W$8:$W$407,$AA53),"D",IF(AND(INDEX($W$8:$W$407,$AA53)=1,46=INDEX($X$8:$X$407,$AA53)+INDEX($V$8:$V$407,$AA53)),"S","R"))))))</f>
        <v/>
      </c>
      <c r="AC53">
        <f>IF(OR($AB53="",$AB53="G"),"",IF($AB53="D",INDEX($U$8:$U$407,$AA53),IF($AB53="S",INDEX($T$8:$T$407,$AA53)&amp;"|*",INDEX($S$8:$S$407,$AA53)&amp;"|*")))</f>
        <v/>
      </c>
      <c r="AE53">
        <f>IF($U53="",0,COUNTIF(บันทึกรายเที่ยว!$T$6:$T$6005,$U53))</f>
        <v/>
      </c>
      <c r="AF53">
        <f>IF($U53="",0,ROUND(SUMIF(บันทึกรายเที่ยว!$T$6:$T$6005,$U53,บันทึกรายเที่ยว!$J$6:$J$6005),2))</f>
        <v/>
      </c>
      <c r="AG53">
        <f>IF($U53="",0,ROUND(SUMIF(บันทึกรายเที่ยว!$T$6:$T$6005,$U53,บันทึกรายเที่ยว!$K$6:$K$6005),2))</f>
        <v/>
      </c>
      <c r="AH53">
        <f>IF($U53="",0,ROUND(SUMIF(บันทึกรายเที่ยว!$T$6:$T$6005,$U53,บันทึกรายเที่ยว!$M$6:$M$6005),2))</f>
        <v/>
      </c>
    </row>
    <row r="54" ht="21" customHeight="1" s="66">
      <c r="A54" s="3">
        <f>IF($AB54="G","ผลรวมทั้งหมด",IF($AB54="R",INDEX($S$8:$S$407,$AA54),""))</f>
        <v/>
      </c>
      <c r="B54" s="3">
        <f>IF($AB54="S",INDEX($Y$8:$Y$407,$AA54),"")</f>
        <v/>
      </c>
      <c r="C54" s="68">
        <f>IF($AB54="D",INDEX($Z$8:$Z$407,$AA54),"")</f>
        <v/>
      </c>
      <c r="D54" s="31">
        <f>IF($AB54="G",SUM($AE$8:$AE$407),IF(OR($AB54="",$AB54="R"),"",IF($AB54="D",INDEX($AE$8:$AE$407,$AA54),SUMIF($T$8:$T$407,INDEX($T$8:$T$407,$AA54),$AE$8:$AE$407))))</f>
        <v/>
      </c>
      <c r="E54" s="32">
        <f>IF(47=$AD$1+3,"ขอแสดงความนับถือ",IF(47=$AD$1+6,"(                 )",IF(47=$AD$1+7,"เจ้าหน้าที่ขนส่ง",IF($AB54="G",SUM($AF$8:$AF$407),IF(OR($AB54="",$AB54="R"),"",IF($AB54="D",INDEX($AF$8:$AF$407,$AA54),SUMIF($T$8:$T$407,INDEX($T$8:$T$407,$AA54),$AF$8:$AF$407)))))))</f>
        <v/>
      </c>
      <c r="F54" s="32">
        <f>IF($AB54="G",SUM($AG$8:$AG$407),IF(OR($AB54="",$AB54="R"),"",IF($AB54="D",INDEX($AG$8:$AG$407,$AA54),SUMIF($T$8:$T$407,INDEX($T$8:$T$407,$AA54),$AG$8:$AG$407))))</f>
        <v/>
      </c>
      <c r="G54" s="32">
        <f>IF(OR($AB54="",$AB54="R"),"",ROUND($E54-$F54,2))</f>
        <v/>
      </c>
      <c r="H54" s="32">
        <f>IF($AB54="G",SUM($AH$8:$AH$407),IF(OR($AB54="",$AB54="R"),"",IF($AB54="D",INDEX($AH$8:$AH$407,$AA54),SUMIF($T$8:$T$407,INDEX($T$8:$T$407,$AA54),$AH$8:$AH$407))))</f>
        <v/>
      </c>
      <c r="J54">
        <f>IFERROR(MATCH(47,บันทึกรายเที่ยว!$W$6:$W$6005,0),"")</f>
        <v/>
      </c>
      <c r="K54">
        <f>IF($J54="","",INDEX(บันทึกรายเที่ยว!$T$6:$T$6005,$J54))</f>
        <v/>
      </c>
      <c r="L54">
        <f>IF($J54="","",INDEX(บันทึกรายเที่ยว!$S$6:$S$6005,$J54))</f>
        <v/>
      </c>
      <c r="M54">
        <f>IF($J54="","",INDEX(บันทึกรายเที่ยว!$R$6:$R$6005,$J54))</f>
        <v/>
      </c>
      <c r="N54">
        <f>IF($J54="","",MATCH($M54,บันทึกรายเที่ยว!$R$6:$R$6005,0))</f>
        <v/>
      </c>
      <c r="O54">
        <f>IF($J54="","",MATCH($L54,บันทึกรายเที่ยว!$S$6:$S$6005,0))</f>
        <v/>
      </c>
      <c r="P54">
        <f>IF($J54="","",IF(AND(OR($I$3="(ทั้งหมด)",INDEX(บันทึกรายเที่ยว!$C$6:$C$6005,$J54)=$I$3),OR($I$5="(ทั้งหมด)",INDEX(บันทึกรายเที่ยว!$D$6:$D$6005,$J54)=$I$5),OR($I$7="(ทั้งหมด)",INDEX(บันทึกรายเที่ยว!$F$6:$F$6005,$J54)=$I$7)),$N54*10000000+$O54*1000+47,""))</f>
        <v/>
      </c>
      <c r="Q54">
        <f>IFERROR(MATCH(SMALL($P$8:$P$407,47),$P$8:$P$407,0),"")</f>
        <v/>
      </c>
      <c r="R54">
        <f>IF($Q54="","",INDEX($J$8:$J$407,$Q54))</f>
        <v/>
      </c>
      <c r="S54">
        <f>IF($Q54="","",INDEX($M$8:$M$407,$Q54))</f>
        <v/>
      </c>
      <c r="T54">
        <f>IF($Q54="","",INDEX($L$8:$L$407,$Q54))</f>
        <v/>
      </c>
      <c r="U54">
        <f>IF($Q54="","",INDEX($K$8:$K$407,$Q54))</f>
        <v/>
      </c>
      <c r="V54">
        <f>IF($Q54="",0,IF($S54&lt;&gt;$S53,1,0))</f>
        <v/>
      </c>
      <c r="W54">
        <f>IF($Q54="",0,IF($T54&lt;&gt;$T53,1,0))</f>
        <v/>
      </c>
      <c r="X54">
        <f>IF($Q54="",99999+47,$X53+1+$V53+$W53)</f>
        <v/>
      </c>
      <c r="Y54">
        <f>IF($Q54="","",INDEX(บันทึกรายเที่ยว!$Q$6:$Q$6005,$R54))</f>
        <v/>
      </c>
      <c r="Z54">
        <f>IF($Q54="","",INDEX(บันทึกรายเที่ยว!$F$6:$F$6005,$R54))</f>
        <v/>
      </c>
      <c r="AA54">
        <f>IFERROR(MATCH(47,$X$8:$X$407,1),"")</f>
        <v/>
      </c>
      <c r="AB54">
        <f>IF(47=$AD$1+1,"G",IF($AA54="","",IF(INDEX($Q$8:$Q$407,$AA54)="","",IF(47&gt;INDEX($X$8:$X$407,$AA54)+INDEX($V$8:$V$407,$AA54)+INDEX($W$8:$W$407,$AA54),"",IF(47=INDEX($X$8:$X$407,$AA54)+INDEX($V$8:$V$407,$AA54)+INDEX($W$8:$W$407,$AA54),"D",IF(AND(INDEX($W$8:$W$407,$AA54)=1,47=INDEX($X$8:$X$407,$AA54)+INDEX($V$8:$V$407,$AA54)),"S","R"))))))</f>
        <v/>
      </c>
      <c r="AC54">
        <f>IF(OR($AB54="",$AB54="G"),"",IF($AB54="D",INDEX($U$8:$U$407,$AA54),IF($AB54="S",INDEX($T$8:$T$407,$AA54)&amp;"|*",INDEX($S$8:$S$407,$AA54)&amp;"|*")))</f>
        <v/>
      </c>
      <c r="AE54">
        <f>IF($U54="",0,COUNTIF(บันทึกรายเที่ยว!$T$6:$T$6005,$U54))</f>
        <v/>
      </c>
      <c r="AF54">
        <f>IF($U54="",0,ROUND(SUMIF(บันทึกรายเที่ยว!$T$6:$T$6005,$U54,บันทึกรายเที่ยว!$J$6:$J$6005),2))</f>
        <v/>
      </c>
      <c r="AG54">
        <f>IF($U54="",0,ROUND(SUMIF(บันทึกรายเที่ยว!$T$6:$T$6005,$U54,บันทึกรายเที่ยว!$K$6:$K$6005),2))</f>
        <v/>
      </c>
      <c r="AH54">
        <f>IF($U54="",0,ROUND(SUMIF(บันทึกรายเที่ยว!$T$6:$T$6005,$U54,บันทึกรายเที่ยว!$M$6:$M$6005),2))</f>
        <v/>
      </c>
    </row>
    <row r="55" ht="21" customHeight="1" s="66">
      <c r="A55" s="3">
        <f>IF($AB55="G","ผลรวมทั้งหมด",IF($AB55="R",INDEX($S$8:$S$407,$AA55),""))</f>
        <v/>
      </c>
      <c r="B55" s="3">
        <f>IF($AB55="S",INDEX($Y$8:$Y$407,$AA55),"")</f>
        <v/>
      </c>
      <c r="C55" s="68">
        <f>IF($AB55="D",INDEX($Z$8:$Z$407,$AA55),"")</f>
        <v/>
      </c>
      <c r="D55" s="31">
        <f>IF($AB55="G",SUM($AE$8:$AE$407),IF(OR($AB55="",$AB55="R"),"",IF($AB55="D",INDEX($AE$8:$AE$407,$AA55),SUMIF($T$8:$T$407,INDEX($T$8:$T$407,$AA55),$AE$8:$AE$407))))</f>
        <v/>
      </c>
      <c r="E55" s="32">
        <f>IF(48=$AD$1+3,"ขอแสดงความนับถือ",IF(48=$AD$1+6,"(                 )",IF(48=$AD$1+7,"เจ้าหน้าที่ขนส่ง",IF($AB55="G",SUM($AF$8:$AF$407),IF(OR($AB55="",$AB55="R"),"",IF($AB55="D",INDEX($AF$8:$AF$407,$AA55),SUMIF($T$8:$T$407,INDEX($T$8:$T$407,$AA55),$AF$8:$AF$407)))))))</f>
        <v/>
      </c>
      <c r="F55" s="32">
        <f>IF($AB55="G",SUM($AG$8:$AG$407),IF(OR($AB55="",$AB55="R"),"",IF($AB55="D",INDEX($AG$8:$AG$407,$AA55),SUMIF($T$8:$T$407,INDEX($T$8:$T$407,$AA55),$AG$8:$AG$407))))</f>
        <v/>
      </c>
      <c r="G55" s="32">
        <f>IF(OR($AB55="",$AB55="R"),"",ROUND($E55-$F55,2))</f>
        <v/>
      </c>
      <c r="H55" s="32">
        <f>IF($AB55="G",SUM($AH$8:$AH$407),IF(OR($AB55="",$AB55="R"),"",IF($AB55="D",INDEX($AH$8:$AH$407,$AA55),SUMIF($T$8:$T$407,INDEX($T$8:$T$407,$AA55),$AH$8:$AH$407))))</f>
        <v/>
      </c>
      <c r="J55">
        <f>IFERROR(MATCH(48,บันทึกรายเที่ยว!$W$6:$W$6005,0),"")</f>
        <v/>
      </c>
      <c r="K55">
        <f>IF($J55="","",INDEX(บันทึกรายเที่ยว!$T$6:$T$6005,$J55))</f>
        <v/>
      </c>
      <c r="L55">
        <f>IF($J55="","",INDEX(บันทึกรายเที่ยว!$S$6:$S$6005,$J55))</f>
        <v/>
      </c>
      <c r="M55">
        <f>IF($J55="","",INDEX(บันทึกรายเที่ยว!$R$6:$R$6005,$J55))</f>
        <v/>
      </c>
      <c r="N55">
        <f>IF($J55="","",MATCH($M55,บันทึกรายเที่ยว!$R$6:$R$6005,0))</f>
        <v/>
      </c>
      <c r="O55">
        <f>IF($J55="","",MATCH($L55,บันทึกรายเที่ยว!$S$6:$S$6005,0))</f>
        <v/>
      </c>
      <c r="P55">
        <f>IF($J55="","",IF(AND(OR($I$3="(ทั้งหมด)",INDEX(บันทึกรายเที่ยว!$C$6:$C$6005,$J55)=$I$3),OR($I$5="(ทั้งหมด)",INDEX(บันทึกรายเที่ยว!$D$6:$D$6005,$J55)=$I$5),OR($I$7="(ทั้งหมด)",INDEX(บันทึกรายเที่ยว!$F$6:$F$6005,$J55)=$I$7)),$N55*10000000+$O55*1000+48,""))</f>
        <v/>
      </c>
      <c r="Q55">
        <f>IFERROR(MATCH(SMALL($P$8:$P$407,48),$P$8:$P$407,0),"")</f>
        <v/>
      </c>
      <c r="R55">
        <f>IF($Q55="","",INDEX($J$8:$J$407,$Q55))</f>
        <v/>
      </c>
      <c r="S55">
        <f>IF($Q55="","",INDEX($M$8:$M$407,$Q55))</f>
        <v/>
      </c>
      <c r="T55">
        <f>IF($Q55="","",INDEX($L$8:$L$407,$Q55))</f>
        <v/>
      </c>
      <c r="U55">
        <f>IF($Q55="","",INDEX($K$8:$K$407,$Q55))</f>
        <v/>
      </c>
      <c r="V55">
        <f>IF($Q55="",0,IF($S55&lt;&gt;$S54,1,0))</f>
        <v/>
      </c>
      <c r="W55">
        <f>IF($Q55="",0,IF($T55&lt;&gt;$T54,1,0))</f>
        <v/>
      </c>
      <c r="X55">
        <f>IF($Q55="",99999+48,$X54+1+$V54+$W54)</f>
        <v/>
      </c>
      <c r="Y55">
        <f>IF($Q55="","",INDEX(บันทึกรายเที่ยว!$Q$6:$Q$6005,$R55))</f>
        <v/>
      </c>
      <c r="Z55">
        <f>IF($Q55="","",INDEX(บันทึกรายเที่ยว!$F$6:$F$6005,$R55))</f>
        <v/>
      </c>
      <c r="AA55">
        <f>IFERROR(MATCH(48,$X$8:$X$407,1),"")</f>
        <v/>
      </c>
      <c r="AB55">
        <f>IF(48=$AD$1+1,"G",IF($AA55="","",IF(INDEX($Q$8:$Q$407,$AA55)="","",IF(48&gt;INDEX($X$8:$X$407,$AA55)+INDEX($V$8:$V$407,$AA55)+INDEX($W$8:$W$407,$AA55),"",IF(48=INDEX($X$8:$X$407,$AA55)+INDEX($V$8:$V$407,$AA55)+INDEX($W$8:$W$407,$AA55),"D",IF(AND(INDEX($W$8:$W$407,$AA55)=1,48=INDEX($X$8:$X$407,$AA55)+INDEX($V$8:$V$407,$AA55)),"S","R"))))))</f>
        <v/>
      </c>
      <c r="AC55">
        <f>IF(OR($AB55="",$AB55="G"),"",IF($AB55="D",INDEX($U$8:$U$407,$AA55),IF($AB55="S",INDEX($T$8:$T$407,$AA55)&amp;"|*",INDEX($S$8:$S$407,$AA55)&amp;"|*")))</f>
        <v/>
      </c>
      <c r="AE55">
        <f>IF($U55="",0,COUNTIF(บันทึกรายเที่ยว!$T$6:$T$6005,$U55))</f>
        <v/>
      </c>
      <c r="AF55">
        <f>IF($U55="",0,ROUND(SUMIF(บันทึกรายเที่ยว!$T$6:$T$6005,$U55,บันทึกรายเที่ยว!$J$6:$J$6005),2))</f>
        <v/>
      </c>
      <c r="AG55">
        <f>IF($U55="",0,ROUND(SUMIF(บันทึกรายเที่ยว!$T$6:$T$6005,$U55,บันทึกรายเที่ยว!$K$6:$K$6005),2))</f>
        <v/>
      </c>
      <c r="AH55">
        <f>IF($U55="",0,ROUND(SUMIF(บันทึกรายเที่ยว!$T$6:$T$6005,$U55,บันทึกรายเที่ยว!$M$6:$M$6005),2))</f>
        <v/>
      </c>
    </row>
    <row r="56" ht="21" customHeight="1" s="66">
      <c r="A56" s="3">
        <f>IF($AB56="G","ผลรวมทั้งหมด",IF($AB56="R",INDEX($S$8:$S$407,$AA56),""))</f>
        <v/>
      </c>
      <c r="B56" s="3">
        <f>IF($AB56="S",INDEX($Y$8:$Y$407,$AA56),"")</f>
        <v/>
      </c>
      <c r="C56" s="68">
        <f>IF($AB56="D",INDEX($Z$8:$Z$407,$AA56),"")</f>
        <v/>
      </c>
      <c r="D56" s="31">
        <f>IF($AB56="G",SUM($AE$8:$AE$407),IF(OR($AB56="",$AB56="R"),"",IF($AB56="D",INDEX($AE$8:$AE$407,$AA56),SUMIF($T$8:$T$407,INDEX($T$8:$T$407,$AA56),$AE$8:$AE$407))))</f>
        <v/>
      </c>
      <c r="E56" s="32">
        <f>IF(49=$AD$1+3,"ขอแสดงความนับถือ",IF(49=$AD$1+6,"(                 )",IF(49=$AD$1+7,"เจ้าหน้าที่ขนส่ง",IF($AB56="G",SUM($AF$8:$AF$407),IF(OR($AB56="",$AB56="R"),"",IF($AB56="D",INDEX($AF$8:$AF$407,$AA56),SUMIF($T$8:$T$407,INDEX($T$8:$T$407,$AA56),$AF$8:$AF$407)))))))</f>
        <v/>
      </c>
      <c r="F56" s="32">
        <f>IF($AB56="G",SUM($AG$8:$AG$407),IF(OR($AB56="",$AB56="R"),"",IF($AB56="D",INDEX($AG$8:$AG$407,$AA56),SUMIF($T$8:$T$407,INDEX($T$8:$T$407,$AA56),$AG$8:$AG$407))))</f>
        <v/>
      </c>
      <c r="G56" s="32">
        <f>IF(OR($AB56="",$AB56="R"),"",ROUND($E56-$F56,2))</f>
        <v/>
      </c>
      <c r="H56" s="32">
        <f>IF($AB56="G",SUM($AH$8:$AH$407),IF(OR($AB56="",$AB56="R"),"",IF($AB56="D",INDEX($AH$8:$AH$407,$AA56),SUMIF($T$8:$T$407,INDEX($T$8:$T$407,$AA56),$AH$8:$AH$407))))</f>
        <v/>
      </c>
      <c r="J56">
        <f>IFERROR(MATCH(49,บันทึกรายเที่ยว!$W$6:$W$6005,0),"")</f>
        <v/>
      </c>
      <c r="K56">
        <f>IF($J56="","",INDEX(บันทึกรายเที่ยว!$T$6:$T$6005,$J56))</f>
        <v/>
      </c>
      <c r="L56">
        <f>IF($J56="","",INDEX(บันทึกรายเที่ยว!$S$6:$S$6005,$J56))</f>
        <v/>
      </c>
      <c r="M56">
        <f>IF($J56="","",INDEX(บันทึกรายเที่ยว!$R$6:$R$6005,$J56))</f>
        <v/>
      </c>
      <c r="N56">
        <f>IF($J56="","",MATCH($M56,บันทึกรายเที่ยว!$R$6:$R$6005,0))</f>
        <v/>
      </c>
      <c r="O56">
        <f>IF($J56="","",MATCH($L56,บันทึกรายเที่ยว!$S$6:$S$6005,0))</f>
        <v/>
      </c>
      <c r="P56">
        <f>IF($J56="","",IF(AND(OR($I$3="(ทั้งหมด)",INDEX(บันทึกรายเที่ยว!$C$6:$C$6005,$J56)=$I$3),OR($I$5="(ทั้งหมด)",INDEX(บันทึกรายเที่ยว!$D$6:$D$6005,$J56)=$I$5),OR($I$7="(ทั้งหมด)",INDEX(บันทึกรายเที่ยว!$F$6:$F$6005,$J56)=$I$7)),$N56*10000000+$O56*1000+49,""))</f>
        <v/>
      </c>
      <c r="Q56">
        <f>IFERROR(MATCH(SMALL($P$8:$P$407,49),$P$8:$P$407,0),"")</f>
        <v/>
      </c>
      <c r="R56">
        <f>IF($Q56="","",INDEX($J$8:$J$407,$Q56))</f>
        <v/>
      </c>
      <c r="S56">
        <f>IF($Q56="","",INDEX($M$8:$M$407,$Q56))</f>
        <v/>
      </c>
      <c r="T56">
        <f>IF($Q56="","",INDEX($L$8:$L$407,$Q56))</f>
        <v/>
      </c>
      <c r="U56">
        <f>IF($Q56="","",INDEX($K$8:$K$407,$Q56))</f>
        <v/>
      </c>
      <c r="V56">
        <f>IF($Q56="",0,IF($S56&lt;&gt;$S55,1,0))</f>
        <v/>
      </c>
      <c r="W56">
        <f>IF($Q56="",0,IF($T56&lt;&gt;$T55,1,0))</f>
        <v/>
      </c>
      <c r="X56">
        <f>IF($Q56="",99999+49,$X55+1+$V55+$W55)</f>
        <v/>
      </c>
      <c r="Y56">
        <f>IF($Q56="","",INDEX(บันทึกรายเที่ยว!$Q$6:$Q$6005,$R56))</f>
        <v/>
      </c>
      <c r="Z56">
        <f>IF($Q56="","",INDEX(บันทึกรายเที่ยว!$F$6:$F$6005,$R56))</f>
        <v/>
      </c>
      <c r="AA56">
        <f>IFERROR(MATCH(49,$X$8:$X$407,1),"")</f>
        <v/>
      </c>
      <c r="AB56">
        <f>IF(49=$AD$1+1,"G",IF($AA56="","",IF(INDEX($Q$8:$Q$407,$AA56)="","",IF(49&gt;INDEX($X$8:$X$407,$AA56)+INDEX($V$8:$V$407,$AA56)+INDEX($W$8:$W$407,$AA56),"",IF(49=INDEX($X$8:$X$407,$AA56)+INDEX($V$8:$V$407,$AA56)+INDEX($W$8:$W$407,$AA56),"D",IF(AND(INDEX($W$8:$W$407,$AA56)=1,49=INDEX($X$8:$X$407,$AA56)+INDEX($V$8:$V$407,$AA56)),"S","R"))))))</f>
        <v/>
      </c>
      <c r="AC56">
        <f>IF(OR($AB56="",$AB56="G"),"",IF($AB56="D",INDEX($U$8:$U$407,$AA56),IF($AB56="S",INDEX($T$8:$T$407,$AA56)&amp;"|*",INDEX($S$8:$S$407,$AA56)&amp;"|*")))</f>
        <v/>
      </c>
      <c r="AE56">
        <f>IF($U56="",0,COUNTIF(บันทึกรายเที่ยว!$T$6:$T$6005,$U56))</f>
        <v/>
      </c>
      <c r="AF56">
        <f>IF($U56="",0,ROUND(SUMIF(บันทึกรายเที่ยว!$T$6:$T$6005,$U56,บันทึกรายเที่ยว!$J$6:$J$6005),2))</f>
        <v/>
      </c>
      <c r="AG56">
        <f>IF($U56="",0,ROUND(SUMIF(บันทึกรายเที่ยว!$T$6:$T$6005,$U56,บันทึกรายเที่ยว!$K$6:$K$6005),2))</f>
        <v/>
      </c>
      <c r="AH56">
        <f>IF($U56="",0,ROUND(SUMIF(บันทึกรายเที่ยว!$T$6:$T$6005,$U56,บันทึกรายเที่ยว!$M$6:$M$6005),2))</f>
        <v/>
      </c>
    </row>
    <row r="57" ht="21" customHeight="1" s="66">
      <c r="A57" s="3">
        <f>IF($AB57="G","ผลรวมทั้งหมด",IF($AB57="R",INDEX($S$8:$S$407,$AA57),""))</f>
        <v/>
      </c>
      <c r="B57" s="3">
        <f>IF($AB57="S",INDEX($Y$8:$Y$407,$AA57),"")</f>
        <v/>
      </c>
      <c r="C57" s="68">
        <f>IF($AB57="D",INDEX($Z$8:$Z$407,$AA57),"")</f>
        <v/>
      </c>
      <c r="D57" s="31">
        <f>IF($AB57="G",SUM($AE$8:$AE$407),IF(OR($AB57="",$AB57="R"),"",IF($AB57="D",INDEX($AE$8:$AE$407,$AA57),SUMIF($T$8:$T$407,INDEX($T$8:$T$407,$AA57),$AE$8:$AE$407))))</f>
        <v/>
      </c>
      <c r="E57" s="32">
        <f>IF(50=$AD$1+3,"ขอแสดงความนับถือ",IF(50=$AD$1+6,"(                 )",IF(50=$AD$1+7,"เจ้าหน้าที่ขนส่ง",IF($AB57="G",SUM($AF$8:$AF$407),IF(OR($AB57="",$AB57="R"),"",IF($AB57="D",INDEX($AF$8:$AF$407,$AA57),SUMIF($T$8:$T$407,INDEX($T$8:$T$407,$AA57),$AF$8:$AF$407)))))))</f>
        <v/>
      </c>
      <c r="F57" s="32">
        <f>IF($AB57="G",SUM($AG$8:$AG$407),IF(OR($AB57="",$AB57="R"),"",IF($AB57="D",INDEX($AG$8:$AG$407,$AA57),SUMIF($T$8:$T$407,INDEX($T$8:$T$407,$AA57),$AG$8:$AG$407))))</f>
        <v/>
      </c>
      <c r="G57" s="32">
        <f>IF(OR($AB57="",$AB57="R"),"",ROUND($E57-$F57,2))</f>
        <v/>
      </c>
      <c r="H57" s="32">
        <f>IF($AB57="G",SUM($AH$8:$AH$407),IF(OR($AB57="",$AB57="R"),"",IF($AB57="D",INDEX($AH$8:$AH$407,$AA57),SUMIF($T$8:$T$407,INDEX($T$8:$T$407,$AA57),$AH$8:$AH$407))))</f>
        <v/>
      </c>
      <c r="J57">
        <f>IFERROR(MATCH(50,บันทึกรายเที่ยว!$W$6:$W$6005,0),"")</f>
        <v/>
      </c>
      <c r="K57">
        <f>IF($J57="","",INDEX(บันทึกรายเที่ยว!$T$6:$T$6005,$J57))</f>
        <v/>
      </c>
      <c r="L57">
        <f>IF($J57="","",INDEX(บันทึกรายเที่ยว!$S$6:$S$6005,$J57))</f>
        <v/>
      </c>
      <c r="M57">
        <f>IF($J57="","",INDEX(บันทึกรายเที่ยว!$R$6:$R$6005,$J57))</f>
        <v/>
      </c>
      <c r="N57">
        <f>IF($J57="","",MATCH($M57,บันทึกรายเที่ยว!$R$6:$R$6005,0))</f>
        <v/>
      </c>
      <c r="O57">
        <f>IF($J57="","",MATCH($L57,บันทึกรายเที่ยว!$S$6:$S$6005,0))</f>
        <v/>
      </c>
      <c r="P57">
        <f>IF($J57="","",IF(AND(OR($I$3="(ทั้งหมด)",INDEX(บันทึกรายเที่ยว!$C$6:$C$6005,$J57)=$I$3),OR($I$5="(ทั้งหมด)",INDEX(บันทึกรายเที่ยว!$D$6:$D$6005,$J57)=$I$5),OR($I$7="(ทั้งหมด)",INDEX(บันทึกรายเที่ยว!$F$6:$F$6005,$J57)=$I$7)),$N57*10000000+$O57*1000+50,""))</f>
        <v/>
      </c>
      <c r="Q57">
        <f>IFERROR(MATCH(SMALL($P$8:$P$407,50),$P$8:$P$407,0),"")</f>
        <v/>
      </c>
      <c r="R57">
        <f>IF($Q57="","",INDEX($J$8:$J$407,$Q57))</f>
        <v/>
      </c>
      <c r="S57">
        <f>IF($Q57="","",INDEX($M$8:$M$407,$Q57))</f>
        <v/>
      </c>
      <c r="T57">
        <f>IF($Q57="","",INDEX($L$8:$L$407,$Q57))</f>
        <v/>
      </c>
      <c r="U57">
        <f>IF($Q57="","",INDEX($K$8:$K$407,$Q57))</f>
        <v/>
      </c>
      <c r="V57">
        <f>IF($Q57="",0,IF($S57&lt;&gt;$S56,1,0))</f>
        <v/>
      </c>
      <c r="W57">
        <f>IF($Q57="",0,IF($T57&lt;&gt;$T56,1,0))</f>
        <v/>
      </c>
      <c r="X57">
        <f>IF($Q57="",99999+50,$X56+1+$V56+$W56)</f>
        <v/>
      </c>
      <c r="Y57">
        <f>IF($Q57="","",INDEX(บันทึกรายเที่ยว!$Q$6:$Q$6005,$R57))</f>
        <v/>
      </c>
      <c r="Z57">
        <f>IF($Q57="","",INDEX(บันทึกรายเที่ยว!$F$6:$F$6005,$R57))</f>
        <v/>
      </c>
      <c r="AA57">
        <f>IFERROR(MATCH(50,$X$8:$X$407,1),"")</f>
        <v/>
      </c>
      <c r="AB57">
        <f>IF(50=$AD$1+1,"G",IF($AA57="","",IF(INDEX($Q$8:$Q$407,$AA57)="","",IF(50&gt;INDEX($X$8:$X$407,$AA57)+INDEX($V$8:$V$407,$AA57)+INDEX($W$8:$W$407,$AA57),"",IF(50=INDEX($X$8:$X$407,$AA57)+INDEX($V$8:$V$407,$AA57)+INDEX($W$8:$W$407,$AA57),"D",IF(AND(INDEX($W$8:$W$407,$AA57)=1,50=INDEX($X$8:$X$407,$AA57)+INDEX($V$8:$V$407,$AA57)),"S","R"))))))</f>
        <v/>
      </c>
      <c r="AC57">
        <f>IF(OR($AB57="",$AB57="G"),"",IF($AB57="D",INDEX($U$8:$U$407,$AA57),IF($AB57="S",INDEX($T$8:$T$407,$AA57)&amp;"|*",INDEX($S$8:$S$407,$AA57)&amp;"|*")))</f>
        <v/>
      </c>
      <c r="AE57">
        <f>IF($U57="",0,COUNTIF(บันทึกรายเที่ยว!$T$6:$T$6005,$U57))</f>
        <v/>
      </c>
      <c r="AF57">
        <f>IF($U57="",0,ROUND(SUMIF(บันทึกรายเที่ยว!$T$6:$T$6005,$U57,บันทึกรายเที่ยว!$J$6:$J$6005),2))</f>
        <v/>
      </c>
      <c r="AG57">
        <f>IF($U57="",0,ROUND(SUMIF(บันทึกรายเที่ยว!$T$6:$T$6005,$U57,บันทึกรายเที่ยว!$K$6:$K$6005),2))</f>
        <v/>
      </c>
      <c r="AH57">
        <f>IF($U57="",0,ROUND(SUMIF(บันทึกรายเที่ยว!$T$6:$T$6005,$U57,บันทึกรายเที่ยว!$M$6:$M$6005),2))</f>
        <v/>
      </c>
    </row>
    <row r="58" ht="21" customHeight="1" s="66">
      <c r="A58" s="3">
        <f>IF($AB58="G","ผลรวมทั้งหมด",IF($AB58="R",INDEX($S$8:$S$407,$AA58),""))</f>
        <v/>
      </c>
      <c r="B58" s="3">
        <f>IF($AB58="S",INDEX($Y$8:$Y$407,$AA58),"")</f>
        <v/>
      </c>
      <c r="C58" s="68">
        <f>IF($AB58="D",INDEX($Z$8:$Z$407,$AA58),"")</f>
        <v/>
      </c>
      <c r="D58" s="31">
        <f>IF($AB58="G",SUM($AE$8:$AE$407),IF(OR($AB58="",$AB58="R"),"",IF($AB58="D",INDEX($AE$8:$AE$407,$AA58),SUMIF($T$8:$T$407,INDEX($T$8:$T$407,$AA58),$AE$8:$AE$407))))</f>
        <v/>
      </c>
      <c r="E58" s="32">
        <f>IF(51=$AD$1+3,"ขอแสดงความนับถือ",IF(51=$AD$1+6,"(                 )",IF(51=$AD$1+7,"เจ้าหน้าที่ขนส่ง",IF($AB58="G",SUM($AF$8:$AF$407),IF(OR($AB58="",$AB58="R"),"",IF($AB58="D",INDEX($AF$8:$AF$407,$AA58),SUMIF($T$8:$T$407,INDEX($T$8:$T$407,$AA58),$AF$8:$AF$407)))))))</f>
        <v/>
      </c>
      <c r="F58" s="32">
        <f>IF($AB58="G",SUM($AG$8:$AG$407),IF(OR($AB58="",$AB58="R"),"",IF($AB58="D",INDEX($AG$8:$AG$407,$AA58),SUMIF($T$8:$T$407,INDEX($T$8:$T$407,$AA58),$AG$8:$AG$407))))</f>
        <v/>
      </c>
      <c r="G58" s="32">
        <f>IF(OR($AB58="",$AB58="R"),"",ROUND($E58-$F58,2))</f>
        <v/>
      </c>
      <c r="H58" s="32">
        <f>IF($AB58="G",SUM($AH$8:$AH$407),IF(OR($AB58="",$AB58="R"),"",IF($AB58="D",INDEX($AH$8:$AH$407,$AA58),SUMIF($T$8:$T$407,INDEX($T$8:$T$407,$AA58),$AH$8:$AH$407))))</f>
        <v/>
      </c>
      <c r="J58">
        <f>IFERROR(MATCH(51,บันทึกรายเที่ยว!$W$6:$W$6005,0),"")</f>
        <v/>
      </c>
      <c r="K58">
        <f>IF($J58="","",INDEX(บันทึกรายเที่ยว!$T$6:$T$6005,$J58))</f>
        <v/>
      </c>
      <c r="L58">
        <f>IF($J58="","",INDEX(บันทึกรายเที่ยว!$S$6:$S$6005,$J58))</f>
        <v/>
      </c>
      <c r="M58">
        <f>IF($J58="","",INDEX(บันทึกรายเที่ยว!$R$6:$R$6005,$J58))</f>
        <v/>
      </c>
      <c r="N58">
        <f>IF($J58="","",MATCH($M58,บันทึกรายเที่ยว!$R$6:$R$6005,0))</f>
        <v/>
      </c>
      <c r="O58">
        <f>IF($J58="","",MATCH($L58,บันทึกรายเที่ยว!$S$6:$S$6005,0))</f>
        <v/>
      </c>
      <c r="P58">
        <f>IF($J58="","",IF(AND(OR($I$3="(ทั้งหมด)",INDEX(บันทึกรายเที่ยว!$C$6:$C$6005,$J58)=$I$3),OR($I$5="(ทั้งหมด)",INDEX(บันทึกรายเที่ยว!$D$6:$D$6005,$J58)=$I$5),OR($I$7="(ทั้งหมด)",INDEX(บันทึกรายเที่ยว!$F$6:$F$6005,$J58)=$I$7)),$N58*10000000+$O58*1000+51,""))</f>
        <v/>
      </c>
      <c r="Q58">
        <f>IFERROR(MATCH(SMALL($P$8:$P$407,51),$P$8:$P$407,0),"")</f>
        <v/>
      </c>
      <c r="R58">
        <f>IF($Q58="","",INDEX($J$8:$J$407,$Q58))</f>
        <v/>
      </c>
      <c r="S58">
        <f>IF($Q58="","",INDEX($M$8:$M$407,$Q58))</f>
        <v/>
      </c>
      <c r="T58">
        <f>IF($Q58="","",INDEX($L$8:$L$407,$Q58))</f>
        <v/>
      </c>
      <c r="U58">
        <f>IF($Q58="","",INDEX($K$8:$K$407,$Q58))</f>
        <v/>
      </c>
      <c r="V58">
        <f>IF($Q58="",0,IF($S58&lt;&gt;$S57,1,0))</f>
        <v/>
      </c>
      <c r="W58">
        <f>IF($Q58="",0,IF($T58&lt;&gt;$T57,1,0))</f>
        <v/>
      </c>
      <c r="X58">
        <f>IF($Q58="",99999+51,$X57+1+$V57+$W57)</f>
        <v/>
      </c>
      <c r="Y58">
        <f>IF($Q58="","",INDEX(บันทึกรายเที่ยว!$Q$6:$Q$6005,$R58))</f>
        <v/>
      </c>
      <c r="Z58">
        <f>IF($Q58="","",INDEX(บันทึกรายเที่ยว!$F$6:$F$6005,$R58))</f>
        <v/>
      </c>
      <c r="AA58">
        <f>IFERROR(MATCH(51,$X$8:$X$407,1),"")</f>
        <v/>
      </c>
      <c r="AB58">
        <f>IF(51=$AD$1+1,"G",IF($AA58="","",IF(INDEX($Q$8:$Q$407,$AA58)="","",IF(51&gt;INDEX($X$8:$X$407,$AA58)+INDEX($V$8:$V$407,$AA58)+INDEX($W$8:$W$407,$AA58),"",IF(51=INDEX($X$8:$X$407,$AA58)+INDEX($V$8:$V$407,$AA58)+INDEX($W$8:$W$407,$AA58),"D",IF(AND(INDEX($W$8:$W$407,$AA58)=1,51=INDEX($X$8:$X$407,$AA58)+INDEX($V$8:$V$407,$AA58)),"S","R"))))))</f>
        <v/>
      </c>
      <c r="AC58">
        <f>IF(OR($AB58="",$AB58="G"),"",IF($AB58="D",INDEX($U$8:$U$407,$AA58),IF($AB58="S",INDEX($T$8:$T$407,$AA58)&amp;"|*",INDEX($S$8:$S$407,$AA58)&amp;"|*")))</f>
        <v/>
      </c>
      <c r="AE58">
        <f>IF($U58="",0,COUNTIF(บันทึกรายเที่ยว!$T$6:$T$6005,$U58))</f>
        <v/>
      </c>
      <c r="AF58">
        <f>IF($U58="",0,ROUND(SUMIF(บันทึกรายเที่ยว!$T$6:$T$6005,$U58,บันทึกรายเที่ยว!$J$6:$J$6005),2))</f>
        <v/>
      </c>
      <c r="AG58">
        <f>IF($U58="",0,ROUND(SUMIF(บันทึกรายเที่ยว!$T$6:$T$6005,$U58,บันทึกรายเที่ยว!$K$6:$K$6005),2))</f>
        <v/>
      </c>
      <c r="AH58">
        <f>IF($U58="",0,ROUND(SUMIF(บันทึกรายเที่ยว!$T$6:$T$6005,$U58,บันทึกรายเที่ยว!$M$6:$M$6005),2))</f>
        <v/>
      </c>
    </row>
    <row r="59" ht="21" customHeight="1" s="66">
      <c r="A59" s="3">
        <f>IF($AB59="G","ผลรวมทั้งหมด",IF($AB59="R",INDEX($S$8:$S$407,$AA59),""))</f>
        <v/>
      </c>
      <c r="B59" s="3">
        <f>IF($AB59="S",INDEX($Y$8:$Y$407,$AA59),"")</f>
        <v/>
      </c>
      <c r="C59" s="68">
        <f>IF($AB59="D",INDEX($Z$8:$Z$407,$AA59),"")</f>
        <v/>
      </c>
      <c r="D59" s="31">
        <f>IF($AB59="G",SUM($AE$8:$AE$407),IF(OR($AB59="",$AB59="R"),"",IF($AB59="D",INDEX($AE$8:$AE$407,$AA59),SUMIF($T$8:$T$407,INDEX($T$8:$T$407,$AA59),$AE$8:$AE$407))))</f>
        <v/>
      </c>
      <c r="E59" s="32">
        <f>IF(52=$AD$1+3,"ขอแสดงความนับถือ",IF(52=$AD$1+6,"(                 )",IF(52=$AD$1+7,"เจ้าหน้าที่ขนส่ง",IF($AB59="G",SUM($AF$8:$AF$407),IF(OR($AB59="",$AB59="R"),"",IF($AB59="D",INDEX($AF$8:$AF$407,$AA59),SUMIF($T$8:$T$407,INDEX($T$8:$T$407,$AA59),$AF$8:$AF$407)))))))</f>
        <v/>
      </c>
      <c r="F59" s="32">
        <f>IF($AB59="G",SUM($AG$8:$AG$407),IF(OR($AB59="",$AB59="R"),"",IF($AB59="D",INDEX($AG$8:$AG$407,$AA59),SUMIF($T$8:$T$407,INDEX($T$8:$T$407,$AA59),$AG$8:$AG$407))))</f>
        <v/>
      </c>
      <c r="G59" s="32">
        <f>IF(OR($AB59="",$AB59="R"),"",ROUND($E59-$F59,2))</f>
        <v/>
      </c>
      <c r="H59" s="32">
        <f>IF($AB59="G",SUM($AH$8:$AH$407),IF(OR($AB59="",$AB59="R"),"",IF($AB59="D",INDEX($AH$8:$AH$407,$AA59),SUMIF($T$8:$T$407,INDEX($T$8:$T$407,$AA59),$AH$8:$AH$407))))</f>
        <v/>
      </c>
      <c r="J59">
        <f>IFERROR(MATCH(52,บันทึกรายเที่ยว!$W$6:$W$6005,0),"")</f>
        <v/>
      </c>
      <c r="K59">
        <f>IF($J59="","",INDEX(บันทึกรายเที่ยว!$T$6:$T$6005,$J59))</f>
        <v/>
      </c>
      <c r="L59">
        <f>IF($J59="","",INDEX(บันทึกรายเที่ยว!$S$6:$S$6005,$J59))</f>
        <v/>
      </c>
      <c r="M59">
        <f>IF($J59="","",INDEX(บันทึกรายเที่ยว!$R$6:$R$6005,$J59))</f>
        <v/>
      </c>
      <c r="N59">
        <f>IF($J59="","",MATCH($M59,บันทึกรายเที่ยว!$R$6:$R$6005,0))</f>
        <v/>
      </c>
      <c r="O59">
        <f>IF($J59="","",MATCH($L59,บันทึกรายเที่ยว!$S$6:$S$6005,0))</f>
        <v/>
      </c>
      <c r="P59">
        <f>IF($J59="","",IF(AND(OR($I$3="(ทั้งหมด)",INDEX(บันทึกรายเที่ยว!$C$6:$C$6005,$J59)=$I$3),OR($I$5="(ทั้งหมด)",INDEX(บันทึกรายเที่ยว!$D$6:$D$6005,$J59)=$I$5),OR($I$7="(ทั้งหมด)",INDEX(บันทึกรายเที่ยว!$F$6:$F$6005,$J59)=$I$7)),$N59*10000000+$O59*1000+52,""))</f>
        <v/>
      </c>
      <c r="Q59">
        <f>IFERROR(MATCH(SMALL($P$8:$P$407,52),$P$8:$P$407,0),"")</f>
        <v/>
      </c>
      <c r="R59">
        <f>IF($Q59="","",INDEX($J$8:$J$407,$Q59))</f>
        <v/>
      </c>
      <c r="S59">
        <f>IF($Q59="","",INDEX($M$8:$M$407,$Q59))</f>
        <v/>
      </c>
      <c r="T59">
        <f>IF($Q59="","",INDEX($L$8:$L$407,$Q59))</f>
        <v/>
      </c>
      <c r="U59">
        <f>IF($Q59="","",INDEX($K$8:$K$407,$Q59))</f>
        <v/>
      </c>
      <c r="V59">
        <f>IF($Q59="",0,IF($S59&lt;&gt;$S58,1,0))</f>
        <v/>
      </c>
      <c r="W59">
        <f>IF($Q59="",0,IF($T59&lt;&gt;$T58,1,0))</f>
        <v/>
      </c>
      <c r="X59">
        <f>IF($Q59="",99999+52,$X58+1+$V58+$W58)</f>
        <v/>
      </c>
      <c r="Y59">
        <f>IF($Q59="","",INDEX(บันทึกรายเที่ยว!$Q$6:$Q$6005,$R59))</f>
        <v/>
      </c>
      <c r="Z59">
        <f>IF($Q59="","",INDEX(บันทึกรายเที่ยว!$F$6:$F$6005,$R59))</f>
        <v/>
      </c>
      <c r="AA59">
        <f>IFERROR(MATCH(52,$X$8:$X$407,1),"")</f>
        <v/>
      </c>
      <c r="AB59">
        <f>IF(52=$AD$1+1,"G",IF($AA59="","",IF(INDEX($Q$8:$Q$407,$AA59)="","",IF(52&gt;INDEX($X$8:$X$407,$AA59)+INDEX($V$8:$V$407,$AA59)+INDEX($W$8:$W$407,$AA59),"",IF(52=INDEX($X$8:$X$407,$AA59)+INDEX($V$8:$V$407,$AA59)+INDEX($W$8:$W$407,$AA59),"D",IF(AND(INDEX($W$8:$W$407,$AA59)=1,52=INDEX($X$8:$X$407,$AA59)+INDEX($V$8:$V$407,$AA59)),"S","R"))))))</f>
        <v/>
      </c>
      <c r="AC59">
        <f>IF(OR($AB59="",$AB59="G"),"",IF($AB59="D",INDEX($U$8:$U$407,$AA59),IF($AB59="S",INDEX($T$8:$T$407,$AA59)&amp;"|*",INDEX($S$8:$S$407,$AA59)&amp;"|*")))</f>
        <v/>
      </c>
      <c r="AE59">
        <f>IF($U59="",0,COUNTIF(บันทึกรายเที่ยว!$T$6:$T$6005,$U59))</f>
        <v/>
      </c>
      <c r="AF59">
        <f>IF($U59="",0,ROUND(SUMIF(บันทึกรายเที่ยว!$T$6:$T$6005,$U59,บันทึกรายเที่ยว!$J$6:$J$6005),2))</f>
        <v/>
      </c>
      <c r="AG59">
        <f>IF($U59="",0,ROUND(SUMIF(บันทึกรายเที่ยว!$T$6:$T$6005,$U59,บันทึกรายเที่ยว!$K$6:$K$6005),2))</f>
        <v/>
      </c>
      <c r="AH59">
        <f>IF($U59="",0,ROUND(SUMIF(บันทึกรายเที่ยว!$T$6:$T$6005,$U59,บันทึกรายเที่ยว!$M$6:$M$6005),2))</f>
        <v/>
      </c>
    </row>
    <row r="60" ht="21" customHeight="1" s="66">
      <c r="A60" s="3">
        <f>IF($AB60="G","ผลรวมทั้งหมด",IF($AB60="R",INDEX($S$8:$S$407,$AA60),""))</f>
        <v/>
      </c>
      <c r="B60" s="3">
        <f>IF($AB60="S",INDEX($Y$8:$Y$407,$AA60),"")</f>
        <v/>
      </c>
      <c r="C60" s="68">
        <f>IF($AB60="D",INDEX($Z$8:$Z$407,$AA60),"")</f>
        <v/>
      </c>
      <c r="D60" s="31">
        <f>IF($AB60="G",SUM($AE$8:$AE$407),IF(OR($AB60="",$AB60="R"),"",IF($AB60="D",INDEX($AE$8:$AE$407,$AA60),SUMIF($T$8:$T$407,INDEX($T$8:$T$407,$AA60),$AE$8:$AE$407))))</f>
        <v/>
      </c>
      <c r="E60" s="32">
        <f>IF(53=$AD$1+3,"ขอแสดงความนับถือ",IF(53=$AD$1+6,"(                 )",IF(53=$AD$1+7,"เจ้าหน้าที่ขนส่ง",IF($AB60="G",SUM($AF$8:$AF$407),IF(OR($AB60="",$AB60="R"),"",IF($AB60="D",INDEX($AF$8:$AF$407,$AA60),SUMIF($T$8:$T$407,INDEX($T$8:$T$407,$AA60),$AF$8:$AF$407)))))))</f>
        <v/>
      </c>
      <c r="F60" s="32">
        <f>IF($AB60="G",SUM($AG$8:$AG$407),IF(OR($AB60="",$AB60="R"),"",IF($AB60="D",INDEX($AG$8:$AG$407,$AA60),SUMIF($T$8:$T$407,INDEX($T$8:$T$407,$AA60),$AG$8:$AG$407))))</f>
        <v/>
      </c>
      <c r="G60" s="32">
        <f>IF(OR($AB60="",$AB60="R"),"",ROUND($E60-$F60,2))</f>
        <v/>
      </c>
      <c r="H60" s="32">
        <f>IF($AB60="G",SUM($AH$8:$AH$407),IF(OR($AB60="",$AB60="R"),"",IF($AB60="D",INDEX($AH$8:$AH$407,$AA60),SUMIF($T$8:$T$407,INDEX($T$8:$T$407,$AA60),$AH$8:$AH$407))))</f>
        <v/>
      </c>
      <c r="J60">
        <f>IFERROR(MATCH(53,บันทึกรายเที่ยว!$W$6:$W$6005,0),"")</f>
        <v/>
      </c>
      <c r="K60">
        <f>IF($J60="","",INDEX(บันทึกรายเที่ยว!$T$6:$T$6005,$J60))</f>
        <v/>
      </c>
      <c r="L60">
        <f>IF($J60="","",INDEX(บันทึกรายเที่ยว!$S$6:$S$6005,$J60))</f>
        <v/>
      </c>
      <c r="M60">
        <f>IF($J60="","",INDEX(บันทึกรายเที่ยว!$R$6:$R$6005,$J60))</f>
        <v/>
      </c>
      <c r="N60">
        <f>IF($J60="","",MATCH($M60,บันทึกรายเที่ยว!$R$6:$R$6005,0))</f>
        <v/>
      </c>
      <c r="O60">
        <f>IF($J60="","",MATCH($L60,บันทึกรายเที่ยว!$S$6:$S$6005,0))</f>
        <v/>
      </c>
      <c r="P60">
        <f>IF($J60="","",IF(AND(OR($I$3="(ทั้งหมด)",INDEX(บันทึกรายเที่ยว!$C$6:$C$6005,$J60)=$I$3),OR($I$5="(ทั้งหมด)",INDEX(บันทึกรายเที่ยว!$D$6:$D$6005,$J60)=$I$5),OR($I$7="(ทั้งหมด)",INDEX(บันทึกรายเที่ยว!$F$6:$F$6005,$J60)=$I$7)),$N60*10000000+$O60*1000+53,""))</f>
        <v/>
      </c>
      <c r="Q60">
        <f>IFERROR(MATCH(SMALL($P$8:$P$407,53),$P$8:$P$407,0),"")</f>
        <v/>
      </c>
      <c r="R60">
        <f>IF($Q60="","",INDEX($J$8:$J$407,$Q60))</f>
        <v/>
      </c>
      <c r="S60">
        <f>IF($Q60="","",INDEX($M$8:$M$407,$Q60))</f>
        <v/>
      </c>
      <c r="T60">
        <f>IF($Q60="","",INDEX($L$8:$L$407,$Q60))</f>
        <v/>
      </c>
      <c r="U60">
        <f>IF($Q60="","",INDEX($K$8:$K$407,$Q60))</f>
        <v/>
      </c>
      <c r="V60">
        <f>IF($Q60="",0,IF($S60&lt;&gt;$S59,1,0))</f>
        <v/>
      </c>
      <c r="W60">
        <f>IF($Q60="",0,IF($T60&lt;&gt;$T59,1,0))</f>
        <v/>
      </c>
      <c r="X60">
        <f>IF($Q60="",99999+53,$X59+1+$V59+$W59)</f>
        <v/>
      </c>
      <c r="Y60">
        <f>IF($Q60="","",INDEX(บันทึกรายเที่ยว!$Q$6:$Q$6005,$R60))</f>
        <v/>
      </c>
      <c r="Z60">
        <f>IF($Q60="","",INDEX(บันทึกรายเที่ยว!$F$6:$F$6005,$R60))</f>
        <v/>
      </c>
      <c r="AA60">
        <f>IFERROR(MATCH(53,$X$8:$X$407,1),"")</f>
        <v/>
      </c>
      <c r="AB60">
        <f>IF(53=$AD$1+1,"G",IF($AA60="","",IF(INDEX($Q$8:$Q$407,$AA60)="","",IF(53&gt;INDEX($X$8:$X$407,$AA60)+INDEX($V$8:$V$407,$AA60)+INDEX($W$8:$W$407,$AA60),"",IF(53=INDEX($X$8:$X$407,$AA60)+INDEX($V$8:$V$407,$AA60)+INDEX($W$8:$W$407,$AA60),"D",IF(AND(INDEX($W$8:$W$407,$AA60)=1,53=INDEX($X$8:$X$407,$AA60)+INDEX($V$8:$V$407,$AA60)),"S","R"))))))</f>
        <v/>
      </c>
      <c r="AC60">
        <f>IF(OR($AB60="",$AB60="G"),"",IF($AB60="D",INDEX($U$8:$U$407,$AA60),IF($AB60="S",INDEX($T$8:$T$407,$AA60)&amp;"|*",INDEX($S$8:$S$407,$AA60)&amp;"|*")))</f>
        <v/>
      </c>
      <c r="AE60">
        <f>IF($U60="",0,COUNTIF(บันทึกรายเที่ยว!$T$6:$T$6005,$U60))</f>
        <v/>
      </c>
      <c r="AF60">
        <f>IF($U60="",0,ROUND(SUMIF(บันทึกรายเที่ยว!$T$6:$T$6005,$U60,บันทึกรายเที่ยว!$J$6:$J$6005),2))</f>
        <v/>
      </c>
      <c r="AG60">
        <f>IF($U60="",0,ROUND(SUMIF(บันทึกรายเที่ยว!$T$6:$T$6005,$U60,บันทึกรายเที่ยว!$K$6:$K$6005),2))</f>
        <v/>
      </c>
      <c r="AH60">
        <f>IF($U60="",0,ROUND(SUMIF(บันทึกรายเที่ยว!$T$6:$T$6005,$U60,บันทึกรายเที่ยว!$M$6:$M$6005),2))</f>
        <v/>
      </c>
    </row>
    <row r="61" ht="21" customHeight="1" s="66">
      <c r="A61" s="3">
        <f>IF($AB61="G","ผลรวมทั้งหมด",IF($AB61="R",INDEX($S$8:$S$407,$AA61),""))</f>
        <v/>
      </c>
      <c r="B61" s="3">
        <f>IF($AB61="S",INDEX($Y$8:$Y$407,$AA61),"")</f>
        <v/>
      </c>
      <c r="C61" s="68">
        <f>IF($AB61="D",INDEX($Z$8:$Z$407,$AA61),"")</f>
        <v/>
      </c>
      <c r="D61" s="31">
        <f>IF($AB61="G",SUM($AE$8:$AE$407),IF(OR($AB61="",$AB61="R"),"",IF($AB61="D",INDEX($AE$8:$AE$407,$AA61),SUMIF($T$8:$T$407,INDEX($T$8:$T$407,$AA61),$AE$8:$AE$407))))</f>
        <v/>
      </c>
      <c r="E61" s="32">
        <f>IF(54=$AD$1+3,"ขอแสดงความนับถือ",IF(54=$AD$1+6,"(                 )",IF(54=$AD$1+7,"เจ้าหน้าที่ขนส่ง",IF($AB61="G",SUM($AF$8:$AF$407),IF(OR($AB61="",$AB61="R"),"",IF($AB61="D",INDEX($AF$8:$AF$407,$AA61),SUMIF($T$8:$T$407,INDEX($T$8:$T$407,$AA61),$AF$8:$AF$407)))))))</f>
        <v/>
      </c>
      <c r="F61" s="32">
        <f>IF($AB61="G",SUM($AG$8:$AG$407),IF(OR($AB61="",$AB61="R"),"",IF($AB61="D",INDEX($AG$8:$AG$407,$AA61),SUMIF($T$8:$T$407,INDEX($T$8:$T$407,$AA61),$AG$8:$AG$407))))</f>
        <v/>
      </c>
      <c r="G61" s="32">
        <f>IF(OR($AB61="",$AB61="R"),"",ROUND($E61-$F61,2))</f>
        <v/>
      </c>
      <c r="H61" s="32">
        <f>IF($AB61="G",SUM($AH$8:$AH$407),IF(OR($AB61="",$AB61="R"),"",IF($AB61="D",INDEX($AH$8:$AH$407,$AA61),SUMIF($T$8:$T$407,INDEX($T$8:$T$407,$AA61),$AH$8:$AH$407))))</f>
        <v/>
      </c>
      <c r="J61">
        <f>IFERROR(MATCH(54,บันทึกรายเที่ยว!$W$6:$W$6005,0),"")</f>
        <v/>
      </c>
      <c r="K61">
        <f>IF($J61="","",INDEX(บันทึกรายเที่ยว!$T$6:$T$6005,$J61))</f>
        <v/>
      </c>
      <c r="L61">
        <f>IF($J61="","",INDEX(บันทึกรายเที่ยว!$S$6:$S$6005,$J61))</f>
        <v/>
      </c>
      <c r="M61">
        <f>IF($J61="","",INDEX(บันทึกรายเที่ยว!$R$6:$R$6005,$J61))</f>
        <v/>
      </c>
      <c r="N61">
        <f>IF($J61="","",MATCH($M61,บันทึกรายเที่ยว!$R$6:$R$6005,0))</f>
        <v/>
      </c>
      <c r="O61">
        <f>IF($J61="","",MATCH($L61,บันทึกรายเที่ยว!$S$6:$S$6005,0))</f>
        <v/>
      </c>
      <c r="P61">
        <f>IF($J61="","",IF(AND(OR($I$3="(ทั้งหมด)",INDEX(บันทึกรายเที่ยว!$C$6:$C$6005,$J61)=$I$3),OR($I$5="(ทั้งหมด)",INDEX(บันทึกรายเที่ยว!$D$6:$D$6005,$J61)=$I$5),OR($I$7="(ทั้งหมด)",INDEX(บันทึกรายเที่ยว!$F$6:$F$6005,$J61)=$I$7)),$N61*10000000+$O61*1000+54,""))</f>
        <v/>
      </c>
      <c r="Q61">
        <f>IFERROR(MATCH(SMALL($P$8:$P$407,54),$P$8:$P$407,0),"")</f>
        <v/>
      </c>
      <c r="R61">
        <f>IF($Q61="","",INDEX($J$8:$J$407,$Q61))</f>
        <v/>
      </c>
      <c r="S61">
        <f>IF($Q61="","",INDEX($M$8:$M$407,$Q61))</f>
        <v/>
      </c>
      <c r="T61">
        <f>IF($Q61="","",INDEX($L$8:$L$407,$Q61))</f>
        <v/>
      </c>
      <c r="U61">
        <f>IF($Q61="","",INDEX($K$8:$K$407,$Q61))</f>
        <v/>
      </c>
      <c r="V61">
        <f>IF($Q61="",0,IF($S61&lt;&gt;$S60,1,0))</f>
        <v/>
      </c>
      <c r="W61">
        <f>IF($Q61="",0,IF($T61&lt;&gt;$T60,1,0))</f>
        <v/>
      </c>
      <c r="X61">
        <f>IF($Q61="",99999+54,$X60+1+$V60+$W60)</f>
        <v/>
      </c>
      <c r="Y61">
        <f>IF($Q61="","",INDEX(บันทึกรายเที่ยว!$Q$6:$Q$6005,$R61))</f>
        <v/>
      </c>
      <c r="Z61">
        <f>IF($Q61="","",INDEX(บันทึกรายเที่ยว!$F$6:$F$6005,$R61))</f>
        <v/>
      </c>
      <c r="AA61">
        <f>IFERROR(MATCH(54,$X$8:$X$407,1),"")</f>
        <v/>
      </c>
      <c r="AB61">
        <f>IF(54=$AD$1+1,"G",IF($AA61="","",IF(INDEX($Q$8:$Q$407,$AA61)="","",IF(54&gt;INDEX($X$8:$X$407,$AA61)+INDEX($V$8:$V$407,$AA61)+INDEX($W$8:$W$407,$AA61),"",IF(54=INDEX($X$8:$X$407,$AA61)+INDEX($V$8:$V$407,$AA61)+INDEX($W$8:$W$407,$AA61),"D",IF(AND(INDEX($W$8:$W$407,$AA61)=1,54=INDEX($X$8:$X$407,$AA61)+INDEX($V$8:$V$407,$AA61)),"S","R"))))))</f>
        <v/>
      </c>
      <c r="AC61">
        <f>IF(OR($AB61="",$AB61="G"),"",IF($AB61="D",INDEX($U$8:$U$407,$AA61),IF($AB61="S",INDEX($T$8:$T$407,$AA61)&amp;"|*",INDEX($S$8:$S$407,$AA61)&amp;"|*")))</f>
        <v/>
      </c>
      <c r="AE61">
        <f>IF($U61="",0,COUNTIF(บันทึกรายเที่ยว!$T$6:$T$6005,$U61))</f>
        <v/>
      </c>
      <c r="AF61">
        <f>IF($U61="",0,ROUND(SUMIF(บันทึกรายเที่ยว!$T$6:$T$6005,$U61,บันทึกรายเที่ยว!$J$6:$J$6005),2))</f>
        <v/>
      </c>
      <c r="AG61">
        <f>IF($U61="",0,ROUND(SUMIF(บันทึกรายเที่ยว!$T$6:$T$6005,$U61,บันทึกรายเที่ยว!$K$6:$K$6005),2))</f>
        <v/>
      </c>
      <c r="AH61">
        <f>IF($U61="",0,ROUND(SUMIF(บันทึกรายเที่ยว!$T$6:$T$6005,$U61,บันทึกรายเที่ยว!$M$6:$M$6005),2))</f>
        <v/>
      </c>
    </row>
    <row r="62" ht="21" customHeight="1" s="66">
      <c r="A62" s="3">
        <f>IF($AB62="G","ผลรวมทั้งหมด",IF($AB62="R",INDEX($S$8:$S$407,$AA62),""))</f>
        <v/>
      </c>
      <c r="B62" s="3">
        <f>IF($AB62="S",INDEX($Y$8:$Y$407,$AA62),"")</f>
        <v/>
      </c>
      <c r="C62" s="68">
        <f>IF($AB62="D",INDEX($Z$8:$Z$407,$AA62),"")</f>
        <v/>
      </c>
      <c r="D62" s="31">
        <f>IF($AB62="G",SUM($AE$8:$AE$407),IF(OR($AB62="",$AB62="R"),"",IF($AB62="D",INDEX($AE$8:$AE$407,$AA62),SUMIF($T$8:$T$407,INDEX($T$8:$T$407,$AA62),$AE$8:$AE$407))))</f>
        <v/>
      </c>
      <c r="E62" s="32">
        <f>IF(55=$AD$1+3,"ขอแสดงความนับถือ",IF(55=$AD$1+6,"(                 )",IF(55=$AD$1+7,"เจ้าหน้าที่ขนส่ง",IF($AB62="G",SUM($AF$8:$AF$407),IF(OR($AB62="",$AB62="R"),"",IF($AB62="D",INDEX($AF$8:$AF$407,$AA62),SUMIF($T$8:$T$407,INDEX($T$8:$T$407,$AA62),$AF$8:$AF$407)))))))</f>
        <v/>
      </c>
      <c r="F62" s="32">
        <f>IF($AB62="G",SUM($AG$8:$AG$407),IF(OR($AB62="",$AB62="R"),"",IF($AB62="D",INDEX($AG$8:$AG$407,$AA62),SUMIF($T$8:$T$407,INDEX($T$8:$T$407,$AA62),$AG$8:$AG$407))))</f>
        <v/>
      </c>
      <c r="G62" s="32">
        <f>IF(OR($AB62="",$AB62="R"),"",ROUND($E62-$F62,2))</f>
        <v/>
      </c>
      <c r="H62" s="32">
        <f>IF($AB62="G",SUM($AH$8:$AH$407),IF(OR($AB62="",$AB62="R"),"",IF($AB62="D",INDEX($AH$8:$AH$407,$AA62),SUMIF($T$8:$T$407,INDEX($T$8:$T$407,$AA62),$AH$8:$AH$407))))</f>
        <v/>
      </c>
      <c r="J62">
        <f>IFERROR(MATCH(55,บันทึกรายเที่ยว!$W$6:$W$6005,0),"")</f>
        <v/>
      </c>
      <c r="K62">
        <f>IF($J62="","",INDEX(บันทึกรายเที่ยว!$T$6:$T$6005,$J62))</f>
        <v/>
      </c>
      <c r="L62">
        <f>IF($J62="","",INDEX(บันทึกรายเที่ยว!$S$6:$S$6005,$J62))</f>
        <v/>
      </c>
      <c r="M62">
        <f>IF($J62="","",INDEX(บันทึกรายเที่ยว!$R$6:$R$6005,$J62))</f>
        <v/>
      </c>
      <c r="N62">
        <f>IF($J62="","",MATCH($M62,บันทึกรายเที่ยว!$R$6:$R$6005,0))</f>
        <v/>
      </c>
      <c r="O62">
        <f>IF($J62="","",MATCH($L62,บันทึกรายเที่ยว!$S$6:$S$6005,0))</f>
        <v/>
      </c>
      <c r="P62">
        <f>IF($J62="","",IF(AND(OR($I$3="(ทั้งหมด)",INDEX(บันทึกรายเที่ยว!$C$6:$C$6005,$J62)=$I$3),OR($I$5="(ทั้งหมด)",INDEX(บันทึกรายเที่ยว!$D$6:$D$6005,$J62)=$I$5),OR($I$7="(ทั้งหมด)",INDEX(บันทึกรายเที่ยว!$F$6:$F$6005,$J62)=$I$7)),$N62*10000000+$O62*1000+55,""))</f>
        <v/>
      </c>
      <c r="Q62">
        <f>IFERROR(MATCH(SMALL($P$8:$P$407,55),$P$8:$P$407,0),"")</f>
        <v/>
      </c>
      <c r="R62">
        <f>IF($Q62="","",INDEX($J$8:$J$407,$Q62))</f>
        <v/>
      </c>
      <c r="S62">
        <f>IF($Q62="","",INDEX($M$8:$M$407,$Q62))</f>
        <v/>
      </c>
      <c r="T62">
        <f>IF($Q62="","",INDEX($L$8:$L$407,$Q62))</f>
        <v/>
      </c>
      <c r="U62">
        <f>IF($Q62="","",INDEX($K$8:$K$407,$Q62))</f>
        <v/>
      </c>
      <c r="V62">
        <f>IF($Q62="",0,IF($S62&lt;&gt;$S61,1,0))</f>
        <v/>
      </c>
      <c r="W62">
        <f>IF($Q62="",0,IF($T62&lt;&gt;$T61,1,0))</f>
        <v/>
      </c>
      <c r="X62">
        <f>IF($Q62="",99999+55,$X61+1+$V61+$W61)</f>
        <v/>
      </c>
      <c r="Y62">
        <f>IF($Q62="","",INDEX(บันทึกรายเที่ยว!$Q$6:$Q$6005,$R62))</f>
        <v/>
      </c>
      <c r="Z62">
        <f>IF($Q62="","",INDEX(บันทึกรายเที่ยว!$F$6:$F$6005,$R62))</f>
        <v/>
      </c>
      <c r="AA62">
        <f>IFERROR(MATCH(55,$X$8:$X$407,1),"")</f>
        <v/>
      </c>
      <c r="AB62">
        <f>IF(55=$AD$1+1,"G",IF($AA62="","",IF(INDEX($Q$8:$Q$407,$AA62)="","",IF(55&gt;INDEX($X$8:$X$407,$AA62)+INDEX($V$8:$V$407,$AA62)+INDEX($W$8:$W$407,$AA62),"",IF(55=INDEX($X$8:$X$407,$AA62)+INDEX($V$8:$V$407,$AA62)+INDEX($W$8:$W$407,$AA62),"D",IF(AND(INDEX($W$8:$W$407,$AA62)=1,55=INDEX($X$8:$X$407,$AA62)+INDEX($V$8:$V$407,$AA62)),"S","R"))))))</f>
        <v/>
      </c>
      <c r="AC62">
        <f>IF(OR($AB62="",$AB62="G"),"",IF($AB62="D",INDEX($U$8:$U$407,$AA62),IF($AB62="S",INDEX($T$8:$T$407,$AA62)&amp;"|*",INDEX($S$8:$S$407,$AA62)&amp;"|*")))</f>
        <v/>
      </c>
      <c r="AE62">
        <f>IF($U62="",0,COUNTIF(บันทึกรายเที่ยว!$T$6:$T$6005,$U62))</f>
        <v/>
      </c>
      <c r="AF62">
        <f>IF($U62="",0,ROUND(SUMIF(บันทึกรายเที่ยว!$T$6:$T$6005,$U62,บันทึกรายเที่ยว!$J$6:$J$6005),2))</f>
        <v/>
      </c>
      <c r="AG62">
        <f>IF($U62="",0,ROUND(SUMIF(บันทึกรายเที่ยว!$T$6:$T$6005,$U62,บันทึกรายเที่ยว!$K$6:$K$6005),2))</f>
        <v/>
      </c>
      <c r="AH62">
        <f>IF($U62="",0,ROUND(SUMIF(บันทึกรายเที่ยว!$T$6:$T$6005,$U62,บันทึกรายเที่ยว!$M$6:$M$6005),2))</f>
        <v/>
      </c>
    </row>
    <row r="63" ht="21" customHeight="1" s="66">
      <c r="A63" s="3">
        <f>IF($AB63="G","ผลรวมทั้งหมด",IF($AB63="R",INDEX($S$8:$S$407,$AA63),""))</f>
        <v/>
      </c>
      <c r="B63" s="3">
        <f>IF($AB63="S",INDEX($Y$8:$Y$407,$AA63),"")</f>
        <v/>
      </c>
      <c r="C63" s="68">
        <f>IF($AB63="D",INDEX($Z$8:$Z$407,$AA63),"")</f>
        <v/>
      </c>
      <c r="D63" s="31">
        <f>IF($AB63="G",SUM($AE$8:$AE$407),IF(OR($AB63="",$AB63="R"),"",IF($AB63="D",INDEX($AE$8:$AE$407,$AA63),SUMIF($T$8:$T$407,INDEX($T$8:$T$407,$AA63),$AE$8:$AE$407))))</f>
        <v/>
      </c>
      <c r="E63" s="32">
        <f>IF(56=$AD$1+3,"ขอแสดงความนับถือ",IF(56=$AD$1+6,"(                 )",IF(56=$AD$1+7,"เจ้าหน้าที่ขนส่ง",IF($AB63="G",SUM($AF$8:$AF$407),IF(OR($AB63="",$AB63="R"),"",IF($AB63="D",INDEX($AF$8:$AF$407,$AA63),SUMIF($T$8:$T$407,INDEX($T$8:$T$407,$AA63),$AF$8:$AF$407)))))))</f>
        <v/>
      </c>
      <c r="F63" s="32">
        <f>IF($AB63="G",SUM($AG$8:$AG$407),IF(OR($AB63="",$AB63="R"),"",IF($AB63="D",INDEX($AG$8:$AG$407,$AA63),SUMIF($T$8:$T$407,INDEX($T$8:$T$407,$AA63),$AG$8:$AG$407))))</f>
        <v/>
      </c>
      <c r="G63" s="32">
        <f>IF(OR($AB63="",$AB63="R"),"",ROUND($E63-$F63,2))</f>
        <v/>
      </c>
      <c r="H63" s="32">
        <f>IF($AB63="G",SUM($AH$8:$AH$407),IF(OR($AB63="",$AB63="R"),"",IF($AB63="D",INDEX($AH$8:$AH$407,$AA63),SUMIF($T$8:$T$407,INDEX($T$8:$T$407,$AA63),$AH$8:$AH$407))))</f>
        <v/>
      </c>
      <c r="J63">
        <f>IFERROR(MATCH(56,บันทึกรายเที่ยว!$W$6:$W$6005,0),"")</f>
        <v/>
      </c>
      <c r="K63">
        <f>IF($J63="","",INDEX(บันทึกรายเที่ยว!$T$6:$T$6005,$J63))</f>
        <v/>
      </c>
      <c r="L63">
        <f>IF($J63="","",INDEX(บันทึกรายเที่ยว!$S$6:$S$6005,$J63))</f>
        <v/>
      </c>
      <c r="M63">
        <f>IF($J63="","",INDEX(บันทึกรายเที่ยว!$R$6:$R$6005,$J63))</f>
        <v/>
      </c>
      <c r="N63">
        <f>IF($J63="","",MATCH($M63,บันทึกรายเที่ยว!$R$6:$R$6005,0))</f>
        <v/>
      </c>
      <c r="O63">
        <f>IF($J63="","",MATCH($L63,บันทึกรายเที่ยว!$S$6:$S$6005,0))</f>
        <v/>
      </c>
      <c r="P63">
        <f>IF($J63="","",IF(AND(OR($I$3="(ทั้งหมด)",INDEX(บันทึกรายเที่ยว!$C$6:$C$6005,$J63)=$I$3),OR($I$5="(ทั้งหมด)",INDEX(บันทึกรายเที่ยว!$D$6:$D$6005,$J63)=$I$5),OR($I$7="(ทั้งหมด)",INDEX(บันทึกรายเที่ยว!$F$6:$F$6005,$J63)=$I$7)),$N63*10000000+$O63*1000+56,""))</f>
        <v/>
      </c>
      <c r="Q63">
        <f>IFERROR(MATCH(SMALL($P$8:$P$407,56),$P$8:$P$407,0),"")</f>
        <v/>
      </c>
      <c r="R63">
        <f>IF($Q63="","",INDEX($J$8:$J$407,$Q63))</f>
        <v/>
      </c>
      <c r="S63">
        <f>IF($Q63="","",INDEX($M$8:$M$407,$Q63))</f>
        <v/>
      </c>
      <c r="T63">
        <f>IF($Q63="","",INDEX($L$8:$L$407,$Q63))</f>
        <v/>
      </c>
      <c r="U63">
        <f>IF($Q63="","",INDEX($K$8:$K$407,$Q63))</f>
        <v/>
      </c>
      <c r="V63">
        <f>IF($Q63="",0,IF($S63&lt;&gt;$S62,1,0))</f>
        <v/>
      </c>
      <c r="W63">
        <f>IF($Q63="",0,IF($T63&lt;&gt;$T62,1,0))</f>
        <v/>
      </c>
      <c r="X63">
        <f>IF($Q63="",99999+56,$X62+1+$V62+$W62)</f>
        <v/>
      </c>
      <c r="Y63">
        <f>IF($Q63="","",INDEX(บันทึกรายเที่ยว!$Q$6:$Q$6005,$R63))</f>
        <v/>
      </c>
      <c r="Z63">
        <f>IF($Q63="","",INDEX(บันทึกรายเที่ยว!$F$6:$F$6005,$R63))</f>
        <v/>
      </c>
      <c r="AA63">
        <f>IFERROR(MATCH(56,$X$8:$X$407,1),"")</f>
        <v/>
      </c>
      <c r="AB63">
        <f>IF(56=$AD$1+1,"G",IF($AA63="","",IF(INDEX($Q$8:$Q$407,$AA63)="","",IF(56&gt;INDEX($X$8:$X$407,$AA63)+INDEX($V$8:$V$407,$AA63)+INDEX($W$8:$W$407,$AA63),"",IF(56=INDEX($X$8:$X$407,$AA63)+INDEX($V$8:$V$407,$AA63)+INDEX($W$8:$W$407,$AA63),"D",IF(AND(INDEX($W$8:$W$407,$AA63)=1,56=INDEX($X$8:$X$407,$AA63)+INDEX($V$8:$V$407,$AA63)),"S","R"))))))</f>
        <v/>
      </c>
      <c r="AC63">
        <f>IF(OR($AB63="",$AB63="G"),"",IF($AB63="D",INDEX($U$8:$U$407,$AA63),IF($AB63="S",INDEX($T$8:$T$407,$AA63)&amp;"|*",INDEX($S$8:$S$407,$AA63)&amp;"|*")))</f>
        <v/>
      </c>
      <c r="AE63">
        <f>IF($U63="",0,COUNTIF(บันทึกรายเที่ยว!$T$6:$T$6005,$U63))</f>
        <v/>
      </c>
      <c r="AF63">
        <f>IF($U63="",0,ROUND(SUMIF(บันทึกรายเที่ยว!$T$6:$T$6005,$U63,บันทึกรายเที่ยว!$J$6:$J$6005),2))</f>
        <v/>
      </c>
      <c r="AG63">
        <f>IF($U63="",0,ROUND(SUMIF(บันทึกรายเที่ยว!$T$6:$T$6005,$U63,บันทึกรายเที่ยว!$K$6:$K$6005),2))</f>
        <v/>
      </c>
      <c r="AH63">
        <f>IF($U63="",0,ROUND(SUMIF(บันทึกรายเที่ยว!$T$6:$T$6005,$U63,บันทึกรายเที่ยว!$M$6:$M$6005),2))</f>
        <v/>
      </c>
    </row>
    <row r="64" ht="21" customHeight="1" s="66">
      <c r="A64" s="3">
        <f>IF($AB64="G","ผลรวมทั้งหมด",IF($AB64="R",INDEX($S$8:$S$407,$AA64),""))</f>
        <v/>
      </c>
      <c r="B64" s="3">
        <f>IF($AB64="S",INDEX($Y$8:$Y$407,$AA64),"")</f>
        <v/>
      </c>
      <c r="C64" s="68">
        <f>IF($AB64="D",INDEX($Z$8:$Z$407,$AA64),"")</f>
        <v/>
      </c>
      <c r="D64" s="31">
        <f>IF($AB64="G",SUM($AE$8:$AE$407),IF(OR($AB64="",$AB64="R"),"",IF($AB64="D",INDEX($AE$8:$AE$407,$AA64),SUMIF($T$8:$T$407,INDEX($T$8:$T$407,$AA64),$AE$8:$AE$407))))</f>
        <v/>
      </c>
      <c r="E64" s="32">
        <f>IF(57=$AD$1+3,"ขอแสดงความนับถือ",IF(57=$AD$1+6,"(                 )",IF(57=$AD$1+7,"เจ้าหน้าที่ขนส่ง",IF($AB64="G",SUM($AF$8:$AF$407),IF(OR($AB64="",$AB64="R"),"",IF($AB64="D",INDEX($AF$8:$AF$407,$AA64),SUMIF($T$8:$T$407,INDEX($T$8:$T$407,$AA64),$AF$8:$AF$407)))))))</f>
        <v/>
      </c>
      <c r="F64" s="32">
        <f>IF($AB64="G",SUM($AG$8:$AG$407),IF(OR($AB64="",$AB64="R"),"",IF($AB64="D",INDEX($AG$8:$AG$407,$AA64),SUMIF($T$8:$T$407,INDEX($T$8:$T$407,$AA64),$AG$8:$AG$407))))</f>
        <v/>
      </c>
      <c r="G64" s="32">
        <f>IF(OR($AB64="",$AB64="R"),"",ROUND($E64-$F64,2))</f>
        <v/>
      </c>
      <c r="H64" s="32">
        <f>IF($AB64="G",SUM($AH$8:$AH$407),IF(OR($AB64="",$AB64="R"),"",IF($AB64="D",INDEX($AH$8:$AH$407,$AA64),SUMIF($T$8:$T$407,INDEX($T$8:$T$407,$AA64),$AH$8:$AH$407))))</f>
        <v/>
      </c>
      <c r="J64">
        <f>IFERROR(MATCH(57,บันทึกรายเที่ยว!$W$6:$W$6005,0),"")</f>
        <v/>
      </c>
      <c r="K64">
        <f>IF($J64="","",INDEX(บันทึกรายเที่ยว!$T$6:$T$6005,$J64))</f>
        <v/>
      </c>
      <c r="L64">
        <f>IF($J64="","",INDEX(บันทึกรายเที่ยว!$S$6:$S$6005,$J64))</f>
        <v/>
      </c>
      <c r="M64">
        <f>IF($J64="","",INDEX(บันทึกรายเที่ยว!$R$6:$R$6005,$J64))</f>
        <v/>
      </c>
      <c r="N64">
        <f>IF($J64="","",MATCH($M64,บันทึกรายเที่ยว!$R$6:$R$6005,0))</f>
        <v/>
      </c>
      <c r="O64">
        <f>IF($J64="","",MATCH($L64,บันทึกรายเที่ยว!$S$6:$S$6005,0))</f>
        <v/>
      </c>
      <c r="P64">
        <f>IF($J64="","",IF(AND(OR($I$3="(ทั้งหมด)",INDEX(บันทึกรายเที่ยว!$C$6:$C$6005,$J64)=$I$3),OR($I$5="(ทั้งหมด)",INDEX(บันทึกรายเที่ยว!$D$6:$D$6005,$J64)=$I$5),OR($I$7="(ทั้งหมด)",INDEX(บันทึกรายเที่ยว!$F$6:$F$6005,$J64)=$I$7)),$N64*10000000+$O64*1000+57,""))</f>
        <v/>
      </c>
      <c r="Q64">
        <f>IFERROR(MATCH(SMALL($P$8:$P$407,57),$P$8:$P$407,0),"")</f>
        <v/>
      </c>
      <c r="R64">
        <f>IF($Q64="","",INDEX($J$8:$J$407,$Q64))</f>
        <v/>
      </c>
      <c r="S64">
        <f>IF($Q64="","",INDEX($M$8:$M$407,$Q64))</f>
        <v/>
      </c>
      <c r="T64">
        <f>IF($Q64="","",INDEX($L$8:$L$407,$Q64))</f>
        <v/>
      </c>
      <c r="U64">
        <f>IF($Q64="","",INDEX($K$8:$K$407,$Q64))</f>
        <v/>
      </c>
      <c r="V64">
        <f>IF($Q64="",0,IF($S64&lt;&gt;$S63,1,0))</f>
        <v/>
      </c>
      <c r="W64">
        <f>IF($Q64="",0,IF($T64&lt;&gt;$T63,1,0))</f>
        <v/>
      </c>
      <c r="X64">
        <f>IF($Q64="",99999+57,$X63+1+$V63+$W63)</f>
        <v/>
      </c>
      <c r="Y64">
        <f>IF($Q64="","",INDEX(บันทึกรายเที่ยว!$Q$6:$Q$6005,$R64))</f>
        <v/>
      </c>
      <c r="Z64">
        <f>IF($Q64="","",INDEX(บันทึกรายเที่ยว!$F$6:$F$6005,$R64))</f>
        <v/>
      </c>
      <c r="AA64">
        <f>IFERROR(MATCH(57,$X$8:$X$407,1),"")</f>
        <v/>
      </c>
      <c r="AB64">
        <f>IF(57=$AD$1+1,"G",IF($AA64="","",IF(INDEX($Q$8:$Q$407,$AA64)="","",IF(57&gt;INDEX($X$8:$X$407,$AA64)+INDEX($V$8:$V$407,$AA64)+INDEX($W$8:$W$407,$AA64),"",IF(57=INDEX($X$8:$X$407,$AA64)+INDEX($V$8:$V$407,$AA64)+INDEX($W$8:$W$407,$AA64),"D",IF(AND(INDEX($W$8:$W$407,$AA64)=1,57=INDEX($X$8:$X$407,$AA64)+INDEX($V$8:$V$407,$AA64)),"S","R"))))))</f>
        <v/>
      </c>
      <c r="AC64">
        <f>IF(OR($AB64="",$AB64="G"),"",IF($AB64="D",INDEX($U$8:$U$407,$AA64),IF($AB64="S",INDEX($T$8:$T$407,$AA64)&amp;"|*",INDEX($S$8:$S$407,$AA64)&amp;"|*")))</f>
        <v/>
      </c>
      <c r="AE64">
        <f>IF($U64="",0,COUNTIF(บันทึกรายเที่ยว!$T$6:$T$6005,$U64))</f>
        <v/>
      </c>
      <c r="AF64">
        <f>IF($U64="",0,ROUND(SUMIF(บันทึกรายเที่ยว!$T$6:$T$6005,$U64,บันทึกรายเที่ยว!$J$6:$J$6005),2))</f>
        <v/>
      </c>
      <c r="AG64">
        <f>IF($U64="",0,ROUND(SUMIF(บันทึกรายเที่ยว!$T$6:$T$6005,$U64,บันทึกรายเที่ยว!$K$6:$K$6005),2))</f>
        <v/>
      </c>
      <c r="AH64">
        <f>IF($U64="",0,ROUND(SUMIF(บันทึกรายเที่ยว!$T$6:$T$6005,$U64,บันทึกรายเที่ยว!$M$6:$M$6005),2))</f>
        <v/>
      </c>
    </row>
    <row r="65" ht="21" customHeight="1" s="66">
      <c r="A65" s="3">
        <f>IF($AB65="G","ผลรวมทั้งหมด",IF($AB65="R",INDEX($S$8:$S$407,$AA65),""))</f>
        <v/>
      </c>
      <c r="B65" s="3">
        <f>IF($AB65="S",INDEX($Y$8:$Y$407,$AA65),"")</f>
        <v/>
      </c>
      <c r="C65" s="68">
        <f>IF($AB65="D",INDEX($Z$8:$Z$407,$AA65),"")</f>
        <v/>
      </c>
      <c r="D65" s="31">
        <f>IF($AB65="G",SUM($AE$8:$AE$407),IF(OR($AB65="",$AB65="R"),"",IF($AB65="D",INDEX($AE$8:$AE$407,$AA65),SUMIF($T$8:$T$407,INDEX($T$8:$T$407,$AA65),$AE$8:$AE$407))))</f>
        <v/>
      </c>
      <c r="E65" s="32">
        <f>IF(58=$AD$1+3,"ขอแสดงความนับถือ",IF(58=$AD$1+6,"(                 )",IF(58=$AD$1+7,"เจ้าหน้าที่ขนส่ง",IF($AB65="G",SUM($AF$8:$AF$407),IF(OR($AB65="",$AB65="R"),"",IF($AB65="D",INDEX($AF$8:$AF$407,$AA65),SUMIF($T$8:$T$407,INDEX($T$8:$T$407,$AA65),$AF$8:$AF$407)))))))</f>
        <v/>
      </c>
      <c r="F65" s="32">
        <f>IF($AB65="G",SUM($AG$8:$AG$407),IF(OR($AB65="",$AB65="R"),"",IF($AB65="D",INDEX($AG$8:$AG$407,$AA65),SUMIF($T$8:$T$407,INDEX($T$8:$T$407,$AA65),$AG$8:$AG$407))))</f>
        <v/>
      </c>
      <c r="G65" s="32">
        <f>IF(OR($AB65="",$AB65="R"),"",ROUND($E65-$F65,2))</f>
        <v/>
      </c>
      <c r="H65" s="32">
        <f>IF($AB65="G",SUM($AH$8:$AH$407),IF(OR($AB65="",$AB65="R"),"",IF($AB65="D",INDEX($AH$8:$AH$407,$AA65),SUMIF($T$8:$T$407,INDEX($T$8:$T$407,$AA65),$AH$8:$AH$407))))</f>
        <v/>
      </c>
      <c r="J65">
        <f>IFERROR(MATCH(58,บันทึกรายเที่ยว!$W$6:$W$6005,0),"")</f>
        <v/>
      </c>
      <c r="K65">
        <f>IF($J65="","",INDEX(บันทึกรายเที่ยว!$T$6:$T$6005,$J65))</f>
        <v/>
      </c>
      <c r="L65">
        <f>IF($J65="","",INDEX(บันทึกรายเที่ยว!$S$6:$S$6005,$J65))</f>
        <v/>
      </c>
      <c r="M65">
        <f>IF($J65="","",INDEX(บันทึกรายเที่ยว!$R$6:$R$6005,$J65))</f>
        <v/>
      </c>
      <c r="N65">
        <f>IF($J65="","",MATCH($M65,บันทึกรายเที่ยว!$R$6:$R$6005,0))</f>
        <v/>
      </c>
      <c r="O65">
        <f>IF($J65="","",MATCH($L65,บันทึกรายเที่ยว!$S$6:$S$6005,0))</f>
        <v/>
      </c>
      <c r="P65">
        <f>IF($J65="","",IF(AND(OR($I$3="(ทั้งหมด)",INDEX(บันทึกรายเที่ยว!$C$6:$C$6005,$J65)=$I$3),OR($I$5="(ทั้งหมด)",INDEX(บันทึกรายเที่ยว!$D$6:$D$6005,$J65)=$I$5),OR($I$7="(ทั้งหมด)",INDEX(บันทึกรายเที่ยว!$F$6:$F$6005,$J65)=$I$7)),$N65*10000000+$O65*1000+58,""))</f>
        <v/>
      </c>
      <c r="Q65">
        <f>IFERROR(MATCH(SMALL($P$8:$P$407,58),$P$8:$P$407,0),"")</f>
        <v/>
      </c>
      <c r="R65">
        <f>IF($Q65="","",INDEX($J$8:$J$407,$Q65))</f>
        <v/>
      </c>
      <c r="S65">
        <f>IF($Q65="","",INDEX($M$8:$M$407,$Q65))</f>
        <v/>
      </c>
      <c r="T65">
        <f>IF($Q65="","",INDEX($L$8:$L$407,$Q65))</f>
        <v/>
      </c>
      <c r="U65">
        <f>IF($Q65="","",INDEX($K$8:$K$407,$Q65))</f>
        <v/>
      </c>
      <c r="V65">
        <f>IF($Q65="",0,IF($S65&lt;&gt;$S64,1,0))</f>
        <v/>
      </c>
      <c r="W65">
        <f>IF($Q65="",0,IF($T65&lt;&gt;$T64,1,0))</f>
        <v/>
      </c>
      <c r="X65">
        <f>IF($Q65="",99999+58,$X64+1+$V64+$W64)</f>
        <v/>
      </c>
      <c r="Y65">
        <f>IF($Q65="","",INDEX(บันทึกรายเที่ยว!$Q$6:$Q$6005,$R65))</f>
        <v/>
      </c>
      <c r="Z65">
        <f>IF($Q65="","",INDEX(บันทึกรายเที่ยว!$F$6:$F$6005,$R65))</f>
        <v/>
      </c>
      <c r="AA65">
        <f>IFERROR(MATCH(58,$X$8:$X$407,1),"")</f>
        <v/>
      </c>
      <c r="AB65">
        <f>IF(58=$AD$1+1,"G",IF($AA65="","",IF(INDEX($Q$8:$Q$407,$AA65)="","",IF(58&gt;INDEX($X$8:$X$407,$AA65)+INDEX($V$8:$V$407,$AA65)+INDEX($W$8:$W$407,$AA65),"",IF(58=INDEX($X$8:$X$407,$AA65)+INDEX($V$8:$V$407,$AA65)+INDEX($W$8:$W$407,$AA65),"D",IF(AND(INDEX($W$8:$W$407,$AA65)=1,58=INDEX($X$8:$X$407,$AA65)+INDEX($V$8:$V$407,$AA65)),"S","R"))))))</f>
        <v/>
      </c>
      <c r="AC65">
        <f>IF(OR($AB65="",$AB65="G"),"",IF($AB65="D",INDEX($U$8:$U$407,$AA65),IF($AB65="S",INDEX($T$8:$T$407,$AA65)&amp;"|*",INDEX($S$8:$S$407,$AA65)&amp;"|*")))</f>
        <v/>
      </c>
      <c r="AE65">
        <f>IF($U65="",0,COUNTIF(บันทึกรายเที่ยว!$T$6:$T$6005,$U65))</f>
        <v/>
      </c>
      <c r="AF65">
        <f>IF($U65="",0,ROUND(SUMIF(บันทึกรายเที่ยว!$T$6:$T$6005,$U65,บันทึกรายเที่ยว!$J$6:$J$6005),2))</f>
        <v/>
      </c>
      <c r="AG65">
        <f>IF($U65="",0,ROUND(SUMIF(บันทึกรายเที่ยว!$T$6:$T$6005,$U65,บันทึกรายเที่ยว!$K$6:$K$6005),2))</f>
        <v/>
      </c>
      <c r="AH65">
        <f>IF($U65="",0,ROUND(SUMIF(บันทึกรายเที่ยว!$T$6:$T$6005,$U65,บันทึกรายเที่ยว!$M$6:$M$6005),2))</f>
        <v/>
      </c>
    </row>
    <row r="66" ht="21" customHeight="1" s="66">
      <c r="A66" s="3">
        <f>IF($AB66="G","ผลรวมทั้งหมด",IF($AB66="R",INDEX($S$8:$S$407,$AA66),""))</f>
        <v/>
      </c>
      <c r="B66" s="3">
        <f>IF($AB66="S",INDEX($Y$8:$Y$407,$AA66),"")</f>
        <v/>
      </c>
      <c r="C66" s="68">
        <f>IF($AB66="D",INDEX($Z$8:$Z$407,$AA66),"")</f>
        <v/>
      </c>
      <c r="D66" s="31">
        <f>IF($AB66="G",SUM($AE$8:$AE$407),IF(OR($AB66="",$AB66="R"),"",IF($AB66="D",INDEX($AE$8:$AE$407,$AA66),SUMIF($T$8:$T$407,INDEX($T$8:$T$407,$AA66),$AE$8:$AE$407))))</f>
        <v/>
      </c>
      <c r="E66" s="32">
        <f>IF(59=$AD$1+3,"ขอแสดงความนับถือ",IF(59=$AD$1+6,"(                 )",IF(59=$AD$1+7,"เจ้าหน้าที่ขนส่ง",IF($AB66="G",SUM($AF$8:$AF$407),IF(OR($AB66="",$AB66="R"),"",IF($AB66="D",INDEX($AF$8:$AF$407,$AA66),SUMIF($T$8:$T$407,INDEX($T$8:$T$407,$AA66),$AF$8:$AF$407)))))))</f>
        <v/>
      </c>
      <c r="F66" s="32">
        <f>IF($AB66="G",SUM($AG$8:$AG$407),IF(OR($AB66="",$AB66="R"),"",IF($AB66="D",INDEX($AG$8:$AG$407,$AA66),SUMIF($T$8:$T$407,INDEX($T$8:$T$407,$AA66),$AG$8:$AG$407))))</f>
        <v/>
      </c>
      <c r="G66" s="32">
        <f>IF(OR($AB66="",$AB66="R"),"",ROUND($E66-$F66,2))</f>
        <v/>
      </c>
      <c r="H66" s="32">
        <f>IF($AB66="G",SUM($AH$8:$AH$407),IF(OR($AB66="",$AB66="R"),"",IF($AB66="D",INDEX($AH$8:$AH$407,$AA66),SUMIF($T$8:$T$407,INDEX($T$8:$T$407,$AA66),$AH$8:$AH$407))))</f>
        <v/>
      </c>
      <c r="J66">
        <f>IFERROR(MATCH(59,บันทึกรายเที่ยว!$W$6:$W$6005,0),"")</f>
        <v/>
      </c>
      <c r="K66">
        <f>IF($J66="","",INDEX(บันทึกรายเที่ยว!$T$6:$T$6005,$J66))</f>
        <v/>
      </c>
      <c r="L66">
        <f>IF($J66="","",INDEX(บันทึกรายเที่ยว!$S$6:$S$6005,$J66))</f>
        <v/>
      </c>
      <c r="M66">
        <f>IF($J66="","",INDEX(บันทึกรายเที่ยว!$R$6:$R$6005,$J66))</f>
        <v/>
      </c>
      <c r="N66">
        <f>IF($J66="","",MATCH($M66,บันทึกรายเที่ยว!$R$6:$R$6005,0))</f>
        <v/>
      </c>
      <c r="O66">
        <f>IF($J66="","",MATCH($L66,บันทึกรายเที่ยว!$S$6:$S$6005,0))</f>
        <v/>
      </c>
      <c r="P66">
        <f>IF($J66="","",IF(AND(OR($I$3="(ทั้งหมด)",INDEX(บันทึกรายเที่ยว!$C$6:$C$6005,$J66)=$I$3),OR($I$5="(ทั้งหมด)",INDEX(บันทึกรายเที่ยว!$D$6:$D$6005,$J66)=$I$5),OR($I$7="(ทั้งหมด)",INDEX(บันทึกรายเที่ยว!$F$6:$F$6005,$J66)=$I$7)),$N66*10000000+$O66*1000+59,""))</f>
        <v/>
      </c>
      <c r="Q66">
        <f>IFERROR(MATCH(SMALL($P$8:$P$407,59),$P$8:$P$407,0),"")</f>
        <v/>
      </c>
      <c r="R66">
        <f>IF($Q66="","",INDEX($J$8:$J$407,$Q66))</f>
        <v/>
      </c>
      <c r="S66">
        <f>IF($Q66="","",INDEX($M$8:$M$407,$Q66))</f>
        <v/>
      </c>
      <c r="T66">
        <f>IF($Q66="","",INDEX($L$8:$L$407,$Q66))</f>
        <v/>
      </c>
      <c r="U66">
        <f>IF($Q66="","",INDEX($K$8:$K$407,$Q66))</f>
        <v/>
      </c>
      <c r="V66">
        <f>IF($Q66="",0,IF($S66&lt;&gt;$S65,1,0))</f>
        <v/>
      </c>
      <c r="W66">
        <f>IF($Q66="",0,IF($T66&lt;&gt;$T65,1,0))</f>
        <v/>
      </c>
      <c r="X66">
        <f>IF($Q66="",99999+59,$X65+1+$V65+$W65)</f>
        <v/>
      </c>
      <c r="Y66">
        <f>IF($Q66="","",INDEX(บันทึกรายเที่ยว!$Q$6:$Q$6005,$R66))</f>
        <v/>
      </c>
      <c r="Z66">
        <f>IF($Q66="","",INDEX(บันทึกรายเที่ยว!$F$6:$F$6005,$R66))</f>
        <v/>
      </c>
      <c r="AA66">
        <f>IFERROR(MATCH(59,$X$8:$X$407,1),"")</f>
        <v/>
      </c>
      <c r="AB66">
        <f>IF(59=$AD$1+1,"G",IF($AA66="","",IF(INDEX($Q$8:$Q$407,$AA66)="","",IF(59&gt;INDEX($X$8:$X$407,$AA66)+INDEX($V$8:$V$407,$AA66)+INDEX($W$8:$W$407,$AA66),"",IF(59=INDEX($X$8:$X$407,$AA66)+INDEX($V$8:$V$407,$AA66)+INDEX($W$8:$W$407,$AA66),"D",IF(AND(INDEX($W$8:$W$407,$AA66)=1,59=INDEX($X$8:$X$407,$AA66)+INDEX($V$8:$V$407,$AA66)),"S","R"))))))</f>
        <v/>
      </c>
      <c r="AC66">
        <f>IF(OR($AB66="",$AB66="G"),"",IF($AB66="D",INDEX($U$8:$U$407,$AA66),IF($AB66="S",INDEX($T$8:$T$407,$AA66)&amp;"|*",INDEX($S$8:$S$407,$AA66)&amp;"|*")))</f>
        <v/>
      </c>
      <c r="AE66">
        <f>IF($U66="",0,COUNTIF(บันทึกรายเที่ยว!$T$6:$T$6005,$U66))</f>
        <v/>
      </c>
      <c r="AF66">
        <f>IF($U66="",0,ROUND(SUMIF(บันทึกรายเที่ยว!$T$6:$T$6005,$U66,บันทึกรายเที่ยว!$J$6:$J$6005),2))</f>
        <v/>
      </c>
      <c r="AG66">
        <f>IF($U66="",0,ROUND(SUMIF(บันทึกรายเที่ยว!$T$6:$T$6005,$U66,บันทึกรายเที่ยว!$K$6:$K$6005),2))</f>
        <v/>
      </c>
      <c r="AH66">
        <f>IF($U66="",0,ROUND(SUMIF(บันทึกรายเที่ยว!$T$6:$T$6005,$U66,บันทึกรายเที่ยว!$M$6:$M$6005),2))</f>
        <v/>
      </c>
    </row>
    <row r="67" ht="21" customHeight="1" s="66">
      <c r="A67" s="3">
        <f>IF($AB67="G","ผลรวมทั้งหมด",IF($AB67="R",INDEX($S$8:$S$407,$AA67),""))</f>
        <v/>
      </c>
      <c r="B67" s="3">
        <f>IF($AB67="S",INDEX($Y$8:$Y$407,$AA67),"")</f>
        <v/>
      </c>
      <c r="C67" s="68">
        <f>IF($AB67="D",INDEX($Z$8:$Z$407,$AA67),"")</f>
        <v/>
      </c>
      <c r="D67" s="31">
        <f>IF($AB67="G",SUM($AE$8:$AE$407),IF(OR($AB67="",$AB67="R"),"",IF($AB67="D",INDEX($AE$8:$AE$407,$AA67),SUMIF($T$8:$T$407,INDEX($T$8:$T$407,$AA67),$AE$8:$AE$407))))</f>
        <v/>
      </c>
      <c r="E67" s="32">
        <f>IF(60=$AD$1+3,"ขอแสดงความนับถือ",IF(60=$AD$1+6,"(                 )",IF(60=$AD$1+7,"เจ้าหน้าที่ขนส่ง",IF($AB67="G",SUM($AF$8:$AF$407),IF(OR($AB67="",$AB67="R"),"",IF($AB67="D",INDEX($AF$8:$AF$407,$AA67),SUMIF($T$8:$T$407,INDEX($T$8:$T$407,$AA67),$AF$8:$AF$407)))))))</f>
        <v/>
      </c>
      <c r="F67" s="32">
        <f>IF($AB67="G",SUM($AG$8:$AG$407),IF(OR($AB67="",$AB67="R"),"",IF($AB67="D",INDEX($AG$8:$AG$407,$AA67),SUMIF($T$8:$T$407,INDEX($T$8:$T$407,$AA67),$AG$8:$AG$407))))</f>
        <v/>
      </c>
      <c r="G67" s="32">
        <f>IF(OR($AB67="",$AB67="R"),"",ROUND($E67-$F67,2))</f>
        <v/>
      </c>
      <c r="H67" s="32">
        <f>IF($AB67="G",SUM($AH$8:$AH$407),IF(OR($AB67="",$AB67="R"),"",IF($AB67="D",INDEX($AH$8:$AH$407,$AA67),SUMIF($T$8:$T$407,INDEX($T$8:$T$407,$AA67),$AH$8:$AH$407))))</f>
        <v/>
      </c>
      <c r="J67">
        <f>IFERROR(MATCH(60,บันทึกรายเที่ยว!$W$6:$W$6005,0),"")</f>
        <v/>
      </c>
      <c r="K67">
        <f>IF($J67="","",INDEX(บันทึกรายเที่ยว!$T$6:$T$6005,$J67))</f>
        <v/>
      </c>
      <c r="L67">
        <f>IF($J67="","",INDEX(บันทึกรายเที่ยว!$S$6:$S$6005,$J67))</f>
        <v/>
      </c>
      <c r="M67">
        <f>IF($J67="","",INDEX(บันทึกรายเที่ยว!$R$6:$R$6005,$J67))</f>
        <v/>
      </c>
      <c r="N67">
        <f>IF($J67="","",MATCH($M67,บันทึกรายเที่ยว!$R$6:$R$6005,0))</f>
        <v/>
      </c>
      <c r="O67">
        <f>IF($J67="","",MATCH($L67,บันทึกรายเที่ยว!$S$6:$S$6005,0))</f>
        <v/>
      </c>
      <c r="P67">
        <f>IF($J67="","",IF(AND(OR($I$3="(ทั้งหมด)",INDEX(บันทึกรายเที่ยว!$C$6:$C$6005,$J67)=$I$3),OR($I$5="(ทั้งหมด)",INDEX(บันทึกรายเที่ยว!$D$6:$D$6005,$J67)=$I$5),OR($I$7="(ทั้งหมด)",INDEX(บันทึกรายเที่ยว!$F$6:$F$6005,$J67)=$I$7)),$N67*10000000+$O67*1000+60,""))</f>
        <v/>
      </c>
      <c r="Q67">
        <f>IFERROR(MATCH(SMALL($P$8:$P$407,60),$P$8:$P$407,0),"")</f>
        <v/>
      </c>
      <c r="R67">
        <f>IF($Q67="","",INDEX($J$8:$J$407,$Q67))</f>
        <v/>
      </c>
      <c r="S67">
        <f>IF($Q67="","",INDEX($M$8:$M$407,$Q67))</f>
        <v/>
      </c>
      <c r="T67">
        <f>IF($Q67="","",INDEX($L$8:$L$407,$Q67))</f>
        <v/>
      </c>
      <c r="U67">
        <f>IF($Q67="","",INDEX($K$8:$K$407,$Q67))</f>
        <v/>
      </c>
      <c r="V67">
        <f>IF($Q67="",0,IF($S67&lt;&gt;$S66,1,0))</f>
        <v/>
      </c>
      <c r="W67">
        <f>IF($Q67="",0,IF($T67&lt;&gt;$T66,1,0))</f>
        <v/>
      </c>
      <c r="X67">
        <f>IF($Q67="",99999+60,$X66+1+$V66+$W66)</f>
        <v/>
      </c>
      <c r="Y67">
        <f>IF($Q67="","",INDEX(บันทึกรายเที่ยว!$Q$6:$Q$6005,$R67))</f>
        <v/>
      </c>
      <c r="Z67">
        <f>IF($Q67="","",INDEX(บันทึกรายเที่ยว!$F$6:$F$6005,$R67))</f>
        <v/>
      </c>
      <c r="AA67">
        <f>IFERROR(MATCH(60,$X$8:$X$407,1),"")</f>
        <v/>
      </c>
      <c r="AB67">
        <f>IF(60=$AD$1+1,"G",IF($AA67="","",IF(INDEX($Q$8:$Q$407,$AA67)="","",IF(60&gt;INDEX($X$8:$X$407,$AA67)+INDEX($V$8:$V$407,$AA67)+INDEX($W$8:$W$407,$AA67),"",IF(60=INDEX($X$8:$X$407,$AA67)+INDEX($V$8:$V$407,$AA67)+INDEX($W$8:$W$407,$AA67),"D",IF(AND(INDEX($W$8:$W$407,$AA67)=1,60=INDEX($X$8:$X$407,$AA67)+INDEX($V$8:$V$407,$AA67)),"S","R"))))))</f>
        <v/>
      </c>
      <c r="AC67">
        <f>IF(OR($AB67="",$AB67="G"),"",IF($AB67="D",INDEX($U$8:$U$407,$AA67),IF($AB67="S",INDEX($T$8:$T$407,$AA67)&amp;"|*",INDEX($S$8:$S$407,$AA67)&amp;"|*")))</f>
        <v/>
      </c>
      <c r="AE67">
        <f>IF($U67="",0,COUNTIF(บันทึกรายเที่ยว!$T$6:$T$6005,$U67))</f>
        <v/>
      </c>
      <c r="AF67">
        <f>IF($U67="",0,ROUND(SUMIF(บันทึกรายเที่ยว!$T$6:$T$6005,$U67,บันทึกรายเที่ยว!$J$6:$J$6005),2))</f>
        <v/>
      </c>
      <c r="AG67">
        <f>IF($U67="",0,ROUND(SUMIF(บันทึกรายเที่ยว!$T$6:$T$6005,$U67,บันทึกรายเที่ยว!$K$6:$K$6005),2))</f>
        <v/>
      </c>
      <c r="AH67">
        <f>IF($U67="",0,ROUND(SUMIF(บันทึกรายเที่ยว!$T$6:$T$6005,$U67,บันทึกรายเที่ยว!$M$6:$M$6005),2))</f>
        <v/>
      </c>
    </row>
    <row r="68" ht="21" customHeight="1" s="66">
      <c r="A68" s="3">
        <f>IF($AB68="G","ผลรวมทั้งหมด",IF($AB68="R",INDEX($S$8:$S$407,$AA68),""))</f>
        <v/>
      </c>
      <c r="B68" s="3">
        <f>IF($AB68="S",INDEX($Y$8:$Y$407,$AA68),"")</f>
        <v/>
      </c>
      <c r="C68" s="68">
        <f>IF($AB68="D",INDEX($Z$8:$Z$407,$AA68),"")</f>
        <v/>
      </c>
      <c r="D68" s="31">
        <f>IF($AB68="G",SUM($AE$8:$AE$407),IF(OR($AB68="",$AB68="R"),"",IF($AB68="D",INDEX($AE$8:$AE$407,$AA68),SUMIF($T$8:$T$407,INDEX($T$8:$T$407,$AA68),$AE$8:$AE$407))))</f>
        <v/>
      </c>
      <c r="E68" s="32">
        <f>IF(61=$AD$1+3,"ขอแสดงความนับถือ",IF(61=$AD$1+6,"(                 )",IF(61=$AD$1+7,"เจ้าหน้าที่ขนส่ง",IF($AB68="G",SUM($AF$8:$AF$407),IF(OR($AB68="",$AB68="R"),"",IF($AB68="D",INDEX($AF$8:$AF$407,$AA68),SUMIF($T$8:$T$407,INDEX($T$8:$T$407,$AA68),$AF$8:$AF$407)))))))</f>
        <v/>
      </c>
      <c r="F68" s="32">
        <f>IF($AB68="G",SUM($AG$8:$AG$407),IF(OR($AB68="",$AB68="R"),"",IF($AB68="D",INDEX($AG$8:$AG$407,$AA68),SUMIF($T$8:$T$407,INDEX($T$8:$T$407,$AA68),$AG$8:$AG$407))))</f>
        <v/>
      </c>
      <c r="G68" s="32">
        <f>IF(OR($AB68="",$AB68="R"),"",ROUND($E68-$F68,2))</f>
        <v/>
      </c>
      <c r="H68" s="32">
        <f>IF($AB68="G",SUM($AH$8:$AH$407),IF(OR($AB68="",$AB68="R"),"",IF($AB68="D",INDEX($AH$8:$AH$407,$AA68),SUMIF($T$8:$T$407,INDEX($T$8:$T$407,$AA68),$AH$8:$AH$407))))</f>
        <v/>
      </c>
      <c r="J68">
        <f>IFERROR(MATCH(61,บันทึกรายเที่ยว!$W$6:$W$6005,0),"")</f>
        <v/>
      </c>
      <c r="K68">
        <f>IF($J68="","",INDEX(บันทึกรายเที่ยว!$T$6:$T$6005,$J68))</f>
        <v/>
      </c>
      <c r="L68">
        <f>IF($J68="","",INDEX(บันทึกรายเที่ยว!$S$6:$S$6005,$J68))</f>
        <v/>
      </c>
      <c r="M68">
        <f>IF($J68="","",INDEX(บันทึกรายเที่ยว!$R$6:$R$6005,$J68))</f>
        <v/>
      </c>
      <c r="N68">
        <f>IF($J68="","",MATCH($M68,บันทึกรายเที่ยว!$R$6:$R$6005,0))</f>
        <v/>
      </c>
      <c r="O68">
        <f>IF($J68="","",MATCH($L68,บันทึกรายเที่ยว!$S$6:$S$6005,0))</f>
        <v/>
      </c>
      <c r="P68">
        <f>IF($J68="","",IF(AND(OR($I$3="(ทั้งหมด)",INDEX(บันทึกรายเที่ยว!$C$6:$C$6005,$J68)=$I$3),OR($I$5="(ทั้งหมด)",INDEX(บันทึกรายเที่ยว!$D$6:$D$6005,$J68)=$I$5),OR($I$7="(ทั้งหมด)",INDEX(บันทึกรายเที่ยว!$F$6:$F$6005,$J68)=$I$7)),$N68*10000000+$O68*1000+61,""))</f>
        <v/>
      </c>
      <c r="Q68">
        <f>IFERROR(MATCH(SMALL($P$8:$P$407,61),$P$8:$P$407,0),"")</f>
        <v/>
      </c>
      <c r="R68">
        <f>IF($Q68="","",INDEX($J$8:$J$407,$Q68))</f>
        <v/>
      </c>
      <c r="S68">
        <f>IF($Q68="","",INDEX($M$8:$M$407,$Q68))</f>
        <v/>
      </c>
      <c r="T68">
        <f>IF($Q68="","",INDEX($L$8:$L$407,$Q68))</f>
        <v/>
      </c>
      <c r="U68">
        <f>IF($Q68="","",INDEX($K$8:$K$407,$Q68))</f>
        <v/>
      </c>
      <c r="V68">
        <f>IF($Q68="",0,IF($S68&lt;&gt;$S67,1,0))</f>
        <v/>
      </c>
      <c r="W68">
        <f>IF($Q68="",0,IF($T68&lt;&gt;$T67,1,0))</f>
        <v/>
      </c>
      <c r="X68">
        <f>IF($Q68="",99999+61,$X67+1+$V67+$W67)</f>
        <v/>
      </c>
      <c r="Y68">
        <f>IF($Q68="","",INDEX(บันทึกรายเที่ยว!$Q$6:$Q$6005,$R68))</f>
        <v/>
      </c>
      <c r="Z68">
        <f>IF($Q68="","",INDEX(บันทึกรายเที่ยว!$F$6:$F$6005,$R68))</f>
        <v/>
      </c>
      <c r="AA68">
        <f>IFERROR(MATCH(61,$X$8:$X$407,1),"")</f>
        <v/>
      </c>
      <c r="AB68">
        <f>IF(61=$AD$1+1,"G",IF($AA68="","",IF(INDEX($Q$8:$Q$407,$AA68)="","",IF(61&gt;INDEX($X$8:$X$407,$AA68)+INDEX($V$8:$V$407,$AA68)+INDEX($W$8:$W$407,$AA68),"",IF(61=INDEX($X$8:$X$407,$AA68)+INDEX($V$8:$V$407,$AA68)+INDEX($W$8:$W$407,$AA68),"D",IF(AND(INDEX($W$8:$W$407,$AA68)=1,61=INDEX($X$8:$X$407,$AA68)+INDEX($V$8:$V$407,$AA68)),"S","R"))))))</f>
        <v/>
      </c>
      <c r="AC68">
        <f>IF(OR($AB68="",$AB68="G"),"",IF($AB68="D",INDEX($U$8:$U$407,$AA68),IF($AB68="S",INDEX($T$8:$T$407,$AA68)&amp;"|*",INDEX($S$8:$S$407,$AA68)&amp;"|*")))</f>
        <v/>
      </c>
      <c r="AE68">
        <f>IF($U68="",0,COUNTIF(บันทึกรายเที่ยว!$T$6:$T$6005,$U68))</f>
        <v/>
      </c>
      <c r="AF68">
        <f>IF($U68="",0,ROUND(SUMIF(บันทึกรายเที่ยว!$T$6:$T$6005,$U68,บันทึกรายเที่ยว!$J$6:$J$6005),2))</f>
        <v/>
      </c>
      <c r="AG68">
        <f>IF($U68="",0,ROUND(SUMIF(บันทึกรายเที่ยว!$T$6:$T$6005,$U68,บันทึกรายเที่ยว!$K$6:$K$6005),2))</f>
        <v/>
      </c>
      <c r="AH68">
        <f>IF($U68="",0,ROUND(SUMIF(บันทึกรายเที่ยว!$T$6:$T$6005,$U68,บันทึกรายเที่ยว!$M$6:$M$6005),2))</f>
        <v/>
      </c>
    </row>
    <row r="69" ht="21" customHeight="1" s="66">
      <c r="A69" s="3">
        <f>IF($AB69="G","ผลรวมทั้งหมด",IF($AB69="R",INDEX($S$8:$S$407,$AA69),""))</f>
        <v/>
      </c>
      <c r="B69" s="3">
        <f>IF($AB69="S",INDEX($Y$8:$Y$407,$AA69),"")</f>
        <v/>
      </c>
      <c r="C69" s="68">
        <f>IF($AB69="D",INDEX($Z$8:$Z$407,$AA69),"")</f>
        <v/>
      </c>
      <c r="D69" s="31">
        <f>IF($AB69="G",SUM($AE$8:$AE$407),IF(OR($AB69="",$AB69="R"),"",IF($AB69="D",INDEX($AE$8:$AE$407,$AA69),SUMIF($T$8:$T$407,INDEX($T$8:$T$407,$AA69),$AE$8:$AE$407))))</f>
        <v/>
      </c>
      <c r="E69" s="32">
        <f>IF(62=$AD$1+3,"ขอแสดงความนับถือ",IF(62=$AD$1+6,"(                 )",IF(62=$AD$1+7,"เจ้าหน้าที่ขนส่ง",IF($AB69="G",SUM($AF$8:$AF$407),IF(OR($AB69="",$AB69="R"),"",IF($AB69="D",INDEX($AF$8:$AF$407,$AA69),SUMIF($T$8:$T$407,INDEX($T$8:$T$407,$AA69),$AF$8:$AF$407)))))))</f>
        <v/>
      </c>
      <c r="F69" s="32">
        <f>IF($AB69="G",SUM($AG$8:$AG$407),IF(OR($AB69="",$AB69="R"),"",IF($AB69="D",INDEX($AG$8:$AG$407,$AA69),SUMIF($T$8:$T$407,INDEX($T$8:$T$407,$AA69),$AG$8:$AG$407))))</f>
        <v/>
      </c>
      <c r="G69" s="32">
        <f>IF(OR($AB69="",$AB69="R"),"",ROUND($E69-$F69,2))</f>
        <v/>
      </c>
      <c r="H69" s="32">
        <f>IF($AB69="G",SUM($AH$8:$AH$407),IF(OR($AB69="",$AB69="R"),"",IF($AB69="D",INDEX($AH$8:$AH$407,$AA69),SUMIF($T$8:$T$407,INDEX($T$8:$T$407,$AA69),$AH$8:$AH$407))))</f>
        <v/>
      </c>
      <c r="J69">
        <f>IFERROR(MATCH(62,บันทึกรายเที่ยว!$W$6:$W$6005,0),"")</f>
        <v/>
      </c>
      <c r="K69">
        <f>IF($J69="","",INDEX(บันทึกรายเที่ยว!$T$6:$T$6005,$J69))</f>
        <v/>
      </c>
      <c r="L69">
        <f>IF($J69="","",INDEX(บันทึกรายเที่ยว!$S$6:$S$6005,$J69))</f>
        <v/>
      </c>
      <c r="M69">
        <f>IF($J69="","",INDEX(บันทึกรายเที่ยว!$R$6:$R$6005,$J69))</f>
        <v/>
      </c>
      <c r="N69">
        <f>IF($J69="","",MATCH($M69,บันทึกรายเที่ยว!$R$6:$R$6005,0))</f>
        <v/>
      </c>
      <c r="O69">
        <f>IF($J69="","",MATCH($L69,บันทึกรายเที่ยว!$S$6:$S$6005,0))</f>
        <v/>
      </c>
      <c r="P69">
        <f>IF($J69="","",IF(AND(OR($I$3="(ทั้งหมด)",INDEX(บันทึกรายเที่ยว!$C$6:$C$6005,$J69)=$I$3),OR($I$5="(ทั้งหมด)",INDEX(บันทึกรายเที่ยว!$D$6:$D$6005,$J69)=$I$5),OR($I$7="(ทั้งหมด)",INDEX(บันทึกรายเที่ยว!$F$6:$F$6005,$J69)=$I$7)),$N69*10000000+$O69*1000+62,""))</f>
        <v/>
      </c>
      <c r="Q69">
        <f>IFERROR(MATCH(SMALL($P$8:$P$407,62),$P$8:$P$407,0),"")</f>
        <v/>
      </c>
      <c r="R69">
        <f>IF($Q69="","",INDEX($J$8:$J$407,$Q69))</f>
        <v/>
      </c>
      <c r="S69">
        <f>IF($Q69="","",INDEX($M$8:$M$407,$Q69))</f>
        <v/>
      </c>
      <c r="T69">
        <f>IF($Q69="","",INDEX($L$8:$L$407,$Q69))</f>
        <v/>
      </c>
      <c r="U69">
        <f>IF($Q69="","",INDEX($K$8:$K$407,$Q69))</f>
        <v/>
      </c>
      <c r="V69">
        <f>IF($Q69="",0,IF($S69&lt;&gt;$S68,1,0))</f>
        <v/>
      </c>
      <c r="W69">
        <f>IF($Q69="",0,IF($T69&lt;&gt;$T68,1,0))</f>
        <v/>
      </c>
      <c r="X69">
        <f>IF($Q69="",99999+62,$X68+1+$V68+$W68)</f>
        <v/>
      </c>
      <c r="Y69">
        <f>IF($Q69="","",INDEX(บันทึกรายเที่ยว!$Q$6:$Q$6005,$R69))</f>
        <v/>
      </c>
      <c r="Z69">
        <f>IF($Q69="","",INDEX(บันทึกรายเที่ยว!$F$6:$F$6005,$R69))</f>
        <v/>
      </c>
      <c r="AA69">
        <f>IFERROR(MATCH(62,$X$8:$X$407,1),"")</f>
        <v/>
      </c>
      <c r="AB69">
        <f>IF(62=$AD$1+1,"G",IF($AA69="","",IF(INDEX($Q$8:$Q$407,$AA69)="","",IF(62&gt;INDEX($X$8:$X$407,$AA69)+INDEX($V$8:$V$407,$AA69)+INDEX($W$8:$W$407,$AA69),"",IF(62=INDEX($X$8:$X$407,$AA69)+INDEX($V$8:$V$407,$AA69)+INDEX($W$8:$W$407,$AA69),"D",IF(AND(INDEX($W$8:$W$407,$AA69)=1,62=INDEX($X$8:$X$407,$AA69)+INDEX($V$8:$V$407,$AA69)),"S","R"))))))</f>
        <v/>
      </c>
      <c r="AC69">
        <f>IF(OR($AB69="",$AB69="G"),"",IF($AB69="D",INDEX($U$8:$U$407,$AA69),IF($AB69="S",INDEX($T$8:$T$407,$AA69)&amp;"|*",INDEX($S$8:$S$407,$AA69)&amp;"|*")))</f>
        <v/>
      </c>
      <c r="AE69">
        <f>IF($U69="",0,COUNTIF(บันทึกรายเที่ยว!$T$6:$T$6005,$U69))</f>
        <v/>
      </c>
      <c r="AF69">
        <f>IF($U69="",0,ROUND(SUMIF(บันทึกรายเที่ยว!$T$6:$T$6005,$U69,บันทึกรายเที่ยว!$J$6:$J$6005),2))</f>
        <v/>
      </c>
      <c r="AG69">
        <f>IF($U69="",0,ROUND(SUMIF(บันทึกรายเที่ยว!$T$6:$T$6005,$U69,บันทึกรายเที่ยว!$K$6:$K$6005),2))</f>
        <v/>
      </c>
      <c r="AH69">
        <f>IF($U69="",0,ROUND(SUMIF(บันทึกรายเที่ยว!$T$6:$T$6005,$U69,บันทึกรายเที่ยว!$M$6:$M$6005),2))</f>
        <v/>
      </c>
    </row>
    <row r="70" ht="21" customHeight="1" s="66">
      <c r="A70" s="3">
        <f>IF($AB70="G","ผลรวมทั้งหมด",IF($AB70="R",INDEX($S$8:$S$407,$AA70),""))</f>
        <v/>
      </c>
      <c r="B70" s="3">
        <f>IF($AB70="S",INDEX($Y$8:$Y$407,$AA70),"")</f>
        <v/>
      </c>
      <c r="C70" s="68">
        <f>IF($AB70="D",INDEX($Z$8:$Z$407,$AA70),"")</f>
        <v/>
      </c>
      <c r="D70" s="31">
        <f>IF($AB70="G",SUM($AE$8:$AE$407),IF(OR($AB70="",$AB70="R"),"",IF($AB70="D",INDEX($AE$8:$AE$407,$AA70),SUMIF($T$8:$T$407,INDEX($T$8:$T$407,$AA70),$AE$8:$AE$407))))</f>
        <v/>
      </c>
      <c r="E70" s="32">
        <f>IF(63=$AD$1+3,"ขอแสดงความนับถือ",IF(63=$AD$1+6,"(                 )",IF(63=$AD$1+7,"เจ้าหน้าที่ขนส่ง",IF($AB70="G",SUM($AF$8:$AF$407),IF(OR($AB70="",$AB70="R"),"",IF($AB70="D",INDEX($AF$8:$AF$407,$AA70),SUMIF($T$8:$T$407,INDEX($T$8:$T$407,$AA70),$AF$8:$AF$407)))))))</f>
        <v/>
      </c>
      <c r="F70" s="32">
        <f>IF($AB70="G",SUM($AG$8:$AG$407),IF(OR($AB70="",$AB70="R"),"",IF($AB70="D",INDEX($AG$8:$AG$407,$AA70),SUMIF($T$8:$T$407,INDEX($T$8:$T$407,$AA70),$AG$8:$AG$407))))</f>
        <v/>
      </c>
      <c r="G70" s="32">
        <f>IF(OR($AB70="",$AB70="R"),"",ROUND($E70-$F70,2))</f>
        <v/>
      </c>
      <c r="H70" s="32">
        <f>IF($AB70="G",SUM($AH$8:$AH$407),IF(OR($AB70="",$AB70="R"),"",IF($AB70="D",INDEX($AH$8:$AH$407,$AA70),SUMIF($T$8:$T$407,INDEX($T$8:$T$407,$AA70),$AH$8:$AH$407))))</f>
        <v/>
      </c>
      <c r="J70">
        <f>IFERROR(MATCH(63,บันทึกรายเที่ยว!$W$6:$W$6005,0),"")</f>
        <v/>
      </c>
      <c r="K70">
        <f>IF($J70="","",INDEX(บันทึกรายเที่ยว!$T$6:$T$6005,$J70))</f>
        <v/>
      </c>
      <c r="L70">
        <f>IF($J70="","",INDEX(บันทึกรายเที่ยว!$S$6:$S$6005,$J70))</f>
        <v/>
      </c>
      <c r="M70">
        <f>IF($J70="","",INDEX(บันทึกรายเที่ยว!$R$6:$R$6005,$J70))</f>
        <v/>
      </c>
      <c r="N70">
        <f>IF($J70="","",MATCH($M70,บันทึกรายเที่ยว!$R$6:$R$6005,0))</f>
        <v/>
      </c>
      <c r="O70">
        <f>IF($J70="","",MATCH($L70,บันทึกรายเที่ยว!$S$6:$S$6005,0))</f>
        <v/>
      </c>
      <c r="P70">
        <f>IF($J70="","",IF(AND(OR($I$3="(ทั้งหมด)",INDEX(บันทึกรายเที่ยว!$C$6:$C$6005,$J70)=$I$3),OR($I$5="(ทั้งหมด)",INDEX(บันทึกรายเที่ยว!$D$6:$D$6005,$J70)=$I$5),OR($I$7="(ทั้งหมด)",INDEX(บันทึกรายเที่ยว!$F$6:$F$6005,$J70)=$I$7)),$N70*10000000+$O70*1000+63,""))</f>
        <v/>
      </c>
      <c r="Q70">
        <f>IFERROR(MATCH(SMALL($P$8:$P$407,63),$P$8:$P$407,0),"")</f>
        <v/>
      </c>
      <c r="R70">
        <f>IF($Q70="","",INDEX($J$8:$J$407,$Q70))</f>
        <v/>
      </c>
      <c r="S70">
        <f>IF($Q70="","",INDEX($M$8:$M$407,$Q70))</f>
        <v/>
      </c>
      <c r="T70">
        <f>IF($Q70="","",INDEX($L$8:$L$407,$Q70))</f>
        <v/>
      </c>
      <c r="U70">
        <f>IF($Q70="","",INDEX($K$8:$K$407,$Q70))</f>
        <v/>
      </c>
      <c r="V70">
        <f>IF($Q70="",0,IF($S70&lt;&gt;$S69,1,0))</f>
        <v/>
      </c>
      <c r="W70">
        <f>IF($Q70="",0,IF($T70&lt;&gt;$T69,1,0))</f>
        <v/>
      </c>
      <c r="X70">
        <f>IF($Q70="",99999+63,$X69+1+$V69+$W69)</f>
        <v/>
      </c>
      <c r="Y70">
        <f>IF($Q70="","",INDEX(บันทึกรายเที่ยว!$Q$6:$Q$6005,$R70))</f>
        <v/>
      </c>
      <c r="Z70">
        <f>IF($Q70="","",INDEX(บันทึกรายเที่ยว!$F$6:$F$6005,$R70))</f>
        <v/>
      </c>
      <c r="AA70">
        <f>IFERROR(MATCH(63,$X$8:$X$407,1),"")</f>
        <v/>
      </c>
      <c r="AB70">
        <f>IF(63=$AD$1+1,"G",IF($AA70="","",IF(INDEX($Q$8:$Q$407,$AA70)="","",IF(63&gt;INDEX($X$8:$X$407,$AA70)+INDEX($V$8:$V$407,$AA70)+INDEX($W$8:$W$407,$AA70),"",IF(63=INDEX($X$8:$X$407,$AA70)+INDEX($V$8:$V$407,$AA70)+INDEX($W$8:$W$407,$AA70),"D",IF(AND(INDEX($W$8:$W$407,$AA70)=1,63=INDEX($X$8:$X$407,$AA70)+INDEX($V$8:$V$407,$AA70)),"S","R"))))))</f>
        <v/>
      </c>
      <c r="AC70">
        <f>IF(OR($AB70="",$AB70="G"),"",IF($AB70="D",INDEX($U$8:$U$407,$AA70),IF($AB70="S",INDEX($T$8:$T$407,$AA70)&amp;"|*",INDEX($S$8:$S$407,$AA70)&amp;"|*")))</f>
        <v/>
      </c>
      <c r="AE70">
        <f>IF($U70="",0,COUNTIF(บันทึกรายเที่ยว!$T$6:$T$6005,$U70))</f>
        <v/>
      </c>
      <c r="AF70">
        <f>IF($U70="",0,ROUND(SUMIF(บันทึกรายเที่ยว!$T$6:$T$6005,$U70,บันทึกรายเที่ยว!$J$6:$J$6005),2))</f>
        <v/>
      </c>
      <c r="AG70">
        <f>IF($U70="",0,ROUND(SUMIF(บันทึกรายเที่ยว!$T$6:$T$6005,$U70,บันทึกรายเที่ยว!$K$6:$K$6005),2))</f>
        <v/>
      </c>
      <c r="AH70">
        <f>IF($U70="",0,ROUND(SUMIF(บันทึกรายเที่ยว!$T$6:$T$6005,$U70,บันทึกรายเที่ยว!$M$6:$M$6005),2))</f>
        <v/>
      </c>
    </row>
    <row r="71" ht="21" customHeight="1" s="66">
      <c r="A71" s="3">
        <f>IF($AB71="G","ผลรวมทั้งหมด",IF($AB71="R",INDEX($S$8:$S$407,$AA71),""))</f>
        <v/>
      </c>
      <c r="B71" s="3">
        <f>IF($AB71="S",INDEX($Y$8:$Y$407,$AA71),"")</f>
        <v/>
      </c>
      <c r="C71" s="68">
        <f>IF($AB71="D",INDEX($Z$8:$Z$407,$AA71),"")</f>
        <v/>
      </c>
      <c r="D71" s="31">
        <f>IF($AB71="G",SUM($AE$8:$AE$407),IF(OR($AB71="",$AB71="R"),"",IF($AB71="D",INDEX($AE$8:$AE$407,$AA71),SUMIF($T$8:$T$407,INDEX($T$8:$T$407,$AA71),$AE$8:$AE$407))))</f>
        <v/>
      </c>
      <c r="E71" s="32">
        <f>IF(64=$AD$1+3,"ขอแสดงความนับถือ",IF(64=$AD$1+6,"(                 )",IF(64=$AD$1+7,"เจ้าหน้าที่ขนส่ง",IF($AB71="G",SUM($AF$8:$AF$407),IF(OR($AB71="",$AB71="R"),"",IF($AB71="D",INDEX($AF$8:$AF$407,$AA71),SUMIF($T$8:$T$407,INDEX($T$8:$T$407,$AA71),$AF$8:$AF$407)))))))</f>
        <v/>
      </c>
      <c r="F71" s="32">
        <f>IF($AB71="G",SUM($AG$8:$AG$407),IF(OR($AB71="",$AB71="R"),"",IF($AB71="D",INDEX($AG$8:$AG$407,$AA71),SUMIF($T$8:$T$407,INDEX($T$8:$T$407,$AA71),$AG$8:$AG$407))))</f>
        <v/>
      </c>
      <c r="G71" s="32">
        <f>IF(OR($AB71="",$AB71="R"),"",ROUND($E71-$F71,2))</f>
        <v/>
      </c>
      <c r="H71" s="32">
        <f>IF($AB71="G",SUM($AH$8:$AH$407),IF(OR($AB71="",$AB71="R"),"",IF($AB71="D",INDEX($AH$8:$AH$407,$AA71),SUMIF($T$8:$T$407,INDEX($T$8:$T$407,$AA71),$AH$8:$AH$407))))</f>
        <v/>
      </c>
      <c r="J71">
        <f>IFERROR(MATCH(64,บันทึกรายเที่ยว!$W$6:$W$6005,0),"")</f>
        <v/>
      </c>
      <c r="K71">
        <f>IF($J71="","",INDEX(บันทึกรายเที่ยว!$T$6:$T$6005,$J71))</f>
        <v/>
      </c>
      <c r="L71">
        <f>IF($J71="","",INDEX(บันทึกรายเที่ยว!$S$6:$S$6005,$J71))</f>
        <v/>
      </c>
      <c r="M71">
        <f>IF($J71="","",INDEX(บันทึกรายเที่ยว!$R$6:$R$6005,$J71))</f>
        <v/>
      </c>
      <c r="N71">
        <f>IF($J71="","",MATCH($M71,บันทึกรายเที่ยว!$R$6:$R$6005,0))</f>
        <v/>
      </c>
      <c r="O71">
        <f>IF($J71="","",MATCH($L71,บันทึกรายเที่ยว!$S$6:$S$6005,0))</f>
        <v/>
      </c>
      <c r="P71">
        <f>IF($J71="","",IF(AND(OR($I$3="(ทั้งหมด)",INDEX(บันทึกรายเที่ยว!$C$6:$C$6005,$J71)=$I$3),OR($I$5="(ทั้งหมด)",INDEX(บันทึกรายเที่ยว!$D$6:$D$6005,$J71)=$I$5),OR($I$7="(ทั้งหมด)",INDEX(บันทึกรายเที่ยว!$F$6:$F$6005,$J71)=$I$7)),$N71*10000000+$O71*1000+64,""))</f>
        <v/>
      </c>
      <c r="Q71">
        <f>IFERROR(MATCH(SMALL($P$8:$P$407,64),$P$8:$P$407,0),"")</f>
        <v/>
      </c>
      <c r="R71">
        <f>IF($Q71="","",INDEX($J$8:$J$407,$Q71))</f>
        <v/>
      </c>
      <c r="S71">
        <f>IF($Q71="","",INDEX($M$8:$M$407,$Q71))</f>
        <v/>
      </c>
      <c r="T71">
        <f>IF($Q71="","",INDEX($L$8:$L$407,$Q71))</f>
        <v/>
      </c>
      <c r="U71">
        <f>IF($Q71="","",INDEX($K$8:$K$407,$Q71))</f>
        <v/>
      </c>
      <c r="V71">
        <f>IF($Q71="",0,IF($S71&lt;&gt;$S70,1,0))</f>
        <v/>
      </c>
      <c r="W71">
        <f>IF($Q71="",0,IF($T71&lt;&gt;$T70,1,0))</f>
        <v/>
      </c>
      <c r="X71">
        <f>IF($Q71="",99999+64,$X70+1+$V70+$W70)</f>
        <v/>
      </c>
      <c r="Y71">
        <f>IF($Q71="","",INDEX(บันทึกรายเที่ยว!$Q$6:$Q$6005,$R71))</f>
        <v/>
      </c>
      <c r="Z71">
        <f>IF($Q71="","",INDEX(บันทึกรายเที่ยว!$F$6:$F$6005,$R71))</f>
        <v/>
      </c>
      <c r="AA71">
        <f>IFERROR(MATCH(64,$X$8:$X$407,1),"")</f>
        <v/>
      </c>
      <c r="AB71">
        <f>IF(64=$AD$1+1,"G",IF($AA71="","",IF(INDEX($Q$8:$Q$407,$AA71)="","",IF(64&gt;INDEX($X$8:$X$407,$AA71)+INDEX($V$8:$V$407,$AA71)+INDEX($W$8:$W$407,$AA71),"",IF(64=INDEX($X$8:$X$407,$AA71)+INDEX($V$8:$V$407,$AA71)+INDEX($W$8:$W$407,$AA71),"D",IF(AND(INDEX($W$8:$W$407,$AA71)=1,64=INDEX($X$8:$X$407,$AA71)+INDEX($V$8:$V$407,$AA71)),"S","R"))))))</f>
        <v/>
      </c>
      <c r="AC71">
        <f>IF(OR($AB71="",$AB71="G"),"",IF($AB71="D",INDEX($U$8:$U$407,$AA71),IF($AB71="S",INDEX($T$8:$T$407,$AA71)&amp;"|*",INDEX($S$8:$S$407,$AA71)&amp;"|*")))</f>
        <v/>
      </c>
      <c r="AE71">
        <f>IF($U71="",0,COUNTIF(บันทึกรายเที่ยว!$T$6:$T$6005,$U71))</f>
        <v/>
      </c>
      <c r="AF71">
        <f>IF($U71="",0,ROUND(SUMIF(บันทึกรายเที่ยว!$T$6:$T$6005,$U71,บันทึกรายเที่ยว!$J$6:$J$6005),2))</f>
        <v/>
      </c>
      <c r="AG71">
        <f>IF($U71="",0,ROUND(SUMIF(บันทึกรายเที่ยว!$T$6:$T$6005,$U71,บันทึกรายเที่ยว!$K$6:$K$6005),2))</f>
        <v/>
      </c>
      <c r="AH71">
        <f>IF($U71="",0,ROUND(SUMIF(บันทึกรายเที่ยว!$T$6:$T$6005,$U71,บันทึกรายเที่ยว!$M$6:$M$6005),2))</f>
        <v/>
      </c>
    </row>
    <row r="72" ht="21" customHeight="1" s="66">
      <c r="A72" s="3">
        <f>IF($AB72="G","ผลรวมทั้งหมด",IF($AB72="R",INDEX($S$8:$S$407,$AA72),""))</f>
        <v/>
      </c>
      <c r="B72" s="3">
        <f>IF($AB72="S",INDEX($Y$8:$Y$407,$AA72),"")</f>
        <v/>
      </c>
      <c r="C72" s="68">
        <f>IF($AB72="D",INDEX($Z$8:$Z$407,$AA72),"")</f>
        <v/>
      </c>
      <c r="D72" s="31">
        <f>IF($AB72="G",SUM($AE$8:$AE$407),IF(OR($AB72="",$AB72="R"),"",IF($AB72="D",INDEX($AE$8:$AE$407,$AA72),SUMIF($T$8:$T$407,INDEX($T$8:$T$407,$AA72),$AE$8:$AE$407))))</f>
        <v/>
      </c>
      <c r="E72" s="32">
        <f>IF(65=$AD$1+3,"ขอแสดงความนับถือ",IF(65=$AD$1+6,"(                 )",IF(65=$AD$1+7,"เจ้าหน้าที่ขนส่ง",IF($AB72="G",SUM($AF$8:$AF$407),IF(OR($AB72="",$AB72="R"),"",IF($AB72="D",INDEX($AF$8:$AF$407,$AA72),SUMIF($T$8:$T$407,INDEX($T$8:$T$407,$AA72),$AF$8:$AF$407)))))))</f>
        <v/>
      </c>
      <c r="F72" s="32">
        <f>IF($AB72="G",SUM($AG$8:$AG$407),IF(OR($AB72="",$AB72="R"),"",IF($AB72="D",INDEX($AG$8:$AG$407,$AA72),SUMIF($T$8:$T$407,INDEX($T$8:$T$407,$AA72),$AG$8:$AG$407))))</f>
        <v/>
      </c>
      <c r="G72" s="32">
        <f>IF(OR($AB72="",$AB72="R"),"",ROUND($E72-$F72,2))</f>
        <v/>
      </c>
      <c r="H72" s="32">
        <f>IF($AB72="G",SUM($AH$8:$AH$407),IF(OR($AB72="",$AB72="R"),"",IF($AB72="D",INDEX($AH$8:$AH$407,$AA72),SUMIF($T$8:$T$407,INDEX($T$8:$T$407,$AA72),$AH$8:$AH$407))))</f>
        <v/>
      </c>
      <c r="J72">
        <f>IFERROR(MATCH(65,บันทึกรายเที่ยว!$W$6:$W$6005,0),"")</f>
        <v/>
      </c>
      <c r="K72">
        <f>IF($J72="","",INDEX(บันทึกรายเที่ยว!$T$6:$T$6005,$J72))</f>
        <v/>
      </c>
      <c r="L72">
        <f>IF($J72="","",INDEX(บันทึกรายเที่ยว!$S$6:$S$6005,$J72))</f>
        <v/>
      </c>
      <c r="M72">
        <f>IF($J72="","",INDEX(บันทึกรายเที่ยว!$R$6:$R$6005,$J72))</f>
        <v/>
      </c>
      <c r="N72">
        <f>IF($J72="","",MATCH($M72,บันทึกรายเที่ยว!$R$6:$R$6005,0))</f>
        <v/>
      </c>
      <c r="O72">
        <f>IF($J72="","",MATCH($L72,บันทึกรายเที่ยว!$S$6:$S$6005,0))</f>
        <v/>
      </c>
      <c r="P72">
        <f>IF($J72="","",IF(AND(OR($I$3="(ทั้งหมด)",INDEX(บันทึกรายเที่ยว!$C$6:$C$6005,$J72)=$I$3),OR($I$5="(ทั้งหมด)",INDEX(บันทึกรายเที่ยว!$D$6:$D$6005,$J72)=$I$5),OR($I$7="(ทั้งหมด)",INDEX(บันทึกรายเที่ยว!$F$6:$F$6005,$J72)=$I$7)),$N72*10000000+$O72*1000+65,""))</f>
        <v/>
      </c>
      <c r="Q72">
        <f>IFERROR(MATCH(SMALL($P$8:$P$407,65),$P$8:$P$407,0),"")</f>
        <v/>
      </c>
      <c r="R72">
        <f>IF($Q72="","",INDEX($J$8:$J$407,$Q72))</f>
        <v/>
      </c>
      <c r="S72">
        <f>IF($Q72="","",INDEX($M$8:$M$407,$Q72))</f>
        <v/>
      </c>
      <c r="T72">
        <f>IF($Q72="","",INDEX($L$8:$L$407,$Q72))</f>
        <v/>
      </c>
      <c r="U72">
        <f>IF($Q72="","",INDEX($K$8:$K$407,$Q72))</f>
        <v/>
      </c>
      <c r="V72">
        <f>IF($Q72="",0,IF($S72&lt;&gt;$S71,1,0))</f>
        <v/>
      </c>
      <c r="W72">
        <f>IF($Q72="",0,IF($T72&lt;&gt;$T71,1,0))</f>
        <v/>
      </c>
      <c r="X72">
        <f>IF($Q72="",99999+65,$X71+1+$V71+$W71)</f>
        <v/>
      </c>
      <c r="Y72">
        <f>IF($Q72="","",INDEX(บันทึกรายเที่ยว!$Q$6:$Q$6005,$R72))</f>
        <v/>
      </c>
      <c r="Z72">
        <f>IF($Q72="","",INDEX(บันทึกรายเที่ยว!$F$6:$F$6005,$R72))</f>
        <v/>
      </c>
      <c r="AA72">
        <f>IFERROR(MATCH(65,$X$8:$X$407,1),"")</f>
        <v/>
      </c>
      <c r="AB72">
        <f>IF(65=$AD$1+1,"G",IF($AA72="","",IF(INDEX($Q$8:$Q$407,$AA72)="","",IF(65&gt;INDEX($X$8:$X$407,$AA72)+INDEX($V$8:$V$407,$AA72)+INDEX($W$8:$W$407,$AA72),"",IF(65=INDEX($X$8:$X$407,$AA72)+INDEX($V$8:$V$407,$AA72)+INDEX($W$8:$W$407,$AA72),"D",IF(AND(INDEX($W$8:$W$407,$AA72)=1,65=INDEX($X$8:$X$407,$AA72)+INDEX($V$8:$V$407,$AA72)),"S","R"))))))</f>
        <v/>
      </c>
      <c r="AC72">
        <f>IF(OR($AB72="",$AB72="G"),"",IF($AB72="D",INDEX($U$8:$U$407,$AA72),IF($AB72="S",INDEX($T$8:$T$407,$AA72)&amp;"|*",INDEX($S$8:$S$407,$AA72)&amp;"|*")))</f>
        <v/>
      </c>
      <c r="AE72">
        <f>IF($U72="",0,COUNTIF(บันทึกรายเที่ยว!$T$6:$T$6005,$U72))</f>
        <v/>
      </c>
      <c r="AF72">
        <f>IF($U72="",0,ROUND(SUMIF(บันทึกรายเที่ยว!$T$6:$T$6005,$U72,บันทึกรายเที่ยว!$J$6:$J$6005),2))</f>
        <v/>
      </c>
      <c r="AG72">
        <f>IF($U72="",0,ROUND(SUMIF(บันทึกรายเที่ยว!$T$6:$T$6005,$U72,บันทึกรายเที่ยว!$K$6:$K$6005),2))</f>
        <v/>
      </c>
      <c r="AH72">
        <f>IF($U72="",0,ROUND(SUMIF(บันทึกรายเที่ยว!$T$6:$T$6005,$U72,บันทึกรายเที่ยว!$M$6:$M$6005),2))</f>
        <v/>
      </c>
    </row>
    <row r="73" ht="21" customHeight="1" s="66">
      <c r="A73" s="3">
        <f>IF($AB73="G","ผลรวมทั้งหมด",IF($AB73="R",INDEX($S$8:$S$407,$AA73),""))</f>
        <v/>
      </c>
      <c r="B73" s="3">
        <f>IF($AB73="S",INDEX($Y$8:$Y$407,$AA73),"")</f>
        <v/>
      </c>
      <c r="C73" s="68">
        <f>IF($AB73="D",INDEX($Z$8:$Z$407,$AA73),"")</f>
        <v/>
      </c>
      <c r="D73" s="31">
        <f>IF($AB73="G",SUM($AE$8:$AE$407),IF(OR($AB73="",$AB73="R"),"",IF($AB73="D",INDEX($AE$8:$AE$407,$AA73),SUMIF($T$8:$T$407,INDEX($T$8:$T$407,$AA73),$AE$8:$AE$407))))</f>
        <v/>
      </c>
      <c r="E73" s="32">
        <f>IF(66=$AD$1+3,"ขอแสดงความนับถือ",IF(66=$AD$1+6,"(                 )",IF(66=$AD$1+7,"เจ้าหน้าที่ขนส่ง",IF($AB73="G",SUM($AF$8:$AF$407),IF(OR($AB73="",$AB73="R"),"",IF($AB73="D",INDEX($AF$8:$AF$407,$AA73),SUMIF($T$8:$T$407,INDEX($T$8:$T$407,$AA73),$AF$8:$AF$407)))))))</f>
        <v/>
      </c>
      <c r="F73" s="32">
        <f>IF($AB73="G",SUM($AG$8:$AG$407),IF(OR($AB73="",$AB73="R"),"",IF($AB73="D",INDEX($AG$8:$AG$407,$AA73),SUMIF($T$8:$T$407,INDEX($T$8:$T$407,$AA73),$AG$8:$AG$407))))</f>
        <v/>
      </c>
      <c r="G73" s="32">
        <f>IF(OR($AB73="",$AB73="R"),"",ROUND($E73-$F73,2))</f>
        <v/>
      </c>
      <c r="H73" s="32">
        <f>IF($AB73="G",SUM($AH$8:$AH$407),IF(OR($AB73="",$AB73="R"),"",IF($AB73="D",INDEX($AH$8:$AH$407,$AA73),SUMIF($T$8:$T$407,INDEX($T$8:$T$407,$AA73),$AH$8:$AH$407))))</f>
        <v/>
      </c>
      <c r="J73">
        <f>IFERROR(MATCH(66,บันทึกรายเที่ยว!$W$6:$W$6005,0),"")</f>
        <v/>
      </c>
      <c r="K73">
        <f>IF($J73="","",INDEX(บันทึกรายเที่ยว!$T$6:$T$6005,$J73))</f>
        <v/>
      </c>
      <c r="L73">
        <f>IF($J73="","",INDEX(บันทึกรายเที่ยว!$S$6:$S$6005,$J73))</f>
        <v/>
      </c>
      <c r="M73">
        <f>IF($J73="","",INDEX(บันทึกรายเที่ยว!$R$6:$R$6005,$J73))</f>
        <v/>
      </c>
      <c r="N73">
        <f>IF($J73="","",MATCH($M73,บันทึกรายเที่ยว!$R$6:$R$6005,0))</f>
        <v/>
      </c>
      <c r="O73">
        <f>IF($J73="","",MATCH($L73,บันทึกรายเที่ยว!$S$6:$S$6005,0))</f>
        <v/>
      </c>
      <c r="P73">
        <f>IF($J73="","",IF(AND(OR($I$3="(ทั้งหมด)",INDEX(บันทึกรายเที่ยว!$C$6:$C$6005,$J73)=$I$3),OR($I$5="(ทั้งหมด)",INDEX(บันทึกรายเที่ยว!$D$6:$D$6005,$J73)=$I$5),OR($I$7="(ทั้งหมด)",INDEX(บันทึกรายเที่ยว!$F$6:$F$6005,$J73)=$I$7)),$N73*10000000+$O73*1000+66,""))</f>
        <v/>
      </c>
      <c r="Q73">
        <f>IFERROR(MATCH(SMALL($P$8:$P$407,66),$P$8:$P$407,0),"")</f>
        <v/>
      </c>
      <c r="R73">
        <f>IF($Q73="","",INDEX($J$8:$J$407,$Q73))</f>
        <v/>
      </c>
      <c r="S73">
        <f>IF($Q73="","",INDEX($M$8:$M$407,$Q73))</f>
        <v/>
      </c>
      <c r="T73">
        <f>IF($Q73="","",INDEX($L$8:$L$407,$Q73))</f>
        <v/>
      </c>
      <c r="U73">
        <f>IF($Q73="","",INDEX($K$8:$K$407,$Q73))</f>
        <v/>
      </c>
      <c r="V73">
        <f>IF($Q73="",0,IF($S73&lt;&gt;$S72,1,0))</f>
        <v/>
      </c>
      <c r="W73">
        <f>IF($Q73="",0,IF($T73&lt;&gt;$T72,1,0))</f>
        <v/>
      </c>
      <c r="X73">
        <f>IF($Q73="",99999+66,$X72+1+$V72+$W72)</f>
        <v/>
      </c>
      <c r="Y73">
        <f>IF($Q73="","",INDEX(บันทึกรายเที่ยว!$Q$6:$Q$6005,$R73))</f>
        <v/>
      </c>
      <c r="Z73">
        <f>IF($Q73="","",INDEX(บันทึกรายเที่ยว!$F$6:$F$6005,$R73))</f>
        <v/>
      </c>
      <c r="AA73">
        <f>IFERROR(MATCH(66,$X$8:$X$407,1),"")</f>
        <v/>
      </c>
      <c r="AB73">
        <f>IF(66=$AD$1+1,"G",IF($AA73="","",IF(INDEX($Q$8:$Q$407,$AA73)="","",IF(66&gt;INDEX($X$8:$X$407,$AA73)+INDEX($V$8:$V$407,$AA73)+INDEX($W$8:$W$407,$AA73),"",IF(66=INDEX($X$8:$X$407,$AA73)+INDEX($V$8:$V$407,$AA73)+INDEX($W$8:$W$407,$AA73),"D",IF(AND(INDEX($W$8:$W$407,$AA73)=1,66=INDEX($X$8:$X$407,$AA73)+INDEX($V$8:$V$407,$AA73)),"S","R"))))))</f>
        <v/>
      </c>
      <c r="AC73">
        <f>IF(OR($AB73="",$AB73="G"),"",IF($AB73="D",INDEX($U$8:$U$407,$AA73),IF($AB73="S",INDEX($T$8:$T$407,$AA73)&amp;"|*",INDEX($S$8:$S$407,$AA73)&amp;"|*")))</f>
        <v/>
      </c>
      <c r="AE73">
        <f>IF($U73="",0,COUNTIF(บันทึกรายเที่ยว!$T$6:$T$6005,$U73))</f>
        <v/>
      </c>
      <c r="AF73">
        <f>IF($U73="",0,ROUND(SUMIF(บันทึกรายเที่ยว!$T$6:$T$6005,$U73,บันทึกรายเที่ยว!$J$6:$J$6005),2))</f>
        <v/>
      </c>
      <c r="AG73">
        <f>IF($U73="",0,ROUND(SUMIF(บันทึกรายเที่ยว!$T$6:$T$6005,$U73,บันทึกรายเที่ยว!$K$6:$K$6005),2))</f>
        <v/>
      </c>
      <c r="AH73">
        <f>IF($U73="",0,ROUND(SUMIF(บันทึกรายเที่ยว!$T$6:$T$6005,$U73,บันทึกรายเที่ยว!$M$6:$M$6005),2))</f>
        <v/>
      </c>
    </row>
    <row r="74" ht="21" customHeight="1" s="66">
      <c r="A74" s="3">
        <f>IF($AB74="G","ผลรวมทั้งหมด",IF($AB74="R",INDEX($S$8:$S$407,$AA74),""))</f>
        <v/>
      </c>
      <c r="B74" s="3">
        <f>IF($AB74="S",INDEX($Y$8:$Y$407,$AA74),"")</f>
        <v/>
      </c>
      <c r="C74" s="68">
        <f>IF($AB74="D",INDEX($Z$8:$Z$407,$AA74),"")</f>
        <v/>
      </c>
      <c r="D74" s="31">
        <f>IF($AB74="G",SUM($AE$8:$AE$407),IF(OR($AB74="",$AB74="R"),"",IF($AB74="D",INDEX($AE$8:$AE$407,$AA74),SUMIF($T$8:$T$407,INDEX($T$8:$T$407,$AA74),$AE$8:$AE$407))))</f>
        <v/>
      </c>
      <c r="E74" s="32">
        <f>IF(67=$AD$1+3,"ขอแสดงความนับถือ",IF(67=$AD$1+6,"(                 )",IF(67=$AD$1+7,"เจ้าหน้าที่ขนส่ง",IF($AB74="G",SUM($AF$8:$AF$407),IF(OR($AB74="",$AB74="R"),"",IF($AB74="D",INDEX($AF$8:$AF$407,$AA74),SUMIF($T$8:$T$407,INDEX($T$8:$T$407,$AA74),$AF$8:$AF$407)))))))</f>
        <v/>
      </c>
      <c r="F74" s="32">
        <f>IF($AB74="G",SUM($AG$8:$AG$407),IF(OR($AB74="",$AB74="R"),"",IF($AB74="D",INDEX($AG$8:$AG$407,$AA74),SUMIF($T$8:$T$407,INDEX($T$8:$T$407,$AA74),$AG$8:$AG$407))))</f>
        <v/>
      </c>
      <c r="G74" s="32">
        <f>IF(OR($AB74="",$AB74="R"),"",ROUND($E74-$F74,2))</f>
        <v/>
      </c>
      <c r="H74" s="32">
        <f>IF($AB74="G",SUM($AH$8:$AH$407),IF(OR($AB74="",$AB74="R"),"",IF($AB74="D",INDEX($AH$8:$AH$407,$AA74),SUMIF($T$8:$T$407,INDEX($T$8:$T$407,$AA74),$AH$8:$AH$407))))</f>
        <v/>
      </c>
      <c r="J74">
        <f>IFERROR(MATCH(67,บันทึกรายเที่ยว!$W$6:$W$6005,0),"")</f>
        <v/>
      </c>
      <c r="K74">
        <f>IF($J74="","",INDEX(บันทึกรายเที่ยว!$T$6:$T$6005,$J74))</f>
        <v/>
      </c>
      <c r="L74">
        <f>IF($J74="","",INDEX(บันทึกรายเที่ยว!$S$6:$S$6005,$J74))</f>
        <v/>
      </c>
      <c r="M74">
        <f>IF($J74="","",INDEX(บันทึกรายเที่ยว!$R$6:$R$6005,$J74))</f>
        <v/>
      </c>
      <c r="N74">
        <f>IF($J74="","",MATCH($M74,บันทึกรายเที่ยว!$R$6:$R$6005,0))</f>
        <v/>
      </c>
      <c r="O74">
        <f>IF($J74="","",MATCH($L74,บันทึกรายเที่ยว!$S$6:$S$6005,0))</f>
        <v/>
      </c>
      <c r="P74">
        <f>IF($J74="","",IF(AND(OR($I$3="(ทั้งหมด)",INDEX(บันทึกรายเที่ยว!$C$6:$C$6005,$J74)=$I$3),OR($I$5="(ทั้งหมด)",INDEX(บันทึกรายเที่ยว!$D$6:$D$6005,$J74)=$I$5),OR($I$7="(ทั้งหมด)",INDEX(บันทึกรายเที่ยว!$F$6:$F$6005,$J74)=$I$7)),$N74*10000000+$O74*1000+67,""))</f>
        <v/>
      </c>
      <c r="Q74">
        <f>IFERROR(MATCH(SMALL($P$8:$P$407,67),$P$8:$P$407,0),"")</f>
        <v/>
      </c>
      <c r="R74">
        <f>IF($Q74="","",INDEX($J$8:$J$407,$Q74))</f>
        <v/>
      </c>
      <c r="S74">
        <f>IF($Q74="","",INDEX($M$8:$M$407,$Q74))</f>
        <v/>
      </c>
      <c r="T74">
        <f>IF($Q74="","",INDEX($L$8:$L$407,$Q74))</f>
        <v/>
      </c>
      <c r="U74">
        <f>IF($Q74="","",INDEX($K$8:$K$407,$Q74))</f>
        <v/>
      </c>
      <c r="V74">
        <f>IF($Q74="",0,IF($S74&lt;&gt;$S73,1,0))</f>
        <v/>
      </c>
      <c r="W74">
        <f>IF($Q74="",0,IF($T74&lt;&gt;$T73,1,0))</f>
        <v/>
      </c>
      <c r="X74">
        <f>IF($Q74="",99999+67,$X73+1+$V73+$W73)</f>
        <v/>
      </c>
      <c r="Y74">
        <f>IF($Q74="","",INDEX(บันทึกรายเที่ยว!$Q$6:$Q$6005,$R74))</f>
        <v/>
      </c>
      <c r="Z74">
        <f>IF($Q74="","",INDEX(บันทึกรายเที่ยว!$F$6:$F$6005,$R74))</f>
        <v/>
      </c>
      <c r="AA74">
        <f>IFERROR(MATCH(67,$X$8:$X$407,1),"")</f>
        <v/>
      </c>
      <c r="AB74">
        <f>IF(67=$AD$1+1,"G",IF($AA74="","",IF(INDEX($Q$8:$Q$407,$AA74)="","",IF(67&gt;INDEX($X$8:$X$407,$AA74)+INDEX($V$8:$V$407,$AA74)+INDEX($W$8:$W$407,$AA74),"",IF(67=INDEX($X$8:$X$407,$AA74)+INDEX($V$8:$V$407,$AA74)+INDEX($W$8:$W$407,$AA74),"D",IF(AND(INDEX($W$8:$W$407,$AA74)=1,67=INDEX($X$8:$X$407,$AA74)+INDEX($V$8:$V$407,$AA74)),"S","R"))))))</f>
        <v/>
      </c>
      <c r="AC74">
        <f>IF(OR($AB74="",$AB74="G"),"",IF($AB74="D",INDEX($U$8:$U$407,$AA74),IF($AB74="S",INDEX($T$8:$T$407,$AA74)&amp;"|*",INDEX($S$8:$S$407,$AA74)&amp;"|*")))</f>
        <v/>
      </c>
      <c r="AE74">
        <f>IF($U74="",0,COUNTIF(บันทึกรายเที่ยว!$T$6:$T$6005,$U74))</f>
        <v/>
      </c>
      <c r="AF74">
        <f>IF($U74="",0,ROUND(SUMIF(บันทึกรายเที่ยว!$T$6:$T$6005,$U74,บันทึกรายเที่ยว!$J$6:$J$6005),2))</f>
        <v/>
      </c>
      <c r="AG74">
        <f>IF($U74="",0,ROUND(SUMIF(บันทึกรายเที่ยว!$T$6:$T$6005,$U74,บันทึกรายเที่ยว!$K$6:$K$6005),2))</f>
        <v/>
      </c>
      <c r="AH74">
        <f>IF($U74="",0,ROUND(SUMIF(บันทึกรายเที่ยว!$T$6:$T$6005,$U74,บันทึกรายเที่ยว!$M$6:$M$6005),2))</f>
        <v/>
      </c>
    </row>
    <row r="75" ht="21" customHeight="1" s="66">
      <c r="A75" s="3">
        <f>IF($AB75="G","ผลรวมทั้งหมด",IF($AB75="R",INDEX($S$8:$S$407,$AA75),""))</f>
        <v/>
      </c>
      <c r="B75" s="3">
        <f>IF($AB75="S",INDEX($Y$8:$Y$407,$AA75),"")</f>
        <v/>
      </c>
      <c r="C75" s="68">
        <f>IF($AB75="D",INDEX($Z$8:$Z$407,$AA75),"")</f>
        <v/>
      </c>
      <c r="D75" s="31">
        <f>IF($AB75="G",SUM($AE$8:$AE$407),IF(OR($AB75="",$AB75="R"),"",IF($AB75="D",INDEX($AE$8:$AE$407,$AA75),SUMIF($T$8:$T$407,INDEX($T$8:$T$407,$AA75),$AE$8:$AE$407))))</f>
        <v/>
      </c>
      <c r="E75" s="32">
        <f>IF(68=$AD$1+3,"ขอแสดงความนับถือ",IF(68=$AD$1+6,"(                 )",IF(68=$AD$1+7,"เจ้าหน้าที่ขนส่ง",IF($AB75="G",SUM($AF$8:$AF$407),IF(OR($AB75="",$AB75="R"),"",IF($AB75="D",INDEX($AF$8:$AF$407,$AA75),SUMIF($T$8:$T$407,INDEX($T$8:$T$407,$AA75),$AF$8:$AF$407)))))))</f>
        <v/>
      </c>
      <c r="F75" s="32">
        <f>IF($AB75="G",SUM($AG$8:$AG$407),IF(OR($AB75="",$AB75="R"),"",IF($AB75="D",INDEX($AG$8:$AG$407,$AA75),SUMIF($T$8:$T$407,INDEX($T$8:$T$407,$AA75),$AG$8:$AG$407))))</f>
        <v/>
      </c>
      <c r="G75" s="32">
        <f>IF(OR($AB75="",$AB75="R"),"",ROUND($E75-$F75,2))</f>
        <v/>
      </c>
      <c r="H75" s="32">
        <f>IF($AB75="G",SUM($AH$8:$AH$407),IF(OR($AB75="",$AB75="R"),"",IF($AB75="D",INDEX($AH$8:$AH$407,$AA75),SUMIF($T$8:$T$407,INDEX($T$8:$T$407,$AA75),$AH$8:$AH$407))))</f>
        <v/>
      </c>
      <c r="J75">
        <f>IFERROR(MATCH(68,บันทึกรายเที่ยว!$W$6:$W$6005,0),"")</f>
        <v/>
      </c>
      <c r="K75">
        <f>IF($J75="","",INDEX(บันทึกรายเที่ยว!$T$6:$T$6005,$J75))</f>
        <v/>
      </c>
      <c r="L75">
        <f>IF($J75="","",INDEX(บันทึกรายเที่ยว!$S$6:$S$6005,$J75))</f>
        <v/>
      </c>
      <c r="M75">
        <f>IF($J75="","",INDEX(บันทึกรายเที่ยว!$R$6:$R$6005,$J75))</f>
        <v/>
      </c>
      <c r="N75">
        <f>IF($J75="","",MATCH($M75,บันทึกรายเที่ยว!$R$6:$R$6005,0))</f>
        <v/>
      </c>
      <c r="O75">
        <f>IF($J75="","",MATCH($L75,บันทึกรายเที่ยว!$S$6:$S$6005,0))</f>
        <v/>
      </c>
      <c r="P75">
        <f>IF($J75="","",IF(AND(OR($I$3="(ทั้งหมด)",INDEX(บันทึกรายเที่ยว!$C$6:$C$6005,$J75)=$I$3),OR($I$5="(ทั้งหมด)",INDEX(บันทึกรายเที่ยว!$D$6:$D$6005,$J75)=$I$5),OR($I$7="(ทั้งหมด)",INDEX(บันทึกรายเที่ยว!$F$6:$F$6005,$J75)=$I$7)),$N75*10000000+$O75*1000+68,""))</f>
        <v/>
      </c>
      <c r="Q75">
        <f>IFERROR(MATCH(SMALL($P$8:$P$407,68),$P$8:$P$407,0),"")</f>
        <v/>
      </c>
      <c r="R75">
        <f>IF($Q75="","",INDEX($J$8:$J$407,$Q75))</f>
        <v/>
      </c>
      <c r="S75">
        <f>IF($Q75="","",INDEX($M$8:$M$407,$Q75))</f>
        <v/>
      </c>
      <c r="T75">
        <f>IF($Q75="","",INDEX($L$8:$L$407,$Q75))</f>
        <v/>
      </c>
      <c r="U75">
        <f>IF($Q75="","",INDEX($K$8:$K$407,$Q75))</f>
        <v/>
      </c>
      <c r="V75">
        <f>IF($Q75="",0,IF($S75&lt;&gt;$S74,1,0))</f>
        <v/>
      </c>
      <c r="W75">
        <f>IF($Q75="",0,IF($T75&lt;&gt;$T74,1,0))</f>
        <v/>
      </c>
      <c r="X75">
        <f>IF($Q75="",99999+68,$X74+1+$V74+$W74)</f>
        <v/>
      </c>
      <c r="Y75">
        <f>IF($Q75="","",INDEX(บันทึกรายเที่ยว!$Q$6:$Q$6005,$R75))</f>
        <v/>
      </c>
      <c r="Z75">
        <f>IF($Q75="","",INDEX(บันทึกรายเที่ยว!$F$6:$F$6005,$R75))</f>
        <v/>
      </c>
      <c r="AA75">
        <f>IFERROR(MATCH(68,$X$8:$X$407,1),"")</f>
        <v/>
      </c>
      <c r="AB75">
        <f>IF(68=$AD$1+1,"G",IF($AA75="","",IF(INDEX($Q$8:$Q$407,$AA75)="","",IF(68&gt;INDEX($X$8:$X$407,$AA75)+INDEX($V$8:$V$407,$AA75)+INDEX($W$8:$W$407,$AA75),"",IF(68=INDEX($X$8:$X$407,$AA75)+INDEX($V$8:$V$407,$AA75)+INDEX($W$8:$W$407,$AA75),"D",IF(AND(INDEX($W$8:$W$407,$AA75)=1,68=INDEX($X$8:$X$407,$AA75)+INDEX($V$8:$V$407,$AA75)),"S","R"))))))</f>
        <v/>
      </c>
      <c r="AC75">
        <f>IF(OR($AB75="",$AB75="G"),"",IF($AB75="D",INDEX($U$8:$U$407,$AA75),IF($AB75="S",INDEX($T$8:$T$407,$AA75)&amp;"|*",INDEX($S$8:$S$407,$AA75)&amp;"|*")))</f>
        <v/>
      </c>
      <c r="AE75">
        <f>IF($U75="",0,COUNTIF(บันทึกรายเที่ยว!$T$6:$T$6005,$U75))</f>
        <v/>
      </c>
      <c r="AF75">
        <f>IF($U75="",0,ROUND(SUMIF(บันทึกรายเที่ยว!$T$6:$T$6005,$U75,บันทึกรายเที่ยว!$J$6:$J$6005),2))</f>
        <v/>
      </c>
      <c r="AG75">
        <f>IF($U75="",0,ROUND(SUMIF(บันทึกรายเที่ยว!$T$6:$T$6005,$U75,บันทึกรายเที่ยว!$K$6:$K$6005),2))</f>
        <v/>
      </c>
      <c r="AH75">
        <f>IF($U75="",0,ROUND(SUMIF(บันทึกรายเที่ยว!$T$6:$T$6005,$U75,บันทึกรายเที่ยว!$M$6:$M$6005),2))</f>
        <v/>
      </c>
    </row>
    <row r="76" ht="21" customHeight="1" s="66">
      <c r="A76" s="3">
        <f>IF($AB76="G","ผลรวมทั้งหมด",IF($AB76="R",INDEX($S$8:$S$407,$AA76),""))</f>
        <v/>
      </c>
      <c r="B76" s="3">
        <f>IF($AB76="S",INDEX($Y$8:$Y$407,$AA76),"")</f>
        <v/>
      </c>
      <c r="C76" s="68">
        <f>IF($AB76="D",INDEX($Z$8:$Z$407,$AA76),"")</f>
        <v/>
      </c>
      <c r="D76" s="31">
        <f>IF($AB76="G",SUM($AE$8:$AE$407),IF(OR($AB76="",$AB76="R"),"",IF($AB76="D",INDEX($AE$8:$AE$407,$AA76),SUMIF($T$8:$T$407,INDEX($T$8:$T$407,$AA76),$AE$8:$AE$407))))</f>
        <v/>
      </c>
      <c r="E76" s="32">
        <f>IF(69=$AD$1+3,"ขอแสดงความนับถือ",IF(69=$AD$1+6,"(                 )",IF(69=$AD$1+7,"เจ้าหน้าที่ขนส่ง",IF($AB76="G",SUM($AF$8:$AF$407),IF(OR($AB76="",$AB76="R"),"",IF($AB76="D",INDEX($AF$8:$AF$407,$AA76),SUMIF($T$8:$T$407,INDEX($T$8:$T$407,$AA76),$AF$8:$AF$407)))))))</f>
        <v/>
      </c>
      <c r="F76" s="32">
        <f>IF($AB76="G",SUM($AG$8:$AG$407),IF(OR($AB76="",$AB76="R"),"",IF($AB76="D",INDEX($AG$8:$AG$407,$AA76),SUMIF($T$8:$T$407,INDEX($T$8:$T$407,$AA76),$AG$8:$AG$407))))</f>
        <v/>
      </c>
      <c r="G76" s="32">
        <f>IF(OR($AB76="",$AB76="R"),"",ROUND($E76-$F76,2))</f>
        <v/>
      </c>
      <c r="H76" s="32">
        <f>IF($AB76="G",SUM($AH$8:$AH$407),IF(OR($AB76="",$AB76="R"),"",IF($AB76="D",INDEX($AH$8:$AH$407,$AA76),SUMIF($T$8:$T$407,INDEX($T$8:$T$407,$AA76),$AH$8:$AH$407))))</f>
        <v/>
      </c>
      <c r="J76">
        <f>IFERROR(MATCH(69,บันทึกรายเที่ยว!$W$6:$W$6005,0),"")</f>
        <v/>
      </c>
      <c r="K76">
        <f>IF($J76="","",INDEX(บันทึกรายเที่ยว!$T$6:$T$6005,$J76))</f>
        <v/>
      </c>
      <c r="L76">
        <f>IF($J76="","",INDEX(บันทึกรายเที่ยว!$S$6:$S$6005,$J76))</f>
        <v/>
      </c>
      <c r="M76">
        <f>IF($J76="","",INDEX(บันทึกรายเที่ยว!$R$6:$R$6005,$J76))</f>
        <v/>
      </c>
      <c r="N76">
        <f>IF($J76="","",MATCH($M76,บันทึกรายเที่ยว!$R$6:$R$6005,0))</f>
        <v/>
      </c>
      <c r="O76">
        <f>IF($J76="","",MATCH($L76,บันทึกรายเที่ยว!$S$6:$S$6005,0))</f>
        <v/>
      </c>
      <c r="P76">
        <f>IF($J76="","",IF(AND(OR($I$3="(ทั้งหมด)",INDEX(บันทึกรายเที่ยว!$C$6:$C$6005,$J76)=$I$3),OR($I$5="(ทั้งหมด)",INDEX(บันทึกรายเที่ยว!$D$6:$D$6005,$J76)=$I$5),OR($I$7="(ทั้งหมด)",INDEX(บันทึกรายเที่ยว!$F$6:$F$6005,$J76)=$I$7)),$N76*10000000+$O76*1000+69,""))</f>
        <v/>
      </c>
      <c r="Q76">
        <f>IFERROR(MATCH(SMALL($P$8:$P$407,69),$P$8:$P$407,0),"")</f>
        <v/>
      </c>
      <c r="R76">
        <f>IF($Q76="","",INDEX($J$8:$J$407,$Q76))</f>
        <v/>
      </c>
      <c r="S76">
        <f>IF($Q76="","",INDEX($M$8:$M$407,$Q76))</f>
        <v/>
      </c>
      <c r="T76">
        <f>IF($Q76="","",INDEX($L$8:$L$407,$Q76))</f>
        <v/>
      </c>
      <c r="U76">
        <f>IF($Q76="","",INDEX($K$8:$K$407,$Q76))</f>
        <v/>
      </c>
      <c r="V76">
        <f>IF($Q76="",0,IF($S76&lt;&gt;$S75,1,0))</f>
        <v/>
      </c>
      <c r="W76">
        <f>IF($Q76="",0,IF($T76&lt;&gt;$T75,1,0))</f>
        <v/>
      </c>
      <c r="X76">
        <f>IF($Q76="",99999+69,$X75+1+$V75+$W75)</f>
        <v/>
      </c>
      <c r="Y76">
        <f>IF($Q76="","",INDEX(บันทึกรายเที่ยว!$Q$6:$Q$6005,$R76))</f>
        <v/>
      </c>
      <c r="Z76">
        <f>IF($Q76="","",INDEX(บันทึกรายเที่ยว!$F$6:$F$6005,$R76))</f>
        <v/>
      </c>
      <c r="AA76">
        <f>IFERROR(MATCH(69,$X$8:$X$407,1),"")</f>
        <v/>
      </c>
      <c r="AB76">
        <f>IF(69=$AD$1+1,"G",IF($AA76="","",IF(INDEX($Q$8:$Q$407,$AA76)="","",IF(69&gt;INDEX($X$8:$X$407,$AA76)+INDEX($V$8:$V$407,$AA76)+INDEX($W$8:$W$407,$AA76),"",IF(69=INDEX($X$8:$X$407,$AA76)+INDEX($V$8:$V$407,$AA76)+INDEX($W$8:$W$407,$AA76),"D",IF(AND(INDEX($W$8:$W$407,$AA76)=1,69=INDEX($X$8:$X$407,$AA76)+INDEX($V$8:$V$407,$AA76)),"S","R"))))))</f>
        <v/>
      </c>
      <c r="AC76">
        <f>IF(OR($AB76="",$AB76="G"),"",IF($AB76="D",INDEX($U$8:$U$407,$AA76),IF($AB76="S",INDEX($T$8:$T$407,$AA76)&amp;"|*",INDEX($S$8:$S$407,$AA76)&amp;"|*")))</f>
        <v/>
      </c>
      <c r="AE76">
        <f>IF($U76="",0,COUNTIF(บันทึกรายเที่ยว!$T$6:$T$6005,$U76))</f>
        <v/>
      </c>
      <c r="AF76">
        <f>IF($U76="",0,ROUND(SUMIF(บันทึกรายเที่ยว!$T$6:$T$6005,$U76,บันทึกรายเที่ยว!$J$6:$J$6005),2))</f>
        <v/>
      </c>
      <c r="AG76">
        <f>IF($U76="",0,ROUND(SUMIF(บันทึกรายเที่ยว!$T$6:$T$6005,$U76,บันทึกรายเที่ยว!$K$6:$K$6005),2))</f>
        <v/>
      </c>
      <c r="AH76">
        <f>IF($U76="",0,ROUND(SUMIF(บันทึกรายเที่ยว!$T$6:$T$6005,$U76,บันทึกรายเที่ยว!$M$6:$M$6005),2))</f>
        <v/>
      </c>
    </row>
    <row r="77" ht="21" customHeight="1" s="66">
      <c r="A77" s="3">
        <f>IF($AB77="G","ผลรวมทั้งหมด",IF($AB77="R",INDEX($S$8:$S$407,$AA77),""))</f>
        <v/>
      </c>
      <c r="B77" s="3">
        <f>IF($AB77="S",INDEX($Y$8:$Y$407,$AA77),"")</f>
        <v/>
      </c>
      <c r="C77" s="68">
        <f>IF($AB77="D",INDEX($Z$8:$Z$407,$AA77),"")</f>
        <v/>
      </c>
      <c r="D77" s="31">
        <f>IF($AB77="G",SUM($AE$8:$AE$407),IF(OR($AB77="",$AB77="R"),"",IF($AB77="D",INDEX($AE$8:$AE$407,$AA77),SUMIF($T$8:$T$407,INDEX($T$8:$T$407,$AA77),$AE$8:$AE$407))))</f>
        <v/>
      </c>
      <c r="E77" s="32">
        <f>IF(70=$AD$1+3,"ขอแสดงความนับถือ",IF(70=$AD$1+6,"(                 )",IF(70=$AD$1+7,"เจ้าหน้าที่ขนส่ง",IF($AB77="G",SUM($AF$8:$AF$407),IF(OR($AB77="",$AB77="R"),"",IF($AB77="D",INDEX($AF$8:$AF$407,$AA77),SUMIF($T$8:$T$407,INDEX($T$8:$T$407,$AA77),$AF$8:$AF$407)))))))</f>
        <v/>
      </c>
      <c r="F77" s="32">
        <f>IF($AB77="G",SUM($AG$8:$AG$407),IF(OR($AB77="",$AB77="R"),"",IF($AB77="D",INDEX($AG$8:$AG$407,$AA77),SUMIF($T$8:$T$407,INDEX($T$8:$T$407,$AA77),$AG$8:$AG$407))))</f>
        <v/>
      </c>
      <c r="G77" s="32">
        <f>IF(OR($AB77="",$AB77="R"),"",ROUND($E77-$F77,2))</f>
        <v/>
      </c>
      <c r="H77" s="32">
        <f>IF($AB77="G",SUM($AH$8:$AH$407),IF(OR($AB77="",$AB77="R"),"",IF($AB77="D",INDEX($AH$8:$AH$407,$AA77),SUMIF($T$8:$T$407,INDEX($T$8:$T$407,$AA77),$AH$8:$AH$407))))</f>
        <v/>
      </c>
      <c r="J77">
        <f>IFERROR(MATCH(70,บันทึกรายเที่ยว!$W$6:$W$6005,0),"")</f>
        <v/>
      </c>
      <c r="K77">
        <f>IF($J77="","",INDEX(บันทึกรายเที่ยว!$T$6:$T$6005,$J77))</f>
        <v/>
      </c>
      <c r="L77">
        <f>IF($J77="","",INDEX(บันทึกรายเที่ยว!$S$6:$S$6005,$J77))</f>
        <v/>
      </c>
      <c r="M77">
        <f>IF($J77="","",INDEX(บันทึกรายเที่ยว!$R$6:$R$6005,$J77))</f>
        <v/>
      </c>
      <c r="N77">
        <f>IF($J77="","",MATCH($M77,บันทึกรายเที่ยว!$R$6:$R$6005,0))</f>
        <v/>
      </c>
      <c r="O77">
        <f>IF($J77="","",MATCH($L77,บันทึกรายเที่ยว!$S$6:$S$6005,0))</f>
        <v/>
      </c>
      <c r="P77">
        <f>IF($J77="","",IF(AND(OR($I$3="(ทั้งหมด)",INDEX(บันทึกรายเที่ยว!$C$6:$C$6005,$J77)=$I$3),OR($I$5="(ทั้งหมด)",INDEX(บันทึกรายเที่ยว!$D$6:$D$6005,$J77)=$I$5),OR($I$7="(ทั้งหมด)",INDEX(บันทึกรายเที่ยว!$F$6:$F$6005,$J77)=$I$7)),$N77*10000000+$O77*1000+70,""))</f>
        <v/>
      </c>
      <c r="Q77">
        <f>IFERROR(MATCH(SMALL($P$8:$P$407,70),$P$8:$P$407,0),"")</f>
        <v/>
      </c>
      <c r="R77">
        <f>IF($Q77="","",INDEX($J$8:$J$407,$Q77))</f>
        <v/>
      </c>
      <c r="S77">
        <f>IF($Q77="","",INDEX($M$8:$M$407,$Q77))</f>
        <v/>
      </c>
      <c r="T77">
        <f>IF($Q77="","",INDEX($L$8:$L$407,$Q77))</f>
        <v/>
      </c>
      <c r="U77">
        <f>IF($Q77="","",INDEX($K$8:$K$407,$Q77))</f>
        <v/>
      </c>
      <c r="V77">
        <f>IF($Q77="",0,IF($S77&lt;&gt;$S76,1,0))</f>
        <v/>
      </c>
      <c r="W77">
        <f>IF($Q77="",0,IF($T77&lt;&gt;$T76,1,0))</f>
        <v/>
      </c>
      <c r="X77">
        <f>IF($Q77="",99999+70,$X76+1+$V76+$W76)</f>
        <v/>
      </c>
      <c r="Y77">
        <f>IF($Q77="","",INDEX(บันทึกรายเที่ยว!$Q$6:$Q$6005,$R77))</f>
        <v/>
      </c>
      <c r="Z77">
        <f>IF($Q77="","",INDEX(บันทึกรายเที่ยว!$F$6:$F$6005,$R77))</f>
        <v/>
      </c>
      <c r="AA77">
        <f>IFERROR(MATCH(70,$X$8:$X$407,1),"")</f>
        <v/>
      </c>
      <c r="AB77">
        <f>IF(70=$AD$1+1,"G",IF($AA77="","",IF(INDEX($Q$8:$Q$407,$AA77)="","",IF(70&gt;INDEX($X$8:$X$407,$AA77)+INDEX($V$8:$V$407,$AA77)+INDEX($W$8:$W$407,$AA77),"",IF(70=INDEX($X$8:$X$407,$AA77)+INDEX($V$8:$V$407,$AA77)+INDEX($W$8:$W$407,$AA77),"D",IF(AND(INDEX($W$8:$W$407,$AA77)=1,70=INDEX($X$8:$X$407,$AA77)+INDEX($V$8:$V$407,$AA77)),"S","R"))))))</f>
        <v/>
      </c>
      <c r="AC77">
        <f>IF(OR($AB77="",$AB77="G"),"",IF($AB77="D",INDEX($U$8:$U$407,$AA77),IF($AB77="S",INDEX($T$8:$T$407,$AA77)&amp;"|*",INDEX($S$8:$S$407,$AA77)&amp;"|*")))</f>
        <v/>
      </c>
      <c r="AE77">
        <f>IF($U77="",0,COUNTIF(บันทึกรายเที่ยว!$T$6:$T$6005,$U77))</f>
        <v/>
      </c>
      <c r="AF77">
        <f>IF($U77="",0,ROUND(SUMIF(บันทึกรายเที่ยว!$T$6:$T$6005,$U77,บันทึกรายเที่ยว!$J$6:$J$6005),2))</f>
        <v/>
      </c>
      <c r="AG77">
        <f>IF($U77="",0,ROUND(SUMIF(บันทึกรายเที่ยว!$T$6:$T$6005,$U77,บันทึกรายเที่ยว!$K$6:$K$6005),2))</f>
        <v/>
      </c>
      <c r="AH77">
        <f>IF($U77="",0,ROUND(SUMIF(บันทึกรายเที่ยว!$T$6:$T$6005,$U77,บันทึกรายเที่ยว!$M$6:$M$6005),2))</f>
        <v/>
      </c>
    </row>
    <row r="78" ht="21" customHeight="1" s="66">
      <c r="A78" s="3">
        <f>IF($AB78="G","ผลรวมทั้งหมด",IF($AB78="R",INDEX($S$8:$S$407,$AA78),""))</f>
        <v/>
      </c>
      <c r="B78" s="3">
        <f>IF($AB78="S",INDEX($Y$8:$Y$407,$AA78),"")</f>
        <v/>
      </c>
      <c r="C78" s="68">
        <f>IF($AB78="D",INDEX($Z$8:$Z$407,$AA78),"")</f>
        <v/>
      </c>
      <c r="D78" s="31">
        <f>IF($AB78="G",SUM($AE$8:$AE$407),IF(OR($AB78="",$AB78="R"),"",IF($AB78="D",INDEX($AE$8:$AE$407,$AA78),SUMIF($T$8:$T$407,INDEX($T$8:$T$407,$AA78),$AE$8:$AE$407))))</f>
        <v/>
      </c>
      <c r="E78" s="32">
        <f>IF(71=$AD$1+3,"ขอแสดงความนับถือ",IF(71=$AD$1+6,"(                 )",IF(71=$AD$1+7,"เจ้าหน้าที่ขนส่ง",IF($AB78="G",SUM($AF$8:$AF$407),IF(OR($AB78="",$AB78="R"),"",IF($AB78="D",INDEX($AF$8:$AF$407,$AA78),SUMIF($T$8:$T$407,INDEX($T$8:$T$407,$AA78),$AF$8:$AF$407)))))))</f>
        <v/>
      </c>
      <c r="F78" s="32">
        <f>IF($AB78="G",SUM($AG$8:$AG$407),IF(OR($AB78="",$AB78="R"),"",IF($AB78="D",INDEX($AG$8:$AG$407,$AA78),SUMIF($T$8:$T$407,INDEX($T$8:$T$407,$AA78),$AG$8:$AG$407))))</f>
        <v/>
      </c>
      <c r="G78" s="32">
        <f>IF(OR($AB78="",$AB78="R"),"",ROUND($E78-$F78,2))</f>
        <v/>
      </c>
      <c r="H78" s="32">
        <f>IF($AB78="G",SUM($AH$8:$AH$407),IF(OR($AB78="",$AB78="R"),"",IF($AB78="D",INDEX($AH$8:$AH$407,$AA78),SUMIF($T$8:$T$407,INDEX($T$8:$T$407,$AA78),$AH$8:$AH$407))))</f>
        <v/>
      </c>
      <c r="J78">
        <f>IFERROR(MATCH(71,บันทึกรายเที่ยว!$W$6:$W$6005,0),"")</f>
        <v/>
      </c>
      <c r="K78">
        <f>IF($J78="","",INDEX(บันทึกรายเที่ยว!$T$6:$T$6005,$J78))</f>
        <v/>
      </c>
      <c r="L78">
        <f>IF($J78="","",INDEX(บันทึกรายเที่ยว!$S$6:$S$6005,$J78))</f>
        <v/>
      </c>
      <c r="M78">
        <f>IF($J78="","",INDEX(บันทึกรายเที่ยว!$R$6:$R$6005,$J78))</f>
        <v/>
      </c>
      <c r="N78">
        <f>IF($J78="","",MATCH($M78,บันทึกรายเที่ยว!$R$6:$R$6005,0))</f>
        <v/>
      </c>
      <c r="O78">
        <f>IF($J78="","",MATCH($L78,บันทึกรายเที่ยว!$S$6:$S$6005,0))</f>
        <v/>
      </c>
      <c r="P78">
        <f>IF($J78="","",IF(AND(OR($I$3="(ทั้งหมด)",INDEX(บันทึกรายเที่ยว!$C$6:$C$6005,$J78)=$I$3),OR($I$5="(ทั้งหมด)",INDEX(บันทึกรายเที่ยว!$D$6:$D$6005,$J78)=$I$5),OR($I$7="(ทั้งหมด)",INDEX(บันทึกรายเที่ยว!$F$6:$F$6005,$J78)=$I$7)),$N78*10000000+$O78*1000+71,""))</f>
        <v/>
      </c>
      <c r="Q78">
        <f>IFERROR(MATCH(SMALL($P$8:$P$407,71),$P$8:$P$407,0),"")</f>
        <v/>
      </c>
      <c r="R78">
        <f>IF($Q78="","",INDEX($J$8:$J$407,$Q78))</f>
        <v/>
      </c>
      <c r="S78">
        <f>IF($Q78="","",INDEX($M$8:$M$407,$Q78))</f>
        <v/>
      </c>
      <c r="T78">
        <f>IF($Q78="","",INDEX($L$8:$L$407,$Q78))</f>
        <v/>
      </c>
      <c r="U78">
        <f>IF($Q78="","",INDEX($K$8:$K$407,$Q78))</f>
        <v/>
      </c>
      <c r="V78">
        <f>IF($Q78="",0,IF($S78&lt;&gt;$S77,1,0))</f>
        <v/>
      </c>
      <c r="W78">
        <f>IF($Q78="",0,IF($T78&lt;&gt;$T77,1,0))</f>
        <v/>
      </c>
      <c r="X78">
        <f>IF($Q78="",99999+71,$X77+1+$V77+$W77)</f>
        <v/>
      </c>
      <c r="Y78">
        <f>IF($Q78="","",INDEX(บันทึกรายเที่ยว!$Q$6:$Q$6005,$R78))</f>
        <v/>
      </c>
      <c r="Z78">
        <f>IF($Q78="","",INDEX(บันทึกรายเที่ยว!$F$6:$F$6005,$R78))</f>
        <v/>
      </c>
      <c r="AA78">
        <f>IFERROR(MATCH(71,$X$8:$X$407,1),"")</f>
        <v/>
      </c>
      <c r="AB78">
        <f>IF(71=$AD$1+1,"G",IF($AA78="","",IF(INDEX($Q$8:$Q$407,$AA78)="","",IF(71&gt;INDEX($X$8:$X$407,$AA78)+INDEX($V$8:$V$407,$AA78)+INDEX($W$8:$W$407,$AA78),"",IF(71=INDEX($X$8:$X$407,$AA78)+INDEX($V$8:$V$407,$AA78)+INDEX($W$8:$W$407,$AA78),"D",IF(AND(INDEX($W$8:$W$407,$AA78)=1,71=INDEX($X$8:$X$407,$AA78)+INDEX($V$8:$V$407,$AA78)),"S","R"))))))</f>
        <v/>
      </c>
      <c r="AC78">
        <f>IF(OR($AB78="",$AB78="G"),"",IF($AB78="D",INDEX($U$8:$U$407,$AA78),IF($AB78="S",INDEX($T$8:$T$407,$AA78)&amp;"|*",INDEX($S$8:$S$407,$AA78)&amp;"|*")))</f>
        <v/>
      </c>
      <c r="AE78">
        <f>IF($U78="",0,COUNTIF(บันทึกรายเที่ยว!$T$6:$T$6005,$U78))</f>
        <v/>
      </c>
      <c r="AF78">
        <f>IF($U78="",0,ROUND(SUMIF(บันทึกรายเที่ยว!$T$6:$T$6005,$U78,บันทึกรายเที่ยว!$J$6:$J$6005),2))</f>
        <v/>
      </c>
      <c r="AG78">
        <f>IF($U78="",0,ROUND(SUMIF(บันทึกรายเที่ยว!$T$6:$T$6005,$U78,บันทึกรายเที่ยว!$K$6:$K$6005),2))</f>
        <v/>
      </c>
      <c r="AH78">
        <f>IF($U78="",0,ROUND(SUMIF(บันทึกรายเที่ยว!$T$6:$T$6005,$U78,บันทึกรายเที่ยว!$M$6:$M$6005),2))</f>
        <v/>
      </c>
    </row>
    <row r="79" ht="21" customHeight="1" s="66">
      <c r="A79" s="3">
        <f>IF($AB79="G","ผลรวมทั้งหมด",IF($AB79="R",INDEX($S$8:$S$407,$AA79),""))</f>
        <v/>
      </c>
      <c r="B79" s="3">
        <f>IF($AB79="S",INDEX($Y$8:$Y$407,$AA79),"")</f>
        <v/>
      </c>
      <c r="C79" s="68">
        <f>IF($AB79="D",INDEX($Z$8:$Z$407,$AA79),"")</f>
        <v/>
      </c>
      <c r="D79" s="31">
        <f>IF($AB79="G",SUM($AE$8:$AE$407),IF(OR($AB79="",$AB79="R"),"",IF($AB79="D",INDEX($AE$8:$AE$407,$AA79),SUMIF($T$8:$T$407,INDEX($T$8:$T$407,$AA79),$AE$8:$AE$407))))</f>
        <v/>
      </c>
      <c r="E79" s="32">
        <f>IF(72=$AD$1+3,"ขอแสดงความนับถือ",IF(72=$AD$1+6,"(                 )",IF(72=$AD$1+7,"เจ้าหน้าที่ขนส่ง",IF($AB79="G",SUM($AF$8:$AF$407),IF(OR($AB79="",$AB79="R"),"",IF($AB79="D",INDEX($AF$8:$AF$407,$AA79),SUMIF($T$8:$T$407,INDEX($T$8:$T$407,$AA79),$AF$8:$AF$407)))))))</f>
        <v/>
      </c>
      <c r="F79" s="32">
        <f>IF($AB79="G",SUM($AG$8:$AG$407),IF(OR($AB79="",$AB79="R"),"",IF($AB79="D",INDEX($AG$8:$AG$407,$AA79),SUMIF($T$8:$T$407,INDEX($T$8:$T$407,$AA79),$AG$8:$AG$407))))</f>
        <v/>
      </c>
      <c r="G79" s="32">
        <f>IF(OR($AB79="",$AB79="R"),"",ROUND($E79-$F79,2))</f>
        <v/>
      </c>
      <c r="H79" s="32">
        <f>IF($AB79="G",SUM($AH$8:$AH$407),IF(OR($AB79="",$AB79="R"),"",IF($AB79="D",INDEX($AH$8:$AH$407,$AA79),SUMIF($T$8:$T$407,INDEX($T$8:$T$407,$AA79),$AH$8:$AH$407))))</f>
        <v/>
      </c>
      <c r="J79">
        <f>IFERROR(MATCH(72,บันทึกรายเที่ยว!$W$6:$W$6005,0),"")</f>
        <v/>
      </c>
      <c r="K79">
        <f>IF($J79="","",INDEX(บันทึกรายเที่ยว!$T$6:$T$6005,$J79))</f>
        <v/>
      </c>
      <c r="L79">
        <f>IF($J79="","",INDEX(บันทึกรายเที่ยว!$S$6:$S$6005,$J79))</f>
        <v/>
      </c>
      <c r="M79">
        <f>IF($J79="","",INDEX(บันทึกรายเที่ยว!$R$6:$R$6005,$J79))</f>
        <v/>
      </c>
      <c r="N79">
        <f>IF($J79="","",MATCH($M79,บันทึกรายเที่ยว!$R$6:$R$6005,0))</f>
        <v/>
      </c>
      <c r="O79">
        <f>IF($J79="","",MATCH($L79,บันทึกรายเที่ยว!$S$6:$S$6005,0))</f>
        <v/>
      </c>
      <c r="P79">
        <f>IF($J79="","",IF(AND(OR($I$3="(ทั้งหมด)",INDEX(บันทึกรายเที่ยว!$C$6:$C$6005,$J79)=$I$3),OR($I$5="(ทั้งหมด)",INDEX(บันทึกรายเที่ยว!$D$6:$D$6005,$J79)=$I$5),OR($I$7="(ทั้งหมด)",INDEX(บันทึกรายเที่ยว!$F$6:$F$6005,$J79)=$I$7)),$N79*10000000+$O79*1000+72,""))</f>
        <v/>
      </c>
      <c r="Q79">
        <f>IFERROR(MATCH(SMALL($P$8:$P$407,72),$P$8:$P$407,0),"")</f>
        <v/>
      </c>
      <c r="R79">
        <f>IF($Q79="","",INDEX($J$8:$J$407,$Q79))</f>
        <v/>
      </c>
      <c r="S79">
        <f>IF($Q79="","",INDEX($M$8:$M$407,$Q79))</f>
        <v/>
      </c>
      <c r="T79">
        <f>IF($Q79="","",INDEX($L$8:$L$407,$Q79))</f>
        <v/>
      </c>
      <c r="U79">
        <f>IF($Q79="","",INDEX($K$8:$K$407,$Q79))</f>
        <v/>
      </c>
      <c r="V79">
        <f>IF($Q79="",0,IF($S79&lt;&gt;$S78,1,0))</f>
        <v/>
      </c>
      <c r="W79">
        <f>IF($Q79="",0,IF($T79&lt;&gt;$T78,1,0))</f>
        <v/>
      </c>
      <c r="X79">
        <f>IF($Q79="",99999+72,$X78+1+$V78+$W78)</f>
        <v/>
      </c>
      <c r="Y79">
        <f>IF($Q79="","",INDEX(บันทึกรายเที่ยว!$Q$6:$Q$6005,$R79))</f>
        <v/>
      </c>
      <c r="Z79">
        <f>IF($Q79="","",INDEX(บันทึกรายเที่ยว!$F$6:$F$6005,$R79))</f>
        <v/>
      </c>
      <c r="AA79">
        <f>IFERROR(MATCH(72,$X$8:$X$407,1),"")</f>
        <v/>
      </c>
      <c r="AB79">
        <f>IF(72=$AD$1+1,"G",IF($AA79="","",IF(INDEX($Q$8:$Q$407,$AA79)="","",IF(72&gt;INDEX($X$8:$X$407,$AA79)+INDEX($V$8:$V$407,$AA79)+INDEX($W$8:$W$407,$AA79),"",IF(72=INDEX($X$8:$X$407,$AA79)+INDEX($V$8:$V$407,$AA79)+INDEX($W$8:$W$407,$AA79),"D",IF(AND(INDEX($W$8:$W$407,$AA79)=1,72=INDEX($X$8:$X$407,$AA79)+INDEX($V$8:$V$407,$AA79)),"S","R"))))))</f>
        <v/>
      </c>
      <c r="AC79">
        <f>IF(OR($AB79="",$AB79="G"),"",IF($AB79="D",INDEX($U$8:$U$407,$AA79),IF($AB79="S",INDEX($T$8:$T$407,$AA79)&amp;"|*",INDEX($S$8:$S$407,$AA79)&amp;"|*")))</f>
        <v/>
      </c>
      <c r="AE79">
        <f>IF($U79="",0,COUNTIF(บันทึกรายเที่ยว!$T$6:$T$6005,$U79))</f>
        <v/>
      </c>
      <c r="AF79">
        <f>IF($U79="",0,ROUND(SUMIF(บันทึกรายเที่ยว!$T$6:$T$6005,$U79,บันทึกรายเที่ยว!$J$6:$J$6005),2))</f>
        <v/>
      </c>
      <c r="AG79">
        <f>IF($U79="",0,ROUND(SUMIF(บันทึกรายเที่ยว!$T$6:$T$6005,$U79,บันทึกรายเที่ยว!$K$6:$K$6005),2))</f>
        <v/>
      </c>
      <c r="AH79">
        <f>IF($U79="",0,ROUND(SUMIF(บันทึกรายเที่ยว!$T$6:$T$6005,$U79,บันทึกรายเที่ยว!$M$6:$M$6005),2))</f>
        <v/>
      </c>
    </row>
    <row r="80" ht="21" customHeight="1" s="66">
      <c r="A80" s="3">
        <f>IF($AB80="G","ผลรวมทั้งหมด",IF($AB80="R",INDEX($S$8:$S$407,$AA80),""))</f>
        <v/>
      </c>
      <c r="B80" s="3">
        <f>IF($AB80="S",INDEX($Y$8:$Y$407,$AA80),"")</f>
        <v/>
      </c>
      <c r="C80" s="68">
        <f>IF($AB80="D",INDEX($Z$8:$Z$407,$AA80),"")</f>
        <v/>
      </c>
      <c r="D80" s="31">
        <f>IF($AB80="G",SUM($AE$8:$AE$407),IF(OR($AB80="",$AB80="R"),"",IF($AB80="D",INDEX($AE$8:$AE$407,$AA80),SUMIF($T$8:$T$407,INDEX($T$8:$T$407,$AA80),$AE$8:$AE$407))))</f>
        <v/>
      </c>
      <c r="E80" s="32">
        <f>IF(73=$AD$1+3,"ขอแสดงความนับถือ",IF(73=$AD$1+6,"(                 )",IF(73=$AD$1+7,"เจ้าหน้าที่ขนส่ง",IF($AB80="G",SUM($AF$8:$AF$407),IF(OR($AB80="",$AB80="R"),"",IF($AB80="D",INDEX($AF$8:$AF$407,$AA80),SUMIF($T$8:$T$407,INDEX($T$8:$T$407,$AA80),$AF$8:$AF$407)))))))</f>
        <v/>
      </c>
      <c r="F80" s="32">
        <f>IF($AB80="G",SUM($AG$8:$AG$407),IF(OR($AB80="",$AB80="R"),"",IF($AB80="D",INDEX($AG$8:$AG$407,$AA80),SUMIF($T$8:$T$407,INDEX($T$8:$T$407,$AA80),$AG$8:$AG$407))))</f>
        <v/>
      </c>
      <c r="G80" s="32">
        <f>IF(OR($AB80="",$AB80="R"),"",ROUND($E80-$F80,2))</f>
        <v/>
      </c>
      <c r="H80" s="32">
        <f>IF($AB80="G",SUM($AH$8:$AH$407),IF(OR($AB80="",$AB80="R"),"",IF($AB80="D",INDEX($AH$8:$AH$407,$AA80),SUMIF($T$8:$T$407,INDEX($T$8:$T$407,$AA80),$AH$8:$AH$407))))</f>
        <v/>
      </c>
      <c r="J80">
        <f>IFERROR(MATCH(73,บันทึกรายเที่ยว!$W$6:$W$6005,0),"")</f>
        <v/>
      </c>
      <c r="K80">
        <f>IF($J80="","",INDEX(บันทึกรายเที่ยว!$T$6:$T$6005,$J80))</f>
        <v/>
      </c>
      <c r="L80">
        <f>IF($J80="","",INDEX(บันทึกรายเที่ยว!$S$6:$S$6005,$J80))</f>
        <v/>
      </c>
      <c r="M80">
        <f>IF($J80="","",INDEX(บันทึกรายเที่ยว!$R$6:$R$6005,$J80))</f>
        <v/>
      </c>
      <c r="N80">
        <f>IF($J80="","",MATCH($M80,บันทึกรายเที่ยว!$R$6:$R$6005,0))</f>
        <v/>
      </c>
      <c r="O80">
        <f>IF($J80="","",MATCH($L80,บันทึกรายเที่ยว!$S$6:$S$6005,0))</f>
        <v/>
      </c>
      <c r="P80">
        <f>IF($J80="","",IF(AND(OR($I$3="(ทั้งหมด)",INDEX(บันทึกรายเที่ยว!$C$6:$C$6005,$J80)=$I$3),OR($I$5="(ทั้งหมด)",INDEX(บันทึกรายเที่ยว!$D$6:$D$6005,$J80)=$I$5),OR($I$7="(ทั้งหมด)",INDEX(บันทึกรายเที่ยว!$F$6:$F$6005,$J80)=$I$7)),$N80*10000000+$O80*1000+73,""))</f>
        <v/>
      </c>
      <c r="Q80">
        <f>IFERROR(MATCH(SMALL($P$8:$P$407,73),$P$8:$P$407,0),"")</f>
        <v/>
      </c>
      <c r="R80">
        <f>IF($Q80="","",INDEX($J$8:$J$407,$Q80))</f>
        <v/>
      </c>
      <c r="S80">
        <f>IF($Q80="","",INDEX($M$8:$M$407,$Q80))</f>
        <v/>
      </c>
      <c r="T80">
        <f>IF($Q80="","",INDEX($L$8:$L$407,$Q80))</f>
        <v/>
      </c>
      <c r="U80">
        <f>IF($Q80="","",INDEX($K$8:$K$407,$Q80))</f>
        <v/>
      </c>
      <c r="V80">
        <f>IF($Q80="",0,IF($S80&lt;&gt;$S79,1,0))</f>
        <v/>
      </c>
      <c r="W80">
        <f>IF($Q80="",0,IF($T80&lt;&gt;$T79,1,0))</f>
        <v/>
      </c>
      <c r="X80">
        <f>IF($Q80="",99999+73,$X79+1+$V79+$W79)</f>
        <v/>
      </c>
      <c r="Y80">
        <f>IF($Q80="","",INDEX(บันทึกรายเที่ยว!$Q$6:$Q$6005,$R80))</f>
        <v/>
      </c>
      <c r="Z80">
        <f>IF($Q80="","",INDEX(บันทึกรายเที่ยว!$F$6:$F$6005,$R80))</f>
        <v/>
      </c>
      <c r="AA80">
        <f>IFERROR(MATCH(73,$X$8:$X$407,1),"")</f>
        <v/>
      </c>
      <c r="AB80">
        <f>IF(73=$AD$1+1,"G",IF($AA80="","",IF(INDEX($Q$8:$Q$407,$AA80)="","",IF(73&gt;INDEX($X$8:$X$407,$AA80)+INDEX($V$8:$V$407,$AA80)+INDEX($W$8:$W$407,$AA80),"",IF(73=INDEX($X$8:$X$407,$AA80)+INDEX($V$8:$V$407,$AA80)+INDEX($W$8:$W$407,$AA80),"D",IF(AND(INDEX($W$8:$W$407,$AA80)=1,73=INDEX($X$8:$X$407,$AA80)+INDEX($V$8:$V$407,$AA80)),"S","R"))))))</f>
        <v/>
      </c>
      <c r="AC80">
        <f>IF(OR($AB80="",$AB80="G"),"",IF($AB80="D",INDEX($U$8:$U$407,$AA80),IF($AB80="S",INDEX($T$8:$T$407,$AA80)&amp;"|*",INDEX($S$8:$S$407,$AA80)&amp;"|*")))</f>
        <v/>
      </c>
      <c r="AE80">
        <f>IF($U80="",0,COUNTIF(บันทึกรายเที่ยว!$T$6:$T$6005,$U80))</f>
        <v/>
      </c>
      <c r="AF80">
        <f>IF($U80="",0,ROUND(SUMIF(บันทึกรายเที่ยว!$T$6:$T$6005,$U80,บันทึกรายเที่ยว!$J$6:$J$6005),2))</f>
        <v/>
      </c>
      <c r="AG80">
        <f>IF($U80="",0,ROUND(SUMIF(บันทึกรายเที่ยว!$T$6:$T$6005,$U80,บันทึกรายเที่ยว!$K$6:$K$6005),2))</f>
        <v/>
      </c>
      <c r="AH80">
        <f>IF($U80="",0,ROUND(SUMIF(บันทึกรายเที่ยว!$T$6:$T$6005,$U80,บันทึกรายเที่ยว!$M$6:$M$6005),2))</f>
        <v/>
      </c>
    </row>
    <row r="81" ht="21" customHeight="1" s="66">
      <c r="A81" s="3">
        <f>IF($AB81="G","ผลรวมทั้งหมด",IF($AB81="R",INDEX($S$8:$S$407,$AA81),""))</f>
        <v/>
      </c>
      <c r="B81" s="3">
        <f>IF($AB81="S",INDEX($Y$8:$Y$407,$AA81),"")</f>
        <v/>
      </c>
      <c r="C81" s="68">
        <f>IF($AB81="D",INDEX($Z$8:$Z$407,$AA81),"")</f>
        <v/>
      </c>
      <c r="D81" s="31">
        <f>IF($AB81="G",SUM($AE$8:$AE$407),IF(OR($AB81="",$AB81="R"),"",IF($AB81="D",INDEX($AE$8:$AE$407,$AA81),SUMIF($T$8:$T$407,INDEX($T$8:$T$407,$AA81),$AE$8:$AE$407))))</f>
        <v/>
      </c>
      <c r="E81" s="32">
        <f>IF(74=$AD$1+3,"ขอแสดงความนับถือ",IF(74=$AD$1+6,"(                 )",IF(74=$AD$1+7,"เจ้าหน้าที่ขนส่ง",IF($AB81="G",SUM($AF$8:$AF$407),IF(OR($AB81="",$AB81="R"),"",IF($AB81="D",INDEX($AF$8:$AF$407,$AA81),SUMIF($T$8:$T$407,INDEX($T$8:$T$407,$AA81),$AF$8:$AF$407)))))))</f>
        <v/>
      </c>
      <c r="F81" s="32">
        <f>IF($AB81="G",SUM($AG$8:$AG$407),IF(OR($AB81="",$AB81="R"),"",IF($AB81="D",INDEX($AG$8:$AG$407,$AA81),SUMIF($T$8:$T$407,INDEX($T$8:$T$407,$AA81),$AG$8:$AG$407))))</f>
        <v/>
      </c>
      <c r="G81" s="32">
        <f>IF(OR($AB81="",$AB81="R"),"",ROUND($E81-$F81,2))</f>
        <v/>
      </c>
      <c r="H81" s="32">
        <f>IF($AB81="G",SUM($AH$8:$AH$407),IF(OR($AB81="",$AB81="R"),"",IF($AB81="D",INDEX($AH$8:$AH$407,$AA81),SUMIF($T$8:$T$407,INDEX($T$8:$T$407,$AA81),$AH$8:$AH$407))))</f>
        <v/>
      </c>
      <c r="J81">
        <f>IFERROR(MATCH(74,บันทึกรายเที่ยว!$W$6:$W$6005,0),"")</f>
        <v/>
      </c>
      <c r="K81">
        <f>IF($J81="","",INDEX(บันทึกรายเที่ยว!$T$6:$T$6005,$J81))</f>
        <v/>
      </c>
      <c r="L81">
        <f>IF($J81="","",INDEX(บันทึกรายเที่ยว!$S$6:$S$6005,$J81))</f>
        <v/>
      </c>
      <c r="M81">
        <f>IF($J81="","",INDEX(บันทึกรายเที่ยว!$R$6:$R$6005,$J81))</f>
        <v/>
      </c>
      <c r="N81">
        <f>IF($J81="","",MATCH($M81,บันทึกรายเที่ยว!$R$6:$R$6005,0))</f>
        <v/>
      </c>
      <c r="O81">
        <f>IF($J81="","",MATCH($L81,บันทึกรายเที่ยว!$S$6:$S$6005,0))</f>
        <v/>
      </c>
      <c r="P81">
        <f>IF($J81="","",IF(AND(OR($I$3="(ทั้งหมด)",INDEX(บันทึกรายเที่ยว!$C$6:$C$6005,$J81)=$I$3),OR($I$5="(ทั้งหมด)",INDEX(บันทึกรายเที่ยว!$D$6:$D$6005,$J81)=$I$5),OR($I$7="(ทั้งหมด)",INDEX(บันทึกรายเที่ยว!$F$6:$F$6005,$J81)=$I$7)),$N81*10000000+$O81*1000+74,""))</f>
        <v/>
      </c>
      <c r="Q81">
        <f>IFERROR(MATCH(SMALL($P$8:$P$407,74),$P$8:$P$407,0),"")</f>
        <v/>
      </c>
      <c r="R81">
        <f>IF($Q81="","",INDEX($J$8:$J$407,$Q81))</f>
        <v/>
      </c>
      <c r="S81">
        <f>IF($Q81="","",INDEX($M$8:$M$407,$Q81))</f>
        <v/>
      </c>
      <c r="T81">
        <f>IF($Q81="","",INDEX($L$8:$L$407,$Q81))</f>
        <v/>
      </c>
      <c r="U81">
        <f>IF($Q81="","",INDEX($K$8:$K$407,$Q81))</f>
        <v/>
      </c>
      <c r="V81">
        <f>IF($Q81="",0,IF($S81&lt;&gt;$S80,1,0))</f>
        <v/>
      </c>
      <c r="W81">
        <f>IF($Q81="",0,IF($T81&lt;&gt;$T80,1,0))</f>
        <v/>
      </c>
      <c r="X81">
        <f>IF($Q81="",99999+74,$X80+1+$V80+$W80)</f>
        <v/>
      </c>
      <c r="Y81">
        <f>IF($Q81="","",INDEX(บันทึกรายเที่ยว!$Q$6:$Q$6005,$R81))</f>
        <v/>
      </c>
      <c r="Z81">
        <f>IF($Q81="","",INDEX(บันทึกรายเที่ยว!$F$6:$F$6005,$R81))</f>
        <v/>
      </c>
      <c r="AA81">
        <f>IFERROR(MATCH(74,$X$8:$X$407,1),"")</f>
        <v/>
      </c>
      <c r="AB81">
        <f>IF(74=$AD$1+1,"G",IF($AA81="","",IF(INDEX($Q$8:$Q$407,$AA81)="","",IF(74&gt;INDEX($X$8:$X$407,$AA81)+INDEX($V$8:$V$407,$AA81)+INDEX($W$8:$W$407,$AA81),"",IF(74=INDEX($X$8:$X$407,$AA81)+INDEX($V$8:$V$407,$AA81)+INDEX($W$8:$W$407,$AA81),"D",IF(AND(INDEX($W$8:$W$407,$AA81)=1,74=INDEX($X$8:$X$407,$AA81)+INDEX($V$8:$V$407,$AA81)),"S","R"))))))</f>
        <v/>
      </c>
      <c r="AC81">
        <f>IF(OR($AB81="",$AB81="G"),"",IF($AB81="D",INDEX($U$8:$U$407,$AA81),IF($AB81="S",INDEX($T$8:$T$407,$AA81)&amp;"|*",INDEX($S$8:$S$407,$AA81)&amp;"|*")))</f>
        <v/>
      </c>
      <c r="AE81">
        <f>IF($U81="",0,COUNTIF(บันทึกรายเที่ยว!$T$6:$T$6005,$U81))</f>
        <v/>
      </c>
      <c r="AF81">
        <f>IF($U81="",0,ROUND(SUMIF(บันทึกรายเที่ยว!$T$6:$T$6005,$U81,บันทึกรายเที่ยว!$J$6:$J$6005),2))</f>
        <v/>
      </c>
      <c r="AG81">
        <f>IF($U81="",0,ROUND(SUMIF(บันทึกรายเที่ยว!$T$6:$T$6005,$U81,บันทึกรายเที่ยว!$K$6:$K$6005),2))</f>
        <v/>
      </c>
      <c r="AH81">
        <f>IF($U81="",0,ROUND(SUMIF(บันทึกรายเที่ยว!$T$6:$T$6005,$U81,บันทึกรายเที่ยว!$M$6:$M$6005),2))</f>
        <v/>
      </c>
    </row>
    <row r="82" ht="21" customHeight="1" s="66">
      <c r="A82" s="3">
        <f>IF($AB82="G","ผลรวมทั้งหมด",IF($AB82="R",INDEX($S$8:$S$407,$AA82),""))</f>
        <v/>
      </c>
      <c r="B82" s="3">
        <f>IF($AB82="S",INDEX($Y$8:$Y$407,$AA82),"")</f>
        <v/>
      </c>
      <c r="C82" s="68">
        <f>IF($AB82="D",INDEX($Z$8:$Z$407,$AA82),"")</f>
        <v/>
      </c>
      <c r="D82" s="31">
        <f>IF($AB82="G",SUM($AE$8:$AE$407),IF(OR($AB82="",$AB82="R"),"",IF($AB82="D",INDEX($AE$8:$AE$407,$AA82),SUMIF($T$8:$T$407,INDEX($T$8:$T$407,$AA82),$AE$8:$AE$407))))</f>
        <v/>
      </c>
      <c r="E82" s="32">
        <f>IF(75=$AD$1+3,"ขอแสดงความนับถือ",IF(75=$AD$1+6,"(                 )",IF(75=$AD$1+7,"เจ้าหน้าที่ขนส่ง",IF($AB82="G",SUM($AF$8:$AF$407),IF(OR($AB82="",$AB82="R"),"",IF($AB82="D",INDEX($AF$8:$AF$407,$AA82),SUMIF($T$8:$T$407,INDEX($T$8:$T$407,$AA82),$AF$8:$AF$407)))))))</f>
        <v/>
      </c>
      <c r="F82" s="32">
        <f>IF($AB82="G",SUM($AG$8:$AG$407),IF(OR($AB82="",$AB82="R"),"",IF($AB82="D",INDEX($AG$8:$AG$407,$AA82),SUMIF($T$8:$T$407,INDEX($T$8:$T$407,$AA82),$AG$8:$AG$407))))</f>
        <v/>
      </c>
      <c r="G82" s="32">
        <f>IF(OR($AB82="",$AB82="R"),"",ROUND($E82-$F82,2))</f>
        <v/>
      </c>
      <c r="H82" s="32">
        <f>IF($AB82="G",SUM($AH$8:$AH$407),IF(OR($AB82="",$AB82="R"),"",IF($AB82="D",INDEX($AH$8:$AH$407,$AA82),SUMIF($T$8:$T$407,INDEX($T$8:$T$407,$AA82),$AH$8:$AH$407))))</f>
        <v/>
      </c>
      <c r="J82">
        <f>IFERROR(MATCH(75,บันทึกรายเที่ยว!$W$6:$W$6005,0),"")</f>
        <v/>
      </c>
      <c r="K82">
        <f>IF($J82="","",INDEX(บันทึกรายเที่ยว!$T$6:$T$6005,$J82))</f>
        <v/>
      </c>
      <c r="L82">
        <f>IF($J82="","",INDEX(บันทึกรายเที่ยว!$S$6:$S$6005,$J82))</f>
        <v/>
      </c>
      <c r="M82">
        <f>IF($J82="","",INDEX(บันทึกรายเที่ยว!$R$6:$R$6005,$J82))</f>
        <v/>
      </c>
      <c r="N82">
        <f>IF($J82="","",MATCH($M82,บันทึกรายเที่ยว!$R$6:$R$6005,0))</f>
        <v/>
      </c>
      <c r="O82">
        <f>IF($J82="","",MATCH($L82,บันทึกรายเที่ยว!$S$6:$S$6005,0))</f>
        <v/>
      </c>
      <c r="P82">
        <f>IF($J82="","",IF(AND(OR($I$3="(ทั้งหมด)",INDEX(บันทึกรายเที่ยว!$C$6:$C$6005,$J82)=$I$3),OR($I$5="(ทั้งหมด)",INDEX(บันทึกรายเที่ยว!$D$6:$D$6005,$J82)=$I$5),OR($I$7="(ทั้งหมด)",INDEX(บันทึกรายเที่ยว!$F$6:$F$6005,$J82)=$I$7)),$N82*10000000+$O82*1000+75,""))</f>
        <v/>
      </c>
      <c r="Q82">
        <f>IFERROR(MATCH(SMALL($P$8:$P$407,75),$P$8:$P$407,0),"")</f>
        <v/>
      </c>
      <c r="R82">
        <f>IF($Q82="","",INDEX($J$8:$J$407,$Q82))</f>
        <v/>
      </c>
      <c r="S82">
        <f>IF($Q82="","",INDEX($M$8:$M$407,$Q82))</f>
        <v/>
      </c>
      <c r="T82">
        <f>IF($Q82="","",INDEX($L$8:$L$407,$Q82))</f>
        <v/>
      </c>
      <c r="U82">
        <f>IF($Q82="","",INDEX($K$8:$K$407,$Q82))</f>
        <v/>
      </c>
      <c r="V82">
        <f>IF($Q82="",0,IF($S82&lt;&gt;$S81,1,0))</f>
        <v/>
      </c>
      <c r="W82">
        <f>IF($Q82="",0,IF($T82&lt;&gt;$T81,1,0))</f>
        <v/>
      </c>
      <c r="X82">
        <f>IF($Q82="",99999+75,$X81+1+$V81+$W81)</f>
        <v/>
      </c>
      <c r="Y82">
        <f>IF($Q82="","",INDEX(บันทึกรายเที่ยว!$Q$6:$Q$6005,$R82))</f>
        <v/>
      </c>
      <c r="Z82">
        <f>IF($Q82="","",INDEX(บันทึกรายเที่ยว!$F$6:$F$6005,$R82))</f>
        <v/>
      </c>
      <c r="AA82">
        <f>IFERROR(MATCH(75,$X$8:$X$407,1),"")</f>
        <v/>
      </c>
      <c r="AB82">
        <f>IF(75=$AD$1+1,"G",IF($AA82="","",IF(INDEX($Q$8:$Q$407,$AA82)="","",IF(75&gt;INDEX($X$8:$X$407,$AA82)+INDEX($V$8:$V$407,$AA82)+INDEX($W$8:$W$407,$AA82),"",IF(75=INDEX($X$8:$X$407,$AA82)+INDEX($V$8:$V$407,$AA82)+INDEX($W$8:$W$407,$AA82),"D",IF(AND(INDEX($W$8:$W$407,$AA82)=1,75=INDEX($X$8:$X$407,$AA82)+INDEX($V$8:$V$407,$AA82)),"S","R"))))))</f>
        <v/>
      </c>
      <c r="AC82">
        <f>IF(OR($AB82="",$AB82="G"),"",IF($AB82="D",INDEX($U$8:$U$407,$AA82),IF($AB82="S",INDEX($T$8:$T$407,$AA82)&amp;"|*",INDEX($S$8:$S$407,$AA82)&amp;"|*")))</f>
        <v/>
      </c>
      <c r="AE82">
        <f>IF($U82="",0,COUNTIF(บันทึกรายเที่ยว!$T$6:$T$6005,$U82))</f>
        <v/>
      </c>
      <c r="AF82">
        <f>IF($U82="",0,ROUND(SUMIF(บันทึกรายเที่ยว!$T$6:$T$6005,$U82,บันทึกรายเที่ยว!$J$6:$J$6005),2))</f>
        <v/>
      </c>
      <c r="AG82">
        <f>IF($U82="",0,ROUND(SUMIF(บันทึกรายเที่ยว!$T$6:$T$6005,$U82,บันทึกรายเที่ยว!$K$6:$K$6005),2))</f>
        <v/>
      </c>
      <c r="AH82">
        <f>IF($U82="",0,ROUND(SUMIF(บันทึกรายเที่ยว!$T$6:$T$6005,$U82,บันทึกรายเที่ยว!$M$6:$M$6005),2))</f>
        <v/>
      </c>
    </row>
    <row r="83" ht="21" customHeight="1" s="66">
      <c r="A83" s="3">
        <f>IF($AB83="G","ผลรวมทั้งหมด",IF($AB83="R",INDEX($S$8:$S$407,$AA83),""))</f>
        <v/>
      </c>
      <c r="B83" s="3">
        <f>IF($AB83="S",INDEX($Y$8:$Y$407,$AA83),"")</f>
        <v/>
      </c>
      <c r="C83" s="68">
        <f>IF($AB83="D",INDEX($Z$8:$Z$407,$AA83),"")</f>
        <v/>
      </c>
      <c r="D83" s="31">
        <f>IF($AB83="G",SUM($AE$8:$AE$407),IF(OR($AB83="",$AB83="R"),"",IF($AB83="D",INDEX($AE$8:$AE$407,$AA83),SUMIF($T$8:$T$407,INDEX($T$8:$T$407,$AA83),$AE$8:$AE$407))))</f>
        <v/>
      </c>
      <c r="E83" s="32">
        <f>IF(76=$AD$1+3,"ขอแสดงความนับถือ",IF(76=$AD$1+6,"(                 )",IF(76=$AD$1+7,"เจ้าหน้าที่ขนส่ง",IF($AB83="G",SUM($AF$8:$AF$407),IF(OR($AB83="",$AB83="R"),"",IF($AB83="D",INDEX($AF$8:$AF$407,$AA83),SUMIF($T$8:$T$407,INDEX($T$8:$T$407,$AA83),$AF$8:$AF$407)))))))</f>
        <v/>
      </c>
      <c r="F83" s="32">
        <f>IF($AB83="G",SUM($AG$8:$AG$407),IF(OR($AB83="",$AB83="R"),"",IF($AB83="D",INDEX($AG$8:$AG$407,$AA83),SUMIF($T$8:$T$407,INDEX($T$8:$T$407,$AA83),$AG$8:$AG$407))))</f>
        <v/>
      </c>
      <c r="G83" s="32">
        <f>IF(OR($AB83="",$AB83="R"),"",ROUND($E83-$F83,2))</f>
        <v/>
      </c>
      <c r="H83" s="32">
        <f>IF($AB83="G",SUM($AH$8:$AH$407),IF(OR($AB83="",$AB83="R"),"",IF($AB83="D",INDEX($AH$8:$AH$407,$AA83),SUMIF($T$8:$T$407,INDEX($T$8:$T$407,$AA83),$AH$8:$AH$407))))</f>
        <v/>
      </c>
      <c r="J83">
        <f>IFERROR(MATCH(76,บันทึกรายเที่ยว!$W$6:$W$6005,0),"")</f>
        <v/>
      </c>
      <c r="K83">
        <f>IF($J83="","",INDEX(บันทึกรายเที่ยว!$T$6:$T$6005,$J83))</f>
        <v/>
      </c>
      <c r="L83">
        <f>IF($J83="","",INDEX(บันทึกรายเที่ยว!$S$6:$S$6005,$J83))</f>
        <v/>
      </c>
      <c r="M83">
        <f>IF($J83="","",INDEX(บันทึกรายเที่ยว!$R$6:$R$6005,$J83))</f>
        <v/>
      </c>
      <c r="N83">
        <f>IF($J83="","",MATCH($M83,บันทึกรายเที่ยว!$R$6:$R$6005,0))</f>
        <v/>
      </c>
      <c r="O83">
        <f>IF($J83="","",MATCH($L83,บันทึกรายเที่ยว!$S$6:$S$6005,0))</f>
        <v/>
      </c>
      <c r="P83">
        <f>IF($J83="","",IF(AND(OR($I$3="(ทั้งหมด)",INDEX(บันทึกรายเที่ยว!$C$6:$C$6005,$J83)=$I$3),OR($I$5="(ทั้งหมด)",INDEX(บันทึกรายเที่ยว!$D$6:$D$6005,$J83)=$I$5),OR($I$7="(ทั้งหมด)",INDEX(บันทึกรายเที่ยว!$F$6:$F$6005,$J83)=$I$7)),$N83*10000000+$O83*1000+76,""))</f>
        <v/>
      </c>
      <c r="Q83">
        <f>IFERROR(MATCH(SMALL($P$8:$P$407,76),$P$8:$P$407,0),"")</f>
        <v/>
      </c>
      <c r="R83">
        <f>IF($Q83="","",INDEX($J$8:$J$407,$Q83))</f>
        <v/>
      </c>
      <c r="S83">
        <f>IF($Q83="","",INDEX($M$8:$M$407,$Q83))</f>
        <v/>
      </c>
      <c r="T83">
        <f>IF($Q83="","",INDEX($L$8:$L$407,$Q83))</f>
        <v/>
      </c>
      <c r="U83">
        <f>IF($Q83="","",INDEX($K$8:$K$407,$Q83))</f>
        <v/>
      </c>
      <c r="V83">
        <f>IF($Q83="",0,IF($S83&lt;&gt;$S82,1,0))</f>
        <v/>
      </c>
      <c r="W83">
        <f>IF($Q83="",0,IF($T83&lt;&gt;$T82,1,0))</f>
        <v/>
      </c>
      <c r="X83">
        <f>IF($Q83="",99999+76,$X82+1+$V82+$W82)</f>
        <v/>
      </c>
      <c r="Y83">
        <f>IF($Q83="","",INDEX(บันทึกรายเที่ยว!$Q$6:$Q$6005,$R83))</f>
        <v/>
      </c>
      <c r="Z83">
        <f>IF($Q83="","",INDEX(บันทึกรายเที่ยว!$F$6:$F$6005,$R83))</f>
        <v/>
      </c>
      <c r="AA83">
        <f>IFERROR(MATCH(76,$X$8:$X$407,1),"")</f>
        <v/>
      </c>
      <c r="AB83">
        <f>IF(76=$AD$1+1,"G",IF($AA83="","",IF(INDEX($Q$8:$Q$407,$AA83)="","",IF(76&gt;INDEX($X$8:$X$407,$AA83)+INDEX($V$8:$V$407,$AA83)+INDEX($W$8:$W$407,$AA83),"",IF(76=INDEX($X$8:$X$407,$AA83)+INDEX($V$8:$V$407,$AA83)+INDEX($W$8:$W$407,$AA83),"D",IF(AND(INDEX($W$8:$W$407,$AA83)=1,76=INDEX($X$8:$X$407,$AA83)+INDEX($V$8:$V$407,$AA83)),"S","R"))))))</f>
        <v/>
      </c>
      <c r="AC83">
        <f>IF(OR($AB83="",$AB83="G"),"",IF($AB83="D",INDEX($U$8:$U$407,$AA83),IF($AB83="S",INDEX($T$8:$T$407,$AA83)&amp;"|*",INDEX($S$8:$S$407,$AA83)&amp;"|*")))</f>
        <v/>
      </c>
      <c r="AE83">
        <f>IF($U83="",0,COUNTIF(บันทึกรายเที่ยว!$T$6:$T$6005,$U83))</f>
        <v/>
      </c>
      <c r="AF83">
        <f>IF($U83="",0,ROUND(SUMIF(บันทึกรายเที่ยว!$T$6:$T$6005,$U83,บันทึกรายเที่ยว!$J$6:$J$6005),2))</f>
        <v/>
      </c>
      <c r="AG83">
        <f>IF($U83="",0,ROUND(SUMIF(บันทึกรายเที่ยว!$T$6:$T$6005,$U83,บันทึกรายเที่ยว!$K$6:$K$6005),2))</f>
        <v/>
      </c>
      <c r="AH83">
        <f>IF($U83="",0,ROUND(SUMIF(บันทึกรายเที่ยว!$T$6:$T$6005,$U83,บันทึกรายเที่ยว!$M$6:$M$6005),2))</f>
        <v/>
      </c>
    </row>
    <row r="84" ht="21" customHeight="1" s="66">
      <c r="A84" s="3">
        <f>IF($AB84="G","ผลรวมทั้งหมด",IF($AB84="R",INDEX($S$8:$S$407,$AA84),""))</f>
        <v/>
      </c>
      <c r="B84" s="3">
        <f>IF($AB84="S",INDEX($Y$8:$Y$407,$AA84),"")</f>
        <v/>
      </c>
      <c r="C84" s="68">
        <f>IF($AB84="D",INDEX($Z$8:$Z$407,$AA84),"")</f>
        <v/>
      </c>
      <c r="D84" s="31">
        <f>IF($AB84="G",SUM($AE$8:$AE$407),IF(OR($AB84="",$AB84="R"),"",IF($AB84="D",INDEX($AE$8:$AE$407,$AA84),SUMIF($T$8:$T$407,INDEX($T$8:$T$407,$AA84),$AE$8:$AE$407))))</f>
        <v/>
      </c>
      <c r="E84" s="32">
        <f>IF(77=$AD$1+3,"ขอแสดงความนับถือ",IF(77=$AD$1+6,"(                 )",IF(77=$AD$1+7,"เจ้าหน้าที่ขนส่ง",IF($AB84="G",SUM($AF$8:$AF$407),IF(OR($AB84="",$AB84="R"),"",IF($AB84="D",INDEX($AF$8:$AF$407,$AA84),SUMIF($T$8:$T$407,INDEX($T$8:$T$407,$AA84),$AF$8:$AF$407)))))))</f>
        <v/>
      </c>
      <c r="F84" s="32">
        <f>IF($AB84="G",SUM($AG$8:$AG$407),IF(OR($AB84="",$AB84="R"),"",IF($AB84="D",INDEX($AG$8:$AG$407,$AA84),SUMIF($T$8:$T$407,INDEX($T$8:$T$407,$AA84),$AG$8:$AG$407))))</f>
        <v/>
      </c>
      <c r="G84" s="32">
        <f>IF(OR($AB84="",$AB84="R"),"",ROUND($E84-$F84,2))</f>
        <v/>
      </c>
      <c r="H84" s="32">
        <f>IF($AB84="G",SUM($AH$8:$AH$407),IF(OR($AB84="",$AB84="R"),"",IF($AB84="D",INDEX($AH$8:$AH$407,$AA84),SUMIF($T$8:$T$407,INDEX($T$8:$T$407,$AA84),$AH$8:$AH$407))))</f>
        <v/>
      </c>
      <c r="J84">
        <f>IFERROR(MATCH(77,บันทึกรายเที่ยว!$W$6:$W$6005,0),"")</f>
        <v/>
      </c>
      <c r="K84">
        <f>IF($J84="","",INDEX(บันทึกรายเที่ยว!$T$6:$T$6005,$J84))</f>
        <v/>
      </c>
      <c r="L84">
        <f>IF($J84="","",INDEX(บันทึกรายเที่ยว!$S$6:$S$6005,$J84))</f>
        <v/>
      </c>
      <c r="M84">
        <f>IF($J84="","",INDEX(บันทึกรายเที่ยว!$R$6:$R$6005,$J84))</f>
        <v/>
      </c>
      <c r="N84">
        <f>IF($J84="","",MATCH($M84,บันทึกรายเที่ยว!$R$6:$R$6005,0))</f>
        <v/>
      </c>
      <c r="O84">
        <f>IF($J84="","",MATCH($L84,บันทึกรายเที่ยว!$S$6:$S$6005,0))</f>
        <v/>
      </c>
      <c r="P84">
        <f>IF($J84="","",IF(AND(OR($I$3="(ทั้งหมด)",INDEX(บันทึกรายเที่ยว!$C$6:$C$6005,$J84)=$I$3),OR($I$5="(ทั้งหมด)",INDEX(บันทึกรายเที่ยว!$D$6:$D$6005,$J84)=$I$5),OR($I$7="(ทั้งหมด)",INDEX(บันทึกรายเที่ยว!$F$6:$F$6005,$J84)=$I$7)),$N84*10000000+$O84*1000+77,""))</f>
        <v/>
      </c>
      <c r="Q84">
        <f>IFERROR(MATCH(SMALL($P$8:$P$407,77),$P$8:$P$407,0),"")</f>
        <v/>
      </c>
      <c r="R84">
        <f>IF($Q84="","",INDEX($J$8:$J$407,$Q84))</f>
        <v/>
      </c>
      <c r="S84">
        <f>IF($Q84="","",INDEX($M$8:$M$407,$Q84))</f>
        <v/>
      </c>
      <c r="T84">
        <f>IF($Q84="","",INDEX($L$8:$L$407,$Q84))</f>
        <v/>
      </c>
      <c r="U84">
        <f>IF($Q84="","",INDEX($K$8:$K$407,$Q84))</f>
        <v/>
      </c>
      <c r="V84">
        <f>IF($Q84="",0,IF($S84&lt;&gt;$S83,1,0))</f>
        <v/>
      </c>
      <c r="W84">
        <f>IF($Q84="",0,IF($T84&lt;&gt;$T83,1,0))</f>
        <v/>
      </c>
      <c r="X84">
        <f>IF($Q84="",99999+77,$X83+1+$V83+$W83)</f>
        <v/>
      </c>
      <c r="Y84">
        <f>IF($Q84="","",INDEX(บันทึกรายเที่ยว!$Q$6:$Q$6005,$R84))</f>
        <v/>
      </c>
      <c r="Z84">
        <f>IF($Q84="","",INDEX(บันทึกรายเที่ยว!$F$6:$F$6005,$R84))</f>
        <v/>
      </c>
      <c r="AA84">
        <f>IFERROR(MATCH(77,$X$8:$X$407,1),"")</f>
        <v/>
      </c>
      <c r="AB84">
        <f>IF(77=$AD$1+1,"G",IF($AA84="","",IF(INDEX($Q$8:$Q$407,$AA84)="","",IF(77&gt;INDEX($X$8:$X$407,$AA84)+INDEX($V$8:$V$407,$AA84)+INDEX($W$8:$W$407,$AA84),"",IF(77=INDEX($X$8:$X$407,$AA84)+INDEX($V$8:$V$407,$AA84)+INDEX($W$8:$W$407,$AA84),"D",IF(AND(INDEX($W$8:$W$407,$AA84)=1,77=INDEX($X$8:$X$407,$AA84)+INDEX($V$8:$V$407,$AA84)),"S","R"))))))</f>
        <v/>
      </c>
      <c r="AC84">
        <f>IF(OR($AB84="",$AB84="G"),"",IF($AB84="D",INDEX($U$8:$U$407,$AA84),IF($AB84="S",INDEX($T$8:$T$407,$AA84)&amp;"|*",INDEX($S$8:$S$407,$AA84)&amp;"|*")))</f>
        <v/>
      </c>
      <c r="AE84">
        <f>IF($U84="",0,COUNTIF(บันทึกรายเที่ยว!$T$6:$T$6005,$U84))</f>
        <v/>
      </c>
      <c r="AF84">
        <f>IF($U84="",0,ROUND(SUMIF(บันทึกรายเที่ยว!$T$6:$T$6005,$U84,บันทึกรายเที่ยว!$J$6:$J$6005),2))</f>
        <v/>
      </c>
      <c r="AG84">
        <f>IF($U84="",0,ROUND(SUMIF(บันทึกรายเที่ยว!$T$6:$T$6005,$U84,บันทึกรายเที่ยว!$K$6:$K$6005),2))</f>
        <v/>
      </c>
      <c r="AH84">
        <f>IF($U84="",0,ROUND(SUMIF(บันทึกรายเที่ยว!$T$6:$T$6005,$U84,บันทึกรายเที่ยว!$M$6:$M$6005),2))</f>
        <v/>
      </c>
    </row>
    <row r="85" ht="21" customHeight="1" s="66">
      <c r="A85" s="3">
        <f>IF($AB85="G","ผลรวมทั้งหมด",IF($AB85="R",INDEX($S$8:$S$407,$AA85),""))</f>
        <v/>
      </c>
      <c r="B85" s="3">
        <f>IF($AB85="S",INDEX($Y$8:$Y$407,$AA85),"")</f>
        <v/>
      </c>
      <c r="C85" s="68">
        <f>IF($AB85="D",INDEX($Z$8:$Z$407,$AA85),"")</f>
        <v/>
      </c>
      <c r="D85" s="31">
        <f>IF($AB85="G",SUM($AE$8:$AE$407),IF(OR($AB85="",$AB85="R"),"",IF($AB85="D",INDEX($AE$8:$AE$407,$AA85),SUMIF($T$8:$T$407,INDEX($T$8:$T$407,$AA85),$AE$8:$AE$407))))</f>
        <v/>
      </c>
      <c r="E85" s="32">
        <f>IF(78=$AD$1+3,"ขอแสดงความนับถือ",IF(78=$AD$1+6,"(                 )",IF(78=$AD$1+7,"เจ้าหน้าที่ขนส่ง",IF($AB85="G",SUM($AF$8:$AF$407),IF(OR($AB85="",$AB85="R"),"",IF($AB85="D",INDEX($AF$8:$AF$407,$AA85),SUMIF($T$8:$T$407,INDEX($T$8:$T$407,$AA85),$AF$8:$AF$407)))))))</f>
        <v/>
      </c>
      <c r="F85" s="32">
        <f>IF($AB85="G",SUM($AG$8:$AG$407),IF(OR($AB85="",$AB85="R"),"",IF($AB85="D",INDEX($AG$8:$AG$407,$AA85),SUMIF($T$8:$T$407,INDEX($T$8:$T$407,$AA85),$AG$8:$AG$407))))</f>
        <v/>
      </c>
      <c r="G85" s="32">
        <f>IF(OR($AB85="",$AB85="R"),"",ROUND($E85-$F85,2))</f>
        <v/>
      </c>
      <c r="H85" s="32">
        <f>IF($AB85="G",SUM($AH$8:$AH$407),IF(OR($AB85="",$AB85="R"),"",IF($AB85="D",INDEX($AH$8:$AH$407,$AA85),SUMIF($T$8:$T$407,INDEX($T$8:$T$407,$AA85),$AH$8:$AH$407))))</f>
        <v/>
      </c>
      <c r="J85">
        <f>IFERROR(MATCH(78,บันทึกรายเที่ยว!$W$6:$W$6005,0),"")</f>
        <v/>
      </c>
      <c r="K85">
        <f>IF($J85="","",INDEX(บันทึกรายเที่ยว!$T$6:$T$6005,$J85))</f>
        <v/>
      </c>
      <c r="L85">
        <f>IF($J85="","",INDEX(บันทึกรายเที่ยว!$S$6:$S$6005,$J85))</f>
        <v/>
      </c>
      <c r="M85">
        <f>IF($J85="","",INDEX(บันทึกรายเที่ยว!$R$6:$R$6005,$J85))</f>
        <v/>
      </c>
      <c r="N85">
        <f>IF($J85="","",MATCH($M85,บันทึกรายเที่ยว!$R$6:$R$6005,0))</f>
        <v/>
      </c>
      <c r="O85">
        <f>IF($J85="","",MATCH($L85,บันทึกรายเที่ยว!$S$6:$S$6005,0))</f>
        <v/>
      </c>
      <c r="P85">
        <f>IF($J85="","",IF(AND(OR($I$3="(ทั้งหมด)",INDEX(บันทึกรายเที่ยว!$C$6:$C$6005,$J85)=$I$3),OR($I$5="(ทั้งหมด)",INDEX(บันทึกรายเที่ยว!$D$6:$D$6005,$J85)=$I$5),OR($I$7="(ทั้งหมด)",INDEX(บันทึกรายเที่ยว!$F$6:$F$6005,$J85)=$I$7)),$N85*10000000+$O85*1000+78,""))</f>
        <v/>
      </c>
      <c r="Q85">
        <f>IFERROR(MATCH(SMALL($P$8:$P$407,78),$P$8:$P$407,0),"")</f>
        <v/>
      </c>
      <c r="R85">
        <f>IF($Q85="","",INDEX($J$8:$J$407,$Q85))</f>
        <v/>
      </c>
      <c r="S85">
        <f>IF($Q85="","",INDEX($M$8:$M$407,$Q85))</f>
        <v/>
      </c>
      <c r="T85">
        <f>IF($Q85="","",INDEX($L$8:$L$407,$Q85))</f>
        <v/>
      </c>
      <c r="U85">
        <f>IF($Q85="","",INDEX($K$8:$K$407,$Q85))</f>
        <v/>
      </c>
      <c r="V85">
        <f>IF($Q85="",0,IF($S85&lt;&gt;$S84,1,0))</f>
        <v/>
      </c>
      <c r="W85">
        <f>IF($Q85="",0,IF($T85&lt;&gt;$T84,1,0))</f>
        <v/>
      </c>
      <c r="X85">
        <f>IF($Q85="",99999+78,$X84+1+$V84+$W84)</f>
        <v/>
      </c>
      <c r="Y85">
        <f>IF($Q85="","",INDEX(บันทึกรายเที่ยว!$Q$6:$Q$6005,$R85))</f>
        <v/>
      </c>
      <c r="Z85">
        <f>IF($Q85="","",INDEX(บันทึกรายเที่ยว!$F$6:$F$6005,$R85))</f>
        <v/>
      </c>
      <c r="AA85">
        <f>IFERROR(MATCH(78,$X$8:$X$407,1),"")</f>
        <v/>
      </c>
      <c r="AB85">
        <f>IF(78=$AD$1+1,"G",IF($AA85="","",IF(INDEX($Q$8:$Q$407,$AA85)="","",IF(78&gt;INDEX($X$8:$X$407,$AA85)+INDEX($V$8:$V$407,$AA85)+INDEX($W$8:$W$407,$AA85),"",IF(78=INDEX($X$8:$X$407,$AA85)+INDEX($V$8:$V$407,$AA85)+INDEX($W$8:$W$407,$AA85),"D",IF(AND(INDEX($W$8:$W$407,$AA85)=1,78=INDEX($X$8:$X$407,$AA85)+INDEX($V$8:$V$407,$AA85)),"S","R"))))))</f>
        <v/>
      </c>
      <c r="AC85">
        <f>IF(OR($AB85="",$AB85="G"),"",IF($AB85="D",INDEX($U$8:$U$407,$AA85),IF($AB85="S",INDEX($T$8:$T$407,$AA85)&amp;"|*",INDEX($S$8:$S$407,$AA85)&amp;"|*")))</f>
        <v/>
      </c>
      <c r="AE85">
        <f>IF($U85="",0,COUNTIF(บันทึกรายเที่ยว!$T$6:$T$6005,$U85))</f>
        <v/>
      </c>
      <c r="AF85">
        <f>IF($U85="",0,ROUND(SUMIF(บันทึกรายเที่ยว!$T$6:$T$6005,$U85,บันทึกรายเที่ยว!$J$6:$J$6005),2))</f>
        <v/>
      </c>
      <c r="AG85">
        <f>IF($U85="",0,ROUND(SUMIF(บันทึกรายเที่ยว!$T$6:$T$6005,$U85,บันทึกรายเที่ยว!$K$6:$K$6005),2))</f>
        <v/>
      </c>
      <c r="AH85">
        <f>IF($U85="",0,ROUND(SUMIF(บันทึกรายเที่ยว!$T$6:$T$6005,$U85,บันทึกรายเที่ยว!$M$6:$M$6005),2))</f>
        <v/>
      </c>
    </row>
    <row r="86" ht="21" customHeight="1" s="66">
      <c r="A86" s="3">
        <f>IF($AB86="G","ผลรวมทั้งหมด",IF($AB86="R",INDEX($S$8:$S$407,$AA86),""))</f>
        <v/>
      </c>
      <c r="B86" s="3">
        <f>IF($AB86="S",INDEX($Y$8:$Y$407,$AA86),"")</f>
        <v/>
      </c>
      <c r="C86" s="68">
        <f>IF($AB86="D",INDEX($Z$8:$Z$407,$AA86),"")</f>
        <v/>
      </c>
      <c r="D86" s="31">
        <f>IF($AB86="G",SUM($AE$8:$AE$407),IF(OR($AB86="",$AB86="R"),"",IF($AB86="D",INDEX($AE$8:$AE$407,$AA86),SUMIF($T$8:$T$407,INDEX($T$8:$T$407,$AA86),$AE$8:$AE$407))))</f>
        <v/>
      </c>
      <c r="E86" s="32">
        <f>IF(79=$AD$1+3,"ขอแสดงความนับถือ",IF(79=$AD$1+6,"(                 )",IF(79=$AD$1+7,"เจ้าหน้าที่ขนส่ง",IF($AB86="G",SUM($AF$8:$AF$407),IF(OR($AB86="",$AB86="R"),"",IF($AB86="D",INDEX($AF$8:$AF$407,$AA86),SUMIF($T$8:$T$407,INDEX($T$8:$T$407,$AA86),$AF$8:$AF$407)))))))</f>
        <v/>
      </c>
      <c r="F86" s="32">
        <f>IF($AB86="G",SUM($AG$8:$AG$407),IF(OR($AB86="",$AB86="R"),"",IF($AB86="D",INDEX($AG$8:$AG$407,$AA86),SUMIF($T$8:$T$407,INDEX($T$8:$T$407,$AA86),$AG$8:$AG$407))))</f>
        <v/>
      </c>
      <c r="G86" s="32">
        <f>IF(OR($AB86="",$AB86="R"),"",ROUND($E86-$F86,2))</f>
        <v/>
      </c>
      <c r="H86" s="32">
        <f>IF($AB86="G",SUM($AH$8:$AH$407),IF(OR($AB86="",$AB86="R"),"",IF($AB86="D",INDEX($AH$8:$AH$407,$AA86),SUMIF($T$8:$T$407,INDEX($T$8:$T$407,$AA86),$AH$8:$AH$407))))</f>
        <v/>
      </c>
      <c r="J86">
        <f>IFERROR(MATCH(79,บันทึกรายเที่ยว!$W$6:$W$6005,0),"")</f>
        <v/>
      </c>
      <c r="K86">
        <f>IF($J86="","",INDEX(บันทึกรายเที่ยว!$T$6:$T$6005,$J86))</f>
        <v/>
      </c>
      <c r="L86">
        <f>IF($J86="","",INDEX(บันทึกรายเที่ยว!$S$6:$S$6005,$J86))</f>
        <v/>
      </c>
      <c r="M86">
        <f>IF($J86="","",INDEX(บันทึกรายเที่ยว!$R$6:$R$6005,$J86))</f>
        <v/>
      </c>
      <c r="N86">
        <f>IF($J86="","",MATCH($M86,บันทึกรายเที่ยว!$R$6:$R$6005,0))</f>
        <v/>
      </c>
      <c r="O86">
        <f>IF($J86="","",MATCH($L86,บันทึกรายเที่ยว!$S$6:$S$6005,0))</f>
        <v/>
      </c>
      <c r="P86">
        <f>IF($J86="","",IF(AND(OR($I$3="(ทั้งหมด)",INDEX(บันทึกรายเที่ยว!$C$6:$C$6005,$J86)=$I$3),OR($I$5="(ทั้งหมด)",INDEX(บันทึกรายเที่ยว!$D$6:$D$6005,$J86)=$I$5),OR($I$7="(ทั้งหมด)",INDEX(บันทึกรายเที่ยว!$F$6:$F$6005,$J86)=$I$7)),$N86*10000000+$O86*1000+79,""))</f>
        <v/>
      </c>
      <c r="Q86">
        <f>IFERROR(MATCH(SMALL($P$8:$P$407,79),$P$8:$P$407,0),"")</f>
        <v/>
      </c>
      <c r="R86">
        <f>IF($Q86="","",INDEX($J$8:$J$407,$Q86))</f>
        <v/>
      </c>
      <c r="S86">
        <f>IF($Q86="","",INDEX($M$8:$M$407,$Q86))</f>
        <v/>
      </c>
      <c r="T86">
        <f>IF($Q86="","",INDEX($L$8:$L$407,$Q86))</f>
        <v/>
      </c>
      <c r="U86">
        <f>IF($Q86="","",INDEX($K$8:$K$407,$Q86))</f>
        <v/>
      </c>
      <c r="V86">
        <f>IF($Q86="",0,IF($S86&lt;&gt;$S85,1,0))</f>
        <v/>
      </c>
      <c r="W86">
        <f>IF($Q86="",0,IF($T86&lt;&gt;$T85,1,0))</f>
        <v/>
      </c>
      <c r="X86">
        <f>IF($Q86="",99999+79,$X85+1+$V85+$W85)</f>
        <v/>
      </c>
      <c r="Y86">
        <f>IF($Q86="","",INDEX(บันทึกรายเที่ยว!$Q$6:$Q$6005,$R86))</f>
        <v/>
      </c>
      <c r="Z86">
        <f>IF($Q86="","",INDEX(บันทึกรายเที่ยว!$F$6:$F$6005,$R86))</f>
        <v/>
      </c>
      <c r="AA86">
        <f>IFERROR(MATCH(79,$X$8:$X$407,1),"")</f>
        <v/>
      </c>
      <c r="AB86">
        <f>IF(79=$AD$1+1,"G",IF($AA86="","",IF(INDEX($Q$8:$Q$407,$AA86)="","",IF(79&gt;INDEX($X$8:$X$407,$AA86)+INDEX($V$8:$V$407,$AA86)+INDEX($W$8:$W$407,$AA86),"",IF(79=INDEX($X$8:$X$407,$AA86)+INDEX($V$8:$V$407,$AA86)+INDEX($W$8:$W$407,$AA86),"D",IF(AND(INDEX($W$8:$W$407,$AA86)=1,79=INDEX($X$8:$X$407,$AA86)+INDEX($V$8:$V$407,$AA86)),"S","R"))))))</f>
        <v/>
      </c>
      <c r="AC86">
        <f>IF(OR($AB86="",$AB86="G"),"",IF($AB86="D",INDEX($U$8:$U$407,$AA86),IF($AB86="S",INDEX($T$8:$T$407,$AA86)&amp;"|*",INDEX($S$8:$S$407,$AA86)&amp;"|*")))</f>
        <v/>
      </c>
      <c r="AE86">
        <f>IF($U86="",0,COUNTIF(บันทึกรายเที่ยว!$T$6:$T$6005,$U86))</f>
        <v/>
      </c>
      <c r="AF86">
        <f>IF($U86="",0,ROUND(SUMIF(บันทึกรายเที่ยว!$T$6:$T$6005,$U86,บันทึกรายเที่ยว!$J$6:$J$6005),2))</f>
        <v/>
      </c>
      <c r="AG86">
        <f>IF($U86="",0,ROUND(SUMIF(บันทึกรายเที่ยว!$T$6:$T$6005,$U86,บันทึกรายเที่ยว!$K$6:$K$6005),2))</f>
        <v/>
      </c>
      <c r="AH86">
        <f>IF($U86="",0,ROUND(SUMIF(บันทึกรายเที่ยว!$T$6:$T$6005,$U86,บันทึกรายเที่ยว!$M$6:$M$6005),2))</f>
        <v/>
      </c>
    </row>
    <row r="87" ht="21" customHeight="1" s="66">
      <c r="A87" s="3">
        <f>IF($AB87="G","ผลรวมทั้งหมด",IF($AB87="R",INDEX($S$8:$S$407,$AA87),""))</f>
        <v/>
      </c>
      <c r="B87" s="3">
        <f>IF($AB87="S",INDEX($Y$8:$Y$407,$AA87),"")</f>
        <v/>
      </c>
      <c r="C87" s="68">
        <f>IF($AB87="D",INDEX($Z$8:$Z$407,$AA87),"")</f>
        <v/>
      </c>
      <c r="D87" s="31">
        <f>IF($AB87="G",SUM($AE$8:$AE$407),IF(OR($AB87="",$AB87="R"),"",IF($AB87="D",INDEX($AE$8:$AE$407,$AA87),SUMIF($T$8:$T$407,INDEX($T$8:$T$407,$AA87),$AE$8:$AE$407))))</f>
        <v/>
      </c>
      <c r="E87" s="32">
        <f>IF(80=$AD$1+3,"ขอแสดงความนับถือ",IF(80=$AD$1+6,"(                 )",IF(80=$AD$1+7,"เจ้าหน้าที่ขนส่ง",IF($AB87="G",SUM($AF$8:$AF$407),IF(OR($AB87="",$AB87="R"),"",IF($AB87="D",INDEX($AF$8:$AF$407,$AA87),SUMIF($T$8:$T$407,INDEX($T$8:$T$407,$AA87),$AF$8:$AF$407)))))))</f>
        <v/>
      </c>
      <c r="F87" s="32">
        <f>IF($AB87="G",SUM($AG$8:$AG$407),IF(OR($AB87="",$AB87="R"),"",IF($AB87="D",INDEX($AG$8:$AG$407,$AA87),SUMIF($T$8:$T$407,INDEX($T$8:$T$407,$AA87),$AG$8:$AG$407))))</f>
        <v/>
      </c>
      <c r="G87" s="32">
        <f>IF(OR($AB87="",$AB87="R"),"",ROUND($E87-$F87,2))</f>
        <v/>
      </c>
      <c r="H87" s="32">
        <f>IF($AB87="G",SUM($AH$8:$AH$407),IF(OR($AB87="",$AB87="R"),"",IF($AB87="D",INDEX($AH$8:$AH$407,$AA87),SUMIF($T$8:$T$407,INDEX($T$8:$T$407,$AA87),$AH$8:$AH$407))))</f>
        <v/>
      </c>
      <c r="J87">
        <f>IFERROR(MATCH(80,บันทึกรายเที่ยว!$W$6:$W$6005,0),"")</f>
        <v/>
      </c>
      <c r="K87">
        <f>IF($J87="","",INDEX(บันทึกรายเที่ยว!$T$6:$T$6005,$J87))</f>
        <v/>
      </c>
      <c r="L87">
        <f>IF($J87="","",INDEX(บันทึกรายเที่ยว!$S$6:$S$6005,$J87))</f>
        <v/>
      </c>
      <c r="M87">
        <f>IF($J87="","",INDEX(บันทึกรายเที่ยว!$R$6:$R$6005,$J87))</f>
        <v/>
      </c>
      <c r="N87">
        <f>IF($J87="","",MATCH($M87,บันทึกรายเที่ยว!$R$6:$R$6005,0))</f>
        <v/>
      </c>
      <c r="O87">
        <f>IF($J87="","",MATCH($L87,บันทึกรายเที่ยว!$S$6:$S$6005,0))</f>
        <v/>
      </c>
      <c r="P87">
        <f>IF($J87="","",IF(AND(OR($I$3="(ทั้งหมด)",INDEX(บันทึกรายเที่ยว!$C$6:$C$6005,$J87)=$I$3),OR($I$5="(ทั้งหมด)",INDEX(บันทึกรายเที่ยว!$D$6:$D$6005,$J87)=$I$5),OR($I$7="(ทั้งหมด)",INDEX(บันทึกรายเที่ยว!$F$6:$F$6005,$J87)=$I$7)),$N87*10000000+$O87*1000+80,""))</f>
        <v/>
      </c>
      <c r="Q87">
        <f>IFERROR(MATCH(SMALL($P$8:$P$407,80),$P$8:$P$407,0),"")</f>
        <v/>
      </c>
      <c r="R87">
        <f>IF($Q87="","",INDEX($J$8:$J$407,$Q87))</f>
        <v/>
      </c>
      <c r="S87">
        <f>IF($Q87="","",INDEX($M$8:$M$407,$Q87))</f>
        <v/>
      </c>
      <c r="T87">
        <f>IF($Q87="","",INDEX($L$8:$L$407,$Q87))</f>
        <v/>
      </c>
      <c r="U87">
        <f>IF($Q87="","",INDEX($K$8:$K$407,$Q87))</f>
        <v/>
      </c>
      <c r="V87">
        <f>IF($Q87="",0,IF($S87&lt;&gt;$S86,1,0))</f>
        <v/>
      </c>
      <c r="W87">
        <f>IF($Q87="",0,IF($T87&lt;&gt;$T86,1,0))</f>
        <v/>
      </c>
      <c r="X87">
        <f>IF($Q87="",99999+80,$X86+1+$V86+$W86)</f>
        <v/>
      </c>
      <c r="Y87">
        <f>IF($Q87="","",INDEX(บันทึกรายเที่ยว!$Q$6:$Q$6005,$R87))</f>
        <v/>
      </c>
      <c r="Z87">
        <f>IF($Q87="","",INDEX(บันทึกรายเที่ยว!$F$6:$F$6005,$R87))</f>
        <v/>
      </c>
      <c r="AA87">
        <f>IFERROR(MATCH(80,$X$8:$X$407,1),"")</f>
        <v/>
      </c>
      <c r="AB87">
        <f>IF(80=$AD$1+1,"G",IF($AA87="","",IF(INDEX($Q$8:$Q$407,$AA87)="","",IF(80&gt;INDEX($X$8:$X$407,$AA87)+INDEX($V$8:$V$407,$AA87)+INDEX($W$8:$W$407,$AA87),"",IF(80=INDEX($X$8:$X$407,$AA87)+INDEX($V$8:$V$407,$AA87)+INDEX($W$8:$W$407,$AA87),"D",IF(AND(INDEX($W$8:$W$407,$AA87)=1,80=INDEX($X$8:$X$407,$AA87)+INDEX($V$8:$V$407,$AA87)),"S","R"))))))</f>
        <v/>
      </c>
      <c r="AC87">
        <f>IF(OR($AB87="",$AB87="G"),"",IF($AB87="D",INDEX($U$8:$U$407,$AA87),IF($AB87="S",INDEX($T$8:$T$407,$AA87)&amp;"|*",INDEX($S$8:$S$407,$AA87)&amp;"|*")))</f>
        <v/>
      </c>
      <c r="AE87">
        <f>IF($U87="",0,COUNTIF(บันทึกรายเที่ยว!$T$6:$T$6005,$U87))</f>
        <v/>
      </c>
      <c r="AF87">
        <f>IF($U87="",0,ROUND(SUMIF(บันทึกรายเที่ยว!$T$6:$T$6005,$U87,บันทึกรายเที่ยว!$J$6:$J$6005),2))</f>
        <v/>
      </c>
      <c r="AG87">
        <f>IF($U87="",0,ROUND(SUMIF(บันทึกรายเที่ยว!$T$6:$T$6005,$U87,บันทึกรายเที่ยว!$K$6:$K$6005),2))</f>
        <v/>
      </c>
      <c r="AH87">
        <f>IF($U87="",0,ROUND(SUMIF(บันทึกรายเที่ยว!$T$6:$T$6005,$U87,บันทึกรายเที่ยว!$M$6:$M$6005),2))</f>
        <v/>
      </c>
    </row>
    <row r="88" ht="21" customHeight="1" s="66">
      <c r="A88" s="3">
        <f>IF($AB88="G","ผลรวมทั้งหมด",IF($AB88="R",INDEX($S$8:$S$407,$AA88),""))</f>
        <v/>
      </c>
      <c r="B88" s="3">
        <f>IF($AB88="S",INDEX($Y$8:$Y$407,$AA88),"")</f>
        <v/>
      </c>
      <c r="C88" s="68">
        <f>IF($AB88="D",INDEX($Z$8:$Z$407,$AA88),"")</f>
        <v/>
      </c>
      <c r="D88" s="31">
        <f>IF($AB88="G",SUM($AE$8:$AE$407),IF(OR($AB88="",$AB88="R"),"",IF($AB88="D",INDEX($AE$8:$AE$407,$AA88),SUMIF($T$8:$T$407,INDEX($T$8:$T$407,$AA88),$AE$8:$AE$407))))</f>
        <v/>
      </c>
      <c r="E88" s="32">
        <f>IF(81=$AD$1+3,"ขอแสดงความนับถือ",IF(81=$AD$1+6,"(                 )",IF(81=$AD$1+7,"เจ้าหน้าที่ขนส่ง",IF($AB88="G",SUM($AF$8:$AF$407),IF(OR($AB88="",$AB88="R"),"",IF($AB88="D",INDEX($AF$8:$AF$407,$AA88),SUMIF($T$8:$T$407,INDEX($T$8:$T$407,$AA88),$AF$8:$AF$407)))))))</f>
        <v/>
      </c>
      <c r="F88" s="32">
        <f>IF($AB88="G",SUM($AG$8:$AG$407),IF(OR($AB88="",$AB88="R"),"",IF($AB88="D",INDEX($AG$8:$AG$407,$AA88),SUMIF($T$8:$T$407,INDEX($T$8:$T$407,$AA88),$AG$8:$AG$407))))</f>
        <v/>
      </c>
      <c r="G88" s="32">
        <f>IF(OR($AB88="",$AB88="R"),"",ROUND($E88-$F88,2))</f>
        <v/>
      </c>
      <c r="H88" s="32">
        <f>IF($AB88="G",SUM($AH$8:$AH$407),IF(OR($AB88="",$AB88="R"),"",IF($AB88="D",INDEX($AH$8:$AH$407,$AA88),SUMIF($T$8:$T$407,INDEX($T$8:$T$407,$AA88),$AH$8:$AH$407))))</f>
        <v/>
      </c>
      <c r="J88">
        <f>IFERROR(MATCH(81,บันทึกรายเที่ยว!$W$6:$W$6005,0),"")</f>
        <v/>
      </c>
      <c r="K88">
        <f>IF($J88="","",INDEX(บันทึกรายเที่ยว!$T$6:$T$6005,$J88))</f>
        <v/>
      </c>
      <c r="L88">
        <f>IF($J88="","",INDEX(บันทึกรายเที่ยว!$S$6:$S$6005,$J88))</f>
        <v/>
      </c>
      <c r="M88">
        <f>IF($J88="","",INDEX(บันทึกรายเที่ยว!$R$6:$R$6005,$J88))</f>
        <v/>
      </c>
      <c r="N88">
        <f>IF($J88="","",MATCH($M88,บันทึกรายเที่ยว!$R$6:$R$6005,0))</f>
        <v/>
      </c>
      <c r="O88">
        <f>IF($J88="","",MATCH($L88,บันทึกรายเที่ยว!$S$6:$S$6005,0))</f>
        <v/>
      </c>
      <c r="P88">
        <f>IF($J88="","",IF(AND(OR($I$3="(ทั้งหมด)",INDEX(บันทึกรายเที่ยว!$C$6:$C$6005,$J88)=$I$3),OR($I$5="(ทั้งหมด)",INDEX(บันทึกรายเที่ยว!$D$6:$D$6005,$J88)=$I$5),OR($I$7="(ทั้งหมด)",INDEX(บันทึกรายเที่ยว!$F$6:$F$6005,$J88)=$I$7)),$N88*10000000+$O88*1000+81,""))</f>
        <v/>
      </c>
      <c r="Q88">
        <f>IFERROR(MATCH(SMALL($P$8:$P$407,81),$P$8:$P$407,0),"")</f>
        <v/>
      </c>
      <c r="R88">
        <f>IF($Q88="","",INDEX($J$8:$J$407,$Q88))</f>
        <v/>
      </c>
      <c r="S88">
        <f>IF($Q88="","",INDEX($M$8:$M$407,$Q88))</f>
        <v/>
      </c>
      <c r="T88">
        <f>IF($Q88="","",INDEX($L$8:$L$407,$Q88))</f>
        <v/>
      </c>
      <c r="U88">
        <f>IF($Q88="","",INDEX($K$8:$K$407,$Q88))</f>
        <v/>
      </c>
      <c r="V88">
        <f>IF($Q88="",0,IF($S88&lt;&gt;$S87,1,0))</f>
        <v/>
      </c>
      <c r="W88">
        <f>IF($Q88="",0,IF($T88&lt;&gt;$T87,1,0))</f>
        <v/>
      </c>
      <c r="X88">
        <f>IF($Q88="",99999+81,$X87+1+$V87+$W87)</f>
        <v/>
      </c>
      <c r="Y88">
        <f>IF($Q88="","",INDEX(บันทึกรายเที่ยว!$Q$6:$Q$6005,$R88))</f>
        <v/>
      </c>
      <c r="Z88">
        <f>IF($Q88="","",INDEX(บันทึกรายเที่ยว!$F$6:$F$6005,$R88))</f>
        <v/>
      </c>
      <c r="AA88">
        <f>IFERROR(MATCH(81,$X$8:$X$407,1),"")</f>
        <v/>
      </c>
      <c r="AB88">
        <f>IF(81=$AD$1+1,"G",IF($AA88="","",IF(INDEX($Q$8:$Q$407,$AA88)="","",IF(81&gt;INDEX($X$8:$X$407,$AA88)+INDEX($V$8:$V$407,$AA88)+INDEX($W$8:$W$407,$AA88),"",IF(81=INDEX($X$8:$X$407,$AA88)+INDEX($V$8:$V$407,$AA88)+INDEX($W$8:$W$407,$AA88),"D",IF(AND(INDEX($W$8:$W$407,$AA88)=1,81=INDEX($X$8:$X$407,$AA88)+INDEX($V$8:$V$407,$AA88)),"S","R"))))))</f>
        <v/>
      </c>
      <c r="AC88">
        <f>IF(OR($AB88="",$AB88="G"),"",IF($AB88="D",INDEX($U$8:$U$407,$AA88),IF($AB88="S",INDEX($T$8:$T$407,$AA88)&amp;"|*",INDEX($S$8:$S$407,$AA88)&amp;"|*")))</f>
        <v/>
      </c>
      <c r="AE88">
        <f>IF($U88="",0,COUNTIF(บันทึกรายเที่ยว!$T$6:$T$6005,$U88))</f>
        <v/>
      </c>
      <c r="AF88">
        <f>IF($U88="",0,ROUND(SUMIF(บันทึกรายเที่ยว!$T$6:$T$6005,$U88,บันทึกรายเที่ยว!$J$6:$J$6005),2))</f>
        <v/>
      </c>
      <c r="AG88">
        <f>IF($U88="",0,ROUND(SUMIF(บันทึกรายเที่ยว!$T$6:$T$6005,$U88,บันทึกรายเที่ยว!$K$6:$K$6005),2))</f>
        <v/>
      </c>
      <c r="AH88">
        <f>IF($U88="",0,ROUND(SUMIF(บันทึกรายเที่ยว!$T$6:$T$6005,$U88,บันทึกรายเที่ยว!$M$6:$M$6005),2))</f>
        <v/>
      </c>
    </row>
    <row r="89" ht="21" customHeight="1" s="66">
      <c r="A89" s="3">
        <f>IF($AB89="G","ผลรวมทั้งหมด",IF($AB89="R",INDEX($S$8:$S$407,$AA89),""))</f>
        <v/>
      </c>
      <c r="B89" s="3">
        <f>IF($AB89="S",INDEX($Y$8:$Y$407,$AA89),"")</f>
        <v/>
      </c>
      <c r="C89" s="68">
        <f>IF($AB89="D",INDEX($Z$8:$Z$407,$AA89),"")</f>
        <v/>
      </c>
      <c r="D89" s="31">
        <f>IF($AB89="G",SUM($AE$8:$AE$407),IF(OR($AB89="",$AB89="R"),"",IF($AB89="D",INDEX($AE$8:$AE$407,$AA89),SUMIF($T$8:$T$407,INDEX($T$8:$T$407,$AA89),$AE$8:$AE$407))))</f>
        <v/>
      </c>
      <c r="E89" s="32">
        <f>IF(82=$AD$1+3,"ขอแสดงความนับถือ",IF(82=$AD$1+6,"(                 )",IF(82=$AD$1+7,"เจ้าหน้าที่ขนส่ง",IF($AB89="G",SUM($AF$8:$AF$407),IF(OR($AB89="",$AB89="R"),"",IF($AB89="D",INDEX($AF$8:$AF$407,$AA89),SUMIF($T$8:$T$407,INDEX($T$8:$T$407,$AA89),$AF$8:$AF$407)))))))</f>
        <v/>
      </c>
      <c r="F89" s="32">
        <f>IF($AB89="G",SUM($AG$8:$AG$407),IF(OR($AB89="",$AB89="R"),"",IF($AB89="D",INDEX($AG$8:$AG$407,$AA89),SUMIF($T$8:$T$407,INDEX($T$8:$T$407,$AA89),$AG$8:$AG$407))))</f>
        <v/>
      </c>
      <c r="G89" s="32">
        <f>IF(OR($AB89="",$AB89="R"),"",ROUND($E89-$F89,2))</f>
        <v/>
      </c>
      <c r="H89" s="32">
        <f>IF($AB89="G",SUM($AH$8:$AH$407),IF(OR($AB89="",$AB89="R"),"",IF($AB89="D",INDEX($AH$8:$AH$407,$AA89),SUMIF($T$8:$T$407,INDEX($T$8:$T$407,$AA89),$AH$8:$AH$407))))</f>
        <v/>
      </c>
      <c r="J89">
        <f>IFERROR(MATCH(82,บันทึกรายเที่ยว!$W$6:$W$6005,0),"")</f>
        <v/>
      </c>
      <c r="K89">
        <f>IF($J89="","",INDEX(บันทึกรายเที่ยว!$T$6:$T$6005,$J89))</f>
        <v/>
      </c>
      <c r="L89">
        <f>IF($J89="","",INDEX(บันทึกรายเที่ยว!$S$6:$S$6005,$J89))</f>
        <v/>
      </c>
      <c r="M89">
        <f>IF($J89="","",INDEX(บันทึกรายเที่ยว!$R$6:$R$6005,$J89))</f>
        <v/>
      </c>
      <c r="N89">
        <f>IF($J89="","",MATCH($M89,บันทึกรายเที่ยว!$R$6:$R$6005,0))</f>
        <v/>
      </c>
      <c r="O89">
        <f>IF($J89="","",MATCH($L89,บันทึกรายเที่ยว!$S$6:$S$6005,0))</f>
        <v/>
      </c>
      <c r="P89">
        <f>IF($J89="","",IF(AND(OR($I$3="(ทั้งหมด)",INDEX(บันทึกรายเที่ยว!$C$6:$C$6005,$J89)=$I$3),OR($I$5="(ทั้งหมด)",INDEX(บันทึกรายเที่ยว!$D$6:$D$6005,$J89)=$I$5),OR($I$7="(ทั้งหมด)",INDEX(บันทึกรายเที่ยว!$F$6:$F$6005,$J89)=$I$7)),$N89*10000000+$O89*1000+82,""))</f>
        <v/>
      </c>
      <c r="Q89">
        <f>IFERROR(MATCH(SMALL($P$8:$P$407,82),$P$8:$P$407,0),"")</f>
        <v/>
      </c>
      <c r="R89">
        <f>IF($Q89="","",INDEX($J$8:$J$407,$Q89))</f>
        <v/>
      </c>
      <c r="S89">
        <f>IF($Q89="","",INDEX($M$8:$M$407,$Q89))</f>
        <v/>
      </c>
      <c r="T89">
        <f>IF($Q89="","",INDEX($L$8:$L$407,$Q89))</f>
        <v/>
      </c>
      <c r="U89">
        <f>IF($Q89="","",INDEX($K$8:$K$407,$Q89))</f>
        <v/>
      </c>
      <c r="V89">
        <f>IF($Q89="",0,IF($S89&lt;&gt;$S88,1,0))</f>
        <v/>
      </c>
      <c r="W89">
        <f>IF($Q89="",0,IF($T89&lt;&gt;$T88,1,0))</f>
        <v/>
      </c>
      <c r="X89">
        <f>IF($Q89="",99999+82,$X88+1+$V88+$W88)</f>
        <v/>
      </c>
      <c r="Y89">
        <f>IF($Q89="","",INDEX(บันทึกรายเที่ยว!$Q$6:$Q$6005,$R89))</f>
        <v/>
      </c>
      <c r="Z89">
        <f>IF($Q89="","",INDEX(บันทึกรายเที่ยว!$F$6:$F$6005,$R89))</f>
        <v/>
      </c>
      <c r="AA89">
        <f>IFERROR(MATCH(82,$X$8:$X$407,1),"")</f>
        <v/>
      </c>
      <c r="AB89">
        <f>IF(82=$AD$1+1,"G",IF($AA89="","",IF(INDEX($Q$8:$Q$407,$AA89)="","",IF(82&gt;INDEX($X$8:$X$407,$AA89)+INDEX($V$8:$V$407,$AA89)+INDEX($W$8:$W$407,$AA89),"",IF(82=INDEX($X$8:$X$407,$AA89)+INDEX($V$8:$V$407,$AA89)+INDEX($W$8:$W$407,$AA89),"D",IF(AND(INDEX($W$8:$W$407,$AA89)=1,82=INDEX($X$8:$X$407,$AA89)+INDEX($V$8:$V$407,$AA89)),"S","R"))))))</f>
        <v/>
      </c>
      <c r="AC89">
        <f>IF(OR($AB89="",$AB89="G"),"",IF($AB89="D",INDEX($U$8:$U$407,$AA89),IF($AB89="S",INDEX($T$8:$T$407,$AA89)&amp;"|*",INDEX($S$8:$S$407,$AA89)&amp;"|*")))</f>
        <v/>
      </c>
      <c r="AE89">
        <f>IF($U89="",0,COUNTIF(บันทึกรายเที่ยว!$T$6:$T$6005,$U89))</f>
        <v/>
      </c>
      <c r="AF89">
        <f>IF($U89="",0,ROUND(SUMIF(บันทึกรายเที่ยว!$T$6:$T$6005,$U89,บันทึกรายเที่ยว!$J$6:$J$6005),2))</f>
        <v/>
      </c>
      <c r="AG89">
        <f>IF($U89="",0,ROUND(SUMIF(บันทึกรายเที่ยว!$T$6:$T$6005,$U89,บันทึกรายเที่ยว!$K$6:$K$6005),2))</f>
        <v/>
      </c>
      <c r="AH89">
        <f>IF($U89="",0,ROUND(SUMIF(บันทึกรายเที่ยว!$T$6:$T$6005,$U89,บันทึกรายเที่ยว!$M$6:$M$6005),2))</f>
        <v/>
      </c>
    </row>
    <row r="90" ht="21" customHeight="1" s="66">
      <c r="A90" s="3">
        <f>IF($AB90="G","ผลรวมทั้งหมด",IF($AB90="R",INDEX($S$8:$S$407,$AA90),""))</f>
        <v/>
      </c>
      <c r="B90" s="3">
        <f>IF($AB90="S",INDEX($Y$8:$Y$407,$AA90),"")</f>
        <v/>
      </c>
      <c r="C90" s="68">
        <f>IF($AB90="D",INDEX($Z$8:$Z$407,$AA90),"")</f>
        <v/>
      </c>
      <c r="D90" s="31">
        <f>IF($AB90="G",SUM($AE$8:$AE$407),IF(OR($AB90="",$AB90="R"),"",IF($AB90="D",INDEX($AE$8:$AE$407,$AA90),SUMIF($T$8:$T$407,INDEX($T$8:$T$407,$AA90),$AE$8:$AE$407))))</f>
        <v/>
      </c>
      <c r="E90" s="32">
        <f>IF(83=$AD$1+3,"ขอแสดงความนับถือ",IF(83=$AD$1+6,"(                 )",IF(83=$AD$1+7,"เจ้าหน้าที่ขนส่ง",IF($AB90="G",SUM($AF$8:$AF$407),IF(OR($AB90="",$AB90="R"),"",IF($AB90="D",INDEX($AF$8:$AF$407,$AA90),SUMIF($T$8:$T$407,INDEX($T$8:$T$407,$AA90),$AF$8:$AF$407)))))))</f>
        <v/>
      </c>
      <c r="F90" s="32">
        <f>IF($AB90="G",SUM($AG$8:$AG$407),IF(OR($AB90="",$AB90="R"),"",IF($AB90="D",INDEX($AG$8:$AG$407,$AA90),SUMIF($T$8:$T$407,INDEX($T$8:$T$407,$AA90),$AG$8:$AG$407))))</f>
        <v/>
      </c>
      <c r="G90" s="32">
        <f>IF(OR($AB90="",$AB90="R"),"",ROUND($E90-$F90,2))</f>
        <v/>
      </c>
      <c r="H90" s="32">
        <f>IF($AB90="G",SUM($AH$8:$AH$407),IF(OR($AB90="",$AB90="R"),"",IF($AB90="D",INDEX($AH$8:$AH$407,$AA90),SUMIF($T$8:$T$407,INDEX($T$8:$T$407,$AA90),$AH$8:$AH$407))))</f>
        <v/>
      </c>
      <c r="J90">
        <f>IFERROR(MATCH(83,บันทึกรายเที่ยว!$W$6:$W$6005,0),"")</f>
        <v/>
      </c>
      <c r="K90">
        <f>IF($J90="","",INDEX(บันทึกรายเที่ยว!$T$6:$T$6005,$J90))</f>
        <v/>
      </c>
      <c r="L90">
        <f>IF($J90="","",INDEX(บันทึกรายเที่ยว!$S$6:$S$6005,$J90))</f>
        <v/>
      </c>
      <c r="M90">
        <f>IF($J90="","",INDEX(บันทึกรายเที่ยว!$R$6:$R$6005,$J90))</f>
        <v/>
      </c>
      <c r="N90">
        <f>IF($J90="","",MATCH($M90,บันทึกรายเที่ยว!$R$6:$R$6005,0))</f>
        <v/>
      </c>
      <c r="O90">
        <f>IF($J90="","",MATCH($L90,บันทึกรายเที่ยว!$S$6:$S$6005,0))</f>
        <v/>
      </c>
      <c r="P90">
        <f>IF($J90="","",IF(AND(OR($I$3="(ทั้งหมด)",INDEX(บันทึกรายเที่ยว!$C$6:$C$6005,$J90)=$I$3),OR($I$5="(ทั้งหมด)",INDEX(บันทึกรายเที่ยว!$D$6:$D$6005,$J90)=$I$5),OR($I$7="(ทั้งหมด)",INDEX(บันทึกรายเที่ยว!$F$6:$F$6005,$J90)=$I$7)),$N90*10000000+$O90*1000+83,""))</f>
        <v/>
      </c>
      <c r="Q90">
        <f>IFERROR(MATCH(SMALL($P$8:$P$407,83),$P$8:$P$407,0),"")</f>
        <v/>
      </c>
      <c r="R90">
        <f>IF($Q90="","",INDEX($J$8:$J$407,$Q90))</f>
        <v/>
      </c>
      <c r="S90">
        <f>IF($Q90="","",INDEX($M$8:$M$407,$Q90))</f>
        <v/>
      </c>
      <c r="T90">
        <f>IF($Q90="","",INDEX($L$8:$L$407,$Q90))</f>
        <v/>
      </c>
      <c r="U90">
        <f>IF($Q90="","",INDEX($K$8:$K$407,$Q90))</f>
        <v/>
      </c>
      <c r="V90">
        <f>IF($Q90="",0,IF($S90&lt;&gt;$S89,1,0))</f>
        <v/>
      </c>
      <c r="W90">
        <f>IF($Q90="",0,IF($T90&lt;&gt;$T89,1,0))</f>
        <v/>
      </c>
      <c r="X90">
        <f>IF($Q90="",99999+83,$X89+1+$V89+$W89)</f>
        <v/>
      </c>
      <c r="Y90">
        <f>IF($Q90="","",INDEX(บันทึกรายเที่ยว!$Q$6:$Q$6005,$R90))</f>
        <v/>
      </c>
      <c r="Z90">
        <f>IF($Q90="","",INDEX(บันทึกรายเที่ยว!$F$6:$F$6005,$R90))</f>
        <v/>
      </c>
      <c r="AA90">
        <f>IFERROR(MATCH(83,$X$8:$X$407,1),"")</f>
        <v/>
      </c>
      <c r="AB90">
        <f>IF(83=$AD$1+1,"G",IF($AA90="","",IF(INDEX($Q$8:$Q$407,$AA90)="","",IF(83&gt;INDEX($X$8:$X$407,$AA90)+INDEX($V$8:$V$407,$AA90)+INDEX($W$8:$W$407,$AA90),"",IF(83=INDEX($X$8:$X$407,$AA90)+INDEX($V$8:$V$407,$AA90)+INDEX($W$8:$W$407,$AA90),"D",IF(AND(INDEX($W$8:$W$407,$AA90)=1,83=INDEX($X$8:$X$407,$AA90)+INDEX($V$8:$V$407,$AA90)),"S","R"))))))</f>
        <v/>
      </c>
      <c r="AC90">
        <f>IF(OR($AB90="",$AB90="G"),"",IF($AB90="D",INDEX($U$8:$U$407,$AA90),IF($AB90="S",INDEX($T$8:$T$407,$AA90)&amp;"|*",INDEX($S$8:$S$407,$AA90)&amp;"|*")))</f>
        <v/>
      </c>
      <c r="AE90">
        <f>IF($U90="",0,COUNTIF(บันทึกรายเที่ยว!$T$6:$T$6005,$U90))</f>
        <v/>
      </c>
      <c r="AF90">
        <f>IF($U90="",0,ROUND(SUMIF(บันทึกรายเที่ยว!$T$6:$T$6005,$U90,บันทึกรายเที่ยว!$J$6:$J$6005),2))</f>
        <v/>
      </c>
      <c r="AG90">
        <f>IF($U90="",0,ROUND(SUMIF(บันทึกรายเที่ยว!$T$6:$T$6005,$U90,บันทึกรายเที่ยว!$K$6:$K$6005),2))</f>
        <v/>
      </c>
      <c r="AH90">
        <f>IF($U90="",0,ROUND(SUMIF(บันทึกรายเที่ยว!$T$6:$T$6005,$U90,บันทึกรายเที่ยว!$M$6:$M$6005),2))</f>
        <v/>
      </c>
    </row>
    <row r="91" ht="21" customHeight="1" s="66">
      <c r="A91" s="3">
        <f>IF($AB91="G","ผลรวมทั้งหมด",IF($AB91="R",INDEX($S$8:$S$407,$AA91),""))</f>
        <v/>
      </c>
      <c r="B91" s="3">
        <f>IF($AB91="S",INDEX($Y$8:$Y$407,$AA91),"")</f>
        <v/>
      </c>
      <c r="C91" s="68">
        <f>IF($AB91="D",INDEX($Z$8:$Z$407,$AA91),"")</f>
        <v/>
      </c>
      <c r="D91" s="31">
        <f>IF($AB91="G",SUM($AE$8:$AE$407),IF(OR($AB91="",$AB91="R"),"",IF($AB91="D",INDEX($AE$8:$AE$407,$AA91),SUMIF($T$8:$T$407,INDEX($T$8:$T$407,$AA91),$AE$8:$AE$407))))</f>
        <v/>
      </c>
      <c r="E91" s="32">
        <f>IF(84=$AD$1+3,"ขอแสดงความนับถือ",IF(84=$AD$1+6,"(                 )",IF(84=$AD$1+7,"เจ้าหน้าที่ขนส่ง",IF($AB91="G",SUM($AF$8:$AF$407),IF(OR($AB91="",$AB91="R"),"",IF($AB91="D",INDEX($AF$8:$AF$407,$AA91),SUMIF($T$8:$T$407,INDEX($T$8:$T$407,$AA91),$AF$8:$AF$407)))))))</f>
        <v/>
      </c>
      <c r="F91" s="32">
        <f>IF($AB91="G",SUM($AG$8:$AG$407),IF(OR($AB91="",$AB91="R"),"",IF($AB91="D",INDEX($AG$8:$AG$407,$AA91),SUMIF($T$8:$T$407,INDEX($T$8:$T$407,$AA91),$AG$8:$AG$407))))</f>
        <v/>
      </c>
      <c r="G91" s="32">
        <f>IF(OR($AB91="",$AB91="R"),"",ROUND($E91-$F91,2))</f>
        <v/>
      </c>
      <c r="H91" s="32">
        <f>IF($AB91="G",SUM($AH$8:$AH$407),IF(OR($AB91="",$AB91="R"),"",IF($AB91="D",INDEX($AH$8:$AH$407,$AA91),SUMIF($T$8:$T$407,INDEX($T$8:$T$407,$AA91),$AH$8:$AH$407))))</f>
        <v/>
      </c>
      <c r="J91">
        <f>IFERROR(MATCH(84,บันทึกรายเที่ยว!$W$6:$W$6005,0),"")</f>
        <v/>
      </c>
      <c r="K91">
        <f>IF($J91="","",INDEX(บันทึกรายเที่ยว!$T$6:$T$6005,$J91))</f>
        <v/>
      </c>
      <c r="L91">
        <f>IF($J91="","",INDEX(บันทึกรายเที่ยว!$S$6:$S$6005,$J91))</f>
        <v/>
      </c>
      <c r="M91">
        <f>IF($J91="","",INDEX(บันทึกรายเที่ยว!$R$6:$R$6005,$J91))</f>
        <v/>
      </c>
      <c r="N91">
        <f>IF($J91="","",MATCH($M91,บันทึกรายเที่ยว!$R$6:$R$6005,0))</f>
        <v/>
      </c>
      <c r="O91">
        <f>IF($J91="","",MATCH($L91,บันทึกรายเที่ยว!$S$6:$S$6005,0))</f>
        <v/>
      </c>
      <c r="P91">
        <f>IF($J91="","",IF(AND(OR($I$3="(ทั้งหมด)",INDEX(บันทึกรายเที่ยว!$C$6:$C$6005,$J91)=$I$3),OR($I$5="(ทั้งหมด)",INDEX(บันทึกรายเที่ยว!$D$6:$D$6005,$J91)=$I$5),OR($I$7="(ทั้งหมด)",INDEX(บันทึกรายเที่ยว!$F$6:$F$6005,$J91)=$I$7)),$N91*10000000+$O91*1000+84,""))</f>
        <v/>
      </c>
      <c r="Q91">
        <f>IFERROR(MATCH(SMALL($P$8:$P$407,84),$P$8:$P$407,0),"")</f>
        <v/>
      </c>
      <c r="R91">
        <f>IF($Q91="","",INDEX($J$8:$J$407,$Q91))</f>
        <v/>
      </c>
      <c r="S91">
        <f>IF($Q91="","",INDEX($M$8:$M$407,$Q91))</f>
        <v/>
      </c>
      <c r="T91">
        <f>IF($Q91="","",INDEX($L$8:$L$407,$Q91))</f>
        <v/>
      </c>
      <c r="U91">
        <f>IF($Q91="","",INDEX($K$8:$K$407,$Q91))</f>
        <v/>
      </c>
      <c r="V91">
        <f>IF($Q91="",0,IF($S91&lt;&gt;$S90,1,0))</f>
        <v/>
      </c>
      <c r="W91">
        <f>IF($Q91="",0,IF($T91&lt;&gt;$T90,1,0))</f>
        <v/>
      </c>
      <c r="X91">
        <f>IF($Q91="",99999+84,$X90+1+$V90+$W90)</f>
        <v/>
      </c>
      <c r="Y91">
        <f>IF($Q91="","",INDEX(บันทึกรายเที่ยว!$Q$6:$Q$6005,$R91))</f>
        <v/>
      </c>
      <c r="Z91">
        <f>IF($Q91="","",INDEX(บันทึกรายเที่ยว!$F$6:$F$6005,$R91))</f>
        <v/>
      </c>
      <c r="AA91">
        <f>IFERROR(MATCH(84,$X$8:$X$407,1),"")</f>
        <v/>
      </c>
      <c r="AB91">
        <f>IF(84=$AD$1+1,"G",IF($AA91="","",IF(INDEX($Q$8:$Q$407,$AA91)="","",IF(84&gt;INDEX($X$8:$X$407,$AA91)+INDEX($V$8:$V$407,$AA91)+INDEX($W$8:$W$407,$AA91),"",IF(84=INDEX($X$8:$X$407,$AA91)+INDEX($V$8:$V$407,$AA91)+INDEX($W$8:$W$407,$AA91),"D",IF(AND(INDEX($W$8:$W$407,$AA91)=1,84=INDEX($X$8:$X$407,$AA91)+INDEX($V$8:$V$407,$AA91)),"S","R"))))))</f>
        <v/>
      </c>
      <c r="AC91">
        <f>IF(OR($AB91="",$AB91="G"),"",IF($AB91="D",INDEX($U$8:$U$407,$AA91),IF($AB91="S",INDEX($T$8:$T$407,$AA91)&amp;"|*",INDEX($S$8:$S$407,$AA91)&amp;"|*")))</f>
        <v/>
      </c>
      <c r="AE91">
        <f>IF($U91="",0,COUNTIF(บันทึกรายเที่ยว!$T$6:$T$6005,$U91))</f>
        <v/>
      </c>
      <c r="AF91">
        <f>IF($U91="",0,ROUND(SUMIF(บันทึกรายเที่ยว!$T$6:$T$6005,$U91,บันทึกรายเที่ยว!$J$6:$J$6005),2))</f>
        <v/>
      </c>
      <c r="AG91">
        <f>IF($U91="",0,ROUND(SUMIF(บันทึกรายเที่ยว!$T$6:$T$6005,$U91,บันทึกรายเที่ยว!$K$6:$K$6005),2))</f>
        <v/>
      </c>
      <c r="AH91">
        <f>IF($U91="",0,ROUND(SUMIF(บันทึกรายเที่ยว!$T$6:$T$6005,$U91,บันทึกรายเที่ยว!$M$6:$M$6005),2))</f>
        <v/>
      </c>
    </row>
    <row r="92" ht="21" customHeight="1" s="66">
      <c r="A92" s="3">
        <f>IF($AB92="G","ผลรวมทั้งหมด",IF($AB92="R",INDEX($S$8:$S$407,$AA92),""))</f>
        <v/>
      </c>
      <c r="B92" s="3">
        <f>IF($AB92="S",INDEX($Y$8:$Y$407,$AA92),"")</f>
        <v/>
      </c>
      <c r="C92" s="68">
        <f>IF($AB92="D",INDEX($Z$8:$Z$407,$AA92),"")</f>
        <v/>
      </c>
      <c r="D92" s="31">
        <f>IF($AB92="G",SUM($AE$8:$AE$407),IF(OR($AB92="",$AB92="R"),"",IF($AB92="D",INDEX($AE$8:$AE$407,$AA92),SUMIF($T$8:$T$407,INDEX($T$8:$T$407,$AA92),$AE$8:$AE$407))))</f>
        <v/>
      </c>
      <c r="E92" s="32">
        <f>IF(85=$AD$1+3,"ขอแสดงความนับถือ",IF(85=$AD$1+6,"(                 )",IF(85=$AD$1+7,"เจ้าหน้าที่ขนส่ง",IF($AB92="G",SUM($AF$8:$AF$407),IF(OR($AB92="",$AB92="R"),"",IF($AB92="D",INDEX($AF$8:$AF$407,$AA92),SUMIF($T$8:$T$407,INDEX($T$8:$T$407,$AA92),$AF$8:$AF$407)))))))</f>
        <v/>
      </c>
      <c r="F92" s="32">
        <f>IF($AB92="G",SUM($AG$8:$AG$407),IF(OR($AB92="",$AB92="R"),"",IF($AB92="D",INDEX($AG$8:$AG$407,$AA92),SUMIF($T$8:$T$407,INDEX($T$8:$T$407,$AA92),$AG$8:$AG$407))))</f>
        <v/>
      </c>
      <c r="G92" s="32">
        <f>IF(OR($AB92="",$AB92="R"),"",ROUND($E92-$F92,2))</f>
        <v/>
      </c>
      <c r="H92" s="32">
        <f>IF($AB92="G",SUM($AH$8:$AH$407),IF(OR($AB92="",$AB92="R"),"",IF($AB92="D",INDEX($AH$8:$AH$407,$AA92),SUMIF($T$8:$T$407,INDEX($T$8:$T$407,$AA92),$AH$8:$AH$407))))</f>
        <v/>
      </c>
      <c r="J92">
        <f>IFERROR(MATCH(85,บันทึกรายเที่ยว!$W$6:$W$6005,0),"")</f>
        <v/>
      </c>
      <c r="K92">
        <f>IF($J92="","",INDEX(บันทึกรายเที่ยว!$T$6:$T$6005,$J92))</f>
        <v/>
      </c>
      <c r="L92">
        <f>IF($J92="","",INDEX(บันทึกรายเที่ยว!$S$6:$S$6005,$J92))</f>
        <v/>
      </c>
      <c r="M92">
        <f>IF($J92="","",INDEX(บันทึกรายเที่ยว!$R$6:$R$6005,$J92))</f>
        <v/>
      </c>
      <c r="N92">
        <f>IF($J92="","",MATCH($M92,บันทึกรายเที่ยว!$R$6:$R$6005,0))</f>
        <v/>
      </c>
      <c r="O92">
        <f>IF($J92="","",MATCH($L92,บันทึกรายเที่ยว!$S$6:$S$6005,0))</f>
        <v/>
      </c>
      <c r="P92">
        <f>IF($J92="","",IF(AND(OR($I$3="(ทั้งหมด)",INDEX(บันทึกรายเที่ยว!$C$6:$C$6005,$J92)=$I$3),OR($I$5="(ทั้งหมด)",INDEX(บันทึกรายเที่ยว!$D$6:$D$6005,$J92)=$I$5),OR($I$7="(ทั้งหมด)",INDEX(บันทึกรายเที่ยว!$F$6:$F$6005,$J92)=$I$7)),$N92*10000000+$O92*1000+85,""))</f>
        <v/>
      </c>
      <c r="Q92">
        <f>IFERROR(MATCH(SMALL($P$8:$P$407,85),$P$8:$P$407,0),"")</f>
        <v/>
      </c>
      <c r="R92">
        <f>IF($Q92="","",INDEX($J$8:$J$407,$Q92))</f>
        <v/>
      </c>
      <c r="S92">
        <f>IF($Q92="","",INDEX($M$8:$M$407,$Q92))</f>
        <v/>
      </c>
      <c r="T92">
        <f>IF($Q92="","",INDEX($L$8:$L$407,$Q92))</f>
        <v/>
      </c>
      <c r="U92">
        <f>IF($Q92="","",INDEX($K$8:$K$407,$Q92))</f>
        <v/>
      </c>
      <c r="V92">
        <f>IF($Q92="",0,IF($S92&lt;&gt;$S91,1,0))</f>
        <v/>
      </c>
      <c r="W92">
        <f>IF($Q92="",0,IF($T92&lt;&gt;$T91,1,0))</f>
        <v/>
      </c>
      <c r="X92">
        <f>IF($Q92="",99999+85,$X91+1+$V91+$W91)</f>
        <v/>
      </c>
      <c r="Y92">
        <f>IF($Q92="","",INDEX(บันทึกรายเที่ยว!$Q$6:$Q$6005,$R92))</f>
        <v/>
      </c>
      <c r="Z92">
        <f>IF($Q92="","",INDEX(บันทึกรายเที่ยว!$F$6:$F$6005,$R92))</f>
        <v/>
      </c>
      <c r="AA92">
        <f>IFERROR(MATCH(85,$X$8:$X$407,1),"")</f>
        <v/>
      </c>
      <c r="AB92">
        <f>IF(85=$AD$1+1,"G",IF($AA92="","",IF(INDEX($Q$8:$Q$407,$AA92)="","",IF(85&gt;INDEX($X$8:$X$407,$AA92)+INDEX($V$8:$V$407,$AA92)+INDEX($W$8:$W$407,$AA92),"",IF(85=INDEX($X$8:$X$407,$AA92)+INDEX($V$8:$V$407,$AA92)+INDEX($W$8:$W$407,$AA92),"D",IF(AND(INDEX($W$8:$W$407,$AA92)=1,85=INDEX($X$8:$X$407,$AA92)+INDEX($V$8:$V$407,$AA92)),"S","R"))))))</f>
        <v/>
      </c>
      <c r="AC92">
        <f>IF(OR($AB92="",$AB92="G"),"",IF($AB92="D",INDEX($U$8:$U$407,$AA92),IF($AB92="S",INDEX($T$8:$T$407,$AA92)&amp;"|*",INDEX($S$8:$S$407,$AA92)&amp;"|*")))</f>
        <v/>
      </c>
      <c r="AE92">
        <f>IF($U92="",0,COUNTIF(บันทึกรายเที่ยว!$T$6:$T$6005,$U92))</f>
        <v/>
      </c>
      <c r="AF92">
        <f>IF($U92="",0,ROUND(SUMIF(บันทึกรายเที่ยว!$T$6:$T$6005,$U92,บันทึกรายเที่ยว!$J$6:$J$6005),2))</f>
        <v/>
      </c>
      <c r="AG92">
        <f>IF($U92="",0,ROUND(SUMIF(บันทึกรายเที่ยว!$T$6:$T$6005,$U92,บันทึกรายเที่ยว!$K$6:$K$6005),2))</f>
        <v/>
      </c>
      <c r="AH92">
        <f>IF($U92="",0,ROUND(SUMIF(บันทึกรายเที่ยว!$T$6:$T$6005,$U92,บันทึกรายเที่ยว!$M$6:$M$6005),2))</f>
        <v/>
      </c>
    </row>
    <row r="93" ht="21" customHeight="1" s="66">
      <c r="A93" s="3">
        <f>IF($AB93="G","ผลรวมทั้งหมด",IF($AB93="R",INDEX($S$8:$S$407,$AA93),""))</f>
        <v/>
      </c>
      <c r="B93" s="3">
        <f>IF($AB93="S",INDEX($Y$8:$Y$407,$AA93),"")</f>
        <v/>
      </c>
      <c r="C93" s="68">
        <f>IF($AB93="D",INDEX($Z$8:$Z$407,$AA93),"")</f>
        <v/>
      </c>
      <c r="D93" s="31">
        <f>IF($AB93="G",SUM($AE$8:$AE$407),IF(OR($AB93="",$AB93="R"),"",IF($AB93="D",INDEX($AE$8:$AE$407,$AA93),SUMIF($T$8:$T$407,INDEX($T$8:$T$407,$AA93),$AE$8:$AE$407))))</f>
        <v/>
      </c>
      <c r="E93" s="32">
        <f>IF(86=$AD$1+3,"ขอแสดงความนับถือ",IF(86=$AD$1+6,"(                 )",IF(86=$AD$1+7,"เจ้าหน้าที่ขนส่ง",IF($AB93="G",SUM($AF$8:$AF$407),IF(OR($AB93="",$AB93="R"),"",IF($AB93="D",INDEX($AF$8:$AF$407,$AA93),SUMIF($T$8:$T$407,INDEX($T$8:$T$407,$AA93),$AF$8:$AF$407)))))))</f>
        <v/>
      </c>
      <c r="F93" s="32">
        <f>IF($AB93="G",SUM($AG$8:$AG$407),IF(OR($AB93="",$AB93="R"),"",IF($AB93="D",INDEX($AG$8:$AG$407,$AA93),SUMIF($T$8:$T$407,INDEX($T$8:$T$407,$AA93),$AG$8:$AG$407))))</f>
        <v/>
      </c>
      <c r="G93" s="32">
        <f>IF(OR($AB93="",$AB93="R"),"",ROUND($E93-$F93,2))</f>
        <v/>
      </c>
      <c r="H93" s="32">
        <f>IF($AB93="G",SUM($AH$8:$AH$407),IF(OR($AB93="",$AB93="R"),"",IF($AB93="D",INDEX($AH$8:$AH$407,$AA93),SUMIF($T$8:$T$407,INDEX($T$8:$T$407,$AA93),$AH$8:$AH$407))))</f>
        <v/>
      </c>
      <c r="J93">
        <f>IFERROR(MATCH(86,บันทึกรายเที่ยว!$W$6:$W$6005,0),"")</f>
        <v/>
      </c>
      <c r="K93">
        <f>IF($J93="","",INDEX(บันทึกรายเที่ยว!$T$6:$T$6005,$J93))</f>
        <v/>
      </c>
      <c r="L93">
        <f>IF($J93="","",INDEX(บันทึกรายเที่ยว!$S$6:$S$6005,$J93))</f>
        <v/>
      </c>
      <c r="M93">
        <f>IF($J93="","",INDEX(บันทึกรายเที่ยว!$R$6:$R$6005,$J93))</f>
        <v/>
      </c>
      <c r="N93">
        <f>IF($J93="","",MATCH($M93,บันทึกรายเที่ยว!$R$6:$R$6005,0))</f>
        <v/>
      </c>
      <c r="O93">
        <f>IF($J93="","",MATCH($L93,บันทึกรายเที่ยว!$S$6:$S$6005,0))</f>
        <v/>
      </c>
      <c r="P93">
        <f>IF($J93="","",IF(AND(OR($I$3="(ทั้งหมด)",INDEX(บันทึกรายเที่ยว!$C$6:$C$6005,$J93)=$I$3),OR($I$5="(ทั้งหมด)",INDEX(บันทึกรายเที่ยว!$D$6:$D$6005,$J93)=$I$5),OR($I$7="(ทั้งหมด)",INDEX(บันทึกรายเที่ยว!$F$6:$F$6005,$J93)=$I$7)),$N93*10000000+$O93*1000+86,""))</f>
        <v/>
      </c>
      <c r="Q93">
        <f>IFERROR(MATCH(SMALL($P$8:$P$407,86),$P$8:$P$407,0),"")</f>
        <v/>
      </c>
      <c r="R93">
        <f>IF($Q93="","",INDEX($J$8:$J$407,$Q93))</f>
        <v/>
      </c>
      <c r="S93">
        <f>IF($Q93="","",INDEX($M$8:$M$407,$Q93))</f>
        <v/>
      </c>
      <c r="T93">
        <f>IF($Q93="","",INDEX($L$8:$L$407,$Q93))</f>
        <v/>
      </c>
      <c r="U93">
        <f>IF($Q93="","",INDEX($K$8:$K$407,$Q93))</f>
        <v/>
      </c>
      <c r="V93">
        <f>IF($Q93="",0,IF($S93&lt;&gt;$S92,1,0))</f>
        <v/>
      </c>
      <c r="W93">
        <f>IF($Q93="",0,IF($T93&lt;&gt;$T92,1,0))</f>
        <v/>
      </c>
      <c r="X93">
        <f>IF($Q93="",99999+86,$X92+1+$V92+$W92)</f>
        <v/>
      </c>
      <c r="Y93">
        <f>IF($Q93="","",INDEX(บันทึกรายเที่ยว!$Q$6:$Q$6005,$R93))</f>
        <v/>
      </c>
      <c r="Z93">
        <f>IF($Q93="","",INDEX(บันทึกรายเที่ยว!$F$6:$F$6005,$R93))</f>
        <v/>
      </c>
      <c r="AA93">
        <f>IFERROR(MATCH(86,$X$8:$X$407,1),"")</f>
        <v/>
      </c>
      <c r="AB93">
        <f>IF(86=$AD$1+1,"G",IF($AA93="","",IF(INDEX($Q$8:$Q$407,$AA93)="","",IF(86&gt;INDEX($X$8:$X$407,$AA93)+INDEX($V$8:$V$407,$AA93)+INDEX($W$8:$W$407,$AA93),"",IF(86=INDEX($X$8:$X$407,$AA93)+INDEX($V$8:$V$407,$AA93)+INDEX($W$8:$W$407,$AA93),"D",IF(AND(INDEX($W$8:$W$407,$AA93)=1,86=INDEX($X$8:$X$407,$AA93)+INDEX($V$8:$V$407,$AA93)),"S","R"))))))</f>
        <v/>
      </c>
      <c r="AC93">
        <f>IF(OR($AB93="",$AB93="G"),"",IF($AB93="D",INDEX($U$8:$U$407,$AA93),IF($AB93="S",INDEX($T$8:$T$407,$AA93)&amp;"|*",INDEX($S$8:$S$407,$AA93)&amp;"|*")))</f>
        <v/>
      </c>
      <c r="AE93">
        <f>IF($U93="",0,COUNTIF(บันทึกรายเที่ยว!$T$6:$T$6005,$U93))</f>
        <v/>
      </c>
      <c r="AF93">
        <f>IF($U93="",0,ROUND(SUMIF(บันทึกรายเที่ยว!$T$6:$T$6005,$U93,บันทึกรายเที่ยว!$J$6:$J$6005),2))</f>
        <v/>
      </c>
      <c r="AG93">
        <f>IF($U93="",0,ROUND(SUMIF(บันทึกรายเที่ยว!$T$6:$T$6005,$U93,บันทึกรายเที่ยว!$K$6:$K$6005),2))</f>
        <v/>
      </c>
      <c r="AH93">
        <f>IF($U93="",0,ROUND(SUMIF(บันทึกรายเที่ยว!$T$6:$T$6005,$U93,บันทึกรายเที่ยว!$M$6:$M$6005),2))</f>
        <v/>
      </c>
    </row>
    <row r="94" ht="21" customHeight="1" s="66">
      <c r="A94" s="3">
        <f>IF($AB94="G","ผลรวมทั้งหมด",IF($AB94="R",INDEX($S$8:$S$407,$AA94),""))</f>
        <v/>
      </c>
      <c r="B94" s="3">
        <f>IF($AB94="S",INDEX($Y$8:$Y$407,$AA94),"")</f>
        <v/>
      </c>
      <c r="C94" s="68">
        <f>IF($AB94="D",INDEX($Z$8:$Z$407,$AA94),"")</f>
        <v/>
      </c>
      <c r="D94" s="31">
        <f>IF($AB94="G",SUM($AE$8:$AE$407),IF(OR($AB94="",$AB94="R"),"",IF($AB94="D",INDEX($AE$8:$AE$407,$AA94),SUMIF($T$8:$T$407,INDEX($T$8:$T$407,$AA94),$AE$8:$AE$407))))</f>
        <v/>
      </c>
      <c r="E94" s="32">
        <f>IF(87=$AD$1+3,"ขอแสดงความนับถือ",IF(87=$AD$1+6,"(                 )",IF(87=$AD$1+7,"เจ้าหน้าที่ขนส่ง",IF($AB94="G",SUM($AF$8:$AF$407),IF(OR($AB94="",$AB94="R"),"",IF($AB94="D",INDEX($AF$8:$AF$407,$AA94),SUMIF($T$8:$T$407,INDEX($T$8:$T$407,$AA94),$AF$8:$AF$407)))))))</f>
        <v/>
      </c>
      <c r="F94" s="32">
        <f>IF($AB94="G",SUM($AG$8:$AG$407),IF(OR($AB94="",$AB94="R"),"",IF($AB94="D",INDEX($AG$8:$AG$407,$AA94),SUMIF($T$8:$T$407,INDEX($T$8:$T$407,$AA94),$AG$8:$AG$407))))</f>
        <v/>
      </c>
      <c r="G94" s="32">
        <f>IF(OR($AB94="",$AB94="R"),"",ROUND($E94-$F94,2))</f>
        <v/>
      </c>
      <c r="H94" s="32">
        <f>IF($AB94="G",SUM($AH$8:$AH$407),IF(OR($AB94="",$AB94="R"),"",IF($AB94="D",INDEX($AH$8:$AH$407,$AA94),SUMIF($T$8:$T$407,INDEX($T$8:$T$407,$AA94),$AH$8:$AH$407))))</f>
        <v/>
      </c>
      <c r="J94">
        <f>IFERROR(MATCH(87,บันทึกรายเที่ยว!$W$6:$W$6005,0),"")</f>
        <v/>
      </c>
      <c r="K94">
        <f>IF($J94="","",INDEX(บันทึกรายเที่ยว!$T$6:$T$6005,$J94))</f>
        <v/>
      </c>
      <c r="L94">
        <f>IF($J94="","",INDEX(บันทึกรายเที่ยว!$S$6:$S$6005,$J94))</f>
        <v/>
      </c>
      <c r="M94">
        <f>IF($J94="","",INDEX(บันทึกรายเที่ยว!$R$6:$R$6005,$J94))</f>
        <v/>
      </c>
      <c r="N94">
        <f>IF($J94="","",MATCH($M94,บันทึกรายเที่ยว!$R$6:$R$6005,0))</f>
        <v/>
      </c>
      <c r="O94">
        <f>IF($J94="","",MATCH($L94,บันทึกรายเที่ยว!$S$6:$S$6005,0))</f>
        <v/>
      </c>
      <c r="P94">
        <f>IF($J94="","",IF(AND(OR($I$3="(ทั้งหมด)",INDEX(บันทึกรายเที่ยว!$C$6:$C$6005,$J94)=$I$3),OR($I$5="(ทั้งหมด)",INDEX(บันทึกรายเที่ยว!$D$6:$D$6005,$J94)=$I$5),OR($I$7="(ทั้งหมด)",INDEX(บันทึกรายเที่ยว!$F$6:$F$6005,$J94)=$I$7)),$N94*10000000+$O94*1000+87,""))</f>
        <v/>
      </c>
      <c r="Q94">
        <f>IFERROR(MATCH(SMALL($P$8:$P$407,87),$P$8:$P$407,0),"")</f>
        <v/>
      </c>
      <c r="R94">
        <f>IF($Q94="","",INDEX($J$8:$J$407,$Q94))</f>
        <v/>
      </c>
      <c r="S94">
        <f>IF($Q94="","",INDEX($M$8:$M$407,$Q94))</f>
        <v/>
      </c>
      <c r="T94">
        <f>IF($Q94="","",INDEX($L$8:$L$407,$Q94))</f>
        <v/>
      </c>
      <c r="U94">
        <f>IF($Q94="","",INDEX($K$8:$K$407,$Q94))</f>
        <v/>
      </c>
      <c r="V94">
        <f>IF($Q94="",0,IF($S94&lt;&gt;$S93,1,0))</f>
        <v/>
      </c>
      <c r="W94">
        <f>IF($Q94="",0,IF($T94&lt;&gt;$T93,1,0))</f>
        <v/>
      </c>
      <c r="X94">
        <f>IF($Q94="",99999+87,$X93+1+$V93+$W93)</f>
        <v/>
      </c>
      <c r="Y94">
        <f>IF($Q94="","",INDEX(บันทึกรายเที่ยว!$Q$6:$Q$6005,$R94))</f>
        <v/>
      </c>
      <c r="Z94">
        <f>IF($Q94="","",INDEX(บันทึกรายเที่ยว!$F$6:$F$6005,$R94))</f>
        <v/>
      </c>
      <c r="AA94">
        <f>IFERROR(MATCH(87,$X$8:$X$407,1),"")</f>
        <v/>
      </c>
      <c r="AB94">
        <f>IF(87=$AD$1+1,"G",IF($AA94="","",IF(INDEX($Q$8:$Q$407,$AA94)="","",IF(87&gt;INDEX($X$8:$X$407,$AA94)+INDEX($V$8:$V$407,$AA94)+INDEX($W$8:$W$407,$AA94),"",IF(87=INDEX($X$8:$X$407,$AA94)+INDEX($V$8:$V$407,$AA94)+INDEX($W$8:$W$407,$AA94),"D",IF(AND(INDEX($W$8:$W$407,$AA94)=1,87=INDEX($X$8:$X$407,$AA94)+INDEX($V$8:$V$407,$AA94)),"S","R"))))))</f>
        <v/>
      </c>
      <c r="AC94">
        <f>IF(OR($AB94="",$AB94="G"),"",IF($AB94="D",INDEX($U$8:$U$407,$AA94),IF($AB94="S",INDEX($T$8:$T$407,$AA94)&amp;"|*",INDEX($S$8:$S$407,$AA94)&amp;"|*")))</f>
        <v/>
      </c>
      <c r="AE94">
        <f>IF($U94="",0,COUNTIF(บันทึกรายเที่ยว!$T$6:$T$6005,$U94))</f>
        <v/>
      </c>
      <c r="AF94">
        <f>IF($U94="",0,ROUND(SUMIF(บันทึกรายเที่ยว!$T$6:$T$6005,$U94,บันทึกรายเที่ยว!$J$6:$J$6005),2))</f>
        <v/>
      </c>
      <c r="AG94">
        <f>IF($U94="",0,ROUND(SUMIF(บันทึกรายเที่ยว!$T$6:$T$6005,$U94,บันทึกรายเที่ยว!$K$6:$K$6005),2))</f>
        <v/>
      </c>
      <c r="AH94">
        <f>IF($U94="",0,ROUND(SUMIF(บันทึกรายเที่ยว!$T$6:$T$6005,$U94,บันทึกรายเที่ยว!$M$6:$M$6005),2))</f>
        <v/>
      </c>
    </row>
    <row r="95" ht="21" customHeight="1" s="66">
      <c r="A95" s="3">
        <f>IF($AB95="G","ผลรวมทั้งหมด",IF($AB95="R",INDEX($S$8:$S$407,$AA95),""))</f>
        <v/>
      </c>
      <c r="B95" s="3">
        <f>IF($AB95="S",INDEX($Y$8:$Y$407,$AA95),"")</f>
        <v/>
      </c>
      <c r="C95" s="68">
        <f>IF($AB95="D",INDEX($Z$8:$Z$407,$AA95),"")</f>
        <v/>
      </c>
      <c r="D95" s="31">
        <f>IF($AB95="G",SUM($AE$8:$AE$407),IF(OR($AB95="",$AB95="R"),"",IF($AB95="D",INDEX($AE$8:$AE$407,$AA95),SUMIF($T$8:$T$407,INDEX($T$8:$T$407,$AA95),$AE$8:$AE$407))))</f>
        <v/>
      </c>
      <c r="E95" s="32">
        <f>IF(88=$AD$1+3,"ขอแสดงความนับถือ",IF(88=$AD$1+6,"(                 )",IF(88=$AD$1+7,"เจ้าหน้าที่ขนส่ง",IF($AB95="G",SUM($AF$8:$AF$407),IF(OR($AB95="",$AB95="R"),"",IF($AB95="D",INDEX($AF$8:$AF$407,$AA95),SUMIF($T$8:$T$407,INDEX($T$8:$T$407,$AA95),$AF$8:$AF$407)))))))</f>
        <v/>
      </c>
      <c r="F95" s="32">
        <f>IF($AB95="G",SUM($AG$8:$AG$407),IF(OR($AB95="",$AB95="R"),"",IF($AB95="D",INDEX($AG$8:$AG$407,$AA95),SUMIF($T$8:$T$407,INDEX($T$8:$T$407,$AA95),$AG$8:$AG$407))))</f>
        <v/>
      </c>
      <c r="G95" s="32">
        <f>IF(OR($AB95="",$AB95="R"),"",ROUND($E95-$F95,2))</f>
        <v/>
      </c>
      <c r="H95" s="32">
        <f>IF($AB95="G",SUM($AH$8:$AH$407),IF(OR($AB95="",$AB95="R"),"",IF($AB95="D",INDEX($AH$8:$AH$407,$AA95),SUMIF($T$8:$T$407,INDEX($T$8:$T$407,$AA95),$AH$8:$AH$407))))</f>
        <v/>
      </c>
      <c r="J95">
        <f>IFERROR(MATCH(88,บันทึกรายเที่ยว!$W$6:$W$6005,0),"")</f>
        <v/>
      </c>
      <c r="K95">
        <f>IF($J95="","",INDEX(บันทึกรายเที่ยว!$T$6:$T$6005,$J95))</f>
        <v/>
      </c>
      <c r="L95">
        <f>IF($J95="","",INDEX(บันทึกรายเที่ยว!$S$6:$S$6005,$J95))</f>
        <v/>
      </c>
      <c r="M95">
        <f>IF($J95="","",INDEX(บันทึกรายเที่ยว!$R$6:$R$6005,$J95))</f>
        <v/>
      </c>
      <c r="N95">
        <f>IF($J95="","",MATCH($M95,บันทึกรายเที่ยว!$R$6:$R$6005,0))</f>
        <v/>
      </c>
      <c r="O95">
        <f>IF($J95="","",MATCH($L95,บันทึกรายเที่ยว!$S$6:$S$6005,0))</f>
        <v/>
      </c>
      <c r="P95">
        <f>IF($J95="","",IF(AND(OR($I$3="(ทั้งหมด)",INDEX(บันทึกรายเที่ยว!$C$6:$C$6005,$J95)=$I$3),OR($I$5="(ทั้งหมด)",INDEX(บันทึกรายเที่ยว!$D$6:$D$6005,$J95)=$I$5),OR($I$7="(ทั้งหมด)",INDEX(บันทึกรายเที่ยว!$F$6:$F$6005,$J95)=$I$7)),$N95*10000000+$O95*1000+88,""))</f>
        <v/>
      </c>
      <c r="Q95">
        <f>IFERROR(MATCH(SMALL($P$8:$P$407,88),$P$8:$P$407,0),"")</f>
        <v/>
      </c>
      <c r="R95">
        <f>IF($Q95="","",INDEX($J$8:$J$407,$Q95))</f>
        <v/>
      </c>
      <c r="S95">
        <f>IF($Q95="","",INDEX($M$8:$M$407,$Q95))</f>
        <v/>
      </c>
      <c r="T95">
        <f>IF($Q95="","",INDEX($L$8:$L$407,$Q95))</f>
        <v/>
      </c>
      <c r="U95">
        <f>IF($Q95="","",INDEX($K$8:$K$407,$Q95))</f>
        <v/>
      </c>
      <c r="V95">
        <f>IF($Q95="",0,IF($S95&lt;&gt;$S94,1,0))</f>
        <v/>
      </c>
      <c r="W95">
        <f>IF($Q95="",0,IF($T95&lt;&gt;$T94,1,0))</f>
        <v/>
      </c>
      <c r="X95">
        <f>IF($Q95="",99999+88,$X94+1+$V94+$W94)</f>
        <v/>
      </c>
      <c r="Y95">
        <f>IF($Q95="","",INDEX(บันทึกรายเที่ยว!$Q$6:$Q$6005,$R95))</f>
        <v/>
      </c>
      <c r="Z95">
        <f>IF($Q95="","",INDEX(บันทึกรายเที่ยว!$F$6:$F$6005,$R95))</f>
        <v/>
      </c>
      <c r="AA95">
        <f>IFERROR(MATCH(88,$X$8:$X$407,1),"")</f>
        <v/>
      </c>
      <c r="AB95">
        <f>IF(88=$AD$1+1,"G",IF($AA95="","",IF(INDEX($Q$8:$Q$407,$AA95)="","",IF(88&gt;INDEX($X$8:$X$407,$AA95)+INDEX($V$8:$V$407,$AA95)+INDEX($W$8:$W$407,$AA95),"",IF(88=INDEX($X$8:$X$407,$AA95)+INDEX($V$8:$V$407,$AA95)+INDEX($W$8:$W$407,$AA95),"D",IF(AND(INDEX($W$8:$W$407,$AA95)=1,88=INDEX($X$8:$X$407,$AA95)+INDEX($V$8:$V$407,$AA95)),"S","R"))))))</f>
        <v/>
      </c>
      <c r="AC95">
        <f>IF(OR($AB95="",$AB95="G"),"",IF($AB95="D",INDEX($U$8:$U$407,$AA95),IF($AB95="S",INDEX($T$8:$T$407,$AA95)&amp;"|*",INDEX($S$8:$S$407,$AA95)&amp;"|*")))</f>
        <v/>
      </c>
      <c r="AE95">
        <f>IF($U95="",0,COUNTIF(บันทึกรายเที่ยว!$T$6:$T$6005,$U95))</f>
        <v/>
      </c>
      <c r="AF95">
        <f>IF($U95="",0,ROUND(SUMIF(บันทึกรายเที่ยว!$T$6:$T$6005,$U95,บันทึกรายเที่ยว!$J$6:$J$6005),2))</f>
        <v/>
      </c>
      <c r="AG95">
        <f>IF($U95="",0,ROUND(SUMIF(บันทึกรายเที่ยว!$T$6:$T$6005,$U95,บันทึกรายเที่ยว!$K$6:$K$6005),2))</f>
        <v/>
      </c>
      <c r="AH95">
        <f>IF($U95="",0,ROUND(SUMIF(บันทึกรายเที่ยว!$T$6:$T$6005,$U95,บันทึกรายเที่ยว!$M$6:$M$6005),2))</f>
        <v/>
      </c>
    </row>
    <row r="96" ht="21" customHeight="1" s="66">
      <c r="A96" s="3">
        <f>IF($AB96="G","ผลรวมทั้งหมด",IF($AB96="R",INDEX($S$8:$S$407,$AA96),""))</f>
        <v/>
      </c>
      <c r="B96" s="3">
        <f>IF($AB96="S",INDEX($Y$8:$Y$407,$AA96),"")</f>
        <v/>
      </c>
      <c r="C96" s="68">
        <f>IF($AB96="D",INDEX($Z$8:$Z$407,$AA96),"")</f>
        <v/>
      </c>
      <c r="D96" s="31">
        <f>IF($AB96="G",SUM($AE$8:$AE$407),IF(OR($AB96="",$AB96="R"),"",IF($AB96="D",INDEX($AE$8:$AE$407,$AA96),SUMIF($T$8:$T$407,INDEX($T$8:$T$407,$AA96),$AE$8:$AE$407))))</f>
        <v/>
      </c>
      <c r="E96" s="32">
        <f>IF(89=$AD$1+3,"ขอแสดงความนับถือ",IF(89=$AD$1+6,"(                 )",IF(89=$AD$1+7,"เจ้าหน้าที่ขนส่ง",IF($AB96="G",SUM($AF$8:$AF$407),IF(OR($AB96="",$AB96="R"),"",IF($AB96="D",INDEX($AF$8:$AF$407,$AA96),SUMIF($T$8:$T$407,INDEX($T$8:$T$407,$AA96),$AF$8:$AF$407)))))))</f>
        <v/>
      </c>
      <c r="F96" s="32">
        <f>IF($AB96="G",SUM($AG$8:$AG$407),IF(OR($AB96="",$AB96="R"),"",IF($AB96="D",INDEX($AG$8:$AG$407,$AA96),SUMIF($T$8:$T$407,INDEX($T$8:$T$407,$AA96),$AG$8:$AG$407))))</f>
        <v/>
      </c>
      <c r="G96" s="32">
        <f>IF(OR($AB96="",$AB96="R"),"",ROUND($E96-$F96,2))</f>
        <v/>
      </c>
      <c r="H96" s="32">
        <f>IF($AB96="G",SUM($AH$8:$AH$407),IF(OR($AB96="",$AB96="R"),"",IF($AB96="D",INDEX($AH$8:$AH$407,$AA96),SUMIF($T$8:$T$407,INDEX($T$8:$T$407,$AA96),$AH$8:$AH$407))))</f>
        <v/>
      </c>
      <c r="J96">
        <f>IFERROR(MATCH(89,บันทึกรายเที่ยว!$W$6:$W$6005,0),"")</f>
        <v/>
      </c>
      <c r="K96">
        <f>IF($J96="","",INDEX(บันทึกรายเที่ยว!$T$6:$T$6005,$J96))</f>
        <v/>
      </c>
      <c r="L96">
        <f>IF($J96="","",INDEX(บันทึกรายเที่ยว!$S$6:$S$6005,$J96))</f>
        <v/>
      </c>
      <c r="M96">
        <f>IF($J96="","",INDEX(บันทึกรายเที่ยว!$R$6:$R$6005,$J96))</f>
        <v/>
      </c>
      <c r="N96">
        <f>IF($J96="","",MATCH($M96,บันทึกรายเที่ยว!$R$6:$R$6005,0))</f>
        <v/>
      </c>
      <c r="O96">
        <f>IF($J96="","",MATCH($L96,บันทึกรายเที่ยว!$S$6:$S$6005,0))</f>
        <v/>
      </c>
      <c r="P96">
        <f>IF($J96="","",IF(AND(OR($I$3="(ทั้งหมด)",INDEX(บันทึกรายเที่ยว!$C$6:$C$6005,$J96)=$I$3),OR($I$5="(ทั้งหมด)",INDEX(บันทึกรายเที่ยว!$D$6:$D$6005,$J96)=$I$5),OR($I$7="(ทั้งหมด)",INDEX(บันทึกรายเที่ยว!$F$6:$F$6005,$J96)=$I$7)),$N96*10000000+$O96*1000+89,""))</f>
        <v/>
      </c>
      <c r="Q96">
        <f>IFERROR(MATCH(SMALL($P$8:$P$407,89),$P$8:$P$407,0),"")</f>
        <v/>
      </c>
      <c r="R96">
        <f>IF($Q96="","",INDEX($J$8:$J$407,$Q96))</f>
        <v/>
      </c>
      <c r="S96">
        <f>IF($Q96="","",INDEX($M$8:$M$407,$Q96))</f>
        <v/>
      </c>
      <c r="T96">
        <f>IF($Q96="","",INDEX($L$8:$L$407,$Q96))</f>
        <v/>
      </c>
      <c r="U96">
        <f>IF($Q96="","",INDEX($K$8:$K$407,$Q96))</f>
        <v/>
      </c>
      <c r="V96">
        <f>IF($Q96="",0,IF($S96&lt;&gt;$S95,1,0))</f>
        <v/>
      </c>
      <c r="W96">
        <f>IF($Q96="",0,IF($T96&lt;&gt;$T95,1,0))</f>
        <v/>
      </c>
      <c r="X96">
        <f>IF($Q96="",99999+89,$X95+1+$V95+$W95)</f>
        <v/>
      </c>
      <c r="Y96">
        <f>IF($Q96="","",INDEX(บันทึกรายเที่ยว!$Q$6:$Q$6005,$R96))</f>
        <v/>
      </c>
      <c r="Z96">
        <f>IF($Q96="","",INDEX(บันทึกรายเที่ยว!$F$6:$F$6005,$R96))</f>
        <v/>
      </c>
      <c r="AA96">
        <f>IFERROR(MATCH(89,$X$8:$X$407,1),"")</f>
        <v/>
      </c>
      <c r="AB96">
        <f>IF(89=$AD$1+1,"G",IF($AA96="","",IF(INDEX($Q$8:$Q$407,$AA96)="","",IF(89&gt;INDEX($X$8:$X$407,$AA96)+INDEX($V$8:$V$407,$AA96)+INDEX($W$8:$W$407,$AA96),"",IF(89=INDEX($X$8:$X$407,$AA96)+INDEX($V$8:$V$407,$AA96)+INDEX($W$8:$W$407,$AA96),"D",IF(AND(INDEX($W$8:$W$407,$AA96)=1,89=INDEX($X$8:$X$407,$AA96)+INDEX($V$8:$V$407,$AA96)),"S","R"))))))</f>
        <v/>
      </c>
      <c r="AC96">
        <f>IF(OR($AB96="",$AB96="G"),"",IF($AB96="D",INDEX($U$8:$U$407,$AA96),IF($AB96="S",INDEX($T$8:$T$407,$AA96)&amp;"|*",INDEX($S$8:$S$407,$AA96)&amp;"|*")))</f>
        <v/>
      </c>
      <c r="AE96">
        <f>IF($U96="",0,COUNTIF(บันทึกรายเที่ยว!$T$6:$T$6005,$U96))</f>
        <v/>
      </c>
      <c r="AF96">
        <f>IF($U96="",0,ROUND(SUMIF(บันทึกรายเที่ยว!$T$6:$T$6005,$U96,บันทึกรายเที่ยว!$J$6:$J$6005),2))</f>
        <v/>
      </c>
      <c r="AG96">
        <f>IF($U96="",0,ROUND(SUMIF(บันทึกรายเที่ยว!$T$6:$T$6005,$U96,บันทึกรายเที่ยว!$K$6:$K$6005),2))</f>
        <v/>
      </c>
      <c r="AH96">
        <f>IF($U96="",0,ROUND(SUMIF(บันทึกรายเที่ยว!$T$6:$T$6005,$U96,บันทึกรายเที่ยว!$M$6:$M$6005),2))</f>
        <v/>
      </c>
    </row>
    <row r="97" ht="21" customHeight="1" s="66">
      <c r="A97" s="3">
        <f>IF($AB97="G","ผลรวมทั้งหมด",IF($AB97="R",INDEX($S$8:$S$407,$AA97),""))</f>
        <v/>
      </c>
      <c r="B97" s="3">
        <f>IF($AB97="S",INDEX($Y$8:$Y$407,$AA97),"")</f>
        <v/>
      </c>
      <c r="C97" s="68">
        <f>IF($AB97="D",INDEX($Z$8:$Z$407,$AA97),"")</f>
        <v/>
      </c>
      <c r="D97" s="31">
        <f>IF($AB97="G",SUM($AE$8:$AE$407),IF(OR($AB97="",$AB97="R"),"",IF($AB97="D",INDEX($AE$8:$AE$407,$AA97),SUMIF($T$8:$T$407,INDEX($T$8:$T$407,$AA97),$AE$8:$AE$407))))</f>
        <v/>
      </c>
      <c r="E97" s="32">
        <f>IF(90=$AD$1+3,"ขอแสดงความนับถือ",IF(90=$AD$1+6,"(                 )",IF(90=$AD$1+7,"เจ้าหน้าที่ขนส่ง",IF($AB97="G",SUM($AF$8:$AF$407),IF(OR($AB97="",$AB97="R"),"",IF($AB97="D",INDEX($AF$8:$AF$407,$AA97),SUMIF($T$8:$T$407,INDEX($T$8:$T$407,$AA97),$AF$8:$AF$407)))))))</f>
        <v/>
      </c>
      <c r="F97" s="32">
        <f>IF($AB97="G",SUM($AG$8:$AG$407),IF(OR($AB97="",$AB97="R"),"",IF($AB97="D",INDEX($AG$8:$AG$407,$AA97),SUMIF($T$8:$T$407,INDEX($T$8:$T$407,$AA97),$AG$8:$AG$407))))</f>
        <v/>
      </c>
      <c r="G97" s="32">
        <f>IF(OR($AB97="",$AB97="R"),"",ROUND($E97-$F97,2))</f>
        <v/>
      </c>
      <c r="H97" s="32">
        <f>IF($AB97="G",SUM($AH$8:$AH$407),IF(OR($AB97="",$AB97="R"),"",IF($AB97="D",INDEX($AH$8:$AH$407,$AA97),SUMIF($T$8:$T$407,INDEX($T$8:$T$407,$AA97),$AH$8:$AH$407))))</f>
        <v/>
      </c>
      <c r="J97">
        <f>IFERROR(MATCH(90,บันทึกรายเที่ยว!$W$6:$W$6005,0),"")</f>
        <v/>
      </c>
      <c r="K97">
        <f>IF($J97="","",INDEX(บันทึกรายเที่ยว!$T$6:$T$6005,$J97))</f>
        <v/>
      </c>
      <c r="L97">
        <f>IF($J97="","",INDEX(บันทึกรายเที่ยว!$S$6:$S$6005,$J97))</f>
        <v/>
      </c>
      <c r="M97">
        <f>IF($J97="","",INDEX(บันทึกรายเที่ยว!$R$6:$R$6005,$J97))</f>
        <v/>
      </c>
      <c r="N97">
        <f>IF($J97="","",MATCH($M97,บันทึกรายเที่ยว!$R$6:$R$6005,0))</f>
        <v/>
      </c>
      <c r="O97">
        <f>IF($J97="","",MATCH($L97,บันทึกรายเที่ยว!$S$6:$S$6005,0))</f>
        <v/>
      </c>
      <c r="P97">
        <f>IF($J97="","",IF(AND(OR($I$3="(ทั้งหมด)",INDEX(บันทึกรายเที่ยว!$C$6:$C$6005,$J97)=$I$3),OR($I$5="(ทั้งหมด)",INDEX(บันทึกรายเที่ยว!$D$6:$D$6005,$J97)=$I$5),OR($I$7="(ทั้งหมด)",INDEX(บันทึกรายเที่ยว!$F$6:$F$6005,$J97)=$I$7)),$N97*10000000+$O97*1000+90,""))</f>
        <v/>
      </c>
      <c r="Q97">
        <f>IFERROR(MATCH(SMALL($P$8:$P$407,90),$P$8:$P$407,0),"")</f>
        <v/>
      </c>
      <c r="R97">
        <f>IF($Q97="","",INDEX($J$8:$J$407,$Q97))</f>
        <v/>
      </c>
      <c r="S97">
        <f>IF($Q97="","",INDEX($M$8:$M$407,$Q97))</f>
        <v/>
      </c>
      <c r="T97">
        <f>IF($Q97="","",INDEX($L$8:$L$407,$Q97))</f>
        <v/>
      </c>
      <c r="U97">
        <f>IF($Q97="","",INDEX($K$8:$K$407,$Q97))</f>
        <v/>
      </c>
      <c r="V97">
        <f>IF($Q97="",0,IF($S97&lt;&gt;$S96,1,0))</f>
        <v/>
      </c>
      <c r="W97">
        <f>IF($Q97="",0,IF($T97&lt;&gt;$T96,1,0))</f>
        <v/>
      </c>
      <c r="X97">
        <f>IF($Q97="",99999+90,$X96+1+$V96+$W96)</f>
        <v/>
      </c>
      <c r="Y97">
        <f>IF($Q97="","",INDEX(บันทึกรายเที่ยว!$Q$6:$Q$6005,$R97))</f>
        <v/>
      </c>
      <c r="Z97">
        <f>IF($Q97="","",INDEX(บันทึกรายเที่ยว!$F$6:$F$6005,$R97))</f>
        <v/>
      </c>
      <c r="AA97">
        <f>IFERROR(MATCH(90,$X$8:$X$407,1),"")</f>
        <v/>
      </c>
      <c r="AB97">
        <f>IF(90=$AD$1+1,"G",IF($AA97="","",IF(INDEX($Q$8:$Q$407,$AA97)="","",IF(90&gt;INDEX($X$8:$X$407,$AA97)+INDEX($V$8:$V$407,$AA97)+INDEX($W$8:$W$407,$AA97),"",IF(90=INDEX($X$8:$X$407,$AA97)+INDEX($V$8:$V$407,$AA97)+INDEX($W$8:$W$407,$AA97),"D",IF(AND(INDEX($W$8:$W$407,$AA97)=1,90=INDEX($X$8:$X$407,$AA97)+INDEX($V$8:$V$407,$AA97)),"S","R"))))))</f>
        <v/>
      </c>
      <c r="AC97">
        <f>IF(OR($AB97="",$AB97="G"),"",IF($AB97="D",INDEX($U$8:$U$407,$AA97),IF($AB97="S",INDEX($T$8:$T$407,$AA97)&amp;"|*",INDEX($S$8:$S$407,$AA97)&amp;"|*")))</f>
        <v/>
      </c>
      <c r="AE97">
        <f>IF($U97="",0,COUNTIF(บันทึกรายเที่ยว!$T$6:$T$6005,$U97))</f>
        <v/>
      </c>
      <c r="AF97">
        <f>IF($U97="",0,ROUND(SUMIF(บันทึกรายเที่ยว!$T$6:$T$6005,$U97,บันทึกรายเที่ยว!$J$6:$J$6005),2))</f>
        <v/>
      </c>
      <c r="AG97">
        <f>IF($U97="",0,ROUND(SUMIF(บันทึกรายเที่ยว!$T$6:$T$6005,$U97,บันทึกรายเที่ยว!$K$6:$K$6005),2))</f>
        <v/>
      </c>
      <c r="AH97">
        <f>IF($U97="",0,ROUND(SUMIF(บันทึกรายเที่ยว!$T$6:$T$6005,$U97,บันทึกรายเที่ยว!$M$6:$M$6005),2))</f>
        <v/>
      </c>
    </row>
    <row r="98" ht="21" customHeight="1" s="66">
      <c r="A98" s="3">
        <f>IF($AB98="G","ผลรวมทั้งหมด",IF($AB98="R",INDEX($S$8:$S$407,$AA98),""))</f>
        <v/>
      </c>
      <c r="B98" s="3">
        <f>IF($AB98="S",INDEX($Y$8:$Y$407,$AA98),"")</f>
        <v/>
      </c>
      <c r="C98" s="68">
        <f>IF($AB98="D",INDEX($Z$8:$Z$407,$AA98),"")</f>
        <v/>
      </c>
      <c r="D98" s="31">
        <f>IF($AB98="G",SUM($AE$8:$AE$407),IF(OR($AB98="",$AB98="R"),"",IF($AB98="D",INDEX($AE$8:$AE$407,$AA98),SUMIF($T$8:$T$407,INDEX($T$8:$T$407,$AA98),$AE$8:$AE$407))))</f>
        <v/>
      </c>
      <c r="E98" s="32">
        <f>IF(91=$AD$1+3,"ขอแสดงความนับถือ",IF(91=$AD$1+6,"(                 )",IF(91=$AD$1+7,"เจ้าหน้าที่ขนส่ง",IF($AB98="G",SUM($AF$8:$AF$407),IF(OR($AB98="",$AB98="R"),"",IF($AB98="D",INDEX($AF$8:$AF$407,$AA98),SUMIF($T$8:$T$407,INDEX($T$8:$T$407,$AA98),$AF$8:$AF$407)))))))</f>
        <v/>
      </c>
      <c r="F98" s="32">
        <f>IF($AB98="G",SUM($AG$8:$AG$407),IF(OR($AB98="",$AB98="R"),"",IF($AB98="D",INDEX($AG$8:$AG$407,$AA98),SUMIF($T$8:$T$407,INDEX($T$8:$T$407,$AA98),$AG$8:$AG$407))))</f>
        <v/>
      </c>
      <c r="G98" s="32">
        <f>IF(OR($AB98="",$AB98="R"),"",ROUND($E98-$F98,2))</f>
        <v/>
      </c>
      <c r="H98" s="32">
        <f>IF($AB98="G",SUM($AH$8:$AH$407),IF(OR($AB98="",$AB98="R"),"",IF($AB98="D",INDEX($AH$8:$AH$407,$AA98),SUMIF($T$8:$T$407,INDEX($T$8:$T$407,$AA98),$AH$8:$AH$407))))</f>
        <v/>
      </c>
      <c r="J98">
        <f>IFERROR(MATCH(91,บันทึกรายเที่ยว!$W$6:$W$6005,0),"")</f>
        <v/>
      </c>
      <c r="K98">
        <f>IF($J98="","",INDEX(บันทึกรายเที่ยว!$T$6:$T$6005,$J98))</f>
        <v/>
      </c>
      <c r="L98">
        <f>IF($J98="","",INDEX(บันทึกรายเที่ยว!$S$6:$S$6005,$J98))</f>
        <v/>
      </c>
      <c r="M98">
        <f>IF($J98="","",INDEX(บันทึกรายเที่ยว!$R$6:$R$6005,$J98))</f>
        <v/>
      </c>
      <c r="N98">
        <f>IF($J98="","",MATCH($M98,บันทึกรายเที่ยว!$R$6:$R$6005,0))</f>
        <v/>
      </c>
      <c r="O98">
        <f>IF($J98="","",MATCH($L98,บันทึกรายเที่ยว!$S$6:$S$6005,0))</f>
        <v/>
      </c>
      <c r="P98">
        <f>IF($J98="","",IF(AND(OR($I$3="(ทั้งหมด)",INDEX(บันทึกรายเที่ยว!$C$6:$C$6005,$J98)=$I$3),OR($I$5="(ทั้งหมด)",INDEX(บันทึกรายเที่ยว!$D$6:$D$6005,$J98)=$I$5),OR($I$7="(ทั้งหมด)",INDEX(บันทึกรายเที่ยว!$F$6:$F$6005,$J98)=$I$7)),$N98*10000000+$O98*1000+91,""))</f>
        <v/>
      </c>
      <c r="Q98">
        <f>IFERROR(MATCH(SMALL($P$8:$P$407,91),$P$8:$P$407,0),"")</f>
        <v/>
      </c>
      <c r="R98">
        <f>IF($Q98="","",INDEX($J$8:$J$407,$Q98))</f>
        <v/>
      </c>
      <c r="S98">
        <f>IF($Q98="","",INDEX($M$8:$M$407,$Q98))</f>
        <v/>
      </c>
      <c r="T98">
        <f>IF($Q98="","",INDEX($L$8:$L$407,$Q98))</f>
        <v/>
      </c>
      <c r="U98">
        <f>IF($Q98="","",INDEX($K$8:$K$407,$Q98))</f>
        <v/>
      </c>
      <c r="V98">
        <f>IF($Q98="",0,IF($S98&lt;&gt;$S97,1,0))</f>
        <v/>
      </c>
      <c r="W98">
        <f>IF($Q98="",0,IF($T98&lt;&gt;$T97,1,0))</f>
        <v/>
      </c>
      <c r="X98">
        <f>IF($Q98="",99999+91,$X97+1+$V97+$W97)</f>
        <v/>
      </c>
      <c r="Y98">
        <f>IF($Q98="","",INDEX(บันทึกรายเที่ยว!$Q$6:$Q$6005,$R98))</f>
        <v/>
      </c>
      <c r="Z98">
        <f>IF($Q98="","",INDEX(บันทึกรายเที่ยว!$F$6:$F$6005,$R98))</f>
        <v/>
      </c>
      <c r="AA98">
        <f>IFERROR(MATCH(91,$X$8:$X$407,1),"")</f>
        <v/>
      </c>
      <c r="AB98">
        <f>IF(91=$AD$1+1,"G",IF($AA98="","",IF(INDEX($Q$8:$Q$407,$AA98)="","",IF(91&gt;INDEX($X$8:$X$407,$AA98)+INDEX($V$8:$V$407,$AA98)+INDEX($W$8:$W$407,$AA98),"",IF(91=INDEX($X$8:$X$407,$AA98)+INDEX($V$8:$V$407,$AA98)+INDEX($W$8:$W$407,$AA98),"D",IF(AND(INDEX($W$8:$W$407,$AA98)=1,91=INDEX($X$8:$X$407,$AA98)+INDEX($V$8:$V$407,$AA98)),"S","R"))))))</f>
        <v/>
      </c>
      <c r="AC98">
        <f>IF(OR($AB98="",$AB98="G"),"",IF($AB98="D",INDEX($U$8:$U$407,$AA98),IF($AB98="S",INDEX($T$8:$T$407,$AA98)&amp;"|*",INDEX($S$8:$S$407,$AA98)&amp;"|*")))</f>
        <v/>
      </c>
      <c r="AE98">
        <f>IF($U98="",0,COUNTIF(บันทึกรายเที่ยว!$T$6:$T$6005,$U98))</f>
        <v/>
      </c>
      <c r="AF98">
        <f>IF($U98="",0,ROUND(SUMIF(บันทึกรายเที่ยว!$T$6:$T$6005,$U98,บันทึกรายเที่ยว!$J$6:$J$6005),2))</f>
        <v/>
      </c>
      <c r="AG98">
        <f>IF($U98="",0,ROUND(SUMIF(บันทึกรายเที่ยว!$T$6:$T$6005,$U98,บันทึกรายเที่ยว!$K$6:$K$6005),2))</f>
        <v/>
      </c>
      <c r="AH98">
        <f>IF($U98="",0,ROUND(SUMIF(บันทึกรายเที่ยว!$T$6:$T$6005,$U98,บันทึกรายเที่ยว!$M$6:$M$6005),2))</f>
        <v/>
      </c>
    </row>
    <row r="99" ht="21" customHeight="1" s="66">
      <c r="A99" s="3">
        <f>IF($AB99="G","ผลรวมทั้งหมด",IF($AB99="R",INDEX($S$8:$S$407,$AA99),""))</f>
        <v/>
      </c>
      <c r="B99" s="3">
        <f>IF($AB99="S",INDEX($Y$8:$Y$407,$AA99),"")</f>
        <v/>
      </c>
      <c r="C99" s="68">
        <f>IF($AB99="D",INDEX($Z$8:$Z$407,$AA99),"")</f>
        <v/>
      </c>
      <c r="D99" s="31">
        <f>IF($AB99="G",SUM($AE$8:$AE$407),IF(OR($AB99="",$AB99="R"),"",IF($AB99="D",INDEX($AE$8:$AE$407,$AA99),SUMIF($T$8:$T$407,INDEX($T$8:$T$407,$AA99),$AE$8:$AE$407))))</f>
        <v/>
      </c>
      <c r="E99" s="32">
        <f>IF(92=$AD$1+3,"ขอแสดงความนับถือ",IF(92=$AD$1+6,"(                 )",IF(92=$AD$1+7,"เจ้าหน้าที่ขนส่ง",IF($AB99="G",SUM($AF$8:$AF$407),IF(OR($AB99="",$AB99="R"),"",IF($AB99="D",INDEX($AF$8:$AF$407,$AA99),SUMIF($T$8:$T$407,INDEX($T$8:$T$407,$AA99),$AF$8:$AF$407)))))))</f>
        <v/>
      </c>
      <c r="F99" s="32">
        <f>IF($AB99="G",SUM($AG$8:$AG$407),IF(OR($AB99="",$AB99="R"),"",IF($AB99="D",INDEX($AG$8:$AG$407,$AA99),SUMIF($T$8:$T$407,INDEX($T$8:$T$407,$AA99),$AG$8:$AG$407))))</f>
        <v/>
      </c>
      <c r="G99" s="32">
        <f>IF(OR($AB99="",$AB99="R"),"",ROUND($E99-$F99,2))</f>
        <v/>
      </c>
      <c r="H99" s="32">
        <f>IF($AB99="G",SUM($AH$8:$AH$407),IF(OR($AB99="",$AB99="R"),"",IF($AB99="D",INDEX($AH$8:$AH$407,$AA99),SUMIF($T$8:$T$407,INDEX($T$8:$T$407,$AA99),$AH$8:$AH$407))))</f>
        <v/>
      </c>
      <c r="J99">
        <f>IFERROR(MATCH(92,บันทึกรายเที่ยว!$W$6:$W$6005,0),"")</f>
        <v/>
      </c>
      <c r="K99">
        <f>IF($J99="","",INDEX(บันทึกรายเที่ยว!$T$6:$T$6005,$J99))</f>
        <v/>
      </c>
      <c r="L99">
        <f>IF($J99="","",INDEX(บันทึกรายเที่ยว!$S$6:$S$6005,$J99))</f>
        <v/>
      </c>
      <c r="M99">
        <f>IF($J99="","",INDEX(บันทึกรายเที่ยว!$R$6:$R$6005,$J99))</f>
        <v/>
      </c>
      <c r="N99">
        <f>IF($J99="","",MATCH($M99,บันทึกรายเที่ยว!$R$6:$R$6005,0))</f>
        <v/>
      </c>
      <c r="O99">
        <f>IF($J99="","",MATCH($L99,บันทึกรายเที่ยว!$S$6:$S$6005,0))</f>
        <v/>
      </c>
      <c r="P99">
        <f>IF($J99="","",IF(AND(OR($I$3="(ทั้งหมด)",INDEX(บันทึกรายเที่ยว!$C$6:$C$6005,$J99)=$I$3),OR($I$5="(ทั้งหมด)",INDEX(บันทึกรายเที่ยว!$D$6:$D$6005,$J99)=$I$5),OR($I$7="(ทั้งหมด)",INDEX(บันทึกรายเที่ยว!$F$6:$F$6005,$J99)=$I$7)),$N99*10000000+$O99*1000+92,""))</f>
        <v/>
      </c>
      <c r="Q99">
        <f>IFERROR(MATCH(SMALL($P$8:$P$407,92),$P$8:$P$407,0),"")</f>
        <v/>
      </c>
      <c r="R99">
        <f>IF($Q99="","",INDEX($J$8:$J$407,$Q99))</f>
        <v/>
      </c>
      <c r="S99">
        <f>IF($Q99="","",INDEX($M$8:$M$407,$Q99))</f>
        <v/>
      </c>
      <c r="T99">
        <f>IF($Q99="","",INDEX($L$8:$L$407,$Q99))</f>
        <v/>
      </c>
      <c r="U99">
        <f>IF($Q99="","",INDEX($K$8:$K$407,$Q99))</f>
        <v/>
      </c>
      <c r="V99">
        <f>IF($Q99="",0,IF($S99&lt;&gt;$S98,1,0))</f>
        <v/>
      </c>
      <c r="W99">
        <f>IF($Q99="",0,IF($T99&lt;&gt;$T98,1,0))</f>
        <v/>
      </c>
      <c r="X99">
        <f>IF($Q99="",99999+92,$X98+1+$V98+$W98)</f>
        <v/>
      </c>
      <c r="Y99">
        <f>IF($Q99="","",INDEX(บันทึกรายเที่ยว!$Q$6:$Q$6005,$R99))</f>
        <v/>
      </c>
      <c r="Z99">
        <f>IF($Q99="","",INDEX(บันทึกรายเที่ยว!$F$6:$F$6005,$R99))</f>
        <v/>
      </c>
      <c r="AA99">
        <f>IFERROR(MATCH(92,$X$8:$X$407,1),"")</f>
        <v/>
      </c>
      <c r="AB99">
        <f>IF(92=$AD$1+1,"G",IF($AA99="","",IF(INDEX($Q$8:$Q$407,$AA99)="","",IF(92&gt;INDEX($X$8:$X$407,$AA99)+INDEX($V$8:$V$407,$AA99)+INDEX($W$8:$W$407,$AA99),"",IF(92=INDEX($X$8:$X$407,$AA99)+INDEX($V$8:$V$407,$AA99)+INDEX($W$8:$W$407,$AA99),"D",IF(AND(INDEX($W$8:$W$407,$AA99)=1,92=INDEX($X$8:$X$407,$AA99)+INDEX($V$8:$V$407,$AA99)),"S","R"))))))</f>
        <v/>
      </c>
      <c r="AC99">
        <f>IF(OR($AB99="",$AB99="G"),"",IF($AB99="D",INDEX($U$8:$U$407,$AA99),IF($AB99="S",INDEX($T$8:$T$407,$AA99)&amp;"|*",INDEX($S$8:$S$407,$AA99)&amp;"|*")))</f>
        <v/>
      </c>
      <c r="AE99">
        <f>IF($U99="",0,COUNTIF(บันทึกรายเที่ยว!$T$6:$T$6005,$U99))</f>
        <v/>
      </c>
      <c r="AF99">
        <f>IF($U99="",0,ROUND(SUMIF(บันทึกรายเที่ยว!$T$6:$T$6005,$U99,บันทึกรายเที่ยว!$J$6:$J$6005),2))</f>
        <v/>
      </c>
      <c r="AG99">
        <f>IF($U99="",0,ROUND(SUMIF(บันทึกรายเที่ยว!$T$6:$T$6005,$U99,บันทึกรายเที่ยว!$K$6:$K$6005),2))</f>
        <v/>
      </c>
      <c r="AH99">
        <f>IF($U99="",0,ROUND(SUMIF(บันทึกรายเที่ยว!$T$6:$T$6005,$U99,บันทึกรายเที่ยว!$M$6:$M$6005),2))</f>
        <v/>
      </c>
    </row>
    <row r="100" ht="21" customHeight="1" s="66">
      <c r="A100" s="3">
        <f>IF($AB100="G","ผลรวมทั้งหมด",IF($AB100="R",INDEX($S$8:$S$407,$AA100),""))</f>
        <v/>
      </c>
      <c r="B100" s="3">
        <f>IF($AB100="S",INDEX($Y$8:$Y$407,$AA100),"")</f>
        <v/>
      </c>
      <c r="C100" s="68">
        <f>IF($AB100="D",INDEX($Z$8:$Z$407,$AA100),"")</f>
        <v/>
      </c>
      <c r="D100" s="31">
        <f>IF($AB100="G",SUM($AE$8:$AE$407),IF(OR($AB100="",$AB100="R"),"",IF($AB100="D",INDEX($AE$8:$AE$407,$AA100),SUMIF($T$8:$T$407,INDEX($T$8:$T$407,$AA100),$AE$8:$AE$407))))</f>
        <v/>
      </c>
      <c r="E100" s="32">
        <f>IF(93=$AD$1+3,"ขอแสดงความนับถือ",IF(93=$AD$1+6,"(                 )",IF(93=$AD$1+7,"เจ้าหน้าที่ขนส่ง",IF($AB100="G",SUM($AF$8:$AF$407),IF(OR($AB100="",$AB100="R"),"",IF($AB100="D",INDEX($AF$8:$AF$407,$AA100),SUMIF($T$8:$T$407,INDEX($T$8:$T$407,$AA100),$AF$8:$AF$407)))))))</f>
        <v/>
      </c>
      <c r="F100" s="32">
        <f>IF($AB100="G",SUM($AG$8:$AG$407),IF(OR($AB100="",$AB100="R"),"",IF($AB100="D",INDEX($AG$8:$AG$407,$AA100),SUMIF($T$8:$T$407,INDEX($T$8:$T$407,$AA100),$AG$8:$AG$407))))</f>
        <v/>
      </c>
      <c r="G100" s="32">
        <f>IF(OR($AB100="",$AB100="R"),"",ROUND($E100-$F100,2))</f>
        <v/>
      </c>
      <c r="H100" s="32">
        <f>IF($AB100="G",SUM($AH$8:$AH$407),IF(OR($AB100="",$AB100="R"),"",IF($AB100="D",INDEX($AH$8:$AH$407,$AA100),SUMIF($T$8:$T$407,INDEX($T$8:$T$407,$AA100),$AH$8:$AH$407))))</f>
        <v/>
      </c>
      <c r="J100">
        <f>IFERROR(MATCH(93,บันทึกรายเที่ยว!$W$6:$W$6005,0),"")</f>
        <v/>
      </c>
      <c r="K100">
        <f>IF($J100="","",INDEX(บันทึกรายเที่ยว!$T$6:$T$6005,$J100))</f>
        <v/>
      </c>
      <c r="L100">
        <f>IF($J100="","",INDEX(บันทึกรายเที่ยว!$S$6:$S$6005,$J100))</f>
        <v/>
      </c>
      <c r="M100">
        <f>IF($J100="","",INDEX(บันทึกรายเที่ยว!$R$6:$R$6005,$J100))</f>
        <v/>
      </c>
      <c r="N100">
        <f>IF($J100="","",MATCH($M100,บันทึกรายเที่ยว!$R$6:$R$6005,0))</f>
        <v/>
      </c>
      <c r="O100">
        <f>IF($J100="","",MATCH($L100,บันทึกรายเที่ยว!$S$6:$S$6005,0))</f>
        <v/>
      </c>
      <c r="P100">
        <f>IF($J100="","",IF(AND(OR($I$3="(ทั้งหมด)",INDEX(บันทึกรายเที่ยว!$C$6:$C$6005,$J100)=$I$3),OR($I$5="(ทั้งหมด)",INDEX(บันทึกรายเที่ยว!$D$6:$D$6005,$J100)=$I$5),OR($I$7="(ทั้งหมด)",INDEX(บันทึกรายเที่ยว!$F$6:$F$6005,$J100)=$I$7)),$N100*10000000+$O100*1000+93,""))</f>
        <v/>
      </c>
      <c r="Q100">
        <f>IFERROR(MATCH(SMALL($P$8:$P$407,93),$P$8:$P$407,0),"")</f>
        <v/>
      </c>
      <c r="R100">
        <f>IF($Q100="","",INDEX($J$8:$J$407,$Q100))</f>
        <v/>
      </c>
      <c r="S100">
        <f>IF($Q100="","",INDEX($M$8:$M$407,$Q100))</f>
        <v/>
      </c>
      <c r="T100">
        <f>IF($Q100="","",INDEX($L$8:$L$407,$Q100))</f>
        <v/>
      </c>
      <c r="U100">
        <f>IF($Q100="","",INDEX($K$8:$K$407,$Q100))</f>
        <v/>
      </c>
      <c r="V100">
        <f>IF($Q100="",0,IF($S100&lt;&gt;$S99,1,0))</f>
        <v/>
      </c>
      <c r="W100">
        <f>IF($Q100="",0,IF($T100&lt;&gt;$T99,1,0))</f>
        <v/>
      </c>
      <c r="X100">
        <f>IF($Q100="",99999+93,$X99+1+$V99+$W99)</f>
        <v/>
      </c>
      <c r="Y100">
        <f>IF($Q100="","",INDEX(บันทึกรายเที่ยว!$Q$6:$Q$6005,$R100))</f>
        <v/>
      </c>
      <c r="Z100">
        <f>IF($Q100="","",INDEX(บันทึกรายเที่ยว!$F$6:$F$6005,$R100))</f>
        <v/>
      </c>
      <c r="AA100">
        <f>IFERROR(MATCH(93,$X$8:$X$407,1),"")</f>
        <v/>
      </c>
      <c r="AB100">
        <f>IF(93=$AD$1+1,"G",IF($AA100="","",IF(INDEX($Q$8:$Q$407,$AA100)="","",IF(93&gt;INDEX($X$8:$X$407,$AA100)+INDEX($V$8:$V$407,$AA100)+INDEX($W$8:$W$407,$AA100),"",IF(93=INDEX($X$8:$X$407,$AA100)+INDEX($V$8:$V$407,$AA100)+INDEX($W$8:$W$407,$AA100),"D",IF(AND(INDEX($W$8:$W$407,$AA100)=1,93=INDEX($X$8:$X$407,$AA100)+INDEX($V$8:$V$407,$AA100)),"S","R"))))))</f>
        <v/>
      </c>
      <c r="AC100">
        <f>IF(OR($AB100="",$AB100="G"),"",IF($AB100="D",INDEX($U$8:$U$407,$AA100),IF($AB100="S",INDEX($T$8:$T$407,$AA100)&amp;"|*",INDEX($S$8:$S$407,$AA100)&amp;"|*")))</f>
        <v/>
      </c>
      <c r="AE100">
        <f>IF($U100="",0,COUNTIF(บันทึกรายเที่ยว!$T$6:$T$6005,$U100))</f>
        <v/>
      </c>
      <c r="AF100">
        <f>IF($U100="",0,ROUND(SUMIF(บันทึกรายเที่ยว!$T$6:$T$6005,$U100,บันทึกรายเที่ยว!$J$6:$J$6005),2))</f>
        <v/>
      </c>
      <c r="AG100">
        <f>IF($U100="",0,ROUND(SUMIF(บันทึกรายเที่ยว!$T$6:$T$6005,$U100,บันทึกรายเที่ยว!$K$6:$K$6005),2))</f>
        <v/>
      </c>
      <c r="AH100">
        <f>IF($U100="",0,ROUND(SUMIF(บันทึกรายเที่ยว!$T$6:$T$6005,$U100,บันทึกรายเที่ยว!$M$6:$M$6005),2))</f>
        <v/>
      </c>
    </row>
    <row r="101" ht="21" customHeight="1" s="66">
      <c r="A101" s="3">
        <f>IF($AB101="G","ผลรวมทั้งหมด",IF($AB101="R",INDEX($S$8:$S$407,$AA101),""))</f>
        <v/>
      </c>
      <c r="B101" s="3">
        <f>IF($AB101="S",INDEX($Y$8:$Y$407,$AA101),"")</f>
        <v/>
      </c>
      <c r="C101" s="68">
        <f>IF($AB101="D",INDEX($Z$8:$Z$407,$AA101),"")</f>
        <v/>
      </c>
      <c r="D101" s="31">
        <f>IF($AB101="G",SUM($AE$8:$AE$407),IF(OR($AB101="",$AB101="R"),"",IF($AB101="D",INDEX($AE$8:$AE$407,$AA101),SUMIF($T$8:$T$407,INDEX($T$8:$T$407,$AA101),$AE$8:$AE$407))))</f>
        <v/>
      </c>
      <c r="E101" s="32">
        <f>IF(94=$AD$1+3,"ขอแสดงความนับถือ",IF(94=$AD$1+6,"(                 )",IF(94=$AD$1+7,"เจ้าหน้าที่ขนส่ง",IF($AB101="G",SUM($AF$8:$AF$407),IF(OR($AB101="",$AB101="R"),"",IF($AB101="D",INDEX($AF$8:$AF$407,$AA101),SUMIF($T$8:$T$407,INDEX($T$8:$T$407,$AA101),$AF$8:$AF$407)))))))</f>
        <v/>
      </c>
      <c r="F101" s="32">
        <f>IF($AB101="G",SUM($AG$8:$AG$407),IF(OR($AB101="",$AB101="R"),"",IF($AB101="D",INDEX($AG$8:$AG$407,$AA101),SUMIF($T$8:$T$407,INDEX($T$8:$T$407,$AA101),$AG$8:$AG$407))))</f>
        <v/>
      </c>
      <c r="G101" s="32">
        <f>IF(OR($AB101="",$AB101="R"),"",ROUND($E101-$F101,2))</f>
        <v/>
      </c>
      <c r="H101" s="32">
        <f>IF($AB101="G",SUM($AH$8:$AH$407),IF(OR($AB101="",$AB101="R"),"",IF($AB101="D",INDEX($AH$8:$AH$407,$AA101),SUMIF($T$8:$T$407,INDEX($T$8:$T$407,$AA101),$AH$8:$AH$407))))</f>
        <v/>
      </c>
      <c r="J101">
        <f>IFERROR(MATCH(94,บันทึกรายเที่ยว!$W$6:$W$6005,0),"")</f>
        <v/>
      </c>
      <c r="K101">
        <f>IF($J101="","",INDEX(บันทึกรายเที่ยว!$T$6:$T$6005,$J101))</f>
        <v/>
      </c>
      <c r="L101">
        <f>IF($J101="","",INDEX(บันทึกรายเที่ยว!$S$6:$S$6005,$J101))</f>
        <v/>
      </c>
      <c r="M101">
        <f>IF($J101="","",INDEX(บันทึกรายเที่ยว!$R$6:$R$6005,$J101))</f>
        <v/>
      </c>
      <c r="N101">
        <f>IF($J101="","",MATCH($M101,บันทึกรายเที่ยว!$R$6:$R$6005,0))</f>
        <v/>
      </c>
      <c r="O101">
        <f>IF($J101="","",MATCH($L101,บันทึกรายเที่ยว!$S$6:$S$6005,0))</f>
        <v/>
      </c>
      <c r="P101">
        <f>IF($J101="","",IF(AND(OR($I$3="(ทั้งหมด)",INDEX(บันทึกรายเที่ยว!$C$6:$C$6005,$J101)=$I$3),OR($I$5="(ทั้งหมด)",INDEX(บันทึกรายเที่ยว!$D$6:$D$6005,$J101)=$I$5),OR($I$7="(ทั้งหมด)",INDEX(บันทึกรายเที่ยว!$F$6:$F$6005,$J101)=$I$7)),$N101*10000000+$O101*1000+94,""))</f>
        <v/>
      </c>
      <c r="Q101">
        <f>IFERROR(MATCH(SMALL($P$8:$P$407,94),$P$8:$P$407,0),"")</f>
        <v/>
      </c>
      <c r="R101">
        <f>IF($Q101="","",INDEX($J$8:$J$407,$Q101))</f>
        <v/>
      </c>
      <c r="S101">
        <f>IF($Q101="","",INDEX($M$8:$M$407,$Q101))</f>
        <v/>
      </c>
      <c r="T101">
        <f>IF($Q101="","",INDEX($L$8:$L$407,$Q101))</f>
        <v/>
      </c>
      <c r="U101">
        <f>IF($Q101="","",INDEX($K$8:$K$407,$Q101))</f>
        <v/>
      </c>
      <c r="V101">
        <f>IF($Q101="",0,IF($S101&lt;&gt;$S100,1,0))</f>
        <v/>
      </c>
      <c r="W101">
        <f>IF($Q101="",0,IF($T101&lt;&gt;$T100,1,0))</f>
        <v/>
      </c>
      <c r="X101">
        <f>IF($Q101="",99999+94,$X100+1+$V100+$W100)</f>
        <v/>
      </c>
      <c r="Y101">
        <f>IF($Q101="","",INDEX(บันทึกรายเที่ยว!$Q$6:$Q$6005,$R101))</f>
        <v/>
      </c>
      <c r="Z101">
        <f>IF($Q101="","",INDEX(บันทึกรายเที่ยว!$F$6:$F$6005,$R101))</f>
        <v/>
      </c>
      <c r="AA101">
        <f>IFERROR(MATCH(94,$X$8:$X$407,1),"")</f>
        <v/>
      </c>
      <c r="AB101">
        <f>IF(94=$AD$1+1,"G",IF($AA101="","",IF(INDEX($Q$8:$Q$407,$AA101)="","",IF(94&gt;INDEX($X$8:$X$407,$AA101)+INDEX($V$8:$V$407,$AA101)+INDEX($W$8:$W$407,$AA101),"",IF(94=INDEX($X$8:$X$407,$AA101)+INDEX($V$8:$V$407,$AA101)+INDEX($W$8:$W$407,$AA101),"D",IF(AND(INDEX($W$8:$W$407,$AA101)=1,94=INDEX($X$8:$X$407,$AA101)+INDEX($V$8:$V$407,$AA101)),"S","R"))))))</f>
        <v/>
      </c>
      <c r="AC101">
        <f>IF(OR($AB101="",$AB101="G"),"",IF($AB101="D",INDEX($U$8:$U$407,$AA101),IF($AB101="S",INDEX($T$8:$T$407,$AA101)&amp;"|*",INDEX($S$8:$S$407,$AA101)&amp;"|*")))</f>
        <v/>
      </c>
      <c r="AE101">
        <f>IF($U101="",0,COUNTIF(บันทึกรายเที่ยว!$T$6:$T$6005,$U101))</f>
        <v/>
      </c>
      <c r="AF101">
        <f>IF($U101="",0,ROUND(SUMIF(บันทึกรายเที่ยว!$T$6:$T$6005,$U101,บันทึกรายเที่ยว!$J$6:$J$6005),2))</f>
        <v/>
      </c>
      <c r="AG101">
        <f>IF($U101="",0,ROUND(SUMIF(บันทึกรายเที่ยว!$T$6:$T$6005,$U101,บันทึกรายเที่ยว!$K$6:$K$6005),2))</f>
        <v/>
      </c>
      <c r="AH101">
        <f>IF($U101="",0,ROUND(SUMIF(บันทึกรายเที่ยว!$T$6:$T$6005,$U101,บันทึกรายเที่ยว!$M$6:$M$6005),2))</f>
        <v/>
      </c>
    </row>
    <row r="102" ht="21" customHeight="1" s="66">
      <c r="A102" s="3">
        <f>IF($AB102="G","ผลรวมทั้งหมด",IF($AB102="R",INDEX($S$8:$S$407,$AA102),""))</f>
        <v/>
      </c>
      <c r="B102" s="3">
        <f>IF($AB102="S",INDEX($Y$8:$Y$407,$AA102),"")</f>
        <v/>
      </c>
      <c r="C102" s="68">
        <f>IF($AB102="D",INDEX($Z$8:$Z$407,$AA102),"")</f>
        <v/>
      </c>
      <c r="D102" s="31">
        <f>IF($AB102="G",SUM($AE$8:$AE$407),IF(OR($AB102="",$AB102="R"),"",IF($AB102="D",INDEX($AE$8:$AE$407,$AA102),SUMIF($T$8:$T$407,INDEX($T$8:$T$407,$AA102),$AE$8:$AE$407))))</f>
        <v/>
      </c>
      <c r="E102" s="32">
        <f>IF(95=$AD$1+3,"ขอแสดงความนับถือ",IF(95=$AD$1+6,"(                 )",IF(95=$AD$1+7,"เจ้าหน้าที่ขนส่ง",IF($AB102="G",SUM($AF$8:$AF$407),IF(OR($AB102="",$AB102="R"),"",IF($AB102="D",INDEX($AF$8:$AF$407,$AA102),SUMIF($T$8:$T$407,INDEX($T$8:$T$407,$AA102),$AF$8:$AF$407)))))))</f>
        <v/>
      </c>
      <c r="F102" s="32">
        <f>IF($AB102="G",SUM($AG$8:$AG$407),IF(OR($AB102="",$AB102="R"),"",IF($AB102="D",INDEX($AG$8:$AG$407,$AA102),SUMIF($T$8:$T$407,INDEX($T$8:$T$407,$AA102),$AG$8:$AG$407))))</f>
        <v/>
      </c>
      <c r="G102" s="32">
        <f>IF(OR($AB102="",$AB102="R"),"",ROUND($E102-$F102,2))</f>
        <v/>
      </c>
      <c r="H102" s="32">
        <f>IF($AB102="G",SUM($AH$8:$AH$407),IF(OR($AB102="",$AB102="R"),"",IF($AB102="D",INDEX($AH$8:$AH$407,$AA102),SUMIF($T$8:$T$407,INDEX($T$8:$T$407,$AA102),$AH$8:$AH$407))))</f>
        <v/>
      </c>
      <c r="J102">
        <f>IFERROR(MATCH(95,บันทึกรายเที่ยว!$W$6:$W$6005,0),"")</f>
        <v/>
      </c>
      <c r="K102">
        <f>IF($J102="","",INDEX(บันทึกรายเที่ยว!$T$6:$T$6005,$J102))</f>
        <v/>
      </c>
      <c r="L102">
        <f>IF($J102="","",INDEX(บันทึกรายเที่ยว!$S$6:$S$6005,$J102))</f>
        <v/>
      </c>
      <c r="M102">
        <f>IF($J102="","",INDEX(บันทึกรายเที่ยว!$R$6:$R$6005,$J102))</f>
        <v/>
      </c>
      <c r="N102">
        <f>IF($J102="","",MATCH($M102,บันทึกรายเที่ยว!$R$6:$R$6005,0))</f>
        <v/>
      </c>
      <c r="O102">
        <f>IF($J102="","",MATCH($L102,บันทึกรายเที่ยว!$S$6:$S$6005,0))</f>
        <v/>
      </c>
      <c r="P102">
        <f>IF($J102="","",IF(AND(OR($I$3="(ทั้งหมด)",INDEX(บันทึกรายเที่ยว!$C$6:$C$6005,$J102)=$I$3),OR($I$5="(ทั้งหมด)",INDEX(บันทึกรายเที่ยว!$D$6:$D$6005,$J102)=$I$5),OR($I$7="(ทั้งหมด)",INDEX(บันทึกรายเที่ยว!$F$6:$F$6005,$J102)=$I$7)),$N102*10000000+$O102*1000+95,""))</f>
        <v/>
      </c>
      <c r="Q102">
        <f>IFERROR(MATCH(SMALL($P$8:$P$407,95),$P$8:$P$407,0),"")</f>
        <v/>
      </c>
      <c r="R102">
        <f>IF($Q102="","",INDEX($J$8:$J$407,$Q102))</f>
        <v/>
      </c>
      <c r="S102">
        <f>IF($Q102="","",INDEX($M$8:$M$407,$Q102))</f>
        <v/>
      </c>
      <c r="T102">
        <f>IF($Q102="","",INDEX($L$8:$L$407,$Q102))</f>
        <v/>
      </c>
      <c r="U102">
        <f>IF($Q102="","",INDEX($K$8:$K$407,$Q102))</f>
        <v/>
      </c>
      <c r="V102">
        <f>IF($Q102="",0,IF($S102&lt;&gt;$S101,1,0))</f>
        <v/>
      </c>
      <c r="W102">
        <f>IF($Q102="",0,IF($T102&lt;&gt;$T101,1,0))</f>
        <v/>
      </c>
      <c r="X102">
        <f>IF($Q102="",99999+95,$X101+1+$V101+$W101)</f>
        <v/>
      </c>
      <c r="Y102">
        <f>IF($Q102="","",INDEX(บันทึกรายเที่ยว!$Q$6:$Q$6005,$R102))</f>
        <v/>
      </c>
      <c r="Z102">
        <f>IF($Q102="","",INDEX(บันทึกรายเที่ยว!$F$6:$F$6005,$R102))</f>
        <v/>
      </c>
      <c r="AA102">
        <f>IFERROR(MATCH(95,$X$8:$X$407,1),"")</f>
        <v/>
      </c>
      <c r="AB102">
        <f>IF(95=$AD$1+1,"G",IF($AA102="","",IF(INDEX($Q$8:$Q$407,$AA102)="","",IF(95&gt;INDEX($X$8:$X$407,$AA102)+INDEX($V$8:$V$407,$AA102)+INDEX($W$8:$W$407,$AA102),"",IF(95=INDEX($X$8:$X$407,$AA102)+INDEX($V$8:$V$407,$AA102)+INDEX($W$8:$W$407,$AA102),"D",IF(AND(INDEX($W$8:$W$407,$AA102)=1,95=INDEX($X$8:$X$407,$AA102)+INDEX($V$8:$V$407,$AA102)),"S","R"))))))</f>
        <v/>
      </c>
      <c r="AC102">
        <f>IF(OR($AB102="",$AB102="G"),"",IF($AB102="D",INDEX($U$8:$U$407,$AA102),IF($AB102="S",INDEX($T$8:$T$407,$AA102)&amp;"|*",INDEX($S$8:$S$407,$AA102)&amp;"|*")))</f>
        <v/>
      </c>
      <c r="AE102">
        <f>IF($U102="",0,COUNTIF(บันทึกรายเที่ยว!$T$6:$T$6005,$U102))</f>
        <v/>
      </c>
      <c r="AF102">
        <f>IF($U102="",0,ROUND(SUMIF(บันทึกรายเที่ยว!$T$6:$T$6005,$U102,บันทึกรายเที่ยว!$J$6:$J$6005),2))</f>
        <v/>
      </c>
      <c r="AG102">
        <f>IF($U102="",0,ROUND(SUMIF(บันทึกรายเที่ยว!$T$6:$T$6005,$U102,บันทึกรายเที่ยว!$K$6:$K$6005),2))</f>
        <v/>
      </c>
      <c r="AH102">
        <f>IF($U102="",0,ROUND(SUMIF(บันทึกรายเที่ยว!$T$6:$T$6005,$U102,บันทึกรายเที่ยว!$M$6:$M$6005),2))</f>
        <v/>
      </c>
    </row>
    <row r="103" ht="21" customHeight="1" s="66">
      <c r="A103" s="3">
        <f>IF($AB103="G","ผลรวมทั้งหมด",IF($AB103="R",INDEX($S$8:$S$407,$AA103),""))</f>
        <v/>
      </c>
      <c r="B103" s="3">
        <f>IF($AB103="S",INDEX($Y$8:$Y$407,$AA103),"")</f>
        <v/>
      </c>
      <c r="C103" s="68">
        <f>IF($AB103="D",INDEX($Z$8:$Z$407,$AA103),"")</f>
        <v/>
      </c>
      <c r="D103" s="31">
        <f>IF($AB103="G",SUM($AE$8:$AE$407),IF(OR($AB103="",$AB103="R"),"",IF($AB103="D",INDEX($AE$8:$AE$407,$AA103),SUMIF($T$8:$T$407,INDEX($T$8:$T$407,$AA103),$AE$8:$AE$407))))</f>
        <v/>
      </c>
      <c r="E103" s="32">
        <f>IF(96=$AD$1+3,"ขอแสดงความนับถือ",IF(96=$AD$1+6,"(                 )",IF(96=$AD$1+7,"เจ้าหน้าที่ขนส่ง",IF($AB103="G",SUM($AF$8:$AF$407),IF(OR($AB103="",$AB103="R"),"",IF($AB103="D",INDEX($AF$8:$AF$407,$AA103),SUMIF($T$8:$T$407,INDEX($T$8:$T$407,$AA103),$AF$8:$AF$407)))))))</f>
        <v/>
      </c>
      <c r="F103" s="32">
        <f>IF($AB103="G",SUM($AG$8:$AG$407),IF(OR($AB103="",$AB103="R"),"",IF($AB103="D",INDEX($AG$8:$AG$407,$AA103),SUMIF($T$8:$T$407,INDEX($T$8:$T$407,$AA103),$AG$8:$AG$407))))</f>
        <v/>
      </c>
      <c r="G103" s="32">
        <f>IF(OR($AB103="",$AB103="R"),"",ROUND($E103-$F103,2))</f>
        <v/>
      </c>
      <c r="H103" s="32">
        <f>IF($AB103="G",SUM($AH$8:$AH$407),IF(OR($AB103="",$AB103="R"),"",IF($AB103="D",INDEX($AH$8:$AH$407,$AA103),SUMIF($T$8:$T$407,INDEX($T$8:$T$407,$AA103),$AH$8:$AH$407))))</f>
        <v/>
      </c>
      <c r="J103">
        <f>IFERROR(MATCH(96,บันทึกรายเที่ยว!$W$6:$W$6005,0),"")</f>
        <v/>
      </c>
      <c r="K103">
        <f>IF($J103="","",INDEX(บันทึกรายเที่ยว!$T$6:$T$6005,$J103))</f>
        <v/>
      </c>
      <c r="L103">
        <f>IF($J103="","",INDEX(บันทึกรายเที่ยว!$S$6:$S$6005,$J103))</f>
        <v/>
      </c>
      <c r="M103">
        <f>IF($J103="","",INDEX(บันทึกรายเที่ยว!$R$6:$R$6005,$J103))</f>
        <v/>
      </c>
      <c r="N103">
        <f>IF($J103="","",MATCH($M103,บันทึกรายเที่ยว!$R$6:$R$6005,0))</f>
        <v/>
      </c>
      <c r="O103">
        <f>IF($J103="","",MATCH($L103,บันทึกรายเที่ยว!$S$6:$S$6005,0))</f>
        <v/>
      </c>
      <c r="P103">
        <f>IF($J103="","",IF(AND(OR($I$3="(ทั้งหมด)",INDEX(บันทึกรายเที่ยว!$C$6:$C$6005,$J103)=$I$3),OR($I$5="(ทั้งหมด)",INDEX(บันทึกรายเที่ยว!$D$6:$D$6005,$J103)=$I$5),OR($I$7="(ทั้งหมด)",INDEX(บันทึกรายเที่ยว!$F$6:$F$6005,$J103)=$I$7)),$N103*10000000+$O103*1000+96,""))</f>
        <v/>
      </c>
      <c r="Q103">
        <f>IFERROR(MATCH(SMALL($P$8:$P$407,96),$P$8:$P$407,0),"")</f>
        <v/>
      </c>
      <c r="R103">
        <f>IF($Q103="","",INDEX($J$8:$J$407,$Q103))</f>
        <v/>
      </c>
      <c r="S103">
        <f>IF($Q103="","",INDEX($M$8:$M$407,$Q103))</f>
        <v/>
      </c>
      <c r="T103">
        <f>IF($Q103="","",INDEX($L$8:$L$407,$Q103))</f>
        <v/>
      </c>
      <c r="U103">
        <f>IF($Q103="","",INDEX($K$8:$K$407,$Q103))</f>
        <v/>
      </c>
      <c r="V103">
        <f>IF($Q103="",0,IF($S103&lt;&gt;$S102,1,0))</f>
        <v/>
      </c>
      <c r="W103">
        <f>IF($Q103="",0,IF($T103&lt;&gt;$T102,1,0))</f>
        <v/>
      </c>
      <c r="X103">
        <f>IF($Q103="",99999+96,$X102+1+$V102+$W102)</f>
        <v/>
      </c>
      <c r="Y103">
        <f>IF($Q103="","",INDEX(บันทึกรายเที่ยว!$Q$6:$Q$6005,$R103))</f>
        <v/>
      </c>
      <c r="Z103">
        <f>IF($Q103="","",INDEX(บันทึกรายเที่ยว!$F$6:$F$6005,$R103))</f>
        <v/>
      </c>
      <c r="AA103">
        <f>IFERROR(MATCH(96,$X$8:$X$407,1),"")</f>
        <v/>
      </c>
      <c r="AB103">
        <f>IF(96=$AD$1+1,"G",IF($AA103="","",IF(INDEX($Q$8:$Q$407,$AA103)="","",IF(96&gt;INDEX($X$8:$X$407,$AA103)+INDEX($V$8:$V$407,$AA103)+INDEX($W$8:$W$407,$AA103),"",IF(96=INDEX($X$8:$X$407,$AA103)+INDEX($V$8:$V$407,$AA103)+INDEX($W$8:$W$407,$AA103),"D",IF(AND(INDEX($W$8:$W$407,$AA103)=1,96=INDEX($X$8:$X$407,$AA103)+INDEX($V$8:$V$407,$AA103)),"S","R"))))))</f>
        <v/>
      </c>
      <c r="AC103">
        <f>IF(OR($AB103="",$AB103="G"),"",IF($AB103="D",INDEX($U$8:$U$407,$AA103),IF($AB103="S",INDEX($T$8:$T$407,$AA103)&amp;"|*",INDEX($S$8:$S$407,$AA103)&amp;"|*")))</f>
        <v/>
      </c>
      <c r="AE103">
        <f>IF($U103="",0,COUNTIF(บันทึกรายเที่ยว!$T$6:$T$6005,$U103))</f>
        <v/>
      </c>
      <c r="AF103">
        <f>IF($U103="",0,ROUND(SUMIF(บันทึกรายเที่ยว!$T$6:$T$6005,$U103,บันทึกรายเที่ยว!$J$6:$J$6005),2))</f>
        <v/>
      </c>
      <c r="AG103">
        <f>IF($U103="",0,ROUND(SUMIF(บันทึกรายเที่ยว!$T$6:$T$6005,$U103,บันทึกรายเที่ยว!$K$6:$K$6005),2))</f>
        <v/>
      </c>
      <c r="AH103">
        <f>IF($U103="",0,ROUND(SUMIF(บันทึกรายเที่ยว!$T$6:$T$6005,$U103,บันทึกรายเที่ยว!$M$6:$M$6005),2))</f>
        <v/>
      </c>
    </row>
    <row r="104" ht="21" customHeight="1" s="66">
      <c r="A104" s="3">
        <f>IF($AB104="G","ผลรวมทั้งหมด",IF($AB104="R",INDEX($S$8:$S$407,$AA104),""))</f>
        <v/>
      </c>
      <c r="B104" s="3">
        <f>IF($AB104="S",INDEX($Y$8:$Y$407,$AA104),"")</f>
        <v/>
      </c>
      <c r="C104" s="68">
        <f>IF($AB104="D",INDEX($Z$8:$Z$407,$AA104),"")</f>
        <v/>
      </c>
      <c r="D104" s="31">
        <f>IF($AB104="G",SUM($AE$8:$AE$407),IF(OR($AB104="",$AB104="R"),"",IF($AB104="D",INDEX($AE$8:$AE$407,$AA104),SUMIF($T$8:$T$407,INDEX($T$8:$T$407,$AA104),$AE$8:$AE$407))))</f>
        <v/>
      </c>
      <c r="E104" s="32">
        <f>IF(97=$AD$1+3,"ขอแสดงความนับถือ",IF(97=$AD$1+6,"(                 )",IF(97=$AD$1+7,"เจ้าหน้าที่ขนส่ง",IF($AB104="G",SUM($AF$8:$AF$407),IF(OR($AB104="",$AB104="R"),"",IF($AB104="D",INDEX($AF$8:$AF$407,$AA104),SUMIF($T$8:$T$407,INDEX($T$8:$T$407,$AA104),$AF$8:$AF$407)))))))</f>
        <v/>
      </c>
      <c r="F104" s="32">
        <f>IF($AB104="G",SUM($AG$8:$AG$407),IF(OR($AB104="",$AB104="R"),"",IF($AB104="D",INDEX($AG$8:$AG$407,$AA104),SUMIF($T$8:$T$407,INDEX($T$8:$T$407,$AA104),$AG$8:$AG$407))))</f>
        <v/>
      </c>
      <c r="G104" s="32">
        <f>IF(OR($AB104="",$AB104="R"),"",ROUND($E104-$F104,2))</f>
        <v/>
      </c>
      <c r="H104" s="32">
        <f>IF($AB104="G",SUM($AH$8:$AH$407),IF(OR($AB104="",$AB104="R"),"",IF($AB104="D",INDEX($AH$8:$AH$407,$AA104),SUMIF($T$8:$T$407,INDEX($T$8:$T$407,$AA104),$AH$8:$AH$407))))</f>
        <v/>
      </c>
      <c r="J104">
        <f>IFERROR(MATCH(97,บันทึกรายเที่ยว!$W$6:$W$6005,0),"")</f>
        <v/>
      </c>
      <c r="K104">
        <f>IF($J104="","",INDEX(บันทึกรายเที่ยว!$T$6:$T$6005,$J104))</f>
        <v/>
      </c>
      <c r="L104">
        <f>IF($J104="","",INDEX(บันทึกรายเที่ยว!$S$6:$S$6005,$J104))</f>
        <v/>
      </c>
      <c r="M104">
        <f>IF($J104="","",INDEX(บันทึกรายเที่ยว!$R$6:$R$6005,$J104))</f>
        <v/>
      </c>
      <c r="N104">
        <f>IF($J104="","",MATCH($M104,บันทึกรายเที่ยว!$R$6:$R$6005,0))</f>
        <v/>
      </c>
      <c r="O104">
        <f>IF($J104="","",MATCH($L104,บันทึกรายเที่ยว!$S$6:$S$6005,0))</f>
        <v/>
      </c>
      <c r="P104">
        <f>IF($J104="","",IF(AND(OR($I$3="(ทั้งหมด)",INDEX(บันทึกรายเที่ยว!$C$6:$C$6005,$J104)=$I$3),OR($I$5="(ทั้งหมด)",INDEX(บันทึกรายเที่ยว!$D$6:$D$6005,$J104)=$I$5),OR($I$7="(ทั้งหมด)",INDEX(บันทึกรายเที่ยว!$F$6:$F$6005,$J104)=$I$7)),$N104*10000000+$O104*1000+97,""))</f>
        <v/>
      </c>
      <c r="Q104">
        <f>IFERROR(MATCH(SMALL($P$8:$P$407,97),$P$8:$P$407,0),"")</f>
        <v/>
      </c>
      <c r="R104">
        <f>IF($Q104="","",INDEX($J$8:$J$407,$Q104))</f>
        <v/>
      </c>
      <c r="S104">
        <f>IF($Q104="","",INDEX($M$8:$M$407,$Q104))</f>
        <v/>
      </c>
      <c r="T104">
        <f>IF($Q104="","",INDEX($L$8:$L$407,$Q104))</f>
        <v/>
      </c>
      <c r="U104">
        <f>IF($Q104="","",INDEX($K$8:$K$407,$Q104))</f>
        <v/>
      </c>
      <c r="V104">
        <f>IF($Q104="",0,IF($S104&lt;&gt;$S103,1,0))</f>
        <v/>
      </c>
      <c r="W104">
        <f>IF($Q104="",0,IF($T104&lt;&gt;$T103,1,0))</f>
        <v/>
      </c>
      <c r="X104">
        <f>IF($Q104="",99999+97,$X103+1+$V103+$W103)</f>
        <v/>
      </c>
      <c r="Y104">
        <f>IF($Q104="","",INDEX(บันทึกรายเที่ยว!$Q$6:$Q$6005,$R104))</f>
        <v/>
      </c>
      <c r="Z104">
        <f>IF($Q104="","",INDEX(บันทึกรายเที่ยว!$F$6:$F$6005,$R104))</f>
        <v/>
      </c>
      <c r="AA104">
        <f>IFERROR(MATCH(97,$X$8:$X$407,1),"")</f>
        <v/>
      </c>
      <c r="AB104">
        <f>IF(97=$AD$1+1,"G",IF($AA104="","",IF(INDEX($Q$8:$Q$407,$AA104)="","",IF(97&gt;INDEX($X$8:$X$407,$AA104)+INDEX($V$8:$V$407,$AA104)+INDEX($W$8:$W$407,$AA104),"",IF(97=INDEX($X$8:$X$407,$AA104)+INDEX($V$8:$V$407,$AA104)+INDEX($W$8:$W$407,$AA104),"D",IF(AND(INDEX($W$8:$W$407,$AA104)=1,97=INDEX($X$8:$X$407,$AA104)+INDEX($V$8:$V$407,$AA104)),"S","R"))))))</f>
        <v/>
      </c>
      <c r="AC104">
        <f>IF(OR($AB104="",$AB104="G"),"",IF($AB104="D",INDEX($U$8:$U$407,$AA104),IF($AB104="S",INDEX($T$8:$T$407,$AA104)&amp;"|*",INDEX($S$8:$S$407,$AA104)&amp;"|*")))</f>
        <v/>
      </c>
      <c r="AE104">
        <f>IF($U104="",0,COUNTIF(บันทึกรายเที่ยว!$T$6:$T$6005,$U104))</f>
        <v/>
      </c>
      <c r="AF104">
        <f>IF($U104="",0,ROUND(SUMIF(บันทึกรายเที่ยว!$T$6:$T$6005,$U104,บันทึกรายเที่ยว!$J$6:$J$6005),2))</f>
        <v/>
      </c>
      <c r="AG104">
        <f>IF($U104="",0,ROUND(SUMIF(บันทึกรายเที่ยว!$T$6:$T$6005,$U104,บันทึกรายเที่ยว!$K$6:$K$6005),2))</f>
        <v/>
      </c>
      <c r="AH104">
        <f>IF($U104="",0,ROUND(SUMIF(บันทึกรายเที่ยว!$T$6:$T$6005,$U104,บันทึกรายเที่ยว!$M$6:$M$6005),2))</f>
        <v/>
      </c>
    </row>
    <row r="105" ht="21" customHeight="1" s="66">
      <c r="A105" s="3">
        <f>IF($AB105="G","ผลรวมทั้งหมด",IF($AB105="R",INDEX($S$8:$S$407,$AA105),""))</f>
        <v/>
      </c>
      <c r="B105" s="3">
        <f>IF($AB105="S",INDEX($Y$8:$Y$407,$AA105),"")</f>
        <v/>
      </c>
      <c r="C105" s="68">
        <f>IF($AB105="D",INDEX($Z$8:$Z$407,$AA105),"")</f>
        <v/>
      </c>
      <c r="D105" s="31">
        <f>IF($AB105="G",SUM($AE$8:$AE$407),IF(OR($AB105="",$AB105="R"),"",IF($AB105="D",INDEX($AE$8:$AE$407,$AA105),SUMIF($T$8:$T$407,INDEX($T$8:$T$407,$AA105),$AE$8:$AE$407))))</f>
        <v/>
      </c>
      <c r="E105" s="32">
        <f>IF(98=$AD$1+3,"ขอแสดงความนับถือ",IF(98=$AD$1+6,"(                 )",IF(98=$AD$1+7,"เจ้าหน้าที่ขนส่ง",IF($AB105="G",SUM($AF$8:$AF$407),IF(OR($AB105="",$AB105="R"),"",IF($AB105="D",INDEX($AF$8:$AF$407,$AA105),SUMIF($T$8:$T$407,INDEX($T$8:$T$407,$AA105),$AF$8:$AF$407)))))))</f>
        <v/>
      </c>
      <c r="F105" s="32">
        <f>IF($AB105="G",SUM($AG$8:$AG$407),IF(OR($AB105="",$AB105="R"),"",IF($AB105="D",INDEX($AG$8:$AG$407,$AA105),SUMIF($T$8:$T$407,INDEX($T$8:$T$407,$AA105),$AG$8:$AG$407))))</f>
        <v/>
      </c>
      <c r="G105" s="32">
        <f>IF(OR($AB105="",$AB105="R"),"",ROUND($E105-$F105,2))</f>
        <v/>
      </c>
      <c r="H105" s="32">
        <f>IF($AB105="G",SUM($AH$8:$AH$407),IF(OR($AB105="",$AB105="R"),"",IF($AB105="D",INDEX($AH$8:$AH$407,$AA105),SUMIF($T$8:$T$407,INDEX($T$8:$T$407,$AA105),$AH$8:$AH$407))))</f>
        <v/>
      </c>
      <c r="J105">
        <f>IFERROR(MATCH(98,บันทึกรายเที่ยว!$W$6:$W$6005,0),"")</f>
        <v/>
      </c>
      <c r="K105">
        <f>IF($J105="","",INDEX(บันทึกรายเที่ยว!$T$6:$T$6005,$J105))</f>
        <v/>
      </c>
      <c r="L105">
        <f>IF($J105="","",INDEX(บันทึกรายเที่ยว!$S$6:$S$6005,$J105))</f>
        <v/>
      </c>
      <c r="M105">
        <f>IF($J105="","",INDEX(บันทึกรายเที่ยว!$R$6:$R$6005,$J105))</f>
        <v/>
      </c>
      <c r="N105">
        <f>IF($J105="","",MATCH($M105,บันทึกรายเที่ยว!$R$6:$R$6005,0))</f>
        <v/>
      </c>
      <c r="O105">
        <f>IF($J105="","",MATCH($L105,บันทึกรายเที่ยว!$S$6:$S$6005,0))</f>
        <v/>
      </c>
      <c r="P105">
        <f>IF($J105="","",IF(AND(OR($I$3="(ทั้งหมด)",INDEX(บันทึกรายเที่ยว!$C$6:$C$6005,$J105)=$I$3),OR($I$5="(ทั้งหมด)",INDEX(บันทึกรายเที่ยว!$D$6:$D$6005,$J105)=$I$5),OR($I$7="(ทั้งหมด)",INDEX(บันทึกรายเที่ยว!$F$6:$F$6005,$J105)=$I$7)),$N105*10000000+$O105*1000+98,""))</f>
        <v/>
      </c>
      <c r="Q105">
        <f>IFERROR(MATCH(SMALL($P$8:$P$407,98),$P$8:$P$407,0),"")</f>
        <v/>
      </c>
      <c r="R105">
        <f>IF($Q105="","",INDEX($J$8:$J$407,$Q105))</f>
        <v/>
      </c>
      <c r="S105">
        <f>IF($Q105="","",INDEX($M$8:$M$407,$Q105))</f>
        <v/>
      </c>
      <c r="T105">
        <f>IF($Q105="","",INDEX($L$8:$L$407,$Q105))</f>
        <v/>
      </c>
      <c r="U105">
        <f>IF($Q105="","",INDEX($K$8:$K$407,$Q105))</f>
        <v/>
      </c>
      <c r="V105">
        <f>IF($Q105="",0,IF($S105&lt;&gt;$S104,1,0))</f>
        <v/>
      </c>
      <c r="W105">
        <f>IF($Q105="",0,IF($T105&lt;&gt;$T104,1,0))</f>
        <v/>
      </c>
      <c r="X105">
        <f>IF($Q105="",99999+98,$X104+1+$V104+$W104)</f>
        <v/>
      </c>
      <c r="Y105">
        <f>IF($Q105="","",INDEX(บันทึกรายเที่ยว!$Q$6:$Q$6005,$R105))</f>
        <v/>
      </c>
      <c r="Z105">
        <f>IF($Q105="","",INDEX(บันทึกรายเที่ยว!$F$6:$F$6005,$R105))</f>
        <v/>
      </c>
      <c r="AA105">
        <f>IFERROR(MATCH(98,$X$8:$X$407,1),"")</f>
        <v/>
      </c>
      <c r="AB105">
        <f>IF(98=$AD$1+1,"G",IF($AA105="","",IF(INDEX($Q$8:$Q$407,$AA105)="","",IF(98&gt;INDEX($X$8:$X$407,$AA105)+INDEX($V$8:$V$407,$AA105)+INDEX($W$8:$W$407,$AA105),"",IF(98=INDEX($X$8:$X$407,$AA105)+INDEX($V$8:$V$407,$AA105)+INDEX($W$8:$W$407,$AA105),"D",IF(AND(INDEX($W$8:$W$407,$AA105)=1,98=INDEX($X$8:$X$407,$AA105)+INDEX($V$8:$V$407,$AA105)),"S","R"))))))</f>
        <v/>
      </c>
      <c r="AC105">
        <f>IF(OR($AB105="",$AB105="G"),"",IF($AB105="D",INDEX($U$8:$U$407,$AA105),IF($AB105="S",INDEX($T$8:$T$407,$AA105)&amp;"|*",INDEX($S$8:$S$407,$AA105)&amp;"|*")))</f>
        <v/>
      </c>
      <c r="AE105">
        <f>IF($U105="",0,COUNTIF(บันทึกรายเที่ยว!$T$6:$T$6005,$U105))</f>
        <v/>
      </c>
      <c r="AF105">
        <f>IF($U105="",0,ROUND(SUMIF(บันทึกรายเที่ยว!$T$6:$T$6005,$U105,บันทึกรายเที่ยว!$J$6:$J$6005),2))</f>
        <v/>
      </c>
      <c r="AG105">
        <f>IF($U105="",0,ROUND(SUMIF(บันทึกรายเที่ยว!$T$6:$T$6005,$U105,บันทึกรายเที่ยว!$K$6:$K$6005),2))</f>
        <v/>
      </c>
      <c r="AH105">
        <f>IF($U105="",0,ROUND(SUMIF(บันทึกรายเที่ยว!$T$6:$T$6005,$U105,บันทึกรายเที่ยว!$M$6:$M$6005),2))</f>
        <v/>
      </c>
    </row>
    <row r="106" ht="21" customHeight="1" s="66">
      <c r="A106" s="3">
        <f>IF($AB106="G","ผลรวมทั้งหมด",IF($AB106="R",INDEX($S$8:$S$407,$AA106),""))</f>
        <v/>
      </c>
      <c r="B106" s="3">
        <f>IF($AB106="S",INDEX($Y$8:$Y$407,$AA106),"")</f>
        <v/>
      </c>
      <c r="C106" s="68">
        <f>IF($AB106="D",INDEX($Z$8:$Z$407,$AA106),"")</f>
        <v/>
      </c>
      <c r="D106" s="31">
        <f>IF($AB106="G",SUM($AE$8:$AE$407),IF(OR($AB106="",$AB106="R"),"",IF($AB106="D",INDEX($AE$8:$AE$407,$AA106),SUMIF($T$8:$T$407,INDEX($T$8:$T$407,$AA106),$AE$8:$AE$407))))</f>
        <v/>
      </c>
      <c r="E106" s="32">
        <f>IF(99=$AD$1+3,"ขอแสดงความนับถือ",IF(99=$AD$1+6,"(                 )",IF(99=$AD$1+7,"เจ้าหน้าที่ขนส่ง",IF($AB106="G",SUM($AF$8:$AF$407),IF(OR($AB106="",$AB106="R"),"",IF($AB106="D",INDEX($AF$8:$AF$407,$AA106),SUMIF($T$8:$T$407,INDEX($T$8:$T$407,$AA106),$AF$8:$AF$407)))))))</f>
        <v/>
      </c>
      <c r="F106" s="32">
        <f>IF($AB106="G",SUM($AG$8:$AG$407),IF(OR($AB106="",$AB106="R"),"",IF($AB106="D",INDEX($AG$8:$AG$407,$AA106),SUMIF($T$8:$T$407,INDEX($T$8:$T$407,$AA106),$AG$8:$AG$407))))</f>
        <v/>
      </c>
      <c r="G106" s="32">
        <f>IF(OR($AB106="",$AB106="R"),"",ROUND($E106-$F106,2))</f>
        <v/>
      </c>
      <c r="H106" s="32">
        <f>IF($AB106="G",SUM($AH$8:$AH$407),IF(OR($AB106="",$AB106="R"),"",IF($AB106="D",INDEX($AH$8:$AH$407,$AA106),SUMIF($T$8:$T$407,INDEX($T$8:$T$407,$AA106),$AH$8:$AH$407))))</f>
        <v/>
      </c>
      <c r="J106">
        <f>IFERROR(MATCH(99,บันทึกรายเที่ยว!$W$6:$W$6005,0),"")</f>
        <v/>
      </c>
      <c r="K106">
        <f>IF($J106="","",INDEX(บันทึกรายเที่ยว!$T$6:$T$6005,$J106))</f>
        <v/>
      </c>
      <c r="L106">
        <f>IF($J106="","",INDEX(บันทึกรายเที่ยว!$S$6:$S$6005,$J106))</f>
        <v/>
      </c>
      <c r="M106">
        <f>IF($J106="","",INDEX(บันทึกรายเที่ยว!$R$6:$R$6005,$J106))</f>
        <v/>
      </c>
      <c r="N106">
        <f>IF($J106="","",MATCH($M106,บันทึกรายเที่ยว!$R$6:$R$6005,0))</f>
        <v/>
      </c>
      <c r="O106">
        <f>IF($J106="","",MATCH($L106,บันทึกรายเที่ยว!$S$6:$S$6005,0))</f>
        <v/>
      </c>
      <c r="P106">
        <f>IF($J106="","",IF(AND(OR($I$3="(ทั้งหมด)",INDEX(บันทึกรายเที่ยว!$C$6:$C$6005,$J106)=$I$3),OR($I$5="(ทั้งหมด)",INDEX(บันทึกรายเที่ยว!$D$6:$D$6005,$J106)=$I$5),OR($I$7="(ทั้งหมด)",INDEX(บันทึกรายเที่ยว!$F$6:$F$6005,$J106)=$I$7)),$N106*10000000+$O106*1000+99,""))</f>
        <v/>
      </c>
      <c r="Q106">
        <f>IFERROR(MATCH(SMALL($P$8:$P$407,99),$P$8:$P$407,0),"")</f>
        <v/>
      </c>
      <c r="R106">
        <f>IF($Q106="","",INDEX($J$8:$J$407,$Q106))</f>
        <v/>
      </c>
      <c r="S106">
        <f>IF($Q106="","",INDEX($M$8:$M$407,$Q106))</f>
        <v/>
      </c>
      <c r="T106">
        <f>IF($Q106="","",INDEX($L$8:$L$407,$Q106))</f>
        <v/>
      </c>
      <c r="U106">
        <f>IF($Q106="","",INDEX($K$8:$K$407,$Q106))</f>
        <v/>
      </c>
      <c r="V106">
        <f>IF($Q106="",0,IF($S106&lt;&gt;$S105,1,0))</f>
        <v/>
      </c>
      <c r="W106">
        <f>IF($Q106="",0,IF($T106&lt;&gt;$T105,1,0))</f>
        <v/>
      </c>
      <c r="X106">
        <f>IF($Q106="",99999+99,$X105+1+$V105+$W105)</f>
        <v/>
      </c>
      <c r="Y106">
        <f>IF($Q106="","",INDEX(บันทึกรายเที่ยว!$Q$6:$Q$6005,$R106))</f>
        <v/>
      </c>
      <c r="Z106">
        <f>IF($Q106="","",INDEX(บันทึกรายเที่ยว!$F$6:$F$6005,$R106))</f>
        <v/>
      </c>
      <c r="AA106">
        <f>IFERROR(MATCH(99,$X$8:$X$407,1),"")</f>
        <v/>
      </c>
      <c r="AB106">
        <f>IF(99=$AD$1+1,"G",IF($AA106="","",IF(INDEX($Q$8:$Q$407,$AA106)="","",IF(99&gt;INDEX($X$8:$X$407,$AA106)+INDEX($V$8:$V$407,$AA106)+INDEX($W$8:$W$407,$AA106),"",IF(99=INDEX($X$8:$X$407,$AA106)+INDEX($V$8:$V$407,$AA106)+INDEX($W$8:$W$407,$AA106),"D",IF(AND(INDEX($W$8:$W$407,$AA106)=1,99=INDEX($X$8:$X$407,$AA106)+INDEX($V$8:$V$407,$AA106)),"S","R"))))))</f>
        <v/>
      </c>
      <c r="AC106">
        <f>IF(OR($AB106="",$AB106="G"),"",IF($AB106="D",INDEX($U$8:$U$407,$AA106),IF($AB106="S",INDEX($T$8:$T$407,$AA106)&amp;"|*",INDEX($S$8:$S$407,$AA106)&amp;"|*")))</f>
        <v/>
      </c>
      <c r="AE106">
        <f>IF($U106="",0,COUNTIF(บันทึกรายเที่ยว!$T$6:$T$6005,$U106))</f>
        <v/>
      </c>
      <c r="AF106">
        <f>IF($U106="",0,ROUND(SUMIF(บันทึกรายเที่ยว!$T$6:$T$6005,$U106,บันทึกรายเที่ยว!$J$6:$J$6005),2))</f>
        <v/>
      </c>
      <c r="AG106">
        <f>IF($U106="",0,ROUND(SUMIF(บันทึกรายเที่ยว!$T$6:$T$6005,$U106,บันทึกรายเที่ยว!$K$6:$K$6005),2))</f>
        <v/>
      </c>
      <c r="AH106">
        <f>IF($U106="",0,ROUND(SUMIF(บันทึกรายเที่ยว!$T$6:$T$6005,$U106,บันทึกรายเที่ยว!$M$6:$M$6005),2))</f>
        <v/>
      </c>
    </row>
    <row r="107" ht="21" customHeight="1" s="66">
      <c r="A107" s="3">
        <f>IF($AB107="G","ผลรวมทั้งหมด",IF($AB107="R",INDEX($S$8:$S$407,$AA107),""))</f>
        <v/>
      </c>
      <c r="B107" s="3">
        <f>IF($AB107="S",INDEX($Y$8:$Y$407,$AA107),"")</f>
        <v/>
      </c>
      <c r="C107" s="68">
        <f>IF($AB107="D",INDEX($Z$8:$Z$407,$AA107),"")</f>
        <v/>
      </c>
      <c r="D107" s="31">
        <f>IF($AB107="G",SUM($AE$8:$AE$407),IF(OR($AB107="",$AB107="R"),"",IF($AB107="D",INDEX($AE$8:$AE$407,$AA107),SUMIF($T$8:$T$407,INDEX($T$8:$T$407,$AA107),$AE$8:$AE$407))))</f>
        <v/>
      </c>
      <c r="E107" s="32">
        <f>IF(100=$AD$1+3,"ขอแสดงความนับถือ",IF(100=$AD$1+6,"(                 )",IF(100=$AD$1+7,"เจ้าหน้าที่ขนส่ง",IF($AB107="G",SUM($AF$8:$AF$407),IF(OR($AB107="",$AB107="R"),"",IF($AB107="D",INDEX($AF$8:$AF$407,$AA107),SUMIF($T$8:$T$407,INDEX($T$8:$T$407,$AA107),$AF$8:$AF$407)))))))</f>
        <v/>
      </c>
      <c r="F107" s="32">
        <f>IF($AB107="G",SUM($AG$8:$AG$407),IF(OR($AB107="",$AB107="R"),"",IF($AB107="D",INDEX($AG$8:$AG$407,$AA107),SUMIF($T$8:$T$407,INDEX($T$8:$T$407,$AA107),$AG$8:$AG$407))))</f>
        <v/>
      </c>
      <c r="G107" s="32">
        <f>IF(OR($AB107="",$AB107="R"),"",ROUND($E107-$F107,2))</f>
        <v/>
      </c>
      <c r="H107" s="32">
        <f>IF($AB107="G",SUM($AH$8:$AH$407),IF(OR($AB107="",$AB107="R"),"",IF($AB107="D",INDEX($AH$8:$AH$407,$AA107),SUMIF($T$8:$T$407,INDEX($T$8:$T$407,$AA107),$AH$8:$AH$407))))</f>
        <v/>
      </c>
      <c r="J107">
        <f>IFERROR(MATCH(100,บันทึกรายเที่ยว!$W$6:$W$6005,0),"")</f>
        <v/>
      </c>
      <c r="K107">
        <f>IF($J107="","",INDEX(บันทึกรายเที่ยว!$T$6:$T$6005,$J107))</f>
        <v/>
      </c>
      <c r="L107">
        <f>IF($J107="","",INDEX(บันทึกรายเที่ยว!$S$6:$S$6005,$J107))</f>
        <v/>
      </c>
      <c r="M107">
        <f>IF($J107="","",INDEX(บันทึกรายเที่ยว!$R$6:$R$6005,$J107))</f>
        <v/>
      </c>
      <c r="N107">
        <f>IF($J107="","",MATCH($M107,บันทึกรายเที่ยว!$R$6:$R$6005,0))</f>
        <v/>
      </c>
      <c r="O107">
        <f>IF($J107="","",MATCH($L107,บันทึกรายเที่ยว!$S$6:$S$6005,0))</f>
        <v/>
      </c>
      <c r="P107">
        <f>IF($J107="","",IF(AND(OR($I$3="(ทั้งหมด)",INDEX(บันทึกรายเที่ยว!$C$6:$C$6005,$J107)=$I$3),OR($I$5="(ทั้งหมด)",INDEX(บันทึกรายเที่ยว!$D$6:$D$6005,$J107)=$I$5),OR($I$7="(ทั้งหมด)",INDEX(บันทึกรายเที่ยว!$F$6:$F$6005,$J107)=$I$7)),$N107*10000000+$O107*1000+100,""))</f>
        <v/>
      </c>
      <c r="Q107">
        <f>IFERROR(MATCH(SMALL($P$8:$P$407,100),$P$8:$P$407,0),"")</f>
        <v/>
      </c>
      <c r="R107">
        <f>IF($Q107="","",INDEX($J$8:$J$407,$Q107))</f>
        <v/>
      </c>
      <c r="S107">
        <f>IF($Q107="","",INDEX($M$8:$M$407,$Q107))</f>
        <v/>
      </c>
      <c r="T107">
        <f>IF($Q107="","",INDEX($L$8:$L$407,$Q107))</f>
        <v/>
      </c>
      <c r="U107">
        <f>IF($Q107="","",INDEX($K$8:$K$407,$Q107))</f>
        <v/>
      </c>
      <c r="V107">
        <f>IF($Q107="",0,IF($S107&lt;&gt;$S106,1,0))</f>
        <v/>
      </c>
      <c r="W107">
        <f>IF($Q107="",0,IF($T107&lt;&gt;$T106,1,0))</f>
        <v/>
      </c>
      <c r="X107">
        <f>IF($Q107="",99999+100,$X106+1+$V106+$W106)</f>
        <v/>
      </c>
      <c r="Y107">
        <f>IF($Q107="","",INDEX(บันทึกรายเที่ยว!$Q$6:$Q$6005,$R107))</f>
        <v/>
      </c>
      <c r="Z107">
        <f>IF($Q107="","",INDEX(บันทึกรายเที่ยว!$F$6:$F$6005,$R107))</f>
        <v/>
      </c>
      <c r="AA107">
        <f>IFERROR(MATCH(100,$X$8:$X$407,1),"")</f>
        <v/>
      </c>
      <c r="AB107">
        <f>IF(100=$AD$1+1,"G",IF($AA107="","",IF(INDEX($Q$8:$Q$407,$AA107)="","",IF(100&gt;INDEX($X$8:$X$407,$AA107)+INDEX($V$8:$V$407,$AA107)+INDEX($W$8:$W$407,$AA107),"",IF(100=INDEX($X$8:$X$407,$AA107)+INDEX($V$8:$V$407,$AA107)+INDEX($W$8:$W$407,$AA107),"D",IF(AND(INDEX($W$8:$W$407,$AA107)=1,100=INDEX($X$8:$X$407,$AA107)+INDEX($V$8:$V$407,$AA107)),"S","R"))))))</f>
        <v/>
      </c>
      <c r="AC107">
        <f>IF(OR($AB107="",$AB107="G"),"",IF($AB107="D",INDEX($U$8:$U$407,$AA107),IF($AB107="S",INDEX($T$8:$T$407,$AA107)&amp;"|*",INDEX($S$8:$S$407,$AA107)&amp;"|*")))</f>
        <v/>
      </c>
      <c r="AE107">
        <f>IF($U107="",0,COUNTIF(บันทึกรายเที่ยว!$T$6:$T$6005,$U107))</f>
        <v/>
      </c>
      <c r="AF107">
        <f>IF($U107="",0,ROUND(SUMIF(บันทึกรายเที่ยว!$T$6:$T$6005,$U107,บันทึกรายเที่ยว!$J$6:$J$6005),2))</f>
        <v/>
      </c>
      <c r="AG107">
        <f>IF($U107="",0,ROUND(SUMIF(บันทึกรายเที่ยว!$T$6:$T$6005,$U107,บันทึกรายเที่ยว!$K$6:$K$6005),2))</f>
        <v/>
      </c>
      <c r="AH107">
        <f>IF($U107="",0,ROUND(SUMIF(บันทึกรายเที่ยว!$T$6:$T$6005,$U107,บันทึกรายเที่ยว!$M$6:$M$6005),2))</f>
        <v/>
      </c>
    </row>
    <row r="108" ht="21" customHeight="1" s="66">
      <c r="A108" s="3">
        <f>IF($AB108="G","ผลรวมทั้งหมด",IF($AB108="R",INDEX($S$8:$S$407,$AA108),""))</f>
        <v/>
      </c>
      <c r="B108" s="3">
        <f>IF($AB108="S",INDEX($Y$8:$Y$407,$AA108),"")</f>
        <v/>
      </c>
      <c r="C108" s="68">
        <f>IF($AB108="D",INDEX($Z$8:$Z$407,$AA108),"")</f>
        <v/>
      </c>
      <c r="D108" s="31">
        <f>IF($AB108="G",SUM($AE$8:$AE$407),IF(OR($AB108="",$AB108="R"),"",IF($AB108="D",INDEX($AE$8:$AE$407,$AA108),SUMIF($T$8:$T$407,INDEX($T$8:$T$407,$AA108),$AE$8:$AE$407))))</f>
        <v/>
      </c>
      <c r="E108" s="32">
        <f>IF(101=$AD$1+3,"ขอแสดงความนับถือ",IF(101=$AD$1+6,"(                 )",IF(101=$AD$1+7,"เจ้าหน้าที่ขนส่ง",IF($AB108="G",SUM($AF$8:$AF$407),IF(OR($AB108="",$AB108="R"),"",IF($AB108="D",INDEX($AF$8:$AF$407,$AA108),SUMIF($T$8:$T$407,INDEX($T$8:$T$407,$AA108),$AF$8:$AF$407)))))))</f>
        <v/>
      </c>
      <c r="F108" s="32">
        <f>IF($AB108="G",SUM($AG$8:$AG$407),IF(OR($AB108="",$AB108="R"),"",IF($AB108="D",INDEX($AG$8:$AG$407,$AA108),SUMIF($T$8:$T$407,INDEX($T$8:$T$407,$AA108),$AG$8:$AG$407))))</f>
        <v/>
      </c>
      <c r="G108" s="32">
        <f>IF(OR($AB108="",$AB108="R"),"",ROUND($E108-$F108,2))</f>
        <v/>
      </c>
      <c r="H108" s="32">
        <f>IF($AB108="G",SUM($AH$8:$AH$407),IF(OR($AB108="",$AB108="R"),"",IF($AB108="D",INDEX($AH$8:$AH$407,$AA108),SUMIF($T$8:$T$407,INDEX($T$8:$T$407,$AA108),$AH$8:$AH$407))))</f>
        <v/>
      </c>
      <c r="J108">
        <f>IFERROR(MATCH(101,บันทึกรายเที่ยว!$W$6:$W$6005,0),"")</f>
        <v/>
      </c>
      <c r="K108">
        <f>IF($J108="","",INDEX(บันทึกรายเที่ยว!$T$6:$T$6005,$J108))</f>
        <v/>
      </c>
      <c r="L108">
        <f>IF($J108="","",INDEX(บันทึกรายเที่ยว!$S$6:$S$6005,$J108))</f>
        <v/>
      </c>
      <c r="M108">
        <f>IF($J108="","",INDEX(บันทึกรายเที่ยว!$R$6:$R$6005,$J108))</f>
        <v/>
      </c>
      <c r="N108">
        <f>IF($J108="","",MATCH($M108,บันทึกรายเที่ยว!$R$6:$R$6005,0))</f>
        <v/>
      </c>
      <c r="O108">
        <f>IF($J108="","",MATCH($L108,บันทึกรายเที่ยว!$S$6:$S$6005,0))</f>
        <v/>
      </c>
      <c r="P108">
        <f>IF($J108="","",IF(AND(OR($I$3="(ทั้งหมด)",INDEX(บันทึกรายเที่ยว!$C$6:$C$6005,$J108)=$I$3),OR($I$5="(ทั้งหมด)",INDEX(บันทึกรายเที่ยว!$D$6:$D$6005,$J108)=$I$5),OR($I$7="(ทั้งหมด)",INDEX(บันทึกรายเที่ยว!$F$6:$F$6005,$J108)=$I$7)),$N108*10000000+$O108*1000+101,""))</f>
        <v/>
      </c>
      <c r="Q108">
        <f>IFERROR(MATCH(SMALL($P$8:$P$407,101),$P$8:$P$407,0),"")</f>
        <v/>
      </c>
      <c r="R108">
        <f>IF($Q108="","",INDEX($J$8:$J$407,$Q108))</f>
        <v/>
      </c>
      <c r="S108">
        <f>IF($Q108="","",INDEX($M$8:$M$407,$Q108))</f>
        <v/>
      </c>
      <c r="T108">
        <f>IF($Q108="","",INDEX($L$8:$L$407,$Q108))</f>
        <v/>
      </c>
      <c r="U108">
        <f>IF($Q108="","",INDEX($K$8:$K$407,$Q108))</f>
        <v/>
      </c>
      <c r="V108">
        <f>IF($Q108="",0,IF($S108&lt;&gt;$S107,1,0))</f>
        <v/>
      </c>
      <c r="W108">
        <f>IF($Q108="",0,IF($T108&lt;&gt;$T107,1,0))</f>
        <v/>
      </c>
      <c r="X108">
        <f>IF($Q108="",99999+101,$X107+1+$V107+$W107)</f>
        <v/>
      </c>
      <c r="Y108">
        <f>IF($Q108="","",INDEX(บันทึกรายเที่ยว!$Q$6:$Q$6005,$R108))</f>
        <v/>
      </c>
      <c r="Z108">
        <f>IF($Q108="","",INDEX(บันทึกรายเที่ยว!$F$6:$F$6005,$R108))</f>
        <v/>
      </c>
      <c r="AA108">
        <f>IFERROR(MATCH(101,$X$8:$X$407,1),"")</f>
        <v/>
      </c>
      <c r="AB108">
        <f>IF(101=$AD$1+1,"G",IF($AA108="","",IF(INDEX($Q$8:$Q$407,$AA108)="","",IF(101&gt;INDEX($X$8:$X$407,$AA108)+INDEX($V$8:$V$407,$AA108)+INDEX($W$8:$W$407,$AA108),"",IF(101=INDEX($X$8:$X$407,$AA108)+INDEX($V$8:$V$407,$AA108)+INDEX($W$8:$W$407,$AA108),"D",IF(AND(INDEX($W$8:$W$407,$AA108)=1,101=INDEX($X$8:$X$407,$AA108)+INDEX($V$8:$V$407,$AA108)),"S","R"))))))</f>
        <v/>
      </c>
      <c r="AC108">
        <f>IF(OR($AB108="",$AB108="G"),"",IF($AB108="D",INDEX($U$8:$U$407,$AA108),IF($AB108="S",INDEX($T$8:$T$407,$AA108)&amp;"|*",INDEX($S$8:$S$407,$AA108)&amp;"|*")))</f>
        <v/>
      </c>
      <c r="AE108">
        <f>IF($U108="",0,COUNTIF(บันทึกรายเที่ยว!$T$6:$T$6005,$U108))</f>
        <v/>
      </c>
      <c r="AF108">
        <f>IF($U108="",0,ROUND(SUMIF(บันทึกรายเที่ยว!$T$6:$T$6005,$U108,บันทึกรายเที่ยว!$J$6:$J$6005),2))</f>
        <v/>
      </c>
      <c r="AG108">
        <f>IF($U108="",0,ROUND(SUMIF(บันทึกรายเที่ยว!$T$6:$T$6005,$U108,บันทึกรายเที่ยว!$K$6:$K$6005),2))</f>
        <v/>
      </c>
      <c r="AH108">
        <f>IF($U108="",0,ROUND(SUMIF(บันทึกรายเที่ยว!$T$6:$T$6005,$U108,บันทึกรายเที่ยว!$M$6:$M$6005),2))</f>
        <v/>
      </c>
    </row>
    <row r="109" ht="21" customHeight="1" s="66">
      <c r="A109" s="3">
        <f>IF($AB109="G","ผลรวมทั้งหมด",IF($AB109="R",INDEX($S$8:$S$407,$AA109),""))</f>
        <v/>
      </c>
      <c r="B109" s="3">
        <f>IF($AB109="S",INDEX($Y$8:$Y$407,$AA109),"")</f>
        <v/>
      </c>
      <c r="C109" s="68">
        <f>IF($AB109="D",INDEX($Z$8:$Z$407,$AA109),"")</f>
        <v/>
      </c>
      <c r="D109" s="31">
        <f>IF($AB109="G",SUM($AE$8:$AE$407),IF(OR($AB109="",$AB109="R"),"",IF($AB109="D",INDEX($AE$8:$AE$407,$AA109),SUMIF($T$8:$T$407,INDEX($T$8:$T$407,$AA109),$AE$8:$AE$407))))</f>
        <v/>
      </c>
      <c r="E109" s="32">
        <f>IF(102=$AD$1+3,"ขอแสดงความนับถือ",IF(102=$AD$1+6,"(                 )",IF(102=$AD$1+7,"เจ้าหน้าที่ขนส่ง",IF($AB109="G",SUM($AF$8:$AF$407),IF(OR($AB109="",$AB109="R"),"",IF($AB109="D",INDEX($AF$8:$AF$407,$AA109),SUMIF($T$8:$T$407,INDEX($T$8:$T$407,$AA109),$AF$8:$AF$407)))))))</f>
        <v/>
      </c>
      <c r="F109" s="32">
        <f>IF($AB109="G",SUM($AG$8:$AG$407),IF(OR($AB109="",$AB109="R"),"",IF($AB109="D",INDEX($AG$8:$AG$407,$AA109),SUMIF($T$8:$T$407,INDEX($T$8:$T$407,$AA109),$AG$8:$AG$407))))</f>
        <v/>
      </c>
      <c r="G109" s="32">
        <f>IF(OR($AB109="",$AB109="R"),"",ROUND($E109-$F109,2))</f>
        <v/>
      </c>
      <c r="H109" s="32">
        <f>IF($AB109="G",SUM($AH$8:$AH$407),IF(OR($AB109="",$AB109="R"),"",IF($AB109="D",INDEX($AH$8:$AH$407,$AA109),SUMIF($T$8:$T$407,INDEX($T$8:$T$407,$AA109),$AH$8:$AH$407))))</f>
        <v/>
      </c>
      <c r="J109">
        <f>IFERROR(MATCH(102,บันทึกรายเที่ยว!$W$6:$W$6005,0),"")</f>
        <v/>
      </c>
      <c r="K109">
        <f>IF($J109="","",INDEX(บันทึกรายเที่ยว!$T$6:$T$6005,$J109))</f>
        <v/>
      </c>
      <c r="L109">
        <f>IF($J109="","",INDEX(บันทึกรายเที่ยว!$S$6:$S$6005,$J109))</f>
        <v/>
      </c>
      <c r="M109">
        <f>IF($J109="","",INDEX(บันทึกรายเที่ยว!$R$6:$R$6005,$J109))</f>
        <v/>
      </c>
      <c r="N109">
        <f>IF($J109="","",MATCH($M109,บันทึกรายเที่ยว!$R$6:$R$6005,0))</f>
        <v/>
      </c>
      <c r="O109">
        <f>IF($J109="","",MATCH($L109,บันทึกรายเที่ยว!$S$6:$S$6005,0))</f>
        <v/>
      </c>
      <c r="P109">
        <f>IF($J109="","",IF(AND(OR($I$3="(ทั้งหมด)",INDEX(บันทึกรายเที่ยว!$C$6:$C$6005,$J109)=$I$3),OR($I$5="(ทั้งหมด)",INDEX(บันทึกรายเที่ยว!$D$6:$D$6005,$J109)=$I$5),OR($I$7="(ทั้งหมด)",INDEX(บันทึกรายเที่ยว!$F$6:$F$6005,$J109)=$I$7)),$N109*10000000+$O109*1000+102,""))</f>
        <v/>
      </c>
      <c r="Q109">
        <f>IFERROR(MATCH(SMALL($P$8:$P$407,102),$P$8:$P$407,0),"")</f>
        <v/>
      </c>
      <c r="R109">
        <f>IF($Q109="","",INDEX($J$8:$J$407,$Q109))</f>
        <v/>
      </c>
      <c r="S109">
        <f>IF($Q109="","",INDEX($M$8:$M$407,$Q109))</f>
        <v/>
      </c>
      <c r="T109">
        <f>IF($Q109="","",INDEX($L$8:$L$407,$Q109))</f>
        <v/>
      </c>
      <c r="U109">
        <f>IF($Q109="","",INDEX($K$8:$K$407,$Q109))</f>
        <v/>
      </c>
      <c r="V109">
        <f>IF($Q109="",0,IF($S109&lt;&gt;$S108,1,0))</f>
        <v/>
      </c>
      <c r="W109">
        <f>IF($Q109="",0,IF($T109&lt;&gt;$T108,1,0))</f>
        <v/>
      </c>
      <c r="X109">
        <f>IF($Q109="",99999+102,$X108+1+$V108+$W108)</f>
        <v/>
      </c>
      <c r="Y109">
        <f>IF($Q109="","",INDEX(บันทึกรายเที่ยว!$Q$6:$Q$6005,$R109))</f>
        <v/>
      </c>
      <c r="Z109">
        <f>IF($Q109="","",INDEX(บันทึกรายเที่ยว!$F$6:$F$6005,$R109))</f>
        <v/>
      </c>
      <c r="AA109">
        <f>IFERROR(MATCH(102,$X$8:$X$407,1),"")</f>
        <v/>
      </c>
      <c r="AB109">
        <f>IF(102=$AD$1+1,"G",IF($AA109="","",IF(INDEX($Q$8:$Q$407,$AA109)="","",IF(102&gt;INDEX($X$8:$X$407,$AA109)+INDEX($V$8:$V$407,$AA109)+INDEX($W$8:$W$407,$AA109),"",IF(102=INDEX($X$8:$X$407,$AA109)+INDEX($V$8:$V$407,$AA109)+INDEX($W$8:$W$407,$AA109),"D",IF(AND(INDEX($W$8:$W$407,$AA109)=1,102=INDEX($X$8:$X$407,$AA109)+INDEX($V$8:$V$407,$AA109)),"S","R"))))))</f>
        <v/>
      </c>
      <c r="AC109">
        <f>IF(OR($AB109="",$AB109="G"),"",IF($AB109="D",INDEX($U$8:$U$407,$AA109),IF($AB109="S",INDEX($T$8:$T$407,$AA109)&amp;"|*",INDEX($S$8:$S$407,$AA109)&amp;"|*")))</f>
        <v/>
      </c>
      <c r="AE109">
        <f>IF($U109="",0,COUNTIF(บันทึกรายเที่ยว!$T$6:$T$6005,$U109))</f>
        <v/>
      </c>
      <c r="AF109">
        <f>IF($U109="",0,ROUND(SUMIF(บันทึกรายเที่ยว!$T$6:$T$6005,$U109,บันทึกรายเที่ยว!$J$6:$J$6005),2))</f>
        <v/>
      </c>
      <c r="AG109">
        <f>IF($U109="",0,ROUND(SUMIF(บันทึกรายเที่ยว!$T$6:$T$6005,$U109,บันทึกรายเที่ยว!$K$6:$K$6005),2))</f>
        <v/>
      </c>
      <c r="AH109">
        <f>IF($U109="",0,ROUND(SUMIF(บันทึกรายเที่ยว!$T$6:$T$6005,$U109,บันทึกรายเที่ยว!$M$6:$M$6005),2))</f>
        <v/>
      </c>
    </row>
    <row r="110" ht="21" customHeight="1" s="66">
      <c r="A110" s="3">
        <f>IF($AB110="G","ผลรวมทั้งหมด",IF($AB110="R",INDEX($S$8:$S$407,$AA110),""))</f>
        <v/>
      </c>
      <c r="B110" s="3">
        <f>IF($AB110="S",INDEX($Y$8:$Y$407,$AA110),"")</f>
        <v/>
      </c>
      <c r="C110" s="68">
        <f>IF($AB110="D",INDEX($Z$8:$Z$407,$AA110),"")</f>
        <v/>
      </c>
      <c r="D110" s="31">
        <f>IF($AB110="G",SUM($AE$8:$AE$407),IF(OR($AB110="",$AB110="R"),"",IF($AB110="D",INDEX($AE$8:$AE$407,$AA110),SUMIF($T$8:$T$407,INDEX($T$8:$T$407,$AA110),$AE$8:$AE$407))))</f>
        <v/>
      </c>
      <c r="E110" s="32">
        <f>IF(103=$AD$1+3,"ขอแสดงความนับถือ",IF(103=$AD$1+6,"(                 )",IF(103=$AD$1+7,"เจ้าหน้าที่ขนส่ง",IF($AB110="G",SUM($AF$8:$AF$407),IF(OR($AB110="",$AB110="R"),"",IF($AB110="D",INDEX($AF$8:$AF$407,$AA110),SUMIF($T$8:$T$407,INDEX($T$8:$T$407,$AA110),$AF$8:$AF$407)))))))</f>
        <v/>
      </c>
      <c r="F110" s="32">
        <f>IF($AB110="G",SUM($AG$8:$AG$407),IF(OR($AB110="",$AB110="R"),"",IF($AB110="D",INDEX($AG$8:$AG$407,$AA110),SUMIF($T$8:$T$407,INDEX($T$8:$T$407,$AA110),$AG$8:$AG$407))))</f>
        <v/>
      </c>
      <c r="G110" s="32">
        <f>IF(OR($AB110="",$AB110="R"),"",ROUND($E110-$F110,2))</f>
        <v/>
      </c>
      <c r="H110" s="32">
        <f>IF($AB110="G",SUM($AH$8:$AH$407),IF(OR($AB110="",$AB110="R"),"",IF($AB110="D",INDEX($AH$8:$AH$407,$AA110),SUMIF($T$8:$T$407,INDEX($T$8:$T$407,$AA110),$AH$8:$AH$407))))</f>
        <v/>
      </c>
      <c r="J110">
        <f>IFERROR(MATCH(103,บันทึกรายเที่ยว!$W$6:$W$6005,0),"")</f>
        <v/>
      </c>
      <c r="K110">
        <f>IF($J110="","",INDEX(บันทึกรายเที่ยว!$T$6:$T$6005,$J110))</f>
        <v/>
      </c>
      <c r="L110">
        <f>IF($J110="","",INDEX(บันทึกรายเที่ยว!$S$6:$S$6005,$J110))</f>
        <v/>
      </c>
      <c r="M110">
        <f>IF($J110="","",INDEX(บันทึกรายเที่ยว!$R$6:$R$6005,$J110))</f>
        <v/>
      </c>
      <c r="N110">
        <f>IF($J110="","",MATCH($M110,บันทึกรายเที่ยว!$R$6:$R$6005,0))</f>
        <v/>
      </c>
      <c r="O110">
        <f>IF($J110="","",MATCH($L110,บันทึกรายเที่ยว!$S$6:$S$6005,0))</f>
        <v/>
      </c>
      <c r="P110">
        <f>IF($J110="","",IF(AND(OR($I$3="(ทั้งหมด)",INDEX(บันทึกรายเที่ยว!$C$6:$C$6005,$J110)=$I$3),OR($I$5="(ทั้งหมด)",INDEX(บันทึกรายเที่ยว!$D$6:$D$6005,$J110)=$I$5),OR($I$7="(ทั้งหมด)",INDEX(บันทึกรายเที่ยว!$F$6:$F$6005,$J110)=$I$7)),$N110*10000000+$O110*1000+103,""))</f>
        <v/>
      </c>
      <c r="Q110">
        <f>IFERROR(MATCH(SMALL($P$8:$P$407,103),$P$8:$P$407,0),"")</f>
        <v/>
      </c>
      <c r="R110">
        <f>IF($Q110="","",INDEX($J$8:$J$407,$Q110))</f>
        <v/>
      </c>
      <c r="S110">
        <f>IF($Q110="","",INDEX($M$8:$M$407,$Q110))</f>
        <v/>
      </c>
      <c r="T110">
        <f>IF($Q110="","",INDEX($L$8:$L$407,$Q110))</f>
        <v/>
      </c>
      <c r="U110">
        <f>IF($Q110="","",INDEX($K$8:$K$407,$Q110))</f>
        <v/>
      </c>
      <c r="V110">
        <f>IF($Q110="",0,IF($S110&lt;&gt;$S109,1,0))</f>
        <v/>
      </c>
      <c r="W110">
        <f>IF($Q110="",0,IF($T110&lt;&gt;$T109,1,0))</f>
        <v/>
      </c>
      <c r="X110">
        <f>IF($Q110="",99999+103,$X109+1+$V109+$W109)</f>
        <v/>
      </c>
      <c r="Y110">
        <f>IF($Q110="","",INDEX(บันทึกรายเที่ยว!$Q$6:$Q$6005,$R110))</f>
        <v/>
      </c>
      <c r="Z110">
        <f>IF($Q110="","",INDEX(บันทึกรายเที่ยว!$F$6:$F$6005,$R110))</f>
        <v/>
      </c>
      <c r="AA110">
        <f>IFERROR(MATCH(103,$X$8:$X$407,1),"")</f>
        <v/>
      </c>
      <c r="AB110">
        <f>IF(103=$AD$1+1,"G",IF($AA110="","",IF(INDEX($Q$8:$Q$407,$AA110)="","",IF(103&gt;INDEX($X$8:$X$407,$AA110)+INDEX($V$8:$V$407,$AA110)+INDEX($W$8:$W$407,$AA110),"",IF(103=INDEX($X$8:$X$407,$AA110)+INDEX($V$8:$V$407,$AA110)+INDEX($W$8:$W$407,$AA110),"D",IF(AND(INDEX($W$8:$W$407,$AA110)=1,103=INDEX($X$8:$X$407,$AA110)+INDEX($V$8:$V$407,$AA110)),"S","R"))))))</f>
        <v/>
      </c>
      <c r="AC110">
        <f>IF(OR($AB110="",$AB110="G"),"",IF($AB110="D",INDEX($U$8:$U$407,$AA110),IF($AB110="S",INDEX($T$8:$T$407,$AA110)&amp;"|*",INDEX($S$8:$S$407,$AA110)&amp;"|*")))</f>
        <v/>
      </c>
      <c r="AE110">
        <f>IF($U110="",0,COUNTIF(บันทึกรายเที่ยว!$T$6:$T$6005,$U110))</f>
        <v/>
      </c>
      <c r="AF110">
        <f>IF($U110="",0,ROUND(SUMIF(บันทึกรายเที่ยว!$T$6:$T$6005,$U110,บันทึกรายเที่ยว!$J$6:$J$6005),2))</f>
        <v/>
      </c>
      <c r="AG110">
        <f>IF($U110="",0,ROUND(SUMIF(บันทึกรายเที่ยว!$T$6:$T$6005,$U110,บันทึกรายเที่ยว!$K$6:$K$6005),2))</f>
        <v/>
      </c>
      <c r="AH110">
        <f>IF($U110="",0,ROUND(SUMIF(บันทึกรายเที่ยว!$T$6:$T$6005,$U110,บันทึกรายเที่ยว!$M$6:$M$6005),2))</f>
        <v/>
      </c>
    </row>
    <row r="111" ht="21" customHeight="1" s="66">
      <c r="A111" s="3">
        <f>IF($AB111="G","ผลรวมทั้งหมด",IF($AB111="R",INDEX($S$8:$S$407,$AA111),""))</f>
        <v/>
      </c>
      <c r="B111" s="3">
        <f>IF($AB111="S",INDEX($Y$8:$Y$407,$AA111),"")</f>
        <v/>
      </c>
      <c r="C111" s="68">
        <f>IF($AB111="D",INDEX($Z$8:$Z$407,$AA111),"")</f>
        <v/>
      </c>
      <c r="D111" s="31">
        <f>IF($AB111="G",SUM($AE$8:$AE$407),IF(OR($AB111="",$AB111="R"),"",IF($AB111="D",INDEX($AE$8:$AE$407,$AA111),SUMIF($T$8:$T$407,INDEX($T$8:$T$407,$AA111),$AE$8:$AE$407))))</f>
        <v/>
      </c>
      <c r="E111" s="32">
        <f>IF(104=$AD$1+3,"ขอแสดงความนับถือ",IF(104=$AD$1+6,"(                 )",IF(104=$AD$1+7,"เจ้าหน้าที่ขนส่ง",IF($AB111="G",SUM($AF$8:$AF$407),IF(OR($AB111="",$AB111="R"),"",IF($AB111="D",INDEX($AF$8:$AF$407,$AA111),SUMIF($T$8:$T$407,INDEX($T$8:$T$407,$AA111),$AF$8:$AF$407)))))))</f>
        <v/>
      </c>
      <c r="F111" s="32">
        <f>IF($AB111="G",SUM($AG$8:$AG$407),IF(OR($AB111="",$AB111="R"),"",IF($AB111="D",INDEX($AG$8:$AG$407,$AA111),SUMIF($T$8:$T$407,INDEX($T$8:$T$407,$AA111),$AG$8:$AG$407))))</f>
        <v/>
      </c>
      <c r="G111" s="32">
        <f>IF(OR($AB111="",$AB111="R"),"",ROUND($E111-$F111,2))</f>
        <v/>
      </c>
      <c r="H111" s="32">
        <f>IF($AB111="G",SUM($AH$8:$AH$407),IF(OR($AB111="",$AB111="R"),"",IF($AB111="D",INDEX($AH$8:$AH$407,$AA111),SUMIF($T$8:$T$407,INDEX($T$8:$T$407,$AA111),$AH$8:$AH$407))))</f>
        <v/>
      </c>
      <c r="J111">
        <f>IFERROR(MATCH(104,บันทึกรายเที่ยว!$W$6:$W$6005,0),"")</f>
        <v/>
      </c>
      <c r="K111">
        <f>IF($J111="","",INDEX(บันทึกรายเที่ยว!$T$6:$T$6005,$J111))</f>
        <v/>
      </c>
      <c r="L111">
        <f>IF($J111="","",INDEX(บันทึกรายเที่ยว!$S$6:$S$6005,$J111))</f>
        <v/>
      </c>
      <c r="M111">
        <f>IF($J111="","",INDEX(บันทึกรายเที่ยว!$R$6:$R$6005,$J111))</f>
        <v/>
      </c>
      <c r="N111">
        <f>IF($J111="","",MATCH($M111,บันทึกรายเที่ยว!$R$6:$R$6005,0))</f>
        <v/>
      </c>
      <c r="O111">
        <f>IF($J111="","",MATCH($L111,บันทึกรายเที่ยว!$S$6:$S$6005,0))</f>
        <v/>
      </c>
      <c r="P111">
        <f>IF($J111="","",IF(AND(OR($I$3="(ทั้งหมด)",INDEX(บันทึกรายเที่ยว!$C$6:$C$6005,$J111)=$I$3),OR($I$5="(ทั้งหมด)",INDEX(บันทึกรายเที่ยว!$D$6:$D$6005,$J111)=$I$5),OR($I$7="(ทั้งหมด)",INDEX(บันทึกรายเที่ยว!$F$6:$F$6005,$J111)=$I$7)),$N111*10000000+$O111*1000+104,""))</f>
        <v/>
      </c>
      <c r="Q111">
        <f>IFERROR(MATCH(SMALL($P$8:$P$407,104),$P$8:$P$407,0),"")</f>
        <v/>
      </c>
      <c r="R111">
        <f>IF($Q111="","",INDEX($J$8:$J$407,$Q111))</f>
        <v/>
      </c>
      <c r="S111">
        <f>IF($Q111="","",INDEX($M$8:$M$407,$Q111))</f>
        <v/>
      </c>
      <c r="T111">
        <f>IF($Q111="","",INDEX($L$8:$L$407,$Q111))</f>
        <v/>
      </c>
      <c r="U111">
        <f>IF($Q111="","",INDEX($K$8:$K$407,$Q111))</f>
        <v/>
      </c>
      <c r="V111">
        <f>IF($Q111="",0,IF($S111&lt;&gt;$S110,1,0))</f>
        <v/>
      </c>
      <c r="W111">
        <f>IF($Q111="",0,IF($T111&lt;&gt;$T110,1,0))</f>
        <v/>
      </c>
      <c r="X111">
        <f>IF($Q111="",99999+104,$X110+1+$V110+$W110)</f>
        <v/>
      </c>
      <c r="Y111">
        <f>IF($Q111="","",INDEX(บันทึกรายเที่ยว!$Q$6:$Q$6005,$R111))</f>
        <v/>
      </c>
      <c r="Z111">
        <f>IF($Q111="","",INDEX(บันทึกรายเที่ยว!$F$6:$F$6005,$R111))</f>
        <v/>
      </c>
      <c r="AA111">
        <f>IFERROR(MATCH(104,$X$8:$X$407,1),"")</f>
        <v/>
      </c>
      <c r="AB111">
        <f>IF(104=$AD$1+1,"G",IF($AA111="","",IF(INDEX($Q$8:$Q$407,$AA111)="","",IF(104&gt;INDEX($X$8:$X$407,$AA111)+INDEX($V$8:$V$407,$AA111)+INDEX($W$8:$W$407,$AA111),"",IF(104=INDEX($X$8:$X$407,$AA111)+INDEX($V$8:$V$407,$AA111)+INDEX($W$8:$W$407,$AA111),"D",IF(AND(INDEX($W$8:$W$407,$AA111)=1,104=INDEX($X$8:$X$407,$AA111)+INDEX($V$8:$V$407,$AA111)),"S","R"))))))</f>
        <v/>
      </c>
      <c r="AC111">
        <f>IF(OR($AB111="",$AB111="G"),"",IF($AB111="D",INDEX($U$8:$U$407,$AA111),IF($AB111="S",INDEX($T$8:$T$407,$AA111)&amp;"|*",INDEX($S$8:$S$407,$AA111)&amp;"|*")))</f>
        <v/>
      </c>
      <c r="AE111">
        <f>IF($U111="",0,COUNTIF(บันทึกรายเที่ยว!$T$6:$T$6005,$U111))</f>
        <v/>
      </c>
      <c r="AF111">
        <f>IF($U111="",0,ROUND(SUMIF(บันทึกรายเที่ยว!$T$6:$T$6005,$U111,บันทึกรายเที่ยว!$J$6:$J$6005),2))</f>
        <v/>
      </c>
      <c r="AG111">
        <f>IF($U111="",0,ROUND(SUMIF(บันทึกรายเที่ยว!$T$6:$T$6005,$U111,บันทึกรายเที่ยว!$K$6:$K$6005),2))</f>
        <v/>
      </c>
      <c r="AH111">
        <f>IF($U111="",0,ROUND(SUMIF(บันทึกรายเที่ยว!$T$6:$T$6005,$U111,บันทึกรายเที่ยว!$M$6:$M$6005),2))</f>
        <v/>
      </c>
    </row>
    <row r="112" ht="21" customHeight="1" s="66">
      <c r="A112" s="3">
        <f>IF($AB112="G","ผลรวมทั้งหมด",IF($AB112="R",INDEX($S$8:$S$407,$AA112),""))</f>
        <v/>
      </c>
      <c r="B112" s="3">
        <f>IF($AB112="S",INDEX($Y$8:$Y$407,$AA112),"")</f>
        <v/>
      </c>
      <c r="C112" s="68">
        <f>IF($AB112="D",INDEX($Z$8:$Z$407,$AA112),"")</f>
        <v/>
      </c>
      <c r="D112" s="31">
        <f>IF($AB112="G",SUM($AE$8:$AE$407),IF(OR($AB112="",$AB112="R"),"",IF($AB112="D",INDEX($AE$8:$AE$407,$AA112),SUMIF($T$8:$T$407,INDEX($T$8:$T$407,$AA112),$AE$8:$AE$407))))</f>
        <v/>
      </c>
      <c r="E112" s="32">
        <f>IF(105=$AD$1+3,"ขอแสดงความนับถือ",IF(105=$AD$1+6,"(                 )",IF(105=$AD$1+7,"เจ้าหน้าที่ขนส่ง",IF($AB112="G",SUM($AF$8:$AF$407),IF(OR($AB112="",$AB112="R"),"",IF($AB112="D",INDEX($AF$8:$AF$407,$AA112),SUMIF($T$8:$T$407,INDEX($T$8:$T$407,$AA112),$AF$8:$AF$407)))))))</f>
        <v/>
      </c>
      <c r="F112" s="32">
        <f>IF($AB112="G",SUM($AG$8:$AG$407),IF(OR($AB112="",$AB112="R"),"",IF($AB112="D",INDEX($AG$8:$AG$407,$AA112),SUMIF($T$8:$T$407,INDEX($T$8:$T$407,$AA112),$AG$8:$AG$407))))</f>
        <v/>
      </c>
      <c r="G112" s="32">
        <f>IF(OR($AB112="",$AB112="R"),"",ROUND($E112-$F112,2))</f>
        <v/>
      </c>
      <c r="H112" s="32">
        <f>IF($AB112="G",SUM($AH$8:$AH$407),IF(OR($AB112="",$AB112="R"),"",IF($AB112="D",INDEX($AH$8:$AH$407,$AA112),SUMIF($T$8:$T$407,INDEX($T$8:$T$407,$AA112),$AH$8:$AH$407))))</f>
        <v/>
      </c>
      <c r="J112">
        <f>IFERROR(MATCH(105,บันทึกรายเที่ยว!$W$6:$W$6005,0),"")</f>
        <v/>
      </c>
      <c r="K112">
        <f>IF($J112="","",INDEX(บันทึกรายเที่ยว!$T$6:$T$6005,$J112))</f>
        <v/>
      </c>
      <c r="L112">
        <f>IF($J112="","",INDEX(บันทึกรายเที่ยว!$S$6:$S$6005,$J112))</f>
        <v/>
      </c>
      <c r="M112">
        <f>IF($J112="","",INDEX(บันทึกรายเที่ยว!$R$6:$R$6005,$J112))</f>
        <v/>
      </c>
      <c r="N112">
        <f>IF($J112="","",MATCH($M112,บันทึกรายเที่ยว!$R$6:$R$6005,0))</f>
        <v/>
      </c>
      <c r="O112">
        <f>IF($J112="","",MATCH($L112,บันทึกรายเที่ยว!$S$6:$S$6005,0))</f>
        <v/>
      </c>
      <c r="P112">
        <f>IF($J112="","",IF(AND(OR($I$3="(ทั้งหมด)",INDEX(บันทึกรายเที่ยว!$C$6:$C$6005,$J112)=$I$3),OR($I$5="(ทั้งหมด)",INDEX(บันทึกรายเที่ยว!$D$6:$D$6005,$J112)=$I$5),OR($I$7="(ทั้งหมด)",INDEX(บันทึกรายเที่ยว!$F$6:$F$6005,$J112)=$I$7)),$N112*10000000+$O112*1000+105,""))</f>
        <v/>
      </c>
      <c r="Q112">
        <f>IFERROR(MATCH(SMALL($P$8:$P$407,105),$P$8:$P$407,0),"")</f>
        <v/>
      </c>
      <c r="R112">
        <f>IF($Q112="","",INDEX($J$8:$J$407,$Q112))</f>
        <v/>
      </c>
      <c r="S112">
        <f>IF($Q112="","",INDEX($M$8:$M$407,$Q112))</f>
        <v/>
      </c>
      <c r="T112">
        <f>IF($Q112="","",INDEX($L$8:$L$407,$Q112))</f>
        <v/>
      </c>
      <c r="U112">
        <f>IF($Q112="","",INDEX($K$8:$K$407,$Q112))</f>
        <v/>
      </c>
      <c r="V112">
        <f>IF($Q112="",0,IF($S112&lt;&gt;$S111,1,0))</f>
        <v/>
      </c>
      <c r="W112">
        <f>IF($Q112="",0,IF($T112&lt;&gt;$T111,1,0))</f>
        <v/>
      </c>
      <c r="X112">
        <f>IF($Q112="",99999+105,$X111+1+$V111+$W111)</f>
        <v/>
      </c>
      <c r="Y112">
        <f>IF($Q112="","",INDEX(บันทึกรายเที่ยว!$Q$6:$Q$6005,$R112))</f>
        <v/>
      </c>
      <c r="Z112">
        <f>IF($Q112="","",INDEX(บันทึกรายเที่ยว!$F$6:$F$6005,$R112))</f>
        <v/>
      </c>
      <c r="AA112">
        <f>IFERROR(MATCH(105,$X$8:$X$407,1),"")</f>
        <v/>
      </c>
      <c r="AB112">
        <f>IF(105=$AD$1+1,"G",IF($AA112="","",IF(INDEX($Q$8:$Q$407,$AA112)="","",IF(105&gt;INDEX($X$8:$X$407,$AA112)+INDEX($V$8:$V$407,$AA112)+INDEX($W$8:$W$407,$AA112),"",IF(105=INDEX($X$8:$X$407,$AA112)+INDEX($V$8:$V$407,$AA112)+INDEX($W$8:$W$407,$AA112),"D",IF(AND(INDEX($W$8:$W$407,$AA112)=1,105=INDEX($X$8:$X$407,$AA112)+INDEX($V$8:$V$407,$AA112)),"S","R"))))))</f>
        <v/>
      </c>
      <c r="AC112">
        <f>IF(OR($AB112="",$AB112="G"),"",IF($AB112="D",INDEX($U$8:$U$407,$AA112),IF($AB112="S",INDEX($T$8:$T$407,$AA112)&amp;"|*",INDEX($S$8:$S$407,$AA112)&amp;"|*")))</f>
        <v/>
      </c>
      <c r="AE112">
        <f>IF($U112="",0,COUNTIF(บันทึกรายเที่ยว!$T$6:$T$6005,$U112))</f>
        <v/>
      </c>
      <c r="AF112">
        <f>IF($U112="",0,ROUND(SUMIF(บันทึกรายเที่ยว!$T$6:$T$6005,$U112,บันทึกรายเที่ยว!$J$6:$J$6005),2))</f>
        <v/>
      </c>
      <c r="AG112">
        <f>IF($U112="",0,ROUND(SUMIF(บันทึกรายเที่ยว!$T$6:$T$6005,$U112,บันทึกรายเที่ยว!$K$6:$K$6005),2))</f>
        <v/>
      </c>
      <c r="AH112">
        <f>IF($U112="",0,ROUND(SUMIF(บันทึกรายเที่ยว!$T$6:$T$6005,$U112,บันทึกรายเที่ยว!$M$6:$M$6005),2))</f>
        <v/>
      </c>
    </row>
    <row r="113" ht="21" customHeight="1" s="66">
      <c r="A113" s="3">
        <f>IF($AB113="G","ผลรวมทั้งหมด",IF($AB113="R",INDEX($S$8:$S$407,$AA113),""))</f>
        <v/>
      </c>
      <c r="B113" s="3">
        <f>IF($AB113="S",INDEX($Y$8:$Y$407,$AA113),"")</f>
        <v/>
      </c>
      <c r="C113" s="68">
        <f>IF($AB113="D",INDEX($Z$8:$Z$407,$AA113),"")</f>
        <v/>
      </c>
      <c r="D113" s="31">
        <f>IF($AB113="G",SUM($AE$8:$AE$407),IF(OR($AB113="",$AB113="R"),"",IF($AB113="D",INDEX($AE$8:$AE$407,$AA113),SUMIF($T$8:$T$407,INDEX($T$8:$T$407,$AA113),$AE$8:$AE$407))))</f>
        <v/>
      </c>
      <c r="E113" s="32">
        <f>IF(106=$AD$1+3,"ขอแสดงความนับถือ",IF(106=$AD$1+6,"(                 )",IF(106=$AD$1+7,"เจ้าหน้าที่ขนส่ง",IF($AB113="G",SUM($AF$8:$AF$407),IF(OR($AB113="",$AB113="R"),"",IF($AB113="D",INDEX($AF$8:$AF$407,$AA113),SUMIF($T$8:$T$407,INDEX($T$8:$T$407,$AA113),$AF$8:$AF$407)))))))</f>
        <v/>
      </c>
      <c r="F113" s="32">
        <f>IF($AB113="G",SUM($AG$8:$AG$407),IF(OR($AB113="",$AB113="R"),"",IF($AB113="D",INDEX($AG$8:$AG$407,$AA113),SUMIF($T$8:$T$407,INDEX($T$8:$T$407,$AA113),$AG$8:$AG$407))))</f>
        <v/>
      </c>
      <c r="G113" s="32">
        <f>IF(OR($AB113="",$AB113="R"),"",ROUND($E113-$F113,2))</f>
        <v/>
      </c>
      <c r="H113" s="32">
        <f>IF($AB113="G",SUM($AH$8:$AH$407),IF(OR($AB113="",$AB113="R"),"",IF($AB113="D",INDEX($AH$8:$AH$407,$AA113),SUMIF($T$8:$T$407,INDEX($T$8:$T$407,$AA113),$AH$8:$AH$407))))</f>
        <v/>
      </c>
      <c r="J113">
        <f>IFERROR(MATCH(106,บันทึกรายเที่ยว!$W$6:$W$6005,0),"")</f>
        <v/>
      </c>
      <c r="K113">
        <f>IF($J113="","",INDEX(บันทึกรายเที่ยว!$T$6:$T$6005,$J113))</f>
        <v/>
      </c>
      <c r="L113">
        <f>IF($J113="","",INDEX(บันทึกรายเที่ยว!$S$6:$S$6005,$J113))</f>
        <v/>
      </c>
      <c r="M113">
        <f>IF($J113="","",INDEX(บันทึกรายเที่ยว!$R$6:$R$6005,$J113))</f>
        <v/>
      </c>
      <c r="N113">
        <f>IF($J113="","",MATCH($M113,บันทึกรายเที่ยว!$R$6:$R$6005,0))</f>
        <v/>
      </c>
      <c r="O113">
        <f>IF($J113="","",MATCH($L113,บันทึกรายเที่ยว!$S$6:$S$6005,0))</f>
        <v/>
      </c>
      <c r="P113">
        <f>IF($J113="","",IF(AND(OR($I$3="(ทั้งหมด)",INDEX(บันทึกรายเที่ยว!$C$6:$C$6005,$J113)=$I$3),OR($I$5="(ทั้งหมด)",INDEX(บันทึกรายเที่ยว!$D$6:$D$6005,$J113)=$I$5),OR($I$7="(ทั้งหมด)",INDEX(บันทึกรายเที่ยว!$F$6:$F$6005,$J113)=$I$7)),$N113*10000000+$O113*1000+106,""))</f>
        <v/>
      </c>
      <c r="Q113">
        <f>IFERROR(MATCH(SMALL($P$8:$P$407,106),$P$8:$P$407,0),"")</f>
        <v/>
      </c>
      <c r="R113">
        <f>IF($Q113="","",INDEX($J$8:$J$407,$Q113))</f>
        <v/>
      </c>
      <c r="S113">
        <f>IF($Q113="","",INDEX($M$8:$M$407,$Q113))</f>
        <v/>
      </c>
      <c r="T113">
        <f>IF($Q113="","",INDEX($L$8:$L$407,$Q113))</f>
        <v/>
      </c>
      <c r="U113">
        <f>IF($Q113="","",INDEX($K$8:$K$407,$Q113))</f>
        <v/>
      </c>
      <c r="V113">
        <f>IF($Q113="",0,IF($S113&lt;&gt;$S112,1,0))</f>
        <v/>
      </c>
      <c r="W113">
        <f>IF($Q113="",0,IF($T113&lt;&gt;$T112,1,0))</f>
        <v/>
      </c>
      <c r="X113">
        <f>IF($Q113="",99999+106,$X112+1+$V112+$W112)</f>
        <v/>
      </c>
      <c r="Y113">
        <f>IF($Q113="","",INDEX(บันทึกรายเที่ยว!$Q$6:$Q$6005,$R113))</f>
        <v/>
      </c>
      <c r="Z113">
        <f>IF($Q113="","",INDEX(บันทึกรายเที่ยว!$F$6:$F$6005,$R113))</f>
        <v/>
      </c>
      <c r="AA113">
        <f>IFERROR(MATCH(106,$X$8:$X$407,1),"")</f>
        <v/>
      </c>
      <c r="AB113">
        <f>IF(106=$AD$1+1,"G",IF($AA113="","",IF(INDEX($Q$8:$Q$407,$AA113)="","",IF(106&gt;INDEX($X$8:$X$407,$AA113)+INDEX($V$8:$V$407,$AA113)+INDEX($W$8:$W$407,$AA113),"",IF(106=INDEX($X$8:$X$407,$AA113)+INDEX($V$8:$V$407,$AA113)+INDEX($W$8:$W$407,$AA113),"D",IF(AND(INDEX($W$8:$W$407,$AA113)=1,106=INDEX($X$8:$X$407,$AA113)+INDEX($V$8:$V$407,$AA113)),"S","R"))))))</f>
        <v/>
      </c>
      <c r="AC113">
        <f>IF(OR($AB113="",$AB113="G"),"",IF($AB113="D",INDEX($U$8:$U$407,$AA113),IF($AB113="S",INDEX($T$8:$T$407,$AA113)&amp;"|*",INDEX($S$8:$S$407,$AA113)&amp;"|*")))</f>
        <v/>
      </c>
      <c r="AE113">
        <f>IF($U113="",0,COUNTIF(บันทึกรายเที่ยว!$T$6:$T$6005,$U113))</f>
        <v/>
      </c>
      <c r="AF113">
        <f>IF($U113="",0,ROUND(SUMIF(บันทึกรายเที่ยว!$T$6:$T$6005,$U113,บันทึกรายเที่ยว!$J$6:$J$6005),2))</f>
        <v/>
      </c>
      <c r="AG113">
        <f>IF($U113="",0,ROUND(SUMIF(บันทึกรายเที่ยว!$T$6:$T$6005,$U113,บันทึกรายเที่ยว!$K$6:$K$6005),2))</f>
        <v/>
      </c>
      <c r="AH113">
        <f>IF($U113="",0,ROUND(SUMIF(บันทึกรายเที่ยว!$T$6:$T$6005,$U113,บันทึกรายเที่ยว!$M$6:$M$6005),2))</f>
        <v/>
      </c>
    </row>
    <row r="114" ht="21" customHeight="1" s="66">
      <c r="A114" s="3">
        <f>IF($AB114="G","ผลรวมทั้งหมด",IF($AB114="R",INDEX($S$8:$S$407,$AA114),""))</f>
        <v/>
      </c>
      <c r="B114" s="3">
        <f>IF($AB114="S",INDEX($Y$8:$Y$407,$AA114),"")</f>
        <v/>
      </c>
      <c r="C114" s="68">
        <f>IF($AB114="D",INDEX($Z$8:$Z$407,$AA114),"")</f>
        <v/>
      </c>
      <c r="D114" s="31">
        <f>IF($AB114="G",SUM($AE$8:$AE$407),IF(OR($AB114="",$AB114="R"),"",IF($AB114="D",INDEX($AE$8:$AE$407,$AA114),SUMIF($T$8:$T$407,INDEX($T$8:$T$407,$AA114),$AE$8:$AE$407))))</f>
        <v/>
      </c>
      <c r="E114" s="32">
        <f>IF(107=$AD$1+3,"ขอแสดงความนับถือ",IF(107=$AD$1+6,"(                 )",IF(107=$AD$1+7,"เจ้าหน้าที่ขนส่ง",IF($AB114="G",SUM($AF$8:$AF$407),IF(OR($AB114="",$AB114="R"),"",IF($AB114="D",INDEX($AF$8:$AF$407,$AA114),SUMIF($T$8:$T$407,INDEX($T$8:$T$407,$AA114),$AF$8:$AF$407)))))))</f>
        <v/>
      </c>
      <c r="F114" s="32">
        <f>IF($AB114="G",SUM($AG$8:$AG$407),IF(OR($AB114="",$AB114="R"),"",IF($AB114="D",INDEX($AG$8:$AG$407,$AA114),SUMIF($T$8:$T$407,INDEX($T$8:$T$407,$AA114),$AG$8:$AG$407))))</f>
        <v/>
      </c>
      <c r="G114" s="32">
        <f>IF(OR($AB114="",$AB114="R"),"",ROUND($E114-$F114,2))</f>
        <v/>
      </c>
      <c r="H114" s="32">
        <f>IF($AB114="G",SUM($AH$8:$AH$407),IF(OR($AB114="",$AB114="R"),"",IF($AB114="D",INDEX($AH$8:$AH$407,$AA114),SUMIF($T$8:$T$407,INDEX($T$8:$T$407,$AA114),$AH$8:$AH$407))))</f>
        <v/>
      </c>
      <c r="J114">
        <f>IFERROR(MATCH(107,บันทึกรายเที่ยว!$W$6:$W$6005,0),"")</f>
        <v/>
      </c>
      <c r="K114">
        <f>IF($J114="","",INDEX(บันทึกรายเที่ยว!$T$6:$T$6005,$J114))</f>
        <v/>
      </c>
      <c r="L114">
        <f>IF($J114="","",INDEX(บันทึกรายเที่ยว!$S$6:$S$6005,$J114))</f>
        <v/>
      </c>
      <c r="M114">
        <f>IF($J114="","",INDEX(บันทึกรายเที่ยว!$R$6:$R$6005,$J114))</f>
        <v/>
      </c>
      <c r="N114">
        <f>IF($J114="","",MATCH($M114,บันทึกรายเที่ยว!$R$6:$R$6005,0))</f>
        <v/>
      </c>
      <c r="O114">
        <f>IF($J114="","",MATCH($L114,บันทึกรายเที่ยว!$S$6:$S$6005,0))</f>
        <v/>
      </c>
      <c r="P114">
        <f>IF($J114="","",IF(AND(OR($I$3="(ทั้งหมด)",INDEX(บันทึกรายเที่ยว!$C$6:$C$6005,$J114)=$I$3),OR($I$5="(ทั้งหมด)",INDEX(บันทึกรายเที่ยว!$D$6:$D$6005,$J114)=$I$5),OR($I$7="(ทั้งหมด)",INDEX(บันทึกรายเที่ยว!$F$6:$F$6005,$J114)=$I$7)),$N114*10000000+$O114*1000+107,""))</f>
        <v/>
      </c>
      <c r="Q114">
        <f>IFERROR(MATCH(SMALL($P$8:$P$407,107),$P$8:$P$407,0),"")</f>
        <v/>
      </c>
      <c r="R114">
        <f>IF($Q114="","",INDEX($J$8:$J$407,$Q114))</f>
        <v/>
      </c>
      <c r="S114">
        <f>IF($Q114="","",INDEX($M$8:$M$407,$Q114))</f>
        <v/>
      </c>
      <c r="T114">
        <f>IF($Q114="","",INDEX($L$8:$L$407,$Q114))</f>
        <v/>
      </c>
      <c r="U114">
        <f>IF($Q114="","",INDEX($K$8:$K$407,$Q114))</f>
        <v/>
      </c>
      <c r="V114">
        <f>IF($Q114="",0,IF($S114&lt;&gt;$S113,1,0))</f>
        <v/>
      </c>
      <c r="W114">
        <f>IF($Q114="",0,IF($T114&lt;&gt;$T113,1,0))</f>
        <v/>
      </c>
      <c r="X114">
        <f>IF($Q114="",99999+107,$X113+1+$V113+$W113)</f>
        <v/>
      </c>
      <c r="Y114">
        <f>IF($Q114="","",INDEX(บันทึกรายเที่ยว!$Q$6:$Q$6005,$R114))</f>
        <v/>
      </c>
      <c r="Z114">
        <f>IF($Q114="","",INDEX(บันทึกรายเที่ยว!$F$6:$F$6005,$R114))</f>
        <v/>
      </c>
      <c r="AA114">
        <f>IFERROR(MATCH(107,$X$8:$X$407,1),"")</f>
        <v/>
      </c>
      <c r="AB114">
        <f>IF(107=$AD$1+1,"G",IF($AA114="","",IF(INDEX($Q$8:$Q$407,$AA114)="","",IF(107&gt;INDEX($X$8:$X$407,$AA114)+INDEX($V$8:$V$407,$AA114)+INDEX($W$8:$W$407,$AA114),"",IF(107=INDEX($X$8:$X$407,$AA114)+INDEX($V$8:$V$407,$AA114)+INDEX($W$8:$W$407,$AA114),"D",IF(AND(INDEX($W$8:$W$407,$AA114)=1,107=INDEX($X$8:$X$407,$AA114)+INDEX($V$8:$V$407,$AA114)),"S","R"))))))</f>
        <v/>
      </c>
      <c r="AC114">
        <f>IF(OR($AB114="",$AB114="G"),"",IF($AB114="D",INDEX($U$8:$U$407,$AA114),IF($AB114="S",INDEX($T$8:$T$407,$AA114)&amp;"|*",INDEX($S$8:$S$407,$AA114)&amp;"|*")))</f>
        <v/>
      </c>
      <c r="AE114">
        <f>IF($U114="",0,COUNTIF(บันทึกรายเที่ยว!$T$6:$T$6005,$U114))</f>
        <v/>
      </c>
      <c r="AF114">
        <f>IF($U114="",0,ROUND(SUMIF(บันทึกรายเที่ยว!$T$6:$T$6005,$U114,บันทึกรายเที่ยว!$J$6:$J$6005),2))</f>
        <v/>
      </c>
      <c r="AG114">
        <f>IF($U114="",0,ROUND(SUMIF(บันทึกรายเที่ยว!$T$6:$T$6005,$U114,บันทึกรายเที่ยว!$K$6:$K$6005),2))</f>
        <v/>
      </c>
      <c r="AH114">
        <f>IF($U114="",0,ROUND(SUMIF(บันทึกรายเที่ยว!$T$6:$T$6005,$U114,บันทึกรายเที่ยว!$M$6:$M$6005),2))</f>
        <v/>
      </c>
    </row>
    <row r="115" ht="21" customHeight="1" s="66">
      <c r="A115" s="3">
        <f>IF($AB115="G","ผลรวมทั้งหมด",IF($AB115="R",INDEX($S$8:$S$407,$AA115),""))</f>
        <v/>
      </c>
      <c r="B115" s="3">
        <f>IF($AB115="S",INDEX($Y$8:$Y$407,$AA115),"")</f>
        <v/>
      </c>
      <c r="C115" s="68">
        <f>IF($AB115="D",INDEX($Z$8:$Z$407,$AA115),"")</f>
        <v/>
      </c>
      <c r="D115" s="31">
        <f>IF($AB115="G",SUM($AE$8:$AE$407),IF(OR($AB115="",$AB115="R"),"",IF($AB115="D",INDEX($AE$8:$AE$407,$AA115),SUMIF($T$8:$T$407,INDEX($T$8:$T$407,$AA115),$AE$8:$AE$407))))</f>
        <v/>
      </c>
      <c r="E115" s="32">
        <f>IF(108=$AD$1+3,"ขอแสดงความนับถือ",IF(108=$AD$1+6,"(                 )",IF(108=$AD$1+7,"เจ้าหน้าที่ขนส่ง",IF($AB115="G",SUM($AF$8:$AF$407),IF(OR($AB115="",$AB115="R"),"",IF($AB115="D",INDEX($AF$8:$AF$407,$AA115),SUMIF($T$8:$T$407,INDEX($T$8:$T$407,$AA115),$AF$8:$AF$407)))))))</f>
        <v/>
      </c>
      <c r="F115" s="32">
        <f>IF($AB115="G",SUM($AG$8:$AG$407),IF(OR($AB115="",$AB115="R"),"",IF($AB115="D",INDEX($AG$8:$AG$407,$AA115),SUMIF($T$8:$T$407,INDEX($T$8:$T$407,$AA115),$AG$8:$AG$407))))</f>
        <v/>
      </c>
      <c r="G115" s="32">
        <f>IF(OR($AB115="",$AB115="R"),"",ROUND($E115-$F115,2))</f>
        <v/>
      </c>
      <c r="H115" s="32">
        <f>IF($AB115="G",SUM($AH$8:$AH$407),IF(OR($AB115="",$AB115="R"),"",IF($AB115="D",INDEX($AH$8:$AH$407,$AA115),SUMIF($T$8:$T$407,INDEX($T$8:$T$407,$AA115),$AH$8:$AH$407))))</f>
        <v/>
      </c>
      <c r="J115">
        <f>IFERROR(MATCH(108,บันทึกรายเที่ยว!$W$6:$W$6005,0),"")</f>
        <v/>
      </c>
      <c r="K115">
        <f>IF($J115="","",INDEX(บันทึกรายเที่ยว!$T$6:$T$6005,$J115))</f>
        <v/>
      </c>
      <c r="L115">
        <f>IF($J115="","",INDEX(บันทึกรายเที่ยว!$S$6:$S$6005,$J115))</f>
        <v/>
      </c>
      <c r="M115">
        <f>IF($J115="","",INDEX(บันทึกรายเที่ยว!$R$6:$R$6005,$J115))</f>
        <v/>
      </c>
      <c r="N115">
        <f>IF($J115="","",MATCH($M115,บันทึกรายเที่ยว!$R$6:$R$6005,0))</f>
        <v/>
      </c>
      <c r="O115">
        <f>IF($J115="","",MATCH($L115,บันทึกรายเที่ยว!$S$6:$S$6005,0))</f>
        <v/>
      </c>
      <c r="P115">
        <f>IF($J115="","",IF(AND(OR($I$3="(ทั้งหมด)",INDEX(บันทึกรายเที่ยว!$C$6:$C$6005,$J115)=$I$3),OR($I$5="(ทั้งหมด)",INDEX(บันทึกรายเที่ยว!$D$6:$D$6005,$J115)=$I$5),OR($I$7="(ทั้งหมด)",INDEX(บันทึกรายเที่ยว!$F$6:$F$6005,$J115)=$I$7)),$N115*10000000+$O115*1000+108,""))</f>
        <v/>
      </c>
      <c r="Q115">
        <f>IFERROR(MATCH(SMALL($P$8:$P$407,108),$P$8:$P$407,0),"")</f>
        <v/>
      </c>
      <c r="R115">
        <f>IF($Q115="","",INDEX($J$8:$J$407,$Q115))</f>
        <v/>
      </c>
      <c r="S115">
        <f>IF($Q115="","",INDEX($M$8:$M$407,$Q115))</f>
        <v/>
      </c>
      <c r="T115">
        <f>IF($Q115="","",INDEX($L$8:$L$407,$Q115))</f>
        <v/>
      </c>
      <c r="U115">
        <f>IF($Q115="","",INDEX($K$8:$K$407,$Q115))</f>
        <v/>
      </c>
      <c r="V115">
        <f>IF($Q115="",0,IF($S115&lt;&gt;$S114,1,0))</f>
        <v/>
      </c>
      <c r="W115">
        <f>IF($Q115="",0,IF($T115&lt;&gt;$T114,1,0))</f>
        <v/>
      </c>
      <c r="X115">
        <f>IF($Q115="",99999+108,$X114+1+$V114+$W114)</f>
        <v/>
      </c>
      <c r="Y115">
        <f>IF($Q115="","",INDEX(บันทึกรายเที่ยว!$Q$6:$Q$6005,$R115))</f>
        <v/>
      </c>
      <c r="Z115">
        <f>IF($Q115="","",INDEX(บันทึกรายเที่ยว!$F$6:$F$6005,$R115))</f>
        <v/>
      </c>
      <c r="AA115">
        <f>IFERROR(MATCH(108,$X$8:$X$407,1),"")</f>
        <v/>
      </c>
      <c r="AB115">
        <f>IF(108=$AD$1+1,"G",IF($AA115="","",IF(INDEX($Q$8:$Q$407,$AA115)="","",IF(108&gt;INDEX($X$8:$X$407,$AA115)+INDEX($V$8:$V$407,$AA115)+INDEX($W$8:$W$407,$AA115),"",IF(108=INDEX($X$8:$X$407,$AA115)+INDEX($V$8:$V$407,$AA115)+INDEX($W$8:$W$407,$AA115),"D",IF(AND(INDEX($W$8:$W$407,$AA115)=1,108=INDEX($X$8:$X$407,$AA115)+INDEX($V$8:$V$407,$AA115)),"S","R"))))))</f>
        <v/>
      </c>
      <c r="AC115">
        <f>IF(OR($AB115="",$AB115="G"),"",IF($AB115="D",INDEX($U$8:$U$407,$AA115),IF($AB115="S",INDEX($T$8:$T$407,$AA115)&amp;"|*",INDEX($S$8:$S$407,$AA115)&amp;"|*")))</f>
        <v/>
      </c>
      <c r="AE115">
        <f>IF($U115="",0,COUNTIF(บันทึกรายเที่ยว!$T$6:$T$6005,$U115))</f>
        <v/>
      </c>
      <c r="AF115">
        <f>IF($U115="",0,ROUND(SUMIF(บันทึกรายเที่ยว!$T$6:$T$6005,$U115,บันทึกรายเที่ยว!$J$6:$J$6005),2))</f>
        <v/>
      </c>
      <c r="AG115">
        <f>IF($U115="",0,ROUND(SUMIF(บันทึกรายเที่ยว!$T$6:$T$6005,$U115,บันทึกรายเที่ยว!$K$6:$K$6005),2))</f>
        <v/>
      </c>
      <c r="AH115">
        <f>IF($U115="",0,ROUND(SUMIF(บันทึกรายเที่ยว!$T$6:$T$6005,$U115,บันทึกรายเที่ยว!$M$6:$M$6005),2))</f>
        <v/>
      </c>
    </row>
    <row r="116" ht="21" customHeight="1" s="66">
      <c r="A116" s="3">
        <f>IF($AB116="G","ผลรวมทั้งหมด",IF($AB116="R",INDEX($S$8:$S$407,$AA116),""))</f>
        <v/>
      </c>
      <c r="B116" s="3">
        <f>IF($AB116="S",INDEX($Y$8:$Y$407,$AA116),"")</f>
        <v/>
      </c>
      <c r="C116" s="68">
        <f>IF($AB116="D",INDEX($Z$8:$Z$407,$AA116),"")</f>
        <v/>
      </c>
      <c r="D116" s="31">
        <f>IF($AB116="G",SUM($AE$8:$AE$407),IF(OR($AB116="",$AB116="R"),"",IF($AB116="D",INDEX($AE$8:$AE$407,$AA116),SUMIF($T$8:$T$407,INDEX($T$8:$T$407,$AA116),$AE$8:$AE$407))))</f>
        <v/>
      </c>
      <c r="E116" s="32">
        <f>IF(109=$AD$1+3,"ขอแสดงความนับถือ",IF(109=$AD$1+6,"(                 )",IF(109=$AD$1+7,"เจ้าหน้าที่ขนส่ง",IF($AB116="G",SUM($AF$8:$AF$407),IF(OR($AB116="",$AB116="R"),"",IF($AB116="D",INDEX($AF$8:$AF$407,$AA116),SUMIF($T$8:$T$407,INDEX($T$8:$T$407,$AA116),$AF$8:$AF$407)))))))</f>
        <v/>
      </c>
      <c r="F116" s="32">
        <f>IF($AB116="G",SUM($AG$8:$AG$407),IF(OR($AB116="",$AB116="R"),"",IF($AB116="D",INDEX($AG$8:$AG$407,$AA116),SUMIF($T$8:$T$407,INDEX($T$8:$T$407,$AA116),$AG$8:$AG$407))))</f>
        <v/>
      </c>
      <c r="G116" s="32">
        <f>IF(OR($AB116="",$AB116="R"),"",ROUND($E116-$F116,2))</f>
        <v/>
      </c>
      <c r="H116" s="32">
        <f>IF($AB116="G",SUM($AH$8:$AH$407),IF(OR($AB116="",$AB116="R"),"",IF($AB116="D",INDEX($AH$8:$AH$407,$AA116),SUMIF($T$8:$T$407,INDEX($T$8:$T$407,$AA116),$AH$8:$AH$407))))</f>
        <v/>
      </c>
      <c r="J116">
        <f>IFERROR(MATCH(109,บันทึกรายเที่ยว!$W$6:$W$6005,0),"")</f>
        <v/>
      </c>
      <c r="K116">
        <f>IF($J116="","",INDEX(บันทึกรายเที่ยว!$T$6:$T$6005,$J116))</f>
        <v/>
      </c>
      <c r="L116">
        <f>IF($J116="","",INDEX(บันทึกรายเที่ยว!$S$6:$S$6005,$J116))</f>
        <v/>
      </c>
      <c r="M116">
        <f>IF($J116="","",INDEX(บันทึกรายเที่ยว!$R$6:$R$6005,$J116))</f>
        <v/>
      </c>
      <c r="N116">
        <f>IF($J116="","",MATCH($M116,บันทึกรายเที่ยว!$R$6:$R$6005,0))</f>
        <v/>
      </c>
      <c r="O116">
        <f>IF($J116="","",MATCH($L116,บันทึกรายเที่ยว!$S$6:$S$6005,0))</f>
        <v/>
      </c>
      <c r="P116">
        <f>IF($J116="","",IF(AND(OR($I$3="(ทั้งหมด)",INDEX(บันทึกรายเที่ยว!$C$6:$C$6005,$J116)=$I$3),OR($I$5="(ทั้งหมด)",INDEX(บันทึกรายเที่ยว!$D$6:$D$6005,$J116)=$I$5),OR($I$7="(ทั้งหมด)",INDEX(บันทึกรายเที่ยว!$F$6:$F$6005,$J116)=$I$7)),$N116*10000000+$O116*1000+109,""))</f>
        <v/>
      </c>
      <c r="Q116">
        <f>IFERROR(MATCH(SMALL($P$8:$P$407,109),$P$8:$P$407,0),"")</f>
        <v/>
      </c>
      <c r="R116">
        <f>IF($Q116="","",INDEX($J$8:$J$407,$Q116))</f>
        <v/>
      </c>
      <c r="S116">
        <f>IF($Q116="","",INDEX($M$8:$M$407,$Q116))</f>
        <v/>
      </c>
      <c r="T116">
        <f>IF($Q116="","",INDEX($L$8:$L$407,$Q116))</f>
        <v/>
      </c>
      <c r="U116">
        <f>IF($Q116="","",INDEX($K$8:$K$407,$Q116))</f>
        <v/>
      </c>
      <c r="V116">
        <f>IF($Q116="",0,IF($S116&lt;&gt;$S115,1,0))</f>
        <v/>
      </c>
      <c r="W116">
        <f>IF($Q116="",0,IF($T116&lt;&gt;$T115,1,0))</f>
        <v/>
      </c>
      <c r="X116">
        <f>IF($Q116="",99999+109,$X115+1+$V115+$W115)</f>
        <v/>
      </c>
      <c r="Y116">
        <f>IF($Q116="","",INDEX(บันทึกรายเที่ยว!$Q$6:$Q$6005,$R116))</f>
        <v/>
      </c>
      <c r="Z116">
        <f>IF($Q116="","",INDEX(บันทึกรายเที่ยว!$F$6:$F$6005,$R116))</f>
        <v/>
      </c>
      <c r="AA116">
        <f>IFERROR(MATCH(109,$X$8:$X$407,1),"")</f>
        <v/>
      </c>
      <c r="AB116">
        <f>IF(109=$AD$1+1,"G",IF($AA116="","",IF(INDEX($Q$8:$Q$407,$AA116)="","",IF(109&gt;INDEX($X$8:$X$407,$AA116)+INDEX($V$8:$V$407,$AA116)+INDEX($W$8:$W$407,$AA116),"",IF(109=INDEX($X$8:$X$407,$AA116)+INDEX($V$8:$V$407,$AA116)+INDEX($W$8:$W$407,$AA116),"D",IF(AND(INDEX($W$8:$W$407,$AA116)=1,109=INDEX($X$8:$X$407,$AA116)+INDEX($V$8:$V$407,$AA116)),"S","R"))))))</f>
        <v/>
      </c>
      <c r="AC116">
        <f>IF(OR($AB116="",$AB116="G"),"",IF($AB116="D",INDEX($U$8:$U$407,$AA116),IF($AB116="S",INDEX($T$8:$T$407,$AA116)&amp;"|*",INDEX($S$8:$S$407,$AA116)&amp;"|*")))</f>
        <v/>
      </c>
      <c r="AE116">
        <f>IF($U116="",0,COUNTIF(บันทึกรายเที่ยว!$T$6:$T$6005,$U116))</f>
        <v/>
      </c>
      <c r="AF116">
        <f>IF($U116="",0,ROUND(SUMIF(บันทึกรายเที่ยว!$T$6:$T$6005,$U116,บันทึกรายเที่ยว!$J$6:$J$6005),2))</f>
        <v/>
      </c>
      <c r="AG116">
        <f>IF($U116="",0,ROUND(SUMIF(บันทึกรายเที่ยว!$T$6:$T$6005,$U116,บันทึกรายเที่ยว!$K$6:$K$6005),2))</f>
        <v/>
      </c>
      <c r="AH116">
        <f>IF($U116="",0,ROUND(SUMIF(บันทึกรายเที่ยว!$T$6:$T$6005,$U116,บันทึกรายเที่ยว!$M$6:$M$6005),2))</f>
        <v/>
      </c>
    </row>
    <row r="117" ht="21" customHeight="1" s="66">
      <c r="A117" s="3">
        <f>IF($AB117="G","ผลรวมทั้งหมด",IF($AB117="R",INDEX($S$8:$S$407,$AA117),""))</f>
        <v/>
      </c>
      <c r="B117" s="3">
        <f>IF($AB117="S",INDEX($Y$8:$Y$407,$AA117),"")</f>
        <v/>
      </c>
      <c r="C117" s="68">
        <f>IF($AB117="D",INDEX($Z$8:$Z$407,$AA117),"")</f>
        <v/>
      </c>
      <c r="D117" s="31">
        <f>IF($AB117="G",SUM($AE$8:$AE$407),IF(OR($AB117="",$AB117="R"),"",IF($AB117="D",INDEX($AE$8:$AE$407,$AA117),SUMIF($T$8:$T$407,INDEX($T$8:$T$407,$AA117),$AE$8:$AE$407))))</f>
        <v/>
      </c>
      <c r="E117" s="32">
        <f>IF(110=$AD$1+3,"ขอแสดงความนับถือ",IF(110=$AD$1+6,"(                 )",IF(110=$AD$1+7,"เจ้าหน้าที่ขนส่ง",IF($AB117="G",SUM($AF$8:$AF$407),IF(OR($AB117="",$AB117="R"),"",IF($AB117="D",INDEX($AF$8:$AF$407,$AA117),SUMIF($T$8:$T$407,INDEX($T$8:$T$407,$AA117),$AF$8:$AF$407)))))))</f>
        <v/>
      </c>
      <c r="F117" s="32">
        <f>IF($AB117="G",SUM($AG$8:$AG$407),IF(OR($AB117="",$AB117="R"),"",IF($AB117="D",INDEX($AG$8:$AG$407,$AA117),SUMIF($T$8:$T$407,INDEX($T$8:$T$407,$AA117),$AG$8:$AG$407))))</f>
        <v/>
      </c>
      <c r="G117" s="32">
        <f>IF(OR($AB117="",$AB117="R"),"",ROUND($E117-$F117,2))</f>
        <v/>
      </c>
      <c r="H117" s="32">
        <f>IF($AB117="G",SUM($AH$8:$AH$407),IF(OR($AB117="",$AB117="R"),"",IF($AB117="D",INDEX($AH$8:$AH$407,$AA117),SUMIF($T$8:$T$407,INDEX($T$8:$T$407,$AA117),$AH$8:$AH$407))))</f>
        <v/>
      </c>
      <c r="J117">
        <f>IFERROR(MATCH(110,บันทึกรายเที่ยว!$W$6:$W$6005,0),"")</f>
        <v/>
      </c>
      <c r="K117">
        <f>IF($J117="","",INDEX(บันทึกรายเที่ยว!$T$6:$T$6005,$J117))</f>
        <v/>
      </c>
      <c r="L117">
        <f>IF($J117="","",INDEX(บันทึกรายเที่ยว!$S$6:$S$6005,$J117))</f>
        <v/>
      </c>
      <c r="M117">
        <f>IF($J117="","",INDEX(บันทึกรายเที่ยว!$R$6:$R$6005,$J117))</f>
        <v/>
      </c>
      <c r="N117">
        <f>IF($J117="","",MATCH($M117,บันทึกรายเที่ยว!$R$6:$R$6005,0))</f>
        <v/>
      </c>
      <c r="O117">
        <f>IF($J117="","",MATCH($L117,บันทึกรายเที่ยว!$S$6:$S$6005,0))</f>
        <v/>
      </c>
      <c r="P117">
        <f>IF($J117="","",IF(AND(OR($I$3="(ทั้งหมด)",INDEX(บันทึกรายเที่ยว!$C$6:$C$6005,$J117)=$I$3),OR($I$5="(ทั้งหมด)",INDEX(บันทึกรายเที่ยว!$D$6:$D$6005,$J117)=$I$5),OR($I$7="(ทั้งหมด)",INDEX(บันทึกรายเที่ยว!$F$6:$F$6005,$J117)=$I$7)),$N117*10000000+$O117*1000+110,""))</f>
        <v/>
      </c>
      <c r="Q117">
        <f>IFERROR(MATCH(SMALL($P$8:$P$407,110),$P$8:$P$407,0),"")</f>
        <v/>
      </c>
      <c r="R117">
        <f>IF($Q117="","",INDEX($J$8:$J$407,$Q117))</f>
        <v/>
      </c>
      <c r="S117">
        <f>IF($Q117="","",INDEX($M$8:$M$407,$Q117))</f>
        <v/>
      </c>
      <c r="T117">
        <f>IF($Q117="","",INDEX($L$8:$L$407,$Q117))</f>
        <v/>
      </c>
      <c r="U117">
        <f>IF($Q117="","",INDEX($K$8:$K$407,$Q117))</f>
        <v/>
      </c>
      <c r="V117">
        <f>IF($Q117="",0,IF($S117&lt;&gt;$S116,1,0))</f>
        <v/>
      </c>
      <c r="W117">
        <f>IF($Q117="",0,IF($T117&lt;&gt;$T116,1,0))</f>
        <v/>
      </c>
      <c r="X117">
        <f>IF($Q117="",99999+110,$X116+1+$V116+$W116)</f>
        <v/>
      </c>
      <c r="Y117">
        <f>IF($Q117="","",INDEX(บันทึกรายเที่ยว!$Q$6:$Q$6005,$R117))</f>
        <v/>
      </c>
      <c r="Z117">
        <f>IF($Q117="","",INDEX(บันทึกรายเที่ยว!$F$6:$F$6005,$R117))</f>
        <v/>
      </c>
      <c r="AA117">
        <f>IFERROR(MATCH(110,$X$8:$X$407,1),"")</f>
        <v/>
      </c>
      <c r="AB117">
        <f>IF(110=$AD$1+1,"G",IF($AA117="","",IF(INDEX($Q$8:$Q$407,$AA117)="","",IF(110&gt;INDEX($X$8:$X$407,$AA117)+INDEX($V$8:$V$407,$AA117)+INDEX($W$8:$W$407,$AA117),"",IF(110=INDEX($X$8:$X$407,$AA117)+INDEX($V$8:$V$407,$AA117)+INDEX($W$8:$W$407,$AA117),"D",IF(AND(INDEX($W$8:$W$407,$AA117)=1,110=INDEX($X$8:$X$407,$AA117)+INDEX($V$8:$V$407,$AA117)),"S","R"))))))</f>
        <v/>
      </c>
      <c r="AC117">
        <f>IF(OR($AB117="",$AB117="G"),"",IF($AB117="D",INDEX($U$8:$U$407,$AA117),IF($AB117="S",INDEX($T$8:$T$407,$AA117)&amp;"|*",INDEX($S$8:$S$407,$AA117)&amp;"|*")))</f>
        <v/>
      </c>
      <c r="AE117">
        <f>IF($U117="",0,COUNTIF(บันทึกรายเที่ยว!$T$6:$T$6005,$U117))</f>
        <v/>
      </c>
      <c r="AF117">
        <f>IF($U117="",0,ROUND(SUMIF(บันทึกรายเที่ยว!$T$6:$T$6005,$U117,บันทึกรายเที่ยว!$J$6:$J$6005),2))</f>
        <v/>
      </c>
      <c r="AG117">
        <f>IF($U117="",0,ROUND(SUMIF(บันทึกรายเที่ยว!$T$6:$T$6005,$U117,บันทึกรายเที่ยว!$K$6:$K$6005),2))</f>
        <v/>
      </c>
      <c r="AH117">
        <f>IF($U117="",0,ROUND(SUMIF(บันทึกรายเที่ยว!$T$6:$T$6005,$U117,บันทึกรายเที่ยว!$M$6:$M$6005),2))</f>
        <v/>
      </c>
    </row>
    <row r="118" ht="21" customHeight="1" s="66">
      <c r="A118" s="3">
        <f>IF($AB118="G","ผลรวมทั้งหมด",IF($AB118="R",INDEX($S$8:$S$407,$AA118),""))</f>
        <v/>
      </c>
      <c r="B118" s="3">
        <f>IF($AB118="S",INDEX($Y$8:$Y$407,$AA118),"")</f>
        <v/>
      </c>
      <c r="C118" s="68">
        <f>IF($AB118="D",INDEX($Z$8:$Z$407,$AA118),"")</f>
        <v/>
      </c>
      <c r="D118" s="31">
        <f>IF($AB118="G",SUM($AE$8:$AE$407),IF(OR($AB118="",$AB118="R"),"",IF($AB118="D",INDEX($AE$8:$AE$407,$AA118),SUMIF($T$8:$T$407,INDEX($T$8:$T$407,$AA118),$AE$8:$AE$407))))</f>
        <v/>
      </c>
      <c r="E118" s="32">
        <f>IF(111=$AD$1+3,"ขอแสดงความนับถือ",IF(111=$AD$1+6,"(                 )",IF(111=$AD$1+7,"เจ้าหน้าที่ขนส่ง",IF($AB118="G",SUM($AF$8:$AF$407),IF(OR($AB118="",$AB118="R"),"",IF($AB118="D",INDEX($AF$8:$AF$407,$AA118),SUMIF($T$8:$T$407,INDEX($T$8:$T$407,$AA118),$AF$8:$AF$407)))))))</f>
        <v/>
      </c>
      <c r="F118" s="32">
        <f>IF($AB118="G",SUM($AG$8:$AG$407),IF(OR($AB118="",$AB118="R"),"",IF($AB118="D",INDEX($AG$8:$AG$407,$AA118),SUMIF($T$8:$T$407,INDEX($T$8:$T$407,$AA118),$AG$8:$AG$407))))</f>
        <v/>
      </c>
      <c r="G118" s="32">
        <f>IF(OR($AB118="",$AB118="R"),"",ROUND($E118-$F118,2))</f>
        <v/>
      </c>
      <c r="H118" s="32">
        <f>IF($AB118="G",SUM($AH$8:$AH$407),IF(OR($AB118="",$AB118="R"),"",IF($AB118="D",INDEX($AH$8:$AH$407,$AA118),SUMIF($T$8:$T$407,INDEX($T$8:$T$407,$AA118),$AH$8:$AH$407))))</f>
        <v/>
      </c>
      <c r="J118">
        <f>IFERROR(MATCH(111,บันทึกรายเที่ยว!$W$6:$W$6005,0),"")</f>
        <v/>
      </c>
      <c r="K118">
        <f>IF($J118="","",INDEX(บันทึกรายเที่ยว!$T$6:$T$6005,$J118))</f>
        <v/>
      </c>
      <c r="L118">
        <f>IF($J118="","",INDEX(บันทึกรายเที่ยว!$S$6:$S$6005,$J118))</f>
        <v/>
      </c>
      <c r="M118">
        <f>IF($J118="","",INDEX(บันทึกรายเที่ยว!$R$6:$R$6005,$J118))</f>
        <v/>
      </c>
      <c r="N118">
        <f>IF($J118="","",MATCH($M118,บันทึกรายเที่ยว!$R$6:$R$6005,0))</f>
        <v/>
      </c>
      <c r="O118">
        <f>IF($J118="","",MATCH($L118,บันทึกรายเที่ยว!$S$6:$S$6005,0))</f>
        <v/>
      </c>
      <c r="P118">
        <f>IF($J118="","",IF(AND(OR($I$3="(ทั้งหมด)",INDEX(บันทึกรายเที่ยว!$C$6:$C$6005,$J118)=$I$3),OR($I$5="(ทั้งหมด)",INDEX(บันทึกรายเที่ยว!$D$6:$D$6005,$J118)=$I$5),OR($I$7="(ทั้งหมด)",INDEX(บันทึกรายเที่ยว!$F$6:$F$6005,$J118)=$I$7)),$N118*10000000+$O118*1000+111,""))</f>
        <v/>
      </c>
      <c r="Q118">
        <f>IFERROR(MATCH(SMALL($P$8:$P$407,111),$P$8:$P$407,0),"")</f>
        <v/>
      </c>
      <c r="R118">
        <f>IF($Q118="","",INDEX($J$8:$J$407,$Q118))</f>
        <v/>
      </c>
      <c r="S118">
        <f>IF($Q118="","",INDEX($M$8:$M$407,$Q118))</f>
        <v/>
      </c>
      <c r="T118">
        <f>IF($Q118="","",INDEX($L$8:$L$407,$Q118))</f>
        <v/>
      </c>
      <c r="U118">
        <f>IF($Q118="","",INDEX($K$8:$K$407,$Q118))</f>
        <v/>
      </c>
      <c r="V118">
        <f>IF($Q118="",0,IF($S118&lt;&gt;$S117,1,0))</f>
        <v/>
      </c>
      <c r="W118">
        <f>IF($Q118="",0,IF($T118&lt;&gt;$T117,1,0))</f>
        <v/>
      </c>
      <c r="X118">
        <f>IF($Q118="",99999+111,$X117+1+$V117+$W117)</f>
        <v/>
      </c>
      <c r="Y118">
        <f>IF($Q118="","",INDEX(บันทึกรายเที่ยว!$Q$6:$Q$6005,$R118))</f>
        <v/>
      </c>
      <c r="Z118">
        <f>IF($Q118="","",INDEX(บันทึกรายเที่ยว!$F$6:$F$6005,$R118))</f>
        <v/>
      </c>
      <c r="AA118">
        <f>IFERROR(MATCH(111,$X$8:$X$407,1),"")</f>
        <v/>
      </c>
      <c r="AB118">
        <f>IF(111=$AD$1+1,"G",IF($AA118="","",IF(INDEX($Q$8:$Q$407,$AA118)="","",IF(111&gt;INDEX($X$8:$X$407,$AA118)+INDEX($V$8:$V$407,$AA118)+INDEX($W$8:$W$407,$AA118),"",IF(111=INDEX($X$8:$X$407,$AA118)+INDEX($V$8:$V$407,$AA118)+INDEX($W$8:$W$407,$AA118),"D",IF(AND(INDEX($W$8:$W$407,$AA118)=1,111=INDEX($X$8:$X$407,$AA118)+INDEX($V$8:$V$407,$AA118)),"S","R"))))))</f>
        <v/>
      </c>
      <c r="AC118">
        <f>IF(OR($AB118="",$AB118="G"),"",IF($AB118="D",INDEX($U$8:$U$407,$AA118),IF($AB118="S",INDEX($T$8:$T$407,$AA118)&amp;"|*",INDEX($S$8:$S$407,$AA118)&amp;"|*")))</f>
        <v/>
      </c>
      <c r="AE118">
        <f>IF($U118="",0,COUNTIF(บันทึกรายเที่ยว!$T$6:$T$6005,$U118))</f>
        <v/>
      </c>
      <c r="AF118">
        <f>IF($U118="",0,ROUND(SUMIF(บันทึกรายเที่ยว!$T$6:$T$6005,$U118,บันทึกรายเที่ยว!$J$6:$J$6005),2))</f>
        <v/>
      </c>
      <c r="AG118">
        <f>IF($U118="",0,ROUND(SUMIF(บันทึกรายเที่ยว!$T$6:$T$6005,$U118,บันทึกรายเที่ยว!$K$6:$K$6005),2))</f>
        <v/>
      </c>
      <c r="AH118">
        <f>IF($U118="",0,ROUND(SUMIF(บันทึกรายเที่ยว!$T$6:$T$6005,$U118,บันทึกรายเที่ยว!$M$6:$M$6005),2))</f>
        <v/>
      </c>
    </row>
    <row r="119" ht="21" customHeight="1" s="66">
      <c r="A119" s="3">
        <f>IF($AB119="G","ผลรวมทั้งหมด",IF($AB119="R",INDEX($S$8:$S$407,$AA119),""))</f>
        <v/>
      </c>
      <c r="B119" s="3">
        <f>IF($AB119="S",INDEX($Y$8:$Y$407,$AA119),"")</f>
        <v/>
      </c>
      <c r="C119" s="68">
        <f>IF($AB119="D",INDEX($Z$8:$Z$407,$AA119),"")</f>
        <v/>
      </c>
      <c r="D119" s="31">
        <f>IF($AB119="G",SUM($AE$8:$AE$407),IF(OR($AB119="",$AB119="R"),"",IF($AB119="D",INDEX($AE$8:$AE$407,$AA119),SUMIF($T$8:$T$407,INDEX($T$8:$T$407,$AA119),$AE$8:$AE$407))))</f>
        <v/>
      </c>
      <c r="E119" s="32">
        <f>IF(112=$AD$1+3,"ขอแสดงความนับถือ",IF(112=$AD$1+6,"(                 )",IF(112=$AD$1+7,"เจ้าหน้าที่ขนส่ง",IF($AB119="G",SUM($AF$8:$AF$407),IF(OR($AB119="",$AB119="R"),"",IF($AB119="D",INDEX($AF$8:$AF$407,$AA119),SUMIF($T$8:$T$407,INDEX($T$8:$T$407,$AA119),$AF$8:$AF$407)))))))</f>
        <v/>
      </c>
      <c r="F119" s="32">
        <f>IF($AB119="G",SUM($AG$8:$AG$407),IF(OR($AB119="",$AB119="R"),"",IF($AB119="D",INDEX($AG$8:$AG$407,$AA119),SUMIF($T$8:$T$407,INDEX($T$8:$T$407,$AA119),$AG$8:$AG$407))))</f>
        <v/>
      </c>
      <c r="G119" s="32">
        <f>IF(OR($AB119="",$AB119="R"),"",ROUND($E119-$F119,2))</f>
        <v/>
      </c>
      <c r="H119" s="32">
        <f>IF($AB119="G",SUM($AH$8:$AH$407),IF(OR($AB119="",$AB119="R"),"",IF($AB119="D",INDEX($AH$8:$AH$407,$AA119),SUMIF($T$8:$T$407,INDEX($T$8:$T$407,$AA119),$AH$8:$AH$407))))</f>
        <v/>
      </c>
      <c r="J119">
        <f>IFERROR(MATCH(112,บันทึกรายเที่ยว!$W$6:$W$6005,0),"")</f>
        <v/>
      </c>
      <c r="K119">
        <f>IF($J119="","",INDEX(บันทึกรายเที่ยว!$T$6:$T$6005,$J119))</f>
        <v/>
      </c>
      <c r="L119">
        <f>IF($J119="","",INDEX(บันทึกรายเที่ยว!$S$6:$S$6005,$J119))</f>
        <v/>
      </c>
      <c r="M119">
        <f>IF($J119="","",INDEX(บันทึกรายเที่ยว!$R$6:$R$6005,$J119))</f>
        <v/>
      </c>
      <c r="N119">
        <f>IF($J119="","",MATCH($M119,บันทึกรายเที่ยว!$R$6:$R$6005,0))</f>
        <v/>
      </c>
      <c r="O119">
        <f>IF($J119="","",MATCH($L119,บันทึกรายเที่ยว!$S$6:$S$6005,0))</f>
        <v/>
      </c>
      <c r="P119">
        <f>IF($J119="","",IF(AND(OR($I$3="(ทั้งหมด)",INDEX(บันทึกรายเที่ยว!$C$6:$C$6005,$J119)=$I$3),OR($I$5="(ทั้งหมด)",INDEX(บันทึกรายเที่ยว!$D$6:$D$6005,$J119)=$I$5),OR($I$7="(ทั้งหมด)",INDEX(บันทึกรายเที่ยว!$F$6:$F$6005,$J119)=$I$7)),$N119*10000000+$O119*1000+112,""))</f>
        <v/>
      </c>
      <c r="Q119">
        <f>IFERROR(MATCH(SMALL($P$8:$P$407,112),$P$8:$P$407,0),"")</f>
        <v/>
      </c>
      <c r="R119">
        <f>IF($Q119="","",INDEX($J$8:$J$407,$Q119))</f>
        <v/>
      </c>
      <c r="S119">
        <f>IF($Q119="","",INDEX($M$8:$M$407,$Q119))</f>
        <v/>
      </c>
      <c r="T119">
        <f>IF($Q119="","",INDEX($L$8:$L$407,$Q119))</f>
        <v/>
      </c>
      <c r="U119">
        <f>IF($Q119="","",INDEX($K$8:$K$407,$Q119))</f>
        <v/>
      </c>
      <c r="V119">
        <f>IF($Q119="",0,IF($S119&lt;&gt;$S118,1,0))</f>
        <v/>
      </c>
      <c r="W119">
        <f>IF($Q119="",0,IF($T119&lt;&gt;$T118,1,0))</f>
        <v/>
      </c>
      <c r="X119">
        <f>IF($Q119="",99999+112,$X118+1+$V118+$W118)</f>
        <v/>
      </c>
      <c r="Y119">
        <f>IF($Q119="","",INDEX(บันทึกรายเที่ยว!$Q$6:$Q$6005,$R119))</f>
        <v/>
      </c>
      <c r="Z119">
        <f>IF($Q119="","",INDEX(บันทึกรายเที่ยว!$F$6:$F$6005,$R119))</f>
        <v/>
      </c>
      <c r="AA119">
        <f>IFERROR(MATCH(112,$X$8:$X$407,1),"")</f>
        <v/>
      </c>
      <c r="AB119">
        <f>IF(112=$AD$1+1,"G",IF($AA119="","",IF(INDEX($Q$8:$Q$407,$AA119)="","",IF(112&gt;INDEX($X$8:$X$407,$AA119)+INDEX($V$8:$V$407,$AA119)+INDEX($W$8:$W$407,$AA119),"",IF(112=INDEX($X$8:$X$407,$AA119)+INDEX($V$8:$V$407,$AA119)+INDEX($W$8:$W$407,$AA119),"D",IF(AND(INDEX($W$8:$W$407,$AA119)=1,112=INDEX($X$8:$X$407,$AA119)+INDEX($V$8:$V$407,$AA119)),"S","R"))))))</f>
        <v/>
      </c>
      <c r="AC119">
        <f>IF(OR($AB119="",$AB119="G"),"",IF($AB119="D",INDEX($U$8:$U$407,$AA119),IF($AB119="S",INDEX($T$8:$T$407,$AA119)&amp;"|*",INDEX($S$8:$S$407,$AA119)&amp;"|*")))</f>
        <v/>
      </c>
      <c r="AE119">
        <f>IF($U119="",0,COUNTIF(บันทึกรายเที่ยว!$T$6:$T$6005,$U119))</f>
        <v/>
      </c>
      <c r="AF119">
        <f>IF($U119="",0,ROUND(SUMIF(บันทึกรายเที่ยว!$T$6:$T$6005,$U119,บันทึกรายเที่ยว!$J$6:$J$6005),2))</f>
        <v/>
      </c>
      <c r="AG119">
        <f>IF($U119="",0,ROUND(SUMIF(บันทึกรายเที่ยว!$T$6:$T$6005,$U119,บันทึกรายเที่ยว!$K$6:$K$6005),2))</f>
        <v/>
      </c>
      <c r="AH119">
        <f>IF($U119="",0,ROUND(SUMIF(บันทึกรายเที่ยว!$T$6:$T$6005,$U119,บันทึกรายเที่ยว!$M$6:$M$6005),2))</f>
        <v/>
      </c>
    </row>
    <row r="120" ht="21" customHeight="1" s="66">
      <c r="A120" s="3">
        <f>IF($AB120="G","ผลรวมทั้งหมด",IF($AB120="R",INDEX($S$8:$S$407,$AA120),""))</f>
        <v/>
      </c>
      <c r="B120" s="3">
        <f>IF($AB120="S",INDEX($Y$8:$Y$407,$AA120),"")</f>
        <v/>
      </c>
      <c r="C120" s="68">
        <f>IF($AB120="D",INDEX($Z$8:$Z$407,$AA120),"")</f>
        <v/>
      </c>
      <c r="D120" s="31">
        <f>IF($AB120="G",SUM($AE$8:$AE$407),IF(OR($AB120="",$AB120="R"),"",IF($AB120="D",INDEX($AE$8:$AE$407,$AA120),SUMIF($T$8:$T$407,INDEX($T$8:$T$407,$AA120),$AE$8:$AE$407))))</f>
        <v/>
      </c>
      <c r="E120" s="32">
        <f>IF(113=$AD$1+3,"ขอแสดงความนับถือ",IF(113=$AD$1+6,"(                 )",IF(113=$AD$1+7,"เจ้าหน้าที่ขนส่ง",IF($AB120="G",SUM($AF$8:$AF$407),IF(OR($AB120="",$AB120="R"),"",IF($AB120="D",INDEX($AF$8:$AF$407,$AA120),SUMIF($T$8:$T$407,INDEX($T$8:$T$407,$AA120),$AF$8:$AF$407)))))))</f>
        <v/>
      </c>
      <c r="F120" s="32">
        <f>IF($AB120="G",SUM($AG$8:$AG$407),IF(OR($AB120="",$AB120="R"),"",IF($AB120="D",INDEX($AG$8:$AG$407,$AA120),SUMIF($T$8:$T$407,INDEX($T$8:$T$407,$AA120),$AG$8:$AG$407))))</f>
        <v/>
      </c>
      <c r="G120" s="32">
        <f>IF(OR($AB120="",$AB120="R"),"",ROUND($E120-$F120,2))</f>
        <v/>
      </c>
      <c r="H120" s="32">
        <f>IF($AB120="G",SUM($AH$8:$AH$407),IF(OR($AB120="",$AB120="R"),"",IF($AB120="D",INDEX($AH$8:$AH$407,$AA120),SUMIF($T$8:$T$407,INDEX($T$8:$T$407,$AA120),$AH$8:$AH$407))))</f>
        <v/>
      </c>
      <c r="J120">
        <f>IFERROR(MATCH(113,บันทึกรายเที่ยว!$W$6:$W$6005,0),"")</f>
        <v/>
      </c>
      <c r="K120">
        <f>IF($J120="","",INDEX(บันทึกรายเที่ยว!$T$6:$T$6005,$J120))</f>
        <v/>
      </c>
      <c r="L120">
        <f>IF($J120="","",INDEX(บันทึกรายเที่ยว!$S$6:$S$6005,$J120))</f>
        <v/>
      </c>
      <c r="M120">
        <f>IF($J120="","",INDEX(บันทึกรายเที่ยว!$R$6:$R$6005,$J120))</f>
        <v/>
      </c>
      <c r="N120">
        <f>IF($J120="","",MATCH($M120,บันทึกรายเที่ยว!$R$6:$R$6005,0))</f>
        <v/>
      </c>
      <c r="O120">
        <f>IF($J120="","",MATCH($L120,บันทึกรายเที่ยว!$S$6:$S$6005,0))</f>
        <v/>
      </c>
      <c r="P120">
        <f>IF($J120="","",IF(AND(OR($I$3="(ทั้งหมด)",INDEX(บันทึกรายเที่ยว!$C$6:$C$6005,$J120)=$I$3),OR($I$5="(ทั้งหมด)",INDEX(บันทึกรายเที่ยว!$D$6:$D$6005,$J120)=$I$5),OR($I$7="(ทั้งหมด)",INDEX(บันทึกรายเที่ยว!$F$6:$F$6005,$J120)=$I$7)),$N120*10000000+$O120*1000+113,""))</f>
        <v/>
      </c>
      <c r="Q120">
        <f>IFERROR(MATCH(SMALL($P$8:$P$407,113),$P$8:$P$407,0),"")</f>
        <v/>
      </c>
      <c r="R120">
        <f>IF($Q120="","",INDEX($J$8:$J$407,$Q120))</f>
        <v/>
      </c>
      <c r="S120">
        <f>IF($Q120="","",INDEX($M$8:$M$407,$Q120))</f>
        <v/>
      </c>
      <c r="T120">
        <f>IF($Q120="","",INDEX($L$8:$L$407,$Q120))</f>
        <v/>
      </c>
      <c r="U120">
        <f>IF($Q120="","",INDEX($K$8:$K$407,$Q120))</f>
        <v/>
      </c>
      <c r="V120">
        <f>IF($Q120="",0,IF($S120&lt;&gt;$S119,1,0))</f>
        <v/>
      </c>
      <c r="W120">
        <f>IF($Q120="",0,IF($T120&lt;&gt;$T119,1,0))</f>
        <v/>
      </c>
      <c r="X120">
        <f>IF($Q120="",99999+113,$X119+1+$V119+$W119)</f>
        <v/>
      </c>
      <c r="Y120">
        <f>IF($Q120="","",INDEX(บันทึกรายเที่ยว!$Q$6:$Q$6005,$R120))</f>
        <v/>
      </c>
      <c r="Z120">
        <f>IF($Q120="","",INDEX(บันทึกรายเที่ยว!$F$6:$F$6005,$R120))</f>
        <v/>
      </c>
      <c r="AA120">
        <f>IFERROR(MATCH(113,$X$8:$X$407,1),"")</f>
        <v/>
      </c>
      <c r="AB120">
        <f>IF(113=$AD$1+1,"G",IF($AA120="","",IF(INDEX($Q$8:$Q$407,$AA120)="","",IF(113&gt;INDEX($X$8:$X$407,$AA120)+INDEX($V$8:$V$407,$AA120)+INDEX($W$8:$W$407,$AA120),"",IF(113=INDEX($X$8:$X$407,$AA120)+INDEX($V$8:$V$407,$AA120)+INDEX($W$8:$W$407,$AA120),"D",IF(AND(INDEX($W$8:$W$407,$AA120)=1,113=INDEX($X$8:$X$407,$AA120)+INDEX($V$8:$V$407,$AA120)),"S","R"))))))</f>
        <v/>
      </c>
      <c r="AC120">
        <f>IF(OR($AB120="",$AB120="G"),"",IF($AB120="D",INDEX($U$8:$U$407,$AA120),IF($AB120="S",INDEX($T$8:$T$407,$AA120)&amp;"|*",INDEX($S$8:$S$407,$AA120)&amp;"|*")))</f>
        <v/>
      </c>
      <c r="AE120">
        <f>IF($U120="",0,COUNTIF(บันทึกรายเที่ยว!$T$6:$T$6005,$U120))</f>
        <v/>
      </c>
      <c r="AF120">
        <f>IF($U120="",0,ROUND(SUMIF(บันทึกรายเที่ยว!$T$6:$T$6005,$U120,บันทึกรายเที่ยว!$J$6:$J$6005),2))</f>
        <v/>
      </c>
      <c r="AG120">
        <f>IF($U120="",0,ROUND(SUMIF(บันทึกรายเที่ยว!$T$6:$T$6005,$U120,บันทึกรายเที่ยว!$K$6:$K$6005),2))</f>
        <v/>
      </c>
      <c r="AH120">
        <f>IF($U120="",0,ROUND(SUMIF(บันทึกรายเที่ยว!$T$6:$T$6005,$U120,บันทึกรายเที่ยว!$M$6:$M$6005),2))</f>
        <v/>
      </c>
    </row>
    <row r="121" ht="21" customHeight="1" s="66">
      <c r="A121" s="3">
        <f>IF($AB121="G","ผลรวมทั้งหมด",IF($AB121="R",INDEX($S$8:$S$407,$AA121),""))</f>
        <v/>
      </c>
      <c r="B121" s="3">
        <f>IF($AB121="S",INDEX($Y$8:$Y$407,$AA121),"")</f>
        <v/>
      </c>
      <c r="C121" s="68">
        <f>IF($AB121="D",INDEX($Z$8:$Z$407,$AA121),"")</f>
        <v/>
      </c>
      <c r="D121" s="31">
        <f>IF($AB121="G",SUM($AE$8:$AE$407),IF(OR($AB121="",$AB121="R"),"",IF($AB121="D",INDEX($AE$8:$AE$407,$AA121),SUMIF($T$8:$T$407,INDEX($T$8:$T$407,$AA121),$AE$8:$AE$407))))</f>
        <v/>
      </c>
      <c r="E121" s="32">
        <f>IF(114=$AD$1+3,"ขอแสดงความนับถือ",IF(114=$AD$1+6,"(                 )",IF(114=$AD$1+7,"เจ้าหน้าที่ขนส่ง",IF($AB121="G",SUM($AF$8:$AF$407),IF(OR($AB121="",$AB121="R"),"",IF($AB121="D",INDEX($AF$8:$AF$407,$AA121),SUMIF($T$8:$T$407,INDEX($T$8:$T$407,$AA121),$AF$8:$AF$407)))))))</f>
        <v/>
      </c>
      <c r="F121" s="32">
        <f>IF($AB121="G",SUM($AG$8:$AG$407),IF(OR($AB121="",$AB121="R"),"",IF($AB121="D",INDEX($AG$8:$AG$407,$AA121),SUMIF($T$8:$T$407,INDEX($T$8:$T$407,$AA121),$AG$8:$AG$407))))</f>
        <v/>
      </c>
      <c r="G121" s="32">
        <f>IF(OR($AB121="",$AB121="R"),"",ROUND($E121-$F121,2))</f>
        <v/>
      </c>
      <c r="H121" s="32">
        <f>IF($AB121="G",SUM($AH$8:$AH$407),IF(OR($AB121="",$AB121="R"),"",IF($AB121="D",INDEX($AH$8:$AH$407,$AA121),SUMIF($T$8:$T$407,INDEX($T$8:$T$407,$AA121),$AH$8:$AH$407))))</f>
        <v/>
      </c>
      <c r="J121">
        <f>IFERROR(MATCH(114,บันทึกรายเที่ยว!$W$6:$W$6005,0),"")</f>
        <v/>
      </c>
      <c r="K121">
        <f>IF($J121="","",INDEX(บันทึกรายเที่ยว!$T$6:$T$6005,$J121))</f>
        <v/>
      </c>
      <c r="L121">
        <f>IF($J121="","",INDEX(บันทึกรายเที่ยว!$S$6:$S$6005,$J121))</f>
        <v/>
      </c>
      <c r="M121">
        <f>IF($J121="","",INDEX(บันทึกรายเที่ยว!$R$6:$R$6005,$J121))</f>
        <v/>
      </c>
      <c r="N121">
        <f>IF($J121="","",MATCH($M121,บันทึกรายเที่ยว!$R$6:$R$6005,0))</f>
        <v/>
      </c>
      <c r="O121">
        <f>IF($J121="","",MATCH($L121,บันทึกรายเที่ยว!$S$6:$S$6005,0))</f>
        <v/>
      </c>
      <c r="P121">
        <f>IF($J121="","",IF(AND(OR($I$3="(ทั้งหมด)",INDEX(บันทึกรายเที่ยว!$C$6:$C$6005,$J121)=$I$3),OR($I$5="(ทั้งหมด)",INDEX(บันทึกรายเที่ยว!$D$6:$D$6005,$J121)=$I$5),OR($I$7="(ทั้งหมด)",INDEX(บันทึกรายเที่ยว!$F$6:$F$6005,$J121)=$I$7)),$N121*10000000+$O121*1000+114,""))</f>
        <v/>
      </c>
      <c r="Q121">
        <f>IFERROR(MATCH(SMALL($P$8:$P$407,114),$P$8:$P$407,0),"")</f>
        <v/>
      </c>
      <c r="R121">
        <f>IF($Q121="","",INDEX($J$8:$J$407,$Q121))</f>
        <v/>
      </c>
      <c r="S121">
        <f>IF($Q121="","",INDEX($M$8:$M$407,$Q121))</f>
        <v/>
      </c>
      <c r="T121">
        <f>IF($Q121="","",INDEX($L$8:$L$407,$Q121))</f>
        <v/>
      </c>
      <c r="U121">
        <f>IF($Q121="","",INDEX($K$8:$K$407,$Q121))</f>
        <v/>
      </c>
      <c r="V121">
        <f>IF($Q121="",0,IF($S121&lt;&gt;$S120,1,0))</f>
        <v/>
      </c>
      <c r="W121">
        <f>IF($Q121="",0,IF($T121&lt;&gt;$T120,1,0))</f>
        <v/>
      </c>
      <c r="X121">
        <f>IF($Q121="",99999+114,$X120+1+$V120+$W120)</f>
        <v/>
      </c>
      <c r="Y121">
        <f>IF($Q121="","",INDEX(บันทึกรายเที่ยว!$Q$6:$Q$6005,$R121))</f>
        <v/>
      </c>
      <c r="Z121">
        <f>IF($Q121="","",INDEX(บันทึกรายเที่ยว!$F$6:$F$6005,$R121))</f>
        <v/>
      </c>
      <c r="AA121">
        <f>IFERROR(MATCH(114,$X$8:$X$407,1),"")</f>
        <v/>
      </c>
      <c r="AB121">
        <f>IF(114=$AD$1+1,"G",IF($AA121="","",IF(INDEX($Q$8:$Q$407,$AA121)="","",IF(114&gt;INDEX($X$8:$X$407,$AA121)+INDEX($V$8:$V$407,$AA121)+INDEX($W$8:$W$407,$AA121),"",IF(114=INDEX($X$8:$X$407,$AA121)+INDEX($V$8:$V$407,$AA121)+INDEX($W$8:$W$407,$AA121),"D",IF(AND(INDEX($W$8:$W$407,$AA121)=1,114=INDEX($X$8:$X$407,$AA121)+INDEX($V$8:$V$407,$AA121)),"S","R"))))))</f>
        <v/>
      </c>
      <c r="AC121">
        <f>IF(OR($AB121="",$AB121="G"),"",IF($AB121="D",INDEX($U$8:$U$407,$AA121),IF($AB121="S",INDEX($T$8:$T$407,$AA121)&amp;"|*",INDEX($S$8:$S$407,$AA121)&amp;"|*")))</f>
        <v/>
      </c>
      <c r="AE121">
        <f>IF($U121="",0,COUNTIF(บันทึกรายเที่ยว!$T$6:$T$6005,$U121))</f>
        <v/>
      </c>
      <c r="AF121">
        <f>IF($U121="",0,ROUND(SUMIF(บันทึกรายเที่ยว!$T$6:$T$6005,$U121,บันทึกรายเที่ยว!$J$6:$J$6005),2))</f>
        <v/>
      </c>
      <c r="AG121">
        <f>IF($U121="",0,ROUND(SUMIF(บันทึกรายเที่ยว!$T$6:$T$6005,$U121,บันทึกรายเที่ยว!$K$6:$K$6005),2))</f>
        <v/>
      </c>
      <c r="AH121">
        <f>IF($U121="",0,ROUND(SUMIF(บันทึกรายเที่ยว!$T$6:$T$6005,$U121,บันทึกรายเที่ยว!$M$6:$M$6005),2))</f>
        <v/>
      </c>
    </row>
    <row r="122" ht="21" customHeight="1" s="66">
      <c r="A122" s="3">
        <f>IF($AB122="G","ผลรวมทั้งหมด",IF($AB122="R",INDEX($S$8:$S$407,$AA122),""))</f>
        <v/>
      </c>
      <c r="B122" s="3">
        <f>IF($AB122="S",INDEX($Y$8:$Y$407,$AA122),"")</f>
        <v/>
      </c>
      <c r="C122" s="68">
        <f>IF($AB122="D",INDEX($Z$8:$Z$407,$AA122),"")</f>
        <v/>
      </c>
      <c r="D122" s="31">
        <f>IF($AB122="G",SUM($AE$8:$AE$407),IF(OR($AB122="",$AB122="R"),"",IF($AB122="D",INDEX($AE$8:$AE$407,$AA122),SUMIF($T$8:$T$407,INDEX($T$8:$T$407,$AA122),$AE$8:$AE$407))))</f>
        <v/>
      </c>
      <c r="E122" s="32">
        <f>IF(115=$AD$1+3,"ขอแสดงความนับถือ",IF(115=$AD$1+6,"(                 )",IF(115=$AD$1+7,"เจ้าหน้าที่ขนส่ง",IF($AB122="G",SUM($AF$8:$AF$407),IF(OR($AB122="",$AB122="R"),"",IF($AB122="D",INDEX($AF$8:$AF$407,$AA122),SUMIF($T$8:$T$407,INDEX($T$8:$T$407,$AA122),$AF$8:$AF$407)))))))</f>
        <v/>
      </c>
      <c r="F122" s="32">
        <f>IF($AB122="G",SUM($AG$8:$AG$407),IF(OR($AB122="",$AB122="R"),"",IF($AB122="D",INDEX($AG$8:$AG$407,$AA122),SUMIF($T$8:$T$407,INDEX($T$8:$T$407,$AA122),$AG$8:$AG$407))))</f>
        <v/>
      </c>
      <c r="G122" s="32">
        <f>IF(OR($AB122="",$AB122="R"),"",ROUND($E122-$F122,2))</f>
        <v/>
      </c>
      <c r="H122" s="32">
        <f>IF($AB122="G",SUM($AH$8:$AH$407),IF(OR($AB122="",$AB122="R"),"",IF($AB122="D",INDEX($AH$8:$AH$407,$AA122),SUMIF($T$8:$T$407,INDEX($T$8:$T$407,$AA122),$AH$8:$AH$407))))</f>
        <v/>
      </c>
      <c r="J122">
        <f>IFERROR(MATCH(115,บันทึกรายเที่ยว!$W$6:$W$6005,0),"")</f>
        <v/>
      </c>
      <c r="K122">
        <f>IF($J122="","",INDEX(บันทึกรายเที่ยว!$T$6:$T$6005,$J122))</f>
        <v/>
      </c>
      <c r="L122">
        <f>IF($J122="","",INDEX(บันทึกรายเที่ยว!$S$6:$S$6005,$J122))</f>
        <v/>
      </c>
      <c r="M122">
        <f>IF($J122="","",INDEX(บันทึกรายเที่ยว!$R$6:$R$6005,$J122))</f>
        <v/>
      </c>
      <c r="N122">
        <f>IF($J122="","",MATCH($M122,บันทึกรายเที่ยว!$R$6:$R$6005,0))</f>
        <v/>
      </c>
      <c r="O122">
        <f>IF($J122="","",MATCH($L122,บันทึกรายเที่ยว!$S$6:$S$6005,0))</f>
        <v/>
      </c>
      <c r="P122">
        <f>IF($J122="","",IF(AND(OR($I$3="(ทั้งหมด)",INDEX(บันทึกรายเที่ยว!$C$6:$C$6005,$J122)=$I$3),OR($I$5="(ทั้งหมด)",INDEX(บันทึกรายเที่ยว!$D$6:$D$6005,$J122)=$I$5),OR($I$7="(ทั้งหมด)",INDEX(บันทึกรายเที่ยว!$F$6:$F$6005,$J122)=$I$7)),$N122*10000000+$O122*1000+115,""))</f>
        <v/>
      </c>
      <c r="Q122">
        <f>IFERROR(MATCH(SMALL($P$8:$P$407,115),$P$8:$P$407,0),"")</f>
        <v/>
      </c>
      <c r="R122">
        <f>IF($Q122="","",INDEX($J$8:$J$407,$Q122))</f>
        <v/>
      </c>
      <c r="S122">
        <f>IF($Q122="","",INDEX($M$8:$M$407,$Q122))</f>
        <v/>
      </c>
      <c r="T122">
        <f>IF($Q122="","",INDEX($L$8:$L$407,$Q122))</f>
        <v/>
      </c>
      <c r="U122">
        <f>IF($Q122="","",INDEX($K$8:$K$407,$Q122))</f>
        <v/>
      </c>
      <c r="V122">
        <f>IF($Q122="",0,IF($S122&lt;&gt;$S121,1,0))</f>
        <v/>
      </c>
      <c r="W122">
        <f>IF($Q122="",0,IF($T122&lt;&gt;$T121,1,0))</f>
        <v/>
      </c>
      <c r="X122">
        <f>IF($Q122="",99999+115,$X121+1+$V121+$W121)</f>
        <v/>
      </c>
      <c r="Y122">
        <f>IF($Q122="","",INDEX(บันทึกรายเที่ยว!$Q$6:$Q$6005,$R122))</f>
        <v/>
      </c>
      <c r="Z122">
        <f>IF($Q122="","",INDEX(บันทึกรายเที่ยว!$F$6:$F$6005,$R122))</f>
        <v/>
      </c>
      <c r="AA122">
        <f>IFERROR(MATCH(115,$X$8:$X$407,1),"")</f>
        <v/>
      </c>
      <c r="AB122">
        <f>IF(115=$AD$1+1,"G",IF($AA122="","",IF(INDEX($Q$8:$Q$407,$AA122)="","",IF(115&gt;INDEX($X$8:$X$407,$AA122)+INDEX($V$8:$V$407,$AA122)+INDEX($W$8:$W$407,$AA122),"",IF(115=INDEX($X$8:$X$407,$AA122)+INDEX($V$8:$V$407,$AA122)+INDEX($W$8:$W$407,$AA122),"D",IF(AND(INDEX($W$8:$W$407,$AA122)=1,115=INDEX($X$8:$X$407,$AA122)+INDEX($V$8:$V$407,$AA122)),"S","R"))))))</f>
        <v/>
      </c>
      <c r="AC122">
        <f>IF(OR($AB122="",$AB122="G"),"",IF($AB122="D",INDEX($U$8:$U$407,$AA122),IF($AB122="S",INDEX($T$8:$T$407,$AA122)&amp;"|*",INDEX($S$8:$S$407,$AA122)&amp;"|*")))</f>
        <v/>
      </c>
      <c r="AE122">
        <f>IF($U122="",0,COUNTIF(บันทึกรายเที่ยว!$T$6:$T$6005,$U122))</f>
        <v/>
      </c>
      <c r="AF122">
        <f>IF($U122="",0,ROUND(SUMIF(บันทึกรายเที่ยว!$T$6:$T$6005,$U122,บันทึกรายเที่ยว!$J$6:$J$6005),2))</f>
        <v/>
      </c>
      <c r="AG122">
        <f>IF($U122="",0,ROUND(SUMIF(บันทึกรายเที่ยว!$T$6:$T$6005,$U122,บันทึกรายเที่ยว!$K$6:$K$6005),2))</f>
        <v/>
      </c>
      <c r="AH122">
        <f>IF($U122="",0,ROUND(SUMIF(บันทึกรายเที่ยว!$T$6:$T$6005,$U122,บันทึกรายเที่ยว!$M$6:$M$6005),2))</f>
        <v/>
      </c>
    </row>
    <row r="123" ht="21" customHeight="1" s="66">
      <c r="A123" s="3">
        <f>IF($AB123="G","ผลรวมทั้งหมด",IF($AB123="R",INDEX($S$8:$S$407,$AA123),""))</f>
        <v/>
      </c>
      <c r="B123" s="3">
        <f>IF($AB123="S",INDEX($Y$8:$Y$407,$AA123),"")</f>
        <v/>
      </c>
      <c r="C123" s="68">
        <f>IF($AB123="D",INDEX($Z$8:$Z$407,$AA123),"")</f>
        <v/>
      </c>
      <c r="D123" s="31">
        <f>IF($AB123="G",SUM($AE$8:$AE$407),IF(OR($AB123="",$AB123="R"),"",IF($AB123="D",INDEX($AE$8:$AE$407,$AA123),SUMIF($T$8:$T$407,INDEX($T$8:$T$407,$AA123),$AE$8:$AE$407))))</f>
        <v/>
      </c>
      <c r="E123" s="32">
        <f>IF(116=$AD$1+3,"ขอแสดงความนับถือ",IF(116=$AD$1+6,"(                 )",IF(116=$AD$1+7,"เจ้าหน้าที่ขนส่ง",IF($AB123="G",SUM($AF$8:$AF$407),IF(OR($AB123="",$AB123="R"),"",IF($AB123="D",INDEX($AF$8:$AF$407,$AA123),SUMIF($T$8:$T$407,INDEX($T$8:$T$407,$AA123),$AF$8:$AF$407)))))))</f>
        <v/>
      </c>
      <c r="F123" s="32">
        <f>IF($AB123="G",SUM($AG$8:$AG$407),IF(OR($AB123="",$AB123="R"),"",IF($AB123="D",INDEX($AG$8:$AG$407,$AA123),SUMIF($T$8:$T$407,INDEX($T$8:$T$407,$AA123),$AG$8:$AG$407))))</f>
        <v/>
      </c>
      <c r="G123" s="32">
        <f>IF(OR($AB123="",$AB123="R"),"",ROUND($E123-$F123,2))</f>
        <v/>
      </c>
      <c r="H123" s="32">
        <f>IF($AB123="G",SUM($AH$8:$AH$407),IF(OR($AB123="",$AB123="R"),"",IF($AB123="D",INDEX($AH$8:$AH$407,$AA123),SUMIF($T$8:$T$407,INDEX($T$8:$T$407,$AA123),$AH$8:$AH$407))))</f>
        <v/>
      </c>
      <c r="J123">
        <f>IFERROR(MATCH(116,บันทึกรายเที่ยว!$W$6:$W$6005,0),"")</f>
        <v/>
      </c>
      <c r="K123">
        <f>IF($J123="","",INDEX(บันทึกรายเที่ยว!$T$6:$T$6005,$J123))</f>
        <v/>
      </c>
      <c r="L123">
        <f>IF($J123="","",INDEX(บันทึกรายเที่ยว!$S$6:$S$6005,$J123))</f>
        <v/>
      </c>
      <c r="M123">
        <f>IF($J123="","",INDEX(บันทึกรายเที่ยว!$R$6:$R$6005,$J123))</f>
        <v/>
      </c>
      <c r="N123">
        <f>IF($J123="","",MATCH($M123,บันทึกรายเที่ยว!$R$6:$R$6005,0))</f>
        <v/>
      </c>
      <c r="O123">
        <f>IF($J123="","",MATCH($L123,บันทึกรายเที่ยว!$S$6:$S$6005,0))</f>
        <v/>
      </c>
      <c r="P123">
        <f>IF($J123="","",IF(AND(OR($I$3="(ทั้งหมด)",INDEX(บันทึกรายเที่ยว!$C$6:$C$6005,$J123)=$I$3),OR($I$5="(ทั้งหมด)",INDEX(บันทึกรายเที่ยว!$D$6:$D$6005,$J123)=$I$5),OR($I$7="(ทั้งหมด)",INDEX(บันทึกรายเที่ยว!$F$6:$F$6005,$J123)=$I$7)),$N123*10000000+$O123*1000+116,""))</f>
        <v/>
      </c>
      <c r="Q123">
        <f>IFERROR(MATCH(SMALL($P$8:$P$407,116),$P$8:$P$407,0),"")</f>
        <v/>
      </c>
      <c r="R123">
        <f>IF($Q123="","",INDEX($J$8:$J$407,$Q123))</f>
        <v/>
      </c>
      <c r="S123">
        <f>IF($Q123="","",INDEX($M$8:$M$407,$Q123))</f>
        <v/>
      </c>
      <c r="T123">
        <f>IF($Q123="","",INDEX($L$8:$L$407,$Q123))</f>
        <v/>
      </c>
      <c r="U123">
        <f>IF($Q123="","",INDEX($K$8:$K$407,$Q123))</f>
        <v/>
      </c>
      <c r="V123">
        <f>IF($Q123="",0,IF($S123&lt;&gt;$S122,1,0))</f>
        <v/>
      </c>
      <c r="W123">
        <f>IF($Q123="",0,IF($T123&lt;&gt;$T122,1,0))</f>
        <v/>
      </c>
      <c r="X123">
        <f>IF($Q123="",99999+116,$X122+1+$V122+$W122)</f>
        <v/>
      </c>
      <c r="Y123">
        <f>IF($Q123="","",INDEX(บันทึกรายเที่ยว!$Q$6:$Q$6005,$R123))</f>
        <v/>
      </c>
      <c r="Z123">
        <f>IF($Q123="","",INDEX(บันทึกรายเที่ยว!$F$6:$F$6005,$R123))</f>
        <v/>
      </c>
      <c r="AA123">
        <f>IFERROR(MATCH(116,$X$8:$X$407,1),"")</f>
        <v/>
      </c>
      <c r="AB123">
        <f>IF(116=$AD$1+1,"G",IF($AA123="","",IF(INDEX($Q$8:$Q$407,$AA123)="","",IF(116&gt;INDEX($X$8:$X$407,$AA123)+INDEX($V$8:$V$407,$AA123)+INDEX($W$8:$W$407,$AA123),"",IF(116=INDEX($X$8:$X$407,$AA123)+INDEX($V$8:$V$407,$AA123)+INDEX($W$8:$W$407,$AA123),"D",IF(AND(INDEX($W$8:$W$407,$AA123)=1,116=INDEX($X$8:$X$407,$AA123)+INDEX($V$8:$V$407,$AA123)),"S","R"))))))</f>
        <v/>
      </c>
      <c r="AC123">
        <f>IF(OR($AB123="",$AB123="G"),"",IF($AB123="D",INDEX($U$8:$U$407,$AA123),IF($AB123="S",INDEX($T$8:$T$407,$AA123)&amp;"|*",INDEX($S$8:$S$407,$AA123)&amp;"|*")))</f>
        <v/>
      </c>
      <c r="AE123">
        <f>IF($U123="",0,COUNTIF(บันทึกรายเที่ยว!$T$6:$T$6005,$U123))</f>
        <v/>
      </c>
      <c r="AF123">
        <f>IF($U123="",0,ROUND(SUMIF(บันทึกรายเที่ยว!$T$6:$T$6005,$U123,บันทึกรายเที่ยว!$J$6:$J$6005),2))</f>
        <v/>
      </c>
      <c r="AG123">
        <f>IF($U123="",0,ROUND(SUMIF(บันทึกรายเที่ยว!$T$6:$T$6005,$U123,บันทึกรายเที่ยว!$K$6:$K$6005),2))</f>
        <v/>
      </c>
      <c r="AH123">
        <f>IF($U123="",0,ROUND(SUMIF(บันทึกรายเที่ยว!$T$6:$T$6005,$U123,บันทึกรายเที่ยว!$M$6:$M$6005),2))</f>
        <v/>
      </c>
    </row>
    <row r="124" ht="21" customHeight="1" s="66">
      <c r="A124" s="3">
        <f>IF($AB124="G","ผลรวมทั้งหมด",IF($AB124="R",INDEX($S$8:$S$407,$AA124),""))</f>
        <v/>
      </c>
      <c r="B124" s="3">
        <f>IF($AB124="S",INDEX($Y$8:$Y$407,$AA124),"")</f>
        <v/>
      </c>
      <c r="C124" s="68">
        <f>IF($AB124="D",INDEX($Z$8:$Z$407,$AA124),"")</f>
        <v/>
      </c>
      <c r="D124" s="31">
        <f>IF($AB124="G",SUM($AE$8:$AE$407),IF(OR($AB124="",$AB124="R"),"",IF($AB124="D",INDEX($AE$8:$AE$407,$AA124),SUMIF($T$8:$T$407,INDEX($T$8:$T$407,$AA124),$AE$8:$AE$407))))</f>
        <v/>
      </c>
      <c r="E124" s="32">
        <f>IF(117=$AD$1+3,"ขอแสดงความนับถือ",IF(117=$AD$1+6,"(                 )",IF(117=$AD$1+7,"เจ้าหน้าที่ขนส่ง",IF($AB124="G",SUM($AF$8:$AF$407),IF(OR($AB124="",$AB124="R"),"",IF($AB124="D",INDEX($AF$8:$AF$407,$AA124),SUMIF($T$8:$T$407,INDEX($T$8:$T$407,$AA124),$AF$8:$AF$407)))))))</f>
        <v/>
      </c>
      <c r="F124" s="32">
        <f>IF($AB124="G",SUM($AG$8:$AG$407),IF(OR($AB124="",$AB124="R"),"",IF($AB124="D",INDEX($AG$8:$AG$407,$AA124),SUMIF($T$8:$T$407,INDEX($T$8:$T$407,$AA124),$AG$8:$AG$407))))</f>
        <v/>
      </c>
      <c r="G124" s="32">
        <f>IF(OR($AB124="",$AB124="R"),"",ROUND($E124-$F124,2))</f>
        <v/>
      </c>
      <c r="H124" s="32">
        <f>IF($AB124="G",SUM($AH$8:$AH$407),IF(OR($AB124="",$AB124="R"),"",IF($AB124="D",INDEX($AH$8:$AH$407,$AA124),SUMIF($T$8:$T$407,INDEX($T$8:$T$407,$AA124),$AH$8:$AH$407))))</f>
        <v/>
      </c>
      <c r="J124">
        <f>IFERROR(MATCH(117,บันทึกรายเที่ยว!$W$6:$W$6005,0),"")</f>
        <v/>
      </c>
      <c r="K124">
        <f>IF($J124="","",INDEX(บันทึกรายเที่ยว!$T$6:$T$6005,$J124))</f>
        <v/>
      </c>
      <c r="L124">
        <f>IF($J124="","",INDEX(บันทึกรายเที่ยว!$S$6:$S$6005,$J124))</f>
        <v/>
      </c>
      <c r="M124">
        <f>IF($J124="","",INDEX(บันทึกรายเที่ยว!$R$6:$R$6005,$J124))</f>
        <v/>
      </c>
      <c r="N124">
        <f>IF($J124="","",MATCH($M124,บันทึกรายเที่ยว!$R$6:$R$6005,0))</f>
        <v/>
      </c>
      <c r="O124">
        <f>IF($J124="","",MATCH($L124,บันทึกรายเที่ยว!$S$6:$S$6005,0))</f>
        <v/>
      </c>
      <c r="P124">
        <f>IF($J124="","",IF(AND(OR($I$3="(ทั้งหมด)",INDEX(บันทึกรายเที่ยว!$C$6:$C$6005,$J124)=$I$3),OR($I$5="(ทั้งหมด)",INDEX(บันทึกรายเที่ยว!$D$6:$D$6005,$J124)=$I$5),OR($I$7="(ทั้งหมด)",INDEX(บันทึกรายเที่ยว!$F$6:$F$6005,$J124)=$I$7)),$N124*10000000+$O124*1000+117,""))</f>
        <v/>
      </c>
      <c r="Q124">
        <f>IFERROR(MATCH(SMALL($P$8:$P$407,117),$P$8:$P$407,0),"")</f>
        <v/>
      </c>
      <c r="R124">
        <f>IF($Q124="","",INDEX($J$8:$J$407,$Q124))</f>
        <v/>
      </c>
      <c r="S124">
        <f>IF($Q124="","",INDEX($M$8:$M$407,$Q124))</f>
        <v/>
      </c>
      <c r="T124">
        <f>IF($Q124="","",INDEX($L$8:$L$407,$Q124))</f>
        <v/>
      </c>
      <c r="U124">
        <f>IF($Q124="","",INDEX($K$8:$K$407,$Q124))</f>
        <v/>
      </c>
      <c r="V124">
        <f>IF($Q124="",0,IF($S124&lt;&gt;$S123,1,0))</f>
        <v/>
      </c>
      <c r="W124">
        <f>IF($Q124="",0,IF($T124&lt;&gt;$T123,1,0))</f>
        <v/>
      </c>
      <c r="X124">
        <f>IF($Q124="",99999+117,$X123+1+$V123+$W123)</f>
        <v/>
      </c>
      <c r="Y124">
        <f>IF($Q124="","",INDEX(บันทึกรายเที่ยว!$Q$6:$Q$6005,$R124))</f>
        <v/>
      </c>
      <c r="Z124">
        <f>IF($Q124="","",INDEX(บันทึกรายเที่ยว!$F$6:$F$6005,$R124))</f>
        <v/>
      </c>
      <c r="AA124">
        <f>IFERROR(MATCH(117,$X$8:$X$407,1),"")</f>
        <v/>
      </c>
      <c r="AB124">
        <f>IF(117=$AD$1+1,"G",IF($AA124="","",IF(INDEX($Q$8:$Q$407,$AA124)="","",IF(117&gt;INDEX($X$8:$X$407,$AA124)+INDEX($V$8:$V$407,$AA124)+INDEX($W$8:$W$407,$AA124),"",IF(117=INDEX($X$8:$X$407,$AA124)+INDEX($V$8:$V$407,$AA124)+INDEX($W$8:$W$407,$AA124),"D",IF(AND(INDEX($W$8:$W$407,$AA124)=1,117=INDEX($X$8:$X$407,$AA124)+INDEX($V$8:$V$407,$AA124)),"S","R"))))))</f>
        <v/>
      </c>
      <c r="AC124">
        <f>IF(OR($AB124="",$AB124="G"),"",IF($AB124="D",INDEX($U$8:$U$407,$AA124),IF($AB124="S",INDEX($T$8:$T$407,$AA124)&amp;"|*",INDEX($S$8:$S$407,$AA124)&amp;"|*")))</f>
        <v/>
      </c>
      <c r="AE124">
        <f>IF($U124="",0,COUNTIF(บันทึกรายเที่ยว!$T$6:$T$6005,$U124))</f>
        <v/>
      </c>
      <c r="AF124">
        <f>IF($U124="",0,ROUND(SUMIF(บันทึกรายเที่ยว!$T$6:$T$6005,$U124,บันทึกรายเที่ยว!$J$6:$J$6005),2))</f>
        <v/>
      </c>
      <c r="AG124">
        <f>IF($U124="",0,ROUND(SUMIF(บันทึกรายเที่ยว!$T$6:$T$6005,$U124,บันทึกรายเที่ยว!$K$6:$K$6005),2))</f>
        <v/>
      </c>
      <c r="AH124">
        <f>IF($U124="",0,ROUND(SUMIF(บันทึกรายเที่ยว!$T$6:$T$6005,$U124,บันทึกรายเที่ยว!$M$6:$M$6005),2))</f>
        <v/>
      </c>
    </row>
    <row r="125" ht="21" customHeight="1" s="66">
      <c r="A125" s="3">
        <f>IF($AB125="G","ผลรวมทั้งหมด",IF($AB125="R",INDEX($S$8:$S$407,$AA125),""))</f>
        <v/>
      </c>
      <c r="B125" s="3">
        <f>IF($AB125="S",INDEX($Y$8:$Y$407,$AA125),"")</f>
        <v/>
      </c>
      <c r="C125" s="68">
        <f>IF($AB125="D",INDEX($Z$8:$Z$407,$AA125),"")</f>
        <v/>
      </c>
      <c r="D125" s="31">
        <f>IF($AB125="G",SUM($AE$8:$AE$407),IF(OR($AB125="",$AB125="R"),"",IF($AB125="D",INDEX($AE$8:$AE$407,$AA125),SUMIF($T$8:$T$407,INDEX($T$8:$T$407,$AA125),$AE$8:$AE$407))))</f>
        <v/>
      </c>
      <c r="E125" s="32">
        <f>IF(118=$AD$1+3,"ขอแสดงความนับถือ",IF(118=$AD$1+6,"(                 )",IF(118=$AD$1+7,"เจ้าหน้าที่ขนส่ง",IF($AB125="G",SUM($AF$8:$AF$407),IF(OR($AB125="",$AB125="R"),"",IF($AB125="D",INDEX($AF$8:$AF$407,$AA125),SUMIF($T$8:$T$407,INDEX($T$8:$T$407,$AA125),$AF$8:$AF$407)))))))</f>
        <v/>
      </c>
      <c r="F125" s="32">
        <f>IF($AB125="G",SUM($AG$8:$AG$407),IF(OR($AB125="",$AB125="R"),"",IF($AB125="D",INDEX($AG$8:$AG$407,$AA125),SUMIF($T$8:$T$407,INDEX($T$8:$T$407,$AA125),$AG$8:$AG$407))))</f>
        <v/>
      </c>
      <c r="G125" s="32">
        <f>IF(OR($AB125="",$AB125="R"),"",ROUND($E125-$F125,2))</f>
        <v/>
      </c>
      <c r="H125" s="32">
        <f>IF($AB125="G",SUM($AH$8:$AH$407),IF(OR($AB125="",$AB125="R"),"",IF($AB125="D",INDEX($AH$8:$AH$407,$AA125),SUMIF($T$8:$T$407,INDEX($T$8:$T$407,$AA125),$AH$8:$AH$407))))</f>
        <v/>
      </c>
      <c r="J125">
        <f>IFERROR(MATCH(118,บันทึกรายเที่ยว!$W$6:$W$6005,0),"")</f>
        <v/>
      </c>
      <c r="K125">
        <f>IF($J125="","",INDEX(บันทึกรายเที่ยว!$T$6:$T$6005,$J125))</f>
        <v/>
      </c>
      <c r="L125">
        <f>IF($J125="","",INDEX(บันทึกรายเที่ยว!$S$6:$S$6005,$J125))</f>
        <v/>
      </c>
      <c r="M125">
        <f>IF($J125="","",INDEX(บันทึกรายเที่ยว!$R$6:$R$6005,$J125))</f>
        <v/>
      </c>
      <c r="N125">
        <f>IF($J125="","",MATCH($M125,บันทึกรายเที่ยว!$R$6:$R$6005,0))</f>
        <v/>
      </c>
      <c r="O125">
        <f>IF($J125="","",MATCH($L125,บันทึกรายเที่ยว!$S$6:$S$6005,0))</f>
        <v/>
      </c>
      <c r="P125">
        <f>IF($J125="","",IF(AND(OR($I$3="(ทั้งหมด)",INDEX(บันทึกรายเที่ยว!$C$6:$C$6005,$J125)=$I$3),OR($I$5="(ทั้งหมด)",INDEX(บันทึกรายเที่ยว!$D$6:$D$6005,$J125)=$I$5),OR($I$7="(ทั้งหมด)",INDEX(บันทึกรายเที่ยว!$F$6:$F$6005,$J125)=$I$7)),$N125*10000000+$O125*1000+118,""))</f>
        <v/>
      </c>
      <c r="Q125">
        <f>IFERROR(MATCH(SMALL($P$8:$P$407,118),$P$8:$P$407,0),"")</f>
        <v/>
      </c>
      <c r="R125">
        <f>IF($Q125="","",INDEX($J$8:$J$407,$Q125))</f>
        <v/>
      </c>
      <c r="S125">
        <f>IF($Q125="","",INDEX($M$8:$M$407,$Q125))</f>
        <v/>
      </c>
      <c r="T125">
        <f>IF($Q125="","",INDEX($L$8:$L$407,$Q125))</f>
        <v/>
      </c>
      <c r="U125">
        <f>IF($Q125="","",INDEX($K$8:$K$407,$Q125))</f>
        <v/>
      </c>
      <c r="V125">
        <f>IF($Q125="",0,IF($S125&lt;&gt;$S124,1,0))</f>
        <v/>
      </c>
      <c r="W125">
        <f>IF($Q125="",0,IF($T125&lt;&gt;$T124,1,0))</f>
        <v/>
      </c>
      <c r="X125">
        <f>IF($Q125="",99999+118,$X124+1+$V124+$W124)</f>
        <v/>
      </c>
      <c r="Y125">
        <f>IF($Q125="","",INDEX(บันทึกรายเที่ยว!$Q$6:$Q$6005,$R125))</f>
        <v/>
      </c>
      <c r="Z125">
        <f>IF($Q125="","",INDEX(บันทึกรายเที่ยว!$F$6:$F$6005,$R125))</f>
        <v/>
      </c>
      <c r="AA125">
        <f>IFERROR(MATCH(118,$X$8:$X$407,1),"")</f>
        <v/>
      </c>
      <c r="AB125">
        <f>IF(118=$AD$1+1,"G",IF($AA125="","",IF(INDEX($Q$8:$Q$407,$AA125)="","",IF(118&gt;INDEX($X$8:$X$407,$AA125)+INDEX($V$8:$V$407,$AA125)+INDEX($W$8:$W$407,$AA125),"",IF(118=INDEX($X$8:$X$407,$AA125)+INDEX($V$8:$V$407,$AA125)+INDEX($W$8:$W$407,$AA125),"D",IF(AND(INDEX($W$8:$W$407,$AA125)=1,118=INDEX($X$8:$X$407,$AA125)+INDEX($V$8:$V$407,$AA125)),"S","R"))))))</f>
        <v/>
      </c>
      <c r="AC125">
        <f>IF(OR($AB125="",$AB125="G"),"",IF($AB125="D",INDEX($U$8:$U$407,$AA125),IF($AB125="S",INDEX($T$8:$T$407,$AA125)&amp;"|*",INDEX($S$8:$S$407,$AA125)&amp;"|*")))</f>
        <v/>
      </c>
      <c r="AE125">
        <f>IF($U125="",0,COUNTIF(บันทึกรายเที่ยว!$T$6:$T$6005,$U125))</f>
        <v/>
      </c>
      <c r="AF125">
        <f>IF($U125="",0,ROUND(SUMIF(บันทึกรายเที่ยว!$T$6:$T$6005,$U125,บันทึกรายเที่ยว!$J$6:$J$6005),2))</f>
        <v/>
      </c>
      <c r="AG125">
        <f>IF($U125="",0,ROUND(SUMIF(บันทึกรายเที่ยว!$T$6:$T$6005,$U125,บันทึกรายเที่ยว!$K$6:$K$6005),2))</f>
        <v/>
      </c>
      <c r="AH125">
        <f>IF($U125="",0,ROUND(SUMIF(บันทึกรายเที่ยว!$T$6:$T$6005,$U125,บันทึกรายเที่ยว!$M$6:$M$6005),2))</f>
        <v/>
      </c>
    </row>
    <row r="126" ht="21" customHeight="1" s="66">
      <c r="A126" s="3">
        <f>IF($AB126="G","ผลรวมทั้งหมด",IF($AB126="R",INDEX($S$8:$S$407,$AA126),""))</f>
        <v/>
      </c>
      <c r="B126" s="3">
        <f>IF($AB126="S",INDEX($Y$8:$Y$407,$AA126),"")</f>
        <v/>
      </c>
      <c r="C126" s="68">
        <f>IF($AB126="D",INDEX($Z$8:$Z$407,$AA126),"")</f>
        <v/>
      </c>
      <c r="D126" s="31">
        <f>IF($AB126="G",SUM($AE$8:$AE$407),IF(OR($AB126="",$AB126="R"),"",IF($AB126="D",INDEX($AE$8:$AE$407,$AA126),SUMIF($T$8:$T$407,INDEX($T$8:$T$407,$AA126),$AE$8:$AE$407))))</f>
        <v/>
      </c>
      <c r="E126" s="32">
        <f>IF(119=$AD$1+3,"ขอแสดงความนับถือ",IF(119=$AD$1+6,"(                 )",IF(119=$AD$1+7,"เจ้าหน้าที่ขนส่ง",IF($AB126="G",SUM($AF$8:$AF$407),IF(OR($AB126="",$AB126="R"),"",IF($AB126="D",INDEX($AF$8:$AF$407,$AA126),SUMIF($T$8:$T$407,INDEX($T$8:$T$407,$AA126),$AF$8:$AF$407)))))))</f>
        <v/>
      </c>
      <c r="F126" s="32">
        <f>IF($AB126="G",SUM($AG$8:$AG$407),IF(OR($AB126="",$AB126="R"),"",IF($AB126="D",INDEX($AG$8:$AG$407,$AA126),SUMIF($T$8:$T$407,INDEX($T$8:$T$407,$AA126),$AG$8:$AG$407))))</f>
        <v/>
      </c>
      <c r="G126" s="32">
        <f>IF(OR($AB126="",$AB126="R"),"",ROUND($E126-$F126,2))</f>
        <v/>
      </c>
      <c r="H126" s="32">
        <f>IF($AB126="G",SUM($AH$8:$AH$407),IF(OR($AB126="",$AB126="R"),"",IF($AB126="D",INDEX($AH$8:$AH$407,$AA126),SUMIF($T$8:$T$407,INDEX($T$8:$T$407,$AA126),$AH$8:$AH$407))))</f>
        <v/>
      </c>
      <c r="J126">
        <f>IFERROR(MATCH(119,บันทึกรายเที่ยว!$W$6:$W$6005,0),"")</f>
        <v/>
      </c>
      <c r="K126">
        <f>IF($J126="","",INDEX(บันทึกรายเที่ยว!$T$6:$T$6005,$J126))</f>
        <v/>
      </c>
      <c r="L126">
        <f>IF($J126="","",INDEX(บันทึกรายเที่ยว!$S$6:$S$6005,$J126))</f>
        <v/>
      </c>
      <c r="M126">
        <f>IF($J126="","",INDEX(บันทึกรายเที่ยว!$R$6:$R$6005,$J126))</f>
        <v/>
      </c>
      <c r="N126">
        <f>IF($J126="","",MATCH($M126,บันทึกรายเที่ยว!$R$6:$R$6005,0))</f>
        <v/>
      </c>
      <c r="O126">
        <f>IF($J126="","",MATCH($L126,บันทึกรายเที่ยว!$S$6:$S$6005,0))</f>
        <v/>
      </c>
      <c r="P126">
        <f>IF($J126="","",IF(AND(OR($I$3="(ทั้งหมด)",INDEX(บันทึกรายเที่ยว!$C$6:$C$6005,$J126)=$I$3),OR($I$5="(ทั้งหมด)",INDEX(บันทึกรายเที่ยว!$D$6:$D$6005,$J126)=$I$5),OR($I$7="(ทั้งหมด)",INDEX(บันทึกรายเที่ยว!$F$6:$F$6005,$J126)=$I$7)),$N126*10000000+$O126*1000+119,""))</f>
        <v/>
      </c>
      <c r="Q126">
        <f>IFERROR(MATCH(SMALL($P$8:$P$407,119),$P$8:$P$407,0),"")</f>
        <v/>
      </c>
      <c r="R126">
        <f>IF($Q126="","",INDEX($J$8:$J$407,$Q126))</f>
        <v/>
      </c>
      <c r="S126">
        <f>IF($Q126="","",INDEX($M$8:$M$407,$Q126))</f>
        <v/>
      </c>
      <c r="T126">
        <f>IF($Q126="","",INDEX($L$8:$L$407,$Q126))</f>
        <v/>
      </c>
      <c r="U126">
        <f>IF($Q126="","",INDEX($K$8:$K$407,$Q126))</f>
        <v/>
      </c>
      <c r="V126">
        <f>IF($Q126="",0,IF($S126&lt;&gt;$S125,1,0))</f>
        <v/>
      </c>
      <c r="W126">
        <f>IF($Q126="",0,IF($T126&lt;&gt;$T125,1,0))</f>
        <v/>
      </c>
      <c r="X126">
        <f>IF($Q126="",99999+119,$X125+1+$V125+$W125)</f>
        <v/>
      </c>
      <c r="Y126">
        <f>IF($Q126="","",INDEX(บันทึกรายเที่ยว!$Q$6:$Q$6005,$R126))</f>
        <v/>
      </c>
      <c r="Z126">
        <f>IF($Q126="","",INDEX(บันทึกรายเที่ยว!$F$6:$F$6005,$R126))</f>
        <v/>
      </c>
      <c r="AA126">
        <f>IFERROR(MATCH(119,$X$8:$X$407,1),"")</f>
        <v/>
      </c>
      <c r="AB126">
        <f>IF(119=$AD$1+1,"G",IF($AA126="","",IF(INDEX($Q$8:$Q$407,$AA126)="","",IF(119&gt;INDEX($X$8:$X$407,$AA126)+INDEX($V$8:$V$407,$AA126)+INDEX($W$8:$W$407,$AA126),"",IF(119=INDEX($X$8:$X$407,$AA126)+INDEX($V$8:$V$407,$AA126)+INDEX($W$8:$W$407,$AA126),"D",IF(AND(INDEX($W$8:$W$407,$AA126)=1,119=INDEX($X$8:$X$407,$AA126)+INDEX($V$8:$V$407,$AA126)),"S","R"))))))</f>
        <v/>
      </c>
      <c r="AC126">
        <f>IF(OR($AB126="",$AB126="G"),"",IF($AB126="D",INDEX($U$8:$U$407,$AA126),IF($AB126="S",INDEX($T$8:$T$407,$AA126)&amp;"|*",INDEX($S$8:$S$407,$AA126)&amp;"|*")))</f>
        <v/>
      </c>
      <c r="AE126">
        <f>IF($U126="",0,COUNTIF(บันทึกรายเที่ยว!$T$6:$T$6005,$U126))</f>
        <v/>
      </c>
      <c r="AF126">
        <f>IF($U126="",0,ROUND(SUMIF(บันทึกรายเที่ยว!$T$6:$T$6005,$U126,บันทึกรายเที่ยว!$J$6:$J$6005),2))</f>
        <v/>
      </c>
      <c r="AG126">
        <f>IF($U126="",0,ROUND(SUMIF(บันทึกรายเที่ยว!$T$6:$T$6005,$U126,บันทึกรายเที่ยว!$K$6:$K$6005),2))</f>
        <v/>
      </c>
      <c r="AH126">
        <f>IF($U126="",0,ROUND(SUMIF(บันทึกรายเที่ยว!$T$6:$T$6005,$U126,บันทึกรายเที่ยว!$M$6:$M$6005),2))</f>
        <v/>
      </c>
    </row>
    <row r="127" ht="21" customHeight="1" s="66">
      <c r="A127" s="3">
        <f>IF($AB127="G","ผลรวมทั้งหมด",IF($AB127="R",INDEX($S$8:$S$407,$AA127),""))</f>
        <v/>
      </c>
      <c r="B127" s="3">
        <f>IF($AB127="S",INDEX($Y$8:$Y$407,$AA127),"")</f>
        <v/>
      </c>
      <c r="C127" s="68">
        <f>IF($AB127="D",INDEX($Z$8:$Z$407,$AA127),"")</f>
        <v/>
      </c>
      <c r="D127" s="31">
        <f>IF($AB127="G",SUM($AE$8:$AE$407),IF(OR($AB127="",$AB127="R"),"",IF($AB127="D",INDEX($AE$8:$AE$407,$AA127),SUMIF($T$8:$T$407,INDEX($T$8:$T$407,$AA127),$AE$8:$AE$407))))</f>
        <v/>
      </c>
      <c r="E127" s="32">
        <f>IF(120=$AD$1+3,"ขอแสดงความนับถือ",IF(120=$AD$1+6,"(                 )",IF(120=$AD$1+7,"เจ้าหน้าที่ขนส่ง",IF($AB127="G",SUM($AF$8:$AF$407),IF(OR($AB127="",$AB127="R"),"",IF($AB127="D",INDEX($AF$8:$AF$407,$AA127),SUMIF($T$8:$T$407,INDEX($T$8:$T$407,$AA127),$AF$8:$AF$407)))))))</f>
        <v/>
      </c>
      <c r="F127" s="32">
        <f>IF($AB127="G",SUM($AG$8:$AG$407),IF(OR($AB127="",$AB127="R"),"",IF($AB127="D",INDEX($AG$8:$AG$407,$AA127),SUMIF($T$8:$T$407,INDEX($T$8:$T$407,$AA127),$AG$8:$AG$407))))</f>
        <v/>
      </c>
      <c r="G127" s="32">
        <f>IF(OR($AB127="",$AB127="R"),"",ROUND($E127-$F127,2))</f>
        <v/>
      </c>
      <c r="H127" s="32">
        <f>IF($AB127="G",SUM($AH$8:$AH$407),IF(OR($AB127="",$AB127="R"),"",IF($AB127="D",INDEX($AH$8:$AH$407,$AA127),SUMIF($T$8:$T$407,INDEX($T$8:$T$407,$AA127),$AH$8:$AH$407))))</f>
        <v/>
      </c>
      <c r="J127">
        <f>IFERROR(MATCH(120,บันทึกรายเที่ยว!$W$6:$W$6005,0),"")</f>
        <v/>
      </c>
      <c r="K127">
        <f>IF($J127="","",INDEX(บันทึกรายเที่ยว!$T$6:$T$6005,$J127))</f>
        <v/>
      </c>
      <c r="L127">
        <f>IF($J127="","",INDEX(บันทึกรายเที่ยว!$S$6:$S$6005,$J127))</f>
        <v/>
      </c>
      <c r="M127">
        <f>IF($J127="","",INDEX(บันทึกรายเที่ยว!$R$6:$R$6005,$J127))</f>
        <v/>
      </c>
      <c r="N127">
        <f>IF($J127="","",MATCH($M127,บันทึกรายเที่ยว!$R$6:$R$6005,0))</f>
        <v/>
      </c>
      <c r="O127">
        <f>IF($J127="","",MATCH($L127,บันทึกรายเที่ยว!$S$6:$S$6005,0))</f>
        <v/>
      </c>
      <c r="P127">
        <f>IF($J127="","",IF(AND(OR($I$3="(ทั้งหมด)",INDEX(บันทึกรายเที่ยว!$C$6:$C$6005,$J127)=$I$3),OR($I$5="(ทั้งหมด)",INDEX(บันทึกรายเที่ยว!$D$6:$D$6005,$J127)=$I$5),OR($I$7="(ทั้งหมด)",INDEX(บันทึกรายเที่ยว!$F$6:$F$6005,$J127)=$I$7)),$N127*10000000+$O127*1000+120,""))</f>
        <v/>
      </c>
      <c r="Q127">
        <f>IFERROR(MATCH(SMALL($P$8:$P$407,120),$P$8:$P$407,0),"")</f>
        <v/>
      </c>
      <c r="R127">
        <f>IF($Q127="","",INDEX($J$8:$J$407,$Q127))</f>
        <v/>
      </c>
      <c r="S127">
        <f>IF($Q127="","",INDEX($M$8:$M$407,$Q127))</f>
        <v/>
      </c>
      <c r="T127">
        <f>IF($Q127="","",INDEX($L$8:$L$407,$Q127))</f>
        <v/>
      </c>
      <c r="U127">
        <f>IF($Q127="","",INDEX($K$8:$K$407,$Q127))</f>
        <v/>
      </c>
      <c r="V127">
        <f>IF($Q127="",0,IF($S127&lt;&gt;$S126,1,0))</f>
        <v/>
      </c>
      <c r="W127">
        <f>IF($Q127="",0,IF($T127&lt;&gt;$T126,1,0))</f>
        <v/>
      </c>
      <c r="X127">
        <f>IF($Q127="",99999+120,$X126+1+$V126+$W126)</f>
        <v/>
      </c>
      <c r="Y127">
        <f>IF($Q127="","",INDEX(บันทึกรายเที่ยว!$Q$6:$Q$6005,$R127))</f>
        <v/>
      </c>
      <c r="Z127">
        <f>IF($Q127="","",INDEX(บันทึกรายเที่ยว!$F$6:$F$6005,$R127))</f>
        <v/>
      </c>
      <c r="AA127">
        <f>IFERROR(MATCH(120,$X$8:$X$407,1),"")</f>
        <v/>
      </c>
      <c r="AB127">
        <f>IF(120=$AD$1+1,"G",IF($AA127="","",IF(INDEX($Q$8:$Q$407,$AA127)="","",IF(120&gt;INDEX($X$8:$X$407,$AA127)+INDEX($V$8:$V$407,$AA127)+INDEX($W$8:$W$407,$AA127),"",IF(120=INDEX($X$8:$X$407,$AA127)+INDEX($V$8:$V$407,$AA127)+INDEX($W$8:$W$407,$AA127),"D",IF(AND(INDEX($W$8:$W$407,$AA127)=1,120=INDEX($X$8:$X$407,$AA127)+INDEX($V$8:$V$407,$AA127)),"S","R"))))))</f>
        <v/>
      </c>
      <c r="AC127">
        <f>IF(OR($AB127="",$AB127="G"),"",IF($AB127="D",INDEX($U$8:$U$407,$AA127),IF($AB127="S",INDEX($T$8:$T$407,$AA127)&amp;"|*",INDEX($S$8:$S$407,$AA127)&amp;"|*")))</f>
        <v/>
      </c>
      <c r="AE127">
        <f>IF($U127="",0,COUNTIF(บันทึกรายเที่ยว!$T$6:$T$6005,$U127))</f>
        <v/>
      </c>
      <c r="AF127">
        <f>IF($U127="",0,ROUND(SUMIF(บันทึกรายเที่ยว!$T$6:$T$6005,$U127,บันทึกรายเที่ยว!$J$6:$J$6005),2))</f>
        <v/>
      </c>
      <c r="AG127">
        <f>IF($U127="",0,ROUND(SUMIF(บันทึกรายเที่ยว!$T$6:$T$6005,$U127,บันทึกรายเที่ยว!$K$6:$K$6005),2))</f>
        <v/>
      </c>
      <c r="AH127">
        <f>IF($U127="",0,ROUND(SUMIF(บันทึกรายเที่ยว!$T$6:$T$6005,$U127,บันทึกรายเที่ยว!$M$6:$M$6005),2))</f>
        <v/>
      </c>
    </row>
    <row r="128" ht="21" customHeight="1" s="66">
      <c r="A128" s="3">
        <f>IF($AB128="G","ผลรวมทั้งหมด",IF($AB128="R",INDEX($S$8:$S$407,$AA128),""))</f>
        <v/>
      </c>
      <c r="B128" s="3">
        <f>IF($AB128="S",INDEX($Y$8:$Y$407,$AA128),"")</f>
        <v/>
      </c>
      <c r="C128" s="68">
        <f>IF($AB128="D",INDEX($Z$8:$Z$407,$AA128),"")</f>
        <v/>
      </c>
      <c r="D128" s="31">
        <f>IF($AB128="G",SUM($AE$8:$AE$407),IF(OR($AB128="",$AB128="R"),"",IF($AB128="D",INDEX($AE$8:$AE$407,$AA128),SUMIF($T$8:$T$407,INDEX($T$8:$T$407,$AA128),$AE$8:$AE$407))))</f>
        <v/>
      </c>
      <c r="E128" s="32">
        <f>IF(121=$AD$1+3,"ขอแสดงความนับถือ",IF(121=$AD$1+6,"(                 )",IF(121=$AD$1+7,"เจ้าหน้าที่ขนส่ง",IF($AB128="G",SUM($AF$8:$AF$407),IF(OR($AB128="",$AB128="R"),"",IF($AB128="D",INDEX($AF$8:$AF$407,$AA128),SUMIF($T$8:$T$407,INDEX($T$8:$T$407,$AA128),$AF$8:$AF$407)))))))</f>
        <v/>
      </c>
      <c r="F128" s="32">
        <f>IF($AB128="G",SUM($AG$8:$AG$407),IF(OR($AB128="",$AB128="R"),"",IF($AB128="D",INDEX($AG$8:$AG$407,$AA128),SUMIF($T$8:$T$407,INDEX($T$8:$T$407,$AA128),$AG$8:$AG$407))))</f>
        <v/>
      </c>
      <c r="G128" s="32">
        <f>IF(OR($AB128="",$AB128="R"),"",ROUND($E128-$F128,2))</f>
        <v/>
      </c>
      <c r="H128" s="32">
        <f>IF($AB128="G",SUM($AH$8:$AH$407),IF(OR($AB128="",$AB128="R"),"",IF($AB128="D",INDEX($AH$8:$AH$407,$AA128),SUMIF($T$8:$T$407,INDEX($T$8:$T$407,$AA128),$AH$8:$AH$407))))</f>
        <v/>
      </c>
      <c r="J128">
        <f>IFERROR(MATCH(121,บันทึกรายเที่ยว!$W$6:$W$6005,0),"")</f>
        <v/>
      </c>
      <c r="K128">
        <f>IF($J128="","",INDEX(บันทึกรายเที่ยว!$T$6:$T$6005,$J128))</f>
        <v/>
      </c>
      <c r="L128">
        <f>IF($J128="","",INDEX(บันทึกรายเที่ยว!$S$6:$S$6005,$J128))</f>
        <v/>
      </c>
      <c r="M128">
        <f>IF($J128="","",INDEX(บันทึกรายเที่ยว!$R$6:$R$6005,$J128))</f>
        <v/>
      </c>
      <c r="N128">
        <f>IF($J128="","",MATCH($M128,บันทึกรายเที่ยว!$R$6:$R$6005,0))</f>
        <v/>
      </c>
      <c r="O128">
        <f>IF($J128="","",MATCH($L128,บันทึกรายเที่ยว!$S$6:$S$6005,0))</f>
        <v/>
      </c>
      <c r="P128">
        <f>IF($J128="","",IF(AND(OR($I$3="(ทั้งหมด)",INDEX(บันทึกรายเที่ยว!$C$6:$C$6005,$J128)=$I$3),OR($I$5="(ทั้งหมด)",INDEX(บันทึกรายเที่ยว!$D$6:$D$6005,$J128)=$I$5),OR($I$7="(ทั้งหมด)",INDEX(บันทึกรายเที่ยว!$F$6:$F$6005,$J128)=$I$7)),$N128*10000000+$O128*1000+121,""))</f>
        <v/>
      </c>
      <c r="Q128">
        <f>IFERROR(MATCH(SMALL($P$8:$P$407,121),$P$8:$P$407,0),"")</f>
        <v/>
      </c>
      <c r="R128">
        <f>IF($Q128="","",INDEX($J$8:$J$407,$Q128))</f>
        <v/>
      </c>
      <c r="S128">
        <f>IF($Q128="","",INDEX($M$8:$M$407,$Q128))</f>
        <v/>
      </c>
      <c r="T128">
        <f>IF($Q128="","",INDEX($L$8:$L$407,$Q128))</f>
        <v/>
      </c>
      <c r="U128">
        <f>IF($Q128="","",INDEX($K$8:$K$407,$Q128))</f>
        <v/>
      </c>
      <c r="V128">
        <f>IF($Q128="",0,IF($S128&lt;&gt;$S127,1,0))</f>
        <v/>
      </c>
      <c r="W128">
        <f>IF($Q128="",0,IF($T128&lt;&gt;$T127,1,0))</f>
        <v/>
      </c>
      <c r="X128">
        <f>IF($Q128="",99999+121,$X127+1+$V127+$W127)</f>
        <v/>
      </c>
      <c r="Y128">
        <f>IF($Q128="","",INDEX(บันทึกรายเที่ยว!$Q$6:$Q$6005,$R128))</f>
        <v/>
      </c>
      <c r="Z128">
        <f>IF($Q128="","",INDEX(บันทึกรายเที่ยว!$F$6:$F$6005,$R128))</f>
        <v/>
      </c>
      <c r="AA128">
        <f>IFERROR(MATCH(121,$X$8:$X$407,1),"")</f>
        <v/>
      </c>
      <c r="AB128">
        <f>IF(121=$AD$1+1,"G",IF($AA128="","",IF(INDEX($Q$8:$Q$407,$AA128)="","",IF(121&gt;INDEX($X$8:$X$407,$AA128)+INDEX($V$8:$V$407,$AA128)+INDEX($W$8:$W$407,$AA128),"",IF(121=INDEX($X$8:$X$407,$AA128)+INDEX($V$8:$V$407,$AA128)+INDEX($W$8:$W$407,$AA128),"D",IF(AND(INDEX($W$8:$W$407,$AA128)=1,121=INDEX($X$8:$X$407,$AA128)+INDEX($V$8:$V$407,$AA128)),"S","R"))))))</f>
        <v/>
      </c>
      <c r="AC128">
        <f>IF(OR($AB128="",$AB128="G"),"",IF($AB128="D",INDEX($U$8:$U$407,$AA128),IF($AB128="S",INDEX($T$8:$T$407,$AA128)&amp;"|*",INDEX($S$8:$S$407,$AA128)&amp;"|*")))</f>
        <v/>
      </c>
      <c r="AE128">
        <f>IF($U128="",0,COUNTIF(บันทึกรายเที่ยว!$T$6:$T$6005,$U128))</f>
        <v/>
      </c>
      <c r="AF128">
        <f>IF($U128="",0,ROUND(SUMIF(บันทึกรายเที่ยว!$T$6:$T$6005,$U128,บันทึกรายเที่ยว!$J$6:$J$6005),2))</f>
        <v/>
      </c>
      <c r="AG128">
        <f>IF($U128="",0,ROUND(SUMIF(บันทึกรายเที่ยว!$T$6:$T$6005,$U128,บันทึกรายเที่ยว!$K$6:$K$6005),2))</f>
        <v/>
      </c>
      <c r="AH128">
        <f>IF($U128="",0,ROUND(SUMIF(บันทึกรายเที่ยว!$T$6:$T$6005,$U128,บันทึกรายเที่ยว!$M$6:$M$6005),2))</f>
        <v/>
      </c>
    </row>
    <row r="129" ht="21" customHeight="1" s="66">
      <c r="A129" s="3">
        <f>IF($AB129="G","ผลรวมทั้งหมด",IF($AB129="R",INDEX($S$8:$S$407,$AA129),""))</f>
        <v/>
      </c>
      <c r="B129" s="3">
        <f>IF($AB129="S",INDEX($Y$8:$Y$407,$AA129),"")</f>
        <v/>
      </c>
      <c r="C129" s="68">
        <f>IF($AB129="D",INDEX($Z$8:$Z$407,$AA129),"")</f>
        <v/>
      </c>
      <c r="D129" s="31">
        <f>IF($AB129="G",SUM($AE$8:$AE$407),IF(OR($AB129="",$AB129="R"),"",IF($AB129="D",INDEX($AE$8:$AE$407,$AA129),SUMIF($T$8:$T$407,INDEX($T$8:$T$407,$AA129),$AE$8:$AE$407))))</f>
        <v/>
      </c>
      <c r="E129" s="32">
        <f>IF(122=$AD$1+3,"ขอแสดงความนับถือ",IF(122=$AD$1+6,"(                 )",IF(122=$AD$1+7,"เจ้าหน้าที่ขนส่ง",IF($AB129="G",SUM($AF$8:$AF$407),IF(OR($AB129="",$AB129="R"),"",IF($AB129="D",INDEX($AF$8:$AF$407,$AA129),SUMIF($T$8:$T$407,INDEX($T$8:$T$407,$AA129),$AF$8:$AF$407)))))))</f>
        <v/>
      </c>
      <c r="F129" s="32">
        <f>IF($AB129="G",SUM($AG$8:$AG$407),IF(OR($AB129="",$AB129="R"),"",IF($AB129="D",INDEX($AG$8:$AG$407,$AA129),SUMIF($T$8:$T$407,INDEX($T$8:$T$407,$AA129),$AG$8:$AG$407))))</f>
        <v/>
      </c>
      <c r="G129" s="32">
        <f>IF(OR($AB129="",$AB129="R"),"",ROUND($E129-$F129,2))</f>
        <v/>
      </c>
      <c r="H129" s="32">
        <f>IF($AB129="G",SUM($AH$8:$AH$407),IF(OR($AB129="",$AB129="R"),"",IF($AB129="D",INDEX($AH$8:$AH$407,$AA129),SUMIF($T$8:$T$407,INDEX($T$8:$T$407,$AA129),$AH$8:$AH$407))))</f>
        <v/>
      </c>
      <c r="J129">
        <f>IFERROR(MATCH(122,บันทึกรายเที่ยว!$W$6:$W$6005,0),"")</f>
        <v/>
      </c>
      <c r="K129">
        <f>IF($J129="","",INDEX(บันทึกรายเที่ยว!$T$6:$T$6005,$J129))</f>
        <v/>
      </c>
      <c r="L129">
        <f>IF($J129="","",INDEX(บันทึกรายเที่ยว!$S$6:$S$6005,$J129))</f>
        <v/>
      </c>
      <c r="M129">
        <f>IF($J129="","",INDEX(บันทึกรายเที่ยว!$R$6:$R$6005,$J129))</f>
        <v/>
      </c>
      <c r="N129">
        <f>IF($J129="","",MATCH($M129,บันทึกรายเที่ยว!$R$6:$R$6005,0))</f>
        <v/>
      </c>
      <c r="O129">
        <f>IF($J129="","",MATCH($L129,บันทึกรายเที่ยว!$S$6:$S$6005,0))</f>
        <v/>
      </c>
      <c r="P129">
        <f>IF($J129="","",IF(AND(OR($I$3="(ทั้งหมด)",INDEX(บันทึกรายเที่ยว!$C$6:$C$6005,$J129)=$I$3),OR($I$5="(ทั้งหมด)",INDEX(บันทึกรายเที่ยว!$D$6:$D$6005,$J129)=$I$5),OR($I$7="(ทั้งหมด)",INDEX(บันทึกรายเที่ยว!$F$6:$F$6005,$J129)=$I$7)),$N129*10000000+$O129*1000+122,""))</f>
        <v/>
      </c>
      <c r="Q129">
        <f>IFERROR(MATCH(SMALL($P$8:$P$407,122),$P$8:$P$407,0),"")</f>
        <v/>
      </c>
      <c r="R129">
        <f>IF($Q129="","",INDEX($J$8:$J$407,$Q129))</f>
        <v/>
      </c>
      <c r="S129">
        <f>IF($Q129="","",INDEX($M$8:$M$407,$Q129))</f>
        <v/>
      </c>
      <c r="T129">
        <f>IF($Q129="","",INDEX($L$8:$L$407,$Q129))</f>
        <v/>
      </c>
      <c r="U129">
        <f>IF($Q129="","",INDEX($K$8:$K$407,$Q129))</f>
        <v/>
      </c>
      <c r="V129">
        <f>IF($Q129="",0,IF($S129&lt;&gt;$S128,1,0))</f>
        <v/>
      </c>
      <c r="W129">
        <f>IF($Q129="",0,IF($T129&lt;&gt;$T128,1,0))</f>
        <v/>
      </c>
      <c r="X129">
        <f>IF($Q129="",99999+122,$X128+1+$V128+$W128)</f>
        <v/>
      </c>
      <c r="Y129">
        <f>IF($Q129="","",INDEX(บันทึกรายเที่ยว!$Q$6:$Q$6005,$R129))</f>
        <v/>
      </c>
      <c r="Z129">
        <f>IF($Q129="","",INDEX(บันทึกรายเที่ยว!$F$6:$F$6005,$R129))</f>
        <v/>
      </c>
      <c r="AA129">
        <f>IFERROR(MATCH(122,$X$8:$X$407,1),"")</f>
        <v/>
      </c>
      <c r="AB129">
        <f>IF(122=$AD$1+1,"G",IF($AA129="","",IF(INDEX($Q$8:$Q$407,$AA129)="","",IF(122&gt;INDEX($X$8:$X$407,$AA129)+INDEX($V$8:$V$407,$AA129)+INDEX($W$8:$W$407,$AA129),"",IF(122=INDEX($X$8:$X$407,$AA129)+INDEX($V$8:$V$407,$AA129)+INDEX($W$8:$W$407,$AA129),"D",IF(AND(INDEX($W$8:$W$407,$AA129)=1,122=INDEX($X$8:$X$407,$AA129)+INDEX($V$8:$V$407,$AA129)),"S","R"))))))</f>
        <v/>
      </c>
      <c r="AC129">
        <f>IF(OR($AB129="",$AB129="G"),"",IF($AB129="D",INDEX($U$8:$U$407,$AA129),IF($AB129="S",INDEX($T$8:$T$407,$AA129)&amp;"|*",INDEX($S$8:$S$407,$AA129)&amp;"|*")))</f>
        <v/>
      </c>
      <c r="AE129">
        <f>IF($U129="",0,COUNTIF(บันทึกรายเที่ยว!$T$6:$T$6005,$U129))</f>
        <v/>
      </c>
      <c r="AF129">
        <f>IF($U129="",0,ROUND(SUMIF(บันทึกรายเที่ยว!$T$6:$T$6005,$U129,บันทึกรายเที่ยว!$J$6:$J$6005),2))</f>
        <v/>
      </c>
      <c r="AG129">
        <f>IF($U129="",0,ROUND(SUMIF(บันทึกรายเที่ยว!$T$6:$T$6005,$U129,บันทึกรายเที่ยว!$K$6:$K$6005),2))</f>
        <v/>
      </c>
      <c r="AH129">
        <f>IF($U129="",0,ROUND(SUMIF(บันทึกรายเที่ยว!$T$6:$T$6005,$U129,บันทึกรายเที่ยว!$M$6:$M$6005),2))</f>
        <v/>
      </c>
    </row>
    <row r="130" ht="21" customHeight="1" s="66">
      <c r="A130" s="3">
        <f>IF($AB130="G","ผลรวมทั้งหมด",IF($AB130="R",INDEX($S$8:$S$407,$AA130),""))</f>
        <v/>
      </c>
      <c r="B130" s="3">
        <f>IF($AB130="S",INDEX($Y$8:$Y$407,$AA130),"")</f>
        <v/>
      </c>
      <c r="C130" s="68">
        <f>IF($AB130="D",INDEX($Z$8:$Z$407,$AA130),"")</f>
        <v/>
      </c>
      <c r="D130" s="31">
        <f>IF($AB130="G",SUM($AE$8:$AE$407),IF(OR($AB130="",$AB130="R"),"",IF($AB130="D",INDEX($AE$8:$AE$407,$AA130),SUMIF($T$8:$T$407,INDEX($T$8:$T$407,$AA130),$AE$8:$AE$407))))</f>
        <v/>
      </c>
      <c r="E130" s="32">
        <f>IF(123=$AD$1+3,"ขอแสดงความนับถือ",IF(123=$AD$1+6,"(                 )",IF(123=$AD$1+7,"เจ้าหน้าที่ขนส่ง",IF($AB130="G",SUM($AF$8:$AF$407),IF(OR($AB130="",$AB130="R"),"",IF($AB130="D",INDEX($AF$8:$AF$407,$AA130),SUMIF($T$8:$T$407,INDEX($T$8:$T$407,$AA130),$AF$8:$AF$407)))))))</f>
        <v/>
      </c>
      <c r="F130" s="32">
        <f>IF($AB130="G",SUM($AG$8:$AG$407),IF(OR($AB130="",$AB130="R"),"",IF($AB130="D",INDEX($AG$8:$AG$407,$AA130),SUMIF($T$8:$T$407,INDEX($T$8:$T$407,$AA130),$AG$8:$AG$407))))</f>
        <v/>
      </c>
      <c r="G130" s="32">
        <f>IF(OR($AB130="",$AB130="R"),"",ROUND($E130-$F130,2))</f>
        <v/>
      </c>
      <c r="H130" s="32">
        <f>IF($AB130="G",SUM($AH$8:$AH$407),IF(OR($AB130="",$AB130="R"),"",IF($AB130="D",INDEX($AH$8:$AH$407,$AA130),SUMIF($T$8:$T$407,INDEX($T$8:$T$407,$AA130),$AH$8:$AH$407))))</f>
        <v/>
      </c>
      <c r="J130">
        <f>IFERROR(MATCH(123,บันทึกรายเที่ยว!$W$6:$W$6005,0),"")</f>
        <v/>
      </c>
      <c r="K130">
        <f>IF($J130="","",INDEX(บันทึกรายเที่ยว!$T$6:$T$6005,$J130))</f>
        <v/>
      </c>
      <c r="L130">
        <f>IF($J130="","",INDEX(บันทึกรายเที่ยว!$S$6:$S$6005,$J130))</f>
        <v/>
      </c>
      <c r="M130">
        <f>IF($J130="","",INDEX(บันทึกรายเที่ยว!$R$6:$R$6005,$J130))</f>
        <v/>
      </c>
      <c r="N130">
        <f>IF($J130="","",MATCH($M130,บันทึกรายเที่ยว!$R$6:$R$6005,0))</f>
        <v/>
      </c>
      <c r="O130">
        <f>IF($J130="","",MATCH($L130,บันทึกรายเที่ยว!$S$6:$S$6005,0))</f>
        <v/>
      </c>
      <c r="P130">
        <f>IF($J130="","",IF(AND(OR($I$3="(ทั้งหมด)",INDEX(บันทึกรายเที่ยว!$C$6:$C$6005,$J130)=$I$3),OR($I$5="(ทั้งหมด)",INDEX(บันทึกรายเที่ยว!$D$6:$D$6005,$J130)=$I$5),OR($I$7="(ทั้งหมด)",INDEX(บันทึกรายเที่ยว!$F$6:$F$6005,$J130)=$I$7)),$N130*10000000+$O130*1000+123,""))</f>
        <v/>
      </c>
      <c r="Q130">
        <f>IFERROR(MATCH(SMALL($P$8:$P$407,123),$P$8:$P$407,0),"")</f>
        <v/>
      </c>
      <c r="R130">
        <f>IF($Q130="","",INDEX($J$8:$J$407,$Q130))</f>
        <v/>
      </c>
      <c r="S130">
        <f>IF($Q130="","",INDEX($M$8:$M$407,$Q130))</f>
        <v/>
      </c>
      <c r="T130">
        <f>IF($Q130="","",INDEX($L$8:$L$407,$Q130))</f>
        <v/>
      </c>
      <c r="U130">
        <f>IF($Q130="","",INDEX($K$8:$K$407,$Q130))</f>
        <v/>
      </c>
      <c r="V130">
        <f>IF($Q130="",0,IF($S130&lt;&gt;$S129,1,0))</f>
        <v/>
      </c>
      <c r="W130">
        <f>IF($Q130="",0,IF($T130&lt;&gt;$T129,1,0))</f>
        <v/>
      </c>
      <c r="X130">
        <f>IF($Q130="",99999+123,$X129+1+$V129+$W129)</f>
        <v/>
      </c>
      <c r="Y130">
        <f>IF($Q130="","",INDEX(บันทึกรายเที่ยว!$Q$6:$Q$6005,$R130))</f>
        <v/>
      </c>
      <c r="Z130">
        <f>IF($Q130="","",INDEX(บันทึกรายเที่ยว!$F$6:$F$6005,$R130))</f>
        <v/>
      </c>
      <c r="AA130">
        <f>IFERROR(MATCH(123,$X$8:$X$407,1),"")</f>
        <v/>
      </c>
      <c r="AB130">
        <f>IF(123=$AD$1+1,"G",IF($AA130="","",IF(INDEX($Q$8:$Q$407,$AA130)="","",IF(123&gt;INDEX($X$8:$X$407,$AA130)+INDEX($V$8:$V$407,$AA130)+INDEX($W$8:$W$407,$AA130),"",IF(123=INDEX($X$8:$X$407,$AA130)+INDEX($V$8:$V$407,$AA130)+INDEX($W$8:$W$407,$AA130),"D",IF(AND(INDEX($W$8:$W$407,$AA130)=1,123=INDEX($X$8:$X$407,$AA130)+INDEX($V$8:$V$407,$AA130)),"S","R"))))))</f>
        <v/>
      </c>
      <c r="AC130">
        <f>IF(OR($AB130="",$AB130="G"),"",IF($AB130="D",INDEX($U$8:$U$407,$AA130),IF($AB130="S",INDEX($T$8:$T$407,$AA130)&amp;"|*",INDEX($S$8:$S$407,$AA130)&amp;"|*")))</f>
        <v/>
      </c>
      <c r="AE130">
        <f>IF($U130="",0,COUNTIF(บันทึกรายเที่ยว!$T$6:$T$6005,$U130))</f>
        <v/>
      </c>
      <c r="AF130">
        <f>IF($U130="",0,ROUND(SUMIF(บันทึกรายเที่ยว!$T$6:$T$6005,$U130,บันทึกรายเที่ยว!$J$6:$J$6005),2))</f>
        <v/>
      </c>
      <c r="AG130">
        <f>IF($U130="",0,ROUND(SUMIF(บันทึกรายเที่ยว!$T$6:$T$6005,$U130,บันทึกรายเที่ยว!$K$6:$K$6005),2))</f>
        <v/>
      </c>
      <c r="AH130">
        <f>IF($U130="",0,ROUND(SUMIF(บันทึกรายเที่ยว!$T$6:$T$6005,$U130,บันทึกรายเที่ยว!$M$6:$M$6005),2))</f>
        <v/>
      </c>
    </row>
    <row r="131" ht="21" customHeight="1" s="66">
      <c r="A131" s="3">
        <f>IF($AB131="G","ผลรวมทั้งหมด",IF($AB131="R",INDEX($S$8:$S$407,$AA131),""))</f>
        <v/>
      </c>
      <c r="B131" s="3">
        <f>IF($AB131="S",INDEX($Y$8:$Y$407,$AA131),"")</f>
        <v/>
      </c>
      <c r="C131" s="68">
        <f>IF($AB131="D",INDEX($Z$8:$Z$407,$AA131),"")</f>
        <v/>
      </c>
      <c r="D131" s="31">
        <f>IF($AB131="G",SUM($AE$8:$AE$407),IF(OR($AB131="",$AB131="R"),"",IF($AB131="D",INDEX($AE$8:$AE$407,$AA131),SUMIF($T$8:$T$407,INDEX($T$8:$T$407,$AA131),$AE$8:$AE$407))))</f>
        <v/>
      </c>
      <c r="E131" s="32">
        <f>IF(124=$AD$1+3,"ขอแสดงความนับถือ",IF(124=$AD$1+6,"(                 )",IF(124=$AD$1+7,"เจ้าหน้าที่ขนส่ง",IF($AB131="G",SUM($AF$8:$AF$407),IF(OR($AB131="",$AB131="R"),"",IF($AB131="D",INDEX($AF$8:$AF$407,$AA131),SUMIF($T$8:$T$407,INDEX($T$8:$T$407,$AA131),$AF$8:$AF$407)))))))</f>
        <v/>
      </c>
      <c r="F131" s="32">
        <f>IF($AB131="G",SUM($AG$8:$AG$407),IF(OR($AB131="",$AB131="R"),"",IF($AB131="D",INDEX($AG$8:$AG$407,$AA131),SUMIF($T$8:$T$407,INDEX($T$8:$T$407,$AA131),$AG$8:$AG$407))))</f>
        <v/>
      </c>
      <c r="G131" s="32">
        <f>IF(OR($AB131="",$AB131="R"),"",ROUND($E131-$F131,2))</f>
        <v/>
      </c>
      <c r="H131" s="32">
        <f>IF($AB131="G",SUM($AH$8:$AH$407),IF(OR($AB131="",$AB131="R"),"",IF($AB131="D",INDEX($AH$8:$AH$407,$AA131),SUMIF($T$8:$T$407,INDEX($T$8:$T$407,$AA131),$AH$8:$AH$407))))</f>
        <v/>
      </c>
      <c r="J131">
        <f>IFERROR(MATCH(124,บันทึกรายเที่ยว!$W$6:$W$6005,0),"")</f>
        <v/>
      </c>
      <c r="K131">
        <f>IF($J131="","",INDEX(บันทึกรายเที่ยว!$T$6:$T$6005,$J131))</f>
        <v/>
      </c>
      <c r="L131">
        <f>IF($J131="","",INDEX(บันทึกรายเที่ยว!$S$6:$S$6005,$J131))</f>
        <v/>
      </c>
      <c r="M131">
        <f>IF($J131="","",INDEX(บันทึกรายเที่ยว!$R$6:$R$6005,$J131))</f>
        <v/>
      </c>
      <c r="N131">
        <f>IF($J131="","",MATCH($M131,บันทึกรายเที่ยว!$R$6:$R$6005,0))</f>
        <v/>
      </c>
      <c r="O131">
        <f>IF($J131="","",MATCH($L131,บันทึกรายเที่ยว!$S$6:$S$6005,0))</f>
        <v/>
      </c>
      <c r="P131">
        <f>IF($J131="","",IF(AND(OR($I$3="(ทั้งหมด)",INDEX(บันทึกรายเที่ยว!$C$6:$C$6005,$J131)=$I$3),OR($I$5="(ทั้งหมด)",INDEX(บันทึกรายเที่ยว!$D$6:$D$6005,$J131)=$I$5),OR($I$7="(ทั้งหมด)",INDEX(บันทึกรายเที่ยว!$F$6:$F$6005,$J131)=$I$7)),$N131*10000000+$O131*1000+124,""))</f>
        <v/>
      </c>
      <c r="Q131">
        <f>IFERROR(MATCH(SMALL($P$8:$P$407,124),$P$8:$P$407,0),"")</f>
        <v/>
      </c>
      <c r="R131">
        <f>IF($Q131="","",INDEX($J$8:$J$407,$Q131))</f>
        <v/>
      </c>
      <c r="S131">
        <f>IF($Q131="","",INDEX($M$8:$M$407,$Q131))</f>
        <v/>
      </c>
      <c r="T131">
        <f>IF($Q131="","",INDEX($L$8:$L$407,$Q131))</f>
        <v/>
      </c>
      <c r="U131">
        <f>IF($Q131="","",INDEX($K$8:$K$407,$Q131))</f>
        <v/>
      </c>
      <c r="V131">
        <f>IF($Q131="",0,IF($S131&lt;&gt;$S130,1,0))</f>
        <v/>
      </c>
      <c r="W131">
        <f>IF($Q131="",0,IF($T131&lt;&gt;$T130,1,0))</f>
        <v/>
      </c>
      <c r="X131">
        <f>IF($Q131="",99999+124,$X130+1+$V130+$W130)</f>
        <v/>
      </c>
      <c r="Y131">
        <f>IF($Q131="","",INDEX(บันทึกรายเที่ยว!$Q$6:$Q$6005,$R131))</f>
        <v/>
      </c>
      <c r="Z131">
        <f>IF($Q131="","",INDEX(บันทึกรายเที่ยว!$F$6:$F$6005,$R131))</f>
        <v/>
      </c>
      <c r="AA131">
        <f>IFERROR(MATCH(124,$X$8:$X$407,1),"")</f>
        <v/>
      </c>
      <c r="AB131">
        <f>IF(124=$AD$1+1,"G",IF($AA131="","",IF(INDEX($Q$8:$Q$407,$AA131)="","",IF(124&gt;INDEX($X$8:$X$407,$AA131)+INDEX($V$8:$V$407,$AA131)+INDEX($W$8:$W$407,$AA131),"",IF(124=INDEX($X$8:$X$407,$AA131)+INDEX($V$8:$V$407,$AA131)+INDEX($W$8:$W$407,$AA131),"D",IF(AND(INDEX($W$8:$W$407,$AA131)=1,124=INDEX($X$8:$X$407,$AA131)+INDEX($V$8:$V$407,$AA131)),"S","R"))))))</f>
        <v/>
      </c>
      <c r="AC131">
        <f>IF(OR($AB131="",$AB131="G"),"",IF($AB131="D",INDEX($U$8:$U$407,$AA131),IF($AB131="S",INDEX($T$8:$T$407,$AA131)&amp;"|*",INDEX($S$8:$S$407,$AA131)&amp;"|*")))</f>
        <v/>
      </c>
      <c r="AE131">
        <f>IF($U131="",0,COUNTIF(บันทึกรายเที่ยว!$T$6:$T$6005,$U131))</f>
        <v/>
      </c>
      <c r="AF131">
        <f>IF($U131="",0,ROUND(SUMIF(บันทึกรายเที่ยว!$T$6:$T$6005,$U131,บันทึกรายเที่ยว!$J$6:$J$6005),2))</f>
        <v/>
      </c>
      <c r="AG131">
        <f>IF($U131="",0,ROUND(SUMIF(บันทึกรายเที่ยว!$T$6:$T$6005,$U131,บันทึกรายเที่ยว!$K$6:$K$6005),2))</f>
        <v/>
      </c>
      <c r="AH131">
        <f>IF($U131="",0,ROUND(SUMIF(บันทึกรายเที่ยว!$T$6:$T$6005,$U131,บันทึกรายเที่ยว!$M$6:$M$6005),2))</f>
        <v/>
      </c>
    </row>
    <row r="132" ht="21" customHeight="1" s="66">
      <c r="A132" s="3">
        <f>IF($AB132="G","ผลรวมทั้งหมด",IF($AB132="R",INDEX($S$8:$S$407,$AA132),""))</f>
        <v/>
      </c>
      <c r="B132" s="3">
        <f>IF($AB132="S",INDEX($Y$8:$Y$407,$AA132),"")</f>
        <v/>
      </c>
      <c r="C132" s="68">
        <f>IF($AB132="D",INDEX($Z$8:$Z$407,$AA132),"")</f>
        <v/>
      </c>
      <c r="D132" s="31">
        <f>IF($AB132="G",SUM($AE$8:$AE$407),IF(OR($AB132="",$AB132="R"),"",IF($AB132="D",INDEX($AE$8:$AE$407,$AA132),SUMIF($T$8:$T$407,INDEX($T$8:$T$407,$AA132),$AE$8:$AE$407))))</f>
        <v/>
      </c>
      <c r="E132" s="32">
        <f>IF(125=$AD$1+3,"ขอแสดงความนับถือ",IF(125=$AD$1+6,"(                 )",IF(125=$AD$1+7,"เจ้าหน้าที่ขนส่ง",IF($AB132="G",SUM($AF$8:$AF$407),IF(OR($AB132="",$AB132="R"),"",IF($AB132="D",INDEX($AF$8:$AF$407,$AA132),SUMIF($T$8:$T$407,INDEX($T$8:$T$407,$AA132),$AF$8:$AF$407)))))))</f>
        <v/>
      </c>
      <c r="F132" s="32">
        <f>IF($AB132="G",SUM($AG$8:$AG$407),IF(OR($AB132="",$AB132="R"),"",IF($AB132="D",INDEX($AG$8:$AG$407,$AA132),SUMIF($T$8:$T$407,INDEX($T$8:$T$407,$AA132),$AG$8:$AG$407))))</f>
        <v/>
      </c>
      <c r="G132" s="32">
        <f>IF(OR($AB132="",$AB132="R"),"",ROUND($E132-$F132,2))</f>
        <v/>
      </c>
      <c r="H132" s="32">
        <f>IF($AB132="G",SUM($AH$8:$AH$407),IF(OR($AB132="",$AB132="R"),"",IF($AB132="D",INDEX($AH$8:$AH$407,$AA132),SUMIF($T$8:$T$407,INDEX($T$8:$T$407,$AA132),$AH$8:$AH$407))))</f>
        <v/>
      </c>
      <c r="J132">
        <f>IFERROR(MATCH(125,บันทึกรายเที่ยว!$W$6:$W$6005,0),"")</f>
        <v/>
      </c>
      <c r="K132">
        <f>IF($J132="","",INDEX(บันทึกรายเที่ยว!$T$6:$T$6005,$J132))</f>
        <v/>
      </c>
      <c r="L132">
        <f>IF($J132="","",INDEX(บันทึกรายเที่ยว!$S$6:$S$6005,$J132))</f>
        <v/>
      </c>
      <c r="M132">
        <f>IF($J132="","",INDEX(บันทึกรายเที่ยว!$R$6:$R$6005,$J132))</f>
        <v/>
      </c>
      <c r="N132">
        <f>IF($J132="","",MATCH($M132,บันทึกรายเที่ยว!$R$6:$R$6005,0))</f>
        <v/>
      </c>
      <c r="O132">
        <f>IF($J132="","",MATCH($L132,บันทึกรายเที่ยว!$S$6:$S$6005,0))</f>
        <v/>
      </c>
      <c r="P132">
        <f>IF($J132="","",IF(AND(OR($I$3="(ทั้งหมด)",INDEX(บันทึกรายเที่ยว!$C$6:$C$6005,$J132)=$I$3),OR($I$5="(ทั้งหมด)",INDEX(บันทึกรายเที่ยว!$D$6:$D$6005,$J132)=$I$5),OR($I$7="(ทั้งหมด)",INDEX(บันทึกรายเที่ยว!$F$6:$F$6005,$J132)=$I$7)),$N132*10000000+$O132*1000+125,""))</f>
        <v/>
      </c>
      <c r="Q132">
        <f>IFERROR(MATCH(SMALL($P$8:$P$407,125),$P$8:$P$407,0),"")</f>
        <v/>
      </c>
      <c r="R132">
        <f>IF($Q132="","",INDEX($J$8:$J$407,$Q132))</f>
        <v/>
      </c>
      <c r="S132">
        <f>IF($Q132="","",INDEX($M$8:$M$407,$Q132))</f>
        <v/>
      </c>
      <c r="T132">
        <f>IF($Q132="","",INDEX($L$8:$L$407,$Q132))</f>
        <v/>
      </c>
      <c r="U132">
        <f>IF($Q132="","",INDEX($K$8:$K$407,$Q132))</f>
        <v/>
      </c>
      <c r="V132">
        <f>IF($Q132="",0,IF($S132&lt;&gt;$S131,1,0))</f>
        <v/>
      </c>
      <c r="W132">
        <f>IF($Q132="",0,IF($T132&lt;&gt;$T131,1,0))</f>
        <v/>
      </c>
      <c r="X132">
        <f>IF($Q132="",99999+125,$X131+1+$V131+$W131)</f>
        <v/>
      </c>
      <c r="Y132">
        <f>IF($Q132="","",INDEX(บันทึกรายเที่ยว!$Q$6:$Q$6005,$R132))</f>
        <v/>
      </c>
      <c r="Z132">
        <f>IF($Q132="","",INDEX(บันทึกรายเที่ยว!$F$6:$F$6005,$R132))</f>
        <v/>
      </c>
      <c r="AA132">
        <f>IFERROR(MATCH(125,$X$8:$X$407,1),"")</f>
        <v/>
      </c>
      <c r="AB132">
        <f>IF(125=$AD$1+1,"G",IF($AA132="","",IF(INDEX($Q$8:$Q$407,$AA132)="","",IF(125&gt;INDEX($X$8:$X$407,$AA132)+INDEX($V$8:$V$407,$AA132)+INDEX($W$8:$W$407,$AA132),"",IF(125=INDEX($X$8:$X$407,$AA132)+INDEX($V$8:$V$407,$AA132)+INDEX($W$8:$W$407,$AA132),"D",IF(AND(INDEX($W$8:$W$407,$AA132)=1,125=INDEX($X$8:$X$407,$AA132)+INDEX($V$8:$V$407,$AA132)),"S","R"))))))</f>
        <v/>
      </c>
      <c r="AC132">
        <f>IF(OR($AB132="",$AB132="G"),"",IF($AB132="D",INDEX($U$8:$U$407,$AA132),IF($AB132="S",INDEX($T$8:$T$407,$AA132)&amp;"|*",INDEX($S$8:$S$407,$AA132)&amp;"|*")))</f>
        <v/>
      </c>
      <c r="AE132">
        <f>IF($U132="",0,COUNTIF(บันทึกรายเที่ยว!$T$6:$T$6005,$U132))</f>
        <v/>
      </c>
      <c r="AF132">
        <f>IF($U132="",0,ROUND(SUMIF(บันทึกรายเที่ยว!$T$6:$T$6005,$U132,บันทึกรายเที่ยว!$J$6:$J$6005),2))</f>
        <v/>
      </c>
      <c r="AG132">
        <f>IF($U132="",0,ROUND(SUMIF(บันทึกรายเที่ยว!$T$6:$T$6005,$U132,บันทึกรายเที่ยว!$K$6:$K$6005),2))</f>
        <v/>
      </c>
      <c r="AH132">
        <f>IF($U132="",0,ROUND(SUMIF(บันทึกรายเที่ยว!$T$6:$T$6005,$U132,บันทึกรายเที่ยว!$M$6:$M$6005),2))</f>
        <v/>
      </c>
    </row>
    <row r="133" ht="21" customHeight="1" s="66">
      <c r="A133" s="3">
        <f>IF($AB133="G","ผลรวมทั้งหมด",IF($AB133="R",INDEX($S$8:$S$407,$AA133),""))</f>
        <v/>
      </c>
      <c r="B133" s="3">
        <f>IF($AB133="S",INDEX($Y$8:$Y$407,$AA133),"")</f>
        <v/>
      </c>
      <c r="C133" s="68">
        <f>IF($AB133="D",INDEX($Z$8:$Z$407,$AA133),"")</f>
        <v/>
      </c>
      <c r="D133" s="31">
        <f>IF($AB133="G",SUM($AE$8:$AE$407),IF(OR($AB133="",$AB133="R"),"",IF($AB133="D",INDEX($AE$8:$AE$407,$AA133),SUMIF($T$8:$T$407,INDEX($T$8:$T$407,$AA133),$AE$8:$AE$407))))</f>
        <v/>
      </c>
      <c r="E133" s="32">
        <f>IF(126=$AD$1+3,"ขอแสดงความนับถือ",IF(126=$AD$1+6,"(                 )",IF(126=$AD$1+7,"เจ้าหน้าที่ขนส่ง",IF($AB133="G",SUM($AF$8:$AF$407),IF(OR($AB133="",$AB133="R"),"",IF($AB133="D",INDEX($AF$8:$AF$407,$AA133),SUMIF($T$8:$T$407,INDEX($T$8:$T$407,$AA133),$AF$8:$AF$407)))))))</f>
        <v/>
      </c>
      <c r="F133" s="32">
        <f>IF($AB133="G",SUM($AG$8:$AG$407),IF(OR($AB133="",$AB133="R"),"",IF($AB133="D",INDEX($AG$8:$AG$407,$AA133),SUMIF($T$8:$T$407,INDEX($T$8:$T$407,$AA133),$AG$8:$AG$407))))</f>
        <v/>
      </c>
      <c r="G133" s="32">
        <f>IF(OR($AB133="",$AB133="R"),"",ROUND($E133-$F133,2))</f>
        <v/>
      </c>
      <c r="H133" s="32">
        <f>IF($AB133="G",SUM($AH$8:$AH$407),IF(OR($AB133="",$AB133="R"),"",IF($AB133="D",INDEX($AH$8:$AH$407,$AA133),SUMIF($T$8:$T$407,INDEX($T$8:$T$407,$AA133),$AH$8:$AH$407))))</f>
        <v/>
      </c>
      <c r="J133">
        <f>IFERROR(MATCH(126,บันทึกรายเที่ยว!$W$6:$W$6005,0),"")</f>
        <v/>
      </c>
      <c r="K133">
        <f>IF($J133="","",INDEX(บันทึกรายเที่ยว!$T$6:$T$6005,$J133))</f>
        <v/>
      </c>
      <c r="L133">
        <f>IF($J133="","",INDEX(บันทึกรายเที่ยว!$S$6:$S$6005,$J133))</f>
        <v/>
      </c>
      <c r="M133">
        <f>IF($J133="","",INDEX(บันทึกรายเที่ยว!$R$6:$R$6005,$J133))</f>
        <v/>
      </c>
      <c r="N133">
        <f>IF($J133="","",MATCH($M133,บันทึกรายเที่ยว!$R$6:$R$6005,0))</f>
        <v/>
      </c>
      <c r="O133">
        <f>IF($J133="","",MATCH($L133,บันทึกรายเที่ยว!$S$6:$S$6005,0))</f>
        <v/>
      </c>
      <c r="P133">
        <f>IF($J133="","",IF(AND(OR($I$3="(ทั้งหมด)",INDEX(บันทึกรายเที่ยว!$C$6:$C$6005,$J133)=$I$3),OR($I$5="(ทั้งหมด)",INDEX(บันทึกรายเที่ยว!$D$6:$D$6005,$J133)=$I$5),OR($I$7="(ทั้งหมด)",INDEX(บันทึกรายเที่ยว!$F$6:$F$6005,$J133)=$I$7)),$N133*10000000+$O133*1000+126,""))</f>
        <v/>
      </c>
      <c r="Q133">
        <f>IFERROR(MATCH(SMALL($P$8:$P$407,126),$P$8:$P$407,0),"")</f>
        <v/>
      </c>
      <c r="R133">
        <f>IF($Q133="","",INDEX($J$8:$J$407,$Q133))</f>
        <v/>
      </c>
      <c r="S133">
        <f>IF($Q133="","",INDEX($M$8:$M$407,$Q133))</f>
        <v/>
      </c>
      <c r="T133">
        <f>IF($Q133="","",INDEX($L$8:$L$407,$Q133))</f>
        <v/>
      </c>
      <c r="U133">
        <f>IF($Q133="","",INDEX($K$8:$K$407,$Q133))</f>
        <v/>
      </c>
      <c r="V133">
        <f>IF($Q133="",0,IF($S133&lt;&gt;$S132,1,0))</f>
        <v/>
      </c>
      <c r="W133">
        <f>IF($Q133="",0,IF($T133&lt;&gt;$T132,1,0))</f>
        <v/>
      </c>
      <c r="X133">
        <f>IF($Q133="",99999+126,$X132+1+$V132+$W132)</f>
        <v/>
      </c>
      <c r="Y133">
        <f>IF($Q133="","",INDEX(บันทึกรายเที่ยว!$Q$6:$Q$6005,$R133))</f>
        <v/>
      </c>
      <c r="Z133">
        <f>IF($Q133="","",INDEX(บันทึกรายเที่ยว!$F$6:$F$6005,$R133))</f>
        <v/>
      </c>
      <c r="AA133">
        <f>IFERROR(MATCH(126,$X$8:$X$407,1),"")</f>
        <v/>
      </c>
      <c r="AB133">
        <f>IF(126=$AD$1+1,"G",IF($AA133="","",IF(INDEX($Q$8:$Q$407,$AA133)="","",IF(126&gt;INDEX($X$8:$X$407,$AA133)+INDEX($V$8:$V$407,$AA133)+INDEX($W$8:$W$407,$AA133),"",IF(126=INDEX($X$8:$X$407,$AA133)+INDEX($V$8:$V$407,$AA133)+INDEX($W$8:$W$407,$AA133),"D",IF(AND(INDEX($W$8:$W$407,$AA133)=1,126=INDEX($X$8:$X$407,$AA133)+INDEX($V$8:$V$407,$AA133)),"S","R"))))))</f>
        <v/>
      </c>
      <c r="AC133">
        <f>IF(OR($AB133="",$AB133="G"),"",IF($AB133="D",INDEX($U$8:$U$407,$AA133),IF($AB133="S",INDEX($T$8:$T$407,$AA133)&amp;"|*",INDEX($S$8:$S$407,$AA133)&amp;"|*")))</f>
        <v/>
      </c>
      <c r="AE133">
        <f>IF($U133="",0,COUNTIF(บันทึกรายเที่ยว!$T$6:$T$6005,$U133))</f>
        <v/>
      </c>
      <c r="AF133">
        <f>IF($U133="",0,ROUND(SUMIF(บันทึกรายเที่ยว!$T$6:$T$6005,$U133,บันทึกรายเที่ยว!$J$6:$J$6005),2))</f>
        <v/>
      </c>
      <c r="AG133">
        <f>IF($U133="",0,ROUND(SUMIF(บันทึกรายเที่ยว!$T$6:$T$6005,$U133,บันทึกรายเที่ยว!$K$6:$K$6005),2))</f>
        <v/>
      </c>
      <c r="AH133">
        <f>IF($U133="",0,ROUND(SUMIF(บันทึกรายเที่ยว!$T$6:$T$6005,$U133,บันทึกรายเที่ยว!$M$6:$M$6005),2))</f>
        <v/>
      </c>
    </row>
    <row r="134" ht="21" customHeight="1" s="66">
      <c r="A134" s="3">
        <f>IF($AB134="G","ผลรวมทั้งหมด",IF($AB134="R",INDEX($S$8:$S$407,$AA134),""))</f>
        <v/>
      </c>
      <c r="B134" s="3">
        <f>IF($AB134="S",INDEX($Y$8:$Y$407,$AA134),"")</f>
        <v/>
      </c>
      <c r="C134" s="68">
        <f>IF($AB134="D",INDEX($Z$8:$Z$407,$AA134),"")</f>
        <v/>
      </c>
      <c r="D134" s="31">
        <f>IF($AB134="G",SUM($AE$8:$AE$407),IF(OR($AB134="",$AB134="R"),"",IF($AB134="D",INDEX($AE$8:$AE$407,$AA134),SUMIF($T$8:$T$407,INDEX($T$8:$T$407,$AA134),$AE$8:$AE$407))))</f>
        <v/>
      </c>
      <c r="E134" s="32">
        <f>IF(127=$AD$1+3,"ขอแสดงความนับถือ",IF(127=$AD$1+6,"(                 )",IF(127=$AD$1+7,"เจ้าหน้าที่ขนส่ง",IF($AB134="G",SUM($AF$8:$AF$407),IF(OR($AB134="",$AB134="R"),"",IF($AB134="D",INDEX($AF$8:$AF$407,$AA134),SUMIF($T$8:$T$407,INDEX($T$8:$T$407,$AA134),$AF$8:$AF$407)))))))</f>
        <v/>
      </c>
      <c r="F134" s="32">
        <f>IF($AB134="G",SUM($AG$8:$AG$407),IF(OR($AB134="",$AB134="R"),"",IF($AB134="D",INDEX($AG$8:$AG$407,$AA134),SUMIF($T$8:$T$407,INDEX($T$8:$T$407,$AA134),$AG$8:$AG$407))))</f>
        <v/>
      </c>
      <c r="G134" s="32">
        <f>IF(OR($AB134="",$AB134="R"),"",ROUND($E134-$F134,2))</f>
        <v/>
      </c>
      <c r="H134" s="32">
        <f>IF($AB134="G",SUM($AH$8:$AH$407),IF(OR($AB134="",$AB134="R"),"",IF($AB134="D",INDEX($AH$8:$AH$407,$AA134),SUMIF($T$8:$T$407,INDEX($T$8:$T$407,$AA134),$AH$8:$AH$407))))</f>
        <v/>
      </c>
      <c r="J134">
        <f>IFERROR(MATCH(127,บันทึกรายเที่ยว!$W$6:$W$6005,0),"")</f>
        <v/>
      </c>
      <c r="K134">
        <f>IF($J134="","",INDEX(บันทึกรายเที่ยว!$T$6:$T$6005,$J134))</f>
        <v/>
      </c>
      <c r="L134">
        <f>IF($J134="","",INDEX(บันทึกรายเที่ยว!$S$6:$S$6005,$J134))</f>
        <v/>
      </c>
      <c r="M134">
        <f>IF($J134="","",INDEX(บันทึกรายเที่ยว!$R$6:$R$6005,$J134))</f>
        <v/>
      </c>
      <c r="N134">
        <f>IF($J134="","",MATCH($M134,บันทึกรายเที่ยว!$R$6:$R$6005,0))</f>
        <v/>
      </c>
      <c r="O134">
        <f>IF($J134="","",MATCH($L134,บันทึกรายเที่ยว!$S$6:$S$6005,0))</f>
        <v/>
      </c>
      <c r="P134">
        <f>IF($J134="","",IF(AND(OR($I$3="(ทั้งหมด)",INDEX(บันทึกรายเที่ยว!$C$6:$C$6005,$J134)=$I$3),OR($I$5="(ทั้งหมด)",INDEX(บันทึกรายเที่ยว!$D$6:$D$6005,$J134)=$I$5),OR($I$7="(ทั้งหมด)",INDEX(บันทึกรายเที่ยว!$F$6:$F$6005,$J134)=$I$7)),$N134*10000000+$O134*1000+127,""))</f>
        <v/>
      </c>
      <c r="Q134">
        <f>IFERROR(MATCH(SMALL($P$8:$P$407,127),$P$8:$P$407,0),"")</f>
        <v/>
      </c>
      <c r="R134">
        <f>IF($Q134="","",INDEX($J$8:$J$407,$Q134))</f>
        <v/>
      </c>
      <c r="S134">
        <f>IF($Q134="","",INDEX($M$8:$M$407,$Q134))</f>
        <v/>
      </c>
      <c r="T134">
        <f>IF($Q134="","",INDEX($L$8:$L$407,$Q134))</f>
        <v/>
      </c>
      <c r="U134">
        <f>IF($Q134="","",INDEX($K$8:$K$407,$Q134))</f>
        <v/>
      </c>
      <c r="V134">
        <f>IF($Q134="",0,IF($S134&lt;&gt;$S133,1,0))</f>
        <v/>
      </c>
      <c r="W134">
        <f>IF($Q134="",0,IF($T134&lt;&gt;$T133,1,0))</f>
        <v/>
      </c>
      <c r="X134">
        <f>IF($Q134="",99999+127,$X133+1+$V133+$W133)</f>
        <v/>
      </c>
      <c r="Y134">
        <f>IF($Q134="","",INDEX(บันทึกรายเที่ยว!$Q$6:$Q$6005,$R134))</f>
        <v/>
      </c>
      <c r="Z134">
        <f>IF($Q134="","",INDEX(บันทึกรายเที่ยว!$F$6:$F$6005,$R134))</f>
        <v/>
      </c>
      <c r="AA134">
        <f>IFERROR(MATCH(127,$X$8:$X$407,1),"")</f>
        <v/>
      </c>
      <c r="AB134">
        <f>IF(127=$AD$1+1,"G",IF($AA134="","",IF(INDEX($Q$8:$Q$407,$AA134)="","",IF(127&gt;INDEX($X$8:$X$407,$AA134)+INDEX($V$8:$V$407,$AA134)+INDEX($W$8:$W$407,$AA134),"",IF(127=INDEX($X$8:$X$407,$AA134)+INDEX($V$8:$V$407,$AA134)+INDEX($W$8:$W$407,$AA134),"D",IF(AND(INDEX($W$8:$W$407,$AA134)=1,127=INDEX($X$8:$X$407,$AA134)+INDEX($V$8:$V$407,$AA134)),"S","R"))))))</f>
        <v/>
      </c>
      <c r="AC134">
        <f>IF(OR($AB134="",$AB134="G"),"",IF($AB134="D",INDEX($U$8:$U$407,$AA134),IF($AB134="S",INDEX($T$8:$T$407,$AA134)&amp;"|*",INDEX($S$8:$S$407,$AA134)&amp;"|*")))</f>
        <v/>
      </c>
      <c r="AE134">
        <f>IF($U134="",0,COUNTIF(บันทึกรายเที่ยว!$T$6:$T$6005,$U134))</f>
        <v/>
      </c>
      <c r="AF134">
        <f>IF($U134="",0,ROUND(SUMIF(บันทึกรายเที่ยว!$T$6:$T$6005,$U134,บันทึกรายเที่ยว!$J$6:$J$6005),2))</f>
        <v/>
      </c>
      <c r="AG134">
        <f>IF($U134="",0,ROUND(SUMIF(บันทึกรายเที่ยว!$T$6:$T$6005,$U134,บันทึกรายเที่ยว!$K$6:$K$6005),2))</f>
        <v/>
      </c>
      <c r="AH134">
        <f>IF($U134="",0,ROUND(SUMIF(บันทึกรายเที่ยว!$T$6:$T$6005,$U134,บันทึกรายเที่ยว!$M$6:$M$6005),2))</f>
        <v/>
      </c>
    </row>
    <row r="135" ht="21" customHeight="1" s="66">
      <c r="A135" s="3">
        <f>IF($AB135="G","ผลรวมทั้งหมด",IF($AB135="R",INDEX($S$8:$S$407,$AA135),""))</f>
        <v/>
      </c>
      <c r="B135" s="3">
        <f>IF($AB135="S",INDEX($Y$8:$Y$407,$AA135),"")</f>
        <v/>
      </c>
      <c r="C135" s="68">
        <f>IF($AB135="D",INDEX($Z$8:$Z$407,$AA135),"")</f>
        <v/>
      </c>
      <c r="D135" s="31">
        <f>IF($AB135="G",SUM($AE$8:$AE$407),IF(OR($AB135="",$AB135="R"),"",IF($AB135="D",INDEX($AE$8:$AE$407,$AA135),SUMIF($T$8:$T$407,INDEX($T$8:$T$407,$AA135),$AE$8:$AE$407))))</f>
        <v/>
      </c>
      <c r="E135" s="32">
        <f>IF(128=$AD$1+3,"ขอแสดงความนับถือ",IF(128=$AD$1+6,"(                 )",IF(128=$AD$1+7,"เจ้าหน้าที่ขนส่ง",IF($AB135="G",SUM($AF$8:$AF$407),IF(OR($AB135="",$AB135="R"),"",IF($AB135="D",INDEX($AF$8:$AF$407,$AA135),SUMIF($T$8:$T$407,INDEX($T$8:$T$407,$AA135),$AF$8:$AF$407)))))))</f>
        <v/>
      </c>
      <c r="F135" s="32">
        <f>IF($AB135="G",SUM($AG$8:$AG$407),IF(OR($AB135="",$AB135="R"),"",IF($AB135="D",INDEX($AG$8:$AG$407,$AA135),SUMIF($T$8:$T$407,INDEX($T$8:$T$407,$AA135),$AG$8:$AG$407))))</f>
        <v/>
      </c>
      <c r="G135" s="32">
        <f>IF(OR($AB135="",$AB135="R"),"",ROUND($E135-$F135,2))</f>
        <v/>
      </c>
      <c r="H135" s="32">
        <f>IF($AB135="G",SUM($AH$8:$AH$407),IF(OR($AB135="",$AB135="R"),"",IF($AB135="D",INDEX($AH$8:$AH$407,$AA135),SUMIF($T$8:$T$407,INDEX($T$8:$T$407,$AA135),$AH$8:$AH$407))))</f>
        <v/>
      </c>
      <c r="J135">
        <f>IFERROR(MATCH(128,บันทึกรายเที่ยว!$W$6:$W$6005,0),"")</f>
        <v/>
      </c>
      <c r="K135">
        <f>IF($J135="","",INDEX(บันทึกรายเที่ยว!$T$6:$T$6005,$J135))</f>
        <v/>
      </c>
      <c r="L135">
        <f>IF($J135="","",INDEX(บันทึกรายเที่ยว!$S$6:$S$6005,$J135))</f>
        <v/>
      </c>
      <c r="M135">
        <f>IF($J135="","",INDEX(บันทึกรายเที่ยว!$R$6:$R$6005,$J135))</f>
        <v/>
      </c>
      <c r="N135">
        <f>IF($J135="","",MATCH($M135,บันทึกรายเที่ยว!$R$6:$R$6005,0))</f>
        <v/>
      </c>
      <c r="O135">
        <f>IF($J135="","",MATCH($L135,บันทึกรายเที่ยว!$S$6:$S$6005,0))</f>
        <v/>
      </c>
      <c r="P135">
        <f>IF($J135="","",IF(AND(OR($I$3="(ทั้งหมด)",INDEX(บันทึกรายเที่ยว!$C$6:$C$6005,$J135)=$I$3),OR($I$5="(ทั้งหมด)",INDEX(บันทึกรายเที่ยว!$D$6:$D$6005,$J135)=$I$5),OR($I$7="(ทั้งหมด)",INDEX(บันทึกรายเที่ยว!$F$6:$F$6005,$J135)=$I$7)),$N135*10000000+$O135*1000+128,""))</f>
        <v/>
      </c>
      <c r="Q135">
        <f>IFERROR(MATCH(SMALL($P$8:$P$407,128),$P$8:$P$407,0),"")</f>
        <v/>
      </c>
      <c r="R135">
        <f>IF($Q135="","",INDEX($J$8:$J$407,$Q135))</f>
        <v/>
      </c>
      <c r="S135">
        <f>IF($Q135="","",INDEX($M$8:$M$407,$Q135))</f>
        <v/>
      </c>
      <c r="T135">
        <f>IF($Q135="","",INDEX($L$8:$L$407,$Q135))</f>
        <v/>
      </c>
      <c r="U135">
        <f>IF($Q135="","",INDEX($K$8:$K$407,$Q135))</f>
        <v/>
      </c>
      <c r="V135">
        <f>IF($Q135="",0,IF($S135&lt;&gt;$S134,1,0))</f>
        <v/>
      </c>
      <c r="W135">
        <f>IF($Q135="",0,IF($T135&lt;&gt;$T134,1,0))</f>
        <v/>
      </c>
      <c r="X135">
        <f>IF($Q135="",99999+128,$X134+1+$V134+$W134)</f>
        <v/>
      </c>
      <c r="Y135">
        <f>IF($Q135="","",INDEX(บันทึกรายเที่ยว!$Q$6:$Q$6005,$R135))</f>
        <v/>
      </c>
      <c r="Z135">
        <f>IF($Q135="","",INDEX(บันทึกรายเที่ยว!$F$6:$F$6005,$R135))</f>
        <v/>
      </c>
      <c r="AA135">
        <f>IFERROR(MATCH(128,$X$8:$X$407,1),"")</f>
        <v/>
      </c>
      <c r="AB135">
        <f>IF(128=$AD$1+1,"G",IF($AA135="","",IF(INDEX($Q$8:$Q$407,$AA135)="","",IF(128&gt;INDEX($X$8:$X$407,$AA135)+INDEX($V$8:$V$407,$AA135)+INDEX($W$8:$W$407,$AA135),"",IF(128=INDEX($X$8:$X$407,$AA135)+INDEX($V$8:$V$407,$AA135)+INDEX($W$8:$W$407,$AA135),"D",IF(AND(INDEX($W$8:$W$407,$AA135)=1,128=INDEX($X$8:$X$407,$AA135)+INDEX($V$8:$V$407,$AA135)),"S","R"))))))</f>
        <v/>
      </c>
      <c r="AC135">
        <f>IF(OR($AB135="",$AB135="G"),"",IF($AB135="D",INDEX($U$8:$U$407,$AA135),IF($AB135="S",INDEX($T$8:$T$407,$AA135)&amp;"|*",INDEX($S$8:$S$407,$AA135)&amp;"|*")))</f>
        <v/>
      </c>
      <c r="AE135">
        <f>IF($U135="",0,COUNTIF(บันทึกรายเที่ยว!$T$6:$T$6005,$U135))</f>
        <v/>
      </c>
      <c r="AF135">
        <f>IF($U135="",0,ROUND(SUMIF(บันทึกรายเที่ยว!$T$6:$T$6005,$U135,บันทึกรายเที่ยว!$J$6:$J$6005),2))</f>
        <v/>
      </c>
      <c r="AG135">
        <f>IF($U135="",0,ROUND(SUMIF(บันทึกรายเที่ยว!$T$6:$T$6005,$U135,บันทึกรายเที่ยว!$K$6:$K$6005),2))</f>
        <v/>
      </c>
      <c r="AH135">
        <f>IF($U135="",0,ROUND(SUMIF(บันทึกรายเที่ยว!$T$6:$T$6005,$U135,บันทึกรายเที่ยว!$M$6:$M$6005),2))</f>
        <v/>
      </c>
    </row>
    <row r="136" ht="21" customHeight="1" s="66">
      <c r="A136" s="3">
        <f>IF($AB136="G","ผลรวมทั้งหมด",IF($AB136="R",INDEX($S$8:$S$407,$AA136),""))</f>
        <v/>
      </c>
      <c r="B136" s="3">
        <f>IF($AB136="S",INDEX($Y$8:$Y$407,$AA136),"")</f>
        <v/>
      </c>
      <c r="C136" s="68">
        <f>IF($AB136="D",INDEX($Z$8:$Z$407,$AA136),"")</f>
        <v/>
      </c>
      <c r="D136" s="31">
        <f>IF($AB136="G",SUM($AE$8:$AE$407),IF(OR($AB136="",$AB136="R"),"",IF($AB136="D",INDEX($AE$8:$AE$407,$AA136),SUMIF($T$8:$T$407,INDEX($T$8:$T$407,$AA136),$AE$8:$AE$407))))</f>
        <v/>
      </c>
      <c r="E136" s="32">
        <f>IF(129=$AD$1+3,"ขอแสดงความนับถือ",IF(129=$AD$1+6,"(                 )",IF(129=$AD$1+7,"เจ้าหน้าที่ขนส่ง",IF($AB136="G",SUM($AF$8:$AF$407),IF(OR($AB136="",$AB136="R"),"",IF($AB136="D",INDEX($AF$8:$AF$407,$AA136),SUMIF($T$8:$T$407,INDEX($T$8:$T$407,$AA136),$AF$8:$AF$407)))))))</f>
        <v/>
      </c>
      <c r="F136" s="32">
        <f>IF($AB136="G",SUM($AG$8:$AG$407),IF(OR($AB136="",$AB136="R"),"",IF($AB136="D",INDEX($AG$8:$AG$407,$AA136),SUMIF($T$8:$T$407,INDEX($T$8:$T$407,$AA136),$AG$8:$AG$407))))</f>
        <v/>
      </c>
      <c r="G136" s="32">
        <f>IF(OR($AB136="",$AB136="R"),"",ROUND($E136-$F136,2))</f>
        <v/>
      </c>
      <c r="H136" s="32">
        <f>IF($AB136="G",SUM($AH$8:$AH$407),IF(OR($AB136="",$AB136="R"),"",IF($AB136="D",INDEX($AH$8:$AH$407,$AA136),SUMIF($T$8:$T$407,INDEX($T$8:$T$407,$AA136),$AH$8:$AH$407))))</f>
        <v/>
      </c>
      <c r="J136">
        <f>IFERROR(MATCH(129,บันทึกรายเที่ยว!$W$6:$W$6005,0),"")</f>
        <v/>
      </c>
      <c r="K136">
        <f>IF($J136="","",INDEX(บันทึกรายเที่ยว!$T$6:$T$6005,$J136))</f>
        <v/>
      </c>
      <c r="L136">
        <f>IF($J136="","",INDEX(บันทึกรายเที่ยว!$S$6:$S$6005,$J136))</f>
        <v/>
      </c>
      <c r="M136">
        <f>IF($J136="","",INDEX(บันทึกรายเที่ยว!$R$6:$R$6005,$J136))</f>
        <v/>
      </c>
      <c r="N136">
        <f>IF($J136="","",MATCH($M136,บันทึกรายเที่ยว!$R$6:$R$6005,0))</f>
        <v/>
      </c>
      <c r="O136">
        <f>IF($J136="","",MATCH($L136,บันทึกรายเที่ยว!$S$6:$S$6005,0))</f>
        <v/>
      </c>
      <c r="P136">
        <f>IF($J136="","",IF(AND(OR($I$3="(ทั้งหมด)",INDEX(บันทึกรายเที่ยว!$C$6:$C$6005,$J136)=$I$3),OR($I$5="(ทั้งหมด)",INDEX(บันทึกรายเที่ยว!$D$6:$D$6005,$J136)=$I$5),OR($I$7="(ทั้งหมด)",INDEX(บันทึกรายเที่ยว!$F$6:$F$6005,$J136)=$I$7)),$N136*10000000+$O136*1000+129,""))</f>
        <v/>
      </c>
      <c r="Q136">
        <f>IFERROR(MATCH(SMALL($P$8:$P$407,129),$P$8:$P$407,0),"")</f>
        <v/>
      </c>
      <c r="R136">
        <f>IF($Q136="","",INDEX($J$8:$J$407,$Q136))</f>
        <v/>
      </c>
      <c r="S136">
        <f>IF($Q136="","",INDEX($M$8:$M$407,$Q136))</f>
        <v/>
      </c>
      <c r="T136">
        <f>IF($Q136="","",INDEX($L$8:$L$407,$Q136))</f>
        <v/>
      </c>
      <c r="U136">
        <f>IF($Q136="","",INDEX($K$8:$K$407,$Q136))</f>
        <v/>
      </c>
      <c r="V136">
        <f>IF($Q136="",0,IF($S136&lt;&gt;$S135,1,0))</f>
        <v/>
      </c>
      <c r="W136">
        <f>IF($Q136="",0,IF($T136&lt;&gt;$T135,1,0))</f>
        <v/>
      </c>
      <c r="X136">
        <f>IF($Q136="",99999+129,$X135+1+$V135+$W135)</f>
        <v/>
      </c>
      <c r="Y136">
        <f>IF($Q136="","",INDEX(บันทึกรายเที่ยว!$Q$6:$Q$6005,$R136))</f>
        <v/>
      </c>
      <c r="Z136">
        <f>IF($Q136="","",INDEX(บันทึกรายเที่ยว!$F$6:$F$6005,$R136))</f>
        <v/>
      </c>
      <c r="AA136">
        <f>IFERROR(MATCH(129,$X$8:$X$407,1),"")</f>
        <v/>
      </c>
      <c r="AB136">
        <f>IF(129=$AD$1+1,"G",IF($AA136="","",IF(INDEX($Q$8:$Q$407,$AA136)="","",IF(129&gt;INDEX($X$8:$X$407,$AA136)+INDEX($V$8:$V$407,$AA136)+INDEX($W$8:$W$407,$AA136),"",IF(129=INDEX($X$8:$X$407,$AA136)+INDEX($V$8:$V$407,$AA136)+INDEX($W$8:$W$407,$AA136),"D",IF(AND(INDEX($W$8:$W$407,$AA136)=1,129=INDEX($X$8:$X$407,$AA136)+INDEX($V$8:$V$407,$AA136)),"S","R"))))))</f>
        <v/>
      </c>
      <c r="AC136">
        <f>IF(OR($AB136="",$AB136="G"),"",IF($AB136="D",INDEX($U$8:$U$407,$AA136),IF($AB136="S",INDEX($T$8:$T$407,$AA136)&amp;"|*",INDEX($S$8:$S$407,$AA136)&amp;"|*")))</f>
        <v/>
      </c>
      <c r="AE136">
        <f>IF($U136="",0,COUNTIF(บันทึกรายเที่ยว!$T$6:$T$6005,$U136))</f>
        <v/>
      </c>
      <c r="AF136">
        <f>IF($U136="",0,ROUND(SUMIF(บันทึกรายเที่ยว!$T$6:$T$6005,$U136,บันทึกรายเที่ยว!$J$6:$J$6005),2))</f>
        <v/>
      </c>
      <c r="AG136">
        <f>IF($U136="",0,ROUND(SUMIF(บันทึกรายเที่ยว!$T$6:$T$6005,$U136,บันทึกรายเที่ยว!$K$6:$K$6005),2))</f>
        <v/>
      </c>
      <c r="AH136">
        <f>IF($U136="",0,ROUND(SUMIF(บันทึกรายเที่ยว!$T$6:$T$6005,$U136,บันทึกรายเที่ยว!$M$6:$M$6005),2))</f>
        <v/>
      </c>
    </row>
    <row r="137" ht="21" customHeight="1" s="66">
      <c r="A137" s="3">
        <f>IF($AB137="G","ผลรวมทั้งหมด",IF($AB137="R",INDEX($S$8:$S$407,$AA137),""))</f>
        <v/>
      </c>
      <c r="B137" s="3">
        <f>IF($AB137="S",INDEX($Y$8:$Y$407,$AA137),"")</f>
        <v/>
      </c>
      <c r="C137" s="68">
        <f>IF($AB137="D",INDEX($Z$8:$Z$407,$AA137),"")</f>
        <v/>
      </c>
      <c r="D137" s="31">
        <f>IF($AB137="G",SUM($AE$8:$AE$407),IF(OR($AB137="",$AB137="R"),"",IF($AB137="D",INDEX($AE$8:$AE$407,$AA137),SUMIF($T$8:$T$407,INDEX($T$8:$T$407,$AA137),$AE$8:$AE$407))))</f>
        <v/>
      </c>
      <c r="E137" s="32">
        <f>IF(130=$AD$1+3,"ขอแสดงความนับถือ",IF(130=$AD$1+6,"(                 )",IF(130=$AD$1+7,"เจ้าหน้าที่ขนส่ง",IF($AB137="G",SUM($AF$8:$AF$407),IF(OR($AB137="",$AB137="R"),"",IF($AB137="D",INDEX($AF$8:$AF$407,$AA137),SUMIF($T$8:$T$407,INDEX($T$8:$T$407,$AA137),$AF$8:$AF$407)))))))</f>
        <v/>
      </c>
      <c r="F137" s="32">
        <f>IF($AB137="G",SUM($AG$8:$AG$407),IF(OR($AB137="",$AB137="R"),"",IF($AB137="D",INDEX($AG$8:$AG$407,$AA137),SUMIF($T$8:$T$407,INDEX($T$8:$T$407,$AA137),$AG$8:$AG$407))))</f>
        <v/>
      </c>
      <c r="G137" s="32">
        <f>IF(OR($AB137="",$AB137="R"),"",ROUND($E137-$F137,2))</f>
        <v/>
      </c>
      <c r="H137" s="32">
        <f>IF($AB137="G",SUM($AH$8:$AH$407),IF(OR($AB137="",$AB137="R"),"",IF($AB137="D",INDEX($AH$8:$AH$407,$AA137),SUMIF($T$8:$T$407,INDEX($T$8:$T$407,$AA137),$AH$8:$AH$407))))</f>
        <v/>
      </c>
      <c r="J137">
        <f>IFERROR(MATCH(130,บันทึกรายเที่ยว!$W$6:$W$6005,0),"")</f>
        <v/>
      </c>
      <c r="K137">
        <f>IF($J137="","",INDEX(บันทึกรายเที่ยว!$T$6:$T$6005,$J137))</f>
        <v/>
      </c>
      <c r="L137">
        <f>IF($J137="","",INDEX(บันทึกรายเที่ยว!$S$6:$S$6005,$J137))</f>
        <v/>
      </c>
      <c r="M137">
        <f>IF($J137="","",INDEX(บันทึกรายเที่ยว!$R$6:$R$6005,$J137))</f>
        <v/>
      </c>
      <c r="N137">
        <f>IF($J137="","",MATCH($M137,บันทึกรายเที่ยว!$R$6:$R$6005,0))</f>
        <v/>
      </c>
      <c r="O137">
        <f>IF($J137="","",MATCH($L137,บันทึกรายเที่ยว!$S$6:$S$6005,0))</f>
        <v/>
      </c>
      <c r="P137">
        <f>IF($J137="","",IF(AND(OR($I$3="(ทั้งหมด)",INDEX(บันทึกรายเที่ยว!$C$6:$C$6005,$J137)=$I$3),OR($I$5="(ทั้งหมด)",INDEX(บันทึกรายเที่ยว!$D$6:$D$6005,$J137)=$I$5),OR($I$7="(ทั้งหมด)",INDEX(บันทึกรายเที่ยว!$F$6:$F$6005,$J137)=$I$7)),$N137*10000000+$O137*1000+130,""))</f>
        <v/>
      </c>
      <c r="Q137">
        <f>IFERROR(MATCH(SMALL($P$8:$P$407,130),$P$8:$P$407,0),"")</f>
        <v/>
      </c>
      <c r="R137">
        <f>IF($Q137="","",INDEX($J$8:$J$407,$Q137))</f>
        <v/>
      </c>
      <c r="S137">
        <f>IF($Q137="","",INDEX($M$8:$M$407,$Q137))</f>
        <v/>
      </c>
      <c r="T137">
        <f>IF($Q137="","",INDEX($L$8:$L$407,$Q137))</f>
        <v/>
      </c>
      <c r="U137">
        <f>IF($Q137="","",INDEX($K$8:$K$407,$Q137))</f>
        <v/>
      </c>
      <c r="V137">
        <f>IF($Q137="",0,IF($S137&lt;&gt;$S136,1,0))</f>
        <v/>
      </c>
      <c r="W137">
        <f>IF($Q137="",0,IF($T137&lt;&gt;$T136,1,0))</f>
        <v/>
      </c>
      <c r="X137">
        <f>IF($Q137="",99999+130,$X136+1+$V136+$W136)</f>
        <v/>
      </c>
      <c r="Y137">
        <f>IF($Q137="","",INDEX(บันทึกรายเที่ยว!$Q$6:$Q$6005,$R137))</f>
        <v/>
      </c>
      <c r="Z137">
        <f>IF($Q137="","",INDEX(บันทึกรายเที่ยว!$F$6:$F$6005,$R137))</f>
        <v/>
      </c>
      <c r="AA137">
        <f>IFERROR(MATCH(130,$X$8:$X$407,1),"")</f>
        <v/>
      </c>
      <c r="AB137">
        <f>IF(130=$AD$1+1,"G",IF($AA137="","",IF(INDEX($Q$8:$Q$407,$AA137)="","",IF(130&gt;INDEX($X$8:$X$407,$AA137)+INDEX($V$8:$V$407,$AA137)+INDEX($W$8:$W$407,$AA137),"",IF(130=INDEX($X$8:$X$407,$AA137)+INDEX($V$8:$V$407,$AA137)+INDEX($W$8:$W$407,$AA137),"D",IF(AND(INDEX($W$8:$W$407,$AA137)=1,130=INDEX($X$8:$X$407,$AA137)+INDEX($V$8:$V$407,$AA137)),"S","R"))))))</f>
        <v/>
      </c>
      <c r="AC137">
        <f>IF(OR($AB137="",$AB137="G"),"",IF($AB137="D",INDEX($U$8:$U$407,$AA137),IF($AB137="S",INDEX($T$8:$T$407,$AA137)&amp;"|*",INDEX($S$8:$S$407,$AA137)&amp;"|*")))</f>
        <v/>
      </c>
      <c r="AE137">
        <f>IF($U137="",0,COUNTIF(บันทึกรายเที่ยว!$T$6:$T$6005,$U137))</f>
        <v/>
      </c>
      <c r="AF137">
        <f>IF($U137="",0,ROUND(SUMIF(บันทึกรายเที่ยว!$T$6:$T$6005,$U137,บันทึกรายเที่ยว!$J$6:$J$6005),2))</f>
        <v/>
      </c>
      <c r="AG137">
        <f>IF($U137="",0,ROUND(SUMIF(บันทึกรายเที่ยว!$T$6:$T$6005,$U137,บันทึกรายเที่ยว!$K$6:$K$6005),2))</f>
        <v/>
      </c>
      <c r="AH137">
        <f>IF($U137="",0,ROUND(SUMIF(บันทึกรายเที่ยว!$T$6:$T$6005,$U137,บันทึกรายเที่ยว!$M$6:$M$6005),2))</f>
        <v/>
      </c>
    </row>
    <row r="138" ht="21" customHeight="1" s="66">
      <c r="A138" s="3">
        <f>IF($AB138="G","ผลรวมทั้งหมด",IF($AB138="R",INDEX($S$8:$S$407,$AA138),""))</f>
        <v/>
      </c>
      <c r="B138" s="3">
        <f>IF($AB138="S",INDEX($Y$8:$Y$407,$AA138),"")</f>
        <v/>
      </c>
      <c r="C138" s="68">
        <f>IF($AB138="D",INDEX($Z$8:$Z$407,$AA138),"")</f>
        <v/>
      </c>
      <c r="D138" s="31">
        <f>IF($AB138="G",SUM($AE$8:$AE$407),IF(OR($AB138="",$AB138="R"),"",IF($AB138="D",INDEX($AE$8:$AE$407,$AA138),SUMIF($T$8:$T$407,INDEX($T$8:$T$407,$AA138),$AE$8:$AE$407))))</f>
        <v/>
      </c>
      <c r="E138" s="32">
        <f>IF(131=$AD$1+3,"ขอแสดงความนับถือ",IF(131=$AD$1+6,"(                 )",IF(131=$AD$1+7,"เจ้าหน้าที่ขนส่ง",IF($AB138="G",SUM($AF$8:$AF$407),IF(OR($AB138="",$AB138="R"),"",IF($AB138="D",INDEX($AF$8:$AF$407,$AA138),SUMIF($T$8:$T$407,INDEX($T$8:$T$407,$AA138),$AF$8:$AF$407)))))))</f>
        <v/>
      </c>
      <c r="F138" s="32">
        <f>IF($AB138="G",SUM($AG$8:$AG$407),IF(OR($AB138="",$AB138="R"),"",IF($AB138="D",INDEX($AG$8:$AG$407,$AA138),SUMIF($T$8:$T$407,INDEX($T$8:$T$407,$AA138),$AG$8:$AG$407))))</f>
        <v/>
      </c>
      <c r="G138" s="32">
        <f>IF(OR($AB138="",$AB138="R"),"",ROUND($E138-$F138,2))</f>
        <v/>
      </c>
      <c r="H138" s="32">
        <f>IF($AB138="G",SUM($AH$8:$AH$407),IF(OR($AB138="",$AB138="R"),"",IF($AB138="D",INDEX($AH$8:$AH$407,$AA138),SUMIF($T$8:$T$407,INDEX($T$8:$T$407,$AA138),$AH$8:$AH$407))))</f>
        <v/>
      </c>
      <c r="J138">
        <f>IFERROR(MATCH(131,บันทึกรายเที่ยว!$W$6:$W$6005,0),"")</f>
        <v/>
      </c>
      <c r="K138">
        <f>IF($J138="","",INDEX(บันทึกรายเที่ยว!$T$6:$T$6005,$J138))</f>
        <v/>
      </c>
      <c r="L138">
        <f>IF($J138="","",INDEX(บันทึกรายเที่ยว!$S$6:$S$6005,$J138))</f>
        <v/>
      </c>
      <c r="M138">
        <f>IF($J138="","",INDEX(บันทึกรายเที่ยว!$R$6:$R$6005,$J138))</f>
        <v/>
      </c>
      <c r="N138">
        <f>IF($J138="","",MATCH($M138,บันทึกรายเที่ยว!$R$6:$R$6005,0))</f>
        <v/>
      </c>
      <c r="O138">
        <f>IF($J138="","",MATCH($L138,บันทึกรายเที่ยว!$S$6:$S$6005,0))</f>
        <v/>
      </c>
      <c r="P138">
        <f>IF($J138="","",IF(AND(OR($I$3="(ทั้งหมด)",INDEX(บันทึกรายเที่ยว!$C$6:$C$6005,$J138)=$I$3),OR($I$5="(ทั้งหมด)",INDEX(บันทึกรายเที่ยว!$D$6:$D$6005,$J138)=$I$5),OR($I$7="(ทั้งหมด)",INDEX(บันทึกรายเที่ยว!$F$6:$F$6005,$J138)=$I$7)),$N138*10000000+$O138*1000+131,""))</f>
        <v/>
      </c>
      <c r="Q138">
        <f>IFERROR(MATCH(SMALL($P$8:$P$407,131),$P$8:$P$407,0),"")</f>
        <v/>
      </c>
      <c r="R138">
        <f>IF($Q138="","",INDEX($J$8:$J$407,$Q138))</f>
        <v/>
      </c>
      <c r="S138">
        <f>IF($Q138="","",INDEX($M$8:$M$407,$Q138))</f>
        <v/>
      </c>
      <c r="T138">
        <f>IF($Q138="","",INDEX($L$8:$L$407,$Q138))</f>
        <v/>
      </c>
      <c r="U138">
        <f>IF($Q138="","",INDEX($K$8:$K$407,$Q138))</f>
        <v/>
      </c>
      <c r="V138">
        <f>IF($Q138="",0,IF($S138&lt;&gt;$S137,1,0))</f>
        <v/>
      </c>
      <c r="W138">
        <f>IF($Q138="",0,IF($T138&lt;&gt;$T137,1,0))</f>
        <v/>
      </c>
      <c r="X138">
        <f>IF($Q138="",99999+131,$X137+1+$V137+$W137)</f>
        <v/>
      </c>
      <c r="Y138">
        <f>IF($Q138="","",INDEX(บันทึกรายเที่ยว!$Q$6:$Q$6005,$R138))</f>
        <v/>
      </c>
      <c r="Z138">
        <f>IF($Q138="","",INDEX(บันทึกรายเที่ยว!$F$6:$F$6005,$R138))</f>
        <v/>
      </c>
      <c r="AA138">
        <f>IFERROR(MATCH(131,$X$8:$X$407,1),"")</f>
        <v/>
      </c>
      <c r="AB138">
        <f>IF(131=$AD$1+1,"G",IF($AA138="","",IF(INDEX($Q$8:$Q$407,$AA138)="","",IF(131&gt;INDEX($X$8:$X$407,$AA138)+INDEX($V$8:$V$407,$AA138)+INDEX($W$8:$W$407,$AA138),"",IF(131=INDEX($X$8:$X$407,$AA138)+INDEX($V$8:$V$407,$AA138)+INDEX($W$8:$W$407,$AA138),"D",IF(AND(INDEX($W$8:$W$407,$AA138)=1,131=INDEX($X$8:$X$407,$AA138)+INDEX($V$8:$V$407,$AA138)),"S","R"))))))</f>
        <v/>
      </c>
      <c r="AC138">
        <f>IF(OR($AB138="",$AB138="G"),"",IF($AB138="D",INDEX($U$8:$U$407,$AA138),IF($AB138="S",INDEX($T$8:$T$407,$AA138)&amp;"|*",INDEX($S$8:$S$407,$AA138)&amp;"|*")))</f>
        <v/>
      </c>
      <c r="AE138">
        <f>IF($U138="",0,COUNTIF(บันทึกรายเที่ยว!$T$6:$T$6005,$U138))</f>
        <v/>
      </c>
      <c r="AF138">
        <f>IF($U138="",0,ROUND(SUMIF(บันทึกรายเที่ยว!$T$6:$T$6005,$U138,บันทึกรายเที่ยว!$J$6:$J$6005),2))</f>
        <v/>
      </c>
      <c r="AG138">
        <f>IF($U138="",0,ROUND(SUMIF(บันทึกรายเที่ยว!$T$6:$T$6005,$U138,บันทึกรายเที่ยว!$K$6:$K$6005),2))</f>
        <v/>
      </c>
      <c r="AH138">
        <f>IF($U138="",0,ROUND(SUMIF(บันทึกรายเที่ยว!$T$6:$T$6005,$U138,บันทึกรายเที่ยว!$M$6:$M$6005),2))</f>
        <v/>
      </c>
    </row>
    <row r="139" ht="21" customHeight="1" s="66">
      <c r="A139" s="3">
        <f>IF($AB139="G","ผลรวมทั้งหมด",IF($AB139="R",INDEX($S$8:$S$407,$AA139),""))</f>
        <v/>
      </c>
      <c r="B139" s="3">
        <f>IF($AB139="S",INDEX($Y$8:$Y$407,$AA139),"")</f>
        <v/>
      </c>
      <c r="C139" s="68">
        <f>IF($AB139="D",INDEX($Z$8:$Z$407,$AA139),"")</f>
        <v/>
      </c>
      <c r="D139" s="31">
        <f>IF($AB139="G",SUM($AE$8:$AE$407),IF(OR($AB139="",$AB139="R"),"",IF($AB139="D",INDEX($AE$8:$AE$407,$AA139),SUMIF($T$8:$T$407,INDEX($T$8:$T$407,$AA139),$AE$8:$AE$407))))</f>
        <v/>
      </c>
      <c r="E139" s="32">
        <f>IF(132=$AD$1+3,"ขอแสดงความนับถือ",IF(132=$AD$1+6,"(                 )",IF(132=$AD$1+7,"เจ้าหน้าที่ขนส่ง",IF($AB139="G",SUM($AF$8:$AF$407),IF(OR($AB139="",$AB139="R"),"",IF($AB139="D",INDEX($AF$8:$AF$407,$AA139),SUMIF($T$8:$T$407,INDEX($T$8:$T$407,$AA139),$AF$8:$AF$407)))))))</f>
        <v/>
      </c>
      <c r="F139" s="32">
        <f>IF($AB139="G",SUM($AG$8:$AG$407),IF(OR($AB139="",$AB139="R"),"",IF($AB139="D",INDEX($AG$8:$AG$407,$AA139),SUMIF($T$8:$T$407,INDEX($T$8:$T$407,$AA139),$AG$8:$AG$407))))</f>
        <v/>
      </c>
      <c r="G139" s="32">
        <f>IF(OR($AB139="",$AB139="R"),"",ROUND($E139-$F139,2))</f>
        <v/>
      </c>
      <c r="H139" s="32">
        <f>IF($AB139="G",SUM($AH$8:$AH$407),IF(OR($AB139="",$AB139="R"),"",IF($AB139="D",INDEX($AH$8:$AH$407,$AA139),SUMIF($T$8:$T$407,INDEX($T$8:$T$407,$AA139),$AH$8:$AH$407))))</f>
        <v/>
      </c>
      <c r="J139">
        <f>IFERROR(MATCH(132,บันทึกรายเที่ยว!$W$6:$W$6005,0),"")</f>
        <v/>
      </c>
      <c r="K139">
        <f>IF($J139="","",INDEX(บันทึกรายเที่ยว!$T$6:$T$6005,$J139))</f>
        <v/>
      </c>
      <c r="L139">
        <f>IF($J139="","",INDEX(บันทึกรายเที่ยว!$S$6:$S$6005,$J139))</f>
        <v/>
      </c>
      <c r="M139">
        <f>IF($J139="","",INDEX(บันทึกรายเที่ยว!$R$6:$R$6005,$J139))</f>
        <v/>
      </c>
      <c r="N139">
        <f>IF($J139="","",MATCH($M139,บันทึกรายเที่ยว!$R$6:$R$6005,0))</f>
        <v/>
      </c>
      <c r="O139">
        <f>IF($J139="","",MATCH($L139,บันทึกรายเที่ยว!$S$6:$S$6005,0))</f>
        <v/>
      </c>
      <c r="P139">
        <f>IF($J139="","",IF(AND(OR($I$3="(ทั้งหมด)",INDEX(บันทึกรายเที่ยว!$C$6:$C$6005,$J139)=$I$3),OR($I$5="(ทั้งหมด)",INDEX(บันทึกรายเที่ยว!$D$6:$D$6005,$J139)=$I$5),OR($I$7="(ทั้งหมด)",INDEX(บันทึกรายเที่ยว!$F$6:$F$6005,$J139)=$I$7)),$N139*10000000+$O139*1000+132,""))</f>
        <v/>
      </c>
      <c r="Q139">
        <f>IFERROR(MATCH(SMALL($P$8:$P$407,132),$P$8:$P$407,0),"")</f>
        <v/>
      </c>
      <c r="R139">
        <f>IF($Q139="","",INDEX($J$8:$J$407,$Q139))</f>
        <v/>
      </c>
      <c r="S139">
        <f>IF($Q139="","",INDEX($M$8:$M$407,$Q139))</f>
        <v/>
      </c>
      <c r="T139">
        <f>IF($Q139="","",INDEX($L$8:$L$407,$Q139))</f>
        <v/>
      </c>
      <c r="U139">
        <f>IF($Q139="","",INDEX($K$8:$K$407,$Q139))</f>
        <v/>
      </c>
      <c r="V139">
        <f>IF($Q139="",0,IF($S139&lt;&gt;$S138,1,0))</f>
        <v/>
      </c>
      <c r="W139">
        <f>IF($Q139="",0,IF($T139&lt;&gt;$T138,1,0))</f>
        <v/>
      </c>
      <c r="X139">
        <f>IF($Q139="",99999+132,$X138+1+$V138+$W138)</f>
        <v/>
      </c>
      <c r="Y139">
        <f>IF($Q139="","",INDEX(บันทึกรายเที่ยว!$Q$6:$Q$6005,$R139))</f>
        <v/>
      </c>
      <c r="Z139">
        <f>IF($Q139="","",INDEX(บันทึกรายเที่ยว!$F$6:$F$6005,$R139))</f>
        <v/>
      </c>
      <c r="AA139">
        <f>IFERROR(MATCH(132,$X$8:$X$407,1),"")</f>
        <v/>
      </c>
      <c r="AB139">
        <f>IF(132=$AD$1+1,"G",IF($AA139="","",IF(INDEX($Q$8:$Q$407,$AA139)="","",IF(132&gt;INDEX($X$8:$X$407,$AA139)+INDEX($V$8:$V$407,$AA139)+INDEX($W$8:$W$407,$AA139),"",IF(132=INDEX($X$8:$X$407,$AA139)+INDEX($V$8:$V$407,$AA139)+INDEX($W$8:$W$407,$AA139),"D",IF(AND(INDEX($W$8:$W$407,$AA139)=1,132=INDEX($X$8:$X$407,$AA139)+INDEX($V$8:$V$407,$AA139)),"S","R"))))))</f>
        <v/>
      </c>
      <c r="AC139">
        <f>IF(OR($AB139="",$AB139="G"),"",IF($AB139="D",INDEX($U$8:$U$407,$AA139),IF($AB139="S",INDEX($T$8:$T$407,$AA139)&amp;"|*",INDEX($S$8:$S$407,$AA139)&amp;"|*")))</f>
        <v/>
      </c>
      <c r="AE139">
        <f>IF($U139="",0,COUNTIF(บันทึกรายเที่ยว!$T$6:$T$6005,$U139))</f>
        <v/>
      </c>
      <c r="AF139">
        <f>IF($U139="",0,ROUND(SUMIF(บันทึกรายเที่ยว!$T$6:$T$6005,$U139,บันทึกรายเที่ยว!$J$6:$J$6005),2))</f>
        <v/>
      </c>
      <c r="AG139">
        <f>IF($U139="",0,ROUND(SUMIF(บันทึกรายเที่ยว!$T$6:$T$6005,$U139,บันทึกรายเที่ยว!$K$6:$K$6005),2))</f>
        <v/>
      </c>
      <c r="AH139">
        <f>IF($U139="",0,ROUND(SUMIF(บันทึกรายเที่ยว!$T$6:$T$6005,$U139,บันทึกรายเที่ยว!$M$6:$M$6005),2))</f>
        <v/>
      </c>
    </row>
    <row r="140" ht="21" customHeight="1" s="66">
      <c r="A140" s="3">
        <f>IF($AB140="G","ผลรวมทั้งหมด",IF($AB140="R",INDEX($S$8:$S$407,$AA140),""))</f>
        <v/>
      </c>
      <c r="B140" s="3">
        <f>IF($AB140="S",INDEX($Y$8:$Y$407,$AA140),"")</f>
        <v/>
      </c>
      <c r="C140" s="68">
        <f>IF($AB140="D",INDEX($Z$8:$Z$407,$AA140),"")</f>
        <v/>
      </c>
      <c r="D140" s="31">
        <f>IF($AB140="G",SUM($AE$8:$AE$407),IF(OR($AB140="",$AB140="R"),"",IF($AB140="D",INDEX($AE$8:$AE$407,$AA140),SUMIF($T$8:$T$407,INDEX($T$8:$T$407,$AA140),$AE$8:$AE$407))))</f>
        <v/>
      </c>
      <c r="E140" s="32">
        <f>IF(133=$AD$1+3,"ขอแสดงความนับถือ",IF(133=$AD$1+6,"(                 )",IF(133=$AD$1+7,"เจ้าหน้าที่ขนส่ง",IF($AB140="G",SUM($AF$8:$AF$407),IF(OR($AB140="",$AB140="R"),"",IF($AB140="D",INDEX($AF$8:$AF$407,$AA140),SUMIF($T$8:$T$407,INDEX($T$8:$T$407,$AA140),$AF$8:$AF$407)))))))</f>
        <v/>
      </c>
      <c r="F140" s="32">
        <f>IF($AB140="G",SUM($AG$8:$AG$407),IF(OR($AB140="",$AB140="R"),"",IF($AB140="D",INDEX($AG$8:$AG$407,$AA140),SUMIF($T$8:$T$407,INDEX($T$8:$T$407,$AA140),$AG$8:$AG$407))))</f>
        <v/>
      </c>
      <c r="G140" s="32">
        <f>IF(OR($AB140="",$AB140="R"),"",ROUND($E140-$F140,2))</f>
        <v/>
      </c>
      <c r="H140" s="32">
        <f>IF($AB140="G",SUM($AH$8:$AH$407),IF(OR($AB140="",$AB140="R"),"",IF($AB140="D",INDEX($AH$8:$AH$407,$AA140),SUMIF($T$8:$T$407,INDEX($T$8:$T$407,$AA140),$AH$8:$AH$407))))</f>
        <v/>
      </c>
      <c r="J140">
        <f>IFERROR(MATCH(133,บันทึกรายเที่ยว!$W$6:$W$6005,0),"")</f>
        <v/>
      </c>
      <c r="K140">
        <f>IF($J140="","",INDEX(บันทึกรายเที่ยว!$T$6:$T$6005,$J140))</f>
        <v/>
      </c>
      <c r="L140">
        <f>IF($J140="","",INDEX(บันทึกรายเที่ยว!$S$6:$S$6005,$J140))</f>
        <v/>
      </c>
      <c r="M140">
        <f>IF($J140="","",INDEX(บันทึกรายเที่ยว!$R$6:$R$6005,$J140))</f>
        <v/>
      </c>
      <c r="N140">
        <f>IF($J140="","",MATCH($M140,บันทึกรายเที่ยว!$R$6:$R$6005,0))</f>
        <v/>
      </c>
      <c r="O140">
        <f>IF($J140="","",MATCH($L140,บันทึกรายเที่ยว!$S$6:$S$6005,0))</f>
        <v/>
      </c>
      <c r="P140">
        <f>IF($J140="","",IF(AND(OR($I$3="(ทั้งหมด)",INDEX(บันทึกรายเที่ยว!$C$6:$C$6005,$J140)=$I$3),OR($I$5="(ทั้งหมด)",INDEX(บันทึกรายเที่ยว!$D$6:$D$6005,$J140)=$I$5),OR($I$7="(ทั้งหมด)",INDEX(บันทึกรายเที่ยว!$F$6:$F$6005,$J140)=$I$7)),$N140*10000000+$O140*1000+133,""))</f>
        <v/>
      </c>
      <c r="Q140">
        <f>IFERROR(MATCH(SMALL($P$8:$P$407,133),$P$8:$P$407,0),"")</f>
        <v/>
      </c>
      <c r="R140">
        <f>IF($Q140="","",INDEX($J$8:$J$407,$Q140))</f>
        <v/>
      </c>
      <c r="S140">
        <f>IF($Q140="","",INDEX($M$8:$M$407,$Q140))</f>
        <v/>
      </c>
      <c r="T140">
        <f>IF($Q140="","",INDEX($L$8:$L$407,$Q140))</f>
        <v/>
      </c>
      <c r="U140">
        <f>IF($Q140="","",INDEX($K$8:$K$407,$Q140))</f>
        <v/>
      </c>
      <c r="V140">
        <f>IF($Q140="",0,IF($S140&lt;&gt;$S139,1,0))</f>
        <v/>
      </c>
      <c r="W140">
        <f>IF($Q140="",0,IF($T140&lt;&gt;$T139,1,0))</f>
        <v/>
      </c>
      <c r="X140">
        <f>IF($Q140="",99999+133,$X139+1+$V139+$W139)</f>
        <v/>
      </c>
      <c r="Y140">
        <f>IF($Q140="","",INDEX(บันทึกรายเที่ยว!$Q$6:$Q$6005,$R140))</f>
        <v/>
      </c>
      <c r="Z140">
        <f>IF($Q140="","",INDEX(บันทึกรายเที่ยว!$F$6:$F$6005,$R140))</f>
        <v/>
      </c>
      <c r="AA140">
        <f>IFERROR(MATCH(133,$X$8:$X$407,1),"")</f>
        <v/>
      </c>
      <c r="AB140">
        <f>IF(133=$AD$1+1,"G",IF($AA140="","",IF(INDEX($Q$8:$Q$407,$AA140)="","",IF(133&gt;INDEX($X$8:$X$407,$AA140)+INDEX($V$8:$V$407,$AA140)+INDEX($W$8:$W$407,$AA140),"",IF(133=INDEX($X$8:$X$407,$AA140)+INDEX($V$8:$V$407,$AA140)+INDEX($W$8:$W$407,$AA140),"D",IF(AND(INDEX($W$8:$W$407,$AA140)=1,133=INDEX($X$8:$X$407,$AA140)+INDEX($V$8:$V$407,$AA140)),"S","R"))))))</f>
        <v/>
      </c>
      <c r="AC140">
        <f>IF(OR($AB140="",$AB140="G"),"",IF($AB140="D",INDEX($U$8:$U$407,$AA140),IF($AB140="S",INDEX($T$8:$T$407,$AA140)&amp;"|*",INDEX($S$8:$S$407,$AA140)&amp;"|*")))</f>
        <v/>
      </c>
      <c r="AE140">
        <f>IF($U140="",0,COUNTIF(บันทึกรายเที่ยว!$T$6:$T$6005,$U140))</f>
        <v/>
      </c>
      <c r="AF140">
        <f>IF($U140="",0,ROUND(SUMIF(บันทึกรายเที่ยว!$T$6:$T$6005,$U140,บันทึกรายเที่ยว!$J$6:$J$6005),2))</f>
        <v/>
      </c>
      <c r="AG140">
        <f>IF($U140="",0,ROUND(SUMIF(บันทึกรายเที่ยว!$T$6:$T$6005,$U140,บันทึกรายเที่ยว!$K$6:$K$6005),2))</f>
        <v/>
      </c>
      <c r="AH140">
        <f>IF($U140="",0,ROUND(SUMIF(บันทึกรายเที่ยว!$T$6:$T$6005,$U140,บันทึกรายเที่ยว!$M$6:$M$6005),2))</f>
        <v/>
      </c>
    </row>
    <row r="141" ht="21" customHeight="1" s="66">
      <c r="A141" s="3">
        <f>IF($AB141="G","ผลรวมทั้งหมด",IF($AB141="R",INDEX($S$8:$S$407,$AA141),""))</f>
        <v/>
      </c>
      <c r="B141" s="3">
        <f>IF($AB141="S",INDEX($Y$8:$Y$407,$AA141),"")</f>
        <v/>
      </c>
      <c r="C141" s="68">
        <f>IF($AB141="D",INDEX($Z$8:$Z$407,$AA141),"")</f>
        <v/>
      </c>
      <c r="D141" s="31">
        <f>IF($AB141="G",SUM($AE$8:$AE$407),IF(OR($AB141="",$AB141="R"),"",IF($AB141="D",INDEX($AE$8:$AE$407,$AA141),SUMIF($T$8:$T$407,INDEX($T$8:$T$407,$AA141),$AE$8:$AE$407))))</f>
        <v/>
      </c>
      <c r="E141" s="32">
        <f>IF(134=$AD$1+3,"ขอแสดงความนับถือ",IF(134=$AD$1+6,"(                 )",IF(134=$AD$1+7,"เจ้าหน้าที่ขนส่ง",IF($AB141="G",SUM($AF$8:$AF$407),IF(OR($AB141="",$AB141="R"),"",IF($AB141="D",INDEX($AF$8:$AF$407,$AA141),SUMIF($T$8:$T$407,INDEX($T$8:$T$407,$AA141),$AF$8:$AF$407)))))))</f>
        <v/>
      </c>
      <c r="F141" s="32">
        <f>IF($AB141="G",SUM($AG$8:$AG$407),IF(OR($AB141="",$AB141="R"),"",IF($AB141="D",INDEX($AG$8:$AG$407,$AA141),SUMIF($T$8:$T$407,INDEX($T$8:$T$407,$AA141),$AG$8:$AG$407))))</f>
        <v/>
      </c>
      <c r="G141" s="32">
        <f>IF(OR($AB141="",$AB141="R"),"",ROUND($E141-$F141,2))</f>
        <v/>
      </c>
      <c r="H141" s="32">
        <f>IF($AB141="G",SUM($AH$8:$AH$407),IF(OR($AB141="",$AB141="R"),"",IF($AB141="D",INDEX($AH$8:$AH$407,$AA141),SUMIF($T$8:$T$407,INDEX($T$8:$T$407,$AA141),$AH$8:$AH$407))))</f>
        <v/>
      </c>
      <c r="J141">
        <f>IFERROR(MATCH(134,บันทึกรายเที่ยว!$W$6:$W$6005,0),"")</f>
        <v/>
      </c>
      <c r="K141">
        <f>IF($J141="","",INDEX(บันทึกรายเที่ยว!$T$6:$T$6005,$J141))</f>
        <v/>
      </c>
      <c r="L141">
        <f>IF($J141="","",INDEX(บันทึกรายเที่ยว!$S$6:$S$6005,$J141))</f>
        <v/>
      </c>
      <c r="M141">
        <f>IF($J141="","",INDEX(บันทึกรายเที่ยว!$R$6:$R$6005,$J141))</f>
        <v/>
      </c>
      <c r="N141">
        <f>IF($J141="","",MATCH($M141,บันทึกรายเที่ยว!$R$6:$R$6005,0))</f>
        <v/>
      </c>
      <c r="O141">
        <f>IF($J141="","",MATCH($L141,บันทึกรายเที่ยว!$S$6:$S$6005,0))</f>
        <v/>
      </c>
      <c r="P141">
        <f>IF($J141="","",IF(AND(OR($I$3="(ทั้งหมด)",INDEX(บันทึกรายเที่ยว!$C$6:$C$6005,$J141)=$I$3),OR($I$5="(ทั้งหมด)",INDEX(บันทึกรายเที่ยว!$D$6:$D$6005,$J141)=$I$5),OR($I$7="(ทั้งหมด)",INDEX(บันทึกรายเที่ยว!$F$6:$F$6005,$J141)=$I$7)),$N141*10000000+$O141*1000+134,""))</f>
        <v/>
      </c>
      <c r="Q141">
        <f>IFERROR(MATCH(SMALL($P$8:$P$407,134),$P$8:$P$407,0),"")</f>
        <v/>
      </c>
      <c r="R141">
        <f>IF($Q141="","",INDEX($J$8:$J$407,$Q141))</f>
        <v/>
      </c>
      <c r="S141">
        <f>IF($Q141="","",INDEX($M$8:$M$407,$Q141))</f>
        <v/>
      </c>
      <c r="T141">
        <f>IF($Q141="","",INDEX($L$8:$L$407,$Q141))</f>
        <v/>
      </c>
      <c r="U141">
        <f>IF($Q141="","",INDEX($K$8:$K$407,$Q141))</f>
        <v/>
      </c>
      <c r="V141">
        <f>IF($Q141="",0,IF($S141&lt;&gt;$S140,1,0))</f>
        <v/>
      </c>
      <c r="W141">
        <f>IF($Q141="",0,IF($T141&lt;&gt;$T140,1,0))</f>
        <v/>
      </c>
      <c r="X141">
        <f>IF($Q141="",99999+134,$X140+1+$V140+$W140)</f>
        <v/>
      </c>
      <c r="Y141">
        <f>IF($Q141="","",INDEX(บันทึกรายเที่ยว!$Q$6:$Q$6005,$R141))</f>
        <v/>
      </c>
      <c r="Z141">
        <f>IF($Q141="","",INDEX(บันทึกรายเที่ยว!$F$6:$F$6005,$R141))</f>
        <v/>
      </c>
      <c r="AA141">
        <f>IFERROR(MATCH(134,$X$8:$X$407,1),"")</f>
        <v/>
      </c>
      <c r="AB141">
        <f>IF(134=$AD$1+1,"G",IF($AA141="","",IF(INDEX($Q$8:$Q$407,$AA141)="","",IF(134&gt;INDEX($X$8:$X$407,$AA141)+INDEX($V$8:$V$407,$AA141)+INDEX($W$8:$W$407,$AA141),"",IF(134=INDEX($X$8:$X$407,$AA141)+INDEX($V$8:$V$407,$AA141)+INDEX($W$8:$W$407,$AA141),"D",IF(AND(INDEX($W$8:$W$407,$AA141)=1,134=INDEX($X$8:$X$407,$AA141)+INDEX($V$8:$V$407,$AA141)),"S","R"))))))</f>
        <v/>
      </c>
      <c r="AC141">
        <f>IF(OR($AB141="",$AB141="G"),"",IF($AB141="D",INDEX($U$8:$U$407,$AA141),IF($AB141="S",INDEX($T$8:$T$407,$AA141)&amp;"|*",INDEX($S$8:$S$407,$AA141)&amp;"|*")))</f>
        <v/>
      </c>
      <c r="AE141">
        <f>IF($U141="",0,COUNTIF(บันทึกรายเที่ยว!$T$6:$T$6005,$U141))</f>
        <v/>
      </c>
      <c r="AF141">
        <f>IF($U141="",0,ROUND(SUMIF(บันทึกรายเที่ยว!$T$6:$T$6005,$U141,บันทึกรายเที่ยว!$J$6:$J$6005),2))</f>
        <v/>
      </c>
      <c r="AG141">
        <f>IF($U141="",0,ROUND(SUMIF(บันทึกรายเที่ยว!$T$6:$T$6005,$U141,บันทึกรายเที่ยว!$K$6:$K$6005),2))</f>
        <v/>
      </c>
      <c r="AH141">
        <f>IF($U141="",0,ROUND(SUMIF(บันทึกรายเที่ยว!$T$6:$T$6005,$U141,บันทึกรายเที่ยว!$M$6:$M$6005),2))</f>
        <v/>
      </c>
    </row>
    <row r="142" ht="21" customHeight="1" s="66">
      <c r="A142" s="3">
        <f>IF($AB142="G","ผลรวมทั้งหมด",IF($AB142="R",INDEX($S$8:$S$407,$AA142),""))</f>
        <v/>
      </c>
      <c r="B142" s="3">
        <f>IF($AB142="S",INDEX($Y$8:$Y$407,$AA142),"")</f>
        <v/>
      </c>
      <c r="C142" s="68">
        <f>IF($AB142="D",INDEX($Z$8:$Z$407,$AA142),"")</f>
        <v/>
      </c>
      <c r="D142" s="31">
        <f>IF($AB142="G",SUM($AE$8:$AE$407),IF(OR($AB142="",$AB142="R"),"",IF($AB142="D",INDEX($AE$8:$AE$407,$AA142),SUMIF($T$8:$T$407,INDEX($T$8:$T$407,$AA142),$AE$8:$AE$407))))</f>
        <v/>
      </c>
      <c r="E142" s="32">
        <f>IF(135=$AD$1+3,"ขอแสดงความนับถือ",IF(135=$AD$1+6,"(                 )",IF(135=$AD$1+7,"เจ้าหน้าที่ขนส่ง",IF($AB142="G",SUM($AF$8:$AF$407),IF(OR($AB142="",$AB142="R"),"",IF($AB142="D",INDEX($AF$8:$AF$407,$AA142),SUMIF($T$8:$T$407,INDEX($T$8:$T$407,$AA142),$AF$8:$AF$407)))))))</f>
        <v/>
      </c>
      <c r="F142" s="32">
        <f>IF($AB142="G",SUM($AG$8:$AG$407),IF(OR($AB142="",$AB142="R"),"",IF($AB142="D",INDEX($AG$8:$AG$407,$AA142),SUMIF($T$8:$T$407,INDEX($T$8:$T$407,$AA142),$AG$8:$AG$407))))</f>
        <v/>
      </c>
      <c r="G142" s="32">
        <f>IF(OR($AB142="",$AB142="R"),"",ROUND($E142-$F142,2))</f>
        <v/>
      </c>
      <c r="H142" s="32">
        <f>IF($AB142="G",SUM($AH$8:$AH$407),IF(OR($AB142="",$AB142="R"),"",IF($AB142="D",INDEX($AH$8:$AH$407,$AA142),SUMIF($T$8:$T$407,INDEX($T$8:$T$407,$AA142),$AH$8:$AH$407))))</f>
        <v/>
      </c>
      <c r="J142">
        <f>IFERROR(MATCH(135,บันทึกรายเที่ยว!$W$6:$W$6005,0),"")</f>
        <v/>
      </c>
      <c r="K142">
        <f>IF($J142="","",INDEX(บันทึกรายเที่ยว!$T$6:$T$6005,$J142))</f>
        <v/>
      </c>
      <c r="L142">
        <f>IF($J142="","",INDEX(บันทึกรายเที่ยว!$S$6:$S$6005,$J142))</f>
        <v/>
      </c>
      <c r="M142">
        <f>IF($J142="","",INDEX(บันทึกรายเที่ยว!$R$6:$R$6005,$J142))</f>
        <v/>
      </c>
      <c r="N142">
        <f>IF($J142="","",MATCH($M142,บันทึกรายเที่ยว!$R$6:$R$6005,0))</f>
        <v/>
      </c>
      <c r="O142">
        <f>IF($J142="","",MATCH($L142,บันทึกรายเที่ยว!$S$6:$S$6005,0))</f>
        <v/>
      </c>
      <c r="P142">
        <f>IF($J142="","",IF(AND(OR($I$3="(ทั้งหมด)",INDEX(บันทึกรายเที่ยว!$C$6:$C$6005,$J142)=$I$3),OR($I$5="(ทั้งหมด)",INDEX(บันทึกรายเที่ยว!$D$6:$D$6005,$J142)=$I$5),OR($I$7="(ทั้งหมด)",INDEX(บันทึกรายเที่ยว!$F$6:$F$6005,$J142)=$I$7)),$N142*10000000+$O142*1000+135,""))</f>
        <v/>
      </c>
      <c r="Q142">
        <f>IFERROR(MATCH(SMALL($P$8:$P$407,135),$P$8:$P$407,0),"")</f>
        <v/>
      </c>
      <c r="R142">
        <f>IF($Q142="","",INDEX($J$8:$J$407,$Q142))</f>
        <v/>
      </c>
      <c r="S142">
        <f>IF($Q142="","",INDEX($M$8:$M$407,$Q142))</f>
        <v/>
      </c>
      <c r="T142">
        <f>IF($Q142="","",INDEX($L$8:$L$407,$Q142))</f>
        <v/>
      </c>
      <c r="U142">
        <f>IF($Q142="","",INDEX($K$8:$K$407,$Q142))</f>
        <v/>
      </c>
      <c r="V142">
        <f>IF($Q142="",0,IF($S142&lt;&gt;$S141,1,0))</f>
        <v/>
      </c>
      <c r="W142">
        <f>IF($Q142="",0,IF($T142&lt;&gt;$T141,1,0))</f>
        <v/>
      </c>
      <c r="X142">
        <f>IF($Q142="",99999+135,$X141+1+$V141+$W141)</f>
        <v/>
      </c>
      <c r="Y142">
        <f>IF($Q142="","",INDEX(บันทึกรายเที่ยว!$Q$6:$Q$6005,$R142))</f>
        <v/>
      </c>
      <c r="Z142">
        <f>IF($Q142="","",INDEX(บันทึกรายเที่ยว!$F$6:$F$6005,$R142))</f>
        <v/>
      </c>
      <c r="AA142">
        <f>IFERROR(MATCH(135,$X$8:$X$407,1),"")</f>
        <v/>
      </c>
      <c r="AB142">
        <f>IF(135=$AD$1+1,"G",IF($AA142="","",IF(INDEX($Q$8:$Q$407,$AA142)="","",IF(135&gt;INDEX($X$8:$X$407,$AA142)+INDEX($V$8:$V$407,$AA142)+INDEX($W$8:$W$407,$AA142),"",IF(135=INDEX($X$8:$X$407,$AA142)+INDEX($V$8:$V$407,$AA142)+INDEX($W$8:$W$407,$AA142),"D",IF(AND(INDEX($W$8:$W$407,$AA142)=1,135=INDEX($X$8:$X$407,$AA142)+INDEX($V$8:$V$407,$AA142)),"S","R"))))))</f>
        <v/>
      </c>
      <c r="AC142">
        <f>IF(OR($AB142="",$AB142="G"),"",IF($AB142="D",INDEX($U$8:$U$407,$AA142),IF($AB142="S",INDEX($T$8:$T$407,$AA142)&amp;"|*",INDEX($S$8:$S$407,$AA142)&amp;"|*")))</f>
        <v/>
      </c>
      <c r="AE142">
        <f>IF($U142="",0,COUNTIF(บันทึกรายเที่ยว!$T$6:$T$6005,$U142))</f>
        <v/>
      </c>
      <c r="AF142">
        <f>IF($U142="",0,ROUND(SUMIF(บันทึกรายเที่ยว!$T$6:$T$6005,$U142,บันทึกรายเที่ยว!$J$6:$J$6005),2))</f>
        <v/>
      </c>
      <c r="AG142">
        <f>IF($U142="",0,ROUND(SUMIF(บันทึกรายเที่ยว!$T$6:$T$6005,$U142,บันทึกรายเที่ยว!$K$6:$K$6005),2))</f>
        <v/>
      </c>
      <c r="AH142">
        <f>IF($U142="",0,ROUND(SUMIF(บันทึกรายเที่ยว!$T$6:$T$6005,$U142,บันทึกรายเที่ยว!$M$6:$M$6005),2))</f>
        <v/>
      </c>
    </row>
    <row r="143" ht="21" customHeight="1" s="66">
      <c r="A143" s="3">
        <f>IF($AB143="G","ผลรวมทั้งหมด",IF($AB143="R",INDEX($S$8:$S$407,$AA143),""))</f>
        <v/>
      </c>
      <c r="B143" s="3">
        <f>IF($AB143="S",INDEX($Y$8:$Y$407,$AA143),"")</f>
        <v/>
      </c>
      <c r="C143" s="68">
        <f>IF($AB143="D",INDEX($Z$8:$Z$407,$AA143),"")</f>
        <v/>
      </c>
      <c r="D143" s="31">
        <f>IF($AB143="G",SUM($AE$8:$AE$407),IF(OR($AB143="",$AB143="R"),"",IF($AB143="D",INDEX($AE$8:$AE$407,$AA143),SUMIF($T$8:$T$407,INDEX($T$8:$T$407,$AA143),$AE$8:$AE$407))))</f>
        <v/>
      </c>
      <c r="E143" s="32">
        <f>IF(136=$AD$1+3,"ขอแสดงความนับถือ",IF(136=$AD$1+6,"(                 )",IF(136=$AD$1+7,"เจ้าหน้าที่ขนส่ง",IF($AB143="G",SUM($AF$8:$AF$407),IF(OR($AB143="",$AB143="R"),"",IF($AB143="D",INDEX($AF$8:$AF$407,$AA143),SUMIF($T$8:$T$407,INDEX($T$8:$T$407,$AA143),$AF$8:$AF$407)))))))</f>
        <v/>
      </c>
      <c r="F143" s="32">
        <f>IF($AB143="G",SUM($AG$8:$AG$407),IF(OR($AB143="",$AB143="R"),"",IF($AB143="D",INDEX($AG$8:$AG$407,$AA143),SUMIF($T$8:$T$407,INDEX($T$8:$T$407,$AA143),$AG$8:$AG$407))))</f>
        <v/>
      </c>
      <c r="G143" s="32">
        <f>IF(OR($AB143="",$AB143="R"),"",ROUND($E143-$F143,2))</f>
        <v/>
      </c>
      <c r="H143" s="32">
        <f>IF($AB143="G",SUM($AH$8:$AH$407),IF(OR($AB143="",$AB143="R"),"",IF($AB143="D",INDEX($AH$8:$AH$407,$AA143),SUMIF($T$8:$T$407,INDEX($T$8:$T$407,$AA143),$AH$8:$AH$407))))</f>
        <v/>
      </c>
      <c r="J143">
        <f>IFERROR(MATCH(136,บันทึกรายเที่ยว!$W$6:$W$6005,0),"")</f>
        <v/>
      </c>
      <c r="K143">
        <f>IF($J143="","",INDEX(บันทึกรายเที่ยว!$T$6:$T$6005,$J143))</f>
        <v/>
      </c>
      <c r="L143">
        <f>IF($J143="","",INDEX(บันทึกรายเที่ยว!$S$6:$S$6005,$J143))</f>
        <v/>
      </c>
      <c r="M143">
        <f>IF($J143="","",INDEX(บันทึกรายเที่ยว!$R$6:$R$6005,$J143))</f>
        <v/>
      </c>
      <c r="N143">
        <f>IF($J143="","",MATCH($M143,บันทึกรายเที่ยว!$R$6:$R$6005,0))</f>
        <v/>
      </c>
      <c r="O143">
        <f>IF($J143="","",MATCH($L143,บันทึกรายเที่ยว!$S$6:$S$6005,0))</f>
        <v/>
      </c>
      <c r="P143">
        <f>IF($J143="","",IF(AND(OR($I$3="(ทั้งหมด)",INDEX(บันทึกรายเที่ยว!$C$6:$C$6005,$J143)=$I$3),OR($I$5="(ทั้งหมด)",INDEX(บันทึกรายเที่ยว!$D$6:$D$6005,$J143)=$I$5),OR($I$7="(ทั้งหมด)",INDEX(บันทึกรายเที่ยว!$F$6:$F$6005,$J143)=$I$7)),$N143*10000000+$O143*1000+136,""))</f>
        <v/>
      </c>
      <c r="Q143">
        <f>IFERROR(MATCH(SMALL($P$8:$P$407,136),$P$8:$P$407,0),"")</f>
        <v/>
      </c>
      <c r="R143">
        <f>IF($Q143="","",INDEX($J$8:$J$407,$Q143))</f>
        <v/>
      </c>
      <c r="S143">
        <f>IF($Q143="","",INDEX($M$8:$M$407,$Q143))</f>
        <v/>
      </c>
      <c r="T143">
        <f>IF($Q143="","",INDEX($L$8:$L$407,$Q143))</f>
        <v/>
      </c>
      <c r="U143">
        <f>IF($Q143="","",INDEX($K$8:$K$407,$Q143))</f>
        <v/>
      </c>
      <c r="V143">
        <f>IF($Q143="",0,IF($S143&lt;&gt;$S142,1,0))</f>
        <v/>
      </c>
      <c r="W143">
        <f>IF($Q143="",0,IF($T143&lt;&gt;$T142,1,0))</f>
        <v/>
      </c>
      <c r="X143">
        <f>IF($Q143="",99999+136,$X142+1+$V142+$W142)</f>
        <v/>
      </c>
      <c r="Y143">
        <f>IF($Q143="","",INDEX(บันทึกรายเที่ยว!$Q$6:$Q$6005,$R143))</f>
        <v/>
      </c>
      <c r="Z143">
        <f>IF($Q143="","",INDEX(บันทึกรายเที่ยว!$F$6:$F$6005,$R143))</f>
        <v/>
      </c>
      <c r="AA143">
        <f>IFERROR(MATCH(136,$X$8:$X$407,1),"")</f>
        <v/>
      </c>
      <c r="AB143">
        <f>IF(136=$AD$1+1,"G",IF($AA143="","",IF(INDEX($Q$8:$Q$407,$AA143)="","",IF(136&gt;INDEX($X$8:$X$407,$AA143)+INDEX($V$8:$V$407,$AA143)+INDEX($W$8:$W$407,$AA143),"",IF(136=INDEX($X$8:$X$407,$AA143)+INDEX($V$8:$V$407,$AA143)+INDEX($W$8:$W$407,$AA143),"D",IF(AND(INDEX($W$8:$W$407,$AA143)=1,136=INDEX($X$8:$X$407,$AA143)+INDEX($V$8:$V$407,$AA143)),"S","R"))))))</f>
        <v/>
      </c>
      <c r="AC143">
        <f>IF(OR($AB143="",$AB143="G"),"",IF($AB143="D",INDEX($U$8:$U$407,$AA143),IF($AB143="S",INDEX($T$8:$T$407,$AA143)&amp;"|*",INDEX($S$8:$S$407,$AA143)&amp;"|*")))</f>
        <v/>
      </c>
      <c r="AE143">
        <f>IF($U143="",0,COUNTIF(บันทึกรายเที่ยว!$T$6:$T$6005,$U143))</f>
        <v/>
      </c>
      <c r="AF143">
        <f>IF($U143="",0,ROUND(SUMIF(บันทึกรายเที่ยว!$T$6:$T$6005,$U143,บันทึกรายเที่ยว!$J$6:$J$6005),2))</f>
        <v/>
      </c>
      <c r="AG143">
        <f>IF($U143="",0,ROUND(SUMIF(บันทึกรายเที่ยว!$T$6:$T$6005,$U143,บันทึกรายเที่ยว!$K$6:$K$6005),2))</f>
        <v/>
      </c>
      <c r="AH143">
        <f>IF($U143="",0,ROUND(SUMIF(บันทึกรายเที่ยว!$T$6:$T$6005,$U143,บันทึกรายเที่ยว!$M$6:$M$6005),2))</f>
        <v/>
      </c>
    </row>
    <row r="144" ht="21" customHeight="1" s="66">
      <c r="A144" s="3">
        <f>IF($AB144="G","ผลรวมทั้งหมด",IF($AB144="R",INDEX($S$8:$S$407,$AA144),""))</f>
        <v/>
      </c>
      <c r="B144" s="3">
        <f>IF($AB144="S",INDEX($Y$8:$Y$407,$AA144),"")</f>
        <v/>
      </c>
      <c r="C144" s="68">
        <f>IF($AB144="D",INDEX($Z$8:$Z$407,$AA144),"")</f>
        <v/>
      </c>
      <c r="D144" s="31">
        <f>IF($AB144="G",SUM($AE$8:$AE$407),IF(OR($AB144="",$AB144="R"),"",IF($AB144="D",INDEX($AE$8:$AE$407,$AA144),SUMIF($T$8:$T$407,INDEX($T$8:$T$407,$AA144),$AE$8:$AE$407))))</f>
        <v/>
      </c>
      <c r="E144" s="32">
        <f>IF(137=$AD$1+3,"ขอแสดงความนับถือ",IF(137=$AD$1+6,"(                 )",IF(137=$AD$1+7,"เจ้าหน้าที่ขนส่ง",IF($AB144="G",SUM($AF$8:$AF$407),IF(OR($AB144="",$AB144="R"),"",IF($AB144="D",INDEX($AF$8:$AF$407,$AA144),SUMIF($T$8:$T$407,INDEX($T$8:$T$407,$AA144),$AF$8:$AF$407)))))))</f>
        <v/>
      </c>
      <c r="F144" s="32">
        <f>IF($AB144="G",SUM($AG$8:$AG$407),IF(OR($AB144="",$AB144="R"),"",IF($AB144="D",INDEX($AG$8:$AG$407,$AA144),SUMIF($T$8:$T$407,INDEX($T$8:$T$407,$AA144),$AG$8:$AG$407))))</f>
        <v/>
      </c>
      <c r="G144" s="32">
        <f>IF(OR($AB144="",$AB144="R"),"",ROUND($E144-$F144,2))</f>
        <v/>
      </c>
      <c r="H144" s="32">
        <f>IF($AB144="G",SUM($AH$8:$AH$407),IF(OR($AB144="",$AB144="R"),"",IF($AB144="D",INDEX($AH$8:$AH$407,$AA144),SUMIF($T$8:$T$407,INDEX($T$8:$T$407,$AA144),$AH$8:$AH$407))))</f>
        <v/>
      </c>
      <c r="J144">
        <f>IFERROR(MATCH(137,บันทึกรายเที่ยว!$W$6:$W$6005,0),"")</f>
        <v/>
      </c>
      <c r="K144">
        <f>IF($J144="","",INDEX(บันทึกรายเที่ยว!$T$6:$T$6005,$J144))</f>
        <v/>
      </c>
      <c r="L144">
        <f>IF($J144="","",INDEX(บันทึกรายเที่ยว!$S$6:$S$6005,$J144))</f>
        <v/>
      </c>
      <c r="M144">
        <f>IF($J144="","",INDEX(บันทึกรายเที่ยว!$R$6:$R$6005,$J144))</f>
        <v/>
      </c>
      <c r="N144">
        <f>IF($J144="","",MATCH($M144,บันทึกรายเที่ยว!$R$6:$R$6005,0))</f>
        <v/>
      </c>
      <c r="O144">
        <f>IF($J144="","",MATCH($L144,บันทึกรายเที่ยว!$S$6:$S$6005,0))</f>
        <v/>
      </c>
      <c r="P144">
        <f>IF($J144="","",IF(AND(OR($I$3="(ทั้งหมด)",INDEX(บันทึกรายเที่ยว!$C$6:$C$6005,$J144)=$I$3),OR($I$5="(ทั้งหมด)",INDEX(บันทึกรายเที่ยว!$D$6:$D$6005,$J144)=$I$5),OR($I$7="(ทั้งหมด)",INDEX(บันทึกรายเที่ยว!$F$6:$F$6005,$J144)=$I$7)),$N144*10000000+$O144*1000+137,""))</f>
        <v/>
      </c>
      <c r="Q144">
        <f>IFERROR(MATCH(SMALL($P$8:$P$407,137),$P$8:$P$407,0),"")</f>
        <v/>
      </c>
      <c r="R144">
        <f>IF($Q144="","",INDEX($J$8:$J$407,$Q144))</f>
        <v/>
      </c>
      <c r="S144">
        <f>IF($Q144="","",INDEX($M$8:$M$407,$Q144))</f>
        <v/>
      </c>
      <c r="T144">
        <f>IF($Q144="","",INDEX($L$8:$L$407,$Q144))</f>
        <v/>
      </c>
      <c r="U144">
        <f>IF($Q144="","",INDEX($K$8:$K$407,$Q144))</f>
        <v/>
      </c>
      <c r="V144">
        <f>IF($Q144="",0,IF($S144&lt;&gt;$S143,1,0))</f>
        <v/>
      </c>
      <c r="W144">
        <f>IF($Q144="",0,IF($T144&lt;&gt;$T143,1,0))</f>
        <v/>
      </c>
      <c r="X144">
        <f>IF($Q144="",99999+137,$X143+1+$V143+$W143)</f>
        <v/>
      </c>
      <c r="Y144">
        <f>IF($Q144="","",INDEX(บันทึกรายเที่ยว!$Q$6:$Q$6005,$R144))</f>
        <v/>
      </c>
      <c r="Z144">
        <f>IF($Q144="","",INDEX(บันทึกรายเที่ยว!$F$6:$F$6005,$R144))</f>
        <v/>
      </c>
      <c r="AA144">
        <f>IFERROR(MATCH(137,$X$8:$X$407,1),"")</f>
        <v/>
      </c>
      <c r="AB144">
        <f>IF(137=$AD$1+1,"G",IF($AA144="","",IF(INDEX($Q$8:$Q$407,$AA144)="","",IF(137&gt;INDEX($X$8:$X$407,$AA144)+INDEX($V$8:$V$407,$AA144)+INDEX($W$8:$W$407,$AA144),"",IF(137=INDEX($X$8:$X$407,$AA144)+INDEX($V$8:$V$407,$AA144)+INDEX($W$8:$W$407,$AA144),"D",IF(AND(INDEX($W$8:$W$407,$AA144)=1,137=INDEX($X$8:$X$407,$AA144)+INDEX($V$8:$V$407,$AA144)),"S","R"))))))</f>
        <v/>
      </c>
      <c r="AC144">
        <f>IF(OR($AB144="",$AB144="G"),"",IF($AB144="D",INDEX($U$8:$U$407,$AA144),IF($AB144="S",INDEX($T$8:$T$407,$AA144)&amp;"|*",INDEX($S$8:$S$407,$AA144)&amp;"|*")))</f>
        <v/>
      </c>
      <c r="AE144">
        <f>IF($U144="",0,COUNTIF(บันทึกรายเที่ยว!$T$6:$T$6005,$U144))</f>
        <v/>
      </c>
      <c r="AF144">
        <f>IF($U144="",0,ROUND(SUMIF(บันทึกรายเที่ยว!$T$6:$T$6005,$U144,บันทึกรายเที่ยว!$J$6:$J$6005),2))</f>
        <v/>
      </c>
      <c r="AG144">
        <f>IF($U144="",0,ROUND(SUMIF(บันทึกรายเที่ยว!$T$6:$T$6005,$U144,บันทึกรายเที่ยว!$K$6:$K$6005),2))</f>
        <v/>
      </c>
      <c r="AH144">
        <f>IF($U144="",0,ROUND(SUMIF(บันทึกรายเที่ยว!$T$6:$T$6005,$U144,บันทึกรายเที่ยว!$M$6:$M$6005),2))</f>
        <v/>
      </c>
    </row>
    <row r="145" ht="21" customHeight="1" s="66">
      <c r="A145" s="3">
        <f>IF($AB145="G","ผลรวมทั้งหมด",IF($AB145="R",INDEX($S$8:$S$407,$AA145),""))</f>
        <v/>
      </c>
      <c r="B145" s="3">
        <f>IF($AB145="S",INDEX($Y$8:$Y$407,$AA145),"")</f>
        <v/>
      </c>
      <c r="C145" s="68">
        <f>IF($AB145="D",INDEX($Z$8:$Z$407,$AA145),"")</f>
        <v/>
      </c>
      <c r="D145" s="31">
        <f>IF($AB145="G",SUM($AE$8:$AE$407),IF(OR($AB145="",$AB145="R"),"",IF($AB145="D",INDEX($AE$8:$AE$407,$AA145),SUMIF($T$8:$T$407,INDEX($T$8:$T$407,$AA145),$AE$8:$AE$407))))</f>
        <v/>
      </c>
      <c r="E145" s="32">
        <f>IF(138=$AD$1+3,"ขอแสดงความนับถือ",IF(138=$AD$1+6,"(                 )",IF(138=$AD$1+7,"เจ้าหน้าที่ขนส่ง",IF($AB145="G",SUM($AF$8:$AF$407),IF(OR($AB145="",$AB145="R"),"",IF($AB145="D",INDEX($AF$8:$AF$407,$AA145),SUMIF($T$8:$T$407,INDEX($T$8:$T$407,$AA145),$AF$8:$AF$407)))))))</f>
        <v/>
      </c>
      <c r="F145" s="32">
        <f>IF($AB145="G",SUM($AG$8:$AG$407),IF(OR($AB145="",$AB145="R"),"",IF($AB145="D",INDEX($AG$8:$AG$407,$AA145),SUMIF($T$8:$T$407,INDEX($T$8:$T$407,$AA145),$AG$8:$AG$407))))</f>
        <v/>
      </c>
      <c r="G145" s="32">
        <f>IF(OR($AB145="",$AB145="R"),"",ROUND($E145-$F145,2))</f>
        <v/>
      </c>
      <c r="H145" s="32">
        <f>IF($AB145="G",SUM($AH$8:$AH$407),IF(OR($AB145="",$AB145="R"),"",IF($AB145="D",INDEX($AH$8:$AH$407,$AA145),SUMIF($T$8:$T$407,INDEX($T$8:$T$407,$AA145),$AH$8:$AH$407))))</f>
        <v/>
      </c>
      <c r="J145">
        <f>IFERROR(MATCH(138,บันทึกรายเที่ยว!$W$6:$W$6005,0),"")</f>
        <v/>
      </c>
      <c r="K145">
        <f>IF($J145="","",INDEX(บันทึกรายเที่ยว!$T$6:$T$6005,$J145))</f>
        <v/>
      </c>
      <c r="L145">
        <f>IF($J145="","",INDEX(บันทึกรายเที่ยว!$S$6:$S$6005,$J145))</f>
        <v/>
      </c>
      <c r="M145">
        <f>IF($J145="","",INDEX(บันทึกรายเที่ยว!$R$6:$R$6005,$J145))</f>
        <v/>
      </c>
      <c r="N145">
        <f>IF($J145="","",MATCH($M145,บันทึกรายเที่ยว!$R$6:$R$6005,0))</f>
        <v/>
      </c>
      <c r="O145">
        <f>IF($J145="","",MATCH($L145,บันทึกรายเที่ยว!$S$6:$S$6005,0))</f>
        <v/>
      </c>
      <c r="P145">
        <f>IF($J145="","",IF(AND(OR($I$3="(ทั้งหมด)",INDEX(บันทึกรายเที่ยว!$C$6:$C$6005,$J145)=$I$3),OR($I$5="(ทั้งหมด)",INDEX(บันทึกรายเที่ยว!$D$6:$D$6005,$J145)=$I$5),OR($I$7="(ทั้งหมด)",INDEX(บันทึกรายเที่ยว!$F$6:$F$6005,$J145)=$I$7)),$N145*10000000+$O145*1000+138,""))</f>
        <v/>
      </c>
      <c r="Q145">
        <f>IFERROR(MATCH(SMALL($P$8:$P$407,138),$P$8:$P$407,0),"")</f>
        <v/>
      </c>
      <c r="R145">
        <f>IF($Q145="","",INDEX($J$8:$J$407,$Q145))</f>
        <v/>
      </c>
      <c r="S145">
        <f>IF($Q145="","",INDEX($M$8:$M$407,$Q145))</f>
        <v/>
      </c>
      <c r="T145">
        <f>IF($Q145="","",INDEX($L$8:$L$407,$Q145))</f>
        <v/>
      </c>
      <c r="U145">
        <f>IF($Q145="","",INDEX($K$8:$K$407,$Q145))</f>
        <v/>
      </c>
      <c r="V145">
        <f>IF($Q145="",0,IF($S145&lt;&gt;$S144,1,0))</f>
        <v/>
      </c>
      <c r="W145">
        <f>IF($Q145="",0,IF($T145&lt;&gt;$T144,1,0))</f>
        <v/>
      </c>
      <c r="X145">
        <f>IF($Q145="",99999+138,$X144+1+$V144+$W144)</f>
        <v/>
      </c>
      <c r="Y145">
        <f>IF($Q145="","",INDEX(บันทึกรายเที่ยว!$Q$6:$Q$6005,$R145))</f>
        <v/>
      </c>
      <c r="Z145">
        <f>IF($Q145="","",INDEX(บันทึกรายเที่ยว!$F$6:$F$6005,$R145))</f>
        <v/>
      </c>
      <c r="AA145">
        <f>IFERROR(MATCH(138,$X$8:$X$407,1),"")</f>
        <v/>
      </c>
      <c r="AB145">
        <f>IF(138=$AD$1+1,"G",IF($AA145="","",IF(INDEX($Q$8:$Q$407,$AA145)="","",IF(138&gt;INDEX($X$8:$X$407,$AA145)+INDEX($V$8:$V$407,$AA145)+INDEX($W$8:$W$407,$AA145),"",IF(138=INDEX($X$8:$X$407,$AA145)+INDEX($V$8:$V$407,$AA145)+INDEX($W$8:$W$407,$AA145),"D",IF(AND(INDEX($W$8:$W$407,$AA145)=1,138=INDEX($X$8:$X$407,$AA145)+INDEX($V$8:$V$407,$AA145)),"S","R"))))))</f>
        <v/>
      </c>
      <c r="AC145">
        <f>IF(OR($AB145="",$AB145="G"),"",IF($AB145="D",INDEX($U$8:$U$407,$AA145),IF($AB145="S",INDEX($T$8:$T$407,$AA145)&amp;"|*",INDEX($S$8:$S$407,$AA145)&amp;"|*")))</f>
        <v/>
      </c>
      <c r="AE145">
        <f>IF($U145="",0,COUNTIF(บันทึกรายเที่ยว!$T$6:$T$6005,$U145))</f>
        <v/>
      </c>
      <c r="AF145">
        <f>IF($U145="",0,ROUND(SUMIF(บันทึกรายเที่ยว!$T$6:$T$6005,$U145,บันทึกรายเที่ยว!$J$6:$J$6005),2))</f>
        <v/>
      </c>
      <c r="AG145">
        <f>IF($U145="",0,ROUND(SUMIF(บันทึกรายเที่ยว!$T$6:$T$6005,$U145,บันทึกรายเที่ยว!$K$6:$K$6005),2))</f>
        <v/>
      </c>
      <c r="AH145">
        <f>IF($U145="",0,ROUND(SUMIF(บันทึกรายเที่ยว!$T$6:$T$6005,$U145,บันทึกรายเที่ยว!$M$6:$M$6005),2))</f>
        <v/>
      </c>
    </row>
    <row r="146" ht="21" customHeight="1" s="66">
      <c r="A146" s="3">
        <f>IF($AB146="G","ผลรวมทั้งหมด",IF($AB146="R",INDEX($S$8:$S$407,$AA146),""))</f>
        <v/>
      </c>
      <c r="B146" s="3">
        <f>IF($AB146="S",INDEX($Y$8:$Y$407,$AA146),"")</f>
        <v/>
      </c>
      <c r="C146" s="68">
        <f>IF($AB146="D",INDEX($Z$8:$Z$407,$AA146),"")</f>
        <v/>
      </c>
      <c r="D146" s="31">
        <f>IF($AB146="G",SUM($AE$8:$AE$407),IF(OR($AB146="",$AB146="R"),"",IF($AB146="D",INDEX($AE$8:$AE$407,$AA146),SUMIF($T$8:$T$407,INDEX($T$8:$T$407,$AA146),$AE$8:$AE$407))))</f>
        <v/>
      </c>
      <c r="E146" s="32">
        <f>IF(139=$AD$1+3,"ขอแสดงความนับถือ",IF(139=$AD$1+6,"(                 )",IF(139=$AD$1+7,"เจ้าหน้าที่ขนส่ง",IF($AB146="G",SUM($AF$8:$AF$407),IF(OR($AB146="",$AB146="R"),"",IF($AB146="D",INDEX($AF$8:$AF$407,$AA146),SUMIF($T$8:$T$407,INDEX($T$8:$T$407,$AA146),$AF$8:$AF$407)))))))</f>
        <v/>
      </c>
      <c r="F146" s="32">
        <f>IF($AB146="G",SUM($AG$8:$AG$407),IF(OR($AB146="",$AB146="R"),"",IF($AB146="D",INDEX($AG$8:$AG$407,$AA146),SUMIF($T$8:$T$407,INDEX($T$8:$T$407,$AA146),$AG$8:$AG$407))))</f>
        <v/>
      </c>
      <c r="G146" s="32">
        <f>IF(OR($AB146="",$AB146="R"),"",ROUND($E146-$F146,2))</f>
        <v/>
      </c>
      <c r="H146" s="32">
        <f>IF($AB146="G",SUM($AH$8:$AH$407),IF(OR($AB146="",$AB146="R"),"",IF($AB146="D",INDEX($AH$8:$AH$407,$AA146),SUMIF($T$8:$T$407,INDEX($T$8:$T$407,$AA146),$AH$8:$AH$407))))</f>
        <v/>
      </c>
      <c r="J146">
        <f>IFERROR(MATCH(139,บันทึกรายเที่ยว!$W$6:$W$6005,0),"")</f>
        <v/>
      </c>
      <c r="K146">
        <f>IF($J146="","",INDEX(บันทึกรายเที่ยว!$T$6:$T$6005,$J146))</f>
        <v/>
      </c>
      <c r="L146">
        <f>IF($J146="","",INDEX(บันทึกรายเที่ยว!$S$6:$S$6005,$J146))</f>
        <v/>
      </c>
      <c r="M146">
        <f>IF($J146="","",INDEX(บันทึกรายเที่ยว!$R$6:$R$6005,$J146))</f>
        <v/>
      </c>
      <c r="N146">
        <f>IF($J146="","",MATCH($M146,บันทึกรายเที่ยว!$R$6:$R$6005,0))</f>
        <v/>
      </c>
      <c r="O146">
        <f>IF($J146="","",MATCH($L146,บันทึกรายเที่ยว!$S$6:$S$6005,0))</f>
        <v/>
      </c>
      <c r="P146">
        <f>IF($J146="","",IF(AND(OR($I$3="(ทั้งหมด)",INDEX(บันทึกรายเที่ยว!$C$6:$C$6005,$J146)=$I$3),OR($I$5="(ทั้งหมด)",INDEX(บันทึกรายเที่ยว!$D$6:$D$6005,$J146)=$I$5),OR($I$7="(ทั้งหมด)",INDEX(บันทึกรายเที่ยว!$F$6:$F$6005,$J146)=$I$7)),$N146*10000000+$O146*1000+139,""))</f>
        <v/>
      </c>
      <c r="Q146">
        <f>IFERROR(MATCH(SMALL($P$8:$P$407,139),$P$8:$P$407,0),"")</f>
        <v/>
      </c>
      <c r="R146">
        <f>IF($Q146="","",INDEX($J$8:$J$407,$Q146))</f>
        <v/>
      </c>
      <c r="S146">
        <f>IF($Q146="","",INDEX($M$8:$M$407,$Q146))</f>
        <v/>
      </c>
      <c r="T146">
        <f>IF($Q146="","",INDEX($L$8:$L$407,$Q146))</f>
        <v/>
      </c>
      <c r="U146">
        <f>IF($Q146="","",INDEX($K$8:$K$407,$Q146))</f>
        <v/>
      </c>
      <c r="V146">
        <f>IF($Q146="",0,IF($S146&lt;&gt;$S145,1,0))</f>
        <v/>
      </c>
      <c r="W146">
        <f>IF($Q146="",0,IF($T146&lt;&gt;$T145,1,0))</f>
        <v/>
      </c>
      <c r="X146">
        <f>IF($Q146="",99999+139,$X145+1+$V145+$W145)</f>
        <v/>
      </c>
      <c r="Y146">
        <f>IF($Q146="","",INDEX(บันทึกรายเที่ยว!$Q$6:$Q$6005,$R146))</f>
        <v/>
      </c>
      <c r="Z146">
        <f>IF($Q146="","",INDEX(บันทึกรายเที่ยว!$F$6:$F$6005,$R146))</f>
        <v/>
      </c>
      <c r="AA146">
        <f>IFERROR(MATCH(139,$X$8:$X$407,1),"")</f>
        <v/>
      </c>
      <c r="AB146">
        <f>IF(139=$AD$1+1,"G",IF($AA146="","",IF(INDEX($Q$8:$Q$407,$AA146)="","",IF(139&gt;INDEX($X$8:$X$407,$AA146)+INDEX($V$8:$V$407,$AA146)+INDEX($W$8:$W$407,$AA146),"",IF(139=INDEX($X$8:$X$407,$AA146)+INDEX($V$8:$V$407,$AA146)+INDEX($W$8:$W$407,$AA146),"D",IF(AND(INDEX($W$8:$W$407,$AA146)=1,139=INDEX($X$8:$X$407,$AA146)+INDEX($V$8:$V$407,$AA146)),"S","R"))))))</f>
        <v/>
      </c>
      <c r="AC146">
        <f>IF(OR($AB146="",$AB146="G"),"",IF($AB146="D",INDEX($U$8:$U$407,$AA146),IF($AB146="S",INDEX($T$8:$T$407,$AA146)&amp;"|*",INDEX($S$8:$S$407,$AA146)&amp;"|*")))</f>
        <v/>
      </c>
      <c r="AE146">
        <f>IF($U146="",0,COUNTIF(บันทึกรายเที่ยว!$T$6:$T$6005,$U146))</f>
        <v/>
      </c>
      <c r="AF146">
        <f>IF($U146="",0,ROUND(SUMIF(บันทึกรายเที่ยว!$T$6:$T$6005,$U146,บันทึกรายเที่ยว!$J$6:$J$6005),2))</f>
        <v/>
      </c>
      <c r="AG146">
        <f>IF($U146="",0,ROUND(SUMIF(บันทึกรายเที่ยว!$T$6:$T$6005,$U146,บันทึกรายเที่ยว!$K$6:$K$6005),2))</f>
        <v/>
      </c>
      <c r="AH146">
        <f>IF($U146="",0,ROUND(SUMIF(บันทึกรายเที่ยว!$T$6:$T$6005,$U146,บันทึกรายเที่ยว!$M$6:$M$6005),2))</f>
        <v/>
      </c>
    </row>
    <row r="147" ht="21" customHeight="1" s="66">
      <c r="A147" s="3">
        <f>IF($AB147="G","ผลรวมทั้งหมด",IF($AB147="R",INDEX($S$8:$S$407,$AA147),""))</f>
        <v/>
      </c>
      <c r="B147" s="3">
        <f>IF($AB147="S",INDEX($Y$8:$Y$407,$AA147),"")</f>
        <v/>
      </c>
      <c r="C147" s="68">
        <f>IF($AB147="D",INDEX($Z$8:$Z$407,$AA147),"")</f>
        <v/>
      </c>
      <c r="D147" s="31">
        <f>IF($AB147="G",SUM($AE$8:$AE$407),IF(OR($AB147="",$AB147="R"),"",IF($AB147="D",INDEX($AE$8:$AE$407,$AA147),SUMIF($T$8:$T$407,INDEX($T$8:$T$407,$AA147),$AE$8:$AE$407))))</f>
        <v/>
      </c>
      <c r="E147" s="32">
        <f>IF(140=$AD$1+3,"ขอแสดงความนับถือ",IF(140=$AD$1+6,"(                 )",IF(140=$AD$1+7,"เจ้าหน้าที่ขนส่ง",IF($AB147="G",SUM($AF$8:$AF$407),IF(OR($AB147="",$AB147="R"),"",IF($AB147="D",INDEX($AF$8:$AF$407,$AA147),SUMIF($T$8:$T$407,INDEX($T$8:$T$407,$AA147),$AF$8:$AF$407)))))))</f>
        <v/>
      </c>
      <c r="F147" s="32">
        <f>IF($AB147="G",SUM($AG$8:$AG$407),IF(OR($AB147="",$AB147="R"),"",IF($AB147="D",INDEX($AG$8:$AG$407,$AA147),SUMIF($T$8:$T$407,INDEX($T$8:$T$407,$AA147),$AG$8:$AG$407))))</f>
        <v/>
      </c>
      <c r="G147" s="32">
        <f>IF(OR($AB147="",$AB147="R"),"",ROUND($E147-$F147,2))</f>
        <v/>
      </c>
      <c r="H147" s="32">
        <f>IF($AB147="G",SUM($AH$8:$AH$407),IF(OR($AB147="",$AB147="R"),"",IF($AB147="D",INDEX($AH$8:$AH$407,$AA147),SUMIF($T$8:$T$407,INDEX($T$8:$T$407,$AA147),$AH$8:$AH$407))))</f>
        <v/>
      </c>
      <c r="J147">
        <f>IFERROR(MATCH(140,บันทึกรายเที่ยว!$W$6:$W$6005,0),"")</f>
        <v/>
      </c>
      <c r="K147">
        <f>IF($J147="","",INDEX(บันทึกรายเที่ยว!$T$6:$T$6005,$J147))</f>
        <v/>
      </c>
      <c r="L147">
        <f>IF($J147="","",INDEX(บันทึกรายเที่ยว!$S$6:$S$6005,$J147))</f>
        <v/>
      </c>
      <c r="M147">
        <f>IF($J147="","",INDEX(บันทึกรายเที่ยว!$R$6:$R$6005,$J147))</f>
        <v/>
      </c>
      <c r="N147">
        <f>IF($J147="","",MATCH($M147,บันทึกรายเที่ยว!$R$6:$R$6005,0))</f>
        <v/>
      </c>
      <c r="O147">
        <f>IF($J147="","",MATCH($L147,บันทึกรายเที่ยว!$S$6:$S$6005,0))</f>
        <v/>
      </c>
      <c r="P147">
        <f>IF($J147="","",IF(AND(OR($I$3="(ทั้งหมด)",INDEX(บันทึกรายเที่ยว!$C$6:$C$6005,$J147)=$I$3),OR($I$5="(ทั้งหมด)",INDEX(บันทึกรายเที่ยว!$D$6:$D$6005,$J147)=$I$5),OR($I$7="(ทั้งหมด)",INDEX(บันทึกรายเที่ยว!$F$6:$F$6005,$J147)=$I$7)),$N147*10000000+$O147*1000+140,""))</f>
        <v/>
      </c>
      <c r="Q147">
        <f>IFERROR(MATCH(SMALL($P$8:$P$407,140),$P$8:$P$407,0),"")</f>
        <v/>
      </c>
      <c r="R147">
        <f>IF($Q147="","",INDEX($J$8:$J$407,$Q147))</f>
        <v/>
      </c>
      <c r="S147">
        <f>IF($Q147="","",INDEX($M$8:$M$407,$Q147))</f>
        <v/>
      </c>
      <c r="T147">
        <f>IF($Q147="","",INDEX($L$8:$L$407,$Q147))</f>
        <v/>
      </c>
      <c r="U147">
        <f>IF($Q147="","",INDEX($K$8:$K$407,$Q147))</f>
        <v/>
      </c>
      <c r="V147">
        <f>IF($Q147="",0,IF($S147&lt;&gt;$S146,1,0))</f>
        <v/>
      </c>
      <c r="W147">
        <f>IF($Q147="",0,IF($T147&lt;&gt;$T146,1,0))</f>
        <v/>
      </c>
      <c r="X147">
        <f>IF($Q147="",99999+140,$X146+1+$V146+$W146)</f>
        <v/>
      </c>
      <c r="Y147">
        <f>IF($Q147="","",INDEX(บันทึกรายเที่ยว!$Q$6:$Q$6005,$R147))</f>
        <v/>
      </c>
      <c r="Z147">
        <f>IF($Q147="","",INDEX(บันทึกรายเที่ยว!$F$6:$F$6005,$R147))</f>
        <v/>
      </c>
      <c r="AA147">
        <f>IFERROR(MATCH(140,$X$8:$X$407,1),"")</f>
        <v/>
      </c>
      <c r="AB147">
        <f>IF(140=$AD$1+1,"G",IF($AA147="","",IF(INDEX($Q$8:$Q$407,$AA147)="","",IF(140&gt;INDEX($X$8:$X$407,$AA147)+INDEX($V$8:$V$407,$AA147)+INDEX($W$8:$W$407,$AA147),"",IF(140=INDEX($X$8:$X$407,$AA147)+INDEX($V$8:$V$407,$AA147)+INDEX($W$8:$W$407,$AA147),"D",IF(AND(INDEX($W$8:$W$407,$AA147)=1,140=INDEX($X$8:$X$407,$AA147)+INDEX($V$8:$V$407,$AA147)),"S","R"))))))</f>
        <v/>
      </c>
      <c r="AC147">
        <f>IF(OR($AB147="",$AB147="G"),"",IF($AB147="D",INDEX($U$8:$U$407,$AA147),IF($AB147="S",INDEX($T$8:$T$407,$AA147)&amp;"|*",INDEX($S$8:$S$407,$AA147)&amp;"|*")))</f>
        <v/>
      </c>
      <c r="AE147">
        <f>IF($U147="",0,COUNTIF(บันทึกรายเที่ยว!$T$6:$T$6005,$U147))</f>
        <v/>
      </c>
      <c r="AF147">
        <f>IF($U147="",0,ROUND(SUMIF(บันทึกรายเที่ยว!$T$6:$T$6005,$U147,บันทึกรายเที่ยว!$J$6:$J$6005),2))</f>
        <v/>
      </c>
      <c r="AG147">
        <f>IF($U147="",0,ROUND(SUMIF(บันทึกรายเที่ยว!$T$6:$T$6005,$U147,บันทึกรายเที่ยว!$K$6:$K$6005),2))</f>
        <v/>
      </c>
      <c r="AH147">
        <f>IF($U147="",0,ROUND(SUMIF(บันทึกรายเที่ยว!$T$6:$T$6005,$U147,บันทึกรายเที่ยว!$M$6:$M$6005),2))</f>
        <v/>
      </c>
    </row>
    <row r="148" ht="21" customHeight="1" s="66">
      <c r="A148" s="3">
        <f>IF($AB148="G","ผลรวมทั้งหมด",IF($AB148="R",INDEX($S$8:$S$407,$AA148),""))</f>
        <v/>
      </c>
      <c r="B148" s="3">
        <f>IF($AB148="S",INDEX($Y$8:$Y$407,$AA148),"")</f>
        <v/>
      </c>
      <c r="C148" s="68">
        <f>IF($AB148="D",INDEX($Z$8:$Z$407,$AA148),"")</f>
        <v/>
      </c>
      <c r="D148" s="31">
        <f>IF($AB148="G",SUM($AE$8:$AE$407),IF(OR($AB148="",$AB148="R"),"",IF($AB148="D",INDEX($AE$8:$AE$407,$AA148),SUMIF($T$8:$T$407,INDEX($T$8:$T$407,$AA148),$AE$8:$AE$407))))</f>
        <v/>
      </c>
      <c r="E148" s="32">
        <f>IF(141=$AD$1+3,"ขอแสดงความนับถือ",IF(141=$AD$1+6,"(                 )",IF(141=$AD$1+7,"เจ้าหน้าที่ขนส่ง",IF($AB148="G",SUM($AF$8:$AF$407),IF(OR($AB148="",$AB148="R"),"",IF($AB148="D",INDEX($AF$8:$AF$407,$AA148),SUMIF($T$8:$T$407,INDEX($T$8:$T$407,$AA148),$AF$8:$AF$407)))))))</f>
        <v/>
      </c>
      <c r="F148" s="32">
        <f>IF($AB148="G",SUM($AG$8:$AG$407),IF(OR($AB148="",$AB148="R"),"",IF($AB148="D",INDEX($AG$8:$AG$407,$AA148),SUMIF($T$8:$T$407,INDEX($T$8:$T$407,$AA148),$AG$8:$AG$407))))</f>
        <v/>
      </c>
      <c r="G148" s="32">
        <f>IF(OR($AB148="",$AB148="R"),"",ROUND($E148-$F148,2))</f>
        <v/>
      </c>
      <c r="H148" s="32">
        <f>IF($AB148="G",SUM($AH$8:$AH$407),IF(OR($AB148="",$AB148="R"),"",IF($AB148="D",INDEX($AH$8:$AH$407,$AA148),SUMIF($T$8:$T$407,INDEX($T$8:$T$407,$AA148),$AH$8:$AH$407))))</f>
        <v/>
      </c>
      <c r="J148">
        <f>IFERROR(MATCH(141,บันทึกรายเที่ยว!$W$6:$W$6005,0),"")</f>
        <v/>
      </c>
      <c r="K148">
        <f>IF($J148="","",INDEX(บันทึกรายเที่ยว!$T$6:$T$6005,$J148))</f>
        <v/>
      </c>
      <c r="L148">
        <f>IF($J148="","",INDEX(บันทึกรายเที่ยว!$S$6:$S$6005,$J148))</f>
        <v/>
      </c>
      <c r="M148">
        <f>IF($J148="","",INDEX(บันทึกรายเที่ยว!$R$6:$R$6005,$J148))</f>
        <v/>
      </c>
      <c r="N148">
        <f>IF($J148="","",MATCH($M148,บันทึกรายเที่ยว!$R$6:$R$6005,0))</f>
        <v/>
      </c>
      <c r="O148">
        <f>IF($J148="","",MATCH($L148,บันทึกรายเที่ยว!$S$6:$S$6005,0))</f>
        <v/>
      </c>
      <c r="P148">
        <f>IF($J148="","",IF(AND(OR($I$3="(ทั้งหมด)",INDEX(บันทึกรายเที่ยว!$C$6:$C$6005,$J148)=$I$3),OR($I$5="(ทั้งหมด)",INDEX(บันทึกรายเที่ยว!$D$6:$D$6005,$J148)=$I$5),OR($I$7="(ทั้งหมด)",INDEX(บันทึกรายเที่ยว!$F$6:$F$6005,$J148)=$I$7)),$N148*10000000+$O148*1000+141,""))</f>
        <v/>
      </c>
      <c r="Q148">
        <f>IFERROR(MATCH(SMALL($P$8:$P$407,141),$P$8:$P$407,0),"")</f>
        <v/>
      </c>
      <c r="R148">
        <f>IF($Q148="","",INDEX($J$8:$J$407,$Q148))</f>
        <v/>
      </c>
      <c r="S148">
        <f>IF($Q148="","",INDEX($M$8:$M$407,$Q148))</f>
        <v/>
      </c>
      <c r="T148">
        <f>IF($Q148="","",INDEX($L$8:$L$407,$Q148))</f>
        <v/>
      </c>
      <c r="U148">
        <f>IF($Q148="","",INDEX($K$8:$K$407,$Q148))</f>
        <v/>
      </c>
      <c r="V148">
        <f>IF($Q148="",0,IF($S148&lt;&gt;$S147,1,0))</f>
        <v/>
      </c>
      <c r="W148">
        <f>IF($Q148="",0,IF($T148&lt;&gt;$T147,1,0))</f>
        <v/>
      </c>
      <c r="X148">
        <f>IF($Q148="",99999+141,$X147+1+$V147+$W147)</f>
        <v/>
      </c>
      <c r="Y148">
        <f>IF($Q148="","",INDEX(บันทึกรายเที่ยว!$Q$6:$Q$6005,$R148))</f>
        <v/>
      </c>
      <c r="Z148">
        <f>IF($Q148="","",INDEX(บันทึกรายเที่ยว!$F$6:$F$6005,$R148))</f>
        <v/>
      </c>
      <c r="AA148">
        <f>IFERROR(MATCH(141,$X$8:$X$407,1),"")</f>
        <v/>
      </c>
      <c r="AB148">
        <f>IF(141=$AD$1+1,"G",IF($AA148="","",IF(INDEX($Q$8:$Q$407,$AA148)="","",IF(141&gt;INDEX($X$8:$X$407,$AA148)+INDEX($V$8:$V$407,$AA148)+INDEX($W$8:$W$407,$AA148),"",IF(141=INDEX($X$8:$X$407,$AA148)+INDEX($V$8:$V$407,$AA148)+INDEX($W$8:$W$407,$AA148),"D",IF(AND(INDEX($W$8:$W$407,$AA148)=1,141=INDEX($X$8:$X$407,$AA148)+INDEX($V$8:$V$407,$AA148)),"S","R"))))))</f>
        <v/>
      </c>
      <c r="AC148">
        <f>IF(OR($AB148="",$AB148="G"),"",IF($AB148="D",INDEX($U$8:$U$407,$AA148),IF($AB148="S",INDEX($T$8:$T$407,$AA148)&amp;"|*",INDEX($S$8:$S$407,$AA148)&amp;"|*")))</f>
        <v/>
      </c>
      <c r="AE148">
        <f>IF($U148="",0,COUNTIF(บันทึกรายเที่ยว!$T$6:$T$6005,$U148))</f>
        <v/>
      </c>
      <c r="AF148">
        <f>IF($U148="",0,ROUND(SUMIF(บันทึกรายเที่ยว!$T$6:$T$6005,$U148,บันทึกรายเที่ยว!$J$6:$J$6005),2))</f>
        <v/>
      </c>
      <c r="AG148">
        <f>IF($U148="",0,ROUND(SUMIF(บันทึกรายเที่ยว!$T$6:$T$6005,$U148,บันทึกรายเที่ยว!$K$6:$K$6005),2))</f>
        <v/>
      </c>
      <c r="AH148">
        <f>IF($U148="",0,ROUND(SUMIF(บันทึกรายเที่ยว!$T$6:$T$6005,$U148,บันทึกรายเที่ยว!$M$6:$M$6005),2))</f>
        <v/>
      </c>
    </row>
    <row r="149" ht="21" customHeight="1" s="66">
      <c r="A149" s="3">
        <f>IF($AB149="G","ผลรวมทั้งหมด",IF($AB149="R",INDEX($S$8:$S$407,$AA149),""))</f>
        <v/>
      </c>
      <c r="B149" s="3">
        <f>IF($AB149="S",INDEX($Y$8:$Y$407,$AA149),"")</f>
        <v/>
      </c>
      <c r="C149" s="68">
        <f>IF($AB149="D",INDEX($Z$8:$Z$407,$AA149),"")</f>
        <v/>
      </c>
      <c r="D149" s="31">
        <f>IF($AB149="G",SUM($AE$8:$AE$407),IF(OR($AB149="",$AB149="R"),"",IF($AB149="D",INDEX($AE$8:$AE$407,$AA149),SUMIF($T$8:$T$407,INDEX($T$8:$T$407,$AA149),$AE$8:$AE$407))))</f>
        <v/>
      </c>
      <c r="E149" s="32">
        <f>IF(142=$AD$1+3,"ขอแสดงความนับถือ",IF(142=$AD$1+6,"(                 )",IF(142=$AD$1+7,"เจ้าหน้าที่ขนส่ง",IF($AB149="G",SUM($AF$8:$AF$407),IF(OR($AB149="",$AB149="R"),"",IF($AB149="D",INDEX($AF$8:$AF$407,$AA149),SUMIF($T$8:$T$407,INDEX($T$8:$T$407,$AA149),$AF$8:$AF$407)))))))</f>
        <v/>
      </c>
      <c r="F149" s="32">
        <f>IF($AB149="G",SUM($AG$8:$AG$407),IF(OR($AB149="",$AB149="R"),"",IF($AB149="D",INDEX($AG$8:$AG$407,$AA149),SUMIF($T$8:$T$407,INDEX($T$8:$T$407,$AA149),$AG$8:$AG$407))))</f>
        <v/>
      </c>
      <c r="G149" s="32">
        <f>IF(OR($AB149="",$AB149="R"),"",ROUND($E149-$F149,2))</f>
        <v/>
      </c>
      <c r="H149" s="32">
        <f>IF($AB149="G",SUM($AH$8:$AH$407),IF(OR($AB149="",$AB149="R"),"",IF($AB149="D",INDEX($AH$8:$AH$407,$AA149),SUMIF($T$8:$T$407,INDEX($T$8:$T$407,$AA149),$AH$8:$AH$407))))</f>
        <v/>
      </c>
      <c r="J149">
        <f>IFERROR(MATCH(142,บันทึกรายเที่ยว!$W$6:$W$6005,0),"")</f>
        <v/>
      </c>
      <c r="K149">
        <f>IF($J149="","",INDEX(บันทึกรายเที่ยว!$T$6:$T$6005,$J149))</f>
        <v/>
      </c>
      <c r="L149">
        <f>IF($J149="","",INDEX(บันทึกรายเที่ยว!$S$6:$S$6005,$J149))</f>
        <v/>
      </c>
      <c r="M149">
        <f>IF($J149="","",INDEX(บันทึกรายเที่ยว!$R$6:$R$6005,$J149))</f>
        <v/>
      </c>
      <c r="N149">
        <f>IF($J149="","",MATCH($M149,บันทึกรายเที่ยว!$R$6:$R$6005,0))</f>
        <v/>
      </c>
      <c r="O149">
        <f>IF($J149="","",MATCH($L149,บันทึกรายเที่ยว!$S$6:$S$6005,0))</f>
        <v/>
      </c>
      <c r="P149">
        <f>IF($J149="","",IF(AND(OR($I$3="(ทั้งหมด)",INDEX(บันทึกรายเที่ยว!$C$6:$C$6005,$J149)=$I$3),OR($I$5="(ทั้งหมด)",INDEX(บันทึกรายเที่ยว!$D$6:$D$6005,$J149)=$I$5),OR($I$7="(ทั้งหมด)",INDEX(บันทึกรายเที่ยว!$F$6:$F$6005,$J149)=$I$7)),$N149*10000000+$O149*1000+142,""))</f>
        <v/>
      </c>
      <c r="Q149">
        <f>IFERROR(MATCH(SMALL($P$8:$P$407,142),$P$8:$P$407,0),"")</f>
        <v/>
      </c>
      <c r="R149">
        <f>IF($Q149="","",INDEX($J$8:$J$407,$Q149))</f>
        <v/>
      </c>
      <c r="S149">
        <f>IF($Q149="","",INDEX($M$8:$M$407,$Q149))</f>
        <v/>
      </c>
      <c r="T149">
        <f>IF($Q149="","",INDEX($L$8:$L$407,$Q149))</f>
        <v/>
      </c>
      <c r="U149">
        <f>IF($Q149="","",INDEX($K$8:$K$407,$Q149))</f>
        <v/>
      </c>
      <c r="V149">
        <f>IF($Q149="",0,IF($S149&lt;&gt;$S148,1,0))</f>
        <v/>
      </c>
      <c r="W149">
        <f>IF($Q149="",0,IF($T149&lt;&gt;$T148,1,0))</f>
        <v/>
      </c>
      <c r="X149">
        <f>IF($Q149="",99999+142,$X148+1+$V148+$W148)</f>
        <v/>
      </c>
      <c r="Y149">
        <f>IF($Q149="","",INDEX(บันทึกรายเที่ยว!$Q$6:$Q$6005,$R149))</f>
        <v/>
      </c>
      <c r="Z149">
        <f>IF($Q149="","",INDEX(บันทึกรายเที่ยว!$F$6:$F$6005,$R149))</f>
        <v/>
      </c>
      <c r="AA149">
        <f>IFERROR(MATCH(142,$X$8:$X$407,1),"")</f>
        <v/>
      </c>
      <c r="AB149">
        <f>IF(142=$AD$1+1,"G",IF($AA149="","",IF(INDEX($Q$8:$Q$407,$AA149)="","",IF(142&gt;INDEX($X$8:$X$407,$AA149)+INDEX($V$8:$V$407,$AA149)+INDEX($W$8:$W$407,$AA149),"",IF(142=INDEX($X$8:$X$407,$AA149)+INDEX($V$8:$V$407,$AA149)+INDEX($W$8:$W$407,$AA149),"D",IF(AND(INDEX($W$8:$W$407,$AA149)=1,142=INDEX($X$8:$X$407,$AA149)+INDEX($V$8:$V$407,$AA149)),"S","R"))))))</f>
        <v/>
      </c>
      <c r="AC149">
        <f>IF(OR($AB149="",$AB149="G"),"",IF($AB149="D",INDEX($U$8:$U$407,$AA149),IF($AB149="S",INDEX($T$8:$T$407,$AA149)&amp;"|*",INDEX($S$8:$S$407,$AA149)&amp;"|*")))</f>
        <v/>
      </c>
      <c r="AE149">
        <f>IF($U149="",0,COUNTIF(บันทึกรายเที่ยว!$T$6:$T$6005,$U149))</f>
        <v/>
      </c>
      <c r="AF149">
        <f>IF($U149="",0,ROUND(SUMIF(บันทึกรายเที่ยว!$T$6:$T$6005,$U149,บันทึกรายเที่ยว!$J$6:$J$6005),2))</f>
        <v/>
      </c>
      <c r="AG149">
        <f>IF($U149="",0,ROUND(SUMIF(บันทึกรายเที่ยว!$T$6:$T$6005,$U149,บันทึกรายเที่ยว!$K$6:$K$6005),2))</f>
        <v/>
      </c>
      <c r="AH149">
        <f>IF($U149="",0,ROUND(SUMIF(บันทึกรายเที่ยว!$T$6:$T$6005,$U149,บันทึกรายเที่ยว!$M$6:$M$6005),2))</f>
        <v/>
      </c>
    </row>
    <row r="150" ht="21" customHeight="1" s="66">
      <c r="A150" s="3">
        <f>IF($AB150="G","ผลรวมทั้งหมด",IF($AB150="R",INDEX($S$8:$S$407,$AA150),""))</f>
        <v/>
      </c>
      <c r="B150" s="3">
        <f>IF($AB150="S",INDEX($Y$8:$Y$407,$AA150),"")</f>
        <v/>
      </c>
      <c r="C150" s="68">
        <f>IF($AB150="D",INDEX($Z$8:$Z$407,$AA150),"")</f>
        <v/>
      </c>
      <c r="D150" s="31">
        <f>IF($AB150="G",SUM($AE$8:$AE$407),IF(OR($AB150="",$AB150="R"),"",IF($AB150="D",INDEX($AE$8:$AE$407,$AA150),SUMIF($T$8:$T$407,INDEX($T$8:$T$407,$AA150),$AE$8:$AE$407))))</f>
        <v/>
      </c>
      <c r="E150" s="32">
        <f>IF(143=$AD$1+3,"ขอแสดงความนับถือ",IF(143=$AD$1+6,"(                 )",IF(143=$AD$1+7,"เจ้าหน้าที่ขนส่ง",IF($AB150="G",SUM($AF$8:$AF$407),IF(OR($AB150="",$AB150="R"),"",IF($AB150="D",INDEX($AF$8:$AF$407,$AA150),SUMIF($T$8:$T$407,INDEX($T$8:$T$407,$AA150),$AF$8:$AF$407)))))))</f>
        <v/>
      </c>
      <c r="F150" s="32">
        <f>IF($AB150="G",SUM($AG$8:$AG$407),IF(OR($AB150="",$AB150="R"),"",IF($AB150="D",INDEX($AG$8:$AG$407,$AA150),SUMIF($T$8:$T$407,INDEX($T$8:$T$407,$AA150),$AG$8:$AG$407))))</f>
        <v/>
      </c>
      <c r="G150" s="32">
        <f>IF(OR($AB150="",$AB150="R"),"",ROUND($E150-$F150,2))</f>
        <v/>
      </c>
      <c r="H150" s="32">
        <f>IF($AB150="G",SUM($AH$8:$AH$407),IF(OR($AB150="",$AB150="R"),"",IF($AB150="D",INDEX($AH$8:$AH$407,$AA150),SUMIF($T$8:$T$407,INDEX($T$8:$T$407,$AA150),$AH$8:$AH$407))))</f>
        <v/>
      </c>
      <c r="J150">
        <f>IFERROR(MATCH(143,บันทึกรายเที่ยว!$W$6:$W$6005,0),"")</f>
        <v/>
      </c>
      <c r="K150">
        <f>IF($J150="","",INDEX(บันทึกรายเที่ยว!$T$6:$T$6005,$J150))</f>
        <v/>
      </c>
      <c r="L150">
        <f>IF($J150="","",INDEX(บันทึกรายเที่ยว!$S$6:$S$6005,$J150))</f>
        <v/>
      </c>
      <c r="M150">
        <f>IF($J150="","",INDEX(บันทึกรายเที่ยว!$R$6:$R$6005,$J150))</f>
        <v/>
      </c>
      <c r="N150">
        <f>IF($J150="","",MATCH($M150,บันทึกรายเที่ยว!$R$6:$R$6005,0))</f>
        <v/>
      </c>
      <c r="O150">
        <f>IF($J150="","",MATCH($L150,บันทึกรายเที่ยว!$S$6:$S$6005,0))</f>
        <v/>
      </c>
      <c r="P150">
        <f>IF($J150="","",IF(AND(OR($I$3="(ทั้งหมด)",INDEX(บันทึกรายเที่ยว!$C$6:$C$6005,$J150)=$I$3),OR($I$5="(ทั้งหมด)",INDEX(บันทึกรายเที่ยว!$D$6:$D$6005,$J150)=$I$5),OR($I$7="(ทั้งหมด)",INDEX(บันทึกรายเที่ยว!$F$6:$F$6005,$J150)=$I$7)),$N150*10000000+$O150*1000+143,""))</f>
        <v/>
      </c>
      <c r="Q150">
        <f>IFERROR(MATCH(SMALL($P$8:$P$407,143),$P$8:$P$407,0),"")</f>
        <v/>
      </c>
      <c r="R150">
        <f>IF($Q150="","",INDEX($J$8:$J$407,$Q150))</f>
        <v/>
      </c>
      <c r="S150">
        <f>IF($Q150="","",INDEX($M$8:$M$407,$Q150))</f>
        <v/>
      </c>
      <c r="T150">
        <f>IF($Q150="","",INDEX($L$8:$L$407,$Q150))</f>
        <v/>
      </c>
      <c r="U150">
        <f>IF($Q150="","",INDEX($K$8:$K$407,$Q150))</f>
        <v/>
      </c>
      <c r="V150">
        <f>IF($Q150="",0,IF($S150&lt;&gt;$S149,1,0))</f>
        <v/>
      </c>
      <c r="W150">
        <f>IF($Q150="",0,IF($T150&lt;&gt;$T149,1,0))</f>
        <v/>
      </c>
      <c r="X150">
        <f>IF($Q150="",99999+143,$X149+1+$V149+$W149)</f>
        <v/>
      </c>
      <c r="Y150">
        <f>IF($Q150="","",INDEX(บันทึกรายเที่ยว!$Q$6:$Q$6005,$R150))</f>
        <v/>
      </c>
      <c r="Z150">
        <f>IF($Q150="","",INDEX(บันทึกรายเที่ยว!$F$6:$F$6005,$R150))</f>
        <v/>
      </c>
      <c r="AA150">
        <f>IFERROR(MATCH(143,$X$8:$X$407,1),"")</f>
        <v/>
      </c>
      <c r="AB150">
        <f>IF(143=$AD$1+1,"G",IF($AA150="","",IF(INDEX($Q$8:$Q$407,$AA150)="","",IF(143&gt;INDEX($X$8:$X$407,$AA150)+INDEX($V$8:$V$407,$AA150)+INDEX($W$8:$W$407,$AA150),"",IF(143=INDEX($X$8:$X$407,$AA150)+INDEX($V$8:$V$407,$AA150)+INDEX($W$8:$W$407,$AA150),"D",IF(AND(INDEX($W$8:$W$407,$AA150)=1,143=INDEX($X$8:$X$407,$AA150)+INDEX($V$8:$V$407,$AA150)),"S","R"))))))</f>
        <v/>
      </c>
      <c r="AC150">
        <f>IF(OR($AB150="",$AB150="G"),"",IF($AB150="D",INDEX($U$8:$U$407,$AA150),IF($AB150="S",INDEX($T$8:$T$407,$AA150)&amp;"|*",INDEX($S$8:$S$407,$AA150)&amp;"|*")))</f>
        <v/>
      </c>
      <c r="AE150">
        <f>IF($U150="",0,COUNTIF(บันทึกรายเที่ยว!$T$6:$T$6005,$U150))</f>
        <v/>
      </c>
      <c r="AF150">
        <f>IF($U150="",0,ROUND(SUMIF(บันทึกรายเที่ยว!$T$6:$T$6005,$U150,บันทึกรายเที่ยว!$J$6:$J$6005),2))</f>
        <v/>
      </c>
      <c r="AG150">
        <f>IF($U150="",0,ROUND(SUMIF(บันทึกรายเที่ยว!$T$6:$T$6005,$U150,บันทึกรายเที่ยว!$K$6:$K$6005),2))</f>
        <v/>
      </c>
      <c r="AH150">
        <f>IF($U150="",0,ROUND(SUMIF(บันทึกรายเที่ยว!$T$6:$T$6005,$U150,บันทึกรายเที่ยว!$M$6:$M$6005),2))</f>
        <v/>
      </c>
    </row>
    <row r="151" ht="21" customHeight="1" s="66">
      <c r="A151" s="3">
        <f>IF($AB151="G","ผลรวมทั้งหมด",IF($AB151="R",INDEX($S$8:$S$407,$AA151),""))</f>
        <v/>
      </c>
      <c r="B151" s="3">
        <f>IF($AB151="S",INDEX($Y$8:$Y$407,$AA151),"")</f>
        <v/>
      </c>
      <c r="C151" s="68">
        <f>IF($AB151="D",INDEX($Z$8:$Z$407,$AA151),"")</f>
        <v/>
      </c>
      <c r="D151" s="31">
        <f>IF($AB151="G",SUM($AE$8:$AE$407),IF(OR($AB151="",$AB151="R"),"",IF($AB151="D",INDEX($AE$8:$AE$407,$AA151),SUMIF($T$8:$T$407,INDEX($T$8:$T$407,$AA151),$AE$8:$AE$407))))</f>
        <v/>
      </c>
      <c r="E151" s="32">
        <f>IF(144=$AD$1+3,"ขอแสดงความนับถือ",IF(144=$AD$1+6,"(                 )",IF(144=$AD$1+7,"เจ้าหน้าที่ขนส่ง",IF($AB151="G",SUM($AF$8:$AF$407),IF(OR($AB151="",$AB151="R"),"",IF($AB151="D",INDEX($AF$8:$AF$407,$AA151),SUMIF($T$8:$T$407,INDEX($T$8:$T$407,$AA151),$AF$8:$AF$407)))))))</f>
        <v/>
      </c>
      <c r="F151" s="32">
        <f>IF($AB151="G",SUM($AG$8:$AG$407),IF(OR($AB151="",$AB151="R"),"",IF($AB151="D",INDEX($AG$8:$AG$407,$AA151),SUMIF($T$8:$T$407,INDEX($T$8:$T$407,$AA151),$AG$8:$AG$407))))</f>
        <v/>
      </c>
      <c r="G151" s="32">
        <f>IF(OR($AB151="",$AB151="R"),"",ROUND($E151-$F151,2))</f>
        <v/>
      </c>
      <c r="H151" s="32">
        <f>IF($AB151="G",SUM($AH$8:$AH$407),IF(OR($AB151="",$AB151="R"),"",IF($AB151="D",INDEX($AH$8:$AH$407,$AA151),SUMIF($T$8:$T$407,INDEX($T$8:$T$407,$AA151),$AH$8:$AH$407))))</f>
        <v/>
      </c>
      <c r="J151">
        <f>IFERROR(MATCH(144,บันทึกรายเที่ยว!$W$6:$W$6005,0),"")</f>
        <v/>
      </c>
      <c r="K151">
        <f>IF($J151="","",INDEX(บันทึกรายเที่ยว!$T$6:$T$6005,$J151))</f>
        <v/>
      </c>
      <c r="L151">
        <f>IF($J151="","",INDEX(บันทึกรายเที่ยว!$S$6:$S$6005,$J151))</f>
        <v/>
      </c>
      <c r="M151">
        <f>IF($J151="","",INDEX(บันทึกรายเที่ยว!$R$6:$R$6005,$J151))</f>
        <v/>
      </c>
      <c r="N151">
        <f>IF($J151="","",MATCH($M151,บันทึกรายเที่ยว!$R$6:$R$6005,0))</f>
        <v/>
      </c>
      <c r="O151">
        <f>IF($J151="","",MATCH($L151,บันทึกรายเที่ยว!$S$6:$S$6005,0))</f>
        <v/>
      </c>
      <c r="P151">
        <f>IF($J151="","",IF(AND(OR($I$3="(ทั้งหมด)",INDEX(บันทึกรายเที่ยว!$C$6:$C$6005,$J151)=$I$3),OR($I$5="(ทั้งหมด)",INDEX(บันทึกรายเที่ยว!$D$6:$D$6005,$J151)=$I$5),OR($I$7="(ทั้งหมด)",INDEX(บันทึกรายเที่ยว!$F$6:$F$6005,$J151)=$I$7)),$N151*10000000+$O151*1000+144,""))</f>
        <v/>
      </c>
      <c r="Q151">
        <f>IFERROR(MATCH(SMALL($P$8:$P$407,144),$P$8:$P$407,0),"")</f>
        <v/>
      </c>
      <c r="R151">
        <f>IF($Q151="","",INDEX($J$8:$J$407,$Q151))</f>
        <v/>
      </c>
      <c r="S151">
        <f>IF($Q151="","",INDEX($M$8:$M$407,$Q151))</f>
        <v/>
      </c>
      <c r="T151">
        <f>IF($Q151="","",INDEX($L$8:$L$407,$Q151))</f>
        <v/>
      </c>
      <c r="U151">
        <f>IF($Q151="","",INDEX($K$8:$K$407,$Q151))</f>
        <v/>
      </c>
      <c r="V151">
        <f>IF($Q151="",0,IF($S151&lt;&gt;$S150,1,0))</f>
        <v/>
      </c>
      <c r="W151">
        <f>IF($Q151="",0,IF($T151&lt;&gt;$T150,1,0))</f>
        <v/>
      </c>
      <c r="X151">
        <f>IF($Q151="",99999+144,$X150+1+$V150+$W150)</f>
        <v/>
      </c>
      <c r="Y151">
        <f>IF($Q151="","",INDEX(บันทึกรายเที่ยว!$Q$6:$Q$6005,$R151))</f>
        <v/>
      </c>
      <c r="Z151">
        <f>IF($Q151="","",INDEX(บันทึกรายเที่ยว!$F$6:$F$6005,$R151))</f>
        <v/>
      </c>
      <c r="AA151">
        <f>IFERROR(MATCH(144,$X$8:$X$407,1),"")</f>
        <v/>
      </c>
      <c r="AB151">
        <f>IF(144=$AD$1+1,"G",IF($AA151="","",IF(INDEX($Q$8:$Q$407,$AA151)="","",IF(144&gt;INDEX($X$8:$X$407,$AA151)+INDEX($V$8:$V$407,$AA151)+INDEX($W$8:$W$407,$AA151),"",IF(144=INDEX($X$8:$X$407,$AA151)+INDEX($V$8:$V$407,$AA151)+INDEX($W$8:$W$407,$AA151),"D",IF(AND(INDEX($W$8:$W$407,$AA151)=1,144=INDEX($X$8:$X$407,$AA151)+INDEX($V$8:$V$407,$AA151)),"S","R"))))))</f>
        <v/>
      </c>
      <c r="AC151">
        <f>IF(OR($AB151="",$AB151="G"),"",IF($AB151="D",INDEX($U$8:$U$407,$AA151),IF($AB151="S",INDEX($T$8:$T$407,$AA151)&amp;"|*",INDEX($S$8:$S$407,$AA151)&amp;"|*")))</f>
        <v/>
      </c>
      <c r="AE151">
        <f>IF($U151="",0,COUNTIF(บันทึกรายเที่ยว!$T$6:$T$6005,$U151))</f>
        <v/>
      </c>
      <c r="AF151">
        <f>IF($U151="",0,ROUND(SUMIF(บันทึกรายเที่ยว!$T$6:$T$6005,$U151,บันทึกรายเที่ยว!$J$6:$J$6005),2))</f>
        <v/>
      </c>
      <c r="AG151">
        <f>IF($U151="",0,ROUND(SUMIF(บันทึกรายเที่ยว!$T$6:$T$6005,$U151,บันทึกรายเที่ยว!$K$6:$K$6005),2))</f>
        <v/>
      </c>
      <c r="AH151">
        <f>IF($U151="",0,ROUND(SUMIF(บันทึกรายเที่ยว!$T$6:$T$6005,$U151,บันทึกรายเที่ยว!$M$6:$M$6005),2))</f>
        <v/>
      </c>
    </row>
    <row r="152" ht="21" customHeight="1" s="66">
      <c r="A152" s="3">
        <f>IF($AB152="G","ผลรวมทั้งหมด",IF($AB152="R",INDEX($S$8:$S$407,$AA152),""))</f>
        <v/>
      </c>
      <c r="B152" s="3">
        <f>IF($AB152="S",INDEX($Y$8:$Y$407,$AA152),"")</f>
        <v/>
      </c>
      <c r="C152" s="68">
        <f>IF($AB152="D",INDEX($Z$8:$Z$407,$AA152),"")</f>
        <v/>
      </c>
      <c r="D152" s="31">
        <f>IF($AB152="G",SUM($AE$8:$AE$407),IF(OR($AB152="",$AB152="R"),"",IF($AB152="D",INDEX($AE$8:$AE$407,$AA152),SUMIF($T$8:$T$407,INDEX($T$8:$T$407,$AA152),$AE$8:$AE$407))))</f>
        <v/>
      </c>
      <c r="E152" s="32">
        <f>IF(145=$AD$1+3,"ขอแสดงความนับถือ",IF(145=$AD$1+6,"(                 )",IF(145=$AD$1+7,"เจ้าหน้าที่ขนส่ง",IF($AB152="G",SUM($AF$8:$AF$407),IF(OR($AB152="",$AB152="R"),"",IF($AB152="D",INDEX($AF$8:$AF$407,$AA152),SUMIF($T$8:$T$407,INDEX($T$8:$T$407,$AA152),$AF$8:$AF$407)))))))</f>
        <v/>
      </c>
      <c r="F152" s="32">
        <f>IF($AB152="G",SUM($AG$8:$AG$407),IF(OR($AB152="",$AB152="R"),"",IF($AB152="D",INDEX($AG$8:$AG$407,$AA152),SUMIF($T$8:$T$407,INDEX($T$8:$T$407,$AA152),$AG$8:$AG$407))))</f>
        <v/>
      </c>
      <c r="G152" s="32">
        <f>IF(OR($AB152="",$AB152="R"),"",ROUND($E152-$F152,2))</f>
        <v/>
      </c>
      <c r="H152" s="32">
        <f>IF($AB152="G",SUM($AH$8:$AH$407),IF(OR($AB152="",$AB152="R"),"",IF($AB152="D",INDEX($AH$8:$AH$407,$AA152),SUMIF($T$8:$T$407,INDEX($T$8:$T$407,$AA152),$AH$8:$AH$407))))</f>
        <v/>
      </c>
      <c r="J152">
        <f>IFERROR(MATCH(145,บันทึกรายเที่ยว!$W$6:$W$6005,0),"")</f>
        <v/>
      </c>
      <c r="K152">
        <f>IF($J152="","",INDEX(บันทึกรายเที่ยว!$T$6:$T$6005,$J152))</f>
        <v/>
      </c>
      <c r="L152">
        <f>IF($J152="","",INDEX(บันทึกรายเที่ยว!$S$6:$S$6005,$J152))</f>
        <v/>
      </c>
      <c r="M152">
        <f>IF($J152="","",INDEX(บันทึกรายเที่ยว!$R$6:$R$6005,$J152))</f>
        <v/>
      </c>
      <c r="N152">
        <f>IF($J152="","",MATCH($M152,บันทึกรายเที่ยว!$R$6:$R$6005,0))</f>
        <v/>
      </c>
      <c r="O152">
        <f>IF($J152="","",MATCH($L152,บันทึกรายเที่ยว!$S$6:$S$6005,0))</f>
        <v/>
      </c>
      <c r="P152">
        <f>IF($J152="","",IF(AND(OR($I$3="(ทั้งหมด)",INDEX(บันทึกรายเที่ยว!$C$6:$C$6005,$J152)=$I$3),OR($I$5="(ทั้งหมด)",INDEX(บันทึกรายเที่ยว!$D$6:$D$6005,$J152)=$I$5),OR($I$7="(ทั้งหมด)",INDEX(บันทึกรายเที่ยว!$F$6:$F$6005,$J152)=$I$7)),$N152*10000000+$O152*1000+145,""))</f>
        <v/>
      </c>
      <c r="Q152">
        <f>IFERROR(MATCH(SMALL($P$8:$P$407,145),$P$8:$P$407,0),"")</f>
        <v/>
      </c>
      <c r="R152">
        <f>IF($Q152="","",INDEX($J$8:$J$407,$Q152))</f>
        <v/>
      </c>
      <c r="S152">
        <f>IF($Q152="","",INDEX($M$8:$M$407,$Q152))</f>
        <v/>
      </c>
      <c r="T152">
        <f>IF($Q152="","",INDEX($L$8:$L$407,$Q152))</f>
        <v/>
      </c>
      <c r="U152">
        <f>IF($Q152="","",INDEX($K$8:$K$407,$Q152))</f>
        <v/>
      </c>
      <c r="V152">
        <f>IF($Q152="",0,IF($S152&lt;&gt;$S151,1,0))</f>
        <v/>
      </c>
      <c r="W152">
        <f>IF($Q152="",0,IF($T152&lt;&gt;$T151,1,0))</f>
        <v/>
      </c>
      <c r="X152">
        <f>IF($Q152="",99999+145,$X151+1+$V151+$W151)</f>
        <v/>
      </c>
      <c r="Y152">
        <f>IF($Q152="","",INDEX(บันทึกรายเที่ยว!$Q$6:$Q$6005,$R152))</f>
        <v/>
      </c>
      <c r="Z152">
        <f>IF($Q152="","",INDEX(บันทึกรายเที่ยว!$F$6:$F$6005,$R152))</f>
        <v/>
      </c>
      <c r="AA152">
        <f>IFERROR(MATCH(145,$X$8:$X$407,1),"")</f>
        <v/>
      </c>
      <c r="AB152">
        <f>IF(145=$AD$1+1,"G",IF($AA152="","",IF(INDEX($Q$8:$Q$407,$AA152)="","",IF(145&gt;INDEX($X$8:$X$407,$AA152)+INDEX($V$8:$V$407,$AA152)+INDEX($W$8:$W$407,$AA152),"",IF(145=INDEX($X$8:$X$407,$AA152)+INDEX($V$8:$V$407,$AA152)+INDEX($W$8:$W$407,$AA152),"D",IF(AND(INDEX($W$8:$W$407,$AA152)=1,145=INDEX($X$8:$X$407,$AA152)+INDEX($V$8:$V$407,$AA152)),"S","R"))))))</f>
        <v/>
      </c>
      <c r="AC152">
        <f>IF(OR($AB152="",$AB152="G"),"",IF($AB152="D",INDEX($U$8:$U$407,$AA152),IF($AB152="S",INDEX($T$8:$T$407,$AA152)&amp;"|*",INDEX($S$8:$S$407,$AA152)&amp;"|*")))</f>
        <v/>
      </c>
      <c r="AE152">
        <f>IF($U152="",0,COUNTIF(บันทึกรายเที่ยว!$T$6:$T$6005,$U152))</f>
        <v/>
      </c>
      <c r="AF152">
        <f>IF($U152="",0,ROUND(SUMIF(บันทึกรายเที่ยว!$T$6:$T$6005,$U152,บันทึกรายเที่ยว!$J$6:$J$6005),2))</f>
        <v/>
      </c>
      <c r="AG152">
        <f>IF($U152="",0,ROUND(SUMIF(บันทึกรายเที่ยว!$T$6:$T$6005,$U152,บันทึกรายเที่ยว!$K$6:$K$6005),2))</f>
        <v/>
      </c>
      <c r="AH152">
        <f>IF($U152="",0,ROUND(SUMIF(บันทึกรายเที่ยว!$T$6:$T$6005,$U152,บันทึกรายเที่ยว!$M$6:$M$6005),2))</f>
        <v/>
      </c>
    </row>
    <row r="153" ht="21" customHeight="1" s="66">
      <c r="A153" s="3">
        <f>IF($AB153="G","ผลรวมทั้งหมด",IF($AB153="R",INDEX($S$8:$S$407,$AA153),""))</f>
        <v/>
      </c>
      <c r="B153" s="3">
        <f>IF($AB153="S",INDEX($Y$8:$Y$407,$AA153),"")</f>
        <v/>
      </c>
      <c r="C153" s="68">
        <f>IF($AB153="D",INDEX($Z$8:$Z$407,$AA153),"")</f>
        <v/>
      </c>
      <c r="D153" s="31">
        <f>IF($AB153="G",SUM($AE$8:$AE$407),IF(OR($AB153="",$AB153="R"),"",IF($AB153="D",INDEX($AE$8:$AE$407,$AA153),SUMIF($T$8:$T$407,INDEX($T$8:$T$407,$AA153),$AE$8:$AE$407))))</f>
        <v/>
      </c>
      <c r="E153" s="32">
        <f>IF(146=$AD$1+3,"ขอแสดงความนับถือ",IF(146=$AD$1+6,"(                 )",IF(146=$AD$1+7,"เจ้าหน้าที่ขนส่ง",IF($AB153="G",SUM($AF$8:$AF$407),IF(OR($AB153="",$AB153="R"),"",IF($AB153="D",INDEX($AF$8:$AF$407,$AA153),SUMIF($T$8:$T$407,INDEX($T$8:$T$407,$AA153),$AF$8:$AF$407)))))))</f>
        <v/>
      </c>
      <c r="F153" s="32">
        <f>IF($AB153="G",SUM($AG$8:$AG$407),IF(OR($AB153="",$AB153="R"),"",IF($AB153="D",INDEX($AG$8:$AG$407,$AA153),SUMIF($T$8:$T$407,INDEX($T$8:$T$407,$AA153),$AG$8:$AG$407))))</f>
        <v/>
      </c>
      <c r="G153" s="32">
        <f>IF(OR($AB153="",$AB153="R"),"",ROUND($E153-$F153,2))</f>
        <v/>
      </c>
      <c r="H153" s="32">
        <f>IF($AB153="G",SUM($AH$8:$AH$407),IF(OR($AB153="",$AB153="R"),"",IF($AB153="D",INDEX($AH$8:$AH$407,$AA153),SUMIF($T$8:$T$407,INDEX($T$8:$T$407,$AA153),$AH$8:$AH$407))))</f>
        <v/>
      </c>
      <c r="J153">
        <f>IFERROR(MATCH(146,บันทึกรายเที่ยว!$W$6:$W$6005,0),"")</f>
        <v/>
      </c>
      <c r="K153">
        <f>IF($J153="","",INDEX(บันทึกรายเที่ยว!$T$6:$T$6005,$J153))</f>
        <v/>
      </c>
      <c r="L153">
        <f>IF($J153="","",INDEX(บันทึกรายเที่ยว!$S$6:$S$6005,$J153))</f>
        <v/>
      </c>
      <c r="M153">
        <f>IF($J153="","",INDEX(บันทึกรายเที่ยว!$R$6:$R$6005,$J153))</f>
        <v/>
      </c>
      <c r="N153">
        <f>IF($J153="","",MATCH($M153,บันทึกรายเที่ยว!$R$6:$R$6005,0))</f>
        <v/>
      </c>
      <c r="O153">
        <f>IF($J153="","",MATCH($L153,บันทึกรายเที่ยว!$S$6:$S$6005,0))</f>
        <v/>
      </c>
      <c r="P153">
        <f>IF($J153="","",IF(AND(OR($I$3="(ทั้งหมด)",INDEX(บันทึกรายเที่ยว!$C$6:$C$6005,$J153)=$I$3),OR($I$5="(ทั้งหมด)",INDEX(บันทึกรายเที่ยว!$D$6:$D$6005,$J153)=$I$5),OR($I$7="(ทั้งหมด)",INDEX(บันทึกรายเที่ยว!$F$6:$F$6005,$J153)=$I$7)),$N153*10000000+$O153*1000+146,""))</f>
        <v/>
      </c>
      <c r="Q153">
        <f>IFERROR(MATCH(SMALL($P$8:$P$407,146),$P$8:$P$407,0),"")</f>
        <v/>
      </c>
      <c r="R153">
        <f>IF($Q153="","",INDEX($J$8:$J$407,$Q153))</f>
        <v/>
      </c>
      <c r="S153">
        <f>IF($Q153="","",INDEX($M$8:$M$407,$Q153))</f>
        <v/>
      </c>
      <c r="T153">
        <f>IF($Q153="","",INDEX($L$8:$L$407,$Q153))</f>
        <v/>
      </c>
      <c r="U153">
        <f>IF($Q153="","",INDEX($K$8:$K$407,$Q153))</f>
        <v/>
      </c>
      <c r="V153">
        <f>IF($Q153="",0,IF($S153&lt;&gt;$S152,1,0))</f>
        <v/>
      </c>
      <c r="W153">
        <f>IF($Q153="",0,IF($T153&lt;&gt;$T152,1,0))</f>
        <v/>
      </c>
      <c r="X153">
        <f>IF($Q153="",99999+146,$X152+1+$V152+$W152)</f>
        <v/>
      </c>
      <c r="Y153">
        <f>IF($Q153="","",INDEX(บันทึกรายเที่ยว!$Q$6:$Q$6005,$R153))</f>
        <v/>
      </c>
      <c r="Z153">
        <f>IF($Q153="","",INDEX(บันทึกรายเที่ยว!$F$6:$F$6005,$R153))</f>
        <v/>
      </c>
      <c r="AA153">
        <f>IFERROR(MATCH(146,$X$8:$X$407,1),"")</f>
        <v/>
      </c>
      <c r="AB153">
        <f>IF(146=$AD$1+1,"G",IF($AA153="","",IF(INDEX($Q$8:$Q$407,$AA153)="","",IF(146&gt;INDEX($X$8:$X$407,$AA153)+INDEX($V$8:$V$407,$AA153)+INDEX($W$8:$W$407,$AA153),"",IF(146=INDEX($X$8:$X$407,$AA153)+INDEX($V$8:$V$407,$AA153)+INDEX($W$8:$W$407,$AA153),"D",IF(AND(INDEX($W$8:$W$407,$AA153)=1,146=INDEX($X$8:$X$407,$AA153)+INDEX($V$8:$V$407,$AA153)),"S","R"))))))</f>
        <v/>
      </c>
      <c r="AC153">
        <f>IF(OR($AB153="",$AB153="G"),"",IF($AB153="D",INDEX($U$8:$U$407,$AA153),IF($AB153="S",INDEX($T$8:$T$407,$AA153)&amp;"|*",INDEX($S$8:$S$407,$AA153)&amp;"|*")))</f>
        <v/>
      </c>
      <c r="AE153">
        <f>IF($U153="",0,COUNTIF(บันทึกรายเที่ยว!$T$6:$T$6005,$U153))</f>
        <v/>
      </c>
      <c r="AF153">
        <f>IF($U153="",0,ROUND(SUMIF(บันทึกรายเที่ยว!$T$6:$T$6005,$U153,บันทึกรายเที่ยว!$J$6:$J$6005),2))</f>
        <v/>
      </c>
      <c r="AG153">
        <f>IF($U153="",0,ROUND(SUMIF(บันทึกรายเที่ยว!$T$6:$T$6005,$U153,บันทึกรายเที่ยว!$K$6:$K$6005),2))</f>
        <v/>
      </c>
      <c r="AH153">
        <f>IF($U153="",0,ROUND(SUMIF(บันทึกรายเที่ยว!$T$6:$T$6005,$U153,บันทึกรายเที่ยว!$M$6:$M$6005),2))</f>
        <v/>
      </c>
    </row>
    <row r="154" ht="21" customHeight="1" s="66">
      <c r="A154" s="3">
        <f>IF($AB154="G","ผลรวมทั้งหมด",IF($AB154="R",INDEX($S$8:$S$407,$AA154),""))</f>
        <v/>
      </c>
      <c r="B154" s="3">
        <f>IF($AB154="S",INDEX($Y$8:$Y$407,$AA154),"")</f>
        <v/>
      </c>
      <c r="C154" s="68">
        <f>IF($AB154="D",INDEX($Z$8:$Z$407,$AA154),"")</f>
        <v/>
      </c>
      <c r="D154" s="31">
        <f>IF($AB154="G",SUM($AE$8:$AE$407),IF(OR($AB154="",$AB154="R"),"",IF($AB154="D",INDEX($AE$8:$AE$407,$AA154),SUMIF($T$8:$T$407,INDEX($T$8:$T$407,$AA154),$AE$8:$AE$407))))</f>
        <v/>
      </c>
      <c r="E154" s="32">
        <f>IF(147=$AD$1+3,"ขอแสดงความนับถือ",IF(147=$AD$1+6,"(                 )",IF(147=$AD$1+7,"เจ้าหน้าที่ขนส่ง",IF($AB154="G",SUM($AF$8:$AF$407),IF(OR($AB154="",$AB154="R"),"",IF($AB154="D",INDEX($AF$8:$AF$407,$AA154),SUMIF($T$8:$T$407,INDEX($T$8:$T$407,$AA154),$AF$8:$AF$407)))))))</f>
        <v/>
      </c>
      <c r="F154" s="32">
        <f>IF($AB154="G",SUM($AG$8:$AG$407),IF(OR($AB154="",$AB154="R"),"",IF($AB154="D",INDEX($AG$8:$AG$407,$AA154),SUMIF($T$8:$T$407,INDEX($T$8:$T$407,$AA154),$AG$8:$AG$407))))</f>
        <v/>
      </c>
      <c r="G154" s="32">
        <f>IF(OR($AB154="",$AB154="R"),"",ROUND($E154-$F154,2))</f>
        <v/>
      </c>
      <c r="H154" s="32">
        <f>IF($AB154="G",SUM($AH$8:$AH$407),IF(OR($AB154="",$AB154="R"),"",IF($AB154="D",INDEX($AH$8:$AH$407,$AA154),SUMIF($T$8:$T$407,INDEX($T$8:$T$407,$AA154),$AH$8:$AH$407))))</f>
        <v/>
      </c>
      <c r="J154">
        <f>IFERROR(MATCH(147,บันทึกรายเที่ยว!$W$6:$W$6005,0),"")</f>
        <v/>
      </c>
      <c r="K154">
        <f>IF($J154="","",INDEX(บันทึกรายเที่ยว!$T$6:$T$6005,$J154))</f>
        <v/>
      </c>
      <c r="L154">
        <f>IF($J154="","",INDEX(บันทึกรายเที่ยว!$S$6:$S$6005,$J154))</f>
        <v/>
      </c>
      <c r="M154">
        <f>IF($J154="","",INDEX(บันทึกรายเที่ยว!$R$6:$R$6005,$J154))</f>
        <v/>
      </c>
      <c r="N154">
        <f>IF($J154="","",MATCH($M154,บันทึกรายเที่ยว!$R$6:$R$6005,0))</f>
        <v/>
      </c>
      <c r="O154">
        <f>IF($J154="","",MATCH($L154,บันทึกรายเที่ยว!$S$6:$S$6005,0))</f>
        <v/>
      </c>
      <c r="P154">
        <f>IF($J154="","",IF(AND(OR($I$3="(ทั้งหมด)",INDEX(บันทึกรายเที่ยว!$C$6:$C$6005,$J154)=$I$3),OR($I$5="(ทั้งหมด)",INDEX(บันทึกรายเที่ยว!$D$6:$D$6005,$J154)=$I$5),OR($I$7="(ทั้งหมด)",INDEX(บันทึกรายเที่ยว!$F$6:$F$6005,$J154)=$I$7)),$N154*10000000+$O154*1000+147,""))</f>
        <v/>
      </c>
      <c r="Q154">
        <f>IFERROR(MATCH(SMALL($P$8:$P$407,147),$P$8:$P$407,0),"")</f>
        <v/>
      </c>
      <c r="R154">
        <f>IF($Q154="","",INDEX($J$8:$J$407,$Q154))</f>
        <v/>
      </c>
      <c r="S154">
        <f>IF($Q154="","",INDEX($M$8:$M$407,$Q154))</f>
        <v/>
      </c>
      <c r="T154">
        <f>IF($Q154="","",INDEX($L$8:$L$407,$Q154))</f>
        <v/>
      </c>
      <c r="U154">
        <f>IF($Q154="","",INDEX($K$8:$K$407,$Q154))</f>
        <v/>
      </c>
      <c r="V154">
        <f>IF($Q154="",0,IF($S154&lt;&gt;$S153,1,0))</f>
        <v/>
      </c>
      <c r="W154">
        <f>IF($Q154="",0,IF($T154&lt;&gt;$T153,1,0))</f>
        <v/>
      </c>
      <c r="X154">
        <f>IF($Q154="",99999+147,$X153+1+$V153+$W153)</f>
        <v/>
      </c>
      <c r="Y154">
        <f>IF($Q154="","",INDEX(บันทึกรายเที่ยว!$Q$6:$Q$6005,$R154))</f>
        <v/>
      </c>
      <c r="Z154">
        <f>IF($Q154="","",INDEX(บันทึกรายเที่ยว!$F$6:$F$6005,$R154))</f>
        <v/>
      </c>
      <c r="AA154">
        <f>IFERROR(MATCH(147,$X$8:$X$407,1),"")</f>
        <v/>
      </c>
      <c r="AB154">
        <f>IF(147=$AD$1+1,"G",IF($AA154="","",IF(INDEX($Q$8:$Q$407,$AA154)="","",IF(147&gt;INDEX($X$8:$X$407,$AA154)+INDEX($V$8:$V$407,$AA154)+INDEX($W$8:$W$407,$AA154),"",IF(147=INDEX($X$8:$X$407,$AA154)+INDEX($V$8:$V$407,$AA154)+INDEX($W$8:$W$407,$AA154),"D",IF(AND(INDEX($W$8:$W$407,$AA154)=1,147=INDEX($X$8:$X$407,$AA154)+INDEX($V$8:$V$407,$AA154)),"S","R"))))))</f>
        <v/>
      </c>
      <c r="AC154">
        <f>IF(OR($AB154="",$AB154="G"),"",IF($AB154="D",INDEX($U$8:$U$407,$AA154),IF($AB154="S",INDEX($T$8:$T$407,$AA154)&amp;"|*",INDEX($S$8:$S$407,$AA154)&amp;"|*")))</f>
        <v/>
      </c>
      <c r="AE154">
        <f>IF($U154="",0,COUNTIF(บันทึกรายเที่ยว!$T$6:$T$6005,$U154))</f>
        <v/>
      </c>
      <c r="AF154">
        <f>IF($U154="",0,ROUND(SUMIF(บันทึกรายเที่ยว!$T$6:$T$6005,$U154,บันทึกรายเที่ยว!$J$6:$J$6005),2))</f>
        <v/>
      </c>
      <c r="AG154">
        <f>IF($U154="",0,ROUND(SUMIF(บันทึกรายเที่ยว!$T$6:$T$6005,$U154,บันทึกรายเที่ยว!$K$6:$K$6005),2))</f>
        <v/>
      </c>
      <c r="AH154">
        <f>IF($U154="",0,ROUND(SUMIF(บันทึกรายเที่ยว!$T$6:$T$6005,$U154,บันทึกรายเที่ยว!$M$6:$M$6005),2))</f>
        <v/>
      </c>
    </row>
    <row r="155" ht="21" customHeight="1" s="66">
      <c r="A155" s="3">
        <f>IF($AB155="G","ผลรวมทั้งหมด",IF($AB155="R",INDEX($S$8:$S$407,$AA155),""))</f>
        <v/>
      </c>
      <c r="B155" s="3">
        <f>IF($AB155="S",INDEX($Y$8:$Y$407,$AA155),"")</f>
        <v/>
      </c>
      <c r="C155" s="68">
        <f>IF($AB155="D",INDEX($Z$8:$Z$407,$AA155),"")</f>
        <v/>
      </c>
      <c r="D155" s="31">
        <f>IF($AB155="G",SUM($AE$8:$AE$407),IF(OR($AB155="",$AB155="R"),"",IF($AB155="D",INDEX($AE$8:$AE$407,$AA155),SUMIF($T$8:$T$407,INDEX($T$8:$T$407,$AA155),$AE$8:$AE$407))))</f>
        <v/>
      </c>
      <c r="E155" s="32">
        <f>IF(148=$AD$1+3,"ขอแสดงความนับถือ",IF(148=$AD$1+6,"(                 )",IF(148=$AD$1+7,"เจ้าหน้าที่ขนส่ง",IF($AB155="G",SUM($AF$8:$AF$407),IF(OR($AB155="",$AB155="R"),"",IF($AB155="D",INDEX($AF$8:$AF$407,$AA155),SUMIF($T$8:$T$407,INDEX($T$8:$T$407,$AA155),$AF$8:$AF$407)))))))</f>
        <v/>
      </c>
      <c r="F155" s="32">
        <f>IF($AB155="G",SUM($AG$8:$AG$407),IF(OR($AB155="",$AB155="R"),"",IF($AB155="D",INDEX($AG$8:$AG$407,$AA155),SUMIF($T$8:$T$407,INDEX($T$8:$T$407,$AA155),$AG$8:$AG$407))))</f>
        <v/>
      </c>
      <c r="G155" s="32">
        <f>IF(OR($AB155="",$AB155="R"),"",ROUND($E155-$F155,2))</f>
        <v/>
      </c>
      <c r="H155" s="32">
        <f>IF($AB155="G",SUM($AH$8:$AH$407),IF(OR($AB155="",$AB155="R"),"",IF($AB155="D",INDEX($AH$8:$AH$407,$AA155),SUMIF($T$8:$T$407,INDEX($T$8:$T$407,$AA155),$AH$8:$AH$407))))</f>
        <v/>
      </c>
      <c r="J155">
        <f>IFERROR(MATCH(148,บันทึกรายเที่ยว!$W$6:$W$6005,0),"")</f>
        <v/>
      </c>
      <c r="K155">
        <f>IF($J155="","",INDEX(บันทึกรายเที่ยว!$T$6:$T$6005,$J155))</f>
        <v/>
      </c>
      <c r="L155">
        <f>IF($J155="","",INDEX(บันทึกรายเที่ยว!$S$6:$S$6005,$J155))</f>
        <v/>
      </c>
      <c r="M155">
        <f>IF($J155="","",INDEX(บันทึกรายเที่ยว!$R$6:$R$6005,$J155))</f>
        <v/>
      </c>
      <c r="N155">
        <f>IF($J155="","",MATCH($M155,บันทึกรายเที่ยว!$R$6:$R$6005,0))</f>
        <v/>
      </c>
      <c r="O155">
        <f>IF($J155="","",MATCH($L155,บันทึกรายเที่ยว!$S$6:$S$6005,0))</f>
        <v/>
      </c>
      <c r="P155">
        <f>IF($J155="","",IF(AND(OR($I$3="(ทั้งหมด)",INDEX(บันทึกรายเที่ยว!$C$6:$C$6005,$J155)=$I$3),OR($I$5="(ทั้งหมด)",INDEX(บันทึกรายเที่ยว!$D$6:$D$6005,$J155)=$I$5),OR($I$7="(ทั้งหมด)",INDEX(บันทึกรายเที่ยว!$F$6:$F$6005,$J155)=$I$7)),$N155*10000000+$O155*1000+148,""))</f>
        <v/>
      </c>
      <c r="Q155">
        <f>IFERROR(MATCH(SMALL($P$8:$P$407,148),$P$8:$P$407,0),"")</f>
        <v/>
      </c>
      <c r="R155">
        <f>IF($Q155="","",INDEX($J$8:$J$407,$Q155))</f>
        <v/>
      </c>
      <c r="S155">
        <f>IF($Q155="","",INDEX($M$8:$M$407,$Q155))</f>
        <v/>
      </c>
      <c r="T155">
        <f>IF($Q155="","",INDEX($L$8:$L$407,$Q155))</f>
        <v/>
      </c>
      <c r="U155">
        <f>IF($Q155="","",INDEX($K$8:$K$407,$Q155))</f>
        <v/>
      </c>
      <c r="V155">
        <f>IF($Q155="",0,IF($S155&lt;&gt;$S154,1,0))</f>
        <v/>
      </c>
      <c r="W155">
        <f>IF($Q155="",0,IF($T155&lt;&gt;$T154,1,0))</f>
        <v/>
      </c>
      <c r="X155">
        <f>IF($Q155="",99999+148,$X154+1+$V154+$W154)</f>
        <v/>
      </c>
      <c r="Y155">
        <f>IF($Q155="","",INDEX(บันทึกรายเที่ยว!$Q$6:$Q$6005,$R155))</f>
        <v/>
      </c>
      <c r="Z155">
        <f>IF($Q155="","",INDEX(บันทึกรายเที่ยว!$F$6:$F$6005,$R155))</f>
        <v/>
      </c>
      <c r="AA155">
        <f>IFERROR(MATCH(148,$X$8:$X$407,1),"")</f>
        <v/>
      </c>
      <c r="AB155">
        <f>IF(148=$AD$1+1,"G",IF($AA155="","",IF(INDEX($Q$8:$Q$407,$AA155)="","",IF(148&gt;INDEX($X$8:$X$407,$AA155)+INDEX($V$8:$V$407,$AA155)+INDEX($W$8:$W$407,$AA155),"",IF(148=INDEX($X$8:$X$407,$AA155)+INDEX($V$8:$V$407,$AA155)+INDEX($W$8:$W$407,$AA155),"D",IF(AND(INDEX($W$8:$W$407,$AA155)=1,148=INDEX($X$8:$X$407,$AA155)+INDEX($V$8:$V$407,$AA155)),"S","R"))))))</f>
        <v/>
      </c>
      <c r="AC155">
        <f>IF(OR($AB155="",$AB155="G"),"",IF($AB155="D",INDEX($U$8:$U$407,$AA155),IF($AB155="S",INDEX($T$8:$T$407,$AA155)&amp;"|*",INDEX($S$8:$S$407,$AA155)&amp;"|*")))</f>
        <v/>
      </c>
      <c r="AE155">
        <f>IF($U155="",0,COUNTIF(บันทึกรายเที่ยว!$T$6:$T$6005,$U155))</f>
        <v/>
      </c>
      <c r="AF155">
        <f>IF($U155="",0,ROUND(SUMIF(บันทึกรายเที่ยว!$T$6:$T$6005,$U155,บันทึกรายเที่ยว!$J$6:$J$6005),2))</f>
        <v/>
      </c>
      <c r="AG155">
        <f>IF($U155="",0,ROUND(SUMIF(บันทึกรายเที่ยว!$T$6:$T$6005,$U155,บันทึกรายเที่ยว!$K$6:$K$6005),2))</f>
        <v/>
      </c>
      <c r="AH155">
        <f>IF($U155="",0,ROUND(SUMIF(บันทึกรายเที่ยว!$T$6:$T$6005,$U155,บันทึกรายเที่ยว!$M$6:$M$6005),2))</f>
        <v/>
      </c>
    </row>
    <row r="156" ht="21" customHeight="1" s="66">
      <c r="A156" s="3">
        <f>IF($AB156="G","ผลรวมทั้งหมด",IF($AB156="R",INDEX($S$8:$S$407,$AA156),""))</f>
        <v/>
      </c>
      <c r="B156" s="3">
        <f>IF($AB156="S",INDEX($Y$8:$Y$407,$AA156),"")</f>
        <v/>
      </c>
      <c r="C156" s="68">
        <f>IF($AB156="D",INDEX($Z$8:$Z$407,$AA156),"")</f>
        <v/>
      </c>
      <c r="D156" s="31">
        <f>IF($AB156="G",SUM($AE$8:$AE$407),IF(OR($AB156="",$AB156="R"),"",IF($AB156="D",INDEX($AE$8:$AE$407,$AA156),SUMIF($T$8:$T$407,INDEX($T$8:$T$407,$AA156),$AE$8:$AE$407))))</f>
        <v/>
      </c>
      <c r="E156" s="32">
        <f>IF(149=$AD$1+3,"ขอแสดงความนับถือ",IF(149=$AD$1+6,"(                 )",IF(149=$AD$1+7,"เจ้าหน้าที่ขนส่ง",IF($AB156="G",SUM($AF$8:$AF$407),IF(OR($AB156="",$AB156="R"),"",IF($AB156="D",INDEX($AF$8:$AF$407,$AA156),SUMIF($T$8:$T$407,INDEX($T$8:$T$407,$AA156),$AF$8:$AF$407)))))))</f>
        <v/>
      </c>
      <c r="F156" s="32">
        <f>IF($AB156="G",SUM($AG$8:$AG$407),IF(OR($AB156="",$AB156="R"),"",IF($AB156="D",INDEX($AG$8:$AG$407,$AA156),SUMIF($T$8:$T$407,INDEX($T$8:$T$407,$AA156),$AG$8:$AG$407))))</f>
        <v/>
      </c>
      <c r="G156" s="32">
        <f>IF(OR($AB156="",$AB156="R"),"",ROUND($E156-$F156,2))</f>
        <v/>
      </c>
      <c r="H156" s="32">
        <f>IF($AB156="G",SUM($AH$8:$AH$407),IF(OR($AB156="",$AB156="R"),"",IF($AB156="D",INDEX($AH$8:$AH$407,$AA156),SUMIF($T$8:$T$407,INDEX($T$8:$T$407,$AA156),$AH$8:$AH$407))))</f>
        <v/>
      </c>
      <c r="J156">
        <f>IFERROR(MATCH(149,บันทึกรายเที่ยว!$W$6:$W$6005,0),"")</f>
        <v/>
      </c>
      <c r="K156">
        <f>IF($J156="","",INDEX(บันทึกรายเที่ยว!$T$6:$T$6005,$J156))</f>
        <v/>
      </c>
      <c r="L156">
        <f>IF($J156="","",INDEX(บันทึกรายเที่ยว!$S$6:$S$6005,$J156))</f>
        <v/>
      </c>
      <c r="M156">
        <f>IF($J156="","",INDEX(บันทึกรายเที่ยว!$R$6:$R$6005,$J156))</f>
        <v/>
      </c>
      <c r="N156">
        <f>IF($J156="","",MATCH($M156,บันทึกรายเที่ยว!$R$6:$R$6005,0))</f>
        <v/>
      </c>
      <c r="O156">
        <f>IF($J156="","",MATCH($L156,บันทึกรายเที่ยว!$S$6:$S$6005,0))</f>
        <v/>
      </c>
      <c r="P156">
        <f>IF($J156="","",IF(AND(OR($I$3="(ทั้งหมด)",INDEX(บันทึกรายเที่ยว!$C$6:$C$6005,$J156)=$I$3),OR($I$5="(ทั้งหมด)",INDEX(บันทึกรายเที่ยว!$D$6:$D$6005,$J156)=$I$5),OR($I$7="(ทั้งหมด)",INDEX(บันทึกรายเที่ยว!$F$6:$F$6005,$J156)=$I$7)),$N156*10000000+$O156*1000+149,""))</f>
        <v/>
      </c>
      <c r="Q156">
        <f>IFERROR(MATCH(SMALL($P$8:$P$407,149),$P$8:$P$407,0),"")</f>
        <v/>
      </c>
      <c r="R156">
        <f>IF($Q156="","",INDEX($J$8:$J$407,$Q156))</f>
        <v/>
      </c>
      <c r="S156">
        <f>IF($Q156="","",INDEX($M$8:$M$407,$Q156))</f>
        <v/>
      </c>
      <c r="T156">
        <f>IF($Q156="","",INDEX($L$8:$L$407,$Q156))</f>
        <v/>
      </c>
      <c r="U156">
        <f>IF($Q156="","",INDEX($K$8:$K$407,$Q156))</f>
        <v/>
      </c>
      <c r="V156">
        <f>IF($Q156="",0,IF($S156&lt;&gt;$S155,1,0))</f>
        <v/>
      </c>
      <c r="W156">
        <f>IF($Q156="",0,IF($T156&lt;&gt;$T155,1,0))</f>
        <v/>
      </c>
      <c r="X156">
        <f>IF($Q156="",99999+149,$X155+1+$V155+$W155)</f>
        <v/>
      </c>
      <c r="Y156">
        <f>IF($Q156="","",INDEX(บันทึกรายเที่ยว!$Q$6:$Q$6005,$R156))</f>
        <v/>
      </c>
      <c r="Z156">
        <f>IF($Q156="","",INDEX(บันทึกรายเที่ยว!$F$6:$F$6005,$R156))</f>
        <v/>
      </c>
      <c r="AA156">
        <f>IFERROR(MATCH(149,$X$8:$X$407,1),"")</f>
        <v/>
      </c>
      <c r="AB156">
        <f>IF(149=$AD$1+1,"G",IF($AA156="","",IF(INDEX($Q$8:$Q$407,$AA156)="","",IF(149&gt;INDEX($X$8:$X$407,$AA156)+INDEX($V$8:$V$407,$AA156)+INDEX($W$8:$W$407,$AA156),"",IF(149=INDEX($X$8:$X$407,$AA156)+INDEX($V$8:$V$407,$AA156)+INDEX($W$8:$W$407,$AA156),"D",IF(AND(INDEX($W$8:$W$407,$AA156)=1,149=INDEX($X$8:$X$407,$AA156)+INDEX($V$8:$V$407,$AA156)),"S","R"))))))</f>
        <v/>
      </c>
      <c r="AC156">
        <f>IF(OR($AB156="",$AB156="G"),"",IF($AB156="D",INDEX($U$8:$U$407,$AA156),IF($AB156="S",INDEX($T$8:$T$407,$AA156)&amp;"|*",INDEX($S$8:$S$407,$AA156)&amp;"|*")))</f>
        <v/>
      </c>
      <c r="AE156">
        <f>IF($U156="",0,COUNTIF(บันทึกรายเที่ยว!$T$6:$T$6005,$U156))</f>
        <v/>
      </c>
      <c r="AF156">
        <f>IF($U156="",0,ROUND(SUMIF(บันทึกรายเที่ยว!$T$6:$T$6005,$U156,บันทึกรายเที่ยว!$J$6:$J$6005),2))</f>
        <v/>
      </c>
      <c r="AG156">
        <f>IF($U156="",0,ROUND(SUMIF(บันทึกรายเที่ยว!$T$6:$T$6005,$U156,บันทึกรายเที่ยว!$K$6:$K$6005),2))</f>
        <v/>
      </c>
      <c r="AH156">
        <f>IF($U156="",0,ROUND(SUMIF(บันทึกรายเที่ยว!$T$6:$T$6005,$U156,บันทึกรายเที่ยว!$M$6:$M$6005),2))</f>
        <v/>
      </c>
    </row>
    <row r="157" ht="21" customHeight="1" s="66">
      <c r="A157" s="3">
        <f>IF($AB157="G","ผลรวมทั้งหมด",IF($AB157="R",INDEX($S$8:$S$407,$AA157),""))</f>
        <v/>
      </c>
      <c r="B157" s="3">
        <f>IF($AB157="S",INDEX($Y$8:$Y$407,$AA157),"")</f>
        <v/>
      </c>
      <c r="C157" s="68">
        <f>IF($AB157="D",INDEX($Z$8:$Z$407,$AA157),"")</f>
        <v/>
      </c>
      <c r="D157" s="31">
        <f>IF($AB157="G",SUM($AE$8:$AE$407),IF(OR($AB157="",$AB157="R"),"",IF($AB157="D",INDEX($AE$8:$AE$407,$AA157),SUMIF($T$8:$T$407,INDEX($T$8:$T$407,$AA157),$AE$8:$AE$407))))</f>
        <v/>
      </c>
      <c r="E157" s="32">
        <f>IF(150=$AD$1+3,"ขอแสดงความนับถือ",IF(150=$AD$1+6,"(                 )",IF(150=$AD$1+7,"เจ้าหน้าที่ขนส่ง",IF($AB157="G",SUM($AF$8:$AF$407),IF(OR($AB157="",$AB157="R"),"",IF($AB157="D",INDEX($AF$8:$AF$407,$AA157),SUMIF($T$8:$T$407,INDEX($T$8:$T$407,$AA157),$AF$8:$AF$407)))))))</f>
        <v/>
      </c>
      <c r="F157" s="32">
        <f>IF($AB157="G",SUM($AG$8:$AG$407),IF(OR($AB157="",$AB157="R"),"",IF($AB157="D",INDEX($AG$8:$AG$407,$AA157),SUMIF($T$8:$T$407,INDEX($T$8:$T$407,$AA157),$AG$8:$AG$407))))</f>
        <v/>
      </c>
      <c r="G157" s="32">
        <f>IF(OR($AB157="",$AB157="R"),"",ROUND($E157-$F157,2))</f>
        <v/>
      </c>
      <c r="H157" s="32">
        <f>IF($AB157="G",SUM($AH$8:$AH$407),IF(OR($AB157="",$AB157="R"),"",IF($AB157="D",INDEX($AH$8:$AH$407,$AA157),SUMIF($T$8:$T$407,INDEX($T$8:$T$407,$AA157),$AH$8:$AH$407))))</f>
        <v/>
      </c>
      <c r="J157">
        <f>IFERROR(MATCH(150,บันทึกรายเที่ยว!$W$6:$W$6005,0),"")</f>
        <v/>
      </c>
      <c r="K157">
        <f>IF($J157="","",INDEX(บันทึกรายเที่ยว!$T$6:$T$6005,$J157))</f>
        <v/>
      </c>
      <c r="L157">
        <f>IF($J157="","",INDEX(บันทึกรายเที่ยว!$S$6:$S$6005,$J157))</f>
        <v/>
      </c>
      <c r="M157">
        <f>IF($J157="","",INDEX(บันทึกรายเที่ยว!$R$6:$R$6005,$J157))</f>
        <v/>
      </c>
      <c r="N157">
        <f>IF($J157="","",MATCH($M157,บันทึกรายเที่ยว!$R$6:$R$6005,0))</f>
        <v/>
      </c>
      <c r="O157">
        <f>IF($J157="","",MATCH($L157,บันทึกรายเที่ยว!$S$6:$S$6005,0))</f>
        <v/>
      </c>
      <c r="P157">
        <f>IF($J157="","",IF(AND(OR($I$3="(ทั้งหมด)",INDEX(บันทึกรายเที่ยว!$C$6:$C$6005,$J157)=$I$3),OR($I$5="(ทั้งหมด)",INDEX(บันทึกรายเที่ยว!$D$6:$D$6005,$J157)=$I$5),OR($I$7="(ทั้งหมด)",INDEX(บันทึกรายเที่ยว!$F$6:$F$6005,$J157)=$I$7)),$N157*10000000+$O157*1000+150,""))</f>
        <v/>
      </c>
      <c r="Q157">
        <f>IFERROR(MATCH(SMALL($P$8:$P$407,150),$P$8:$P$407,0),"")</f>
        <v/>
      </c>
      <c r="R157">
        <f>IF($Q157="","",INDEX($J$8:$J$407,$Q157))</f>
        <v/>
      </c>
      <c r="S157">
        <f>IF($Q157="","",INDEX($M$8:$M$407,$Q157))</f>
        <v/>
      </c>
      <c r="T157">
        <f>IF($Q157="","",INDEX($L$8:$L$407,$Q157))</f>
        <v/>
      </c>
      <c r="U157">
        <f>IF($Q157="","",INDEX($K$8:$K$407,$Q157))</f>
        <v/>
      </c>
      <c r="V157">
        <f>IF($Q157="",0,IF($S157&lt;&gt;$S156,1,0))</f>
        <v/>
      </c>
      <c r="W157">
        <f>IF($Q157="",0,IF($T157&lt;&gt;$T156,1,0))</f>
        <v/>
      </c>
      <c r="X157">
        <f>IF($Q157="",99999+150,$X156+1+$V156+$W156)</f>
        <v/>
      </c>
      <c r="Y157">
        <f>IF($Q157="","",INDEX(บันทึกรายเที่ยว!$Q$6:$Q$6005,$R157))</f>
        <v/>
      </c>
      <c r="Z157">
        <f>IF($Q157="","",INDEX(บันทึกรายเที่ยว!$F$6:$F$6005,$R157))</f>
        <v/>
      </c>
      <c r="AA157">
        <f>IFERROR(MATCH(150,$X$8:$X$407,1),"")</f>
        <v/>
      </c>
      <c r="AB157">
        <f>IF(150=$AD$1+1,"G",IF($AA157="","",IF(INDEX($Q$8:$Q$407,$AA157)="","",IF(150&gt;INDEX($X$8:$X$407,$AA157)+INDEX($V$8:$V$407,$AA157)+INDEX($W$8:$W$407,$AA157),"",IF(150=INDEX($X$8:$X$407,$AA157)+INDEX($V$8:$V$407,$AA157)+INDEX($W$8:$W$407,$AA157),"D",IF(AND(INDEX($W$8:$W$407,$AA157)=1,150=INDEX($X$8:$X$407,$AA157)+INDEX($V$8:$V$407,$AA157)),"S","R"))))))</f>
        <v/>
      </c>
      <c r="AC157">
        <f>IF(OR($AB157="",$AB157="G"),"",IF($AB157="D",INDEX($U$8:$U$407,$AA157),IF($AB157="S",INDEX($T$8:$T$407,$AA157)&amp;"|*",INDEX($S$8:$S$407,$AA157)&amp;"|*")))</f>
        <v/>
      </c>
      <c r="AE157">
        <f>IF($U157="",0,COUNTIF(บันทึกรายเที่ยว!$T$6:$T$6005,$U157))</f>
        <v/>
      </c>
      <c r="AF157">
        <f>IF($U157="",0,ROUND(SUMIF(บันทึกรายเที่ยว!$T$6:$T$6005,$U157,บันทึกรายเที่ยว!$J$6:$J$6005),2))</f>
        <v/>
      </c>
      <c r="AG157">
        <f>IF($U157="",0,ROUND(SUMIF(บันทึกรายเที่ยว!$T$6:$T$6005,$U157,บันทึกรายเที่ยว!$K$6:$K$6005),2))</f>
        <v/>
      </c>
      <c r="AH157">
        <f>IF($U157="",0,ROUND(SUMIF(บันทึกรายเที่ยว!$T$6:$T$6005,$U157,บันทึกรายเที่ยว!$M$6:$M$6005),2))</f>
        <v/>
      </c>
    </row>
    <row r="158" ht="21" customHeight="1" s="66">
      <c r="A158" s="3">
        <f>IF($AB158="G","ผลรวมทั้งหมด",IF($AB158="R",INDEX($S$8:$S$407,$AA158),""))</f>
        <v/>
      </c>
      <c r="B158" s="3">
        <f>IF($AB158="S",INDEX($Y$8:$Y$407,$AA158),"")</f>
        <v/>
      </c>
      <c r="C158" s="68">
        <f>IF($AB158="D",INDEX($Z$8:$Z$407,$AA158),"")</f>
        <v/>
      </c>
      <c r="D158" s="31">
        <f>IF($AB158="G",SUM($AE$8:$AE$407),IF(OR($AB158="",$AB158="R"),"",IF($AB158="D",INDEX($AE$8:$AE$407,$AA158),SUMIF($T$8:$T$407,INDEX($T$8:$T$407,$AA158),$AE$8:$AE$407))))</f>
        <v/>
      </c>
      <c r="E158" s="32">
        <f>IF(151=$AD$1+3,"ขอแสดงความนับถือ",IF(151=$AD$1+6,"(                 )",IF(151=$AD$1+7,"เจ้าหน้าที่ขนส่ง",IF($AB158="G",SUM($AF$8:$AF$407),IF(OR($AB158="",$AB158="R"),"",IF($AB158="D",INDEX($AF$8:$AF$407,$AA158),SUMIF($T$8:$T$407,INDEX($T$8:$T$407,$AA158),$AF$8:$AF$407)))))))</f>
        <v/>
      </c>
      <c r="F158" s="32">
        <f>IF($AB158="G",SUM($AG$8:$AG$407),IF(OR($AB158="",$AB158="R"),"",IF($AB158="D",INDEX($AG$8:$AG$407,$AA158),SUMIF($T$8:$T$407,INDEX($T$8:$T$407,$AA158),$AG$8:$AG$407))))</f>
        <v/>
      </c>
      <c r="G158" s="32">
        <f>IF(OR($AB158="",$AB158="R"),"",ROUND($E158-$F158,2))</f>
        <v/>
      </c>
      <c r="H158" s="32">
        <f>IF($AB158="G",SUM($AH$8:$AH$407),IF(OR($AB158="",$AB158="R"),"",IF($AB158="D",INDEX($AH$8:$AH$407,$AA158),SUMIF($T$8:$T$407,INDEX($T$8:$T$407,$AA158),$AH$8:$AH$407))))</f>
        <v/>
      </c>
      <c r="J158">
        <f>IFERROR(MATCH(151,บันทึกรายเที่ยว!$W$6:$W$6005,0),"")</f>
        <v/>
      </c>
      <c r="K158">
        <f>IF($J158="","",INDEX(บันทึกรายเที่ยว!$T$6:$T$6005,$J158))</f>
        <v/>
      </c>
      <c r="L158">
        <f>IF($J158="","",INDEX(บันทึกรายเที่ยว!$S$6:$S$6005,$J158))</f>
        <v/>
      </c>
      <c r="M158">
        <f>IF($J158="","",INDEX(บันทึกรายเที่ยว!$R$6:$R$6005,$J158))</f>
        <v/>
      </c>
      <c r="N158">
        <f>IF($J158="","",MATCH($M158,บันทึกรายเที่ยว!$R$6:$R$6005,0))</f>
        <v/>
      </c>
      <c r="O158">
        <f>IF($J158="","",MATCH($L158,บันทึกรายเที่ยว!$S$6:$S$6005,0))</f>
        <v/>
      </c>
      <c r="P158">
        <f>IF($J158="","",IF(AND(OR($I$3="(ทั้งหมด)",INDEX(บันทึกรายเที่ยว!$C$6:$C$6005,$J158)=$I$3),OR($I$5="(ทั้งหมด)",INDEX(บันทึกรายเที่ยว!$D$6:$D$6005,$J158)=$I$5),OR($I$7="(ทั้งหมด)",INDEX(บันทึกรายเที่ยว!$F$6:$F$6005,$J158)=$I$7)),$N158*10000000+$O158*1000+151,""))</f>
        <v/>
      </c>
      <c r="Q158">
        <f>IFERROR(MATCH(SMALL($P$8:$P$407,151),$P$8:$P$407,0),"")</f>
        <v/>
      </c>
      <c r="R158">
        <f>IF($Q158="","",INDEX($J$8:$J$407,$Q158))</f>
        <v/>
      </c>
      <c r="S158">
        <f>IF($Q158="","",INDEX($M$8:$M$407,$Q158))</f>
        <v/>
      </c>
      <c r="T158">
        <f>IF($Q158="","",INDEX($L$8:$L$407,$Q158))</f>
        <v/>
      </c>
      <c r="U158">
        <f>IF($Q158="","",INDEX($K$8:$K$407,$Q158))</f>
        <v/>
      </c>
      <c r="V158">
        <f>IF($Q158="",0,IF($S158&lt;&gt;$S157,1,0))</f>
        <v/>
      </c>
      <c r="W158">
        <f>IF($Q158="",0,IF($T158&lt;&gt;$T157,1,0))</f>
        <v/>
      </c>
      <c r="X158">
        <f>IF($Q158="",99999+151,$X157+1+$V157+$W157)</f>
        <v/>
      </c>
      <c r="Y158">
        <f>IF($Q158="","",INDEX(บันทึกรายเที่ยว!$Q$6:$Q$6005,$R158))</f>
        <v/>
      </c>
      <c r="Z158">
        <f>IF($Q158="","",INDEX(บันทึกรายเที่ยว!$F$6:$F$6005,$R158))</f>
        <v/>
      </c>
      <c r="AA158">
        <f>IFERROR(MATCH(151,$X$8:$X$407,1),"")</f>
        <v/>
      </c>
      <c r="AB158">
        <f>IF(151=$AD$1+1,"G",IF($AA158="","",IF(INDEX($Q$8:$Q$407,$AA158)="","",IF(151&gt;INDEX($X$8:$X$407,$AA158)+INDEX($V$8:$V$407,$AA158)+INDEX($W$8:$W$407,$AA158),"",IF(151=INDEX($X$8:$X$407,$AA158)+INDEX($V$8:$V$407,$AA158)+INDEX($W$8:$W$407,$AA158),"D",IF(AND(INDEX($W$8:$W$407,$AA158)=1,151=INDEX($X$8:$X$407,$AA158)+INDEX($V$8:$V$407,$AA158)),"S","R"))))))</f>
        <v/>
      </c>
      <c r="AC158">
        <f>IF(OR($AB158="",$AB158="G"),"",IF($AB158="D",INDEX($U$8:$U$407,$AA158),IF($AB158="S",INDEX($T$8:$T$407,$AA158)&amp;"|*",INDEX($S$8:$S$407,$AA158)&amp;"|*")))</f>
        <v/>
      </c>
      <c r="AE158">
        <f>IF($U158="",0,COUNTIF(บันทึกรายเที่ยว!$T$6:$T$6005,$U158))</f>
        <v/>
      </c>
      <c r="AF158">
        <f>IF($U158="",0,ROUND(SUMIF(บันทึกรายเที่ยว!$T$6:$T$6005,$U158,บันทึกรายเที่ยว!$J$6:$J$6005),2))</f>
        <v/>
      </c>
      <c r="AG158">
        <f>IF($U158="",0,ROUND(SUMIF(บันทึกรายเที่ยว!$T$6:$T$6005,$U158,บันทึกรายเที่ยว!$K$6:$K$6005),2))</f>
        <v/>
      </c>
      <c r="AH158">
        <f>IF($U158="",0,ROUND(SUMIF(บันทึกรายเที่ยว!$T$6:$T$6005,$U158,บันทึกรายเที่ยว!$M$6:$M$6005),2))</f>
        <v/>
      </c>
    </row>
    <row r="159" ht="21" customHeight="1" s="66">
      <c r="A159" s="3">
        <f>IF($AB159="G","ผลรวมทั้งหมด",IF($AB159="R",INDEX($S$8:$S$407,$AA159),""))</f>
        <v/>
      </c>
      <c r="B159" s="3">
        <f>IF($AB159="S",INDEX($Y$8:$Y$407,$AA159),"")</f>
        <v/>
      </c>
      <c r="C159" s="68">
        <f>IF($AB159="D",INDEX($Z$8:$Z$407,$AA159),"")</f>
        <v/>
      </c>
      <c r="D159" s="31">
        <f>IF($AB159="G",SUM($AE$8:$AE$407),IF(OR($AB159="",$AB159="R"),"",IF($AB159="D",INDEX($AE$8:$AE$407,$AA159),SUMIF($T$8:$T$407,INDEX($T$8:$T$407,$AA159),$AE$8:$AE$407))))</f>
        <v/>
      </c>
      <c r="E159" s="32">
        <f>IF(152=$AD$1+3,"ขอแสดงความนับถือ",IF(152=$AD$1+6,"(                 )",IF(152=$AD$1+7,"เจ้าหน้าที่ขนส่ง",IF($AB159="G",SUM($AF$8:$AF$407),IF(OR($AB159="",$AB159="R"),"",IF($AB159="D",INDEX($AF$8:$AF$407,$AA159),SUMIF($T$8:$T$407,INDEX($T$8:$T$407,$AA159),$AF$8:$AF$407)))))))</f>
        <v/>
      </c>
      <c r="F159" s="32">
        <f>IF($AB159="G",SUM($AG$8:$AG$407),IF(OR($AB159="",$AB159="R"),"",IF($AB159="D",INDEX($AG$8:$AG$407,$AA159),SUMIF($T$8:$T$407,INDEX($T$8:$T$407,$AA159),$AG$8:$AG$407))))</f>
        <v/>
      </c>
      <c r="G159" s="32">
        <f>IF(OR($AB159="",$AB159="R"),"",ROUND($E159-$F159,2))</f>
        <v/>
      </c>
      <c r="H159" s="32">
        <f>IF($AB159="G",SUM($AH$8:$AH$407),IF(OR($AB159="",$AB159="R"),"",IF($AB159="D",INDEX($AH$8:$AH$407,$AA159),SUMIF($T$8:$T$407,INDEX($T$8:$T$407,$AA159),$AH$8:$AH$407))))</f>
        <v/>
      </c>
      <c r="J159">
        <f>IFERROR(MATCH(152,บันทึกรายเที่ยว!$W$6:$W$6005,0),"")</f>
        <v/>
      </c>
      <c r="K159">
        <f>IF($J159="","",INDEX(บันทึกรายเที่ยว!$T$6:$T$6005,$J159))</f>
        <v/>
      </c>
      <c r="L159">
        <f>IF($J159="","",INDEX(บันทึกรายเที่ยว!$S$6:$S$6005,$J159))</f>
        <v/>
      </c>
      <c r="M159">
        <f>IF($J159="","",INDEX(บันทึกรายเที่ยว!$R$6:$R$6005,$J159))</f>
        <v/>
      </c>
      <c r="N159">
        <f>IF($J159="","",MATCH($M159,บันทึกรายเที่ยว!$R$6:$R$6005,0))</f>
        <v/>
      </c>
      <c r="O159">
        <f>IF($J159="","",MATCH($L159,บันทึกรายเที่ยว!$S$6:$S$6005,0))</f>
        <v/>
      </c>
      <c r="P159">
        <f>IF($J159="","",IF(AND(OR($I$3="(ทั้งหมด)",INDEX(บันทึกรายเที่ยว!$C$6:$C$6005,$J159)=$I$3),OR($I$5="(ทั้งหมด)",INDEX(บันทึกรายเที่ยว!$D$6:$D$6005,$J159)=$I$5),OR($I$7="(ทั้งหมด)",INDEX(บันทึกรายเที่ยว!$F$6:$F$6005,$J159)=$I$7)),$N159*10000000+$O159*1000+152,""))</f>
        <v/>
      </c>
      <c r="Q159">
        <f>IFERROR(MATCH(SMALL($P$8:$P$407,152),$P$8:$P$407,0),"")</f>
        <v/>
      </c>
      <c r="R159">
        <f>IF($Q159="","",INDEX($J$8:$J$407,$Q159))</f>
        <v/>
      </c>
      <c r="S159">
        <f>IF($Q159="","",INDEX($M$8:$M$407,$Q159))</f>
        <v/>
      </c>
      <c r="T159">
        <f>IF($Q159="","",INDEX($L$8:$L$407,$Q159))</f>
        <v/>
      </c>
      <c r="U159">
        <f>IF($Q159="","",INDEX($K$8:$K$407,$Q159))</f>
        <v/>
      </c>
      <c r="V159">
        <f>IF($Q159="",0,IF($S159&lt;&gt;$S158,1,0))</f>
        <v/>
      </c>
      <c r="W159">
        <f>IF($Q159="",0,IF($T159&lt;&gt;$T158,1,0))</f>
        <v/>
      </c>
      <c r="X159">
        <f>IF($Q159="",99999+152,$X158+1+$V158+$W158)</f>
        <v/>
      </c>
      <c r="Y159">
        <f>IF($Q159="","",INDEX(บันทึกรายเที่ยว!$Q$6:$Q$6005,$R159))</f>
        <v/>
      </c>
      <c r="Z159">
        <f>IF($Q159="","",INDEX(บันทึกรายเที่ยว!$F$6:$F$6005,$R159))</f>
        <v/>
      </c>
      <c r="AA159">
        <f>IFERROR(MATCH(152,$X$8:$X$407,1),"")</f>
        <v/>
      </c>
      <c r="AB159">
        <f>IF(152=$AD$1+1,"G",IF($AA159="","",IF(INDEX($Q$8:$Q$407,$AA159)="","",IF(152&gt;INDEX($X$8:$X$407,$AA159)+INDEX($V$8:$V$407,$AA159)+INDEX($W$8:$W$407,$AA159),"",IF(152=INDEX($X$8:$X$407,$AA159)+INDEX($V$8:$V$407,$AA159)+INDEX($W$8:$W$407,$AA159),"D",IF(AND(INDEX($W$8:$W$407,$AA159)=1,152=INDEX($X$8:$X$407,$AA159)+INDEX($V$8:$V$407,$AA159)),"S","R"))))))</f>
        <v/>
      </c>
      <c r="AC159">
        <f>IF(OR($AB159="",$AB159="G"),"",IF($AB159="D",INDEX($U$8:$U$407,$AA159),IF($AB159="S",INDEX($T$8:$T$407,$AA159)&amp;"|*",INDEX($S$8:$S$407,$AA159)&amp;"|*")))</f>
        <v/>
      </c>
      <c r="AE159">
        <f>IF($U159="",0,COUNTIF(บันทึกรายเที่ยว!$T$6:$T$6005,$U159))</f>
        <v/>
      </c>
      <c r="AF159">
        <f>IF($U159="",0,ROUND(SUMIF(บันทึกรายเที่ยว!$T$6:$T$6005,$U159,บันทึกรายเที่ยว!$J$6:$J$6005),2))</f>
        <v/>
      </c>
      <c r="AG159">
        <f>IF($U159="",0,ROUND(SUMIF(บันทึกรายเที่ยว!$T$6:$T$6005,$U159,บันทึกรายเที่ยว!$K$6:$K$6005),2))</f>
        <v/>
      </c>
      <c r="AH159">
        <f>IF($U159="",0,ROUND(SUMIF(บันทึกรายเที่ยว!$T$6:$T$6005,$U159,บันทึกรายเที่ยว!$M$6:$M$6005),2))</f>
        <v/>
      </c>
    </row>
    <row r="160" ht="21" customHeight="1" s="66">
      <c r="A160" s="3">
        <f>IF($AB160="G","ผลรวมทั้งหมด",IF($AB160="R",INDEX($S$8:$S$407,$AA160),""))</f>
        <v/>
      </c>
      <c r="B160" s="3">
        <f>IF($AB160="S",INDEX($Y$8:$Y$407,$AA160),"")</f>
        <v/>
      </c>
      <c r="C160" s="68">
        <f>IF($AB160="D",INDEX($Z$8:$Z$407,$AA160),"")</f>
        <v/>
      </c>
      <c r="D160" s="31">
        <f>IF($AB160="G",SUM($AE$8:$AE$407),IF(OR($AB160="",$AB160="R"),"",IF($AB160="D",INDEX($AE$8:$AE$407,$AA160),SUMIF($T$8:$T$407,INDEX($T$8:$T$407,$AA160),$AE$8:$AE$407))))</f>
        <v/>
      </c>
      <c r="E160" s="32">
        <f>IF(153=$AD$1+3,"ขอแสดงความนับถือ",IF(153=$AD$1+6,"(                 )",IF(153=$AD$1+7,"เจ้าหน้าที่ขนส่ง",IF($AB160="G",SUM($AF$8:$AF$407),IF(OR($AB160="",$AB160="R"),"",IF($AB160="D",INDEX($AF$8:$AF$407,$AA160),SUMIF($T$8:$T$407,INDEX($T$8:$T$407,$AA160),$AF$8:$AF$407)))))))</f>
        <v/>
      </c>
      <c r="F160" s="32">
        <f>IF($AB160="G",SUM($AG$8:$AG$407),IF(OR($AB160="",$AB160="R"),"",IF($AB160="D",INDEX($AG$8:$AG$407,$AA160),SUMIF($T$8:$T$407,INDEX($T$8:$T$407,$AA160),$AG$8:$AG$407))))</f>
        <v/>
      </c>
      <c r="G160" s="32">
        <f>IF(OR($AB160="",$AB160="R"),"",ROUND($E160-$F160,2))</f>
        <v/>
      </c>
      <c r="H160" s="32">
        <f>IF($AB160="G",SUM($AH$8:$AH$407),IF(OR($AB160="",$AB160="R"),"",IF($AB160="D",INDEX($AH$8:$AH$407,$AA160),SUMIF($T$8:$T$407,INDEX($T$8:$T$407,$AA160),$AH$8:$AH$407))))</f>
        <v/>
      </c>
      <c r="J160">
        <f>IFERROR(MATCH(153,บันทึกรายเที่ยว!$W$6:$W$6005,0),"")</f>
        <v/>
      </c>
      <c r="K160">
        <f>IF($J160="","",INDEX(บันทึกรายเที่ยว!$T$6:$T$6005,$J160))</f>
        <v/>
      </c>
      <c r="L160">
        <f>IF($J160="","",INDEX(บันทึกรายเที่ยว!$S$6:$S$6005,$J160))</f>
        <v/>
      </c>
      <c r="M160">
        <f>IF($J160="","",INDEX(บันทึกรายเที่ยว!$R$6:$R$6005,$J160))</f>
        <v/>
      </c>
      <c r="N160">
        <f>IF($J160="","",MATCH($M160,บันทึกรายเที่ยว!$R$6:$R$6005,0))</f>
        <v/>
      </c>
      <c r="O160">
        <f>IF($J160="","",MATCH($L160,บันทึกรายเที่ยว!$S$6:$S$6005,0))</f>
        <v/>
      </c>
      <c r="P160">
        <f>IF($J160="","",IF(AND(OR($I$3="(ทั้งหมด)",INDEX(บันทึกรายเที่ยว!$C$6:$C$6005,$J160)=$I$3),OR($I$5="(ทั้งหมด)",INDEX(บันทึกรายเที่ยว!$D$6:$D$6005,$J160)=$I$5),OR($I$7="(ทั้งหมด)",INDEX(บันทึกรายเที่ยว!$F$6:$F$6005,$J160)=$I$7)),$N160*10000000+$O160*1000+153,""))</f>
        <v/>
      </c>
      <c r="Q160">
        <f>IFERROR(MATCH(SMALL($P$8:$P$407,153),$P$8:$P$407,0),"")</f>
        <v/>
      </c>
      <c r="R160">
        <f>IF($Q160="","",INDEX($J$8:$J$407,$Q160))</f>
        <v/>
      </c>
      <c r="S160">
        <f>IF($Q160="","",INDEX($M$8:$M$407,$Q160))</f>
        <v/>
      </c>
      <c r="T160">
        <f>IF($Q160="","",INDEX($L$8:$L$407,$Q160))</f>
        <v/>
      </c>
      <c r="U160">
        <f>IF($Q160="","",INDEX($K$8:$K$407,$Q160))</f>
        <v/>
      </c>
      <c r="V160">
        <f>IF($Q160="",0,IF($S160&lt;&gt;$S159,1,0))</f>
        <v/>
      </c>
      <c r="W160">
        <f>IF($Q160="",0,IF($T160&lt;&gt;$T159,1,0))</f>
        <v/>
      </c>
      <c r="X160">
        <f>IF($Q160="",99999+153,$X159+1+$V159+$W159)</f>
        <v/>
      </c>
      <c r="Y160">
        <f>IF($Q160="","",INDEX(บันทึกรายเที่ยว!$Q$6:$Q$6005,$R160))</f>
        <v/>
      </c>
      <c r="Z160">
        <f>IF($Q160="","",INDEX(บันทึกรายเที่ยว!$F$6:$F$6005,$R160))</f>
        <v/>
      </c>
      <c r="AA160">
        <f>IFERROR(MATCH(153,$X$8:$X$407,1),"")</f>
        <v/>
      </c>
      <c r="AB160">
        <f>IF(153=$AD$1+1,"G",IF($AA160="","",IF(INDEX($Q$8:$Q$407,$AA160)="","",IF(153&gt;INDEX($X$8:$X$407,$AA160)+INDEX($V$8:$V$407,$AA160)+INDEX($W$8:$W$407,$AA160),"",IF(153=INDEX($X$8:$X$407,$AA160)+INDEX($V$8:$V$407,$AA160)+INDEX($W$8:$W$407,$AA160),"D",IF(AND(INDEX($W$8:$W$407,$AA160)=1,153=INDEX($X$8:$X$407,$AA160)+INDEX($V$8:$V$407,$AA160)),"S","R"))))))</f>
        <v/>
      </c>
      <c r="AC160">
        <f>IF(OR($AB160="",$AB160="G"),"",IF($AB160="D",INDEX($U$8:$U$407,$AA160),IF($AB160="S",INDEX($T$8:$T$407,$AA160)&amp;"|*",INDEX($S$8:$S$407,$AA160)&amp;"|*")))</f>
        <v/>
      </c>
      <c r="AE160">
        <f>IF($U160="",0,COUNTIF(บันทึกรายเที่ยว!$T$6:$T$6005,$U160))</f>
        <v/>
      </c>
      <c r="AF160">
        <f>IF($U160="",0,ROUND(SUMIF(บันทึกรายเที่ยว!$T$6:$T$6005,$U160,บันทึกรายเที่ยว!$J$6:$J$6005),2))</f>
        <v/>
      </c>
      <c r="AG160">
        <f>IF($U160="",0,ROUND(SUMIF(บันทึกรายเที่ยว!$T$6:$T$6005,$U160,บันทึกรายเที่ยว!$K$6:$K$6005),2))</f>
        <v/>
      </c>
      <c r="AH160">
        <f>IF($U160="",0,ROUND(SUMIF(บันทึกรายเที่ยว!$T$6:$T$6005,$U160,บันทึกรายเที่ยว!$M$6:$M$6005),2))</f>
        <v/>
      </c>
    </row>
    <row r="161" ht="21" customHeight="1" s="66">
      <c r="A161" s="3">
        <f>IF($AB161="G","ผลรวมทั้งหมด",IF($AB161="R",INDEX($S$8:$S$407,$AA161),""))</f>
        <v/>
      </c>
      <c r="B161" s="3">
        <f>IF($AB161="S",INDEX($Y$8:$Y$407,$AA161),"")</f>
        <v/>
      </c>
      <c r="C161" s="68">
        <f>IF($AB161="D",INDEX($Z$8:$Z$407,$AA161),"")</f>
        <v/>
      </c>
      <c r="D161" s="31">
        <f>IF($AB161="G",SUM($AE$8:$AE$407),IF(OR($AB161="",$AB161="R"),"",IF($AB161="D",INDEX($AE$8:$AE$407,$AA161),SUMIF($T$8:$T$407,INDEX($T$8:$T$407,$AA161),$AE$8:$AE$407))))</f>
        <v/>
      </c>
      <c r="E161" s="32">
        <f>IF(154=$AD$1+3,"ขอแสดงความนับถือ",IF(154=$AD$1+6,"(                 )",IF(154=$AD$1+7,"เจ้าหน้าที่ขนส่ง",IF($AB161="G",SUM($AF$8:$AF$407),IF(OR($AB161="",$AB161="R"),"",IF($AB161="D",INDEX($AF$8:$AF$407,$AA161),SUMIF($T$8:$T$407,INDEX($T$8:$T$407,$AA161),$AF$8:$AF$407)))))))</f>
        <v/>
      </c>
      <c r="F161" s="32">
        <f>IF($AB161="G",SUM($AG$8:$AG$407),IF(OR($AB161="",$AB161="R"),"",IF($AB161="D",INDEX($AG$8:$AG$407,$AA161),SUMIF($T$8:$T$407,INDEX($T$8:$T$407,$AA161),$AG$8:$AG$407))))</f>
        <v/>
      </c>
      <c r="G161" s="32">
        <f>IF(OR($AB161="",$AB161="R"),"",ROUND($E161-$F161,2))</f>
        <v/>
      </c>
      <c r="H161" s="32">
        <f>IF($AB161="G",SUM($AH$8:$AH$407),IF(OR($AB161="",$AB161="R"),"",IF($AB161="D",INDEX($AH$8:$AH$407,$AA161),SUMIF($T$8:$T$407,INDEX($T$8:$T$407,$AA161),$AH$8:$AH$407))))</f>
        <v/>
      </c>
      <c r="J161">
        <f>IFERROR(MATCH(154,บันทึกรายเที่ยว!$W$6:$W$6005,0),"")</f>
        <v/>
      </c>
      <c r="K161">
        <f>IF($J161="","",INDEX(บันทึกรายเที่ยว!$T$6:$T$6005,$J161))</f>
        <v/>
      </c>
      <c r="L161">
        <f>IF($J161="","",INDEX(บันทึกรายเที่ยว!$S$6:$S$6005,$J161))</f>
        <v/>
      </c>
      <c r="M161">
        <f>IF($J161="","",INDEX(บันทึกรายเที่ยว!$R$6:$R$6005,$J161))</f>
        <v/>
      </c>
      <c r="N161">
        <f>IF($J161="","",MATCH($M161,บันทึกรายเที่ยว!$R$6:$R$6005,0))</f>
        <v/>
      </c>
      <c r="O161">
        <f>IF($J161="","",MATCH($L161,บันทึกรายเที่ยว!$S$6:$S$6005,0))</f>
        <v/>
      </c>
      <c r="P161">
        <f>IF($J161="","",IF(AND(OR($I$3="(ทั้งหมด)",INDEX(บันทึกรายเที่ยว!$C$6:$C$6005,$J161)=$I$3),OR($I$5="(ทั้งหมด)",INDEX(บันทึกรายเที่ยว!$D$6:$D$6005,$J161)=$I$5),OR($I$7="(ทั้งหมด)",INDEX(บันทึกรายเที่ยว!$F$6:$F$6005,$J161)=$I$7)),$N161*10000000+$O161*1000+154,""))</f>
        <v/>
      </c>
      <c r="Q161">
        <f>IFERROR(MATCH(SMALL($P$8:$P$407,154),$P$8:$P$407,0),"")</f>
        <v/>
      </c>
      <c r="R161">
        <f>IF($Q161="","",INDEX($J$8:$J$407,$Q161))</f>
        <v/>
      </c>
      <c r="S161">
        <f>IF($Q161="","",INDEX($M$8:$M$407,$Q161))</f>
        <v/>
      </c>
      <c r="T161">
        <f>IF($Q161="","",INDEX($L$8:$L$407,$Q161))</f>
        <v/>
      </c>
      <c r="U161">
        <f>IF($Q161="","",INDEX($K$8:$K$407,$Q161))</f>
        <v/>
      </c>
      <c r="V161">
        <f>IF($Q161="",0,IF($S161&lt;&gt;$S160,1,0))</f>
        <v/>
      </c>
      <c r="W161">
        <f>IF($Q161="",0,IF($T161&lt;&gt;$T160,1,0))</f>
        <v/>
      </c>
      <c r="X161">
        <f>IF($Q161="",99999+154,$X160+1+$V160+$W160)</f>
        <v/>
      </c>
      <c r="Y161">
        <f>IF($Q161="","",INDEX(บันทึกรายเที่ยว!$Q$6:$Q$6005,$R161))</f>
        <v/>
      </c>
      <c r="Z161">
        <f>IF($Q161="","",INDEX(บันทึกรายเที่ยว!$F$6:$F$6005,$R161))</f>
        <v/>
      </c>
      <c r="AA161">
        <f>IFERROR(MATCH(154,$X$8:$X$407,1),"")</f>
        <v/>
      </c>
      <c r="AB161">
        <f>IF(154=$AD$1+1,"G",IF($AA161="","",IF(INDEX($Q$8:$Q$407,$AA161)="","",IF(154&gt;INDEX($X$8:$X$407,$AA161)+INDEX($V$8:$V$407,$AA161)+INDEX($W$8:$W$407,$AA161),"",IF(154=INDEX($X$8:$X$407,$AA161)+INDEX($V$8:$V$407,$AA161)+INDEX($W$8:$W$407,$AA161),"D",IF(AND(INDEX($W$8:$W$407,$AA161)=1,154=INDEX($X$8:$X$407,$AA161)+INDEX($V$8:$V$407,$AA161)),"S","R"))))))</f>
        <v/>
      </c>
      <c r="AC161">
        <f>IF(OR($AB161="",$AB161="G"),"",IF($AB161="D",INDEX($U$8:$U$407,$AA161),IF($AB161="S",INDEX($T$8:$T$407,$AA161)&amp;"|*",INDEX($S$8:$S$407,$AA161)&amp;"|*")))</f>
        <v/>
      </c>
      <c r="AE161">
        <f>IF($U161="",0,COUNTIF(บันทึกรายเที่ยว!$T$6:$T$6005,$U161))</f>
        <v/>
      </c>
      <c r="AF161">
        <f>IF($U161="",0,ROUND(SUMIF(บันทึกรายเที่ยว!$T$6:$T$6005,$U161,บันทึกรายเที่ยว!$J$6:$J$6005),2))</f>
        <v/>
      </c>
      <c r="AG161">
        <f>IF($U161="",0,ROUND(SUMIF(บันทึกรายเที่ยว!$T$6:$T$6005,$U161,บันทึกรายเที่ยว!$K$6:$K$6005),2))</f>
        <v/>
      </c>
      <c r="AH161">
        <f>IF($U161="",0,ROUND(SUMIF(บันทึกรายเที่ยว!$T$6:$T$6005,$U161,บันทึกรายเที่ยว!$M$6:$M$6005),2))</f>
        <v/>
      </c>
    </row>
    <row r="162" ht="21" customHeight="1" s="66">
      <c r="A162" s="3">
        <f>IF($AB162="G","ผลรวมทั้งหมด",IF($AB162="R",INDEX($S$8:$S$407,$AA162),""))</f>
        <v/>
      </c>
      <c r="B162" s="3">
        <f>IF($AB162="S",INDEX($Y$8:$Y$407,$AA162),"")</f>
        <v/>
      </c>
      <c r="C162" s="68">
        <f>IF($AB162="D",INDEX($Z$8:$Z$407,$AA162),"")</f>
        <v/>
      </c>
      <c r="D162" s="31">
        <f>IF($AB162="G",SUM($AE$8:$AE$407),IF(OR($AB162="",$AB162="R"),"",IF($AB162="D",INDEX($AE$8:$AE$407,$AA162),SUMIF($T$8:$T$407,INDEX($T$8:$T$407,$AA162),$AE$8:$AE$407))))</f>
        <v/>
      </c>
      <c r="E162" s="32">
        <f>IF(155=$AD$1+3,"ขอแสดงความนับถือ",IF(155=$AD$1+6,"(                 )",IF(155=$AD$1+7,"เจ้าหน้าที่ขนส่ง",IF($AB162="G",SUM($AF$8:$AF$407),IF(OR($AB162="",$AB162="R"),"",IF($AB162="D",INDEX($AF$8:$AF$407,$AA162),SUMIF($T$8:$T$407,INDEX($T$8:$T$407,$AA162),$AF$8:$AF$407)))))))</f>
        <v/>
      </c>
      <c r="F162" s="32">
        <f>IF($AB162="G",SUM($AG$8:$AG$407),IF(OR($AB162="",$AB162="R"),"",IF($AB162="D",INDEX($AG$8:$AG$407,$AA162),SUMIF($T$8:$T$407,INDEX($T$8:$T$407,$AA162),$AG$8:$AG$407))))</f>
        <v/>
      </c>
      <c r="G162" s="32">
        <f>IF(OR($AB162="",$AB162="R"),"",ROUND($E162-$F162,2))</f>
        <v/>
      </c>
      <c r="H162" s="32">
        <f>IF($AB162="G",SUM($AH$8:$AH$407),IF(OR($AB162="",$AB162="R"),"",IF($AB162="D",INDEX($AH$8:$AH$407,$AA162),SUMIF($T$8:$T$407,INDEX($T$8:$T$407,$AA162),$AH$8:$AH$407))))</f>
        <v/>
      </c>
      <c r="J162">
        <f>IFERROR(MATCH(155,บันทึกรายเที่ยว!$W$6:$W$6005,0),"")</f>
        <v/>
      </c>
      <c r="K162">
        <f>IF($J162="","",INDEX(บันทึกรายเที่ยว!$T$6:$T$6005,$J162))</f>
        <v/>
      </c>
      <c r="L162">
        <f>IF($J162="","",INDEX(บันทึกรายเที่ยว!$S$6:$S$6005,$J162))</f>
        <v/>
      </c>
      <c r="M162">
        <f>IF($J162="","",INDEX(บันทึกรายเที่ยว!$R$6:$R$6005,$J162))</f>
        <v/>
      </c>
      <c r="N162">
        <f>IF($J162="","",MATCH($M162,บันทึกรายเที่ยว!$R$6:$R$6005,0))</f>
        <v/>
      </c>
      <c r="O162">
        <f>IF($J162="","",MATCH($L162,บันทึกรายเที่ยว!$S$6:$S$6005,0))</f>
        <v/>
      </c>
      <c r="P162">
        <f>IF($J162="","",IF(AND(OR($I$3="(ทั้งหมด)",INDEX(บันทึกรายเที่ยว!$C$6:$C$6005,$J162)=$I$3),OR($I$5="(ทั้งหมด)",INDEX(บันทึกรายเที่ยว!$D$6:$D$6005,$J162)=$I$5),OR($I$7="(ทั้งหมด)",INDEX(บันทึกรายเที่ยว!$F$6:$F$6005,$J162)=$I$7)),$N162*10000000+$O162*1000+155,""))</f>
        <v/>
      </c>
      <c r="Q162">
        <f>IFERROR(MATCH(SMALL($P$8:$P$407,155),$P$8:$P$407,0),"")</f>
        <v/>
      </c>
      <c r="R162">
        <f>IF($Q162="","",INDEX($J$8:$J$407,$Q162))</f>
        <v/>
      </c>
      <c r="S162">
        <f>IF($Q162="","",INDEX($M$8:$M$407,$Q162))</f>
        <v/>
      </c>
      <c r="T162">
        <f>IF($Q162="","",INDEX($L$8:$L$407,$Q162))</f>
        <v/>
      </c>
      <c r="U162">
        <f>IF($Q162="","",INDEX($K$8:$K$407,$Q162))</f>
        <v/>
      </c>
      <c r="V162">
        <f>IF($Q162="",0,IF($S162&lt;&gt;$S161,1,0))</f>
        <v/>
      </c>
      <c r="W162">
        <f>IF($Q162="",0,IF($T162&lt;&gt;$T161,1,0))</f>
        <v/>
      </c>
      <c r="X162">
        <f>IF($Q162="",99999+155,$X161+1+$V161+$W161)</f>
        <v/>
      </c>
      <c r="Y162">
        <f>IF($Q162="","",INDEX(บันทึกรายเที่ยว!$Q$6:$Q$6005,$R162))</f>
        <v/>
      </c>
      <c r="Z162">
        <f>IF($Q162="","",INDEX(บันทึกรายเที่ยว!$F$6:$F$6005,$R162))</f>
        <v/>
      </c>
      <c r="AA162">
        <f>IFERROR(MATCH(155,$X$8:$X$407,1),"")</f>
        <v/>
      </c>
      <c r="AB162">
        <f>IF(155=$AD$1+1,"G",IF($AA162="","",IF(INDEX($Q$8:$Q$407,$AA162)="","",IF(155&gt;INDEX($X$8:$X$407,$AA162)+INDEX($V$8:$V$407,$AA162)+INDEX($W$8:$W$407,$AA162),"",IF(155=INDEX($X$8:$X$407,$AA162)+INDEX($V$8:$V$407,$AA162)+INDEX($W$8:$W$407,$AA162),"D",IF(AND(INDEX($W$8:$W$407,$AA162)=1,155=INDEX($X$8:$X$407,$AA162)+INDEX($V$8:$V$407,$AA162)),"S","R"))))))</f>
        <v/>
      </c>
      <c r="AC162">
        <f>IF(OR($AB162="",$AB162="G"),"",IF($AB162="D",INDEX($U$8:$U$407,$AA162),IF($AB162="S",INDEX($T$8:$T$407,$AA162)&amp;"|*",INDEX($S$8:$S$407,$AA162)&amp;"|*")))</f>
        <v/>
      </c>
      <c r="AE162">
        <f>IF($U162="",0,COUNTIF(บันทึกรายเที่ยว!$T$6:$T$6005,$U162))</f>
        <v/>
      </c>
      <c r="AF162">
        <f>IF($U162="",0,ROUND(SUMIF(บันทึกรายเที่ยว!$T$6:$T$6005,$U162,บันทึกรายเที่ยว!$J$6:$J$6005),2))</f>
        <v/>
      </c>
      <c r="AG162">
        <f>IF($U162="",0,ROUND(SUMIF(บันทึกรายเที่ยว!$T$6:$T$6005,$U162,บันทึกรายเที่ยว!$K$6:$K$6005),2))</f>
        <v/>
      </c>
      <c r="AH162">
        <f>IF($U162="",0,ROUND(SUMIF(บันทึกรายเที่ยว!$T$6:$T$6005,$U162,บันทึกรายเที่ยว!$M$6:$M$6005),2))</f>
        <v/>
      </c>
    </row>
    <row r="163" ht="21" customHeight="1" s="66">
      <c r="A163" s="3">
        <f>IF($AB163="G","ผลรวมทั้งหมด",IF($AB163="R",INDEX($S$8:$S$407,$AA163),""))</f>
        <v/>
      </c>
      <c r="B163" s="3">
        <f>IF($AB163="S",INDEX($Y$8:$Y$407,$AA163),"")</f>
        <v/>
      </c>
      <c r="C163" s="68">
        <f>IF($AB163="D",INDEX($Z$8:$Z$407,$AA163),"")</f>
        <v/>
      </c>
      <c r="D163" s="31">
        <f>IF($AB163="G",SUM($AE$8:$AE$407),IF(OR($AB163="",$AB163="R"),"",IF($AB163="D",INDEX($AE$8:$AE$407,$AA163),SUMIF($T$8:$T$407,INDEX($T$8:$T$407,$AA163),$AE$8:$AE$407))))</f>
        <v/>
      </c>
      <c r="E163" s="32">
        <f>IF(156=$AD$1+3,"ขอแสดงความนับถือ",IF(156=$AD$1+6,"(                 )",IF(156=$AD$1+7,"เจ้าหน้าที่ขนส่ง",IF($AB163="G",SUM($AF$8:$AF$407),IF(OR($AB163="",$AB163="R"),"",IF($AB163="D",INDEX($AF$8:$AF$407,$AA163),SUMIF($T$8:$T$407,INDEX($T$8:$T$407,$AA163),$AF$8:$AF$407)))))))</f>
        <v/>
      </c>
      <c r="F163" s="32">
        <f>IF($AB163="G",SUM($AG$8:$AG$407),IF(OR($AB163="",$AB163="R"),"",IF($AB163="D",INDEX($AG$8:$AG$407,$AA163),SUMIF($T$8:$T$407,INDEX($T$8:$T$407,$AA163),$AG$8:$AG$407))))</f>
        <v/>
      </c>
      <c r="G163" s="32">
        <f>IF(OR($AB163="",$AB163="R"),"",ROUND($E163-$F163,2))</f>
        <v/>
      </c>
      <c r="H163" s="32">
        <f>IF($AB163="G",SUM($AH$8:$AH$407),IF(OR($AB163="",$AB163="R"),"",IF($AB163="D",INDEX($AH$8:$AH$407,$AA163),SUMIF($T$8:$T$407,INDEX($T$8:$T$407,$AA163),$AH$8:$AH$407))))</f>
        <v/>
      </c>
      <c r="J163">
        <f>IFERROR(MATCH(156,บันทึกรายเที่ยว!$W$6:$W$6005,0),"")</f>
        <v/>
      </c>
      <c r="K163">
        <f>IF($J163="","",INDEX(บันทึกรายเที่ยว!$T$6:$T$6005,$J163))</f>
        <v/>
      </c>
      <c r="L163">
        <f>IF($J163="","",INDEX(บันทึกรายเที่ยว!$S$6:$S$6005,$J163))</f>
        <v/>
      </c>
      <c r="M163">
        <f>IF($J163="","",INDEX(บันทึกรายเที่ยว!$R$6:$R$6005,$J163))</f>
        <v/>
      </c>
      <c r="N163">
        <f>IF($J163="","",MATCH($M163,บันทึกรายเที่ยว!$R$6:$R$6005,0))</f>
        <v/>
      </c>
      <c r="O163">
        <f>IF($J163="","",MATCH($L163,บันทึกรายเที่ยว!$S$6:$S$6005,0))</f>
        <v/>
      </c>
      <c r="P163">
        <f>IF($J163="","",IF(AND(OR($I$3="(ทั้งหมด)",INDEX(บันทึกรายเที่ยว!$C$6:$C$6005,$J163)=$I$3),OR($I$5="(ทั้งหมด)",INDEX(บันทึกรายเที่ยว!$D$6:$D$6005,$J163)=$I$5),OR($I$7="(ทั้งหมด)",INDEX(บันทึกรายเที่ยว!$F$6:$F$6005,$J163)=$I$7)),$N163*10000000+$O163*1000+156,""))</f>
        <v/>
      </c>
      <c r="Q163">
        <f>IFERROR(MATCH(SMALL($P$8:$P$407,156),$P$8:$P$407,0),"")</f>
        <v/>
      </c>
      <c r="R163">
        <f>IF($Q163="","",INDEX($J$8:$J$407,$Q163))</f>
        <v/>
      </c>
      <c r="S163">
        <f>IF($Q163="","",INDEX($M$8:$M$407,$Q163))</f>
        <v/>
      </c>
      <c r="T163">
        <f>IF($Q163="","",INDEX($L$8:$L$407,$Q163))</f>
        <v/>
      </c>
      <c r="U163">
        <f>IF($Q163="","",INDEX($K$8:$K$407,$Q163))</f>
        <v/>
      </c>
      <c r="V163">
        <f>IF($Q163="",0,IF($S163&lt;&gt;$S162,1,0))</f>
        <v/>
      </c>
      <c r="W163">
        <f>IF($Q163="",0,IF($T163&lt;&gt;$T162,1,0))</f>
        <v/>
      </c>
      <c r="X163">
        <f>IF($Q163="",99999+156,$X162+1+$V162+$W162)</f>
        <v/>
      </c>
      <c r="Y163">
        <f>IF($Q163="","",INDEX(บันทึกรายเที่ยว!$Q$6:$Q$6005,$R163))</f>
        <v/>
      </c>
      <c r="Z163">
        <f>IF($Q163="","",INDEX(บันทึกรายเที่ยว!$F$6:$F$6005,$R163))</f>
        <v/>
      </c>
      <c r="AA163">
        <f>IFERROR(MATCH(156,$X$8:$X$407,1),"")</f>
        <v/>
      </c>
      <c r="AB163">
        <f>IF(156=$AD$1+1,"G",IF($AA163="","",IF(INDEX($Q$8:$Q$407,$AA163)="","",IF(156&gt;INDEX($X$8:$X$407,$AA163)+INDEX($V$8:$V$407,$AA163)+INDEX($W$8:$W$407,$AA163),"",IF(156=INDEX($X$8:$X$407,$AA163)+INDEX($V$8:$V$407,$AA163)+INDEX($W$8:$W$407,$AA163),"D",IF(AND(INDEX($W$8:$W$407,$AA163)=1,156=INDEX($X$8:$X$407,$AA163)+INDEX($V$8:$V$407,$AA163)),"S","R"))))))</f>
        <v/>
      </c>
      <c r="AC163">
        <f>IF(OR($AB163="",$AB163="G"),"",IF($AB163="D",INDEX($U$8:$U$407,$AA163),IF($AB163="S",INDEX($T$8:$T$407,$AA163)&amp;"|*",INDEX($S$8:$S$407,$AA163)&amp;"|*")))</f>
        <v/>
      </c>
      <c r="AE163">
        <f>IF($U163="",0,COUNTIF(บันทึกรายเที่ยว!$T$6:$T$6005,$U163))</f>
        <v/>
      </c>
      <c r="AF163">
        <f>IF($U163="",0,ROUND(SUMIF(บันทึกรายเที่ยว!$T$6:$T$6005,$U163,บันทึกรายเที่ยว!$J$6:$J$6005),2))</f>
        <v/>
      </c>
      <c r="AG163">
        <f>IF($U163="",0,ROUND(SUMIF(บันทึกรายเที่ยว!$T$6:$T$6005,$U163,บันทึกรายเที่ยว!$K$6:$K$6005),2))</f>
        <v/>
      </c>
      <c r="AH163">
        <f>IF($U163="",0,ROUND(SUMIF(บันทึกรายเที่ยว!$T$6:$T$6005,$U163,บันทึกรายเที่ยว!$M$6:$M$6005),2))</f>
        <v/>
      </c>
    </row>
    <row r="164" ht="21" customHeight="1" s="66">
      <c r="A164" s="3">
        <f>IF($AB164="G","ผลรวมทั้งหมด",IF($AB164="R",INDEX($S$8:$S$407,$AA164),""))</f>
        <v/>
      </c>
      <c r="B164" s="3">
        <f>IF($AB164="S",INDEX($Y$8:$Y$407,$AA164),"")</f>
        <v/>
      </c>
      <c r="C164" s="68">
        <f>IF($AB164="D",INDEX($Z$8:$Z$407,$AA164),"")</f>
        <v/>
      </c>
      <c r="D164" s="31">
        <f>IF($AB164="G",SUM($AE$8:$AE$407),IF(OR($AB164="",$AB164="R"),"",IF($AB164="D",INDEX($AE$8:$AE$407,$AA164),SUMIF($T$8:$T$407,INDEX($T$8:$T$407,$AA164),$AE$8:$AE$407))))</f>
        <v/>
      </c>
      <c r="E164" s="32">
        <f>IF(157=$AD$1+3,"ขอแสดงความนับถือ",IF(157=$AD$1+6,"(                 )",IF(157=$AD$1+7,"เจ้าหน้าที่ขนส่ง",IF($AB164="G",SUM($AF$8:$AF$407),IF(OR($AB164="",$AB164="R"),"",IF($AB164="D",INDEX($AF$8:$AF$407,$AA164),SUMIF($T$8:$T$407,INDEX($T$8:$T$407,$AA164),$AF$8:$AF$407)))))))</f>
        <v/>
      </c>
      <c r="F164" s="32">
        <f>IF($AB164="G",SUM($AG$8:$AG$407),IF(OR($AB164="",$AB164="R"),"",IF($AB164="D",INDEX($AG$8:$AG$407,$AA164),SUMIF($T$8:$T$407,INDEX($T$8:$T$407,$AA164),$AG$8:$AG$407))))</f>
        <v/>
      </c>
      <c r="G164" s="32">
        <f>IF(OR($AB164="",$AB164="R"),"",ROUND($E164-$F164,2))</f>
        <v/>
      </c>
      <c r="H164" s="32">
        <f>IF($AB164="G",SUM($AH$8:$AH$407),IF(OR($AB164="",$AB164="R"),"",IF($AB164="D",INDEX($AH$8:$AH$407,$AA164),SUMIF($T$8:$T$407,INDEX($T$8:$T$407,$AA164),$AH$8:$AH$407))))</f>
        <v/>
      </c>
      <c r="J164">
        <f>IFERROR(MATCH(157,บันทึกรายเที่ยว!$W$6:$W$6005,0),"")</f>
        <v/>
      </c>
      <c r="K164">
        <f>IF($J164="","",INDEX(บันทึกรายเที่ยว!$T$6:$T$6005,$J164))</f>
        <v/>
      </c>
      <c r="L164">
        <f>IF($J164="","",INDEX(บันทึกรายเที่ยว!$S$6:$S$6005,$J164))</f>
        <v/>
      </c>
      <c r="M164">
        <f>IF($J164="","",INDEX(บันทึกรายเที่ยว!$R$6:$R$6005,$J164))</f>
        <v/>
      </c>
      <c r="N164">
        <f>IF($J164="","",MATCH($M164,บันทึกรายเที่ยว!$R$6:$R$6005,0))</f>
        <v/>
      </c>
      <c r="O164">
        <f>IF($J164="","",MATCH($L164,บันทึกรายเที่ยว!$S$6:$S$6005,0))</f>
        <v/>
      </c>
      <c r="P164">
        <f>IF($J164="","",IF(AND(OR($I$3="(ทั้งหมด)",INDEX(บันทึกรายเที่ยว!$C$6:$C$6005,$J164)=$I$3),OR($I$5="(ทั้งหมด)",INDEX(บันทึกรายเที่ยว!$D$6:$D$6005,$J164)=$I$5),OR($I$7="(ทั้งหมด)",INDEX(บันทึกรายเที่ยว!$F$6:$F$6005,$J164)=$I$7)),$N164*10000000+$O164*1000+157,""))</f>
        <v/>
      </c>
      <c r="Q164">
        <f>IFERROR(MATCH(SMALL($P$8:$P$407,157),$P$8:$P$407,0),"")</f>
        <v/>
      </c>
      <c r="R164">
        <f>IF($Q164="","",INDEX($J$8:$J$407,$Q164))</f>
        <v/>
      </c>
      <c r="S164">
        <f>IF($Q164="","",INDEX($M$8:$M$407,$Q164))</f>
        <v/>
      </c>
      <c r="T164">
        <f>IF($Q164="","",INDEX($L$8:$L$407,$Q164))</f>
        <v/>
      </c>
      <c r="U164">
        <f>IF($Q164="","",INDEX($K$8:$K$407,$Q164))</f>
        <v/>
      </c>
      <c r="V164">
        <f>IF($Q164="",0,IF($S164&lt;&gt;$S163,1,0))</f>
        <v/>
      </c>
      <c r="W164">
        <f>IF($Q164="",0,IF($T164&lt;&gt;$T163,1,0))</f>
        <v/>
      </c>
      <c r="X164">
        <f>IF($Q164="",99999+157,$X163+1+$V163+$W163)</f>
        <v/>
      </c>
      <c r="Y164">
        <f>IF($Q164="","",INDEX(บันทึกรายเที่ยว!$Q$6:$Q$6005,$R164))</f>
        <v/>
      </c>
      <c r="Z164">
        <f>IF($Q164="","",INDEX(บันทึกรายเที่ยว!$F$6:$F$6005,$R164))</f>
        <v/>
      </c>
      <c r="AA164">
        <f>IFERROR(MATCH(157,$X$8:$X$407,1),"")</f>
        <v/>
      </c>
      <c r="AB164">
        <f>IF(157=$AD$1+1,"G",IF($AA164="","",IF(INDEX($Q$8:$Q$407,$AA164)="","",IF(157&gt;INDEX($X$8:$X$407,$AA164)+INDEX($V$8:$V$407,$AA164)+INDEX($W$8:$W$407,$AA164),"",IF(157=INDEX($X$8:$X$407,$AA164)+INDEX($V$8:$V$407,$AA164)+INDEX($W$8:$W$407,$AA164),"D",IF(AND(INDEX($W$8:$W$407,$AA164)=1,157=INDEX($X$8:$X$407,$AA164)+INDEX($V$8:$V$407,$AA164)),"S","R"))))))</f>
        <v/>
      </c>
      <c r="AC164">
        <f>IF(OR($AB164="",$AB164="G"),"",IF($AB164="D",INDEX($U$8:$U$407,$AA164),IF($AB164="S",INDEX($T$8:$T$407,$AA164)&amp;"|*",INDEX($S$8:$S$407,$AA164)&amp;"|*")))</f>
        <v/>
      </c>
      <c r="AE164">
        <f>IF($U164="",0,COUNTIF(บันทึกรายเที่ยว!$T$6:$T$6005,$U164))</f>
        <v/>
      </c>
      <c r="AF164">
        <f>IF($U164="",0,ROUND(SUMIF(บันทึกรายเที่ยว!$T$6:$T$6005,$U164,บันทึกรายเที่ยว!$J$6:$J$6005),2))</f>
        <v/>
      </c>
      <c r="AG164">
        <f>IF($U164="",0,ROUND(SUMIF(บันทึกรายเที่ยว!$T$6:$T$6005,$U164,บันทึกรายเที่ยว!$K$6:$K$6005),2))</f>
        <v/>
      </c>
      <c r="AH164">
        <f>IF($U164="",0,ROUND(SUMIF(บันทึกรายเที่ยว!$T$6:$T$6005,$U164,บันทึกรายเที่ยว!$M$6:$M$6005),2))</f>
        <v/>
      </c>
    </row>
    <row r="165" ht="21" customHeight="1" s="66">
      <c r="A165" s="3">
        <f>IF($AB165="G","ผลรวมทั้งหมด",IF($AB165="R",INDEX($S$8:$S$407,$AA165),""))</f>
        <v/>
      </c>
      <c r="B165" s="3">
        <f>IF($AB165="S",INDEX($Y$8:$Y$407,$AA165),"")</f>
        <v/>
      </c>
      <c r="C165" s="68">
        <f>IF($AB165="D",INDEX($Z$8:$Z$407,$AA165),"")</f>
        <v/>
      </c>
      <c r="D165" s="31">
        <f>IF($AB165="G",SUM($AE$8:$AE$407),IF(OR($AB165="",$AB165="R"),"",IF($AB165="D",INDEX($AE$8:$AE$407,$AA165),SUMIF($T$8:$T$407,INDEX($T$8:$T$407,$AA165),$AE$8:$AE$407))))</f>
        <v/>
      </c>
      <c r="E165" s="32">
        <f>IF(158=$AD$1+3,"ขอแสดงความนับถือ",IF(158=$AD$1+6,"(                 )",IF(158=$AD$1+7,"เจ้าหน้าที่ขนส่ง",IF($AB165="G",SUM($AF$8:$AF$407),IF(OR($AB165="",$AB165="R"),"",IF($AB165="D",INDEX($AF$8:$AF$407,$AA165),SUMIF($T$8:$T$407,INDEX($T$8:$T$407,$AA165),$AF$8:$AF$407)))))))</f>
        <v/>
      </c>
      <c r="F165" s="32">
        <f>IF($AB165="G",SUM($AG$8:$AG$407),IF(OR($AB165="",$AB165="R"),"",IF($AB165="D",INDEX($AG$8:$AG$407,$AA165),SUMIF($T$8:$T$407,INDEX($T$8:$T$407,$AA165),$AG$8:$AG$407))))</f>
        <v/>
      </c>
      <c r="G165" s="32">
        <f>IF(OR($AB165="",$AB165="R"),"",ROUND($E165-$F165,2))</f>
        <v/>
      </c>
      <c r="H165" s="32">
        <f>IF($AB165="G",SUM($AH$8:$AH$407),IF(OR($AB165="",$AB165="R"),"",IF($AB165="D",INDEX($AH$8:$AH$407,$AA165),SUMIF($T$8:$T$407,INDEX($T$8:$T$407,$AA165),$AH$8:$AH$407))))</f>
        <v/>
      </c>
      <c r="J165">
        <f>IFERROR(MATCH(158,บันทึกรายเที่ยว!$W$6:$W$6005,0),"")</f>
        <v/>
      </c>
      <c r="K165">
        <f>IF($J165="","",INDEX(บันทึกรายเที่ยว!$T$6:$T$6005,$J165))</f>
        <v/>
      </c>
      <c r="L165">
        <f>IF($J165="","",INDEX(บันทึกรายเที่ยว!$S$6:$S$6005,$J165))</f>
        <v/>
      </c>
      <c r="M165">
        <f>IF($J165="","",INDEX(บันทึกรายเที่ยว!$R$6:$R$6005,$J165))</f>
        <v/>
      </c>
      <c r="N165">
        <f>IF($J165="","",MATCH($M165,บันทึกรายเที่ยว!$R$6:$R$6005,0))</f>
        <v/>
      </c>
      <c r="O165">
        <f>IF($J165="","",MATCH($L165,บันทึกรายเที่ยว!$S$6:$S$6005,0))</f>
        <v/>
      </c>
      <c r="P165">
        <f>IF($J165="","",IF(AND(OR($I$3="(ทั้งหมด)",INDEX(บันทึกรายเที่ยว!$C$6:$C$6005,$J165)=$I$3),OR($I$5="(ทั้งหมด)",INDEX(บันทึกรายเที่ยว!$D$6:$D$6005,$J165)=$I$5),OR($I$7="(ทั้งหมด)",INDEX(บันทึกรายเที่ยว!$F$6:$F$6005,$J165)=$I$7)),$N165*10000000+$O165*1000+158,""))</f>
        <v/>
      </c>
      <c r="Q165">
        <f>IFERROR(MATCH(SMALL($P$8:$P$407,158),$P$8:$P$407,0),"")</f>
        <v/>
      </c>
      <c r="R165">
        <f>IF($Q165="","",INDEX($J$8:$J$407,$Q165))</f>
        <v/>
      </c>
      <c r="S165">
        <f>IF($Q165="","",INDEX($M$8:$M$407,$Q165))</f>
        <v/>
      </c>
      <c r="T165">
        <f>IF($Q165="","",INDEX($L$8:$L$407,$Q165))</f>
        <v/>
      </c>
      <c r="U165">
        <f>IF($Q165="","",INDEX($K$8:$K$407,$Q165))</f>
        <v/>
      </c>
      <c r="V165">
        <f>IF($Q165="",0,IF($S165&lt;&gt;$S164,1,0))</f>
        <v/>
      </c>
      <c r="W165">
        <f>IF($Q165="",0,IF($T165&lt;&gt;$T164,1,0))</f>
        <v/>
      </c>
      <c r="X165">
        <f>IF($Q165="",99999+158,$X164+1+$V164+$W164)</f>
        <v/>
      </c>
      <c r="Y165">
        <f>IF($Q165="","",INDEX(บันทึกรายเที่ยว!$Q$6:$Q$6005,$R165))</f>
        <v/>
      </c>
      <c r="Z165">
        <f>IF($Q165="","",INDEX(บันทึกรายเที่ยว!$F$6:$F$6005,$R165))</f>
        <v/>
      </c>
      <c r="AA165">
        <f>IFERROR(MATCH(158,$X$8:$X$407,1),"")</f>
        <v/>
      </c>
      <c r="AB165">
        <f>IF(158=$AD$1+1,"G",IF($AA165="","",IF(INDEX($Q$8:$Q$407,$AA165)="","",IF(158&gt;INDEX($X$8:$X$407,$AA165)+INDEX($V$8:$V$407,$AA165)+INDEX($W$8:$W$407,$AA165),"",IF(158=INDEX($X$8:$X$407,$AA165)+INDEX($V$8:$V$407,$AA165)+INDEX($W$8:$W$407,$AA165),"D",IF(AND(INDEX($W$8:$W$407,$AA165)=1,158=INDEX($X$8:$X$407,$AA165)+INDEX($V$8:$V$407,$AA165)),"S","R"))))))</f>
        <v/>
      </c>
      <c r="AC165">
        <f>IF(OR($AB165="",$AB165="G"),"",IF($AB165="D",INDEX($U$8:$U$407,$AA165),IF($AB165="S",INDEX($T$8:$T$407,$AA165)&amp;"|*",INDEX($S$8:$S$407,$AA165)&amp;"|*")))</f>
        <v/>
      </c>
      <c r="AE165">
        <f>IF($U165="",0,COUNTIF(บันทึกรายเที่ยว!$T$6:$T$6005,$U165))</f>
        <v/>
      </c>
      <c r="AF165">
        <f>IF($U165="",0,ROUND(SUMIF(บันทึกรายเที่ยว!$T$6:$T$6005,$U165,บันทึกรายเที่ยว!$J$6:$J$6005),2))</f>
        <v/>
      </c>
      <c r="AG165">
        <f>IF($U165="",0,ROUND(SUMIF(บันทึกรายเที่ยว!$T$6:$T$6005,$U165,บันทึกรายเที่ยว!$K$6:$K$6005),2))</f>
        <v/>
      </c>
      <c r="AH165">
        <f>IF($U165="",0,ROUND(SUMIF(บันทึกรายเที่ยว!$T$6:$T$6005,$U165,บันทึกรายเที่ยว!$M$6:$M$6005),2))</f>
        <v/>
      </c>
    </row>
    <row r="166" ht="21" customHeight="1" s="66">
      <c r="A166" s="3">
        <f>IF($AB166="G","ผลรวมทั้งหมด",IF($AB166="R",INDEX($S$8:$S$407,$AA166),""))</f>
        <v/>
      </c>
      <c r="B166" s="3">
        <f>IF($AB166="S",INDEX($Y$8:$Y$407,$AA166),"")</f>
        <v/>
      </c>
      <c r="C166" s="68">
        <f>IF($AB166="D",INDEX($Z$8:$Z$407,$AA166),"")</f>
        <v/>
      </c>
      <c r="D166" s="31">
        <f>IF($AB166="G",SUM($AE$8:$AE$407),IF(OR($AB166="",$AB166="R"),"",IF($AB166="D",INDEX($AE$8:$AE$407,$AA166),SUMIF($T$8:$T$407,INDEX($T$8:$T$407,$AA166),$AE$8:$AE$407))))</f>
        <v/>
      </c>
      <c r="E166" s="32">
        <f>IF(159=$AD$1+3,"ขอแสดงความนับถือ",IF(159=$AD$1+6,"(                 )",IF(159=$AD$1+7,"เจ้าหน้าที่ขนส่ง",IF($AB166="G",SUM($AF$8:$AF$407),IF(OR($AB166="",$AB166="R"),"",IF($AB166="D",INDEX($AF$8:$AF$407,$AA166),SUMIF($T$8:$T$407,INDEX($T$8:$T$407,$AA166),$AF$8:$AF$407)))))))</f>
        <v/>
      </c>
      <c r="F166" s="32">
        <f>IF($AB166="G",SUM($AG$8:$AG$407),IF(OR($AB166="",$AB166="R"),"",IF($AB166="D",INDEX($AG$8:$AG$407,$AA166),SUMIF($T$8:$T$407,INDEX($T$8:$T$407,$AA166),$AG$8:$AG$407))))</f>
        <v/>
      </c>
      <c r="G166" s="32">
        <f>IF(OR($AB166="",$AB166="R"),"",ROUND($E166-$F166,2))</f>
        <v/>
      </c>
      <c r="H166" s="32">
        <f>IF($AB166="G",SUM($AH$8:$AH$407),IF(OR($AB166="",$AB166="R"),"",IF($AB166="D",INDEX($AH$8:$AH$407,$AA166),SUMIF($T$8:$T$407,INDEX($T$8:$T$407,$AA166),$AH$8:$AH$407))))</f>
        <v/>
      </c>
      <c r="J166">
        <f>IFERROR(MATCH(159,บันทึกรายเที่ยว!$W$6:$W$6005,0),"")</f>
        <v/>
      </c>
      <c r="K166">
        <f>IF($J166="","",INDEX(บันทึกรายเที่ยว!$T$6:$T$6005,$J166))</f>
        <v/>
      </c>
      <c r="L166">
        <f>IF($J166="","",INDEX(บันทึกรายเที่ยว!$S$6:$S$6005,$J166))</f>
        <v/>
      </c>
      <c r="M166">
        <f>IF($J166="","",INDEX(บันทึกรายเที่ยว!$R$6:$R$6005,$J166))</f>
        <v/>
      </c>
      <c r="N166">
        <f>IF($J166="","",MATCH($M166,บันทึกรายเที่ยว!$R$6:$R$6005,0))</f>
        <v/>
      </c>
      <c r="O166">
        <f>IF($J166="","",MATCH($L166,บันทึกรายเที่ยว!$S$6:$S$6005,0))</f>
        <v/>
      </c>
      <c r="P166">
        <f>IF($J166="","",IF(AND(OR($I$3="(ทั้งหมด)",INDEX(บันทึกรายเที่ยว!$C$6:$C$6005,$J166)=$I$3),OR($I$5="(ทั้งหมด)",INDEX(บันทึกรายเที่ยว!$D$6:$D$6005,$J166)=$I$5),OR($I$7="(ทั้งหมด)",INDEX(บันทึกรายเที่ยว!$F$6:$F$6005,$J166)=$I$7)),$N166*10000000+$O166*1000+159,""))</f>
        <v/>
      </c>
      <c r="Q166">
        <f>IFERROR(MATCH(SMALL($P$8:$P$407,159),$P$8:$P$407,0),"")</f>
        <v/>
      </c>
      <c r="R166">
        <f>IF($Q166="","",INDEX($J$8:$J$407,$Q166))</f>
        <v/>
      </c>
      <c r="S166">
        <f>IF($Q166="","",INDEX($M$8:$M$407,$Q166))</f>
        <v/>
      </c>
      <c r="T166">
        <f>IF($Q166="","",INDEX($L$8:$L$407,$Q166))</f>
        <v/>
      </c>
      <c r="U166">
        <f>IF($Q166="","",INDEX($K$8:$K$407,$Q166))</f>
        <v/>
      </c>
      <c r="V166">
        <f>IF($Q166="",0,IF($S166&lt;&gt;$S165,1,0))</f>
        <v/>
      </c>
      <c r="W166">
        <f>IF($Q166="",0,IF($T166&lt;&gt;$T165,1,0))</f>
        <v/>
      </c>
      <c r="X166">
        <f>IF($Q166="",99999+159,$X165+1+$V165+$W165)</f>
        <v/>
      </c>
      <c r="Y166">
        <f>IF($Q166="","",INDEX(บันทึกรายเที่ยว!$Q$6:$Q$6005,$R166))</f>
        <v/>
      </c>
      <c r="Z166">
        <f>IF($Q166="","",INDEX(บันทึกรายเที่ยว!$F$6:$F$6005,$R166))</f>
        <v/>
      </c>
      <c r="AA166">
        <f>IFERROR(MATCH(159,$X$8:$X$407,1),"")</f>
        <v/>
      </c>
      <c r="AB166">
        <f>IF(159=$AD$1+1,"G",IF($AA166="","",IF(INDEX($Q$8:$Q$407,$AA166)="","",IF(159&gt;INDEX($X$8:$X$407,$AA166)+INDEX($V$8:$V$407,$AA166)+INDEX($W$8:$W$407,$AA166),"",IF(159=INDEX($X$8:$X$407,$AA166)+INDEX($V$8:$V$407,$AA166)+INDEX($W$8:$W$407,$AA166),"D",IF(AND(INDEX($W$8:$W$407,$AA166)=1,159=INDEX($X$8:$X$407,$AA166)+INDEX($V$8:$V$407,$AA166)),"S","R"))))))</f>
        <v/>
      </c>
      <c r="AC166">
        <f>IF(OR($AB166="",$AB166="G"),"",IF($AB166="D",INDEX($U$8:$U$407,$AA166),IF($AB166="S",INDEX($T$8:$T$407,$AA166)&amp;"|*",INDEX($S$8:$S$407,$AA166)&amp;"|*")))</f>
        <v/>
      </c>
      <c r="AE166">
        <f>IF($U166="",0,COUNTIF(บันทึกรายเที่ยว!$T$6:$T$6005,$U166))</f>
        <v/>
      </c>
      <c r="AF166">
        <f>IF($U166="",0,ROUND(SUMIF(บันทึกรายเที่ยว!$T$6:$T$6005,$U166,บันทึกรายเที่ยว!$J$6:$J$6005),2))</f>
        <v/>
      </c>
      <c r="AG166">
        <f>IF($U166="",0,ROUND(SUMIF(บันทึกรายเที่ยว!$T$6:$T$6005,$U166,บันทึกรายเที่ยว!$K$6:$K$6005),2))</f>
        <v/>
      </c>
      <c r="AH166">
        <f>IF($U166="",0,ROUND(SUMIF(บันทึกรายเที่ยว!$T$6:$T$6005,$U166,บันทึกรายเที่ยว!$M$6:$M$6005),2))</f>
        <v/>
      </c>
    </row>
    <row r="167" ht="21" customHeight="1" s="66">
      <c r="A167" s="3">
        <f>IF($AB167="G","ผลรวมทั้งหมด",IF($AB167="R",INDEX($S$8:$S$407,$AA167),""))</f>
        <v/>
      </c>
      <c r="B167" s="3">
        <f>IF($AB167="S",INDEX($Y$8:$Y$407,$AA167),"")</f>
        <v/>
      </c>
      <c r="C167" s="68">
        <f>IF($AB167="D",INDEX($Z$8:$Z$407,$AA167),"")</f>
        <v/>
      </c>
      <c r="D167" s="31">
        <f>IF($AB167="G",SUM($AE$8:$AE$407),IF(OR($AB167="",$AB167="R"),"",IF($AB167="D",INDEX($AE$8:$AE$407,$AA167),SUMIF($T$8:$T$407,INDEX($T$8:$T$407,$AA167),$AE$8:$AE$407))))</f>
        <v/>
      </c>
      <c r="E167" s="32">
        <f>IF(160=$AD$1+3,"ขอแสดงความนับถือ",IF(160=$AD$1+6,"(                 )",IF(160=$AD$1+7,"เจ้าหน้าที่ขนส่ง",IF($AB167="G",SUM($AF$8:$AF$407),IF(OR($AB167="",$AB167="R"),"",IF($AB167="D",INDEX($AF$8:$AF$407,$AA167),SUMIF($T$8:$T$407,INDEX($T$8:$T$407,$AA167),$AF$8:$AF$407)))))))</f>
        <v/>
      </c>
      <c r="F167" s="32">
        <f>IF($AB167="G",SUM($AG$8:$AG$407),IF(OR($AB167="",$AB167="R"),"",IF($AB167="D",INDEX($AG$8:$AG$407,$AA167),SUMIF($T$8:$T$407,INDEX($T$8:$T$407,$AA167),$AG$8:$AG$407))))</f>
        <v/>
      </c>
      <c r="G167" s="32">
        <f>IF(OR($AB167="",$AB167="R"),"",ROUND($E167-$F167,2))</f>
        <v/>
      </c>
      <c r="H167" s="32">
        <f>IF($AB167="G",SUM($AH$8:$AH$407),IF(OR($AB167="",$AB167="R"),"",IF($AB167="D",INDEX($AH$8:$AH$407,$AA167),SUMIF($T$8:$T$407,INDEX($T$8:$T$407,$AA167),$AH$8:$AH$407))))</f>
        <v/>
      </c>
      <c r="J167">
        <f>IFERROR(MATCH(160,บันทึกรายเที่ยว!$W$6:$W$6005,0),"")</f>
        <v/>
      </c>
      <c r="K167">
        <f>IF($J167="","",INDEX(บันทึกรายเที่ยว!$T$6:$T$6005,$J167))</f>
        <v/>
      </c>
      <c r="L167">
        <f>IF($J167="","",INDEX(บันทึกรายเที่ยว!$S$6:$S$6005,$J167))</f>
        <v/>
      </c>
      <c r="M167">
        <f>IF($J167="","",INDEX(บันทึกรายเที่ยว!$R$6:$R$6005,$J167))</f>
        <v/>
      </c>
      <c r="N167">
        <f>IF($J167="","",MATCH($M167,บันทึกรายเที่ยว!$R$6:$R$6005,0))</f>
        <v/>
      </c>
      <c r="O167">
        <f>IF($J167="","",MATCH($L167,บันทึกรายเที่ยว!$S$6:$S$6005,0))</f>
        <v/>
      </c>
      <c r="P167">
        <f>IF($J167="","",IF(AND(OR($I$3="(ทั้งหมด)",INDEX(บันทึกรายเที่ยว!$C$6:$C$6005,$J167)=$I$3),OR($I$5="(ทั้งหมด)",INDEX(บันทึกรายเที่ยว!$D$6:$D$6005,$J167)=$I$5),OR($I$7="(ทั้งหมด)",INDEX(บันทึกรายเที่ยว!$F$6:$F$6005,$J167)=$I$7)),$N167*10000000+$O167*1000+160,""))</f>
        <v/>
      </c>
      <c r="Q167">
        <f>IFERROR(MATCH(SMALL($P$8:$P$407,160),$P$8:$P$407,0),"")</f>
        <v/>
      </c>
      <c r="R167">
        <f>IF($Q167="","",INDEX($J$8:$J$407,$Q167))</f>
        <v/>
      </c>
      <c r="S167">
        <f>IF($Q167="","",INDEX($M$8:$M$407,$Q167))</f>
        <v/>
      </c>
      <c r="T167">
        <f>IF($Q167="","",INDEX($L$8:$L$407,$Q167))</f>
        <v/>
      </c>
      <c r="U167">
        <f>IF($Q167="","",INDEX($K$8:$K$407,$Q167))</f>
        <v/>
      </c>
      <c r="V167">
        <f>IF($Q167="",0,IF($S167&lt;&gt;$S166,1,0))</f>
        <v/>
      </c>
      <c r="W167">
        <f>IF($Q167="",0,IF($T167&lt;&gt;$T166,1,0))</f>
        <v/>
      </c>
      <c r="X167">
        <f>IF($Q167="",99999+160,$X166+1+$V166+$W166)</f>
        <v/>
      </c>
      <c r="Y167">
        <f>IF($Q167="","",INDEX(บันทึกรายเที่ยว!$Q$6:$Q$6005,$R167))</f>
        <v/>
      </c>
      <c r="Z167">
        <f>IF($Q167="","",INDEX(บันทึกรายเที่ยว!$F$6:$F$6005,$R167))</f>
        <v/>
      </c>
      <c r="AA167">
        <f>IFERROR(MATCH(160,$X$8:$X$407,1),"")</f>
        <v/>
      </c>
      <c r="AB167">
        <f>IF(160=$AD$1+1,"G",IF($AA167="","",IF(INDEX($Q$8:$Q$407,$AA167)="","",IF(160&gt;INDEX($X$8:$X$407,$AA167)+INDEX($V$8:$V$407,$AA167)+INDEX($W$8:$W$407,$AA167),"",IF(160=INDEX($X$8:$X$407,$AA167)+INDEX($V$8:$V$407,$AA167)+INDEX($W$8:$W$407,$AA167),"D",IF(AND(INDEX($W$8:$W$407,$AA167)=1,160=INDEX($X$8:$X$407,$AA167)+INDEX($V$8:$V$407,$AA167)),"S","R"))))))</f>
        <v/>
      </c>
      <c r="AC167">
        <f>IF(OR($AB167="",$AB167="G"),"",IF($AB167="D",INDEX($U$8:$U$407,$AA167),IF($AB167="S",INDEX($T$8:$T$407,$AA167)&amp;"|*",INDEX($S$8:$S$407,$AA167)&amp;"|*")))</f>
        <v/>
      </c>
      <c r="AE167">
        <f>IF($U167="",0,COUNTIF(บันทึกรายเที่ยว!$T$6:$T$6005,$U167))</f>
        <v/>
      </c>
      <c r="AF167">
        <f>IF($U167="",0,ROUND(SUMIF(บันทึกรายเที่ยว!$T$6:$T$6005,$U167,บันทึกรายเที่ยว!$J$6:$J$6005),2))</f>
        <v/>
      </c>
      <c r="AG167">
        <f>IF($U167="",0,ROUND(SUMIF(บันทึกรายเที่ยว!$T$6:$T$6005,$U167,บันทึกรายเที่ยว!$K$6:$K$6005),2))</f>
        <v/>
      </c>
      <c r="AH167">
        <f>IF($U167="",0,ROUND(SUMIF(บันทึกรายเที่ยว!$T$6:$T$6005,$U167,บันทึกรายเที่ยว!$M$6:$M$6005),2))</f>
        <v/>
      </c>
    </row>
    <row r="168" ht="21" customHeight="1" s="66">
      <c r="A168" s="3">
        <f>IF($AB168="G","ผลรวมทั้งหมด",IF($AB168="R",INDEX($S$8:$S$407,$AA168),""))</f>
        <v/>
      </c>
      <c r="B168" s="3">
        <f>IF($AB168="S",INDEX($Y$8:$Y$407,$AA168),"")</f>
        <v/>
      </c>
      <c r="C168" s="68">
        <f>IF($AB168="D",INDEX($Z$8:$Z$407,$AA168),"")</f>
        <v/>
      </c>
      <c r="D168" s="31">
        <f>IF($AB168="G",SUM($AE$8:$AE$407),IF(OR($AB168="",$AB168="R"),"",IF($AB168="D",INDEX($AE$8:$AE$407,$AA168),SUMIF($T$8:$T$407,INDEX($T$8:$T$407,$AA168),$AE$8:$AE$407))))</f>
        <v/>
      </c>
      <c r="E168" s="32">
        <f>IF(161=$AD$1+3,"ขอแสดงความนับถือ",IF(161=$AD$1+6,"(                 )",IF(161=$AD$1+7,"เจ้าหน้าที่ขนส่ง",IF($AB168="G",SUM($AF$8:$AF$407),IF(OR($AB168="",$AB168="R"),"",IF($AB168="D",INDEX($AF$8:$AF$407,$AA168),SUMIF($T$8:$T$407,INDEX($T$8:$T$407,$AA168),$AF$8:$AF$407)))))))</f>
        <v/>
      </c>
      <c r="F168" s="32">
        <f>IF($AB168="G",SUM($AG$8:$AG$407),IF(OR($AB168="",$AB168="R"),"",IF($AB168="D",INDEX($AG$8:$AG$407,$AA168),SUMIF($T$8:$T$407,INDEX($T$8:$T$407,$AA168),$AG$8:$AG$407))))</f>
        <v/>
      </c>
      <c r="G168" s="32">
        <f>IF(OR($AB168="",$AB168="R"),"",ROUND($E168-$F168,2))</f>
        <v/>
      </c>
      <c r="H168" s="32">
        <f>IF($AB168="G",SUM($AH$8:$AH$407),IF(OR($AB168="",$AB168="R"),"",IF($AB168="D",INDEX($AH$8:$AH$407,$AA168),SUMIF($T$8:$T$407,INDEX($T$8:$T$407,$AA168),$AH$8:$AH$407))))</f>
        <v/>
      </c>
      <c r="J168">
        <f>IFERROR(MATCH(161,บันทึกรายเที่ยว!$W$6:$W$6005,0),"")</f>
        <v/>
      </c>
      <c r="K168">
        <f>IF($J168="","",INDEX(บันทึกรายเที่ยว!$T$6:$T$6005,$J168))</f>
        <v/>
      </c>
      <c r="L168">
        <f>IF($J168="","",INDEX(บันทึกรายเที่ยว!$S$6:$S$6005,$J168))</f>
        <v/>
      </c>
      <c r="M168">
        <f>IF($J168="","",INDEX(บันทึกรายเที่ยว!$R$6:$R$6005,$J168))</f>
        <v/>
      </c>
      <c r="N168">
        <f>IF($J168="","",MATCH($M168,บันทึกรายเที่ยว!$R$6:$R$6005,0))</f>
        <v/>
      </c>
      <c r="O168">
        <f>IF($J168="","",MATCH($L168,บันทึกรายเที่ยว!$S$6:$S$6005,0))</f>
        <v/>
      </c>
      <c r="P168">
        <f>IF($J168="","",IF(AND(OR($I$3="(ทั้งหมด)",INDEX(บันทึกรายเที่ยว!$C$6:$C$6005,$J168)=$I$3),OR($I$5="(ทั้งหมด)",INDEX(บันทึกรายเที่ยว!$D$6:$D$6005,$J168)=$I$5),OR($I$7="(ทั้งหมด)",INDEX(บันทึกรายเที่ยว!$F$6:$F$6005,$J168)=$I$7)),$N168*10000000+$O168*1000+161,""))</f>
        <v/>
      </c>
      <c r="Q168">
        <f>IFERROR(MATCH(SMALL($P$8:$P$407,161),$P$8:$P$407,0),"")</f>
        <v/>
      </c>
      <c r="R168">
        <f>IF($Q168="","",INDEX($J$8:$J$407,$Q168))</f>
        <v/>
      </c>
      <c r="S168">
        <f>IF($Q168="","",INDEX($M$8:$M$407,$Q168))</f>
        <v/>
      </c>
      <c r="T168">
        <f>IF($Q168="","",INDEX($L$8:$L$407,$Q168))</f>
        <v/>
      </c>
      <c r="U168">
        <f>IF($Q168="","",INDEX($K$8:$K$407,$Q168))</f>
        <v/>
      </c>
      <c r="V168">
        <f>IF($Q168="",0,IF($S168&lt;&gt;$S167,1,0))</f>
        <v/>
      </c>
      <c r="W168">
        <f>IF($Q168="",0,IF($T168&lt;&gt;$T167,1,0))</f>
        <v/>
      </c>
      <c r="X168">
        <f>IF($Q168="",99999+161,$X167+1+$V167+$W167)</f>
        <v/>
      </c>
      <c r="Y168">
        <f>IF($Q168="","",INDEX(บันทึกรายเที่ยว!$Q$6:$Q$6005,$R168))</f>
        <v/>
      </c>
      <c r="Z168">
        <f>IF($Q168="","",INDEX(บันทึกรายเที่ยว!$F$6:$F$6005,$R168))</f>
        <v/>
      </c>
      <c r="AA168">
        <f>IFERROR(MATCH(161,$X$8:$X$407,1),"")</f>
        <v/>
      </c>
      <c r="AB168">
        <f>IF(161=$AD$1+1,"G",IF($AA168="","",IF(INDEX($Q$8:$Q$407,$AA168)="","",IF(161&gt;INDEX($X$8:$X$407,$AA168)+INDEX($V$8:$V$407,$AA168)+INDEX($W$8:$W$407,$AA168),"",IF(161=INDEX($X$8:$X$407,$AA168)+INDEX($V$8:$V$407,$AA168)+INDEX($W$8:$W$407,$AA168),"D",IF(AND(INDEX($W$8:$W$407,$AA168)=1,161=INDEX($X$8:$X$407,$AA168)+INDEX($V$8:$V$407,$AA168)),"S","R"))))))</f>
        <v/>
      </c>
      <c r="AC168">
        <f>IF(OR($AB168="",$AB168="G"),"",IF($AB168="D",INDEX($U$8:$U$407,$AA168),IF($AB168="S",INDEX($T$8:$T$407,$AA168)&amp;"|*",INDEX($S$8:$S$407,$AA168)&amp;"|*")))</f>
        <v/>
      </c>
      <c r="AE168">
        <f>IF($U168="",0,COUNTIF(บันทึกรายเที่ยว!$T$6:$T$6005,$U168))</f>
        <v/>
      </c>
      <c r="AF168">
        <f>IF($U168="",0,ROUND(SUMIF(บันทึกรายเที่ยว!$T$6:$T$6005,$U168,บันทึกรายเที่ยว!$J$6:$J$6005),2))</f>
        <v/>
      </c>
      <c r="AG168">
        <f>IF($U168="",0,ROUND(SUMIF(บันทึกรายเที่ยว!$T$6:$T$6005,$U168,บันทึกรายเที่ยว!$K$6:$K$6005),2))</f>
        <v/>
      </c>
      <c r="AH168">
        <f>IF($U168="",0,ROUND(SUMIF(บันทึกรายเที่ยว!$T$6:$T$6005,$U168,บันทึกรายเที่ยว!$M$6:$M$6005),2))</f>
        <v/>
      </c>
    </row>
    <row r="169" ht="21" customHeight="1" s="66">
      <c r="A169" s="3">
        <f>IF($AB169="G","ผลรวมทั้งหมด",IF($AB169="R",INDEX($S$8:$S$407,$AA169),""))</f>
        <v/>
      </c>
      <c r="B169" s="3">
        <f>IF($AB169="S",INDEX($Y$8:$Y$407,$AA169),"")</f>
        <v/>
      </c>
      <c r="C169" s="68">
        <f>IF($AB169="D",INDEX($Z$8:$Z$407,$AA169),"")</f>
        <v/>
      </c>
      <c r="D169" s="31">
        <f>IF($AB169="G",SUM($AE$8:$AE$407),IF(OR($AB169="",$AB169="R"),"",IF($AB169="D",INDEX($AE$8:$AE$407,$AA169),SUMIF($T$8:$T$407,INDEX($T$8:$T$407,$AA169),$AE$8:$AE$407))))</f>
        <v/>
      </c>
      <c r="E169" s="32">
        <f>IF(162=$AD$1+3,"ขอแสดงความนับถือ",IF(162=$AD$1+6,"(                 )",IF(162=$AD$1+7,"เจ้าหน้าที่ขนส่ง",IF($AB169="G",SUM($AF$8:$AF$407),IF(OR($AB169="",$AB169="R"),"",IF($AB169="D",INDEX($AF$8:$AF$407,$AA169),SUMIF($T$8:$T$407,INDEX($T$8:$T$407,$AA169),$AF$8:$AF$407)))))))</f>
        <v/>
      </c>
      <c r="F169" s="32">
        <f>IF($AB169="G",SUM($AG$8:$AG$407),IF(OR($AB169="",$AB169="R"),"",IF($AB169="D",INDEX($AG$8:$AG$407,$AA169),SUMIF($T$8:$T$407,INDEX($T$8:$T$407,$AA169),$AG$8:$AG$407))))</f>
        <v/>
      </c>
      <c r="G169" s="32">
        <f>IF(OR($AB169="",$AB169="R"),"",ROUND($E169-$F169,2))</f>
        <v/>
      </c>
      <c r="H169" s="32">
        <f>IF($AB169="G",SUM($AH$8:$AH$407),IF(OR($AB169="",$AB169="R"),"",IF($AB169="D",INDEX($AH$8:$AH$407,$AA169),SUMIF($T$8:$T$407,INDEX($T$8:$T$407,$AA169),$AH$8:$AH$407))))</f>
        <v/>
      </c>
      <c r="J169">
        <f>IFERROR(MATCH(162,บันทึกรายเที่ยว!$W$6:$W$6005,0),"")</f>
        <v/>
      </c>
      <c r="K169">
        <f>IF($J169="","",INDEX(บันทึกรายเที่ยว!$T$6:$T$6005,$J169))</f>
        <v/>
      </c>
      <c r="L169">
        <f>IF($J169="","",INDEX(บันทึกรายเที่ยว!$S$6:$S$6005,$J169))</f>
        <v/>
      </c>
      <c r="M169">
        <f>IF($J169="","",INDEX(บันทึกรายเที่ยว!$R$6:$R$6005,$J169))</f>
        <v/>
      </c>
      <c r="N169">
        <f>IF($J169="","",MATCH($M169,บันทึกรายเที่ยว!$R$6:$R$6005,0))</f>
        <v/>
      </c>
      <c r="O169">
        <f>IF($J169="","",MATCH($L169,บันทึกรายเที่ยว!$S$6:$S$6005,0))</f>
        <v/>
      </c>
      <c r="P169">
        <f>IF($J169="","",IF(AND(OR($I$3="(ทั้งหมด)",INDEX(บันทึกรายเที่ยว!$C$6:$C$6005,$J169)=$I$3),OR($I$5="(ทั้งหมด)",INDEX(บันทึกรายเที่ยว!$D$6:$D$6005,$J169)=$I$5),OR($I$7="(ทั้งหมด)",INDEX(บันทึกรายเที่ยว!$F$6:$F$6005,$J169)=$I$7)),$N169*10000000+$O169*1000+162,""))</f>
        <v/>
      </c>
      <c r="Q169">
        <f>IFERROR(MATCH(SMALL($P$8:$P$407,162),$P$8:$P$407,0),"")</f>
        <v/>
      </c>
      <c r="R169">
        <f>IF($Q169="","",INDEX($J$8:$J$407,$Q169))</f>
        <v/>
      </c>
      <c r="S169">
        <f>IF($Q169="","",INDEX($M$8:$M$407,$Q169))</f>
        <v/>
      </c>
      <c r="T169">
        <f>IF($Q169="","",INDEX($L$8:$L$407,$Q169))</f>
        <v/>
      </c>
      <c r="U169">
        <f>IF($Q169="","",INDEX($K$8:$K$407,$Q169))</f>
        <v/>
      </c>
      <c r="V169">
        <f>IF($Q169="",0,IF($S169&lt;&gt;$S168,1,0))</f>
        <v/>
      </c>
      <c r="W169">
        <f>IF($Q169="",0,IF($T169&lt;&gt;$T168,1,0))</f>
        <v/>
      </c>
      <c r="X169">
        <f>IF($Q169="",99999+162,$X168+1+$V168+$W168)</f>
        <v/>
      </c>
      <c r="Y169">
        <f>IF($Q169="","",INDEX(บันทึกรายเที่ยว!$Q$6:$Q$6005,$R169))</f>
        <v/>
      </c>
      <c r="Z169">
        <f>IF($Q169="","",INDEX(บันทึกรายเที่ยว!$F$6:$F$6005,$R169))</f>
        <v/>
      </c>
      <c r="AA169">
        <f>IFERROR(MATCH(162,$X$8:$X$407,1),"")</f>
        <v/>
      </c>
      <c r="AB169">
        <f>IF(162=$AD$1+1,"G",IF($AA169="","",IF(INDEX($Q$8:$Q$407,$AA169)="","",IF(162&gt;INDEX($X$8:$X$407,$AA169)+INDEX($V$8:$V$407,$AA169)+INDEX($W$8:$W$407,$AA169),"",IF(162=INDEX($X$8:$X$407,$AA169)+INDEX($V$8:$V$407,$AA169)+INDEX($W$8:$W$407,$AA169),"D",IF(AND(INDEX($W$8:$W$407,$AA169)=1,162=INDEX($X$8:$X$407,$AA169)+INDEX($V$8:$V$407,$AA169)),"S","R"))))))</f>
        <v/>
      </c>
      <c r="AC169">
        <f>IF(OR($AB169="",$AB169="G"),"",IF($AB169="D",INDEX($U$8:$U$407,$AA169),IF($AB169="S",INDEX($T$8:$T$407,$AA169)&amp;"|*",INDEX($S$8:$S$407,$AA169)&amp;"|*")))</f>
        <v/>
      </c>
      <c r="AE169">
        <f>IF($U169="",0,COUNTIF(บันทึกรายเที่ยว!$T$6:$T$6005,$U169))</f>
        <v/>
      </c>
      <c r="AF169">
        <f>IF($U169="",0,ROUND(SUMIF(บันทึกรายเที่ยว!$T$6:$T$6005,$U169,บันทึกรายเที่ยว!$J$6:$J$6005),2))</f>
        <v/>
      </c>
      <c r="AG169">
        <f>IF($U169="",0,ROUND(SUMIF(บันทึกรายเที่ยว!$T$6:$T$6005,$U169,บันทึกรายเที่ยว!$K$6:$K$6005),2))</f>
        <v/>
      </c>
      <c r="AH169">
        <f>IF($U169="",0,ROUND(SUMIF(บันทึกรายเที่ยว!$T$6:$T$6005,$U169,บันทึกรายเที่ยว!$M$6:$M$6005),2))</f>
        <v/>
      </c>
    </row>
    <row r="170" ht="21" customHeight="1" s="66">
      <c r="A170" s="3">
        <f>IF($AB170="G","ผลรวมทั้งหมด",IF($AB170="R",INDEX($S$8:$S$407,$AA170),""))</f>
        <v/>
      </c>
      <c r="B170" s="3">
        <f>IF($AB170="S",INDEX($Y$8:$Y$407,$AA170),"")</f>
        <v/>
      </c>
      <c r="C170" s="68">
        <f>IF($AB170="D",INDEX($Z$8:$Z$407,$AA170),"")</f>
        <v/>
      </c>
      <c r="D170" s="31">
        <f>IF($AB170="G",SUM($AE$8:$AE$407),IF(OR($AB170="",$AB170="R"),"",IF($AB170="D",INDEX($AE$8:$AE$407,$AA170),SUMIF($T$8:$T$407,INDEX($T$8:$T$407,$AA170),$AE$8:$AE$407))))</f>
        <v/>
      </c>
      <c r="E170" s="32">
        <f>IF(163=$AD$1+3,"ขอแสดงความนับถือ",IF(163=$AD$1+6,"(                 )",IF(163=$AD$1+7,"เจ้าหน้าที่ขนส่ง",IF($AB170="G",SUM($AF$8:$AF$407),IF(OR($AB170="",$AB170="R"),"",IF($AB170="D",INDEX($AF$8:$AF$407,$AA170),SUMIF($T$8:$T$407,INDEX($T$8:$T$407,$AA170),$AF$8:$AF$407)))))))</f>
        <v/>
      </c>
      <c r="F170" s="32">
        <f>IF($AB170="G",SUM($AG$8:$AG$407),IF(OR($AB170="",$AB170="R"),"",IF($AB170="D",INDEX($AG$8:$AG$407,$AA170),SUMIF($T$8:$T$407,INDEX($T$8:$T$407,$AA170),$AG$8:$AG$407))))</f>
        <v/>
      </c>
      <c r="G170" s="32">
        <f>IF(OR($AB170="",$AB170="R"),"",ROUND($E170-$F170,2))</f>
        <v/>
      </c>
      <c r="H170" s="32">
        <f>IF($AB170="G",SUM($AH$8:$AH$407),IF(OR($AB170="",$AB170="R"),"",IF($AB170="D",INDEX($AH$8:$AH$407,$AA170),SUMIF($T$8:$T$407,INDEX($T$8:$T$407,$AA170),$AH$8:$AH$407))))</f>
        <v/>
      </c>
      <c r="J170">
        <f>IFERROR(MATCH(163,บันทึกรายเที่ยว!$W$6:$W$6005,0),"")</f>
        <v/>
      </c>
      <c r="K170">
        <f>IF($J170="","",INDEX(บันทึกรายเที่ยว!$T$6:$T$6005,$J170))</f>
        <v/>
      </c>
      <c r="L170">
        <f>IF($J170="","",INDEX(บันทึกรายเที่ยว!$S$6:$S$6005,$J170))</f>
        <v/>
      </c>
      <c r="M170">
        <f>IF($J170="","",INDEX(บันทึกรายเที่ยว!$R$6:$R$6005,$J170))</f>
        <v/>
      </c>
      <c r="N170">
        <f>IF($J170="","",MATCH($M170,บันทึกรายเที่ยว!$R$6:$R$6005,0))</f>
        <v/>
      </c>
      <c r="O170">
        <f>IF($J170="","",MATCH($L170,บันทึกรายเที่ยว!$S$6:$S$6005,0))</f>
        <v/>
      </c>
      <c r="P170">
        <f>IF($J170="","",IF(AND(OR($I$3="(ทั้งหมด)",INDEX(บันทึกรายเที่ยว!$C$6:$C$6005,$J170)=$I$3),OR($I$5="(ทั้งหมด)",INDEX(บันทึกรายเที่ยว!$D$6:$D$6005,$J170)=$I$5),OR($I$7="(ทั้งหมด)",INDEX(บันทึกรายเที่ยว!$F$6:$F$6005,$J170)=$I$7)),$N170*10000000+$O170*1000+163,""))</f>
        <v/>
      </c>
      <c r="Q170">
        <f>IFERROR(MATCH(SMALL($P$8:$P$407,163),$P$8:$P$407,0),"")</f>
        <v/>
      </c>
      <c r="R170">
        <f>IF($Q170="","",INDEX($J$8:$J$407,$Q170))</f>
        <v/>
      </c>
      <c r="S170">
        <f>IF($Q170="","",INDEX($M$8:$M$407,$Q170))</f>
        <v/>
      </c>
      <c r="T170">
        <f>IF($Q170="","",INDEX($L$8:$L$407,$Q170))</f>
        <v/>
      </c>
      <c r="U170">
        <f>IF($Q170="","",INDEX($K$8:$K$407,$Q170))</f>
        <v/>
      </c>
      <c r="V170">
        <f>IF($Q170="",0,IF($S170&lt;&gt;$S169,1,0))</f>
        <v/>
      </c>
      <c r="W170">
        <f>IF($Q170="",0,IF($T170&lt;&gt;$T169,1,0))</f>
        <v/>
      </c>
      <c r="X170">
        <f>IF($Q170="",99999+163,$X169+1+$V169+$W169)</f>
        <v/>
      </c>
      <c r="Y170">
        <f>IF($Q170="","",INDEX(บันทึกรายเที่ยว!$Q$6:$Q$6005,$R170))</f>
        <v/>
      </c>
      <c r="Z170">
        <f>IF($Q170="","",INDEX(บันทึกรายเที่ยว!$F$6:$F$6005,$R170))</f>
        <v/>
      </c>
      <c r="AA170">
        <f>IFERROR(MATCH(163,$X$8:$X$407,1),"")</f>
        <v/>
      </c>
      <c r="AB170">
        <f>IF(163=$AD$1+1,"G",IF($AA170="","",IF(INDEX($Q$8:$Q$407,$AA170)="","",IF(163&gt;INDEX($X$8:$X$407,$AA170)+INDEX($V$8:$V$407,$AA170)+INDEX($W$8:$W$407,$AA170),"",IF(163=INDEX($X$8:$X$407,$AA170)+INDEX($V$8:$V$407,$AA170)+INDEX($W$8:$W$407,$AA170),"D",IF(AND(INDEX($W$8:$W$407,$AA170)=1,163=INDEX($X$8:$X$407,$AA170)+INDEX($V$8:$V$407,$AA170)),"S","R"))))))</f>
        <v/>
      </c>
      <c r="AC170">
        <f>IF(OR($AB170="",$AB170="G"),"",IF($AB170="D",INDEX($U$8:$U$407,$AA170),IF($AB170="S",INDEX($T$8:$T$407,$AA170)&amp;"|*",INDEX($S$8:$S$407,$AA170)&amp;"|*")))</f>
        <v/>
      </c>
      <c r="AE170">
        <f>IF($U170="",0,COUNTIF(บันทึกรายเที่ยว!$T$6:$T$6005,$U170))</f>
        <v/>
      </c>
      <c r="AF170">
        <f>IF($U170="",0,ROUND(SUMIF(บันทึกรายเที่ยว!$T$6:$T$6005,$U170,บันทึกรายเที่ยว!$J$6:$J$6005),2))</f>
        <v/>
      </c>
      <c r="AG170">
        <f>IF($U170="",0,ROUND(SUMIF(บันทึกรายเที่ยว!$T$6:$T$6005,$U170,บันทึกรายเที่ยว!$K$6:$K$6005),2))</f>
        <v/>
      </c>
      <c r="AH170">
        <f>IF($U170="",0,ROUND(SUMIF(บันทึกรายเที่ยว!$T$6:$T$6005,$U170,บันทึกรายเที่ยว!$M$6:$M$6005),2))</f>
        <v/>
      </c>
    </row>
    <row r="171" ht="21" customHeight="1" s="66">
      <c r="A171" s="3">
        <f>IF($AB171="G","ผลรวมทั้งหมด",IF($AB171="R",INDEX($S$8:$S$407,$AA171),""))</f>
        <v/>
      </c>
      <c r="B171" s="3">
        <f>IF($AB171="S",INDEX($Y$8:$Y$407,$AA171),"")</f>
        <v/>
      </c>
      <c r="C171" s="68">
        <f>IF($AB171="D",INDEX($Z$8:$Z$407,$AA171),"")</f>
        <v/>
      </c>
      <c r="D171" s="31">
        <f>IF($AB171="G",SUM($AE$8:$AE$407),IF(OR($AB171="",$AB171="R"),"",IF($AB171="D",INDEX($AE$8:$AE$407,$AA171),SUMIF($T$8:$T$407,INDEX($T$8:$T$407,$AA171),$AE$8:$AE$407))))</f>
        <v/>
      </c>
      <c r="E171" s="32">
        <f>IF(164=$AD$1+3,"ขอแสดงความนับถือ",IF(164=$AD$1+6,"(                 )",IF(164=$AD$1+7,"เจ้าหน้าที่ขนส่ง",IF($AB171="G",SUM($AF$8:$AF$407),IF(OR($AB171="",$AB171="R"),"",IF($AB171="D",INDEX($AF$8:$AF$407,$AA171),SUMIF($T$8:$T$407,INDEX($T$8:$T$407,$AA171),$AF$8:$AF$407)))))))</f>
        <v/>
      </c>
      <c r="F171" s="32">
        <f>IF($AB171="G",SUM($AG$8:$AG$407),IF(OR($AB171="",$AB171="R"),"",IF($AB171="D",INDEX($AG$8:$AG$407,$AA171),SUMIF($T$8:$T$407,INDEX($T$8:$T$407,$AA171),$AG$8:$AG$407))))</f>
        <v/>
      </c>
      <c r="G171" s="32">
        <f>IF(OR($AB171="",$AB171="R"),"",ROUND($E171-$F171,2))</f>
        <v/>
      </c>
      <c r="H171" s="32">
        <f>IF($AB171="G",SUM($AH$8:$AH$407),IF(OR($AB171="",$AB171="R"),"",IF($AB171="D",INDEX($AH$8:$AH$407,$AA171),SUMIF($T$8:$T$407,INDEX($T$8:$T$407,$AA171),$AH$8:$AH$407))))</f>
        <v/>
      </c>
      <c r="J171">
        <f>IFERROR(MATCH(164,บันทึกรายเที่ยว!$W$6:$W$6005,0),"")</f>
        <v/>
      </c>
      <c r="K171">
        <f>IF($J171="","",INDEX(บันทึกรายเที่ยว!$T$6:$T$6005,$J171))</f>
        <v/>
      </c>
      <c r="L171">
        <f>IF($J171="","",INDEX(บันทึกรายเที่ยว!$S$6:$S$6005,$J171))</f>
        <v/>
      </c>
      <c r="M171">
        <f>IF($J171="","",INDEX(บันทึกรายเที่ยว!$R$6:$R$6005,$J171))</f>
        <v/>
      </c>
      <c r="N171">
        <f>IF($J171="","",MATCH($M171,บันทึกรายเที่ยว!$R$6:$R$6005,0))</f>
        <v/>
      </c>
      <c r="O171">
        <f>IF($J171="","",MATCH($L171,บันทึกรายเที่ยว!$S$6:$S$6005,0))</f>
        <v/>
      </c>
      <c r="P171">
        <f>IF($J171="","",IF(AND(OR($I$3="(ทั้งหมด)",INDEX(บันทึกรายเที่ยว!$C$6:$C$6005,$J171)=$I$3),OR($I$5="(ทั้งหมด)",INDEX(บันทึกรายเที่ยว!$D$6:$D$6005,$J171)=$I$5),OR($I$7="(ทั้งหมด)",INDEX(บันทึกรายเที่ยว!$F$6:$F$6005,$J171)=$I$7)),$N171*10000000+$O171*1000+164,""))</f>
        <v/>
      </c>
      <c r="Q171">
        <f>IFERROR(MATCH(SMALL($P$8:$P$407,164),$P$8:$P$407,0),"")</f>
        <v/>
      </c>
      <c r="R171">
        <f>IF($Q171="","",INDEX($J$8:$J$407,$Q171))</f>
        <v/>
      </c>
      <c r="S171">
        <f>IF($Q171="","",INDEX($M$8:$M$407,$Q171))</f>
        <v/>
      </c>
      <c r="T171">
        <f>IF($Q171="","",INDEX($L$8:$L$407,$Q171))</f>
        <v/>
      </c>
      <c r="U171">
        <f>IF($Q171="","",INDEX($K$8:$K$407,$Q171))</f>
        <v/>
      </c>
      <c r="V171">
        <f>IF($Q171="",0,IF($S171&lt;&gt;$S170,1,0))</f>
        <v/>
      </c>
      <c r="W171">
        <f>IF($Q171="",0,IF($T171&lt;&gt;$T170,1,0))</f>
        <v/>
      </c>
      <c r="X171">
        <f>IF($Q171="",99999+164,$X170+1+$V170+$W170)</f>
        <v/>
      </c>
      <c r="Y171">
        <f>IF($Q171="","",INDEX(บันทึกรายเที่ยว!$Q$6:$Q$6005,$R171))</f>
        <v/>
      </c>
      <c r="Z171">
        <f>IF($Q171="","",INDEX(บันทึกรายเที่ยว!$F$6:$F$6005,$R171))</f>
        <v/>
      </c>
      <c r="AA171">
        <f>IFERROR(MATCH(164,$X$8:$X$407,1),"")</f>
        <v/>
      </c>
      <c r="AB171">
        <f>IF(164=$AD$1+1,"G",IF($AA171="","",IF(INDEX($Q$8:$Q$407,$AA171)="","",IF(164&gt;INDEX($X$8:$X$407,$AA171)+INDEX($V$8:$V$407,$AA171)+INDEX($W$8:$W$407,$AA171),"",IF(164=INDEX($X$8:$X$407,$AA171)+INDEX($V$8:$V$407,$AA171)+INDEX($W$8:$W$407,$AA171),"D",IF(AND(INDEX($W$8:$W$407,$AA171)=1,164=INDEX($X$8:$X$407,$AA171)+INDEX($V$8:$V$407,$AA171)),"S","R"))))))</f>
        <v/>
      </c>
      <c r="AC171">
        <f>IF(OR($AB171="",$AB171="G"),"",IF($AB171="D",INDEX($U$8:$U$407,$AA171),IF($AB171="S",INDEX($T$8:$T$407,$AA171)&amp;"|*",INDEX($S$8:$S$407,$AA171)&amp;"|*")))</f>
        <v/>
      </c>
      <c r="AE171">
        <f>IF($U171="",0,COUNTIF(บันทึกรายเที่ยว!$T$6:$T$6005,$U171))</f>
        <v/>
      </c>
      <c r="AF171">
        <f>IF($U171="",0,ROUND(SUMIF(บันทึกรายเที่ยว!$T$6:$T$6005,$U171,บันทึกรายเที่ยว!$J$6:$J$6005),2))</f>
        <v/>
      </c>
      <c r="AG171">
        <f>IF($U171="",0,ROUND(SUMIF(บันทึกรายเที่ยว!$T$6:$T$6005,$U171,บันทึกรายเที่ยว!$K$6:$K$6005),2))</f>
        <v/>
      </c>
      <c r="AH171">
        <f>IF($U171="",0,ROUND(SUMIF(บันทึกรายเที่ยว!$T$6:$T$6005,$U171,บันทึกรายเที่ยว!$M$6:$M$6005),2))</f>
        <v/>
      </c>
    </row>
    <row r="172" ht="21" customHeight="1" s="66">
      <c r="A172" s="3">
        <f>IF($AB172="G","ผลรวมทั้งหมด",IF($AB172="R",INDEX($S$8:$S$407,$AA172),""))</f>
        <v/>
      </c>
      <c r="B172" s="3">
        <f>IF($AB172="S",INDEX($Y$8:$Y$407,$AA172),"")</f>
        <v/>
      </c>
      <c r="C172" s="68">
        <f>IF($AB172="D",INDEX($Z$8:$Z$407,$AA172),"")</f>
        <v/>
      </c>
      <c r="D172" s="31">
        <f>IF($AB172="G",SUM($AE$8:$AE$407),IF(OR($AB172="",$AB172="R"),"",IF($AB172="D",INDEX($AE$8:$AE$407,$AA172),SUMIF($T$8:$T$407,INDEX($T$8:$T$407,$AA172),$AE$8:$AE$407))))</f>
        <v/>
      </c>
      <c r="E172" s="32">
        <f>IF(165=$AD$1+3,"ขอแสดงความนับถือ",IF(165=$AD$1+6,"(                 )",IF(165=$AD$1+7,"เจ้าหน้าที่ขนส่ง",IF($AB172="G",SUM($AF$8:$AF$407),IF(OR($AB172="",$AB172="R"),"",IF($AB172="D",INDEX($AF$8:$AF$407,$AA172),SUMIF($T$8:$T$407,INDEX($T$8:$T$407,$AA172),$AF$8:$AF$407)))))))</f>
        <v/>
      </c>
      <c r="F172" s="32">
        <f>IF($AB172="G",SUM($AG$8:$AG$407),IF(OR($AB172="",$AB172="R"),"",IF($AB172="D",INDEX($AG$8:$AG$407,$AA172),SUMIF($T$8:$T$407,INDEX($T$8:$T$407,$AA172),$AG$8:$AG$407))))</f>
        <v/>
      </c>
      <c r="G172" s="32">
        <f>IF(OR($AB172="",$AB172="R"),"",ROUND($E172-$F172,2))</f>
        <v/>
      </c>
      <c r="H172" s="32">
        <f>IF($AB172="G",SUM($AH$8:$AH$407),IF(OR($AB172="",$AB172="R"),"",IF($AB172="D",INDEX($AH$8:$AH$407,$AA172),SUMIF($T$8:$T$407,INDEX($T$8:$T$407,$AA172),$AH$8:$AH$407))))</f>
        <v/>
      </c>
      <c r="J172">
        <f>IFERROR(MATCH(165,บันทึกรายเที่ยว!$W$6:$W$6005,0),"")</f>
        <v/>
      </c>
      <c r="K172">
        <f>IF($J172="","",INDEX(บันทึกรายเที่ยว!$T$6:$T$6005,$J172))</f>
        <v/>
      </c>
      <c r="L172">
        <f>IF($J172="","",INDEX(บันทึกรายเที่ยว!$S$6:$S$6005,$J172))</f>
        <v/>
      </c>
      <c r="M172">
        <f>IF($J172="","",INDEX(บันทึกรายเที่ยว!$R$6:$R$6005,$J172))</f>
        <v/>
      </c>
      <c r="N172">
        <f>IF($J172="","",MATCH($M172,บันทึกรายเที่ยว!$R$6:$R$6005,0))</f>
        <v/>
      </c>
      <c r="O172">
        <f>IF($J172="","",MATCH($L172,บันทึกรายเที่ยว!$S$6:$S$6005,0))</f>
        <v/>
      </c>
      <c r="P172">
        <f>IF($J172="","",IF(AND(OR($I$3="(ทั้งหมด)",INDEX(บันทึกรายเที่ยว!$C$6:$C$6005,$J172)=$I$3),OR($I$5="(ทั้งหมด)",INDEX(บันทึกรายเที่ยว!$D$6:$D$6005,$J172)=$I$5),OR($I$7="(ทั้งหมด)",INDEX(บันทึกรายเที่ยว!$F$6:$F$6005,$J172)=$I$7)),$N172*10000000+$O172*1000+165,""))</f>
        <v/>
      </c>
      <c r="Q172">
        <f>IFERROR(MATCH(SMALL($P$8:$P$407,165),$P$8:$P$407,0),"")</f>
        <v/>
      </c>
      <c r="R172">
        <f>IF($Q172="","",INDEX($J$8:$J$407,$Q172))</f>
        <v/>
      </c>
      <c r="S172">
        <f>IF($Q172="","",INDEX($M$8:$M$407,$Q172))</f>
        <v/>
      </c>
      <c r="T172">
        <f>IF($Q172="","",INDEX($L$8:$L$407,$Q172))</f>
        <v/>
      </c>
      <c r="U172">
        <f>IF($Q172="","",INDEX($K$8:$K$407,$Q172))</f>
        <v/>
      </c>
      <c r="V172">
        <f>IF($Q172="",0,IF($S172&lt;&gt;$S171,1,0))</f>
        <v/>
      </c>
      <c r="W172">
        <f>IF($Q172="",0,IF($T172&lt;&gt;$T171,1,0))</f>
        <v/>
      </c>
      <c r="X172">
        <f>IF($Q172="",99999+165,$X171+1+$V171+$W171)</f>
        <v/>
      </c>
      <c r="Y172">
        <f>IF($Q172="","",INDEX(บันทึกรายเที่ยว!$Q$6:$Q$6005,$R172))</f>
        <v/>
      </c>
      <c r="Z172">
        <f>IF($Q172="","",INDEX(บันทึกรายเที่ยว!$F$6:$F$6005,$R172))</f>
        <v/>
      </c>
      <c r="AA172">
        <f>IFERROR(MATCH(165,$X$8:$X$407,1),"")</f>
        <v/>
      </c>
      <c r="AB172">
        <f>IF(165=$AD$1+1,"G",IF($AA172="","",IF(INDEX($Q$8:$Q$407,$AA172)="","",IF(165&gt;INDEX($X$8:$X$407,$AA172)+INDEX($V$8:$V$407,$AA172)+INDEX($W$8:$W$407,$AA172),"",IF(165=INDEX($X$8:$X$407,$AA172)+INDEX($V$8:$V$407,$AA172)+INDEX($W$8:$W$407,$AA172),"D",IF(AND(INDEX($W$8:$W$407,$AA172)=1,165=INDEX($X$8:$X$407,$AA172)+INDEX($V$8:$V$407,$AA172)),"S","R"))))))</f>
        <v/>
      </c>
      <c r="AC172">
        <f>IF(OR($AB172="",$AB172="G"),"",IF($AB172="D",INDEX($U$8:$U$407,$AA172),IF($AB172="S",INDEX($T$8:$T$407,$AA172)&amp;"|*",INDEX($S$8:$S$407,$AA172)&amp;"|*")))</f>
        <v/>
      </c>
      <c r="AE172">
        <f>IF($U172="",0,COUNTIF(บันทึกรายเที่ยว!$T$6:$T$6005,$U172))</f>
        <v/>
      </c>
      <c r="AF172">
        <f>IF($U172="",0,ROUND(SUMIF(บันทึกรายเที่ยว!$T$6:$T$6005,$U172,บันทึกรายเที่ยว!$J$6:$J$6005),2))</f>
        <v/>
      </c>
      <c r="AG172">
        <f>IF($U172="",0,ROUND(SUMIF(บันทึกรายเที่ยว!$T$6:$T$6005,$U172,บันทึกรายเที่ยว!$K$6:$K$6005),2))</f>
        <v/>
      </c>
      <c r="AH172">
        <f>IF($U172="",0,ROUND(SUMIF(บันทึกรายเที่ยว!$T$6:$T$6005,$U172,บันทึกรายเที่ยว!$M$6:$M$6005),2))</f>
        <v/>
      </c>
    </row>
    <row r="173" ht="21" customHeight="1" s="66">
      <c r="A173" s="3">
        <f>IF($AB173="G","ผลรวมทั้งหมด",IF($AB173="R",INDEX($S$8:$S$407,$AA173),""))</f>
        <v/>
      </c>
      <c r="B173" s="3">
        <f>IF($AB173="S",INDEX($Y$8:$Y$407,$AA173),"")</f>
        <v/>
      </c>
      <c r="C173" s="68">
        <f>IF($AB173="D",INDEX($Z$8:$Z$407,$AA173),"")</f>
        <v/>
      </c>
      <c r="D173" s="31">
        <f>IF($AB173="G",SUM($AE$8:$AE$407),IF(OR($AB173="",$AB173="R"),"",IF($AB173="D",INDEX($AE$8:$AE$407,$AA173),SUMIF($T$8:$T$407,INDEX($T$8:$T$407,$AA173),$AE$8:$AE$407))))</f>
        <v/>
      </c>
      <c r="E173" s="32">
        <f>IF(166=$AD$1+3,"ขอแสดงความนับถือ",IF(166=$AD$1+6,"(                 )",IF(166=$AD$1+7,"เจ้าหน้าที่ขนส่ง",IF($AB173="G",SUM($AF$8:$AF$407),IF(OR($AB173="",$AB173="R"),"",IF($AB173="D",INDEX($AF$8:$AF$407,$AA173),SUMIF($T$8:$T$407,INDEX($T$8:$T$407,$AA173),$AF$8:$AF$407)))))))</f>
        <v/>
      </c>
      <c r="F173" s="32">
        <f>IF($AB173="G",SUM($AG$8:$AG$407),IF(OR($AB173="",$AB173="R"),"",IF($AB173="D",INDEX($AG$8:$AG$407,$AA173),SUMIF($T$8:$T$407,INDEX($T$8:$T$407,$AA173),$AG$8:$AG$407))))</f>
        <v/>
      </c>
      <c r="G173" s="32">
        <f>IF(OR($AB173="",$AB173="R"),"",ROUND($E173-$F173,2))</f>
        <v/>
      </c>
      <c r="H173" s="32">
        <f>IF($AB173="G",SUM($AH$8:$AH$407),IF(OR($AB173="",$AB173="R"),"",IF($AB173="D",INDEX($AH$8:$AH$407,$AA173),SUMIF($T$8:$T$407,INDEX($T$8:$T$407,$AA173),$AH$8:$AH$407))))</f>
        <v/>
      </c>
      <c r="J173">
        <f>IFERROR(MATCH(166,บันทึกรายเที่ยว!$W$6:$W$6005,0),"")</f>
        <v/>
      </c>
      <c r="K173">
        <f>IF($J173="","",INDEX(บันทึกรายเที่ยว!$T$6:$T$6005,$J173))</f>
        <v/>
      </c>
      <c r="L173">
        <f>IF($J173="","",INDEX(บันทึกรายเที่ยว!$S$6:$S$6005,$J173))</f>
        <v/>
      </c>
      <c r="M173">
        <f>IF($J173="","",INDEX(บันทึกรายเที่ยว!$R$6:$R$6005,$J173))</f>
        <v/>
      </c>
      <c r="N173">
        <f>IF($J173="","",MATCH($M173,บันทึกรายเที่ยว!$R$6:$R$6005,0))</f>
        <v/>
      </c>
      <c r="O173">
        <f>IF($J173="","",MATCH($L173,บันทึกรายเที่ยว!$S$6:$S$6005,0))</f>
        <v/>
      </c>
      <c r="P173">
        <f>IF($J173="","",IF(AND(OR($I$3="(ทั้งหมด)",INDEX(บันทึกรายเที่ยว!$C$6:$C$6005,$J173)=$I$3),OR($I$5="(ทั้งหมด)",INDEX(บันทึกรายเที่ยว!$D$6:$D$6005,$J173)=$I$5),OR($I$7="(ทั้งหมด)",INDEX(บันทึกรายเที่ยว!$F$6:$F$6005,$J173)=$I$7)),$N173*10000000+$O173*1000+166,""))</f>
        <v/>
      </c>
      <c r="Q173">
        <f>IFERROR(MATCH(SMALL($P$8:$P$407,166),$P$8:$P$407,0),"")</f>
        <v/>
      </c>
      <c r="R173">
        <f>IF($Q173="","",INDEX($J$8:$J$407,$Q173))</f>
        <v/>
      </c>
      <c r="S173">
        <f>IF($Q173="","",INDEX($M$8:$M$407,$Q173))</f>
        <v/>
      </c>
      <c r="T173">
        <f>IF($Q173="","",INDEX($L$8:$L$407,$Q173))</f>
        <v/>
      </c>
      <c r="U173">
        <f>IF($Q173="","",INDEX($K$8:$K$407,$Q173))</f>
        <v/>
      </c>
      <c r="V173">
        <f>IF($Q173="",0,IF($S173&lt;&gt;$S172,1,0))</f>
        <v/>
      </c>
      <c r="W173">
        <f>IF($Q173="",0,IF($T173&lt;&gt;$T172,1,0))</f>
        <v/>
      </c>
      <c r="X173">
        <f>IF($Q173="",99999+166,$X172+1+$V172+$W172)</f>
        <v/>
      </c>
      <c r="Y173">
        <f>IF($Q173="","",INDEX(บันทึกรายเที่ยว!$Q$6:$Q$6005,$R173))</f>
        <v/>
      </c>
      <c r="Z173">
        <f>IF($Q173="","",INDEX(บันทึกรายเที่ยว!$F$6:$F$6005,$R173))</f>
        <v/>
      </c>
      <c r="AA173">
        <f>IFERROR(MATCH(166,$X$8:$X$407,1),"")</f>
        <v/>
      </c>
      <c r="AB173">
        <f>IF(166=$AD$1+1,"G",IF($AA173="","",IF(INDEX($Q$8:$Q$407,$AA173)="","",IF(166&gt;INDEX($X$8:$X$407,$AA173)+INDEX($V$8:$V$407,$AA173)+INDEX($W$8:$W$407,$AA173),"",IF(166=INDEX($X$8:$X$407,$AA173)+INDEX($V$8:$V$407,$AA173)+INDEX($W$8:$W$407,$AA173),"D",IF(AND(INDEX($W$8:$W$407,$AA173)=1,166=INDEX($X$8:$X$407,$AA173)+INDEX($V$8:$V$407,$AA173)),"S","R"))))))</f>
        <v/>
      </c>
      <c r="AC173">
        <f>IF(OR($AB173="",$AB173="G"),"",IF($AB173="D",INDEX($U$8:$U$407,$AA173),IF($AB173="S",INDEX($T$8:$T$407,$AA173)&amp;"|*",INDEX($S$8:$S$407,$AA173)&amp;"|*")))</f>
        <v/>
      </c>
      <c r="AE173">
        <f>IF($U173="",0,COUNTIF(บันทึกรายเที่ยว!$T$6:$T$6005,$U173))</f>
        <v/>
      </c>
      <c r="AF173">
        <f>IF($U173="",0,ROUND(SUMIF(บันทึกรายเที่ยว!$T$6:$T$6005,$U173,บันทึกรายเที่ยว!$J$6:$J$6005),2))</f>
        <v/>
      </c>
      <c r="AG173">
        <f>IF($U173="",0,ROUND(SUMIF(บันทึกรายเที่ยว!$T$6:$T$6005,$U173,บันทึกรายเที่ยว!$K$6:$K$6005),2))</f>
        <v/>
      </c>
      <c r="AH173">
        <f>IF($U173="",0,ROUND(SUMIF(บันทึกรายเที่ยว!$T$6:$T$6005,$U173,บันทึกรายเที่ยว!$M$6:$M$6005),2))</f>
        <v/>
      </c>
    </row>
    <row r="174" ht="21" customHeight="1" s="66">
      <c r="A174" s="3">
        <f>IF($AB174="G","ผลรวมทั้งหมด",IF($AB174="R",INDEX($S$8:$S$407,$AA174),""))</f>
        <v/>
      </c>
      <c r="B174" s="3">
        <f>IF($AB174="S",INDEX($Y$8:$Y$407,$AA174),"")</f>
        <v/>
      </c>
      <c r="C174" s="68">
        <f>IF($AB174="D",INDEX($Z$8:$Z$407,$AA174),"")</f>
        <v/>
      </c>
      <c r="D174" s="31">
        <f>IF($AB174="G",SUM($AE$8:$AE$407),IF(OR($AB174="",$AB174="R"),"",IF($AB174="D",INDEX($AE$8:$AE$407,$AA174),SUMIF($T$8:$T$407,INDEX($T$8:$T$407,$AA174),$AE$8:$AE$407))))</f>
        <v/>
      </c>
      <c r="E174" s="32">
        <f>IF(167=$AD$1+3,"ขอแสดงความนับถือ",IF(167=$AD$1+6,"(                 )",IF(167=$AD$1+7,"เจ้าหน้าที่ขนส่ง",IF($AB174="G",SUM($AF$8:$AF$407),IF(OR($AB174="",$AB174="R"),"",IF($AB174="D",INDEX($AF$8:$AF$407,$AA174),SUMIF($T$8:$T$407,INDEX($T$8:$T$407,$AA174),$AF$8:$AF$407)))))))</f>
        <v/>
      </c>
      <c r="F174" s="32">
        <f>IF($AB174="G",SUM($AG$8:$AG$407),IF(OR($AB174="",$AB174="R"),"",IF($AB174="D",INDEX($AG$8:$AG$407,$AA174),SUMIF($T$8:$T$407,INDEX($T$8:$T$407,$AA174),$AG$8:$AG$407))))</f>
        <v/>
      </c>
      <c r="G174" s="32">
        <f>IF(OR($AB174="",$AB174="R"),"",ROUND($E174-$F174,2))</f>
        <v/>
      </c>
      <c r="H174" s="32">
        <f>IF($AB174="G",SUM($AH$8:$AH$407),IF(OR($AB174="",$AB174="R"),"",IF($AB174="D",INDEX($AH$8:$AH$407,$AA174),SUMIF($T$8:$T$407,INDEX($T$8:$T$407,$AA174),$AH$8:$AH$407))))</f>
        <v/>
      </c>
      <c r="J174">
        <f>IFERROR(MATCH(167,บันทึกรายเที่ยว!$W$6:$W$6005,0),"")</f>
        <v/>
      </c>
      <c r="K174">
        <f>IF($J174="","",INDEX(บันทึกรายเที่ยว!$T$6:$T$6005,$J174))</f>
        <v/>
      </c>
      <c r="L174">
        <f>IF($J174="","",INDEX(บันทึกรายเที่ยว!$S$6:$S$6005,$J174))</f>
        <v/>
      </c>
      <c r="M174">
        <f>IF($J174="","",INDEX(บันทึกรายเที่ยว!$R$6:$R$6005,$J174))</f>
        <v/>
      </c>
      <c r="N174">
        <f>IF($J174="","",MATCH($M174,บันทึกรายเที่ยว!$R$6:$R$6005,0))</f>
        <v/>
      </c>
      <c r="O174">
        <f>IF($J174="","",MATCH($L174,บันทึกรายเที่ยว!$S$6:$S$6005,0))</f>
        <v/>
      </c>
      <c r="P174">
        <f>IF($J174="","",IF(AND(OR($I$3="(ทั้งหมด)",INDEX(บันทึกรายเที่ยว!$C$6:$C$6005,$J174)=$I$3),OR($I$5="(ทั้งหมด)",INDEX(บันทึกรายเที่ยว!$D$6:$D$6005,$J174)=$I$5),OR($I$7="(ทั้งหมด)",INDEX(บันทึกรายเที่ยว!$F$6:$F$6005,$J174)=$I$7)),$N174*10000000+$O174*1000+167,""))</f>
        <v/>
      </c>
      <c r="Q174">
        <f>IFERROR(MATCH(SMALL($P$8:$P$407,167),$P$8:$P$407,0),"")</f>
        <v/>
      </c>
      <c r="R174">
        <f>IF($Q174="","",INDEX($J$8:$J$407,$Q174))</f>
        <v/>
      </c>
      <c r="S174">
        <f>IF($Q174="","",INDEX($M$8:$M$407,$Q174))</f>
        <v/>
      </c>
      <c r="T174">
        <f>IF($Q174="","",INDEX($L$8:$L$407,$Q174))</f>
        <v/>
      </c>
      <c r="U174">
        <f>IF($Q174="","",INDEX($K$8:$K$407,$Q174))</f>
        <v/>
      </c>
      <c r="V174">
        <f>IF($Q174="",0,IF($S174&lt;&gt;$S173,1,0))</f>
        <v/>
      </c>
      <c r="W174">
        <f>IF($Q174="",0,IF($T174&lt;&gt;$T173,1,0))</f>
        <v/>
      </c>
      <c r="X174">
        <f>IF($Q174="",99999+167,$X173+1+$V173+$W173)</f>
        <v/>
      </c>
      <c r="Y174">
        <f>IF($Q174="","",INDEX(บันทึกรายเที่ยว!$Q$6:$Q$6005,$R174))</f>
        <v/>
      </c>
      <c r="Z174">
        <f>IF($Q174="","",INDEX(บันทึกรายเที่ยว!$F$6:$F$6005,$R174))</f>
        <v/>
      </c>
      <c r="AA174">
        <f>IFERROR(MATCH(167,$X$8:$X$407,1),"")</f>
        <v/>
      </c>
      <c r="AB174">
        <f>IF(167=$AD$1+1,"G",IF($AA174="","",IF(INDEX($Q$8:$Q$407,$AA174)="","",IF(167&gt;INDEX($X$8:$X$407,$AA174)+INDEX($V$8:$V$407,$AA174)+INDEX($W$8:$W$407,$AA174),"",IF(167=INDEX($X$8:$X$407,$AA174)+INDEX($V$8:$V$407,$AA174)+INDEX($W$8:$W$407,$AA174),"D",IF(AND(INDEX($W$8:$W$407,$AA174)=1,167=INDEX($X$8:$X$407,$AA174)+INDEX($V$8:$V$407,$AA174)),"S","R"))))))</f>
        <v/>
      </c>
      <c r="AC174">
        <f>IF(OR($AB174="",$AB174="G"),"",IF($AB174="D",INDEX($U$8:$U$407,$AA174),IF($AB174="S",INDEX($T$8:$T$407,$AA174)&amp;"|*",INDEX($S$8:$S$407,$AA174)&amp;"|*")))</f>
        <v/>
      </c>
      <c r="AE174">
        <f>IF($U174="",0,COUNTIF(บันทึกรายเที่ยว!$T$6:$T$6005,$U174))</f>
        <v/>
      </c>
      <c r="AF174">
        <f>IF($U174="",0,ROUND(SUMIF(บันทึกรายเที่ยว!$T$6:$T$6005,$U174,บันทึกรายเที่ยว!$J$6:$J$6005),2))</f>
        <v/>
      </c>
      <c r="AG174">
        <f>IF($U174="",0,ROUND(SUMIF(บันทึกรายเที่ยว!$T$6:$T$6005,$U174,บันทึกรายเที่ยว!$K$6:$K$6005),2))</f>
        <v/>
      </c>
      <c r="AH174">
        <f>IF($U174="",0,ROUND(SUMIF(บันทึกรายเที่ยว!$T$6:$T$6005,$U174,บันทึกรายเที่ยว!$M$6:$M$6005),2))</f>
        <v/>
      </c>
    </row>
    <row r="175" ht="21" customHeight="1" s="66">
      <c r="A175" s="3">
        <f>IF($AB175="G","ผลรวมทั้งหมด",IF($AB175="R",INDEX($S$8:$S$407,$AA175),""))</f>
        <v/>
      </c>
      <c r="B175" s="3">
        <f>IF($AB175="S",INDEX($Y$8:$Y$407,$AA175),"")</f>
        <v/>
      </c>
      <c r="C175" s="68">
        <f>IF($AB175="D",INDEX($Z$8:$Z$407,$AA175),"")</f>
        <v/>
      </c>
      <c r="D175" s="31">
        <f>IF($AB175="G",SUM($AE$8:$AE$407),IF(OR($AB175="",$AB175="R"),"",IF($AB175="D",INDEX($AE$8:$AE$407,$AA175),SUMIF($T$8:$T$407,INDEX($T$8:$T$407,$AA175),$AE$8:$AE$407))))</f>
        <v/>
      </c>
      <c r="E175" s="32">
        <f>IF(168=$AD$1+3,"ขอแสดงความนับถือ",IF(168=$AD$1+6,"(                 )",IF(168=$AD$1+7,"เจ้าหน้าที่ขนส่ง",IF($AB175="G",SUM($AF$8:$AF$407),IF(OR($AB175="",$AB175="R"),"",IF($AB175="D",INDEX($AF$8:$AF$407,$AA175),SUMIF($T$8:$T$407,INDEX($T$8:$T$407,$AA175),$AF$8:$AF$407)))))))</f>
        <v/>
      </c>
      <c r="F175" s="32">
        <f>IF($AB175="G",SUM($AG$8:$AG$407),IF(OR($AB175="",$AB175="R"),"",IF($AB175="D",INDEX($AG$8:$AG$407,$AA175),SUMIF($T$8:$T$407,INDEX($T$8:$T$407,$AA175),$AG$8:$AG$407))))</f>
        <v/>
      </c>
      <c r="G175" s="32">
        <f>IF(OR($AB175="",$AB175="R"),"",ROUND($E175-$F175,2))</f>
        <v/>
      </c>
      <c r="H175" s="32">
        <f>IF($AB175="G",SUM($AH$8:$AH$407),IF(OR($AB175="",$AB175="R"),"",IF($AB175="D",INDEX($AH$8:$AH$407,$AA175),SUMIF($T$8:$T$407,INDEX($T$8:$T$407,$AA175),$AH$8:$AH$407))))</f>
        <v/>
      </c>
      <c r="J175">
        <f>IFERROR(MATCH(168,บันทึกรายเที่ยว!$W$6:$W$6005,0),"")</f>
        <v/>
      </c>
      <c r="K175">
        <f>IF($J175="","",INDEX(บันทึกรายเที่ยว!$T$6:$T$6005,$J175))</f>
        <v/>
      </c>
      <c r="L175">
        <f>IF($J175="","",INDEX(บันทึกรายเที่ยว!$S$6:$S$6005,$J175))</f>
        <v/>
      </c>
      <c r="M175">
        <f>IF($J175="","",INDEX(บันทึกรายเที่ยว!$R$6:$R$6005,$J175))</f>
        <v/>
      </c>
      <c r="N175">
        <f>IF($J175="","",MATCH($M175,บันทึกรายเที่ยว!$R$6:$R$6005,0))</f>
        <v/>
      </c>
      <c r="O175">
        <f>IF($J175="","",MATCH($L175,บันทึกรายเที่ยว!$S$6:$S$6005,0))</f>
        <v/>
      </c>
      <c r="P175">
        <f>IF($J175="","",IF(AND(OR($I$3="(ทั้งหมด)",INDEX(บันทึกรายเที่ยว!$C$6:$C$6005,$J175)=$I$3),OR($I$5="(ทั้งหมด)",INDEX(บันทึกรายเที่ยว!$D$6:$D$6005,$J175)=$I$5),OR($I$7="(ทั้งหมด)",INDEX(บันทึกรายเที่ยว!$F$6:$F$6005,$J175)=$I$7)),$N175*10000000+$O175*1000+168,""))</f>
        <v/>
      </c>
      <c r="Q175">
        <f>IFERROR(MATCH(SMALL($P$8:$P$407,168),$P$8:$P$407,0),"")</f>
        <v/>
      </c>
      <c r="R175">
        <f>IF($Q175="","",INDEX($J$8:$J$407,$Q175))</f>
        <v/>
      </c>
      <c r="S175">
        <f>IF($Q175="","",INDEX($M$8:$M$407,$Q175))</f>
        <v/>
      </c>
      <c r="T175">
        <f>IF($Q175="","",INDEX($L$8:$L$407,$Q175))</f>
        <v/>
      </c>
      <c r="U175">
        <f>IF($Q175="","",INDEX($K$8:$K$407,$Q175))</f>
        <v/>
      </c>
      <c r="V175">
        <f>IF($Q175="",0,IF($S175&lt;&gt;$S174,1,0))</f>
        <v/>
      </c>
      <c r="W175">
        <f>IF($Q175="",0,IF($T175&lt;&gt;$T174,1,0))</f>
        <v/>
      </c>
      <c r="X175">
        <f>IF($Q175="",99999+168,$X174+1+$V174+$W174)</f>
        <v/>
      </c>
      <c r="Y175">
        <f>IF($Q175="","",INDEX(บันทึกรายเที่ยว!$Q$6:$Q$6005,$R175))</f>
        <v/>
      </c>
      <c r="Z175">
        <f>IF($Q175="","",INDEX(บันทึกรายเที่ยว!$F$6:$F$6005,$R175))</f>
        <v/>
      </c>
      <c r="AA175">
        <f>IFERROR(MATCH(168,$X$8:$X$407,1),"")</f>
        <v/>
      </c>
      <c r="AB175">
        <f>IF(168=$AD$1+1,"G",IF($AA175="","",IF(INDEX($Q$8:$Q$407,$AA175)="","",IF(168&gt;INDEX($X$8:$X$407,$AA175)+INDEX($V$8:$V$407,$AA175)+INDEX($W$8:$W$407,$AA175),"",IF(168=INDEX($X$8:$X$407,$AA175)+INDEX($V$8:$V$407,$AA175)+INDEX($W$8:$W$407,$AA175),"D",IF(AND(INDEX($W$8:$W$407,$AA175)=1,168=INDEX($X$8:$X$407,$AA175)+INDEX($V$8:$V$407,$AA175)),"S","R"))))))</f>
        <v/>
      </c>
      <c r="AC175">
        <f>IF(OR($AB175="",$AB175="G"),"",IF($AB175="D",INDEX($U$8:$U$407,$AA175),IF($AB175="S",INDEX($T$8:$T$407,$AA175)&amp;"|*",INDEX($S$8:$S$407,$AA175)&amp;"|*")))</f>
        <v/>
      </c>
      <c r="AE175">
        <f>IF($U175="",0,COUNTIF(บันทึกรายเที่ยว!$T$6:$T$6005,$U175))</f>
        <v/>
      </c>
      <c r="AF175">
        <f>IF($U175="",0,ROUND(SUMIF(บันทึกรายเที่ยว!$T$6:$T$6005,$U175,บันทึกรายเที่ยว!$J$6:$J$6005),2))</f>
        <v/>
      </c>
      <c r="AG175">
        <f>IF($U175="",0,ROUND(SUMIF(บันทึกรายเที่ยว!$T$6:$T$6005,$U175,บันทึกรายเที่ยว!$K$6:$K$6005),2))</f>
        <v/>
      </c>
      <c r="AH175">
        <f>IF($U175="",0,ROUND(SUMIF(บันทึกรายเที่ยว!$T$6:$T$6005,$U175,บันทึกรายเที่ยว!$M$6:$M$6005),2))</f>
        <v/>
      </c>
    </row>
    <row r="176" ht="21" customHeight="1" s="66">
      <c r="A176" s="3">
        <f>IF($AB176="G","ผลรวมทั้งหมด",IF($AB176="R",INDEX($S$8:$S$407,$AA176),""))</f>
        <v/>
      </c>
      <c r="B176" s="3">
        <f>IF($AB176="S",INDEX($Y$8:$Y$407,$AA176),"")</f>
        <v/>
      </c>
      <c r="C176" s="68">
        <f>IF($AB176="D",INDEX($Z$8:$Z$407,$AA176),"")</f>
        <v/>
      </c>
      <c r="D176" s="31">
        <f>IF($AB176="G",SUM($AE$8:$AE$407),IF(OR($AB176="",$AB176="R"),"",IF($AB176="D",INDEX($AE$8:$AE$407,$AA176),SUMIF($T$8:$T$407,INDEX($T$8:$T$407,$AA176),$AE$8:$AE$407))))</f>
        <v/>
      </c>
      <c r="E176" s="32">
        <f>IF(169=$AD$1+3,"ขอแสดงความนับถือ",IF(169=$AD$1+6,"(                 )",IF(169=$AD$1+7,"เจ้าหน้าที่ขนส่ง",IF($AB176="G",SUM($AF$8:$AF$407),IF(OR($AB176="",$AB176="R"),"",IF($AB176="D",INDEX($AF$8:$AF$407,$AA176),SUMIF($T$8:$T$407,INDEX($T$8:$T$407,$AA176),$AF$8:$AF$407)))))))</f>
        <v/>
      </c>
      <c r="F176" s="32">
        <f>IF($AB176="G",SUM($AG$8:$AG$407),IF(OR($AB176="",$AB176="R"),"",IF($AB176="D",INDEX($AG$8:$AG$407,$AA176),SUMIF($T$8:$T$407,INDEX($T$8:$T$407,$AA176),$AG$8:$AG$407))))</f>
        <v/>
      </c>
      <c r="G176" s="32">
        <f>IF(OR($AB176="",$AB176="R"),"",ROUND($E176-$F176,2))</f>
        <v/>
      </c>
      <c r="H176" s="32">
        <f>IF($AB176="G",SUM($AH$8:$AH$407),IF(OR($AB176="",$AB176="R"),"",IF($AB176="D",INDEX($AH$8:$AH$407,$AA176),SUMIF($T$8:$T$407,INDEX($T$8:$T$407,$AA176),$AH$8:$AH$407))))</f>
        <v/>
      </c>
      <c r="J176">
        <f>IFERROR(MATCH(169,บันทึกรายเที่ยว!$W$6:$W$6005,0),"")</f>
        <v/>
      </c>
      <c r="K176">
        <f>IF($J176="","",INDEX(บันทึกรายเที่ยว!$T$6:$T$6005,$J176))</f>
        <v/>
      </c>
      <c r="L176">
        <f>IF($J176="","",INDEX(บันทึกรายเที่ยว!$S$6:$S$6005,$J176))</f>
        <v/>
      </c>
      <c r="M176">
        <f>IF($J176="","",INDEX(บันทึกรายเที่ยว!$R$6:$R$6005,$J176))</f>
        <v/>
      </c>
      <c r="N176">
        <f>IF($J176="","",MATCH($M176,บันทึกรายเที่ยว!$R$6:$R$6005,0))</f>
        <v/>
      </c>
      <c r="O176">
        <f>IF($J176="","",MATCH($L176,บันทึกรายเที่ยว!$S$6:$S$6005,0))</f>
        <v/>
      </c>
      <c r="P176">
        <f>IF($J176="","",IF(AND(OR($I$3="(ทั้งหมด)",INDEX(บันทึกรายเที่ยว!$C$6:$C$6005,$J176)=$I$3),OR($I$5="(ทั้งหมด)",INDEX(บันทึกรายเที่ยว!$D$6:$D$6005,$J176)=$I$5),OR($I$7="(ทั้งหมด)",INDEX(บันทึกรายเที่ยว!$F$6:$F$6005,$J176)=$I$7)),$N176*10000000+$O176*1000+169,""))</f>
        <v/>
      </c>
      <c r="Q176">
        <f>IFERROR(MATCH(SMALL($P$8:$P$407,169),$P$8:$P$407,0),"")</f>
        <v/>
      </c>
      <c r="R176">
        <f>IF($Q176="","",INDEX($J$8:$J$407,$Q176))</f>
        <v/>
      </c>
      <c r="S176">
        <f>IF($Q176="","",INDEX($M$8:$M$407,$Q176))</f>
        <v/>
      </c>
      <c r="T176">
        <f>IF($Q176="","",INDEX($L$8:$L$407,$Q176))</f>
        <v/>
      </c>
      <c r="U176">
        <f>IF($Q176="","",INDEX($K$8:$K$407,$Q176))</f>
        <v/>
      </c>
      <c r="V176">
        <f>IF($Q176="",0,IF($S176&lt;&gt;$S175,1,0))</f>
        <v/>
      </c>
      <c r="W176">
        <f>IF($Q176="",0,IF($T176&lt;&gt;$T175,1,0))</f>
        <v/>
      </c>
      <c r="X176">
        <f>IF($Q176="",99999+169,$X175+1+$V175+$W175)</f>
        <v/>
      </c>
      <c r="Y176">
        <f>IF($Q176="","",INDEX(บันทึกรายเที่ยว!$Q$6:$Q$6005,$R176))</f>
        <v/>
      </c>
      <c r="Z176">
        <f>IF($Q176="","",INDEX(บันทึกรายเที่ยว!$F$6:$F$6005,$R176))</f>
        <v/>
      </c>
      <c r="AA176">
        <f>IFERROR(MATCH(169,$X$8:$X$407,1),"")</f>
        <v/>
      </c>
      <c r="AB176">
        <f>IF(169=$AD$1+1,"G",IF($AA176="","",IF(INDEX($Q$8:$Q$407,$AA176)="","",IF(169&gt;INDEX($X$8:$X$407,$AA176)+INDEX($V$8:$V$407,$AA176)+INDEX($W$8:$W$407,$AA176),"",IF(169=INDEX($X$8:$X$407,$AA176)+INDEX($V$8:$V$407,$AA176)+INDEX($W$8:$W$407,$AA176),"D",IF(AND(INDEX($W$8:$W$407,$AA176)=1,169=INDEX($X$8:$X$407,$AA176)+INDEX($V$8:$V$407,$AA176)),"S","R"))))))</f>
        <v/>
      </c>
      <c r="AC176">
        <f>IF(OR($AB176="",$AB176="G"),"",IF($AB176="D",INDEX($U$8:$U$407,$AA176),IF($AB176="S",INDEX($T$8:$T$407,$AA176)&amp;"|*",INDEX($S$8:$S$407,$AA176)&amp;"|*")))</f>
        <v/>
      </c>
      <c r="AE176">
        <f>IF($U176="",0,COUNTIF(บันทึกรายเที่ยว!$T$6:$T$6005,$U176))</f>
        <v/>
      </c>
      <c r="AF176">
        <f>IF($U176="",0,ROUND(SUMIF(บันทึกรายเที่ยว!$T$6:$T$6005,$U176,บันทึกรายเที่ยว!$J$6:$J$6005),2))</f>
        <v/>
      </c>
      <c r="AG176">
        <f>IF($U176="",0,ROUND(SUMIF(บันทึกรายเที่ยว!$T$6:$T$6005,$U176,บันทึกรายเที่ยว!$K$6:$K$6005),2))</f>
        <v/>
      </c>
      <c r="AH176">
        <f>IF($U176="",0,ROUND(SUMIF(บันทึกรายเที่ยว!$T$6:$T$6005,$U176,บันทึกรายเที่ยว!$M$6:$M$6005),2))</f>
        <v/>
      </c>
    </row>
    <row r="177" ht="21" customHeight="1" s="66">
      <c r="A177" s="3">
        <f>IF($AB177="G","ผลรวมทั้งหมด",IF($AB177="R",INDEX($S$8:$S$407,$AA177),""))</f>
        <v/>
      </c>
      <c r="B177" s="3">
        <f>IF($AB177="S",INDEX($Y$8:$Y$407,$AA177),"")</f>
        <v/>
      </c>
      <c r="C177" s="68">
        <f>IF($AB177="D",INDEX($Z$8:$Z$407,$AA177),"")</f>
        <v/>
      </c>
      <c r="D177" s="31">
        <f>IF($AB177="G",SUM($AE$8:$AE$407),IF(OR($AB177="",$AB177="R"),"",IF($AB177="D",INDEX($AE$8:$AE$407,$AA177),SUMIF($T$8:$T$407,INDEX($T$8:$T$407,$AA177),$AE$8:$AE$407))))</f>
        <v/>
      </c>
      <c r="E177" s="32">
        <f>IF(170=$AD$1+3,"ขอแสดงความนับถือ",IF(170=$AD$1+6,"(                 )",IF(170=$AD$1+7,"เจ้าหน้าที่ขนส่ง",IF($AB177="G",SUM($AF$8:$AF$407),IF(OR($AB177="",$AB177="R"),"",IF($AB177="D",INDEX($AF$8:$AF$407,$AA177),SUMIF($T$8:$T$407,INDEX($T$8:$T$407,$AA177),$AF$8:$AF$407)))))))</f>
        <v/>
      </c>
      <c r="F177" s="32">
        <f>IF($AB177="G",SUM($AG$8:$AG$407),IF(OR($AB177="",$AB177="R"),"",IF($AB177="D",INDEX($AG$8:$AG$407,$AA177),SUMIF($T$8:$T$407,INDEX($T$8:$T$407,$AA177),$AG$8:$AG$407))))</f>
        <v/>
      </c>
      <c r="G177" s="32">
        <f>IF(OR($AB177="",$AB177="R"),"",ROUND($E177-$F177,2))</f>
        <v/>
      </c>
      <c r="H177" s="32">
        <f>IF($AB177="G",SUM($AH$8:$AH$407),IF(OR($AB177="",$AB177="R"),"",IF($AB177="D",INDEX($AH$8:$AH$407,$AA177),SUMIF($T$8:$T$407,INDEX($T$8:$T$407,$AA177),$AH$8:$AH$407))))</f>
        <v/>
      </c>
      <c r="J177">
        <f>IFERROR(MATCH(170,บันทึกรายเที่ยว!$W$6:$W$6005,0),"")</f>
        <v/>
      </c>
      <c r="K177">
        <f>IF($J177="","",INDEX(บันทึกรายเที่ยว!$T$6:$T$6005,$J177))</f>
        <v/>
      </c>
      <c r="L177">
        <f>IF($J177="","",INDEX(บันทึกรายเที่ยว!$S$6:$S$6005,$J177))</f>
        <v/>
      </c>
      <c r="M177">
        <f>IF($J177="","",INDEX(บันทึกรายเที่ยว!$R$6:$R$6005,$J177))</f>
        <v/>
      </c>
      <c r="N177">
        <f>IF($J177="","",MATCH($M177,บันทึกรายเที่ยว!$R$6:$R$6005,0))</f>
        <v/>
      </c>
      <c r="O177">
        <f>IF($J177="","",MATCH($L177,บันทึกรายเที่ยว!$S$6:$S$6005,0))</f>
        <v/>
      </c>
      <c r="P177">
        <f>IF($J177="","",IF(AND(OR($I$3="(ทั้งหมด)",INDEX(บันทึกรายเที่ยว!$C$6:$C$6005,$J177)=$I$3),OR($I$5="(ทั้งหมด)",INDEX(บันทึกรายเที่ยว!$D$6:$D$6005,$J177)=$I$5),OR($I$7="(ทั้งหมด)",INDEX(บันทึกรายเที่ยว!$F$6:$F$6005,$J177)=$I$7)),$N177*10000000+$O177*1000+170,""))</f>
        <v/>
      </c>
      <c r="Q177">
        <f>IFERROR(MATCH(SMALL($P$8:$P$407,170),$P$8:$P$407,0),"")</f>
        <v/>
      </c>
      <c r="R177">
        <f>IF($Q177="","",INDEX($J$8:$J$407,$Q177))</f>
        <v/>
      </c>
      <c r="S177">
        <f>IF($Q177="","",INDEX($M$8:$M$407,$Q177))</f>
        <v/>
      </c>
      <c r="T177">
        <f>IF($Q177="","",INDEX($L$8:$L$407,$Q177))</f>
        <v/>
      </c>
      <c r="U177">
        <f>IF($Q177="","",INDEX($K$8:$K$407,$Q177))</f>
        <v/>
      </c>
      <c r="V177">
        <f>IF($Q177="",0,IF($S177&lt;&gt;$S176,1,0))</f>
        <v/>
      </c>
      <c r="W177">
        <f>IF($Q177="",0,IF($T177&lt;&gt;$T176,1,0))</f>
        <v/>
      </c>
      <c r="X177">
        <f>IF($Q177="",99999+170,$X176+1+$V176+$W176)</f>
        <v/>
      </c>
      <c r="Y177">
        <f>IF($Q177="","",INDEX(บันทึกรายเที่ยว!$Q$6:$Q$6005,$R177))</f>
        <v/>
      </c>
      <c r="Z177">
        <f>IF($Q177="","",INDEX(บันทึกรายเที่ยว!$F$6:$F$6005,$R177))</f>
        <v/>
      </c>
      <c r="AA177">
        <f>IFERROR(MATCH(170,$X$8:$X$407,1),"")</f>
        <v/>
      </c>
      <c r="AB177">
        <f>IF(170=$AD$1+1,"G",IF($AA177="","",IF(INDEX($Q$8:$Q$407,$AA177)="","",IF(170&gt;INDEX($X$8:$X$407,$AA177)+INDEX($V$8:$V$407,$AA177)+INDEX($W$8:$W$407,$AA177),"",IF(170=INDEX($X$8:$X$407,$AA177)+INDEX($V$8:$V$407,$AA177)+INDEX($W$8:$W$407,$AA177),"D",IF(AND(INDEX($W$8:$W$407,$AA177)=1,170=INDEX($X$8:$X$407,$AA177)+INDEX($V$8:$V$407,$AA177)),"S","R"))))))</f>
        <v/>
      </c>
      <c r="AC177">
        <f>IF(OR($AB177="",$AB177="G"),"",IF($AB177="D",INDEX($U$8:$U$407,$AA177),IF($AB177="S",INDEX($T$8:$T$407,$AA177)&amp;"|*",INDEX($S$8:$S$407,$AA177)&amp;"|*")))</f>
        <v/>
      </c>
      <c r="AE177">
        <f>IF($U177="",0,COUNTIF(บันทึกรายเที่ยว!$T$6:$T$6005,$U177))</f>
        <v/>
      </c>
      <c r="AF177">
        <f>IF($U177="",0,ROUND(SUMIF(บันทึกรายเที่ยว!$T$6:$T$6005,$U177,บันทึกรายเที่ยว!$J$6:$J$6005),2))</f>
        <v/>
      </c>
      <c r="AG177">
        <f>IF($U177="",0,ROUND(SUMIF(บันทึกรายเที่ยว!$T$6:$T$6005,$U177,บันทึกรายเที่ยว!$K$6:$K$6005),2))</f>
        <v/>
      </c>
      <c r="AH177">
        <f>IF($U177="",0,ROUND(SUMIF(บันทึกรายเที่ยว!$T$6:$T$6005,$U177,บันทึกรายเที่ยว!$M$6:$M$6005),2))</f>
        <v/>
      </c>
    </row>
    <row r="178" ht="21" customHeight="1" s="66">
      <c r="A178" s="3">
        <f>IF($AB178="G","ผลรวมทั้งหมด",IF($AB178="R",INDEX($S$8:$S$407,$AA178),""))</f>
        <v/>
      </c>
      <c r="B178" s="3">
        <f>IF($AB178="S",INDEX($Y$8:$Y$407,$AA178),"")</f>
        <v/>
      </c>
      <c r="C178" s="68">
        <f>IF($AB178="D",INDEX($Z$8:$Z$407,$AA178),"")</f>
        <v/>
      </c>
      <c r="D178" s="31">
        <f>IF($AB178="G",SUM($AE$8:$AE$407),IF(OR($AB178="",$AB178="R"),"",IF($AB178="D",INDEX($AE$8:$AE$407,$AA178),SUMIF($T$8:$T$407,INDEX($T$8:$T$407,$AA178),$AE$8:$AE$407))))</f>
        <v/>
      </c>
      <c r="E178" s="32">
        <f>IF(171=$AD$1+3,"ขอแสดงความนับถือ",IF(171=$AD$1+6,"(                 )",IF(171=$AD$1+7,"เจ้าหน้าที่ขนส่ง",IF($AB178="G",SUM($AF$8:$AF$407),IF(OR($AB178="",$AB178="R"),"",IF($AB178="D",INDEX($AF$8:$AF$407,$AA178),SUMIF($T$8:$T$407,INDEX($T$8:$T$407,$AA178),$AF$8:$AF$407)))))))</f>
        <v/>
      </c>
      <c r="F178" s="32">
        <f>IF($AB178="G",SUM($AG$8:$AG$407),IF(OR($AB178="",$AB178="R"),"",IF($AB178="D",INDEX($AG$8:$AG$407,$AA178),SUMIF($T$8:$T$407,INDEX($T$8:$T$407,$AA178),$AG$8:$AG$407))))</f>
        <v/>
      </c>
      <c r="G178" s="32">
        <f>IF(OR($AB178="",$AB178="R"),"",ROUND($E178-$F178,2))</f>
        <v/>
      </c>
      <c r="H178" s="32">
        <f>IF($AB178="G",SUM($AH$8:$AH$407),IF(OR($AB178="",$AB178="R"),"",IF($AB178="D",INDEX($AH$8:$AH$407,$AA178),SUMIF($T$8:$T$407,INDEX($T$8:$T$407,$AA178),$AH$8:$AH$407))))</f>
        <v/>
      </c>
      <c r="J178">
        <f>IFERROR(MATCH(171,บันทึกรายเที่ยว!$W$6:$W$6005,0),"")</f>
        <v/>
      </c>
      <c r="K178">
        <f>IF($J178="","",INDEX(บันทึกรายเที่ยว!$T$6:$T$6005,$J178))</f>
        <v/>
      </c>
      <c r="L178">
        <f>IF($J178="","",INDEX(บันทึกรายเที่ยว!$S$6:$S$6005,$J178))</f>
        <v/>
      </c>
      <c r="M178">
        <f>IF($J178="","",INDEX(บันทึกรายเที่ยว!$R$6:$R$6005,$J178))</f>
        <v/>
      </c>
      <c r="N178">
        <f>IF($J178="","",MATCH($M178,บันทึกรายเที่ยว!$R$6:$R$6005,0))</f>
        <v/>
      </c>
      <c r="O178">
        <f>IF($J178="","",MATCH($L178,บันทึกรายเที่ยว!$S$6:$S$6005,0))</f>
        <v/>
      </c>
      <c r="P178">
        <f>IF($J178="","",IF(AND(OR($I$3="(ทั้งหมด)",INDEX(บันทึกรายเที่ยว!$C$6:$C$6005,$J178)=$I$3),OR($I$5="(ทั้งหมด)",INDEX(บันทึกรายเที่ยว!$D$6:$D$6005,$J178)=$I$5),OR($I$7="(ทั้งหมด)",INDEX(บันทึกรายเที่ยว!$F$6:$F$6005,$J178)=$I$7)),$N178*10000000+$O178*1000+171,""))</f>
        <v/>
      </c>
      <c r="Q178">
        <f>IFERROR(MATCH(SMALL($P$8:$P$407,171),$P$8:$P$407,0),"")</f>
        <v/>
      </c>
      <c r="R178">
        <f>IF($Q178="","",INDEX($J$8:$J$407,$Q178))</f>
        <v/>
      </c>
      <c r="S178">
        <f>IF($Q178="","",INDEX($M$8:$M$407,$Q178))</f>
        <v/>
      </c>
      <c r="T178">
        <f>IF($Q178="","",INDEX($L$8:$L$407,$Q178))</f>
        <v/>
      </c>
      <c r="U178">
        <f>IF($Q178="","",INDEX($K$8:$K$407,$Q178))</f>
        <v/>
      </c>
      <c r="V178">
        <f>IF($Q178="",0,IF($S178&lt;&gt;$S177,1,0))</f>
        <v/>
      </c>
      <c r="W178">
        <f>IF($Q178="",0,IF($T178&lt;&gt;$T177,1,0))</f>
        <v/>
      </c>
      <c r="X178">
        <f>IF($Q178="",99999+171,$X177+1+$V177+$W177)</f>
        <v/>
      </c>
      <c r="Y178">
        <f>IF($Q178="","",INDEX(บันทึกรายเที่ยว!$Q$6:$Q$6005,$R178))</f>
        <v/>
      </c>
      <c r="Z178">
        <f>IF($Q178="","",INDEX(บันทึกรายเที่ยว!$F$6:$F$6005,$R178))</f>
        <v/>
      </c>
      <c r="AA178">
        <f>IFERROR(MATCH(171,$X$8:$X$407,1),"")</f>
        <v/>
      </c>
      <c r="AB178">
        <f>IF(171=$AD$1+1,"G",IF($AA178="","",IF(INDEX($Q$8:$Q$407,$AA178)="","",IF(171&gt;INDEX($X$8:$X$407,$AA178)+INDEX($V$8:$V$407,$AA178)+INDEX($W$8:$W$407,$AA178),"",IF(171=INDEX($X$8:$X$407,$AA178)+INDEX($V$8:$V$407,$AA178)+INDEX($W$8:$W$407,$AA178),"D",IF(AND(INDEX($W$8:$W$407,$AA178)=1,171=INDEX($X$8:$X$407,$AA178)+INDEX($V$8:$V$407,$AA178)),"S","R"))))))</f>
        <v/>
      </c>
      <c r="AC178">
        <f>IF(OR($AB178="",$AB178="G"),"",IF($AB178="D",INDEX($U$8:$U$407,$AA178),IF($AB178="S",INDEX($T$8:$T$407,$AA178)&amp;"|*",INDEX($S$8:$S$407,$AA178)&amp;"|*")))</f>
        <v/>
      </c>
      <c r="AE178">
        <f>IF($U178="",0,COUNTIF(บันทึกรายเที่ยว!$T$6:$T$6005,$U178))</f>
        <v/>
      </c>
      <c r="AF178">
        <f>IF($U178="",0,ROUND(SUMIF(บันทึกรายเที่ยว!$T$6:$T$6005,$U178,บันทึกรายเที่ยว!$J$6:$J$6005),2))</f>
        <v/>
      </c>
      <c r="AG178">
        <f>IF($U178="",0,ROUND(SUMIF(บันทึกรายเที่ยว!$T$6:$T$6005,$U178,บันทึกรายเที่ยว!$K$6:$K$6005),2))</f>
        <v/>
      </c>
      <c r="AH178">
        <f>IF($U178="",0,ROUND(SUMIF(บันทึกรายเที่ยว!$T$6:$T$6005,$U178,บันทึกรายเที่ยว!$M$6:$M$6005),2))</f>
        <v/>
      </c>
    </row>
    <row r="179" ht="21" customHeight="1" s="66">
      <c r="A179" s="3">
        <f>IF($AB179="G","ผลรวมทั้งหมด",IF($AB179="R",INDEX($S$8:$S$407,$AA179),""))</f>
        <v/>
      </c>
      <c r="B179" s="3">
        <f>IF($AB179="S",INDEX($Y$8:$Y$407,$AA179),"")</f>
        <v/>
      </c>
      <c r="C179" s="68">
        <f>IF($AB179="D",INDEX($Z$8:$Z$407,$AA179),"")</f>
        <v/>
      </c>
      <c r="D179" s="31">
        <f>IF($AB179="G",SUM($AE$8:$AE$407),IF(OR($AB179="",$AB179="R"),"",IF($AB179="D",INDEX($AE$8:$AE$407,$AA179),SUMIF($T$8:$T$407,INDEX($T$8:$T$407,$AA179),$AE$8:$AE$407))))</f>
        <v/>
      </c>
      <c r="E179" s="32">
        <f>IF(172=$AD$1+3,"ขอแสดงความนับถือ",IF(172=$AD$1+6,"(                 )",IF(172=$AD$1+7,"เจ้าหน้าที่ขนส่ง",IF($AB179="G",SUM($AF$8:$AF$407),IF(OR($AB179="",$AB179="R"),"",IF($AB179="D",INDEX($AF$8:$AF$407,$AA179),SUMIF($T$8:$T$407,INDEX($T$8:$T$407,$AA179),$AF$8:$AF$407)))))))</f>
        <v/>
      </c>
      <c r="F179" s="32">
        <f>IF($AB179="G",SUM($AG$8:$AG$407),IF(OR($AB179="",$AB179="R"),"",IF($AB179="D",INDEX($AG$8:$AG$407,$AA179),SUMIF($T$8:$T$407,INDEX($T$8:$T$407,$AA179),$AG$8:$AG$407))))</f>
        <v/>
      </c>
      <c r="G179" s="32">
        <f>IF(OR($AB179="",$AB179="R"),"",ROUND($E179-$F179,2))</f>
        <v/>
      </c>
      <c r="H179" s="32">
        <f>IF($AB179="G",SUM($AH$8:$AH$407),IF(OR($AB179="",$AB179="R"),"",IF($AB179="D",INDEX($AH$8:$AH$407,$AA179),SUMIF($T$8:$T$407,INDEX($T$8:$T$407,$AA179),$AH$8:$AH$407))))</f>
        <v/>
      </c>
      <c r="J179">
        <f>IFERROR(MATCH(172,บันทึกรายเที่ยว!$W$6:$W$6005,0),"")</f>
        <v/>
      </c>
      <c r="K179">
        <f>IF($J179="","",INDEX(บันทึกรายเที่ยว!$T$6:$T$6005,$J179))</f>
        <v/>
      </c>
      <c r="L179">
        <f>IF($J179="","",INDEX(บันทึกรายเที่ยว!$S$6:$S$6005,$J179))</f>
        <v/>
      </c>
      <c r="M179">
        <f>IF($J179="","",INDEX(บันทึกรายเที่ยว!$R$6:$R$6005,$J179))</f>
        <v/>
      </c>
      <c r="N179">
        <f>IF($J179="","",MATCH($M179,บันทึกรายเที่ยว!$R$6:$R$6005,0))</f>
        <v/>
      </c>
      <c r="O179">
        <f>IF($J179="","",MATCH($L179,บันทึกรายเที่ยว!$S$6:$S$6005,0))</f>
        <v/>
      </c>
      <c r="P179">
        <f>IF($J179="","",IF(AND(OR($I$3="(ทั้งหมด)",INDEX(บันทึกรายเที่ยว!$C$6:$C$6005,$J179)=$I$3),OR($I$5="(ทั้งหมด)",INDEX(บันทึกรายเที่ยว!$D$6:$D$6005,$J179)=$I$5),OR($I$7="(ทั้งหมด)",INDEX(บันทึกรายเที่ยว!$F$6:$F$6005,$J179)=$I$7)),$N179*10000000+$O179*1000+172,""))</f>
        <v/>
      </c>
      <c r="Q179">
        <f>IFERROR(MATCH(SMALL($P$8:$P$407,172),$P$8:$P$407,0),"")</f>
        <v/>
      </c>
      <c r="R179">
        <f>IF($Q179="","",INDEX($J$8:$J$407,$Q179))</f>
        <v/>
      </c>
      <c r="S179">
        <f>IF($Q179="","",INDEX($M$8:$M$407,$Q179))</f>
        <v/>
      </c>
      <c r="T179">
        <f>IF($Q179="","",INDEX($L$8:$L$407,$Q179))</f>
        <v/>
      </c>
      <c r="U179">
        <f>IF($Q179="","",INDEX($K$8:$K$407,$Q179))</f>
        <v/>
      </c>
      <c r="V179">
        <f>IF($Q179="",0,IF($S179&lt;&gt;$S178,1,0))</f>
        <v/>
      </c>
      <c r="W179">
        <f>IF($Q179="",0,IF($T179&lt;&gt;$T178,1,0))</f>
        <v/>
      </c>
      <c r="X179">
        <f>IF($Q179="",99999+172,$X178+1+$V178+$W178)</f>
        <v/>
      </c>
      <c r="Y179">
        <f>IF($Q179="","",INDEX(บันทึกรายเที่ยว!$Q$6:$Q$6005,$R179))</f>
        <v/>
      </c>
      <c r="Z179">
        <f>IF($Q179="","",INDEX(บันทึกรายเที่ยว!$F$6:$F$6005,$R179))</f>
        <v/>
      </c>
      <c r="AA179">
        <f>IFERROR(MATCH(172,$X$8:$X$407,1),"")</f>
        <v/>
      </c>
      <c r="AB179">
        <f>IF(172=$AD$1+1,"G",IF($AA179="","",IF(INDEX($Q$8:$Q$407,$AA179)="","",IF(172&gt;INDEX($X$8:$X$407,$AA179)+INDEX($V$8:$V$407,$AA179)+INDEX($W$8:$W$407,$AA179),"",IF(172=INDEX($X$8:$X$407,$AA179)+INDEX($V$8:$V$407,$AA179)+INDEX($W$8:$W$407,$AA179),"D",IF(AND(INDEX($W$8:$W$407,$AA179)=1,172=INDEX($X$8:$X$407,$AA179)+INDEX($V$8:$V$407,$AA179)),"S","R"))))))</f>
        <v/>
      </c>
      <c r="AC179">
        <f>IF(OR($AB179="",$AB179="G"),"",IF($AB179="D",INDEX($U$8:$U$407,$AA179),IF($AB179="S",INDEX($T$8:$T$407,$AA179)&amp;"|*",INDEX($S$8:$S$407,$AA179)&amp;"|*")))</f>
        <v/>
      </c>
      <c r="AE179">
        <f>IF($U179="",0,COUNTIF(บันทึกรายเที่ยว!$T$6:$T$6005,$U179))</f>
        <v/>
      </c>
      <c r="AF179">
        <f>IF($U179="",0,ROUND(SUMIF(บันทึกรายเที่ยว!$T$6:$T$6005,$U179,บันทึกรายเที่ยว!$J$6:$J$6005),2))</f>
        <v/>
      </c>
      <c r="AG179">
        <f>IF($U179="",0,ROUND(SUMIF(บันทึกรายเที่ยว!$T$6:$T$6005,$U179,บันทึกรายเที่ยว!$K$6:$K$6005),2))</f>
        <v/>
      </c>
      <c r="AH179">
        <f>IF($U179="",0,ROUND(SUMIF(บันทึกรายเที่ยว!$T$6:$T$6005,$U179,บันทึกรายเที่ยว!$M$6:$M$6005),2))</f>
        <v/>
      </c>
    </row>
    <row r="180" ht="21" customHeight="1" s="66">
      <c r="A180" s="3">
        <f>IF($AB180="G","ผลรวมทั้งหมด",IF($AB180="R",INDEX($S$8:$S$407,$AA180),""))</f>
        <v/>
      </c>
      <c r="B180" s="3">
        <f>IF($AB180="S",INDEX($Y$8:$Y$407,$AA180),"")</f>
        <v/>
      </c>
      <c r="C180" s="68">
        <f>IF($AB180="D",INDEX($Z$8:$Z$407,$AA180),"")</f>
        <v/>
      </c>
      <c r="D180" s="31">
        <f>IF($AB180="G",SUM($AE$8:$AE$407),IF(OR($AB180="",$AB180="R"),"",IF($AB180="D",INDEX($AE$8:$AE$407,$AA180),SUMIF($T$8:$T$407,INDEX($T$8:$T$407,$AA180),$AE$8:$AE$407))))</f>
        <v/>
      </c>
      <c r="E180" s="32">
        <f>IF(173=$AD$1+3,"ขอแสดงความนับถือ",IF(173=$AD$1+6,"(                 )",IF(173=$AD$1+7,"เจ้าหน้าที่ขนส่ง",IF($AB180="G",SUM($AF$8:$AF$407),IF(OR($AB180="",$AB180="R"),"",IF($AB180="D",INDEX($AF$8:$AF$407,$AA180),SUMIF($T$8:$T$407,INDEX($T$8:$T$407,$AA180),$AF$8:$AF$407)))))))</f>
        <v/>
      </c>
      <c r="F180" s="32">
        <f>IF($AB180="G",SUM($AG$8:$AG$407),IF(OR($AB180="",$AB180="R"),"",IF($AB180="D",INDEX($AG$8:$AG$407,$AA180),SUMIF($T$8:$T$407,INDEX($T$8:$T$407,$AA180),$AG$8:$AG$407))))</f>
        <v/>
      </c>
      <c r="G180" s="32">
        <f>IF(OR($AB180="",$AB180="R"),"",ROUND($E180-$F180,2))</f>
        <v/>
      </c>
      <c r="H180" s="32">
        <f>IF($AB180="G",SUM($AH$8:$AH$407),IF(OR($AB180="",$AB180="R"),"",IF($AB180="D",INDEX($AH$8:$AH$407,$AA180),SUMIF($T$8:$T$407,INDEX($T$8:$T$407,$AA180),$AH$8:$AH$407))))</f>
        <v/>
      </c>
      <c r="J180">
        <f>IFERROR(MATCH(173,บันทึกรายเที่ยว!$W$6:$W$6005,0),"")</f>
        <v/>
      </c>
      <c r="K180">
        <f>IF($J180="","",INDEX(บันทึกรายเที่ยว!$T$6:$T$6005,$J180))</f>
        <v/>
      </c>
      <c r="L180">
        <f>IF($J180="","",INDEX(บันทึกรายเที่ยว!$S$6:$S$6005,$J180))</f>
        <v/>
      </c>
      <c r="M180">
        <f>IF($J180="","",INDEX(บันทึกรายเที่ยว!$R$6:$R$6005,$J180))</f>
        <v/>
      </c>
      <c r="N180">
        <f>IF($J180="","",MATCH($M180,บันทึกรายเที่ยว!$R$6:$R$6005,0))</f>
        <v/>
      </c>
      <c r="O180">
        <f>IF($J180="","",MATCH($L180,บันทึกรายเที่ยว!$S$6:$S$6005,0))</f>
        <v/>
      </c>
      <c r="P180">
        <f>IF($J180="","",IF(AND(OR($I$3="(ทั้งหมด)",INDEX(บันทึกรายเที่ยว!$C$6:$C$6005,$J180)=$I$3),OR($I$5="(ทั้งหมด)",INDEX(บันทึกรายเที่ยว!$D$6:$D$6005,$J180)=$I$5),OR($I$7="(ทั้งหมด)",INDEX(บันทึกรายเที่ยว!$F$6:$F$6005,$J180)=$I$7)),$N180*10000000+$O180*1000+173,""))</f>
        <v/>
      </c>
      <c r="Q180">
        <f>IFERROR(MATCH(SMALL($P$8:$P$407,173),$P$8:$P$407,0),"")</f>
        <v/>
      </c>
      <c r="R180">
        <f>IF($Q180="","",INDEX($J$8:$J$407,$Q180))</f>
        <v/>
      </c>
      <c r="S180">
        <f>IF($Q180="","",INDEX($M$8:$M$407,$Q180))</f>
        <v/>
      </c>
      <c r="T180">
        <f>IF($Q180="","",INDEX($L$8:$L$407,$Q180))</f>
        <v/>
      </c>
      <c r="U180">
        <f>IF($Q180="","",INDEX($K$8:$K$407,$Q180))</f>
        <v/>
      </c>
      <c r="V180">
        <f>IF($Q180="",0,IF($S180&lt;&gt;$S179,1,0))</f>
        <v/>
      </c>
      <c r="W180">
        <f>IF($Q180="",0,IF($T180&lt;&gt;$T179,1,0))</f>
        <v/>
      </c>
      <c r="X180">
        <f>IF($Q180="",99999+173,$X179+1+$V179+$W179)</f>
        <v/>
      </c>
      <c r="Y180">
        <f>IF($Q180="","",INDEX(บันทึกรายเที่ยว!$Q$6:$Q$6005,$R180))</f>
        <v/>
      </c>
      <c r="Z180">
        <f>IF($Q180="","",INDEX(บันทึกรายเที่ยว!$F$6:$F$6005,$R180))</f>
        <v/>
      </c>
      <c r="AA180">
        <f>IFERROR(MATCH(173,$X$8:$X$407,1),"")</f>
        <v/>
      </c>
      <c r="AB180">
        <f>IF(173=$AD$1+1,"G",IF($AA180="","",IF(INDEX($Q$8:$Q$407,$AA180)="","",IF(173&gt;INDEX($X$8:$X$407,$AA180)+INDEX($V$8:$V$407,$AA180)+INDEX($W$8:$W$407,$AA180),"",IF(173=INDEX($X$8:$X$407,$AA180)+INDEX($V$8:$V$407,$AA180)+INDEX($W$8:$W$407,$AA180),"D",IF(AND(INDEX($W$8:$W$407,$AA180)=1,173=INDEX($X$8:$X$407,$AA180)+INDEX($V$8:$V$407,$AA180)),"S","R"))))))</f>
        <v/>
      </c>
      <c r="AC180">
        <f>IF(OR($AB180="",$AB180="G"),"",IF($AB180="D",INDEX($U$8:$U$407,$AA180),IF($AB180="S",INDEX($T$8:$T$407,$AA180)&amp;"|*",INDEX($S$8:$S$407,$AA180)&amp;"|*")))</f>
        <v/>
      </c>
      <c r="AE180">
        <f>IF($U180="",0,COUNTIF(บันทึกรายเที่ยว!$T$6:$T$6005,$U180))</f>
        <v/>
      </c>
      <c r="AF180">
        <f>IF($U180="",0,ROUND(SUMIF(บันทึกรายเที่ยว!$T$6:$T$6005,$U180,บันทึกรายเที่ยว!$J$6:$J$6005),2))</f>
        <v/>
      </c>
      <c r="AG180">
        <f>IF($U180="",0,ROUND(SUMIF(บันทึกรายเที่ยว!$T$6:$T$6005,$U180,บันทึกรายเที่ยว!$K$6:$K$6005),2))</f>
        <v/>
      </c>
      <c r="AH180">
        <f>IF($U180="",0,ROUND(SUMIF(บันทึกรายเที่ยว!$T$6:$T$6005,$U180,บันทึกรายเที่ยว!$M$6:$M$6005),2))</f>
        <v/>
      </c>
    </row>
    <row r="181" ht="21" customHeight="1" s="66">
      <c r="A181" s="3">
        <f>IF($AB181="G","ผลรวมทั้งหมด",IF($AB181="R",INDEX($S$8:$S$407,$AA181),""))</f>
        <v/>
      </c>
      <c r="B181" s="3">
        <f>IF($AB181="S",INDEX($Y$8:$Y$407,$AA181),"")</f>
        <v/>
      </c>
      <c r="C181" s="68">
        <f>IF($AB181="D",INDEX($Z$8:$Z$407,$AA181),"")</f>
        <v/>
      </c>
      <c r="D181" s="31">
        <f>IF($AB181="G",SUM($AE$8:$AE$407),IF(OR($AB181="",$AB181="R"),"",IF($AB181="D",INDEX($AE$8:$AE$407,$AA181),SUMIF($T$8:$T$407,INDEX($T$8:$T$407,$AA181),$AE$8:$AE$407))))</f>
        <v/>
      </c>
      <c r="E181" s="32">
        <f>IF(174=$AD$1+3,"ขอแสดงความนับถือ",IF(174=$AD$1+6,"(                 )",IF(174=$AD$1+7,"เจ้าหน้าที่ขนส่ง",IF($AB181="G",SUM($AF$8:$AF$407),IF(OR($AB181="",$AB181="R"),"",IF($AB181="D",INDEX($AF$8:$AF$407,$AA181),SUMIF($T$8:$T$407,INDEX($T$8:$T$407,$AA181),$AF$8:$AF$407)))))))</f>
        <v/>
      </c>
      <c r="F181" s="32">
        <f>IF($AB181="G",SUM($AG$8:$AG$407),IF(OR($AB181="",$AB181="R"),"",IF($AB181="D",INDEX($AG$8:$AG$407,$AA181),SUMIF($T$8:$T$407,INDEX($T$8:$T$407,$AA181),$AG$8:$AG$407))))</f>
        <v/>
      </c>
      <c r="G181" s="32">
        <f>IF(OR($AB181="",$AB181="R"),"",ROUND($E181-$F181,2))</f>
        <v/>
      </c>
      <c r="H181" s="32">
        <f>IF($AB181="G",SUM($AH$8:$AH$407),IF(OR($AB181="",$AB181="R"),"",IF($AB181="D",INDEX($AH$8:$AH$407,$AA181),SUMIF($T$8:$T$407,INDEX($T$8:$T$407,$AA181),$AH$8:$AH$407))))</f>
        <v/>
      </c>
      <c r="J181">
        <f>IFERROR(MATCH(174,บันทึกรายเที่ยว!$W$6:$W$6005,0),"")</f>
        <v/>
      </c>
      <c r="K181">
        <f>IF($J181="","",INDEX(บันทึกรายเที่ยว!$T$6:$T$6005,$J181))</f>
        <v/>
      </c>
      <c r="L181">
        <f>IF($J181="","",INDEX(บันทึกรายเที่ยว!$S$6:$S$6005,$J181))</f>
        <v/>
      </c>
      <c r="M181">
        <f>IF($J181="","",INDEX(บันทึกรายเที่ยว!$R$6:$R$6005,$J181))</f>
        <v/>
      </c>
      <c r="N181">
        <f>IF($J181="","",MATCH($M181,บันทึกรายเที่ยว!$R$6:$R$6005,0))</f>
        <v/>
      </c>
      <c r="O181">
        <f>IF($J181="","",MATCH($L181,บันทึกรายเที่ยว!$S$6:$S$6005,0))</f>
        <v/>
      </c>
      <c r="P181">
        <f>IF($J181="","",IF(AND(OR($I$3="(ทั้งหมด)",INDEX(บันทึกรายเที่ยว!$C$6:$C$6005,$J181)=$I$3),OR($I$5="(ทั้งหมด)",INDEX(บันทึกรายเที่ยว!$D$6:$D$6005,$J181)=$I$5),OR($I$7="(ทั้งหมด)",INDEX(บันทึกรายเที่ยว!$F$6:$F$6005,$J181)=$I$7)),$N181*10000000+$O181*1000+174,""))</f>
        <v/>
      </c>
      <c r="Q181">
        <f>IFERROR(MATCH(SMALL($P$8:$P$407,174),$P$8:$P$407,0),"")</f>
        <v/>
      </c>
      <c r="R181">
        <f>IF($Q181="","",INDEX($J$8:$J$407,$Q181))</f>
        <v/>
      </c>
      <c r="S181">
        <f>IF($Q181="","",INDEX($M$8:$M$407,$Q181))</f>
        <v/>
      </c>
      <c r="T181">
        <f>IF($Q181="","",INDEX($L$8:$L$407,$Q181))</f>
        <v/>
      </c>
      <c r="U181">
        <f>IF($Q181="","",INDEX($K$8:$K$407,$Q181))</f>
        <v/>
      </c>
      <c r="V181">
        <f>IF($Q181="",0,IF($S181&lt;&gt;$S180,1,0))</f>
        <v/>
      </c>
      <c r="W181">
        <f>IF($Q181="",0,IF($T181&lt;&gt;$T180,1,0))</f>
        <v/>
      </c>
      <c r="X181">
        <f>IF($Q181="",99999+174,$X180+1+$V180+$W180)</f>
        <v/>
      </c>
      <c r="Y181">
        <f>IF($Q181="","",INDEX(บันทึกรายเที่ยว!$Q$6:$Q$6005,$R181))</f>
        <v/>
      </c>
      <c r="Z181">
        <f>IF($Q181="","",INDEX(บันทึกรายเที่ยว!$F$6:$F$6005,$R181))</f>
        <v/>
      </c>
      <c r="AA181">
        <f>IFERROR(MATCH(174,$X$8:$X$407,1),"")</f>
        <v/>
      </c>
      <c r="AB181">
        <f>IF(174=$AD$1+1,"G",IF($AA181="","",IF(INDEX($Q$8:$Q$407,$AA181)="","",IF(174&gt;INDEX($X$8:$X$407,$AA181)+INDEX($V$8:$V$407,$AA181)+INDEX($W$8:$W$407,$AA181),"",IF(174=INDEX($X$8:$X$407,$AA181)+INDEX($V$8:$V$407,$AA181)+INDEX($W$8:$W$407,$AA181),"D",IF(AND(INDEX($W$8:$W$407,$AA181)=1,174=INDEX($X$8:$X$407,$AA181)+INDEX($V$8:$V$407,$AA181)),"S","R"))))))</f>
        <v/>
      </c>
      <c r="AC181">
        <f>IF(OR($AB181="",$AB181="G"),"",IF($AB181="D",INDEX($U$8:$U$407,$AA181),IF($AB181="S",INDEX($T$8:$T$407,$AA181)&amp;"|*",INDEX($S$8:$S$407,$AA181)&amp;"|*")))</f>
        <v/>
      </c>
      <c r="AE181">
        <f>IF($U181="",0,COUNTIF(บันทึกรายเที่ยว!$T$6:$T$6005,$U181))</f>
        <v/>
      </c>
      <c r="AF181">
        <f>IF($U181="",0,ROUND(SUMIF(บันทึกรายเที่ยว!$T$6:$T$6005,$U181,บันทึกรายเที่ยว!$J$6:$J$6005),2))</f>
        <v/>
      </c>
      <c r="AG181">
        <f>IF($U181="",0,ROUND(SUMIF(บันทึกรายเที่ยว!$T$6:$T$6005,$U181,บันทึกรายเที่ยว!$K$6:$K$6005),2))</f>
        <v/>
      </c>
      <c r="AH181">
        <f>IF($U181="",0,ROUND(SUMIF(บันทึกรายเที่ยว!$T$6:$T$6005,$U181,บันทึกรายเที่ยว!$M$6:$M$6005),2))</f>
        <v/>
      </c>
    </row>
    <row r="182" ht="21" customHeight="1" s="66">
      <c r="A182" s="3">
        <f>IF($AB182="G","ผลรวมทั้งหมด",IF($AB182="R",INDEX($S$8:$S$407,$AA182),""))</f>
        <v/>
      </c>
      <c r="B182" s="3">
        <f>IF($AB182="S",INDEX($Y$8:$Y$407,$AA182),"")</f>
        <v/>
      </c>
      <c r="C182" s="68">
        <f>IF($AB182="D",INDEX($Z$8:$Z$407,$AA182),"")</f>
        <v/>
      </c>
      <c r="D182" s="31">
        <f>IF($AB182="G",SUM($AE$8:$AE$407),IF(OR($AB182="",$AB182="R"),"",IF($AB182="D",INDEX($AE$8:$AE$407,$AA182),SUMIF($T$8:$T$407,INDEX($T$8:$T$407,$AA182),$AE$8:$AE$407))))</f>
        <v/>
      </c>
      <c r="E182" s="32">
        <f>IF(175=$AD$1+3,"ขอแสดงความนับถือ",IF(175=$AD$1+6,"(                 )",IF(175=$AD$1+7,"เจ้าหน้าที่ขนส่ง",IF($AB182="G",SUM($AF$8:$AF$407),IF(OR($AB182="",$AB182="R"),"",IF($AB182="D",INDEX($AF$8:$AF$407,$AA182),SUMIF($T$8:$T$407,INDEX($T$8:$T$407,$AA182),$AF$8:$AF$407)))))))</f>
        <v/>
      </c>
      <c r="F182" s="32">
        <f>IF($AB182="G",SUM($AG$8:$AG$407),IF(OR($AB182="",$AB182="R"),"",IF($AB182="D",INDEX($AG$8:$AG$407,$AA182),SUMIF($T$8:$T$407,INDEX($T$8:$T$407,$AA182),$AG$8:$AG$407))))</f>
        <v/>
      </c>
      <c r="G182" s="32">
        <f>IF(OR($AB182="",$AB182="R"),"",ROUND($E182-$F182,2))</f>
        <v/>
      </c>
      <c r="H182" s="32">
        <f>IF($AB182="G",SUM($AH$8:$AH$407),IF(OR($AB182="",$AB182="R"),"",IF($AB182="D",INDEX($AH$8:$AH$407,$AA182),SUMIF($T$8:$T$407,INDEX($T$8:$T$407,$AA182),$AH$8:$AH$407))))</f>
        <v/>
      </c>
      <c r="J182">
        <f>IFERROR(MATCH(175,บันทึกรายเที่ยว!$W$6:$W$6005,0),"")</f>
        <v/>
      </c>
      <c r="K182">
        <f>IF($J182="","",INDEX(บันทึกรายเที่ยว!$T$6:$T$6005,$J182))</f>
        <v/>
      </c>
      <c r="L182">
        <f>IF($J182="","",INDEX(บันทึกรายเที่ยว!$S$6:$S$6005,$J182))</f>
        <v/>
      </c>
      <c r="M182">
        <f>IF($J182="","",INDEX(บันทึกรายเที่ยว!$R$6:$R$6005,$J182))</f>
        <v/>
      </c>
      <c r="N182">
        <f>IF($J182="","",MATCH($M182,บันทึกรายเที่ยว!$R$6:$R$6005,0))</f>
        <v/>
      </c>
      <c r="O182">
        <f>IF($J182="","",MATCH($L182,บันทึกรายเที่ยว!$S$6:$S$6005,0))</f>
        <v/>
      </c>
      <c r="P182">
        <f>IF($J182="","",IF(AND(OR($I$3="(ทั้งหมด)",INDEX(บันทึกรายเที่ยว!$C$6:$C$6005,$J182)=$I$3),OR($I$5="(ทั้งหมด)",INDEX(บันทึกรายเที่ยว!$D$6:$D$6005,$J182)=$I$5),OR($I$7="(ทั้งหมด)",INDEX(บันทึกรายเที่ยว!$F$6:$F$6005,$J182)=$I$7)),$N182*10000000+$O182*1000+175,""))</f>
        <v/>
      </c>
      <c r="Q182">
        <f>IFERROR(MATCH(SMALL($P$8:$P$407,175),$P$8:$P$407,0),"")</f>
        <v/>
      </c>
      <c r="R182">
        <f>IF($Q182="","",INDEX($J$8:$J$407,$Q182))</f>
        <v/>
      </c>
      <c r="S182">
        <f>IF($Q182="","",INDEX($M$8:$M$407,$Q182))</f>
        <v/>
      </c>
      <c r="T182">
        <f>IF($Q182="","",INDEX($L$8:$L$407,$Q182))</f>
        <v/>
      </c>
      <c r="U182">
        <f>IF($Q182="","",INDEX($K$8:$K$407,$Q182))</f>
        <v/>
      </c>
      <c r="V182">
        <f>IF($Q182="",0,IF($S182&lt;&gt;$S181,1,0))</f>
        <v/>
      </c>
      <c r="W182">
        <f>IF($Q182="",0,IF($T182&lt;&gt;$T181,1,0))</f>
        <v/>
      </c>
      <c r="X182">
        <f>IF($Q182="",99999+175,$X181+1+$V181+$W181)</f>
        <v/>
      </c>
      <c r="Y182">
        <f>IF($Q182="","",INDEX(บันทึกรายเที่ยว!$Q$6:$Q$6005,$R182))</f>
        <v/>
      </c>
      <c r="Z182">
        <f>IF($Q182="","",INDEX(บันทึกรายเที่ยว!$F$6:$F$6005,$R182))</f>
        <v/>
      </c>
      <c r="AA182">
        <f>IFERROR(MATCH(175,$X$8:$X$407,1),"")</f>
        <v/>
      </c>
      <c r="AB182">
        <f>IF(175=$AD$1+1,"G",IF($AA182="","",IF(INDEX($Q$8:$Q$407,$AA182)="","",IF(175&gt;INDEX($X$8:$X$407,$AA182)+INDEX($V$8:$V$407,$AA182)+INDEX($W$8:$W$407,$AA182),"",IF(175=INDEX($X$8:$X$407,$AA182)+INDEX($V$8:$V$407,$AA182)+INDEX($W$8:$W$407,$AA182),"D",IF(AND(INDEX($W$8:$W$407,$AA182)=1,175=INDEX($X$8:$X$407,$AA182)+INDEX($V$8:$V$407,$AA182)),"S","R"))))))</f>
        <v/>
      </c>
      <c r="AC182">
        <f>IF(OR($AB182="",$AB182="G"),"",IF($AB182="D",INDEX($U$8:$U$407,$AA182),IF($AB182="S",INDEX($T$8:$T$407,$AA182)&amp;"|*",INDEX($S$8:$S$407,$AA182)&amp;"|*")))</f>
        <v/>
      </c>
      <c r="AE182">
        <f>IF($U182="",0,COUNTIF(บันทึกรายเที่ยว!$T$6:$T$6005,$U182))</f>
        <v/>
      </c>
      <c r="AF182">
        <f>IF($U182="",0,ROUND(SUMIF(บันทึกรายเที่ยว!$T$6:$T$6005,$U182,บันทึกรายเที่ยว!$J$6:$J$6005),2))</f>
        <v/>
      </c>
      <c r="AG182">
        <f>IF($U182="",0,ROUND(SUMIF(บันทึกรายเที่ยว!$T$6:$T$6005,$U182,บันทึกรายเที่ยว!$K$6:$K$6005),2))</f>
        <v/>
      </c>
      <c r="AH182">
        <f>IF($U182="",0,ROUND(SUMIF(บันทึกรายเที่ยว!$T$6:$T$6005,$U182,บันทึกรายเที่ยว!$M$6:$M$6005),2))</f>
        <v/>
      </c>
    </row>
    <row r="183" ht="21" customHeight="1" s="66">
      <c r="A183" s="3">
        <f>IF($AB183="G","ผลรวมทั้งหมด",IF($AB183="R",INDEX($S$8:$S$407,$AA183),""))</f>
        <v/>
      </c>
      <c r="B183" s="3">
        <f>IF($AB183="S",INDEX($Y$8:$Y$407,$AA183),"")</f>
        <v/>
      </c>
      <c r="C183" s="68">
        <f>IF($AB183="D",INDEX($Z$8:$Z$407,$AA183),"")</f>
        <v/>
      </c>
      <c r="D183" s="31">
        <f>IF($AB183="G",SUM($AE$8:$AE$407),IF(OR($AB183="",$AB183="R"),"",IF($AB183="D",INDEX($AE$8:$AE$407,$AA183),SUMIF($T$8:$T$407,INDEX($T$8:$T$407,$AA183),$AE$8:$AE$407))))</f>
        <v/>
      </c>
      <c r="E183" s="32">
        <f>IF(176=$AD$1+3,"ขอแสดงความนับถือ",IF(176=$AD$1+6,"(                 )",IF(176=$AD$1+7,"เจ้าหน้าที่ขนส่ง",IF($AB183="G",SUM($AF$8:$AF$407),IF(OR($AB183="",$AB183="R"),"",IF($AB183="D",INDEX($AF$8:$AF$407,$AA183),SUMIF($T$8:$T$407,INDEX($T$8:$T$407,$AA183),$AF$8:$AF$407)))))))</f>
        <v/>
      </c>
      <c r="F183" s="32">
        <f>IF($AB183="G",SUM($AG$8:$AG$407),IF(OR($AB183="",$AB183="R"),"",IF($AB183="D",INDEX($AG$8:$AG$407,$AA183),SUMIF($T$8:$T$407,INDEX($T$8:$T$407,$AA183),$AG$8:$AG$407))))</f>
        <v/>
      </c>
      <c r="G183" s="32">
        <f>IF(OR($AB183="",$AB183="R"),"",ROUND($E183-$F183,2))</f>
        <v/>
      </c>
      <c r="H183" s="32">
        <f>IF($AB183="G",SUM($AH$8:$AH$407),IF(OR($AB183="",$AB183="R"),"",IF($AB183="D",INDEX($AH$8:$AH$407,$AA183),SUMIF($T$8:$T$407,INDEX($T$8:$T$407,$AA183),$AH$8:$AH$407))))</f>
        <v/>
      </c>
      <c r="J183">
        <f>IFERROR(MATCH(176,บันทึกรายเที่ยว!$W$6:$W$6005,0),"")</f>
        <v/>
      </c>
      <c r="K183">
        <f>IF($J183="","",INDEX(บันทึกรายเที่ยว!$T$6:$T$6005,$J183))</f>
        <v/>
      </c>
      <c r="L183">
        <f>IF($J183="","",INDEX(บันทึกรายเที่ยว!$S$6:$S$6005,$J183))</f>
        <v/>
      </c>
      <c r="M183">
        <f>IF($J183="","",INDEX(บันทึกรายเที่ยว!$R$6:$R$6005,$J183))</f>
        <v/>
      </c>
      <c r="N183">
        <f>IF($J183="","",MATCH($M183,บันทึกรายเที่ยว!$R$6:$R$6005,0))</f>
        <v/>
      </c>
      <c r="O183">
        <f>IF($J183="","",MATCH($L183,บันทึกรายเที่ยว!$S$6:$S$6005,0))</f>
        <v/>
      </c>
      <c r="P183">
        <f>IF($J183="","",IF(AND(OR($I$3="(ทั้งหมด)",INDEX(บันทึกรายเที่ยว!$C$6:$C$6005,$J183)=$I$3),OR($I$5="(ทั้งหมด)",INDEX(บันทึกรายเที่ยว!$D$6:$D$6005,$J183)=$I$5),OR($I$7="(ทั้งหมด)",INDEX(บันทึกรายเที่ยว!$F$6:$F$6005,$J183)=$I$7)),$N183*10000000+$O183*1000+176,""))</f>
        <v/>
      </c>
      <c r="Q183">
        <f>IFERROR(MATCH(SMALL($P$8:$P$407,176),$P$8:$P$407,0),"")</f>
        <v/>
      </c>
      <c r="R183">
        <f>IF($Q183="","",INDEX($J$8:$J$407,$Q183))</f>
        <v/>
      </c>
      <c r="S183">
        <f>IF($Q183="","",INDEX($M$8:$M$407,$Q183))</f>
        <v/>
      </c>
      <c r="T183">
        <f>IF($Q183="","",INDEX($L$8:$L$407,$Q183))</f>
        <v/>
      </c>
      <c r="U183">
        <f>IF($Q183="","",INDEX($K$8:$K$407,$Q183))</f>
        <v/>
      </c>
      <c r="V183">
        <f>IF($Q183="",0,IF($S183&lt;&gt;$S182,1,0))</f>
        <v/>
      </c>
      <c r="W183">
        <f>IF($Q183="",0,IF($T183&lt;&gt;$T182,1,0))</f>
        <v/>
      </c>
      <c r="X183">
        <f>IF($Q183="",99999+176,$X182+1+$V182+$W182)</f>
        <v/>
      </c>
      <c r="Y183">
        <f>IF($Q183="","",INDEX(บันทึกรายเที่ยว!$Q$6:$Q$6005,$R183))</f>
        <v/>
      </c>
      <c r="Z183">
        <f>IF($Q183="","",INDEX(บันทึกรายเที่ยว!$F$6:$F$6005,$R183))</f>
        <v/>
      </c>
      <c r="AA183">
        <f>IFERROR(MATCH(176,$X$8:$X$407,1),"")</f>
        <v/>
      </c>
      <c r="AB183">
        <f>IF(176=$AD$1+1,"G",IF($AA183="","",IF(INDEX($Q$8:$Q$407,$AA183)="","",IF(176&gt;INDEX($X$8:$X$407,$AA183)+INDEX($V$8:$V$407,$AA183)+INDEX($W$8:$W$407,$AA183),"",IF(176=INDEX($X$8:$X$407,$AA183)+INDEX($V$8:$V$407,$AA183)+INDEX($W$8:$W$407,$AA183),"D",IF(AND(INDEX($W$8:$W$407,$AA183)=1,176=INDEX($X$8:$X$407,$AA183)+INDEX($V$8:$V$407,$AA183)),"S","R"))))))</f>
        <v/>
      </c>
      <c r="AC183">
        <f>IF(OR($AB183="",$AB183="G"),"",IF($AB183="D",INDEX($U$8:$U$407,$AA183),IF($AB183="S",INDEX($T$8:$T$407,$AA183)&amp;"|*",INDEX($S$8:$S$407,$AA183)&amp;"|*")))</f>
        <v/>
      </c>
      <c r="AE183">
        <f>IF($U183="",0,COUNTIF(บันทึกรายเที่ยว!$T$6:$T$6005,$U183))</f>
        <v/>
      </c>
      <c r="AF183">
        <f>IF($U183="",0,ROUND(SUMIF(บันทึกรายเที่ยว!$T$6:$T$6005,$U183,บันทึกรายเที่ยว!$J$6:$J$6005),2))</f>
        <v/>
      </c>
      <c r="AG183">
        <f>IF($U183="",0,ROUND(SUMIF(บันทึกรายเที่ยว!$T$6:$T$6005,$U183,บันทึกรายเที่ยว!$K$6:$K$6005),2))</f>
        <v/>
      </c>
      <c r="AH183">
        <f>IF($U183="",0,ROUND(SUMIF(บันทึกรายเที่ยว!$T$6:$T$6005,$U183,บันทึกรายเที่ยว!$M$6:$M$6005),2))</f>
        <v/>
      </c>
    </row>
    <row r="184" ht="21" customHeight="1" s="66">
      <c r="A184" s="3">
        <f>IF($AB184="G","ผลรวมทั้งหมด",IF($AB184="R",INDEX($S$8:$S$407,$AA184),""))</f>
        <v/>
      </c>
      <c r="B184" s="3">
        <f>IF($AB184="S",INDEX($Y$8:$Y$407,$AA184),"")</f>
        <v/>
      </c>
      <c r="C184" s="68">
        <f>IF($AB184="D",INDEX($Z$8:$Z$407,$AA184),"")</f>
        <v/>
      </c>
      <c r="D184" s="31">
        <f>IF($AB184="G",SUM($AE$8:$AE$407),IF(OR($AB184="",$AB184="R"),"",IF($AB184="D",INDEX($AE$8:$AE$407,$AA184),SUMIF($T$8:$T$407,INDEX($T$8:$T$407,$AA184),$AE$8:$AE$407))))</f>
        <v/>
      </c>
      <c r="E184" s="32">
        <f>IF(177=$AD$1+3,"ขอแสดงความนับถือ",IF(177=$AD$1+6,"(                 )",IF(177=$AD$1+7,"เจ้าหน้าที่ขนส่ง",IF($AB184="G",SUM($AF$8:$AF$407),IF(OR($AB184="",$AB184="R"),"",IF($AB184="D",INDEX($AF$8:$AF$407,$AA184),SUMIF($T$8:$T$407,INDEX($T$8:$T$407,$AA184),$AF$8:$AF$407)))))))</f>
        <v/>
      </c>
      <c r="F184" s="32">
        <f>IF($AB184="G",SUM($AG$8:$AG$407),IF(OR($AB184="",$AB184="R"),"",IF($AB184="D",INDEX($AG$8:$AG$407,$AA184),SUMIF($T$8:$T$407,INDEX($T$8:$T$407,$AA184),$AG$8:$AG$407))))</f>
        <v/>
      </c>
      <c r="G184" s="32">
        <f>IF(OR($AB184="",$AB184="R"),"",ROUND($E184-$F184,2))</f>
        <v/>
      </c>
      <c r="H184" s="32">
        <f>IF($AB184="G",SUM($AH$8:$AH$407),IF(OR($AB184="",$AB184="R"),"",IF($AB184="D",INDEX($AH$8:$AH$407,$AA184),SUMIF($T$8:$T$407,INDEX($T$8:$T$407,$AA184),$AH$8:$AH$407))))</f>
        <v/>
      </c>
      <c r="J184">
        <f>IFERROR(MATCH(177,บันทึกรายเที่ยว!$W$6:$W$6005,0),"")</f>
        <v/>
      </c>
      <c r="K184">
        <f>IF($J184="","",INDEX(บันทึกรายเที่ยว!$T$6:$T$6005,$J184))</f>
        <v/>
      </c>
      <c r="L184">
        <f>IF($J184="","",INDEX(บันทึกรายเที่ยว!$S$6:$S$6005,$J184))</f>
        <v/>
      </c>
      <c r="M184">
        <f>IF($J184="","",INDEX(บันทึกรายเที่ยว!$R$6:$R$6005,$J184))</f>
        <v/>
      </c>
      <c r="N184">
        <f>IF($J184="","",MATCH($M184,บันทึกรายเที่ยว!$R$6:$R$6005,0))</f>
        <v/>
      </c>
      <c r="O184">
        <f>IF($J184="","",MATCH($L184,บันทึกรายเที่ยว!$S$6:$S$6005,0))</f>
        <v/>
      </c>
      <c r="P184">
        <f>IF($J184="","",IF(AND(OR($I$3="(ทั้งหมด)",INDEX(บันทึกรายเที่ยว!$C$6:$C$6005,$J184)=$I$3),OR($I$5="(ทั้งหมด)",INDEX(บันทึกรายเที่ยว!$D$6:$D$6005,$J184)=$I$5),OR($I$7="(ทั้งหมด)",INDEX(บันทึกรายเที่ยว!$F$6:$F$6005,$J184)=$I$7)),$N184*10000000+$O184*1000+177,""))</f>
        <v/>
      </c>
      <c r="Q184">
        <f>IFERROR(MATCH(SMALL($P$8:$P$407,177),$P$8:$P$407,0),"")</f>
        <v/>
      </c>
      <c r="R184">
        <f>IF($Q184="","",INDEX($J$8:$J$407,$Q184))</f>
        <v/>
      </c>
      <c r="S184">
        <f>IF($Q184="","",INDEX($M$8:$M$407,$Q184))</f>
        <v/>
      </c>
      <c r="T184">
        <f>IF($Q184="","",INDEX($L$8:$L$407,$Q184))</f>
        <v/>
      </c>
      <c r="U184">
        <f>IF($Q184="","",INDEX($K$8:$K$407,$Q184))</f>
        <v/>
      </c>
      <c r="V184">
        <f>IF($Q184="",0,IF($S184&lt;&gt;$S183,1,0))</f>
        <v/>
      </c>
      <c r="W184">
        <f>IF($Q184="",0,IF($T184&lt;&gt;$T183,1,0))</f>
        <v/>
      </c>
      <c r="X184">
        <f>IF($Q184="",99999+177,$X183+1+$V183+$W183)</f>
        <v/>
      </c>
      <c r="Y184">
        <f>IF($Q184="","",INDEX(บันทึกรายเที่ยว!$Q$6:$Q$6005,$R184))</f>
        <v/>
      </c>
      <c r="Z184">
        <f>IF($Q184="","",INDEX(บันทึกรายเที่ยว!$F$6:$F$6005,$R184))</f>
        <v/>
      </c>
      <c r="AA184">
        <f>IFERROR(MATCH(177,$X$8:$X$407,1),"")</f>
        <v/>
      </c>
      <c r="AB184">
        <f>IF(177=$AD$1+1,"G",IF($AA184="","",IF(INDEX($Q$8:$Q$407,$AA184)="","",IF(177&gt;INDEX($X$8:$X$407,$AA184)+INDEX($V$8:$V$407,$AA184)+INDEX($W$8:$W$407,$AA184),"",IF(177=INDEX($X$8:$X$407,$AA184)+INDEX($V$8:$V$407,$AA184)+INDEX($W$8:$W$407,$AA184),"D",IF(AND(INDEX($W$8:$W$407,$AA184)=1,177=INDEX($X$8:$X$407,$AA184)+INDEX($V$8:$V$407,$AA184)),"S","R"))))))</f>
        <v/>
      </c>
      <c r="AC184">
        <f>IF(OR($AB184="",$AB184="G"),"",IF($AB184="D",INDEX($U$8:$U$407,$AA184),IF($AB184="S",INDEX($T$8:$T$407,$AA184)&amp;"|*",INDEX($S$8:$S$407,$AA184)&amp;"|*")))</f>
        <v/>
      </c>
      <c r="AE184">
        <f>IF($U184="",0,COUNTIF(บันทึกรายเที่ยว!$T$6:$T$6005,$U184))</f>
        <v/>
      </c>
      <c r="AF184">
        <f>IF($U184="",0,ROUND(SUMIF(บันทึกรายเที่ยว!$T$6:$T$6005,$U184,บันทึกรายเที่ยว!$J$6:$J$6005),2))</f>
        <v/>
      </c>
      <c r="AG184">
        <f>IF($U184="",0,ROUND(SUMIF(บันทึกรายเที่ยว!$T$6:$T$6005,$U184,บันทึกรายเที่ยว!$K$6:$K$6005),2))</f>
        <v/>
      </c>
      <c r="AH184">
        <f>IF($U184="",0,ROUND(SUMIF(บันทึกรายเที่ยว!$T$6:$T$6005,$U184,บันทึกรายเที่ยว!$M$6:$M$6005),2))</f>
        <v/>
      </c>
    </row>
    <row r="185" ht="21" customHeight="1" s="66">
      <c r="A185" s="3">
        <f>IF($AB185="G","ผลรวมทั้งหมด",IF($AB185="R",INDEX($S$8:$S$407,$AA185),""))</f>
        <v/>
      </c>
      <c r="B185" s="3">
        <f>IF($AB185="S",INDEX($Y$8:$Y$407,$AA185),"")</f>
        <v/>
      </c>
      <c r="C185" s="68">
        <f>IF($AB185="D",INDEX($Z$8:$Z$407,$AA185),"")</f>
        <v/>
      </c>
      <c r="D185" s="31">
        <f>IF($AB185="G",SUM($AE$8:$AE$407),IF(OR($AB185="",$AB185="R"),"",IF($AB185="D",INDEX($AE$8:$AE$407,$AA185),SUMIF($T$8:$T$407,INDEX($T$8:$T$407,$AA185),$AE$8:$AE$407))))</f>
        <v/>
      </c>
      <c r="E185" s="32">
        <f>IF(178=$AD$1+3,"ขอแสดงความนับถือ",IF(178=$AD$1+6,"(                 )",IF(178=$AD$1+7,"เจ้าหน้าที่ขนส่ง",IF($AB185="G",SUM($AF$8:$AF$407),IF(OR($AB185="",$AB185="R"),"",IF($AB185="D",INDEX($AF$8:$AF$407,$AA185),SUMIF($T$8:$T$407,INDEX($T$8:$T$407,$AA185),$AF$8:$AF$407)))))))</f>
        <v/>
      </c>
      <c r="F185" s="32">
        <f>IF($AB185="G",SUM($AG$8:$AG$407),IF(OR($AB185="",$AB185="R"),"",IF($AB185="D",INDEX($AG$8:$AG$407,$AA185),SUMIF($T$8:$T$407,INDEX($T$8:$T$407,$AA185),$AG$8:$AG$407))))</f>
        <v/>
      </c>
      <c r="G185" s="32">
        <f>IF(OR($AB185="",$AB185="R"),"",ROUND($E185-$F185,2))</f>
        <v/>
      </c>
      <c r="H185" s="32">
        <f>IF($AB185="G",SUM($AH$8:$AH$407),IF(OR($AB185="",$AB185="R"),"",IF($AB185="D",INDEX($AH$8:$AH$407,$AA185),SUMIF($T$8:$T$407,INDEX($T$8:$T$407,$AA185),$AH$8:$AH$407))))</f>
        <v/>
      </c>
      <c r="J185">
        <f>IFERROR(MATCH(178,บันทึกรายเที่ยว!$W$6:$W$6005,0),"")</f>
        <v/>
      </c>
      <c r="K185">
        <f>IF($J185="","",INDEX(บันทึกรายเที่ยว!$T$6:$T$6005,$J185))</f>
        <v/>
      </c>
      <c r="L185">
        <f>IF($J185="","",INDEX(บันทึกรายเที่ยว!$S$6:$S$6005,$J185))</f>
        <v/>
      </c>
      <c r="M185">
        <f>IF($J185="","",INDEX(บันทึกรายเที่ยว!$R$6:$R$6005,$J185))</f>
        <v/>
      </c>
      <c r="N185">
        <f>IF($J185="","",MATCH($M185,บันทึกรายเที่ยว!$R$6:$R$6005,0))</f>
        <v/>
      </c>
      <c r="O185">
        <f>IF($J185="","",MATCH($L185,บันทึกรายเที่ยว!$S$6:$S$6005,0))</f>
        <v/>
      </c>
      <c r="P185">
        <f>IF($J185="","",IF(AND(OR($I$3="(ทั้งหมด)",INDEX(บันทึกรายเที่ยว!$C$6:$C$6005,$J185)=$I$3),OR($I$5="(ทั้งหมด)",INDEX(บันทึกรายเที่ยว!$D$6:$D$6005,$J185)=$I$5),OR($I$7="(ทั้งหมด)",INDEX(บันทึกรายเที่ยว!$F$6:$F$6005,$J185)=$I$7)),$N185*10000000+$O185*1000+178,""))</f>
        <v/>
      </c>
      <c r="Q185">
        <f>IFERROR(MATCH(SMALL($P$8:$P$407,178),$P$8:$P$407,0),"")</f>
        <v/>
      </c>
      <c r="R185">
        <f>IF($Q185="","",INDEX($J$8:$J$407,$Q185))</f>
        <v/>
      </c>
      <c r="S185">
        <f>IF($Q185="","",INDEX($M$8:$M$407,$Q185))</f>
        <v/>
      </c>
      <c r="T185">
        <f>IF($Q185="","",INDEX($L$8:$L$407,$Q185))</f>
        <v/>
      </c>
      <c r="U185">
        <f>IF($Q185="","",INDEX($K$8:$K$407,$Q185))</f>
        <v/>
      </c>
      <c r="V185">
        <f>IF($Q185="",0,IF($S185&lt;&gt;$S184,1,0))</f>
        <v/>
      </c>
      <c r="W185">
        <f>IF($Q185="",0,IF($T185&lt;&gt;$T184,1,0))</f>
        <v/>
      </c>
      <c r="X185">
        <f>IF($Q185="",99999+178,$X184+1+$V184+$W184)</f>
        <v/>
      </c>
      <c r="Y185">
        <f>IF($Q185="","",INDEX(บันทึกรายเที่ยว!$Q$6:$Q$6005,$R185))</f>
        <v/>
      </c>
      <c r="Z185">
        <f>IF($Q185="","",INDEX(บันทึกรายเที่ยว!$F$6:$F$6005,$R185))</f>
        <v/>
      </c>
      <c r="AA185">
        <f>IFERROR(MATCH(178,$X$8:$X$407,1),"")</f>
        <v/>
      </c>
      <c r="AB185">
        <f>IF(178=$AD$1+1,"G",IF($AA185="","",IF(INDEX($Q$8:$Q$407,$AA185)="","",IF(178&gt;INDEX($X$8:$X$407,$AA185)+INDEX($V$8:$V$407,$AA185)+INDEX($W$8:$W$407,$AA185),"",IF(178=INDEX($X$8:$X$407,$AA185)+INDEX($V$8:$V$407,$AA185)+INDEX($W$8:$W$407,$AA185),"D",IF(AND(INDEX($W$8:$W$407,$AA185)=1,178=INDEX($X$8:$X$407,$AA185)+INDEX($V$8:$V$407,$AA185)),"S","R"))))))</f>
        <v/>
      </c>
      <c r="AC185">
        <f>IF(OR($AB185="",$AB185="G"),"",IF($AB185="D",INDEX($U$8:$U$407,$AA185),IF($AB185="S",INDEX($T$8:$T$407,$AA185)&amp;"|*",INDEX($S$8:$S$407,$AA185)&amp;"|*")))</f>
        <v/>
      </c>
      <c r="AE185">
        <f>IF($U185="",0,COUNTIF(บันทึกรายเที่ยว!$T$6:$T$6005,$U185))</f>
        <v/>
      </c>
      <c r="AF185">
        <f>IF($U185="",0,ROUND(SUMIF(บันทึกรายเที่ยว!$T$6:$T$6005,$U185,บันทึกรายเที่ยว!$J$6:$J$6005),2))</f>
        <v/>
      </c>
      <c r="AG185">
        <f>IF($U185="",0,ROUND(SUMIF(บันทึกรายเที่ยว!$T$6:$T$6005,$U185,บันทึกรายเที่ยว!$K$6:$K$6005),2))</f>
        <v/>
      </c>
      <c r="AH185">
        <f>IF($U185="",0,ROUND(SUMIF(บันทึกรายเที่ยว!$T$6:$T$6005,$U185,บันทึกรายเที่ยว!$M$6:$M$6005),2))</f>
        <v/>
      </c>
    </row>
    <row r="186" ht="21" customHeight="1" s="66">
      <c r="A186" s="3">
        <f>IF($AB186="G","ผลรวมทั้งหมด",IF($AB186="R",INDEX($S$8:$S$407,$AA186),""))</f>
        <v/>
      </c>
      <c r="B186" s="3">
        <f>IF($AB186="S",INDEX($Y$8:$Y$407,$AA186),"")</f>
        <v/>
      </c>
      <c r="C186" s="68">
        <f>IF($AB186="D",INDEX($Z$8:$Z$407,$AA186),"")</f>
        <v/>
      </c>
      <c r="D186" s="31">
        <f>IF($AB186="G",SUM($AE$8:$AE$407),IF(OR($AB186="",$AB186="R"),"",IF($AB186="D",INDEX($AE$8:$AE$407,$AA186),SUMIF($T$8:$T$407,INDEX($T$8:$T$407,$AA186),$AE$8:$AE$407))))</f>
        <v/>
      </c>
      <c r="E186" s="32">
        <f>IF(179=$AD$1+3,"ขอแสดงความนับถือ",IF(179=$AD$1+6,"(                 )",IF(179=$AD$1+7,"เจ้าหน้าที่ขนส่ง",IF($AB186="G",SUM($AF$8:$AF$407),IF(OR($AB186="",$AB186="R"),"",IF($AB186="D",INDEX($AF$8:$AF$407,$AA186),SUMIF($T$8:$T$407,INDEX($T$8:$T$407,$AA186),$AF$8:$AF$407)))))))</f>
        <v/>
      </c>
      <c r="F186" s="32">
        <f>IF($AB186="G",SUM($AG$8:$AG$407),IF(OR($AB186="",$AB186="R"),"",IF($AB186="D",INDEX($AG$8:$AG$407,$AA186),SUMIF($T$8:$T$407,INDEX($T$8:$T$407,$AA186),$AG$8:$AG$407))))</f>
        <v/>
      </c>
      <c r="G186" s="32">
        <f>IF(OR($AB186="",$AB186="R"),"",ROUND($E186-$F186,2))</f>
        <v/>
      </c>
      <c r="H186" s="32">
        <f>IF($AB186="G",SUM($AH$8:$AH$407),IF(OR($AB186="",$AB186="R"),"",IF($AB186="D",INDEX($AH$8:$AH$407,$AA186),SUMIF($T$8:$T$407,INDEX($T$8:$T$407,$AA186),$AH$8:$AH$407))))</f>
        <v/>
      </c>
      <c r="J186">
        <f>IFERROR(MATCH(179,บันทึกรายเที่ยว!$W$6:$W$6005,0),"")</f>
        <v/>
      </c>
      <c r="K186">
        <f>IF($J186="","",INDEX(บันทึกรายเที่ยว!$T$6:$T$6005,$J186))</f>
        <v/>
      </c>
      <c r="L186">
        <f>IF($J186="","",INDEX(บันทึกรายเที่ยว!$S$6:$S$6005,$J186))</f>
        <v/>
      </c>
      <c r="M186">
        <f>IF($J186="","",INDEX(บันทึกรายเที่ยว!$R$6:$R$6005,$J186))</f>
        <v/>
      </c>
      <c r="N186">
        <f>IF($J186="","",MATCH($M186,บันทึกรายเที่ยว!$R$6:$R$6005,0))</f>
        <v/>
      </c>
      <c r="O186">
        <f>IF($J186="","",MATCH($L186,บันทึกรายเที่ยว!$S$6:$S$6005,0))</f>
        <v/>
      </c>
      <c r="P186">
        <f>IF($J186="","",IF(AND(OR($I$3="(ทั้งหมด)",INDEX(บันทึกรายเที่ยว!$C$6:$C$6005,$J186)=$I$3),OR($I$5="(ทั้งหมด)",INDEX(บันทึกรายเที่ยว!$D$6:$D$6005,$J186)=$I$5),OR($I$7="(ทั้งหมด)",INDEX(บันทึกรายเที่ยว!$F$6:$F$6005,$J186)=$I$7)),$N186*10000000+$O186*1000+179,""))</f>
        <v/>
      </c>
      <c r="Q186">
        <f>IFERROR(MATCH(SMALL($P$8:$P$407,179),$P$8:$P$407,0),"")</f>
        <v/>
      </c>
      <c r="R186">
        <f>IF($Q186="","",INDEX($J$8:$J$407,$Q186))</f>
        <v/>
      </c>
      <c r="S186">
        <f>IF($Q186="","",INDEX($M$8:$M$407,$Q186))</f>
        <v/>
      </c>
      <c r="T186">
        <f>IF($Q186="","",INDEX($L$8:$L$407,$Q186))</f>
        <v/>
      </c>
      <c r="U186">
        <f>IF($Q186="","",INDEX($K$8:$K$407,$Q186))</f>
        <v/>
      </c>
      <c r="V186">
        <f>IF($Q186="",0,IF($S186&lt;&gt;$S185,1,0))</f>
        <v/>
      </c>
      <c r="W186">
        <f>IF($Q186="",0,IF($T186&lt;&gt;$T185,1,0))</f>
        <v/>
      </c>
      <c r="X186">
        <f>IF($Q186="",99999+179,$X185+1+$V185+$W185)</f>
        <v/>
      </c>
      <c r="Y186">
        <f>IF($Q186="","",INDEX(บันทึกรายเที่ยว!$Q$6:$Q$6005,$R186))</f>
        <v/>
      </c>
      <c r="Z186">
        <f>IF($Q186="","",INDEX(บันทึกรายเที่ยว!$F$6:$F$6005,$R186))</f>
        <v/>
      </c>
      <c r="AA186">
        <f>IFERROR(MATCH(179,$X$8:$X$407,1),"")</f>
        <v/>
      </c>
      <c r="AB186">
        <f>IF(179=$AD$1+1,"G",IF($AA186="","",IF(INDEX($Q$8:$Q$407,$AA186)="","",IF(179&gt;INDEX($X$8:$X$407,$AA186)+INDEX($V$8:$V$407,$AA186)+INDEX($W$8:$W$407,$AA186),"",IF(179=INDEX($X$8:$X$407,$AA186)+INDEX($V$8:$V$407,$AA186)+INDEX($W$8:$W$407,$AA186),"D",IF(AND(INDEX($W$8:$W$407,$AA186)=1,179=INDEX($X$8:$X$407,$AA186)+INDEX($V$8:$V$407,$AA186)),"S","R"))))))</f>
        <v/>
      </c>
      <c r="AC186">
        <f>IF(OR($AB186="",$AB186="G"),"",IF($AB186="D",INDEX($U$8:$U$407,$AA186),IF($AB186="S",INDEX($T$8:$T$407,$AA186)&amp;"|*",INDEX($S$8:$S$407,$AA186)&amp;"|*")))</f>
        <v/>
      </c>
      <c r="AE186">
        <f>IF($U186="",0,COUNTIF(บันทึกรายเที่ยว!$T$6:$T$6005,$U186))</f>
        <v/>
      </c>
      <c r="AF186">
        <f>IF($U186="",0,ROUND(SUMIF(บันทึกรายเที่ยว!$T$6:$T$6005,$U186,บันทึกรายเที่ยว!$J$6:$J$6005),2))</f>
        <v/>
      </c>
      <c r="AG186">
        <f>IF($U186="",0,ROUND(SUMIF(บันทึกรายเที่ยว!$T$6:$T$6005,$U186,บันทึกรายเที่ยว!$K$6:$K$6005),2))</f>
        <v/>
      </c>
      <c r="AH186">
        <f>IF($U186="",0,ROUND(SUMIF(บันทึกรายเที่ยว!$T$6:$T$6005,$U186,บันทึกรายเที่ยว!$M$6:$M$6005),2))</f>
        <v/>
      </c>
    </row>
    <row r="187" ht="21" customHeight="1" s="66">
      <c r="A187" s="3">
        <f>IF($AB187="G","ผลรวมทั้งหมด",IF($AB187="R",INDEX($S$8:$S$407,$AA187),""))</f>
        <v/>
      </c>
      <c r="B187" s="3">
        <f>IF($AB187="S",INDEX($Y$8:$Y$407,$AA187),"")</f>
        <v/>
      </c>
      <c r="C187" s="68">
        <f>IF($AB187="D",INDEX($Z$8:$Z$407,$AA187),"")</f>
        <v/>
      </c>
      <c r="D187" s="31">
        <f>IF($AB187="G",SUM($AE$8:$AE$407),IF(OR($AB187="",$AB187="R"),"",IF($AB187="D",INDEX($AE$8:$AE$407,$AA187),SUMIF($T$8:$T$407,INDEX($T$8:$T$407,$AA187),$AE$8:$AE$407))))</f>
        <v/>
      </c>
      <c r="E187" s="32">
        <f>IF(180=$AD$1+3,"ขอแสดงความนับถือ",IF(180=$AD$1+6,"(                 )",IF(180=$AD$1+7,"เจ้าหน้าที่ขนส่ง",IF($AB187="G",SUM($AF$8:$AF$407),IF(OR($AB187="",$AB187="R"),"",IF($AB187="D",INDEX($AF$8:$AF$407,$AA187),SUMIF($T$8:$T$407,INDEX($T$8:$T$407,$AA187),$AF$8:$AF$407)))))))</f>
        <v/>
      </c>
      <c r="F187" s="32">
        <f>IF($AB187="G",SUM($AG$8:$AG$407),IF(OR($AB187="",$AB187="R"),"",IF($AB187="D",INDEX($AG$8:$AG$407,$AA187),SUMIF($T$8:$T$407,INDEX($T$8:$T$407,$AA187),$AG$8:$AG$407))))</f>
        <v/>
      </c>
      <c r="G187" s="32">
        <f>IF(OR($AB187="",$AB187="R"),"",ROUND($E187-$F187,2))</f>
        <v/>
      </c>
      <c r="H187" s="32">
        <f>IF($AB187="G",SUM($AH$8:$AH$407),IF(OR($AB187="",$AB187="R"),"",IF($AB187="D",INDEX($AH$8:$AH$407,$AA187),SUMIF($T$8:$T$407,INDEX($T$8:$T$407,$AA187),$AH$8:$AH$407))))</f>
        <v/>
      </c>
      <c r="J187">
        <f>IFERROR(MATCH(180,บันทึกรายเที่ยว!$W$6:$W$6005,0),"")</f>
        <v/>
      </c>
      <c r="K187">
        <f>IF($J187="","",INDEX(บันทึกรายเที่ยว!$T$6:$T$6005,$J187))</f>
        <v/>
      </c>
      <c r="L187">
        <f>IF($J187="","",INDEX(บันทึกรายเที่ยว!$S$6:$S$6005,$J187))</f>
        <v/>
      </c>
      <c r="M187">
        <f>IF($J187="","",INDEX(บันทึกรายเที่ยว!$R$6:$R$6005,$J187))</f>
        <v/>
      </c>
      <c r="N187">
        <f>IF($J187="","",MATCH($M187,บันทึกรายเที่ยว!$R$6:$R$6005,0))</f>
        <v/>
      </c>
      <c r="O187">
        <f>IF($J187="","",MATCH($L187,บันทึกรายเที่ยว!$S$6:$S$6005,0))</f>
        <v/>
      </c>
      <c r="P187">
        <f>IF($J187="","",IF(AND(OR($I$3="(ทั้งหมด)",INDEX(บันทึกรายเที่ยว!$C$6:$C$6005,$J187)=$I$3),OR($I$5="(ทั้งหมด)",INDEX(บันทึกรายเที่ยว!$D$6:$D$6005,$J187)=$I$5),OR($I$7="(ทั้งหมด)",INDEX(บันทึกรายเที่ยว!$F$6:$F$6005,$J187)=$I$7)),$N187*10000000+$O187*1000+180,""))</f>
        <v/>
      </c>
      <c r="Q187">
        <f>IFERROR(MATCH(SMALL($P$8:$P$407,180),$P$8:$P$407,0),"")</f>
        <v/>
      </c>
      <c r="R187">
        <f>IF($Q187="","",INDEX($J$8:$J$407,$Q187))</f>
        <v/>
      </c>
      <c r="S187">
        <f>IF($Q187="","",INDEX($M$8:$M$407,$Q187))</f>
        <v/>
      </c>
      <c r="T187">
        <f>IF($Q187="","",INDEX($L$8:$L$407,$Q187))</f>
        <v/>
      </c>
      <c r="U187">
        <f>IF($Q187="","",INDEX($K$8:$K$407,$Q187))</f>
        <v/>
      </c>
      <c r="V187">
        <f>IF($Q187="",0,IF($S187&lt;&gt;$S186,1,0))</f>
        <v/>
      </c>
      <c r="W187">
        <f>IF($Q187="",0,IF($T187&lt;&gt;$T186,1,0))</f>
        <v/>
      </c>
      <c r="X187">
        <f>IF($Q187="",99999+180,$X186+1+$V186+$W186)</f>
        <v/>
      </c>
      <c r="Y187">
        <f>IF($Q187="","",INDEX(บันทึกรายเที่ยว!$Q$6:$Q$6005,$R187))</f>
        <v/>
      </c>
      <c r="Z187">
        <f>IF($Q187="","",INDEX(บันทึกรายเที่ยว!$F$6:$F$6005,$R187))</f>
        <v/>
      </c>
      <c r="AA187">
        <f>IFERROR(MATCH(180,$X$8:$X$407,1),"")</f>
        <v/>
      </c>
      <c r="AB187">
        <f>IF(180=$AD$1+1,"G",IF($AA187="","",IF(INDEX($Q$8:$Q$407,$AA187)="","",IF(180&gt;INDEX($X$8:$X$407,$AA187)+INDEX($V$8:$V$407,$AA187)+INDEX($W$8:$W$407,$AA187),"",IF(180=INDEX($X$8:$X$407,$AA187)+INDEX($V$8:$V$407,$AA187)+INDEX($W$8:$W$407,$AA187),"D",IF(AND(INDEX($W$8:$W$407,$AA187)=1,180=INDEX($X$8:$X$407,$AA187)+INDEX($V$8:$V$407,$AA187)),"S","R"))))))</f>
        <v/>
      </c>
      <c r="AC187">
        <f>IF(OR($AB187="",$AB187="G"),"",IF($AB187="D",INDEX($U$8:$U$407,$AA187),IF($AB187="S",INDEX($T$8:$T$407,$AA187)&amp;"|*",INDEX($S$8:$S$407,$AA187)&amp;"|*")))</f>
        <v/>
      </c>
      <c r="AE187">
        <f>IF($U187="",0,COUNTIF(บันทึกรายเที่ยว!$T$6:$T$6005,$U187))</f>
        <v/>
      </c>
      <c r="AF187">
        <f>IF($U187="",0,ROUND(SUMIF(บันทึกรายเที่ยว!$T$6:$T$6005,$U187,บันทึกรายเที่ยว!$J$6:$J$6005),2))</f>
        <v/>
      </c>
      <c r="AG187">
        <f>IF($U187="",0,ROUND(SUMIF(บันทึกรายเที่ยว!$T$6:$T$6005,$U187,บันทึกรายเที่ยว!$K$6:$K$6005),2))</f>
        <v/>
      </c>
      <c r="AH187">
        <f>IF($U187="",0,ROUND(SUMIF(บันทึกรายเที่ยว!$T$6:$T$6005,$U187,บันทึกรายเที่ยว!$M$6:$M$6005),2))</f>
        <v/>
      </c>
    </row>
    <row r="188" ht="21" customHeight="1" s="66">
      <c r="A188" s="3">
        <f>IF($AB188="G","ผลรวมทั้งหมด",IF($AB188="R",INDEX($S$8:$S$407,$AA188),""))</f>
        <v/>
      </c>
      <c r="B188" s="3">
        <f>IF($AB188="S",INDEX($Y$8:$Y$407,$AA188),"")</f>
        <v/>
      </c>
      <c r="C188" s="68">
        <f>IF($AB188="D",INDEX($Z$8:$Z$407,$AA188),"")</f>
        <v/>
      </c>
      <c r="D188" s="31">
        <f>IF($AB188="G",SUM($AE$8:$AE$407),IF(OR($AB188="",$AB188="R"),"",IF($AB188="D",INDEX($AE$8:$AE$407,$AA188),SUMIF($T$8:$T$407,INDEX($T$8:$T$407,$AA188),$AE$8:$AE$407))))</f>
        <v/>
      </c>
      <c r="E188" s="32">
        <f>IF(181=$AD$1+3,"ขอแสดงความนับถือ",IF(181=$AD$1+6,"(                 )",IF(181=$AD$1+7,"เจ้าหน้าที่ขนส่ง",IF($AB188="G",SUM($AF$8:$AF$407),IF(OR($AB188="",$AB188="R"),"",IF($AB188="D",INDEX($AF$8:$AF$407,$AA188),SUMIF($T$8:$T$407,INDEX($T$8:$T$407,$AA188),$AF$8:$AF$407)))))))</f>
        <v/>
      </c>
      <c r="F188" s="32">
        <f>IF($AB188="G",SUM($AG$8:$AG$407),IF(OR($AB188="",$AB188="R"),"",IF($AB188="D",INDEX($AG$8:$AG$407,$AA188),SUMIF($T$8:$T$407,INDEX($T$8:$T$407,$AA188),$AG$8:$AG$407))))</f>
        <v/>
      </c>
      <c r="G188" s="32">
        <f>IF(OR($AB188="",$AB188="R"),"",ROUND($E188-$F188,2))</f>
        <v/>
      </c>
      <c r="H188" s="32">
        <f>IF($AB188="G",SUM($AH$8:$AH$407),IF(OR($AB188="",$AB188="R"),"",IF($AB188="D",INDEX($AH$8:$AH$407,$AA188),SUMIF($T$8:$T$407,INDEX($T$8:$T$407,$AA188),$AH$8:$AH$407))))</f>
        <v/>
      </c>
      <c r="J188">
        <f>IFERROR(MATCH(181,บันทึกรายเที่ยว!$W$6:$W$6005,0),"")</f>
        <v/>
      </c>
      <c r="K188">
        <f>IF($J188="","",INDEX(บันทึกรายเที่ยว!$T$6:$T$6005,$J188))</f>
        <v/>
      </c>
      <c r="L188">
        <f>IF($J188="","",INDEX(บันทึกรายเที่ยว!$S$6:$S$6005,$J188))</f>
        <v/>
      </c>
      <c r="M188">
        <f>IF($J188="","",INDEX(บันทึกรายเที่ยว!$R$6:$R$6005,$J188))</f>
        <v/>
      </c>
      <c r="N188">
        <f>IF($J188="","",MATCH($M188,บันทึกรายเที่ยว!$R$6:$R$6005,0))</f>
        <v/>
      </c>
      <c r="O188">
        <f>IF($J188="","",MATCH($L188,บันทึกรายเที่ยว!$S$6:$S$6005,0))</f>
        <v/>
      </c>
      <c r="P188">
        <f>IF($J188="","",IF(AND(OR($I$3="(ทั้งหมด)",INDEX(บันทึกรายเที่ยว!$C$6:$C$6005,$J188)=$I$3),OR($I$5="(ทั้งหมด)",INDEX(บันทึกรายเที่ยว!$D$6:$D$6005,$J188)=$I$5),OR($I$7="(ทั้งหมด)",INDEX(บันทึกรายเที่ยว!$F$6:$F$6005,$J188)=$I$7)),$N188*10000000+$O188*1000+181,""))</f>
        <v/>
      </c>
      <c r="Q188">
        <f>IFERROR(MATCH(SMALL($P$8:$P$407,181),$P$8:$P$407,0),"")</f>
        <v/>
      </c>
      <c r="R188">
        <f>IF($Q188="","",INDEX($J$8:$J$407,$Q188))</f>
        <v/>
      </c>
      <c r="S188">
        <f>IF($Q188="","",INDEX($M$8:$M$407,$Q188))</f>
        <v/>
      </c>
      <c r="T188">
        <f>IF($Q188="","",INDEX($L$8:$L$407,$Q188))</f>
        <v/>
      </c>
      <c r="U188">
        <f>IF($Q188="","",INDEX($K$8:$K$407,$Q188))</f>
        <v/>
      </c>
      <c r="V188">
        <f>IF($Q188="",0,IF($S188&lt;&gt;$S187,1,0))</f>
        <v/>
      </c>
      <c r="W188">
        <f>IF($Q188="",0,IF($T188&lt;&gt;$T187,1,0))</f>
        <v/>
      </c>
      <c r="X188">
        <f>IF($Q188="",99999+181,$X187+1+$V187+$W187)</f>
        <v/>
      </c>
      <c r="Y188">
        <f>IF($Q188="","",INDEX(บันทึกรายเที่ยว!$Q$6:$Q$6005,$R188))</f>
        <v/>
      </c>
      <c r="Z188">
        <f>IF($Q188="","",INDEX(บันทึกรายเที่ยว!$F$6:$F$6005,$R188))</f>
        <v/>
      </c>
      <c r="AA188">
        <f>IFERROR(MATCH(181,$X$8:$X$407,1),"")</f>
        <v/>
      </c>
      <c r="AB188">
        <f>IF(181=$AD$1+1,"G",IF($AA188="","",IF(INDEX($Q$8:$Q$407,$AA188)="","",IF(181&gt;INDEX($X$8:$X$407,$AA188)+INDEX($V$8:$V$407,$AA188)+INDEX($W$8:$W$407,$AA188),"",IF(181=INDEX($X$8:$X$407,$AA188)+INDEX($V$8:$V$407,$AA188)+INDEX($W$8:$W$407,$AA188),"D",IF(AND(INDEX($W$8:$W$407,$AA188)=1,181=INDEX($X$8:$X$407,$AA188)+INDEX($V$8:$V$407,$AA188)),"S","R"))))))</f>
        <v/>
      </c>
      <c r="AC188">
        <f>IF(OR($AB188="",$AB188="G"),"",IF($AB188="D",INDEX($U$8:$U$407,$AA188),IF($AB188="S",INDEX($T$8:$T$407,$AA188)&amp;"|*",INDEX($S$8:$S$407,$AA188)&amp;"|*")))</f>
        <v/>
      </c>
      <c r="AE188">
        <f>IF($U188="",0,COUNTIF(บันทึกรายเที่ยว!$T$6:$T$6005,$U188))</f>
        <v/>
      </c>
      <c r="AF188">
        <f>IF($U188="",0,ROUND(SUMIF(บันทึกรายเที่ยว!$T$6:$T$6005,$U188,บันทึกรายเที่ยว!$J$6:$J$6005),2))</f>
        <v/>
      </c>
      <c r="AG188">
        <f>IF($U188="",0,ROUND(SUMIF(บันทึกรายเที่ยว!$T$6:$T$6005,$U188,บันทึกรายเที่ยว!$K$6:$K$6005),2))</f>
        <v/>
      </c>
      <c r="AH188">
        <f>IF($U188="",0,ROUND(SUMIF(บันทึกรายเที่ยว!$T$6:$T$6005,$U188,บันทึกรายเที่ยว!$M$6:$M$6005),2))</f>
        <v/>
      </c>
    </row>
    <row r="189" ht="21" customHeight="1" s="66">
      <c r="A189" s="3">
        <f>IF($AB189="G","ผลรวมทั้งหมด",IF($AB189="R",INDEX($S$8:$S$407,$AA189),""))</f>
        <v/>
      </c>
      <c r="B189" s="3">
        <f>IF($AB189="S",INDEX($Y$8:$Y$407,$AA189),"")</f>
        <v/>
      </c>
      <c r="C189" s="68">
        <f>IF($AB189="D",INDEX($Z$8:$Z$407,$AA189),"")</f>
        <v/>
      </c>
      <c r="D189" s="31">
        <f>IF($AB189="G",SUM($AE$8:$AE$407),IF(OR($AB189="",$AB189="R"),"",IF($AB189="D",INDEX($AE$8:$AE$407,$AA189),SUMIF($T$8:$T$407,INDEX($T$8:$T$407,$AA189),$AE$8:$AE$407))))</f>
        <v/>
      </c>
      <c r="E189" s="32">
        <f>IF(182=$AD$1+3,"ขอแสดงความนับถือ",IF(182=$AD$1+6,"(                 )",IF(182=$AD$1+7,"เจ้าหน้าที่ขนส่ง",IF($AB189="G",SUM($AF$8:$AF$407),IF(OR($AB189="",$AB189="R"),"",IF($AB189="D",INDEX($AF$8:$AF$407,$AA189),SUMIF($T$8:$T$407,INDEX($T$8:$T$407,$AA189),$AF$8:$AF$407)))))))</f>
        <v/>
      </c>
      <c r="F189" s="32">
        <f>IF($AB189="G",SUM($AG$8:$AG$407),IF(OR($AB189="",$AB189="R"),"",IF($AB189="D",INDEX($AG$8:$AG$407,$AA189),SUMIF($T$8:$T$407,INDEX($T$8:$T$407,$AA189),$AG$8:$AG$407))))</f>
        <v/>
      </c>
      <c r="G189" s="32">
        <f>IF(OR($AB189="",$AB189="R"),"",ROUND($E189-$F189,2))</f>
        <v/>
      </c>
      <c r="H189" s="32">
        <f>IF($AB189="G",SUM($AH$8:$AH$407),IF(OR($AB189="",$AB189="R"),"",IF($AB189="D",INDEX($AH$8:$AH$407,$AA189),SUMIF($T$8:$T$407,INDEX($T$8:$T$407,$AA189),$AH$8:$AH$407))))</f>
        <v/>
      </c>
      <c r="J189">
        <f>IFERROR(MATCH(182,บันทึกรายเที่ยว!$W$6:$W$6005,0),"")</f>
        <v/>
      </c>
      <c r="K189">
        <f>IF($J189="","",INDEX(บันทึกรายเที่ยว!$T$6:$T$6005,$J189))</f>
        <v/>
      </c>
      <c r="L189">
        <f>IF($J189="","",INDEX(บันทึกรายเที่ยว!$S$6:$S$6005,$J189))</f>
        <v/>
      </c>
      <c r="M189">
        <f>IF($J189="","",INDEX(บันทึกรายเที่ยว!$R$6:$R$6005,$J189))</f>
        <v/>
      </c>
      <c r="N189">
        <f>IF($J189="","",MATCH($M189,บันทึกรายเที่ยว!$R$6:$R$6005,0))</f>
        <v/>
      </c>
      <c r="O189">
        <f>IF($J189="","",MATCH($L189,บันทึกรายเที่ยว!$S$6:$S$6005,0))</f>
        <v/>
      </c>
      <c r="P189">
        <f>IF($J189="","",IF(AND(OR($I$3="(ทั้งหมด)",INDEX(บันทึกรายเที่ยว!$C$6:$C$6005,$J189)=$I$3),OR($I$5="(ทั้งหมด)",INDEX(บันทึกรายเที่ยว!$D$6:$D$6005,$J189)=$I$5),OR($I$7="(ทั้งหมด)",INDEX(บันทึกรายเที่ยว!$F$6:$F$6005,$J189)=$I$7)),$N189*10000000+$O189*1000+182,""))</f>
        <v/>
      </c>
      <c r="Q189">
        <f>IFERROR(MATCH(SMALL($P$8:$P$407,182),$P$8:$P$407,0),"")</f>
        <v/>
      </c>
      <c r="R189">
        <f>IF($Q189="","",INDEX($J$8:$J$407,$Q189))</f>
        <v/>
      </c>
      <c r="S189">
        <f>IF($Q189="","",INDEX($M$8:$M$407,$Q189))</f>
        <v/>
      </c>
      <c r="T189">
        <f>IF($Q189="","",INDEX($L$8:$L$407,$Q189))</f>
        <v/>
      </c>
      <c r="U189">
        <f>IF($Q189="","",INDEX($K$8:$K$407,$Q189))</f>
        <v/>
      </c>
      <c r="V189">
        <f>IF($Q189="",0,IF($S189&lt;&gt;$S188,1,0))</f>
        <v/>
      </c>
      <c r="W189">
        <f>IF($Q189="",0,IF($T189&lt;&gt;$T188,1,0))</f>
        <v/>
      </c>
      <c r="X189">
        <f>IF($Q189="",99999+182,$X188+1+$V188+$W188)</f>
        <v/>
      </c>
      <c r="Y189">
        <f>IF($Q189="","",INDEX(บันทึกรายเที่ยว!$Q$6:$Q$6005,$R189))</f>
        <v/>
      </c>
      <c r="Z189">
        <f>IF($Q189="","",INDEX(บันทึกรายเที่ยว!$F$6:$F$6005,$R189))</f>
        <v/>
      </c>
      <c r="AA189">
        <f>IFERROR(MATCH(182,$X$8:$X$407,1),"")</f>
        <v/>
      </c>
      <c r="AB189">
        <f>IF(182=$AD$1+1,"G",IF($AA189="","",IF(INDEX($Q$8:$Q$407,$AA189)="","",IF(182&gt;INDEX($X$8:$X$407,$AA189)+INDEX($V$8:$V$407,$AA189)+INDEX($W$8:$W$407,$AA189),"",IF(182=INDEX($X$8:$X$407,$AA189)+INDEX($V$8:$V$407,$AA189)+INDEX($W$8:$W$407,$AA189),"D",IF(AND(INDEX($W$8:$W$407,$AA189)=1,182=INDEX($X$8:$X$407,$AA189)+INDEX($V$8:$V$407,$AA189)),"S","R"))))))</f>
        <v/>
      </c>
      <c r="AC189">
        <f>IF(OR($AB189="",$AB189="G"),"",IF($AB189="D",INDEX($U$8:$U$407,$AA189),IF($AB189="S",INDEX($T$8:$T$407,$AA189)&amp;"|*",INDEX($S$8:$S$407,$AA189)&amp;"|*")))</f>
        <v/>
      </c>
      <c r="AE189">
        <f>IF($U189="",0,COUNTIF(บันทึกรายเที่ยว!$T$6:$T$6005,$U189))</f>
        <v/>
      </c>
      <c r="AF189">
        <f>IF($U189="",0,ROUND(SUMIF(บันทึกรายเที่ยว!$T$6:$T$6005,$U189,บันทึกรายเที่ยว!$J$6:$J$6005),2))</f>
        <v/>
      </c>
      <c r="AG189">
        <f>IF($U189="",0,ROUND(SUMIF(บันทึกรายเที่ยว!$T$6:$T$6005,$U189,บันทึกรายเที่ยว!$K$6:$K$6005),2))</f>
        <v/>
      </c>
      <c r="AH189">
        <f>IF($U189="",0,ROUND(SUMIF(บันทึกรายเที่ยว!$T$6:$T$6005,$U189,บันทึกรายเที่ยว!$M$6:$M$6005),2))</f>
        <v/>
      </c>
    </row>
    <row r="190" ht="21" customHeight="1" s="66">
      <c r="A190" s="3">
        <f>IF($AB190="G","ผลรวมทั้งหมด",IF($AB190="R",INDEX($S$8:$S$407,$AA190),""))</f>
        <v/>
      </c>
      <c r="B190" s="3">
        <f>IF($AB190="S",INDEX($Y$8:$Y$407,$AA190),"")</f>
        <v/>
      </c>
      <c r="C190" s="68">
        <f>IF($AB190="D",INDEX($Z$8:$Z$407,$AA190),"")</f>
        <v/>
      </c>
      <c r="D190" s="31">
        <f>IF($AB190="G",SUM($AE$8:$AE$407),IF(OR($AB190="",$AB190="R"),"",IF($AB190="D",INDEX($AE$8:$AE$407,$AA190),SUMIF($T$8:$T$407,INDEX($T$8:$T$407,$AA190),$AE$8:$AE$407))))</f>
        <v/>
      </c>
      <c r="E190" s="32">
        <f>IF(183=$AD$1+3,"ขอแสดงความนับถือ",IF(183=$AD$1+6,"(                 )",IF(183=$AD$1+7,"เจ้าหน้าที่ขนส่ง",IF($AB190="G",SUM($AF$8:$AF$407),IF(OR($AB190="",$AB190="R"),"",IF($AB190="D",INDEX($AF$8:$AF$407,$AA190),SUMIF($T$8:$T$407,INDEX($T$8:$T$407,$AA190),$AF$8:$AF$407)))))))</f>
        <v/>
      </c>
      <c r="F190" s="32">
        <f>IF($AB190="G",SUM($AG$8:$AG$407),IF(OR($AB190="",$AB190="R"),"",IF($AB190="D",INDEX($AG$8:$AG$407,$AA190),SUMIF($T$8:$T$407,INDEX($T$8:$T$407,$AA190),$AG$8:$AG$407))))</f>
        <v/>
      </c>
      <c r="G190" s="32">
        <f>IF(OR($AB190="",$AB190="R"),"",ROUND($E190-$F190,2))</f>
        <v/>
      </c>
      <c r="H190" s="32">
        <f>IF($AB190="G",SUM($AH$8:$AH$407),IF(OR($AB190="",$AB190="R"),"",IF($AB190="D",INDEX($AH$8:$AH$407,$AA190),SUMIF($T$8:$T$407,INDEX($T$8:$T$407,$AA190),$AH$8:$AH$407))))</f>
        <v/>
      </c>
      <c r="J190">
        <f>IFERROR(MATCH(183,บันทึกรายเที่ยว!$W$6:$W$6005,0),"")</f>
        <v/>
      </c>
      <c r="K190">
        <f>IF($J190="","",INDEX(บันทึกรายเที่ยว!$T$6:$T$6005,$J190))</f>
        <v/>
      </c>
      <c r="L190">
        <f>IF($J190="","",INDEX(บันทึกรายเที่ยว!$S$6:$S$6005,$J190))</f>
        <v/>
      </c>
      <c r="M190">
        <f>IF($J190="","",INDEX(บันทึกรายเที่ยว!$R$6:$R$6005,$J190))</f>
        <v/>
      </c>
      <c r="N190">
        <f>IF($J190="","",MATCH($M190,บันทึกรายเที่ยว!$R$6:$R$6005,0))</f>
        <v/>
      </c>
      <c r="O190">
        <f>IF($J190="","",MATCH($L190,บันทึกรายเที่ยว!$S$6:$S$6005,0))</f>
        <v/>
      </c>
      <c r="P190">
        <f>IF($J190="","",IF(AND(OR($I$3="(ทั้งหมด)",INDEX(บันทึกรายเที่ยว!$C$6:$C$6005,$J190)=$I$3),OR($I$5="(ทั้งหมด)",INDEX(บันทึกรายเที่ยว!$D$6:$D$6005,$J190)=$I$5),OR($I$7="(ทั้งหมด)",INDEX(บันทึกรายเที่ยว!$F$6:$F$6005,$J190)=$I$7)),$N190*10000000+$O190*1000+183,""))</f>
        <v/>
      </c>
      <c r="Q190">
        <f>IFERROR(MATCH(SMALL($P$8:$P$407,183),$P$8:$P$407,0),"")</f>
        <v/>
      </c>
      <c r="R190">
        <f>IF($Q190="","",INDEX($J$8:$J$407,$Q190))</f>
        <v/>
      </c>
      <c r="S190">
        <f>IF($Q190="","",INDEX($M$8:$M$407,$Q190))</f>
        <v/>
      </c>
      <c r="T190">
        <f>IF($Q190="","",INDEX($L$8:$L$407,$Q190))</f>
        <v/>
      </c>
      <c r="U190">
        <f>IF($Q190="","",INDEX($K$8:$K$407,$Q190))</f>
        <v/>
      </c>
      <c r="V190">
        <f>IF($Q190="",0,IF($S190&lt;&gt;$S189,1,0))</f>
        <v/>
      </c>
      <c r="W190">
        <f>IF($Q190="",0,IF($T190&lt;&gt;$T189,1,0))</f>
        <v/>
      </c>
      <c r="X190">
        <f>IF($Q190="",99999+183,$X189+1+$V189+$W189)</f>
        <v/>
      </c>
      <c r="Y190">
        <f>IF($Q190="","",INDEX(บันทึกรายเที่ยว!$Q$6:$Q$6005,$R190))</f>
        <v/>
      </c>
      <c r="Z190">
        <f>IF($Q190="","",INDEX(บันทึกรายเที่ยว!$F$6:$F$6005,$R190))</f>
        <v/>
      </c>
      <c r="AA190">
        <f>IFERROR(MATCH(183,$X$8:$X$407,1),"")</f>
        <v/>
      </c>
      <c r="AB190">
        <f>IF(183=$AD$1+1,"G",IF($AA190="","",IF(INDEX($Q$8:$Q$407,$AA190)="","",IF(183&gt;INDEX($X$8:$X$407,$AA190)+INDEX($V$8:$V$407,$AA190)+INDEX($W$8:$W$407,$AA190),"",IF(183=INDEX($X$8:$X$407,$AA190)+INDEX($V$8:$V$407,$AA190)+INDEX($W$8:$W$407,$AA190),"D",IF(AND(INDEX($W$8:$W$407,$AA190)=1,183=INDEX($X$8:$X$407,$AA190)+INDEX($V$8:$V$407,$AA190)),"S","R"))))))</f>
        <v/>
      </c>
      <c r="AC190">
        <f>IF(OR($AB190="",$AB190="G"),"",IF($AB190="D",INDEX($U$8:$U$407,$AA190),IF($AB190="S",INDEX($T$8:$T$407,$AA190)&amp;"|*",INDEX($S$8:$S$407,$AA190)&amp;"|*")))</f>
        <v/>
      </c>
      <c r="AE190">
        <f>IF($U190="",0,COUNTIF(บันทึกรายเที่ยว!$T$6:$T$6005,$U190))</f>
        <v/>
      </c>
      <c r="AF190">
        <f>IF($U190="",0,ROUND(SUMIF(บันทึกรายเที่ยว!$T$6:$T$6005,$U190,บันทึกรายเที่ยว!$J$6:$J$6005),2))</f>
        <v/>
      </c>
      <c r="AG190">
        <f>IF($U190="",0,ROUND(SUMIF(บันทึกรายเที่ยว!$T$6:$T$6005,$U190,บันทึกรายเที่ยว!$K$6:$K$6005),2))</f>
        <v/>
      </c>
      <c r="AH190">
        <f>IF($U190="",0,ROUND(SUMIF(บันทึกรายเที่ยว!$T$6:$T$6005,$U190,บันทึกรายเที่ยว!$M$6:$M$6005),2))</f>
        <v/>
      </c>
    </row>
    <row r="191" ht="21" customHeight="1" s="66">
      <c r="A191" s="3">
        <f>IF($AB191="G","ผลรวมทั้งหมด",IF($AB191="R",INDEX($S$8:$S$407,$AA191),""))</f>
        <v/>
      </c>
      <c r="B191" s="3">
        <f>IF($AB191="S",INDEX($Y$8:$Y$407,$AA191),"")</f>
        <v/>
      </c>
      <c r="C191" s="68">
        <f>IF($AB191="D",INDEX($Z$8:$Z$407,$AA191),"")</f>
        <v/>
      </c>
      <c r="D191" s="31">
        <f>IF($AB191="G",SUM($AE$8:$AE$407),IF(OR($AB191="",$AB191="R"),"",IF($AB191="D",INDEX($AE$8:$AE$407,$AA191),SUMIF($T$8:$T$407,INDEX($T$8:$T$407,$AA191),$AE$8:$AE$407))))</f>
        <v/>
      </c>
      <c r="E191" s="32">
        <f>IF(184=$AD$1+3,"ขอแสดงความนับถือ",IF(184=$AD$1+6,"(                 )",IF(184=$AD$1+7,"เจ้าหน้าที่ขนส่ง",IF($AB191="G",SUM($AF$8:$AF$407),IF(OR($AB191="",$AB191="R"),"",IF($AB191="D",INDEX($AF$8:$AF$407,$AA191),SUMIF($T$8:$T$407,INDEX($T$8:$T$407,$AA191),$AF$8:$AF$407)))))))</f>
        <v/>
      </c>
      <c r="F191" s="32">
        <f>IF($AB191="G",SUM($AG$8:$AG$407),IF(OR($AB191="",$AB191="R"),"",IF($AB191="D",INDEX($AG$8:$AG$407,$AA191),SUMIF($T$8:$T$407,INDEX($T$8:$T$407,$AA191),$AG$8:$AG$407))))</f>
        <v/>
      </c>
      <c r="G191" s="32">
        <f>IF(OR($AB191="",$AB191="R"),"",ROUND($E191-$F191,2))</f>
        <v/>
      </c>
      <c r="H191" s="32">
        <f>IF($AB191="G",SUM($AH$8:$AH$407),IF(OR($AB191="",$AB191="R"),"",IF($AB191="D",INDEX($AH$8:$AH$407,$AA191),SUMIF($T$8:$T$407,INDEX($T$8:$T$407,$AA191),$AH$8:$AH$407))))</f>
        <v/>
      </c>
      <c r="J191">
        <f>IFERROR(MATCH(184,บันทึกรายเที่ยว!$W$6:$W$6005,0),"")</f>
        <v/>
      </c>
      <c r="K191">
        <f>IF($J191="","",INDEX(บันทึกรายเที่ยว!$T$6:$T$6005,$J191))</f>
        <v/>
      </c>
      <c r="L191">
        <f>IF($J191="","",INDEX(บันทึกรายเที่ยว!$S$6:$S$6005,$J191))</f>
        <v/>
      </c>
      <c r="M191">
        <f>IF($J191="","",INDEX(บันทึกรายเที่ยว!$R$6:$R$6005,$J191))</f>
        <v/>
      </c>
      <c r="N191">
        <f>IF($J191="","",MATCH($M191,บันทึกรายเที่ยว!$R$6:$R$6005,0))</f>
        <v/>
      </c>
      <c r="O191">
        <f>IF($J191="","",MATCH($L191,บันทึกรายเที่ยว!$S$6:$S$6005,0))</f>
        <v/>
      </c>
      <c r="P191">
        <f>IF($J191="","",IF(AND(OR($I$3="(ทั้งหมด)",INDEX(บันทึกรายเที่ยว!$C$6:$C$6005,$J191)=$I$3),OR($I$5="(ทั้งหมด)",INDEX(บันทึกรายเที่ยว!$D$6:$D$6005,$J191)=$I$5),OR($I$7="(ทั้งหมด)",INDEX(บันทึกรายเที่ยว!$F$6:$F$6005,$J191)=$I$7)),$N191*10000000+$O191*1000+184,""))</f>
        <v/>
      </c>
      <c r="Q191">
        <f>IFERROR(MATCH(SMALL($P$8:$P$407,184),$P$8:$P$407,0),"")</f>
        <v/>
      </c>
      <c r="R191">
        <f>IF($Q191="","",INDEX($J$8:$J$407,$Q191))</f>
        <v/>
      </c>
      <c r="S191">
        <f>IF($Q191="","",INDEX($M$8:$M$407,$Q191))</f>
        <v/>
      </c>
      <c r="T191">
        <f>IF($Q191="","",INDEX($L$8:$L$407,$Q191))</f>
        <v/>
      </c>
      <c r="U191">
        <f>IF($Q191="","",INDEX($K$8:$K$407,$Q191))</f>
        <v/>
      </c>
      <c r="V191">
        <f>IF($Q191="",0,IF($S191&lt;&gt;$S190,1,0))</f>
        <v/>
      </c>
      <c r="W191">
        <f>IF($Q191="",0,IF($T191&lt;&gt;$T190,1,0))</f>
        <v/>
      </c>
      <c r="X191">
        <f>IF($Q191="",99999+184,$X190+1+$V190+$W190)</f>
        <v/>
      </c>
      <c r="Y191">
        <f>IF($Q191="","",INDEX(บันทึกรายเที่ยว!$Q$6:$Q$6005,$R191))</f>
        <v/>
      </c>
      <c r="Z191">
        <f>IF($Q191="","",INDEX(บันทึกรายเที่ยว!$F$6:$F$6005,$R191))</f>
        <v/>
      </c>
      <c r="AA191">
        <f>IFERROR(MATCH(184,$X$8:$X$407,1),"")</f>
        <v/>
      </c>
      <c r="AB191">
        <f>IF(184=$AD$1+1,"G",IF($AA191="","",IF(INDEX($Q$8:$Q$407,$AA191)="","",IF(184&gt;INDEX($X$8:$X$407,$AA191)+INDEX($V$8:$V$407,$AA191)+INDEX($W$8:$W$407,$AA191),"",IF(184=INDEX($X$8:$X$407,$AA191)+INDEX($V$8:$V$407,$AA191)+INDEX($W$8:$W$407,$AA191),"D",IF(AND(INDEX($W$8:$W$407,$AA191)=1,184=INDEX($X$8:$X$407,$AA191)+INDEX($V$8:$V$407,$AA191)),"S","R"))))))</f>
        <v/>
      </c>
      <c r="AC191">
        <f>IF(OR($AB191="",$AB191="G"),"",IF($AB191="D",INDEX($U$8:$U$407,$AA191),IF($AB191="S",INDEX($T$8:$T$407,$AA191)&amp;"|*",INDEX($S$8:$S$407,$AA191)&amp;"|*")))</f>
        <v/>
      </c>
      <c r="AE191">
        <f>IF($U191="",0,COUNTIF(บันทึกรายเที่ยว!$T$6:$T$6005,$U191))</f>
        <v/>
      </c>
      <c r="AF191">
        <f>IF($U191="",0,ROUND(SUMIF(บันทึกรายเที่ยว!$T$6:$T$6005,$U191,บันทึกรายเที่ยว!$J$6:$J$6005),2))</f>
        <v/>
      </c>
      <c r="AG191">
        <f>IF($U191="",0,ROUND(SUMIF(บันทึกรายเที่ยว!$T$6:$T$6005,$U191,บันทึกรายเที่ยว!$K$6:$K$6005),2))</f>
        <v/>
      </c>
      <c r="AH191">
        <f>IF($U191="",0,ROUND(SUMIF(บันทึกรายเที่ยว!$T$6:$T$6005,$U191,บันทึกรายเที่ยว!$M$6:$M$6005),2))</f>
        <v/>
      </c>
    </row>
    <row r="192" ht="21" customHeight="1" s="66">
      <c r="A192" s="3">
        <f>IF($AB192="G","ผลรวมทั้งหมด",IF($AB192="R",INDEX($S$8:$S$407,$AA192),""))</f>
        <v/>
      </c>
      <c r="B192" s="3">
        <f>IF($AB192="S",INDEX($Y$8:$Y$407,$AA192),"")</f>
        <v/>
      </c>
      <c r="C192" s="68">
        <f>IF($AB192="D",INDEX($Z$8:$Z$407,$AA192),"")</f>
        <v/>
      </c>
      <c r="D192" s="31">
        <f>IF($AB192="G",SUM($AE$8:$AE$407),IF(OR($AB192="",$AB192="R"),"",IF($AB192="D",INDEX($AE$8:$AE$407,$AA192),SUMIF($T$8:$T$407,INDEX($T$8:$T$407,$AA192),$AE$8:$AE$407))))</f>
        <v/>
      </c>
      <c r="E192" s="32">
        <f>IF(185=$AD$1+3,"ขอแสดงความนับถือ",IF(185=$AD$1+6,"(                 )",IF(185=$AD$1+7,"เจ้าหน้าที่ขนส่ง",IF($AB192="G",SUM($AF$8:$AF$407),IF(OR($AB192="",$AB192="R"),"",IF($AB192="D",INDEX($AF$8:$AF$407,$AA192),SUMIF($T$8:$T$407,INDEX($T$8:$T$407,$AA192),$AF$8:$AF$407)))))))</f>
        <v/>
      </c>
      <c r="F192" s="32">
        <f>IF($AB192="G",SUM($AG$8:$AG$407),IF(OR($AB192="",$AB192="R"),"",IF($AB192="D",INDEX($AG$8:$AG$407,$AA192),SUMIF($T$8:$T$407,INDEX($T$8:$T$407,$AA192),$AG$8:$AG$407))))</f>
        <v/>
      </c>
      <c r="G192" s="32">
        <f>IF(OR($AB192="",$AB192="R"),"",ROUND($E192-$F192,2))</f>
        <v/>
      </c>
      <c r="H192" s="32">
        <f>IF($AB192="G",SUM($AH$8:$AH$407),IF(OR($AB192="",$AB192="R"),"",IF($AB192="D",INDEX($AH$8:$AH$407,$AA192),SUMIF($T$8:$T$407,INDEX($T$8:$T$407,$AA192),$AH$8:$AH$407))))</f>
        <v/>
      </c>
      <c r="J192">
        <f>IFERROR(MATCH(185,บันทึกรายเที่ยว!$W$6:$W$6005,0),"")</f>
        <v/>
      </c>
      <c r="K192">
        <f>IF($J192="","",INDEX(บันทึกรายเที่ยว!$T$6:$T$6005,$J192))</f>
        <v/>
      </c>
      <c r="L192">
        <f>IF($J192="","",INDEX(บันทึกรายเที่ยว!$S$6:$S$6005,$J192))</f>
        <v/>
      </c>
      <c r="M192">
        <f>IF($J192="","",INDEX(บันทึกรายเที่ยว!$R$6:$R$6005,$J192))</f>
        <v/>
      </c>
      <c r="N192">
        <f>IF($J192="","",MATCH($M192,บันทึกรายเที่ยว!$R$6:$R$6005,0))</f>
        <v/>
      </c>
      <c r="O192">
        <f>IF($J192="","",MATCH($L192,บันทึกรายเที่ยว!$S$6:$S$6005,0))</f>
        <v/>
      </c>
      <c r="P192">
        <f>IF($J192="","",IF(AND(OR($I$3="(ทั้งหมด)",INDEX(บันทึกรายเที่ยว!$C$6:$C$6005,$J192)=$I$3),OR($I$5="(ทั้งหมด)",INDEX(บันทึกรายเที่ยว!$D$6:$D$6005,$J192)=$I$5),OR($I$7="(ทั้งหมด)",INDEX(บันทึกรายเที่ยว!$F$6:$F$6005,$J192)=$I$7)),$N192*10000000+$O192*1000+185,""))</f>
        <v/>
      </c>
      <c r="Q192">
        <f>IFERROR(MATCH(SMALL($P$8:$P$407,185),$P$8:$P$407,0),"")</f>
        <v/>
      </c>
      <c r="R192">
        <f>IF($Q192="","",INDEX($J$8:$J$407,$Q192))</f>
        <v/>
      </c>
      <c r="S192">
        <f>IF($Q192="","",INDEX($M$8:$M$407,$Q192))</f>
        <v/>
      </c>
      <c r="T192">
        <f>IF($Q192="","",INDEX($L$8:$L$407,$Q192))</f>
        <v/>
      </c>
      <c r="U192">
        <f>IF($Q192="","",INDEX($K$8:$K$407,$Q192))</f>
        <v/>
      </c>
      <c r="V192">
        <f>IF($Q192="",0,IF($S192&lt;&gt;$S191,1,0))</f>
        <v/>
      </c>
      <c r="W192">
        <f>IF($Q192="",0,IF($T192&lt;&gt;$T191,1,0))</f>
        <v/>
      </c>
      <c r="X192">
        <f>IF($Q192="",99999+185,$X191+1+$V191+$W191)</f>
        <v/>
      </c>
      <c r="Y192">
        <f>IF($Q192="","",INDEX(บันทึกรายเที่ยว!$Q$6:$Q$6005,$R192))</f>
        <v/>
      </c>
      <c r="Z192">
        <f>IF($Q192="","",INDEX(บันทึกรายเที่ยว!$F$6:$F$6005,$R192))</f>
        <v/>
      </c>
      <c r="AA192">
        <f>IFERROR(MATCH(185,$X$8:$X$407,1),"")</f>
        <v/>
      </c>
      <c r="AB192">
        <f>IF(185=$AD$1+1,"G",IF($AA192="","",IF(INDEX($Q$8:$Q$407,$AA192)="","",IF(185&gt;INDEX($X$8:$X$407,$AA192)+INDEX($V$8:$V$407,$AA192)+INDEX($W$8:$W$407,$AA192),"",IF(185=INDEX($X$8:$X$407,$AA192)+INDEX($V$8:$V$407,$AA192)+INDEX($W$8:$W$407,$AA192),"D",IF(AND(INDEX($W$8:$W$407,$AA192)=1,185=INDEX($X$8:$X$407,$AA192)+INDEX($V$8:$V$407,$AA192)),"S","R"))))))</f>
        <v/>
      </c>
      <c r="AC192">
        <f>IF(OR($AB192="",$AB192="G"),"",IF($AB192="D",INDEX($U$8:$U$407,$AA192),IF($AB192="S",INDEX($T$8:$T$407,$AA192)&amp;"|*",INDEX($S$8:$S$407,$AA192)&amp;"|*")))</f>
        <v/>
      </c>
      <c r="AE192">
        <f>IF($U192="",0,COUNTIF(บันทึกรายเที่ยว!$T$6:$T$6005,$U192))</f>
        <v/>
      </c>
      <c r="AF192">
        <f>IF($U192="",0,ROUND(SUMIF(บันทึกรายเที่ยว!$T$6:$T$6005,$U192,บันทึกรายเที่ยว!$J$6:$J$6005),2))</f>
        <v/>
      </c>
      <c r="AG192">
        <f>IF($U192="",0,ROUND(SUMIF(บันทึกรายเที่ยว!$T$6:$T$6005,$U192,บันทึกรายเที่ยว!$K$6:$K$6005),2))</f>
        <v/>
      </c>
      <c r="AH192">
        <f>IF($U192="",0,ROUND(SUMIF(บันทึกรายเที่ยว!$T$6:$T$6005,$U192,บันทึกรายเที่ยว!$M$6:$M$6005),2))</f>
        <v/>
      </c>
    </row>
    <row r="193" ht="21" customHeight="1" s="66">
      <c r="A193" s="3">
        <f>IF($AB193="G","ผลรวมทั้งหมด",IF($AB193="R",INDEX($S$8:$S$407,$AA193),""))</f>
        <v/>
      </c>
      <c r="B193" s="3">
        <f>IF($AB193="S",INDEX($Y$8:$Y$407,$AA193),"")</f>
        <v/>
      </c>
      <c r="C193" s="68">
        <f>IF($AB193="D",INDEX($Z$8:$Z$407,$AA193),"")</f>
        <v/>
      </c>
      <c r="D193" s="31">
        <f>IF($AB193="G",SUM($AE$8:$AE$407),IF(OR($AB193="",$AB193="R"),"",IF($AB193="D",INDEX($AE$8:$AE$407,$AA193),SUMIF($T$8:$T$407,INDEX($T$8:$T$407,$AA193),$AE$8:$AE$407))))</f>
        <v/>
      </c>
      <c r="E193" s="32">
        <f>IF(186=$AD$1+3,"ขอแสดงความนับถือ",IF(186=$AD$1+6,"(                 )",IF(186=$AD$1+7,"เจ้าหน้าที่ขนส่ง",IF($AB193="G",SUM($AF$8:$AF$407),IF(OR($AB193="",$AB193="R"),"",IF($AB193="D",INDEX($AF$8:$AF$407,$AA193),SUMIF($T$8:$T$407,INDEX($T$8:$T$407,$AA193),$AF$8:$AF$407)))))))</f>
        <v/>
      </c>
      <c r="F193" s="32">
        <f>IF($AB193="G",SUM($AG$8:$AG$407),IF(OR($AB193="",$AB193="R"),"",IF($AB193="D",INDEX($AG$8:$AG$407,$AA193),SUMIF($T$8:$T$407,INDEX($T$8:$T$407,$AA193),$AG$8:$AG$407))))</f>
        <v/>
      </c>
      <c r="G193" s="32">
        <f>IF(OR($AB193="",$AB193="R"),"",ROUND($E193-$F193,2))</f>
        <v/>
      </c>
      <c r="H193" s="32">
        <f>IF($AB193="G",SUM($AH$8:$AH$407),IF(OR($AB193="",$AB193="R"),"",IF($AB193="D",INDEX($AH$8:$AH$407,$AA193),SUMIF($T$8:$T$407,INDEX($T$8:$T$407,$AA193),$AH$8:$AH$407))))</f>
        <v/>
      </c>
      <c r="J193">
        <f>IFERROR(MATCH(186,บันทึกรายเที่ยว!$W$6:$W$6005,0),"")</f>
        <v/>
      </c>
      <c r="K193">
        <f>IF($J193="","",INDEX(บันทึกรายเที่ยว!$T$6:$T$6005,$J193))</f>
        <v/>
      </c>
      <c r="L193">
        <f>IF($J193="","",INDEX(บันทึกรายเที่ยว!$S$6:$S$6005,$J193))</f>
        <v/>
      </c>
      <c r="M193">
        <f>IF($J193="","",INDEX(บันทึกรายเที่ยว!$R$6:$R$6005,$J193))</f>
        <v/>
      </c>
      <c r="N193">
        <f>IF($J193="","",MATCH($M193,บันทึกรายเที่ยว!$R$6:$R$6005,0))</f>
        <v/>
      </c>
      <c r="O193">
        <f>IF($J193="","",MATCH($L193,บันทึกรายเที่ยว!$S$6:$S$6005,0))</f>
        <v/>
      </c>
      <c r="P193">
        <f>IF($J193="","",IF(AND(OR($I$3="(ทั้งหมด)",INDEX(บันทึกรายเที่ยว!$C$6:$C$6005,$J193)=$I$3),OR($I$5="(ทั้งหมด)",INDEX(บันทึกรายเที่ยว!$D$6:$D$6005,$J193)=$I$5),OR($I$7="(ทั้งหมด)",INDEX(บันทึกรายเที่ยว!$F$6:$F$6005,$J193)=$I$7)),$N193*10000000+$O193*1000+186,""))</f>
        <v/>
      </c>
      <c r="Q193">
        <f>IFERROR(MATCH(SMALL($P$8:$P$407,186),$P$8:$P$407,0),"")</f>
        <v/>
      </c>
      <c r="R193">
        <f>IF($Q193="","",INDEX($J$8:$J$407,$Q193))</f>
        <v/>
      </c>
      <c r="S193">
        <f>IF($Q193="","",INDEX($M$8:$M$407,$Q193))</f>
        <v/>
      </c>
      <c r="T193">
        <f>IF($Q193="","",INDEX($L$8:$L$407,$Q193))</f>
        <v/>
      </c>
      <c r="U193">
        <f>IF($Q193="","",INDEX($K$8:$K$407,$Q193))</f>
        <v/>
      </c>
      <c r="V193">
        <f>IF($Q193="",0,IF($S193&lt;&gt;$S192,1,0))</f>
        <v/>
      </c>
      <c r="W193">
        <f>IF($Q193="",0,IF($T193&lt;&gt;$T192,1,0))</f>
        <v/>
      </c>
      <c r="X193">
        <f>IF($Q193="",99999+186,$X192+1+$V192+$W192)</f>
        <v/>
      </c>
      <c r="Y193">
        <f>IF($Q193="","",INDEX(บันทึกรายเที่ยว!$Q$6:$Q$6005,$R193))</f>
        <v/>
      </c>
      <c r="Z193">
        <f>IF($Q193="","",INDEX(บันทึกรายเที่ยว!$F$6:$F$6005,$R193))</f>
        <v/>
      </c>
      <c r="AA193">
        <f>IFERROR(MATCH(186,$X$8:$X$407,1),"")</f>
        <v/>
      </c>
      <c r="AB193">
        <f>IF(186=$AD$1+1,"G",IF($AA193="","",IF(INDEX($Q$8:$Q$407,$AA193)="","",IF(186&gt;INDEX($X$8:$X$407,$AA193)+INDEX($V$8:$V$407,$AA193)+INDEX($W$8:$W$407,$AA193),"",IF(186=INDEX($X$8:$X$407,$AA193)+INDEX($V$8:$V$407,$AA193)+INDEX($W$8:$W$407,$AA193),"D",IF(AND(INDEX($W$8:$W$407,$AA193)=1,186=INDEX($X$8:$X$407,$AA193)+INDEX($V$8:$V$407,$AA193)),"S","R"))))))</f>
        <v/>
      </c>
      <c r="AC193">
        <f>IF(OR($AB193="",$AB193="G"),"",IF($AB193="D",INDEX($U$8:$U$407,$AA193),IF($AB193="S",INDEX($T$8:$T$407,$AA193)&amp;"|*",INDEX($S$8:$S$407,$AA193)&amp;"|*")))</f>
        <v/>
      </c>
      <c r="AE193">
        <f>IF($U193="",0,COUNTIF(บันทึกรายเที่ยว!$T$6:$T$6005,$U193))</f>
        <v/>
      </c>
      <c r="AF193">
        <f>IF($U193="",0,ROUND(SUMIF(บันทึกรายเที่ยว!$T$6:$T$6005,$U193,บันทึกรายเที่ยว!$J$6:$J$6005),2))</f>
        <v/>
      </c>
      <c r="AG193">
        <f>IF($U193="",0,ROUND(SUMIF(บันทึกรายเที่ยว!$T$6:$T$6005,$U193,บันทึกรายเที่ยว!$K$6:$K$6005),2))</f>
        <v/>
      </c>
      <c r="AH193">
        <f>IF($U193="",0,ROUND(SUMIF(บันทึกรายเที่ยว!$T$6:$T$6005,$U193,บันทึกรายเที่ยว!$M$6:$M$6005),2))</f>
        <v/>
      </c>
    </row>
    <row r="194" ht="21" customHeight="1" s="66">
      <c r="A194" s="3">
        <f>IF($AB194="G","ผลรวมทั้งหมด",IF($AB194="R",INDEX($S$8:$S$407,$AA194),""))</f>
        <v/>
      </c>
      <c r="B194" s="3">
        <f>IF($AB194="S",INDEX($Y$8:$Y$407,$AA194),"")</f>
        <v/>
      </c>
      <c r="C194" s="68">
        <f>IF($AB194="D",INDEX($Z$8:$Z$407,$AA194),"")</f>
        <v/>
      </c>
      <c r="D194" s="31">
        <f>IF($AB194="G",SUM($AE$8:$AE$407),IF(OR($AB194="",$AB194="R"),"",IF($AB194="D",INDEX($AE$8:$AE$407,$AA194),SUMIF($T$8:$T$407,INDEX($T$8:$T$407,$AA194),$AE$8:$AE$407))))</f>
        <v/>
      </c>
      <c r="E194" s="32">
        <f>IF(187=$AD$1+3,"ขอแสดงความนับถือ",IF(187=$AD$1+6,"(                 )",IF(187=$AD$1+7,"เจ้าหน้าที่ขนส่ง",IF($AB194="G",SUM($AF$8:$AF$407),IF(OR($AB194="",$AB194="R"),"",IF($AB194="D",INDEX($AF$8:$AF$407,$AA194),SUMIF($T$8:$T$407,INDEX($T$8:$T$407,$AA194),$AF$8:$AF$407)))))))</f>
        <v/>
      </c>
      <c r="F194" s="32">
        <f>IF($AB194="G",SUM($AG$8:$AG$407),IF(OR($AB194="",$AB194="R"),"",IF($AB194="D",INDEX($AG$8:$AG$407,$AA194),SUMIF($T$8:$T$407,INDEX($T$8:$T$407,$AA194),$AG$8:$AG$407))))</f>
        <v/>
      </c>
      <c r="G194" s="32">
        <f>IF(OR($AB194="",$AB194="R"),"",ROUND($E194-$F194,2))</f>
        <v/>
      </c>
      <c r="H194" s="32">
        <f>IF($AB194="G",SUM($AH$8:$AH$407),IF(OR($AB194="",$AB194="R"),"",IF($AB194="D",INDEX($AH$8:$AH$407,$AA194),SUMIF($T$8:$T$407,INDEX($T$8:$T$407,$AA194),$AH$8:$AH$407))))</f>
        <v/>
      </c>
      <c r="J194">
        <f>IFERROR(MATCH(187,บันทึกรายเที่ยว!$W$6:$W$6005,0),"")</f>
        <v/>
      </c>
      <c r="K194">
        <f>IF($J194="","",INDEX(บันทึกรายเที่ยว!$T$6:$T$6005,$J194))</f>
        <v/>
      </c>
      <c r="L194">
        <f>IF($J194="","",INDEX(บันทึกรายเที่ยว!$S$6:$S$6005,$J194))</f>
        <v/>
      </c>
      <c r="M194">
        <f>IF($J194="","",INDEX(บันทึกรายเที่ยว!$R$6:$R$6005,$J194))</f>
        <v/>
      </c>
      <c r="N194">
        <f>IF($J194="","",MATCH($M194,บันทึกรายเที่ยว!$R$6:$R$6005,0))</f>
        <v/>
      </c>
      <c r="O194">
        <f>IF($J194="","",MATCH($L194,บันทึกรายเที่ยว!$S$6:$S$6005,0))</f>
        <v/>
      </c>
      <c r="P194">
        <f>IF($J194="","",IF(AND(OR($I$3="(ทั้งหมด)",INDEX(บันทึกรายเที่ยว!$C$6:$C$6005,$J194)=$I$3),OR($I$5="(ทั้งหมด)",INDEX(บันทึกรายเที่ยว!$D$6:$D$6005,$J194)=$I$5),OR($I$7="(ทั้งหมด)",INDEX(บันทึกรายเที่ยว!$F$6:$F$6005,$J194)=$I$7)),$N194*10000000+$O194*1000+187,""))</f>
        <v/>
      </c>
      <c r="Q194">
        <f>IFERROR(MATCH(SMALL($P$8:$P$407,187),$P$8:$P$407,0),"")</f>
        <v/>
      </c>
      <c r="R194">
        <f>IF($Q194="","",INDEX($J$8:$J$407,$Q194))</f>
        <v/>
      </c>
      <c r="S194">
        <f>IF($Q194="","",INDEX($M$8:$M$407,$Q194))</f>
        <v/>
      </c>
      <c r="T194">
        <f>IF($Q194="","",INDEX($L$8:$L$407,$Q194))</f>
        <v/>
      </c>
      <c r="U194">
        <f>IF($Q194="","",INDEX($K$8:$K$407,$Q194))</f>
        <v/>
      </c>
      <c r="V194">
        <f>IF($Q194="",0,IF($S194&lt;&gt;$S193,1,0))</f>
        <v/>
      </c>
      <c r="W194">
        <f>IF($Q194="",0,IF($T194&lt;&gt;$T193,1,0))</f>
        <v/>
      </c>
      <c r="X194">
        <f>IF($Q194="",99999+187,$X193+1+$V193+$W193)</f>
        <v/>
      </c>
      <c r="Y194">
        <f>IF($Q194="","",INDEX(บันทึกรายเที่ยว!$Q$6:$Q$6005,$R194))</f>
        <v/>
      </c>
      <c r="Z194">
        <f>IF($Q194="","",INDEX(บันทึกรายเที่ยว!$F$6:$F$6005,$R194))</f>
        <v/>
      </c>
      <c r="AA194">
        <f>IFERROR(MATCH(187,$X$8:$X$407,1),"")</f>
        <v/>
      </c>
      <c r="AB194">
        <f>IF(187=$AD$1+1,"G",IF($AA194="","",IF(INDEX($Q$8:$Q$407,$AA194)="","",IF(187&gt;INDEX($X$8:$X$407,$AA194)+INDEX($V$8:$V$407,$AA194)+INDEX($W$8:$W$407,$AA194),"",IF(187=INDEX($X$8:$X$407,$AA194)+INDEX($V$8:$V$407,$AA194)+INDEX($W$8:$W$407,$AA194),"D",IF(AND(INDEX($W$8:$W$407,$AA194)=1,187=INDEX($X$8:$X$407,$AA194)+INDEX($V$8:$V$407,$AA194)),"S","R"))))))</f>
        <v/>
      </c>
      <c r="AC194">
        <f>IF(OR($AB194="",$AB194="G"),"",IF($AB194="D",INDEX($U$8:$U$407,$AA194),IF($AB194="S",INDEX($T$8:$T$407,$AA194)&amp;"|*",INDEX($S$8:$S$407,$AA194)&amp;"|*")))</f>
        <v/>
      </c>
      <c r="AE194">
        <f>IF($U194="",0,COUNTIF(บันทึกรายเที่ยว!$T$6:$T$6005,$U194))</f>
        <v/>
      </c>
      <c r="AF194">
        <f>IF($U194="",0,ROUND(SUMIF(บันทึกรายเที่ยว!$T$6:$T$6005,$U194,บันทึกรายเที่ยว!$J$6:$J$6005),2))</f>
        <v/>
      </c>
      <c r="AG194">
        <f>IF($U194="",0,ROUND(SUMIF(บันทึกรายเที่ยว!$T$6:$T$6005,$U194,บันทึกรายเที่ยว!$K$6:$K$6005),2))</f>
        <v/>
      </c>
      <c r="AH194">
        <f>IF($U194="",0,ROUND(SUMIF(บันทึกรายเที่ยว!$T$6:$T$6005,$U194,บันทึกรายเที่ยว!$M$6:$M$6005),2))</f>
        <v/>
      </c>
    </row>
    <row r="195" ht="21" customHeight="1" s="66">
      <c r="A195" s="3">
        <f>IF($AB195="G","ผลรวมทั้งหมด",IF($AB195="R",INDEX($S$8:$S$407,$AA195),""))</f>
        <v/>
      </c>
      <c r="B195" s="3">
        <f>IF($AB195="S",INDEX($Y$8:$Y$407,$AA195),"")</f>
        <v/>
      </c>
      <c r="C195" s="68">
        <f>IF($AB195="D",INDEX($Z$8:$Z$407,$AA195),"")</f>
        <v/>
      </c>
      <c r="D195" s="31">
        <f>IF($AB195="G",SUM($AE$8:$AE$407),IF(OR($AB195="",$AB195="R"),"",IF($AB195="D",INDEX($AE$8:$AE$407,$AA195),SUMIF($T$8:$T$407,INDEX($T$8:$T$407,$AA195),$AE$8:$AE$407))))</f>
        <v/>
      </c>
      <c r="E195" s="32">
        <f>IF(188=$AD$1+3,"ขอแสดงความนับถือ",IF(188=$AD$1+6,"(                 )",IF(188=$AD$1+7,"เจ้าหน้าที่ขนส่ง",IF($AB195="G",SUM($AF$8:$AF$407),IF(OR($AB195="",$AB195="R"),"",IF($AB195="D",INDEX($AF$8:$AF$407,$AA195),SUMIF($T$8:$T$407,INDEX($T$8:$T$407,$AA195),$AF$8:$AF$407)))))))</f>
        <v/>
      </c>
      <c r="F195" s="32">
        <f>IF($AB195="G",SUM($AG$8:$AG$407),IF(OR($AB195="",$AB195="R"),"",IF($AB195="D",INDEX($AG$8:$AG$407,$AA195),SUMIF($T$8:$T$407,INDEX($T$8:$T$407,$AA195),$AG$8:$AG$407))))</f>
        <v/>
      </c>
      <c r="G195" s="32">
        <f>IF(OR($AB195="",$AB195="R"),"",ROUND($E195-$F195,2))</f>
        <v/>
      </c>
      <c r="H195" s="32">
        <f>IF($AB195="G",SUM($AH$8:$AH$407),IF(OR($AB195="",$AB195="R"),"",IF($AB195="D",INDEX($AH$8:$AH$407,$AA195),SUMIF($T$8:$T$407,INDEX($T$8:$T$407,$AA195),$AH$8:$AH$407))))</f>
        <v/>
      </c>
      <c r="J195">
        <f>IFERROR(MATCH(188,บันทึกรายเที่ยว!$W$6:$W$6005,0),"")</f>
        <v/>
      </c>
      <c r="K195">
        <f>IF($J195="","",INDEX(บันทึกรายเที่ยว!$T$6:$T$6005,$J195))</f>
        <v/>
      </c>
      <c r="L195">
        <f>IF($J195="","",INDEX(บันทึกรายเที่ยว!$S$6:$S$6005,$J195))</f>
        <v/>
      </c>
      <c r="M195">
        <f>IF($J195="","",INDEX(บันทึกรายเที่ยว!$R$6:$R$6005,$J195))</f>
        <v/>
      </c>
      <c r="N195">
        <f>IF($J195="","",MATCH($M195,บันทึกรายเที่ยว!$R$6:$R$6005,0))</f>
        <v/>
      </c>
      <c r="O195">
        <f>IF($J195="","",MATCH($L195,บันทึกรายเที่ยว!$S$6:$S$6005,0))</f>
        <v/>
      </c>
      <c r="P195">
        <f>IF($J195="","",IF(AND(OR($I$3="(ทั้งหมด)",INDEX(บันทึกรายเที่ยว!$C$6:$C$6005,$J195)=$I$3),OR($I$5="(ทั้งหมด)",INDEX(บันทึกรายเที่ยว!$D$6:$D$6005,$J195)=$I$5),OR($I$7="(ทั้งหมด)",INDEX(บันทึกรายเที่ยว!$F$6:$F$6005,$J195)=$I$7)),$N195*10000000+$O195*1000+188,""))</f>
        <v/>
      </c>
      <c r="Q195">
        <f>IFERROR(MATCH(SMALL($P$8:$P$407,188),$P$8:$P$407,0),"")</f>
        <v/>
      </c>
      <c r="R195">
        <f>IF($Q195="","",INDEX($J$8:$J$407,$Q195))</f>
        <v/>
      </c>
      <c r="S195">
        <f>IF($Q195="","",INDEX($M$8:$M$407,$Q195))</f>
        <v/>
      </c>
      <c r="T195">
        <f>IF($Q195="","",INDEX($L$8:$L$407,$Q195))</f>
        <v/>
      </c>
      <c r="U195">
        <f>IF($Q195="","",INDEX($K$8:$K$407,$Q195))</f>
        <v/>
      </c>
      <c r="V195">
        <f>IF($Q195="",0,IF($S195&lt;&gt;$S194,1,0))</f>
        <v/>
      </c>
      <c r="W195">
        <f>IF($Q195="",0,IF($T195&lt;&gt;$T194,1,0))</f>
        <v/>
      </c>
      <c r="X195">
        <f>IF($Q195="",99999+188,$X194+1+$V194+$W194)</f>
        <v/>
      </c>
      <c r="Y195">
        <f>IF($Q195="","",INDEX(บันทึกรายเที่ยว!$Q$6:$Q$6005,$R195))</f>
        <v/>
      </c>
      <c r="Z195">
        <f>IF($Q195="","",INDEX(บันทึกรายเที่ยว!$F$6:$F$6005,$R195))</f>
        <v/>
      </c>
      <c r="AA195">
        <f>IFERROR(MATCH(188,$X$8:$X$407,1),"")</f>
        <v/>
      </c>
      <c r="AB195">
        <f>IF(188=$AD$1+1,"G",IF($AA195="","",IF(INDEX($Q$8:$Q$407,$AA195)="","",IF(188&gt;INDEX($X$8:$X$407,$AA195)+INDEX($V$8:$V$407,$AA195)+INDEX($W$8:$W$407,$AA195),"",IF(188=INDEX($X$8:$X$407,$AA195)+INDEX($V$8:$V$407,$AA195)+INDEX($W$8:$W$407,$AA195),"D",IF(AND(INDEX($W$8:$W$407,$AA195)=1,188=INDEX($X$8:$X$407,$AA195)+INDEX($V$8:$V$407,$AA195)),"S","R"))))))</f>
        <v/>
      </c>
      <c r="AC195">
        <f>IF(OR($AB195="",$AB195="G"),"",IF($AB195="D",INDEX($U$8:$U$407,$AA195),IF($AB195="S",INDEX($T$8:$T$407,$AA195)&amp;"|*",INDEX($S$8:$S$407,$AA195)&amp;"|*")))</f>
        <v/>
      </c>
      <c r="AE195">
        <f>IF($U195="",0,COUNTIF(บันทึกรายเที่ยว!$T$6:$T$6005,$U195))</f>
        <v/>
      </c>
      <c r="AF195">
        <f>IF($U195="",0,ROUND(SUMIF(บันทึกรายเที่ยว!$T$6:$T$6005,$U195,บันทึกรายเที่ยว!$J$6:$J$6005),2))</f>
        <v/>
      </c>
      <c r="AG195">
        <f>IF($U195="",0,ROUND(SUMIF(บันทึกรายเที่ยว!$T$6:$T$6005,$U195,บันทึกรายเที่ยว!$K$6:$K$6005),2))</f>
        <v/>
      </c>
      <c r="AH195">
        <f>IF($U195="",0,ROUND(SUMIF(บันทึกรายเที่ยว!$T$6:$T$6005,$U195,บันทึกรายเที่ยว!$M$6:$M$6005),2))</f>
        <v/>
      </c>
    </row>
    <row r="196" ht="21" customHeight="1" s="66">
      <c r="A196" s="3">
        <f>IF($AB196="G","ผลรวมทั้งหมด",IF($AB196="R",INDEX($S$8:$S$407,$AA196),""))</f>
        <v/>
      </c>
      <c r="B196" s="3">
        <f>IF($AB196="S",INDEX($Y$8:$Y$407,$AA196),"")</f>
        <v/>
      </c>
      <c r="C196" s="68">
        <f>IF($AB196="D",INDEX($Z$8:$Z$407,$AA196),"")</f>
        <v/>
      </c>
      <c r="D196" s="31">
        <f>IF($AB196="G",SUM($AE$8:$AE$407),IF(OR($AB196="",$AB196="R"),"",IF($AB196="D",INDEX($AE$8:$AE$407,$AA196),SUMIF($T$8:$T$407,INDEX($T$8:$T$407,$AA196),$AE$8:$AE$407))))</f>
        <v/>
      </c>
      <c r="E196" s="32">
        <f>IF(189=$AD$1+3,"ขอแสดงความนับถือ",IF(189=$AD$1+6,"(                 )",IF(189=$AD$1+7,"เจ้าหน้าที่ขนส่ง",IF($AB196="G",SUM($AF$8:$AF$407),IF(OR($AB196="",$AB196="R"),"",IF($AB196="D",INDEX($AF$8:$AF$407,$AA196),SUMIF($T$8:$T$407,INDEX($T$8:$T$407,$AA196),$AF$8:$AF$407)))))))</f>
        <v/>
      </c>
      <c r="F196" s="32">
        <f>IF($AB196="G",SUM($AG$8:$AG$407),IF(OR($AB196="",$AB196="R"),"",IF($AB196="D",INDEX($AG$8:$AG$407,$AA196),SUMIF($T$8:$T$407,INDEX($T$8:$T$407,$AA196),$AG$8:$AG$407))))</f>
        <v/>
      </c>
      <c r="G196" s="32">
        <f>IF(OR($AB196="",$AB196="R"),"",ROUND($E196-$F196,2))</f>
        <v/>
      </c>
      <c r="H196" s="32">
        <f>IF($AB196="G",SUM($AH$8:$AH$407),IF(OR($AB196="",$AB196="R"),"",IF($AB196="D",INDEX($AH$8:$AH$407,$AA196),SUMIF($T$8:$T$407,INDEX($T$8:$T$407,$AA196),$AH$8:$AH$407))))</f>
        <v/>
      </c>
      <c r="J196">
        <f>IFERROR(MATCH(189,บันทึกรายเที่ยว!$W$6:$W$6005,0),"")</f>
        <v/>
      </c>
      <c r="K196">
        <f>IF($J196="","",INDEX(บันทึกรายเที่ยว!$T$6:$T$6005,$J196))</f>
        <v/>
      </c>
      <c r="L196">
        <f>IF($J196="","",INDEX(บันทึกรายเที่ยว!$S$6:$S$6005,$J196))</f>
        <v/>
      </c>
      <c r="M196">
        <f>IF($J196="","",INDEX(บันทึกรายเที่ยว!$R$6:$R$6005,$J196))</f>
        <v/>
      </c>
      <c r="N196">
        <f>IF($J196="","",MATCH($M196,บันทึกรายเที่ยว!$R$6:$R$6005,0))</f>
        <v/>
      </c>
      <c r="O196">
        <f>IF($J196="","",MATCH($L196,บันทึกรายเที่ยว!$S$6:$S$6005,0))</f>
        <v/>
      </c>
      <c r="P196">
        <f>IF($J196="","",IF(AND(OR($I$3="(ทั้งหมด)",INDEX(บันทึกรายเที่ยว!$C$6:$C$6005,$J196)=$I$3),OR($I$5="(ทั้งหมด)",INDEX(บันทึกรายเที่ยว!$D$6:$D$6005,$J196)=$I$5),OR($I$7="(ทั้งหมด)",INDEX(บันทึกรายเที่ยว!$F$6:$F$6005,$J196)=$I$7)),$N196*10000000+$O196*1000+189,""))</f>
        <v/>
      </c>
      <c r="Q196">
        <f>IFERROR(MATCH(SMALL($P$8:$P$407,189),$P$8:$P$407,0),"")</f>
        <v/>
      </c>
      <c r="R196">
        <f>IF($Q196="","",INDEX($J$8:$J$407,$Q196))</f>
        <v/>
      </c>
      <c r="S196">
        <f>IF($Q196="","",INDEX($M$8:$M$407,$Q196))</f>
        <v/>
      </c>
      <c r="T196">
        <f>IF($Q196="","",INDEX($L$8:$L$407,$Q196))</f>
        <v/>
      </c>
      <c r="U196">
        <f>IF($Q196="","",INDEX($K$8:$K$407,$Q196))</f>
        <v/>
      </c>
      <c r="V196">
        <f>IF($Q196="",0,IF($S196&lt;&gt;$S195,1,0))</f>
        <v/>
      </c>
      <c r="W196">
        <f>IF($Q196="",0,IF($T196&lt;&gt;$T195,1,0))</f>
        <v/>
      </c>
      <c r="X196">
        <f>IF($Q196="",99999+189,$X195+1+$V195+$W195)</f>
        <v/>
      </c>
      <c r="Y196">
        <f>IF($Q196="","",INDEX(บันทึกรายเที่ยว!$Q$6:$Q$6005,$R196))</f>
        <v/>
      </c>
      <c r="Z196">
        <f>IF($Q196="","",INDEX(บันทึกรายเที่ยว!$F$6:$F$6005,$R196))</f>
        <v/>
      </c>
      <c r="AA196">
        <f>IFERROR(MATCH(189,$X$8:$X$407,1),"")</f>
        <v/>
      </c>
      <c r="AB196">
        <f>IF(189=$AD$1+1,"G",IF($AA196="","",IF(INDEX($Q$8:$Q$407,$AA196)="","",IF(189&gt;INDEX($X$8:$X$407,$AA196)+INDEX($V$8:$V$407,$AA196)+INDEX($W$8:$W$407,$AA196),"",IF(189=INDEX($X$8:$X$407,$AA196)+INDEX($V$8:$V$407,$AA196)+INDEX($W$8:$W$407,$AA196),"D",IF(AND(INDEX($W$8:$W$407,$AA196)=1,189=INDEX($X$8:$X$407,$AA196)+INDEX($V$8:$V$407,$AA196)),"S","R"))))))</f>
        <v/>
      </c>
      <c r="AC196">
        <f>IF(OR($AB196="",$AB196="G"),"",IF($AB196="D",INDEX($U$8:$U$407,$AA196),IF($AB196="S",INDEX($T$8:$T$407,$AA196)&amp;"|*",INDEX($S$8:$S$407,$AA196)&amp;"|*")))</f>
        <v/>
      </c>
      <c r="AE196">
        <f>IF($U196="",0,COUNTIF(บันทึกรายเที่ยว!$T$6:$T$6005,$U196))</f>
        <v/>
      </c>
      <c r="AF196">
        <f>IF($U196="",0,ROUND(SUMIF(บันทึกรายเที่ยว!$T$6:$T$6005,$U196,บันทึกรายเที่ยว!$J$6:$J$6005),2))</f>
        <v/>
      </c>
      <c r="AG196">
        <f>IF($U196="",0,ROUND(SUMIF(บันทึกรายเที่ยว!$T$6:$T$6005,$U196,บันทึกรายเที่ยว!$K$6:$K$6005),2))</f>
        <v/>
      </c>
      <c r="AH196">
        <f>IF($U196="",0,ROUND(SUMIF(บันทึกรายเที่ยว!$T$6:$T$6005,$U196,บันทึกรายเที่ยว!$M$6:$M$6005),2))</f>
        <v/>
      </c>
    </row>
    <row r="197" ht="21" customHeight="1" s="66">
      <c r="A197" s="3">
        <f>IF($AB197="G","ผลรวมทั้งหมด",IF($AB197="R",INDEX($S$8:$S$407,$AA197),""))</f>
        <v/>
      </c>
      <c r="B197" s="3">
        <f>IF($AB197="S",INDEX($Y$8:$Y$407,$AA197),"")</f>
        <v/>
      </c>
      <c r="C197" s="68">
        <f>IF($AB197="D",INDEX($Z$8:$Z$407,$AA197),"")</f>
        <v/>
      </c>
      <c r="D197" s="31">
        <f>IF($AB197="G",SUM($AE$8:$AE$407),IF(OR($AB197="",$AB197="R"),"",IF($AB197="D",INDEX($AE$8:$AE$407,$AA197),SUMIF($T$8:$T$407,INDEX($T$8:$T$407,$AA197),$AE$8:$AE$407))))</f>
        <v/>
      </c>
      <c r="E197" s="32">
        <f>IF(190=$AD$1+3,"ขอแสดงความนับถือ",IF(190=$AD$1+6,"(                 )",IF(190=$AD$1+7,"เจ้าหน้าที่ขนส่ง",IF($AB197="G",SUM($AF$8:$AF$407),IF(OR($AB197="",$AB197="R"),"",IF($AB197="D",INDEX($AF$8:$AF$407,$AA197),SUMIF($T$8:$T$407,INDEX($T$8:$T$407,$AA197),$AF$8:$AF$407)))))))</f>
        <v/>
      </c>
      <c r="F197" s="32">
        <f>IF($AB197="G",SUM($AG$8:$AG$407),IF(OR($AB197="",$AB197="R"),"",IF($AB197="D",INDEX($AG$8:$AG$407,$AA197),SUMIF($T$8:$T$407,INDEX($T$8:$T$407,$AA197),$AG$8:$AG$407))))</f>
        <v/>
      </c>
      <c r="G197" s="32">
        <f>IF(OR($AB197="",$AB197="R"),"",ROUND($E197-$F197,2))</f>
        <v/>
      </c>
      <c r="H197" s="32">
        <f>IF($AB197="G",SUM($AH$8:$AH$407),IF(OR($AB197="",$AB197="R"),"",IF($AB197="D",INDEX($AH$8:$AH$407,$AA197),SUMIF($T$8:$T$407,INDEX($T$8:$T$407,$AA197),$AH$8:$AH$407))))</f>
        <v/>
      </c>
      <c r="J197">
        <f>IFERROR(MATCH(190,บันทึกรายเที่ยว!$W$6:$W$6005,0),"")</f>
        <v/>
      </c>
      <c r="K197">
        <f>IF($J197="","",INDEX(บันทึกรายเที่ยว!$T$6:$T$6005,$J197))</f>
        <v/>
      </c>
      <c r="L197">
        <f>IF($J197="","",INDEX(บันทึกรายเที่ยว!$S$6:$S$6005,$J197))</f>
        <v/>
      </c>
      <c r="M197">
        <f>IF($J197="","",INDEX(บันทึกรายเที่ยว!$R$6:$R$6005,$J197))</f>
        <v/>
      </c>
      <c r="N197">
        <f>IF($J197="","",MATCH($M197,บันทึกรายเที่ยว!$R$6:$R$6005,0))</f>
        <v/>
      </c>
      <c r="O197">
        <f>IF($J197="","",MATCH($L197,บันทึกรายเที่ยว!$S$6:$S$6005,0))</f>
        <v/>
      </c>
      <c r="P197">
        <f>IF($J197="","",IF(AND(OR($I$3="(ทั้งหมด)",INDEX(บันทึกรายเที่ยว!$C$6:$C$6005,$J197)=$I$3),OR($I$5="(ทั้งหมด)",INDEX(บันทึกรายเที่ยว!$D$6:$D$6005,$J197)=$I$5),OR($I$7="(ทั้งหมด)",INDEX(บันทึกรายเที่ยว!$F$6:$F$6005,$J197)=$I$7)),$N197*10000000+$O197*1000+190,""))</f>
        <v/>
      </c>
      <c r="Q197">
        <f>IFERROR(MATCH(SMALL($P$8:$P$407,190),$P$8:$P$407,0),"")</f>
        <v/>
      </c>
      <c r="R197">
        <f>IF($Q197="","",INDEX($J$8:$J$407,$Q197))</f>
        <v/>
      </c>
      <c r="S197">
        <f>IF($Q197="","",INDEX($M$8:$M$407,$Q197))</f>
        <v/>
      </c>
      <c r="T197">
        <f>IF($Q197="","",INDEX($L$8:$L$407,$Q197))</f>
        <v/>
      </c>
      <c r="U197">
        <f>IF($Q197="","",INDEX($K$8:$K$407,$Q197))</f>
        <v/>
      </c>
      <c r="V197">
        <f>IF($Q197="",0,IF($S197&lt;&gt;$S196,1,0))</f>
        <v/>
      </c>
      <c r="W197">
        <f>IF($Q197="",0,IF($T197&lt;&gt;$T196,1,0))</f>
        <v/>
      </c>
      <c r="X197">
        <f>IF($Q197="",99999+190,$X196+1+$V196+$W196)</f>
        <v/>
      </c>
      <c r="Y197">
        <f>IF($Q197="","",INDEX(บันทึกรายเที่ยว!$Q$6:$Q$6005,$R197))</f>
        <v/>
      </c>
      <c r="Z197">
        <f>IF($Q197="","",INDEX(บันทึกรายเที่ยว!$F$6:$F$6005,$R197))</f>
        <v/>
      </c>
      <c r="AA197">
        <f>IFERROR(MATCH(190,$X$8:$X$407,1),"")</f>
        <v/>
      </c>
      <c r="AB197">
        <f>IF(190=$AD$1+1,"G",IF($AA197="","",IF(INDEX($Q$8:$Q$407,$AA197)="","",IF(190&gt;INDEX($X$8:$X$407,$AA197)+INDEX($V$8:$V$407,$AA197)+INDEX($W$8:$W$407,$AA197),"",IF(190=INDEX($X$8:$X$407,$AA197)+INDEX($V$8:$V$407,$AA197)+INDEX($W$8:$W$407,$AA197),"D",IF(AND(INDEX($W$8:$W$407,$AA197)=1,190=INDEX($X$8:$X$407,$AA197)+INDEX($V$8:$V$407,$AA197)),"S","R"))))))</f>
        <v/>
      </c>
      <c r="AC197">
        <f>IF(OR($AB197="",$AB197="G"),"",IF($AB197="D",INDEX($U$8:$U$407,$AA197),IF($AB197="S",INDEX($T$8:$T$407,$AA197)&amp;"|*",INDEX($S$8:$S$407,$AA197)&amp;"|*")))</f>
        <v/>
      </c>
      <c r="AE197">
        <f>IF($U197="",0,COUNTIF(บันทึกรายเที่ยว!$T$6:$T$6005,$U197))</f>
        <v/>
      </c>
      <c r="AF197">
        <f>IF($U197="",0,ROUND(SUMIF(บันทึกรายเที่ยว!$T$6:$T$6005,$U197,บันทึกรายเที่ยว!$J$6:$J$6005),2))</f>
        <v/>
      </c>
      <c r="AG197">
        <f>IF($U197="",0,ROUND(SUMIF(บันทึกรายเที่ยว!$T$6:$T$6005,$U197,บันทึกรายเที่ยว!$K$6:$K$6005),2))</f>
        <v/>
      </c>
      <c r="AH197">
        <f>IF($U197="",0,ROUND(SUMIF(บันทึกรายเที่ยว!$T$6:$T$6005,$U197,บันทึกรายเที่ยว!$M$6:$M$6005),2))</f>
        <v/>
      </c>
    </row>
    <row r="198" ht="21" customHeight="1" s="66">
      <c r="A198" s="3">
        <f>IF($AB198="G","ผลรวมทั้งหมด",IF($AB198="R",INDEX($S$8:$S$407,$AA198),""))</f>
        <v/>
      </c>
      <c r="B198" s="3">
        <f>IF($AB198="S",INDEX($Y$8:$Y$407,$AA198),"")</f>
        <v/>
      </c>
      <c r="C198" s="68">
        <f>IF($AB198="D",INDEX($Z$8:$Z$407,$AA198),"")</f>
        <v/>
      </c>
      <c r="D198" s="31">
        <f>IF($AB198="G",SUM($AE$8:$AE$407),IF(OR($AB198="",$AB198="R"),"",IF($AB198="D",INDEX($AE$8:$AE$407,$AA198),SUMIF($T$8:$T$407,INDEX($T$8:$T$407,$AA198),$AE$8:$AE$407))))</f>
        <v/>
      </c>
      <c r="E198" s="32">
        <f>IF(191=$AD$1+3,"ขอแสดงความนับถือ",IF(191=$AD$1+6,"(                 )",IF(191=$AD$1+7,"เจ้าหน้าที่ขนส่ง",IF($AB198="G",SUM($AF$8:$AF$407),IF(OR($AB198="",$AB198="R"),"",IF($AB198="D",INDEX($AF$8:$AF$407,$AA198),SUMIF($T$8:$T$407,INDEX($T$8:$T$407,$AA198),$AF$8:$AF$407)))))))</f>
        <v/>
      </c>
      <c r="F198" s="32">
        <f>IF($AB198="G",SUM($AG$8:$AG$407),IF(OR($AB198="",$AB198="R"),"",IF($AB198="D",INDEX($AG$8:$AG$407,$AA198),SUMIF($T$8:$T$407,INDEX($T$8:$T$407,$AA198),$AG$8:$AG$407))))</f>
        <v/>
      </c>
      <c r="G198" s="32">
        <f>IF(OR($AB198="",$AB198="R"),"",ROUND($E198-$F198,2))</f>
        <v/>
      </c>
      <c r="H198" s="32">
        <f>IF($AB198="G",SUM($AH$8:$AH$407),IF(OR($AB198="",$AB198="R"),"",IF($AB198="D",INDEX($AH$8:$AH$407,$AA198),SUMIF($T$8:$T$407,INDEX($T$8:$T$407,$AA198),$AH$8:$AH$407))))</f>
        <v/>
      </c>
      <c r="J198">
        <f>IFERROR(MATCH(191,บันทึกรายเที่ยว!$W$6:$W$6005,0),"")</f>
        <v/>
      </c>
      <c r="K198">
        <f>IF($J198="","",INDEX(บันทึกรายเที่ยว!$T$6:$T$6005,$J198))</f>
        <v/>
      </c>
      <c r="L198">
        <f>IF($J198="","",INDEX(บันทึกรายเที่ยว!$S$6:$S$6005,$J198))</f>
        <v/>
      </c>
      <c r="M198">
        <f>IF($J198="","",INDEX(บันทึกรายเที่ยว!$R$6:$R$6005,$J198))</f>
        <v/>
      </c>
      <c r="N198">
        <f>IF($J198="","",MATCH($M198,บันทึกรายเที่ยว!$R$6:$R$6005,0))</f>
        <v/>
      </c>
      <c r="O198">
        <f>IF($J198="","",MATCH($L198,บันทึกรายเที่ยว!$S$6:$S$6005,0))</f>
        <v/>
      </c>
      <c r="P198">
        <f>IF($J198="","",IF(AND(OR($I$3="(ทั้งหมด)",INDEX(บันทึกรายเที่ยว!$C$6:$C$6005,$J198)=$I$3),OR($I$5="(ทั้งหมด)",INDEX(บันทึกรายเที่ยว!$D$6:$D$6005,$J198)=$I$5),OR($I$7="(ทั้งหมด)",INDEX(บันทึกรายเที่ยว!$F$6:$F$6005,$J198)=$I$7)),$N198*10000000+$O198*1000+191,""))</f>
        <v/>
      </c>
      <c r="Q198">
        <f>IFERROR(MATCH(SMALL($P$8:$P$407,191),$P$8:$P$407,0),"")</f>
        <v/>
      </c>
      <c r="R198">
        <f>IF($Q198="","",INDEX($J$8:$J$407,$Q198))</f>
        <v/>
      </c>
      <c r="S198">
        <f>IF($Q198="","",INDEX($M$8:$M$407,$Q198))</f>
        <v/>
      </c>
      <c r="T198">
        <f>IF($Q198="","",INDEX($L$8:$L$407,$Q198))</f>
        <v/>
      </c>
      <c r="U198">
        <f>IF($Q198="","",INDEX($K$8:$K$407,$Q198))</f>
        <v/>
      </c>
      <c r="V198">
        <f>IF($Q198="",0,IF($S198&lt;&gt;$S197,1,0))</f>
        <v/>
      </c>
      <c r="W198">
        <f>IF($Q198="",0,IF($T198&lt;&gt;$T197,1,0))</f>
        <v/>
      </c>
      <c r="X198">
        <f>IF($Q198="",99999+191,$X197+1+$V197+$W197)</f>
        <v/>
      </c>
      <c r="Y198">
        <f>IF($Q198="","",INDEX(บันทึกรายเที่ยว!$Q$6:$Q$6005,$R198))</f>
        <v/>
      </c>
      <c r="Z198">
        <f>IF($Q198="","",INDEX(บันทึกรายเที่ยว!$F$6:$F$6005,$R198))</f>
        <v/>
      </c>
      <c r="AA198">
        <f>IFERROR(MATCH(191,$X$8:$X$407,1),"")</f>
        <v/>
      </c>
      <c r="AB198">
        <f>IF(191=$AD$1+1,"G",IF($AA198="","",IF(INDEX($Q$8:$Q$407,$AA198)="","",IF(191&gt;INDEX($X$8:$X$407,$AA198)+INDEX($V$8:$V$407,$AA198)+INDEX($W$8:$W$407,$AA198),"",IF(191=INDEX($X$8:$X$407,$AA198)+INDEX($V$8:$V$407,$AA198)+INDEX($W$8:$W$407,$AA198),"D",IF(AND(INDEX($W$8:$W$407,$AA198)=1,191=INDEX($X$8:$X$407,$AA198)+INDEX($V$8:$V$407,$AA198)),"S","R"))))))</f>
        <v/>
      </c>
      <c r="AC198">
        <f>IF(OR($AB198="",$AB198="G"),"",IF($AB198="D",INDEX($U$8:$U$407,$AA198),IF($AB198="S",INDEX($T$8:$T$407,$AA198)&amp;"|*",INDEX($S$8:$S$407,$AA198)&amp;"|*")))</f>
        <v/>
      </c>
      <c r="AE198">
        <f>IF($U198="",0,COUNTIF(บันทึกรายเที่ยว!$T$6:$T$6005,$U198))</f>
        <v/>
      </c>
      <c r="AF198">
        <f>IF($U198="",0,ROUND(SUMIF(บันทึกรายเที่ยว!$T$6:$T$6005,$U198,บันทึกรายเที่ยว!$J$6:$J$6005),2))</f>
        <v/>
      </c>
      <c r="AG198">
        <f>IF($U198="",0,ROUND(SUMIF(บันทึกรายเที่ยว!$T$6:$T$6005,$U198,บันทึกรายเที่ยว!$K$6:$K$6005),2))</f>
        <v/>
      </c>
      <c r="AH198">
        <f>IF($U198="",0,ROUND(SUMIF(บันทึกรายเที่ยว!$T$6:$T$6005,$U198,บันทึกรายเที่ยว!$M$6:$M$6005),2))</f>
        <v/>
      </c>
    </row>
    <row r="199" ht="21" customHeight="1" s="66">
      <c r="A199" s="3">
        <f>IF($AB199="G","ผลรวมทั้งหมด",IF($AB199="R",INDEX($S$8:$S$407,$AA199),""))</f>
        <v/>
      </c>
      <c r="B199" s="3">
        <f>IF($AB199="S",INDEX($Y$8:$Y$407,$AA199),"")</f>
        <v/>
      </c>
      <c r="C199" s="68">
        <f>IF($AB199="D",INDEX($Z$8:$Z$407,$AA199),"")</f>
        <v/>
      </c>
      <c r="D199" s="31">
        <f>IF($AB199="G",SUM($AE$8:$AE$407),IF(OR($AB199="",$AB199="R"),"",IF($AB199="D",INDEX($AE$8:$AE$407,$AA199),SUMIF($T$8:$T$407,INDEX($T$8:$T$407,$AA199),$AE$8:$AE$407))))</f>
        <v/>
      </c>
      <c r="E199" s="32">
        <f>IF(192=$AD$1+3,"ขอแสดงความนับถือ",IF(192=$AD$1+6,"(                 )",IF(192=$AD$1+7,"เจ้าหน้าที่ขนส่ง",IF($AB199="G",SUM($AF$8:$AF$407),IF(OR($AB199="",$AB199="R"),"",IF($AB199="D",INDEX($AF$8:$AF$407,$AA199),SUMIF($T$8:$T$407,INDEX($T$8:$T$407,$AA199),$AF$8:$AF$407)))))))</f>
        <v/>
      </c>
      <c r="F199" s="32">
        <f>IF($AB199="G",SUM($AG$8:$AG$407),IF(OR($AB199="",$AB199="R"),"",IF($AB199="D",INDEX($AG$8:$AG$407,$AA199),SUMIF($T$8:$T$407,INDEX($T$8:$T$407,$AA199),$AG$8:$AG$407))))</f>
        <v/>
      </c>
      <c r="G199" s="32">
        <f>IF(OR($AB199="",$AB199="R"),"",ROUND($E199-$F199,2))</f>
        <v/>
      </c>
      <c r="H199" s="32">
        <f>IF($AB199="G",SUM($AH$8:$AH$407),IF(OR($AB199="",$AB199="R"),"",IF($AB199="D",INDEX($AH$8:$AH$407,$AA199),SUMIF($T$8:$T$407,INDEX($T$8:$T$407,$AA199),$AH$8:$AH$407))))</f>
        <v/>
      </c>
      <c r="J199">
        <f>IFERROR(MATCH(192,บันทึกรายเที่ยว!$W$6:$W$6005,0),"")</f>
        <v/>
      </c>
      <c r="K199">
        <f>IF($J199="","",INDEX(บันทึกรายเที่ยว!$T$6:$T$6005,$J199))</f>
        <v/>
      </c>
      <c r="L199">
        <f>IF($J199="","",INDEX(บันทึกรายเที่ยว!$S$6:$S$6005,$J199))</f>
        <v/>
      </c>
      <c r="M199">
        <f>IF($J199="","",INDEX(บันทึกรายเที่ยว!$R$6:$R$6005,$J199))</f>
        <v/>
      </c>
      <c r="N199">
        <f>IF($J199="","",MATCH($M199,บันทึกรายเที่ยว!$R$6:$R$6005,0))</f>
        <v/>
      </c>
      <c r="O199">
        <f>IF($J199="","",MATCH($L199,บันทึกรายเที่ยว!$S$6:$S$6005,0))</f>
        <v/>
      </c>
      <c r="P199">
        <f>IF($J199="","",IF(AND(OR($I$3="(ทั้งหมด)",INDEX(บันทึกรายเที่ยว!$C$6:$C$6005,$J199)=$I$3),OR($I$5="(ทั้งหมด)",INDEX(บันทึกรายเที่ยว!$D$6:$D$6005,$J199)=$I$5),OR($I$7="(ทั้งหมด)",INDEX(บันทึกรายเที่ยว!$F$6:$F$6005,$J199)=$I$7)),$N199*10000000+$O199*1000+192,""))</f>
        <v/>
      </c>
      <c r="Q199">
        <f>IFERROR(MATCH(SMALL($P$8:$P$407,192),$P$8:$P$407,0),"")</f>
        <v/>
      </c>
      <c r="R199">
        <f>IF($Q199="","",INDEX($J$8:$J$407,$Q199))</f>
        <v/>
      </c>
      <c r="S199">
        <f>IF($Q199="","",INDEX($M$8:$M$407,$Q199))</f>
        <v/>
      </c>
      <c r="T199">
        <f>IF($Q199="","",INDEX($L$8:$L$407,$Q199))</f>
        <v/>
      </c>
      <c r="U199">
        <f>IF($Q199="","",INDEX($K$8:$K$407,$Q199))</f>
        <v/>
      </c>
      <c r="V199">
        <f>IF($Q199="",0,IF($S199&lt;&gt;$S198,1,0))</f>
        <v/>
      </c>
      <c r="W199">
        <f>IF($Q199="",0,IF($T199&lt;&gt;$T198,1,0))</f>
        <v/>
      </c>
      <c r="X199">
        <f>IF($Q199="",99999+192,$X198+1+$V198+$W198)</f>
        <v/>
      </c>
      <c r="Y199">
        <f>IF($Q199="","",INDEX(บันทึกรายเที่ยว!$Q$6:$Q$6005,$R199))</f>
        <v/>
      </c>
      <c r="Z199">
        <f>IF($Q199="","",INDEX(บันทึกรายเที่ยว!$F$6:$F$6005,$R199))</f>
        <v/>
      </c>
      <c r="AA199">
        <f>IFERROR(MATCH(192,$X$8:$X$407,1),"")</f>
        <v/>
      </c>
      <c r="AB199">
        <f>IF(192=$AD$1+1,"G",IF($AA199="","",IF(INDEX($Q$8:$Q$407,$AA199)="","",IF(192&gt;INDEX($X$8:$X$407,$AA199)+INDEX($V$8:$V$407,$AA199)+INDEX($W$8:$W$407,$AA199),"",IF(192=INDEX($X$8:$X$407,$AA199)+INDEX($V$8:$V$407,$AA199)+INDEX($W$8:$W$407,$AA199),"D",IF(AND(INDEX($W$8:$W$407,$AA199)=1,192=INDEX($X$8:$X$407,$AA199)+INDEX($V$8:$V$407,$AA199)),"S","R"))))))</f>
        <v/>
      </c>
      <c r="AC199">
        <f>IF(OR($AB199="",$AB199="G"),"",IF($AB199="D",INDEX($U$8:$U$407,$AA199),IF($AB199="S",INDEX($T$8:$T$407,$AA199)&amp;"|*",INDEX($S$8:$S$407,$AA199)&amp;"|*")))</f>
        <v/>
      </c>
      <c r="AE199">
        <f>IF($U199="",0,COUNTIF(บันทึกรายเที่ยว!$T$6:$T$6005,$U199))</f>
        <v/>
      </c>
      <c r="AF199">
        <f>IF($U199="",0,ROUND(SUMIF(บันทึกรายเที่ยว!$T$6:$T$6005,$U199,บันทึกรายเที่ยว!$J$6:$J$6005),2))</f>
        <v/>
      </c>
      <c r="AG199">
        <f>IF($U199="",0,ROUND(SUMIF(บันทึกรายเที่ยว!$T$6:$T$6005,$U199,บันทึกรายเที่ยว!$K$6:$K$6005),2))</f>
        <v/>
      </c>
      <c r="AH199">
        <f>IF($U199="",0,ROUND(SUMIF(บันทึกรายเที่ยว!$T$6:$T$6005,$U199,บันทึกรายเที่ยว!$M$6:$M$6005),2))</f>
        <v/>
      </c>
    </row>
    <row r="200" ht="21" customHeight="1" s="66">
      <c r="A200" s="3">
        <f>IF($AB200="G","ผลรวมทั้งหมด",IF($AB200="R",INDEX($S$8:$S$407,$AA200),""))</f>
        <v/>
      </c>
      <c r="B200" s="3">
        <f>IF($AB200="S",INDEX($Y$8:$Y$407,$AA200),"")</f>
        <v/>
      </c>
      <c r="C200" s="68">
        <f>IF($AB200="D",INDEX($Z$8:$Z$407,$AA200),"")</f>
        <v/>
      </c>
      <c r="D200" s="31">
        <f>IF($AB200="G",SUM($AE$8:$AE$407),IF(OR($AB200="",$AB200="R"),"",IF($AB200="D",INDEX($AE$8:$AE$407,$AA200),SUMIF($T$8:$T$407,INDEX($T$8:$T$407,$AA200),$AE$8:$AE$407))))</f>
        <v/>
      </c>
      <c r="E200" s="32">
        <f>IF(193=$AD$1+3,"ขอแสดงความนับถือ",IF(193=$AD$1+6,"(                 )",IF(193=$AD$1+7,"เจ้าหน้าที่ขนส่ง",IF($AB200="G",SUM($AF$8:$AF$407),IF(OR($AB200="",$AB200="R"),"",IF($AB200="D",INDEX($AF$8:$AF$407,$AA200),SUMIF($T$8:$T$407,INDEX($T$8:$T$407,$AA200),$AF$8:$AF$407)))))))</f>
        <v/>
      </c>
      <c r="F200" s="32">
        <f>IF($AB200="G",SUM($AG$8:$AG$407),IF(OR($AB200="",$AB200="R"),"",IF($AB200="D",INDEX($AG$8:$AG$407,$AA200),SUMIF($T$8:$T$407,INDEX($T$8:$T$407,$AA200),$AG$8:$AG$407))))</f>
        <v/>
      </c>
      <c r="G200" s="32">
        <f>IF(OR($AB200="",$AB200="R"),"",ROUND($E200-$F200,2))</f>
        <v/>
      </c>
      <c r="H200" s="32">
        <f>IF($AB200="G",SUM($AH$8:$AH$407),IF(OR($AB200="",$AB200="R"),"",IF($AB200="D",INDEX($AH$8:$AH$407,$AA200),SUMIF($T$8:$T$407,INDEX($T$8:$T$407,$AA200),$AH$8:$AH$407))))</f>
        <v/>
      </c>
      <c r="J200">
        <f>IFERROR(MATCH(193,บันทึกรายเที่ยว!$W$6:$W$6005,0),"")</f>
        <v/>
      </c>
      <c r="K200">
        <f>IF($J200="","",INDEX(บันทึกรายเที่ยว!$T$6:$T$6005,$J200))</f>
        <v/>
      </c>
      <c r="L200">
        <f>IF($J200="","",INDEX(บันทึกรายเที่ยว!$S$6:$S$6005,$J200))</f>
        <v/>
      </c>
      <c r="M200">
        <f>IF($J200="","",INDEX(บันทึกรายเที่ยว!$R$6:$R$6005,$J200))</f>
        <v/>
      </c>
      <c r="N200">
        <f>IF($J200="","",MATCH($M200,บันทึกรายเที่ยว!$R$6:$R$6005,0))</f>
        <v/>
      </c>
      <c r="O200">
        <f>IF($J200="","",MATCH($L200,บันทึกรายเที่ยว!$S$6:$S$6005,0))</f>
        <v/>
      </c>
      <c r="P200">
        <f>IF($J200="","",IF(AND(OR($I$3="(ทั้งหมด)",INDEX(บันทึกรายเที่ยว!$C$6:$C$6005,$J200)=$I$3),OR($I$5="(ทั้งหมด)",INDEX(บันทึกรายเที่ยว!$D$6:$D$6005,$J200)=$I$5),OR($I$7="(ทั้งหมด)",INDEX(บันทึกรายเที่ยว!$F$6:$F$6005,$J200)=$I$7)),$N200*10000000+$O200*1000+193,""))</f>
        <v/>
      </c>
      <c r="Q200">
        <f>IFERROR(MATCH(SMALL($P$8:$P$407,193),$P$8:$P$407,0),"")</f>
        <v/>
      </c>
      <c r="R200">
        <f>IF($Q200="","",INDEX($J$8:$J$407,$Q200))</f>
        <v/>
      </c>
      <c r="S200">
        <f>IF($Q200="","",INDEX($M$8:$M$407,$Q200))</f>
        <v/>
      </c>
      <c r="T200">
        <f>IF($Q200="","",INDEX($L$8:$L$407,$Q200))</f>
        <v/>
      </c>
      <c r="U200">
        <f>IF($Q200="","",INDEX($K$8:$K$407,$Q200))</f>
        <v/>
      </c>
      <c r="V200">
        <f>IF($Q200="",0,IF($S200&lt;&gt;$S199,1,0))</f>
        <v/>
      </c>
      <c r="W200">
        <f>IF($Q200="",0,IF($T200&lt;&gt;$T199,1,0))</f>
        <v/>
      </c>
      <c r="X200">
        <f>IF($Q200="",99999+193,$X199+1+$V199+$W199)</f>
        <v/>
      </c>
      <c r="Y200">
        <f>IF($Q200="","",INDEX(บันทึกรายเที่ยว!$Q$6:$Q$6005,$R200))</f>
        <v/>
      </c>
      <c r="Z200">
        <f>IF($Q200="","",INDEX(บันทึกรายเที่ยว!$F$6:$F$6005,$R200))</f>
        <v/>
      </c>
      <c r="AA200">
        <f>IFERROR(MATCH(193,$X$8:$X$407,1),"")</f>
        <v/>
      </c>
      <c r="AB200">
        <f>IF(193=$AD$1+1,"G",IF($AA200="","",IF(INDEX($Q$8:$Q$407,$AA200)="","",IF(193&gt;INDEX($X$8:$X$407,$AA200)+INDEX($V$8:$V$407,$AA200)+INDEX($W$8:$W$407,$AA200),"",IF(193=INDEX($X$8:$X$407,$AA200)+INDEX($V$8:$V$407,$AA200)+INDEX($W$8:$W$407,$AA200),"D",IF(AND(INDEX($W$8:$W$407,$AA200)=1,193=INDEX($X$8:$X$407,$AA200)+INDEX($V$8:$V$407,$AA200)),"S","R"))))))</f>
        <v/>
      </c>
      <c r="AC200">
        <f>IF(OR($AB200="",$AB200="G"),"",IF($AB200="D",INDEX($U$8:$U$407,$AA200),IF($AB200="S",INDEX($T$8:$T$407,$AA200)&amp;"|*",INDEX($S$8:$S$407,$AA200)&amp;"|*")))</f>
        <v/>
      </c>
      <c r="AE200">
        <f>IF($U200="",0,COUNTIF(บันทึกรายเที่ยว!$T$6:$T$6005,$U200))</f>
        <v/>
      </c>
      <c r="AF200">
        <f>IF($U200="",0,ROUND(SUMIF(บันทึกรายเที่ยว!$T$6:$T$6005,$U200,บันทึกรายเที่ยว!$J$6:$J$6005),2))</f>
        <v/>
      </c>
      <c r="AG200">
        <f>IF($U200="",0,ROUND(SUMIF(บันทึกรายเที่ยว!$T$6:$T$6005,$U200,บันทึกรายเที่ยว!$K$6:$K$6005),2))</f>
        <v/>
      </c>
      <c r="AH200">
        <f>IF($U200="",0,ROUND(SUMIF(บันทึกรายเที่ยว!$T$6:$T$6005,$U200,บันทึกรายเที่ยว!$M$6:$M$6005),2))</f>
        <v/>
      </c>
    </row>
    <row r="201" ht="21" customHeight="1" s="66">
      <c r="A201" s="3">
        <f>IF($AB201="G","ผลรวมทั้งหมด",IF($AB201="R",INDEX($S$8:$S$407,$AA201),""))</f>
        <v/>
      </c>
      <c r="B201" s="3">
        <f>IF($AB201="S",INDEX($Y$8:$Y$407,$AA201),"")</f>
        <v/>
      </c>
      <c r="C201" s="68">
        <f>IF($AB201="D",INDEX($Z$8:$Z$407,$AA201),"")</f>
        <v/>
      </c>
      <c r="D201" s="31">
        <f>IF($AB201="G",SUM($AE$8:$AE$407),IF(OR($AB201="",$AB201="R"),"",IF($AB201="D",INDEX($AE$8:$AE$407,$AA201),SUMIF($T$8:$T$407,INDEX($T$8:$T$407,$AA201),$AE$8:$AE$407))))</f>
        <v/>
      </c>
      <c r="E201" s="32">
        <f>IF(194=$AD$1+3,"ขอแสดงความนับถือ",IF(194=$AD$1+6,"(                 )",IF(194=$AD$1+7,"เจ้าหน้าที่ขนส่ง",IF($AB201="G",SUM($AF$8:$AF$407),IF(OR($AB201="",$AB201="R"),"",IF($AB201="D",INDEX($AF$8:$AF$407,$AA201),SUMIF($T$8:$T$407,INDEX($T$8:$T$407,$AA201),$AF$8:$AF$407)))))))</f>
        <v/>
      </c>
      <c r="F201" s="32">
        <f>IF($AB201="G",SUM($AG$8:$AG$407),IF(OR($AB201="",$AB201="R"),"",IF($AB201="D",INDEX($AG$8:$AG$407,$AA201),SUMIF($T$8:$T$407,INDEX($T$8:$T$407,$AA201),$AG$8:$AG$407))))</f>
        <v/>
      </c>
      <c r="G201" s="32">
        <f>IF(OR($AB201="",$AB201="R"),"",ROUND($E201-$F201,2))</f>
        <v/>
      </c>
      <c r="H201" s="32">
        <f>IF($AB201="G",SUM($AH$8:$AH$407),IF(OR($AB201="",$AB201="R"),"",IF($AB201="D",INDEX($AH$8:$AH$407,$AA201),SUMIF($T$8:$T$407,INDEX($T$8:$T$407,$AA201),$AH$8:$AH$407))))</f>
        <v/>
      </c>
      <c r="J201">
        <f>IFERROR(MATCH(194,บันทึกรายเที่ยว!$W$6:$W$6005,0),"")</f>
        <v/>
      </c>
      <c r="K201">
        <f>IF($J201="","",INDEX(บันทึกรายเที่ยว!$T$6:$T$6005,$J201))</f>
        <v/>
      </c>
      <c r="L201">
        <f>IF($J201="","",INDEX(บันทึกรายเที่ยว!$S$6:$S$6005,$J201))</f>
        <v/>
      </c>
      <c r="M201">
        <f>IF($J201="","",INDEX(บันทึกรายเที่ยว!$R$6:$R$6005,$J201))</f>
        <v/>
      </c>
      <c r="N201">
        <f>IF($J201="","",MATCH($M201,บันทึกรายเที่ยว!$R$6:$R$6005,0))</f>
        <v/>
      </c>
      <c r="O201">
        <f>IF($J201="","",MATCH($L201,บันทึกรายเที่ยว!$S$6:$S$6005,0))</f>
        <v/>
      </c>
      <c r="P201">
        <f>IF($J201="","",IF(AND(OR($I$3="(ทั้งหมด)",INDEX(บันทึกรายเที่ยว!$C$6:$C$6005,$J201)=$I$3),OR($I$5="(ทั้งหมด)",INDEX(บันทึกรายเที่ยว!$D$6:$D$6005,$J201)=$I$5),OR($I$7="(ทั้งหมด)",INDEX(บันทึกรายเที่ยว!$F$6:$F$6005,$J201)=$I$7)),$N201*10000000+$O201*1000+194,""))</f>
        <v/>
      </c>
      <c r="Q201">
        <f>IFERROR(MATCH(SMALL($P$8:$P$407,194),$P$8:$P$407,0),"")</f>
        <v/>
      </c>
      <c r="R201">
        <f>IF($Q201="","",INDEX($J$8:$J$407,$Q201))</f>
        <v/>
      </c>
      <c r="S201">
        <f>IF($Q201="","",INDEX($M$8:$M$407,$Q201))</f>
        <v/>
      </c>
      <c r="T201">
        <f>IF($Q201="","",INDEX($L$8:$L$407,$Q201))</f>
        <v/>
      </c>
      <c r="U201">
        <f>IF($Q201="","",INDEX($K$8:$K$407,$Q201))</f>
        <v/>
      </c>
      <c r="V201">
        <f>IF($Q201="",0,IF($S201&lt;&gt;$S200,1,0))</f>
        <v/>
      </c>
      <c r="W201">
        <f>IF($Q201="",0,IF($T201&lt;&gt;$T200,1,0))</f>
        <v/>
      </c>
      <c r="X201">
        <f>IF($Q201="",99999+194,$X200+1+$V200+$W200)</f>
        <v/>
      </c>
      <c r="Y201">
        <f>IF($Q201="","",INDEX(บันทึกรายเที่ยว!$Q$6:$Q$6005,$R201))</f>
        <v/>
      </c>
      <c r="Z201">
        <f>IF($Q201="","",INDEX(บันทึกรายเที่ยว!$F$6:$F$6005,$R201))</f>
        <v/>
      </c>
      <c r="AA201">
        <f>IFERROR(MATCH(194,$X$8:$X$407,1),"")</f>
        <v/>
      </c>
      <c r="AB201">
        <f>IF(194=$AD$1+1,"G",IF($AA201="","",IF(INDEX($Q$8:$Q$407,$AA201)="","",IF(194&gt;INDEX($X$8:$X$407,$AA201)+INDEX($V$8:$V$407,$AA201)+INDEX($W$8:$W$407,$AA201),"",IF(194=INDEX($X$8:$X$407,$AA201)+INDEX($V$8:$V$407,$AA201)+INDEX($W$8:$W$407,$AA201),"D",IF(AND(INDEX($W$8:$W$407,$AA201)=1,194=INDEX($X$8:$X$407,$AA201)+INDEX($V$8:$V$407,$AA201)),"S","R"))))))</f>
        <v/>
      </c>
      <c r="AC201">
        <f>IF(OR($AB201="",$AB201="G"),"",IF($AB201="D",INDEX($U$8:$U$407,$AA201),IF($AB201="S",INDEX($T$8:$T$407,$AA201)&amp;"|*",INDEX($S$8:$S$407,$AA201)&amp;"|*")))</f>
        <v/>
      </c>
      <c r="AE201">
        <f>IF($U201="",0,COUNTIF(บันทึกรายเที่ยว!$T$6:$T$6005,$U201))</f>
        <v/>
      </c>
      <c r="AF201">
        <f>IF($U201="",0,ROUND(SUMIF(บันทึกรายเที่ยว!$T$6:$T$6005,$U201,บันทึกรายเที่ยว!$J$6:$J$6005),2))</f>
        <v/>
      </c>
      <c r="AG201">
        <f>IF($U201="",0,ROUND(SUMIF(บันทึกรายเที่ยว!$T$6:$T$6005,$U201,บันทึกรายเที่ยว!$K$6:$K$6005),2))</f>
        <v/>
      </c>
      <c r="AH201">
        <f>IF($U201="",0,ROUND(SUMIF(บันทึกรายเที่ยว!$T$6:$T$6005,$U201,บันทึกรายเที่ยว!$M$6:$M$6005),2))</f>
        <v/>
      </c>
    </row>
    <row r="202" ht="21" customHeight="1" s="66">
      <c r="A202" s="3">
        <f>IF($AB202="G","ผลรวมทั้งหมด",IF($AB202="R",INDEX($S$8:$S$407,$AA202),""))</f>
        <v/>
      </c>
      <c r="B202" s="3">
        <f>IF($AB202="S",INDEX($Y$8:$Y$407,$AA202),"")</f>
        <v/>
      </c>
      <c r="C202" s="68">
        <f>IF($AB202="D",INDEX($Z$8:$Z$407,$AA202),"")</f>
        <v/>
      </c>
      <c r="D202" s="31">
        <f>IF($AB202="G",SUM($AE$8:$AE$407),IF(OR($AB202="",$AB202="R"),"",IF($AB202="D",INDEX($AE$8:$AE$407,$AA202),SUMIF($T$8:$T$407,INDEX($T$8:$T$407,$AA202),$AE$8:$AE$407))))</f>
        <v/>
      </c>
      <c r="E202" s="32">
        <f>IF(195=$AD$1+3,"ขอแสดงความนับถือ",IF(195=$AD$1+6,"(                 )",IF(195=$AD$1+7,"เจ้าหน้าที่ขนส่ง",IF($AB202="G",SUM($AF$8:$AF$407),IF(OR($AB202="",$AB202="R"),"",IF($AB202="D",INDEX($AF$8:$AF$407,$AA202),SUMIF($T$8:$T$407,INDEX($T$8:$T$407,$AA202),$AF$8:$AF$407)))))))</f>
        <v/>
      </c>
      <c r="F202" s="32">
        <f>IF($AB202="G",SUM($AG$8:$AG$407),IF(OR($AB202="",$AB202="R"),"",IF($AB202="D",INDEX($AG$8:$AG$407,$AA202),SUMIF($T$8:$T$407,INDEX($T$8:$T$407,$AA202),$AG$8:$AG$407))))</f>
        <v/>
      </c>
      <c r="G202" s="32">
        <f>IF(OR($AB202="",$AB202="R"),"",ROUND($E202-$F202,2))</f>
        <v/>
      </c>
      <c r="H202" s="32">
        <f>IF($AB202="G",SUM($AH$8:$AH$407),IF(OR($AB202="",$AB202="R"),"",IF($AB202="D",INDEX($AH$8:$AH$407,$AA202),SUMIF($T$8:$T$407,INDEX($T$8:$T$407,$AA202),$AH$8:$AH$407))))</f>
        <v/>
      </c>
      <c r="J202">
        <f>IFERROR(MATCH(195,บันทึกรายเที่ยว!$W$6:$W$6005,0),"")</f>
        <v/>
      </c>
      <c r="K202">
        <f>IF($J202="","",INDEX(บันทึกรายเที่ยว!$T$6:$T$6005,$J202))</f>
        <v/>
      </c>
      <c r="L202">
        <f>IF($J202="","",INDEX(บันทึกรายเที่ยว!$S$6:$S$6005,$J202))</f>
        <v/>
      </c>
      <c r="M202">
        <f>IF($J202="","",INDEX(บันทึกรายเที่ยว!$R$6:$R$6005,$J202))</f>
        <v/>
      </c>
      <c r="N202">
        <f>IF($J202="","",MATCH($M202,บันทึกรายเที่ยว!$R$6:$R$6005,0))</f>
        <v/>
      </c>
      <c r="O202">
        <f>IF($J202="","",MATCH($L202,บันทึกรายเที่ยว!$S$6:$S$6005,0))</f>
        <v/>
      </c>
      <c r="P202">
        <f>IF($J202="","",IF(AND(OR($I$3="(ทั้งหมด)",INDEX(บันทึกรายเที่ยว!$C$6:$C$6005,$J202)=$I$3),OR($I$5="(ทั้งหมด)",INDEX(บันทึกรายเที่ยว!$D$6:$D$6005,$J202)=$I$5),OR($I$7="(ทั้งหมด)",INDEX(บันทึกรายเที่ยว!$F$6:$F$6005,$J202)=$I$7)),$N202*10000000+$O202*1000+195,""))</f>
        <v/>
      </c>
      <c r="Q202">
        <f>IFERROR(MATCH(SMALL($P$8:$P$407,195),$P$8:$P$407,0),"")</f>
        <v/>
      </c>
      <c r="R202">
        <f>IF($Q202="","",INDEX($J$8:$J$407,$Q202))</f>
        <v/>
      </c>
      <c r="S202">
        <f>IF($Q202="","",INDEX($M$8:$M$407,$Q202))</f>
        <v/>
      </c>
      <c r="T202">
        <f>IF($Q202="","",INDEX($L$8:$L$407,$Q202))</f>
        <v/>
      </c>
      <c r="U202">
        <f>IF($Q202="","",INDEX($K$8:$K$407,$Q202))</f>
        <v/>
      </c>
      <c r="V202">
        <f>IF($Q202="",0,IF($S202&lt;&gt;$S201,1,0))</f>
        <v/>
      </c>
      <c r="W202">
        <f>IF($Q202="",0,IF($T202&lt;&gt;$T201,1,0))</f>
        <v/>
      </c>
      <c r="X202">
        <f>IF($Q202="",99999+195,$X201+1+$V201+$W201)</f>
        <v/>
      </c>
      <c r="Y202">
        <f>IF($Q202="","",INDEX(บันทึกรายเที่ยว!$Q$6:$Q$6005,$R202))</f>
        <v/>
      </c>
      <c r="Z202">
        <f>IF($Q202="","",INDEX(บันทึกรายเที่ยว!$F$6:$F$6005,$R202))</f>
        <v/>
      </c>
      <c r="AA202">
        <f>IFERROR(MATCH(195,$X$8:$X$407,1),"")</f>
        <v/>
      </c>
      <c r="AB202">
        <f>IF(195=$AD$1+1,"G",IF($AA202="","",IF(INDEX($Q$8:$Q$407,$AA202)="","",IF(195&gt;INDEX($X$8:$X$407,$AA202)+INDEX($V$8:$V$407,$AA202)+INDEX($W$8:$W$407,$AA202),"",IF(195=INDEX($X$8:$X$407,$AA202)+INDEX($V$8:$V$407,$AA202)+INDEX($W$8:$W$407,$AA202),"D",IF(AND(INDEX($W$8:$W$407,$AA202)=1,195=INDEX($X$8:$X$407,$AA202)+INDEX($V$8:$V$407,$AA202)),"S","R"))))))</f>
        <v/>
      </c>
      <c r="AC202">
        <f>IF(OR($AB202="",$AB202="G"),"",IF($AB202="D",INDEX($U$8:$U$407,$AA202),IF($AB202="S",INDEX($T$8:$T$407,$AA202)&amp;"|*",INDEX($S$8:$S$407,$AA202)&amp;"|*")))</f>
        <v/>
      </c>
      <c r="AE202">
        <f>IF($U202="",0,COUNTIF(บันทึกรายเที่ยว!$T$6:$T$6005,$U202))</f>
        <v/>
      </c>
      <c r="AF202">
        <f>IF($U202="",0,ROUND(SUMIF(บันทึกรายเที่ยว!$T$6:$T$6005,$U202,บันทึกรายเที่ยว!$J$6:$J$6005),2))</f>
        <v/>
      </c>
      <c r="AG202">
        <f>IF($U202="",0,ROUND(SUMIF(บันทึกรายเที่ยว!$T$6:$T$6005,$U202,บันทึกรายเที่ยว!$K$6:$K$6005),2))</f>
        <v/>
      </c>
      <c r="AH202">
        <f>IF($U202="",0,ROUND(SUMIF(บันทึกรายเที่ยว!$T$6:$T$6005,$U202,บันทึกรายเที่ยว!$M$6:$M$6005),2))</f>
        <v/>
      </c>
    </row>
    <row r="203" ht="21" customHeight="1" s="66">
      <c r="A203" s="3">
        <f>IF($AB203="G","ผลรวมทั้งหมด",IF($AB203="R",INDEX($S$8:$S$407,$AA203),""))</f>
        <v/>
      </c>
      <c r="B203" s="3">
        <f>IF($AB203="S",INDEX($Y$8:$Y$407,$AA203),"")</f>
        <v/>
      </c>
      <c r="C203" s="68">
        <f>IF($AB203="D",INDEX($Z$8:$Z$407,$AA203),"")</f>
        <v/>
      </c>
      <c r="D203" s="31">
        <f>IF($AB203="G",SUM($AE$8:$AE$407),IF(OR($AB203="",$AB203="R"),"",IF($AB203="D",INDEX($AE$8:$AE$407,$AA203),SUMIF($T$8:$T$407,INDEX($T$8:$T$407,$AA203),$AE$8:$AE$407))))</f>
        <v/>
      </c>
      <c r="E203" s="32">
        <f>IF(196=$AD$1+3,"ขอแสดงความนับถือ",IF(196=$AD$1+6,"(                 )",IF(196=$AD$1+7,"เจ้าหน้าที่ขนส่ง",IF($AB203="G",SUM($AF$8:$AF$407),IF(OR($AB203="",$AB203="R"),"",IF($AB203="D",INDEX($AF$8:$AF$407,$AA203),SUMIF($T$8:$T$407,INDEX($T$8:$T$407,$AA203),$AF$8:$AF$407)))))))</f>
        <v/>
      </c>
      <c r="F203" s="32">
        <f>IF($AB203="G",SUM($AG$8:$AG$407),IF(OR($AB203="",$AB203="R"),"",IF($AB203="D",INDEX($AG$8:$AG$407,$AA203),SUMIF($T$8:$T$407,INDEX($T$8:$T$407,$AA203),$AG$8:$AG$407))))</f>
        <v/>
      </c>
      <c r="G203" s="32">
        <f>IF(OR($AB203="",$AB203="R"),"",ROUND($E203-$F203,2))</f>
        <v/>
      </c>
      <c r="H203" s="32">
        <f>IF($AB203="G",SUM($AH$8:$AH$407),IF(OR($AB203="",$AB203="R"),"",IF($AB203="D",INDEX($AH$8:$AH$407,$AA203),SUMIF($T$8:$T$407,INDEX($T$8:$T$407,$AA203),$AH$8:$AH$407))))</f>
        <v/>
      </c>
      <c r="J203">
        <f>IFERROR(MATCH(196,บันทึกรายเที่ยว!$W$6:$W$6005,0),"")</f>
        <v/>
      </c>
      <c r="K203">
        <f>IF($J203="","",INDEX(บันทึกรายเที่ยว!$T$6:$T$6005,$J203))</f>
        <v/>
      </c>
      <c r="L203">
        <f>IF($J203="","",INDEX(บันทึกรายเที่ยว!$S$6:$S$6005,$J203))</f>
        <v/>
      </c>
      <c r="M203">
        <f>IF($J203="","",INDEX(บันทึกรายเที่ยว!$R$6:$R$6005,$J203))</f>
        <v/>
      </c>
      <c r="N203">
        <f>IF($J203="","",MATCH($M203,บันทึกรายเที่ยว!$R$6:$R$6005,0))</f>
        <v/>
      </c>
      <c r="O203">
        <f>IF($J203="","",MATCH($L203,บันทึกรายเที่ยว!$S$6:$S$6005,0))</f>
        <v/>
      </c>
      <c r="P203">
        <f>IF($J203="","",IF(AND(OR($I$3="(ทั้งหมด)",INDEX(บันทึกรายเที่ยว!$C$6:$C$6005,$J203)=$I$3),OR($I$5="(ทั้งหมด)",INDEX(บันทึกรายเที่ยว!$D$6:$D$6005,$J203)=$I$5),OR($I$7="(ทั้งหมด)",INDEX(บันทึกรายเที่ยว!$F$6:$F$6005,$J203)=$I$7)),$N203*10000000+$O203*1000+196,""))</f>
        <v/>
      </c>
      <c r="Q203">
        <f>IFERROR(MATCH(SMALL($P$8:$P$407,196),$P$8:$P$407,0),"")</f>
        <v/>
      </c>
      <c r="R203">
        <f>IF($Q203="","",INDEX($J$8:$J$407,$Q203))</f>
        <v/>
      </c>
      <c r="S203">
        <f>IF($Q203="","",INDEX($M$8:$M$407,$Q203))</f>
        <v/>
      </c>
      <c r="T203">
        <f>IF($Q203="","",INDEX($L$8:$L$407,$Q203))</f>
        <v/>
      </c>
      <c r="U203">
        <f>IF($Q203="","",INDEX($K$8:$K$407,$Q203))</f>
        <v/>
      </c>
      <c r="V203">
        <f>IF($Q203="",0,IF($S203&lt;&gt;$S202,1,0))</f>
        <v/>
      </c>
      <c r="W203">
        <f>IF($Q203="",0,IF($T203&lt;&gt;$T202,1,0))</f>
        <v/>
      </c>
      <c r="X203">
        <f>IF($Q203="",99999+196,$X202+1+$V202+$W202)</f>
        <v/>
      </c>
      <c r="Y203">
        <f>IF($Q203="","",INDEX(บันทึกรายเที่ยว!$Q$6:$Q$6005,$R203))</f>
        <v/>
      </c>
      <c r="Z203">
        <f>IF($Q203="","",INDEX(บันทึกรายเที่ยว!$F$6:$F$6005,$R203))</f>
        <v/>
      </c>
      <c r="AA203">
        <f>IFERROR(MATCH(196,$X$8:$X$407,1),"")</f>
        <v/>
      </c>
      <c r="AB203">
        <f>IF(196=$AD$1+1,"G",IF($AA203="","",IF(INDEX($Q$8:$Q$407,$AA203)="","",IF(196&gt;INDEX($X$8:$X$407,$AA203)+INDEX($V$8:$V$407,$AA203)+INDEX($W$8:$W$407,$AA203),"",IF(196=INDEX($X$8:$X$407,$AA203)+INDEX($V$8:$V$407,$AA203)+INDEX($W$8:$W$407,$AA203),"D",IF(AND(INDEX($W$8:$W$407,$AA203)=1,196=INDEX($X$8:$X$407,$AA203)+INDEX($V$8:$V$407,$AA203)),"S","R"))))))</f>
        <v/>
      </c>
      <c r="AC203">
        <f>IF(OR($AB203="",$AB203="G"),"",IF($AB203="D",INDEX($U$8:$U$407,$AA203),IF($AB203="S",INDEX($T$8:$T$407,$AA203)&amp;"|*",INDEX($S$8:$S$407,$AA203)&amp;"|*")))</f>
        <v/>
      </c>
      <c r="AE203">
        <f>IF($U203="",0,COUNTIF(บันทึกรายเที่ยว!$T$6:$T$6005,$U203))</f>
        <v/>
      </c>
      <c r="AF203">
        <f>IF($U203="",0,ROUND(SUMIF(บันทึกรายเที่ยว!$T$6:$T$6005,$U203,บันทึกรายเที่ยว!$J$6:$J$6005),2))</f>
        <v/>
      </c>
      <c r="AG203">
        <f>IF($U203="",0,ROUND(SUMIF(บันทึกรายเที่ยว!$T$6:$T$6005,$U203,บันทึกรายเที่ยว!$K$6:$K$6005),2))</f>
        <v/>
      </c>
      <c r="AH203">
        <f>IF($U203="",0,ROUND(SUMIF(บันทึกรายเที่ยว!$T$6:$T$6005,$U203,บันทึกรายเที่ยว!$M$6:$M$6005),2))</f>
        <v/>
      </c>
    </row>
    <row r="204" ht="21" customHeight="1" s="66">
      <c r="A204" s="3">
        <f>IF($AB204="G","ผลรวมทั้งหมด",IF($AB204="R",INDEX($S$8:$S$407,$AA204),""))</f>
        <v/>
      </c>
      <c r="B204" s="3">
        <f>IF($AB204="S",INDEX($Y$8:$Y$407,$AA204),"")</f>
        <v/>
      </c>
      <c r="C204" s="68">
        <f>IF($AB204="D",INDEX($Z$8:$Z$407,$AA204),"")</f>
        <v/>
      </c>
      <c r="D204" s="31">
        <f>IF($AB204="G",SUM($AE$8:$AE$407),IF(OR($AB204="",$AB204="R"),"",IF($AB204="D",INDEX($AE$8:$AE$407,$AA204),SUMIF($T$8:$T$407,INDEX($T$8:$T$407,$AA204),$AE$8:$AE$407))))</f>
        <v/>
      </c>
      <c r="E204" s="32">
        <f>IF(197=$AD$1+3,"ขอแสดงความนับถือ",IF(197=$AD$1+6,"(                 )",IF(197=$AD$1+7,"เจ้าหน้าที่ขนส่ง",IF($AB204="G",SUM($AF$8:$AF$407),IF(OR($AB204="",$AB204="R"),"",IF($AB204="D",INDEX($AF$8:$AF$407,$AA204),SUMIF($T$8:$T$407,INDEX($T$8:$T$407,$AA204),$AF$8:$AF$407)))))))</f>
        <v/>
      </c>
      <c r="F204" s="32">
        <f>IF($AB204="G",SUM($AG$8:$AG$407),IF(OR($AB204="",$AB204="R"),"",IF($AB204="D",INDEX($AG$8:$AG$407,$AA204),SUMIF($T$8:$T$407,INDEX($T$8:$T$407,$AA204),$AG$8:$AG$407))))</f>
        <v/>
      </c>
      <c r="G204" s="32">
        <f>IF(OR($AB204="",$AB204="R"),"",ROUND($E204-$F204,2))</f>
        <v/>
      </c>
      <c r="H204" s="32">
        <f>IF($AB204="G",SUM($AH$8:$AH$407),IF(OR($AB204="",$AB204="R"),"",IF($AB204="D",INDEX($AH$8:$AH$407,$AA204),SUMIF($T$8:$T$407,INDEX($T$8:$T$407,$AA204),$AH$8:$AH$407))))</f>
        <v/>
      </c>
      <c r="J204">
        <f>IFERROR(MATCH(197,บันทึกรายเที่ยว!$W$6:$W$6005,0),"")</f>
        <v/>
      </c>
      <c r="K204">
        <f>IF($J204="","",INDEX(บันทึกรายเที่ยว!$T$6:$T$6005,$J204))</f>
        <v/>
      </c>
      <c r="L204">
        <f>IF($J204="","",INDEX(บันทึกรายเที่ยว!$S$6:$S$6005,$J204))</f>
        <v/>
      </c>
      <c r="M204">
        <f>IF($J204="","",INDEX(บันทึกรายเที่ยว!$R$6:$R$6005,$J204))</f>
        <v/>
      </c>
      <c r="N204">
        <f>IF($J204="","",MATCH($M204,บันทึกรายเที่ยว!$R$6:$R$6005,0))</f>
        <v/>
      </c>
      <c r="O204">
        <f>IF($J204="","",MATCH($L204,บันทึกรายเที่ยว!$S$6:$S$6005,0))</f>
        <v/>
      </c>
      <c r="P204">
        <f>IF($J204="","",IF(AND(OR($I$3="(ทั้งหมด)",INDEX(บันทึกรายเที่ยว!$C$6:$C$6005,$J204)=$I$3),OR($I$5="(ทั้งหมด)",INDEX(บันทึกรายเที่ยว!$D$6:$D$6005,$J204)=$I$5),OR($I$7="(ทั้งหมด)",INDEX(บันทึกรายเที่ยว!$F$6:$F$6005,$J204)=$I$7)),$N204*10000000+$O204*1000+197,""))</f>
        <v/>
      </c>
      <c r="Q204">
        <f>IFERROR(MATCH(SMALL($P$8:$P$407,197),$P$8:$P$407,0),"")</f>
        <v/>
      </c>
      <c r="R204">
        <f>IF($Q204="","",INDEX($J$8:$J$407,$Q204))</f>
        <v/>
      </c>
      <c r="S204">
        <f>IF($Q204="","",INDEX($M$8:$M$407,$Q204))</f>
        <v/>
      </c>
      <c r="T204">
        <f>IF($Q204="","",INDEX($L$8:$L$407,$Q204))</f>
        <v/>
      </c>
      <c r="U204">
        <f>IF($Q204="","",INDEX($K$8:$K$407,$Q204))</f>
        <v/>
      </c>
      <c r="V204">
        <f>IF($Q204="",0,IF($S204&lt;&gt;$S203,1,0))</f>
        <v/>
      </c>
      <c r="W204">
        <f>IF($Q204="",0,IF($T204&lt;&gt;$T203,1,0))</f>
        <v/>
      </c>
      <c r="X204">
        <f>IF($Q204="",99999+197,$X203+1+$V203+$W203)</f>
        <v/>
      </c>
      <c r="Y204">
        <f>IF($Q204="","",INDEX(บันทึกรายเที่ยว!$Q$6:$Q$6005,$R204))</f>
        <v/>
      </c>
      <c r="Z204">
        <f>IF($Q204="","",INDEX(บันทึกรายเที่ยว!$F$6:$F$6005,$R204))</f>
        <v/>
      </c>
      <c r="AA204">
        <f>IFERROR(MATCH(197,$X$8:$X$407,1),"")</f>
        <v/>
      </c>
      <c r="AB204">
        <f>IF(197=$AD$1+1,"G",IF($AA204="","",IF(INDEX($Q$8:$Q$407,$AA204)="","",IF(197&gt;INDEX($X$8:$X$407,$AA204)+INDEX($V$8:$V$407,$AA204)+INDEX($W$8:$W$407,$AA204),"",IF(197=INDEX($X$8:$X$407,$AA204)+INDEX($V$8:$V$407,$AA204)+INDEX($W$8:$W$407,$AA204),"D",IF(AND(INDEX($W$8:$W$407,$AA204)=1,197=INDEX($X$8:$X$407,$AA204)+INDEX($V$8:$V$407,$AA204)),"S","R"))))))</f>
        <v/>
      </c>
      <c r="AC204">
        <f>IF(OR($AB204="",$AB204="G"),"",IF($AB204="D",INDEX($U$8:$U$407,$AA204),IF($AB204="S",INDEX($T$8:$T$407,$AA204)&amp;"|*",INDEX($S$8:$S$407,$AA204)&amp;"|*")))</f>
        <v/>
      </c>
      <c r="AE204">
        <f>IF($U204="",0,COUNTIF(บันทึกรายเที่ยว!$T$6:$T$6005,$U204))</f>
        <v/>
      </c>
      <c r="AF204">
        <f>IF($U204="",0,ROUND(SUMIF(บันทึกรายเที่ยว!$T$6:$T$6005,$U204,บันทึกรายเที่ยว!$J$6:$J$6005),2))</f>
        <v/>
      </c>
      <c r="AG204">
        <f>IF($U204="",0,ROUND(SUMIF(บันทึกรายเที่ยว!$T$6:$T$6005,$U204,บันทึกรายเที่ยว!$K$6:$K$6005),2))</f>
        <v/>
      </c>
      <c r="AH204">
        <f>IF($U204="",0,ROUND(SUMIF(บันทึกรายเที่ยว!$T$6:$T$6005,$U204,บันทึกรายเที่ยว!$M$6:$M$6005),2))</f>
        <v/>
      </c>
    </row>
    <row r="205" ht="21" customHeight="1" s="66">
      <c r="A205" s="3">
        <f>IF($AB205="G","ผลรวมทั้งหมด",IF($AB205="R",INDEX($S$8:$S$407,$AA205),""))</f>
        <v/>
      </c>
      <c r="B205" s="3">
        <f>IF($AB205="S",INDEX($Y$8:$Y$407,$AA205),"")</f>
        <v/>
      </c>
      <c r="C205" s="68">
        <f>IF($AB205="D",INDEX($Z$8:$Z$407,$AA205),"")</f>
        <v/>
      </c>
      <c r="D205" s="31">
        <f>IF($AB205="G",SUM($AE$8:$AE$407),IF(OR($AB205="",$AB205="R"),"",IF($AB205="D",INDEX($AE$8:$AE$407,$AA205),SUMIF($T$8:$T$407,INDEX($T$8:$T$407,$AA205),$AE$8:$AE$407))))</f>
        <v/>
      </c>
      <c r="E205" s="32">
        <f>IF(198=$AD$1+3,"ขอแสดงความนับถือ",IF(198=$AD$1+6,"(                 )",IF(198=$AD$1+7,"เจ้าหน้าที่ขนส่ง",IF($AB205="G",SUM($AF$8:$AF$407),IF(OR($AB205="",$AB205="R"),"",IF($AB205="D",INDEX($AF$8:$AF$407,$AA205),SUMIF($T$8:$T$407,INDEX($T$8:$T$407,$AA205),$AF$8:$AF$407)))))))</f>
        <v/>
      </c>
      <c r="F205" s="32">
        <f>IF($AB205="G",SUM($AG$8:$AG$407),IF(OR($AB205="",$AB205="R"),"",IF($AB205="D",INDEX($AG$8:$AG$407,$AA205),SUMIF($T$8:$T$407,INDEX($T$8:$T$407,$AA205),$AG$8:$AG$407))))</f>
        <v/>
      </c>
      <c r="G205" s="32">
        <f>IF(OR($AB205="",$AB205="R"),"",ROUND($E205-$F205,2))</f>
        <v/>
      </c>
      <c r="H205" s="32">
        <f>IF($AB205="G",SUM($AH$8:$AH$407),IF(OR($AB205="",$AB205="R"),"",IF($AB205="D",INDEX($AH$8:$AH$407,$AA205),SUMIF($T$8:$T$407,INDEX($T$8:$T$407,$AA205),$AH$8:$AH$407))))</f>
        <v/>
      </c>
      <c r="J205">
        <f>IFERROR(MATCH(198,บันทึกรายเที่ยว!$W$6:$W$6005,0),"")</f>
        <v/>
      </c>
      <c r="K205">
        <f>IF($J205="","",INDEX(บันทึกรายเที่ยว!$T$6:$T$6005,$J205))</f>
        <v/>
      </c>
      <c r="L205">
        <f>IF($J205="","",INDEX(บันทึกรายเที่ยว!$S$6:$S$6005,$J205))</f>
        <v/>
      </c>
      <c r="M205">
        <f>IF($J205="","",INDEX(บันทึกรายเที่ยว!$R$6:$R$6005,$J205))</f>
        <v/>
      </c>
      <c r="N205">
        <f>IF($J205="","",MATCH($M205,บันทึกรายเที่ยว!$R$6:$R$6005,0))</f>
        <v/>
      </c>
      <c r="O205">
        <f>IF($J205="","",MATCH($L205,บันทึกรายเที่ยว!$S$6:$S$6005,0))</f>
        <v/>
      </c>
      <c r="P205">
        <f>IF($J205="","",IF(AND(OR($I$3="(ทั้งหมด)",INDEX(บันทึกรายเที่ยว!$C$6:$C$6005,$J205)=$I$3),OR($I$5="(ทั้งหมด)",INDEX(บันทึกรายเที่ยว!$D$6:$D$6005,$J205)=$I$5),OR($I$7="(ทั้งหมด)",INDEX(บันทึกรายเที่ยว!$F$6:$F$6005,$J205)=$I$7)),$N205*10000000+$O205*1000+198,""))</f>
        <v/>
      </c>
      <c r="Q205">
        <f>IFERROR(MATCH(SMALL($P$8:$P$407,198),$P$8:$P$407,0),"")</f>
        <v/>
      </c>
      <c r="R205">
        <f>IF($Q205="","",INDEX($J$8:$J$407,$Q205))</f>
        <v/>
      </c>
      <c r="S205">
        <f>IF($Q205="","",INDEX($M$8:$M$407,$Q205))</f>
        <v/>
      </c>
      <c r="T205">
        <f>IF($Q205="","",INDEX($L$8:$L$407,$Q205))</f>
        <v/>
      </c>
      <c r="U205">
        <f>IF($Q205="","",INDEX($K$8:$K$407,$Q205))</f>
        <v/>
      </c>
      <c r="V205">
        <f>IF($Q205="",0,IF($S205&lt;&gt;$S204,1,0))</f>
        <v/>
      </c>
      <c r="W205">
        <f>IF($Q205="",0,IF($T205&lt;&gt;$T204,1,0))</f>
        <v/>
      </c>
      <c r="X205">
        <f>IF($Q205="",99999+198,$X204+1+$V204+$W204)</f>
        <v/>
      </c>
      <c r="Y205">
        <f>IF($Q205="","",INDEX(บันทึกรายเที่ยว!$Q$6:$Q$6005,$R205))</f>
        <v/>
      </c>
      <c r="Z205">
        <f>IF($Q205="","",INDEX(บันทึกรายเที่ยว!$F$6:$F$6005,$R205))</f>
        <v/>
      </c>
      <c r="AA205">
        <f>IFERROR(MATCH(198,$X$8:$X$407,1),"")</f>
        <v/>
      </c>
      <c r="AB205">
        <f>IF(198=$AD$1+1,"G",IF($AA205="","",IF(INDEX($Q$8:$Q$407,$AA205)="","",IF(198&gt;INDEX($X$8:$X$407,$AA205)+INDEX($V$8:$V$407,$AA205)+INDEX($W$8:$W$407,$AA205),"",IF(198=INDEX($X$8:$X$407,$AA205)+INDEX($V$8:$V$407,$AA205)+INDEX($W$8:$W$407,$AA205),"D",IF(AND(INDEX($W$8:$W$407,$AA205)=1,198=INDEX($X$8:$X$407,$AA205)+INDEX($V$8:$V$407,$AA205)),"S","R"))))))</f>
        <v/>
      </c>
      <c r="AC205">
        <f>IF(OR($AB205="",$AB205="G"),"",IF($AB205="D",INDEX($U$8:$U$407,$AA205),IF($AB205="S",INDEX($T$8:$T$407,$AA205)&amp;"|*",INDEX($S$8:$S$407,$AA205)&amp;"|*")))</f>
        <v/>
      </c>
      <c r="AE205">
        <f>IF($U205="",0,COUNTIF(บันทึกรายเที่ยว!$T$6:$T$6005,$U205))</f>
        <v/>
      </c>
      <c r="AF205">
        <f>IF($U205="",0,ROUND(SUMIF(บันทึกรายเที่ยว!$T$6:$T$6005,$U205,บันทึกรายเที่ยว!$J$6:$J$6005),2))</f>
        <v/>
      </c>
      <c r="AG205">
        <f>IF($U205="",0,ROUND(SUMIF(บันทึกรายเที่ยว!$T$6:$T$6005,$U205,บันทึกรายเที่ยว!$K$6:$K$6005),2))</f>
        <v/>
      </c>
      <c r="AH205">
        <f>IF($U205="",0,ROUND(SUMIF(บันทึกรายเที่ยว!$T$6:$T$6005,$U205,บันทึกรายเที่ยว!$M$6:$M$6005),2))</f>
        <v/>
      </c>
    </row>
    <row r="206" ht="21" customHeight="1" s="66">
      <c r="A206" s="3">
        <f>IF($AB206="G","ผลรวมทั้งหมด",IF($AB206="R",INDEX($S$8:$S$407,$AA206),""))</f>
        <v/>
      </c>
      <c r="B206" s="3">
        <f>IF($AB206="S",INDEX($Y$8:$Y$407,$AA206),"")</f>
        <v/>
      </c>
      <c r="C206" s="68">
        <f>IF($AB206="D",INDEX($Z$8:$Z$407,$AA206),"")</f>
        <v/>
      </c>
      <c r="D206" s="31">
        <f>IF($AB206="G",SUM($AE$8:$AE$407),IF(OR($AB206="",$AB206="R"),"",IF($AB206="D",INDEX($AE$8:$AE$407,$AA206),SUMIF($T$8:$T$407,INDEX($T$8:$T$407,$AA206),$AE$8:$AE$407))))</f>
        <v/>
      </c>
      <c r="E206" s="32">
        <f>IF(199=$AD$1+3,"ขอแสดงความนับถือ",IF(199=$AD$1+6,"(                 )",IF(199=$AD$1+7,"เจ้าหน้าที่ขนส่ง",IF($AB206="G",SUM($AF$8:$AF$407),IF(OR($AB206="",$AB206="R"),"",IF($AB206="D",INDEX($AF$8:$AF$407,$AA206),SUMIF($T$8:$T$407,INDEX($T$8:$T$407,$AA206),$AF$8:$AF$407)))))))</f>
        <v/>
      </c>
      <c r="F206" s="32">
        <f>IF($AB206="G",SUM($AG$8:$AG$407),IF(OR($AB206="",$AB206="R"),"",IF($AB206="D",INDEX($AG$8:$AG$407,$AA206),SUMIF($T$8:$T$407,INDEX($T$8:$T$407,$AA206),$AG$8:$AG$407))))</f>
        <v/>
      </c>
      <c r="G206" s="32">
        <f>IF(OR($AB206="",$AB206="R"),"",ROUND($E206-$F206,2))</f>
        <v/>
      </c>
      <c r="H206" s="32">
        <f>IF($AB206="G",SUM($AH$8:$AH$407),IF(OR($AB206="",$AB206="R"),"",IF($AB206="D",INDEX($AH$8:$AH$407,$AA206),SUMIF($T$8:$T$407,INDEX($T$8:$T$407,$AA206),$AH$8:$AH$407))))</f>
        <v/>
      </c>
      <c r="J206">
        <f>IFERROR(MATCH(199,บันทึกรายเที่ยว!$W$6:$W$6005,0),"")</f>
        <v/>
      </c>
      <c r="K206">
        <f>IF($J206="","",INDEX(บันทึกรายเที่ยว!$T$6:$T$6005,$J206))</f>
        <v/>
      </c>
      <c r="L206">
        <f>IF($J206="","",INDEX(บันทึกรายเที่ยว!$S$6:$S$6005,$J206))</f>
        <v/>
      </c>
      <c r="M206">
        <f>IF($J206="","",INDEX(บันทึกรายเที่ยว!$R$6:$R$6005,$J206))</f>
        <v/>
      </c>
      <c r="N206">
        <f>IF($J206="","",MATCH($M206,บันทึกรายเที่ยว!$R$6:$R$6005,0))</f>
        <v/>
      </c>
      <c r="O206">
        <f>IF($J206="","",MATCH($L206,บันทึกรายเที่ยว!$S$6:$S$6005,0))</f>
        <v/>
      </c>
      <c r="P206">
        <f>IF($J206="","",IF(AND(OR($I$3="(ทั้งหมด)",INDEX(บันทึกรายเที่ยว!$C$6:$C$6005,$J206)=$I$3),OR($I$5="(ทั้งหมด)",INDEX(บันทึกรายเที่ยว!$D$6:$D$6005,$J206)=$I$5),OR($I$7="(ทั้งหมด)",INDEX(บันทึกรายเที่ยว!$F$6:$F$6005,$J206)=$I$7)),$N206*10000000+$O206*1000+199,""))</f>
        <v/>
      </c>
      <c r="Q206">
        <f>IFERROR(MATCH(SMALL($P$8:$P$407,199),$P$8:$P$407,0),"")</f>
        <v/>
      </c>
      <c r="R206">
        <f>IF($Q206="","",INDEX($J$8:$J$407,$Q206))</f>
        <v/>
      </c>
      <c r="S206">
        <f>IF($Q206="","",INDEX($M$8:$M$407,$Q206))</f>
        <v/>
      </c>
      <c r="T206">
        <f>IF($Q206="","",INDEX($L$8:$L$407,$Q206))</f>
        <v/>
      </c>
      <c r="U206">
        <f>IF($Q206="","",INDEX($K$8:$K$407,$Q206))</f>
        <v/>
      </c>
      <c r="V206">
        <f>IF($Q206="",0,IF($S206&lt;&gt;$S205,1,0))</f>
        <v/>
      </c>
      <c r="W206">
        <f>IF($Q206="",0,IF($T206&lt;&gt;$T205,1,0))</f>
        <v/>
      </c>
      <c r="X206">
        <f>IF($Q206="",99999+199,$X205+1+$V205+$W205)</f>
        <v/>
      </c>
      <c r="Y206">
        <f>IF($Q206="","",INDEX(บันทึกรายเที่ยว!$Q$6:$Q$6005,$R206))</f>
        <v/>
      </c>
      <c r="Z206">
        <f>IF($Q206="","",INDEX(บันทึกรายเที่ยว!$F$6:$F$6005,$R206))</f>
        <v/>
      </c>
      <c r="AA206">
        <f>IFERROR(MATCH(199,$X$8:$X$407,1),"")</f>
        <v/>
      </c>
      <c r="AB206">
        <f>IF(199=$AD$1+1,"G",IF($AA206="","",IF(INDEX($Q$8:$Q$407,$AA206)="","",IF(199&gt;INDEX($X$8:$X$407,$AA206)+INDEX($V$8:$V$407,$AA206)+INDEX($W$8:$W$407,$AA206),"",IF(199=INDEX($X$8:$X$407,$AA206)+INDEX($V$8:$V$407,$AA206)+INDEX($W$8:$W$407,$AA206),"D",IF(AND(INDEX($W$8:$W$407,$AA206)=1,199=INDEX($X$8:$X$407,$AA206)+INDEX($V$8:$V$407,$AA206)),"S","R"))))))</f>
        <v/>
      </c>
      <c r="AC206">
        <f>IF(OR($AB206="",$AB206="G"),"",IF($AB206="D",INDEX($U$8:$U$407,$AA206),IF($AB206="S",INDEX($T$8:$T$407,$AA206)&amp;"|*",INDEX($S$8:$S$407,$AA206)&amp;"|*")))</f>
        <v/>
      </c>
      <c r="AE206">
        <f>IF($U206="",0,COUNTIF(บันทึกรายเที่ยว!$T$6:$T$6005,$U206))</f>
        <v/>
      </c>
      <c r="AF206">
        <f>IF($U206="",0,ROUND(SUMIF(บันทึกรายเที่ยว!$T$6:$T$6005,$U206,บันทึกรายเที่ยว!$J$6:$J$6005),2))</f>
        <v/>
      </c>
      <c r="AG206">
        <f>IF($U206="",0,ROUND(SUMIF(บันทึกรายเที่ยว!$T$6:$T$6005,$U206,บันทึกรายเที่ยว!$K$6:$K$6005),2))</f>
        <v/>
      </c>
      <c r="AH206">
        <f>IF($U206="",0,ROUND(SUMIF(บันทึกรายเที่ยว!$T$6:$T$6005,$U206,บันทึกรายเที่ยว!$M$6:$M$6005),2))</f>
        <v/>
      </c>
    </row>
    <row r="207" ht="21" customHeight="1" s="66">
      <c r="A207" s="3">
        <f>IF($AB207="G","ผลรวมทั้งหมด",IF($AB207="R",INDEX($S$8:$S$407,$AA207),""))</f>
        <v/>
      </c>
      <c r="B207" s="3">
        <f>IF($AB207="S",INDEX($Y$8:$Y$407,$AA207),"")</f>
        <v/>
      </c>
      <c r="C207" s="68">
        <f>IF($AB207="D",INDEX($Z$8:$Z$407,$AA207),"")</f>
        <v/>
      </c>
      <c r="D207" s="31">
        <f>IF($AB207="G",SUM($AE$8:$AE$407),IF(OR($AB207="",$AB207="R"),"",IF($AB207="D",INDEX($AE$8:$AE$407,$AA207),SUMIF($T$8:$T$407,INDEX($T$8:$T$407,$AA207),$AE$8:$AE$407))))</f>
        <v/>
      </c>
      <c r="E207" s="32">
        <f>IF(200=$AD$1+3,"ขอแสดงความนับถือ",IF(200=$AD$1+6,"(                 )",IF(200=$AD$1+7,"เจ้าหน้าที่ขนส่ง",IF($AB207="G",SUM($AF$8:$AF$407),IF(OR($AB207="",$AB207="R"),"",IF($AB207="D",INDEX($AF$8:$AF$407,$AA207),SUMIF($T$8:$T$407,INDEX($T$8:$T$407,$AA207),$AF$8:$AF$407)))))))</f>
        <v/>
      </c>
      <c r="F207" s="32">
        <f>IF($AB207="G",SUM($AG$8:$AG$407),IF(OR($AB207="",$AB207="R"),"",IF($AB207="D",INDEX($AG$8:$AG$407,$AA207),SUMIF($T$8:$T$407,INDEX($T$8:$T$407,$AA207),$AG$8:$AG$407))))</f>
        <v/>
      </c>
      <c r="G207" s="32">
        <f>IF(OR($AB207="",$AB207="R"),"",ROUND($E207-$F207,2))</f>
        <v/>
      </c>
      <c r="H207" s="32">
        <f>IF($AB207="G",SUM($AH$8:$AH$407),IF(OR($AB207="",$AB207="R"),"",IF($AB207="D",INDEX($AH$8:$AH$407,$AA207),SUMIF($T$8:$T$407,INDEX($T$8:$T$407,$AA207),$AH$8:$AH$407))))</f>
        <v/>
      </c>
      <c r="J207">
        <f>IFERROR(MATCH(200,บันทึกรายเที่ยว!$W$6:$W$6005,0),"")</f>
        <v/>
      </c>
      <c r="K207">
        <f>IF($J207="","",INDEX(บันทึกรายเที่ยว!$T$6:$T$6005,$J207))</f>
        <v/>
      </c>
      <c r="L207">
        <f>IF($J207="","",INDEX(บันทึกรายเที่ยว!$S$6:$S$6005,$J207))</f>
        <v/>
      </c>
      <c r="M207">
        <f>IF($J207="","",INDEX(บันทึกรายเที่ยว!$R$6:$R$6005,$J207))</f>
        <v/>
      </c>
      <c r="N207">
        <f>IF($J207="","",MATCH($M207,บันทึกรายเที่ยว!$R$6:$R$6005,0))</f>
        <v/>
      </c>
      <c r="O207">
        <f>IF($J207="","",MATCH($L207,บันทึกรายเที่ยว!$S$6:$S$6005,0))</f>
        <v/>
      </c>
      <c r="P207">
        <f>IF($J207="","",IF(AND(OR($I$3="(ทั้งหมด)",INDEX(บันทึกรายเที่ยว!$C$6:$C$6005,$J207)=$I$3),OR($I$5="(ทั้งหมด)",INDEX(บันทึกรายเที่ยว!$D$6:$D$6005,$J207)=$I$5),OR($I$7="(ทั้งหมด)",INDEX(บันทึกรายเที่ยว!$F$6:$F$6005,$J207)=$I$7)),$N207*10000000+$O207*1000+200,""))</f>
        <v/>
      </c>
      <c r="Q207">
        <f>IFERROR(MATCH(SMALL($P$8:$P$407,200),$P$8:$P$407,0),"")</f>
        <v/>
      </c>
      <c r="R207">
        <f>IF($Q207="","",INDEX($J$8:$J$407,$Q207))</f>
        <v/>
      </c>
      <c r="S207">
        <f>IF($Q207="","",INDEX($M$8:$M$407,$Q207))</f>
        <v/>
      </c>
      <c r="T207">
        <f>IF($Q207="","",INDEX($L$8:$L$407,$Q207))</f>
        <v/>
      </c>
      <c r="U207">
        <f>IF($Q207="","",INDEX($K$8:$K$407,$Q207))</f>
        <v/>
      </c>
      <c r="V207">
        <f>IF($Q207="",0,IF($S207&lt;&gt;$S206,1,0))</f>
        <v/>
      </c>
      <c r="W207">
        <f>IF($Q207="",0,IF($T207&lt;&gt;$T206,1,0))</f>
        <v/>
      </c>
      <c r="X207">
        <f>IF($Q207="",99999+200,$X206+1+$V206+$W206)</f>
        <v/>
      </c>
      <c r="Y207">
        <f>IF($Q207="","",INDEX(บันทึกรายเที่ยว!$Q$6:$Q$6005,$R207))</f>
        <v/>
      </c>
      <c r="Z207">
        <f>IF($Q207="","",INDEX(บันทึกรายเที่ยว!$F$6:$F$6005,$R207))</f>
        <v/>
      </c>
      <c r="AA207">
        <f>IFERROR(MATCH(200,$X$8:$X$407,1),"")</f>
        <v/>
      </c>
      <c r="AB207">
        <f>IF(200=$AD$1+1,"G",IF($AA207="","",IF(INDEX($Q$8:$Q$407,$AA207)="","",IF(200&gt;INDEX($X$8:$X$407,$AA207)+INDEX($V$8:$V$407,$AA207)+INDEX($W$8:$W$407,$AA207),"",IF(200=INDEX($X$8:$X$407,$AA207)+INDEX($V$8:$V$407,$AA207)+INDEX($W$8:$W$407,$AA207),"D",IF(AND(INDEX($W$8:$W$407,$AA207)=1,200=INDEX($X$8:$X$407,$AA207)+INDEX($V$8:$V$407,$AA207)),"S","R"))))))</f>
        <v/>
      </c>
      <c r="AC207">
        <f>IF(OR($AB207="",$AB207="G"),"",IF($AB207="D",INDEX($U$8:$U$407,$AA207),IF($AB207="S",INDEX($T$8:$T$407,$AA207)&amp;"|*",INDEX($S$8:$S$407,$AA207)&amp;"|*")))</f>
        <v/>
      </c>
      <c r="AE207">
        <f>IF($U207="",0,COUNTIF(บันทึกรายเที่ยว!$T$6:$T$6005,$U207))</f>
        <v/>
      </c>
      <c r="AF207">
        <f>IF($U207="",0,ROUND(SUMIF(บันทึกรายเที่ยว!$T$6:$T$6005,$U207,บันทึกรายเที่ยว!$J$6:$J$6005),2))</f>
        <v/>
      </c>
      <c r="AG207">
        <f>IF($U207="",0,ROUND(SUMIF(บันทึกรายเที่ยว!$T$6:$T$6005,$U207,บันทึกรายเที่ยว!$K$6:$K$6005),2))</f>
        <v/>
      </c>
      <c r="AH207">
        <f>IF($U207="",0,ROUND(SUMIF(บันทึกรายเที่ยว!$T$6:$T$6005,$U207,บันทึกรายเที่ยว!$M$6:$M$6005),2))</f>
        <v/>
      </c>
    </row>
    <row r="208" ht="21" customHeight="1" s="66">
      <c r="A208" s="3">
        <f>IF($AB208="G","ผลรวมทั้งหมด",IF($AB208="R",INDEX($S$8:$S$407,$AA208),""))</f>
        <v/>
      </c>
      <c r="B208" s="3">
        <f>IF($AB208="S",INDEX($Y$8:$Y$407,$AA208),"")</f>
        <v/>
      </c>
      <c r="C208" s="68">
        <f>IF($AB208="D",INDEX($Z$8:$Z$407,$AA208),"")</f>
        <v/>
      </c>
      <c r="D208" s="31">
        <f>IF($AB208="G",SUM($AE$8:$AE$407),IF(OR($AB208="",$AB208="R"),"",IF($AB208="D",INDEX($AE$8:$AE$407,$AA208),SUMIF($T$8:$T$407,INDEX($T$8:$T$407,$AA208),$AE$8:$AE$407))))</f>
        <v/>
      </c>
      <c r="E208" s="32">
        <f>IF(201=$AD$1+3,"ขอแสดงความนับถือ",IF(201=$AD$1+6,"(                 )",IF(201=$AD$1+7,"เจ้าหน้าที่ขนส่ง",IF($AB208="G",SUM($AF$8:$AF$407),IF(OR($AB208="",$AB208="R"),"",IF($AB208="D",INDEX($AF$8:$AF$407,$AA208),SUMIF($T$8:$T$407,INDEX($T$8:$T$407,$AA208),$AF$8:$AF$407)))))))</f>
        <v/>
      </c>
      <c r="F208" s="32">
        <f>IF($AB208="G",SUM($AG$8:$AG$407),IF(OR($AB208="",$AB208="R"),"",IF($AB208="D",INDEX($AG$8:$AG$407,$AA208),SUMIF($T$8:$T$407,INDEX($T$8:$T$407,$AA208),$AG$8:$AG$407))))</f>
        <v/>
      </c>
      <c r="G208" s="32">
        <f>IF(OR($AB208="",$AB208="R"),"",ROUND($E208-$F208,2))</f>
        <v/>
      </c>
      <c r="H208" s="32">
        <f>IF($AB208="G",SUM($AH$8:$AH$407),IF(OR($AB208="",$AB208="R"),"",IF($AB208="D",INDEX($AH$8:$AH$407,$AA208),SUMIF($T$8:$T$407,INDEX($T$8:$T$407,$AA208),$AH$8:$AH$407))))</f>
        <v/>
      </c>
      <c r="J208">
        <f>IFERROR(MATCH(201,บันทึกรายเที่ยว!$W$6:$W$6005,0),"")</f>
        <v/>
      </c>
      <c r="K208">
        <f>IF($J208="","",INDEX(บันทึกรายเที่ยว!$T$6:$T$6005,$J208))</f>
        <v/>
      </c>
      <c r="L208">
        <f>IF($J208="","",INDEX(บันทึกรายเที่ยว!$S$6:$S$6005,$J208))</f>
        <v/>
      </c>
      <c r="M208">
        <f>IF($J208="","",INDEX(บันทึกรายเที่ยว!$R$6:$R$6005,$J208))</f>
        <v/>
      </c>
      <c r="N208">
        <f>IF($J208="","",MATCH($M208,บันทึกรายเที่ยว!$R$6:$R$6005,0))</f>
        <v/>
      </c>
      <c r="O208">
        <f>IF($J208="","",MATCH($L208,บันทึกรายเที่ยว!$S$6:$S$6005,0))</f>
        <v/>
      </c>
      <c r="P208">
        <f>IF($J208="","",IF(AND(OR($I$3="(ทั้งหมด)",INDEX(บันทึกรายเที่ยว!$C$6:$C$6005,$J208)=$I$3),OR($I$5="(ทั้งหมด)",INDEX(บันทึกรายเที่ยว!$D$6:$D$6005,$J208)=$I$5),OR($I$7="(ทั้งหมด)",INDEX(บันทึกรายเที่ยว!$F$6:$F$6005,$J208)=$I$7)),$N208*10000000+$O208*1000+201,""))</f>
        <v/>
      </c>
      <c r="Q208">
        <f>IFERROR(MATCH(SMALL($P$8:$P$407,201),$P$8:$P$407,0),"")</f>
        <v/>
      </c>
      <c r="R208">
        <f>IF($Q208="","",INDEX($J$8:$J$407,$Q208))</f>
        <v/>
      </c>
      <c r="S208">
        <f>IF($Q208="","",INDEX($M$8:$M$407,$Q208))</f>
        <v/>
      </c>
      <c r="T208">
        <f>IF($Q208="","",INDEX($L$8:$L$407,$Q208))</f>
        <v/>
      </c>
      <c r="U208">
        <f>IF($Q208="","",INDEX($K$8:$K$407,$Q208))</f>
        <v/>
      </c>
      <c r="V208">
        <f>IF($Q208="",0,IF($S208&lt;&gt;$S207,1,0))</f>
        <v/>
      </c>
      <c r="W208">
        <f>IF($Q208="",0,IF($T208&lt;&gt;$T207,1,0))</f>
        <v/>
      </c>
      <c r="X208">
        <f>IF($Q208="",99999+201,$X207+1+$V207+$W207)</f>
        <v/>
      </c>
      <c r="Y208">
        <f>IF($Q208="","",INDEX(บันทึกรายเที่ยว!$Q$6:$Q$6005,$R208))</f>
        <v/>
      </c>
      <c r="Z208">
        <f>IF($Q208="","",INDEX(บันทึกรายเที่ยว!$F$6:$F$6005,$R208))</f>
        <v/>
      </c>
      <c r="AA208">
        <f>IFERROR(MATCH(201,$X$8:$X$407,1),"")</f>
        <v/>
      </c>
      <c r="AB208">
        <f>IF(201=$AD$1+1,"G",IF($AA208="","",IF(INDEX($Q$8:$Q$407,$AA208)="","",IF(201&gt;INDEX($X$8:$X$407,$AA208)+INDEX($V$8:$V$407,$AA208)+INDEX($W$8:$W$407,$AA208),"",IF(201=INDEX($X$8:$X$407,$AA208)+INDEX($V$8:$V$407,$AA208)+INDEX($W$8:$W$407,$AA208),"D",IF(AND(INDEX($W$8:$W$407,$AA208)=1,201=INDEX($X$8:$X$407,$AA208)+INDEX($V$8:$V$407,$AA208)),"S","R"))))))</f>
        <v/>
      </c>
      <c r="AC208">
        <f>IF(OR($AB208="",$AB208="G"),"",IF($AB208="D",INDEX($U$8:$U$407,$AA208),IF($AB208="S",INDEX($T$8:$T$407,$AA208)&amp;"|*",INDEX($S$8:$S$407,$AA208)&amp;"|*")))</f>
        <v/>
      </c>
      <c r="AE208">
        <f>IF($U208="",0,COUNTIF(บันทึกรายเที่ยว!$T$6:$T$6005,$U208))</f>
        <v/>
      </c>
      <c r="AF208">
        <f>IF($U208="",0,ROUND(SUMIF(บันทึกรายเที่ยว!$T$6:$T$6005,$U208,บันทึกรายเที่ยว!$J$6:$J$6005),2))</f>
        <v/>
      </c>
      <c r="AG208">
        <f>IF($U208="",0,ROUND(SUMIF(บันทึกรายเที่ยว!$T$6:$T$6005,$U208,บันทึกรายเที่ยว!$K$6:$K$6005),2))</f>
        <v/>
      </c>
      <c r="AH208">
        <f>IF($U208="",0,ROUND(SUMIF(บันทึกรายเที่ยว!$T$6:$T$6005,$U208,บันทึกรายเที่ยว!$M$6:$M$6005),2))</f>
        <v/>
      </c>
    </row>
    <row r="209" ht="21" customHeight="1" s="66">
      <c r="A209" s="3">
        <f>IF($AB209="G","ผลรวมทั้งหมด",IF($AB209="R",INDEX($S$8:$S$407,$AA209),""))</f>
        <v/>
      </c>
      <c r="B209" s="3">
        <f>IF($AB209="S",INDEX($Y$8:$Y$407,$AA209),"")</f>
        <v/>
      </c>
      <c r="C209" s="68">
        <f>IF($AB209="D",INDEX($Z$8:$Z$407,$AA209),"")</f>
        <v/>
      </c>
      <c r="D209" s="31">
        <f>IF($AB209="G",SUM($AE$8:$AE$407),IF(OR($AB209="",$AB209="R"),"",IF($AB209="D",INDEX($AE$8:$AE$407,$AA209),SUMIF($T$8:$T$407,INDEX($T$8:$T$407,$AA209),$AE$8:$AE$407))))</f>
        <v/>
      </c>
      <c r="E209" s="32">
        <f>IF(202=$AD$1+3,"ขอแสดงความนับถือ",IF(202=$AD$1+6,"(                 )",IF(202=$AD$1+7,"เจ้าหน้าที่ขนส่ง",IF($AB209="G",SUM($AF$8:$AF$407),IF(OR($AB209="",$AB209="R"),"",IF($AB209="D",INDEX($AF$8:$AF$407,$AA209),SUMIF($T$8:$T$407,INDEX($T$8:$T$407,$AA209),$AF$8:$AF$407)))))))</f>
        <v/>
      </c>
      <c r="F209" s="32">
        <f>IF($AB209="G",SUM($AG$8:$AG$407),IF(OR($AB209="",$AB209="R"),"",IF($AB209="D",INDEX($AG$8:$AG$407,$AA209),SUMIF($T$8:$T$407,INDEX($T$8:$T$407,$AA209),$AG$8:$AG$407))))</f>
        <v/>
      </c>
      <c r="G209" s="32">
        <f>IF(OR($AB209="",$AB209="R"),"",ROUND($E209-$F209,2))</f>
        <v/>
      </c>
      <c r="H209" s="32">
        <f>IF($AB209="G",SUM($AH$8:$AH$407),IF(OR($AB209="",$AB209="R"),"",IF($AB209="D",INDEX($AH$8:$AH$407,$AA209),SUMIF($T$8:$T$407,INDEX($T$8:$T$407,$AA209),$AH$8:$AH$407))))</f>
        <v/>
      </c>
      <c r="J209">
        <f>IFERROR(MATCH(202,บันทึกรายเที่ยว!$W$6:$W$6005,0),"")</f>
        <v/>
      </c>
      <c r="K209">
        <f>IF($J209="","",INDEX(บันทึกรายเที่ยว!$T$6:$T$6005,$J209))</f>
        <v/>
      </c>
      <c r="L209">
        <f>IF($J209="","",INDEX(บันทึกรายเที่ยว!$S$6:$S$6005,$J209))</f>
        <v/>
      </c>
      <c r="M209">
        <f>IF($J209="","",INDEX(บันทึกรายเที่ยว!$R$6:$R$6005,$J209))</f>
        <v/>
      </c>
      <c r="N209">
        <f>IF($J209="","",MATCH($M209,บันทึกรายเที่ยว!$R$6:$R$6005,0))</f>
        <v/>
      </c>
      <c r="O209">
        <f>IF($J209="","",MATCH($L209,บันทึกรายเที่ยว!$S$6:$S$6005,0))</f>
        <v/>
      </c>
      <c r="P209">
        <f>IF($J209="","",IF(AND(OR($I$3="(ทั้งหมด)",INDEX(บันทึกรายเที่ยว!$C$6:$C$6005,$J209)=$I$3),OR($I$5="(ทั้งหมด)",INDEX(บันทึกรายเที่ยว!$D$6:$D$6005,$J209)=$I$5),OR($I$7="(ทั้งหมด)",INDEX(บันทึกรายเที่ยว!$F$6:$F$6005,$J209)=$I$7)),$N209*10000000+$O209*1000+202,""))</f>
        <v/>
      </c>
      <c r="Q209">
        <f>IFERROR(MATCH(SMALL($P$8:$P$407,202),$P$8:$P$407,0),"")</f>
        <v/>
      </c>
      <c r="R209">
        <f>IF($Q209="","",INDEX($J$8:$J$407,$Q209))</f>
        <v/>
      </c>
      <c r="S209">
        <f>IF($Q209="","",INDEX($M$8:$M$407,$Q209))</f>
        <v/>
      </c>
      <c r="T209">
        <f>IF($Q209="","",INDEX($L$8:$L$407,$Q209))</f>
        <v/>
      </c>
      <c r="U209">
        <f>IF($Q209="","",INDEX($K$8:$K$407,$Q209))</f>
        <v/>
      </c>
      <c r="V209">
        <f>IF($Q209="",0,IF($S209&lt;&gt;$S208,1,0))</f>
        <v/>
      </c>
      <c r="W209">
        <f>IF($Q209="",0,IF($T209&lt;&gt;$T208,1,0))</f>
        <v/>
      </c>
      <c r="X209">
        <f>IF($Q209="",99999+202,$X208+1+$V208+$W208)</f>
        <v/>
      </c>
      <c r="Y209">
        <f>IF($Q209="","",INDEX(บันทึกรายเที่ยว!$Q$6:$Q$6005,$R209))</f>
        <v/>
      </c>
      <c r="Z209">
        <f>IF($Q209="","",INDEX(บันทึกรายเที่ยว!$F$6:$F$6005,$R209))</f>
        <v/>
      </c>
      <c r="AA209">
        <f>IFERROR(MATCH(202,$X$8:$X$407,1),"")</f>
        <v/>
      </c>
      <c r="AB209">
        <f>IF(202=$AD$1+1,"G",IF($AA209="","",IF(INDEX($Q$8:$Q$407,$AA209)="","",IF(202&gt;INDEX($X$8:$X$407,$AA209)+INDEX($V$8:$V$407,$AA209)+INDEX($W$8:$W$407,$AA209),"",IF(202=INDEX($X$8:$X$407,$AA209)+INDEX($V$8:$V$407,$AA209)+INDEX($W$8:$W$407,$AA209),"D",IF(AND(INDEX($W$8:$W$407,$AA209)=1,202=INDEX($X$8:$X$407,$AA209)+INDEX($V$8:$V$407,$AA209)),"S","R"))))))</f>
        <v/>
      </c>
      <c r="AC209">
        <f>IF(OR($AB209="",$AB209="G"),"",IF($AB209="D",INDEX($U$8:$U$407,$AA209),IF($AB209="S",INDEX($T$8:$T$407,$AA209)&amp;"|*",INDEX($S$8:$S$407,$AA209)&amp;"|*")))</f>
        <v/>
      </c>
      <c r="AE209">
        <f>IF($U209="",0,COUNTIF(บันทึกรายเที่ยว!$T$6:$T$6005,$U209))</f>
        <v/>
      </c>
      <c r="AF209">
        <f>IF($U209="",0,ROUND(SUMIF(บันทึกรายเที่ยว!$T$6:$T$6005,$U209,บันทึกรายเที่ยว!$J$6:$J$6005),2))</f>
        <v/>
      </c>
      <c r="AG209">
        <f>IF($U209="",0,ROUND(SUMIF(บันทึกรายเที่ยว!$T$6:$T$6005,$U209,บันทึกรายเที่ยว!$K$6:$K$6005),2))</f>
        <v/>
      </c>
      <c r="AH209">
        <f>IF($U209="",0,ROUND(SUMIF(บันทึกรายเที่ยว!$T$6:$T$6005,$U209,บันทึกรายเที่ยว!$M$6:$M$6005),2))</f>
        <v/>
      </c>
    </row>
    <row r="210" ht="21" customHeight="1" s="66">
      <c r="A210" s="3">
        <f>IF($AB210="G","ผลรวมทั้งหมด",IF($AB210="R",INDEX($S$8:$S$407,$AA210),""))</f>
        <v/>
      </c>
      <c r="B210" s="3">
        <f>IF($AB210="S",INDEX($Y$8:$Y$407,$AA210),"")</f>
        <v/>
      </c>
      <c r="C210" s="68">
        <f>IF($AB210="D",INDEX($Z$8:$Z$407,$AA210),"")</f>
        <v/>
      </c>
      <c r="D210" s="31">
        <f>IF($AB210="G",SUM($AE$8:$AE$407),IF(OR($AB210="",$AB210="R"),"",IF($AB210="D",INDEX($AE$8:$AE$407,$AA210),SUMIF($T$8:$T$407,INDEX($T$8:$T$407,$AA210),$AE$8:$AE$407))))</f>
        <v/>
      </c>
      <c r="E210" s="32">
        <f>IF(203=$AD$1+3,"ขอแสดงความนับถือ",IF(203=$AD$1+6,"(                 )",IF(203=$AD$1+7,"เจ้าหน้าที่ขนส่ง",IF($AB210="G",SUM($AF$8:$AF$407),IF(OR($AB210="",$AB210="R"),"",IF($AB210="D",INDEX($AF$8:$AF$407,$AA210),SUMIF($T$8:$T$407,INDEX($T$8:$T$407,$AA210),$AF$8:$AF$407)))))))</f>
        <v/>
      </c>
      <c r="F210" s="32">
        <f>IF($AB210="G",SUM($AG$8:$AG$407),IF(OR($AB210="",$AB210="R"),"",IF($AB210="D",INDEX($AG$8:$AG$407,$AA210),SUMIF($T$8:$T$407,INDEX($T$8:$T$407,$AA210),$AG$8:$AG$407))))</f>
        <v/>
      </c>
      <c r="G210" s="32">
        <f>IF(OR($AB210="",$AB210="R"),"",ROUND($E210-$F210,2))</f>
        <v/>
      </c>
      <c r="H210" s="32">
        <f>IF($AB210="G",SUM($AH$8:$AH$407),IF(OR($AB210="",$AB210="R"),"",IF($AB210="D",INDEX($AH$8:$AH$407,$AA210),SUMIF($T$8:$T$407,INDEX($T$8:$T$407,$AA210),$AH$8:$AH$407))))</f>
        <v/>
      </c>
      <c r="J210">
        <f>IFERROR(MATCH(203,บันทึกรายเที่ยว!$W$6:$W$6005,0),"")</f>
        <v/>
      </c>
      <c r="K210">
        <f>IF($J210="","",INDEX(บันทึกรายเที่ยว!$T$6:$T$6005,$J210))</f>
        <v/>
      </c>
      <c r="L210">
        <f>IF($J210="","",INDEX(บันทึกรายเที่ยว!$S$6:$S$6005,$J210))</f>
        <v/>
      </c>
      <c r="M210">
        <f>IF($J210="","",INDEX(บันทึกรายเที่ยว!$R$6:$R$6005,$J210))</f>
        <v/>
      </c>
      <c r="N210">
        <f>IF($J210="","",MATCH($M210,บันทึกรายเที่ยว!$R$6:$R$6005,0))</f>
        <v/>
      </c>
      <c r="O210">
        <f>IF($J210="","",MATCH($L210,บันทึกรายเที่ยว!$S$6:$S$6005,0))</f>
        <v/>
      </c>
      <c r="P210">
        <f>IF($J210="","",IF(AND(OR($I$3="(ทั้งหมด)",INDEX(บันทึกรายเที่ยว!$C$6:$C$6005,$J210)=$I$3),OR($I$5="(ทั้งหมด)",INDEX(บันทึกรายเที่ยว!$D$6:$D$6005,$J210)=$I$5),OR($I$7="(ทั้งหมด)",INDEX(บันทึกรายเที่ยว!$F$6:$F$6005,$J210)=$I$7)),$N210*10000000+$O210*1000+203,""))</f>
        <v/>
      </c>
      <c r="Q210">
        <f>IFERROR(MATCH(SMALL($P$8:$P$407,203),$P$8:$P$407,0),"")</f>
        <v/>
      </c>
      <c r="R210">
        <f>IF($Q210="","",INDEX($J$8:$J$407,$Q210))</f>
        <v/>
      </c>
      <c r="S210">
        <f>IF($Q210="","",INDEX($M$8:$M$407,$Q210))</f>
        <v/>
      </c>
      <c r="T210">
        <f>IF($Q210="","",INDEX($L$8:$L$407,$Q210))</f>
        <v/>
      </c>
      <c r="U210">
        <f>IF($Q210="","",INDEX($K$8:$K$407,$Q210))</f>
        <v/>
      </c>
      <c r="V210">
        <f>IF($Q210="",0,IF($S210&lt;&gt;$S209,1,0))</f>
        <v/>
      </c>
      <c r="W210">
        <f>IF($Q210="",0,IF($T210&lt;&gt;$T209,1,0))</f>
        <v/>
      </c>
      <c r="X210">
        <f>IF($Q210="",99999+203,$X209+1+$V209+$W209)</f>
        <v/>
      </c>
      <c r="Y210">
        <f>IF($Q210="","",INDEX(บันทึกรายเที่ยว!$Q$6:$Q$6005,$R210))</f>
        <v/>
      </c>
      <c r="Z210">
        <f>IF($Q210="","",INDEX(บันทึกรายเที่ยว!$F$6:$F$6005,$R210))</f>
        <v/>
      </c>
      <c r="AA210">
        <f>IFERROR(MATCH(203,$X$8:$X$407,1),"")</f>
        <v/>
      </c>
      <c r="AB210">
        <f>IF(203=$AD$1+1,"G",IF($AA210="","",IF(INDEX($Q$8:$Q$407,$AA210)="","",IF(203&gt;INDEX($X$8:$X$407,$AA210)+INDEX($V$8:$V$407,$AA210)+INDEX($W$8:$W$407,$AA210),"",IF(203=INDEX($X$8:$X$407,$AA210)+INDEX($V$8:$V$407,$AA210)+INDEX($W$8:$W$407,$AA210),"D",IF(AND(INDEX($W$8:$W$407,$AA210)=1,203=INDEX($X$8:$X$407,$AA210)+INDEX($V$8:$V$407,$AA210)),"S","R"))))))</f>
        <v/>
      </c>
      <c r="AC210">
        <f>IF(OR($AB210="",$AB210="G"),"",IF($AB210="D",INDEX($U$8:$U$407,$AA210),IF($AB210="S",INDEX($T$8:$T$407,$AA210)&amp;"|*",INDEX($S$8:$S$407,$AA210)&amp;"|*")))</f>
        <v/>
      </c>
      <c r="AE210">
        <f>IF($U210="",0,COUNTIF(บันทึกรายเที่ยว!$T$6:$T$6005,$U210))</f>
        <v/>
      </c>
      <c r="AF210">
        <f>IF($U210="",0,ROUND(SUMIF(บันทึกรายเที่ยว!$T$6:$T$6005,$U210,บันทึกรายเที่ยว!$J$6:$J$6005),2))</f>
        <v/>
      </c>
      <c r="AG210">
        <f>IF($U210="",0,ROUND(SUMIF(บันทึกรายเที่ยว!$T$6:$T$6005,$U210,บันทึกรายเที่ยว!$K$6:$K$6005),2))</f>
        <v/>
      </c>
      <c r="AH210">
        <f>IF($U210="",0,ROUND(SUMIF(บันทึกรายเที่ยว!$T$6:$T$6005,$U210,บันทึกรายเที่ยว!$M$6:$M$6005),2))</f>
        <v/>
      </c>
    </row>
    <row r="211" ht="21" customHeight="1" s="66">
      <c r="A211" s="3">
        <f>IF($AB211="G","ผลรวมทั้งหมด",IF($AB211="R",INDEX($S$8:$S$407,$AA211),""))</f>
        <v/>
      </c>
      <c r="B211" s="3">
        <f>IF($AB211="S",INDEX($Y$8:$Y$407,$AA211),"")</f>
        <v/>
      </c>
      <c r="C211" s="68">
        <f>IF($AB211="D",INDEX($Z$8:$Z$407,$AA211),"")</f>
        <v/>
      </c>
      <c r="D211" s="31">
        <f>IF($AB211="G",SUM($AE$8:$AE$407),IF(OR($AB211="",$AB211="R"),"",IF($AB211="D",INDEX($AE$8:$AE$407,$AA211),SUMIF($T$8:$T$407,INDEX($T$8:$T$407,$AA211),$AE$8:$AE$407))))</f>
        <v/>
      </c>
      <c r="E211" s="32">
        <f>IF(204=$AD$1+3,"ขอแสดงความนับถือ",IF(204=$AD$1+6,"(                 )",IF(204=$AD$1+7,"เจ้าหน้าที่ขนส่ง",IF($AB211="G",SUM($AF$8:$AF$407),IF(OR($AB211="",$AB211="R"),"",IF($AB211="D",INDEX($AF$8:$AF$407,$AA211),SUMIF($T$8:$T$407,INDEX($T$8:$T$407,$AA211),$AF$8:$AF$407)))))))</f>
        <v/>
      </c>
      <c r="F211" s="32">
        <f>IF($AB211="G",SUM($AG$8:$AG$407),IF(OR($AB211="",$AB211="R"),"",IF($AB211="D",INDEX($AG$8:$AG$407,$AA211),SUMIF($T$8:$T$407,INDEX($T$8:$T$407,$AA211),$AG$8:$AG$407))))</f>
        <v/>
      </c>
      <c r="G211" s="32">
        <f>IF(OR($AB211="",$AB211="R"),"",ROUND($E211-$F211,2))</f>
        <v/>
      </c>
      <c r="H211" s="32">
        <f>IF($AB211="G",SUM($AH$8:$AH$407),IF(OR($AB211="",$AB211="R"),"",IF($AB211="D",INDEX($AH$8:$AH$407,$AA211),SUMIF($T$8:$T$407,INDEX($T$8:$T$407,$AA211),$AH$8:$AH$407))))</f>
        <v/>
      </c>
      <c r="J211">
        <f>IFERROR(MATCH(204,บันทึกรายเที่ยว!$W$6:$W$6005,0),"")</f>
        <v/>
      </c>
      <c r="K211">
        <f>IF($J211="","",INDEX(บันทึกรายเที่ยว!$T$6:$T$6005,$J211))</f>
        <v/>
      </c>
      <c r="L211">
        <f>IF($J211="","",INDEX(บันทึกรายเที่ยว!$S$6:$S$6005,$J211))</f>
        <v/>
      </c>
      <c r="M211">
        <f>IF($J211="","",INDEX(บันทึกรายเที่ยว!$R$6:$R$6005,$J211))</f>
        <v/>
      </c>
      <c r="N211">
        <f>IF($J211="","",MATCH($M211,บันทึกรายเที่ยว!$R$6:$R$6005,0))</f>
        <v/>
      </c>
      <c r="O211">
        <f>IF($J211="","",MATCH($L211,บันทึกรายเที่ยว!$S$6:$S$6005,0))</f>
        <v/>
      </c>
      <c r="P211">
        <f>IF($J211="","",IF(AND(OR($I$3="(ทั้งหมด)",INDEX(บันทึกรายเที่ยว!$C$6:$C$6005,$J211)=$I$3),OR($I$5="(ทั้งหมด)",INDEX(บันทึกรายเที่ยว!$D$6:$D$6005,$J211)=$I$5),OR($I$7="(ทั้งหมด)",INDEX(บันทึกรายเที่ยว!$F$6:$F$6005,$J211)=$I$7)),$N211*10000000+$O211*1000+204,""))</f>
        <v/>
      </c>
      <c r="Q211">
        <f>IFERROR(MATCH(SMALL($P$8:$P$407,204),$P$8:$P$407,0),"")</f>
        <v/>
      </c>
      <c r="R211">
        <f>IF($Q211="","",INDEX($J$8:$J$407,$Q211))</f>
        <v/>
      </c>
      <c r="S211">
        <f>IF($Q211="","",INDEX($M$8:$M$407,$Q211))</f>
        <v/>
      </c>
      <c r="T211">
        <f>IF($Q211="","",INDEX($L$8:$L$407,$Q211))</f>
        <v/>
      </c>
      <c r="U211">
        <f>IF($Q211="","",INDEX($K$8:$K$407,$Q211))</f>
        <v/>
      </c>
      <c r="V211">
        <f>IF($Q211="",0,IF($S211&lt;&gt;$S210,1,0))</f>
        <v/>
      </c>
      <c r="W211">
        <f>IF($Q211="",0,IF($T211&lt;&gt;$T210,1,0))</f>
        <v/>
      </c>
      <c r="X211">
        <f>IF($Q211="",99999+204,$X210+1+$V210+$W210)</f>
        <v/>
      </c>
      <c r="Y211">
        <f>IF($Q211="","",INDEX(บันทึกรายเที่ยว!$Q$6:$Q$6005,$R211))</f>
        <v/>
      </c>
      <c r="Z211">
        <f>IF($Q211="","",INDEX(บันทึกรายเที่ยว!$F$6:$F$6005,$R211))</f>
        <v/>
      </c>
      <c r="AA211">
        <f>IFERROR(MATCH(204,$X$8:$X$407,1),"")</f>
        <v/>
      </c>
      <c r="AB211">
        <f>IF(204=$AD$1+1,"G",IF($AA211="","",IF(INDEX($Q$8:$Q$407,$AA211)="","",IF(204&gt;INDEX($X$8:$X$407,$AA211)+INDEX($V$8:$V$407,$AA211)+INDEX($W$8:$W$407,$AA211),"",IF(204=INDEX($X$8:$X$407,$AA211)+INDEX($V$8:$V$407,$AA211)+INDEX($W$8:$W$407,$AA211),"D",IF(AND(INDEX($W$8:$W$407,$AA211)=1,204=INDEX($X$8:$X$407,$AA211)+INDEX($V$8:$V$407,$AA211)),"S","R"))))))</f>
        <v/>
      </c>
      <c r="AC211">
        <f>IF(OR($AB211="",$AB211="G"),"",IF($AB211="D",INDEX($U$8:$U$407,$AA211),IF($AB211="S",INDEX($T$8:$T$407,$AA211)&amp;"|*",INDEX($S$8:$S$407,$AA211)&amp;"|*")))</f>
        <v/>
      </c>
      <c r="AE211">
        <f>IF($U211="",0,COUNTIF(บันทึกรายเที่ยว!$T$6:$T$6005,$U211))</f>
        <v/>
      </c>
      <c r="AF211">
        <f>IF($U211="",0,ROUND(SUMIF(บันทึกรายเที่ยว!$T$6:$T$6005,$U211,บันทึกรายเที่ยว!$J$6:$J$6005),2))</f>
        <v/>
      </c>
      <c r="AG211">
        <f>IF($U211="",0,ROUND(SUMIF(บันทึกรายเที่ยว!$T$6:$T$6005,$U211,บันทึกรายเที่ยว!$K$6:$K$6005),2))</f>
        <v/>
      </c>
      <c r="AH211">
        <f>IF($U211="",0,ROUND(SUMIF(บันทึกรายเที่ยว!$T$6:$T$6005,$U211,บันทึกรายเที่ยว!$M$6:$M$6005),2))</f>
        <v/>
      </c>
    </row>
    <row r="212" ht="21" customHeight="1" s="66">
      <c r="A212" s="3">
        <f>IF($AB212="G","ผลรวมทั้งหมด",IF($AB212="R",INDEX($S$8:$S$407,$AA212),""))</f>
        <v/>
      </c>
      <c r="B212" s="3">
        <f>IF($AB212="S",INDEX($Y$8:$Y$407,$AA212),"")</f>
        <v/>
      </c>
      <c r="C212" s="68">
        <f>IF($AB212="D",INDEX($Z$8:$Z$407,$AA212),"")</f>
        <v/>
      </c>
      <c r="D212" s="31">
        <f>IF($AB212="G",SUM($AE$8:$AE$407),IF(OR($AB212="",$AB212="R"),"",IF($AB212="D",INDEX($AE$8:$AE$407,$AA212),SUMIF($T$8:$T$407,INDEX($T$8:$T$407,$AA212),$AE$8:$AE$407))))</f>
        <v/>
      </c>
      <c r="E212" s="32">
        <f>IF(205=$AD$1+3,"ขอแสดงความนับถือ",IF(205=$AD$1+6,"(                 )",IF(205=$AD$1+7,"เจ้าหน้าที่ขนส่ง",IF($AB212="G",SUM($AF$8:$AF$407),IF(OR($AB212="",$AB212="R"),"",IF($AB212="D",INDEX($AF$8:$AF$407,$AA212),SUMIF($T$8:$T$407,INDEX($T$8:$T$407,$AA212),$AF$8:$AF$407)))))))</f>
        <v/>
      </c>
      <c r="F212" s="32">
        <f>IF($AB212="G",SUM($AG$8:$AG$407),IF(OR($AB212="",$AB212="R"),"",IF($AB212="D",INDEX($AG$8:$AG$407,$AA212),SUMIF($T$8:$T$407,INDEX($T$8:$T$407,$AA212),$AG$8:$AG$407))))</f>
        <v/>
      </c>
      <c r="G212" s="32">
        <f>IF(OR($AB212="",$AB212="R"),"",ROUND($E212-$F212,2))</f>
        <v/>
      </c>
      <c r="H212" s="32">
        <f>IF($AB212="G",SUM($AH$8:$AH$407),IF(OR($AB212="",$AB212="R"),"",IF($AB212="D",INDEX($AH$8:$AH$407,$AA212),SUMIF($T$8:$T$407,INDEX($T$8:$T$407,$AA212),$AH$8:$AH$407))))</f>
        <v/>
      </c>
      <c r="J212">
        <f>IFERROR(MATCH(205,บันทึกรายเที่ยว!$W$6:$W$6005,0),"")</f>
        <v/>
      </c>
      <c r="K212">
        <f>IF($J212="","",INDEX(บันทึกรายเที่ยว!$T$6:$T$6005,$J212))</f>
        <v/>
      </c>
      <c r="L212">
        <f>IF($J212="","",INDEX(บันทึกรายเที่ยว!$S$6:$S$6005,$J212))</f>
        <v/>
      </c>
      <c r="M212">
        <f>IF($J212="","",INDEX(บันทึกรายเที่ยว!$R$6:$R$6005,$J212))</f>
        <v/>
      </c>
      <c r="N212">
        <f>IF($J212="","",MATCH($M212,บันทึกรายเที่ยว!$R$6:$R$6005,0))</f>
        <v/>
      </c>
      <c r="O212">
        <f>IF($J212="","",MATCH($L212,บันทึกรายเที่ยว!$S$6:$S$6005,0))</f>
        <v/>
      </c>
      <c r="P212">
        <f>IF($J212="","",IF(AND(OR($I$3="(ทั้งหมด)",INDEX(บันทึกรายเที่ยว!$C$6:$C$6005,$J212)=$I$3),OR($I$5="(ทั้งหมด)",INDEX(บันทึกรายเที่ยว!$D$6:$D$6005,$J212)=$I$5),OR($I$7="(ทั้งหมด)",INDEX(บันทึกรายเที่ยว!$F$6:$F$6005,$J212)=$I$7)),$N212*10000000+$O212*1000+205,""))</f>
        <v/>
      </c>
      <c r="Q212">
        <f>IFERROR(MATCH(SMALL($P$8:$P$407,205),$P$8:$P$407,0),"")</f>
        <v/>
      </c>
      <c r="R212">
        <f>IF($Q212="","",INDEX($J$8:$J$407,$Q212))</f>
        <v/>
      </c>
      <c r="S212">
        <f>IF($Q212="","",INDEX($M$8:$M$407,$Q212))</f>
        <v/>
      </c>
      <c r="T212">
        <f>IF($Q212="","",INDEX($L$8:$L$407,$Q212))</f>
        <v/>
      </c>
      <c r="U212">
        <f>IF($Q212="","",INDEX($K$8:$K$407,$Q212))</f>
        <v/>
      </c>
      <c r="V212">
        <f>IF($Q212="",0,IF($S212&lt;&gt;$S211,1,0))</f>
        <v/>
      </c>
      <c r="W212">
        <f>IF($Q212="",0,IF($T212&lt;&gt;$T211,1,0))</f>
        <v/>
      </c>
      <c r="X212">
        <f>IF($Q212="",99999+205,$X211+1+$V211+$W211)</f>
        <v/>
      </c>
      <c r="Y212">
        <f>IF($Q212="","",INDEX(บันทึกรายเที่ยว!$Q$6:$Q$6005,$R212))</f>
        <v/>
      </c>
      <c r="Z212">
        <f>IF($Q212="","",INDEX(บันทึกรายเที่ยว!$F$6:$F$6005,$R212))</f>
        <v/>
      </c>
      <c r="AA212">
        <f>IFERROR(MATCH(205,$X$8:$X$407,1),"")</f>
        <v/>
      </c>
      <c r="AB212">
        <f>IF(205=$AD$1+1,"G",IF($AA212="","",IF(INDEX($Q$8:$Q$407,$AA212)="","",IF(205&gt;INDEX($X$8:$X$407,$AA212)+INDEX($V$8:$V$407,$AA212)+INDEX($W$8:$W$407,$AA212),"",IF(205=INDEX($X$8:$X$407,$AA212)+INDEX($V$8:$V$407,$AA212)+INDEX($W$8:$W$407,$AA212),"D",IF(AND(INDEX($W$8:$W$407,$AA212)=1,205=INDEX($X$8:$X$407,$AA212)+INDEX($V$8:$V$407,$AA212)),"S","R"))))))</f>
        <v/>
      </c>
      <c r="AC212">
        <f>IF(OR($AB212="",$AB212="G"),"",IF($AB212="D",INDEX($U$8:$U$407,$AA212),IF($AB212="S",INDEX($T$8:$T$407,$AA212)&amp;"|*",INDEX($S$8:$S$407,$AA212)&amp;"|*")))</f>
        <v/>
      </c>
      <c r="AE212">
        <f>IF($U212="",0,COUNTIF(บันทึกรายเที่ยว!$T$6:$T$6005,$U212))</f>
        <v/>
      </c>
      <c r="AF212">
        <f>IF($U212="",0,ROUND(SUMIF(บันทึกรายเที่ยว!$T$6:$T$6005,$U212,บันทึกรายเที่ยว!$J$6:$J$6005),2))</f>
        <v/>
      </c>
      <c r="AG212">
        <f>IF($U212="",0,ROUND(SUMIF(บันทึกรายเที่ยว!$T$6:$T$6005,$U212,บันทึกรายเที่ยว!$K$6:$K$6005),2))</f>
        <v/>
      </c>
      <c r="AH212">
        <f>IF($U212="",0,ROUND(SUMIF(บันทึกรายเที่ยว!$T$6:$T$6005,$U212,บันทึกรายเที่ยว!$M$6:$M$6005),2))</f>
        <v/>
      </c>
    </row>
    <row r="213" ht="21" customHeight="1" s="66">
      <c r="A213" s="3">
        <f>IF($AB213="G","ผลรวมทั้งหมด",IF($AB213="R",INDEX($S$8:$S$407,$AA213),""))</f>
        <v/>
      </c>
      <c r="B213" s="3">
        <f>IF($AB213="S",INDEX($Y$8:$Y$407,$AA213),"")</f>
        <v/>
      </c>
      <c r="C213" s="68">
        <f>IF($AB213="D",INDEX($Z$8:$Z$407,$AA213),"")</f>
        <v/>
      </c>
      <c r="D213" s="31">
        <f>IF($AB213="G",SUM($AE$8:$AE$407),IF(OR($AB213="",$AB213="R"),"",IF($AB213="D",INDEX($AE$8:$AE$407,$AA213),SUMIF($T$8:$T$407,INDEX($T$8:$T$407,$AA213),$AE$8:$AE$407))))</f>
        <v/>
      </c>
      <c r="E213" s="32">
        <f>IF(206=$AD$1+3,"ขอแสดงความนับถือ",IF(206=$AD$1+6,"(                 )",IF(206=$AD$1+7,"เจ้าหน้าที่ขนส่ง",IF($AB213="G",SUM($AF$8:$AF$407),IF(OR($AB213="",$AB213="R"),"",IF($AB213="D",INDEX($AF$8:$AF$407,$AA213),SUMIF($T$8:$T$407,INDEX($T$8:$T$407,$AA213),$AF$8:$AF$407)))))))</f>
        <v/>
      </c>
      <c r="F213" s="32">
        <f>IF($AB213="G",SUM($AG$8:$AG$407),IF(OR($AB213="",$AB213="R"),"",IF($AB213="D",INDEX($AG$8:$AG$407,$AA213),SUMIF($T$8:$T$407,INDEX($T$8:$T$407,$AA213),$AG$8:$AG$407))))</f>
        <v/>
      </c>
      <c r="G213" s="32">
        <f>IF(OR($AB213="",$AB213="R"),"",ROUND($E213-$F213,2))</f>
        <v/>
      </c>
      <c r="H213" s="32">
        <f>IF($AB213="G",SUM($AH$8:$AH$407),IF(OR($AB213="",$AB213="R"),"",IF($AB213="D",INDEX($AH$8:$AH$407,$AA213),SUMIF($T$8:$T$407,INDEX($T$8:$T$407,$AA213),$AH$8:$AH$407))))</f>
        <v/>
      </c>
      <c r="J213">
        <f>IFERROR(MATCH(206,บันทึกรายเที่ยว!$W$6:$W$6005,0),"")</f>
        <v/>
      </c>
      <c r="K213">
        <f>IF($J213="","",INDEX(บันทึกรายเที่ยว!$T$6:$T$6005,$J213))</f>
        <v/>
      </c>
      <c r="L213">
        <f>IF($J213="","",INDEX(บันทึกรายเที่ยว!$S$6:$S$6005,$J213))</f>
        <v/>
      </c>
      <c r="M213">
        <f>IF($J213="","",INDEX(บันทึกรายเที่ยว!$R$6:$R$6005,$J213))</f>
        <v/>
      </c>
      <c r="N213">
        <f>IF($J213="","",MATCH($M213,บันทึกรายเที่ยว!$R$6:$R$6005,0))</f>
        <v/>
      </c>
      <c r="O213">
        <f>IF($J213="","",MATCH($L213,บันทึกรายเที่ยว!$S$6:$S$6005,0))</f>
        <v/>
      </c>
      <c r="P213">
        <f>IF($J213="","",IF(AND(OR($I$3="(ทั้งหมด)",INDEX(บันทึกรายเที่ยว!$C$6:$C$6005,$J213)=$I$3),OR($I$5="(ทั้งหมด)",INDEX(บันทึกรายเที่ยว!$D$6:$D$6005,$J213)=$I$5),OR($I$7="(ทั้งหมด)",INDEX(บันทึกรายเที่ยว!$F$6:$F$6005,$J213)=$I$7)),$N213*10000000+$O213*1000+206,""))</f>
        <v/>
      </c>
      <c r="Q213">
        <f>IFERROR(MATCH(SMALL($P$8:$P$407,206),$P$8:$P$407,0),"")</f>
        <v/>
      </c>
      <c r="R213">
        <f>IF($Q213="","",INDEX($J$8:$J$407,$Q213))</f>
        <v/>
      </c>
      <c r="S213">
        <f>IF($Q213="","",INDEX($M$8:$M$407,$Q213))</f>
        <v/>
      </c>
      <c r="T213">
        <f>IF($Q213="","",INDEX($L$8:$L$407,$Q213))</f>
        <v/>
      </c>
      <c r="U213">
        <f>IF($Q213="","",INDEX($K$8:$K$407,$Q213))</f>
        <v/>
      </c>
      <c r="V213">
        <f>IF($Q213="",0,IF($S213&lt;&gt;$S212,1,0))</f>
        <v/>
      </c>
      <c r="W213">
        <f>IF($Q213="",0,IF($T213&lt;&gt;$T212,1,0))</f>
        <v/>
      </c>
      <c r="X213">
        <f>IF($Q213="",99999+206,$X212+1+$V212+$W212)</f>
        <v/>
      </c>
      <c r="Y213">
        <f>IF($Q213="","",INDEX(บันทึกรายเที่ยว!$Q$6:$Q$6005,$R213))</f>
        <v/>
      </c>
      <c r="Z213">
        <f>IF($Q213="","",INDEX(บันทึกรายเที่ยว!$F$6:$F$6005,$R213))</f>
        <v/>
      </c>
      <c r="AA213">
        <f>IFERROR(MATCH(206,$X$8:$X$407,1),"")</f>
        <v/>
      </c>
      <c r="AB213">
        <f>IF(206=$AD$1+1,"G",IF($AA213="","",IF(INDEX($Q$8:$Q$407,$AA213)="","",IF(206&gt;INDEX($X$8:$X$407,$AA213)+INDEX($V$8:$V$407,$AA213)+INDEX($W$8:$W$407,$AA213),"",IF(206=INDEX($X$8:$X$407,$AA213)+INDEX($V$8:$V$407,$AA213)+INDEX($W$8:$W$407,$AA213),"D",IF(AND(INDEX($W$8:$W$407,$AA213)=1,206=INDEX($X$8:$X$407,$AA213)+INDEX($V$8:$V$407,$AA213)),"S","R"))))))</f>
        <v/>
      </c>
      <c r="AC213">
        <f>IF(OR($AB213="",$AB213="G"),"",IF($AB213="D",INDEX($U$8:$U$407,$AA213),IF($AB213="S",INDEX($T$8:$T$407,$AA213)&amp;"|*",INDEX($S$8:$S$407,$AA213)&amp;"|*")))</f>
        <v/>
      </c>
      <c r="AE213">
        <f>IF($U213="",0,COUNTIF(บันทึกรายเที่ยว!$T$6:$T$6005,$U213))</f>
        <v/>
      </c>
      <c r="AF213">
        <f>IF($U213="",0,ROUND(SUMIF(บันทึกรายเที่ยว!$T$6:$T$6005,$U213,บันทึกรายเที่ยว!$J$6:$J$6005),2))</f>
        <v/>
      </c>
      <c r="AG213">
        <f>IF($U213="",0,ROUND(SUMIF(บันทึกรายเที่ยว!$T$6:$T$6005,$U213,บันทึกรายเที่ยว!$K$6:$K$6005),2))</f>
        <v/>
      </c>
      <c r="AH213">
        <f>IF($U213="",0,ROUND(SUMIF(บันทึกรายเที่ยว!$T$6:$T$6005,$U213,บันทึกรายเที่ยว!$M$6:$M$6005),2))</f>
        <v/>
      </c>
    </row>
    <row r="214" ht="21" customHeight="1" s="66">
      <c r="A214" s="3">
        <f>IF($AB214="G","ผลรวมทั้งหมด",IF($AB214="R",INDEX($S$8:$S$407,$AA214),""))</f>
        <v/>
      </c>
      <c r="B214" s="3">
        <f>IF($AB214="S",INDEX($Y$8:$Y$407,$AA214),"")</f>
        <v/>
      </c>
      <c r="C214" s="68">
        <f>IF($AB214="D",INDEX($Z$8:$Z$407,$AA214),"")</f>
        <v/>
      </c>
      <c r="D214" s="31">
        <f>IF($AB214="G",SUM($AE$8:$AE$407),IF(OR($AB214="",$AB214="R"),"",IF($AB214="D",INDEX($AE$8:$AE$407,$AA214),SUMIF($T$8:$T$407,INDEX($T$8:$T$407,$AA214),$AE$8:$AE$407))))</f>
        <v/>
      </c>
      <c r="E214" s="32">
        <f>IF(207=$AD$1+3,"ขอแสดงความนับถือ",IF(207=$AD$1+6,"(                 )",IF(207=$AD$1+7,"เจ้าหน้าที่ขนส่ง",IF($AB214="G",SUM($AF$8:$AF$407),IF(OR($AB214="",$AB214="R"),"",IF($AB214="D",INDEX($AF$8:$AF$407,$AA214),SUMIF($T$8:$T$407,INDEX($T$8:$T$407,$AA214),$AF$8:$AF$407)))))))</f>
        <v/>
      </c>
      <c r="F214" s="32">
        <f>IF($AB214="G",SUM($AG$8:$AG$407),IF(OR($AB214="",$AB214="R"),"",IF($AB214="D",INDEX($AG$8:$AG$407,$AA214),SUMIF($T$8:$T$407,INDEX($T$8:$T$407,$AA214),$AG$8:$AG$407))))</f>
        <v/>
      </c>
      <c r="G214" s="32">
        <f>IF(OR($AB214="",$AB214="R"),"",ROUND($E214-$F214,2))</f>
        <v/>
      </c>
      <c r="H214" s="32">
        <f>IF($AB214="G",SUM($AH$8:$AH$407),IF(OR($AB214="",$AB214="R"),"",IF($AB214="D",INDEX($AH$8:$AH$407,$AA214),SUMIF($T$8:$T$407,INDEX($T$8:$T$407,$AA214),$AH$8:$AH$407))))</f>
        <v/>
      </c>
      <c r="J214">
        <f>IFERROR(MATCH(207,บันทึกรายเที่ยว!$W$6:$W$6005,0),"")</f>
        <v/>
      </c>
      <c r="K214">
        <f>IF($J214="","",INDEX(บันทึกรายเที่ยว!$T$6:$T$6005,$J214))</f>
        <v/>
      </c>
      <c r="L214">
        <f>IF($J214="","",INDEX(บันทึกรายเที่ยว!$S$6:$S$6005,$J214))</f>
        <v/>
      </c>
      <c r="M214">
        <f>IF($J214="","",INDEX(บันทึกรายเที่ยว!$R$6:$R$6005,$J214))</f>
        <v/>
      </c>
      <c r="N214">
        <f>IF($J214="","",MATCH($M214,บันทึกรายเที่ยว!$R$6:$R$6005,0))</f>
        <v/>
      </c>
      <c r="O214">
        <f>IF($J214="","",MATCH($L214,บันทึกรายเที่ยว!$S$6:$S$6005,0))</f>
        <v/>
      </c>
      <c r="P214">
        <f>IF($J214="","",IF(AND(OR($I$3="(ทั้งหมด)",INDEX(บันทึกรายเที่ยว!$C$6:$C$6005,$J214)=$I$3),OR($I$5="(ทั้งหมด)",INDEX(บันทึกรายเที่ยว!$D$6:$D$6005,$J214)=$I$5),OR($I$7="(ทั้งหมด)",INDEX(บันทึกรายเที่ยว!$F$6:$F$6005,$J214)=$I$7)),$N214*10000000+$O214*1000+207,""))</f>
        <v/>
      </c>
      <c r="Q214">
        <f>IFERROR(MATCH(SMALL($P$8:$P$407,207),$P$8:$P$407,0),"")</f>
        <v/>
      </c>
      <c r="R214">
        <f>IF($Q214="","",INDEX($J$8:$J$407,$Q214))</f>
        <v/>
      </c>
      <c r="S214">
        <f>IF($Q214="","",INDEX($M$8:$M$407,$Q214))</f>
        <v/>
      </c>
      <c r="T214">
        <f>IF($Q214="","",INDEX($L$8:$L$407,$Q214))</f>
        <v/>
      </c>
      <c r="U214">
        <f>IF($Q214="","",INDEX($K$8:$K$407,$Q214))</f>
        <v/>
      </c>
      <c r="V214">
        <f>IF($Q214="",0,IF($S214&lt;&gt;$S213,1,0))</f>
        <v/>
      </c>
      <c r="W214">
        <f>IF($Q214="",0,IF($T214&lt;&gt;$T213,1,0))</f>
        <v/>
      </c>
      <c r="X214">
        <f>IF($Q214="",99999+207,$X213+1+$V213+$W213)</f>
        <v/>
      </c>
      <c r="Y214">
        <f>IF($Q214="","",INDEX(บันทึกรายเที่ยว!$Q$6:$Q$6005,$R214))</f>
        <v/>
      </c>
      <c r="Z214">
        <f>IF($Q214="","",INDEX(บันทึกรายเที่ยว!$F$6:$F$6005,$R214))</f>
        <v/>
      </c>
      <c r="AA214">
        <f>IFERROR(MATCH(207,$X$8:$X$407,1),"")</f>
        <v/>
      </c>
      <c r="AB214">
        <f>IF(207=$AD$1+1,"G",IF($AA214="","",IF(INDEX($Q$8:$Q$407,$AA214)="","",IF(207&gt;INDEX($X$8:$X$407,$AA214)+INDEX($V$8:$V$407,$AA214)+INDEX($W$8:$W$407,$AA214),"",IF(207=INDEX($X$8:$X$407,$AA214)+INDEX($V$8:$V$407,$AA214)+INDEX($W$8:$W$407,$AA214),"D",IF(AND(INDEX($W$8:$W$407,$AA214)=1,207=INDEX($X$8:$X$407,$AA214)+INDEX($V$8:$V$407,$AA214)),"S","R"))))))</f>
        <v/>
      </c>
      <c r="AC214">
        <f>IF(OR($AB214="",$AB214="G"),"",IF($AB214="D",INDEX($U$8:$U$407,$AA214),IF($AB214="S",INDEX($T$8:$T$407,$AA214)&amp;"|*",INDEX($S$8:$S$407,$AA214)&amp;"|*")))</f>
        <v/>
      </c>
      <c r="AE214">
        <f>IF($U214="",0,COUNTIF(บันทึกรายเที่ยว!$T$6:$T$6005,$U214))</f>
        <v/>
      </c>
      <c r="AF214">
        <f>IF($U214="",0,ROUND(SUMIF(บันทึกรายเที่ยว!$T$6:$T$6005,$U214,บันทึกรายเที่ยว!$J$6:$J$6005),2))</f>
        <v/>
      </c>
      <c r="AG214">
        <f>IF($U214="",0,ROUND(SUMIF(บันทึกรายเที่ยว!$T$6:$T$6005,$U214,บันทึกรายเที่ยว!$K$6:$K$6005),2))</f>
        <v/>
      </c>
      <c r="AH214">
        <f>IF($U214="",0,ROUND(SUMIF(บันทึกรายเที่ยว!$T$6:$T$6005,$U214,บันทึกรายเที่ยว!$M$6:$M$6005),2))</f>
        <v/>
      </c>
    </row>
    <row r="215" ht="21" customHeight="1" s="66">
      <c r="A215" s="3">
        <f>IF($AB215="G","ผลรวมทั้งหมด",IF($AB215="R",INDEX($S$8:$S$407,$AA215),""))</f>
        <v/>
      </c>
      <c r="B215" s="3">
        <f>IF($AB215="S",INDEX($Y$8:$Y$407,$AA215),"")</f>
        <v/>
      </c>
      <c r="C215" s="68">
        <f>IF($AB215="D",INDEX($Z$8:$Z$407,$AA215),"")</f>
        <v/>
      </c>
      <c r="D215" s="31">
        <f>IF($AB215="G",SUM($AE$8:$AE$407),IF(OR($AB215="",$AB215="R"),"",IF($AB215="D",INDEX($AE$8:$AE$407,$AA215),SUMIF($T$8:$T$407,INDEX($T$8:$T$407,$AA215),$AE$8:$AE$407))))</f>
        <v/>
      </c>
      <c r="E215" s="32">
        <f>IF(208=$AD$1+3,"ขอแสดงความนับถือ",IF(208=$AD$1+6,"(                 )",IF(208=$AD$1+7,"เจ้าหน้าที่ขนส่ง",IF($AB215="G",SUM($AF$8:$AF$407),IF(OR($AB215="",$AB215="R"),"",IF($AB215="D",INDEX($AF$8:$AF$407,$AA215),SUMIF($T$8:$T$407,INDEX($T$8:$T$407,$AA215),$AF$8:$AF$407)))))))</f>
        <v/>
      </c>
      <c r="F215" s="32">
        <f>IF($AB215="G",SUM($AG$8:$AG$407),IF(OR($AB215="",$AB215="R"),"",IF($AB215="D",INDEX($AG$8:$AG$407,$AA215),SUMIF($T$8:$T$407,INDEX($T$8:$T$407,$AA215),$AG$8:$AG$407))))</f>
        <v/>
      </c>
      <c r="G215" s="32">
        <f>IF(OR($AB215="",$AB215="R"),"",ROUND($E215-$F215,2))</f>
        <v/>
      </c>
      <c r="H215" s="32">
        <f>IF($AB215="G",SUM($AH$8:$AH$407),IF(OR($AB215="",$AB215="R"),"",IF($AB215="D",INDEX($AH$8:$AH$407,$AA215),SUMIF($T$8:$T$407,INDEX($T$8:$T$407,$AA215),$AH$8:$AH$407))))</f>
        <v/>
      </c>
      <c r="J215">
        <f>IFERROR(MATCH(208,บันทึกรายเที่ยว!$W$6:$W$6005,0),"")</f>
        <v/>
      </c>
      <c r="K215">
        <f>IF($J215="","",INDEX(บันทึกรายเที่ยว!$T$6:$T$6005,$J215))</f>
        <v/>
      </c>
      <c r="L215">
        <f>IF($J215="","",INDEX(บันทึกรายเที่ยว!$S$6:$S$6005,$J215))</f>
        <v/>
      </c>
      <c r="M215">
        <f>IF($J215="","",INDEX(บันทึกรายเที่ยว!$R$6:$R$6005,$J215))</f>
        <v/>
      </c>
      <c r="N215">
        <f>IF($J215="","",MATCH($M215,บันทึกรายเที่ยว!$R$6:$R$6005,0))</f>
        <v/>
      </c>
      <c r="O215">
        <f>IF($J215="","",MATCH($L215,บันทึกรายเที่ยว!$S$6:$S$6005,0))</f>
        <v/>
      </c>
      <c r="P215">
        <f>IF($J215="","",IF(AND(OR($I$3="(ทั้งหมด)",INDEX(บันทึกรายเที่ยว!$C$6:$C$6005,$J215)=$I$3),OR($I$5="(ทั้งหมด)",INDEX(บันทึกรายเที่ยว!$D$6:$D$6005,$J215)=$I$5),OR($I$7="(ทั้งหมด)",INDEX(บันทึกรายเที่ยว!$F$6:$F$6005,$J215)=$I$7)),$N215*10000000+$O215*1000+208,""))</f>
        <v/>
      </c>
      <c r="Q215">
        <f>IFERROR(MATCH(SMALL($P$8:$P$407,208),$P$8:$P$407,0),"")</f>
        <v/>
      </c>
      <c r="R215">
        <f>IF($Q215="","",INDEX($J$8:$J$407,$Q215))</f>
        <v/>
      </c>
      <c r="S215">
        <f>IF($Q215="","",INDEX($M$8:$M$407,$Q215))</f>
        <v/>
      </c>
      <c r="T215">
        <f>IF($Q215="","",INDEX($L$8:$L$407,$Q215))</f>
        <v/>
      </c>
      <c r="U215">
        <f>IF($Q215="","",INDEX($K$8:$K$407,$Q215))</f>
        <v/>
      </c>
      <c r="V215">
        <f>IF($Q215="",0,IF($S215&lt;&gt;$S214,1,0))</f>
        <v/>
      </c>
      <c r="W215">
        <f>IF($Q215="",0,IF($T215&lt;&gt;$T214,1,0))</f>
        <v/>
      </c>
      <c r="X215">
        <f>IF($Q215="",99999+208,$X214+1+$V214+$W214)</f>
        <v/>
      </c>
      <c r="Y215">
        <f>IF($Q215="","",INDEX(บันทึกรายเที่ยว!$Q$6:$Q$6005,$R215))</f>
        <v/>
      </c>
      <c r="Z215">
        <f>IF($Q215="","",INDEX(บันทึกรายเที่ยว!$F$6:$F$6005,$R215))</f>
        <v/>
      </c>
      <c r="AA215">
        <f>IFERROR(MATCH(208,$X$8:$X$407,1),"")</f>
        <v/>
      </c>
      <c r="AB215">
        <f>IF(208=$AD$1+1,"G",IF($AA215="","",IF(INDEX($Q$8:$Q$407,$AA215)="","",IF(208&gt;INDEX($X$8:$X$407,$AA215)+INDEX($V$8:$V$407,$AA215)+INDEX($W$8:$W$407,$AA215),"",IF(208=INDEX($X$8:$X$407,$AA215)+INDEX($V$8:$V$407,$AA215)+INDEX($W$8:$W$407,$AA215),"D",IF(AND(INDEX($W$8:$W$407,$AA215)=1,208=INDEX($X$8:$X$407,$AA215)+INDEX($V$8:$V$407,$AA215)),"S","R"))))))</f>
        <v/>
      </c>
      <c r="AC215">
        <f>IF(OR($AB215="",$AB215="G"),"",IF($AB215="D",INDEX($U$8:$U$407,$AA215),IF($AB215="S",INDEX($T$8:$T$407,$AA215)&amp;"|*",INDEX($S$8:$S$407,$AA215)&amp;"|*")))</f>
        <v/>
      </c>
      <c r="AE215">
        <f>IF($U215="",0,COUNTIF(บันทึกรายเที่ยว!$T$6:$T$6005,$U215))</f>
        <v/>
      </c>
      <c r="AF215">
        <f>IF($U215="",0,ROUND(SUMIF(บันทึกรายเที่ยว!$T$6:$T$6005,$U215,บันทึกรายเที่ยว!$J$6:$J$6005),2))</f>
        <v/>
      </c>
      <c r="AG215">
        <f>IF($U215="",0,ROUND(SUMIF(บันทึกรายเที่ยว!$T$6:$T$6005,$U215,บันทึกรายเที่ยว!$K$6:$K$6005),2))</f>
        <v/>
      </c>
      <c r="AH215">
        <f>IF($U215="",0,ROUND(SUMIF(บันทึกรายเที่ยว!$T$6:$T$6005,$U215,บันทึกรายเที่ยว!$M$6:$M$6005),2))</f>
        <v/>
      </c>
    </row>
    <row r="216" ht="21" customHeight="1" s="66">
      <c r="A216" s="3">
        <f>IF($AB216="G","ผลรวมทั้งหมด",IF($AB216="R",INDEX($S$8:$S$407,$AA216),""))</f>
        <v/>
      </c>
      <c r="B216" s="3">
        <f>IF($AB216="S",INDEX($Y$8:$Y$407,$AA216),"")</f>
        <v/>
      </c>
      <c r="C216" s="68">
        <f>IF($AB216="D",INDEX($Z$8:$Z$407,$AA216),"")</f>
        <v/>
      </c>
      <c r="D216" s="31">
        <f>IF($AB216="G",SUM($AE$8:$AE$407),IF(OR($AB216="",$AB216="R"),"",IF($AB216="D",INDEX($AE$8:$AE$407,$AA216),SUMIF($T$8:$T$407,INDEX($T$8:$T$407,$AA216),$AE$8:$AE$407))))</f>
        <v/>
      </c>
      <c r="E216" s="32">
        <f>IF(209=$AD$1+3,"ขอแสดงความนับถือ",IF(209=$AD$1+6,"(                 )",IF(209=$AD$1+7,"เจ้าหน้าที่ขนส่ง",IF($AB216="G",SUM($AF$8:$AF$407),IF(OR($AB216="",$AB216="R"),"",IF($AB216="D",INDEX($AF$8:$AF$407,$AA216),SUMIF($T$8:$T$407,INDEX($T$8:$T$407,$AA216),$AF$8:$AF$407)))))))</f>
        <v/>
      </c>
      <c r="F216" s="32">
        <f>IF($AB216="G",SUM($AG$8:$AG$407),IF(OR($AB216="",$AB216="R"),"",IF($AB216="D",INDEX($AG$8:$AG$407,$AA216),SUMIF($T$8:$T$407,INDEX($T$8:$T$407,$AA216),$AG$8:$AG$407))))</f>
        <v/>
      </c>
      <c r="G216" s="32">
        <f>IF(OR($AB216="",$AB216="R"),"",ROUND($E216-$F216,2))</f>
        <v/>
      </c>
      <c r="H216" s="32">
        <f>IF($AB216="G",SUM($AH$8:$AH$407),IF(OR($AB216="",$AB216="R"),"",IF($AB216="D",INDEX($AH$8:$AH$407,$AA216),SUMIF($T$8:$T$407,INDEX($T$8:$T$407,$AA216),$AH$8:$AH$407))))</f>
        <v/>
      </c>
      <c r="J216">
        <f>IFERROR(MATCH(209,บันทึกรายเที่ยว!$W$6:$W$6005,0),"")</f>
        <v/>
      </c>
      <c r="K216">
        <f>IF($J216="","",INDEX(บันทึกรายเที่ยว!$T$6:$T$6005,$J216))</f>
        <v/>
      </c>
      <c r="L216">
        <f>IF($J216="","",INDEX(บันทึกรายเที่ยว!$S$6:$S$6005,$J216))</f>
        <v/>
      </c>
      <c r="M216">
        <f>IF($J216="","",INDEX(บันทึกรายเที่ยว!$R$6:$R$6005,$J216))</f>
        <v/>
      </c>
      <c r="N216">
        <f>IF($J216="","",MATCH($M216,บันทึกรายเที่ยว!$R$6:$R$6005,0))</f>
        <v/>
      </c>
      <c r="O216">
        <f>IF($J216="","",MATCH($L216,บันทึกรายเที่ยว!$S$6:$S$6005,0))</f>
        <v/>
      </c>
      <c r="P216">
        <f>IF($J216="","",IF(AND(OR($I$3="(ทั้งหมด)",INDEX(บันทึกรายเที่ยว!$C$6:$C$6005,$J216)=$I$3),OR($I$5="(ทั้งหมด)",INDEX(บันทึกรายเที่ยว!$D$6:$D$6005,$J216)=$I$5),OR($I$7="(ทั้งหมด)",INDEX(บันทึกรายเที่ยว!$F$6:$F$6005,$J216)=$I$7)),$N216*10000000+$O216*1000+209,""))</f>
        <v/>
      </c>
      <c r="Q216">
        <f>IFERROR(MATCH(SMALL($P$8:$P$407,209),$P$8:$P$407,0),"")</f>
        <v/>
      </c>
      <c r="R216">
        <f>IF($Q216="","",INDEX($J$8:$J$407,$Q216))</f>
        <v/>
      </c>
      <c r="S216">
        <f>IF($Q216="","",INDEX($M$8:$M$407,$Q216))</f>
        <v/>
      </c>
      <c r="T216">
        <f>IF($Q216="","",INDEX($L$8:$L$407,$Q216))</f>
        <v/>
      </c>
      <c r="U216">
        <f>IF($Q216="","",INDEX($K$8:$K$407,$Q216))</f>
        <v/>
      </c>
      <c r="V216">
        <f>IF($Q216="",0,IF($S216&lt;&gt;$S215,1,0))</f>
        <v/>
      </c>
      <c r="W216">
        <f>IF($Q216="",0,IF($T216&lt;&gt;$T215,1,0))</f>
        <v/>
      </c>
      <c r="X216">
        <f>IF($Q216="",99999+209,$X215+1+$V215+$W215)</f>
        <v/>
      </c>
      <c r="Y216">
        <f>IF($Q216="","",INDEX(บันทึกรายเที่ยว!$Q$6:$Q$6005,$R216))</f>
        <v/>
      </c>
      <c r="Z216">
        <f>IF($Q216="","",INDEX(บันทึกรายเที่ยว!$F$6:$F$6005,$R216))</f>
        <v/>
      </c>
      <c r="AA216">
        <f>IFERROR(MATCH(209,$X$8:$X$407,1),"")</f>
        <v/>
      </c>
      <c r="AB216">
        <f>IF(209=$AD$1+1,"G",IF($AA216="","",IF(INDEX($Q$8:$Q$407,$AA216)="","",IF(209&gt;INDEX($X$8:$X$407,$AA216)+INDEX($V$8:$V$407,$AA216)+INDEX($W$8:$W$407,$AA216),"",IF(209=INDEX($X$8:$X$407,$AA216)+INDEX($V$8:$V$407,$AA216)+INDEX($W$8:$W$407,$AA216),"D",IF(AND(INDEX($W$8:$W$407,$AA216)=1,209=INDEX($X$8:$X$407,$AA216)+INDEX($V$8:$V$407,$AA216)),"S","R"))))))</f>
        <v/>
      </c>
      <c r="AC216">
        <f>IF(OR($AB216="",$AB216="G"),"",IF($AB216="D",INDEX($U$8:$U$407,$AA216),IF($AB216="S",INDEX($T$8:$T$407,$AA216)&amp;"|*",INDEX($S$8:$S$407,$AA216)&amp;"|*")))</f>
        <v/>
      </c>
      <c r="AE216">
        <f>IF($U216="",0,COUNTIF(บันทึกรายเที่ยว!$T$6:$T$6005,$U216))</f>
        <v/>
      </c>
      <c r="AF216">
        <f>IF($U216="",0,ROUND(SUMIF(บันทึกรายเที่ยว!$T$6:$T$6005,$U216,บันทึกรายเที่ยว!$J$6:$J$6005),2))</f>
        <v/>
      </c>
      <c r="AG216">
        <f>IF($U216="",0,ROUND(SUMIF(บันทึกรายเที่ยว!$T$6:$T$6005,$U216,บันทึกรายเที่ยว!$K$6:$K$6005),2))</f>
        <v/>
      </c>
      <c r="AH216">
        <f>IF($U216="",0,ROUND(SUMIF(บันทึกรายเที่ยว!$T$6:$T$6005,$U216,บันทึกรายเที่ยว!$M$6:$M$6005),2))</f>
        <v/>
      </c>
    </row>
    <row r="217" ht="21" customHeight="1" s="66">
      <c r="A217" s="3">
        <f>IF($AB217="G","ผลรวมทั้งหมด",IF($AB217="R",INDEX($S$8:$S$407,$AA217),""))</f>
        <v/>
      </c>
      <c r="B217" s="3">
        <f>IF($AB217="S",INDEX($Y$8:$Y$407,$AA217),"")</f>
        <v/>
      </c>
      <c r="C217" s="68">
        <f>IF($AB217="D",INDEX($Z$8:$Z$407,$AA217),"")</f>
        <v/>
      </c>
      <c r="D217" s="31">
        <f>IF($AB217="G",SUM($AE$8:$AE$407),IF(OR($AB217="",$AB217="R"),"",IF($AB217="D",INDEX($AE$8:$AE$407,$AA217),SUMIF($T$8:$T$407,INDEX($T$8:$T$407,$AA217),$AE$8:$AE$407))))</f>
        <v/>
      </c>
      <c r="E217" s="32">
        <f>IF(210=$AD$1+3,"ขอแสดงความนับถือ",IF(210=$AD$1+6,"(                 )",IF(210=$AD$1+7,"เจ้าหน้าที่ขนส่ง",IF($AB217="G",SUM($AF$8:$AF$407),IF(OR($AB217="",$AB217="R"),"",IF($AB217="D",INDEX($AF$8:$AF$407,$AA217),SUMIF($T$8:$T$407,INDEX($T$8:$T$407,$AA217),$AF$8:$AF$407)))))))</f>
        <v/>
      </c>
      <c r="F217" s="32">
        <f>IF($AB217="G",SUM($AG$8:$AG$407),IF(OR($AB217="",$AB217="R"),"",IF($AB217="D",INDEX($AG$8:$AG$407,$AA217),SUMIF($T$8:$T$407,INDEX($T$8:$T$407,$AA217),$AG$8:$AG$407))))</f>
        <v/>
      </c>
      <c r="G217" s="32">
        <f>IF(OR($AB217="",$AB217="R"),"",ROUND($E217-$F217,2))</f>
        <v/>
      </c>
      <c r="H217" s="32">
        <f>IF($AB217="G",SUM($AH$8:$AH$407),IF(OR($AB217="",$AB217="R"),"",IF($AB217="D",INDEX($AH$8:$AH$407,$AA217),SUMIF($T$8:$T$407,INDEX($T$8:$T$407,$AA217),$AH$8:$AH$407))))</f>
        <v/>
      </c>
      <c r="J217">
        <f>IFERROR(MATCH(210,บันทึกรายเที่ยว!$W$6:$W$6005,0),"")</f>
        <v/>
      </c>
      <c r="K217">
        <f>IF($J217="","",INDEX(บันทึกรายเที่ยว!$T$6:$T$6005,$J217))</f>
        <v/>
      </c>
      <c r="L217">
        <f>IF($J217="","",INDEX(บันทึกรายเที่ยว!$S$6:$S$6005,$J217))</f>
        <v/>
      </c>
      <c r="M217">
        <f>IF($J217="","",INDEX(บันทึกรายเที่ยว!$R$6:$R$6005,$J217))</f>
        <v/>
      </c>
      <c r="N217">
        <f>IF($J217="","",MATCH($M217,บันทึกรายเที่ยว!$R$6:$R$6005,0))</f>
        <v/>
      </c>
      <c r="O217">
        <f>IF($J217="","",MATCH($L217,บันทึกรายเที่ยว!$S$6:$S$6005,0))</f>
        <v/>
      </c>
      <c r="P217">
        <f>IF($J217="","",IF(AND(OR($I$3="(ทั้งหมด)",INDEX(บันทึกรายเที่ยว!$C$6:$C$6005,$J217)=$I$3),OR($I$5="(ทั้งหมด)",INDEX(บันทึกรายเที่ยว!$D$6:$D$6005,$J217)=$I$5),OR($I$7="(ทั้งหมด)",INDEX(บันทึกรายเที่ยว!$F$6:$F$6005,$J217)=$I$7)),$N217*10000000+$O217*1000+210,""))</f>
        <v/>
      </c>
      <c r="Q217">
        <f>IFERROR(MATCH(SMALL($P$8:$P$407,210),$P$8:$P$407,0),"")</f>
        <v/>
      </c>
      <c r="R217">
        <f>IF($Q217="","",INDEX($J$8:$J$407,$Q217))</f>
        <v/>
      </c>
      <c r="S217">
        <f>IF($Q217="","",INDEX($M$8:$M$407,$Q217))</f>
        <v/>
      </c>
      <c r="T217">
        <f>IF($Q217="","",INDEX($L$8:$L$407,$Q217))</f>
        <v/>
      </c>
      <c r="U217">
        <f>IF($Q217="","",INDEX($K$8:$K$407,$Q217))</f>
        <v/>
      </c>
      <c r="V217">
        <f>IF($Q217="",0,IF($S217&lt;&gt;$S216,1,0))</f>
        <v/>
      </c>
      <c r="W217">
        <f>IF($Q217="",0,IF($T217&lt;&gt;$T216,1,0))</f>
        <v/>
      </c>
      <c r="X217">
        <f>IF($Q217="",99999+210,$X216+1+$V216+$W216)</f>
        <v/>
      </c>
      <c r="Y217">
        <f>IF($Q217="","",INDEX(บันทึกรายเที่ยว!$Q$6:$Q$6005,$R217))</f>
        <v/>
      </c>
      <c r="Z217">
        <f>IF($Q217="","",INDEX(บันทึกรายเที่ยว!$F$6:$F$6005,$R217))</f>
        <v/>
      </c>
      <c r="AA217">
        <f>IFERROR(MATCH(210,$X$8:$X$407,1),"")</f>
        <v/>
      </c>
      <c r="AB217">
        <f>IF(210=$AD$1+1,"G",IF($AA217="","",IF(INDEX($Q$8:$Q$407,$AA217)="","",IF(210&gt;INDEX($X$8:$X$407,$AA217)+INDEX($V$8:$V$407,$AA217)+INDEX($W$8:$W$407,$AA217),"",IF(210=INDEX($X$8:$X$407,$AA217)+INDEX($V$8:$V$407,$AA217)+INDEX($W$8:$W$407,$AA217),"D",IF(AND(INDEX($W$8:$W$407,$AA217)=1,210=INDEX($X$8:$X$407,$AA217)+INDEX($V$8:$V$407,$AA217)),"S","R"))))))</f>
        <v/>
      </c>
      <c r="AC217">
        <f>IF(OR($AB217="",$AB217="G"),"",IF($AB217="D",INDEX($U$8:$U$407,$AA217),IF($AB217="S",INDEX($T$8:$T$407,$AA217)&amp;"|*",INDEX($S$8:$S$407,$AA217)&amp;"|*")))</f>
        <v/>
      </c>
      <c r="AE217">
        <f>IF($U217="",0,COUNTIF(บันทึกรายเที่ยว!$T$6:$T$6005,$U217))</f>
        <v/>
      </c>
      <c r="AF217">
        <f>IF($U217="",0,ROUND(SUMIF(บันทึกรายเที่ยว!$T$6:$T$6005,$U217,บันทึกรายเที่ยว!$J$6:$J$6005),2))</f>
        <v/>
      </c>
      <c r="AG217">
        <f>IF($U217="",0,ROUND(SUMIF(บันทึกรายเที่ยว!$T$6:$T$6005,$U217,บันทึกรายเที่ยว!$K$6:$K$6005),2))</f>
        <v/>
      </c>
      <c r="AH217">
        <f>IF($U217="",0,ROUND(SUMIF(บันทึกรายเที่ยว!$T$6:$T$6005,$U217,บันทึกรายเที่ยว!$M$6:$M$6005),2))</f>
        <v/>
      </c>
    </row>
    <row r="218" ht="21" customHeight="1" s="66">
      <c r="A218" s="3">
        <f>IF($AB218="G","ผลรวมทั้งหมด",IF($AB218="R",INDEX($S$8:$S$407,$AA218),""))</f>
        <v/>
      </c>
      <c r="B218" s="3">
        <f>IF($AB218="S",INDEX($Y$8:$Y$407,$AA218),"")</f>
        <v/>
      </c>
      <c r="C218" s="68">
        <f>IF($AB218="D",INDEX($Z$8:$Z$407,$AA218),"")</f>
        <v/>
      </c>
      <c r="D218" s="31">
        <f>IF($AB218="G",SUM($AE$8:$AE$407),IF(OR($AB218="",$AB218="R"),"",IF($AB218="D",INDEX($AE$8:$AE$407,$AA218),SUMIF($T$8:$T$407,INDEX($T$8:$T$407,$AA218),$AE$8:$AE$407))))</f>
        <v/>
      </c>
      <c r="E218" s="32">
        <f>IF(211=$AD$1+3,"ขอแสดงความนับถือ",IF(211=$AD$1+6,"(                 )",IF(211=$AD$1+7,"เจ้าหน้าที่ขนส่ง",IF($AB218="G",SUM($AF$8:$AF$407),IF(OR($AB218="",$AB218="R"),"",IF($AB218="D",INDEX($AF$8:$AF$407,$AA218),SUMIF($T$8:$T$407,INDEX($T$8:$T$407,$AA218),$AF$8:$AF$407)))))))</f>
        <v/>
      </c>
      <c r="F218" s="32">
        <f>IF($AB218="G",SUM($AG$8:$AG$407),IF(OR($AB218="",$AB218="R"),"",IF($AB218="D",INDEX($AG$8:$AG$407,$AA218),SUMIF($T$8:$T$407,INDEX($T$8:$T$407,$AA218),$AG$8:$AG$407))))</f>
        <v/>
      </c>
      <c r="G218" s="32">
        <f>IF(OR($AB218="",$AB218="R"),"",ROUND($E218-$F218,2))</f>
        <v/>
      </c>
      <c r="H218" s="32">
        <f>IF($AB218="G",SUM($AH$8:$AH$407),IF(OR($AB218="",$AB218="R"),"",IF($AB218="D",INDEX($AH$8:$AH$407,$AA218),SUMIF($T$8:$T$407,INDEX($T$8:$T$407,$AA218),$AH$8:$AH$407))))</f>
        <v/>
      </c>
      <c r="J218">
        <f>IFERROR(MATCH(211,บันทึกรายเที่ยว!$W$6:$W$6005,0),"")</f>
        <v/>
      </c>
      <c r="K218">
        <f>IF($J218="","",INDEX(บันทึกรายเที่ยว!$T$6:$T$6005,$J218))</f>
        <v/>
      </c>
      <c r="L218">
        <f>IF($J218="","",INDEX(บันทึกรายเที่ยว!$S$6:$S$6005,$J218))</f>
        <v/>
      </c>
      <c r="M218">
        <f>IF($J218="","",INDEX(บันทึกรายเที่ยว!$R$6:$R$6005,$J218))</f>
        <v/>
      </c>
      <c r="N218">
        <f>IF($J218="","",MATCH($M218,บันทึกรายเที่ยว!$R$6:$R$6005,0))</f>
        <v/>
      </c>
      <c r="O218">
        <f>IF($J218="","",MATCH($L218,บันทึกรายเที่ยว!$S$6:$S$6005,0))</f>
        <v/>
      </c>
      <c r="P218">
        <f>IF($J218="","",IF(AND(OR($I$3="(ทั้งหมด)",INDEX(บันทึกรายเที่ยว!$C$6:$C$6005,$J218)=$I$3),OR($I$5="(ทั้งหมด)",INDEX(บันทึกรายเที่ยว!$D$6:$D$6005,$J218)=$I$5),OR($I$7="(ทั้งหมด)",INDEX(บันทึกรายเที่ยว!$F$6:$F$6005,$J218)=$I$7)),$N218*10000000+$O218*1000+211,""))</f>
        <v/>
      </c>
      <c r="Q218">
        <f>IFERROR(MATCH(SMALL($P$8:$P$407,211),$P$8:$P$407,0),"")</f>
        <v/>
      </c>
      <c r="R218">
        <f>IF($Q218="","",INDEX($J$8:$J$407,$Q218))</f>
        <v/>
      </c>
      <c r="S218">
        <f>IF($Q218="","",INDEX($M$8:$M$407,$Q218))</f>
        <v/>
      </c>
      <c r="T218">
        <f>IF($Q218="","",INDEX($L$8:$L$407,$Q218))</f>
        <v/>
      </c>
      <c r="U218">
        <f>IF($Q218="","",INDEX($K$8:$K$407,$Q218))</f>
        <v/>
      </c>
      <c r="V218">
        <f>IF($Q218="",0,IF($S218&lt;&gt;$S217,1,0))</f>
        <v/>
      </c>
      <c r="W218">
        <f>IF($Q218="",0,IF($T218&lt;&gt;$T217,1,0))</f>
        <v/>
      </c>
      <c r="X218">
        <f>IF($Q218="",99999+211,$X217+1+$V217+$W217)</f>
        <v/>
      </c>
      <c r="Y218">
        <f>IF($Q218="","",INDEX(บันทึกรายเที่ยว!$Q$6:$Q$6005,$R218))</f>
        <v/>
      </c>
      <c r="Z218">
        <f>IF($Q218="","",INDEX(บันทึกรายเที่ยว!$F$6:$F$6005,$R218))</f>
        <v/>
      </c>
      <c r="AA218">
        <f>IFERROR(MATCH(211,$X$8:$X$407,1),"")</f>
        <v/>
      </c>
      <c r="AB218">
        <f>IF(211=$AD$1+1,"G",IF($AA218="","",IF(INDEX($Q$8:$Q$407,$AA218)="","",IF(211&gt;INDEX($X$8:$X$407,$AA218)+INDEX($V$8:$V$407,$AA218)+INDEX($W$8:$W$407,$AA218),"",IF(211=INDEX($X$8:$X$407,$AA218)+INDEX($V$8:$V$407,$AA218)+INDEX($W$8:$W$407,$AA218),"D",IF(AND(INDEX($W$8:$W$407,$AA218)=1,211=INDEX($X$8:$X$407,$AA218)+INDEX($V$8:$V$407,$AA218)),"S","R"))))))</f>
        <v/>
      </c>
      <c r="AC218">
        <f>IF(OR($AB218="",$AB218="G"),"",IF($AB218="D",INDEX($U$8:$U$407,$AA218),IF($AB218="S",INDEX($T$8:$T$407,$AA218)&amp;"|*",INDEX($S$8:$S$407,$AA218)&amp;"|*")))</f>
        <v/>
      </c>
      <c r="AE218">
        <f>IF($U218="",0,COUNTIF(บันทึกรายเที่ยว!$T$6:$T$6005,$U218))</f>
        <v/>
      </c>
      <c r="AF218">
        <f>IF($U218="",0,ROUND(SUMIF(บันทึกรายเที่ยว!$T$6:$T$6005,$U218,บันทึกรายเที่ยว!$J$6:$J$6005),2))</f>
        <v/>
      </c>
      <c r="AG218">
        <f>IF($U218="",0,ROUND(SUMIF(บันทึกรายเที่ยว!$T$6:$T$6005,$U218,บันทึกรายเที่ยว!$K$6:$K$6005),2))</f>
        <v/>
      </c>
      <c r="AH218">
        <f>IF($U218="",0,ROUND(SUMIF(บันทึกรายเที่ยว!$T$6:$T$6005,$U218,บันทึกรายเที่ยว!$M$6:$M$6005),2))</f>
        <v/>
      </c>
    </row>
    <row r="219" ht="21" customHeight="1" s="66">
      <c r="A219" s="3">
        <f>IF($AB219="G","ผลรวมทั้งหมด",IF($AB219="R",INDEX($S$8:$S$407,$AA219),""))</f>
        <v/>
      </c>
      <c r="B219" s="3">
        <f>IF($AB219="S",INDEX($Y$8:$Y$407,$AA219),"")</f>
        <v/>
      </c>
      <c r="C219" s="68">
        <f>IF($AB219="D",INDEX($Z$8:$Z$407,$AA219),"")</f>
        <v/>
      </c>
      <c r="D219" s="31">
        <f>IF($AB219="G",SUM($AE$8:$AE$407),IF(OR($AB219="",$AB219="R"),"",IF($AB219="D",INDEX($AE$8:$AE$407,$AA219),SUMIF($T$8:$T$407,INDEX($T$8:$T$407,$AA219),$AE$8:$AE$407))))</f>
        <v/>
      </c>
      <c r="E219" s="32">
        <f>IF(212=$AD$1+3,"ขอแสดงความนับถือ",IF(212=$AD$1+6,"(                 )",IF(212=$AD$1+7,"เจ้าหน้าที่ขนส่ง",IF($AB219="G",SUM($AF$8:$AF$407),IF(OR($AB219="",$AB219="R"),"",IF($AB219="D",INDEX($AF$8:$AF$407,$AA219),SUMIF($T$8:$T$407,INDEX($T$8:$T$407,$AA219),$AF$8:$AF$407)))))))</f>
        <v/>
      </c>
      <c r="F219" s="32">
        <f>IF($AB219="G",SUM($AG$8:$AG$407),IF(OR($AB219="",$AB219="R"),"",IF($AB219="D",INDEX($AG$8:$AG$407,$AA219),SUMIF($T$8:$T$407,INDEX($T$8:$T$407,$AA219),$AG$8:$AG$407))))</f>
        <v/>
      </c>
      <c r="G219" s="32">
        <f>IF(OR($AB219="",$AB219="R"),"",ROUND($E219-$F219,2))</f>
        <v/>
      </c>
      <c r="H219" s="32">
        <f>IF($AB219="G",SUM($AH$8:$AH$407),IF(OR($AB219="",$AB219="R"),"",IF($AB219="D",INDEX($AH$8:$AH$407,$AA219),SUMIF($T$8:$T$407,INDEX($T$8:$T$407,$AA219),$AH$8:$AH$407))))</f>
        <v/>
      </c>
      <c r="J219">
        <f>IFERROR(MATCH(212,บันทึกรายเที่ยว!$W$6:$W$6005,0),"")</f>
        <v/>
      </c>
      <c r="K219">
        <f>IF($J219="","",INDEX(บันทึกรายเที่ยว!$T$6:$T$6005,$J219))</f>
        <v/>
      </c>
      <c r="L219">
        <f>IF($J219="","",INDEX(บันทึกรายเที่ยว!$S$6:$S$6005,$J219))</f>
        <v/>
      </c>
      <c r="M219">
        <f>IF($J219="","",INDEX(บันทึกรายเที่ยว!$R$6:$R$6005,$J219))</f>
        <v/>
      </c>
      <c r="N219">
        <f>IF($J219="","",MATCH($M219,บันทึกรายเที่ยว!$R$6:$R$6005,0))</f>
        <v/>
      </c>
      <c r="O219">
        <f>IF($J219="","",MATCH($L219,บันทึกรายเที่ยว!$S$6:$S$6005,0))</f>
        <v/>
      </c>
      <c r="P219">
        <f>IF($J219="","",IF(AND(OR($I$3="(ทั้งหมด)",INDEX(บันทึกรายเที่ยว!$C$6:$C$6005,$J219)=$I$3),OR($I$5="(ทั้งหมด)",INDEX(บันทึกรายเที่ยว!$D$6:$D$6005,$J219)=$I$5),OR($I$7="(ทั้งหมด)",INDEX(บันทึกรายเที่ยว!$F$6:$F$6005,$J219)=$I$7)),$N219*10000000+$O219*1000+212,""))</f>
        <v/>
      </c>
      <c r="Q219">
        <f>IFERROR(MATCH(SMALL($P$8:$P$407,212),$P$8:$P$407,0),"")</f>
        <v/>
      </c>
      <c r="R219">
        <f>IF($Q219="","",INDEX($J$8:$J$407,$Q219))</f>
        <v/>
      </c>
      <c r="S219">
        <f>IF($Q219="","",INDEX($M$8:$M$407,$Q219))</f>
        <v/>
      </c>
      <c r="T219">
        <f>IF($Q219="","",INDEX($L$8:$L$407,$Q219))</f>
        <v/>
      </c>
      <c r="U219">
        <f>IF($Q219="","",INDEX($K$8:$K$407,$Q219))</f>
        <v/>
      </c>
      <c r="V219">
        <f>IF($Q219="",0,IF($S219&lt;&gt;$S218,1,0))</f>
        <v/>
      </c>
      <c r="W219">
        <f>IF($Q219="",0,IF($T219&lt;&gt;$T218,1,0))</f>
        <v/>
      </c>
      <c r="X219">
        <f>IF($Q219="",99999+212,$X218+1+$V218+$W218)</f>
        <v/>
      </c>
      <c r="Y219">
        <f>IF($Q219="","",INDEX(บันทึกรายเที่ยว!$Q$6:$Q$6005,$R219))</f>
        <v/>
      </c>
      <c r="Z219">
        <f>IF($Q219="","",INDEX(บันทึกรายเที่ยว!$F$6:$F$6005,$R219))</f>
        <v/>
      </c>
      <c r="AA219">
        <f>IFERROR(MATCH(212,$X$8:$X$407,1),"")</f>
        <v/>
      </c>
      <c r="AB219">
        <f>IF(212=$AD$1+1,"G",IF($AA219="","",IF(INDEX($Q$8:$Q$407,$AA219)="","",IF(212&gt;INDEX($X$8:$X$407,$AA219)+INDEX($V$8:$V$407,$AA219)+INDEX($W$8:$W$407,$AA219),"",IF(212=INDEX($X$8:$X$407,$AA219)+INDEX($V$8:$V$407,$AA219)+INDEX($W$8:$W$407,$AA219),"D",IF(AND(INDEX($W$8:$W$407,$AA219)=1,212=INDEX($X$8:$X$407,$AA219)+INDEX($V$8:$V$407,$AA219)),"S","R"))))))</f>
        <v/>
      </c>
      <c r="AC219">
        <f>IF(OR($AB219="",$AB219="G"),"",IF($AB219="D",INDEX($U$8:$U$407,$AA219),IF($AB219="S",INDEX($T$8:$T$407,$AA219)&amp;"|*",INDEX($S$8:$S$407,$AA219)&amp;"|*")))</f>
        <v/>
      </c>
      <c r="AE219">
        <f>IF($U219="",0,COUNTIF(บันทึกรายเที่ยว!$T$6:$T$6005,$U219))</f>
        <v/>
      </c>
      <c r="AF219">
        <f>IF($U219="",0,ROUND(SUMIF(บันทึกรายเที่ยว!$T$6:$T$6005,$U219,บันทึกรายเที่ยว!$J$6:$J$6005),2))</f>
        <v/>
      </c>
      <c r="AG219">
        <f>IF($U219="",0,ROUND(SUMIF(บันทึกรายเที่ยว!$T$6:$T$6005,$U219,บันทึกรายเที่ยว!$K$6:$K$6005),2))</f>
        <v/>
      </c>
      <c r="AH219">
        <f>IF($U219="",0,ROUND(SUMIF(บันทึกรายเที่ยว!$T$6:$T$6005,$U219,บันทึกรายเที่ยว!$M$6:$M$6005),2))</f>
        <v/>
      </c>
    </row>
    <row r="220" ht="21" customHeight="1" s="66">
      <c r="A220" s="3">
        <f>IF($AB220="G","ผลรวมทั้งหมด",IF($AB220="R",INDEX($S$8:$S$407,$AA220),""))</f>
        <v/>
      </c>
      <c r="B220" s="3">
        <f>IF($AB220="S",INDEX($Y$8:$Y$407,$AA220),"")</f>
        <v/>
      </c>
      <c r="C220" s="68">
        <f>IF($AB220="D",INDEX($Z$8:$Z$407,$AA220),"")</f>
        <v/>
      </c>
      <c r="D220" s="31">
        <f>IF($AB220="G",SUM($AE$8:$AE$407),IF(OR($AB220="",$AB220="R"),"",IF($AB220="D",INDEX($AE$8:$AE$407,$AA220),SUMIF($T$8:$T$407,INDEX($T$8:$T$407,$AA220),$AE$8:$AE$407))))</f>
        <v/>
      </c>
      <c r="E220" s="32">
        <f>IF(213=$AD$1+3,"ขอแสดงความนับถือ",IF(213=$AD$1+6,"(                 )",IF(213=$AD$1+7,"เจ้าหน้าที่ขนส่ง",IF($AB220="G",SUM($AF$8:$AF$407),IF(OR($AB220="",$AB220="R"),"",IF($AB220="D",INDEX($AF$8:$AF$407,$AA220),SUMIF($T$8:$T$407,INDEX($T$8:$T$407,$AA220),$AF$8:$AF$407)))))))</f>
        <v/>
      </c>
      <c r="F220" s="32">
        <f>IF($AB220="G",SUM($AG$8:$AG$407),IF(OR($AB220="",$AB220="R"),"",IF($AB220="D",INDEX($AG$8:$AG$407,$AA220),SUMIF($T$8:$T$407,INDEX($T$8:$T$407,$AA220),$AG$8:$AG$407))))</f>
        <v/>
      </c>
      <c r="G220" s="32">
        <f>IF(OR($AB220="",$AB220="R"),"",ROUND($E220-$F220,2))</f>
        <v/>
      </c>
      <c r="H220" s="32">
        <f>IF($AB220="G",SUM($AH$8:$AH$407),IF(OR($AB220="",$AB220="R"),"",IF($AB220="D",INDEX($AH$8:$AH$407,$AA220),SUMIF($T$8:$T$407,INDEX($T$8:$T$407,$AA220),$AH$8:$AH$407))))</f>
        <v/>
      </c>
      <c r="J220">
        <f>IFERROR(MATCH(213,บันทึกรายเที่ยว!$W$6:$W$6005,0),"")</f>
        <v/>
      </c>
      <c r="K220">
        <f>IF($J220="","",INDEX(บันทึกรายเที่ยว!$T$6:$T$6005,$J220))</f>
        <v/>
      </c>
      <c r="L220">
        <f>IF($J220="","",INDEX(บันทึกรายเที่ยว!$S$6:$S$6005,$J220))</f>
        <v/>
      </c>
      <c r="M220">
        <f>IF($J220="","",INDEX(บันทึกรายเที่ยว!$R$6:$R$6005,$J220))</f>
        <v/>
      </c>
      <c r="N220">
        <f>IF($J220="","",MATCH($M220,บันทึกรายเที่ยว!$R$6:$R$6005,0))</f>
        <v/>
      </c>
      <c r="O220">
        <f>IF($J220="","",MATCH($L220,บันทึกรายเที่ยว!$S$6:$S$6005,0))</f>
        <v/>
      </c>
      <c r="P220">
        <f>IF($J220="","",IF(AND(OR($I$3="(ทั้งหมด)",INDEX(บันทึกรายเที่ยว!$C$6:$C$6005,$J220)=$I$3),OR($I$5="(ทั้งหมด)",INDEX(บันทึกรายเที่ยว!$D$6:$D$6005,$J220)=$I$5),OR($I$7="(ทั้งหมด)",INDEX(บันทึกรายเที่ยว!$F$6:$F$6005,$J220)=$I$7)),$N220*10000000+$O220*1000+213,""))</f>
        <v/>
      </c>
      <c r="Q220">
        <f>IFERROR(MATCH(SMALL($P$8:$P$407,213),$P$8:$P$407,0),"")</f>
        <v/>
      </c>
      <c r="R220">
        <f>IF($Q220="","",INDEX($J$8:$J$407,$Q220))</f>
        <v/>
      </c>
      <c r="S220">
        <f>IF($Q220="","",INDEX($M$8:$M$407,$Q220))</f>
        <v/>
      </c>
      <c r="T220">
        <f>IF($Q220="","",INDEX($L$8:$L$407,$Q220))</f>
        <v/>
      </c>
      <c r="U220">
        <f>IF($Q220="","",INDEX($K$8:$K$407,$Q220))</f>
        <v/>
      </c>
      <c r="V220">
        <f>IF($Q220="",0,IF($S220&lt;&gt;$S219,1,0))</f>
        <v/>
      </c>
      <c r="W220">
        <f>IF($Q220="",0,IF($T220&lt;&gt;$T219,1,0))</f>
        <v/>
      </c>
      <c r="X220">
        <f>IF($Q220="",99999+213,$X219+1+$V219+$W219)</f>
        <v/>
      </c>
      <c r="Y220">
        <f>IF($Q220="","",INDEX(บันทึกรายเที่ยว!$Q$6:$Q$6005,$R220))</f>
        <v/>
      </c>
      <c r="Z220">
        <f>IF($Q220="","",INDEX(บันทึกรายเที่ยว!$F$6:$F$6005,$R220))</f>
        <v/>
      </c>
      <c r="AA220">
        <f>IFERROR(MATCH(213,$X$8:$X$407,1),"")</f>
        <v/>
      </c>
      <c r="AB220">
        <f>IF(213=$AD$1+1,"G",IF($AA220="","",IF(INDEX($Q$8:$Q$407,$AA220)="","",IF(213&gt;INDEX($X$8:$X$407,$AA220)+INDEX($V$8:$V$407,$AA220)+INDEX($W$8:$W$407,$AA220),"",IF(213=INDEX($X$8:$X$407,$AA220)+INDEX($V$8:$V$407,$AA220)+INDEX($W$8:$W$407,$AA220),"D",IF(AND(INDEX($W$8:$W$407,$AA220)=1,213=INDEX($X$8:$X$407,$AA220)+INDEX($V$8:$V$407,$AA220)),"S","R"))))))</f>
        <v/>
      </c>
      <c r="AC220">
        <f>IF(OR($AB220="",$AB220="G"),"",IF($AB220="D",INDEX($U$8:$U$407,$AA220),IF($AB220="S",INDEX($T$8:$T$407,$AA220)&amp;"|*",INDEX($S$8:$S$407,$AA220)&amp;"|*")))</f>
        <v/>
      </c>
      <c r="AE220">
        <f>IF($U220="",0,COUNTIF(บันทึกรายเที่ยว!$T$6:$T$6005,$U220))</f>
        <v/>
      </c>
      <c r="AF220">
        <f>IF($U220="",0,ROUND(SUMIF(บันทึกรายเที่ยว!$T$6:$T$6005,$U220,บันทึกรายเที่ยว!$J$6:$J$6005),2))</f>
        <v/>
      </c>
      <c r="AG220">
        <f>IF($U220="",0,ROUND(SUMIF(บันทึกรายเที่ยว!$T$6:$T$6005,$U220,บันทึกรายเที่ยว!$K$6:$K$6005),2))</f>
        <v/>
      </c>
      <c r="AH220">
        <f>IF($U220="",0,ROUND(SUMIF(บันทึกรายเที่ยว!$T$6:$T$6005,$U220,บันทึกรายเที่ยว!$M$6:$M$6005),2))</f>
        <v/>
      </c>
    </row>
    <row r="221" ht="21" customHeight="1" s="66">
      <c r="A221" s="3">
        <f>IF($AB221="G","ผลรวมทั้งหมด",IF($AB221="R",INDEX($S$8:$S$407,$AA221),""))</f>
        <v/>
      </c>
      <c r="B221" s="3">
        <f>IF($AB221="S",INDEX($Y$8:$Y$407,$AA221),"")</f>
        <v/>
      </c>
      <c r="C221" s="68">
        <f>IF($AB221="D",INDEX($Z$8:$Z$407,$AA221),"")</f>
        <v/>
      </c>
      <c r="D221" s="31">
        <f>IF($AB221="G",SUM($AE$8:$AE$407),IF(OR($AB221="",$AB221="R"),"",IF($AB221="D",INDEX($AE$8:$AE$407,$AA221),SUMIF($T$8:$T$407,INDEX($T$8:$T$407,$AA221),$AE$8:$AE$407))))</f>
        <v/>
      </c>
      <c r="E221" s="32">
        <f>IF(214=$AD$1+3,"ขอแสดงความนับถือ",IF(214=$AD$1+6,"(                 )",IF(214=$AD$1+7,"เจ้าหน้าที่ขนส่ง",IF($AB221="G",SUM($AF$8:$AF$407),IF(OR($AB221="",$AB221="R"),"",IF($AB221="D",INDEX($AF$8:$AF$407,$AA221),SUMIF($T$8:$T$407,INDEX($T$8:$T$407,$AA221),$AF$8:$AF$407)))))))</f>
        <v/>
      </c>
      <c r="F221" s="32">
        <f>IF($AB221="G",SUM($AG$8:$AG$407),IF(OR($AB221="",$AB221="R"),"",IF($AB221="D",INDEX($AG$8:$AG$407,$AA221),SUMIF($T$8:$T$407,INDEX($T$8:$T$407,$AA221),$AG$8:$AG$407))))</f>
        <v/>
      </c>
      <c r="G221" s="32">
        <f>IF(OR($AB221="",$AB221="R"),"",ROUND($E221-$F221,2))</f>
        <v/>
      </c>
      <c r="H221" s="32">
        <f>IF($AB221="G",SUM($AH$8:$AH$407),IF(OR($AB221="",$AB221="R"),"",IF($AB221="D",INDEX($AH$8:$AH$407,$AA221),SUMIF($T$8:$T$407,INDEX($T$8:$T$407,$AA221),$AH$8:$AH$407))))</f>
        <v/>
      </c>
      <c r="J221">
        <f>IFERROR(MATCH(214,บันทึกรายเที่ยว!$W$6:$W$6005,0),"")</f>
        <v/>
      </c>
      <c r="K221">
        <f>IF($J221="","",INDEX(บันทึกรายเที่ยว!$T$6:$T$6005,$J221))</f>
        <v/>
      </c>
      <c r="L221">
        <f>IF($J221="","",INDEX(บันทึกรายเที่ยว!$S$6:$S$6005,$J221))</f>
        <v/>
      </c>
      <c r="M221">
        <f>IF($J221="","",INDEX(บันทึกรายเที่ยว!$R$6:$R$6005,$J221))</f>
        <v/>
      </c>
      <c r="N221">
        <f>IF($J221="","",MATCH($M221,บันทึกรายเที่ยว!$R$6:$R$6005,0))</f>
        <v/>
      </c>
      <c r="O221">
        <f>IF($J221="","",MATCH($L221,บันทึกรายเที่ยว!$S$6:$S$6005,0))</f>
        <v/>
      </c>
      <c r="P221">
        <f>IF($J221="","",IF(AND(OR($I$3="(ทั้งหมด)",INDEX(บันทึกรายเที่ยว!$C$6:$C$6005,$J221)=$I$3),OR($I$5="(ทั้งหมด)",INDEX(บันทึกรายเที่ยว!$D$6:$D$6005,$J221)=$I$5),OR($I$7="(ทั้งหมด)",INDEX(บันทึกรายเที่ยว!$F$6:$F$6005,$J221)=$I$7)),$N221*10000000+$O221*1000+214,""))</f>
        <v/>
      </c>
      <c r="Q221">
        <f>IFERROR(MATCH(SMALL($P$8:$P$407,214),$P$8:$P$407,0),"")</f>
        <v/>
      </c>
      <c r="R221">
        <f>IF($Q221="","",INDEX($J$8:$J$407,$Q221))</f>
        <v/>
      </c>
      <c r="S221">
        <f>IF($Q221="","",INDEX($M$8:$M$407,$Q221))</f>
        <v/>
      </c>
      <c r="T221">
        <f>IF($Q221="","",INDEX($L$8:$L$407,$Q221))</f>
        <v/>
      </c>
      <c r="U221">
        <f>IF($Q221="","",INDEX($K$8:$K$407,$Q221))</f>
        <v/>
      </c>
      <c r="V221">
        <f>IF($Q221="",0,IF($S221&lt;&gt;$S220,1,0))</f>
        <v/>
      </c>
      <c r="W221">
        <f>IF($Q221="",0,IF($T221&lt;&gt;$T220,1,0))</f>
        <v/>
      </c>
      <c r="X221">
        <f>IF($Q221="",99999+214,$X220+1+$V220+$W220)</f>
        <v/>
      </c>
      <c r="Y221">
        <f>IF($Q221="","",INDEX(บันทึกรายเที่ยว!$Q$6:$Q$6005,$R221))</f>
        <v/>
      </c>
      <c r="Z221">
        <f>IF($Q221="","",INDEX(บันทึกรายเที่ยว!$F$6:$F$6005,$R221))</f>
        <v/>
      </c>
      <c r="AA221">
        <f>IFERROR(MATCH(214,$X$8:$X$407,1),"")</f>
        <v/>
      </c>
      <c r="AB221">
        <f>IF(214=$AD$1+1,"G",IF($AA221="","",IF(INDEX($Q$8:$Q$407,$AA221)="","",IF(214&gt;INDEX($X$8:$X$407,$AA221)+INDEX($V$8:$V$407,$AA221)+INDEX($W$8:$W$407,$AA221),"",IF(214=INDEX($X$8:$X$407,$AA221)+INDEX($V$8:$V$407,$AA221)+INDEX($W$8:$W$407,$AA221),"D",IF(AND(INDEX($W$8:$W$407,$AA221)=1,214=INDEX($X$8:$X$407,$AA221)+INDEX($V$8:$V$407,$AA221)),"S","R"))))))</f>
        <v/>
      </c>
      <c r="AC221">
        <f>IF(OR($AB221="",$AB221="G"),"",IF($AB221="D",INDEX($U$8:$U$407,$AA221),IF($AB221="S",INDEX($T$8:$T$407,$AA221)&amp;"|*",INDEX($S$8:$S$407,$AA221)&amp;"|*")))</f>
        <v/>
      </c>
      <c r="AE221">
        <f>IF($U221="",0,COUNTIF(บันทึกรายเที่ยว!$T$6:$T$6005,$U221))</f>
        <v/>
      </c>
      <c r="AF221">
        <f>IF($U221="",0,ROUND(SUMIF(บันทึกรายเที่ยว!$T$6:$T$6005,$U221,บันทึกรายเที่ยว!$J$6:$J$6005),2))</f>
        <v/>
      </c>
      <c r="AG221">
        <f>IF($U221="",0,ROUND(SUMIF(บันทึกรายเที่ยว!$T$6:$T$6005,$U221,บันทึกรายเที่ยว!$K$6:$K$6005),2))</f>
        <v/>
      </c>
      <c r="AH221">
        <f>IF($U221="",0,ROUND(SUMIF(บันทึกรายเที่ยว!$T$6:$T$6005,$U221,บันทึกรายเที่ยว!$M$6:$M$6005),2))</f>
        <v/>
      </c>
    </row>
    <row r="222" ht="21" customHeight="1" s="66">
      <c r="A222" s="3">
        <f>IF($AB222="G","ผลรวมทั้งหมด",IF($AB222="R",INDEX($S$8:$S$407,$AA222),""))</f>
        <v/>
      </c>
      <c r="B222" s="3">
        <f>IF($AB222="S",INDEX($Y$8:$Y$407,$AA222),"")</f>
        <v/>
      </c>
      <c r="C222" s="68">
        <f>IF($AB222="D",INDEX($Z$8:$Z$407,$AA222),"")</f>
        <v/>
      </c>
      <c r="D222" s="31">
        <f>IF($AB222="G",SUM($AE$8:$AE$407),IF(OR($AB222="",$AB222="R"),"",IF($AB222="D",INDEX($AE$8:$AE$407,$AA222),SUMIF($T$8:$T$407,INDEX($T$8:$T$407,$AA222),$AE$8:$AE$407))))</f>
        <v/>
      </c>
      <c r="E222" s="32">
        <f>IF(215=$AD$1+3,"ขอแสดงความนับถือ",IF(215=$AD$1+6,"(                 )",IF(215=$AD$1+7,"เจ้าหน้าที่ขนส่ง",IF($AB222="G",SUM($AF$8:$AF$407),IF(OR($AB222="",$AB222="R"),"",IF($AB222="D",INDEX($AF$8:$AF$407,$AA222),SUMIF($T$8:$T$407,INDEX($T$8:$T$407,$AA222),$AF$8:$AF$407)))))))</f>
        <v/>
      </c>
      <c r="F222" s="32">
        <f>IF($AB222="G",SUM($AG$8:$AG$407),IF(OR($AB222="",$AB222="R"),"",IF($AB222="D",INDEX($AG$8:$AG$407,$AA222),SUMIF($T$8:$T$407,INDEX($T$8:$T$407,$AA222),$AG$8:$AG$407))))</f>
        <v/>
      </c>
      <c r="G222" s="32">
        <f>IF(OR($AB222="",$AB222="R"),"",ROUND($E222-$F222,2))</f>
        <v/>
      </c>
      <c r="H222" s="32">
        <f>IF($AB222="G",SUM($AH$8:$AH$407),IF(OR($AB222="",$AB222="R"),"",IF($AB222="D",INDEX($AH$8:$AH$407,$AA222),SUMIF($T$8:$T$407,INDEX($T$8:$T$407,$AA222),$AH$8:$AH$407))))</f>
        <v/>
      </c>
      <c r="J222">
        <f>IFERROR(MATCH(215,บันทึกรายเที่ยว!$W$6:$W$6005,0),"")</f>
        <v/>
      </c>
      <c r="K222">
        <f>IF($J222="","",INDEX(บันทึกรายเที่ยว!$T$6:$T$6005,$J222))</f>
        <v/>
      </c>
      <c r="L222">
        <f>IF($J222="","",INDEX(บันทึกรายเที่ยว!$S$6:$S$6005,$J222))</f>
        <v/>
      </c>
      <c r="M222">
        <f>IF($J222="","",INDEX(บันทึกรายเที่ยว!$R$6:$R$6005,$J222))</f>
        <v/>
      </c>
      <c r="N222">
        <f>IF($J222="","",MATCH($M222,บันทึกรายเที่ยว!$R$6:$R$6005,0))</f>
        <v/>
      </c>
      <c r="O222">
        <f>IF($J222="","",MATCH($L222,บันทึกรายเที่ยว!$S$6:$S$6005,0))</f>
        <v/>
      </c>
      <c r="P222">
        <f>IF($J222="","",IF(AND(OR($I$3="(ทั้งหมด)",INDEX(บันทึกรายเที่ยว!$C$6:$C$6005,$J222)=$I$3),OR($I$5="(ทั้งหมด)",INDEX(บันทึกรายเที่ยว!$D$6:$D$6005,$J222)=$I$5),OR($I$7="(ทั้งหมด)",INDEX(บันทึกรายเที่ยว!$F$6:$F$6005,$J222)=$I$7)),$N222*10000000+$O222*1000+215,""))</f>
        <v/>
      </c>
      <c r="Q222">
        <f>IFERROR(MATCH(SMALL($P$8:$P$407,215),$P$8:$P$407,0),"")</f>
        <v/>
      </c>
      <c r="R222">
        <f>IF($Q222="","",INDEX($J$8:$J$407,$Q222))</f>
        <v/>
      </c>
      <c r="S222">
        <f>IF($Q222="","",INDEX($M$8:$M$407,$Q222))</f>
        <v/>
      </c>
      <c r="T222">
        <f>IF($Q222="","",INDEX($L$8:$L$407,$Q222))</f>
        <v/>
      </c>
      <c r="U222">
        <f>IF($Q222="","",INDEX($K$8:$K$407,$Q222))</f>
        <v/>
      </c>
      <c r="V222">
        <f>IF($Q222="",0,IF($S222&lt;&gt;$S221,1,0))</f>
        <v/>
      </c>
      <c r="W222">
        <f>IF($Q222="",0,IF($T222&lt;&gt;$T221,1,0))</f>
        <v/>
      </c>
      <c r="X222">
        <f>IF($Q222="",99999+215,$X221+1+$V221+$W221)</f>
        <v/>
      </c>
      <c r="Y222">
        <f>IF($Q222="","",INDEX(บันทึกรายเที่ยว!$Q$6:$Q$6005,$R222))</f>
        <v/>
      </c>
      <c r="Z222">
        <f>IF($Q222="","",INDEX(บันทึกรายเที่ยว!$F$6:$F$6005,$R222))</f>
        <v/>
      </c>
      <c r="AA222">
        <f>IFERROR(MATCH(215,$X$8:$X$407,1),"")</f>
        <v/>
      </c>
      <c r="AB222">
        <f>IF(215=$AD$1+1,"G",IF($AA222="","",IF(INDEX($Q$8:$Q$407,$AA222)="","",IF(215&gt;INDEX($X$8:$X$407,$AA222)+INDEX($V$8:$V$407,$AA222)+INDEX($W$8:$W$407,$AA222),"",IF(215=INDEX($X$8:$X$407,$AA222)+INDEX($V$8:$V$407,$AA222)+INDEX($W$8:$W$407,$AA222),"D",IF(AND(INDEX($W$8:$W$407,$AA222)=1,215=INDEX($X$8:$X$407,$AA222)+INDEX($V$8:$V$407,$AA222)),"S","R"))))))</f>
        <v/>
      </c>
      <c r="AC222">
        <f>IF(OR($AB222="",$AB222="G"),"",IF($AB222="D",INDEX($U$8:$U$407,$AA222),IF($AB222="S",INDEX($T$8:$T$407,$AA222)&amp;"|*",INDEX($S$8:$S$407,$AA222)&amp;"|*")))</f>
        <v/>
      </c>
      <c r="AE222">
        <f>IF($U222="",0,COUNTIF(บันทึกรายเที่ยว!$T$6:$T$6005,$U222))</f>
        <v/>
      </c>
      <c r="AF222">
        <f>IF($U222="",0,ROUND(SUMIF(บันทึกรายเที่ยว!$T$6:$T$6005,$U222,บันทึกรายเที่ยว!$J$6:$J$6005),2))</f>
        <v/>
      </c>
      <c r="AG222">
        <f>IF($U222="",0,ROUND(SUMIF(บันทึกรายเที่ยว!$T$6:$T$6005,$U222,บันทึกรายเที่ยว!$K$6:$K$6005),2))</f>
        <v/>
      </c>
      <c r="AH222">
        <f>IF($U222="",0,ROUND(SUMIF(บันทึกรายเที่ยว!$T$6:$T$6005,$U222,บันทึกรายเที่ยว!$M$6:$M$6005),2))</f>
        <v/>
      </c>
    </row>
    <row r="223" ht="21" customHeight="1" s="66">
      <c r="A223" s="3">
        <f>IF($AB223="G","ผลรวมทั้งหมด",IF($AB223="R",INDEX($S$8:$S$407,$AA223),""))</f>
        <v/>
      </c>
      <c r="B223" s="3">
        <f>IF($AB223="S",INDEX($Y$8:$Y$407,$AA223),"")</f>
        <v/>
      </c>
      <c r="C223" s="68">
        <f>IF($AB223="D",INDEX($Z$8:$Z$407,$AA223),"")</f>
        <v/>
      </c>
      <c r="D223" s="31">
        <f>IF($AB223="G",SUM($AE$8:$AE$407),IF(OR($AB223="",$AB223="R"),"",IF($AB223="D",INDEX($AE$8:$AE$407,$AA223),SUMIF($T$8:$T$407,INDEX($T$8:$T$407,$AA223),$AE$8:$AE$407))))</f>
        <v/>
      </c>
      <c r="E223" s="32">
        <f>IF(216=$AD$1+3,"ขอแสดงความนับถือ",IF(216=$AD$1+6,"(                 )",IF(216=$AD$1+7,"เจ้าหน้าที่ขนส่ง",IF($AB223="G",SUM($AF$8:$AF$407),IF(OR($AB223="",$AB223="R"),"",IF($AB223="D",INDEX($AF$8:$AF$407,$AA223),SUMIF($T$8:$T$407,INDEX($T$8:$T$407,$AA223),$AF$8:$AF$407)))))))</f>
        <v/>
      </c>
      <c r="F223" s="32">
        <f>IF($AB223="G",SUM($AG$8:$AG$407),IF(OR($AB223="",$AB223="R"),"",IF($AB223="D",INDEX($AG$8:$AG$407,$AA223),SUMIF($T$8:$T$407,INDEX($T$8:$T$407,$AA223),$AG$8:$AG$407))))</f>
        <v/>
      </c>
      <c r="G223" s="32">
        <f>IF(OR($AB223="",$AB223="R"),"",ROUND($E223-$F223,2))</f>
        <v/>
      </c>
      <c r="H223" s="32">
        <f>IF($AB223="G",SUM($AH$8:$AH$407),IF(OR($AB223="",$AB223="R"),"",IF($AB223="D",INDEX($AH$8:$AH$407,$AA223),SUMIF($T$8:$T$407,INDEX($T$8:$T$407,$AA223),$AH$8:$AH$407))))</f>
        <v/>
      </c>
      <c r="J223">
        <f>IFERROR(MATCH(216,บันทึกรายเที่ยว!$W$6:$W$6005,0),"")</f>
        <v/>
      </c>
      <c r="K223">
        <f>IF($J223="","",INDEX(บันทึกรายเที่ยว!$T$6:$T$6005,$J223))</f>
        <v/>
      </c>
      <c r="L223">
        <f>IF($J223="","",INDEX(บันทึกรายเที่ยว!$S$6:$S$6005,$J223))</f>
        <v/>
      </c>
      <c r="M223">
        <f>IF($J223="","",INDEX(บันทึกรายเที่ยว!$R$6:$R$6005,$J223))</f>
        <v/>
      </c>
      <c r="N223">
        <f>IF($J223="","",MATCH($M223,บันทึกรายเที่ยว!$R$6:$R$6005,0))</f>
        <v/>
      </c>
      <c r="O223">
        <f>IF($J223="","",MATCH($L223,บันทึกรายเที่ยว!$S$6:$S$6005,0))</f>
        <v/>
      </c>
      <c r="P223">
        <f>IF($J223="","",IF(AND(OR($I$3="(ทั้งหมด)",INDEX(บันทึกรายเที่ยว!$C$6:$C$6005,$J223)=$I$3),OR($I$5="(ทั้งหมด)",INDEX(บันทึกรายเที่ยว!$D$6:$D$6005,$J223)=$I$5),OR($I$7="(ทั้งหมด)",INDEX(บันทึกรายเที่ยว!$F$6:$F$6005,$J223)=$I$7)),$N223*10000000+$O223*1000+216,""))</f>
        <v/>
      </c>
      <c r="Q223">
        <f>IFERROR(MATCH(SMALL($P$8:$P$407,216),$P$8:$P$407,0),"")</f>
        <v/>
      </c>
      <c r="R223">
        <f>IF($Q223="","",INDEX($J$8:$J$407,$Q223))</f>
        <v/>
      </c>
      <c r="S223">
        <f>IF($Q223="","",INDEX($M$8:$M$407,$Q223))</f>
        <v/>
      </c>
      <c r="T223">
        <f>IF($Q223="","",INDEX($L$8:$L$407,$Q223))</f>
        <v/>
      </c>
      <c r="U223">
        <f>IF($Q223="","",INDEX($K$8:$K$407,$Q223))</f>
        <v/>
      </c>
      <c r="V223">
        <f>IF($Q223="",0,IF($S223&lt;&gt;$S222,1,0))</f>
        <v/>
      </c>
      <c r="W223">
        <f>IF($Q223="",0,IF($T223&lt;&gt;$T222,1,0))</f>
        <v/>
      </c>
      <c r="X223">
        <f>IF($Q223="",99999+216,$X222+1+$V222+$W222)</f>
        <v/>
      </c>
      <c r="Y223">
        <f>IF($Q223="","",INDEX(บันทึกรายเที่ยว!$Q$6:$Q$6005,$R223))</f>
        <v/>
      </c>
      <c r="Z223">
        <f>IF($Q223="","",INDEX(บันทึกรายเที่ยว!$F$6:$F$6005,$R223))</f>
        <v/>
      </c>
      <c r="AA223">
        <f>IFERROR(MATCH(216,$X$8:$X$407,1),"")</f>
        <v/>
      </c>
      <c r="AB223">
        <f>IF(216=$AD$1+1,"G",IF($AA223="","",IF(INDEX($Q$8:$Q$407,$AA223)="","",IF(216&gt;INDEX($X$8:$X$407,$AA223)+INDEX($V$8:$V$407,$AA223)+INDEX($W$8:$W$407,$AA223),"",IF(216=INDEX($X$8:$X$407,$AA223)+INDEX($V$8:$V$407,$AA223)+INDEX($W$8:$W$407,$AA223),"D",IF(AND(INDEX($W$8:$W$407,$AA223)=1,216=INDEX($X$8:$X$407,$AA223)+INDEX($V$8:$V$407,$AA223)),"S","R"))))))</f>
        <v/>
      </c>
      <c r="AC223">
        <f>IF(OR($AB223="",$AB223="G"),"",IF($AB223="D",INDEX($U$8:$U$407,$AA223),IF($AB223="S",INDEX($T$8:$T$407,$AA223)&amp;"|*",INDEX($S$8:$S$407,$AA223)&amp;"|*")))</f>
        <v/>
      </c>
      <c r="AE223">
        <f>IF($U223="",0,COUNTIF(บันทึกรายเที่ยว!$T$6:$T$6005,$U223))</f>
        <v/>
      </c>
      <c r="AF223">
        <f>IF($U223="",0,ROUND(SUMIF(บันทึกรายเที่ยว!$T$6:$T$6005,$U223,บันทึกรายเที่ยว!$J$6:$J$6005),2))</f>
        <v/>
      </c>
      <c r="AG223">
        <f>IF($U223="",0,ROUND(SUMIF(บันทึกรายเที่ยว!$T$6:$T$6005,$U223,บันทึกรายเที่ยว!$K$6:$K$6005),2))</f>
        <v/>
      </c>
      <c r="AH223">
        <f>IF($U223="",0,ROUND(SUMIF(บันทึกรายเที่ยว!$T$6:$T$6005,$U223,บันทึกรายเที่ยว!$M$6:$M$6005),2))</f>
        <v/>
      </c>
    </row>
    <row r="224" ht="21" customHeight="1" s="66">
      <c r="A224" s="3">
        <f>IF($AB224="G","ผลรวมทั้งหมด",IF($AB224="R",INDEX($S$8:$S$407,$AA224),""))</f>
        <v/>
      </c>
      <c r="B224" s="3">
        <f>IF($AB224="S",INDEX($Y$8:$Y$407,$AA224),"")</f>
        <v/>
      </c>
      <c r="C224" s="68">
        <f>IF($AB224="D",INDEX($Z$8:$Z$407,$AA224),"")</f>
        <v/>
      </c>
      <c r="D224" s="31">
        <f>IF($AB224="G",SUM($AE$8:$AE$407),IF(OR($AB224="",$AB224="R"),"",IF($AB224="D",INDEX($AE$8:$AE$407,$AA224),SUMIF($T$8:$T$407,INDEX($T$8:$T$407,$AA224),$AE$8:$AE$407))))</f>
        <v/>
      </c>
      <c r="E224" s="32">
        <f>IF(217=$AD$1+3,"ขอแสดงความนับถือ",IF(217=$AD$1+6,"(                 )",IF(217=$AD$1+7,"เจ้าหน้าที่ขนส่ง",IF($AB224="G",SUM($AF$8:$AF$407),IF(OR($AB224="",$AB224="R"),"",IF($AB224="D",INDEX($AF$8:$AF$407,$AA224),SUMIF($T$8:$T$407,INDEX($T$8:$T$407,$AA224),$AF$8:$AF$407)))))))</f>
        <v/>
      </c>
      <c r="F224" s="32">
        <f>IF($AB224="G",SUM($AG$8:$AG$407),IF(OR($AB224="",$AB224="R"),"",IF($AB224="D",INDEX($AG$8:$AG$407,$AA224),SUMIF($T$8:$T$407,INDEX($T$8:$T$407,$AA224),$AG$8:$AG$407))))</f>
        <v/>
      </c>
      <c r="G224" s="32">
        <f>IF(OR($AB224="",$AB224="R"),"",ROUND($E224-$F224,2))</f>
        <v/>
      </c>
      <c r="H224" s="32">
        <f>IF($AB224="G",SUM($AH$8:$AH$407),IF(OR($AB224="",$AB224="R"),"",IF($AB224="D",INDEX($AH$8:$AH$407,$AA224),SUMIF($T$8:$T$407,INDEX($T$8:$T$407,$AA224),$AH$8:$AH$407))))</f>
        <v/>
      </c>
      <c r="J224">
        <f>IFERROR(MATCH(217,บันทึกรายเที่ยว!$W$6:$W$6005,0),"")</f>
        <v/>
      </c>
      <c r="K224">
        <f>IF($J224="","",INDEX(บันทึกรายเที่ยว!$T$6:$T$6005,$J224))</f>
        <v/>
      </c>
      <c r="L224">
        <f>IF($J224="","",INDEX(บันทึกรายเที่ยว!$S$6:$S$6005,$J224))</f>
        <v/>
      </c>
      <c r="M224">
        <f>IF($J224="","",INDEX(บันทึกรายเที่ยว!$R$6:$R$6005,$J224))</f>
        <v/>
      </c>
      <c r="N224">
        <f>IF($J224="","",MATCH($M224,บันทึกรายเที่ยว!$R$6:$R$6005,0))</f>
        <v/>
      </c>
      <c r="O224">
        <f>IF($J224="","",MATCH($L224,บันทึกรายเที่ยว!$S$6:$S$6005,0))</f>
        <v/>
      </c>
      <c r="P224">
        <f>IF($J224="","",IF(AND(OR($I$3="(ทั้งหมด)",INDEX(บันทึกรายเที่ยว!$C$6:$C$6005,$J224)=$I$3),OR($I$5="(ทั้งหมด)",INDEX(บันทึกรายเที่ยว!$D$6:$D$6005,$J224)=$I$5),OR($I$7="(ทั้งหมด)",INDEX(บันทึกรายเที่ยว!$F$6:$F$6005,$J224)=$I$7)),$N224*10000000+$O224*1000+217,""))</f>
        <v/>
      </c>
      <c r="Q224">
        <f>IFERROR(MATCH(SMALL($P$8:$P$407,217),$P$8:$P$407,0),"")</f>
        <v/>
      </c>
      <c r="R224">
        <f>IF($Q224="","",INDEX($J$8:$J$407,$Q224))</f>
        <v/>
      </c>
      <c r="S224">
        <f>IF($Q224="","",INDEX($M$8:$M$407,$Q224))</f>
        <v/>
      </c>
      <c r="T224">
        <f>IF($Q224="","",INDEX($L$8:$L$407,$Q224))</f>
        <v/>
      </c>
      <c r="U224">
        <f>IF($Q224="","",INDEX($K$8:$K$407,$Q224))</f>
        <v/>
      </c>
      <c r="V224">
        <f>IF($Q224="",0,IF($S224&lt;&gt;$S223,1,0))</f>
        <v/>
      </c>
      <c r="W224">
        <f>IF($Q224="",0,IF($T224&lt;&gt;$T223,1,0))</f>
        <v/>
      </c>
      <c r="X224">
        <f>IF($Q224="",99999+217,$X223+1+$V223+$W223)</f>
        <v/>
      </c>
      <c r="Y224">
        <f>IF($Q224="","",INDEX(บันทึกรายเที่ยว!$Q$6:$Q$6005,$R224))</f>
        <v/>
      </c>
      <c r="Z224">
        <f>IF($Q224="","",INDEX(บันทึกรายเที่ยว!$F$6:$F$6005,$R224))</f>
        <v/>
      </c>
      <c r="AA224">
        <f>IFERROR(MATCH(217,$X$8:$X$407,1),"")</f>
        <v/>
      </c>
      <c r="AB224">
        <f>IF(217=$AD$1+1,"G",IF($AA224="","",IF(INDEX($Q$8:$Q$407,$AA224)="","",IF(217&gt;INDEX($X$8:$X$407,$AA224)+INDEX($V$8:$V$407,$AA224)+INDEX($W$8:$W$407,$AA224),"",IF(217=INDEX($X$8:$X$407,$AA224)+INDEX($V$8:$V$407,$AA224)+INDEX($W$8:$W$407,$AA224),"D",IF(AND(INDEX($W$8:$W$407,$AA224)=1,217=INDEX($X$8:$X$407,$AA224)+INDEX($V$8:$V$407,$AA224)),"S","R"))))))</f>
        <v/>
      </c>
      <c r="AC224">
        <f>IF(OR($AB224="",$AB224="G"),"",IF($AB224="D",INDEX($U$8:$U$407,$AA224),IF($AB224="S",INDEX($T$8:$T$407,$AA224)&amp;"|*",INDEX($S$8:$S$407,$AA224)&amp;"|*")))</f>
        <v/>
      </c>
      <c r="AE224">
        <f>IF($U224="",0,COUNTIF(บันทึกรายเที่ยว!$T$6:$T$6005,$U224))</f>
        <v/>
      </c>
      <c r="AF224">
        <f>IF($U224="",0,ROUND(SUMIF(บันทึกรายเที่ยว!$T$6:$T$6005,$U224,บันทึกรายเที่ยว!$J$6:$J$6005),2))</f>
        <v/>
      </c>
      <c r="AG224">
        <f>IF($U224="",0,ROUND(SUMIF(บันทึกรายเที่ยว!$T$6:$T$6005,$U224,บันทึกรายเที่ยว!$K$6:$K$6005),2))</f>
        <v/>
      </c>
      <c r="AH224">
        <f>IF($U224="",0,ROUND(SUMIF(บันทึกรายเที่ยว!$T$6:$T$6005,$U224,บันทึกรายเที่ยว!$M$6:$M$6005),2))</f>
        <v/>
      </c>
    </row>
    <row r="225" ht="21" customHeight="1" s="66">
      <c r="A225" s="3">
        <f>IF($AB225="G","ผลรวมทั้งหมด",IF($AB225="R",INDEX($S$8:$S$407,$AA225),""))</f>
        <v/>
      </c>
      <c r="B225" s="3">
        <f>IF($AB225="S",INDEX($Y$8:$Y$407,$AA225),"")</f>
        <v/>
      </c>
      <c r="C225" s="68">
        <f>IF($AB225="D",INDEX($Z$8:$Z$407,$AA225),"")</f>
        <v/>
      </c>
      <c r="D225" s="31">
        <f>IF($AB225="G",SUM($AE$8:$AE$407),IF(OR($AB225="",$AB225="R"),"",IF($AB225="D",INDEX($AE$8:$AE$407,$AA225),SUMIF($T$8:$T$407,INDEX($T$8:$T$407,$AA225),$AE$8:$AE$407))))</f>
        <v/>
      </c>
      <c r="E225" s="32">
        <f>IF(218=$AD$1+3,"ขอแสดงความนับถือ",IF(218=$AD$1+6,"(                 )",IF(218=$AD$1+7,"เจ้าหน้าที่ขนส่ง",IF($AB225="G",SUM($AF$8:$AF$407),IF(OR($AB225="",$AB225="R"),"",IF($AB225="D",INDEX($AF$8:$AF$407,$AA225),SUMIF($T$8:$T$407,INDEX($T$8:$T$407,$AA225),$AF$8:$AF$407)))))))</f>
        <v/>
      </c>
      <c r="F225" s="32">
        <f>IF($AB225="G",SUM($AG$8:$AG$407),IF(OR($AB225="",$AB225="R"),"",IF($AB225="D",INDEX($AG$8:$AG$407,$AA225),SUMIF($T$8:$T$407,INDEX($T$8:$T$407,$AA225),$AG$8:$AG$407))))</f>
        <v/>
      </c>
      <c r="G225" s="32">
        <f>IF(OR($AB225="",$AB225="R"),"",ROUND($E225-$F225,2))</f>
        <v/>
      </c>
      <c r="H225" s="32">
        <f>IF($AB225="G",SUM($AH$8:$AH$407),IF(OR($AB225="",$AB225="R"),"",IF($AB225="D",INDEX($AH$8:$AH$407,$AA225),SUMIF($T$8:$T$407,INDEX($T$8:$T$407,$AA225),$AH$8:$AH$407))))</f>
        <v/>
      </c>
      <c r="J225">
        <f>IFERROR(MATCH(218,บันทึกรายเที่ยว!$W$6:$W$6005,0),"")</f>
        <v/>
      </c>
      <c r="K225">
        <f>IF($J225="","",INDEX(บันทึกรายเที่ยว!$T$6:$T$6005,$J225))</f>
        <v/>
      </c>
      <c r="L225">
        <f>IF($J225="","",INDEX(บันทึกรายเที่ยว!$S$6:$S$6005,$J225))</f>
        <v/>
      </c>
      <c r="M225">
        <f>IF($J225="","",INDEX(บันทึกรายเที่ยว!$R$6:$R$6005,$J225))</f>
        <v/>
      </c>
      <c r="N225">
        <f>IF($J225="","",MATCH($M225,บันทึกรายเที่ยว!$R$6:$R$6005,0))</f>
        <v/>
      </c>
      <c r="O225">
        <f>IF($J225="","",MATCH($L225,บันทึกรายเที่ยว!$S$6:$S$6005,0))</f>
        <v/>
      </c>
      <c r="P225">
        <f>IF($J225="","",IF(AND(OR($I$3="(ทั้งหมด)",INDEX(บันทึกรายเที่ยว!$C$6:$C$6005,$J225)=$I$3),OR($I$5="(ทั้งหมด)",INDEX(บันทึกรายเที่ยว!$D$6:$D$6005,$J225)=$I$5),OR($I$7="(ทั้งหมด)",INDEX(บันทึกรายเที่ยว!$F$6:$F$6005,$J225)=$I$7)),$N225*10000000+$O225*1000+218,""))</f>
        <v/>
      </c>
      <c r="Q225">
        <f>IFERROR(MATCH(SMALL($P$8:$P$407,218),$P$8:$P$407,0),"")</f>
        <v/>
      </c>
      <c r="R225">
        <f>IF($Q225="","",INDEX($J$8:$J$407,$Q225))</f>
        <v/>
      </c>
      <c r="S225">
        <f>IF($Q225="","",INDEX($M$8:$M$407,$Q225))</f>
        <v/>
      </c>
      <c r="T225">
        <f>IF($Q225="","",INDEX($L$8:$L$407,$Q225))</f>
        <v/>
      </c>
      <c r="U225">
        <f>IF($Q225="","",INDEX($K$8:$K$407,$Q225))</f>
        <v/>
      </c>
      <c r="V225">
        <f>IF($Q225="",0,IF($S225&lt;&gt;$S224,1,0))</f>
        <v/>
      </c>
      <c r="W225">
        <f>IF($Q225="",0,IF($T225&lt;&gt;$T224,1,0))</f>
        <v/>
      </c>
      <c r="X225">
        <f>IF($Q225="",99999+218,$X224+1+$V224+$W224)</f>
        <v/>
      </c>
      <c r="Y225">
        <f>IF($Q225="","",INDEX(บันทึกรายเที่ยว!$Q$6:$Q$6005,$R225))</f>
        <v/>
      </c>
      <c r="Z225">
        <f>IF($Q225="","",INDEX(บันทึกรายเที่ยว!$F$6:$F$6005,$R225))</f>
        <v/>
      </c>
      <c r="AA225">
        <f>IFERROR(MATCH(218,$X$8:$X$407,1),"")</f>
        <v/>
      </c>
      <c r="AB225">
        <f>IF(218=$AD$1+1,"G",IF($AA225="","",IF(INDEX($Q$8:$Q$407,$AA225)="","",IF(218&gt;INDEX($X$8:$X$407,$AA225)+INDEX($V$8:$V$407,$AA225)+INDEX($W$8:$W$407,$AA225),"",IF(218=INDEX($X$8:$X$407,$AA225)+INDEX($V$8:$V$407,$AA225)+INDEX($W$8:$W$407,$AA225),"D",IF(AND(INDEX($W$8:$W$407,$AA225)=1,218=INDEX($X$8:$X$407,$AA225)+INDEX($V$8:$V$407,$AA225)),"S","R"))))))</f>
        <v/>
      </c>
      <c r="AC225">
        <f>IF(OR($AB225="",$AB225="G"),"",IF($AB225="D",INDEX($U$8:$U$407,$AA225),IF($AB225="S",INDEX($T$8:$T$407,$AA225)&amp;"|*",INDEX($S$8:$S$407,$AA225)&amp;"|*")))</f>
        <v/>
      </c>
      <c r="AE225">
        <f>IF($U225="",0,COUNTIF(บันทึกรายเที่ยว!$T$6:$T$6005,$U225))</f>
        <v/>
      </c>
      <c r="AF225">
        <f>IF($U225="",0,ROUND(SUMIF(บันทึกรายเที่ยว!$T$6:$T$6005,$U225,บันทึกรายเที่ยว!$J$6:$J$6005),2))</f>
        <v/>
      </c>
      <c r="AG225">
        <f>IF($U225="",0,ROUND(SUMIF(บันทึกรายเที่ยว!$T$6:$T$6005,$U225,บันทึกรายเที่ยว!$K$6:$K$6005),2))</f>
        <v/>
      </c>
      <c r="AH225">
        <f>IF($U225="",0,ROUND(SUMIF(บันทึกรายเที่ยว!$T$6:$T$6005,$U225,บันทึกรายเที่ยว!$M$6:$M$6005),2))</f>
        <v/>
      </c>
    </row>
    <row r="226" ht="21" customHeight="1" s="66">
      <c r="A226" s="3">
        <f>IF($AB226="G","ผลรวมทั้งหมด",IF($AB226="R",INDEX($S$8:$S$407,$AA226),""))</f>
        <v/>
      </c>
      <c r="B226" s="3">
        <f>IF($AB226="S",INDEX($Y$8:$Y$407,$AA226),"")</f>
        <v/>
      </c>
      <c r="C226" s="68">
        <f>IF($AB226="D",INDEX($Z$8:$Z$407,$AA226),"")</f>
        <v/>
      </c>
      <c r="D226" s="31">
        <f>IF($AB226="G",SUM($AE$8:$AE$407),IF(OR($AB226="",$AB226="R"),"",IF($AB226="D",INDEX($AE$8:$AE$407,$AA226),SUMIF($T$8:$T$407,INDEX($T$8:$T$407,$AA226),$AE$8:$AE$407))))</f>
        <v/>
      </c>
      <c r="E226" s="32">
        <f>IF(219=$AD$1+3,"ขอแสดงความนับถือ",IF(219=$AD$1+6,"(                 )",IF(219=$AD$1+7,"เจ้าหน้าที่ขนส่ง",IF($AB226="G",SUM($AF$8:$AF$407),IF(OR($AB226="",$AB226="R"),"",IF($AB226="D",INDEX($AF$8:$AF$407,$AA226),SUMIF($T$8:$T$407,INDEX($T$8:$T$407,$AA226),$AF$8:$AF$407)))))))</f>
        <v/>
      </c>
      <c r="F226" s="32">
        <f>IF($AB226="G",SUM($AG$8:$AG$407),IF(OR($AB226="",$AB226="R"),"",IF($AB226="D",INDEX($AG$8:$AG$407,$AA226),SUMIF($T$8:$T$407,INDEX($T$8:$T$407,$AA226),$AG$8:$AG$407))))</f>
        <v/>
      </c>
      <c r="G226" s="32">
        <f>IF(OR($AB226="",$AB226="R"),"",ROUND($E226-$F226,2))</f>
        <v/>
      </c>
      <c r="H226" s="32">
        <f>IF($AB226="G",SUM($AH$8:$AH$407),IF(OR($AB226="",$AB226="R"),"",IF($AB226="D",INDEX($AH$8:$AH$407,$AA226),SUMIF($T$8:$T$407,INDEX($T$8:$T$407,$AA226),$AH$8:$AH$407))))</f>
        <v/>
      </c>
      <c r="J226">
        <f>IFERROR(MATCH(219,บันทึกรายเที่ยว!$W$6:$W$6005,0),"")</f>
        <v/>
      </c>
      <c r="K226">
        <f>IF($J226="","",INDEX(บันทึกรายเที่ยว!$T$6:$T$6005,$J226))</f>
        <v/>
      </c>
      <c r="L226">
        <f>IF($J226="","",INDEX(บันทึกรายเที่ยว!$S$6:$S$6005,$J226))</f>
        <v/>
      </c>
      <c r="M226">
        <f>IF($J226="","",INDEX(บันทึกรายเที่ยว!$R$6:$R$6005,$J226))</f>
        <v/>
      </c>
      <c r="N226">
        <f>IF($J226="","",MATCH($M226,บันทึกรายเที่ยว!$R$6:$R$6005,0))</f>
        <v/>
      </c>
      <c r="O226">
        <f>IF($J226="","",MATCH($L226,บันทึกรายเที่ยว!$S$6:$S$6005,0))</f>
        <v/>
      </c>
      <c r="P226">
        <f>IF($J226="","",IF(AND(OR($I$3="(ทั้งหมด)",INDEX(บันทึกรายเที่ยว!$C$6:$C$6005,$J226)=$I$3),OR($I$5="(ทั้งหมด)",INDEX(บันทึกรายเที่ยว!$D$6:$D$6005,$J226)=$I$5),OR($I$7="(ทั้งหมด)",INDEX(บันทึกรายเที่ยว!$F$6:$F$6005,$J226)=$I$7)),$N226*10000000+$O226*1000+219,""))</f>
        <v/>
      </c>
      <c r="Q226">
        <f>IFERROR(MATCH(SMALL($P$8:$P$407,219),$P$8:$P$407,0),"")</f>
        <v/>
      </c>
      <c r="R226">
        <f>IF($Q226="","",INDEX($J$8:$J$407,$Q226))</f>
        <v/>
      </c>
      <c r="S226">
        <f>IF($Q226="","",INDEX($M$8:$M$407,$Q226))</f>
        <v/>
      </c>
      <c r="T226">
        <f>IF($Q226="","",INDEX($L$8:$L$407,$Q226))</f>
        <v/>
      </c>
      <c r="U226">
        <f>IF($Q226="","",INDEX($K$8:$K$407,$Q226))</f>
        <v/>
      </c>
      <c r="V226">
        <f>IF($Q226="",0,IF($S226&lt;&gt;$S225,1,0))</f>
        <v/>
      </c>
      <c r="W226">
        <f>IF($Q226="",0,IF($T226&lt;&gt;$T225,1,0))</f>
        <v/>
      </c>
      <c r="X226">
        <f>IF($Q226="",99999+219,$X225+1+$V225+$W225)</f>
        <v/>
      </c>
      <c r="Y226">
        <f>IF($Q226="","",INDEX(บันทึกรายเที่ยว!$Q$6:$Q$6005,$R226))</f>
        <v/>
      </c>
      <c r="Z226">
        <f>IF($Q226="","",INDEX(บันทึกรายเที่ยว!$F$6:$F$6005,$R226))</f>
        <v/>
      </c>
      <c r="AA226">
        <f>IFERROR(MATCH(219,$X$8:$X$407,1),"")</f>
        <v/>
      </c>
      <c r="AB226">
        <f>IF(219=$AD$1+1,"G",IF($AA226="","",IF(INDEX($Q$8:$Q$407,$AA226)="","",IF(219&gt;INDEX($X$8:$X$407,$AA226)+INDEX($V$8:$V$407,$AA226)+INDEX($W$8:$W$407,$AA226),"",IF(219=INDEX($X$8:$X$407,$AA226)+INDEX($V$8:$V$407,$AA226)+INDEX($W$8:$W$407,$AA226),"D",IF(AND(INDEX($W$8:$W$407,$AA226)=1,219=INDEX($X$8:$X$407,$AA226)+INDEX($V$8:$V$407,$AA226)),"S","R"))))))</f>
        <v/>
      </c>
      <c r="AC226">
        <f>IF(OR($AB226="",$AB226="G"),"",IF($AB226="D",INDEX($U$8:$U$407,$AA226),IF($AB226="S",INDEX($T$8:$T$407,$AA226)&amp;"|*",INDEX($S$8:$S$407,$AA226)&amp;"|*")))</f>
        <v/>
      </c>
      <c r="AE226">
        <f>IF($U226="",0,COUNTIF(บันทึกรายเที่ยว!$T$6:$T$6005,$U226))</f>
        <v/>
      </c>
      <c r="AF226">
        <f>IF($U226="",0,ROUND(SUMIF(บันทึกรายเที่ยว!$T$6:$T$6005,$U226,บันทึกรายเที่ยว!$J$6:$J$6005),2))</f>
        <v/>
      </c>
      <c r="AG226">
        <f>IF($U226="",0,ROUND(SUMIF(บันทึกรายเที่ยว!$T$6:$T$6005,$U226,บันทึกรายเที่ยว!$K$6:$K$6005),2))</f>
        <v/>
      </c>
      <c r="AH226">
        <f>IF($U226="",0,ROUND(SUMIF(บันทึกรายเที่ยว!$T$6:$T$6005,$U226,บันทึกรายเที่ยว!$M$6:$M$6005),2))</f>
        <v/>
      </c>
    </row>
    <row r="227" ht="21" customHeight="1" s="66">
      <c r="A227" s="3">
        <f>IF($AB227="G","ผลรวมทั้งหมด",IF($AB227="R",INDEX($S$8:$S$407,$AA227),""))</f>
        <v/>
      </c>
      <c r="B227" s="3">
        <f>IF($AB227="S",INDEX($Y$8:$Y$407,$AA227),"")</f>
        <v/>
      </c>
      <c r="C227" s="68">
        <f>IF($AB227="D",INDEX($Z$8:$Z$407,$AA227),"")</f>
        <v/>
      </c>
      <c r="D227" s="31">
        <f>IF($AB227="G",SUM($AE$8:$AE$407),IF(OR($AB227="",$AB227="R"),"",IF($AB227="D",INDEX($AE$8:$AE$407,$AA227),SUMIF($T$8:$T$407,INDEX($T$8:$T$407,$AA227),$AE$8:$AE$407))))</f>
        <v/>
      </c>
      <c r="E227" s="32">
        <f>IF(220=$AD$1+3,"ขอแสดงความนับถือ",IF(220=$AD$1+6,"(                 )",IF(220=$AD$1+7,"เจ้าหน้าที่ขนส่ง",IF($AB227="G",SUM($AF$8:$AF$407),IF(OR($AB227="",$AB227="R"),"",IF($AB227="D",INDEX($AF$8:$AF$407,$AA227),SUMIF($T$8:$T$407,INDEX($T$8:$T$407,$AA227),$AF$8:$AF$407)))))))</f>
        <v/>
      </c>
      <c r="F227" s="32">
        <f>IF($AB227="G",SUM($AG$8:$AG$407),IF(OR($AB227="",$AB227="R"),"",IF($AB227="D",INDEX($AG$8:$AG$407,$AA227),SUMIF($T$8:$T$407,INDEX($T$8:$T$407,$AA227),$AG$8:$AG$407))))</f>
        <v/>
      </c>
      <c r="G227" s="32">
        <f>IF(OR($AB227="",$AB227="R"),"",ROUND($E227-$F227,2))</f>
        <v/>
      </c>
      <c r="H227" s="32">
        <f>IF($AB227="G",SUM($AH$8:$AH$407),IF(OR($AB227="",$AB227="R"),"",IF($AB227="D",INDEX($AH$8:$AH$407,$AA227),SUMIF($T$8:$T$407,INDEX($T$8:$T$407,$AA227),$AH$8:$AH$407))))</f>
        <v/>
      </c>
      <c r="J227">
        <f>IFERROR(MATCH(220,บันทึกรายเที่ยว!$W$6:$W$6005,0),"")</f>
        <v/>
      </c>
      <c r="K227">
        <f>IF($J227="","",INDEX(บันทึกรายเที่ยว!$T$6:$T$6005,$J227))</f>
        <v/>
      </c>
      <c r="L227">
        <f>IF($J227="","",INDEX(บันทึกรายเที่ยว!$S$6:$S$6005,$J227))</f>
        <v/>
      </c>
      <c r="M227">
        <f>IF($J227="","",INDEX(บันทึกรายเที่ยว!$R$6:$R$6005,$J227))</f>
        <v/>
      </c>
      <c r="N227">
        <f>IF($J227="","",MATCH($M227,บันทึกรายเที่ยว!$R$6:$R$6005,0))</f>
        <v/>
      </c>
      <c r="O227">
        <f>IF($J227="","",MATCH($L227,บันทึกรายเที่ยว!$S$6:$S$6005,0))</f>
        <v/>
      </c>
      <c r="P227">
        <f>IF($J227="","",IF(AND(OR($I$3="(ทั้งหมด)",INDEX(บันทึกรายเที่ยว!$C$6:$C$6005,$J227)=$I$3),OR($I$5="(ทั้งหมด)",INDEX(บันทึกรายเที่ยว!$D$6:$D$6005,$J227)=$I$5),OR($I$7="(ทั้งหมด)",INDEX(บันทึกรายเที่ยว!$F$6:$F$6005,$J227)=$I$7)),$N227*10000000+$O227*1000+220,""))</f>
        <v/>
      </c>
      <c r="Q227">
        <f>IFERROR(MATCH(SMALL($P$8:$P$407,220),$P$8:$P$407,0),"")</f>
        <v/>
      </c>
      <c r="R227">
        <f>IF($Q227="","",INDEX($J$8:$J$407,$Q227))</f>
        <v/>
      </c>
      <c r="S227">
        <f>IF($Q227="","",INDEX($M$8:$M$407,$Q227))</f>
        <v/>
      </c>
      <c r="T227">
        <f>IF($Q227="","",INDEX($L$8:$L$407,$Q227))</f>
        <v/>
      </c>
      <c r="U227">
        <f>IF($Q227="","",INDEX($K$8:$K$407,$Q227))</f>
        <v/>
      </c>
      <c r="V227">
        <f>IF($Q227="",0,IF($S227&lt;&gt;$S226,1,0))</f>
        <v/>
      </c>
      <c r="W227">
        <f>IF($Q227="",0,IF($T227&lt;&gt;$T226,1,0))</f>
        <v/>
      </c>
      <c r="X227">
        <f>IF($Q227="",99999+220,$X226+1+$V226+$W226)</f>
        <v/>
      </c>
      <c r="Y227">
        <f>IF($Q227="","",INDEX(บันทึกรายเที่ยว!$Q$6:$Q$6005,$R227))</f>
        <v/>
      </c>
      <c r="Z227">
        <f>IF($Q227="","",INDEX(บันทึกรายเที่ยว!$F$6:$F$6005,$R227))</f>
        <v/>
      </c>
      <c r="AA227">
        <f>IFERROR(MATCH(220,$X$8:$X$407,1),"")</f>
        <v/>
      </c>
      <c r="AB227">
        <f>IF(220=$AD$1+1,"G",IF($AA227="","",IF(INDEX($Q$8:$Q$407,$AA227)="","",IF(220&gt;INDEX($X$8:$X$407,$AA227)+INDEX($V$8:$V$407,$AA227)+INDEX($W$8:$W$407,$AA227),"",IF(220=INDEX($X$8:$X$407,$AA227)+INDEX($V$8:$V$407,$AA227)+INDEX($W$8:$W$407,$AA227),"D",IF(AND(INDEX($W$8:$W$407,$AA227)=1,220=INDEX($X$8:$X$407,$AA227)+INDEX($V$8:$V$407,$AA227)),"S","R"))))))</f>
        <v/>
      </c>
      <c r="AC227">
        <f>IF(OR($AB227="",$AB227="G"),"",IF($AB227="D",INDEX($U$8:$U$407,$AA227),IF($AB227="S",INDEX($T$8:$T$407,$AA227)&amp;"|*",INDEX($S$8:$S$407,$AA227)&amp;"|*")))</f>
        <v/>
      </c>
      <c r="AE227">
        <f>IF($U227="",0,COUNTIF(บันทึกรายเที่ยว!$T$6:$T$6005,$U227))</f>
        <v/>
      </c>
      <c r="AF227">
        <f>IF($U227="",0,ROUND(SUMIF(บันทึกรายเที่ยว!$T$6:$T$6005,$U227,บันทึกรายเที่ยว!$J$6:$J$6005),2))</f>
        <v/>
      </c>
      <c r="AG227">
        <f>IF($U227="",0,ROUND(SUMIF(บันทึกรายเที่ยว!$T$6:$T$6005,$U227,บันทึกรายเที่ยว!$K$6:$K$6005),2))</f>
        <v/>
      </c>
      <c r="AH227">
        <f>IF($U227="",0,ROUND(SUMIF(บันทึกรายเที่ยว!$T$6:$T$6005,$U227,บันทึกรายเที่ยว!$M$6:$M$6005),2))</f>
        <v/>
      </c>
    </row>
    <row r="228" ht="21" customHeight="1" s="66">
      <c r="A228" s="3">
        <f>IF($AB228="G","ผลรวมทั้งหมด",IF($AB228="R",INDEX($S$8:$S$407,$AA228),""))</f>
        <v/>
      </c>
      <c r="B228" s="3">
        <f>IF($AB228="S",INDEX($Y$8:$Y$407,$AA228),"")</f>
        <v/>
      </c>
      <c r="C228" s="68">
        <f>IF($AB228="D",INDEX($Z$8:$Z$407,$AA228),"")</f>
        <v/>
      </c>
      <c r="D228" s="31">
        <f>IF($AB228="G",SUM($AE$8:$AE$407),IF(OR($AB228="",$AB228="R"),"",IF($AB228="D",INDEX($AE$8:$AE$407,$AA228),SUMIF($T$8:$T$407,INDEX($T$8:$T$407,$AA228),$AE$8:$AE$407))))</f>
        <v/>
      </c>
      <c r="E228" s="32">
        <f>IF(221=$AD$1+3,"ขอแสดงความนับถือ",IF(221=$AD$1+6,"(                 )",IF(221=$AD$1+7,"เจ้าหน้าที่ขนส่ง",IF($AB228="G",SUM($AF$8:$AF$407),IF(OR($AB228="",$AB228="R"),"",IF($AB228="D",INDEX($AF$8:$AF$407,$AA228),SUMIF($T$8:$T$407,INDEX($T$8:$T$407,$AA228),$AF$8:$AF$407)))))))</f>
        <v/>
      </c>
      <c r="F228" s="32">
        <f>IF($AB228="G",SUM($AG$8:$AG$407),IF(OR($AB228="",$AB228="R"),"",IF($AB228="D",INDEX($AG$8:$AG$407,$AA228),SUMIF($T$8:$T$407,INDEX($T$8:$T$407,$AA228),$AG$8:$AG$407))))</f>
        <v/>
      </c>
      <c r="G228" s="32">
        <f>IF(OR($AB228="",$AB228="R"),"",ROUND($E228-$F228,2))</f>
        <v/>
      </c>
      <c r="H228" s="32">
        <f>IF($AB228="G",SUM($AH$8:$AH$407),IF(OR($AB228="",$AB228="R"),"",IF($AB228="D",INDEX($AH$8:$AH$407,$AA228),SUMIF($T$8:$T$407,INDEX($T$8:$T$407,$AA228),$AH$8:$AH$407))))</f>
        <v/>
      </c>
      <c r="J228">
        <f>IFERROR(MATCH(221,บันทึกรายเที่ยว!$W$6:$W$6005,0),"")</f>
        <v/>
      </c>
      <c r="K228">
        <f>IF($J228="","",INDEX(บันทึกรายเที่ยว!$T$6:$T$6005,$J228))</f>
        <v/>
      </c>
      <c r="L228">
        <f>IF($J228="","",INDEX(บันทึกรายเที่ยว!$S$6:$S$6005,$J228))</f>
        <v/>
      </c>
      <c r="M228">
        <f>IF($J228="","",INDEX(บันทึกรายเที่ยว!$R$6:$R$6005,$J228))</f>
        <v/>
      </c>
      <c r="N228">
        <f>IF($J228="","",MATCH($M228,บันทึกรายเที่ยว!$R$6:$R$6005,0))</f>
        <v/>
      </c>
      <c r="O228">
        <f>IF($J228="","",MATCH($L228,บันทึกรายเที่ยว!$S$6:$S$6005,0))</f>
        <v/>
      </c>
      <c r="P228">
        <f>IF($J228="","",IF(AND(OR($I$3="(ทั้งหมด)",INDEX(บันทึกรายเที่ยว!$C$6:$C$6005,$J228)=$I$3),OR($I$5="(ทั้งหมด)",INDEX(บันทึกรายเที่ยว!$D$6:$D$6005,$J228)=$I$5),OR($I$7="(ทั้งหมด)",INDEX(บันทึกรายเที่ยว!$F$6:$F$6005,$J228)=$I$7)),$N228*10000000+$O228*1000+221,""))</f>
        <v/>
      </c>
      <c r="Q228">
        <f>IFERROR(MATCH(SMALL($P$8:$P$407,221),$P$8:$P$407,0),"")</f>
        <v/>
      </c>
      <c r="R228">
        <f>IF($Q228="","",INDEX($J$8:$J$407,$Q228))</f>
        <v/>
      </c>
      <c r="S228">
        <f>IF($Q228="","",INDEX($M$8:$M$407,$Q228))</f>
        <v/>
      </c>
      <c r="T228">
        <f>IF($Q228="","",INDEX($L$8:$L$407,$Q228))</f>
        <v/>
      </c>
      <c r="U228">
        <f>IF($Q228="","",INDEX($K$8:$K$407,$Q228))</f>
        <v/>
      </c>
      <c r="V228">
        <f>IF($Q228="",0,IF($S228&lt;&gt;$S227,1,0))</f>
        <v/>
      </c>
      <c r="W228">
        <f>IF($Q228="",0,IF($T228&lt;&gt;$T227,1,0))</f>
        <v/>
      </c>
      <c r="X228">
        <f>IF($Q228="",99999+221,$X227+1+$V227+$W227)</f>
        <v/>
      </c>
      <c r="Y228">
        <f>IF($Q228="","",INDEX(บันทึกรายเที่ยว!$Q$6:$Q$6005,$R228))</f>
        <v/>
      </c>
      <c r="Z228">
        <f>IF($Q228="","",INDEX(บันทึกรายเที่ยว!$F$6:$F$6005,$R228))</f>
        <v/>
      </c>
      <c r="AA228">
        <f>IFERROR(MATCH(221,$X$8:$X$407,1),"")</f>
        <v/>
      </c>
      <c r="AB228">
        <f>IF(221=$AD$1+1,"G",IF($AA228="","",IF(INDEX($Q$8:$Q$407,$AA228)="","",IF(221&gt;INDEX($X$8:$X$407,$AA228)+INDEX($V$8:$V$407,$AA228)+INDEX($W$8:$W$407,$AA228),"",IF(221=INDEX($X$8:$X$407,$AA228)+INDEX($V$8:$V$407,$AA228)+INDEX($W$8:$W$407,$AA228),"D",IF(AND(INDEX($W$8:$W$407,$AA228)=1,221=INDEX($X$8:$X$407,$AA228)+INDEX($V$8:$V$407,$AA228)),"S","R"))))))</f>
        <v/>
      </c>
      <c r="AC228">
        <f>IF(OR($AB228="",$AB228="G"),"",IF($AB228="D",INDEX($U$8:$U$407,$AA228),IF($AB228="S",INDEX($T$8:$T$407,$AA228)&amp;"|*",INDEX($S$8:$S$407,$AA228)&amp;"|*")))</f>
        <v/>
      </c>
      <c r="AE228">
        <f>IF($U228="",0,COUNTIF(บันทึกรายเที่ยว!$T$6:$T$6005,$U228))</f>
        <v/>
      </c>
      <c r="AF228">
        <f>IF($U228="",0,ROUND(SUMIF(บันทึกรายเที่ยว!$T$6:$T$6005,$U228,บันทึกรายเที่ยว!$J$6:$J$6005),2))</f>
        <v/>
      </c>
      <c r="AG228">
        <f>IF($U228="",0,ROUND(SUMIF(บันทึกรายเที่ยว!$T$6:$T$6005,$U228,บันทึกรายเที่ยว!$K$6:$K$6005),2))</f>
        <v/>
      </c>
      <c r="AH228">
        <f>IF($U228="",0,ROUND(SUMIF(บันทึกรายเที่ยว!$T$6:$T$6005,$U228,บันทึกรายเที่ยว!$M$6:$M$6005),2))</f>
        <v/>
      </c>
    </row>
    <row r="229" ht="21" customHeight="1" s="66">
      <c r="A229" s="3">
        <f>IF($AB229="G","ผลรวมทั้งหมด",IF($AB229="R",INDEX($S$8:$S$407,$AA229),""))</f>
        <v/>
      </c>
      <c r="B229" s="3">
        <f>IF($AB229="S",INDEX($Y$8:$Y$407,$AA229),"")</f>
        <v/>
      </c>
      <c r="C229" s="68">
        <f>IF($AB229="D",INDEX($Z$8:$Z$407,$AA229),"")</f>
        <v/>
      </c>
      <c r="D229" s="31">
        <f>IF($AB229="G",SUM($AE$8:$AE$407),IF(OR($AB229="",$AB229="R"),"",IF($AB229="D",INDEX($AE$8:$AE$407,$AA229),SUMIF($T$8:$T$407,INDEX($T$8:$T$407,$AA229),$AE$8:$AE$407))))</f>
        <v/>
      </c>
      <c r="E229" s="32">
        <f>IF(222=$AD$1+3,"ขอแสดงความนับถือ",IF(222=$AD$1+6,"(                 )",IF(222=$AD$1+7,"เจ้าหน้าที่ขนส่ง",IF($AB229="G",SUM($AF$8:$AF$407),IF(OR($AB229="",$AB229="R"),"",IF($AB229="D",INDEX($AF$8:$AF$407,$AA229),SUMIF($T$8:$T$407,INDEX($T$8:$T$407,$AA229),$AF$8:$AF$407)))))))</f>
        <v/>
      </c>
      <c r="F229" s="32">
        <f>IF($AB229="G",SUM($AG$8:$AG$407),IF(OR($AB229="",$AB229="R"),"",IF($AB229="D",INDEX($AG$8:$AG$407,$AA229),SUMIF($T$8:$T$407,INDEX($T$8:$T$407,$AA229),$AG$8:$AG$407))))</f>
        <v/>
      </c>
      <c r="G229" s="32">
        <f>IF(OR($AB229="",$AB229="R"),"",ROUND($E229-$F229,2))</f>
        <v/>
      </c>
      <c r="H229" s="32">
        <f>IF($AB229="G",SUM($AH$8:$AH$407),IF(OR($AB229="",$AB229="R"),"",IF($AB229="D",INDEX($AH$8:$AH$407,$AA229),SUMIF($T$8:$T$407,INDEX($T$8:$T$407,$AA229),$AH$8:$AH$407))))</f>
        <v/>
      </c>
      <c r="J229">
        <f>IFERROR(MATCH(222,บันทึกรายเที่ยว!$W$6:$W$6005,0),"")</f>
        <v/>
      </c>
      <c r="K229">
        <f>IF($J229="","",INDEX(บันทึกรายเที่ยว!$T$6:$T$6005,$J229))</f>
        <v/>
      </c>
      <c r="L229">
        <f>IF($J229="","",INDEX(บันทึกรายเที่ยว!$S$6:$S$6005,$J229))</f>
        <v/>
      </c>
      <c r="M229">
        <f>IF($J229="","",INDEX(บันทึกรายเที่ยว!$R$6:$R$6005,$J229))</f>
        <v/>
      </c>
      <c r="N229">
        <f>IF($J229="","",MATCH($M229,บันทึกรายเที่ยว!$R$6:$R$6005,0))</f>
        <v/>
      </c>
      <c r="O229">
        <f>IF($J229="","",MATCH($L229,บันทึกรายเที่ยว!$S$6:$S$6005,0))</f>
        <v/>
      </c>
      <c r="P229">
        <f>IF($J229="","",IF(AND(OR($I$3="(ทั้งหมด)",INDEX(บันทึกรายเที่ยว!$C$6:$C$6005,$J229)=$I$3),OR($I$5="(ทั้งหมด)",INDEX(บันทึกรายเที่ยว!$D$6:$D$6005,$J229)=$I$5),OR($I$7="(ทั้งหมด)",INDEX(บันทึกรายเที่ยว!$F$6:$F$6005,$J229)=$I$7)),$N229*10000000+$O229*1000+222,""))</f>
        <v/>
      </c>
      <c r="Q229">
        <f>IFERROR(MATCH(SMALL($P$8:$P$407,222),$P$8:$P$407,0),"")</f>
        <v/>
      </c>
      <c r="R229">
        <f>IF($Q229="","",INDEX($J$8:$J$407,$Q229))</f>
        <v/>
      </c>
      <c r="S229">
        <f>IF($Q229="","",INDEX($M$8:$M$407,$Q229))</f>
        <v/>
      </c>
      <c r="T229">
        <f>IF($Q229="","",INDEX($L$8:$L$407,$Q229))</f>
        <v/>
      </c>
      <c r="U229">
        <f>IF($Q229="","",INDEX($K$8:$K$407,$Q229))</f>
        <v/>
      </c>
      <c r="V229">
        <f>IF($Q229="",0,IF($S229&lt;&gt;$S228,1,0))</f>
        <v/>
      </c>
      <c r="W229">
        <f>IF($Q229="",0,IF($T229&lt;&gt;$T228,1,0))</f>
        <v/>
      </c>
      <c r="X229">
        <f>IF($Q229="",99999+222,$X228+1+$V228+$W228)</f>
        <v/>
      </c>
      <c r="Y229">
        <f>IF($Q229="","",INDEX(บันทึกรายเที่ยว!$Q$6:$Q$6005,$R229))</f>
        <v/>
      </c>
      <c r="Z229">
        <f>IF($Q229="","",INDEX(บันทึกรายเที่ยว!$F$6:$F$6005,$R229))</f>
        <v/>
      </c>
      <c r="AA229">
        <f>IFERROR(MATCH(222,$X$8:$X$407,1),"")</f>
        <v/>
      </c>
      <c r="AB229">
        <f>IF(222=$AD$1+1,"G",IF($AA229="","",IF(INDEX($Q$8:$Q$407,$AA229)="","",IF(222&gt;INDEX($X$8:$X$407,$AA229)+INDEX($V$8:$V$407,$AA229)+INDEX($W$8:$W$407,$AA229),"",IF(222=INDEX($X$8:$X$407,$AA229)+INDEX($V$8:$V$407,$AA229)+INDEX($W$8:$W$407,$AA229),"D",IF(AND(INDEX($W$8:$W$407,$AA229)=1,222=INDEX($X$8:$X$407,$AA229)+INDEX($V$8:$V$407,$AA229)),"S","R"))))))</f>
        <v/>
      </c>
      <c r="AC229">
        <f>IF(OR($AB229="",$AB229="G"),"",IF($AB229="D",INDEX($U$8:$U$407,$AA229),IF($AB229="S",INDEX($T$8:$T$407,$AA229)&amp;"|*",INDEX($S$8:$S$407,$AA229)&amp;"|*")))</f>
        <v/>
      </c>
      <c r="AE229">
        <f>IF($U229="",0,COUNTIF(บันทึกรายเที่ยว!$T$6:$T$6005,$U229))</f>
        <v/>
      </c>
      <c r="AF229">
        <f>IF($U229="",0,ROUND(SUMIF(บันทึกรายเที่ยว!$T$6:$T$6005,$U229,บันทึกรายเที่ยว!$J$6:$J$6005),2))</f>
        <v/>
      </c>
      <c r="AG229">
        <f>IF($U229="",0,ROUND(SUMIF(บันทึกรายเที่ยว!$T$6:$T$6005,$U229,บันทึกรายเที่ยว!$K$6:$K$6005),2))</f>
        <v/>
      </c>
      <c r="AH229">
        <f>IF($U229="",0,ROUND(SUMIF(บันทึกรายเที่ยว!$T$6:$T$6005,$U229,บันทึกรายเที่ยว!$M$6:$M$6005),2))</f>
        <v/>
      </c>
    </row>
    <row r="230" ht="21" customHeight="1" s="66">
      <c r="A230" s="3">
        <f>IF($AB230="G","ผลรวมทั้งหมด",IF($AB230="R",INDEX($S$8:$S$407,$AA230),""))</f>
        <v/>
      </c>
      <c r="B230" s="3">
        <f>IF($AB230="S",INDEX($Y$8:$Y$407,$AA230),"")</f>
        <v/>
      </c>
      <c r="C230" s="68">
        <f>IF($AB230="D",INDEX($Z$8:$Z$407,$AA230),"")</f>
        <v/>
      </c>
      <c r="D230" s="31">
        <f>IF($AB230="G",SUM($AE$8:$AE$407),IF(OR($AB230="",$AB230="R"),"",IF($AB230="D",INDEX($AE$8:$AE$407,$AA230),SUMIF($T$8:$T$407,INDEX($T$8:$T$407,$AA230),$AE$8:$AE$407))))</f>
        <v/>
      </c>
      <c r="E230" s="32">
        <f>IF(223=$AD$1+3,"ขอแสดงความนับถือ",IF(223=$AD$1+6,"(                 )",IF(223=$AD$1+7,"เจ้าหน้าที่ขนส่ง",IF($AB230="G",SUM($AF$8:$AF$407),IF(OR($AB230="",$AB230="R"),"",IF($AB230="D",INDEX($AF$8:$AF$407,$AA230),SUMIF($T$8:$T$407,INDEX($T$8:$T$407,$AA230),$AF$8:$AF$407)))))))</f>
        <v/>
      </c>
      <c r="F230" s="32">
        <f>IF($AB230="G",SUM($AG$8:$AG$407),IF(OR($AB230="",$AB230="R"),"",IF($AB230="D",INDEX($AG$8:$AG$407,$AA230),SUMIF($T$8:$T$407,INDEX($T$8:$T$407,$AA230),$AG$8:$AG$407))))</f>
        <v/>
      </c>
      <c r="G230" s="32">
        <f>IF(OR($AB230="",$AB230="R"),"",ROUND($E230-$F230,2))</f>
        <v/>
      </c>
      <c r="H230" s="32">
        <f>IF($AB230="G",SUM($AH$8:$AH$407),IF(OR($AB230="",$AB230="R"),"",IF($AB230="D",INDEX($AH$8:$AH$407,$AA230),SUMIF($T$8:$T$407,INDEX($T$8:$T$407,$AA230),$AH$8:$AH$407))))</f>
        <v/>
      </c>
      <c r="J230">
        <f>IFERROR(MATCH(223,บันทึกรายเที่ยว!$W$6:$W$6005,0),"")</f>
        <v/>
      </c>
      <c r="K230">
        <f>IF($J230="","",INDEX(บันทึกรายเที่ยว!$T$6:$T$6005,$J230))</f>
        <v/>
      </c>
      <c r="L230">
        <f>IF($J230="","",INDEX(บันทึกรายเที่ยว!$S$6:$S$6005,$J230))</f>
        <v/>
      </c>
      <c r="M230">
        <f>IF($J230="","",INDEX(บันทึกรายเที่ยว!$R$6:$R$6005,$J230))</f>
        <v/>
      </c>
      <c r="N230">
        <f>IF($J230="","",MATCH($M230,บันทึกรายเที่ยว!$R$6:$R$6005,0))</f>
        <v/>
      </c>
      <c r="O230">
        <f>IF($J230="","",MATCH($L230,บันทึกรายเที่ยว!$S$6:$S$6005,0))</f>
        <v/>
      </c>
      <c r="P230">
        <f>IF($J230="","",IF(AND(OR($I$3="(ทั้งหมด)",INDEX(บันทึกรายเที่ยว!$C$6:$C$6005,$J230)=$I$3),OR($I$5="(ทั้งหมด)",INDEX(บันทึกรายเที่ยว!$D$6:$D$6005,$J230)=$I$5),OR($I$7="(ทั้งหมด)",INDEX(บันทึกรายเที่ยว!$F$6:$F$6005,$J230)=$I$7)),$N230*10000000+$O230*1000+223,""))</f>
        <v/>
      </c>
      <c r="Q230">
        <f>IFERROR(MATCH(SMALL($P$8:$P$407,223),$P$8:$P$407,0),"")</f>
        <v/>
      </c>
      <c r="R230">
        <f>IF($Q230="","",INDEX($J$8:$J$407,$Q230))</f>
        <v/>
      </c>
      <c r="S230">
        <f>IF($Q230="","",INDEX($M$8:$M$407,$Q230))</f>
        <v/>
      </c>
      <c r="T230">
        <f>IF($Q230="","",INDEX($L$8:$L$407,$Q230))</f>
        <v/>
      </c>
      <c r="U230">
        <f>IF($Q230="","",INDEX($K$8:$K$407,$Q230))</f>
        <v/>
      </c>
      <c r="V230">
        <f>IF($Q230="",0,IF($S230&lt;&gt;$S229,1,0))</f>
        <v/>
      </c>
      <c r="W230">
        <f>IF($Q230="",0,IF($T230&lt;&gt;$T229,1,0))</f>
        <v/>
      </c>
      <c r="X230">
        <f>IF($Q230="",99999+223,$X229+1+$V229+$W229)</f>
        <v/>
      </c>
      <c r="Y230">
        <f>IF($Q230="","",INDEX(บันทึกรายเที่ยว!$Q$6:$Q$6005,$R230))</f>
        <v/>
      </c>
      <c r="Z230">
        <f>IF($Q230="","",INDEX(บันทึกรายเที่ยว!$F$6:$F$6005,$R230))</f>
        <v/>
      </c>
      <c r="AA230">
        <f>IFERROR(MATCH(223,$X$8:$X$407,1),"")</f>
        <v/>
      </c>
      <c r="AB230">
        <f>IF(223=$AD$1+1,"G",IF($AA230="","",IF(INDEX($Q$8:$Q$407,$AA230)="","",IF(223&gt;INDEX($X$8:$X$407,$AA230)+INDEX($V$8:$V$407,$AA230)+INDEX($W$8:$W$407,$AA230),"",IF(223=INDEX($X$8:$X$407,$AA230)+INDEX($V$8:$V$407,$AA230)+INDEX($W$8:$W$407,$AA230),"D",IF(AND(INDEX($W$8:$W$407,$AA230)=1,223=INDEX($X$8:$X$407,$AA230)+INDEX($V$8:$V$407,$AA230)),"S","R"))))))</f>
        <v/>
      </c>
      <c r="AC230">
        <f>IF(OR($AB230="",$AB230="G"),"",IF($AB230="D",INDEX($U$8:$U$407,$AA230),IF($AB230="S",INDEX($T$8:$T$407,$AA230)&amp;"|*",INDEX($S$8:$S$407,$AA230)&amp;"|*")))</f>
        <v/>
      </c>
      <c r="AE230">
        <f>IF($U230="",0,COUNTIF(บันทึกรายเที่ยว!$T$6:$T$6005,$U230))</f>
        <v/>
      </c>
      <c r="AF230">
        <f>IF($U230="",0,ROUND(SUMIF(บันทึกรายเที่ยว!$T$6:$T$6005,$U230,บันทึกรายเที่ยว!$J$6:$J$6005),2))</f>
        <v/>
      </c>
      <c r="AG230">
        <f>IF($U230="",0,ROUND(SUMIF(บันทึกรายเที่ยว!$T$6:$T$6005,$U230,บันทึกรายเที่ยว!$K$6:$K$6005),2))</f>
        <v/>
      </c>
      <c r="AH230">
        <f>IF($U230="",0,ROUND(SUMIF(บันทึกรายเที่ยว!$T$6:$T$6005,$U230,บันทึกรายเที่ยว!$M$6:$M$6005),2))</f>
        <v/>
      </c>
    </row>
    <row r="231" ht="21" customHeight="1" s="66">
      <c r="A231" s="3">
        <f>IF($AB231="G","ผลรวมทั้งหมด",IF($AB231="R",INDEX($S$8:$S$407,$AA231),""))</f>
        <v/>
      </c>
      <c r="B231" s="3">
        <f>IF($AB231="S",INDEX($Y$8:$Y$407,$AA231),"")</f>
        <v/>
      </c>
      <c r="C231" s="68">
        <f>IF($AB231="D",INDEX($Z$8:$Z$407,$AA231),"")</f>
        <v/>
      </c>
      <c r="D231" s="31">
        <f>IF($AB231="G",SUM($AE$8:$AE$407),IF(OR($AB231="",$AB231="R"),"",IF($AB231="D",INDEX($AE$8:$AE$407,$AA231),SUMIF($T$8:$T$407,INDEX($T$8:$T$407,$AA231),$AE$8:$AE$407))))</f>
        <v/>
      </c>
      <c r="E231" s="32">
        <f>IF(224=$AD$1+3,"ขอแสดงความนับถือ",IF(224=$AD$1+6,"(                 )",IF(224=$AD$1+7,"เจ้าหน้าที่ขนส่ง",IF($AB231="G",SUM($AF$8:$AF$407),IF(OR($AB231="",$AB231="R"),"",IF($AB231="D",INDEX($AF$8:$AF$407,$AA231),SUMIF($T$8:$T$407,INDEX($T$8:$T$407,$AA231),$AF$8:$AF$407)))))))</f>
        <v/>
      </c>
      <c r="F231" s="32">
        <f>IF($AB231="G",SUM($AG$8:$AG$407),IF(OR($AB231="",$AB231="R"),"",IF($AB231="D",INDEX($AG$8:$AG$407,$AA231),SUMIF($T$8:$T$407,INDEX($T$8:$T$407,$AA231),$AG$8:$AG$407))))</f>
        <v/>
      </c>
      <c r="G231" s="32">
        <f>IF(OR($AB231="",$AB231="R"),"",ROUND($E231-$F231,2))</f>
        <v/>
      </c>
      <c r="H231" s="32">
        <f>IF($AB231="G",SUM($AH$8:$AH$407),IF(OR($AB231="",$AB231="R"),"",IF($AB231="D",INDEX($AH$8:$AH$407,$AA231),SUMIF($T$8:$T$407,INDEX($T$8:$T$407,$AA231),$AH$8:$AH$407))))</f>
        <v/>
      </c>
      <c r="J231">
        <f>IFERROR(MATCH(224,บันทึกรายเที่ยว!$W$6:$W$6005,0),"")</f>
        <v/>
      </c>
      <c r="K231">
        <f>IF($J231="","",INDEX(บันทึกรายเที่ยว!$T$6:$T$6005,$J231))</f>
        <v/>
      </c>
      <c r="L231">
        <f>IF($J231="","",INDEX(บันทึกรายเที่ยว!$S$6:$S$6005,$J231))</f>
        <v/>
      </c>
      <c r="M231">
        <f>IF($J231="","",INDEX(บันทึกรายเที่ยว!$R$6:$R$6005,$J231))</f>
        <v/>
      </c>
      <c r="N231">
        <f>IF($J231="","",MATCH($M231,บันทึกรายเที่ยว!$R$6:$R$6005,0))</f>
        <v/>
      </c>
      <c r="O231">
        <f>IF($J231="","",MATCH($L231,บันทึกรายเที่ยว!$S$6:$S$6005,0))</f>
        <v/>
      </c>
      <c r="P231">
        <f>IF($J231="","",IF(AND(OR($I$3="(ทั้งหมด)",INDEX(บันทึกรายเที่ยว!$C$6:$C$6005,$J231)=$I$3),OR($I$5="(ทั้งหมด)",INDEX(บันทึกรายเที่ยว!$D$6:$D$6005,$J231)=$I$5),OR($I$7="(ทั้งหมด)",INDEX(บันทึกรายเที่ยว!$F$6:$F$6005,$J231)=$I$7)),$N231*10000000+$O231*1000+224,""))</f>
        <v/>
      </c>
      <c r="Q231">
        <f>IFERROR(MATCH(SMALL($P$8:$P$407,224),$P$8:$P$407,0),"")</f>
        <v/>
      </c>
      <c r="R231">
        <f>IF($Q231="","",INDEX($J$8:$J$407,$Q231))</f>
        <v/>
      </c>
      <c r="S231">
        <f>IF($Q231="","",INDEX($M$8:$M$407,$Q231))</f>
        <v/>
      </c>
      <c r="T231">
        <f>IF($Q231="","",INDEX($L$8:$L$407,$Q231))</f>
        <v/>
      </c>
      <c r="U231">
        <f>IF($Q231="","",INDEX($K$8:$K$407,$Q231))</f>
        <v/>
      </c>
      <c r="V231">
        <f>IF($Q231="",0,IF($S231&lt;&gt;$S230,1,0))</f>
        <v/>
      </c>
      <c r="W231">
        <f>IF($Q231="",0,IF($T231&lt;&gt;$T230,1,0))</f>
        <v/>
      </c>
      <c r="X231">
        <f>IF($Q231="",99999+224,$X230+1+$V230+$W230)</f>
        <v/>
      </c>
      <c r="Y231">
        <f>IF($Q231="","",INDEX(บันทึกรายเที่ยว!$Q$6:$Q$6005,$R231))</f>
        <v/>
      </c>
      <c r="Z231">
        <f>IF($Q231="","",INDEX(บันทึกรายเที่ยว!$F$6:$F$6005,$R231))</f>
        <v/>
      </c>
      <c r="AA231">
        <f>IFERROR(MATCH(224,$X$8:$X$407,1),"")</f>
        <v/>
      </c>
      <c r="AB231">
        <f>IF(224=$AD$1+1,"G",IF($AA231="","",IF(INDEX($Q$8:$Q$407,$AA231)="","",IF(224&gt;INDEX($X$8:$X$407,$AA231)+INDEX($V$8:$V$407,$AA231)+INDEX($W$8:$W$407,$AA231),"",IF(224=INDEX($X$8:$X$407,$AA231)+INDEX($V$8:$V$407,$AA231)+INDEX($W$8:$W$407,$AA231),"D",IF(AND(INDEX($W$8:$W$407,$AA231)=1,224=INDEX($X$8:$X$407,$AA231)+INDEX($V$8:$V$407,$AA231)),"S","R"))))))</f>
        <v/>
      </c>
      <c r="AC231">
        <f>IF(OR($AB231="",$AB231="G"),"",IF($AB231="D",INDEX($U$8:$U$407,$AA231),IF($AB231="S",INDEX($T$8:$T$407,$AA231)&amp;"|*",INDEX($S$8:$S$407,$AA231)&amp;"|*")))</f>
        <v/>
      </c>
      <c r="AE231">
        <f>IF($U231="",0,COUNTIF(บันทึกรายเที่ยว!$T$6:$T$6005,$U231))</f>
        <v/>
      </c>
      <c r="AF231">
        <f>IF($U231="",0,ROUND(SUMIF(บันทึกรายเที่ยว!$T$6:$T$6005,$U231,บันทึกรายเที่ยว!$J$6:$J$6005),2))</f>
        <v/>
      </c>
      <c r="AG231">
        <f>IF($U231="",0,ROUND(SUMIF(บันทึกรายเที่ยว!$T$6:$T$6005,$U231,บันทึกรายเที่ยว!$K$6:$K$6005),2))</f>
        <v/>
      </c>
      <c r="AH231">
        <f>IF($U231="",0,ROUND(SUMIF(บันทึกรายเที่ยว!$T$6:$T$6005,$U231,บันทึกรายเที่ยว!$M$6:$M$6005),2))</f>
        <v/>
      </c>
    </row>
    <row r="232" ht="21" customHeight="1" s="66">
      <c r="A232" s="3">
        <f>IF($AB232="G","ผลรวมทั้งหมด",IF($AB232="R",INDEX($S$8:$S$407,$AA232),""))</f>
        <v/>
      </c>
      <c r="B232" s="3">
        <f>IF($AB232="S",INDEX($Y$8:$Y$407,$AA232),"")</f>
        <v/>
      </c>
      <c r="C232" s="68">
        <f>IF($AB232="D",INDEX($Z$8:$Z$407,$AA232),"")</f>
        <v/>
      </c>
      <c r="D232" s="31">
        <f>IF($AB232="G",SUM($AE$8:$AE$407),IF(OR($AB232="",$AB232="R"),"",IF($AB232="D",INDEX($AE$8:$AE$407,$AA232),SUMIF($T$8:$T$407,INDEX($T$8:$T$407,$AA232),$AE$8:$AE$407))))</f>
        <v/>
      </c>
      <c r="E232" s="32">
        <f>IF(225=$AD$1+3,"ขอแสดงความนับถือ",IF(225=$AD$1+6,"(                 )",IF(225=$AD$1+7,"เจ้าหน้าที่ขนส่ง",IF($AB232="G",SUM($AF$8:$AF$407),IF(OR($AB232="",$AB232="R"),"",IF($AB232="D",INDEX($AF$8:$AF$407,$AA232),SUMIF($T$8:$T$407,INDEX($T$8:$T$407,$AA232),$AF$8:$AF$407)))))))</f>
        <v/>
      </c>
      <c r="F232" s="32">
        <f>IF($AB232="G",SUM($AG$8:$AG$407),IF(OR($AB232="",$AB232="R"),"",IF($AB232="D",INDEX($AG$8:$AG$407,$AA232),SUMIF($T$8:$T$407,INDEX($T$8:$T$407,$AA232),$AG$8:$AG$407))))</f>
        <v/>
      </c>
      <c r="G232" s="32">
        <f>IF(OR($AB232="",$AB232="R"),"",ROUND($E232-$F232,2))</f>
        <v/>
      </c>
      <c r="H232" s="32">
        <f>IF($AB232="G",SUM($AH$8:$AH$407),IF(OR($AB232="",$AB232="R"),"",IF($AB232="D",INDEX($AH$8:$AH$407,$AA232),SUMIF($T$8:$T$407,INDEX($T$8:$T$407,$AA232),$AH$8:$AH$407))))</f>
        <v/>
      </c>
      <c r="J232">
        <f>IFERROR(MATCH(225,บันทึกรายเที่ยว!$W$6:$W$6005,0),"")</f>
        <v/>
      </c>
      <c r="K232">
        <f>IF($J232="","",INDEX(บันทึกรายเที่ยว!$T$6:$T$6005,$J232))</f>
        <v/>
      </c>
      <c r="L232">
        <f>IF($J232="","",INDEX(บันทึกรายเที่ยว!$S$6:$S$6005,$J232))</f>
        <v/>
      </c>
      <c r="M232">
        <f>IF($J232="","",INDEX(บันทึกรายเที่ยว!$R$6:$R$6005,$J232))</f>
        <v/>
      </c>
      <c r="N232">
        <f>IF($J232="","",MATCH($M232,บันทึกรายเที่ยว!$R$6:$R$6005,0))</f>
        <v/>
      </c>
      <c r="O232">
        <f>IF($J232="","",MATCH($L232,บันทึกรายเที่ยว!$S$6:$S$6005,0))</f>
        <v/>
      </c>
      <c r="P232">
        <f>IF($J232="","",IF(AND(OR($I$3="(ทั้งหมด)",INDEX(บันทึกรายเที่ยว!$C$6:$C$6005,$J232)=$I$3),OR($I$5="(ทั้งหมด)",INDEX(บันทึกรายเที่ยว!$D$6:$D$6005,$J232)=$I$5),OR($I$7="(ทั้งหมด)",INDEX(บันทึกรายเที่ยว!$F$6:$F$6005,$J232)=$I$7)),$N232*10000000+$O232*1000+225,""))</f>
        <v/>
      </c>
      <c r="Q232">
        <f>IFERROR(MATCH(SMALL($P$8:$P$407,225),$P$8:$P$407,0),"")</f>
        <v/>
      </c>
      <c r="R232">
        <f>IF($Q232="","",INDEX($J$8:$J$407,$Q232))</f>
        <v/>
      </c>
      <c r="S232">
        <f>IF($Q232="","",INDEX($M$8:$M$407,$Q232))</f>
        <v/>
      </c>
      <c r="T232">
        <f>IF($Q232="","",INDEX($L$8:$L$407,$Q232))</f>
        <v/>
      </c>
      <c r="U232">
        <f>IF($Q232="","",INDEX($K$8:$K$407,$Q232))</f>
        <v/>
      </c>
      <c r="V232">
        <f>IF($Q232="",0,IF($S232&lt;&gt;$S231,1,0))</f>
        <v/>
      </c>
      <c r="W232">
        <f>IF($Q232="",0,IF($T232&lt;&gt;$T231,1,0))</f>
        <v/>
      </c>
      <c r="X232">
        <f>IF($Q232="",99999+225,$X231+1+$V231+$W231)</f>
        <v/>
      </c>
      <c r="Y232">
        <f>IF($Q232="","",INDEX(บันทึกรายเที่ยว!$Q$6:$Q$6005,$R232))</f>
        <v/>
      </c>
      <c r="Z232">
        <f>IF($Q232="","",INDEX(บันทึกรายเที่ยว!$F$6:$F$6005,$R232))</f>
        <v/>
      </c>
      <c r="AA232">
        <f>IFERROR(MATCH(225,$X$8:$X$407,1),"")</f>
        <v/>
      </c>
      <c r="AB232">
        <f>IF(225=$AD$1+1,"G",IF($AA232="","",IF(INDEX($Q$8:$Q$407,$AA232)="","",IF(225&gt;INDEX($X$8:$X$407,$AA232)+INDEX($V$8:$V$407,$AA232)+INDEX($W$8:$W$407,$AA232),"",IF(225=INDEX($X$8:$X$407,$AA232)+INDEX($V$8:$V$407,$AA232)+INDEX($W$8:$W$407,$AA232),"D",IF(AND(INDEX($W$8:$W$407,$AA232)=1,225=INDEX($X$8:$X$407,$AA232)+INDEX($V$8:$V$407,$AA232)),"S","R"))))))</f>
        <v/>
      </c>
      <c r="AC232">
        <f>IF(OR($AB232="",$AB232="G"),"",IF($AB232="D",INDEX($U$8:$U$407,$AA232),IF($AB232="S",INDEX($T$8:$T$407,$AA232)&amp;"|*",INDEX($S$8:$S$407,$AA232)&amp;"|*")))</f>
        <v/>
      </c>
      <c r="AE232">
        <f>IF($U232="",0,COUNTIF(บันทึกรายเที่ยว!$T$6:$T$6005,$U232))</f>
        <v/>
      </c>
      <c r="AF232">
        <f>IF($U232="",0,ROUND(SUMIF(บันทึกรายเที่ยว!$T$6:$T$6005,$U232,บันทึกรายเที่ยว!$J$6:$J$6005),2))</f>
        <v/>
      </c>
      <c r="AG232">
        <f>IF($U232="",0,ROUND(SUMIF(บันทึกรายเที่ยว!$T$6:$T$6005,$U232,บันทึกรายเที่ยว!$K$6:$K$6005),2))</f>
        <v/>
      </c>
      <c r="AH232">
        <f>IF($U232="",0,ROUND(SUMIF(บันทึกรายเที่ยว!$T$6:$T$6005,$U232,บันทึกรายเที่ยว!$M$6:$M$6005),2))</f>
        <v/>
      </c>
    </row>
    <row r="233" ht="21" customHeight="1" s="66">
      <c r="A233" s="3">
        <f>IF($AB233="G","ผลรวมทั้งหมด",IF($AB233="R",INDEX($S$8:$S$407,$AA233),""))</f>
        <v/>
      </c>
      <c r="B233" s="3">
        <f>IF($AB233="S",INDEX($Y$8:$Y$407,$AA233),"")</f>
        <v/>
      </c>
      <c r="C233" s="68">
        <f>IF($AB233="D",INDEX($Z$8:$Z$407,$AA233),"")</f>
        <v/>
      </c>
      <c r="D233" s="31">
        <f>IF($AB233="G",SUM($AE$8:$AE$407),IF(OR($AB233="",$AB233="R"),"",IF($AB233="D",INDEX($AE$8:$AE$407,$AA233),SUMIF($T$8:$T$407,INDEX($T$8:$T$407,$AA233),$AE$8:$AE$407))))</f>
        <v/>
      </c>
      <c r="E233" s="32">
        <f>IF(226=$AD$1+3,"ขอแสดงความนับถือ",IF(226=$AD$1+6,"(                 )",IF(226=$AD$1+7,"เจ้าหน้าที่ขนส่ง",IF($AB233="G",SUM($AF$8:$AF$407),IF(OR($AB233="",$AB233="R"),"",IF($AB233="D",INDEX($AF$8:$AF$407,$AA233),SUMIF($T$8:$T$407,INDEX($T$8:$T$407,$AA233),$AF$8:$AF$407)))))))</f>
        <v/>
      </c>
      <c r="F233" s="32">
        <f>IF($AB233="G",SUM($AG$8:$AG$407),IF(OR($AB233="",$AB233="R"),"",IF($AB233="D",INDEX($AG$8:$AG$407,$AA233),SUMIF($T$8:$T$407,INDEX($T$8:$T$407,$AA233),$AG$8:$AG$407))))</f>
        <v/>
      </c>
      <c r="G233" s="32">
        <f>IF(OR($AB233="",$AB233="R"),"",ROUND($E233-$F233,2))</f>
        <v/>
      </c>
      <c r="H233" s="32">
        <f>IF($AB233="G",SUM($AH$8:$AH$407),IF(OR($AB233="",$AB233="R"),"",IF($AB233="D",INDEX($AH$8:$AH$407,$AA233),SUMIF($T$8:$T$407,INDEX($T$8:$T$407,$AA233),$AH$8:$AH$407))))</f>
        <v/>
      </c>
      <c r="J233">
        <f>IFERROR(MATCH(226,บันทึกรายเที่ยว!$W$6:$W$6005,0),"")</f>
        <v/>
      </c>
      <c r="K233">
        <f>IF($J233="","",INDEX(บันทึกรายเที่ยว!$T$6:$T$6005,$J233))</f>
        <v/>
      </c>
      <c r="L233">
        <f>IF($J233="","",INDEX(บันทึกรายเที่ยว!$S$6:$S$6005,$J233))</f>
        <v/>
      </c>
      <c r="M233">
        <f>IF($J233="","",INDEX(บันทึกรายเที่ยว!$R$6:$R$6005,$J233))</f>
        <v/>
      </c>
      <c r="N233">
        <f>IF($J233="","",MATCH($M233,บันทึกรายเที่ยว!$R$6:$R$6005,0))</f>
        <v/>
      </c>
      <c r="O233">
        <f>IF($J233="","",MATCH($L233,บันทึกรายเที่ยว!$S$6:$S$6005,0))</f>
        <v/>
      </c>
      <c r="P233">
        <f>IF($J233="","",IF(AND(OR($I$3="(ทั้งหมด)",INDEX(บันทึกรายเที่ยว!$C$6:$C$6005,$J233)=$I$3),OR($I$5="(ทั้งหมด)",INDEX(บันทึกรายเที่ยว!$D$6:$D$6005,$J233)=$I$5),OR($I$7="(ทั้งหมด)",INDEX(บันทึกรายเที่ยว!$F$6:$F$6005,$J233)=$I$7)),$N233*10000000+$O233*1000+226,""))</f>
        <v/>
      </c>
      <c r="Q233">
        <f>IFERROR(MATCH(SMALL($P$8:$P$407,226),$P$8:$P$407,0),"")</f>
        <v/>
      </c>
      <c r="R233">
        <f>IF($Q233="","",INDEX($J$8:$J$407,$Q233))</f>
        <v/>
      </c>
      <c r="S233">
        <f>IF($Q233="","",INDEX($M$8:$M$407,$Q233))</f>
        <v/>
      </c>
      <c r="T233">
        <f>IF($Q233="","",INDEX($L$8:$L$407,$Q233))</f>
        <v/>
      </c>
      <c r="U233">
        <f>IF($Q233="","",INDEX($K$8:$K$407,$Q233))</f>
        <v/>
      </c>
      <c r="V233">
        <f>IF($Q233="",0,IF($S233&lt;&gt;$S232,1,0))</f>
        <v/>
      </c>
      <c r="W233">
        <f>IF($Q233="",0,IF($T233&lt;&gt;$T232,1,0))</f>
        <v/>
      </c>
      <c r="X233">
        <f>IF($Q233="",99999+226,$X232+1+$V232+$W232)</f>
        <v/>
      </c>
      <c r="Y233">
        <f>IF($Q233="","",INDEX(บันทึกรายเที่ยว!$Q$6:$Q$6005,$R233))</f>
        <v/>
      </c>
      <c r="Z233">
        <f>IF($Q233="","",INDEX(บันทึกรายเที่ยว!$F$6:$F$6005,$R233))</f>
        <v/>
      </c>
      <c r="AA233">
        <f>IFERROR(MATCH(226,$X$8:$X$407,1),"")</f>
        <v/>
      </c>
      <c r="AB233">
        <f>IF(226=$AD$1+1,"G",IF($AA233="","",IF(INDEX($Q$8:$Q$407,$AA233)="","",IF(226&gt;INDEX($X$8:$X$407,$AA233)+INDEX($V$8:$V$407,$AA233)+INDEX($W$8:$W$407,$AA233),"",IF(226=INDEX($X$8:$X$407,$AA233)+INDEX($V$8:$V$407,$AA233)+INDEX($W$8:$W$407,$AA233),"D",IF(AND(INDEX($W$8:$W$407,$AA233)=1,226=INDEX($X$8:$X$407,$AA233)+INDEX($V$8:$V$407,$AA233)),"S","R"))))))</f>
        <v/>
      </c>
      <c r="AC233">
        <f>IF(OR($AB233="",$AB233="G"),"",IF($AB233="D",INDEX($U$8:$U$407,$AA233),IF($AB233="S",INDEX($T$8:$T$407,$AA233)&amp;"|*",INDEX($S$8:$S$407,$AA233)&amp;"|*")))</f>
        <v/>
      </c>
      <c r="AE233">
        <f>IF($U233="",0,COUNTIF(บันทึกรายเที่ยว!$T$6:$T$6005,$U233))</f>
        <v/>
      </c>
      <c r="AF233">
        <f>IF($U233="",0,ROUND(SUMIF(บันทึกรายเที่ยว!$T$6:$T$6005,$U233,บันทึกรายเที่ยว!$J$6:$J$6005),2))</f>
        <v/>
      </c>
      <c r="AG233">
        <f>IF($U233="",0,ROUND(SUMIF(บันทึกรายเที่ยว!$T$6:$T$6005,$U233,บันทึกรายเที่ยว!$K$6:$K$6005),2))</f>
        <v/>
      </c>
      <c r="AH233">
        <f>IF($U233="",0,ROUND(SUMIF(บันทึกรายเที่ยว!$T$6:$T$6005,$U233,บันทึกรายเที่ยว!$M$6:$M$6005),2))</f>
        <v/>
      </c>
    </row>
    <row r="234" ht="21" customHeight="1" s="66">
      <c r="A234" s="3">
        <f>IF($AB234="G","ผลรวมทั้งหมด",IF($AB234="R",INDEX($S$8:$S$407,$AA234),""))</f>
        <v/>
      </c>
      <c r="B234" s="3">
        <f>IF($AB234="S",INDEX($Y$8:$Y$407,$AA234),"")</f>
        <v/>
      </c>
      <c r="C234" s="68">
        <f>IF($AB234="D",INDEX($Z$8:$Z$407,$AA234),"")</f>
        <v/>
      </c>
      <c r="D234" s="31">
        <f>IF($AB234="G",SUM($AE$8:$AE$407),IF(OR($AB234="",$AB234="R"),"",IF($AB234="D",INDEX($AE$8:$AE$407,$AA234),SUMIF($T$8:$T$407,INDEX($T$8:$T$407,$AA234),$AE$8:$AE$407))))</f>
        <v/>
      </c>
      <c r="E234" s="32">
        <f>IF(227=$AD$1+3,"ขอแสดงความนับถือ",IF(227=$AD$1+6,"(                 )",IF(227=$AD$1+7,"เจ้าหน้าที่ขนส่ง",IF($AB234="G",SUM($AF$8:$AF$407),IF(OR($AB234="",$AB234="R"),"",IF($AB234="D",INDEX($AF$8:$AF$407,$AA234),SUMIF($T$8:$T$407,INDEX($T$8:$T$407,$AA234),$AF$8:$AF$407)))))))</f>
        <v/>
      </c>
      <c r="F234" s="32">
        <f>IF($AB234="G",SUM($AG$8:$AG$407),IF(OR($AB234="",$AB234="R"),"",IF($AB234="D",INDEX($AG$8:$AG$407,$AA234),SUMIF($T$8:$T$407,INDEX($T$8:$T$407,$AA234),$AG$8:$AG$407))))</f>
        <v/>
      </c>
      <c r="G234" s="32">
        <f>IF(OR($AB234="",$AB234="R"),"",ROUND($E234-$F234,2))</f>
        <v/>
      </c>
      <c r="H234" s="32">
        <f>IF($AB234="G",SUM($AH$8:$AH$407),IF(OR($AB234="",$AB234="R"),"",IF($AB234="D",INDEX($AH$8:$AH$407,$AA234),SUMIF($T$8:$T$407,INDEX($T$8:$T$407,$AA234),$AH$8:$AH$407))))</f>
        <v/>
      </c>
      <c r="J234">
        <f>IFERROR(MATCH(227,บันทึกรายเที่ยว!$W$6:$W$6005,0),"")</f>
        <v/>
      </c>
      <c r="K234">
        <f>IF($J234="","",INDEX(บันทึกรายเที่ยว!$T$6:$T$6005,$J234))</f>
        <v/>
      </c>
      <c r="L234">
        <f>IF($J234="","",INDEX(บันทึกรายเที่ยว!$S$6:$S$6005,$J234))</f>
        <v/>
      </c>
      <c r="M234">
        <f>IF($J234="","",INDEX(บันทึกรายเที่ยว!$R$6:$R$6005,$J234))</f>
        <v/>
      </c>
      <c r="N234">
        <f>IF($J234="","",MATCH($M234,บันทึกรายเที่ยว!$R$6:$R$6005,0))</f>
        <v/>
      </c>
      <c r="O234">
        <f>IF($J234="","",MATCH($L234,บันทึกรายเที่ยว!$S$6:$S$6005,0))</f>
        <v/>
      </c>
      <c r="P234">
        <f>IF($J234="","",IF(AND(OR($I$3="(ทั้งหมด)",INDEX(บันทึกรายเที่ยว!$C$6:$C$6005,$J234)=$I$3),OR($I$5="(ทั้งหมด)",INDEX(บันทึกรายเที่ยว!$D$6:$D$6005,$J234)=$I$5),OR($I$7="(ทั้งหมด)",INDEX(บันทึกรายเที่ยว!$F$6:$F$6005,$J234)=$I$7)),$N234*10000000+$O234*1000+227,""))</f>
        <v/>
      </c>
      <c r="Q234">
        <f>IFERROR(MATCH(SMALL($P$8:$P$407,227),$P$8:$P$407,0),"")</f>
        <v/>
      </c>
      <c r="R234">
        <f>IF($Q234="","",INDEX($J$8:$J$407,$Q234))</f>
        <v/>
      </c>
      <c r="S234">
        <f>IF($Q234="","",INDEX($M$8:$M$407,$Q234))</f>
        <v/>
      </c>
      <c r="T234">
        <f>IF($Q234="","",INDEX($L$8:$L$407,$Q234))</f>
        <v/>
      </c>
      <c r="U234">
        <f>IF($Q234="","",INDEX($K$8:$K$407,$Q234))</f>
        <v/>
      </c>
      <c r="V234">
        <f>IF($Q234="",0,IF($S234&lt;&gt;$S233,1,0))</f>
        <v/>
      </c>
      <c r="W234">
        <f>IF($Q234="",0,IF($T234&lt;&gt;$T233,1,0))</f>
        <v/>
      </c>
      <c r="X234">
        <f>IF($Q234="",99999+227,$X233+1+$V233+$W233)</f>
        <v/>
      </c>
      <c r="Y234">
        <f>IF($Q234="","",INDEX(บันทึกรายเที่ยว!$Q$6:$Q$6005,$R234))</f>
        <v/>
      </c>
      <c r="Z234">
        <f>IF($Q234="","",INDEX(บันทึกรายเที่ยว!$F$6:$F$6005,$R234))</f>
        <v/>
      </c>
      <c r="AA234">
        <f>IFERROR(MATCH(227,$X$8:$X$407,1),"")</f>
        <v/>
      </c>
      <c r="AB234">
        <f>IF(227=$AD$1+1,"G",IF($AA234="","",IF(INDEX($Q$8:$Q$407,$AA234)="","",IF(227&gt;INDEX($X$8:$X$407,$AA234)+INDEX($V$8:$V$407,$AA234)+INDEX($W$8:$W$407,$AA234),"",IF(227=INDEX($X$8:$X$407,$AA234)+INDEX($V$8:$V$407,$AA234)+INDEX($W$8:$W$407,$AA234),"D",IF(AND(INDEX($W$8:$W$407,$AA234)=1,227=INDEX($X$8:$X$407,$AA234)+INDEX($V$8:$V$407,$AA234)),"S","R"))))))</f>
        <v/>
      </c>
      <c r="AC234">
        <f>IF(OR($AB234="",$AB234="G"),"",IF($AB234="D",INDEX($U$8:$U$407,$AA234),IF($AB234="S",INDEX($T$8:$T$407,$AA234)&amp;"|*",INDEX($S$8:$S$407,$AA234)&amp;"|*")))</f>
        <v/>
      </c>
      <c r="AE234">
        <f>IF($U234="",0,COUNTIF(บันทึกรายเที่ยว!$T$6:$T$6005,$U234))</f>
        <v/>
      </c>
      <c r="AF234">
        <f>IF($U234="",0,ROUND(SUMIF(บันทึกรายเที่ยว!$T$6:$T$6005,$U234,บันทึกรายเที่ยว!$J$6:$J$6005),2))</f>
        <v/>
      </c>
      <c r="AG234">
        <f>IF($U234="",0,ROUND(SUMIF(บันทึกรายเที่ยว!$T$6:$T$6005,$U234,บันทึกรายเที่ยว!$K$6:$K$6005),2))</f>
        <v/>
      </c>
      <c r="AH234">
        <f>IF($U234="",0,ROUND(SUMIF(บันทึกรายเที่ยว!$T$6:$T$6005,$U234,บันทึกรายเที่ยว!$M$6:$M$6005),2))</f>
        <v/>
      </c>
    </row>
    <row r="235" ht="21" customHeight="1" s="66">
      <c r="A235" s="3">
        <f>IF($AB235="G","ผลรวมทั้งหมด",IF($AB235="R",INDEX($S$8:$S$407,$AA235),""))</f>
        <v/>
      </c>
      <c r="B235" s="3">
        <f>IF($AB235="S",INDEX($Y$8:$Y$407,$AA235),"")</f>
        <v/>
      </c>
      <c r="C235" s="68">
        <f>IF($AB235="D",INDEX($Z$8:$Z$407,$AA235),"")</f>
        <v/>
      </c>
      <c r="D235" s="31">
        <f>IF($AB235="G",SUM($AE$8:$AE$407),IF(OR($AB235="",$AB235="R"),"",IF($AB235="D",INDEX($AE$8:$AE$407,$AA235),SUMIF($T$8:$T$407,INDEX($T$8:$T$407,$AA235),$AE$8:$AE$407))))</f>
        <v/>
      </c>
      <c r="E235" s="32">
        <f>IF(228=$AD$1+3,"ขอแสดงความนับถือ",IF(228=$AD$1+6,"(                 )",IF(228=$AD$1+7,"เจ้าหน้าที่ขนส่ง",IF($AB235="G",SUM($AF$8:$AF$407),IF(OR($AB235="",$AB235="R"),"",IF($AB235="D",INDEX($AF$8:$AF$407,$AA235),SUMIF($T$8:$T$407,INDEX($T$8:$T$407,$AA235),$AF$8:$AF$407)))))))</f>
        <v/>
      </c>
      <c r="F235" s="32">
        <f>IF($AB235="G",SUM($AG$8:$AG$407),IF(OR($AB235="",$AB235="R"),"",IF($AB235="D",INDEX($AG$8:$AG$407,$AA235),SUMIF($T$8:$T$407,INDEX($T$8:$T$407,$AA235),$AG$8:$AG$407))))</f>
        <v/>
      </c>
      <c r="G235" s="32">
        <f>IF(OR($AB235="",$AB235="R"),"",ROUND($E235-$F235,2))</f>
        <v/>
      </c>
      <c r="H235" s="32">
        <f>IF($AB235="G",SUM($AH$8:$AH$407),IF(OR($AB235="",$AB235="R"),"",IF($AB235="D",INDEX($AH$8:$AH$407,$AA235),SUMIF($T$8:$T$407,INDEX($T$8:$T$407,$AA235),$AH$8:$AH$407))))</f>
        <v/>
      </c>
      <c r="J235">
        <f>IFERROR(MATCH(228,บันทึกรายเที่ยว!$W$6:$W$6005,0),"")</f>
        <v/>
      </c>
      <c r="K235">
        <f>IF($J235="","",INDEX(บันทึกรายเที่ยว!$T$6:$T$6005,$J235))</f>
        <v/>
      </c>
      <c r="L235">
        <f>IF($J235="","",INDEX(บันทึกรายเที่ยว!$S$6:$S$6005,$J235))</f>
        <v/>
      </c>
      <c r="M235">
        <f>IF($J235="","",INDEX(บันทึกรายเที่ยว!$R$6:$R$6005,$J235))</f>
        <v/>
      </c>
      <c r="N235">
        <f>IF($J235="","",MATCH($M235,บันทึกรายเที่ยว!$R$6:$R$6005,0))</f>
        <v/>
      </c>
      <c r="O235">
        <f>IF($J235="","",MATCH($L235,บันทึกรายเที่ยว!$S$6:$S$6005,0))</f>
        <v/>
      </c>
      <c r="P235">
        <f>IF($J235="","",IF(AND(OR($I$3="(ทั้งหมด)",INDEX(บันทึกรายเที่ยว!$C$6:$C$6005,$J235)=$I$3),OR($I$5="(ทั้งหมด)",INDEX(บันทึกรายเที่ยว!$D$6:$D$6005,$J235)=$I$5),OR($I$7="(ทั้งหมด)",INDEX(บันทึกรายเที่ยว!$F$6:$F$6005,$J235)=$I$7)),$N235*10000000+$O235*1000+228,""))</f>
        <v/>
      </c>
      <c r="Q235">
        <f>IFERROR(MATCH(SMALL($P$8:$P$407,228),$P$8:$P$407,0),"")</f>
        <v/>
      </c>
      <c r="R235">
        <f>IF($Q235="","",INDEX($J$8:$J$407,$Q235))</f>
        <v/>
      </c>
      <c r="S235">
        <f>IF($Q235="","",INDEX($M$8:$M$407,$Q235))</f>
        <v/>
      </c>
      <c r="T235">
        <f>IF($Q235="","",INDEX($L$8:$L$407,$Q235))</f>
        <v/>
      </c>
      <c r="U235">
        <f>IF($Q235="","",INDEX($K$8:$K$407,$Q235))</f>
        <v/>
      </c>
      <c r="V235">
        <f>IF($Q235="",0,IF($S235&lt;&gt;$S234,1,0))</f>
        <v/>
      </c>
      <c r="W235">
        <f>IF($Q235="",0,IF($T235&lt;&gt;$T234,1,0))</f>
        <v/>
      </c>
      <c r="X235">
        <f>IF($Q235="",99999+228,$X234+1+$V234+$W234)</f>
        <v/>
      </c>
      <c r="Y235">
        <f>IF($Q235="","",INDEX(บันทึกรายเที่ยว!$Q$6:$Q$6005,$R235))</f>
        <v/>
      </c>
      <c r="Z235">
        <f>IF($Q235="","",INDEX(บันทึกรายเที่ยว!$F$6:$F$6005,$R235))</f>
        <v/>
      </c>
      <c r="AA235">
        <f>IFERROR(MATCH(228,$X$8:$X$407,1),"")</f>
        <v/>
      </c>
      <c r="AB235">
        <f>IF(228=$AD$1+1,"G",IF($AA235="","",IF(INDEX($Q$8:$Q$407,$AA235)="","",IF(228&gt;INDEX($X$8:$X$407,$AA235)+INDEX($V$8:$V$407,$AA235)+INDEX($W$8:$W$407,$AA235),"",IF(228=INDEX($X$8:$X$407,$AA235)+INDEX($V$8:$V$407,$AA235)+INDEX($W$8:$W$407,$AA235),"D",IF(AND(INDEX($W$8:$W$407,$AA235)=1,228=INDEX($X$8:$X$407,$AA235)+INDEX($V$8:$V$407,$AA235)),"S","R"))))))</f>
        <v/>
      </c>
      <c r="AC235">
        <f>IF(OR($AB235="",$AB235="G"),"",IF($AB235="D",INDEX($U$8:$U$407,$AA235),IF($AB235="S",INDEX($T$8:$T$407,$AA235)&amp;"|*",INDEX($S$8:$S$407,$AA235)&amp;"|*")))</f>
        <v/>
      </c>
      <c r="AE235">
        <f>IF($U235="",0,COUNTIF(บันทึกรายเที่ยว!$T$6:$T$6005,$U235))</f>
        <v/>
      </c>
      <c r="AF235">
        <f>IF($U235="",0,ROUND(SUMIF(บันทึกรายเที่ยว!$T$6:$T$6005,$U235,บันทึกรายเที่ยว!$J$6:$J$6005),2))</f>
        <v/>
      </c>
      <c r="AG235">
        <f>IF($U235="",0,ROUND(SUMIF(บันทึกรายเที่ยว!$T$6:$T$6005,$U235,บันทึกรายเที่ยว!$K$6:$K$6005),2))</f>
        <v/>
      </c>
      <c r="AH235">
        <f>IF($U235="",0,ROUND(SUMIF(บันทึกรายเที่ยว!$T$6:$T$6005,$U235,บันทึกรายเที่ยว!$M$6:$M$6005),2))</f>
        <v/>
      </c>
    </row>
    <row r="236" ht="21" customHeight="1" s="66">
      <c r="A236" s="3">
        <f>IF($AB236="G","ผลรวมทั้งหมด",IF($AB236="R",INDEX($S$8:$S$407,$AA236),""))</f>
        <v/>
      </c>
      <c r="B236" s="3">
        <f>IF($AB236="S",INDEX($Y$8:$Y$407,$AA236),"")</f>
        <v/>
      </c>
      <c r="C236" s="68">
        <f>IF($AB236="D",INDEX($Z$8:$Z$407,$AA236),"")</f>
        <v/>
      </c>
      <c r="D236" s="31">
        <f>IF($AB236="G",SUM($AE$8:$AE$407),IF(OR($AB236="",$AB236="R"),"",IF($AB236="D",INDEX($AE$8:$AE$407,$AA236),SUMIF($T$8:$T$407,INDEX($T$8:$T$407,$AA236),$AE$8:$AE$407))))</f>
        <v/>
      </c>
      <c r="E236" s="32">
        <f>IF(229=$AD$1+3,"ขอแสดงความนับถือ",IF(229=$AD$1+6,"(                 )",IF(229=$AD$1+7,"เจ้าหน้าที่ขนส่ง",IF($AB236="G",SUM($AF$8:$AF$407),IF(OR($AB236="",$AB236="R"),"",IF($AB236="D",INDEX($AF$8:$AF$407,$AA236),SUMIF($T$8:$T$407,INDEX($T$8:$T$407,$AA236),$AF$8:$AF$407)))))))</f>
        <v/>
      </c>
      <c r="F236" s="32">
        <f>IF($AB236="G",SUM($AG$8:$AG$407),IF(OR($AB236="",$AB236="R"),"",IF($AB236="D",INDEX($AG$8:$AG$407,$AA236),SUMIF($T$8:$T$407,INDEX($T$8:$T$407,$AA236),$AG$8:$AG$407))))</f>
        <v/>
      </c>
      <c r="G236" s="32">
        <f>IF(OR($AB236="",$AB236="R"),"",ROUND($E236-$F236,2))</f>
        <v/>
      </c>
      <c r="H236" s="32">
        <f>IF($AB236="G",SUM($AH$8:$AH$407),IF(OR($AB236="",$AB236="R"),"",IF($AB236="D",INDEX($AH$8:$AH$407,$AA236),SUMIF($T$8:$T$407,INDEX($T$8:$T$407,$AA236),$AH$8:$AH$407))))</f>
        <v/>
      </c>
      <c r="J236">
        <f>IFERROR(MATCH(229,บันทึกรายเที่ยว!$W$6:$W$6005,0),"")</f>
        <v/>
      </c>
      <c r="K236">
        <f>IF($J236="","",INDEX(บันทึกรายเที่ยว!$T$6:$T$6005,$J236))</f>
        <v/>
      </c>
      <c r="L236">
        <f>IF($J236="","",INDEX(บันทึกรายเที่ยว!$S$6:$S$6005,$J236))</f>
        <v/>
      </c>
      <c r="M236">
        <f>IF($J236="","",INDEX(บันทึกรายเที่ยว!$R$6:$R$6005,$J236))</f>
        <v/>
      </c>
      <c r="N236">
        <f>IF($J236="","",MATCH($M236,บันทึกรายเที่ยว!$R$6:$R$6005,0))</f>
        <v/>
      </c>
      <c r="O236">
        <f>IF($J236="","",MATCH($L236,บันทึกรายเที่ยว!$S$6:$S$6005,0))</f>
        <v/>
      </c>
      <c r="P236">
        <f>IF($J236="","",IF(AND(OR($I$3="(ทั้งหมด)",INDEX(บันทึกรายเที่ยว!$C$6:$C$6005,$J236)=$I$3),OR($I$5="(ทั้งหมด)",INDEX(บันทึกรายเที่ยว!$D$6:$D$6005,$J236)=$I$5),OR($I$7="(ทั้งหมด)",INDEX(บันทึกรายเที่ยว!$F$6:$F$6005,$J236)=$I$7)),$N236*10000000+$O236*1000+229,""))</f>
        <v/>
      </c>
      <c r="Q236">
        <f>IFERROR(MATCH(SMALL($P$8:$P$407,229),$P$8:$P$407,0),"")</f>
        <v/>
      </c>
      <c r="R236">
        <f>IF($Q236="","",INDEX($J$8:$J$407,$Q236))</f>
        <v/>
      </c>
      <c r="S236">
        <f>IF($Q236="","",INDEX($M$8:$M$407,$Q236))</f>
        <v/>
      </c>
      <c r="T236">
        <f>IF($Q236="","",INDEX($L$8:$L$407,$Q236))</f>
        <v/>
      </c>
      <c r="U236">
        <f>IF($Q236="","",INDEX($K$8:$K$407,$Q236))</f>
        <v/>
      </c>
      <c r="V236">
        <f>IF($Q236="",0,IF($S236&lt;&gt;$S235,1,0))</f>
        <v/>
      </c>
      <c r="W236">
        <f>IF($Q236="",0,IF($T236&lt;&gt;$T235,1,0))</f>
        <v/>
      </c>
      <c r="X236">
        <f>IF($Q236="",99999+229,$X235+1+$V235+$W235)</f>
        <v/>
      </c>
      <c r="Y236">
        <f>IF($Q236="","",INDEX(บันทึกรายเที่ยว!$Q$6:$Q$6005,$R236))</f>
        <v/>
      </c>
      <c r="Z236">
        <f>IF($Q236="","",INDEX(บันทึกรายเที่ยว!$F$6:$F$6005,$R236))</f>
        <v/>
      </c>
      <c r="AA236">
        <f>IFERROR(MATCH(229,$X$8:$X$407,1),"")</f>
        <v/>
      </c>
      <c r="AB236">
        <f>IF(229=$AD$1+1,"G",IF($AA236="","",IF(INDEX($Q$8:$Q$407,$AA236)="","",IF(229&gt;INDEX($X$8:$X$407,$AA236)+INDEX($V$8:$V$407,$AA236)+INDEX($W$8:$W$407,$AA236),"",IF(229=INDEX($X$8:$X$407,$AA236)+INDEX($V$8:$V$407,$AA236)+INDEX($W$8:$W$407,$AA236),"D",IF(AND(INDEX($W$8:$W$407,$AA236)=1,229=INDEX($X$8:$X$407,$AA236)+INDEX($V$8:$V$407,$AA236)),"S","R"))))))</f>
        <v/>
      </c>
      <c r="AC236">
        <f>IF(OR($AB236="",$AB236="G"),"",IF($AB236="D",INDEX($U$8:$U$407,$AA236),IF($AB236="S",INDEX($T$8:$T$407,$AA236)&amp;"|*",INDEX($S$8:$S$407,$AA236)&amp;"|*")))</f>
        <v/>
      </c>
      <c r="AE236">
        <f>IF($U236="",0,COUNTIF(บันทึกรายเที่ยว!$T$6:$T$6005,$U236))</f>
        <v/>
      </c>
      <c r="AF236">
        <f>IF($U236="",0,ROUND(SUMIF(บันทึกรายเที่ยว!$T$6:$T$6005,$U236,บันทึกรายเที่ยว!$J$6:$J$6005),2))</f>
        <v/>
      </c>
      <c r="AG236">
        <f>IF($U236="",0,ROUND(SUMIF(บันทึกรายเที่ยว!$T$6:$T$6005,$U236,บันทึกรายเที่ยว!$K$6:$K$6005),2))</f>
        <v/>
      </c>
      <c r="AH236">
        <f>IF($U236="",0,ROUND(SUMIF(บันทึกรายเที่ยว!$T$6:$T$6005,$U236,บันทึกรายเที่ยว!$M$6:$M$6005),2))</f>
        <v/>
      </c>
    </row>
    <row r="237" ht="21" customHeight="1" s="66">
      <c r="A237" s="3">
        <f>IF($AB237="G","ผลรวมทั้งหมด",IF($AB237="R",INDEX($S$8:$S$407,$AA237),""))</f>
        <v/>
      </c>
      <c r="B237" s="3">
        <f>IF($AB237="S",INDEX($Y$8:$Y$407,$AA237),"")</f>
        <v/>
      </c>
      <c r="C237" s="68">
        <f>IF($AB237="D",INDEX($Z$8:$Z$407,$AA237),"")</f>
        <v/>
      </c>
      <c r="D237" s="31">
        <f>IF($AB237="G",SUM($AE$8:$AE$407),IF(OR($AB237="",$AB237="R"),"",IF($AB237="D",INDEX($AE$8:$AE$407,$AA237),SUMIF($T$8:$T$407,INDEX($T$8:$T$407,$AA237),$AE$8:$AE$407))))</f>
        <v/>
      </c>
      <c r="E237" s="32">
        <f>IF(230=$AD$1+3,"ขอแสดงความนับถือ",IF(230=$AD$1+6,"(                 )",IF(230=$AD$1+7,"เจ้าหน้าที่ขนส่ง",IF($AB237="G",SUM($AF$8:$AF$407),IF(OR($AB237="",$AB237="R"),"",IF($AB237="D",INDEX($AF$8:$AF$407,$AA237),SUMIF($T$8:$T$407,INDEX($T$8:$T$407,$AA237),$AF$8:$AF$407)))))))</f>
        <v/>
      </c>
      <c r="F237" s="32">
        <f>IF($AB237="G",SUM($AG$8:$AG$407),IF(OR($AB237="",$AB237="R"),"",IF($AB237="D",INDEX($AG$8:$AG$407,$AA237),SUMIF($T$8:$T$407,INDEX($T$8:$T$407,$AA237),$AG$8:$AG$407))))</f>
        <v/>
      </c>
      <c r="G237" s="32">
        <f>IF(OR($AB237="",$AB237="R"),"",ROUND($E237-$F237,2))</f>
        <v/>
      </c>
      <c r="H237" s="32">
        <f>IF($AB237="G",SUM($AH$8:$AH$407),IF(OR($AB237="",$AB237="R"),"",IF($AB237="D",INDEX($AH$8:$AH$407,$AA237),SUMIF($T$8:$T$407,INDEX($T$8:$T$407,$AA237),$AH$8:$AH$407))))</f>
        <v/>
      </c>
      <c r="J237">
        <f>IFERROR(MATCH(230,บันทึกรายเที่ยว!$W$6:$W$6005,0),"")</f>
        <v/>
      </c>
      <c r="K237">
        <f>IF($J237="","",INDEX(บันทึกรายเที่ยว!$T$6:$T$6005,$J237))</f>
        <v/>
      </c>
      <c r="L237">
        <f>IF($J237="","",INDEX(บันทึกรายเที่ยว!$S$6:$S$6005,$J237))</f>
        <v/>
      </c>
      <c r="M237">
        <f>IF($J237="","",INDEX(บันทึกรายเที่ยว!$R$6:$R$6005,$J237))</f>
        <v/>
      </c>
      <c r="N237">
        <f>IF($J237="","",MATCH($M237,บันทึกรายเที่ยว!$R$6:$R$6005,0))</f>
        <v/>
      </c>
      <c r="O237">
        <f>IF($J237="","",MATCH($L237,บันทึกรายเที่ยว!$S$6:$S$6005,0))</f>
        <v/>
      </c>
      <c r="P237">
        <f>IF($J237="","",IF(AND(OR($I$3="(ทั้งหมด)",INDEX(บันทึกรายเที่ยว!$C$6:$C$6005,$J237)=$I$3),OR($I$5="(ทั้งหมด)",INDEX(บันทึกรายเที่ยว!$D$6:$D$6005,$J237)=$I$5),OR($I$7="(ทั้งหมด)",INDEX(บันทึกรายเที่ยว!$F$6:$F$6005,$J237)=$I$7)),$N237*10000000+$O237*1000+230,""))</f>
        <v/>
      </c>
      <c r="Q237">
        <f>IFERROR(MATCH(SMALL($P$8:$P$407,230),$P$8:$P$407,0),"")</f>
        <v/>
      </c>
      <c r="R237">
        <f>IF($Q237="","",INDEX($J$8:$J$407,$Q237))</f>
        <v/>
      </c>
      <c r="S237">
        <f>IF($Q237="","",INDEX($M$8:$M$407,$Q237))</f>
        <v/>
      </c>
      <c r="T237">
        <f>IF($Q237="","",INDEX($L$8:$L$407,$Q237))</f>
        <v/>
      </c>
      <c r="U237">
        <f>IF($Q237="","",INDEX($K$8:$K$407,$Q237))</f>
        <v/>
      </c>
      <c r="V237">
        <f>IF($Q237="",0,IF($S237&lt;&gt;$S236,1,0))</f>
        <v/>
      </c>
      <c r="W237">
        <f>IF($Q237="",0,IF($T237&lt;&gt;$T236,1,0))</f>
        <v/>
      </c>
      <c r="X237">
        <f>IF($Q237="",99999+230,$X236+1+$V236+$W236)</f>
        <v/>
      </c>
      <c r="Y237">
        <f>IF($Q237="","",INDEX(บันทึกรายเที่ยว!$Q$6:$Q$6005,$R237))</f>
        <v/>
      </c>
      <c r="Z237">
        <f>IF($Q237="","",INDEX(บันทึกรายเที่ยว!$F$6:$F$6005,$R237))</f>
        <v/>
      </c>
      <c r="AA237">
        <f>IFERROR(MATCH(230,$X$8:$X$407,1),"")</f>
        <v/>
      </c>
      <c r="AB237">
        <f>IF(230=$AD$1+1,"G",IF($AA237="","",IF(INDEX($Q$8:$Q$407,$AA237)="","",IF(230&gt;INDEX($X$8:$X$407,$AA237)+INDEX($V$8:$V$407,$AA237)+INDEX($W$8:$W$407,$AA237),"",IF(230=INDEX($X$8:$X$407,$AA237)+INDEX($V$8:$V$407,$AA237)+INDEX($W$8:$W$407,$AA237),"D",IF(AND(INDEX($W$8:$W$407,$AA237)=1,230=INDEX($X$8:$X$407,$AA237)+INDEX($V$8:$V$407,$AA237)),"S","R"))))))</f>
        <v/>
      </c>
      <c r="AC237">
        <f>IF(OR($AB237="",$AB237="G"),"",IF($AB237="D",INDEX($U$8:$U$407,$AA237),IF($AB237="S",INDEX($T$8:$T$407,$AA237)&amp;"|*",INDEX($S$8:$S$407,$AA237)&amp;"|*")))</f>
        <v/>
      </c>
      <c r="AE237">
        <f>IF($U237="",0,COUNTIF(บันทึกรายเที่ยว!$T$6:$T$6005,$U237))</f>
        <v/>
      </c>
      <c r="AF237">
        <f>IF($U237="",0,ROUND(SUMIF(บันทึกรายเที่ยว!$T$6:$T$6005,$U237,บันทึกรายเที่ยว!$J$6:$J$6005),2))</f>
        <v/>
      </c>
      <c r="AG237">
        <f>IF($U237="",0,ROUND(SUMIF(บันทึกรายเที่ยว!$T$6:$T$6005,$U237,บันทึกรายเที่ยว!$K$6:$K$6005),2))</f>
        <v/>
      </c>
      <c r="AH237">
        <f>IF($U237="",0,ROUND(SUMIF(บันทึกรายเที่ยว!$T$6:$T$6005,$U237,บันทึกรายเที่ยว!$M$6:$M$6005),2))</f>
        <v/>
      </c>
    </row>
    <row r="238" ht="21" customHeight="1" s="66">
      <c r="A238" s="3">
        <f>IF($AB238="G","ผลรวมทั้งหมด",IF($AB238="R",INDEX($S$8:$S$407,$AA238),""))</f>
        <v/>
      </c>
      <c r="B238" s="3">
        <f>IF($AB238="S",INDEX($Y$8:$Y$407,$AA238),"")</f>
        <v/>
      </c>
      <c r="C238" s="68">
        <f>IF($AB238="D",INDEX($Z$8:$Z$407,$AA238),"")</f>
        <v/>
      </c>
      <c r="D238" s="31">
        <f>IF($AB238="G",SUM($AE$8:$AE$407),IF(OR($AB238="",$AB238="R"),"",IF($AB238="D",INDEX($AE$8:$AE$407,$AA238),SUMIF($T$8:$T$407,INDEX($T$8:$T$407,$AA238),$AE$8:$AE$407))))</f>
        <v/>
      </c>
      <c r="E238" s="32">
        <f>IF(231=$AD$1+3,"ขอแสดงความนับถือ",IF(231=$AD$1+6,"(                 )",IF(231=$AD$1+7,"เจ้าหน้าที่ขนส่ง",IF($AB238="G",SUM($AF$8:$AF$407),IF(OR($AB238="",$AB238="R"),"",IF($AB238="D",INDEX($AF$8:$AF$407,$AA238),SUMIF($T$8:$T$407,INDEX($T$8:$T$407,$AA238),$AF$8:$AF$407)))))))</f>
        <v/>
      </c>
      <c r="F238" s="32">
        <f>IF($AB238="G",SUM($AG$8:$AG$407),IF(OR($AB238="",$AB238="R"),"",IF($AB238="D",INDEX($AG$8:$AG$407,$AA238),SUMIF($T$8:$T$407,INDEX($T$8:$T$407,$AA238),$AG$8:$AG$407))))</f>
        <v/>
      </c>
      <c r="G238" s="32">
        <f>IF(OR($AB238="",$AB238="R"),"",ROUND($E238-$F238,2))</f>
        <v/>
      </c>
      <c r="H238" s="32">
        <f>IF($AB238="G",SUM($AH$8:$AH$407),IF(OR($AB238="",$AB238="R"),"",IF($AB238="D",INDEX($AH$8:$AH$407,$AA238),SUMIF($T$8:$T$407,INDEX($T$8:$T$407,$AA238),$AH$8:$AH$407))))</f>
        <v/>
      </c>
      <c r="J238">
        <f>IFERROR(MATCH(231,บันทึกรายเที่ยว!$W$6:$W$6005,0),"")</f>
        <v/>
      </c>
      <c r="K238">
        <f>IF($J238="","",INDEX(บันทึกรายเที่ยว!$T$6:$T$6005,$J238))</f>
        <v/>
      </c>
      <c r="L238">
        <f>IF($J238="","",INDEX(บันทึกรายเที่ยว!$S$6:$S$6005,$J238))</f>
        <v/>
      </c>
      <c r="M238">
        <f>IF($J238="","",INDEX(บันทึกรายเที่ยว!$R$6:$R$6005,$J238))</f>
        <v/>
      </c>
      <c r="N238">
        <f>IF($J238="","",MATCH($M238,บันทึกรายเที่ยว!$R$6:$R$6005,0))</f>
        <v/>
      </c>
      <c r="O238">
        <f>IF($J238="","",MATCH($L238,บันทึกรายเที่ยว!$S$6:$S$6005,0))</f>
        <v/>
      </c>
      <c r="P238">
        <f>IF($J238="","",IF(AND(OR($I$3="(ทั้งหมด)",INDEX(บันทึกรายเที่ยว!$C$6:$C$6005,$J238)=$I$3),OR($I$5="(ทั้งหมด)",INDEX(บันทึกรายเที่ยว!$D$6:$D$6005,$J238)=$I$5),OR($I$7="(ทั้งหมด)",INDEX(บันทึกรายเที่ยว!$F$6:$F$6005,$J238)=$I$7)),$N238*10000000+$O238*1000+231,""))</f>
        <v/>
      </c>
      <c r="Q238">
        <f>IFERROR(MATCH(SMALL($P$8:$P$407,231),$P$8:$P$407,0),"")</f>
        <v/>
      </c>
      <c r="R238">
        <f>IF($Q238="","",INDEX($J$8:$J$407,$Q238))</f>
        <v/>
      </c>
      <c r="S238">
        <f>IF($Q238="","",INDEX($M$8:$M$407,$Q238))</f>
        <v/>
      </c>
      <c r="T238">
        <f>IF($Q238="","",INDEX($L$8:$L$407,$Q238))</f>
        <v/>
      </c>
      <c r="U238">
        <f>IF($Q238="","",INDEX($K$8:$K$407,$Q238))</f>
        <v/>
      </c>
      <c r="V238">
        <f>IF($Q238="",0,IF($S238&lt;&gt;$S237,1,0))</f>
        <v/>
      </c>
      <c r="W238">
        <f>IF($Q238="",0,IF($T238&lt;&gt;$T237,1,0))</f>
        <v/>
      </c>
      <c r="X238">
        <f>IF($Q238="",99999+231,$X237+1+$V237+$W237)</f>
        <v/>
      </c>
      <c r="Y238">
        <f>IF($Q238="","",INDEX(บันทึกรายเที่ยว!$Q$6:$Q$6005,$R238))</f>
        <v/>
      </c>
      <c r="Z238">
        <f>IF($Q238="","",INDEX(บันทึกรายเที่ยว!$F$6:$F$6005,$R238))</f>
        <v/>
      </c>
      <c r="AA238">
        <f>IFERROR(MATCH(231,$X$8:$X$407,1),"")</f>
        <v/>
      </c>
      <c r="AB238">
        <f>IF(231=$AD$1+1,"G",IF($AA238="","",IF(INDEX($Q$8:$Q$407,$AA238)="","",IF(231&gt;INDEX($X$8:$X$407,$AA238)+INDEX($V$8:$V$407,$AA238)+INDEX($W$8:$W$407,$AA238),"",IF(231=INDEX($X$8:$X$407,$AA238)+INDEX($V$8:$V$407,$AA238)+INDEX($W$8:$W$407,$AA238),"D",IF(AND(INDEX($W$8:$W$407,$AA238)=1,231=INDEX($X$8:$X$407,$AA238)+INDEX($V$8:$V$407,$AA238)),"S","R"))))))</f>
        <v/>
      </c>
      <c r="AC238">
        <f>IF(OR($AB238="",$AB238="G"),"",IF($AB238="D",INDEX($U$8:$U$407,$AA238),IF($AB238="S",INDEX($T$8:$T$407,$AA238)&amp;"|*",INDEX($S$8:$S$407,$AA238)&amp;"|*")))</f>
        <v/>
      </c>
      <c r="AE238">
        <f>IF($U238="",0,COUNTIF(บันทึกรายเที่ยว!$T$6:$T$6005,$U238))</f>
        <v/>
      </c>
      <c r="AF238">
        <f>IF($U238="",0,ROUND(SUMIF(บันทึกรายเที่ยว!$T$6:$T$6005,$U238,บันทึกรายเที่ยว!$J$6:$J$6005),2))</f>
        <v/>
      </c>
      <c r="AG238">
        <f>IF($U238="",0,ROUND(SUMIF(บันทึกรายเที่ยว!$T$6:$T$6005,$U238,บันทึกรายเที่ยว!$K$6:$K$6005),2))</f>
        <v/>
      </c>
      <c r="AH238">
        <f>IF($U238="",0,ROUND(SUMIF(บันทึกรายเที่ยว!$T$6:$T$6005,$U238,บันทึกรายเที่ยว!$M$6:$M$6005),2))</f>
        <v/>
      </c>
    </row>
    <row r="239" ht="21" customHeight="1" s="66">
      <c r="A239" s="3">
        <f>IF($AB239="G","ผลรวมทั้งหมด",IF($AB239="R",INDEX($S$8:$S$407,$AA239),""))</f>
        <v/>
      </c>
      <c r="B239" s="3">
        <f>IF($AB239="S",INDEX($Y$8:$Y$407,$AA239),"")</f>
        <v/>
      </c>
      <c r="C239" s="68">
        <f>IF($AB239="D",INDEX($Z$8:$Z$407,$AA239),"")</f>
        <v/>
      </c>
      <c r="D239" s="31">
        <f>IF($AB239="G",SUM($AE$8:$AE$407),IF(OR($AB239="",$AB239="R"),"",IF($AB239="D",INDEX($AE$8:$AE$407,$AA239),SUMIF($T$8:$T$407,INDEX($T$8:$T$407,$AA239),$AE$8:$AE$407))))</f>
        <v/>
      </c>
      <c r="E239" s="32">
        <f>IF(232=$AD$1+3,"ขอแสดงความนับถือ",IF(232=$AD$1+6,"(                 )",IF(232=$AD$1+7,"เจ้าหน้าที่ขนส่ง",IF($AB239="G",SUM($AF$8:$AF$407),IF(OR($AB239="",$AB239="R"),"",IF($AB239="D",INDEX($AF$8:$AF$407,$AA239),SUMIF($T$8:$T$407,INDEX($T$8:$T$407,$AA239),$AF$8:$AF$407)))))))</f>
        <v/>
      </c>
      <c r="F239" s="32">
        <f>IF($AB239="G",SUM($AG$8:$AG$407),IF(OR($AB239="",$AB239="R"),"",IF($AB239="D",INDEX($AG$8:$AG$407,$AA239),SUMIF($T$8:$T$407,INDEX($T$8:$T$407,$AA239),$AG$8:$AG$407))))</f>
        <v/>
      </c>
      <c r="G239" s="32">
        <f>IF(OR($AB239="",$AB239="R"),"",ROUND($E239-$F239,2))</f>
        <v/>
      </c>
      <c r="H239" s="32">
        <f>IF($AB239="G",SUM($AH$8:$AH$407),IF(OR($AB239="",$AB239="R"),"",IF($AB239="D",INDEX($AH$8:$AH$407,$AA239),SUMIF($T$8:$T$407,INDEX($T$8:$T$407,$AA239),$AH$8:$AH$407))))</f>
        <v/>
      </c>
      <c r="J239">
        <f>IFERROR(MATCH(232,บันทึกรายเที่ยว!$W$6:$W$6005,0),"")</f>
        <v/>
      </c>
      <c r="K239">
        <f>IF($J239="","",INDEX(บันทึกรายเที่ยว!$T$6:$T$6005,$J239))</f>
        <v/>
      </c>
      <c r="L239">
        <f>IF($J239="","",INDEX(บันทึกรายเที่ยว!$S$6:$S$6005,$J239))</f>
        <v/>
      </c>
      <c r="M239">
        <f>IF($J239="","",INDEX(บันทึกรายเที่ยว!$R$6:$R$6005,$J239))</f>
        <v/>
      </c>
      <c r="N239">
        <f>IF($J239="","",MATCH($M239,บันทึกรายเที่ยว!$R$6:$R$6005,0))</f>
        <v/>
      </c>
      <c r="O239">
        <f>IF($J239="","",MATCH($L239,บันทึกรายเที่ยว!$S$6:$S$6005,0))</f>
        <v/>
      </c>
      <c r="P239">
        <f>IF($J239="","",IF(AND(OR($I$3="(ทั้งหมด)",INDEX(บันทึกรายเที่ยว!$C$6:$C$6005,$J239)=$I$3),OR($I$5="(ทั้งหมด)",INDEX(บันทึกรายเที่ยว!$D$6:$D$6005,$J239)=$I$5),OR($I$7="(ทั้งหมด)",INDEX(บันทึกรายเที่ยว!$F$6:$F$6005,$J239)=$I$7)),$N239*10000000+$O239*1000+232,""))</f>
        <v/>
      </c>
      <c r="Q239">
        <f>IFERROR(MATCH(SMALL($P$8:$P$407,232),$P$8:$P$407,0),"")</f>
        <v/>
      </c>
      <c r="R239">
        <f>IF($Q239="","",INDEX($J$8:$J$407,$Q239))</f>
        <v/>
      </c>
      <c r="S239">
        <f>IF($Q239="","",INDEX($M$8:$M$407,$Q239))</f>
        <v/>
      </c>
      <c r="T239">
        <f>IF($Q239="","",INDEX($L$8:$L$407,$Q239))</f>
        <v/>
      </c>
      <c r="U239">
        <f>IF($Q239="","",INDEX($K$8:$K$407,$Q239))</f>
        <v/>
      </c>
      <c r="V239">
        <f>IF($Q239="",0,IF($S239&lt;&gt;$S238,1,0))</f>
        <v/>
      </c>
      <c r="W239">
        <f>IF($Q239="",0,IF($T239&lt;&gt;$T238,1,0))</f>
        <v/>
      </c>
      <c r="X239">
        <f>IF($Q239="",99999+232,$X238+1+$V238+$W238)</f>
        <v/>
      </c>
      <c r="Y239">
        <f>IF($Q239="","",INDEX(บันทึกรายเที่ยว!$Q$6:$Q$6005,$R239))</f>
        <v/>
      </c>
      <c r="Z239">
        <f>IF($Q239="","",INDEX(บันทึกรายเที่ยว!$F$6:$F$6005,$R239))</f>
        <v/>
      </c>
      <c r="AA239">
        <f>IFERROR(MATCH(232,$X$8:$X$407,1),"")</f>
        <v/>
      </c>
      <c r="AB239">
        <f>IF(232=$AD$1+1,"G",IF($AA239="","",IF(INDEX($Q$8:$Q$407,$AA239)="","",IF(232&gt;INDEX($X$8:$X$407,$AA239)+INDEX($V$8:$V$407,$AA239)+INDEX($W$8:$W$407,$AA239),"",IF(232=INDEX($X$8:$X$407,$AA239)+INDEX($V$8:$V$407,$AA239)+INDEX($W$8:$W$407,$AA239),"D",IF(AND(INDEX($W$8:$W$407,$AA239)=1,232=INDEX($X$8:$X$407,$AA239)+INDEX($V$8:$V$407,$AA239)),"S","R"))))))</f>
        <v/>
      </c>
      <c r="AC239">
        <f>IF(OR($AB239="",$AB239="G"),"",IF($AB239="D",INDEX($U$8:$U$407,$AA239),IF($AB239="S",INDEX($T$8:$T$407,$AA239)&amp;"|*",INDEX($S$8:$S$407,$AA239)&amp;"|*")))</f>
        <v/>
      </c>
      <c r="AE239">
        <f>IF($U239="",0,COUNTIF(บันทึกรายเที่ยว!$T$6:$T$6005,$U239))</f>
        <v/>
      </c>
      <c r="AF239">
        <f>IF($U239="",0,ROUND(SUMIF(บันทึกรายเที่ยว!$T$6:$T$6005,$U239,บันทึกรายเที่ยว!$J$6:$J$6005),2))</f>
        <v/>
      </c>
      <c r="AG239">
        <f>IF($U239="",0,ROUND(SUMIF(บันทึกรายเที่ยว!$T$6:$T$6005,$U239,บันทึกรายเที่ยว!$K$6:$K$6005),2))</f>
        <v/>
      </c>
      <c r="AH239">
        <f>IF($U239="",0,ROUND(SUMIF(บันทึกรายเที่ยว!$T$6:$T$6005,$U239,บันทึกรายเที่ยว!$M$6:$M$6005),2))</f>
        <v/>
      </c>
    </row>
    <row r="240" ht="21" customHeight="1" s="66">
      <c r="A240" s="3">
        <f>IF($AB240="G","ผลรวมทั้งหมด",IF($AB240="R",INDEX($S$8:$S$407,$AA240),""))</f>
        <v/>
      </c>
      <c r="B240" s="3">
        <f>IF($AB240="S",INDEX($Y$8:$Y$407,$AA240),"")</f>
        <v/>
      </c>
      <c r="C240" s="68">
        <f>IF($AB240="D",INDEX($Z$8:$Z$407,$AA240),"")</f>
        <v/>
      </c>
      <c r="D240" s="31">
        <f>IF($AB240="G",SUM($AE$8:$AE$407),IF(OR($AB240="",$AB240="R"),"",IF($AB240="D",INDEX($AE$8:$AE$407,$AA240),SUMIF($T$8:$T$407,INDEX($T$8:$T$407,$AA240),$AE$8:$AE$407))))</f>
        <v/>
      </c>
      <c r="E240" s="32">
        <f>IF(233=$AD$1+3,"ขอแสดงความนับถือ",IF(233=$AD$1+6,"(                 )",IF(233=$AD$1+7,"เจ้าหน้าที่ขนส่ง",IF($AB240="G",SUM($AF$8:$AF$407),IF(OR($AB240="",$AB240="R"),"",IF($AB240="D",INDEX($AF$8:$AF$407,$AA240),SUMIF($T$8:$T$407,INDEX($T$8:$T$407,$AA240),$AF$8:$AF$407)))))))</f>
        <v/>
      </c>
      <c r="F240" s="32">
        <f>IF($AB240="G",SUM($AG$8:$AG$407),IF(OR($AB240="",$AB240="R"),"",IF($AB240="D",INDEX($AG$8:$AG$407,$AA240),SUMIF($T$8:$T$407,INDEX($T$8:$T$407,$AA240),$AG$8:$AG$407))))</f>
        <v/>
      </c>
      <c r="G240" s="32">
        <f>IF(OR($AB240="",$AB240="R"),"",ROUND($E240-$F240,2))</f>
        <v/>
      </c>
      <c r="H240" s="32">
        <f>IF($AB240="G",SUM($AH$8:$AH$407),IF(OR($AB240="",$AB240="R"),"",IF($AB240="D",INDEX($AH$8:$AH$407,$AA240),SUMIF($T$8:$T$407,INDEX($T$8:$T$407,$AA240),$AH$8:$AH$407))))</f>
        <v/>
      </c>
      <c r="J240">
        <f>IFERROR(MATCH(233,บันทึกรายเที่ยว!$W$6:$W$6005,0),"")</f>
        <v/>
      </c>
      <c r="K240">
        <f>IF($J240="","",INDEX(บันทึกรายเที่ยว!$T$6:$T$6005,$J240))</f>
        <v/>
      </c>
      <c r="L240">
        <f>IF($J240="","",INDEX(บันทึกรายเที่ยว!$S$6:$S$6005,$J240))</f>
        <v/>
      </c>
      <c r="M240">
        <f>IF($J240="","",INDEX(บันทึกรายเที่ยว!$R$6:$R$6005,$J240))</f>
        <v/>
      </c>
      <c r="N240">
        <f>IF($J240="","",MATCH($M240,บันทึกรายเที่ยว!$R$6:$R$6005,0))</f>
        <v/>
      </c>
      <c r="O240">
        <f>IF($J240="","",MATCH($L240,บันทึกรายเที่ยว!$S$6:$S$6005,0))</f>
        <v/>
      </c>
      <c r="P240">
        <f>IF($J240="","",IF(AND(OR($I$3="(ทั้งหมด)",INDEX(บันทึกรายเที่ยว!$C$6:$C$6005,$J240)=$I$3),OR($I$5="(ทั้งหมด)",INDEX(บันทึกรายเที่ยว!$D$6:$D$6005,$J240)=$I$5),OR($I$7="(ทั้งหมด)",INDEX(บันทึกรายเที่ยว!$F$6:$F$6005,$J240)=$I$7)),$N240*10000000+$O240*1000+233,""))</f>
        <v/>
      </c>
      <c r="Q240">
        <f>IFERROR(MATCH(SMALL($P$8:$P$407,233),$P$8:$P$407,0),"")</f>
        <v/>
      </c>
      <c r="R240">
        <f>IF($Q240="","",INDEX($J$8:$J$407,$Q240))</f>
        <v/>
      </c>
      <c r="S240">
        <f>IF($Q240="","",INDEX($M$8:$M$407,$Q240))</f>
        <v/>
      </c>
      <c r="T240">
        <f>IF($Q240="","",INDEX($L$8:$L$407,$Q240))</f>
        <v/>
      </c>
      <c r="U240">
        <f>IF($Q240="","",INDEX($K$8:$K$407,$Q240))</f>
        <v/>
      </c>
      <c r="V240">
        <f>IF($Q240="",0,IF($S240&lt;&gt;$S239,1,0))</f>
        <v/>
      </c>
      <c r="W240">
        <f>IF($Q240="",0,IF($T240&lt;&gt;$T239,1,0))</f>
        <v/>
      </c>
      <c r="X240">
        <f>IF($Q240="",99999+233,$X239+1+$V239+$W239)</f>
        <v/>
      </c>
      <c r="Y240">
        <f>IF($Q240="","",INDEX(บันทึกรายเที่ยว!$Q$6:$Q$6005,$R240))</f>
        <v/>
      </c>
      <c r="Z240">
        <f>IF($Q240="","",INDEX(บันทึกรายเที่ยว!$F$6:$F$6005,$R240))</f>
        <v/>
      </c>
      <c r="AA240">
        <f>IFERROR(MATCH(233,$X$8:$X$407,1),"")</f>
        <v/>
      </c>
      <c r="AB240">
        <f>IF(233=$AD$1+1,"G",IF($AA240="","",IF(INDEX($Q$8:$Q$407,$AA240)="","",IF(233&gt;INDEX($X$8:$X$407,$AA240)+INDEX($V$8:$V$407,$AA240)+INDEX($W$8:$W$407,$AA240),"",IF(233=INDEX($X$8:$X$407,$AA240)+INDEX($V$8:$V$407,$AA240)+INDEX($W$8:$W$407,$AA240),"D",IF(AND(INDEX($W$8:$W$407,$AA240)=1,233=INDEX($X$8:$X$407,$AA240)+INDEX($V$8:$V$407,$AA240)),"S","R"))))))</f>
        <v/>
      </c>
      <c r="AC240">
        <f>IF(OR($AB240="",$AB240="G"),"",IF($AB240="D",INDEX($U$8:$U$407,$AA240),IF($AB240="S",INDEX($T$8:$T$407,$AA240)&amp;"|*",INDEX($S$8:$S$407,$AA240)&amp;"|*")))</f>
        <v/>
      </c>
      <c r="AE240">
        <f>IF($U240="",0,COUNTIF(บันทึกรายเที่ยว!$T$6:$T$6005,$U240))</f>
        <v/>
      </c>
      <c r="AF240">
        <f>IF($U240="",0,ROUND(SUMIF(บันทึกรายเที่ยว!$T$6:$T$6005,$U240,บันทึกรายเที่ยว!$J$6:$J$6005),2))</f>
        <v/>
      </c>
      <c r="AG240">
        <f>IF($U240="",0,ROUND(SUMIF(บันทึกรายเที่ยว!$T$6:$T$6005,$U240,บันทึกรายเที่ยว!$K$6:$K$6005),2))</f>
        <v/>
      </c>
      <c r="AH240">
        <f>IF($U240="",0,ROUND(SUMIF(บันทึกรายเที่ยว!$T$6:$T$6005,$U240,บันทึกรายเที่ยว!$M$6:$M$6005),2))</f>
        <v/>
      </c>
    </row>
    <row r="241" ht="21" customHeight="1" s="66">
      <c r="A241" s="3">
        <f>IF($AB241="G","ผลรวมทั้งหมด",IF($AB241="R",INDEX($S$8:$S$407,$AA241),""))</f>
        <v/>
      </c>
      <c r="B241" s="3">
        <f>IF($AB241="S",INDEX($Y$8:$Y$407,$AA241),"")</f>
        <v/>
      </c>
      <c r="C241" s="68">
        <f>IF($AB241="D",INDEX($Z$8:$Z$407,$AA241),"")</f>
        <v/>
      </c>
      <c r="D241" s="31">
        <f>IF($AB241="G",SUM($AE$8:$AE$407),IF(OR($AB241="",$AB241="R"),"",IF($AB241="D",INDEX($AE$8:$AE$407,$AA241),SUMIF($T$8:$T$407,INDEX($T$8:$T$407,$AA241),$AE$8:$AE$407))))</f>
        <v/>
      </c>
      <c r="E241" s="32">
        <f>IF(234=$AD$1+3,"ขอแสดงความนับถือ",IF(234=$AD$1+6,"(                 )",IF(234=$AD$1+7,"เจ้าหน้าที่ขนส่ง",IF($AB241="G",SUM($AF$8:$AF$407),IF(OR($AB241="",$AB241="R"),"",IF($AB241="D",INDEX($AF$8:$AF$407,$AA241),SUMIF($T$8:$T$407,INDEX($T$8:$T$407,$AA241),$AF$8:$AF$407)))))))</f>
        <v/>
      </c>
      <c r="F241" s="32">
        <f>IF($AB241="G",SUM($AG$8:$AG$407),IF(OR($AB241="",$AB241="R"),"",IF($AB241="D",INDEX($AG$8:$AG$407,$AA241),SUMIF($T$8:$T$407,INDEX($T$8:$T$407,$AA241),$AG$8:$AG$407))))</f>
        <v/>
      </c>
      <c r="G241" s="32">
        <f>IF(OR($AB241="",$AB241="R"),"",ROUND($E241-$F241,2))</f>
        <v/>
      </c>
      <c r="H241" s="32">
        <f>IF($AB241="G",SUM($AH$8:$AH$407),IF(OR($AB241="",$AB241="R"),"",IF($AB241="D",INDEX($AH$8:$AH$407,$AA241),SUMIF($T$8:$T$407,INDEX($T$8:$T$407,$AA241),$AH$8:$AH$407))))</f>
        <v/>
      </c>
      <c r="J241">
        <f>IFERROR(MATCH(234,บันทึกรายเที่ยว!$W$6:$W$6005,0),"")</f>
        <v/>
      </c>
      <c r="K241">
        <f>IF($J241="","",INDEX(บันทึกรายเที่ยว!$T$6:$T$6005,$J241))</f>
        <v/>
      </c>
      <c r="L241">
        <f>IF($J241="","",INDEX(บันทึกรายเที่ยว!$S$6:$S$6005,$J241))</f>
        <v/>
      </c>
      <c r="M241">
        <f>IF($J241="","",INDEX(บันทึกรายเที่ยว!$R$6:$R$6005,$J241))</f>
        <v/>
      </c>
      <c r="N241">
        <f>IF($J241="","",MATCH($M241,บันทึกรายเที่ยว!$R$6:$R$6005,0))</f>
        <v/>
      </c>
      <c r="O241">
        <f>IF($J241="","",MATCH($L241,บันทึกรายเที่ยว!$S$6:$S$6005,0))</f>
        <v/>
      </c>
      <c r="P241">
        <f>IF($J241="","",IF(AND(OR($I$3="(ทั้งหมด)",INDEX(บันทึกรายเที่ยว!$C$6:$C$6005,$J241)=$I$3),OR($I$5="(ทั้งหมด)",INDEX(บันทึกรายเที่ยว!$D$6:$D$6005,$J241)=$I$5),OR($I$7="(ทั้งหมด)",INDEX(บันทึกรายเที่ยว!$F$6:$F$6005,$J241)=$I$7)),$N241*10000000+$O241*1000+234,""))</f>
        <v/>
      </c>
      <c r="Q241">
        <f>IFERROR(MATCH(SMALL($P$8:$P$407,234),$P$8:$P$407,0),"")</f>
        <v/>
      </c>
      <c r="R241">
        <f>IF($Q241="","",INDEX($J$8:$J$407,$Q241))</f>
        <v/>
      </c>
      <c r="S241">
        <f>IF($Q241="","",INDEX($M$8:$M$407,$Q241))</f>
        <v/>
      </c>
      <c r="T241">
        <f>IF($Q241="","",INDEX($L$8:$L$407,$Q241))</f>
        <v/>
      </c>
      <c r="U241">
        <f>IF($Q241="","",INDEX($K$8:$K$407,$Q241))</f>
        <v/>
      </c>
      <c r="V241">
        <f>IF($Q241="",0,IF($S241&lt;&gt;$S240,1,0))</f>
        <v/>
      </c>
      <c r="W241">
        <f>IF($Q241="",0,IF($T241&lt;&gt;$T240,1,0))</f>
        <v/>
      </c>
      <c r="X241">
        <f>IF($Q241="",99999+234,$X240+1+$V240+$W240)</f>
        <v/>
      </c>
      <c r="Y241">
        <f>IF($Q241="","",INDEX(บันทึกรายเที่ยว!$Q$6:$Q$6005,$R241))</f>
        <v/>
      </c>
      <c r="Z241">
        <f>IF($Q241="","",INDEX(บันทึกรายเที่ยว!$F$6:$F$6005,$R241))</f>
        <v/>
      </c>
      <c r="AA241">
        <f>IFERROR(MATCH(234,$X$8:$X$407,1),"")</f>
        <v/>
      </c>
      <c r="AB241">
        <f>IF(234=$AD$1+1,"G",IF($AA241="","",IF(INDEX($Q$8:$Q$407,$AA241)="","",IF(234&gt;INDEX($X$8:$X$407,$AA241)+INDEX($V$8:$V$407,$AA241)+INDEX($W$8:$W$407,$AA241),"",IF(234=INDEX($X$8:$X$407,$AA241)+INDEX($V$8:$V$407,$AA241)+INDEX($W$8:$W$407,$AA241),"D",IF(AND(INDEX($W$8:$W$407,$AA241)=1,234=INDEX($X$8:$X$407,$AA241)+INDEX($V$8:$V$407,$AA241)),"S","R"))))))</f>
        <v/>
      </c>
      <c r="AC241">
        <f>IF(OR($AB241="",$AB241="G"),"",IF($AB241="D",INDEX($U$8:$U$407,$AA241),IF($AB241="S",INDEX($T$8:$T$407,$AA241)&amp;"|*",INDEX($S$8:$S$407,$AA241)&amp;"|*")))</f>
        <v/>
      </c>
      <c r="AE241">
        <f>IF($U241="",0,COUNTIF(บันทึกรายเที่ยว!$T$6:$T$6005,$U241))</f>
        <v/>
      </c>
      <c r="AF241">
        <f>IF($U241="",0,ROUND(SUMIF(บันทึกรายเที่ยว!$T$6:$T$6005,$U241,บันทึกรายเที่ยว!$J$6:$J$6005),2))</f>
        <v/>
      </c>
      <c r="AG241">
        <f>IF($U241="",0,ROUND(SUMIF(บันทึกรายเที่ยว!$T$6:$T$6005,$U241,บันทึกรายเที่ยว!$K$6:$K$6005),2))</f>
        <v/>
      </c>
      <c r="AH241">
        <f>IF($U241="",0,ROUND(SUMIF(บันทึกรายเที่ยว!$T$6:$T$6005,$U241,บันทึกรายเที่ยว!$M$6:$M$6005),2))</f>
        <v/>
      </c>
    </row>
    <row r="242" ht="21" customHeight="1" s="66">
      <c r="A242" s="3">
        <f>IF($AB242="G","ผลรวมทั้งหมด",IF($AB242="R",INDEX($S$8:$S$407,$AA242),""))</f>
        <v/>
      </c>
      <c r="B242" s="3">
        <f>IF($AB242="S",INDEX($Y$8:$Y$407,$AA242),"")</f>
        <v/>
      </c>
      <c r="C242" s="68">
        <f>IF($AB242="D",INDEX($Z$8:$Z$407,$AA242),"")</f>
        <v/>
      </c>
      <c r="D242" s="31">
        <f>IF($AB242="G",SUM($AE$8:$AE$407),IF(OR($AB242="",$AB242="R"),"",IF($AB242="D",INDEX($AE$8:$AE$407,$AA242),SUMIF($T$8:$T$407,INDEX($T$8:$T$407,$AA242),$AE$8:$AE$407))))</f>
        <v/>
      </c>
      <c r="E242" s="32">
        <f>IF(235=$AD$1+3,"ขอแสดงความนับถือ",IF(235=$AD$1+6,"(                 )",IF(235=$AD$1+7,"เจ้าหน้าที่ขนส่ง",IF($AB242="G",SUM($AF$8:$AF$407),IF(OR($AB242="",$AB242="R"),"",IF($AB242="D",INDEX($AF$8:$AF$407,$AA242),SUMIF($T$8:$T$407,INDEX($T$8:$T$407,$AA242),$AF$8:$AF$407)))))))</f>
        <v/>
      </c>
      <c r="F242" s="32">
        <f>IF($AB242="G",SUM($AG$8:$AG$407),IF(OR($AB242="",$AB242="R"),"",IF($AB242="D",INDEX($AG$8:$AG$407,$AA242),SUMIF($T$8:$T$407,INDEX($T$8:$T$407,$AA242),$AG$8:$AG$407))))</f>
        <v/>
      </c>
      <c r="G242" s="32">
        <f>IF(OR($AB242="",$AB242="R"),"",ROUND($E242-$F242,2))</f>
        <v/>
      </c>
      <c r="H242" s="32">
        <f>IF($AB242="G",SUM($AH$8:$AH$407),IF(OR($AB242="",$AB242="R"),"",IF($AB242="D",INDEX($AH$8:$AH$407,$AA242),SUMIF($T$8:$T$407,INDEX($T$8:$T$407,$AA242),$AH$8:$AH$407))))</f>
        <v/>
      </c>
      <c r="J242">
        <f>IFERROR(MATCH(235,บันทึกรายเที่ยว!$W$6:$W$6005,0),"")</f>
        <v/>
      </c>
      <c r="K242">
        <f>IF($J242="","",INDEX(บันทึกรายเที่ยว!$T$6:$T$6005,$J242))</f>
        <v/>
      </c>
      <c r="L242">
        <f>IF($J242="","",INDEX(บันทึกรายเที่ยว!$S$6:$S$6005,$J242))</f>
        <v/>
      </c>
      <c r="M242">
        <f>IF($J242="","",INDEX(บันทึกรายเที่ยว!$R$6:$R$6005,$J242))</f>
        <v/>
      </c>
      <c r="N242">
        <f>IF($J242="","",MATCH($M242,บันทึกรายเที่ยว!$R$6:$R$6005,0))</f>
        <v/>
      </c>
      <c r="O242">
        <f>IF($J242="","",MATCH($L242,บันทึกรายเที่ยว!$S$6:$S$6005,0))</f>
        <v/>
      </c>
      <c r="P242">
        <f>IF($J242="","",IF(AND(OR($I$3="(ทั้งหมด)",INDEX(บันทึกรายเที่ยว!$C$6:$C$6005,$J242)=$I$3),OR($I$5="(ทั้งหมด)",INDEX(บันทึกรายเที่ยว!$D$6:$D$6005,$J242)=$I$5),OR($I$7="(ทั้งหมด)",INDEX(บันทึกรายเที่ยว!$F$6:$F$6005,$J242)=$I$7)),$N242*10000000+$O242*1000+235,""))</f>
        <v/>
      </c>
      <c r="Q242">
        <f>IFERROR(MATCH(SMALL($P$8:$P$407,235),$P$8:$P$407,0),"")</f>
        <v/>
      </c>
      <c r="R242">
        <f>IF($Q242="","",INDEX($J$8:$J$407,$Q242))</f>
        <v/>
      </c>
      <c r="S242">
        <f>IF($Q242="","",INDEX($M$8:$M$407,$Q242))</f>
        <v/>
      </c>
      <c r="T242">
        <f>IF($Q242="","",INDEX($L$8:$L$407,$Q242))</f>
        <v/>
      </c>
      <c r="U242">
        <f>IF($Q242="","",INDEX($K$8:$K$407,$Q242))</f>
        <v/>
      </c>
      <c r="V242">
        <f>IF($Q242="",0,IF($S242&lt;&gt;$S241,1,0))</f>
        <v/>
      </c>
      <c r="W242">
        <f>IF($Q242="",0,IF($T242&lt;&gt;$T241,1,0))</f>
        <v/>
      </c>
      <c r="X242">
        <f>IF($Q242="",99999+235,$X241+1+$V241+$W241)</f>
        <v/>
      </c>
      <c r="Y242">
        <f>IF($Q242="","",INDEX(บันทึกรายเที่ยว!$Q$6:$Q$6005,$R242))</f>
        <v/>
      </c>
      <c r="Z242">
        <f>IF($Q242="","",INDEX(บันทึกรายเที่ยว!$F$6:$F$6005,$R242))</f>
        <v/>
      </c>
      <c r="AA242">
        <f>IFERROR(MATCH(235,$X$8:$X$407,1),"")</f>
        <v/>
      </c>
      <c r="AB242">
        <f>IF(235=$AD$1+1,"G",IF($AA242="","",IF(INDEX($Q$8:$Q$407,$AA242)="","",IF(235&gt;INDEX($X$8:$X$407,$AA242)+INDEX($V$8:$V$407,$AA242)+INDEX($W$8:$W$407,$AA242),"",IF(235=INDEX($X$8:$X$407,$AA242)+INDEX($V$8:$V$407,$AA242)+INDEX($W$8:$W$407,$AA242),"D",IF(AND(INDEX($W$8:$W$407,$AA242)=1,235=INDEX($X$8:$X$407,$AA242)+INDEX($V$8:$V$407,$AA242)),"S","R"))))))</f>
        <v/>
      </c>
      <c r="AC242">
        <f>IF(OR($AB242="",$AB242="G"),"",IF($AB242="D",INDEX($U$8:$U$407,$AA242),IF($AB242="S",INDEX($T$8:$T$407,$AA242)&amp;"|*",INDEX($S$8:$S$407,$AA242)&amp;"|*")))</f>
        <v/>
      </c>
      <c r="AE242">
        <f>IF($U242="",0,COUNTIF(บันทึกรายเที่ยว!$T$6:$T$6005,$U242))</f>
        <v/>
      </c>
      <c r="AF242">
        <f>IF($U242="",0,ROUND(SUMIF(บันทึกรายเที่ยว!$T$6:$T$6005,$U242,บันทึกรายเที่ยว!$J$6:$J$6005),2))</f>
        <v/>
      </c>
      <c r="AG242">
        <f>IF($U242="",0,ROUND(SUMIF(บันทึกรายเที่ยว!$T$6:$T$6005,$U242,บันทึกรายเที่ยว!$K$6:$K$6005),2))</f>
        <v/>
      </c>
      <c r="AH242">
        <f>IF($U242="",0,ROUND(SUMIF(บันทึกรายเที่ยว!$T$6:$T$6005,$U242,บันทึกรายเที่ยว!$M$6:$M$6005),2))</f>
        <v/>
      </c>
    </row>
    <row r="243" ht="21" customHeight="1" s="66">
      <c r="A243" s="3">
        <f>IF($AB243="G","ผลรวมทั้งหมด",IF($AB243="R",INDEX($S$8:$S$407,$AA243),""))</f>
        <v/>
      </c>
      <c r="B243" s="3">
        <f>IF($AB243="S",INDEX($Y$8:$Y$407,$AA243),"")</f>
        <v/>
      </c>
      <c r="C243" s="68">
        <f>IF($AB243="D",INDEX($Z$8:$Z$407,$AA243),"")</f>
        <v/>
      </c>
      <c r="D243" s="31">
        <f>IF($AB243="G",SUM($AE$8:$AE$407),IF(OR($AB243="",$AB243="R"),"",IF($AB243="D",INDEX($AE$8:$AE$407,$AA243),SUMIF($T$8:$T$407,INDEX($T$8:$T$407,$AA243),$AE$8:$AE$407))))</f>
        <v/>
      </c>
      <c r="E243" s="32">
        <f>IF(236=$AD$1+3,"ขอแสดงความนับถือ",IF(236=$AD$1+6,"(                 )",IF(236=$AD$1+7,"เจ้าหน้าที่ขนส่ง",IF($AB243="G",SUM($AF$8:$AF$407),IF(OR($AB243="",$AB243="R"),"",IF($AB243="D",INDEX($AF$8:$AF$407,$AA243),SUMIF($T$8:$T$407,INDEX($T$8:$T$407,$AA243),$AF$8:$AF$407)))))))</f>
        <v/>
      </c>
      <c r="F243" s="32">
        <f>IF($AB243="G",SUM($AG$8:$AG$407),IF(OR($AB243="",$AB243="R"),"",IF($AB243="D",INDEX($AG$8:$AG$407,$AA243),SUMIF($T$8:$T$407,INDEX($T$8:$T$407,$AA243),$AG$8:$AG$407))))</f>
        <v/>
      </c>
      <c r="G243" s="32">
        <f>IF(OR($AB243="",$AB243="R"),"",ROUND($E243-$F243,2))</f>
        <v/>
      </c>
      <c r="H243" s="32">
        <f>IF($AB243="G",SUM($AH$8:$AH$407),IF(OR($AB243="",$AB243="R"),"",IF($AB243="D",INDEX($AH$8:$AH$407,$AA243),SUMIF($T$8:$T$407,INDEX($T$8:$T$407,$AA243),$AH$8:$AH$407))))</f>
        <v/>
      </c>
      <c r="J243">
        <f>IFERROR(MATCH(236,บันทึกรายเที่ยว!$W$6:$W$6005,0),"")</f>
        <v/>
      </c>
      <c r="K243">
        <f>IF($J243="","",INDEX(บันทึกรายเที่ยว!$T$6:$T$6005,$J243))</f>
        <v/>
      </c>
      <c r="L243">
        <f>IF($J243="","",INDEX(บันทึกรายเที่ยว!$S$6:$S$6005,$J243))</f>
        <v/>
      </c>
      <c r="M243">
        <f>IF($J243="","",INDEX(บันทึกรายเที่ยว!$R$6:$R$6005,$J243))</f>
        <v/>
      </c>
      <c r="N243">
        <f>IF($J243="","",MATCH($M243,บันทึกรายเที่ยว!$R$6:$R$6005,0))</f>
        <v/>
      </c>
      <c r="O243">
        <f>IF($J243="","",MATCH($L243,บันทึกรายเที่ยว!$S$6:$S$6005,0))</f>
        <v/>
      </c>
      <c r="P243">
        <f>IF($J243="","",IF(AND(OR($I$3="(ทั้งหมด)",INDEX(บันทึกรายเที่ยว!$C$6:$C$6005,$J243)=$I$3),OR($I$5="(ทั้งหมด)",INDEX(บันทึกรายเที่ยว!$D$6:$D$6005,$J243)=$I$5),OR($I$7="(ทั้งหมด)",INDEX(บันทึกรายเที่ยว!$F$6:$F$6005,$J243)=$I$7)),$N243*10000000+$O243*1000+236,""))</f>
        <v/>
      </c>
      <c r="Q243">
        <f>IFERROR(MATCH(SMALL($P$8:$P$407,236),$P$8:$P$407,0),"")</f>
        <v/>
      </c>
      <c r="R243">
        <f>IF($Q243="","",INDEX($J$8:$J$407,$Q243))</f>
        <v/>
      </c>
      <c r="S243">
        <f>IF($Q243="","",INDEX($M$8:$M$407,$Q243))</f>
        <v/>
      </c>
      <c r="T243">
        <f>IF($Q243="","",INDEX($L$8:$L$407,$Q243))</f>
        <v/>
      </c>
      <c r="U243">
        <f>IF($Q243="","",INDEX($K$8:$K$407,$Q243))</f>
        <v/>
      </c>
      <c r="V243">
        <f>IF($Q243="",0,IF($S243&lt;&gt;$S242,1,0))</f>
        <v/>
      </c>
      <c r="W243">
        <f>IF($Q243="",0,IF($T243&lt;&gt;$T242,1,0))</f>
        <v/>
      </c>
      <c r="X243">
        <f>IF($Q243="",99999+236,$X242+1+$V242+$W242)</f>
        <v/>
      </c>
      <c r="Y243">
        <f>IF($Q243="","",INDEX(บันทึกรายเที่ยว!$Q$6:$Q$6005,$R243))</f>
        <v/>
      </c>
      <c r="Z243">
        <f>IF($Q243="","",INDEX(บันทึกรายเที่ยว!$F$6:$F$6005,$R243))</f>
        <v/>
      </c>
      <c r="AA243">
        <f>IFERROR(MATCH(236,$X$8:$X$407,1),"")</f>
        <v/>
      </c>
      <c r="AB243">
        <f>IF(236=$AD$1+1,"G",IF($AA243="","",IF(INDEX($Q$8:$Q$407,$AA243)="","",IF(236&gt;INDEX($X$8:$X$407,$AA243)+INDEX($V$8:$V$407,$AA243)+INDEX($W$8:$W$407,$AA243),"",IF(236=INDEX($X$8:$X$407,$AA243)+INDEX($V$8:$V$407,$AA243)+INDEX($W$8:$W$407,$AA243),"D",IF(AND(INDEX($W$8:$W$407,$AA243)=1,236=INDEX($X$8:$X$407,$AA243)+INDEX($V$8:$V$407,$AA243)),"S","R"))))))</f>
        <v/>
      </c>
      <c r="AC243">
        <f>IF(OR($AB243="",$AB243="G"),"",IF($AB243="D",INDEX($U$8:$U$407,$AA243),IF($AB243="S",INDEX($T$8:$T$407,$AA243)&amp;"|*",INDEX($S$8:$S$407,$AA243)&amp;"|*")))</f>
        <v/>
      </c>
      <c r="AE243">
        <f>IF($U243="",0,COUNTIF(บันทึกรายเที่ยว!$T$6:$T$6005,$U243))</f>
        <v/>
      </c>
      <c r="AF243">
        <f>IF($U243="",0,ROUND(SUMIF(บันทึกรายเที่ยว!$T$6:$T$6005,$U243,บันทึกรายเที่ยว!$J$6:$J$6005),2))</f>
        <v/>
      </c>
      <c r="AG243">
        <f>IF($U243="",0,ROUND(SUMIF(บันทึกรายเที่ยว!$T$6:$T$6005,$U243,บันทึกรายเที่ยว!$K$6:$K$6005),2))</f>
        <v/>
      </c>
      <c r="AH243">
        <f>IF($U243="",0,ROUND(SUMIF(บันทึกรายเที่ยว!$T$6:$T$6005,$U243,บันทึกรายเที่ยว!$M$6:$M$6005),2))</f>
        <v/>
      </c>
    </row>
    <row r="244" ht="21" customHeight="1" s="66">
      <c r="A244" s="3">
        <f>IF($AB244="G","ผลรวมทั้งหมด",IF($AB244="R",INDEX($S$8:$S$407,$AA244),""))</f>
        <v/>
      </c>
      <c r="B244" s="3">
        <f>IF($AB244="S",INDEX($Y$8:$Y$407,$AA244),"")</f>
        <v/>
      </c>
      <c r="C244" s="68">
        <f>IF($AB244="D",INDEX($Z$8:$Z$407,$AA244),"")</f>
        <v/>
      </c>
      <c r="D244" s="31">
        <f>IF($AB244="G",SUM($AE$8:$AE$407),IF(OR($AB244="",$AB244="R"),"",IF($AB244="D",INDEX($AE$8:$AE$407,$AA244),SUMIF($T$8:$T$407,INDEX($T$8:$T$407,$AA244),$AE$8:$AE$407))))</f>
        <v/>
      </c>
      <c r="E244" s="32">
        <f>IF(237=$AD$1+3,"ขอแสดงความนับถือ",IF(237=$AD$1+6,"(                 )",IF(237=$AD$1+7,"เจ้าหน้าที่ขนส่ง",IF($AB244="G",SUM($AF$8:$AF$407),IF(OR($AB244="",$AB244="R"),"",IF($AB244="D",INDEX($AF$8:$AF$407,$AA244),SUMIF($T$8:$T$407,INDEX($T$8:$T$407,$AA244),$AF$8:$AF$407)))))))</f>
        <v/>
      </c>
      <c r="F244" s="32">
        <f>IF($AB244="G",SUM($AG$8:$AG$407),IF(OR($AB244="",$AB244="R"),"",IF($AB244="D",INDEX($AG$8:$AG$407,$AA244),SUMIF($T$8:$T$407,INDEX($T$8:$T$407,$AA244),$AG$8:$AG$407))))</f>
        <v/>
      </c>
      <c r="G244" s="32">
        <f>IF(OR($AB244="",$AB244="R"),"",ROUND($E244-$F244,2))</f>
        <v/>
      </c>
      <c r="H244" s="32">
        <f>IF($AB244="G",SUM($AH$8:$AH$407),IF(OR($AB244="",$AB244="R"),"",IF($AB244="D",INDEX($AH$8:$AH$407,$AA244),SUMIF($T$8:$T$407,INDEX($T$8:$T$407,$AA244),$AH$8:$AH$407))))</f>
        <v/>
      </c>
      <c r="J244">
        <f>IFERROR(MATCH(237,บันทึกรายเที่ยว!$W$6:$W$6005,0),"")</f>
        <v/>
      </c>
      <c r="K244">
        <f>IF($J244="","",INDEX(บันทึกรายเที่ยว!$T$6:$T$6005,$J244))</f>
        <v/>
      </c>
      <c r="L244">
        <f>IF($J244="","",INDEX(บันทึกรายเที่ยว!$S$6:$S$6005,$J244))</f>
        <v/>
      </c>
      <c r="M244">
        <f>IF($J244="","",INDEX(บันทึกรายเที่ยว!$R$6:$R$6005,$J244))</f>
        <v/>
      </c>
      <c r="N244">
        <f>IF($J244="","",MATCH($M244,บันทึกรายเที่ยว!$R$6:$R$6005,0))</f>
        <v/>
      </c>
      <c r="O244">
        <f>IF($J244="","",MATCH($L244,บันทึกรายเที่ยว!$S$6:$S$6005,0))</f>
        <v/>
      </c>
      <c r="P244">
        <f>IF($J244="","",IF(AND(OR($I$3="(ทั้งหมด)",INDEX(บันทึกรายเที่ยว!$C$6:$C$6005,$J244)=$I$3),OR($I$5="(ทั้งหมด)",INDEX(บันทึกรายเที่ยว!$D$6:$D$6005,$J244)=$I$5),OR($I$7="(ทั้งหมด)",INDEX(บันทึกรายเที่ยว!$F$6:$F$6005,$J244)=$I$7)),$N244*10000000+$O244*1000+237,""))</f>
        <v/>
      </c>
      <c r="Q244">
        <f>IFERROR(MATCH(SMALL($P$8:$P$407,237),$P$8:$P$407,0),"")</f>
        <v/>
      </c>
      <c r="R244">
        <f>IF($Q244="","",INDEX($J$8:$J$407,$Q244))</f>
        <v/>
      </c>
      <c r="S244">
        <f>IF($Q244="","",INDEX($M$8:$M$407,$Q244))</f>
        <v/>
      </c>
      <c r="T244">
        <f>IF($Q244="","",INDEX($L$8:$L$407,$Q244))</f>
        <v/>
      </c>
      <c r="U244">
        <f>IF($Q244="","",INDEX($K$8:$K$407,$Q244))</f>
        <v/>
      </c>
      <c r="V244">
        <f>IF($Q244="",0,IF($S244&lt;&gt;$S243,1,0))</f>
        <v/>
      </c>
      <c r="W244">
        <f>IF($Q244="",0,IF($T244&lt;&gt;$T243,1,0))</f>
        <v/>
      </c>
      <c r="X244">
        <f>IF($Q244="",99999+237,$X243+1+$V243+$W243)</f>
        <v/>
      </c>
      <c r="Y244">
        <f>IF($Q244="","",INDEX(บันทึกรายเที่ยว!$Q$6:$Q$6005,$R244))</f>
        <v/>
      </c>
      <c r="Z244">
        <f>IF($Q244="","",INDEX(บันทึกรายเที่ยว!$F$6:$F$6005,$R244))</f>
        <v/>
      </c>
      <c r="AA244">
        <f>IFERROR(MATCH(237,$X$8:$X$407,1),"")</f>
        <v/>
      </c>
      <c r="AB244">
        <f>IF(237=$AD$1+1,"G",IF($AA244="","",IF(INDEX($Q$8:$Q$407,$AA244)="","",IF(237&gt;INDEX($X$8:$X$407,$AA244)+INDEX($V$8:$V$407,$AA244)+INDEX($W$8:$W$407,$AA244),"",IF(237=INDEX($X$8:$X$407,$AA244)+INDEX($V$8:$V$407,$AA244)+INDEX($W$8:$W$407,$AA244),"D",IF(AND(INDEX($W$8:$W$407,$AA244)=1,237=INDEX($X$8:$X$407,$AA244)+INDEX($V$8:$V$407,$AA244)),"S","R"))))))</f>
        <v/>
      </c>
      <c r="AC244">
        <f>IF(OR($AB244="",$AB244="G"),"",IF($AB244="D",INDEX($U$8:$U$407,$AA244),IF($AB244="S",INDEX($T$8:$T$407,$AA244)&amp;"|*",INDEX($S$8:$S$407,$AA244)&amp;"|*")))</f>
        <v/>
      </c>
      <c r="AE244">
        <f>IF($U244="",0,COUNTIF(บันทึกรายเที่ยว!$T$6:$T$6005,$U244))</f>
        <v/>
      </c>
      <c r="AF244">
        <f>IF($U244="",0,ROUND(SUMIF(บันทึกรายเที่ยว!$T$6:$T$6005,$U244,บันทึกรายเที่ยว!$J$6:$J$6005),2))</f>
        <v/>
      </c>
      <c r="AG244">
        <f>IF($U244="",0,ROUND(SUMIF(บันทึกรายเที่ยว!$T$6:$T$6005,$U244,บันทึกรายเที่ยว!$K$6:$K$6005),2))</f>
        <v/>
      </c>
      <c r="AH244">
        <f>IF($U244="",0,ROUND(SUMIF(บันทึกรายเที่ยว!$T$6:$T$6005,$U244,บันทึกรายเที่ยว!$M$6:$M$6005),2))</f>
        <v/>
      </c>
    </row>
    <row r="245" ht="21" customHeight="1" s="66">
      <c r="A245" s="3">
        <f>IF($AB245="G","ผลรวมทั้งหมด",IF($AB245="R",INDEX($S$8:$S$407,$AA245),""))</f>
        <v/>
      </c>
      <c r="B245" s="3">
        <f>IF($AB245="S",INDEX($Y$8:$Y$407,$AA245),"")</f>
        <v/>
      </c>
      <c r="C245" s="68">
        <f>IF($AB245="D",INDEX($Z$8:$Z$407,$AA245),"")</f>
        <v/>
      </c>
      <c r="D245" s="31">
        <f>IF($AB245="G",SUM($AE$8:$AE$407),IF(OR($AB245="",$AB245="R"),"",IF($AB245="D",INDEX($AE$8:$AE$407,$AA245),SUMIF($T$8:$T$407,INDEX($T$8:$T$407,$AA245),$AE$8:$AE$407))))</f>
        <v/>
      </c>
      <c r="E245" s="32">
        <f>IF(238=$AD$1+3,"ขอแสดงความนับถือ",IF(238=$AD$1+6,"(                 )",IF(238=$AD$1+7,"เจ้าหน้าที่ขนส่ง",IF($AB245="G",SUM($AF$8:$AF$407),IF(OR($AB245="",$AB245="R"),"",IF($AB245="D",INDEX($AF$8:$AF$407,$AA245),SUMIF($T$8:$T$407,INDEX($T$8:$T$407,$AA245),$AF$8:$AF$407)))))))</f>
        <v/>
      </c>
      <c r="F245" s="32">
        <f>IF($AB245="G",SUM($AG$8:$AG$407),IF(OR($AB245="",$AB245="R"),"",IF($AB245="D",INDEX($AG$8:$AG$407,$AA245),SUMIF($T$8:$T$407,INDEX($T$8:$T$407,$AA245),$AG$8:$AG$407))))</f>
        <v/>
      </c>
      <c r="G245" s="32">
        <f>IF(OR($AB245="",$AB245="R"),"",ROUND($E245-$F245,2))</f>
        <v/>
      </c>
      <c r="H245" s="32">
        <f>IF($AB245="G",SUM($AH$8:$AH$407),IF(OR($AB245="",$AB245="R"),"",IF($AB245="D",INDEX($AH$8:$AH$407,$AA245),SUMIF($T$8:$T$407,INDEX($T$8:$T$407,$AA245),$AH$8:$AH$407))))</f>
        <v/>
      </c>
      <c r="J245">
        <f>IFERROR(MATCH(238,บันทึกรายเที่ยว!$W$6:$W$6005,0),"")</f>
        <v/>
      </c>
      <c r="K245">
        <f>IF($J245="","",INDEX(บันทึกรายเที่ยว!$T$6:$T$6005,$J245))</f>
        <v/>
      </c>
      <c r="L245">
        <f>IF($J245="","",INDEX(บันทึกรายเที่ยว!$S$6:$S$6005,$J245))</f>
        <v/>
      </c>
      <c r="M245">
        <f>IF($J245="","",INDEX(บันทึกรายเที่ยว!$R$6:$R$6005,$J245))</f>
        <v/>
      </c>
      <c r="N245">
        <f>IF($J245="","",MATCH($M245,บันทึกรายเที่ยว!$R$6:$R$6005,0))</f>
        <v/>
      </c>
      <c r="O245">
        <f>IF($J245="","",MATCH($L245,บันทึกรายเที่ยว!$S$6:$S$6005,0))</f>
        <v/>
      </c>
      <c r="P245">
        <f>IF($J245="","",IF(AND(OR($I$3="(ทั้งหมด)",INDEX(บันทึกรายเที่ยว!$C$6:$C$6005,$J245)=$I$3),OR($I$5="(ทั้งหมด)",INDEX(บันทึกรายเที่ยว!$D$6:$D$6005,$J245)=$I$5),OR($I$7="(ทั้งหมด)",INDEX(บันทึกรายเที่ยว!$F$6:$F$6005,$J245)=$I$7)),$N245*10000000+$O245*1000+238,""))</f>
        <v/>
      </c>
      <c r="Q245">
        <f>IFERROR(MATCH(SMALL($P$8:$P$407,238),$P$8:$P$407,0),"")</f>
        <v/>
      </c>
      <c r="R245">
        <f>IF($Q245="","",INDEX($J$8:$J$407,$Q245))</f>
        <v/>
      </c>
      <c r="S245">
        <f>IF($Q245="","",INDEX($M$8:$M$407,$Q245))</f>
        <v/>
      </c>
      <c r="T245">
        <f>IF($Q245="","",INDEX($L$8:$L$407,$Q245))</f>
        <v/>
      </c>
      <c r="U245">
        <f>IF($Q245="","",INDEX($K$8:$K$407,$Q245))</f>
        <v/>
      </c>
      <c r="V245">
        <f>IF($Q245="",0,IF($S245&lt;&gt;$S244,1,0))</f>
        <v/>
      </c>
      <c r="W245">
        <f>IF($Q245="",0,IF($T245&lt;&gt;$T244,1,0))</f>
        <v/>
      </c>
      <c r="X245">
        <f>IF($Q245="",99999+238,$X244+1+$V244+$W244)</f>
        <v/>
      </c>
      <c r="Y245">
        <f>IF($Q245="","",INDEX(บันทึกรายเที่ยว!$Q$6:$Q$6005,$R245))</f>
        <v/>
      </c>
      <c r="Z245">
        <f>IF($Q245="","",INDEX(บันทึกรายเที่ยว!$F$6:$F$6005,$R245))</f>
        <v/>
      </c>
      <c r="AA245">
        <f>IFERROR(MATCH(238,$X$8:$X$407,1),"")</f>
        <v/>
      </c>
      <c r="AB245">
        <f>IF(238=$AD$1+1,"G",IF($AA245="","",IF(INDEX($Q$8:$Q$407,$AA245)="","",IF(238&gt;INDEX($X$8:$X$407,$AA245)+INDEX($V$8:$V$407,$AA245)+INDEX($W$8:$W$407,$AA245),"",IF(238=INDEX($X$8:$X$407,$AA245)+INDEX($V$8:$V$407,$AA245)+INDEX($W$8:$W$407,$AA245),"D",IF(AND(INDEX($W$8:$W$407,$AA245)=1,238=INDEX($X$8:$X$407,$AA245)+INDEX($V$8:$V$407,$AA245)),"S","R"))))))</f>
        <v/>
      </c>
      <c r="AC245">
        <f>IF(OR($AB245="",$AB245="G"),"",IF($AB245="D",INDEX($U$8:$U$407,$AA245),IF($AB245="S",INDEX($T$8:$T$407,$AA245)&amp;"|*",INDEX($S$8:$S$407,$AA245)&amp;"|*")))</f>
        <v/>
      </c>
      <c r="AE245">
        <f>IF($U245="",0,COUNTIF(บันทึกรายเที่ยว!$T$6:$T$6005,$U245))</f>
        <v/>
      </c>
      <c r="AF245">
        <f>IF($U245="",0,ROUND(SUMIF(บันทึกรายเที่ยว!$T$6:$T$6005,$U245,บันทึกรายเที่ยว!$J$6:$J$6005),2))</f>
        <v/>
      </c>
      <c r="AG245">
        <f>IF($U245="",0,ROUND(SUMIF(บันทึกรายเที่ยว!$T$6:$T$6005,$U245,บันทึกรายเที่ยว!$K$6:$K$6005),2))</f>
        <v/>
      </c>
      <c r="AH245">
        <f>IF($U245="",0,ROUND(SUMIF(บันทึกรายเที่ยว!$T$6:$T$6005,$U245,บันทึกรายเที่ยว!$M$6:$M$6005),2))</f>
        <v/>
      </c>
    </row>
    <row r="246" ht="21" customHeight="1" s="66">
      <c r="A246" s="3">
        <f>IF($AB246="G","ผลรวมทั้งหมด",IF($AB246="R",INDEX($S$8:$S$407,$AA246),""))</f>
        <v/>
      </c>
      <c r="B246" s="3">
        <f>IF($AB246="S",INDEX($Y$8:$Y$407,$AA246),"")</f>
        <v/>
      </c>
      <c r="C246" s="68">
        <f>IF($AB246="D",INDEX($Z$8:$Z$407,$AA246),"")</f>
        <v/>
      </c>
      <c r="D246" s="31">
        <f>IF($AB246="G",SUM($AE$8:$AE$407),IF(OR($AB246="",$AB246="R"),"",IF($AB246="D",INDEX($AE$8:$AE$407,$AA246),SUMIF($T$8:$T$407,INDEX($T$8:$T$407,$AA246),$AE$8:$AE$407))))</f>
        <v/>
      </c>
      <c r="E246" s="32">
        <f>IF(239=$AD$1+3,"ขอแสดงความนับถือ",IF(239=$AD$1+6,"(                 )",IF(239=$AD$1+7,"เจ้าหน้าที่ขนส่ง",IF($AB246="G",SUM($AF$8:$AF$407),IF(OR($AB246="",$AB246="R"),"",IF($AB246="D",INDEX($AF$8:$AF$407,$AA246),SUMIF($T$8:$T$407,INDEX($T$8:$T$407,$AA246),$AF$8:$AF$407)))))))</f>
        <v/>
      </c>
      <c r="F246" s="32">
        <f>IF($AB246="G",SUM($AG$8:$AG$407),IF(OR($AB246="",$AB246="R"),"",IF($AB246="D",INDEX($AG$8:$AG$407,$AA246),SUMIF($T$8:$T$407,INDEX($T$8:$T$407,$AA246),$AG$8:$AG$407))))</f>
        <v/>
      </c>
      <c r="G246" s="32">
        <f>IF(OR($AB246="",$AB246="R"),"",ROUND($E246-$F246,2))</f>
        <v/>
      </c>
      <c r="H246" s="32">
        <f>IF($AB246="G",SUM($AH$8:$AH$407),IF(OR($AB246="",$AB246="R"),"",IF($AB246="D",INDEX($AH$8:$AH$407,$AA246),SUMIF($T$8:$T$407,INDEX($T$8:$T$407,$AA246),$AH$8:$AH$407))))</f>
        <v/>
      </c>
      <c r="J246">
        <f>IFERROR(MATCH(239,บันทึกรายเที่ยว!$W$6:$W$6005,0),"")</f>
        <v/>
      </c>
      <c r="K246">
        <f>IF($J246="","",INDEX(บันทึกรายเที่ยว!$T$6:$T$6005,$J246))</f>
        <v/>
      </c>
      <c r="L246">
        <f>IF($J246="","",INDEX(บันทึกรายเที่ยว!$S$6:$S$6005,$J246))</f>
        <v/>
      </c>
      <c r="M246">
        <f>IF($J246="","",INDEX(บันทึกรายเที่ยว!$R$6:$R$6005,$J246))</f>
        <v/>
      </c>
      <c r="N246">
        <f>IF($J246="","",MATCH($M246,บันทึกรายเที่ยว!$R$6:$R$6005,0))</f>
        <v/>
      </c>
      <c r="O246">
        <f>IF($J246="","",MATCH($L246,บันทึกรายเที่ยว!$S$6:$S$6005,0))</f>
        <v/>
      </c>
      <c r="P246">
        <f>IF($J246="","",IF(AND(OR($I$3="(ทั้งหมด)",INDEX(บันทึกรายเที่ยว!$C$6:$C$6005,$J246)=$I$3),OR($I$5="(ทั้งหมด)",INDEX(บันทึกรายเที่ยว!$D$6:$D$6005,$J246)=$I$5),OR($I$7="(ทั้งหมด)",INDEX(บันทึกรายเที่ยว!$F$6:$F$6005,$J246)=$I$7)),$N246*10000000+$O246*1000+239,""))</f>
        <v/>
      </c>
      <c r="Q246">
        <f>IFERROR(MATCH(SMALL($P$8:$P$407,239),$P$8:$P$407,0),"")</f>
        <v/>
      </c>
      <c r="R246">
        <f>IF($Q246="","",INDEX($J$8:$J$407,$Q246))</f>
        <v/>
      </c>
      <c r="S246">
        <f>IF($Q246="","",INDEX($M$8:$M$407,$Q246))</f>
        <v/>
      </c>
      <c r="T246">
        <f>IF($Q246="","",INDEX($L$8:$L$407,$Q246))</f>
        <v/>
      </c>
      <c r="U246">
        <f>IF($Q246="","",INDEX($K$8:$K$407,$Q246))</f>
        <v/>
      </c>
      <c r="V246">
        <f>IF($Q246="",0,IF($S246&lt;&gt;$S245,1,0))</f>
        <v/>
      </c>
      <c r="W246">
        <f>IF($Q246="",0,IF($T246&lt;&gt;$T245,1,0))</f>
        <v/>
      </c>
      <c r="X246">
        <f>IF($Q246="",99999+239,$X245+1+$V245+$W245)</f>
        <v/>
      </c>
      <c r="Y246">
        <f>IF($Q246="","",INDEX(บันทึกรายเที่ยว!$Q$6:$Q$6005,$R246))</f>
        <v/>
      </c>
      <c r="Z246">
        <f>IF($Q246="","",INDEX(บันทึกรายเที่ยว!$F$6:$F$6005,$R246))</f>
        <v/>
      </c>
      <c r="AA246">
        <f>IFERROR(MATCH(239,$X$8:$X$407,1),"")</f>
        <v/>
      </c>
      <c r="AB246">
        <f>IF(239=$AD$1+1,"G",IF($AA246="","",IF(INDEX($Q$8:$Q$407,$AA246)="","",IF(239&gt;INDEX($X$8:$X$407,$AA246)+INDEX($V$8:$V$407,$AA246)+INDEX($W$8:$W$407,$AA246),"",IF(239=INDEX($X$8:$X$407,$AA246)+INDEX($V$8:$V$407,$AA246)+INDEX($W$8:$W$407,$AA246),"D",IF(AND(INDEX($W$8:$W$407,$AA246)=1,239=INDEX($X$8:$X$407,$AA246)+INDEX($V$8:$V$407,$AA246)),"S","R"))))))</f>
        <v/>
      </c>
      <c r="AC246">
        <f>IF(OR($AB246="",$AB246="G"),"",IF($AB246="D",INDEX($U$8:$U$407,$AA246),IF($AB246="S",INDEX($T$8:$T$407,$AA246)&amp;"|*",INDEX($S$8:$S$407,$AA246)&amp;"|*")))</f>
        <v/>
      </c>
      <c r="AE246">
        <f>IF($U246="",0,COUNTIF(บันทึกรายเที่ยว!$T$6:$T$6005,$U246))</f>
        <v/>
      </c>
      <c r="AF246">
        <f>IF($U246="",0,ROUND(SUMIF(บันทึกรายเที่ยว!$T$6:$T$6005,$U246,บันทึกรายเที่ยว!$J$6:$J$6005),2))</f>
        <v/>
      </c>
      <c r="AG246">
        <f>IF($U246="",0,ROUND(SUMIF(บันทึกรายเที่ยว!$T$6:$T$6005,$U246,บันทึกรายเที่ยว!$K$6:$K$6005),2))</f>
        <v/>
      </c>
      <c r="AH246">
        <f>IF($U246="",0,ROUND(SUMIF(บันทึกรายเที่ยว!$T$6:$T$6005,$U246,บันทึกรายเที่ยว!$M$6:$M$6005),2))</f>
        <v/>
      </c>
    </row>
    <row r="247" ht="21" customHeight="1" s="66">
      <c r="A247" s="3">
        <f>IF($AB247="G","ผลรวมทั้งหมด",IF($AB247="R",INDEX($S$8:$S$407,$AA247),""))</f>
        <v/>
      </c>
      <c r="B247" s="3">
        <f>IF($AB247="S",INDEX($Y$8:$Y$407,$AA247),"")</f>
        <v/>
      </c>
      <c r="C247" s="68">
        <f>IF($AB247="D",INDEX($Z$8:$Z$407,$AA247),"")</f>
        <v/>
      </c>
      <c r="D247" s="31">
        <f>IF($AB247="G",SUM($AE$8:$AE$407),IF(OR($AB247="",$AB247="R"),"",IF($AB247="D",INDEX($AE$8:$AE$407,$AA247),SUMIF($T$8:$T$407,INDEX($T$8:$T$407,$AA247),$AE$8:$AE$407))))</f>
        <v/>
      </c>
      <c r="E247" s="32">
        <f>IF(240=$AD$1+3,"ขอแสดงความนับถือ",IF(240=$AD$1+6,"(                 )",IF(240=$AD$1+7,"เจ้าหน้าที่ขนส่ง",IF($AB247="G",SUM($AF$8:$AF$407),IF(OR($AB247="",$AB247="R"),"",IF($AB247="D",INDEX($AF$8:$AF$407,$AA247),SUMIF($T$8:$T$407,INDEX($T$8:$T$407,$AA247),$AF$8:$AF$407)))))))</f>
        <v/>
      </c>
      <c r="F247" s="32">
        <f>IF($AB247="G",SUM($AG$8:$AG$407),IF(OR($AB247="",$AB247="R"),"",IF($AB247="D",INDEX($AG$8:$AG$407,$AA247),SUMIF($T$8:$T$407,INDEX($T$8:$T$407,$AA247),$AG$8:$AG$407))))</f>
        <v/>
      </c>
      <c r="G247" s="32">
        <f>IF(OR($AB247="",$AB247="R"),"",ROUND($E247-$F247,2))</f>
        <v/>
      </c>
      <c r="H247" s="32">
        <f>IF($AB247="G",SUM($AH$8:$AH$407),IF(OR($AB247="",$AB247="R"),"",IF($AB247="D",INDEX($AH$8:$AH$407,$AA247),SUMIF($T$8:$T$407,INDEX($T$8:$T$407,$AA247),$AH$8:$AH$407))))</f>
        <v/>
      </c>
      <c r="J247">
        <f>IFERROR(MATCH(240,บันทึกรายเที่ยว!$W$6:$W$6005,0),"")</f>
        <v/>
      </c>
      <c r="K247">
        <f>IF($J247="","",INDEX(บันทึกรายเที่ยว!$T$6:$T$6005,$J247))</f>
        <v/>
      </c>
      <c r="L247">
        <f>IF($J247="","",INDEX(บันทึกรายเที่ยว!$S$6:$S$6005,$J247))</f>
        <v/>
      </c>
      <c r="M247">
        <f>IF($J247="","",INDEX(บันทึกรายเที่ยว!$R$6:$R$6005,$J247))</f>
        <v/>
      </c>
      <c r="N247">
        <f>IF($J247="","",MATCH($M247,บันทึกรายเที่ยว!$R$6:$R$6005,0))</f>
        <v/>
      </c>
      <c r="O247">
        <f>IF($J247="","",MATCH($L247,บันทึกรายเที่ยว!$S$6:$S$6005,0))</f>
        <v/>
      </c>
      <c r="P247">
        <f>IF($J247="","",IF(AND(OR($I$3="(ทั้งหมด)",INDEX(บันทึกรายเที่ยว!$C$6:$C$6005,$J247)=$I$3),OR($I$5="(ทั้งหมด)",INDEX(บันทึกรายเที่ยว!$D$6:$D$6005,$J247)=$I$5),OR($I$7="(ทั้งหมด)",INDEX(บันทึกรายเที่ยว!$F$6:$F$6005,$J247)=$I$7)),$N247*10000000+$O247*1000+240,""))</f>
        <v/>
      </c>
      <c r="Q247">
        <f>IFERROR(MATCH(SMALL($P$8:$P$407,240),$P$8:$P$407,0),"")</f>
        <v/>
      </c>
      <c r="R247">
        <f>IF($Q247="","",INDEX($J$8:$J$407,$Q247))</f>
        <v/>
      </c>
      <c r="S247">
        <f>IF($Q247="","",INDEX($M$8:$M$407,$Q247))</f>
        <v/>
      </c>
      <c r="T247">
        <f>IF($Q247="","",INDEX($L$8:$L$407,$Q247))</f>
        <v/>
      </c>
      <c r="U247">
        <f>IF($Q247="","",INDEX($K$8:$K$407,$Q247))</f>
        <v/>
      </c>
      <c r="V247">
        <f>IF($Q247="",0,IF($S247&lt;&gt;$S246,1,0))</f>
        <v/>
      </c>
      <c r="W247">
        <f>IF($Q247="",0,IF($T247&lt;&gt;$T246,1,0))</f>
        <v/>
      </c>
      <c r="X247">
        <f>IF($Q247="",99999+240,$X246+1+$V246+$W246)</f>
        <v/>
      </c>
      <c r="Y247">
        <f>IF($Q247="","",INDEX(บันทึกรายเที่ยว!$Q$6:$Q$6005,$R247))</f>
        <v/>
      </c>
      <c r="Z247">
        <f>IF($Q247="","",INDEX(บันทึกรายเที่ยว!$F$6:$F$6005,$R247))</f>
        <v/>
      </c>
      <c r="AA247">
        <f>IFERROR(MATCH(240,$X$8:$X$407,1),"")</f>
        <v/>
      </c>
      <c r="AB247">
        <f>IF(240=$AD$1+1,"G",IF($AA247="","",IF(INDEX($Q$8:$Q$407,$AA247)="","",IF(240&gt;INDEX($X$8:$X$407,$AA247)+INDEX($V$8:$V$407,$AA247)+INDEX($W$8:$W$407,$AA247),"",IF(240=INDEX($X$8:$X$407,$AA247)+INDEX($V$8:$V$407,$AA247)+INDEX($W$8:$W$407,$AA247),"D",IF(AND(INDEX($W$8:$W$407,$AA247)=1,240=INDEX($X$8:$X$407,$AA247)+INDEX($V$8:$V$407,$AA247)),"S","R"))))))</f>
        <v/>
      </c>
      <c r="AC247">
        <f>IF(OR($AB247="",$AB247="G"),"",IF($AB247="D",INDEX($U$8:$U$407,$AA247),IF($AB247="S",INDEX($T$8:$T$407,$AA247)&amp;"|*",INDEX($S$8:$S$407,$AA247)&amp;"|*")))</f>
        <v/>
      </c>
      <c r="AE247">
        <f>IF($U247="",0,COUNTIF(บันทึกรายเที่ยว!$T$6:$T$6005,$U247))</f>
        <v/>
      </c>
      <c r="AF247">
        <f>IF($U247="",0,ROUND(SUMIF(บันทึกรายเที่ยว!$T$6:$T$6005,$U247,บันทึกรายเที่ยว!$J$6:$J$6005),2))</f>
        <v/>
      </c>
      <c r="AG247">
        <f>IF($U247="",0,ROUND(SUMIF(บันทึกรายเที่ยว!$T$6:$T$6005,$U247,บันทึกรายเที่ยว!$K$6:$K$6005),2))</f>
        <v/>
      </c>
      <c r="AH247">
        <f>IF($U247="",0,ROUND(SUMIF(บันทึกรายเที่ยว!$T$6:$T$6005,$U247,บันทึกรายเที่ยว!$M$6:$M$6005),2))</f>
        <v/>
      </c>
    </row>
    <row r="248" ht="21" customHeight="1" s="66">
      <c r="A248" s="3">
        <f>IF($AB248="G","ผลรวมทั้งหมด",IF($AB248="R",INDEX($S$8:$S$407,$AA248),""))</f>
        <v/>
      </c>
      <c r="B248" s="3">
        <f>IF($AB248="S",INDEX($Y$8:$Y$407,$AA248),"")</f>
        <v/>
      </c>
      <c r="C248" s="68">
        <f>IF($AB248="D",INDEX($Z$8:$Z$407,$AA248),"")</f>
        <v/>
      </c>
      <c r="D248" s="31">
        <f>IF($AB248="G",SUM($AE$8:$AE$407),IF(OR($AB248="",$AB248="R"),"",IF($AB248="D",INDEX($AE$8:$AE$407,$AA248),SUMIF($T$8:$T$407,INDEX($T$8:$T$407,$AA248),$AE$8:$AE$407))))</f>
        <v/>
      </c>
      <c r="E248" s="32">
        <f>IF(241=$AD$1+3,"ขอแสดงความนับถือ",IF(241=$AD$1+6,"(                 )",IF(241=$AD$1+7,"เจ้าหน้าที่ขนส่ง",IF($AB248="G",SUM($AF$8:$AF$407),IF(OR($AB248="",$AB248="R"),"",IF($AB248="D",INDEX($AF$8:$AF$407,$AA248),SUMIF($T$8:$T$407,INDEX($T$8:$T$407,$AA248),$AF$8:$AF$407)))))))</f>
        <v/>
      </c>
      <c r="F248" s="32">
        <f>IF($AB248="G",SUM($AG$8:$AG$407),IF(OR($AB248="",$AB248="R"),"",IF($AB248="D",INDEX($AG$8:$AG$407,$AA248),SUMIF($T$8:$T$407,INDEX($T$8:$T$407,$AA248),$AG$8:$AG$407))))</f>
        <v/>
      </c>
      <c r="G248" s="32">
        <f>IF(OR($AB248="",$AB248="R"),"",ROUND($E248-$F248,2))</f>
        <v/>
      </c>
      <c r="H248" s="32">
        <f>IF($AB248="G",SUM($AH$8:$AH$407),IF(OR($AB248="",$AB248="R"),"",IF($AB248="D",INDEX($AH$8:$AH$407,$AA248),SUMIF($T$8:$T$407,INDEX($T$8:$T$407,$AA248),$AH$8:$AH$407))))</f>
        <v/>
      </c>
      <c r="J248">
        <f>IFERROR(MATCH(241,บันทึกรายเที่ยว!$W$6:$W$6005,0),"")</f>
        <v/>
      </c>
      <c r="K248">
        <f>IF($J248="","",INDEX(บันทึกรายเที่ยว!$T$6:$T$6005,$J248))</f>
        <v/>
      </c>
      <c r="L248">
        <f>IF($J248="","",INDEX(บันทึกรายเที่ยว!$S$6:$S$6005,$J248))</f>
        <v/>
      </c>
      <c r="M248">
        <f>IF($J248="","",INDEX(บันทึกรายเที่ยว!$R$6:$R$6005,$J248))</f>
        <v/>
      </c>
      <c r="N248">
        <f>IF($J248="","",MATCH($M248,บันทึกรายเที่ยว!$R$6:$R$6005,0))</f>
        <v/>
      </c>
      <c r="O248">
        <f>IF($J248="","",MATCH($L248,บันทึกรายเที่ยว!$S$6:$S$6005,0))</f>
        <v/>
      </c>
      <c r="P248">
        <f>IF($J248="","",IF(AND(OR($I$3="(ทั้งหมด)",INDEX(บันทึกรายเที่ยว!$C$6:$C$6005,$J248)=$I$3),OR($I$5="(ทั้งหมด)",INDEX(บันทึกรายเที่ยว!$D$6:$D$6005,$J248)=$I$5),OR($I$7="(ทั้งหมด)",INDEX(บันทึกรายเที่ยว!$F$6:$F$6005,$J248)=$I$7)),$N248*10000000+$O248*1000+241,""))</f>
        <v/>
      </c>
      <c r="Q248">
        <f>IFERROR(MATCH(SMALL($P$8:$P$407,241),$P$8:$P$407,0),"")</f>
        <v/>
      </c>
      <c r="R248">
        <f>IF($Q248="","",INDEX($J$8:$J$407,$Q248))</f>
        <v/>
      </c>
      <c r="S248">
        <f>IF($Q248="","",INDEX($M$8:$M$407,$Q248))</f>
        <v/>
      </c>
      <c r="T248">
        <f>IF($Q248="","",INDEX($L$8:$L$407,$Q248))</f>
        <v/>
      </c>
      <c r="U248">
        <f>IF($Q248="","",INDEX($K$8:$K$407,$Q248))</f>
        <v/>
      </c>
      <c r="V248">
        <f>IF($Q248="",0,IF($S248&lt;&gt;$S247,1,0))</f>
        <v/>
      </c>
      <c r="W248">
        <f>IF($Q248="",0,IF($T248&lt;&gt;$T247,1,0))</f>
        <v/>
      </c>
      <c r="X248">
        <f>IF($Q248="",99999+241,$X247+1+$V247+$W247)</f>
        <v/>
      </c>
      <c r="Y248">
        <f>IF($Q248="","",INDEX(บันทึกรายเที่ยว!$Q$6:$Q$6005,$R248))</f>
        <v/>
      </c>
      <c r="Z248">
        <f>IF($Q248="","",INDEX(บันทึกรายเที่ยว!$F$6:$F$6005,$R248))</f>
        <v/>
      </c>
      <c r="AA248">
        <f>IFERROR(MATCH(241,$X$8:$X$407,1),"")</f>
        <v/>
      </c>
      <c r="AB248">
        <f>IF(241=$AD$1+1,"G",IF($AA248="","",IF(INDEX($Q$8:$Q$407,$AA248)="","",IF(241&gt;INDEX($X$8:$X$407,$AA248)+INDEX($V$8:$V$407,$AA248)+INDEX($W$8:$W$407,$AA248),"",IF(241=INDEX($X$8:$X$407,$AA248)+INDEX($V$8:$V$407,$AA248)+INDEX($W$8:$W$407,$AA248),"D",IF(AND(INDEX($W$8:$W$407,$AA248)=1,241=INDEX($X$8:$X$407,$AA248)+INDEX($V$8:$V$407,$AA248)),"S","R"))))))</f>
        <v/>
      </c>
      <c r="AC248">
        <f>IF(OR($AB248="",$AB248="G"),"",IF($AB248="D",INDEX($U$8:$U$407,$AA248),IF($AB248="S",INDEX($T$8:$T$407,$AA248)&amp;"|*",INDEX($S$8:$S$407,$AA248)&amp;"|*")))</f>
        <v/>
      </c>
      <c r="AE248">
        <f>IF($U248="",0,COUNTIF(บันทึกรายเที่ยว!$T$6:$T$6005,$U248))</f>
        <v/>
      </c>
      <c r="AF248">
        <f>IF($U248="",0,ROUND(SUMIF(บันทึกรายเที่ยว!$T$6:$T$6005,$U248,บันทึกรายเที่ยว!$J$6:$J$6005),2))</f>
        <v/>
      </c>
      <c r="AG248">
        <f>IF($U248="",0,ROUND(SUMIF(บันทึกรายเที่ยว!$T$6:$T$6005,$U248,บันทึกรายเที่ยว!$K$6:$K$6005),2))</f>
        <v/>
      </c>
      <c r="AH248">
        <f>IF($U248="",0,ROUND(SUMIF(บันทึกรายเที่ยว!$T$6:$T$6005,$U248,บันทึกรายเที่ยว!$M$6:$M$6005),2))</f>
        <v/>
      </c>
    </row>
    <row r="249" ht="21" customHeight="1" s="66">
      <c r="A249" s="3">
        <f>IF($AB249="G","ผลรวมทั้งหมด",IF($AB249="R",INDEX($S$8:$S$407,$AA249),""))</f>
        <v/>
      </c>
      <c r="B249" s="3">
        <f>IF($AB249="S",INDEX($Y$8:$Y$407,$AA249),"")</f>
        <v/>
      </c>
      <c r="C249" s="68">
        <f>IF($AB249="D",INDEX($Z$8:$Z$407,$AA249),"")</f>
        <v/>
      </c>
      <c r="D249" s="31">
        <f>IF($AB249="G",SUM($AE$8:$AE$407),IF(OR($AB249="",$AB249="R"),"",IF($AB249="D",INDEX($AE$8:$AE$407,$AA249),SUMIF($T$8:$T$407,INDEX($T$8:$T$407,$AA249),$AE$8:$AE$407))))</f>
        <v/>
      </c>
      <c r="E249" s="32">
        <f>IF(242=$AD$1+3,"ขอแสดงความนับถือ",IF(242=$AD$1+6,"(                 )",IF(242=$AD$1+7,"เจ้าหน้าที่ขนส่ง",IF($AB249="G",SUM($AF$8:$AF$407),IF(OR($AB249="",$AB249="R"),"",IF($AB249="D",INDEX($AF$8:$AF$407,$AA249),SUMIF($T$8:$T$407,INDEX($T$8:$T$407,$AA249),$AF$8:$AF$407)))))))</f>
        <v/>
      </c>
      <c r="F249" s="32">
        <f>IF($AB249="G",SUM($AG$8:$AG$407),IF(OR($AB249="",$AB249="R"),"",IF($AB249="D",INDEX($AG$8:$AG$407,$AA249),SUMIF($T$8:$T$407,INDEX($T$8:$T$407,$AA249),$AG$8:$AG$407))))</f>
        <v/>
      </c>
      <c r="G249" s="32">
        <f>IF(OR($AB249="",$AB249="R"),"",ROUND($E249-$F249,2))</f>
        <v/>
      </c>
      <c r="H249" s="32">
        <f>IF($AB249="G",SUM($AH$8:$AH$407),IF(OR($AB249="",$AB249="R"),"",IF($AB249="D",INDEX($AH$8:$AH$407,$AA249),SUMIF($T$8:$T$407,INDEX($T$8:$T$407,$AA249),$AH$8:$AH$407))))</f>
        <v/>
      </c>
      <c r="J249">
        <f>IFERROR(MATCH(242,บันทึกรายเที่ยว!$W$6:$W$6005,0),"")</f>
        <v/>
      </c>
      <c r="K249">
        <f>IF($J249="","",INDEX(บันทึกรายเที่ยว!$T$6:$T$6005,$J249))</f>
        <v/>
      </c>
      <c r="L249">
        <f>IF($J249="","",INDEX(บันทึกรายเที่ยว!$S$6:$S$6005,$J249))</f>
        <v/>
      </c>
      <c r="M249">
        <f>IF($J249="","",INDEX(บันทึกรายเที่ยว!$R$6:$R$6005,$J249))</f>
        <v/>
      </c>
      <c r="N249">
        <f>IF($J249="","",MATCH($M249,บันทึกรายเที่ยว!$R$6:$R$6005,0))</f>
        <v/>
      </c>
      <c r="O249">
        <f>IF($J249="","",MATCH($L249,บันทึกรายเที่ยว!$S$6:$S$6005,0))</f>
        <v/>
      </c>
      <c r="P249">
        <f>IF($J249="","",IF(AND(OR($I$3="(ทั้งหมด)",INDEX(บันทึกรายเที่ยว!$C$6:$C$6005,$J249)=$I$3),OR($I$5="(ทั้งหมด)",INDEX(บันทึกรายเที่ยว!$D$6:$D$6005,$J249)=$I$5),OR($I$7="(ทั้งหมด)",INDEX(บันทึกรายเที่ยว!$F$6:$F$6005,$J249)=$I$7)),$N249*10000000+$O249*1000+242,""))</f>
        <v/>
      </c>
      <c r="Q249">
        <f>IFERROR(MATCH(SMALL($P$8:$P$407,242),$P$8:$P$407,0),"")</f>
        <v/>
      </c>
      <c r="R249">
        <f>IF($Q249="","",INDEX($J$8:$J$407,$Q249))</f>
        <v/>
      </c>
      <c r="S249">
        <f>IF($Q249="","",INDEX($M$8:$M$407,$Q249))</f>
        <v/>
      </c>
      <c r="T249">
        <f>IF($Q249="","",INDEX($L$8:$L$407,$Q249))</f>
        <v/>
      </c>
      <c r="U249">
        <f>IF($Q249="","",INDEX($K$8:$K$407,$Q249))</f>
        <v/>
      </c>
      <c r="V249">
        <f>IF($Q249="",0,IF($S249&lt;&gt;$S248,1,0))</f>
        <v/>
      </c>
      <c r="W249">
        <f>IF($Q249="",0,IF($T249&lt;&gt;$T248,1,0))</f>
        <v/>
      </c>
      <c r="X249">
        <f>IF($Q249="",99999+242,$X248+1+$V248+$W248)</f>
        <v/>
      </c>
      <c r="Y249">
        <f>IF($Q249="","",INDEX(บันทึกรายเที่ยว!$Q$6:$Q$6005,$R249))</f>
        <v/>
      </c>
      <c r="Z249">
        <f>IF($Q249="","",INDEX(บันทึกรายเที่ยว!$F$6:$F$6005,$R249))</f>
        <v/>
      </c>
      <c r="AA249">
        <f>IFERROR(MATCH(242,$X$8:$X$407,1),"")</f>
        <v/>
      </c>
      <c r="AB249">
        <f>IF(242=$AD$1+1,"G",IF($AA249="","",IF(INDEX($Q$8:$Q$407,$AA249)="","",IF(242&gt;INDEX($X$8:$X$407,$AA249)+INDEX($V$8:$V$407,$AA249)+INDEX($W$8:$W$407,$AA249),"",IF(242=INDEX($X$8:$X$407,$AA249)+INDEX($V$8:$V$407,$AA249)+INDEX($W$8:$W$407,$AA249),"D",IF(AND(INDEX($W$8:$W$407,$AA249)=1,242=INDEX($X$8:$X$407,$AA249)+INDEX($V$8:$V$407,$AA249)),"S","R"))))))</f>
        <v/>
      </c>
      <c r="AC249">
        <f>IF(OR($AB249="",$AB249="G"),"",IF($AB249="D",INDEX($U$8:$U$407,$AA249),IF($AB249="S",INDEX($T$8:$T$407,$AA249)&amp;"|*",INDEX($S$8:$S$407,$AA249)&amp;"|*")))</f>
        <v/>
      </c>
      <c r="AE249">
        <f>IF($U249="",0,COUNTIF(บันทึกรายเที่ยว!$T$6:$T$6005,$U249))</f>
        <v/>
      </c>
      <c r="AF249">
        <f>IF($U249="",0,ROUND(SUMIF(บันทึกรายเที่ยว!$T$6:$T$6005,$U249,บันทึกรายเที่ยว!$J$6:$J$6005),2))</f>
        <v/>
      </c>
      <c r="AG249">
        <f>IF($U249="",0,ROUND(SUMIF(บันทึกรายเที่ยว!$T$6:$T$6005,$U249,บันทึกรายเที่ยว!$K$6:$K$6005),2))</f>
        <v/>
      </c>
      <c r="AH249">
        <f>IF($U249="",0,ROUND(SUMIF(บันทึกรายเที่ยว!$T$6:$T$6005,$U249,บันทึกรายเที่ยว!$M$6:$M$6005),2))</f>
        <v/>
      </c>
    </row>
    <row r="250" ht="21" customHeight="1" s="66">
      <c r="A250" s="3">
        <f>IF($AB250="G","ผลรวมทั้งหมด",IF($AB250="R",INDEX($S$8:$S$407,$AA250),""))</f>
        <v/>
      </c>
      <c r="B250" s="3">
        <f>IF($AB250="S",INDEX($Y$8:$Y$407,$AA250),"")</f>
        <v/>
      </c>
      <c r="C250" s="68">
        <f>IF($AB250="D",INDEX($Z$8:$Z$407,$AA250),"")</f>
        <v/>
      </c>
      <c r="D250" s="31">
        <f>IF($AB250="G",SUM($AE$8:$AE$407),IF(OR($AB250="",$AB250="R"),"",IF($AB250="D",INDEX($AE$8:$AE$407,$AA250),SUMIF($T$8:$T$407,INDEX($T$8:$T$407,$AA250),$AE$8:$AE$407))))</f>
        <v/>
      </c>
      <c r="E250" s="32">
        <f>IF(243=$AD$1+3,"ขอแสดงความนับถือ",IF(243=$AD$1+6,"(                 )",IF(243=$AD$1+7,"เจ้าหน้าที่ขนส่ง",IF($AB250="G",SUM($AF$8:$AF$407),IF(OR($AB250="",$AB250="R"),"",IF($AB250="D",INDEX($AF$8:$AF$407,$AA250),SUMIF($T$8:$T$407,INDEX($T$8:$T$407,$AA250),$AF$8:$AF$407)))))))</f>
        <v/>
      </c>
      <c r="F250" s="32">
        <f>IF($AB250="G",SUM($AG$8:$AG$407),IF(OR($AB250="",$AB250="R"),"",IF($AB250="D",INDEX($AG$8:$AG$407,$AA250),SUMIF($T$8:$T$407,INDEX($T$8:$T$407,$AA250),$AG$8:$AG$407))))</f>
        <v/>
      </c>
      <c r="G250" s="32">
        <f>IF(OR($AB250="",$AB250="R"),"",ROUND($E250-$F250,2))</f>
        <v/>
      </c>
      <c r="H250" s="32">
        <f>IF($AB250="G",SUM($AH$8:$AH$407),IF(OR($AB250="",$AB250="R"),"",IF($AB250="D",INDEX($AH$8:$AH$407,$AA250),SUMIF($T$8:$T$407,INDEX($T$8:$T$407,$AA250),$AH$8:$AH$407))))</f>
        <v/>
      </c>
      <c r="J250">
        <f>IFERROR(MATCH(243,บันทึกรายเที่ยว!$W$6:$W$6005,0),"")</f>
        <v/>
      </c>
      <c r="K250">
        <f>IF($J250="","",INDEX(บันทึกรายเที่ยว!$T$6:$T$6005,$J250))</f>
        <v/>
      </c>
      <c r="L250">
        <f>IF($J250="","",INDEX(บันทึกรายเที่ยว!$S$6:$S$6005,$J250))</f>
        <v/>
      </c>
      <c r="M250">
        <f>IF($J250="","",INDEX(บันทึกรายเที่ยว!$R$6:$R$6005,$J250))</f>
        <v/>
      </c>
      <c r="N250">
        <f>IF($J250="","",MATCH($M250,บันทึกรายเที่ยว!$R$6:$R$6005,0))</f>
        <v/>
      </c>
      <c r="O250">
        <f>IF($J250="","",MATCH($L250,บันทึกรายเที่ยว!$S$6:$S$6005,0))</f>
        <v/>
      </c>
      <c r="P250">
        <f>IF($J250="","",IF(AND(OR($I$3="(ทั้งหมด)",INDEX(บันทึกรายเที่ยว!$C$6:$C$6005,$J250)=$I$3),OR($I$5="(ทั้งหมด)",INDEX(บันทึกรายเที่ยว!$D$6:$D$6005,$J250)=$I$5),OR($I$7="(ทั้งหมด)",INDEX(บันทึกรายเที่ยว!$F$6:$F$6005,$J250)=$I$7)),$N250*10000000+$O250*1000+243,""))</f>
        <v/>
      </c>
      <c r="Q250">
        <f>IFERROR(MATCH(SMALL($P$8:$P$407,243),$P$8:$P$407,0),"")</f>
        <v/>
      </c>
      <c r="R250">
        <f>IF($Q250="","",INDEX($J$8:$J$407,$Q250))</f>
        <v/>
      </c>
      <c r="S250">
        <f>IF($Q250="","",INDEX($M$8:$M$407,$Q250))</f>
        <v/>
      </c>
      <c r="T250">
        <f>IF($Q250="","",INDEX($L$8:$L$407,$Q250))</f>
        <v/>
      </c>
      <c r="U250">
        <f>IF($Q250="","",INDEX($K$8:$K$407,$Q250))</f>
        <v/>
      </c>
      <c r="V250">
        <f>IF($Q250="",0,IF($S250&lt;&gt;$S249,1,0))</f>
        <v/>
      </c>
      <c r="W250">
        <f>IF($Q250="",0,IF($T250&lt;&gt;$T249,1,0))</f>
        <v/>
      </c>
      <c r="X250">
        <f>IF($Q250="",99999+243,$X249+1+$V249+$W249)</f>
        <v/>
      </c>
      <c r="Y250">
        <f>IF($Q250="","",INDEX(บันทึกรายเที่ยว!$Q$6:$Q$6005,$R250))</f>
        <v/>
      </c>
      <c r="Z250">
        <f>IF($Q250="","",INDEX(บันทึกรายเที่ยว!$F$6:$F$6005,$R250))</f>
        <v/>
      </c>
      <c r="AA250">
        <f>IFERROR(MATCH(243,$X$8:$X$407,1),"")</f>
        <v/>
      </c>
      <c r="AB250">
        <f>IF(243=$AD$1+1,"G",IF($AA250="","",IF(INDEX($Q$8:$Q$407,$AA250)="","",IF(243&gt;INDEX($X$8:$X$407,$AA250)+INDEX($V$8:$V$407,$AA250)+INDEX($W$8:$W$407,$AA250),"",IF(243=INDEX($X$8:$X$407,$AA250)+INDEX($V$8:$V$407,$AA250)+INDEX($W$8:$W$407,$AA250),"D",IF(AND(INDEX($W$8:$W$407,$AA250)=1,243=INDEX($X$8:$X$407,$AA250)+INDEX($V$8:$V$407,$AA250)),"S","R"))))))</f>
        <v/>
      </c>
      <c r="AC250">
        <f>IF(OR($AB250="",$AB250="G"),"",IF($AB250="D",INDEX($U$8:$U$407,$AA250),IF($AB250="S",INDEX($T$8:$T$407,$AA250)&amp;"|*",INDEX($S$8:$S$407,$AA250)&amp;"|*")))</f>
        <v/>
      </c>
      <c r="AE250">
        <f>IF($U250="",0,COUNTIF(บันทึกรายเที่ยว!$T$6:$T$6005,$U250))</f>
        <v/>
      </c>
      <c r="AF250">
        <f>IF($U250="",0,ROUND(SUMIF(บันทึกรายเที่ยว!$T$6:$T$6005,$U250,บันทึกรายเที่ยว!$J$6:$J$6005),2))</f>
        <v/>
      </c>
      <c r="AG250">
        <f>IF($U250="",0,ROUND(SUMIF(บันทึกรายเที่ยว!$T$6:$T$6005,$U250,บันทึกรายเที่ยว!$K$6:$K$6005),2))</f>
        <v/>
      </c>
      <c r="AH250">
        <f>IF($U250="",0,ROUND(SUMIF(บันทึกรายเที่ยว!$T$6:$T$6005,$U250,บันทึกรายเที่ยว!$M$6:$M$6005),2))</f>
        <v/>
      </c>
    </row>
    <row r="251" ht="21" customHeight="1" s="66">
      <c r="A251" s="3">
        <f>IF($AB251="G","ผลรวมทั้งหมด",IF($AB251="R",INDEX($S$8:$S$407,$AA251),""))</f>
        <v/>
      </c>
      <c r="B251" s="3">
        <f>IF($AB251="S",INDEX($Y$8:$Y$407,$AA251),"")</f>
        <v/>
      </c>
      <c r="C251" s="68">
        <f>IF($AB251="D",INDEX($Z$8:$Z$407,$AA251),"")</f>
        <v/>
      </c>
      <c r="D251" s="31">
        <f>IF($AB251="G",SUM($AE$8:$AE$407),IF(OR($AB251="",$AB251="R"),"",IF($AB251="D",INDEX($AE$8:$AE$407,$AA251),SUMIF($T$8:$T$407,INDEX($T$8:$T$407,$AA251),$AE$8:$AE$407))))</f>
        <v/>
      </c>
      <c r="E251" s="32">
        <f>IF(244=$AD$1+3,"ขอแสดงความนับถือ",IF(244=$AD$1+6,"(                 )",IF(244=$AD$1+7,"เจ้าหน้าที่ขนส่ง",IF($AB251="G",SUM($AF$8:$AF$407),IF(OR($AB251="",$AB251="R"),"",IF($AB251="D",INDEX($AF$8:$AF$407,$AA251),SUMIF($T$8:$T$407,INDEX($T$8:$T$407,$AA251),$AF$8:$AF$407)))))))</f>
        <v/>
      </c>
      <c r="F251" s="32">
        <f>IF($AB251="G",SUM($AG$8:$AG$407),IF(OR($AB251="",$AB251="R"),"",IF($AB251="D",INDEX($AG$8:$AG$407,$AA251),SUMIF($T$8:$T$407,INDEX($T$8:$T$407,$AA251),$AG$8:$AG$407))))</f>
        <v/>
      </c>
      <c r="G251" s="32">
        <f>IF(OR($AB251="",$AB251="R"),"",ROUND($E251-$F251,2))</f>
        <v/>
      </c>
      <c r="H251" s="32">
        <f>IF($AB251="G",SUM($AH$8:$AH$407),IF(OR($AB251="",$AB251="R"),"",IF($AB251="D",INDEX($AH$8:$AH$407,$AA251),SUMIF($T$8:$T$407,INDEX($T$8:$T$407,$AA251),$AH$8:$AH$407))))</f>
        <v/>
      </c>
      <c r="J251">
        <f>IFERROR(MATCH(244,บันทึกรายเที่ยว!$W$6:$W$6005,0),"")</f>
        <v/>
      </c>
      <c r="K251">
        <f>IF($J251="","",INDEX(บันทึกรายเที่ยว!$T$6:$T$6005,$J251))</f>
        <v/>
      </c>
      <c r="L251">
        <f>IF($J251="","",INDEX(บันทึกรายเที่ยว!$S$6:$S$6005,$J251))</f>
        <v/>
      </c>
      <c r="M251">
        <f>IF($J251="","",INDEX(บันทึกรายเที่ยว!$R$6:$R$6005,$J251))</f>
        <v/>
      </c>
      <c r="N251">
        <f>IF($J251="","",MATCH($M251,บันทึกรายเที่ยว!$R$6:$R$6005,0))</f>
        <v/>
      </c>
      <c r="O251">
        <f>IF($J251="","",MATCH($L251,บันทึกรายเที่ยว!$S$6:$S$6005,0))</f>
        <v/>
      </c>
      <c r="P251">
        <f>IF($J251="","",IF(AND(OR($I$3="(ทั้งหมด)",INDEX(บันทึกรายเที่ยว!$C$6:$C$6005,$J251)=$I$3),OR($I$5="(ทั้งหมด)",INDEX(บันทึกรายเที่ยว!$D$6:$D$6005,$J251)=$I$5),OR($I$7="(ทั้งหมด)",INDEX(บันทึกรายเที่ยว!$F$6:$F$6005,$J251)=$I$7)),$N251*10000000+$O251*1000+244,""))</f>
        <v/>
      </c>
      <c r="Q251">
        <f>IFERROR(MATCH(SMALL($P$8:$P$407,244),$P$8:$P$407,0),"")</f>
        <v/>
      </c>
      <c r="R251">
        <f>IF($Q251="","",INDEX($J$8:$J$407,$Q251))</f>
        <v/>
      </c>
      <c r="S251">
        <f>IF($Q251="","",INDEX($M$8:$M$407,$Q251))</f>
        <v/>
      </c>
      <c r="T251">
        <f>IF($Q251="","",INDEX($L$8:$L$407,$Q251))</f>
        <v/>
      </c>
      <c r="U251">
        <f>IF($Q251="","",INDEX($K$8:$K$407,$Q251))</f>
        <v/>
      </c>
      <c r="V251">
        <f>IF($Q251="",0,IF($S251&lt;&gt;$S250,1,0))</f>
        <v/>
      </c>
      <c r="W251">
        <f>IF($Q251="",0,IF($T251&lt;&gt;$T250,1,0))</f>
        <v/>
      </c>
      <c r="X251">
        <f>IF($Q251="",99999+244,$X250+1+$V250+$W250)</f>
        <v/>
      </c>
      <c r="Y251">
        <f>IF($Q251="","",INDEX(บันทึกรายเที่ยว!$Q$6:$Q$6005,$R251))</f>
        <v/>
      </c>
      <c r="Z251">
        <f>IF($Q251="","",INDEX(บันทึกรายเที่ยว!$F$6:$F$6005,$R251))</f>
        <v/>
      </c>
      <c r="AA251">
        <f>IFERROR(MATCH(244,$X$8:$X$407,1),"")</f>
        <v/>
      </c>
      <c r="AB251">
        <f>IF(244=$AD$1+1,"G",IF($AA251="","",IF(INDEX($Q$8:$Q$407,$AA251)="","",IF(244&gt;INDEX($X$8:$X$407,$AA251)+INDEX($V$8:$V$407,$AA251)+INDEX($W$8:$W$407,$AA251),"",IF(244=INDEX($X$8:$X$407,$AA251)+INDEX($V$8:$V$407,$AA251)+INDEX($W$8:$W$407,$AA251),"D",IF(AND(INDEX($W$8:$W$407,$AA251)=1,244=INDEX($X$8:$X$407,$AA251)+INDEX($V$8:$V$407,$AA251)),"S","R"))))))</f>
        <v/>
      </c>
      <c r="AC251">
        <f>IF(OR($AB251="",$AB251="G"),"",IF($AB251="D",INDEX($U$8:$U$407,$AA251),IF($AB251="S",INDEX($T$8:$T$407,$AA251)&amp;"|*",INDEX($S$8:$S$407,$AA251)&amp;"|*")))</f>
        <v/>
      </c>
      <c r="AE251">
        <f>IF($U251="",0,COUNTIF(บันทึกรายเที่ยว!$T$6:$T$6005,$U251))</f>
        <v/>
      </c>
      <c r="AF251">
        <f>IF($U251="",0,ROUND(SUMIF(บันทึกรายเที่ยว!$T$6:$T$6005,$U251,บันทึกรายเที่ยว!$J$6:$J$6005),2))</f>
        <v/>
      </c>
      <c r="AG251">
        <f>IF($U251="",0,ROUND(SUMIF(บันทึกรายเที่ยว!$T$6:$T$6005,$U251,บันทึกรายเที่ยว!$K$6:$K$6005),2))</f>
        <v/>
      </c>
      <c r="AH251">
        <f>IF($U251="",0,ROUND(SUMIF(บันทึกรายเที่ยว!$T$6:$T$6005,$U251,บันทึกรายเที่ยว!$M$6:$M$6005),2))</f>
        <v/>
      </c>
    </row>
    <row r="252" ht="21" customHeight="1" s="66">
      <c r="A252" s="3">
        <f>IF($AB252="G","ผลรวมทั้งหมด",IF($AB252="R",INDEX($S$8:$S$407,$AA252),""))</f>
        <v/>
      </c>
      <c r="B252" s="3">
        <f>IF($AB252="S",INDEX($Y$8:$Y$407,$AA252),"")</f>
        <v/>
      </c>
      <c r="C252" s="68">
        <f>IF($AB252="D",INDEX($Z$8:$Z$407,$AA252),"")</f>
        <v/>
      </c>
      <c r="D252" s="31">
        <f>IF($AB252="G",SUM($AE$8:$AE$407),IF(OR($AB252="",$AB252="R"),"",IF($AB252="D",INDEX($AE$8:$AE$407,$AA252),SUMIF($T$8:$T$407,INDEX($T$8:$T$407,$AA252),$AE$8:$AE$407))))</f>
        <v/>
      </c>
      <c r="E252" s="32">
        <f>IF(245=$AD$1+3,"ขอแสดงความนับถือ",IF(245=$AD$1+6,"(                 )",IF(245=$AD$1+7,"เจ้าหน้าที่ขนส่ง",IF($AB252="G",SUM($AF$8:$AF$407),IF(OR($AB252="",$AB252="R"),"",IF($AB252="D",INDEX($AF$8:$AF$407,$AA252),SUMIF($T$8:$T$407,INDEX($T$8:$T$407,$AA252),$AF$8:$AF$407)))))))</f>
        <v/>
      </c>
      <c r="F252" s="32">
        <f>IF($AB252="G",SUM($AG$8:$AG$407),IF(OR($AB252="",$AB252="R"),"",IF($AB252="D",INDEX($AG$8:$AG$407,$AA252),SUMIF($T$8:$T$407,INDEX($T$8:$T$407,$AA252),$AG$8:$AG$407))))</f>
        <v/>
      </c>
      <c r="G252" s="32">
        <f>IF(OR($AB252="",$AB252="R"),"",ROUND($E252-$F252,2))</f>
        <v/>
      </c>
      <c r="H252" s="32">
        <f>IF($AB252="G",SUM($AH$8:$AH$407),IF(OR($AB252="",$AB252="R"),"",IF($AB252="D",INDEX($AH$8:$AH$407,$AA252),SUMIF($T$8:$T$407,INDEX($T$8:$T$407,$AA252),$AH$8:$AH$407))))</f>
        <v/>
      </c>
      <c r="J252">
        <f>IFERROR(MATCH(245,บันทึกรายเที่ยว!$W$6:$W$6005,0),"")</f>
        <v/>
      </c>
      <c r="K252">
        <f>IF($J252="","",INDEX(บันทึกรายเที่ยว!$T$6:$T$6005,$J252))</f>
        <v/>
      </c>
      <c r="L252">
        <f>IF($J252="","",INDEX(บันทึกรายเที่ยว!$S$6:$S$6005,$J252))</f>
        <v/>
      </c>
      <c r="M252">
        <f>IF($J252="","",INDEX(บันทึกรายเที่ยว!$R$6:$R$6005,$J252))</f>
        <v/>
      </c>
      <c r="N252">
        <f>IF($J252="","",MATCH($M252,บันทึกรายเที่ยว!$R$6:$R$6005,0))</f>
        <v/>
      </c>
      <c r="O252">
        <f>IF($J252="","",MATCH($L252,บันทึกรายเที่ยว!$S$6:$S$6005,0))</f>
        <v/>
      </c>
      <c r="P252">
        <f>IF($J252="","",IF(AND(OR($I$3="(ทั้งหมด)",INDEX(บันทึกรายเที่ยว!$C$6:$C$6005,$J252)=$I$3),OR($I$5="(ทั้งหมด)",INDEX(บันทึกรายเที่ยว!$D$6:$D$6005,$J252)=$I$5),OR($I$7="(ทั้งหมด)",INDEX(บันทึกรายเที่ยว!$F$6:$F$6005,$J252)=$I$7)),$N252*10000000+$O252*1000+245,""))</f>
        <v/>
      </c>
      <c r="Q252">
        <f>IFERROR(MATCH(SMALL($P$8:$P$407,245),$P$8:$P$407,0),"")</f>
        <v/>
      </c>
      <c r="R252">
        <f>IF($Q252="","",INDEX($J$8:$J$407,$Q252))</f>
        <v/>
      </c>
      <c r="S252">
        <f>IF($Q252="","",INDEX($M$8:$M$407,$Q252))</f>
        <v/>
      </c>
      <c r="T252">
        <f>IF($Q252="","",INDEX($L$8:$L$407,$Q252))</f>
        <v/>
      </c>
      <c r="U252">
        <f>IF($Q252="","",INDEX($K$8:$K$407,$Q252))</f>
        <v/>
      </c>
      <c r="V252">
        <f>IF($Q252="",0,IF($S252&lt;&gt;$S251,1,0))</f>
        <v/>
      </c>
      <c r="W252">
        <f>IF($Q252="",0,IF($T252&lt;&gt;$T251,1,0))</f>
        <v/>
      </c>
      <c r="X252">
        <f>IF($Q252="",99999+245,$X251+1+$V251+$W251)</f>
        <v/>
      </c>
      <c r="Y252">
        <f>IF($Q252="","",INDEX(บันทึกรายเที่ยว!$Q$6:$Q$6005,$R252))</f>
        <v/>
      </c>
      <c r="Z252">
        <f>IF($Q252="","",INDEX(บันทึกรายเที่ยว!$F$6:$F$6005,$R252))</f>
        <v/>
      </c>
      <c r="AA252">
        <f>IFERROR(MATCH(245,$X$8:$X$407,1),"")</f>
        <v/>
      </c>
      <c r="AB252">
        <f>IF(245=$AD$1+1,"G",IF($AA252="","",IF(INDEX($Q$8:$Q$407,$AA252)="","",IF(245&gt;INDEX($X$8:$X$407,$AA252)+INDEX($V$8:$V$407,$AA252)+INDEX($W$8:$W$407,$AA252),"",IF(245=INDEX($X$8:$X$407,$AA252)+INDEX($V$8:$V$407,$AA252)+INDEX($W$8:$W$407,$AA252),"D",IF(AND(INDEX($W$8:$W$407,$AA252)=1,245=INDEX($X$8:$X$407,$AA252)+INDEX($V$8:$V$407,$AA252)),"S","R"))))))</f>
        <v/>
      </c>
      <c r="AC252">
        <f>IF(OR($AB252="",$AB252="G"),"",IF($AB252="D",INDEX($U$8:$U$407,$AA252),IF($AB252="S",INDEX($T$8:$T$407,$AA252)&amp;"|*",INDEX($S$8:$S$407,$AA252)&amp;"|*")))</f>
        <v/>
      </c>
      <c r="AE252">
        <f>IF($U252="",0,COUNTIF(บันทึกรายเที่ยว!$T$6:$T$6005,$U252))</f>
        <v/>
      </c>
      <c r="AF252">
        <f>IF($U252="",0,ROUND(SUMIF(บันทึกรายเที่ยว!$T$6:$T$6005,$U252,บันทึกรายเที่ยว!$J$6:$J$6005),2))</f>
        <v/>
      </c>
      <c r="AG252">
        <f>IF($U252="",0,ROUND(SUMIF(บันทึกรายเที่ยว!$T$6:$T$6005,$U252,บันทึกรายเที่ยว!$K$6:$K$6005),2))</f>
        <v/>
      </c>
      <c r="AH252">
        <f>IF($U252="",0,ROUND(SUMIF(บันทึกรายเที่ยว!$T$6:$T$6005,$U252,บันทึกรายเที่ยว!$M$6:$M$6005),2))</f>
        <v/>
      </c>
    </row>
    <row r="253" ht="21" customHeight="1" s="66">
      <c r="A253" s="3">
        <f>IF($AB253="G","ผลรวมทั้งหมด",IF($AB253="R",INDEX($S$8:$S$407,$AA253),""))</f>
        <v/>
      </c>
      <c r="B253" s="3">
        <f>IF($AB253="S",INDEX($Y$8:$Y$407,$AA253),"")</f>
        <v/>
      </c>
      <c r="C253" s="68">
        <f>IF($AB253="D",INDEX($Z$8:$Z$407,$AA253),"")</f>
        <v/>
      </c>
      <c r="D253" s="31">
        <f>IF($AB253="G",SUM($AE$8:$AE$407),IF(OR($AB253="",$AB253="R"),"",IF($AB253="D",INDEX($AE$8:$AE$407,$AA253),SUMIF($T$8:$T$407,INDEX($T$8:$T$407,$AA253),$AE$8:$AE$407))))</f>
        <v/>
      </c>
      <c r="E253" s="32">
        <f>IF(246=$AD$1+3,"ขอแสดงความนับถือ",IF(246=$AD$1+6,"(                 )",IF(246=$AD$1+7,"เจ้าหน้าที่ขนส่ง",IF($AB253="G",SUM($AF$8:$AF$407),IF(OR($AB253="",$AB253="R"),"",IF($AB253="D",INDEX($AF$8:$AF$407,$AA253),SUMIF($T$8:$T$407,INDEX($T$8:$T$407,$AA253),$AF$8:$AF$407)))))))</f>
        <v/>
      </c>
      <c r="F253" s="32">
        <f>IF($AB253="G",SUM($AG$8:$AG$407),IF(OR($AB253="",$AB253="R"),"",IF($AB253="D",INDEX($AG$8:$AG$407,$AA253),SUMIF($T$8:$T$407,INDEX($T$8:$T$407,$AA253),$AG$8:$AG$407))))</f>
        <v/>
      </c>
      <c r="G253" s="32">
        <f>IF(OR($AB253="",$AB253="R"),"",ROUND($E253-$F253,2))</f>
        <v/>
      </c>
      <c r="H253" s="32">
        <f>IF($AB253="G",SUM($AH$8:$AH$407),IF(OR($AB253="",$AB253="R"),"",IF($AB253="D",INDEX($AH$8:$AH$407,$AA253),SUMIF($T$8:$T$407,INDEX($T$8:$T$407,$AA253),$AH$8:$AH$407))))</f>
        <v/>
      </c>
      <c r="J253">
        <f>IFERROR(MATCH(246,บันทึกรายเที่ยว!$W$6:$W$6005,0),"")</f>
        <v/>
      </c>
      <c r="K253">
        <f>IF($J253="","",INDEX(บันทึกรายเที่ยว!$T$6:$T$6005,$J253))</f>
        <v/>
      </c>
      <c r="L253">
        <f>IF($J253="","",INDEX(บันทึกรายเที่ยว!$S$6:$S$6005,$J253))</f>
        <v/>
      </c>
      <c r="M253">
        <f>IF($J253="","",INDEX(บันทึกรายเที่ยว!$R$6:$R$6005,$J253))</f>
        <v/>
      </c>
      <c r="N253">
        <f>IF($J253="","",MATCH($M253,บันทึกรายเที่ยว!$R$6:$R$6005,0))</f>
        <v/>
      </c>
      <c r="O253">
        <f>IF($J253="","",MATCH($L253,บันทึกรายเที่ยว!$S$6:$S$6005,0))</f>
        <v/>
      </c>
      <c r="P253">
        <f>IF($J253="","",IF(AND(OR($I$3="(ทั้งหมด)",INDEX(บันทึกรายเที่ยว!$C$6:$C$6005,$J253)=$I$3),OR($I$5="(ทั้งหมด)",INDEX(บันทึกรายเที่ยว!$D$6:$D$6005,$J253)=$I$5),OR($I$7="(ทั้งหมด)",INDEX(บันทึกรายเที่ยว!$F$6:$F$6005,$J253)=$I$7)),$N253*10000000+$O253*1000+246,""))</f>
        <v/>
      </c>
      <c r="Q253">
        <f>IFERROR(MATCH(SMALL($P$8:$P$407,246),$P$8:$P$407,0),"")</f>
        <v/>
      </c>
      <c r="R253">
        <f>IF($Q253="","",INDEX($J$8:$J$407,$Q253))</f>
        <v/>
      </c>
      <c r="S253">
        <f>IF($Q253="","",INDEX($M$8:$M$407,$Q253))</f>
        <v/>
      </c>
      <c r="T253">
        <f>IF($Q253="","",INDEX($L$8:$L$407,$Q253))</f>
        <v/>
      </c>
      <c r="U253">
        <f>IF($Q253="","",INDEX($K$8:$K$407,$Q253))</f>
        <v/>
      </c>
      <c r="V253">
        <f>IF($Q253="",0,IF($S253&lt;&gt;$S252,1,0))</f>
        <v/>
      </c>
      <c r="W253">
        <f>IF($Q253="",0,IF($T253&lt;&gt;$T252,1,0))</f>
        <v/>
      </c>
      <c r="X253">
        <f>IF($Q253="",99999+246,$X252+1+$V252+$W252)</f>
        <v/>
      </c>
      <c r="Y253">
        <f>IF($Q253="","",INDEX(บันทึกรายเที่ยว!$Q$6:$Q$6005,$R253))</f>
        <v/>
      </c>
      <c r="Z253">
        <f>IF($Q253="","",INDEX(บันทึกรายเที่ยว!$F$6:$F$6005,$R253))</f>
        <v/>
      </c>
      <c r="AA253">
        <f>IFERROR(MATCH(246,$X$8:$X$407,1),"")</f>
        <v/>
      </c>
      <c r="AB253">
        <f>IF(246=$AD$1+1,"G",IF($AA253="","",IF(INDEX($Q$8:$Q$407,$AA253)="","",IF(246&gt;INDEX($X$8:$X$407,$AA253)+INDEX($V$8:$V$407,$AA253)+INDEX($W$8:$W$407,$AA253),"",IF(246=INDEX($X$8:$X$407,$AA253)+INDEX($V$8:$V$407,$AA253)+INDEX($W$8:$W$407,$AA253),"D",IF(AND(INDEX($W$8:$W$407,$AA253)=1,246=INDEX($X$8:$X$407,$AA253)+INDEX($V$8:$V$407,$AA253)),"S","R"))))))</f>
        <v/>
      </c>
      <c r="AC253">
        <f>IF(OR($AB253="",$AB253="G"),"",IF($AB253="D",INDEX($U$8:$U$407,$AA253),IF($AB253="S",INDEX($T$8:$T$407,$AA253)&amp;"|*",INDEX($S$8:$S$407,$AA253)&amp;"|*")))</f>
        <v/>
      </c>
      <c r="AE253">
        <f>IF($U253="",0,COUNTIF(บันทึกรายเที่ยว!$T$6:$T$6005,$U253))</f>
        <v/>
      </c>
      <c r="AF253">
        <f>IF($U253="",0,ROUND(SUMIF(บันทึกรายเที่ยว!$T$6:$T$6005,$U253,บันทึกรายเที่ยว!$J$6:$J$6005),2))</f>
        <v/>
      </c>
      <c r="AG253">
        <f>IF($U253="",0,ROUND(SUMIF(บันทึกรายเที่ยว!$T$6:$T$6005,$U253,บันทึกรายเที่ยว!$K$6:$K$6005),2))</f>
        <v/>
      </c>
      <c r="AH253">
        <f>IF($U253="",0,ROUND(SUMIF(บันทึกรายเที่ยว!$T$6:$T$6005,$U253,บันทึกรายเที่ยว!$M$6:$M$6005),2))</f>
        <v/>
      </c>
    </row>
    <row r="254" ht="21" customHeight="1" s="66">
      <c r="A254" s="3">
        <f>IF($AB254="G","ผลรวมทั้งหมด",IF($AB254="R",INDEX($S$8:$S$407,$AA254),""))</f>
        <v/>
      </c>
      <c r="B254" s="3">
        <f>IF($AB254="S",INDEX($Y$8:$Y$407,$AA254),"")</f>
        <v/>
      </c>
      <c r="C254" s="68">
        <f>IF($AB254="D",INDEX($Z$8:$Z$407,$AA254),"")</f>
        <v/>
      </c>
      <c r="D254" s="31">
        <f>IF($AB254="G",SUM($AE$8:$AE$407),IF(OR($AB254="",$AB254="R"),"",IF($AB254="D",INDEX($AE$8:$AE$407,$AA254),SUMIF($T$8:$T$407,INDEX($T$8:$T$407,$AA254),$AE$8:$AE$407))))</f>
        <v/>
      </c>
      <c r="E254" s="32">
        <f>IF(247=$AD$1+3,"ขอแสดงความนับถือ",IF(247=$AD$1+6,"(                 )",IF(247=$AD$1+7,"เจ้าหน้าที่ขนส่ง",IF($AB254="G",SUM($AF$8:$AF$407),IF(OR($AB254="",$AB254="R"),"",IF($AB254="D",INDEX($AF$8:$AF$407,$AA254),SUMIF($T$8:$T$407,INDEX($T$8:$T$407,$AA254),$AF$8:$AF$407)))))))</f>
        <v/>
      </c>
      <c r="F254" s="32">
        <f>IF($AB254="G",SUM($AG$8:$AG$407),IF(OR($AB254="",$AB254="R"),"",IF($AB254="D",INDEX($AG$8:$AG$407,$AA254),SUMIF($T$8:$T$407,INDEX($T$8:$T$407,$AA254),$AG$8:$AG$407))))</f>
        <v/>
      </c>
      <c r="G254" s="32">
        <f>IF(OR($AB254="",$AB254="R"),"",ROUND($E254-$F254,2))</f>
        <v/>
      </c>
      <c r="H254" s="32">
        <f>IF($AB254="G",SUM($AH$8:$AH$407),IF(OR($AB254="",$AB254="R"),"",IF($AB254="D",INDEX($AH$8:$AH$407,$AA254),SUMIF($T$8:$T$407,INDEX($T$8:$T$407,$AA254),$AH$8:$AH$407))))</f>
        <v/>
      </c>
      <c r="J254">
        <f>IFERROR(MATCH(247,บันทึกรายเที่ยว!$W$6:$W$6005,0),"")</f>
        <v/>
      </c>
      <c r="K254">
        <f>IF($J254="","",INDEX(บันทึกรายเที่ยว!$T$6:$T$6005,$J254))</f>
        <v/>
      </c>
      <c r="L254">
        <f>IF($J254="","",INDEX(บันทึกรายเที่ยว!$S$6:$S$6005,$J254))</f>
        <v/>
      </c>
      <c r="M254">
        <f>IF($J254="","",INDEX(บันทึกรายเที่ยว!$R$6:$R$6005,$J254))</f>
        <v/>
      </c>
      <c r="N254">
        <f>IF($J254="","",MATCH($M254,บันทึกรายเที่ยว!$R$6:$R$6005,0))</f>
        <v/>
      </c>
      <c r="O254">
        <f>IF($J254="","",MATCH($L254,บันทึกรายเที่ยว!$S$6:$S$6005,0))</f>
        <v/>
      </c>
      <c r="P254">
        <f>IF($J254="","",IF(AND(OR($I$3="(ทั้งหมด)",INDEX(บันทึกรายเที่ยว!$C$6:$C$6005,$J254)=$I$3),OR($I$5="(ทั้งหมด)",INDEX(บันทึกรายเที่ยว!$D$6:$D$6005,$J254)=$I$5),OR($I$7="(ทั้งหมด)",INDEX(บันทึกรายเที่ยว!$F$6:$F$6005,$J254)=$I$7)),$N254*10000000+$O254*1000+247,""))</f>
        <v/>
      </c>
      <c r="Q254">
        <f>IFERROR(MATCH(SMALL($P$8:$P$407,247),$P$8:$P$407,0),"")</f>
        <v/>
      </c>
      <c r="R254">
        <f>IF($Q254="","",INDEX($J$8:$J$407,$Q254))</f>
        <v/>
      </c>
      <c r="S254">
        <f>IF($Q254="","",INDEX($M$8:$M$407,$Q254))</f>
        <v/>
      </c>
      <c r="T254">
        <f>IF($Q254="","",INDEX($L$8:$L$407,$Q254))</f>
        <v/>
      </c>
      <c r="U254">
        <f>IF($Q254="","",INDEX($K$8:$K$407,$Q254))</f>
        <v/>
      </c>
      <c r="V254">
        <f>IF($Q254="",0,IF($S254&lt;&gt;$S253,1,0))</f>
        <v/>
      </c>
      <c r="W254">
        <f>IF($Q254="",0,IF($T254&lt;&gt;$T253,1,0))</f>
        <v/>
      </c>
      <c r="X254">
        <f>IF($Q254="",99999+247,$X253+1+$V253+$W253)</f>
        <v/>
      </c>
      <c r="Y254">
        <f>IF($Q254="","",INDEX(บันทึกรายเที่ยว!$Q$6:$Q$6005,$R254))</f>
        <v/>
      </c>
      <c r="Z254">
        <f>IF($Q254="","",INDEX(บันทึกรายเที่ยว!$F$6:$F$6005,$R254))</f>
        <v/>
      </c>
      <c r="AA254">
        <f>IFERROR(MATCH(247,$X$8:$X$407,1),"")</f>
        <v/>
      </c>
      <c r="AB254">
        <f>IF(247=$AD$1+1,"G",IF($AA254="","",IF(INDEX($Q$8:$Q$407,$AA254)="","",IF(247&gt;INDEX($X$8:$X$407,$AA254)+INDEX($V$8:$V$407,$AA254)+INDEX($W$8:$W$407,$AA254),"",IF(247=INDEX($X$8:$X$407,$AA254)+INDEX($V$8:$V$407,$AA254)+INDEX($W$8:$W$407,$AA254),"D",IF(AND(INDEX($W$8:$W$407,$AA254)=1,247=INDEX($X$8:$X$407,$AA254)+INDEX($V$8:$V$407,$AA254)),"S","R"))))))</f>
        <v/>
      </c>
      <c r="AC254">
        <f>IF(OR($AB254="",$AB254="G"),"",IF($AB254="D",INDEX($U$8:$U$407,$AA254),IF($AB254="S",INDEX($T$8:$T$407,$AA254)&amp;"|*",INDEX($S$8:$S$407,$AA254)&amp;"|*")))</f>
        <v/>
      </c>
      <c r="AE254">
        <f>IF($U254="",0,COUNTIF(บันทึกรายเที่ยว!$T$6:$T$6005,$U254))</f>
        <v/>
      </c>
      <c r="AF254">
        <f>IF($U254="",0,ROUND(SUMIF(บันทึกรายเที่ยว!$T$6:$T$6005,$U254,บันทึกรายเที่ยว!$J$6:$J$6005),2))</f>
        <v/>
      </c>
      <c r="AG254">
        <f>IF($U254="",0,ROUND(SUMIF(บันทึกรายเที่ยว!$T$6:$T$6005,$U254,บันทึกรายเที่ยว!$K$6:$K$6005),2))</f>
        <v/>
      </c>
      <c r="AH254">
        <f>IF($U254="",0,ROUND(SUMIF(บันทึกรายเที่ยว!$T$6:$T$6005,$U254,บันทึกรายเที่ยว!$M$6:$M$6005),2))</f>
        <v/>
      </c>
    </row>
    <row r="255" ht="21" customHeight="1" s="66">
      <c r="A255" s="3">
        <f>IF($AB255="G","ผลรวมทั้งหมด",IF($AB255="R",INDEX($S$8:$S$407,$AA255),""))</f>
        <v/>
      </c>
      <c r="B255" s="3">
        <f>IF($AB255="S",INDEX($Y$8:$Y$407,$AA255),"")</f>
        <v/>
      </c>
      <c r="C255" s="68">
        <f>IF($AB255="D",INDEX($Z$8:$Z$407,$AA255),"")</f>
        <v/>
      </c>
      <c r="D255" s="31">
        <f>IF($AB255="G",SUM($AE$8:$AE$407),IF(OR($AB255="",$AB255="R"),"",IF($AB255="D",INDEX($AE$8:$AE$407,$AA255),SUMIF($T$8:$T$407,INDEX($T$8:$T$407,$AA255),$AE$8:$AE$407))))</f>
        <v/>
      </c>
      <c r="E255" s="32">
        <f>IF(248=$AD$1+3,"ขอแสดงความนับถือ",IF(248=$AD$1+6,"(                 )",IF(248=$AD$1+7,"เจ้าหน้าที่ขนส่ง",IF($AB255="G",SUM($AF$8:$AF$407),IF(OR($AB255="",$AB255="R"),"",IF($AB255="D",INDEX($AF$8:$AF$407,$AA255),SUMIF($T$8:$T$407,INDEX($T$8:$T$407,$AA255),$AF$8:$AF$407)))))))</f>
        <v/>
      </c>
      <c r="F255" s="32">
        <f>IF($AB255="G",SUM($AG$8:$AG$407),IF(OR($AB255="",$AB255="R"),"",IF($AB255="D",INDEX($AG$8:$AG$407,$AA255),SUMIF($T$8:$T$407,INDEX($T$8:$T$407,$AA255),$AG$8:$AG$407))))</f>
        <v/>
      </c>
      <c r="G255" s="32">
        <f>IF(OR($AB255="",$AB255="R"),"",ROUND($E255-$F255,2))</f>
        <v/>
      </c>
      <c r="H255" s="32">
        <f>IF($AB255="G",SUM($AH$8:$AH$407),IF(OR($AB255="",$AB255="R"),"",IF($AB255="D",INDEX($AH$8:$AH$407,$AA255),SUMIF($T$8:$T$407,INDEX($T$8:$T$407,$AA255),$AH$8:$AH$407))))</f>
        <v/>
      </c>
      <c r="J255">
        <f>IFERROR(MATCH(248,บันทึกรายเที่ยว!$W$6:$W$6005,0),"")</f>
        <v/>
      </c>
      <c r="K255">
        <f>IF($J255="","",INDEX(บันทึกรายเที่ยว!$T$6:$T$6005,$J255))</f>
        <v/>
      </c>
      <c r="L255">
        <f>IF($J255="","",INDEX(บันทึกรายเที่ยว!$S$6:$S$6005,$J255))</f>
        <v/>
      </c>
      <c r="M255">
        <f>IF($J255="","",INDEX(บันทึกรายเที่ยว!$R$6:$R$6005,$J255))</f>
        <v/>
      </c>
      <c r="N255">
        <f>IF($J255="","",MATCH($M255,บันทึกรายเที่ยว!$R$6:$R$6005,0))</f>
        <v/>
      </c>
      <c r="O255">
        <f>IF($J255="","",MATCH($L255,บันทึกรายเที่ยว!$S$6:$S$6005,0))</f>
        <v/>
      </c>
      <c r="P255">
        <f>IF($J255="","",IF(AND(OR($I$3="(ทั้งหมด)",INDEX(บันทึกรายเที่ยว!$C$6:$C$6005,$J255)=$I$3),OR($I$5="(ทั้งหมด)",INDEX(บันทึกรายเที่ยว!$D$6:$D$6005,$J255)=$I$5),OR($I$7="(ทั้งหมด)",INDEX(บันทึกรายเที่ยว!$F$6:$F$6005,$J255)=$I$7)),$N255*10000000+$O255*1000+248,""))</f>
        <v/>
      </c>
      <c r="Q255">
        <f>IFERROR(MATCH(SMALL($P$8:$P$407,248),$P$8:$P$407,0),"")</f>
        <v/>
      </c>
      <c r="R255">
        <f>IF($Q255="","",INDEX($J$8:$J$407,$Q255))</f>
        <v/>
      </c>
      <c r="S255">
        <f>IF($Q255="","",INDEX($M$8:$M$407,$Q255))</f>
        <v/>
      </c>
      <c r="T255">
        <f>IF($Q255="","",INDEX($L$8:$L$407,$Q255))</f>
        <v/>
      </c>
      <c r="U255">
        <f>IF($Q255="","",INDEX($K$8:$K$407,$Q255))</f>
        <v/>
      </c>
      <c r="V255">
        <f>IF($Q255="",0,IF($S255&lt;&gt;$S254,1,0))</f>
        <v/>
      </c>
      <c r="W255">
        <f>IF($Q255="",0,IF($T255&lt;&gt;$T254,1,0))</f>
        <v/>
      </c>
      <c r="X255">
        <f>IF($Q255="",99999+248,$X254+1+$V254+$W254)</f>
        <v/>
      </c>
      <c r="Y255">
        <f>IF($Q255="","",INDEX(บันทึกรายเที่ยว!$Q$6:$Q$6005,$R255))</f>
        <v/>
      </c>
      <c r="Z255">
        <f>IF($Q255="","",INDEX(บันทึกรายเที่ยว!$F$6:$F$6005,$R255))</f>
        <v/>
      </c>
      <c r="AA255">
        <f>IFERROR(MATCH(248,$X$8:$X$407,1),"")</f>
        <v/>
      </c>
      <c r="AB255">
        <f>IF(248=$AD$1+1,"G",IF($AA255="","",IF(INDEX($Q$8:$Q$407,$AA255)="","",IF(248&gt;INDEX($X$8:$X$407,$AA255)+INDEX($V$8:$V$407,$AA255)+INDEX($W$8:$W$407,$AA255),"",IF(248=INDEX($X$8:$X$407,$AA255)+INDEX($V$8:$V$407,$AA255)+INDEX($W$8:$W$407,$AA255),"D",IF(AND(INDEX($W$8:$W$407,$AA255)=1,248=INDEX($X$8:$X$407,$AA255)+INDEX($V$8:$V$407,$AA255)),"S","R"))))))</f>
        <v/>
      </c>
      <c r="AC255">
        <f>IF(OR($AB255="",$AB255="G"),"",IF($AB255="D",INDEX($U$8:$U$407,$AA255),IF($AB255="S",INDEX($T$8:$T$407,$AA255)&amp;"|*",INDEX($S$8:$S$407,$AA255)&amp;"|*")))</f>
        <v/>
      </c>
      <c r="AE255">
        <f>IF($U255="",0,COUNTIF(บันทึกรายเที่ยว!$T$6:$T$6005,$U255))</f>
        <v/>
      </c>
      <c r="AF255">
        <f>IF($U255="",0,ROUND(SUMIF(บันทึกรายเที่ยว!$T$6:$T$6005,$U255,บันทึกรายเที่ยว!$J$6:$J$6005),2))</f>
        <v/>
      </c>
      <c r="AG255">
        <f>IF($U255="",0,ROUND(SUMIF(บันทึกรายเที่ยว!$T$6:$T$6005,$U255,บันทึกรายเที่ยว!$K$6:$K$6005),2))</f>
        <v/>
      </c>
      <c r="AH255">
        <f>IF($U255="",0,ROUND(SUMIF(บันทึกรายเที่ยว!$T$6:$T$6005,$U255,บันทึกรายเที่ยว!$M$6:$M$6005),2))</f>
        <v/>
      </c>
    </row>
    <row r="256" ht="21" customHeight="1" s="66">
      <c r="A256" s="3">
        <f>IF($AB256="G","ผลรวมทั้งหมด",IF($AB256="R",INDEX($S$8:$S$407,$AA256),""))</f>
        <v/>
      </c>
      <c r="B256" s="3">
        <f>IF($AB256="S",INDEX($Y$8:$Y$407,$AA256),"")</f>
        <v/>
      </c>
      <c r="C256" s="68">
        <f>IF($AB256="D",INDEX($Z$8:$Z$407,$AA256),"")</f>
        <v/>
      </c>
      <c r="D256" s="31">
        <f>IF($AB256="G",SUM($AE$8:$AE$407),IF(OR($AB256="",$AB256="R"),"",IF($AB256="D",INDEX($AE$8:$AE$407,$AA256),SUMIF($T$8:$T$407,INDEX($T$8:$T$407,$AA256),$AE$8:$AE$407))))</f>
        <v/>
      </c>
      <c r="E256" s="32">
        <f>IF(249=$AD$1+3,"ขอแสดงความนับถือ",IF(249=$AD$1+6,"(                 )",IF(249=$AD$1+7,"เจ้าหน้าที่ขนส่ง",IF($AB256="G",SUM($AF$8:$AF$407),IF(OR($AB256="",$AB256="R"),"",IF($AB256="D",INDEX($AF$8:$AF$407,$AA256),SUMIF($T$8:$T$407,INDEX($T$8:$T$407,$AA256),$AF$8:$AF$407)))))))</f>
        <v/>
      </c>
      <c r="F256" s="32">
        <f>IF($AB256="G",SUM($AG$8:$AG$407),IF(OR($AB256="",$AB256="R"),"",IF($AB256="D",INDEX($AG$8:$AG$407,$AA256),SUMIF($T$8:$T$407,INDEX($T$8:$T$407,$AA256),$AG$8:$AG$407))))</f>
        <v/>
      </c>
      <c r="G256" s="32">
        <f>IF(OR($AB256="",$AB256="R"),"",ROUND($E256-$F256,2))</f>
        <v/>
      </c>
      <c r="H256" s="32">
        <f>IF($AB256="G",SUM($AH$8:$AH$407),IF(OR($AB256="",$AB256="R"),"",IF($AB256="D",INDEX($AH$8:$AH$407,$AA256),SUMIF($T$8:$T$407,INDEX($T$8:$T$407,$AA256),$AH$8:$AH$407))))</f>
        <v/>
      </c>
      <c r="J256">
        <f>IFERROR(MATCH(249,บันทึกรายเที่ยว!$W$6:$W$6005,0),"")</f>
        <v/>
      </c>
      <c r="K256">
        <f>IF($J256="","",INDEX(บันทึกรายเที่ยว!$T$6:$T$6005,$J256))</f>
        <v/>
      </c>
      <c r="L256">
        <f>IF($J256="","",INDEX(บันทึกรายเที่ยว!$S$6:$S$6005,$J256))</f>
        <v/>
      </c>
      <c r="M256">
        <f>IF($J256="","",INDEX(บันทึกรายเที่ยว!$R$6:$R$6005,$J256))</f>
        <v/>
      </c>
      <c r="N256">
        <f>IF($J256="","",MATCH($M256,บันทึกรายเที่ยว!$R$6:$R$6005,0))</f>
        <v/>
      </c>
      <c r="O256">
        <f>IF($J256="","",MATCH($L256,บันทึกรายเที่ยว!$S$6:$S$6005,0))</f>
        <v/>
      </c>
      <c r="P256">
        <f>IF($J256="","",IF(AND(OR($I$3="(ทั้งหมด)",INDEX(บันทึกรายเที่ยว!$C$6:$C$6005,$J256)=$I$3),OR($I$5="(ทั้งหมด)",INDEX(บันทึกรายเที่ยว!$D$6:$D$6005,$J256)=$I$5),OR($I$7="(ทั้งหมด)",INDEX(บันทึกรายเที่ยว!$F$6:$F$6005,$J256)=$I$7)),$N256*10000000+$O256*1000+249,""))</f>
        <v/>
      </c>
      <c r="Q256">
        <f>IFERROR(MATCH(SMALL($P$8:$P$407,249),$P$8:$P$407,0),"")</f>
        <v/>
      </c>
      <c r="R256">
        <f>IF($Q256="","",INDEX($J$8:$J$407,$Q256))</f>
        <v/>
      </c>
      <c r="S256">
        <f>IF($Q256="","",INDEX($M$8:$M$407,$Q256))</f>
        <v/>
      </c>
      <c r="T256">
        <f>IF($Q256="","",INDEX($L$8:$L$407,$Q256))</f>
        <v/>
      </c>
      <c r="U256">
        <f>IF($Q256="","",INDEX($K$8:$K$407,$Q256))</f>
        <v/>
      </c>
      <c r="V256">
        <f>IF($Q256="",0,IF($S256&lt;&gt;$S255,1,0))</f>
        <v/>
      </c>
      <c r="W256">
        <f>IF($Q256="",0,IF($T256&lt;&gt;$T255,1,0))</f>
        <v/>
      </c>
      <c r="X256">
        <f>IF($Q256="",99999+249,$X255+1+$V255+$W255)</f>
        <v/>
      </c>
      <c r="Y256">
        <f>IF($Q256="","",INDEX(บันทึกรายเที่ยว!$Q$6:$Q$6005,$R256))</f>
        <v/>
      </c>
      <c r="Z256">
        <f>IF($Q256="","",INDEX(บันทึกรายเที่ยว!$F$6:$F$6005,$R256))</f>
        <v/>
      </c>
      <c r="AA256">
        <f>IFERROR(MATCH(249,$X$8:$X$407,1),"")</f>
        <v/>
      </c>
      <c r="AB256">
        <f>IF(249=$AD$1+1,"G",IF($AA256="","",IF(INDEX($Q$8:$Q$407,$AA256)="","",IF(249&gt;INDEX($X$8:$X$407,$AA256)+INDEX($V$8:$V$407,$AA256)+INDEX($W$8:$W$407,$AA256),"",IF(249=INDEX($X$8:$X$407,$AA256)+INDEX($V$8:$V$407,$AA256)+INDEX($W$8:$W$407,$AA256),"D",IF(AND(INDEX($W$8:$W$407,$AA256)=1,249=INDEX($X$8:$X$407,$AA256)+INDEX($V$8:$V$407,$AA256)),"S","R"))))))</f>
        <v/>
      </c>
      <c r="AC256">
        <f>IF(OR($AB256="",$AB256="G"),"",IF($AB256="D",INDEX($U$8:$U$407,$AA256),IF($AB256="S",INDEX($T$8:$T$407,$AA256)&amp;"|*",INDEX($S$8:$S$407,$AA256)&amp;"|*")))</f>
        <v/>
      </c>
      <c r="AE256">
        <f>IF($U256="",0,COUNTIF(บันทึกรายเที่ยว!$T$6:$T$6005,$U256))</f>
        <v/>
      </c>
      <c r="AF256">
        <f>IF($U256="",0,ROUND(SUMIF(บันทึกรายเที่ยว!$T$6:$T$6005,$U256,บันทึกรายเที่ยว!$J$6:$J$6005),2))</f>
        <v/>
      </c>
      <c r="AG256">
        <f>IF($U256="",0,ROUND(SUMIF(บันทึกรายเที่ยว!$T$6:$T$6005,$U256,บันทึกรายเที่ยว!$K$6:$K$6005),2))</f>
        <v/>
      </c>
      <c r="AH256">
        <f>IF($U256="",0,ROUND(SUMIF(บันทึกรายเที่ยว!$T$6:$T$6005,$U256,บันทึกรายเที่ยว!$M$6:$M$6005),2))</f>
        <v/>
      </c>
    </row>
    <row r="257" ht="21" customHeight="1" s="66">
      <c r="A257" s="3">
        <f>IF($AB257="G","ผลรวมทั้งหมด",IF($AB257="R",INDEX($S$8:$S$407,$AA257),""))</f>
        <v/>
      </c>
      <c r="B257" s="3">
        <f>IF($AB257="S",INDEX($Y$8:$Y$407,$AA257),"")</f>
        <v/>
      </c>
      <c r="C257" s="68">
        <f>IF($AB257="D",INDEX($Z$8:$Z$407,$AA257),"")</f>
        <v/>
      </c>
      <c r="D257" s="31">
        <f>IF($AB257="G",SUM($AE$8:$AE$407),IF(OR($AB257="",$AB257="R"),"",IF($AB257="D",INDEX($AE$8:$AE$407,$AA257),SUMIF($T$8:$T$407,INDEX($T$8:$T$407,$AA257),$AE$8:$AE$407))))</f>
        <v/>
      </c>
      <c r="E257" s="32">
        <f>IF(250=$AD$1+3,"ขอแสดงความนับถือ",IF(250=$AD$1+6,"(                 )",IF(250=$AD$1+7,"เจ้าหน้าที่ขนส่ง",IF($AB257="G",SUM($AF$8:$AF$407),IF(OR($AB257="",$AB257="R"),"",IF($AB257="D",INDEX($AF$8:$AF$407,$AA257),SUMIF($T$8:$T$407,INDEX($T$8:$T$407,$AA257),$AF$8:$AF$407)))))))</f>
        <v/>
      </c>
      <c r="F257" s="32">
        <f>IF($AB257="G",SUM($AG$8:$AG$407),IF(OR($AB257="",$AB257="R"),"",IF($AB257="D",INDEX($AG$8:$AG$407,$AA257),SUMIF($T$8:$T$407,INDEX($T$8:$T$407,$AA257),$AG$8:$AG$407))))</f>
        <v/>
      </c>
      <c r="G257" s="32">
        <f>IF(OR($AB257="",$AB257="R"),"",ROUND($E257-$F257,2))</f>
        <v/>
      </c>
      <c r="H257" s="32">
        <f>IF($AB257="G",SUM($AH$8:$AH$407),IF(OR($AB257="",$AB257="R"),"",IF($AB257="D",INDEX($AH$8:$AH$407,$AA257),SUMIF($T$8:$T$407,INDEX($T$8:$T$407,$AA257),$AH$8:$AH$407))))</f>
        <v/>
      </c>
      <c r="J257">
        <f>IFERROR(MATCH(250,บันทึกรายเที่ยว!$W$6:$W$6005,0),"")</f>
        <v/>
      </c>
      <c r="K257">
        <f>IF($J257="","",INDEX(บันทึกรายเที่ยว!$T$6:$T$6005,$J257))</f>
        <v/>
      </c>
      <c r="L257">
        <f>IF($J257="","",INDEX(บันทึกรายเที่ยว!$S$6:$S$6005,$J257))</f>
        <v/>
      </c>
      <c r="M257">
        <f>IF($J257="","",INDEX(บันทึกรายเที่ยว!$R$6:$R$6005,$J257))</f>
        <v/>
      </c>
      <c r="N257">
        <f>IF($J257="","",MATCH($M257,บันทึกรายเที่ยว!$R$6:$R$6005,0))</f>
        <v/>
      </c>
      <c r="O257">
        <f>IF($J257="","",MATCH($L257,บันทึกรายเที่ยว!$S$6:$S$6005,0))</f>
        <v/>
      </c>
      <c r="P257">
        <f>IF($J257="","",IF(AND(OR($I$3="(ทั้งหมด)",INDEX(บันทึกรายเที่ยว!$C$6:$C$6005,$J257)=$I$3),OR($I$5="(ทั้งหมด)",INDEX(บันทึกรายเที่ยว!$D$6:$D$6005,$J257)=$I$5),OR($I$7="(ทั้งหมด)",INDEX(บันทึกรายเที่ยว!$F$6:$F$6005,$J257)=$I$7)),$N257*10000000+$O257*1000+250,""))</f>
        <v/>
      </c>
      <c r="Q257">
        <f>IFERROR(MATCH(SMALL($P$8:$P$407,250),$P$8:$P$407,0),"")</f>
        <v/>
      </c>
      <c r="R257">
        <f>IF($Q257="","",INDEX($J$8:$J$407,$Q257))</f>
        <v/>
      </c>
      <c r="S257">
        <f>IF($Q257="","",INDEX($M$8:$M$407,$Q257))</f>
        <v/>
      </c>
      <c r="T257">
        <f>IF($Q257="","",INDEX($L$8:$L$407,$Q257))</f>
        <v/>
      </c>
      <c r="U257">
        <f>IF($Q257="","",INDEX($K$8:$K$407,$Q257))</f>
        <v/>
      </c>
      <c r="V257">
        <f>IF($Q257="",0,IF($S257&lt;&gt;$S256,1,0))</f>
        <v/>
      </c>
      <c r="W257">
        <f>IF($Q257="",0,IF($T257&lt;&gt;$T256,1,0))</f>
        <v/>
      </c>
      <c r="X257">
        <f>IF($Q257="",99999+250,$X256+1+$V256+$W256)</f>
        <v/>
      </c>
      <c r="Y257">
        <f>IF($Q257="","",INDEX(บันทึกรายเที่ยว!$Q$6:$Q$6005,$R257))</f>
        <v/>
      </c>
      <c r="Z257">
        <f>IF($Q257="","",INDEX(บันทึกรายเที่ยว!$F$6:$F$6005,$R257))</f>
        <v/>
      </c>
      <c r="AA257">
        <f>IFERROR(MATCH(250,$X$8:$X$407,1),"")</f>
        <v/>
      </c>
      <c r="AB257">
        <f>IF(250=$AD$1+1,"G",IF($AA257="","",IF(INDEX($Q$8:$Q$407,$AA257)="","",IF(250&gt;INDEX($X$8:$X$407,$AA257)+INDEX($V$8:$V$407,$AA257)+INDEX($W$8:$W$407,$AA257),"",IF(250=INDEX($X$8:$X$407,$AA257)+INDEX($V$8:$V$407,$AA257)+INDEX($W$8:$W$407,$AA257),"D",IF(AND(INDEX($W$8:$W$407,$AA257)=1,250=INDEX($X$8:$X$407,$AA257)+INDEX($V$8:$V$407,$AA257)),"S","R"))))))</f>
        <v/>
      </c>
      <c r="AC257">
        <f>IF(OR($AB257="",$AB257="G"),"",IF($AB257="D",INDEX($U$8:$U$407,$AA257),IF($AB257="S",INDEX($T$8:$T$407,$AA257)&amp;"|*",INDEX($S$8:$S$407,$AA257)&amp;"|*")))</f>
        <v/>
      </c>
      <c r="AE257">
        <f>IF($U257="",0,COUNTIF(บันทึกรายเที่ยว!$T$6:$T$6005,$U257))</f>
        <v/>
      </c>
      <c r="AF257">
        <f>IF($U257="",0,ROUND(SUMIF(บันทึกรายเที่ยว!$T$6:$T$6005,$U257,บันทึกรายเที่ยว!$J$6:$J$6005),2))</f>
        <v/>
      </c>
      <c r="AG257">
        <f>IF($U257="",0,ROUND(SUMIF(บันทึกรายเที่ยว!$T$6:$T$6005,$U257,บันทึกรายเที่ยว!$K$6:$K$6005),2))</f>
        <v/>
      </c>
      <c r="AH257">
        <f>IF($U257="",0,ROUND(SUMIF(บันทึกรายเที่ยว!$T$6:$T$6005,$U257,บันทึกรายเที่ยว!$M$6:$M$6005),2))</f>
        <v/>
      </c>
    </row>
    <row r="258" ht="21" customHeight="1" s="66">
      <c r="A258" s="3">
        <f>IF($AB258="G","ผลรวมทั้งหมด",IF($AB258="R",INDEX($S$8:$S$407,$AA258),""))</f>
        <v/>
      </c>
      <c r="B258" s="3">
        <f>IF($AB258="S",INDEX($Y$8:$Y$407,$AA258),"")</f>
        <v/>
      </c>
      <c r="C258" s="68">
        <f>IF($AB258="D",INDEX($Z$8:$Z$407,$AA258),"")</f>
        <v/>
      </c>
      <c r="D258" s="31">
        <f>IF($AB258="G",SUM($AE$8:$AE$407),IF(OR($AB258="",$AB258="R"),"",IF($AB258="D",INDEX($AE$8:$AE$407,$AA258),SUMIF($T$8:$T$407,INDEX($T$8:$T$407,$AA258),$AE$8:$AE$407))))</f>
        <v/>
      </c>
      <c r="E258" s="32">
        <f>IF(251=$AD$1+3,"ขอแสดงความนับถือ",IF(251=$AD$1+6,"(                 )",IF(251=$AD$1+7,"เจ้าหน้าที่ขนส่ง",IF($AB258="G",SUM($AF$8:$AF$407),IF(OR($AB258="",$AB258="R"),"",IF($AB258="D",INDEX($AF$8:$AF$407,$AA258),SUMIF($T$8:$T$407,INDEX($T$8:$T$407,$AA258),$AF$8:$AF$407)))))))</f>
        <v/>
      </c>
      <c r="F258" s="32">
        <f>IF($AB258="G",SUM($AG$8:$AG$407),IF(OR($AB258="",$AB258="R"),"",IF($AB258="D",INDEX($AG$8:$AG$407,$AA258),SUMIF($T$8:$T$407,INDEX($T$8:$T$407,$AA258),$AG$8:$AG$407))))</f>
        <v/>
      </c>
      <c r="G258" s="32">
        <f>IF(OR($AB258="",$AB258="R"),"",ROUND($E258-$F258,2))</f>
        <v/>
      </c>
      <c r="H258" s="32">
        <f>IF($AB258="G",SUM($AH$8:$AH$407),IF(OR($AB258="",$AB258="R"),"",IF($AB258="D",INDEX($AH$8:$AH$407,$AA258),SUMIF($T$8:$T$407,INDEX($T$8:$T$407,$AA258),$AH$8:$AH$407))))</f>
        <v/>
      </c>
      <c r="J258">
        <f>IFERROR(MATCH(251,บันทึกรายเที่ยว!$W$6:$W$6005,0),"")</f>
        <v/>
      </c>
      <c r="K258">
        <f>IF($J258="","",INDEX(บันทึกรายเที่ยว!$T$6:$T$6005,$J258))</f>
        <v/>
      </c>
      <c r="L258">
        <f>IF($J258="","",INDEX(บันทึกรายเที่ยว!$S$6:$S$6005,$J258))</f>
        <v/>
      </c>
      <c r="M258">
        <f>IF($J258="","",INDEX(บันทึกรายเที่ยว!$R$6:$R$6005,$J258))</f>
        <v/>
      </c>
      <c r="N258">
        <f>IF($J258="","",MATCH($M258,บันทึกรายเที่ยว!$R$6:$R$6005,0))</f>
        <v/>
      </c>
      <c r="O258">
        <f>IF($J258="","",MATCH($L258,บันทึกรายเที่ยว!$S$6:$S$6005,0))</f>
        <v/>
      </c>
      <c r="P258">
        <f>IF($J258="","",IF(AND(OR($I$3="(ทั้งหมด)",INDEX(บันทึกรายเที่ยว!$C$6:$C$6005,$J258)=$I$3),OR($I$5="(ทั้งหมด)",INDEX(บันทึกรายเที่ยว!$D$6:$D$6005,$J258)=$I$5),OR($I$7="(ทั้งหมด)",INDEX(บันทึกรายเที่ยว!$F$6:$F$6005,$J258)=$I$7)),$N258*10000000+$O258*1000+251,""))</f>
        <v/>
      </c>
      <c r="Q258">
        <f>IFERROR(MATCH(SMALL($P$8:$P$407,251),$P$8:$P$407,0),"")</f>
        <v/>
      </c>
      <c r="R258">
        <f>IF($Q258="","",INDEX($J$8:$J$407,$Q258))</f>
        <v/>
      </c>
      <c r="S258">
        <f>IF($Q258="","",INDEX($M$8:$M$407,$Q258))</f>
        <v/>
      </c>
      <c r="T258">
        <f>IF($Q258="","",INDEX($L$8:$L$407,$Q258))</f>
        <v/>
      </c>
      <c r="U258">
        <f>IF($Q258="","",INDEX($K$8:$K$407,$Q258))</f>
        <v/>
      </c>
      <c r="V258">
        <f>IF($Q258="",0,IF($S258&lt;&gt;$S257,1,0))</f>
        <v/>
      </c>
      <c r="W258">
        <f>IF($Q258="",0,IF($T258&lt;&gt;$T257,1,0))</f>
        <v/>
      </c>
      <c r="X258">
        <f>IF($Q258="",99999+251,$X257+1+$V257+$W257)</f>
        <v/>
      </c>
      <c r="Y258">
        <f>IF($Q258="","",INDEX(บันทึกรายเที่ยว!$Q$6:$Q$6005,$R258))</f>
        <v/>
      </c>
      <c r="Z258">
        <f>IF($Q258="","",INDEX(บันทึกรายเที่ยว!$F$6:$F$6005,$R258))</f>
        <v/>
      </c>
      <c r="AA258">
        <f>IFERROR(MATCH(251,$X$8:$X$407,1),"")</f>
        <v/>
      </c>
      <c r="AB258">
        <f>IF(251=$AD$1+1,"G",IF($AA258="","",IF(INDEX($Q$8:$Q$407,$AA258)="","",IF(251&gt;INDEX($X$8:$X$407,$AA258)+INDEX($V$8:$V$407,$AA258)+INDEX($W$8:$W$407,$AA258),"",IF(251=INDEX($X$8:$X$407,$AA258)+INDEX($V$8:$V$407,$AA258)+INDEX($W$8:$W$407,$AA258),"D",IF(AND(INDEX($W$8:$W$407,$AA258)=1,251=INDEX($X$8:$X$407,$AA258)+INDEX($V$8:$V$407,$AA258)),"S","R"))))))</f>
        <v/>
      </c>
      <c r="AC258">
        <f>IF(OR($AB258="",$AB258="G"),"",IF($AB258="D",INDEX($U$8:$U$407,$AA258),IF($AB258="S",INDEX($T$8:$T$407,$AA258)&amp;"|*",INDEX($S$8:$S$407,$AA258)&amp;"|*")))</f>
        <v/>
      </c>
      <c r="AE258">
        <f>IF($U258="",0,COUNTIF(บันทึกรายเที่ยว!$T$6:$T$6005,$U258))</f>
        <v/>
      </c>
      <c r="AF258">
        <f>IF($U258="",0,ROUND(SUMIF(บันทึกรายเที่ยว!$T$6:$T$6005,$U258,บันทึกรายเที่ยว!$J$6:$J$6005),2))</f>
        <v/>
      </c>
      <c r="AG258">
        <f>IF($U258="",0,ROUND(SUMIF(บันทึกรายเที่ยว!$T$6:$T$6005,$U258,บันทึกรายเที่ยว!$K$6:$K$6005),2))</f>
        <v/>
      </c>
      <c r="AH258">
        <f>IF($U258="",0,ROUND(SUMIF(บันทึกรายเที่ยว!$T$6:$T$6005,$U258,บันทึกรายเที่ยว!$M$6:$M$6005),2))</f>
        <v/>
      </c>
    </row>
    <row r="259" ht="21" customHeight="1" s="66">
      <c r="A259" s="3">
        <f>IF($AB259="G","ผลรวมทั้งหมด",IF($AB259="R",INDEX($S$8:$S$407,$AA259),""))</f>
        <v/>
      </c>
      <c r="B259" s="3">
        <f>IF($AB259="S",INDEX($Y$8:$Y$407,$AA259),"")</f>
        <v/>
      </c>
      <c r="C259" s="68">
        <f>IF($AB259="D",INDEX($Z$8:$Z$407,$AA259),"")</f>
        <v/>
      </c>
      <c r="D259" s="31">
        <f>IF($AB259="G",SUM($AE$8:$AE$407),IF(OR($AB259="",$AB259="R"),"",IF($AB259="D",INDEX($AE$8:$AE$407,$AA259),SUMIF($T$8:$T$407,INDEX($T$8:$T$407,$AA259),$AE$8:$AE$407))))</f>
        <v/>
      </c>
      <c r="E259" s="32">
        <f>IF(252=$AD$1+3,"ขอแสดงความนับถือ",IF(252=$AD$1+6,"(                 )",IF(252=$AD$1+7,"เจ้าหน้าที่ขนส่ง",IF($AB259="G",SUM($AF$8:$AF$407),IF(OR($AB259="",$AB259="R"),"",IF($AB259="D",INDEX($AF$8:$AF$407,$AA259),SUMIF($T$8:$T$407,INDEX($T$8:$T$407,$AA259),$AF$8:$AF$407)))))))</f>
        <v/>
      </c>
      <c r="F259" s="32">
        <f>IF($AB259="G",SUM($AG$8:$AG$407),IF(OR($AB259="",$AB259="R"),"",IF($AB259="D",INDEX($AG$8:$AG$407,$AA259),SUMIF($T$8:$T$407,INDEX($T$8:$T$407,$AA259),$AG$8:$AG$407))))</f>
        <v/>
      </c>
      <c r="G259" s="32">
        <f>IF(OR($AB259="",$AB259="R"),"",ROUND($E259-$F259,2))</f>
        <v/>
      </c>
      <c r="H259" s="32">
        <f>IF($AB259="G",SUM($AH$8:$AH$407),IF(OR($AB259="",$AB259="R"),"",IF($AB259="D",INDEX($AH$8:$AH$407,$AA259),SUMIF($T$8:$T$407,INDEX($T$8:$T$407,$AA259),$AH$8:$AH$407))))</f>
        <v/>
      </c>
      <c r="J259">
        <f>IFERROR(MATCH(252,บันทึกรายเที่ยว!$W$6:$W$6005,0),"")</f>
        <v/>
      </c>
      <c r="K259">
        <f>IF($J259="","",INDEX(บันทึกรายเที่ยว!$T$6:$T$6005,$J259))</f>
        <v/>
      </c>
      <c r="L259">
        <f>IF($J259="","",INDEX(บันทึกรายเที่ยว!$S$6:$S$6005,$J259))</f>
        <v/>
      </c>
      <c r="M259">
        <f>IF($J259="","",INDEX(บันทึกรายเที่ยว!$R$6:$R$6005,$J259))</f>
        <v/>
      </c>
      <c r="N259">
        <f>IF($J259="","",MATCH($M259,บันทึกรายเที่ยว!$R$6:$R$6005,0))</f>
        <v/>
      </c>
      <c r="O259">
        <f>IF($J259="","",MATCH($L259,บันทึกรายเที่ยว!$S$6:$S$6005,0))</f>
        <v/>
      </c>
      <c r="P259">
        <f>IF($J259="","",IF(AND(OR($I$3="(ทั้งหมด)",INDEX(บันทึกรายเที่ยว!$C$6:$C$6005,$J259)=$I$3),OR($I$5="(ทั้งหมด)",INDEX(บันทึกรายเที่ยว!$D$6:$D$6005,$J259)=$I$5),OR($I$7="(ทั้งหมด)",INDEX(บันทึกรายเที่ยว!$F$6:$F$6005,$J259)=$I$7)),$N259*10000000+$O259*1000+252,""))</f>
        <v/>
      </c>
      <c r="Q259">
        <f>IFERROR(MATCH(SMALL($P$8:$P$407,252),$P$8:$P$407,0),"")</f>
        <v/>
      </c>
      <c r="R259">
        <f>IF($Q259="","",INDEX($J$8:$J$407,$Q259))</f>
        <v/>
      </c>
      <c r="S259">
        <f>IF($Q259="","",INDEX($M$8:$M$407,$Q259))</f>
        <v/>
      </c>
      <c r="T259">
        <f>IF($Q259="","",INDEX($L$8:$L$407,$Q259))</f>
        <v/>
      </c>
      <c r="U259">
        <f>IF($Q259="","",INDEX($K$8:$K$407,$Q259))</f>
        <v/>
      </c>
      <c r="V259">
        <f>IF($Q259="",0,IF($S259&lt;&gt;$S258,1,0))</f>
        <v/>
      </c>
      <c r="W259">
        <f>IF($Q259="",0,IF($T259&lt;&gt;$T258,1,0))</f>
        <v/>
      </c>
      <c r="X259">
        <f>IF($Q259="",99999+252,$X258+1+$V258+$W258)</f>
        <v/>
      </c>
      <c r="Y259">
        <f>IF($Q259="","",INDEX(บันทึกรายเที่ยว!$Q$6:$Q$6005,$R259))</f>
        <v/>
      </c>
      <c r="Z259">
        <f>IF($Q259="","",INDEX(บันทึกรายเที่ยว!$F$6:$F$6005,$R259))</f>
        <v/>
      </c>
      <c r="AA259">
        <f>IFERROR(MATCH(252,$X$8:$X$407,1),"")</f>
        <v/>
      </c>
      <c r="AB259">
        <f>IF(252=$AD$1+1,"G",IF($AA259="","",IF(INDEX($Q$8:$Q$407,$AA259)="","",IF(252&gt;INDEX($X$8:$X$407,$AA259)+INDEX($V$8:$V$407,$AA259)+INDEX($W$8:$W$407,$AA259),"",IF(252=INDEX($X$8:$X$407,$AA259)+INDEX($V$8:$V$407,$AA259)+INDEX($W$8:$W$407,$AA259),"D",IF(AND(INDEX($W$8:$W$407,$AA259)=1,252=INDEX($X$8:$X$407,$AA259)+INDEX($V$8:$V$407,$AA259)),"S","R"))))))</f>
        <v/>
      </c>
      <c r="AC259">
        <f>IF(OR($AB259="",$AB259="G"),"",IF($AB259="D",INDEX($U$8:$U$407,$AA259),IF($AB259="S",INDEX($T$8:$T$407,$AA259)&amp;"|*",INDEX($S$8:$S$407,$AA259)&amp;"|*")))</f>
        <v/>
      </c>
      <c r="AE259">
        <f>IF($U259="",0,COUNTIF(บันทึกรายเที่ยว!$T$6:$T$6005,$U259))</f>
        <v/>
      </c>
      <c r="AF259">
        <f>IF($U259="",0,ROUND(SUMIF(บันทึกรายเที่ยว!$T$6:$T$6005,$U259,บันทึกรายเที่ยว!$J$6:$J$6005),2))</f>
        <v/>
      </c>
      <c r="AG259">
        <f>IF($U259="",0,ROUND(SUMIF(บันทึกรายเที่ยว!$T$6:$T$6005,$U259,บันทึกรายเที่ยว!$K$6:$K$6005),2))</f>
        <v/>
      </c>
      <c r="AH259">
        <f>IF($U259="",0,ROUND(SUMIF(บันทึกรายเที่ยว!$T$6:$T$6005,$U259,บันทึกรายเที่ยว!$M$6:$M$6005),2))</f>
        <v/>
      </c>
    </row>
    <row r="260" ht="21" customHeight="1" s="66">
      <c r="A260" s="3">
        <f>IF($AB260="G","ผลรวมทั้งหมด",IF($AB260="R",INDEX($S$8:$S$407,$AA260),""))</f>
        <v/>
      </c>
      <c r="B260" s="3">
        <f>IF($AB260="S",INDEX($Y$8:$Y$407,$AA260),"")</f>
        <v/>
      </c>
      <c r="C260" s="68">
        <f>IF($AB260="D",INDEX($Z$8:$Z$407,$AA260),"")</f>
        <v/>
      </c>
      <c r="D260" s="31">
        <f>IF($AB260="G",SUM($AE$8:$AE$407),IF(OR($AB260="",$AB260="R"),"",IF($AB260="D",INDEX($AE$8:$AE$407,$AA260),SUMIF($T$8:$T$407,INDEX($T$8:$T$407,$AA260),$AE$8:$AE$407))))</f>
        <v/>
      </c>
      <c r="E260" s="32">
        <f>IF(253=$AD$1+3,"ขอแสดงความนับถือ",IF(253=$AD$1+6,"(                 )",IF(253=$AD$1+7,"เจ้าหน้าที่ขนส่ง",IF($AB260="G",SUM($AF$8:$AF$407),IF(OR($AB260="",$AB260="R"),"",IF($AB260="D",INDEX($AF$8:$AF$407,$AA260),SUMIF($T$8:$T$407,INDEX($T$8:$T$407,$AA260),$AF$8:$AF$407)))))))</f>
        <v/>
      </c>
      <c r="F260" s="32">
        <f>IF($AB260="G",SUM($AG$8:$AG$407),IF(OR($AB260="",$AB260="R"),"",IF($AB260="D",INDEX($AG$8:$AG$407,$AA260),SUMIF($T$8:$T$407,INDEX($T$8:$T$407,$AA260),$AG$8:$AG$407))))</f>
        <v/>
      </c>
      <c r="G260" s="32">
        <f>IF(OR($AB260="",$AB260="R"),"",ROUND($E260-$F260,2))</f>
        <v/>
      </c>
      <c r="H260" s="32">
        <f>IF($AB260="G",SUM($AH$8:$AH$407),IF(OR($AB260="",$AB260="R"),"",IF($AB260="D",INDEX($AH$8:$AH$407,$AA260),SUMIF($T$8:$T$407,INDEX($T$8:$T$407,$AA260),$AH$8:$AH$407))))</f>
        <v/>
      </c>
      <c r="J260">
        <f>IFERROR(MATCH(253,บันทึกรายเที่ยว!$W$6:$W$6005,0),"")</f>
        <v/>
      </c>
      <c r="K260">
        <f>IF($J260="","",INDEX(บันทึกรายเที่ยว!$T$6:$T$6005,$J260))</f>
        <v/>
      </c>
      <c r="L260">
        <f>IF($J260="","",INDEX(บันทึกรายเที่ยว!$S$6:$S$6005,$J260))</f>
        <v/>
      </c>
      <c r="M260">
        <f>IF($J260="","",INDEX(บันทึกรายเที่ยว!$R$6:$R$6005,$J260))</f>
        <v/>
      </c>
      <c r="N260">
        <f>IF($J260="","",MATCH($M260,บันทึกรายเที่ยว!$R$6:$R$6005,0))</f>
        <v/>
      </c>
      <c r="O260">
        <f>IF($J260="","",MATCH($L260,บันทึกรายเที่ยว!$S$6:$S$6005,0))</f>
        <v/>
      </c>
      <c r="P260">
        <f>IF($J260="","",IF(AND(OR($I$3="(ทั้งหมด)",INDEX(บันทึกรายเที่ยว!$C$6:$C$6005,$J260)=$I$3),OR($I$5="(ทั้งหมด)",INDEX(บันทึกรายเที่ยว!$D$6:$D$6005,$J260)=$I$5),OR($I$7="(ทั้งหมด)",INDEX(บันทึกรายเที่ยว!$F$6:$F$6005,$J260)=$I$7)),$N260*10000000+$O260*1000+253,""))</f>
        <v/>
      </c>
      <c r="Q260">
        <f>IFERROR(MATCH(SMALL($P$8:$P$407,253),$P$8:$P$407,0),"")</f>
        <v/>
      </c>
      <c r="R260">
        <f>IF($Q260="","",INDEX($J$8:$J$407,$Q260))</f>
        <v/>
      </c>
      <c r="S260">
        <f>IF($Q260="","",INDEX($M$8:$M$407,$Q260))</f>
        <v/>
      </c>
      <c r="T260">
        <f>IF($Q260="","",INDEX($L$8:$L$407,$Q260))</f>
        <v/>
      </c>
      <c r="U260">
        <f>IF($Q260="","",INDEX($K$8:$K$407,$Q260))</f>
        <v/>
      </c>
      <c r="V260">
        <f>IF($Q260="",0,IF($S260&lt;&gt;$S259,1,0))</f>
        <v/>
      </c>
      <c r="W260">
        <f>IF($Q260="",0,IF($T260&lt;&gt;$T259,1,0))</f>
        <v/>
      </c>
      <c r="X260">
        <f>IF($Q260="",99999+253,$X259+1+$V259+$W259)</f>
        <v/>
      </c>
      <c r="Y260">
        <f>IF($Q260="","",INDEX(บันทึกรายเที่ยว!$Q$6:$Q$6005,$R260))</f>
        <v/>
      </c>
      <c r="Z260">
        <f>IF($Q260="","",INDEX(บันทึกรายเที่ยว!$F$6:$F$6005,$R260))</f>
        <v/>
      </c>
      <c r="AA260">
        <f>IFERROR(MATCH(253,$X$8:$X$407,1),"")</f>
        <v/>
      </c>
      <c r="AB260">
        <f>IF(253=$AD$1+1,"G",IF($AA260="","",IF(INDEX($Q$8:$Q$407,$AA260)="","",IF(253&gt;INDEX($X$8:$X$407,$AA260)+INDEX($V$8:$V$407,$AA260)+INDEX($W$8:$W$407,$AA260),"",IF(253=INDEX($X$8:$X$407,$AA260)+INDEX($V$8:$V$407,$AA260)+INDEX($W$8:$W$407,$AA260),"D",IF(AND(INDEX($W$8:$W$407,$AA260)=1,253=INDEX($X$8:$X$407,$AA260)+INDEX($V$8:$V$407,$AA260)),"S","R"))))))</f>
        <v/>
      </c>
      <c r="AC260">
        <f>IF(OR($AB260="",$AB260="G"),"",IF($AB260="D",INDEX($U$8:$U$407,$AA260),IF($AB260="S",INDEX($T$8:$T$407,$AA260)&amp;"|*",INDEX($S$8:$S$407,$AA260)&amp;"|*")))</f>
        <v/>
      </c>
      <c r="AE260">
        <f>IF($U260="",0,COUNTIF(บันทึกรายเที่ยว!$T$6:$T$6005,$U260))</f>
        <v/>
      </c>
      <c r="AF260">
        <f>IF($U260="",0,ROUND(SUMIF(บันทึกรายเที่ยว!$T$6:$T$6005,$U260,บันทึกรายเที่ยว!$J$6:$J$6005),2))</f>
        <v/>
      </c>
      <c r="AG260">
        <f>IF($U260="",0,ROUND(SUMIF(บันทึกรายเที่ยว!$T$6:$T$6005,$U260,บันทึกรายเที่ยว!$K$6:$K$6005),2))</f>
        <v/>
      </c>
      <c r="AH260">
        <f>IF($U260="",0,ROUND(SUMIF(บันทึกรายเที่ยว!$T$6:$T$6005,$U260,บันทึกรายเที่ยว!$M$6:$M$6005),2))</f>
        <v/>
      </c>
    </row>
    <row r="261" ht="21" customHeight="1" s="66">
      <c r="A261" s="3">
        <f>IF($AB261="G","ผลรวมทั้งหมด",IF($AB261="R",INDEX($S$8:$S$407,$AA261),""))</f>
        <v/>
      </c>
      <c r="B261" s="3">
        <f>IF($AB261="S",INDEX($Y$8:$Y$407,$AA261),"")</f>
        <v/>
      </c>
      <c r="C261" s="68">
        <f>IF($AB261="D",INDEX($Z$8:$Z$407,$AA261),"")</f>
        <v/>
      </c>
      <c r="D261" s="31">
        <f>IF($AB261="G",SUM($AE$8:$AE$407),IF(OR($AB261="",$AB261="R"),"",IF($AB261="D",INDEX($AE$8:$AE$407,$AA261),SUMIF($T$8:$T$407,INDEX($T$8:$T$407,$AA261),$AE$8:$AE$407))))</f>
        <v/>
      </c>
      <c r="E261" s="32">
        <f>IF(254=$AD$1+3,"ขอแสดงความนับถือ",IF(254=$AD$1+6,"(                 )",IF(254=$AD$1+7,"เจ้าหน้าที่ขนส่ง",IF($AB261="G",SUM($AF$8:$AF$407),IF(OR($AB261="",$AB261="R"),"",IF($AB261="D",INDEX($AF$8:$AF$407,$AA261),SUMIF($T$8:$T$407,INDEX($T$8:$T$407,$AA261),$AF$8:$AF$407)))))))</f>
        <v/>
      </c>
      <c r="F261" s="32">
        <f>IF($AB261="G",SUM($AG$8:$AG$407),IF(OR($AB261="",$AB261="R"),"",IF($AB261="D",INDEX($AG$8:$AG$407,$AA261),SUMIF($T$8:$T$407,INDEX($T$8:$T$407,$AA261),$AG$8:$AG$407))))</f>
        <v/>
      </c>
      <c r="G261" s="32">
        <f>IF(OR($AB261="",$AB261="R"),"",ROUND($E261-$F261,2))</f>
        <v/>
      </c>
      <c r="H261" s="32">
        <f>IF($AB261="G",SUM($AH$8:$AH$407),IF(OR($AB261="",$AB261="R"),"",IF($AB261="D",INDEX($AH$8:$AH$407,$AA261),SUMIF($T$8:$T$407,INDEX($T$8:$T$407,$AA261),$AH$8:$AH$407))))</f>
        <v/>
      </c>
      <c r="J261">
        <f>IFERROR(MATCH(254,บันทึกรายเที่ยว!$W$6:$W$6005,0),"")</f>
        <v/>
      </c>
      <c r="K261">
        <f>IF($J261="","",INDEX(บันทึกรายเที่ยว!$T$6:$T$6005,$J261))</f>
        <v/>
      </c>
      <c r="L261">
        <f>IF($J261="","",INDEX(บันทึกรายเที่ยว!$S$6:$S$6005,$J261))</f>
        <v/>
      </c>
      <c r="M261">
        <f>IF($J261="","",INDEX(บันทึกรายเที่ยว!$R$6:$R$6005,$J261))</f>
        <v/>
      </c>
      <c r="N261">
        <f>IF($J261="","",MATCH($M261,บันทึกรายเที่ยว!$R$6:$R$6005,0))</f>
        <v/>
      </c>
      <c r="O261">
        <f>IF($J261="","",MATCH($L261,บันทึกรายเที่ยว!$S$6:$S$6005,0))</f>
        <v/>
      </c>
      <c r="P261">
        <f>IF($J261="","",IF(AND(OR($I$3="(ทั้งหมด)",INDEX(บันทึกรายเที่ยว!$C$6:$C$6005,$J261)=$I$3),OR($I$5="(ทั้งหมด)",INDEX(บันทึกรายเที่ยว!$D$6:$D$6005,$J261)=$I$5),OR($I$7="(ทั้งหมด)",INDEX(บันทึกรายเที่ยว!$F$6:$F$6005,$J261)=$I$7)),$N261*10000000+$O261*1000+254,""))</f>
        <v/>
      </c>
      <c r="Q261">
        <f>IFERROR(MATCH(SMALL($P$8:$P$407,254),$P$8:$P$407,0),"")</f>
        <v/>
      </c>
      <c r="R261">
        <f>IF($Q261="","",INDEX($J$8:$J$407,$Q261))</f>
        <v/>
      </c>
      <c r="S261">
        <f>IF($Q261="","",INDEX($M$8:$M$407,$Q261))</f>
        <v/>
      </c>
      <c r="T261">
        <f>IF($Q261="","",INDEX($L$8:$L$407,$Q261))</f>
        <v/>
      </c>
      <c r="U261">
        <f>IF($Q261="","",INDEX($K$8:$K$407,$Q261))</f>
        <v/>
      </c>
      <c r="V261">
        <f>IF($Q261="",0,IF($S261&lt;&gt;$S260,1,0))</f>
        <v/>
      </c>
      <c r="W261">
        <f>IF($Q261="",0,IF($T261&lt;&gt;$T260,1,0))</f>
        <v/>
      </c>
      <c r="X261">
        <f>IF($Q261="",99999+254,$X260+1+$V260+$W260)</f>
        <v/>
      </c>
      <c r="Y261">
        <f>IF($Q261="","",INDEX(บันทึกรายเที่ยว!$Q$6:$Q$6005,$R261))</f>
        <v/>
      </c>
      <c r="Z261">
        <f>IF($Q261="","",INDEX(บันทึกรายเที่ยว!$F$6:$F$6005,$R261))</f>
        <v/>
      </c>
      <c r="AA261">
        <f>IFERROR(MATCH(254,$X$8:$X$407,1),"")</f>
        <v/>
      </c>
      <c r="AB261">
        <f>IF(254=$AD$1+1,"G",IF($AA261="","",IF(INDEX($Q$8:$Q$407,$AA261)="","",IF(254&gt;INDEX($X$8:$X$407,$AA261)+INDEX($V$8:$V$407,$AA261)+INDEX($W$8:$W$407,$AA261),"",IF(254=INDEX($X$8:$X$407,$AA261)+INDEX($V$8:$V$407,$AA261)+INDEX($W$8:$W$407,$AA261),"D",IF(AND(INDEX($W$8:$W$407,$AA261)=1,254=INDEX($X$8:$X$407,$AA261)+INDEX($V$8:$V$407,$AA261)),"S","R"))))))</f>
        <v/>
      </c>
      <c r="AC261">
        <f>IF(OR($AB261="",$AB261="G"),"",IF($AB261="D",INDEX($U$8:$U$407,$AA261),IF($AB261="S",INDEX($T$8:$T$407,$AA261)&amp;"|*",INDEX($S$8:$S$407,$AA261)&amp;"|*")))</f>
        <v/>
      </c>
      <c r="AE261">
        <f>IF($U261="",0,COUNTIF(บันทึกรายเที่ยว!$T$6:$T$6005,$U261))</f>
        <v/>
      </c>
      <c r="AF261">
        <f>IF($U261="",0,ROUND(SUMIF(บันทึกรายเที่ยว!$T$6:$T$6005,$U261,บันทึกรายเที่ยว!$J$6:$J$6005),2))</f>
        <v/>
      </c>
      <c r="AG261">
        <f>IF($U261="",0,ROUND(SUMIF(บันทึกรายเที่ยว!$T$6:$T$6005,$U261,บันทึกรายเที่ยว!$K$6:$K$6005),2))</f>
        <v/>
      </c>
      <c r="AH261">
        <f>IF($U261="",0,ROUND(SUMIF(บันทึกรายเที่ยว!$T$6:$T$6005,$U261,บันทึกรายเที่ยว!$M$6:$M$6005),2))</f>
        <v/>
      </c>
    </row>
    <row r="262" ht="21" customHeight="1" s="66">
      <c r="A262" s="3">
        <f>IF($AB262="G","ผลรวมทั้งหมด",IF($AB262="R",INDEX($S$8:$S$407,$AA262),""))</f>
        <v/>
      </c>
      <c r="B262" s="3">
        <f>IF($AB262="S",INDEX($Y$8:$Y$407,$AA262),"")</f>
        <v/>
      </c>
      <c r="C262" s="68">
        <f>IF($AB262="D",INDEX($Z$8:$Z$407,$AA262),"")</f>
        <v/>
      </c>
      <c r="D262" s="31">
        <f>IF($AB262="G",SUM($AE$8:$AE$407),IF(OR($AB262="",$AB262="R"),"",IF($AB262="D",INDEX($AE$8:$AE$407,$AA262),SUMIF($T$8:$T$407,INDEX($T$8:$T$407,$AA262),$AE$8:$AE$407))))</f>
        <v/>
      </c>
      <c r="E262" s="32">
        <f>IF(255=$AD$1+3,"ขอแสดงความนับถือ",IF(255=$AD$1+6,"(                 )",IF(255=$AD$1+7,"เจ้าหน้าที่ขนส่ง",IF($AB262="G",SUM($AF$8:$AF$407),IF(OR($AB262="",$AB262="R"),"",IF($AB262="D",INDEX($AF$8:$AF$407,$AA262),SUMIF($T$8:$T$407,INDEX($T$8:$T$407,$AA262),$AF$8:$AF$407)))))))</f>
        <v/>
      </c>
      <c r="F262" s="32">
        <f>IF($AB262="G",SUM($AG$8:$AG$407),IF(OR($AB262="",$AB262="R"),"",IF($AB262="D",INDEX($AG$8:$AG$407,$AA262),SUMIF($T$8:$T$407,INDEX($T$8:$T$407,$AA262),$AG$8:$AG$407))))</f>
        <v/>
      </c>
      <c r="G262" s="32">
        <f>IF(OR($AB262="",$AB262="R"),"",ROUND($E262-$F262,2))</f>
        <v/>
      </c>
      <c r="H262" s="32">
        <f>IF($AB262="G",SUM($AH$8:$AH$407),IF(OR($AB262="",$AB262="R"),"",IF($AB262="D",INDEX($AH$8:$AH$407,$AA262),SUMIF($T$8:$T$407,INDEX($T$8:$T$407,$AA262),$AH$8:$AH$407))))</f>
        <v/>
      </c>
      <c r="J262">
        <f>IFERROR(MATCH(255,บันทึกรายเที่ยว!$W$6:$W$6005,0),"")</f>
        <v/>
      </c>
      <c r="K262">
        <f>IF($J262="","",INDEX(บันทึกรายเที่ยว!$T$6:$T$6005,$J262))</f>
        <v/>
      </c>
      <c r="L262">
        <f>IF($J262="","",INDEX(บันทึกรายเที่ยว!$S$6:$S$6005,$J262))</f>
        <v/>
      </c>
      <c r="M262">
        <f>IF($J262="","",INDEX(บันทึกรายเที่ยว!$R$6:$R$6005,$J262))</f>
        <v/>
      </c>
      <c r="N262">
        <f>IF($J262="","",MATCH($M262,บันทึกรายเที่ยว!$R$6:$R$6005,0))</f>
        <v/>
      </c>
      <c r="O262">
        <f>IF($J262="","",MATCH($L262,บันทึกรายเที่ยว!$S$6:$S$6005,0))</f>
        <v/>
      </c>
      <c r="P262">
        <f>IF($J262="","",IF(AND(OR($I$3="(ทั้งหมด)",INDEX(บันทึกรายเที่ยว!$C$6:$C$6005,$J262)=$I$3),OR($I$5="(ทั้งหมด)",INDEX(บันทึกรายเที่ยว!$D$6:$D$6005,$J262)=$I$5),OR($I$7="(ทั้งหมด)",INDEX(บันทึกรายเที่ยว!$F$6:$F$6005,$J262)=$I$7)),$N262*10000000+$O262*1000+255,""))</f>
        <v/>
      </c>
      <c r="Q262">
        <f>IFERROR(MATCH(SMALL($P$8:$P$407,255),$P$8:$P$407,0),"")</f>
        <v/>
      </c>
      <c r="R262">
        <f>IF($Q262="","",INDEX($J$8:$J$407,$Q262))</f>
        <v/>
      </c>
      <c r="S262">
        <f>IF($Q262="","",INDEX($M$8:$M$407,$Q262))</f>
        <v/>
      </c>
      <c r="T262">
        <f>IF($Q262="","",INDEX($L$8:$L$407,$Q262))</f>
        <v/>
      </c>
      <c r="U262">
        <f>IF($Q262="","",INDEX($K$8:$K$407,$Q262))</f>
        <v/>
      </c>
      <c r="V262">
        <f>IF($Q262="",0,IF($S262&lt;&gt;$S261,1,0))</f>
        <v/>
      </c>
      <c r="W262">
        <f>IF($Q262="",0,IF($T262&lt;&gt;$T261,1,0))</f>
        <v/>
      </c>
      <c r="X262">
        <f>IF($Q262="",99999+255,$X261+1+$V261+$W261)</f>
        <v/>
      </c>
      <c r="Y262">
        <f>IF($Q262="","",INDEX(บันทึกรายเที่ยว!$Q$6:$Q$6005,$R262))</f>
        <v/>
      </c>
      <c r="Z262">
        <f>IF($Q262="","",INDEX(บันทึกรายเที่ยว!$F$6:$F$6005,$R262))</f>
        <v/>
      </c>
      <c r="AA262">
        <f>IFERROR(MATCH(255,$X$8:$X$407,1),"")</f>
        <v/>
      </c>
      <c r="AB262">
        <f>IF(255=$AD$1+1,"G",IF($AA262="","",IF(INDEX($Q$8:$Q$407,$AA262)="","",IF(255&gt;INDEX($X$8:$X$407,$AA262)+INDEX($V$8:$V$407,$AA262)+INDEX($W$8:$W$407,$AA262),"",IF(255=INDEX($X$8:$X$407,$AA262)+INDEX($V$8:$V$407,$AA262)+INDEX($W$8:$W$407,$AA262),"D",IF(AND(INDEX($W$8:$W$407,$AA262)=1,255=INDEX($X$8:$X$407,$AA262)+INDEX($V$8:$V$407,$AA262)),"S","R"))))))</f>
        <v/>
      </c>
      <c r="AC262">
        <f>IF(OR($AB262="",$AB262="G"),"",IF($AB262="D",INDEX($U$8:$U$407,$AA262),IF($AB262="S",INDEX($T$8:$T$407,$AA262)&amp;"|*",INDEX($S$8:$S$407,$AA262)&amp;"|*")))</f>
        <v/>
      </c>
      <c r="AE262">
        <f>IF($U262="",0,COUNTIF(บันทึกรายเที่ยว!$T$6:$T$6005,$U262))</f>
        <v/>
      </c>
      <c r="AF262">
        <f>IF($U262="",0,ROUND(SUMIF(บันทึกรายเที่ยว!$T$6:$T$6005,$U262,บันทึกรายเที่ยว!$J$6:$J$6005),2))</f>
        <v/>
      </c>
      <c r="AG262">
        <f>IF($U262="",0,ROUND(SUMIF(บันทึกรายเที่ยว!$T$6:$T$6005,$U262,บันทึกรายเที่ยว!$K$6:$K$6005),2))</f>
        <v/>
      </c>
      <c r="AH262">
        <f>IF($U262="",0,ROUND(SUMIF(บันทึกรายเที่ยว!$T$6:$T$6005,$U262,บันทึกรายเที่ยว!$M$6:$M$6005),2))</f>
        <v/>
      </c>
    </row>
    <row r="263" ht="21" customHeight="1" s="66">
      <c r="A263" s="3">
        <f>IF($AB263="G","ผลรวมทั้งหมด",IF($AB263="R",INDEX($S$8:$S$407,$AA263),""))</f>
        <v/>
      </c>
      <c r="B263" s="3">
        <f>IF($AB263="S",INDEX($Y$8:$Y$407,$AA263),"")</f>
        <v/>
      </c>
      <c r="C263" s="68">
        <f>IF($AB263="D",INDEX($Z$8:$Z$407,$AA263),"")</f>
        <v/>
      </c>
      <c r="D263" s="31">
        <f>IF($AB263="G",SUM($AE$8:$AE$407),IF(OR($AB263="",$AB263="R"),"",IF($AB263="D",INDEX($AE$8:$AE$407,$AA263),SUMIF($T$8:$T$407,INDEX($T$8:$T$407,$AA263),$AE$8:$AE$407))))</f>
        <v/>
      </c>
      <c r="E263" s="32">
        <f>IF(256=$AD$1+3,"ขอแสดงความนับถือ",IF(256=$AD$1+6,"(                 )",IF(256=$AD$1+7,"เจ้าหน้าที่ขนส่ง",IF($AB263="G",SUM($AF$8:$AF$407),IF(OR($AB263="",$AB263="R"),"",IF($AB263="D",INDEX($AF$8:$AF$407,$AA263),SUMIF($T$8:$T$407,INDEX($T$8:$T$407,$AA263),$AF$8:$AF$407)))))))</f>
        <v/>
      </c>
      <c r="F263" s="32">
        <f>IF($AB263="G",SUM($AG$8:$AG$407),IF(OR($AB263="",$AB263="R"),"",IF($AB263="D",INDEX($AG$8:$AG$407,$AA263),SUMIF($T$8:$T$407,INDEX($T$8:$T$407,$AA263),$AG$8:$AG$407))))</f>
        <v/>
      </c>
      <c r="G263" s="32">
        <f>IF(OR($AB263="",$AB263="R"),"",ROUND($E263-$F263,2))</f>
        <v/>
      </c>
      <c r="H263" s="32">
        <f>IF($AB263="G",SUM($AH$8:$AH$407),IF(OR($AB263="",$AB263="R"),"",IF($AB263="D",INDEX($AH$8:$AH$407,$AA263),SUMIF($T$8:$T$407,INDEX($T$8:$T$407,$AA263),$AH$8:$AH$407))))</f>
        <v/>
      </c>
      <c r="J263">
        <f>IFERROR(MATCH(256,บันทึกรายเที่ยว!$W$6:$W$6005,0),"")</f>
        <v/>
      </c>
      <c r="K263">
        <f>IF($J263="","",INDEX(บันทึกรายเที่ยว!$T$6:$T$6005,$J263))</f>
        <v/>
      </c>
      <c r="L263">
        <f>IF($J263="","",INDEX(บันทึกรายเที่ยว!$S$6:$S$6005,$J263))</f>
        <v/>
      </c>
      <c r="M263">
        <f>IF($J263="","",INDEX(บันทึกรายเที่ยว!$R$6:$R$6005,$J263))</f>
        <v/>
      </c>
      <c r="N263">
        <f>IF($J263="","",MATCH($M263,บันทึกรายเที่ยว!$R$6:$R$6005,0))</f>
        <v/>
      </c>
      <c r="O263">
        <f>IF($J263="","",MATCH($L263,บันทึกรายเที่ยว!$S$6:$S$6005,0))</f>
        <v/>
      </c>
      <c r="P263">
        <f>IF($J263="","",IF(AND(OR($I$3="(ทั้งหมด)",INDEX(บันทึกรายเที่ยว!$C$6:$C$6005,$J263)=$I$3),OR($I$5="(ทั้งหมด)",INDEX(บันทึกรายเที่ยว!$D$6:$D$6005,$J263)=$I$5),OR($I$7="(ทั้งหมด)",INDEX(บันทึกรายเที่ยว!$F$6:$F$6005,$J263)=$I$7)),$N263*10000000+$O263*1000+256,""))</f>
        <v/>
      </c>
      <c r="Q263">
        <f>IFERROR(MATCH(SMALL($P$8:$P$407,256),$P$8:$P$407,0),"")</f>
        <v/>
      </c>
      <c r="R263">
        <f>IF($Q263="","",INDEX($J$8:$J$407,$Q263))</f>
        <v/>
      </c>
      <c r="S263">
        <f>IF($Q263="","",INDEX($M$8:$M$407,$Q263))</f>
        <v/>
      </c>
      <c r="T263">
        <f>IF($Q263="","",INDEX($L$8:$L$407,$Q263))</f>
        <v/>
      </c>
      <c r="U263">
        <f>IF($Q263="","",INDEX($K$8:$K$407,$Q263))</f>
        <v/>
      </c>
      <c r="V263">
        <f>IF($Q263="",0,IF($S263&lt;&gt;$S262,1,0))</f>
        <v/>
      </c>
      <c r="W263">
        <f>IF($Q263="",0,IF($T263&lt;&gt;$T262,1,0))</f>
        <v/>
      </c>
      <c r="X263">
        <f>IF($Q263="",99999+256,$X262+1+$V262+$W262)</f>
        <v/>
      </c>
      <c r="Y263">
        <f>IF($Q263="","",INDEX(บันทึกรายเที่ยว!$Q$6:$Q$6005,$R263))</f>
        <v/>
      </c>
      <c r="Z263">
        <f>IF($Q263="","",INDEX(บันทึกรายเที่ยว!$F$6:$F$6005,$R263))</f>
        <v/>
      </c>
      <c r="AA263">
        <f>IFERROR(MATCH(256,$X$8:$X$407,1),"")</f>
        <v/>
      </c>
      <c r="AB263">
        <f>IF(256=$AD$1+1,"G",IF($AA263="","",IF(INDEX($Q$8:$Q$407,$AA263)="","",IF(256&gt;INDEX($X$8:$X$407,$AA263)+INDEX($V$8:$V$407,$AA263)+INDEX($W$8:$W$407,$AA263),"",IF(256=INDEX($X$8:$X$407,$AA263)+INDEX($V$8:$V$407,$AA263)+INDEX($W$8:$W$407,$AA263),"D",IF(AND(INDEX($W$8:$W$407,$AA263)=1,256=INDEX($X$8:$X$407,$AA263)+INDEX($V$8:$V$407,$AA263)),"S","R"))))))</f>
        <v/>
      </c>
      <c r="AC263">
        <f>IF(OR($AB263="",$AB263="G"),"",IF($AB263="D",INDEX($U$8:$U$407,$AA263),IF($AB263="S",INDEX($T$8:$T$407,$AA263)&amp;"|*",INDEX($S$8:$S$407,$AA263)&amp;"|*")))</f>
        <v/>
      </c>
      <c r="AE263">
        <f>IF($U263="",0,COUNTIF(บันทึกรายเที่ยว!$T$6:$T$6005,$U263))</f>
        <v/>
      </c>
      <c r="AF263">
        <f>IF($U263="",0,ROUND(SUMIF(บันทึกรายเที่ยว!$T$6:$T$6005,$U263,บันทึกรายเที่ยว!$J$6:$J$6005),2))</f>
        <v/>
      </c>
      <c r="AG263">
        <f>IF($U263="",0,ROUND(SUMIF(บันทึกรายเที่ยว!$T$6:$T$6005,$U263,บันทึกรายเที่ยว!$K$6:$K$6005),2))</f>
        <v/>
      </c>
      <c r="AH263">
        <f>IF($U263="",0,ROUND(SUMIF(บันทึกรายเที่ยว!$T$6:$T$6005,$U263,บันทึกรายเที่ยว!$M$6:$M$6005),2))</f>
        <v/>
      </c>
    </row>
    <row r="264" ht="21" customHeight="1" s="66">
      <c r="A264" s="3">
        <f>IF($AB264="G","ผลรวมทั้งหมด",IF($AB264="R",INDEX($S$8:$S$407,$AA264),""))</f>
        <v/>
      </c>
      <c r="B264" s="3">
        <f>IF($AB264="S",INDEX($Y$8:$Y$407,$AA264),"")</f>
        <v/>
      </c>
      <c r="C264" s="68">
        <f>IF($AB264="D",INDEX($Z$8:$Z$407,$AA264),"")</f>
        <v/>
      </c>
      <c r="D264" s="31">
        <f>IF($AB264="G",SUM($AE$8:$AE$407),IF(OR($AB264="",$AB264="R"),"",IF($AB264="D",INDEX($AE$8:$AE$407,$AA264),SUMIF($T$8:$T$407,INDEX($T$8:$T$407,$AA264),$AE$8:$AE$407))))</f>
        <v/>
      </c>
      <c r="E264" s="32">
        <f>IF(257=$AD$1+3,"ขอแสดงความนับถือ",IF(257=$AD$1+6,"(                 )",IF(257=$AD$1+7,"เจ้าหน้าที่ขนส่ง",IF($AB264="G",SUM($AF$8:$AF$407),IF(OR($AB264="",$AB264="R"),"",IF($AB264="D",INDEX($AF$8:$AF$407,$AA264),SUMIF($T$8:$T$407,INDEX($T$8:$T$407,$AA264),$AF$8:$AF$407)))))))</f>
        <v/>
      </c>
      <c r="F264" s="32">
        <f>IF($AB264="G",SUM($AG$8:$AG$407),IF(OR($AB264="",$AB264="R"),"",IF($AB264="D",INDEX($AG$8:$AG$407,$AA264),SUMIF($T$8:$T$407,INDEX($T$8:$T$407,$AA264),$AG$8:$AG$407))))</f>
        <v/>
      </c>
      <c r="G264" s="32">
        <f>IF(OR($AB264="",$AB264="R"),"",ROUND($E264-$F264,2))</f>
        <v/>
      </c>
      <c r="H264" s="32">
        <f>IF($AB264="G",SUM($AH$8:$AH$407),IF(OR($AB264="",$AB264="R"),"",IF($AB264="D",INDEX($AH$8:$AH$407,$AA264),SUMIF($T$8:$T$407,INDEX($T$8:$T$407,$AA264),$AH$8:$AH$407))))</f>
        <v/>
      </c>
      <c r="J264">
        <f>IFERROR(MATCH(257,บันทึกรายเที่ยว!$W$6:$W$6005,0),"")</f>
        <v/>
      </c>
      <c r="K264">
        <f>IF($J264="","",INDEX(บันทึกรายเที่ยว!$T$6:$T$6005,$J264))</f>
        <v/>
      </c>
      <c r="L264">
        <f>IF($J264="","",INDEX(บันทึกรายเที่ยว!$S$6:$S$6005,$J264))</f>
        <v/>
      </c>
      <c r="M264">
        <f>IF($J264="","",INDEX(บันทึกรายเที่ยว!$R$6:$R$6005,$J264))</f>
        <v/>
      </c>
      <c r="N264">
        <f>IF($J264="","",MATCH($M264,บันทึกรายเที่ยว!$R$6:$R$6005,0))</f>
        <v/>
      </c>
      <c r="O264">
        <f>IF($J264="","",MATCH($L264,บันทึกรายเที่ยว!$S$6:$S$6005,0))</f>
        <v/>
      </c>
      <c r="P264">
        <f>IF($J264="","",IF(AND(OR($I$3="(ทั้งหมด)",INDEX(บันทึกรายเที่ยว!$C$6:$C$6005,$J264)=$I$3),OR($I$5="(ทั้งหมด)",INDEX(บันทึกรายเที่ยว!$D$6:$D$6005,$J264)=$I$5),OR($I$7="(ทั้งหมด)",INDEX(บันทึกรายเที่ยว!$F$6:$F$6005,$J264)=$I$7)),$N264*10000000+$O264*1000+257,""))</f>
        <v/>
      </c>
      <c r="Q264">
        <f>IFERROR(MATCH(SMALL($P$8:$P$407,257),$P$8:$P$407,0),"")</f>
        <v/>
      </c>
      <c r="R264">
        <f>IF($Q264="","",INDEX($J$8:$J$407,$Q264))</f>
        <v/>
      </c>
      <c r="S264">
        <f>IF($Q264="","",INDEX($M$8:$M$407,$Q264))</f>
        <v/>
      </c>
      <c r="T264">
        <f>IF($Q264="","",INDEX($L$8:$L$407,$Q264))</f>
        <v/>
      </c>
      <c r="U264">
        <f>IF($Q264="","",INDEX($K$8:$K$407,$Q264))</f>
        <v/>
      </c>
      <c r="V264">
        <f>IF($Q264="",0,IF($S264&lt;&gt;$S263,1,0))</f>
        <v/>
      </c>
      <c r="W264">
        <f>IF($Q264="",0,IF($T264&lt;&gt;$T263,1,0))</f>
        <v/>
      </c>
      <c r="X264">
        <f>IF($Q264="",99999+257,$X263+1+$V263+$W263)</f>
        <v/>
      </c>
      <c r="Y264">
        <f>IF($Q264="","",INDEX(บันทึกรายเที่ยว!$Q$6:$Q$6005,$R264))</f>
        <v/>
      </c>
      <c r="Z264">
        <f>IF($Q264="","",INDEX(บันทึกรายเที่ยว!$F$6:$F$6005,$R264))</f>
        <v/>
      </c>
      <c r="AA264">
        <f>IFERROR(MATCH(257,$X$8:$X$407,1),"")</f>
        <v/>
      </c>
      <c r="AB264">
        <f>IF(257=$AD$1+1,"G",IF($AA264="","",IF(INDEX($Q$8:$Q$407,$AA264)="","",IF(257&gt;INDEX($X$8:$X$407,$AA264)+INDEX($V$8:$V$407,$AA264)+INDEX($W$8:$W$407,$AA264),"",IF(257=INDEX($X$8:$X$407,$AA264)+INDEX($V$8:$V$407,$AA264)+INDEX($W$8:$W$407,$AA264),"D",IF(AND(INDEX($W$8:$W$407,$AA264)=1,257=INDEX($X$8:$X$407,$AA264)+INDEX($V$8:$V$407,$AA264)),"S","R"))))))</f>
        <v/>
      </c>
      <c r="AC264">
        <f>IF(OR($AB264="",$AB264="G"),"",IF($AB264="D",INDEX($U$8:$U$407,$AA264),IF($AB264="S",INDEX($T$8:$T$407,$AA264)&amp;"|*",INDEX($S$8:$S$407,$AA264)&amp;"|*")))</f>
        <v/>
      </c>
      <c r="AE264">
        <f>IF($U264="",0,COUNTIF(บันทึกรายเที่ยว!$T$6:$T$6005,$U264))</f>
        <v/>
      </c>
      <c r="AF264">
        <f>IF($U264="",0,ROUND(SUMIF(บันทึกรายเที่ยว!$T$6:$T$6005,$U264,บันทึกรายเที่ยว!$J$6:$J$6005),2))</f>
        <v/>
      </c>
      <c r="AG264">
        <f>IF($U264="",0,ROUND(SUMIF(บันทึกรายเที่ยว!$T$6:$T$6005,$U264,บันทึกรายเที่ยว!$K$6:$K$6005),2))</f>
        <v/>
      </c>
      <c r="AH264">
        <f>IF($U264="",0,ROUND(SUMIF(บันทึกรายเที่ยว!$T$6:$T$6005,$U264,บันทึกรายเที่ยว!$M$6:$M$6005),2))</f>
        <v/>
      </c>
    </row>
    <row r="265" ht="21" customHeight="1" s="66">
      <c r="A265" s="3">
        <f>IF($AB265="G","ผลรวมทั้งหมด",IF($AB265="R",INDEX($S$8:$S$407,$AA265),""))</f>
        <v/>
      </c>
      <c r="B265" s="3">
        <f>IF($AB265="S",INDEX($Y$8:$Y$407,$AA265),"")</f>
        <v/>
      </c>
      <c r="C265" s="68">
        <f>IF($AB265="D",INDEX($Z$8:$Z$407,$AA265),"")</f>
        <v/>
      </c>
      <c r="D265" s="31">
        <f>IF($AB265="G",SUM($AE$8:$AE$407),IF(OR($AB265="",$AB265="R"),"",IF($AB265="D",INDEX($AE$8:$AE$407,$AA265),SUMIF($T$8:$T$407,INDEX($T$8:$T$407,$AA265),$AE$8:$AE$407))))</f>
        <v/>
      </c>
      <c r="E265" s="32">
        <f>IF(258=$AD$1+3,"ขอแสดงความนับถือ",IF(258=$AD$1+6,"(                 )",IF(258=$AD$1+7,"เจ้าหน้าที่ขนส่ง",IF($AB265="G",SUM($AF$8:$AF$407),IF(OR($AB265="",$AB265="R"),"",IF($AB265="D",INDEX($AF$8:$AF$407,$AA265),SUMIF($T$8:$T$407,INDEX($T$8:$T$407,$AA265),$AF$8:$AF$407)))))))</f>
        <v/>
      </c>
      <c r="F265" s="32">
        <f>IF($AB265="G",SUM($AG$8:$AG$407),IF(OR($AB265="",$AB265="R"),"",IF($AB265="D",INDEX($AG$8:$AG$407,$AA265),SUMIF($T$8:$T$407,INDEX($T$8:$T$407,$AA265),$AG$8:$AG$407))))</f>
        <v/>
      </c>
      <c r="G265" s="32">
        <f>IF(OR($AB265="",$AB265="R"),"",ROUND($E265-$F265,2))</f>
        <v/>
      </c>
      <c r="H265" s="32">
        <f>IF($AB265="G",SUM($AH$8:$AH$407),IF(OR($AB265="",$AB265="R"),"",IF($AB265="D",INDEX($AH$8:$AH$407,$AA265),SUMIF($T$8:$T$407,INDEX($T$8:$T$407,$AA265),$AH$8:$AH$407))))</f>
        <v/>
      </c>
      <c r="J265">
        <f>IFERROR(MATCH(258,บันทึกรายเที่ยว!$W$6:$W$6005,0),"")</f>
        <v/>
      </c>
      <c r="K265">
        <f>IF($J265="","",INDEX(บันทึกรายเที่ยว!$T$6:$T$6005,$J265))</f>
        <v/>
      </c>
      <c r="L265">
        <f>IF($J265="","",INDEX(บันทึกรายเที่ยว!$S$6:$S$6005,$J265))</f>
        <v/>
      </c>
      <c r="M265">
        <f>IF($J265="","",INDEX(บันทึกรายเที่ยว!$R$6:$R$6005,$J265))</f>
        <v/>
      </c>
      <c r="N265">
        <f>IF($J265="","",MATCH($M265,บันทึกรายเที่ยว!$R$6:$R$6005,0))</f>
        <v/>
      </c>
      <c r="O265">
        <f>IF($J265="","",MATCH($L265,บันทึกรายเที่ยว!$S$6:$S$6005,0))</f>
        <v/>
      </c>
      <c r="P265">
        <f>IF($J265="","",IF(AND(OR($I$3="(ทั้งหมด)",INDEX(บันทึกรายเที่ยว!$C$6:$C$6005,$J265)=$I$3),OR($I$5="(ทั้งหมด)",INDEX(บันทึกรายเที่ยว!$D$6:$D$6005,$J265)=$I$5),OR($I$7="(ทั้งหมด)",INDEX(บันทึกรายเที่ยว!$F$6:$F$6005,$J265)=$I$7)),$N265*10000000+$O265*1000+258,""))</f>
        <v/>
      </c>
      <c r="Q265">
        <f>IFERROR(MATCH(SMALL($P$8:$P$407,258),$P$8:$P$407,0),"")</f>
        <v/>
      </c>
      <c r="R265">
        <f>IF($Q265="","",INDEX($J$8:$J$407,$Q265))</f>
        <v/>
      </c>
      <c r="S265">
        <f>IF($Q265="","",INDEX($M$8:$M$407,$Q265))</f>
        <v/>
      </c>
      <c r="T265">
        <f>IF($Q265="","",INDEX($L$8:$L$407,$Q265))</f>
        <v/>
      </c>
      <c r="U265">
        <f>IF($Q265="","",INDEX($K$8:$K$407,$Q265))</f>
        <v/>
      </c>
      <c r="V265">
        <f>IF($Q265="",0,IF($S265&lt;&gt;$S264,1,0))</f>
        <v/>
      </c>
      <c r="W265">
        <f>IF($Q265="",0,IF($T265&lt;&gt;$T264,1,0))</f>
        <v/>
      </c>
      <c r="X265">
        <f>IF($Q265="",99999+258,$X264+1+$V264+$W264)</f>
        <v/>
      </c>
      <c r="Y265">
        <f>IF($Q265="","",INDEX(บันทึกรายเที่ยว!$Q$6:$Q$6005,$R265))</f>
        <v/>
      </c>
      <c r="Z265">
        <f>IF($Q265="","",INDEX(บันทึกรายเที่ยว!$F$6:$F$6005,$R265))</f>
        <v/>
      </c>
      <c r="AA265">
        <f>IFERROR(MATCH(258,$X$8:$X$407,1),"")</f>
        <v/>
      </c>
      <c r="AB265">
        <f>IF(258=$AD$1+1,"G",IF($AA265="","",IF(INDEX($Q$8:$Q$407,$AA265)="","",IF(258&gt;INDEX($X$8:$X$407,$AA265)+INDEX($V$8:$V$407,$AA265)+INDEX($W$8:$W$407,$AA265),"",IF(258=INDEX($X$8:$X$407,$AA265)+INDEX($V$8:$V$407,$AA265)+INDEX($W$8:$W$407,$AA265),"D",IF(AND(INDEX($W$8:$W$407,$AA265)=1,258=INDEX($X$8:$X$407,$AA265)+INDEX($V$8:$V$407,$AA265)),"S","R"))))))</f>
        <v/>
      </c>
      <c r="AC265">
        <f>IF(OR($AB265="",$AB265="G"),"",IF($AB265="D",INDEX($U$8:$U$407,$AA265),IF($AB265="S",INDEX($T$8:$T$407,$AA265)&amp;"|*",INDEX($S$8:$S$407,$AA265)&amp;"|*")))</f>
        <v/>
      </c>
      <c r="AE265">
        <f>IF($U265="",0,COUNTIF(บันทึกรายเที่ยว!$T$6:$T$6005,$U265))</f>
        <v/>
      </c>
      <c r="AF265">
        <f>IF($U265="",0,ROUND(SUMIF(บันทึกรายเที่ยว!$T$6:$T$6005,$U265,บันทึกรายเที่ยว!$J$6:$J$6005),2))</f>
        <v/>
      </c>
      <c r="AG265">
        <f>IF($U265="",0,ROUND(SUMIF(บันทึกรายเที่ยว!$T$6:$T$6005,$U265,บันทึกรายเที่ยว!$K$6:$K$6005),2))</f>
        <v/>
      </c>
      <c r="AH265">
        <f>IF($U265="",0,ROUND(SUMIF(บันทึกรายเที่ยว!$T$6:$T$6005,$U265,บันทึกรายเที่ยว!$M$6:$M$6005),2))</f>
        <v/>
      </c>
    </row>
    <row r="266" ht="21" customHeight="1" s="66">
      <c r="A266" s="3">
        <f>IF($AB266="G","ผลรวมทั้งหมด",IF($AB266="R",INDEX($S$8:$S$407,$AA266),""))</f>
        <v/>
      </c>
      <c r="B266" s="3">
        <f>IF($AB266="S",INDEX($Y$8:$Y$407,$AA266),"")</f>
        <v/>
      </c>
      <c r="C266" s="68">
        <f>IF($AB266="D",INDEX($Z$8:$Z$407,$AA266),"")</f>
        <v/>
      </c>
      <c r="D266" s="31">
        <f>IF($AB266="G",SUM($AE$8:$AE$407),IF(OR($AB266="",$AB266="R"),"",IF($AB266="D",INDEX($AE$8:$AE$407,$AA266),SUMIF($T$8:$T$407,INDEX($T$8:$T$407,$AA266),$AE$8:$AE$407))))</f>
        <v/>
      </c>
      <c r="E266" s="32">
        <f>IF(259=$AD$1+3,"ขอแสดงความนับถือ",IF(259=$AD$1+6,"(                 )",IF(259=$AD$1+7,"เจ้าหน้าที่ขนส่ง",IF($AB266="G",SUM($AF$8:$AF$407),IF(OR($AB266="",$AB266="R"),"",IF($AB266="D",INDEX($AF$8:$AF$407,$AA266),SUMIF($T$8:$T$407,INDEX($T$8:$T$407,$AA266),$AF$8:$AF$407)))))))</f>
        <v/>
      </c>
      <c r="F266" s="32">
        <f>IF($AB266="G",SUM($AG$8:$AG$407),IF(OR($AB266="",$AB266="R"),"",IF($AB266="D",INDEX($AG$8:$AG$407,$AA266),SUMIF($T$8:$T$407,INDEX($T$8:$T$407,$AA266),$AG$8:$AG$407))))</f>
        <v/>
      </c>
      <c r="G266" s="32">
        <f>IF(OR($AB266="",$AB266="R"),"",ROUND($E266-$F266,2))</f>
        <v/>
      </c>
      <c r="H266" s="32">
        <f>IF($AB266="G",SUM($AH$8:$AH$407),IF(OR($AB266="",$AB266="R"),"",IF($AB266="D",INDEX($AH$8:$AH$407,$AA266),SUMIF($T$8:$T$407,INDEX($T$8:$T$407,$AA266),$AH$8:$AH$407))))</f>
        <v/>
      </c>
      <c r="J266">
        <f>IFERROR(MATCH(259,บันทึกรายเที่ยว!$W$6:$W$6005,0),"")</f>
        <v/>
      </c>
      <c r="K266">
        <f>IF($J266="","",INDEX(บันทึกรายเที่ยว!$T$6:$T$6005,$J266))</f>
        <v/>
      </c>
      <c r="L266">
        <f>IF($J266="","",INDEX(บันทึกรายเที่ยว!$S$6:$S$6005,$J266))</f>
        <v/>
      </c>
      <c r="M266">
        <f>IF($J266="","",INDEX(บันทึกรายเที่ยว!$R$6:$R$6005,$J266))</f>
        <v/>
      </c>
      <c r="N266">
        <f>IF($J266="","",MATCH($M266,บันทึกรายเที่ยว!$R$6:$R$6005,0))</f>
        <v/>
      </c>
      <c r="O266">
        <f>IF($J266="","",MATCH($L266,บันทึกรายเที่ยว!$S$6:$S$6005,0))</f>
        <v/>
      </c>
      <c r="P266">
        <f>IF($J266="","",IF(AND(OR($I$3="(ทั้งหมด)",INDEX(บันทึกรายเที่ยว!$C$6:$C$6005,$J266)=$I$3),OR($I$5="(ทั้งหมด)",INDEX(บันทึกรายเที่ยว!$D$6:$D$6005,$J266)=$I$5),OR($I$7="(ทั้งหมด)",INDEX(บันทึกรายเที่ยว!$F$6:$F$6005,$J266)=$I$7)),$N266*10000000+$O266*1000+259,""))</f>
        <v/>
      </c>
      <c r="Q266">
        <f>IFERROR(MATCH(SMALL($P$8:$P$407,259),$P$8:$P$407,0),"")</f>
        <v/>
      </c>
      <c r="R266">
        <f>IF($Q266="","",INDEX($J$8:$J$407,$Q266))</f>
        <v/>
      </c>
      <c r="S266">
        <f>IF($Q266="","",INDEX($M$8:$M$407,$Q266))</f>
        <v/>
      </c>
      <c r="T266">
        <f>IF($Q266="","",INDEX($L$8:$L$407,$Q266))</f>
        <v/>
      </c>
      <c r="U266">
        <f>IF($Q266="","",INDEX($K$8:$K$407,$Q266))</f>
        <v/>
      </c>
      <c r="V266">
        <f>IF($Q266="",0,IF($S266&lt;&gt;$S265,1,0))</f>
        <v/>
      </c>
      <c r="W266">
        <f>IF($Q266="",0,IF($T266&lt;&gt;$T265,1,0))</f>
        <v/>
      </c>
      <c r="X266">
        <f>IF($Q266="",99999+259,$X265+1+$V265+$W265)</f>
        <v/>
      </c>
      <c r="Y266">
        <f>IF($Q266="","",INDEX(บันทึกรายเที่ยว!$Q$6:$Q$6005,$R266))</f>
        <v/>
      </c>
      <c r="Z266">
        <f>IF($Q266="","",INDEX(บันทึกรายเที่ยว!$F$6:$F$6005,$R266))</f>
        <v/>
      </c>
      <c r="AA266">
        <f>IFERROR(MATCH(259,$X$8:$X$407,1),"")</f>
        <v/>
      </c>
      <c r="AB266">
        <f>IF(259=$AD$1+1,"G",IF($AA266="","",IF(INDEX($Q$8:$Q$407,$AA266)="","",IF(259&gt;INDEX($X$8:$X$407,$AA266)+INDEX($V$8:$V$407,$AA266)+INDEX($W$8:$W$407,$AA266),"",IF(259=INDEX($X$8:$X$407,$AA266)+INDEX($V$8:$V$407,$AA266)+INDEX($W$8:$W$407,$AA266),"D",IF(AND(INDEX($W$8:$W$407,$AA266)=1,259=INDEX($X$8:$X$407,$AA266)+INDEX($V$8:$V$407,$AA266)),"S","R"))))))</f>
        <v/>
      </c>
      <c r="AC266">
        <f>IF(OR($AB266="",$AB266="G"),"",IF($AB266="D",INDEX($U$8:$U$407,$AA266),IF($AB266="S",INDEX($T$8:$T$407,$AA266)&amp;"|*",INDEX($S$8:$S$407,$AA266)&amp;"|*")))</f>
        <v/>
      </c>
      <c r="AE266">
        <f>IF($U266="",0,COUNTIF(บันทึกรายเที่ยว!$T$6:$T$6005,$U266))</f>
        <v/>
      </c>
      <c r="AF266">
        <f>IF($U266="",0,ROUND(SUMIF(บันทึกรายเที่ยว!$T$6:$T$6005,$U266,บันทึกรายเที่ยว!$J$6:$J$6005),2))</f>
        <v/>
      </c>
      <c r="AG266">
        <f>IF($U266="",0,ROUND(SUMIF(บันทึกรายเที่ยว!$T$6:$T$6005,$U266,บันทึกรายเที่ยว!$K$6:$K$6005),2))</f>
        <v/>
      </c>
      <c r="AH266">
        <f>IF($U266="",0,ROUND(SUMIF(บันทึกรายเที่ยว!$T$6:$T$6005,$U266,บันทึกรายเที่ยว!$M$6:$M$6005),2))</f>
        <v/>
      </c>
    </row>
    <row r="267" ht="21" customHeight="1" s="66">
      <c r="A267" s="3">
        <f>IF($AB267="G","ผลรวมทั้งหมด",IF($AB267="R",INDEX($S$8:$S$407,$AA267),""))</f>
        <v/>
      </c>
      <c r="B267" s="3">
        <f>IF($AB267="S",INDEX($Y$8:$Y$407,$AA267),"")</f>
        <v/>
      </c>
      <c r="C267" s="68">
        <f>IF($AB267="D",INDEX($Z$8:$Z$407,$AA267),"")</f>
        <v/>
      </c>
      <c r="D267" s="31">
        <f>IF($AB267="G",SUM($AE$8:$AE$407),IF(OR($AB267="",$AB267="R"),"",IF($AB267="D",INDEX($AE$8:$AE$407,$AA267),SUMIF($T$8:$T$407,INDEX($T$8:$T$407,$AA267),$AE$8:$AE$407))))</f>
        <v/>
      </c>
      <c r="E267" s="32">
        <f>IF(260=$AD$1+3,"ขอแสดงความนับถือ",IF(260=$AD$1+6,"(                 )",IF(260=$AD$1+7,"เจ้าหน้าที่ขนส่ง",IF($AB267="G",SUM($AF$8:$AF$407),IF(OR($AB267="",$AB267="R"),"",IF($AB267="D",INDEX($AF$8:$AF$407,$AA267),SUMIF($T$8:$T$407,INDEX($T$8:$T$407,$AA267),$AF$8:$AF$407)))))))</f>
        <v/>
      </c>
      <c r="F267" s="32">
        <f>IF($AB267="G",SUM($AG$8:$AG$407),IF(OR($AB267="",$AB267="R"),"",IF($AB267="D",INDEX($AG$8:$AG$407,$AA267),SUMIF($T$8:$T$407,INDEX($T$8:$T$407,$AA267),$AG$8:$AG$407))))</f>
        <v/>
      </c>
      <c r="G267" s="32">
        <f>IF(OR($AB267="",$AB267="R"),"",ROUND($E267-$F267,2))</f>
        <v/>
      </c>
      <c r="H267" s="32">
        <f>IF($AB267="G",SUM($AH$8:$AH$407),IF(OR($AB267="",$AB267="R"),"",IF($AB267="D",INDEX($AH$8:$AH$407,$AA267),SUMIF($T$8:$T$407,INDEX($T$8:$T$407,$AA267),$AH$8:$AH$407))))</f>
        <v/>
      </c>
      <c r="J267">
        <f>IFERROR(MATCH(260,บันทึกรายเที่ยว!$W$6:$W$6005,0),"")</f>
        <v/>
      </c>
      <c r="K267">
        <f>IF($J267="","",INDEX(บันทึกรายเที่ยว!$T$6:$T$6005,$J267))</f>
        <v/>
      </c>
      <c r="L267">
        <f>IF($J267="","",INDEX(บันทึกรายเที่ยว!$S$6:$S$6005,$J267))</f>
        <v/>
      </c>
      <c r="M267">
        <f>IF($J267="","",INDEX(บันทึกรายเที่ยว!$R$6:$R$6005,$J267))</f>
        <v/>
      </c>
      <c r="N267">
        <f>IF($J267="","",MATCH($M267,บันทึกรายเที่ยว!$R$6:$R$6005,0))</f>
        <v/>
      </c>
      <c r="O267">
        <f>IF($J267="","",MATCH($L267,บันทึกรายเที่ยว!$S$6:$S$6005,0))</f>
        <v/>
      </c>
      <c r="P267">
        <f>IF($J267="","",IF(AND(OR($I$3="(ทั้งหมด)",INDEX(บันทึกรายเที่ยว!$C$6:$C$6005,$J267)=$I$3),OR($I$5="(ทั้งหมด)",INDEX(บันทึกรายเที่ยว!$D$6:$D$6005,$J267)=$I$5),OR($I$7="(ทั้งหมด)",INDEX(บันทึกรายเที่ยว!$F$6:$F$6005,$J267)=$I$7)),$N267*10000000+$O267*1000+260,""))</f>
        <v/>
      </c>
      <c r="Q267">
        <f>IFERROR(MATCH(SMALL($P$8:$P$407,260),$P$8:$P$407,0),"")</f>
        <v/>
      </c>
      <c r="R267">
        <f>IF($Q267="","",INDEX($J$8:$J$407,$Q267))</f>
        <v/>
      </c>
      <c r="S267">
        <f>IF($Q267="","",INDEX($M$8:$M$407,$Q267))</f>
        <v/>
      </c>
      <c r="T267">
        <f>IF($Q267="","",INDEX($L$8:$L$407,$Q267))</f>
        <v/>
      </c>
      <c r="U267">
        <f>IF($Q267="","",INDEX($K$8:$K$407,$Q267))</f>
        <v/>
      </c>
      <c r="V267">
        <f>IF($Q267="",0,IF($S267&lt;&gt;$S266,1,0))</f>
        <v/>
      </c>
      <c r="W267">
        <f>IF($Q267="",0,IF($T267&lt;&gt;$T266,1,0))</f>
        <v/>
      </c>
      <c r="X267">
        <f>IF($Q267="",99999+260,$X266+1+$V266+$W266)</f>
        <v/>
      </c>
      <c r="Y267">
        <f>IF($Q267="","",INDEX(บันทึกรายเที่ยว!$Q$6:$Q$6005,$R267))</f>
        <v/>
      </c>
      <c r="Z267">
        <f>IF($Q267="","",INDEX(บันทึกรายเที่ยว!$F$6:$F$6005,$R267))</f>
        <v/>
      </c>
      <c r="AA267">
        <f>IFERROR(MATCH(260,$X$8:$X$407,1),"")</f>
        <v/>
      </c>
      <c r="AB267">
        <f>IF(260=$AD$1+1,"G",IF($AA267="","",IF(INDEX($Q$8:$Q$407,$AA267)="","",IF(260&gt;INDEX($X$8:$X$407,$AA267)+INDEX($V$8:$V$407,$AA267)+INDEX($W$8:$W$407,$AA267),"",IF(260=INDEX($X$8:$X$407,$AA267)+INDEX($V$8:$V$407,$AA267)+INDEX($W$8:$W$407,$AA267),"D",IF(AND(INDEX($W$8:$W$407,$AA267)=1,260=INDEX($X$8:$X$407,$AA267)+INDEX($V$8:$V$407,$AA267)),"S","R"))))))</f>
        <v/>
      </c>
      <c r="AC267">
        <f>IF(OR($AB267="",$AB267="G"),"",IF($AB267="D",INDEX($U$8:$U$407,$AA267),IF($AB267="S",INDEX($T$8:$T$407,$AA267)&amp;"|*",INDEX($S$8:$S$407,$AA267)&amp;"|*")))</f>
        <v/>
      </c>
      <c r="AE267">
        <f>IF($U267="",0,COUNTIF(บันทึกรายเที่ยว!$T$6:$T$6005,$U267))</f>
        <v/>
      </c>
      <c r="AF267">
        <f>IF($U267="",0,ROUND(SUMIF(บันทึกรายเที่ยว!$T$6:$T$6005,$U267,บันทึกรายเที่ยว!$J$6:$J$6005),2))</f>
        <v/>
      </c>
      <c r="AG267">
        <f>IF($U267="",0,ROUND(SUMIF(บันทึกรายเที่ยว!$T$6:$T$6005,$U267,บันทึกรายเที่ยว!$K$6:$K$6005),2))</f>
        <v/>
      </c>
      <c r="AH267">
        <f>IF($U267="",0,ROUND(SUMIF(บันทึกรายเที่ยว!$T$6:$T$6005,$U267,บันทึกรายเที่ยว!$M$6:$M$6005),2))</f>
        <v/>
      </c>
    </row>
    <row r="268" ht="21" customHeight="1" s="66">
      <c r="A268" s="3">
        <f>IF($AB268="G","ผลรวมทั้งหมด",IF($AB268="R",INDEX($S$8:$S$407,$AA268),""))</f>
        <v/>
      </c>
      <c r="B268" s="3">
        <f>IF($AB268="S",INDEX($Y$8:$Y$407,$AA268),"")</f>
        <v/>
      </c>
      <c r="C268" s="68">
        <f>IF($AB268="D",INDEX($Z$8:$Z$407,$AA268),"")</f>
        <v/>
      </c>
      <c r="D268" s="31">
        <f>IF($AB268="G",SUM($AE$8:$AE$407),IF(OR($AB268="",$AB268="R"),"",IF($AB268="D",INDEX($AE$8:$AE$407,$AA268),SUMIF($T$8:$T$407,INDEX($T$8:$T$407,$AA268),$AE$8:$AE$407))))</f>
        <v/>
      </c>
      <c r="E268" s="32">
        <f>IF(261=$AD$1+3,"ขอแสดงความนับถือ",IF(261=$AD$1+6,"(                 )",IF(261=$AD$1+7,"เจ้าหน้าที่ขนส่ง",IF($AB268="G",SUM($AF$8:$AF$407),IF(OR($AB268="",$AB268="R"),"",IF($AB268="D",INDEX($AF$8:$AF$407,$AA268),SUMIF($T$8:$T$407,INDEX($T$8:$T$407,$AA268),$AF$8:$AF$407)))))))</f>
        <v/>
      </c>
      <c r="F268" s="32">
        <f>IF($AB268="G",SUM($AG$8:$AG$407),IF(OR($AB268="",$AB268="R"),"",IF($AB268="D",INDEX($AG$8:$AG$407,$AA268),SUMIF($T$8:$T$407,INDEX($T$8:$T$407,$AA268),$AG$8:$AG$407))))</f>
        <v/>
      </c>
      <c r="G268" s="32">
        <f>IF(OR($AB268="",$AB268="R"),"",ROUND($E268-$F268,2))</f>
        <v/>
      </c>
      <c r="H268" s="32">
        <f>IF($AB268="G",SUM($AH$8:$AH$407),IF(OR($AB268="",$AB268="R"),"",IF($AB268="D",INDEX($AH$8:$AH$407,$AA268),SUMIF($T$8:$T$407,INDEX($T$8:$T$407,$AA268),$AH$8:$AH$407))))</f>
        <v/>
      </c>
      <c r="J268">
        <f>IFERROR(MATCH(261,บันทึกรายเที่ยว!$W$6:$W$6005,0),"")</f>
        <v/>
      </c>
      <c r="K268">
        <f>IF($J268="","",INDEX(บันทึกรายเที่ยว!$T$6:$T$6005,$J268))</f>
        <v/>
      </c>
      <c r="L268">
        <f>IF($J268="","",INDEX(บันทึกรายเที่ยว!$S$6:$S$6005,$J268))</f>
        <v/>
      </c>
      <c r="M268">
        <f>IF($J268="","",INDEX(บันทึกรายเที่ยว!$R$6:$R$6005,$J268))</f>
        <v/>
      </c>
      <c r="N268">
        <f>IF($J268="","",MATCH($M268,บันทึกรายเที่ยว!$R$6:$R$6005,0))</f>
        <v/>
      </c>
      <c r="O268">
        <f>IF($J268="","",MATCH($L268,บันทึกรายเที่ยว!$S$6:$S$6005,0))</f>
        <v/>
      </c>
      <c r="P268">
        <f>IF($J268="","",IF(AND(OR($I$3="(ทั้งหมด)",INDEX(บันทึกรายเที่ยว!$C$6:$C$6005,$J268)=$I$3),OR($I$5="(ทั้งหมด)",INDEX(บันทึกรายเที่ยว!$D$6:$D$6005,$J268)=$I$5),OR($I$7="(ทั้งหมด)",INDEX(บันทึกรายเที่ยว!$F$6:$F$6005,$J268)=$I$7)),$N268*10000000+$O268*1000+261,""))</f>
        <v/>
      </c>
      <c r="Q268">
        <f>IFERROR(MATCH(SMALL($P$8:$P$407,261),$P$8:$P$407,0),"")</f>
        <v/>
      </c>
      <c r="R268">
        <f>IF($Q268="","",INDEX($J$8:$J$407,$Q268))</f>
        <v/>
      </c>
      <c r="S268">
        <f>IF($Q268="","",INDEX($M$8:$M$407,$Q268))</f>
        <v/>
      </c>
      <c r="T268">
        <f>IF($Q268="","",INDEX($L$8:$L$407,$Q268))</f>
        <v/>
      </c>
      <c r="U268">
        <f>IF($Q268="","",INDEX($K$8:$K$407,$Q268))</f>
        <v/>
      </c>
      <c r="V268">
        <f>IF($Q268="",0,IF($S268&lt;&gt;$S267,1,0))</f>
        <v/>
      </c>
      <c r="W268">
        <f>IF($Q268="",0,IF($T268&lt;&gt;$T267,1,0))</f>
        <v/>
      </c>
      <c r="X268">
        <f>IF($Q268="",99999+261,$X267+1+$V267+$W267)</f>
        <v/>
      </c>
      <c r="Y268">
        <f>IF($Q268="","",INDEX(บันทึกรายเที่ยว!$Q$6:$Q$6005,$R268))</f>
        <v/>
      </c>
      <c r="Z268">
        <f>IF($Q268="","",INDEX(บันทึกรายเที่ยว!$F$6:$F$6005,$R268))</f>
        <v/>
      </c>
      <c r="AA268">
        <f>IFERROR(MATCH(261,$X$8:$X$407,1),"")</f>
        <v/>
      </c>
      <c r="AB268">
        <f>IF(261=$AD$1+1,"G",IF($AA268="","",IF(INDEX($Q$8:$Q$407,$AA268)="","",IF(261&gt;INDEX($X$8:$X$407,$AA268)+INDEX($V$8:$V$407,$AA268)+INDEX($W$8:$W$407,$AA268),"",IF(261=INDEX($X$8:$X$407,$AA268)+INDEX($V$8:$V$407,$AA268)+INDEX($W$8:$W$407,$AA268),"D",IF(AND(INDEX($W$8:$W$407,$AA268)=1,261=INDEX($X$8:$X$407,$AA268)+INDEX($V$8:$V$407,$AA268)),"S","R"))))))</f>
        <v/>
      </c>
      <c r="AC268">
        <f>IF(OR($AB268="",$AB268="G"),"",IF($AB268="D",INDEX($U$8:$U$407,$AA268),IF($AB268="S",INDEX($T$8:$T$407,$AA268)&amp;"|*",INDEX($S$8:$S$407,$AA268)&amp;"|*")))</f>
        <v/>
      </c>
      <c r="AE268">
        <f>IF($U268="",0,COUNTIF(บันทึกรายเที่ยว!$T$6:$T$6005,$U268))</f>
        <v/>
      </c>
      <c r="AF268">
        <f>IF($U268="",0,ROUND(SUMIF(บันทึกรายเที่ยว!$T$6:$T$6005,$U268,บันทึกรายเที่ยว!$J$6:$J$6005),2))</f>
        <v/>
      </c>
      <c r="AG268">
        <f>IF($U268="",0,ROUND(SUMIF(บันทึกรายเที่ยว!$T$6:$T$6005,$U268,บันทึกรายเที่ยว!$K$6:$K$6005),2))</f>
        <v/>
      </c>
      <c r="AH268">
        <f>IF($U268="",0,ROUND(SUMIF(บันทึกรายเที่ยว!$T$6:$T$6005,$U268,บันทึกรายเที่ยว!$M$6:$M$6005),2))</f>
        <v/>
      </c>
    </row>
    <row r="269" ht="21" customHeight="1" s="66">
      <c r="A269" s="3">
        <f>IF($AB269="G","ผลรวมทั้งหมด",IF($AB269="R",INDEX($S$8:$S$407,$AA269),""))</f>
        <v/>
      </c>
      <c r="B269" s="3">
        <f>IF($AB269="S",INDEX($Y$8:$Y$407,$AA269),"")</f>
        <v/>
      </c>
      <c r="C269" s="68">
        <f>IF($AB269="D",INDEX($Z$8:$Z$407,$AA269),"")</f>
        <v/>
      </c>
      <c r="D269" s="31">
        <f>IF($AB269="G",SUM($AE$8:$AE$407),IF(OR($AB269="",$AB269="R"),"",IF($AB269="D",INDEX($AE$8:$AE$407,$AA269),SUMIF($T$8:$T$407,INDEX($T$8:$T$407,$AA269),$AE$8:$AE$407))))</f>
        <v/>
      </c>
      <c r="E269" s="32">
        <f>IF(262=$AD$1+3,"ขอแสดงความนับถือ",IF(262=$AD$1+6,"(                 )",IF(262=$AD$1+7,"เจ้าหน้าที่ขนส่ง",IF($AB269="G",SUM($AF$8:$AF$407),IF(OR($AB269="",$AB269="R"),"",IF($AB269="D",INDEX($AF$8:$AF$407,$AA269),SUMIF($T$8:$T$407,INDEX($T$8:$T$407,$AA269),$AF$8:$AF$407)))))))</f>
        <v/>
      </c>
      <c r="F269" s="32">
        <f>IF($AB269="G",SUM($AG$8:$AG$407),IF(OR($AB269="",$AB269="R"),"",IF($AB269="D",INDEX($AG$8:$AG$407,$AA269),SUMIF($T$8:$T$407,INDEX($T$8:$T$407,$AA269),$AG$8:$AG$407))))</f>
        <v/>
      </c>
      <c r="G269" s="32">
        <f>IF(OR($AB269="",$AB269="R"),"",ROUND($E269-$F269,2))</f>
        <v/>
      </c>
      <c r="H269" s="32">
        <f>IF($AB269="G",SUM($AH$8:$AH$407),IF(OR($AB269="",$AB269="R"),"",IF($AB269="D",INDEX($AH$8:$AH$407,$AA269),SUMIF($T$8:$T$407,INDEX($T$8:$T$407,$AA269),$AH$8:$AH$407))))</f>
        <v/>
      </c>
      <c r="J269">
        <f>IFERROR(MATCH(262,บันทึกรายเที่ยว!$W$6:$W$6005,0),"")</f>
        <v/>
      </c>
      <c r="K269">
        <f>IF($J269="","",INDEX(บันทึกรายเที่ยว!$T$6:$T$6005,$J269))</f>
        <v/>
      </c>
      <c r="L269">
        <f>IF($J269="","",INDEX(บันทึกรายเที่ยว!$S$6:$S$6005,$J269))</f>
        <v/>
      </c>
      <c r="M269">
        <f>IF($J269="","",INDEX(บันทึกรายเที่ยว!$R$6:$R$6005,$J269))</f>
        <v/>
      </c>
      <c r="N269">
        <f>IF($J269="","",MATCH($M269,บันทึกรายเที่ยว!$R$6:$R$6005,0))</f>
        <v/>
      </c>
      <c r="O269">
        <f>IF($J269="","",MATCH($L269,บันทึกรายเที่ยว!$S$6:$S$6005,0))</f>
        <v/>
      </c>
      <c r="P269">
        <f>IF($J269="","",IF(AND(OR($I$3="(ทั้งหมด)",INDEX(บันทึกรายเที่ยว!$C$6:$C$6005,$J269)=$I$3),OR($I$5="(ทั้งหมด)",INDEX(บันทึกรายเที่ยว!$D$6:$D$6005,$J269)=$I$5),OR($I$7="(ทั้งหมด)",INDEX(บันทึกรายเที่ยว!$F$6:$F$6005,$J269)=$I$7)),$N269*10000000+$O269*1000+262,""))</f>
        <v/>
      </c>
      <c r="Q269">
        <f>IFERROR(MATCH(SMALL($P$8:$P$407,262),$P$8:$P$407,0),"")</f>
        <v/>
      </c>
      <c r="R269">
        <f>IF($Q269="","",INDEX($J$8:$J$407,$Q269))</f>
        <v/>
      </c>
      <c r="S269">
        <f>IF($Q269="","",INDEX($M$8:$M$407,$Q269))</f>
        <v/>
      </c>
      <c r="T269">
        <f>IF($Q269="","",INDEX($L$8:$L$407,$Q269))</f>
        <v/>
      </c>
      <c r="U269">
        <f>IF($Q269="","",INDEX($K$8:$K$407,$Q269))</f>
        <v/>
      </c>
      <c r="V269">
        <f>IF($Q269="",0,IF($S269&lt;&gt;$S268,1,0))</f>
        <v/>
      </c>
      <c r="W269">
        <f>IF($Q269="",0,IF($T269&lt;&gt;$T268,1,0))</f>
        <v/>
      </c>
      <c r="X269">
        <f>IF($Q269="",99999+262,$X268+1+$V268+$W268)</f>
        <v/>
      </c>
      <c r="Y269">
        <f>IF($Q269="","",INDEX(บันทึกรายเที่ยว!$Q$6:$Q$6005,$R269))</f>
        <v/>
      </c>
      <c r="Z269">
        <f>IF($Q269="","",INDEX(บันทึกรายเที่ยว!$F$6:$F$6005,$R269))</f>
        <v/>
      </c>
      <c r="AA269">
        <f>IFERROR(MATCH(262,$X$8:$X$407,1),"")</f>
        <v/>
      </c>
      <c r="AB269">
        <f>IF(262=$AD$1+1,"G",IF($AA269="","",IF(INDEX($Q$8:$Q$407,$AA269)="","",IF(262&gt;INDEX($X$8:$X$407,$AA269)+INDEX($V$8:$V$407,$AA269)+INDEX($W$8:$W$407,$AA269),"",IF(262=INDEX($X$8:$X$407,$AA269)+INDEX($V$8:$V$407,$AA269)+INDEX($W$8:$W$407,$AA269),"D",IF(AND(INDEX($W$8:$W$407,$AA269)=1,262=INDEX($X$8:$X$407,$AA269)+INDEX($V$8:$V$407,$AA269)),"S","R"))))))</f>
        <v/>
      </c>
      <c r="AC269">
        <f>IF(OR($AB269="",$AB269="G"),"",IF($AB269="D",INDEX($U$8:$U$407,$AA269),IF($AB269="S",INDEX($T$8:$T$407,$AA269)&amp;"|*",INDEX($S$8:$S$407,$AA269)&amp;"|*")))</f>
        <v/>
      </c>
      <c r="AE269">
        <f>IF($U269="",0,COUNTIF(บันทึกรายเที่ยว!$T$6:$T$6005,$U269))</f>
        <v/>
      </c>
      <c r="AF269">
        <f>IF($U269="",0,ROUND(SUMIF(บันทึกรายเที่ยว!$T$6:$T$6005,$U269,บันทึกรายเที่ยว!$J$6:$J$6005),2))</f>
        <v/>
      </c>
      <c r="AG269">
        <f>IF($U269="",0,ROUND(SUMIF(บันทึกรายเที่ยว!$T$6:$T$6005,$U269,บันทึกรายเที่ยว!$K$6:$K$6005),2))</f>
        <v/>
      </c>
      <c r="AH269">
        <f>IF($U269="",0,ROUND(SUMIF(บันทึกรายเที่ยว!$T$6:$T$6005,$U269,บันทึกรายเที่ยว!$M$6:$M$6005),2))</f>
        <v/>
      </c>
    </row>
    <row r="270" ht="21" customHeight="1" s="66">
      <c r="A270" s="3">
        <f>IF($AB270="G","ผลรวมทั้งหมด",IF($AB270="R",INDEX($S$8:$S$407,$AA270),""))</f>
        <v/>
      </c>
      <c r="B270" s="3">
        <f>IF($AB270="S",INDEX($Y$8:$Y$407,$AA270),"")</f>
        <v/>
      </c>
      <c r="C270" s="68">
        <f>IF($AB270="D",INDEX($Z$8:$Z$407,$AA270),"")</f>
        <v/>
      </c>
      <c r="D270" s="31">
        <f>IF($AB270="G",SUM($AE$8:$AE$407),IF(OR($AB270="",$AB270="R"),"",IF($AB270="D",INDEX($AE$8:$AE$407,$AA270),SUMIF($T$8:$T$407,INDEX($T$8:$T$407,$AA270),$AE$8:$AE$407))))</f>
        <v/>
      </c>
      <c r="E270" s="32">
        <f>IF(263=$AD$1+3,"ขอแสดงความนับถือ",IF(263=$AD$1+6,"(                 )",IF(263=$AD$1+7,"เจ้าหน้าที่ขนส่ง",IF($AB270="G",SUM($AF$8:$AF$407),IF(OR($AB270="",$AB270="R"),"",IF($AB270="D",INDEX($AF$8:$AF$407,$AA270),SUMIF($T$8:$T$407,INDEX($T$8:$T$407,$AA270),$AF$8:$AF$407)))))))</f>
        <v/>
      </c>
      <c r="F270" s="32">
        <f>IF($AB270="G",SUM($AG$8:$AG$407),IF(OR($AB270="",$AB270="R"),"",IF($AB270="D",INDEX($AG$8:$AG$407,$AA270),SUMIF($T$8:$T$407,INDEX($T$8:$T$407,$AA270),$AG$8:$AG$407))))</f>
        <v/>
      </c>
      <c r="G270" s="32">
        <f>IF(OR($AB270="",$AB270="R"),"",ROUND($E270-$F270,2))</f>
        <v/>
      </c>
      <c r="H270" s="32">
        <f>IF($AB270="G",SUM($AH$8:$AH$407),IF(OR($AB270="",$AB270="R"),"",IF($AB270="D",INDEX($AH$8:$AH$407,$AA270),SUMIF($T$8:$T$407,INDEX($T$8:$T$407,$AA270),$AH$8:$AH$407))))</f>
        <v/>
      </c>
      <c r="J270">
        <f>IFERROR(MATCH(263,บันทึกรายเที่ยว!$W$6:$W$6005,0),"")</f>
        <v/>
      </c>
      <c r="K270">
        <f>IF($J270="","",INDEX(บันทึกรายเที่ยว!$T$6:$T$6005,$J270))</f>
        <v/>
      </c>
      <c r="L270">
        <f>IF($J270="","",INDEX(บันทึกรายเที่ยว!$S$6:$S$6005,$J270))</f>
        <v/>
      </c>
      <c r="M270">
        <f>IF($J270="","",INDEX(บันทึกรายเที่ยว!$R$6:$R$6005,$J270))</f>
        <v/>
      </c>
      <c r="N270">
        <f>IF($J270="","",MATCH($M270,บันทึกรายเที่ยว!$R$6:$R$6005,0))</f>
        <v/>
      </c>
      <c r="O270">
        <f>IF($J270="","",MATCH($L270,บันทึกรายเที่ยว!$S$6:$S$6005,0))</f>
        <v/>
      </c>
      <c r="P270">
        <f>IF($J270="","",IF(AND(OR($I$3="(ทั้งหมด)",INDEX(บันทึกรายเที่ยว!$C$6:$C$6005,$J270)=$I$3),OR($I$5="(ทั้งหมด)",INDEX(บันทึกรายเที่ยว!$D$6:$D$6005,$J270)=$I$5),OR($I$7="(ทั้งหมด)",INDEX(บันทึกรายเที่ยว!$F$6:$F$6005,$J270)=$I$7)),$N270*10000000+$O270*1000+263,""))</f>
        <v/>
      </c>
      <c r="Q270">
        <f>IFERROR(MATCH(SMALL($P$8:$P$407,263),$P$8:$P$407,0),"")</f>
        <v/>
      </c>
      <c r="R270">
        <f>IF($Q270="","",INDEX($J$8:$J$407,$Q270))</f>
        <v/>
      </c>
      <c r="S270">
        <f>IF($Q270="","",INDEX($M$8:$M$407,$Q270))</f>
        <v/>
      </c>
      <c r="T270">
        <f>IF($Q270="","",INDEX($L$8:$L$407,$Q270))</f>
        <v/>
      </c>
      <c r="U270">
        <f>IF($Q270="","",INDEX($K$8:$K$407,$Q270))</f>
        <v/>
      </c>
      <c r="V270">
        <f>IF($Q270="",0,IF($S270&lt;&gt;$S269,1,0))</f>
        <v/>
      </c>
      <c r="W270">
        <f>IF($Q270="",0,IF($T270&lt;&gt;$T269,1,0))</f>
        <v/>
      </c>
      <c r="X270">
        <f>IF($Q270="",99999+263,$X269+1+$V269+$W269)</f>
        <v/>
      </c>
      <c r="Y270">
        <f>IF($Q270="","",INDEX(บันทึกรายเที่ยว!$Q$6:$Q$6005,$R270))</f>
        <v/>
      </c>
      <c r="Z270">
        <f>IF($Q270="","",INDEX(บันทึกรายเที่ยว!$F$6:$F$6005,$R270))</f>
        <v/>
      </c>
      <c r="AA270">
        <f>IFERROR(MATCH(263,$X$8:$X$407,1),"")</f>
        <v/>
      </c>
      <c r="AB270">
        <f>IF(263=$AD$1+1,"G",IF($AA270="","",IF(INDEX($Q$8:$Q$407,$AA270)="","",IF(263&gt;INDEX($X$8:$X$407,$AA270)+INDEX($V$8:$V$407,$AA270)+INDEX($W$8:$W$407,$AA270),"",IF(263=INDEX($X$8:$X$407,$AA270)+INDEX($V$8:$V$407,$AA270)+INDEX($W$8:$W$407,$AA270),"D",IF(AND(INDEX($W$8:$W$407,$AA270)=1,263=INDEX($X$8:$X$407,$AA270)+INDEX($V$8:$V$407,$AA270)),"S","R"))))))</f>
        <v/>
      </c>
      <c r="AC270">
        <f>IF(OR($AB270="",$AB270="G"),"",IF($AB270="D",INDEX($U$8:$U$407,$AA270),IF($AB270="S",INDEX($T$8:$T$407,$AA270)&amp;"|*",INDEX($S$8:$S$407,$AA270)&amp;"|*")))</f>
        <v/>
      </c>
      <c r="AE270">
        <f>IF($U270="",0,COUNTIF(บันทึกรายเที่ยว!$T$6:$T$6005,$U270))</f>
        <v/>
      </c>
      <c r="AF270">
        <f>IF($U270="",0,ROUND(SUMIF(บันทึกรายเที่ยว!$T$6:$T$6005,$U270,บันทึกรายเที่ยว!$J$6:$J$6005),2))</f>
        <v/>
      </c>
      <c r="AG270">
        <f>IF($U270="",0,ROUND(SUMIF(บันทึกรายเที่ยว!$T$6:$T$6005,$U270,บันทึกรายเที่ยว!$K$6:$K$6005),2))</f>
        <v/>
      </c>
      <c r="AH270">
        <f>IF($U270="",0,ROUND(SUMIF(บันทึกรายเที่ยว!$T$6:$T$6005,$U270,บันทึกรายเที่ยว!$M$6:$M$6005),2))</f>
        <v/>
      </c>
    </row>
    <row r="271" ht="21" customHeight="1" s="66">
      <c r="A271" s="3">
        <f>IF($AB271="G","ผลรวมทั้งหมด",IF($AB271="R",INDEX($S$8:$S$407,$AA271),""))</f>
        <v/>
      </c>
      <c r="B271" s="3">
        <f>IF($AB271="S",INDEX($Y$8:$Y$407,$AA271),"")</f>
        <v/>
      </c>
      <c r="C271" s="68">
        <f>IF($AB271="D",INDEX($Z$8:$Z$407,$AA271),"")</f>
        <v/>
      </c>
      <c r="D271" s="31">
        <f>IF($AB271="G",SUM($AE$8:$AE$407),IF(OR($AB271="",$AB271="R"),"",IF($AB271="D",INDEX($AE$8:$AE$407,$AA271),SUMIF($T$8:$T$407,INDEX($T$8:$T$407,$AA271),$AE$8:$AE$407))))</f>
        <v/>
      </c>
      <c r="E271" s="32">
        <f>IF(264=$AD$1+3,"ขอแสดงความนับถือ",IF(264=$AD$1+6,"(                 )",IF(264=$AD$1+7,"เจ้าหน้าที่ขนส่ง",IF($AB271="G",SUM($AF$8:$AF$407),IF(OR($AB271="",$AB271="R"),"",IF($AB271="D",INDEX($AF$8:$AF$407,$AA271),SUMIF($T$8:$T$407,INDEX($T$8:$T$407,$AA271),$AF$8:$AF$407)))))))</f>
        <v/>
      </c>
      <c r="F271" s="32">
        <f>IF($AB271="G",SUM($AG$8:$AG$407),IF(OR($AB271="",$AB271="R"),"",IF($AB271="D",INDEX($AG$8:$AG$407,$AA271),SUMIF($T$8:$T$407,INDEX($T$8:$T$407,$AA271),$AG$8:$AG$407))))</f>
        <v/>
      </c>
      <c r="G271" s="32">
        <f>IF(OR($AB271="",$AB271="R"),"",ROUND($E271-$F271,2))</f>
        <v/>
      </c>
      <c r="H271" s="32">
        <f>IF($AB271="G",SUM($AH$8:$AH$407),IF(OR($AB271="",$AB271="R"),"",IF($AB271="D",INDEX($AH$8:$AH$407,$AA271),SUMIF($T$8:$T$407,INDEX($T$8:$T$407,$AA271),$AH$8:$AH$407))))</f>
        <v/>
      </c>
      <c r="J271">
        <f>IFERROR(MATCH(264,บันทึกรายเที่ยว!$W$6:$W$6005,0),"")</f>
        <v/>
      </c>
      <c r="K271">
        <f>IF($J271="","",INDEX(บันทึกรายเที่ยว!$T$6:$T$6005,$J271))</f>
        <v/>
      </c>
      <c r="L271">
        <f>IF($J271="","",INDEX(บันทึกรายเที่ยว!$S$6:$S$6005,$J271))</f>
        <v/>
      </c>
      <c r="M271">
        <f>IF($J271="","",INDEX(บันทึกรายเที่ยว!$R$6:$R$6005,$J271))</f>
        <v/>
      </c>
      <c r="N271">
        <f>IF($J271="","",MATCH($M271,บันทึกรายเที่ยว!$R$6:$R$6005,0))</f>
        <v/>
      </c>
      <c r="O271">
        <f>IF($J271="","",MATCH($L271,บันทึกรายเที่ยว!$S$6:$S$6005,0))</f>
        <v/>
      </c>
      <c r="P271">
        <f>IF($J271="","",IF(AND(OR($I$3="(ทั้งหมด)",INDEX(บันทึกรายเที่ยว!$C$6:$C$6005,$J271)=$I$3),OR($I$5="(ทั้งหมด)",INDEX(บันทึกรายเที่ยว!$D$6:$D$6005,$J271)=$I$5),OR($I$7="(ทั้งหมด)",INDEX(บันทึกรายเที่ยว!$F$6:$F$6005,$J271)=$I$7)),$N271*10000000+$O271*1000+264,""))</f>
        <v/>
      </c>
      <c r="Q271">
        <f>IFERROR(MATCH(SMALL($P$8:$P$407,264),$P$8:$P$407,0),"")</f>
        <v/>
      </c>
      <c r="R271">
        <f>IF($Q271="","",INDEX($J$8:$J$407,$Q271))</f>
        <v/>
      </c>
      <c r="S271">
        <f>IF($Q271="","",INDEX($M$8:$M$407,$Q271))</f>
        <v/>
      </c>
      <c r="T271">
        <f>IF($Q271="","",INDEX($L$8:$L$407,$Q271))</f>
        <v/>
      </c>
      <c r="U271">
        <f>IF($Q271="","",INDEX($K$8:$K$407,$Q271))</f>
        <v/>
      </c>
      <c r="V271">
        <f>IF($Q271="",0,IF($S271&lt;&gt;$S270,1,0))</f>
        <v/>
      </c>
      <c r="W271">
        <f>IF($Q271="",0,IF($T271&lt;&gt;$T270,1,0))</f>
        <v/>
      </c>
      <c r="X271">
        <f>IF($Q271="",99999+264,$X270+1+$V270+$W270)</f>
        <v/>
      </c>
      <c r="Y271">
        <f>IF($Q271="","",INDEX(บันทึกรายเที่ยว!$Q$6:$Q$6005,$R271))</f>
        <v/>
      </c>
      <c r="Z271">
        <f>IF($Q271="","",INDEX(บันทึกรายเที่ยว!$F$6:$F$6005,$R271))</f>
        <v/>
      </c>
      <c r="AA271">
        <f>IFERROR(MATCH(264,$X$8:$X$407,1),"")</f>
        <v/>
      </c>
      <c r="AB271">
        <f>IF(264=$AD$1+1,"G",IF($AA271="","",IF(INDEX($Q$8:$Q$407,$AA271)="","",IF(264&gt;INDEX($X$8:$X$407,$AA271)+INDEX($V$8:$V$407,$AA271)+INDEX($W$8:$W$407,$AA271),"",IF(264=INDEX($X$8:$X$407,$AA271)+INDEX($V$8:$V$407,$AA271)+INDEX($W$8:$W$407,$AA271),"D",IF(AND(INDEX($W$8:$W$407,$AA271)=1,264=INDEX($X$8:$X$407,$AA271)+INDEX($V$8:$V$407,$AA271)),"S","R"))))))</f>
        <v/>
      </c>
      <c r="AC271">
        <f>IF(OR($AB271="",$AB271="G"),"",IF($AB271="D",INDEX($U$8:$U$407,$AA271),IF($AB271="S",INDEX($T$8:$T$407,$AA271)&amp;"|*",INDEX($S$8:$S$407,$AA271)&amp;"|*")))</f>
        <v/>
      </c>
      <c r="AE271">
        <f>IF($U271="",0,COUNTIF(บันทึกรายเที่ยว!$T$6:$T$6005,$U271))</f>
        <v/>
      </c>
      <c r="AF271">
        <f>IF($U271="",0,ROUND(SUMIF(บันทึกรายเที่ยว!$T$6:$T$6005,$U271,บันทึกรายเที่ยว!$J$6:$J$6005),2))</f>
        <v/>
      </c>
      <c r="AG271">
        <f>IF($U271="",0,ROUND(SUMIF(บันทึกรายเที่ยว!$T$6:$T$6005,$U271,บันทึกรายเที่ยว!$K$6:$K$6005),2))</f>
        <v/>
      </c>
      <c r="AH271">
        <f>IF($U271="",0,ROUND(SUMIF(บันทึกรายเที่ยว!$T$6:$T$6005,$U271,บันทึกรายเที่ยว!$M$6:$M$6005),2))</f>
        <v/>
      </c>
    </row>
    <row r="272" ht="21" customHeight="1" s="66">
      <c r="A272" s="3">
        <f>IF($AB272="G","ผลรวมทั้งหมด",IF($AB272="R",INDEX($S$8:$S$407,$AA272),""))</f>
        <v/>
      </c>
      <c r="B272" s="3">
        <f>IF($AB272="S",INDEX($Y$8:$Y$407,$AA272),"")</f>
        <v/>
      </c>
      <c r="C272" s="68">
        <f>IF($AB272="D",INDEX($Z$8:$Z$407,$AA272),"")</f>
        <v/>
      </c>
      <c r="D272" s="31">
        <f>IF($AB272="G",SUM($AE$8:$AE$407),IF(OR($AB272="",$AB272="R"),"",IF($AB272="D",INDEX($AE$8:$AE$407,$AA272),SUMIF($T$8:$T$407,INDEX($T$8:$T$407,$AA272),$AE$8:$AE$407))))</f>
        <v/>
      </c>
      <c r="E272" s="32">
        <f>IF(265=$AD$1+3,"ขอแสดงความนับถือ",IF(265=$AD$1+6,"(                 )",IF(265=$AD$1+7,"เจ้าหน้าที่ขนส่ง",IF($AB272="G",SUM($AF$8:$AF$407),IF(OR($AB272="",$AB272="R"),"",IF($AB272="D",INDEX($AF$8:$AF$407,$AA272),SUMIF($T$8:$T$407,INDEX($T$8:$T$407,$AA272),$AF$8:$AF$407)))))))</f>
        <v/>
      </c>
      <c r="F272" s="32">
        <f>IF($AB272="G",SUM($AG$8:$AG$407),IF(OR($AB272="",$AB272="R"),"",IF($AB272="D",INDEX($AG$8:$AG$407,$AA272),SUMIF($T$8:$T$407,INDEX($T$8:$T$407,$AA272),$AG$8:$AG$407))))</f>
        <v/>
      </c>
      <c r="G272" s="32">
        <f>IF(OR($AB272="",$AB272="R"),"",ROUND($E272-$F272,2))</f>
        <v/>
      </c>
      <c r="H272" s="32">
        <f>IF($AB272="G",SUM($AH$8:$AH$407),IF(OR($AB272="",$AB272="R"),"",IF($AB272="D",INDEX($AH$8:$AH$407,$AA272),SUMIF($T$8:$T$407,INDEX($T$8:$T$407,$AA272),$AH$8:$AH$407))))</f>
        <v/>
      </c>
      <c r="J272">
        <f>IFERROR(MATCH(265,บันทึกรายเที่ยว!$W$6:$W$6005,0),"")</f>
        <v/>
      </c>
      <c r="K272">
        <f>IF($J272="","",INDEX(บันทึกรายเที่ยว!$T$6:$T$6005,$J272))</f>
        <v/>
      </c>
      <c r="L272">
        <f>IF($J272="","",INDEX(บันทึกรายเที่ยว!$S$6:$S$6005,$J272))</f>
        <v/>
      </c>
      <c r="M272">
        <f>IF($J272="","",INDEX(บันทึกรายเที่ยว!$R$6:$R$6005,$J272))</f>
        <v/>
      </c>
      <c r="N272">
        <f>IF($J272="","",MATCH($M272,บันทึกรายเที่ยว!$R$6:$R$6005,0))</f>
        <v/>
      </c>
      <c r="O272">
        <f>IF($J272="","",MATCH($L272,บันทึกรายเที่ยว!$S$6:$S$6005,0))</f>
        <v/>
      </c>
      <c r="P272">
        <f>IF($J272="","",IF(AND(OR($I$3="(ทั้งหมด)",INDEX(บันทึกรายเที่ยว!$C$6:$C$6005,$J272)=$I$3),OR($I$5="(ทั้งหมด)",INDEX(บันทึกรายเที่ยว!$D$6:$D$6005,$J272)=$I$5),OR($I$7="(ทั้งหมด)",INDEX(บันทึกรายเที่ยว!$F$6:$F$6005,$J272)=$I$7)),$N272*10000000+$O272*1000+265,""))</f>
        <v/>
      </c>
      <c r="Q272">
        <f>IFERROR(MATCH(SMALL($P$8:$P$407,265),$P$8:$P$407,0),"")</f>
        <v/>
      </c>
      <c r="R272">
        <f>IF($Q272="","",INDEX($J$8:$J$407,$Q272))</f>
        <v/>
      </c>
      <c r="S272">
        <f>IF($Q272="","",INDEX($M$8:$M$407,$Q272))</f>
        <v/>
      </c>
      <c r="T272">
        <f>IF($Q272="","",INDEX($L$8:$L$407,$Q272))</f>
        <v/>
      </c>
      <c r="U272">
        <f>IF($Q272="","",INDEX($K$8:$K$407,$Q272))</f>
        <v/>
      </c>
      <c r="V272">
        <f>IF($Q272="",0,IF($S272&lt;&gt;$S271,1,0))</f>
        <v/>
      </c>
      <c r="W272">
        <f>IF($Q272="",0,IF($T272&lt;&gt;$T271,1,0))</f>
        <v/>
      </c>
      <c r="X272">
        <f>IF($Q272="",99999+265,$X271+1+$V271+$W271)</f>
        <v/>
      </c>
      <c r="Y272">
        <f>IF($Q272="","",INDEX(บันทึกรายเที่ยว!$Q$6:$Q$6005,$R272))</f>
        <v/>
      </c>
      <c r="Z272">
        <f>IF($Q272="","",INDEX(บันทึกรายเที่ยว!$F$6:$F$6005,$R272))</f>
        <v/>
      </c>
      <c r="AA272">
        <f>IFERROR(MATCH(265,$X$8:$X$407,1),"")</f>
        <v/>
      </c>
      <c r="AB272">
        <f>IF(265=$AD$1+1,"G",IF($AA272="","",IF(INDEX($Q$8:$Q$407,$AA272)="","",IF(265&gt;INDEX($X$8:$X$407,$AA272)+INDEX($V$8:$V$407,$AA272)+INDEX($W$8:$W$407,$AA272),"",IF(265=INDEX($X$8:$X$407,$AA272)+INDEX($V$8:$V$407,$AA272)+INDEX($W$8:$W$407,$AA272),"D",IF(AND(INDEX($W$8:$W$407,$AA272)=1,265=INDEX($X$8:$X$407,$AA272)+INDEX($V$8:$V$407,$AA272)),"S","R"))))))</f>
        <v/>
      </c>
      <c r="AC272">
        <f>IF(OR($AB272="",$AB272="G"),"",IF($AB272="D",INDEX($U$8:$U$407,$AA272),IF($AB272="S",INDEX($T$8:$T$407,$AA272)&amp;"|*",INDEX($S$8:$S$407,$AA272)&amp;"|*")))</f>
        <v/>
      </c>
      <c r="AE272">
        <f>IF($U272="",0,COUNTIF(บันทึกรายเที่ยว!$T$6:$T$6005,$U272))</f>
        <v/>
      </c>
      <c r="AF272">
        <f>IF($U272="",0,ROUND(SUMIF(บันทึกรายเที่ยว!$T$6:$T$6005,$U272,บันทึกรายเที่ยว!$J$6:$J$6005),2))</f>
        <v/>
      </c>
      <c r="AG272">
        <f>IF($U272="",0,ROUND(SUMIF(บันทึกรายเที่ยว!$T$6:$T$6005,$U272,บันทึกรายเที่ยว!$K$6:$K$6005),2))</f>
        <v/>
      </c>
      <c r="AH272">
        <f>IF($U272="",0,ROUND(SUMIF(บันทึกรายเที่ยว!$T$6:$T$6005,$U272,บันทึกรายเที่ยว!$M$6:$M$6005),2))</f>
        <v/>
      </c>
    </row>
    <row r="273" ht="21" customHeight="1" s="66">
      <c r="A273" s="3">
        <f>IF($AB273="G","ผลรวมทั้งหมด",IF($AB273="R",INDEX($S$8:$S$407,$AA273),""))</f>
        <v/>
      </c>
      <c r="B273" s="3">
        <f>IF($AB273="S",INDEX($Y$8:$Y$407,$AA273),"")</f>
        <v/>
      </c>
      <c r="C273" s="68">
        <f>IF($AB273="D",INDEX($Z$8:$Z$407,$AA273),"")</f>
        <v/>
      </c>
      <c r="D273" s="31">
        <f>IF($AB273="G",SUM($AE$8:$AE$407),IF(OR($AB273="",$AB273="R"),"",IF($AB273="D",INDEX($AE$8:$AE$407,$AA273),SUMIF($T$8:$T$407,INDEX($T$8:$T$407,$AA273),$AE$8:$AE$407))))</f>
        <v/>
      </c>
      <c r="E273" s="32">
        <f>IF(266=$AD$1+3,"ขอแสดงความนับถือ",IF(266=$AD$1+6,"(                 )",IF(266=$AD$1+7,"เจ้าหน้าที่ขนส่ง",IF($AB273="G",SUM($AF$8:$AF$407),IF(OR($AB273="",$AB273="R"),"",IF($AB273="D",INDEX($AF$8:$AF$407,$AA273),SUMIF($T$8:$T$407,INDEX($T$8:$T$407,$AA273),$AF$8:$AF$407)))))))</f>
        <v/>
      </c>
      <c r="F273" s="32">
        <f>IF($AB273="G",SUM($AG$8:$AG$407),IF(OR($AB273="",$AB273="R"),"",IF($AB273="D",INDEX($AG$8:$AG$407,$AA273),SUMIF($T$8:$T$407,INDEX($T$8:$T$407,$AA273),$AG$8:$AG$407))))</f>
        <v/>
      </c>
      <c r="G273" s="32">
        <f>IF(OR($AB273="",$AB273="R"),"",ROUND($E273-$F273,2))</f>
        <v/>
      </c>
      <c r="H273" s="32">
        <f>IF($AB273="G",SUM($AH$8:$AH$407),IF(OR($AB273="",$AB273="R"),"",IF($AB273="D",INDEX($AH$8:$AH$407,$AA273),SUMIF($T$8:$T$407,INDEX($T$8:$T$407,$AA273),$AH$8:$AH$407))))</f>
        <v/>
      </c>
      <c r="J273">
        <f>IFERROR(MATCH(266,บันทึกรายเที่ยว!$W$6:$W$6005,0),"")</f>
        <v/>
      </c>
      <c r="K273">
        <f>IF($J273="","",INDEX(บันทึกรายเที่ยว!$T$6:$T$6005,$J273))</f>
        <v/>
      </c>
      <c r="L273">
        <f>IF($J273="","",INDEX(บันทึกรายเที่ยว!$S$6:$S$6005,$J273))</f>
        <v/>
      </c>
      <c r="M273">
        <f>IF($J273="","",INDEX(บันทึกรายเที่ยว!$R$6:$R$6005,$J273))</f>
        <v/>
      </c>
      <c r="N273">
        <f>IF($J273="","",MATCH($M273,บันทึกรายเที่ยว!$R$6:$R$6005,0))</f>
        <v/>
      </c>
      <c r="O273">
        <f>IF($J273="","",MATCH($L273,บันทึกรายเที่ยว!$S$6:$S$6005,0))</f>
        <v/>
      </c>
      <c r="P273">
        <f>IF($J273="","",IF(AND(OR($I$3="(ทั้งหมด)",INDEX(บันทึกรายเที่ยว!$C$6:$C$6005,$J273)=$I$3),OR($I$5="(ทั้งหมด)",INDEX(บันทึกรายเที่ยว!$D$6:$D$6005,$J273)=$I$5),OR($I$7="(ทั้งหมด)",INDEX(บันทึกรายเที่ยว!$F$6:$F$6005,$J273)=$I$7)),$N273*10000000+$O273*1000+266,""))</f>
        <v/>
      </c>
      <c r="Q273">
        <f>IFERROR(MATCH(SMALL($P$8:$P$407,266),$P$8:$P$407,0),"")</f>
        <v/>
      </c>
      <c r="R273">
        <f>IF($Q273="","",INDEX($J$8:$J$407,$Q273))</f>
        <v/>
      </c>
      <c r="S273">
        <f>IF($Q273="","",INDEX($M$8:$M$407,$Q273))</f>
        <v/>
      </c>
      <c r="T273">
        <f>IF($Q273="","",INDEX($L$8:$L$407,$Q273))</f>
        <v/>
      </c>
      <c r="U273">
        <f>IF($Q273="","",INDEX($K$8:$K$407,$Q273))</f>
        <v/>
      </c>
      <c r="V273">
        <f>IF($Q273="",0,IF($S273&lt;&gt;$S272,1,0))</f>
        <v/>
      </c>
      <c r="W273">
        <f>IF($Q273="",0,IF($T273&lt;&gt;$T272,1,0))</f>
        <v/>
      </c>
      <c r="X273">
        <f>IF($Q273="",99999+266,$X272+1+$V272+$W272)</f>
        <v/>
      </c>
      <c r="Y273">
        <f>IF($Q273="","",INDEX(บันทึกรายเที่ยว!$Q$6:$Q$6005,$R273))</f>
        <v/>
      </c>
      <c r="Z273">
        <f>IF($Q273="","",INDEX(บันทึกรายเที่ยว!$F$6:$F$6005,$R273))</f>
        <v/>
      </c>
      <c r="AA273">
        <f>IFERROR(MATCH(266,$X$8:$X$407,1),"")</f>
        <v/>
      </c>
      <c r="AB273">
        <f>IF(266=$AD$1+1,"G",IF($AA273="","",IF(INDEX($Q$8:$Q$407,$AA273)="","",IF(266&gt;INDEX($X$8:$X$407,$AA273)+INDEX($V$8:$V$407,$AA273)+INDEX($W$8:$W$407,$AA273),"",IF(266=INDEX($X$8:$X$407,$AA273)+INDEX($V$8:$V$407,$AA273)+INDEX($W$8:$W$407,$AA273),"D",IF(AND(INDEX($W$8:$W$407,$AA273)=1,266=INDEX($X$8:$X$407,$AA273)+INDEX($V$8:$V$407,$AA273)),"S","R"))))))</f>
        <v/>
      </c>
      <c r="AC273">
        <f>IF(OR($AB273="",$AB273="G"),"",IF($AB273="D",INDEX($U$8:$U$407,$AA273),IF($AB273="S",INDEX($T$8:$T$407,$AA273)&amp;"|*",INDEX($S$8:$S$407,$AA273)&amp;"|*")))</f>
        <v/>
      </c>
      <c r="AE273">
        <f>IF($U273="",0,COUNTIF(บันทึกรายเที่ยว!$T$6:$T$6005,$U273))</f>
        <v/>
      </c>
      <c r="AF273">
        <f>IF($U273="",0,ROUND(SUMIF(บันทึกรายเที่ยว!$T$6:$T$6005,$U273,บันทึกรายเที่ยว!$J$6:$J$6005),2))</f>
        <v/>
      </c>
      <c r="AG273">
        <f>IF($U273="",0,ROUND(SUMIF(บันทึกรายเที่ยว!$T$6:$T$6005,$U273,บันทึกรายเที่ยว!$K$6:$K$6005),2))</f>
        <v/>
      </c>
      <c r="AH273">
        <f>IF($U273="",0,ROUND(SUMIF(บันทึกรายเที่ยว!$T$6:$T$6005,$U273,บันทึกรายเที่ยว!$M$6:$M$6005),2))</f>
        <v/>
      </c>
    </row>
    <row r="274" ht="21" customHeight="1" s="66">
      <c r="A274" s="3">
        <f>IF($AB274="G","ผลรวมทั้งหมด",IF($AB274="R",INDEX($S$8:$S$407,$AA274),""))</f>
        <v/>
      </c>
      <c r="B274" s="3">
        <f>IF($AB274="S",INDEX($Y$8:$Y$407,$AA274),"")</f>
        <v/>
      </c>
      <c r="C274" s="68">
        <f>IF($AB274="D",INDEX($Z$8:$Z$407,$AA274),"")</f>
        <v/>
      </c>
      <c r="D274" s="31">
        <f>IF($AB274="G",SUM($AE$8:$AE$407),IF(OR($AB274="",$AB274="R"),"",IF($AB274="D",INDEX($AE$8:$AE$407,$AA274),SUMIF($T$8:$T$407,INDEX($T$8:$T$407,$AA274),$AE$8:$AE$407))))</f>
        <v/>
      </c>
      <c r="E274" s="32">
        <f>IF(267=$AD$1+3,"ขอแสดงความนับถือ",IF(267=$AD$1+6,"(                 )",IF(267=$AD$1+7,"เจ้าหน้าที่ขนส่ง",IF($AB274="G",SUM($AF$8:$AF$407),IF(OR($AB274="",$AB274="R"),"",IF($AB274="D",INDEX($AF$8:$AF$407,$AA274),SUMIF($T$8:$T$407,INDEX($T$8:$T$407,$AA274),$AF$8:$AF$407)))))))</f>
        <v/>
      </c>
      <c r="F274" s="32">
        <f>IF($AB274="G",SUM($AG$8:$AG$407),IF(OR($AB274="",$AB274="R"),"",IF($AB274="D",INDEX($AG$8:$AG$407,$AA274),SUMIF($T$8:$T$407,INDEX($T$8:$T$407,$AA274),$AG$8:$AG$407))))</f>
        <v/>
      </c>
      <c r="G274" s="32">
        <f>IF(OR($AB274="",$AB274="R"),"",ROUND($E274-$F274,2))</f>
        <v/>
      </c>
      <c r="H274" s="32">
        <f>IF($AB274="G",SUM($AH$8:$AH$407),IF(OR($AB274="",$AB274="R"),"",IF($AB274="D",INDEX($AH$8:$AH$407,$AA274),SUMIF($T$8:$T$407,INDEX($T$8:$T$407,$AA274),$AH$8:$AH$407))))</f>
        <v/>
      </c>
      <c r="J274">
        <f>IFERROR(MATCH(267,บันทึกรายเที่ยว!$W$6:$W$6005,0),"")</f>
        <v/>
      </c>
      <c r="K274">
        <f>IF($J274="","",INDEX(บันทึกรายเที่ยว!$T$6:$T$6005,$J274))</f>
        <v/>
      </c>
      <c r="L274">
        <f>IF($J274="","",INDEX(บันทึกรายเที่ยว!$S$6:$S$6005,$J274))</f>
        <v/>
      </c>
      <c r="M274">
        <f>IF($J274="","",INDEX(บันทึกรายเที่ยว!$R$6:$R$6005,$J274))</f>
        <v/>
      </c>
      <c r="N274">
        <f>IF($J274="","",MATCH($M274,บันทึกรายเที่ยว!$R$6:$R$6005,0))</f>
        <v/>
      </c>
      <c r="O274">
        <f>IF($J274="","",MATCH($L274,บันทึกรายเที่ยว!$S$6:$S$6005,0))</f>
        <v/>
      </c>
      <c r="P274">
        <f>IF($J274="","",IF(AND(OR($I$3="(ทั้งหมด)",INDEX(บันทึกรายเที่ยว!$C$6:$C$6005,$J274)=$I$3),OR($I$5="(ทั้งหมด)",INDEX(บันทึกรายเที่ยว!$D$6:$D$6005,$J274)=$I$5),OR($I$7="(ทั้งหมด)",INDEX(บันทึกรายเที่ยว!$F$6:$F$6005,$J274)=$I$7)),$N274*10000000+$O274*1000+267,""))</f>
        <v/>
      </c>
      <c r="Q274">
        <f>IFERROR(MATCH(SMALL($P$8:$P$407,267),$P$8:$P$407,0),"")</f>
        <v/>
      </c>
      <c r="R274">
        <f>IF($Q274="","",INDEX($J$8:$J$407,$Q274))</f>
        <v/>
      </c>
      <c r="S274">
        <f>IF($Q274="","",INDEX($M$8:$M$407,$Q274))</f>
        <v/>
      </c>
      <c r="T274">
        <f>IF($Q274="","",INDEX($L$8:$L$407,$Q274))</f>
        <v/>
      </c>
      <c r="U274">
        <f>IF($Q274="","",INDEX($K$8:$K$407,$Q274))</f>
        <v/>
      </c>
      <c r="V274">
        <f>IF($Q274="",0,IF($S274&lt;&gt;$S273,1,0))</f>
        <v/>
      </c>
      <c r="W274">
        <f>IF($Q274="",0,IF($T274&lt;&gt;$T273,1,0))</f>
        <v/>
      </c>
      <c r="X274">
        <f>IF($Q274="",99999+267,$X273+1+$V273+$W273)</f>
        <v/>
      </c>
      <c r="Y274">
        <f>IF($Q274="","",INDEX(บันทึกรายเที่ยว!$Q$6:$Q$6005,$R274))</f>
        <v/>
      </c>
      <c r="Z274">
        <f>IF($Q274="","",INDEX(บันทึกรายเที่ยว!$F$6:$F$6005,$R274))</f>
        <v/>
      </c>
      <c r="AA274">
        <f>IFERROR(MATCH(267,$X$8:$X$407,1),"")</f>
        <v/>
      </c>
      <c r="AB274">
        <f>IF(267=$AD$1+1,"G",IF($AA274="","",IF(INDEX($Q$8:$Q$407,$AA274)="","",IF(267&gt;INDEX($X$8:$X$407,$AA274)+INDEX($V$8:$V$407,$AA274)+INDEX($W$8:$W$407,$AA274),"",IF(267=INDEX($X$8:$X$407,$AA274)+INDEX($V$8:$V$407,$AA274)+INDEX($W$8:$W$407,$AA274),"D",IF(AND(INDEX($W$8:$W$407,$AA274)=1,267=INDEX($X$8:$X$407,$AA274)+INDEX($V$8:$V$407,$AA274)),"S","R"))))))</f>
        <v/>
      </c>
      <c r="AC274">
        <f>IF(OR($AB274="",$AB274="G"),"",IF($AB274="D",INDEX($U$8:$U$407,$AA274),IF($AB274="S",INDEX($T$8:$T$407,$AA274)&amp;"|*",INDEX($S$8:$S$407,$AA274)&amp;"|*")))</f>
        <v/>
      </c>
      <c r="AE274">
        <f>IF($U274="",0,COUNTIF(บันทึกรายเที่ยว!$T$6:$T$6005,$U274))</f>
        <v/>
      </c>
      <c r="AF274">
        <f>IF($U274="",0,ROUND(SUMIF(บันทึกรายเที่ยว!$T$6:$T$6005,$U274,บันทึกรายเที่ยว!$J$6:$J$6005),2))</f>
        <v/>
      </c>
      <c r="AG274">
        <f>IF($U274="",0,ROUND(SUMIF(บันทึกรายเที่ยว!$T$6:$T$6005,$U274,บันทึกรายเที่ยว!$K$6:$K$6005),2))</f>
        <v/>
      </c>
      <c r="AH274">
        <f>IF($U274="",0,ROUND(SUMIF(บันทึกรายเที่ยว!$T$6:$T$6005,$U274,บันทึกรายเที่ยว!$M$6:$M$6005),2))</f>
        <v/>
      </c>
    </row>
    <row r="275" ht="21" customHeight="1" s="66">
      <c r="A275" s="3">
        <f>IF($AB275="G","ผลรวมทั้งหมด",IF($AB275="R",INDEX($S$8:$S$407,$AA275),""))</f>
        <v/>
      </c>
      <c r="B275" s="3">
        <f>IF($AB275="S",INDEX($Y$8:$Y$407,$AA275),"")</f>
        <v/>
      </c>
      <c r="C275" s="68">
        <f>IF($AB275="D",INDEX($Z$8:$Z$407,$AA275),"")</f>
        <v/>
      </c>
      <c r="D275" s="31">
        <f>IF($AB275="G",SUM($AE$8:$AE$407),IF(OR($AB275="",$AB275="R"),"",IF($AB275="D",INDEX($AE$8:$AE$407,$AA275),SUMIF($T$8:$T$407,INDEX($T$8:$T$407,$AA275),$AE$8:$AE$407))))</f>
        <v/>
      </c>
      <c r="E275" s="32">
        <f>IF(268=$AD$1+3,"ขอแสดงความนับถือ",IF(268=$AD$1+6,"(                 )",IF(268=$AD$1+7,"เจ้าหน้าที่ขนส่ง",IF($AB275="G",SUM($AF$8:$AF$407),IF(OR($AB275="",$AB275="R"),"",IF($AB275="D",INDEX($AF$8:$AF$407,$AA275),SUMIF($T$8:$T$407,INDEX($T$8:$T$407,$AA275),$AF$8:$AF$407)))))))</f>
        <v/>
      </c>
      <c r="F275" s="32">
        <f>IF($AB275="G",SUM($AG$8:$AG$407),IF(OR($AB275="",$AB275="R"),"",IF($AB275="D",INDEX($AG$8:$AG$407,$AA275),SUMIF($T$8:$T$407,INDEX($T$8:$T$407,$AA275),$AG$8:$AG$407))))</f>
        <v/>
      </c>
      <c r="G275" s="32">
        <f>IF(OR($AB275="",$AB275="R"),"",ROUND($E275-$F275,2))</f>
        <v/>
      </c>
      <c r="H275" s="32">
        <f>IF($AB275="G",SUM($AH$8:$AH$407),IF(OR($AB275="",$AB275="R"),"",IF($AB275="D",INDEX($AH$8:$AH$407,$AA275),SUMIF($T$8:$T$407,INDEX($T$8:$T$407,$AA275),$AH$8:$AH$407))))</f>
        <v/>
      </c>
      <c r="J275">
        <f>IFERROR(MATCH(268,บันทึกรายเที่ยว!$W$6:$W$6005,0),"")</f>
        <v/>
      </c>
      <c r="K275">
        <f>IF($J275="","",INDEX(บันทึกรายเที่ยว!$T$6:$T$6005,$J275))</f>
        <v/>
      </c>
      <c r="L275">
        <f>IF($J275="","",INDEX(บันทึกรายเที่ยว!$S$6:$S$6005,$J275))</f>
        <v/>
      </c>
      <c r="M275">
        <f>IF($J275="","",INDEX(บันทึกรายเที่ยว!$R$6:$R$6005,$J275))</f>
        <v/>
      </c>
      <c r="N275">
        <f>IF($J275="","",MATCH($M275,บันทึกรายเที่ยว!$R$6:$R$6005,0))</f>
        <v/>
      </c>
      <c r="O275">
        <f>IF($J275="","",MATCH($L275,บันทึกรายเที่ยว!$S$6:$S$6005,0))</f>
        <v/>
      </c>
      <c r="P275">
        <f>IF($J275="","",IF(AND(OR($I$3="(ทั้งหมด)",INDEX(บันทึกรายเที่ยว!$C$6:$C$6005,$J275)=$I$3),OR($I$5="(ทั้งหมด)",INDEX(บันทึกรายเที่ยว!$D$6:$D$6005,$J275)=$I$5),OR($I$7="(ทั้งหมด)",INDEX(บันทึกรายเที่ยว!$F$6:$F$6005,$J275)=$I$7)),$N275*10000000+$O275*1000+268,""))</f>
        <v/>
      </c>
      <c r="Q275">
        <f>IFERROR(MATCH(SMALL($P$8:$P$407,268),$P$8:$P$407,0),"")</f>
        <v/>
      </c>
      <c r="R275">
        <f>IF($Q275="","",INDEX($J$8:$J$407,$Q275))</f>
        <v/>
      </c>
      <c r="S275">
        <f>IF($Q275="","",INDEX($M$8:$M$407,$Q275))</f>
        <v/>
      </c>
      <c r="T275">
        <f>IF($Q275="","",INDEX($L$8:$L$407,$Q275))</f>
        <v/>
      </c>
      <c r="U275">
        <f>IF($Q275="","",INDEX($K$8:$K$407,$Q275))</f>
        <v/>
      </c>
      <c r="V275">
        <f>IF($Q275="",0,IF($S275&lt;&gt;$S274,1,0))</f>
        <v/>
      </c>
      <c r="W275">
        <f>IF($Q275="",0,IF($T275&lt;&gt;$T274,1,0))</f>
        <v/>
      </c>
      <c r="X275">
        <f>IF($Q275="",99999+268,$X274+1+$V274+$W274)</f>
        <v/>
      </c>
      <c r="Y275">
        <f>IF($Q275="","",INDEX(บันทึกรายเที่ยว!$Q$6:$Q$6005,$R275))</f>
        <v/>
      </c>
      <c r="Z275">
        <f>IF($Q275="","",INDEX(บันทึกรายเที่ยว!$F$6:$F$6005,$R275))</f>
        <v/>
      </c>
      <c r="AA275">
        <f>IFERROR(MATCH(268,$X$8:$X$407,1),"")</f>
        <v/>
      </c>
      <c r="AB275">
        <f>IF(268=$AD$1+1,"G",IF($AA275="","",IF(INDEX($Q$8:$Q$407,$AA275)="","",IF(268&gt;INDEX($X$8:$X$407,$AA275)+INDEX($V$8:$V$407,$AA275)+INDEX($W$8:$W$407,$AA275),"",IF(268=INDEX($X$8:$X$407,$AA275)+INDEX($V$8:$V$407,$AA275)+INDEX($W$8:$W$407,$AA275),"D",IF(AND(INDEX($W$8:$W$407,$AA275)=1,268=INDEX($X$8:$X$407,$AA275)+INDEX($V$8:$V$407,$AA275)),"S","R"))))))</f>
        <v/>
      </c>
      <c r="AC275">
        <f>IF(OR($AB275="",$AB275="G"),"",IF($AB275="D",INDEX($U$8:$U$407,$AA275),IF($AB275="S",INDEX($T$8:$T$407,$AA275)&amp;"|*",INDEX($S$8:$S$407,$AA275)&amp;"|*")))</f>
        <v/>
      </c>
      <c r="AE275">
        <f>IF($U275="",0,COUNTIF(บันทึกรายเที่ยว!$T$6:$T$6005,$U275))</f>
        <v/>
      </c>
      <c r="AF275">
        <f>IF($U275="",0,ROUND(SUMIF(บันทึกรายเที่ยว!$T$6:$T$6005,$U275,บันทึกรายเที่ยว!$J$6:$J$6005),2))</f>
        <v/>
      </c>
      <c r="AG275">
        <f>IF($U275="",0,ROUND(SUMIF(บันทึกรายเที่ยว!$T$6:$T$6005,$U275,บันทึกรายเที่ยว!$K$6:$K$6005),2))</f>
        <v/>
      </c>
      <c r="AH275">
        <f>IF($U275="",0,ROUND(SUMIF(บันทึกรายเที่ยว!$T$6:$T$6005,$U275,บันทึกรายเที่ยว!$M$6:$M$6005),2))</f>
        <v/>
      </c>
    </row>
    <row r="276" ht="21" customHeight="1" s="66">
      <c r="A276" s="3">
        <f>IF($AB276="G","ผลรวมทั้งหมด",IF($AB276="R",INDEX($S$8:$S$407,$AA276),""))</f>
        <v/>
      </c>
      <c r="B276" s="3">
        <f>IF($AB276="S",INDEX($Y$8:$Y$407,$AA276),"")</f>
        <v/>
      </c>
      <c r="C276" s="68">
        <f>IF($AB276="D",INDEX($Z$8:$Z$407,$AA276),"")</f>
        <v/>
      </c>
      <c r="D276" s="31">
        <f>IF($AB276="G",SUM($AE$8:$AE$407),IF(OR($AB276="",$AB276="R"),"",IF($AB276="D",INDEX($AE$8:$AE$407,$AA276),SUMIF($T$8:$T$407,INDEX($T$8:$T$407,$AA276),$AE$8:$AE$407))))</f>
        <v/>
      </c>
      <c r="E276" s="32">
        <f>IF(269=$AD$1+3,"ขอแสดงความนับถือ",IF(269=$AD$1+6,"(                 )",IF(269=$AD$1+7,"เจ้าหน้าที่ขนส่ง",IF($AB276="G",SUM($AF$8:$AF$407),IF(OR($AB276="",$AB276="R"),"",IF($AB276="D",INDEX($AF$8:$AF$407,$AA276),SUMIF($T$8:$T$407,INDEX($T$8:$T$407,$AA276),$AF$8:$AF$407)))))))</f>
        <v/>
      </c>
      <c r="F276" s="32">
        <f>IF($AB276="G",SUM($AG$8:$AG$407),IF(OR($AB276="",$AB276="R"),"",IF($AB276="D",INDEX($AG$8:$AG$407,$AA276),SUMIF($T$8:$T$407,INDEX($T$8:$T$407,$AA276),$AG$8:$AG$407))))</f>
        <v/>
      </c>
      <c r="G276" s="32">
        <f>IF(OR($AB276="",$AB276="R"),"",ROUND($E276-$F276,2))</f>
        <v/>
      </c>
      <c r="H276" s="32">
        <f>IF($AB276="G",SUM($AH$8:$AH$407),IF(OR($AB276="",$AB276="R"),"",IF($AB276="D",INDEX($AH$8:$AH$407,$AA276),SUMIF($T$8:$T$407,INDEX($T$8:$T$407,$AA276),$AH$8:$AH$407))))</f>
        <v/>
      </c>
      <c r="J276">
        <f>IFERROR(MATCH(269,บันทึกรายเที่ยว!$W$6:$W$6005,0),"")</f>
        <v/>
      </c>
      <c r="K276">
        <f>IF($J276="","",INDEX(บันทึกรายเที่ยว!$T$6:$T$6005,$J276))</f>
        <v/>
      </c>
      <c r="L276">
        <f>IF($J276="","",INDEX(บันทึกรายเที่ยว!$S$6:$S$6005,$J276))</f>
        <v/>
      </c>
      <c r="M276">
        <f>IF($J276="","",INDEX(บันทึกรายเที่ยว!$R$6:$R$6005,$J276))</f>
        <v/>
      </c>
      <c r="N276">
        <f>IF($J276="","",MATCH($M276,บันทึกรายเที่ยว!$R$6:$R$6005,0))</f>
        <v/>
      </c>
      <c r="O276">
        <f>IF($J276="","",MATCH($L276,บันทึกรายเที่ยว!$S$6:$S$6005,0))</f>
        <v/>
      </c>
      <c r="P276">
        <f>IF($J276="","",IF(AND(OR($I$3="(ทั้งหมด)",INDEX(บันทึกรายเที่ยว!$C$6:$C$6005,$J276)=$I$3),OR($I$5="(ทั้งหมด)",INDEX(บันทึกรายเที่ยว!$D$6:$D$6005,$J276)=$I$5),OR($I$7="(ทั้งหมด)",INDEX(บันทึกรายเที่ยว!$F$6:$F$6005,$J276)=$I$7)),$N276*10000000+$O276*1000+269,""))</f>
        <v/>
      </c>
      <c r="Q276">
        <f>IFERROR(MATCH(SMALL($P$8:$P$407,269),$P$8:$P$407,0),"")</f>
        <v/>
      </c>
      <c r="R276">
        <f>IF($Q276="","",INDEX($J$8:$J$407,$Q276))</f>
        <v/>
      </c>
      <c r="S276">
        <f>IF($Q276="","",INDEX($M$8:$M$407,$Q276))</f>
        <v/>
      </c>
      <c r="T276">
        <f>IF($Q276="","",INDEX($L$8:$L$407,$Q276))</f>
        <v/>
      </c>
      <c r="U276">
        <f>IF($Q276="","",INDEX($K$8:$K$407,$Q276))</f>
        <v/>
      </c>
      <c r="V276">
        <f>IF($Q276="",0,IF($S276&lt;&gt;$S275,1,0))</f>
        <v/>
      </c>
      <c r="W276">
        <f>IF($Q276="",0,IF($T276&lt;&gt;$T275,1,0))</f>
        <v/>
      </c>
      <c r="X276">
        <f>IF($Q276="",99999+269,$X275+1+$V275+$W275)</f>
        <v/>
      </c>
      <c r="Y276">
        <f>IF($Q276="","",INDEX(บันทึกรายเที่ยว!$Q$6:$Q$6005,$R276))</f>
        <v/>
      </c>
      <c r="Z276">
        <f>IF($Q276="","",INDEX(บันทึกรายเที่ยว!$F$6:$F$6005,$R276))</f>
        <v/>
      </c>
      <c r="AA276">
        <f>IFERROR(MATCH(269,$X$8:$X$407,1),"")</f>
        <v/>
      </c>
      <c r="AB276">
        <f>IF(269=$AD$1+1,"G",IF($AA276="","",IF(INDEX($Q$8:$Q$407,$AA276)="","",IF(269&gt;INDEX($X$8:$X$407,$AA276)+INDEX($V$8:$V$407,$AA276)+INDEX($W$8:$W$407,$AA276),"",IF(269=INDEX($X$8:$X$407,$AA276)+INDEX($V$8:$V$407,$AA276)+INDEX($W$8:$W$407,$AA276),"D",IF(AND(INDEX($W$8:$W$407,$AA276)=1,269=INDEX($X$8:$X$407,$AA276)+INDEX($V$8:$V$407,$AA276)),"S","R"))))))</f>
        <v/>
      </c>
      <c r="AC276">
        <f>IF(OR($AB276="",$AB276="G"),"",IF($AB276="D",INDEX($U$8:$U$407,$AA276),IF($AB276="S",INDEX($T$8:$T$407,$AA276)&amp;"|*",INDEX($S$8:$S$407,$AA276)&amp;"|*")))</f>
        <v/>
      </c>
      <c r="AE276">
        <f>IF($U276="",0,COUNTIF(บันทึกรายเที่ยว!$T$6:$T$6005,$U276))</f>
        <v/>
      </c>
      <c r="AF276">
        <f>IF($U276="",0,ROUND(SUMIF(บันทึกรายเที่ยว!$T$6:$T$6005,$U276,บันทึกรายเที่ยว!$J$6:$J$6005),2))</f>
        <v/>
      </c>
      <c r="AG276">
        <f>IF($U276="",0,ROUND(SUMIF(บันทึกรายเที่ยว!$T$6:$T$6005,$U276,บันทึกรายเที่ยว!$K$6:$K$6005),2))</f>
        <v/>
      </c>
      <c r="AH276">
        <f>IF($U276="",0,ROUND(SUMIF(บันทึกรายเที่ยว!$T$6:$T$6005,$U276,บันทึกรายเที่ยว!$M$6:$M$6005),2))</f>
        <v/>
      </c>
    </row>
    <row r="277" ht="21" customHeight="1" s="66">
      <c r="A277" s="3">
        <f>IF($AB277="G","ผลรวมทั้งหมด",IF($AB277="R",INDEX($S$8:$S$407,$AA277),""))</f>
        <v/>
      </c>
      <c r="B277" s="3">
        <f>IF($AB277="S",INDEX($Y$8:$Y$407,$AA277),"")</f>
        <v/>
      </c>
      <c r="C277" s="68">
        <f>IF($AB277="D",INDEX($Z$8:$Z$407,$AA277),"")</f>
        <v/>
      </c>
      <c r="D277" s="31">
        <f>IF($AB277="G",SUM($AE$8:$AE$407),IF(OR($AB277="",$AB277="R"),"",IF($AB277="D",INDEX($AE$8:$AE$407,$AA277),SUMIF($T$8:$T$407,INDEX($T$8:$T$407,$AA277),$AE$8:$AE$407))))</f>
        <v/>
      </c>
      <c r="E277" s="32">
        <f>IF(270=$AD$1+3,"ขอแสดงความนับถือ",IF(270=$AD$1+6,"(                 )",IF(270=$AD$1+7,"เจ้าหน้าที่ขนส่ง",IF($AB277="G",SUM($AF$8:$AF$407),IF(OR($AB277="",$AB277="R"),"",IF($AB277="D",INDEX($AF$8:$AF$407,$AA277),SUMIF($T$8:$T$407,INDEX($T$8:$T$407,$AA277),$AF$8:$AF$407)))))))</f>
        <v/>
      </c>
      <c r="F277" s="32">
        <f>IF($AB277="G",SUM($AG$8:$AG$407),IF(OR($AB277="",$AB277="R"),"",IF($AB277="D",INDEX($AG$8:$AG$407,$AA277),SUMIF($T$8:$T$407,INDEX($T$8:$T$407,$AA277),$AG$8:$AG$407))))</f>
        <v/>
      </c>
      <c r="G277" s="32">
        <f>IF(OR($AB277="",$AB277="R"),"",ROUND($E277-$F277,2))</f>
        <v/>
      </c>
      <c r="H277" s="32">
        <f>IF($AB277="G",SUM($AH$8:$AH$407),IF(OR($AB277="",$AB277="R"),"",IF($AB277="D",INDEX($AH$8:$AH$407,$AA277),SUMIF($T$8:$T$407,INDEX($T$8:$T$407,$AA277),$AH$8:$AH$407))))</f>
        <v/>
      </c>
      <c r="J277">
        <f>IFERROR(MATCH(270,บันทึกรายเที่ยว!$W$6:$W$6005,0),"")</f>
        <v/>
      </c>
      <c r="K277">
        <f>IF($J277="","",INDEX(บันทึกรายเที่ยว!$T$6:$T$6005,$J277))</f>
        <v/>
      </c>
      <c r="L277">
        <f>IF($J277="","",INDEX(บันทึกรายเที่ยว!$S$6:$S$6005,$J277))</f>
        <v/>
      </c>
      <c r="M277">
        <f>IF($J277="","",INDEX(บันทึกรายเที่ยว!$R$6:$R$6005,$J277))</f>
        <v/>
      </c>
      <c r="N277">
        <f>IF($J277="","",MATCH($M277,บันทึกรายเที่ยว!$R$6:$R$6005,0))</f>
        <v/>
      </c>
      <c r="O277">
        <f>IF($J277="","",MATCH($L277,บันทึกรายเที่ยว!$S$6:$S$6005,0))</f>
        <v/>
      </c>
      <c r="P277">
        <f>IF($J277="","",IF(AND(OR($I$3="(ทั้งหมด)",INDEX(บันทึกรายเที่ยว!$C$6:$C$6005,$J277)=$I$3),OR($I$5="(ทั้งหมด)",INDEX(บันทึกรายเที่ยว!$D$6:$D$6005,$J277)=$I$5),OR($I$7="(ทั้งหมด)",INDEX(บันทึกรายเที่ยว!$F$6:$F$6005,$J277)=$I$7)),$N277*10000000+$O277*1000+270,""))</f>
        <v/>
      </c>
      <c r="Q277">
        <f>IFERROR(MATCH(SMALL($P$8:$P$407,270),$P$8:$P$407,0),"")</f>
        <v/>
      </c>
      <c r="R277">
        <f>IF($Q277="","",INDEX($J$8:$J$407,$Q277))</f>
        <v/>
      </c>
      <c r="S277">
        <f>IF($Q277="","",INDEX($M$8:$M$407,$Q277))</f>
        <v/>
      </c>
      <c r="T277">
        <f>IF($Q277="","",INDEX($L$8:$L$407,$Q277))</f>
        <v/>
      </c>
      <c r="U277">
        <f>IF($Q277="","",INDEX($K$8:$K$407,$Q277))</f>
        <v/>
      </c>
      <c r="V277">
        <f>IF($Q277="",0,IF($S277&lt;&gt;$S276,1,0))</f>
        <v/>
      </c>
      <c r="W277">
        <f>IF($Q277="",0,IF($T277&lt;&gt;$T276,1,0))</f>
        <v/>
      </c>
      <c r="X277">
        <f>IF($Q277="",99999+270,$X276+1+$V276+$W276)</f>
        <v/>
      </c>
      <c r="Y277">
        <f>IF($Q277="","",INDEX(บันทึกรายเที่ยว!$Q$6:$Q$6005,$R277))</f>
        <v/>
      </c>
      <c r="Z277">
        <f>IF($Q277="","",INDEX(บันทึกรายเที่ยว!$F$6:$F$6005,$R277))</f>
        <v/>
      </c>
      <c r="AA277">
        <f>IFERROR(MATCH(270,$X$8:$X$407,1),"")</f>
        <v/>
      </c>
      <c r="AB277">
        <f>IF(270=$AD$1+1,"G",IF($AA277="","",IF(INDEX($Q$8:$Q$407,$AA277)="","",IF(270&gt;INDEX($X$8:$X$407,$AA277)+INDEX($V$8:$V$407,$AA277)+INDEX($W$8:$W$407,$AA277),"",IF(270=INDEX($X$8:$X$407,$AA277)+INDEX($V$8:$V$407,$AA277)+INDEX($W$8:$W$407,$AA277),"D",IF(AND(INDEX($W$8:$W$407,$AA277)=1,270=INDEX($X$8:$X$407,$AA277)+INDEX($V$8:$V$407,$AA277)),"S","R"))))))</f>
        <v/>
      </c>
      <c r="AC277">
        <f>IF(OR($AB277="",$AB277="G"),"",IF($AB277="D",INDEX($U$8:$U$407,$AA277),IF($AB277="S",INDEX($T$8:$T$407,$AA277)&amp;"|*",INDEX($S$8:$S$407,$AA277)&amp;"|*")))</f>
        <v/>
      </c>
      <c r="AE277">
        <f>IF($U277="",0,COUNTIF(บันทึกรายเที่ยว!$T$6:$T$6005,$U277))</f>
        <v/>
      </c>
      <c r="AF277">
        <f>IF($U277="",0,ROUND(SUMIF(บันทึกรายเที่ยว!$T$6:$T$6005,$U277,บันทึกรายเที่ยว!$J$6:$J$6005),2))</f>
        <v/>
      </c>
      <c r="AG277">
        <f>IF($U277="",0,ROUND(SUMIF(บันทึกรายเที่ยว!$T$6:$T$6005,$U277,บันทึกรายเที่ยว!$K$6:$K$6005),2))</f>
        <v/>
      </c>
      <c r="AH277">
        <f>IF($U277="",0,ROUND(SUMIF(บันทึกรายเที่ยว!$T$6:$T$6005,$U277,บันทึกรายเที่ยว!$M$6:$M$6005),2))</f>
        <v/>
      </c>
    </row>
    <row r="278" ht="21" customHeight="1" s="66">
      <c r="A278" s="3">
        <f>IF($AB278="G","ผลรวมทั้งหมด",IF($AB278="R",INDEX($S$8:$S$407,$AA278),""))</f>
        <v/>
      </c>
      <c r="B278" s="3">
        <f>IF($AB278="S",INDEX($Y$8:$Y$407,$AA278),"")</f>
        <v/>
      </c>
      <c r="C278" s="68">
        <f>IF($AB278="D",INDEX($Z$8:$Z$407,$AA278),"")</f>
        <v/>
      </c>
      <c r="D278" s="31">
        <f>IF($AB278="G",SUM($AE$8:$AE$407),IF(OR($AB278="",$AB278="R"),"",IF($AB278="D",INDEX($AE$8:$AE$407,$AA278),SUMIF($T$8:$T$407,INDEX($T$8:$T$407,$AA278),$AE$8:$AE$407))))</f>
        <v/>
      </c>
      <c r="E278" s="32">
        <f>IF(271=$AD$1+3,"ขอแสดงความนับถือ",IF(271=$AD$1+6,"(                 )",IF(271=$AD$1+7,"เจ้าหน้าที่ขนส่ง",IF($AB278="G",SUM($AF$8:$AF$407),IF(OR($AB278="",$AB278="R"),"",IF($AB278="D",INDEX($AF$8:$AF$407,$AA278),SUMIF($T$8:$T$407,INDEX($T$8:$T$407,$AA278),$AF$8:$AF$407)))))))</f>
        <v/>
      </c>
      <c r="F278" s="32">
        <f>IF($AB278="G",SUM($AG$8:$AG$407),IF(OR($AB278="",$AB278="R"),"",IF($AB278="D",INDEX($AG$8:$AG$407,$AA278),SUMIF($T$8:$T$407,INDEX($T$8:$T$407,$AA278),$AG$8:$AG$407))))</f>
        <v/>
      </c>
      <c r="G278" s="32">
        <f>IF(OR($AB278="",$AB278="R"),"",ROUND($E278-$F278,2))</f>
        <v/>
      </c>
      <c r="H278" s="32">
        <f>IF($AB278="G",SUM($AH$8:$AH$407),IF(OR($AB278="",$AB278="R"),"",IF($AB278="D",INDEX($AH$8:$AH$407,$AA278),SUMIF($T$8:$T$407,INDEX($T$8:$T$407,$AA278),$AH$8:$AH$407))))</f>
        <v/>
      </c>
      <c r="J278">
        <f>IFERROR(MATCH(271,บันทึกรายเที่ยว!$W$6:$W$6005,0),"")</f>
        <v/>
      </c>
      <c r="K278">
        <f>IF($J278="","",INDEX(บันทึกรายเที่ยว!$T$6:$T$6005,$J278))</f>
        <v/>
      </c>
      <c r="L278">
        <f>IF($J278="","",INDEX(บันทึกรายเที่ยว!$S$6:$S$6005,$J278))</f>
        <v/>
      </c>
      <c r="M278">
        <f>IF($J278="","",INDEX(บันทึกรายเที่ยว!$R$6:$R$6005,$J278))</f>
        <v/>
      </c>
      <c r="N278">
        <f>IF($J278="","",MATCH($M278,บันทึกรายเที่ยว!$R$6:$R$6005,0))</f>
        <v/>
      </c>
      <c r="O278">
        <f>IF($J278="","",MATCH($L278,บันทึกรายเที่ยว!$S$6:$S$6005,0))</f>
        <v/>
      </c>
      <c r="P278">
        <f>IF($J278="","",IF(AND(OR($I$3="(ทั้งหมด)",INDEX(บันทึกรายเที่ยว!$C$6:$C$6005,$J278)=$I$3),OR($I$5="(ทั้งหมด)",INDEX(บันทึกรายเที่ยว!$D$6:$D$6005,$J278)=$I$5),OR($I$7="(ทั้งหมด)",INDEX(บันทึกรายเที่ยว!$F$6:$F$6005,$J278)=$I$7)),$N278*10000000+$O278*1000+271,""))</f>
        <v/>
      </c>
      <c r="Q278">
        <f>IFERROR(MATCH(SMALL($P$8:$P$407,271),$P$8:$P$407,0),"")</f>
        <v/>
      </c>
      <c r="R278">
        <f>IF($Q278="","",INDEX($J$8:$J$407,$Q278))</f>
        <v/>
      </c>
      <c r="S278">
        <f>IF($Q278="","",INDEX($M$8:$M$407,$Q278))</f>
        <v/>
      </c>
      <c r="T278">
        <f>IF($Q278="","",INDEX($L$8:$L$407,$Q278))</f>
        <v/>
      </c>
      <c r="U278">
        <f>IF($Q278="","",INDEX($K$8:$K$407,$Q278))</f>
        <v/>
      </c>
      <c r="V278">
        <f>IF($Q278="",0,IF($S278&lt;&gt;$S277,1,0))</f>
        <v/>
      </c>
      <c r="W278">
        <f>IF($Q278="",0,IF($T278&lt;&gt;$T277,1,0))</f>
        <v/>
      </c>
      <c r="X278">
        <f>IF($Q278="",99999+271,$X277+1+$V277+$W277)</f>
        <v/>
      </c>
      <c r="Y278">
        <f>IF($Q278="","",INDEX(บันทึกรายเที่ยว!$Q$6:$Q$6005,$R278))</f>
        <v/>
      </c>
      <c r="Z278">
        <f>IF($Q278="","",INDEX(บันทึกรายเที่ยว!$F$6:$F$6005,$R278))</f>
        <v/>
      </c>
      <c r="AA278">
        <f>IFERROR(MATCH(271,$X$8:$X$407,1),"")</f>
        <v/>
      </c>
      <c r="AB278">
        <f>IF(271=$AD$1+1,"G",IF($AA278="","",IF(INDEX($Q$8:$Q$407,$AA278)="","",IF(271&gt;INDEX($X$8:$X$407,$AA278)+INDEX($V$8:$V$407,$AA278)+INDEX($W$8:$W$407,$AA278),"",IF(271=INDEX($X$8:$X$407,$AA278)+INDEX($V$8:$V$407,$AA278)+INDEX($W$8:$W$407,$AA278),"D",IF(AND(INDEX($W$8:$W$407,$AA278)=1,271=INDEX($X$8:$X$407,$AA278)+INDEX($V$8:$V$407,$AA278)),"S","R"))))))</f>
        <v/>
      </c>
      <c r="AC278">
        <f>IF(OR($AB278="",$AB278="G"),"",IF($AB278="D",INDEX($U$8:$U$407,$AA278),IF($AB278="S",INDEX($T$8:$T$407,$AA278)&amp;"|*",INDEX($S$8:$S$407,$AA278)&amp;"|*")))</f>
        <v/>
      </c>
      <c r="AE278">
        <f>IF($U278="",0,COUNTIF(บันทึกรายเที่ยว!$T$6:$T$6005,$U278))</f>
        <v/>
      </c>
      <c r="AF278">
        <f>IF($U278="",0,ROUND(SUMIF(บันทึกรายเที่ยว!$T$6:$T$6005,$U278,บันทึกรายเที่ยว!$J$6:$J$6005),2))</f>
        <v/>
      </c>
      <c r="AG278">
        <f>IF($U278="",0,ROUND(SUMIF(บันทึกรายเที่ยว!$T$6:$T$6005,$U278,บันทึกรายเที่ยว!$K$6:$K$6005),2))</f>
        <v/>
      </c>
      <c r="AH278">
        <f>IF($U278="",0,ROUND(SUMIF(บันทึกรายเที่ยว!$T$6:$T$6005,$U278,บันทึกรายเที่ยว!$M$6:$M$6005),2))</f>
        <v/>
      </c>
    </row>
    <row r="279" ht="21" customHeight="1" s="66">
      <c r="A279" s="3">
        <f>IF($AB279="G","ผลรวมทั้งหมด",IF($AB279="R",INDEX($S$8:$S$407,$AA279),""))</f>
        <v/>
      </c>
      <c r="B279" s="3">
        <f>IF($AB279="S",INDEX($Y$8:$Y$407,$AA279),"")</f>
        <v/>
      </c>
      <c r="C279" s="68">
        <f>IF($AB279="D",INDEX($Z$8:$Z$407,$AA279),"")</f>
        <v/>
      </c>
      <c r="D279" s="31">
        <f>IF($AB279="G",SUM($AE$8:$AE$407),IF(OR($AB279="",$AB279="R"),"",IF($AB279="D",INDEX($AE$8:$AE$407,$AA279),SUMIF($T$8:$T$407,INDEX($T$8:$T$407,$AA279),$AE$8:$AE$407))))</f>
        <v/>
      </c>
      <c r="E279" s="32">
        <f>IF(272=$AD$1+3,"ขอแสดงความนับถือ",IF(272=$AD$1+6,"(                 )",IF(272=$AD$1+7,"เจ้าหน้าที่ขนส่ง",IF($AB279="G",SUM($AF$8:$AF$407),IF(OR($AB279="",$AB279="R"),"",IF($AB279="D",INDEX($AF$8:$AF$407,$AA279),SUMIF($T$8:$T$407,INDEX($T$8:$T$407,$AA279),$AF$8:$AF$407)))))))</f>
        <v/>
      </c>
      <c r="F279" s="32">
        <f>IF($AB279="G",SUM($AG$8:$AG$407),IF(OR($AB279="",$AB279="R"),"",IF($AB279="D",INDEX($AG$8:$AG$407,$AA279),SUMIF($T$8:$T$407,INDEX($T$8:$T$407,$AA279),$AG$8:$AG$407))))</f>
        <v/>
      </c>
      <c r="G279" s="32">
        <f>IF(OR($AB279="",$AB279="R"),"",ROUND($E279-$F279,2))</f>
        <v/>
      </c>
      <c r="H279" s="32">
        <f>IF($AB279="G",SUM($AH$8:$AH$407),IF(OR($AB279="",$AB279="R"),"",IF($AB279="D",INDEX($AH$8:$AH$407,$AA279),SUMIF($T$8:$T$407,INDEX($T$8:$T$407,$AA279),$AH$8:$AH$407))))</f>
        <v/>
      </c>
      <c r="J279">
        <f>IFERROR(MATCH(272,บันทึกรายเที่ยว!$W$6:$W$6005,0),"")</f>
        <v/>
      </c>
      <c r="K279">
        <f>IF($J279="","",INDEX(บันทึกรายเที่ยว!$T$6:$T$6005,$J279))</f>
        <v/>
      </c>
      <c r="L279">
        <f>IF($J279="","",INDEX(บันทึกรายเที่ยว!$S$6:$S$6005,$J279))</f>
        <v/>
      </c>
      <c r="M279">
        <f>IF($J279="","",INDEX(บันทึกรายเที่ยว!$R$6:$R$6005,$J279))</f>
        <v/>
      </c>
      <c r="N279">
        <f>IF($J279="","",MATCH($M279,บันทึกรายเที่ยว!$R$6:$R$6005,0))</f>
        <v/>
      </c>
      <c r="O279">
        <f>IF($J279="","",MATCH($L279,บันทึกรายเที่ยว!$S$6:$S$6005,0))</f>
        <v/>
      </c>
      <c r="P279">
        <f>IF($J279="","",IF(AND(OR($I$3="(ทั้งหมด)",INDEX(บันทึกรายเที่ยว!$C$6:$C$6005,$J279)=$I$3),OR($I$5="(ทั้งหมด)",INDEX(บันทึกรายเที่ยว!$D$6:$D$6005,$J279)=$I$5),OR($I$7="(ทั้งหมด)",INDEX(บันทึกรายเที่ยว!$F$6:$F$6005,$J279)=$I$7)),$N279*10000000+$O279*1000+272,""))</f>
        <v/>
      </c>
      <c r="Q279">
        <f>IFERROR(MATCH(SMALL($P$8:$P$407,272),$P$8:$P$407,0),"")</f>
        <v/>
      </c>
      <c r="R279">
        <f>IF($Q279="","",INDEX($J$8:$J$407,$Q279))</f>
        <v/>
      </c>
      <c r="S279">
        <f>IF($Q279="","",INDEX($M$8:$M$407,$Q279))</f>
        <v/>
      </c>
      <c r="T279">
        <f>IF($Q279="","",INDEX($L$8:$L$407,$Q279))</f>
        <v/>
      </c>
      <c r="U279">
        <f>IF($Q279="","",INDEX($K$8:$K$407,$Q279))</f>
        <v/>
      </c>
      <c r="V279">
        <f>IF($Q279="",0,IF($S279&lt;&gt;$S278,1,0))</f>
        <v/>
      </c>
      <c r="W279">
        <f>IF($Q279="",0,IF($T279&lt;&gt;$T278,1,0))</f>
        <v/>
      </c>
      <c r="X279">
        <f>IF($Q279="",99999+272,$X278+1+$V278+$W278)</f>
        <v/>
      </c>
      <c r="Y279">
        <f>IF($Q279="","",INDEX(บันทึกรายเที่ยว!$Q$6:$Q$6005,$R279))</f>
        <v/>
      </c>
      <c r="Z279">
        <f>IF($Q279="","",INDEX(บันทึกรายเที่ยว!$F$6:$F$6005,$R279))</f>
        <v/>
      </c>
      <c r="AA279">
        <f>IFERROR(MATCH(272,$X$8:$X$407,1),"")</f>
        <v/>
      </c>
      <c r="AB279">
        <f>IF(272=$AD$1+1,"G",IF($AA279="","",IF(INDEX($Q$8:$Q$407,$AA279)="","",IF(272&gt;INDEX($X$8:$X$407,$AA279)+INDEX($V$8:$V$407,$AA279)+INDEX($W$8:$W$407,$AA279),"",IF(272=INDEX($X$8:$X$407,$AA279)+INDEX($V$8:$V$407,$AA279)+INDEX($W$8:$W$407,$AA279),"D",IF(AND(INDEX($W$8:$W$407,$AA279)=1,272=INDEX($X$8:$X$407,$AA279)+INDEX($V$8:$V$407,$AA279)),"S","R"))))))</f>
        <v/>
      </c>
      <c r="AC279">
        <f>IF(OR($AB279="",$AB279="G"),"",IF($AB279="D",INDEX($U$8:$U$407,$AA279),IF($AB279="S",INDEX($T$8:$T$407,$AA279)&amp;"|*",INDEX($S$8:$S$407,$AA279)&amp;"|*")))</f>
        <v/>
      </c>
      <c r="AE279">
        <f>IF($U279="",0,COUNTIF(บันทึกรายเที่ยว!$T$6:$T$6005,$U279))</f>
        <v/>
      </c>
      <c r="AF279">
        <f>IF($U279="",0,ROUND(SUMIF(บันทึกรายเที่ยว!$T$6:$T$6005,$U279,บันทึกรายเที่ยว!$J$6:$J$6005),2))</f>
        <v/>
      </c>
      <c r="AG279">
        <f>IF($U279="",0,ROUND(SUMIF(บันทึกรายเที่ยว!$T$6:$T$6005,$U279,บันทึกรายเที่ยว!$K$6:$K$6005),2))</f>
        <v/>
      </c>
      <c r="AH279">
        <f>IF($U279="",0,ROUND(SUMIF(บันทึกรายเที่ยว!$T$6:$T$6005,$U279,บันทึกรายเที่ยว!$M$6:$M$6005),2))</f>
        <v/>
      </c>
    </row>
    <row r="280" ht="21" customHeight="1" s="66">
      <c r="A280" s="3">
        <f>IF($AB280="G","ผลรวมทั้งหมด",IF($AB280="R",INDEX($S$8:$S$407,$AA280),""))</f>
        <v/>
      </c>
      <c r="B280" s="3">
        <f>IF($AB280="S",INDEX($Y$8:$Y$407,$AA280),"")</f>
        <v/>
      </c>
      <c r="C280" s="68">
        <f>IF($AB280="D",INDEX($Z$8:$Z$407,$AA280),"")</f>
        <v/>
      </c>
      <c r="D280" s="31">
        <f>IF($AB280="G",SUM($AE$8:$AE$407),IF(OR($AB280="",$AB280="R"),"",IF($AB280="D",INDEX($AE$8:$AE$407,$AA280),SUMIF($T$8:$T$407,INDEX($T$8:$T$407,$AA280),$AE$8:$AE$407))))</f>
        <v/>
      </c>
      <c r="E280" s="32">
        <f>IF(273=$AD$1+3,"ขอแสดงความนับถือ",IF(273=$AD$1+6,"(                 )",IF(273=$AD$1+7,"เจ้าหน้าที่ขนส่ง",IF($AB280="G",SUM($AF$8:$AF$407),IF(OR($AB280="",$AB280="R"),"",IF($AB280="D",INDEX($AF$8:$AF$407,$AA280),SUMIF($T$8:$T$407,INDEX($T$8:$T$407,$AA280),$AF$8:$AF$407)))))))</f>
        <v/>
      </c>
      <c r="F280" s="32">
        <f>IF($AB280="G",SUM($AG$8:$AG$407),IF(OR($AB280="",$AB280="R"),"",IF($AB280="D",INDEX($AG$8:$AG$407,$AA280),SUMIF($T$8:$T$407,INDEX($T$8:$T$407,$AA280),$AG$8:$AG$407))))</f>
        <v/>
      </c>
      <c r="G280" s="32">
        <f>IF(OR($AB280="",$AB280="R"),"",ROUND($E280-$F280,2))</f>
        <v/>
      </c>
      <c r="H280" s="32">
        <f>IF($AB280="G",SUM($AH$8:$AH$407),IF(OR($AB280="",$AB280="R"),"",IF($AB280="D",INDEX($AH$8:$AH$407,$AA280),SUMIF($T$8:$T$407,INDEX($T$8:$T$407,$AA280),$AH$8:$AH$407))))</f>
        <v/>
      </c>
      <c r="J280">
        <f>IFERROR(MATCH(273,บันทึกรายเที่ยว!$W$6:$W$6005,0),"")</f>
        <v/>
      </c>
      <c r="K280">
        <f>IF($J280="","",INDEX(บันทึกรายเที่ยว!$T$6:$T$6005,$J280))</f>
        <v/>
      </c>
      <c r="L280">
        <f>IF($J280="","",INDEX(บันทึกรายเที่ยว!$S$6:$S$6005,$J280))</f>
        <v/>
      </c>
      <c r="M280">
        <f>IF($J280="","",INDEX(บันทึกรายเที่ยว!$R$6:$R$6005,$J280))</f>
        <v/>
      </c>
      <c r="N280">
        <f>IF($J280="","",MATCH($M280,บันทึกรายเที่ยว!$R$6:$R$6005,0))</f>
        <v/>
      </c>
      <c r="O280">
        <f>IF($J280="","",MATCH($L280,บันทึกรายเที่ยว!$S$6:$S$6005,0))</f>
        <v/>
      </c>
      <c r="P280">
        <f>IF($J280="","",IF(AND(OR($I$3="(ทั้งหมด)",INDEX(บันทึกรายเที่ยว!$C$6:$C$6005,$J280)=$I$3),OR($I$5="(ทั้งหมด)",INDEX(บันทึกรายเที่ยว!$D$6:$D$6005,$J280)=$I$5),OR($I$7="(ทั้งหมด)",INDEX(บันทึกรายเที่ยว!$F$6:$F$6005,$J280)=$I$7)),$N280*10000000+$O280*1000+273,""))</f>
        <v/>
      </c>
      <c r="Q280">
        <f>IFERROR(MATCH(SMALL($P$8:$P$407,273),$P$8:$P$407,0),"")</f>
        <v/>
      </c>
      <c r="R280">
        <f>IF($Q280="","",INDEX($J$8:$J$407,$Q280))</f>
        <v/>
      </c>
      <c r="S280">
        <f>IF($Q280="","",INDEX($M$8:$M$407,$Q280))</f>
        <v/>
      </c>
      <c r="T280">
        <f>IF($Q280="","",INDEX($L$8:$L$407,$Q280))</f>
        <v/>
      </c>
      <c r="U280">
        <f>IF($Q280="","",INDEX($K$8:$K$407,$Q280))</f>
        <v/>
      </c>
      <c r="V280">
        <f>IF($Q280="",0,IF($S280&lt;&gt;$S279,1,0))</f>
        <v/>
      </c>
      <c r="W280">
        <f>IF($Q280="",0,IF($T280&lt;&gt;$T279,1,0))</f>
        <v/>
      </c>
      <c r="X280">
        <f>IF($Q280="",99999+273,$X279+1+$V279+$W279)</f>
        <v/>
      </c>
      <c r="Y280">
        <f>IF($Q280="","",INDEX(บันทึกรายเที่ยว!$Q$6:$Q$6005,$R280))</f>
        <v/>
      </c>
      <c r="Z280">
        <f>IF($Q280="","",INDEX(บันทึกรายเที่ยว!$F$6:$F$6005,$R280))</f>
        <v/>
      </c>
      <c r="AA280">
        <f>IFERROR(MATCH(273,$X$8:$X$407,1),"")</f>
        <v/>
      </c>
      <c r="AB280">
        <f>IF(273=$AD$1+1,"G",IF($AA280="","",IF(INDEX($Q$8:$Q$407,$AA280)="","",IF(273&gt;INDEX($X$8:$X$407,$AA280)+INDEX($V$8:$V$407,$AA280)+INDEX($W$8:$W$407,$AA280),"",IF(273=INDEX($X$8:$X$407,$AA280)+INDEX($V$8:$V$407,$AA280)+INDEX($W$8:$W$407,$AA280),"D",IF(AND(INDEX($W$8:$W$407,$AA280)=1,273=INDEX($X$8:$X$407,$AA280)+INDEX($V$8:$V$407,$AA280)),"S","R"))))))</f>
        <v/>
      </c>
      <c r="AC280">
        <f>IF(OR($AB280="",$AB280="G"),"",IF($AB280="D",INDEX($U$8:$U$407,$AA280),IF($AB280="S",INDEX($T$8:$T$407,$AA280)&amp;"|*",INDEX($S$8:$S$407,$AA280)&amp;"|*")))</f>
        <v/>
      </c>
      <c r="AE280">
        <f>IF($U280="",0,COUNTIF(บันทึกรายเที่ยว!$T$6:$T$6005,$U280))</f>
        <v/>
      </c>
      <c r="AF280">
        <f>IF($U280="",0,ROUND(SUMIF(บันทึกรายเที่ยว!$T$6:$T$6005,$U280,บันทึกรายเที่ยว!$J$6:$J$6005),2))</f>
        <v/>
      </c>
      <c r="AG280">
        <f>IF($U280="",0,ROUND(SUMIF(บันทึกรายเที่ยว!$T$6:$T$6005,$U280,บันทึกรายเที่ยว!$K$6:$K$6005),2))</f>
        <v/>
      </c>
      <c r="AH280">
        <f>IF($U280="",0,ROUND(SUMIF(บันทึกรายเที่ยว!$T$6:$T$6005,$U280,บันทึกรายเที่ยว!$M$6:$M$6005),2))</f>
        <v/>
      </c>
    </row>
    <row r="281" ht="21" customHeight="1" s="66">
      <c r="A281" s="3">
        <f>IF($AB281="G","ผลรวมทั้งหมด",IF($AB281="R",INDEX($S$8:$S$407,$AA281),""))</f>
        <v/>
      </c>
      <c r="B281" s="3">
        <f>IF($AB281="S",INDEX($Y$8:$Y$407,$AA281),"")</f>
        <v/>
      </c>
      <c r="C281" s="68">
        <f>IF($AB281="D",INDEX($Z$8:$Z$407,$AA281),"")</f>
        <v/>
      </c>
      <c r="D281" s="31">
        <f>IF($AB281="G",SUM($AE$8:$AE$407),IF(OR($AB281="",$AB281="R"),"",IF($AB281="D",INDEX($AE$8:$AE$407,$AA281),SUMIF($T$8:$T$407,INDEX($T$8:$T$407,$AA281),$AE$8:$AE$407))))</f>
        <v/>
      </c>
      <c r="E281" s="32">
        <f>IF(274=$AD$1+3,"ขอแสดงความนับถือ",IF(274=$AD$1+6,"(                 )",IF(274=$AD$1+7,"เจ้าหน้าที่ขนส่ง",IF($AB281="G",SUM($AF$8:$AF$407),IF(OR($AB281="",$AB281="R"),"",IF($AB281="D",INDEX($AF$8:$AF$407,$AA281),SUMIF($T$8:$T$407,INDEX($T$8:$T$407,$AA281),$AF$8:$AF$407)))))))</f>
        <v/>
      </c>
      <c r="F281" s="32">
        <f>IF($AB281="G",SUM($AG$8:$AG$407),IF(OR($AB281="",$AB281="R"),"",IF($AB281="D",INDEX($AG$8:$AG$407,$AA281),SUMIF($T$8:$T$407,INDEX($T$8:$T$407,$AA281),$AG$8:$AG$407))))</f>
        <v/>
      </c>
      <c r="G281" s="32">
        <f>IF(OR($AB281="",$AB281="R"),"",ROUND($E281-$F281,2))</f>
        <v/>
      </c>
      <c r="H281" s="32">
        <f>IF($AB281="G",SUM($AH$8:$AH$407),IF(OR($AB281="",$AB281="R"),"",IF($AB281="D",INDEX($AH$8:$AH$407,$AA281),SUMIF($T$8:$T$407,INDEX($T$8:$T$407,$AA281),$AH$8:$AH$407))))</f>
        <v/>
      </c>
      <c r="J281">
        <f>IFERROR(MATCH(274,บันทึกรายเที่ยว!$W$6:$W$6005,0),"")</f>
        <v/>
      </c>
      <c r="K281">
        <f>IF($J281="","",INDEX(บันทึกรายเที่ยว!$T$6:$T$6005,$J281))</f>
        <v/>
      </c>
      <c r="L281">
        <f>IF($J281="","",INDEX(บันทึกรายเที่ยว!$S$6:$S$6005,$J281))</f>
        <v/>
      </c>
      <c r="M281">
        <f>IF($J281="","",INDEX(บันทึกรายเที่ยว!$R$6:$R$6005,$J281))</f>
        <v/>
      </c>
      <c r="N281">
        <f>IF($J281="","",MATCH($M281,บันทึกรายเที่ยว!$R$6:$R$6005,0))</f>
        <v/>
      </c>
      <c r="O281">
        <f>IF($J281="","",MATCH($L281,บันทึกรายเที่ยว!$S$6:$S$6005,0))</f>
        <v/>
      </c>
      <c r="P281">
        <f>IF($J281="","",IF(AND(OR($I$3="(ทั้งหมด)",INDEX(บันทึกรายเที่ยว!$C$6:$C$6005,$J281)=$I$3),OR($I$5="(ทั้งหมด)",INDEX(บันทึกรายเที่ยว!$D$6:$D$6005,$J281)=$I$5),OR($I$7="(ทั้งหมด)",INDEX(บันทึกรายเที่ยว!$F$6:$F$6005,$J281)=$I$7)),$N281*10000000+$O281*1000+274,""))</f>
        <v/>
      </c>
      <c r="Q281">
        <f>IFERROR(MATCH(SMALL($P$8:$P$407,274),$P$8:$P$407,0),"")</f>
        <v/>
      </c>
      <c r="R281">
        <f>IF($Q281="","",INDEX($J$8:$J$407,$Q281))</f>
        <v/>
      </c>
      <c r="S281">
        <f>IF($Q281="","",INDEX($M$8:$M$407,$Q281))</f>
        <v/>
      </c>
      <c r="T281">
        <f>IF($Q281="","",INDEX($L$8:$L$407,$Q281))</f>
        <v/>
      </c>
      <c r="U281">
        <f>IF($Q281="","",INDEX($K$8:$K$407,$Q281))</f>
        <v/>
      </c>
      <c r="V281">
        <f>IF($Q281="",0,IF($S281&lt;&gt;$S280,1,0))</f>
        <v/>
      </c>
      <c r="W281">
        <f>IF($Q281="",0,IF($T281&lt;&gt;$T280,1,0))</f>
        <v/>
      </c>
      <c r="X281">
        <f>IF($Q281="",99999+274,$X280+1+$V280+$W280)</f>
        <v/>
      </c>
      <c r="Y281">
        <f>IF($Q281="","",INDEX(บันทึกรายเที่ยว!$Q$6:$Q$6005,$R281))</f>
        <v/>
      </c>
      <c r="Z281">
        <f>IF($Q281="","",INDEX(บันทึกรายเที่ยว!$F$6:$F$6005,$R281))</f>
        <v/>
      </c>
      <c r="AA281">
        <f>IFERROR(MATCH(274,$X$8:$X$407,1),"")</f>
        <v/>
      </c>
      <c r="AB281">
        <f>IF(274=$AD$1+1,"G",IF($AA281="","",IF(INDEX($Q$8:$Q$407,$AA281)="","",IF(274&gt;INDEX($X$8:$X$407,$AA281)+INDEX($V$8:$V$407,$AA281)+INDEX($W$8:$W$407,$AA281),"",IF(274=INDEX($X$8:$X$407,$AA281)+INDEX($V$8:$V$407,$AA281)+INDEX($W$8:$W$407,$AA281),"D",IF(AND(INDEX($W$8:$W$407,$AA281)=1,274=INDEX($X$8:$X$407,$AA281)+INDEX($V$8:$V$407,$AA281)),"S","R"))))))</f>
        <v/>
      </c>
      <c r="AC281">
        <f>IF(OR($AB281="",$AB281="G"),"",IF($AB281="D",INDEX($U$8:$U$407,$AA281),IF($AB281="S",INDEX($T$8:$T$407,$AA281)&amp;"|*",INDEX($S$8:$S$407,$AA281)&amp;"|*")))</f>
        <v/>
      </c>
      <c r="AE281">
        <f>IF($U281="",0,COUNTIF(บันทึกรายเที่ยว!$T$6:$T$6005,$U281))</f>
        <v/>
      </c>
      <c r="AF281">
        <f>IF($U281="",0,ROUND(SUMIF(บันทึกรายเที่ยว!$T$6:$T$6005,$U281,บันทึกรายเที่ยว!$J$6:$J$6005),2))</f>
        <v/>
      </c>
      <c r="AG281">
        <f>IF($U281="",0,ROUND(SUMIF(บันทึกรายเที่ยว!$T$6:$T$6005,$U281,บันทึกรายเที่ยว!$K$6:$K$6005),2))</f>
        <v/>
      </c>
      <c r="AH281">
        <f>IF($U281="",0,ROUND(SUMIF(บันทึกรายเที่ยว!$T$6:$T$6005,$U281,บันทึกรายเที่ยว!$M$6:$M$6005),2))</f>
        <v/>
      </c>
    </row>
    <row r="282" ht="21" customHeight="1" s="66">
      <c r="A282" s="3">
        <f>IF($AB282="G","ผลรวมทั้งหมด",IF($AB282="R",INDEX($S$8:$S$407,$AA282),""))</f>
        <v/>
      </c>
      <c r="B282" s="3">
        <f>IF($AB282="S",INDEX($Y$8:$Y$407,$AA282),"")</f>
        <v/>
      </c>
      <c r="C282" s="68">
        <f>IF($AB282="D",INDEX($Z$8:$Z$407,$AA282),"")</f>
        <v/>
      </c>
      <c r="D282" s="31">
        <f>IF($AB282="G",SUM($AE$8:$AE$407),IF(OR($AB282="",$AB282="R"),"",IF($AB282="D",INDEX($AE$8:$AE$407,$AA282),SUMIF($T$8:$T$407,INDEX($T$8:$T$407,$AA282),$AE$8:$AE$407))))</f>
        <v/>
      </c>
      <c r="E282" s="32">
        <f>IF(275=$AD$1+3,"ขอแสดงความนับถือ",IF(275=$AD$1+6,"(                 )",IF(275=$AD$1+7,"เจ้าหน้าที่ขนส่ง",IF($AB282="G",SUM($AF$8:$AF$407),IF(OR($AB282="",$AB282="R"),"",IF($AB282="D",INDEX($AF$8:$AF$407,$AA282),SUMIF($T$8:$T$407,INDEX($T$8:$T$407,$AA282),$AF$8:$AF$407)))))))</f>
        <v/>
      </c>
      <c r="F282" s="32">
        <f>IF($AB282="G",SUM($AG$8:$AG$407),IF(OR($AB282="",$AB282="R"),"",IF($AB282="D",INDEX($AG$8:$AG$407,$AA282),SUMIF($T$8:$T$407,INDEX($T$8:$T$407,$AA282),$AG$8:$AG$407))))</f>
        <v/>
      </c>
      <c r="G282" s="32">
        <f>IF(OR($AB282="",$AB282="R"),"",ROUND($E282-$F282,2))</f>
        <v/>
      </c>
      <c r="H282" s="32">
        <f>IF($AB282="G",SUM($AH$8:$AH$407),IF(OR($AB282="",$AB282="R"),"",IF($AB282="D",INDEX($AH$8:$AH$407,$AA282),SUMIF($T$8:$T$407,INDEX($T$8:$T$407,$AA282),$AH$8:$AH$407))))</f>
        <v/>
      </c>
      <c r="J282">
        <f>IFERROR(MATCH(275,บันทึกรายเที่ยว!$W$6:$W$6005,0),"")</f>
        <v/>
      </c>
      <c r="K282">
        <f>IF($J282="","",INDEX(บันทึกรายเที่ยว!$T$6:$T$6005,$J282))</f>
        <v/>
      </c>
      <c r="L282">
        <f>IF($J282="","",INDEX(บันทึกรายเที่ยว!$S$6:$S$6005,$J282))</f>
        <v/>
      </c>
      <c r="M282">
        <f>IF($J282="","",INDEX(บันทึกรายเที่ยว!$R$6:$R$6005,$J282))</f>
        <v/>
      </c>
      <c r="N282">
        <f>IF($J282="","",MATCH($M282,บันทึกรายเที่ยว!$R$6:$R$6005,0))</f>
        <v/>
      </c>
      <c r="O282">
        <f>IF($J282="","",MATCH($L282,บันทึกรายเที่ยว!$S$6:$S$6005,0))</f>
        <v/>
      </c>
      <c r="P282">
        <f>IF($J282="","",IF(AND(OR($I$3="(ทั้งหมด)",INDEX(บันทึกรายเที่ยว!$C$6:$C$6005,$J282)=$I$3),OR($I$5="(ทั้งหมด)",INDEX(บันทึกรายเที่ยว!$D$6:$D$6005,$J282)=$I$5),OR($I$7="(ทั้งหมด)",INDEX(บันทึกรายเที่ยว!$F$6:$F$6005,$J282)=$I$7)),$N282*10000000+$O282*1000+275,""))</f>
        <v/>
      </c>
      <c r="Q282">
        <f>IFERROR(MATCH(SMALL($P$8:$P$407,275),$P$8:$P$407,0),"")</f>
        <v/>
      </c>
      <c r="R282">
        <f>IF($Q282="","",INDEX($J$8:$J$407,$Q282))</f>
        <v/>
      </c>
      <c r="S282">
        <f>IF($Q282="","",INDEX($M$8:$M$407,$Q282))</f>
        <v/>
      </c>
      <c r="T282">
        <f>IF($Q282="","",INDEX($L$8:$L$407,$Q282))</f>
        <v/>
      </c>
      <c r="U282">
        <f>IF($Q282="","",INDEX($K$8:$K$407,$Q282))</f>
        <v/>
      </c>
      <c r="V282">
        <f>IF($Q282="",0,IF($S282&lt;&gt;$S281,1,0))</f>
        <v/>
      </c>
      <c r="W282">
        <f>IF($Q282="",0,IF($T282&lt;&gt;$T281,1,0))</f>
        <v/>
      </c>
      <c r="X282">
        <f>IF($Q282="",99999+275,$X281+1+$V281+$W281)</f>
        <v/>
      </c>
      <c r="Y282">
        <f>IF($Q282="","",INDEX(บันทึกรายเที่ยว!$Q$6:$Q$6005,$R282))</f>
        <v/>
      </c>
      <c r="Z282">
        <f>IF($Q282="","",INDEX(บันทึกรายเที่ยว!$F$6:$F$6005,$R282))</f>
        <v/>
      </c>
      <c r="AA282">
        <f>IFERROR(MATCH(275,$X$8:$X$407,1),"")</f>
        <v/>
      </c>
      <c r="AB282">
        <f>IF(275=$AD$1+1,"G",IF($AA282="","",IF(INDEX($Q$8:$Q$407,$AA282)="","",IF(275&gt;INDEX($X$8:$X$407,$AA282)+INDEX($V$8:$V$407,$AA282)+INDEX($W$8:$W$407,$AA282),"",IF(275=INDEX($X$8:$X$407,$AA282)+INDEX($V$8:$V$407,$AA282)+INDEX($W$8:$W$407,$AA282),"D",IF(AND(INDEX($W$8:$W$407,$AA282)=1,275=INDEX($X$8:$X$407,$AA282)+INDEX($V$8:$V$407,$AA282)),"S","R"))))))</f>
        <v/>
      </c>
      <c r="AC282">
        <f>IF(OR($AB282="",$AB282="G"),"",IF($AB282="D",INDEX($U$8:$U$407,$AA282),IF($AB282="S",INDEX($T$8:$T$407,$AA282)&amp;"|*",INDEX($S$8:$S$407,$AA282)&amp;"|*")))</f>
        <v/>
      </c>
      <c r="AE282">
        <f>IF($U282="",0,COUNTIF(บันทึกรายเที่ยว!$T$6:$T$6005,$U282))</f>
        <v/>
      </c>
      <c r="AF282">
        <f>IF($U282="",0,ROUND(SUMIF(บันทึกรายเที่ยว!$T$6:$T$6005,$U282,บันทึกรายเที่ยว!$J$6:$J$6005),2))</f>
        <v/>
      </c>
      <c r="AG282">
        <f>IF($U282="",0,ROUND(SUMIF(บันทึกรายเที่ยว!$T$6:$T$6005,$U282,บันทึกรายเที่ยว!$K$6:$K$6005),2))</f>
        <v/>
      </c>
      <c r="AH282">
        <f>IF($U282="",0,ROUND(SUMIF(บันทึกรายเที่ยว!$T$6:$T$6005,$U282,บันทึกรายเที่ยว!$M$6:$M$6005),2))</f>
        <v/>
      </c>
    </row>
    <row r="283" ht="21" customHeight="1" s="66">
      <c r="A283" s="3">
        <f>IF($AB283="G","ผลรวมทั้งหมด",IF($AB283="R",INDEX($S$8:$S$407,$AA283),""))</f>
        <v/>
      </c>
      <c r="B283" s="3">
        <f>IF($AB283="S",INDEX($Y$8:$Y$407,$AA283),"")</f>
        <v/>
      </c>
      <c r="C283" s="68">
        <f>IF($AB283="D",INDEX($Z$8:$Z$407,$AA283),"")</f>
        <v/>
      </c>
      <c r="D283" s="31">
        <f>IF($AB283="G",SUM($AE$8:$AE$407),IF(OR($AB283="",$AB283="R"),"",IF($AB283="D",INDEX($AE$8:$AE$407,$AA283),SUMIF($T$8:$T$407,INDEX($T$8:$T$407,$AA283),$AE$8:$AE$407))))</f>
        <v/>
      </c>
      <c r="E283" s="32">
        <f>IF(276=$AD$1+3,"ขอแสดงความนับถือ",IF(276=$AD$1+6,"(                 )",IF(276=$AD$1+7,"เจ้าหน้าที่ขนส่ง",IF($AB283="G",SUM($AF$8:$AF$407),IF(OR($AB283="",$AB283="R"),"",IF($AB283="D",INDEX($AF$8:$AF$407,$AA283),SUMIF($T$8:$T$407,INDEX($T$8:$T$407,$AA283),$AF$8:$AF$407)))))))</f>
        <v/>
      </c>
      <c r="F283" s="32">
        <f>IF($AB283="G",SUM($AG$8:$AG$407),IF(OR($AB283="",$AB283="R"),"",IF($AB283="D",INDEX($AG$8:$AG$407,$AA283),SUMIF($T$8:$T$407,INDEX($T$8:$T$407,$AA283),$AG$8:$AG$407))))</f>
        <v/>
      </c>
      <c r="G283" s="32">
        <f>IF(OR($AB283="",$AB283="R"),"",ROUND($E283-$F283,2))</f>
        <v/>
      </c>
      <c r="H283" s="32">
        <f>IF($AB283="G",SUM($AH$8:$AH$407),IF(OR($AB283="",$AB283="R"),"",IF($AB283="D",INDEX($AH$8:$AH$407,$AA283),SUMIF($T$8:$T$407,INDEX($T$8:$T$407,$AA283),$AH$8:$AH$407))))</f>
        <v/>
      </c>
      <c r="J283">
        <f>IFERROR(MATCH(276,บันทึกรายเที่ยว!$W$6:$W$6005,0),"")</f>
        <v/>
      </c>
      <c r="K283">
        <f>IF($J283="","",INDEX(บันทึกรายเที่ยว!$T$6:$T$6005,$J283))</f>
        <v/>
      </c>
      <c r="L283">
        <f>IF($J283="","",INDEX(บันทึกรายเที่ยว!$S$6:$S$6005,$J283))</f>
        <v/>
      </c>
      <c r="M283">
        <f>IF($J283="","",INDEX(บันทึกรายเที่ยว!$R$6:$R$6005,$J283))</f>
        <v/>
      </c>
      <c r="N283">
        <f>IF($J283="","",MATCH($M283,บันทึกรายเที่ยว!$R$6:$R$6005,0))</f>
        <v/>
      </c>
      <c r="O283">
        <f>IF($J283="","",MATCH($L283,บันทึกรายเที่ยว!$S$6:$S$6005,0))</f>
        <v/>
      </c>
      <c r="P283">
        <f>IF($J283="","",IF(AND(OR($I$3="(ทั้งหมด)",INDEX(บันทึกรายเที่ยว!$C$6:$C$6005,$J283)=$I$3),OR($I$5="(ทั้งหมด)",INDEX(บันทึกรายเที่ยว!$D$6:$D$6005,$J283)=$I$5),OR($I$7="(ทั้งหมด)",INDEX(บันทึกรายเที่ยว!$F$6:$F$6005,$J283)=$I$7)),$N283*10000000+$O283*1000+276,""))</f>
        <v/>
      </c>
      <c r="Q283">
        <f>IFERROR(MATCH(SMALL($P$8:$P$407,276),$P$8:$P$407,0),"")</f>
        <v/>
      </c>
      <c r="R283">
        <f>IF($Q283="","",INDEX($J$8:$J$407,$Q283))</f>
        <v/>
      </c>
      <c r="S283">
        <f>IF($Q283="","",INDEX($M$8:$M$407,$Q283))</f>
        <v/>
      </c>
      <c r="T283">
        <f>IF($Q283="","",INDEX($L$8:$L$407,$Q283))</f>
        <v/>
      </c>
      <c r="U283">
        <f>IF($Q283="","",INDEX($K$8:$K$407,$Q283))</f>
        <v/>
      </c>
      <c r="V283">
        <f>IF($Q283="",0,IF($S283&lt;&gt;$S282,1,0))</f>
        <v/>
      </c>
      <c r="W283">
        <f>IF($Q283="",0,IF($T283&lt;&gt;$T282,1,0))</f>
        <v/>
      </c>
      <c r="X283">
        <f>IF($Q283="",99999+276,$X282+1+$V282+$W282)</f>
        <v/>
      </c>
      <c r="Y283">
        <f>IF($Q283="","",INDEX(บันทึกรายเที่ยว!$Q$6:$Q$6005,$R283))</f>
        <v/>
      </c>
      <c r="Z283">
        <f>IF($Q283="","",INDEX(บันทึกรายเที่ยว!$F$6:$F$6005,$R283))</f>
        <v/>
      </c>
      <c r="AA283">
        <f>IFERROR(MATCH(276,$X$8:$X$407,1),"")</f>
        <v/>
      </c>
      <c r="AB283">
        <f>IF(276=$AD$1+1,"G",IF($AA283="","",IF(INDEX($Q$8:$Q$407,$AA283)="","",IF(276&gt;INDEX($X$8:$X$407,$AA283)+INDEX($V$8:$V$407,$AA283)+INDEX($W$8:$W$407,$AA283),"",IF(276=INDEX($X$8:$X$407,$AA283)+INDEX($V$8:$V$407,$AA283)+INDEX($W$8:$W$407,$AA283),"D",IF(AND(INDEX($W$8:$W$407,$AA283)=1,276=INDEX($X$8:$X$407,$AA283)+INDEX($V$8:$V$407,$AA283)),"S","R"))))))</f>
        <v/>
      </c>
      <c r="AC283">
        <f>IF(OR($AB283="",$AB283="G"),"",IF($AB283="D",INDEX($U$8:$U$407,$AA283),IF($AB283="S",INDEX($T$8:$T$407,$AA283)&amp;"|*",INDEX($S$8:$S$407,$AA283)&amp;"|*")))</f>
        <v/>
      </c>
      <c r="AE283">
        <f>IF($U283="",0,COUNTIF(บันทึกรายเที่ยว!$T$6:$T$6005,$U283))</f>
        <v/>
      </c>
      <c r="AF283">
        <f>IF($U283="",0,ROUND(SUMIF(บันทึกรายเที่ยว!$T$6:$T$6005,$U283,บันทึกรายเที่ยว!$J$6:$J$6005),2))</f>
        <v/>
      </c>
      <c r="AG283">
        <f>IF($U283="",0,ROUND(SUMIF(บันทึกรายเที่ยว!$T$6:$T$6005,$U283,บันทึกรายเที่ยว!$K$6:$K$6005),2))</f>
        <v/>
      </c>
      <c r="AH283">
        <f>IF($U283="",0,ROUND(SUMIF(บันทึกรายเที่ยว!$T$6:$T$6005,$U283,บันทึกรายเที่ยว!$M$6:$M$6005),2))</f>
        <v/>
      </c>
    </row>
    <row r="284" ht="21" customHeight="1" s="66">
      <c r="A284" s="3">
        <f>IF($AB284="G","ผลรวมทั้งหมด",IF($AB284="R",INDEX($S$8:$S$407,$AA284),""))</f>
        <v/>
      </c>
      <c r="B284" s="3">
        <f>IF($AB284="S",INDEX($Y$8:$Y$407,$AA284),"")</f>
        <v/>
      </c>
      <c r="C284" s="68">
        <f>IF($AB284="D",INDEX($Z$8:$Z$407,$AA284),"")</f>
        <v/>
      </c>
      <c r="D284" s="31">
        <f>IF($AB284="G",SUM($AE$8:$AE$407),IF(OR($AB284="",$AB284="R"),"",IF($AB284="D",INDEX($AE$8:$AE$407,$AA284),SUMIF($T$8:$T$407,INDEX($T$8:$T$407,$AA284),$AE$8:$AE$407))))</f>
        <v/>
      </c>
      <c r="E284" s="32">
        <f>IF(277=$AD$1+3,"ขอแสดงความนับถือ",IF(277=$AD$1+6,"(                 )",IF(277=$AD$1+7,"เจ้าหน้าที่ขนส่ง",IF($AB284="G",SUM($AF$8:$AF$407),IF(OR($AB284="",$AB284="R"),"",IF($AB284="D",INDEX($AF$8:$AF$407,$AA284),SUMIF($T$8:$T$407,INDEX($T$8:$T$407,$AA284),$AF$8:$AF$407)))))))</f>
        <v/>
      </c>
      <c r="F284" s="32">
        <f>IF($AB284="G",SUM($AG$8:$AG$407),IF(OR($AB284="",$AB284="R"),"",IF($AB284="D",INDEX($AG$8:$AG$407,$AA284),SUMIF($T$8:$T$407,INDEX($T$8:$T$407,$AA284),$AG$8:$AG$407))))</f>
        <v/>
      </c>
      <c r="G284" s="32">
        <f>IF(OR($AB284="",$AB284="R"),"",ROUND($E284-$F284,2))</f>
        <v/>
      </c>
      <c r="H284" s="32">
        <f>IF($AB284="G",SUM($AH$8:$AH$407),IF(OR($AB284="",$AB284="R"),"",IF($AB284="D",INDEX($AH$8:$AH$407,$AA284),SUMIF($T$8:$T$407,INDEX($T$8:$T$407,$AA284),$AH$8:$AH$407))))</f>
        <v/>
      </c>
      <c r="J284">
        <f>IFERROR(MATCH(277,บันทึกรายเที่ยว!$W$6:$W$6005,0),"")</f>
        <v/>
      </c>
      <c r="K284">
        <f>IF($J284="","",INDEX(บันทึกรายเที่ยว!$T$6:$T$6005,$J284))</f>
        <v/>
      </c>
      <c r="L284">
        <f>IF($J284="","",INDEX(บันทึกรายเที่ยว!$S$6:$S$6005,$J284))</f>
        <v/>
      </c>
      <c r="M284">
        <f>IF($J284="","",INDEX(บันทึกรายเที่ยว!$R$6:$R$6005,$J284))</f>
        <v/>
      </c>
      <c r="N284">
        <f>IF($J284="","",MATCH($M284,บันทึกรายเที่ยว!$R$6:$R$6005,0))</f>
        <v/>
      </c>
      <c r="O284">
        <f>IF($J284="","",MATCH($L284,บันทึกรายเที่ยว!$S$6:$S$6005,0))</f>
        <v/>
      </c>
      <c r="P284">
        <f>IF($J284="","",IF(AND(OR($I$3="(ทั้งหมด)",INDEX(บันทึกรายเที่ยว!$C$6:$C$6005,$J284)=$I$3),OR($I$5="(ทั้งหมด)",INDEX(บันทึกรายเที่ยว!$D$6:$D$6005,$J284)=$I$5),OR($I$7="(ทั้งหมด)",INDEX(บันทึกรายเที่ยว!$F$6:$F$6005,$J284)=$I$7)),$N284*10000000+$O284*1000+277,""))</f>
        <v/>
      </c>
      <c r="Q284">
        <f>IFERROR(MATCH(SMALL($P$8:$P$407,277),$P$8:$P$407,0),"")</f>
        <v/>
      </c>
      <c r="R284">
        <f>IF($Q284="","",INDEX($J$8:$J$407,$Q284))</f>
        <v/>
      </c>
      <c r="S284">
        <f>IF($Q284="","",INDEX($M$8:$M$407,$Q284))</f>
        <v/>
      </c>
      <c r="T284">
        <f>IF($Q284="","",INDEX($L$8:$L$407,$Q284))</f>
        <v/>
      </c>
      <c r="U284">
        <f>IF($Q284="","",INDEX($K$8:$K$407,$Q284))</f>
        <v/>
      </c>
      <c r="V284">
        <f>IF($Q284="",0,IF($S284&lt;&gt;$S283,1,0))</f>
        <v/>
      </c>
      <c r="W284">
        <f>IF($Q284="",0,IF($T284&lt;&gt;$T283,1,0))</f>
        <v/>
      </c>
      <c r="X284">
        <f>IF($Q284="",99999+277,$X283+1+$V283+$W283)</f>
        <v/>
      </c>
      <c r="Y284">
        <f>IF($Q284="","",INDEX(บันทึกรายเที่ยว!$Q$6:$Q$6005,$R284))</f>
        <v/>
      </c>
      <c r="Z284">
        <f>IF($Q284="","",INDEX(บันทึกรายเที่ยว!$F$6:$F$6005,$R284))</f>
        <v/>
      </c>
      <c r="AA284">
        <f>IFERROR(MATCH(277,$X$8:$X$407,1),"")</f>
        <v/>
      </c>
      <c r="AB284">
        <f>IF(277=$AD$1+1,"G",IF($AA284="","",IF(INDEX($Q$8:$Q$407,$AA284)="","",IF(277&gt;INDEX($X$8:$X$407,$AA284)+INDEX($V$8:$V$407,$AA284)+INDEX($W$8:$W$407,$AA284),"",IF(277=INDEX($X$8:$X$407,$AA284)+INDEX($V$8:$V$407,$AA284)+INDEX($W$8:$W$407,$AA284),"D",IF(AND(INDEX($W$8:$W$407,$AA284)=1,277=INDEX($X$8:$X$407,$AA284)+INDEX($V$8:$V$407,$AA284)),"S","R"))))))</f>
        <v/>
      </c>
      <c r="AC284">
        <f>IF(OR($AB284="",$AB284="G"),"",IF($AB284="D",INDEX($U$8:$U$407,$AA284),IF($AB284="S",INDEX($T$8:$T$407,$AA284)&amp;"|*",INDEX($S$8:$S$407,$AA284)&amp;"|*")))</f>
        <v/>
      </c>
      <c r="AE284">
        <f>IF($U284="",0,COUNTIF(บันทึกรายเที่ยว!$T$6:$T$6005,$U284))</f>
        <v/>
      </c>
      <c r="AF284">
        <f>IF($U284="",0,ROUND(SUMIF(บันทึกรายเที่ยว!$T$6:$T$6005,$U284,บันทึกรายเที่ยว!$J$6:$J$6005),2))</f>
        <v/>
      </c>
      <c r="AG284">
        <f>IF($U284="",0,ROUND(SUMIF(บันทึกรายเที่ยว!$T$6:$T$6005,$U284,บันทึกรายเที่ยว!$K$6:$K$6005),2))</f>
        <v/>
      </c>
      <c r="AH284">
        <f>IF($U284="",0,ROUND(SUMIF(บันทึกรายเที่ยว!$T$6:$T$6005,$U284,บันทึกรายเที่ยว!$M$6:$M$6005),2))</f>
        <v/>
      </c>
    </row>
    <row r="285" ht="21" customHeight="1" s="66">
      <c r="A285" s="3">
        <f>IF($AB285="G","ผลรวมทั้งหมด",IF($AB285="R",INDEX($S$8:$S$407,$AA285),""))</f>
        <v/>
      </c>
      <c r="B285" s="3">
        <f>IF($AB285="S",INDEX($Y$8:$Y$407,$AA285),"")</f>
        <v/>
      </c>
      <c r="C285" s="68">
        <f>IF($AB285="D",INDEX($Z$8:$Z$407,$AA285),"")</f>
        <v/>
      </c>
      <c r="D285" s="31">
        <f>IF($AB285="G",SUM($AE$8:$AE$407),IF(OR($AB285="",$AB285="R"),"",IF($AB285="D",INDEX($AE$8:$AE$407,$AA285),SUMIF($T$8:$T$407,INDEX($T$8:$T$407,$AA285),$AE$8:$AE$407))))</f>
        <v/>
      </c>
      <c r="E285" s="32">
        <f>IF(278=$AD$1+3,"ขอแสดงความนับถือ",IF(278=$AD$1+6,"(                 )",IF(278=$AD$1+7,"เจ้าหน้าที่ขนส่ง",IF($AB285="G",SUM($AF$8:$AF$407),IF(OR($AB285="",$AB285="R"),"",IF($AB285="D",INDEX($AF$8:$AF$407,$AA285),SUMIF($T$8:$T$407,INDEX($T$8:$T$407,$AA285),$AF$8:$AF$407)))))))</f>
        <v/>
      </c>
      <c r="F285" s="32">
        <f>IF($AB285="G",SUM($AG$8:$AG$407),IF(OR($AB285="",$AB285="R"),"",IF($AB285="D",INDEX($AG$8:$AG$407,$AA285),SUMIF($T$8:$T$407,INDEX($T$8:$T$407,$AA285),$AG$8:$AG$407))))</f>
        <v/>
      </c>
      <c r="G285" s="32">
        <f>IF(OR($AB285="",$AB285="R"),"",ROUND($E285-$F285,2))</f>
        <v/>
      </c>
      <c r="H285" s="32">
        <f>IF($AB285="G",SUM($AH$8:$AH$407),IF(OR($AB285="",$AB285="R"),"",IF($AB285="D",INDEX($AH$8:$AH$407,$AA285),SUMIF($T$8:$T$407,INDEX($T$8:$T$407,$AA285),$AH$8:$AH$407))))</f>
        <v/>
      </c>
      <c r="J285">
        <f>IFERROR(MATCH(278,บันทึกรายเที่ยว!$W$6:$W$6005,0),"")</f>
        <v/>
      </c>
      <c r="K285">
        <f>IF($J285="","",INDEX(บันทึกรายเที่ยว!$T$6:$T$6005,$J285))</f>
        <v/>
      </c>
      <c r="L285">
        <f>IF($J285="","",INDEX(บันทึกรายเที่ยว!$S$6:$S$6005,$J285))</f>
        <v/>
      </c>
      <c r="M285">
        <f>IF($J285="","",INDEX(บันทึกรายเที่ยว!$R$6:$R$6005,$J285))</f>
        <v/>
      </c>
      <c r="N285">
        <f>IF($J285="","",MATCH($M285,บันทึกรายเที่ยว!$R$6:$R$6005,0))</f>
        <v/>
      </c>
      <c r="O285">
        <f>IF($J285="","",MATCH($L285,บันทึกรายเที่ยว!$S$6:$S$6005,0))</f>
        <v/>
      </c>
      <c r="P285">
        <f>IF($J285="","",IF(AND(OR($I$3="(ทั้งหมด)",INDEX(บันทึกรายเที่ยว!$C$6:$C$6005,$J285)=$I$3),OR($I$5="(ทั้งหมด)",INDEX(บันทึกรายเที่ยว!$D$6:$D$6005,$J285)=$I$5),OR($I$7="(ทั้งหมด)",INDEX(บันทึกรายเที่ยว!$F$6:$F$6005,$J285)=$I$7)),$N285*10000000+$O285*1000+278,""))</f>
        <v/>
      </c>
      <c r="Q285">
        <f>IFERROR(MATCH(SMALL($P$8:$P$407,278),$P$8:$P$407,0),"")</f>
        <v/>
      </c>
      <c r="R285">
        <f>IF($Q285="","",INDEX($J$8:$J$407,$Q285))</f>
        <v/>
      </c>
      <c r="S285">
        <f>IF($Q285="","",INDEX($M$8:$M$407,$Q285))</f>
        <v/>
      </c>
      <c r="T285">
        <f>IF($Q285="","",INDEX($L$8:$L$407,$Q285))</f>
        <v/>
      </c>
      <c r="U285">
        <f>IF($Q285="","",INDEX($K$8:$K$407,$Q285))</f>
        <v/>
      </c>
      <c r="V285">
        <f>IF($Q285="",0,IF($S285&lt;&gt;$S284,1,0))</f>
        <v/>
      </c>
      <c r="W285">
        <f>IF($Q285="",0,IF($T285&lt;&gt;$T284,1,0))</f>
        <v/>
      </c>
      <c r="X285">
        <f>IF($Q285="",99999+278,$X284+1+$V284+$W284)</f>
        <v/>
      </c>
      <c r="Y285">
        <f>IF($Q285="","",INDEX(บันทึกรายเที่ยว!$Q$6:$Q$6005,$R285))</f>
        <v/>
      </c>
      <c r="Z285">
        <f>IF($Q285="","",INDEX(บันทึกรายเที่ยว!$F$6:$F$6005,$R285))</f>
        <v/>
      </c>
      <c r="AA285">
        <f>IFERROR(MATCH(278,$X$8:$X$407,1),"")</f>
        <v/>
      </c>
      <c r="AB285">
        <f>IF(278=$AD$1+1,"G",IF($AA285="","",IF(INDEX($Q$8:$Q$407,$AA285)="","",IF(278&gt;INDEX($X$8:$X$407,$AA285)+INDEX($V$8:$V$407,$AA285)+INDEX($W$8:$W$407,$AA285),"",IF(278=INDEX($X$8:$X$407,$AA285)+INDEX($V$8:$V$407,$AA285)+INDEX($W$8:$W$407,$AA285),"D",IF(AND(INDEX($W$8:$W$407,$AA285)=1,278=INDEX($X$8:$X$407,$AA285)+INDEX($V$8:$V$407,$AA285)),"S","R"))))))</f>
        <v/>
      </c>
      <c r="AC285">
        <f>IF(OR($AB285="",$AB285="G"),"",IF($AB285="D",INDEX($U$8:$U$407,$AA285),IF($AB285="S",INDEX($T$8:$T$407,$AA285)&amp;"|*",INDEX($S$8:$S$407,$AA285)&amp;"|*")))</f>
        <v/>
      </c>
      <c r="AE285">
        <f>IF($U285="",0,COUNTIF(บันทึกรายเที่ยว!$T$6:$T$6005,$U285))</f>
        <v/>
      </c>
      <c r="AF285">
        <f>IF($U285="",0,ROUND(SUMIF(บันทึกรายเที่ยว!$T$6:$T$6005,$U285,บันทึกรายเที่ยว!$J$6:$J$6005),2))</f>
        <v/>
      </c>
      <c r="AG285">
        <f>IF($U285="",0,ROUND(SUMIF(บันทึกรายเที่ยว!$T$6:$T$6005,$U285,บันทึกรายเที่ยว!$K$6:$K$6005),2))</f>
        <v/>
      </c>
      <c r="AH285">
        <f>IF($U285="",0,ROUND(SUMIF(บันทึกรายเที่ยว!$T$6:$T$6005,$U285,บันทึกรายเที่ยว!$M$6:$M$6005),2))</f>
        <v/>
      </c>
    </row>
    <row r="286" ht="21" customHeight="1" s="66">
      <c r="A286" s="3">
        <f>IF($AB286="G","ผลรวมทั้งหมด",IF($AB286="R",INDEX($S$8:$S$407,$AA286),""))</f>
        <v/>
      </c>
      <c r="B286" s="3">
        <f>IF($AB286="S",INDEX($Y$8:$Y$407,$AA286),"")</f>
        <v/>
      </c>
      <c r="C286" s="68">
        <f>IF($AB286="D",INDEX($Z$8:$Z$407,$AA286),"")</f>
        <v/>
      </c>
      <c r="D286" s="31">
        <f>IF($AB286="G",SUM($AE$8:$AE$407),IF(OR($AB286="",$AB286="R"),"",IF($AB286="D",INDEX($AE$8:$AE$407,$AA286),SUMIF($T$8:$T$407,INDEX($T$8:$T$407,$AA286),$AE$8:$AE$407))))</f>
        <v/>
      </c>
      <c r="E286" s="32">
        <f>IF(279=$AD$1+3,"ขอแสดงความนับถือ",IF(279=$AD$1+6,"(                 )",IF(279=$AD$1+7,"เจ้าหน้าที่ขนส่ง",IF($AB286="G",SUM($AF$8:$AF$407),IF(OR($AB286="",$AB286="R"),"",IF($AB286="D",INDEX($AF$8:$AF$407,$AA286),SUMIF($T$8:$T$407,INDEX($T$8:$T$407,$AA286),$AF$8:$AF$407)))))))</f>
        <v/>
      </c>
      <c r="F286" s="32">
        <f>IF($AB286="G",SUM($AG$8:$AG$407),IF(OR($AB286="",$AB286="R"),"",IF($AB286="D",INDEX($AG$8:$AG$407,$AA286),SUMIF($T$8:$T$407,INDEX($T$8:$T$407,$AA286),$AG$8:$AG$407))))</f>
        <v/>
      </c>
      <c r="G286" s="32">
        <f>IF(OR($AB286="",$AB286="R"),"",ROUND($E286-$F286,2))</f>
        <v/>
      </c>
      <c r="H286" s="32">
        <f>IF($AB286="G",SUM($AH$8:$AH$407),IF(OR($AB286="",$AB286="R"),"",IF($AB286="D",INDEX($AH$8:$AH$407,$AA286),SUMIF($T$8:$T$407,INDEX($T$8:$T$407,$AA286),$AH$8:$AH$407))))</f>
        <v/>
      </c>
      <c r="J286">
        <f>IFERROR(MATCH(279,บันทึกรายเที่ยว!$W$6:$W$6005,0),"")</f>
        <v/>
      </c>
      <c r="K286">
        <f>IF($J286="","",INDEX(บันทึกรายเที่ยว!$T$6:$T$6005,$J286))</f>
        <v/>
      </c>
      <c r="L286">
        <f>IF($J286="","",INDEX(บันทึกรายเที่ยว!$S$6:$S$6005,$J286))</f>
        <v/>
      </c>
      <c r="M286">
        <f>IF($J286="","",INDEX(บันทึกรายเที่ยว!$R$6:$R$6005,$J286))</f>
        <v/>
      </c>
      <c r="N286">
        <f>IF($J286="","",MATCH($M286,บันทึกรายเที่ยว!$R$6:$R$6005,0))</f>
        <v/>
      </c>
      <c r="O286">
        <f>IF($J286="","",MATCH($L286,บันทึกรายเที่ยว!$S$6:$S$6005,0))</f>
        <v/>
      </c>
      <c r="P286">
        <f>IF($J286="","",IF(AND(OR($I$3="(ทั้งหมด)",INDEX(บันทึกรายเที่ยว!$C$6:$C$6005,$J286)=$I$3),OR($I$5="(ทั้งหมด)",INDEX(บันทึกรายเที่ยว!$D$6:$D$6005,$J286)=$I$5),OR($I$7="(ทั้งหมด)",INDEX(บันทึกรายเที่ยว!$F$6:$F$6005,$J286)=$I$7)),$N286*10000000+$O286*1000+279,""))</f>
        <v/>
      </c>
      <c r="Q286">
        <f>IFERROR(MATCH(SMALL($P$8:$P$407,279),$P$8:$P$407,0),"")</f>
        <v/>
      </c>
      <c r="R286">
        <f>IF($Q286="","",INDEX($J$8:$J$407,$Q286))</f>
        <v/>
      </c>
      <c r="S286">
        <f>IF($Q286="","",INDEX($M$8:$M$407,$Q286))</f>
        <v/>
      </c>
      <c r="T286">
        <f>IF($Q286="","",INDEX($L$8:$L$407,$Q286))</f>
        <v/>
      </c>
      <c r="U286">
        <f>IF($Q286="","",INDEX($K$8:$K$407,$Q286))</f>
        <v/>
      </c>
      <c r="V286">
        <f>IF($Q286="",0,IF($S286&lt;&gt;$S285,1,0))</f>
        <v/>
      </c>
      <c r="W286">
        <f>IF($Q286="",0,IF($T286&lt;&gt;$T285,1,0))</f>
        <v/>
      </c>
      <c r="X286">
        <f>IF($Q286="",99999+279,$X285+1+$V285+$W285)</f>
        <v/>
      </c>
      <c r="Y286">
        <f>IF($Q286="","",INDEX(บันทึกรายเที่ยว!$Q$6:$Q$6005,$R286))</f>
        <v/>
      </c>
      <c r="Z286">
        <f>IF($Q286="","",INDEX(บันทึกรายเที่ยว!$F$6:$F$6005,$R286))</f>
        <v/>
      </c>
      <c r="AA286">
        <f>IFERROR(MATCH(279,$X$8:$X$407,1),"")</f>
        <v/>
      </c>
      <c r="AB286">
        <f>IF(279=$AD$1+1,"G",IF($AA286="","",IF(INDEX($Q$8:$Q$407,$AA286)="","",IF(279&gt;INDEX($X$8:$X$407,$AA286)+INDEX($V$8:$V$407,$AA286)+INDEX($W$8:$W$407,$AA286),"",IF(279=INDEX($X$8:$X$407,$AA286)+INDEX($V$8:$V$407,$AA286)+INDEX($W$8:$W$407,$AA286),"D",IF(AND(INDEX($W$8:$W$407,$AA286)=1,279=INDEX($X$8:$X$407,$AA286)+INDEX($V$8:$V$407,$AA286)),"S","R"))))))</f>
        <v/>
      </c>
      <c r="AC286">
        <f>IF(OR($AB286="",$AB286="G"),"",IF($AB286="D",INDEX($U$8:$U$407,$AA286),IF($AB286="S",INDEX($T$8:$T$407,$AA286)&amp;"|*",INDEX($S$8:$S$407,$AA286)&amp;"|*")))</f>
        <v/>
      </c>
      <c r="AE286">
        <f>IF($U286="",0,COUNTIF(บันทึกรายเที่ยว!$T$6:$T$6005,$U286))</f>
        <v/>
      </c>
      <c r="AF286">
        <f>IF($U286="",0,ROUND(SUMIF(บันทึกรายเที่ยว!$T$6:$T$6005,$U286,บันทึกรายเที่ยว!$J$6:$J$6005),2))</f>
        <v/>
      </c>
      <c r="AG286">
        <f>IF($U286="",0,ROUND(SUMIF(บันทึกรายเที่ยว!$T$6:$T$6005,$U286,บันทึกรายเที่ยว!$K$6:$K$6005),2))</f>
        <v/>
      </c>
      <c r="AH286">
        <f>IF($U286="",0,ROUND(SUMIF(บันทึกรายเที่ยว!$T$6:$T$6005,$U286,บันทึกรายเที่ยว!$M$6:$M$6005),2))</f>
        <v/>
      </c>
    </row>
    <row r="287" ht="21" customHeight="1" s="66">
      <c r="A287" s="3">
        <f>IF($AB287="G","ผลรวมทั้งหมด",IF($AB287="R",INDEX($S$8:$S$407,$AA287),""))</f>
        <v/>
      </c>
      <c r="B287" s="3">
        <f>IF($AB287="S",INDEX($Y$8:$Y$407,$AA287),"")</f>
        <v/>
      </c>
      <c r="C287" s="68">
        <f>IF($AB287="D",INDEX($Z$8:$Z$407,$AA287),"")</f>
        <v/>
      </c>
      <c r="D287" s="31">
        <f>IF($AB287="G",SUM($AE$8:$AE$407),IF(OR($AB287="",$AB287="R"),"",IF($AB287="D",INDEX($AE$8:$AE$407,$AA287),SUMIF($T$8:$T$407,INDEX($T$8:$T$407,$AA287),$AE$8:$AE$407))))</f>
        <v/>
      </c>
      <c r="E287" s="32">
        <f>IF(280=$AD$1+3,"ขอแสดงความนับถือ",IF(280=$AD$1+6,"(                 )",IF(280=$AD$1+7,"เจ้าหน้าที่ขนส่ง",IF($AB287="G",SUM($AF$8:$AF$407),IF(OR($AB287="",$AB287="R"),"",IF($AB287="D",INDEX($AF$8:$AF$407,$AA287),SUMIF($T$8:$T$407,INDEX($T$8:$T$407,$AA287),$AF$8:$AF$407)))))))</f>
        <v/>
      </c>
      <c r="F287" s="32">
        <f>IF($AB287="G",SUM($AG$8:$AG$407),IF(OR($AB287="",$AB287="R"),"",IF($AB287="D",INDEX($AG$8:$AG$407,$AA287),SUMIF($T$8:$T$407,INDEX($T$8:$T$407,$AA287),$AG$8:$AG$407))))</f>
        <v/>
      </c>
      <c r="G287" s="32">
        <f>IF(OR($AB287="",$AB287="R"),"",ROUND($E287-$F287,2))</f>
        <v/>
      </c>
      <c r="H287" s="32">
        <f>IF($AB287="G",SUM($AH$8:$AH$407),IF(OR($AB287="",$AB287="R"),"",IF($AB287="D",INDEX($AH$8:$AH$407,$AA287),SUMIF($T$8:$T$407,INDEX($T$8:$T$407,$AA287),$AH$8:$AH$407))))</f>
        <v/>
      </c>
      <c r="J287">
        <f>IFERROR(MATCH(280,บันทึกรายเที่ยว!$W$6:$W$6005,0),"")</f>
        <v/>
      </c>
      <c r="K287">
        <f>IF($J287="","",INDEX(บันทึกรายเที่ยว!$T$6:$T$6005,$J287))</f>
        <v/>
      </c>
      <c r="L287">
        <f>IF($J287="","",INDEX(บันทึกรายเที่ยว!$S$6:$S$6005,$J287))</f>
        <v/>
      </c>
      <c r="M287">
        <f>IF($J287="","",INDEX(บันทึกรายเที่ยว!$R$6:$R$6005,$J287))</f>
        <v/>
      </c>
      <c r="N287">
        <f>IF($J287="","",MATCH($M287,บันทึกรายเที่ยว!$R$6:$R$6005,0))</f>
        <v/>
      </c>
      <c r="O287">
        <f>IF($J287="","",MATCH($L287,บันทึกรายเที่ยว!$S$6:$S$6005,0))</f>
        <v/>
      </c>
      <c r="P287">
        <f>IF($J287="","",IF(AND(OR($I$3="(ทั้งหมด)",INDEX(บันทึกรายเที่ยว!$C$6:$C$6005,$J287)=$I$3),OR($I$5="(ทั้งหมด)",INDEX(บันทึกรายเที่ยว!$D$6:$D$6005,$J287)=$I$5),OR($I$7="(ทั้งหมด)",INDEX(บันทึกรายเที่ยว!$F$6:$F$6005,$J287)=$I$7)),$N287*10000000+$O287*1000+280,""))</f>
        <v/>
      </c>
      <c r="Q287">
        <f>IFERROR(MATCH(SMALL($P$8:$P$407,280),$P$8:$P$407,0),"")</f>
        <v/>
      </c>
      <c r="R287">
        <f>IF($Q287="","",INDEX($J$8:$J$407,$Q287))</f>
        <v/>
      </c>
      <c r="S287">
        <f>IF($Q287="","",INDEX($M$8:$M$407,$Q287))</f>
        <v/>
      </c>
      <c r="T287">
        <f>IF($Q287="","",INDEX($L$8:$L$407,$Q287))</f>
        <v/>
      </c>
      <c r="U287">
        <f>IF($Q287="","",INDEX($K$8:$K$407,$Q287))</f>
        <v/>
      </c>
      <c r="V287">
        <f>IF($Q287="",0,IF($S287&lt;&gt;$S286,1,0))</f>
        <v/>
      </c>
      <c r="W287">
        <f>IF($Q287="",0,IF($T287&lt;&gt;$T286,1,0))</f>
        <v/>
      </c>
      <c r="X287">
        <f>IF($Q287="",99999+280,$X286+1+$V286+$W286)</f>
        <v/>
      </c>
      <c r="Y287">
        <f>IF($Q287="","",INDEX(บันทึกรายเที่ยว!$Q$6:$Q$6005,$R287))</f>
        <v/>
      </c>
      <c r="Z287">
        <f>IF($Q287="","",INDEX(บันทึกรายเที่ยว!$F$6:$F$6005,$R287))</f>
        <v/>
      </c>
      <c r="AA287">
        <f>IFERROR(MATCH(280,$X$8:$X$407,1),"")</f>
        <v/>
      </c>
      <c r="AB287">
        <f>IF(280=$AD$1+1,"G",IF($AA287="","",IF(INDEX($Q$8:$Q$407,$AA287)="","",IF(280&gt;INDEX($X$8:$X$407,$AA287)+INDEX($V$8:$V$407,$AA287)+INDEX($W$8:$W$407,$AA287),"",IF(280=INDEX($X$8:$X$407,$AA287)+INDEX($V$8:$V$407,$AA287)+INDEX($W$8:$W$407,$AA287),"D",IF(AND(INDEX($W$8:$W$407,$AA287)=1,280=INDEX($X$8:$X$407,$AA287)+INDEX($V$8:$V$407,$AA287)),"S","R"))))))</f>
        <v/>
      </c>
      <c r="AC287">
        <f>IF(OR($AB287="",$AB287="G"),"",IF($AB287="D",INDEX($U$8:$U$407,$AA287),IF($AB287="S",INDEX($T$8:$T$407,$AA287)&amp;"|*",INDEX($S$8:$S$407,$AA287)&amp;"|*")))</f>
        <v/>
      </c>
      <c r="AE287">
        <f>IF($U287="",0,COUNTIF(บันทึกรายเที่ยว!$T$6:$T$6005,$U287))</f>
        <v/>
      </c>
      <c r="AF287">
        <f>IF($U287="",0,ROUND(SUMIF(บันทึกรายเที่ยว!$T$6:$T$6005,$U287,บันทึกรายเที่ยว!$J$6:$J$6005),2))</f>
        <v/>
      </c>
      <c r="AG287">
        <f>IF($U287="",0,ROUND(SUMIF(บันทึกรายเที่ยว!$T$6:$T$6005,$U287,บันทึกรายเที่ยว!$K$6:$K$6005),2))</f>
        <v/>
      </c>
      <c r="AH287">
        <f>IF($U287="",0,ROUND(SUMIF(บันทึกรายเที่ยว!$T$6:$T$6005,$U287,บันทึกรายเที่ยว!$M$6:$M$6005),2))</f>
        <v/>
      </c>
    </row>
    <row r="288" ht="21" customHeight="1" s="66">
      <c r="A288" s="3">
        <f>IF($AB288="G","ผลรวมทั้งหมด",IF($AB288="R",INDEX($S$8:$S$407,$AA288),""))</f>
        <v/>
      </c>
      <c r="B288" s="3">
        <f>IF($AB288="S",INDEX($Y$8:$Y$407,$AA288),"")</f>
        <v/>
      </c>
      <c r="C288" s="68">
        <f>IF($AB288="D",INDEX($Z$8:$Z$407,$AA288),"")</f>
        <v/>
      </c>
      <c r="D288" s="31">
        <f>IF($AB288="G",SUM($AE$8:$AE$407),IF(OR($AB288="",$AB288="R"),"",IF($AB288="D",INDEX($AE$8:$AE$407,$AA288),SUMIF($T$8:$T$407,INDEX($T$8:$T$407,$AA288),$AE$8:$AE$407))))</f>
        <v/>
      </c>
      <c r="E288" s="32">
        <f>IF(281=$AD$1+3,"ขอแสดงความนับถือ",IF(281=$AD$1+6,"(                 )",IF(281=$AD$1+7,"เจ้าหน้าที่ขนส่ง",IF($AB288="G",SUM($AF$8:$AF$407),IF(OR($AB288="",$AB288="R"),"",IF($AB288="D",INDEX($AF$8:$AF$407,$AA288),SUMIF($T$8:$T$407,INDEX($T$8:$T$407,$AA288),$AF$8:$AF$407)))))))</f>
        <v/>
      </c>
      <c r="F288" s="32">
        <f>IF($AB288="G",SUM($AG$8:$AG$407),IF(OR($AB288="",$AB288="R"),"",IF($AB288="D",INDEX($AG$8:$AG$407,$AA288),SUMIF($T$8:$T$407,INDEX($T$8:$T$407,$AA288),$AG$8:$AG$407))))</f>
        <v/>
      </c>
      <c r="G288" s="32">
        <f>IF(OR($AB288="",$AB288="R"),"",ROUND($E288-$F288,2))</f>
        <v/>
      </c>
      <c r="H288" s="32">
        <f>IF($AB288="G",SUM($AH$8:$AH$407),IF(OR($AB288="",$AB288="R"),"",IF($AB288="D",INDEX($AH$8:$AH$407,$AA288),SUMIF($T$8:$T$407,INDEX($T$8:$T$407,$AA288),$AH$8:$AH$407))))</f>
        <v/>
      </c>
      <c r="J288">
        <f>IFERROR(MATCH(281,บันทึกรายเที่ยว!$W$6:$W$6005,0),"")</f>
        <v/>
      </c>
      <c r="K288">
        <f>IF($J288="","",INDEX(บันทึกรายเที่ยว!$T$6:$T$6005,$J288))</f>
        <v/>
      </c>
      <c r="L288">
        <f>IF($J288="","",INDEX(บันทึกรายเที่ยว!$S$6:$S$6005,$J288))</f>
        <v/>
      </c>
      <c r="M288">
        <f>IF($J288="","",INDEX(บันทึกรายเที่ยว!$R$6:$R$6005,$J288))</f>
        <v/>
      </c>
      <c r="N288">
        <f>IF($J288="","",MATCH($M288,บันทึกรายเที่ยว!$R$6:$R$6005,0))</f>
        <v/>
      </c>
      <c r="O288">
        <f>IF($J288="","",MATCH($L288,บันทึกรายเที่ยว!$S$6:$S$6005,0))</f>
        <v/>
      </c>
      <c r="P288">
        <f>IF($J288="","",IF(AND(OR($I$3="(ทั้งหมด)",INDEX(บันทึกรายเที่ยว!$C$6:$C$6005,$J288)=$I$3),OR($I$5="(ทั้งหมด)",INDEX(บันทึกรายเที่ยว!$D$6:$D$6005,$J288)=$I$5),OR($I$7="(ทั้งหมด)",INDEX(บันทึกรายเที่ยว!$F$6:$F$6005,$J288)=$I$7)),$N288*10000000+$O288*1000+281,""))</f>
        <v/>
      </c>
      <c r="Q288">
        <f>IFERROR(MATCH(SMALL($P$8:$P$407,281),$P$8:$P$407,0),"")</f>
        <v/>
      </c>
      <c r="R288">
        <f>IF($Q288="","",INDEX($J$8:$J$407,$Q288))</f>
        <v/>
      </c>
      <c r="S288">
        <f>IF($Q288="","",INDEX($M$8:$M$407,$Q288))</f>
        <v/>
      </c>
      <c r="T288">
        <f>IF($Q288="","",INDEX($L$8:$L$407,$Q288))</f>
        <v/>
      </c>
      <c r="U288">
        <f>IF($Q288="","",INDEX($K$8:$K$407,$Q288))</f>
        <v/>
      </c>
      <c r="V288">
        <f>IF($Q288="",0,IF($S288&lt;&gt;$S287,1,0))</f>
        <v/>
      </c>
      <c r="W288">
        <f>IF($Q288="",0,IF($T288&lt;&gt;$T287,1,0))</f>
        <v/>
      </c>
      <c r="X288">
        <f>IF($Q288="",99999+281,$X287+1+$V287+$W287)</f>
        <v/>
      </c>
      <c r="Y288">
        <f>IF($Q288="","",INDEX(บันทึกรายเที่ยว!$Q$6:$Q$6005,$R288))</f>
        <v/>
      </c>
      <c r="Z288">
        <f>IF($Q288="","",INDEX(บันทึกรายเที่ยว!$F$6:$F$6005,$R288))</f>
        <v/>
      </c>
      <c r="AA288">
        <f>IFERROR(MATCH(281,$X$8:$X$407,1),"")</f>
        <v/>
      </c>
      <c r="AB288">
        <f>IF(281=$AD$1+1,"G",IF($AA288="","",IF(INDEX($Q$8:$Q$407,$AA288)="","",IF(281&gt;INDEX($X$8:$X$407,$AA288)+INDEX($V$8:$V$407,$AA288)+INDEX($W$8:$W$407,$AA288),"",IF(281=INDEX($X$8:$X$407,$AA288)+INDEX($V$8:$V$407,$AA288)+INDEX($W$8:$W$407,$AA288),"D",IF(AND(INDEX($W$8:$W$407,$AA288)=1,281=INDEX($X$8:$X$407,$AA288)+INDEX($V$8:$V$407,$AA288)),"S","R"))))))</f>
        <v/>
      </c>
      <c r="AC288">
        <f>IF(OR($AB288="",$AB288="G"),"",IF($AB288="D",INDEX($U$8:$U$407,$AA288),IF($AB288="S",INDEX($T$8:$T$407,$AA288)&amp;"|*",INDEX($S$8:$S$407,$AA288)&amp;"|*")))</f>
        <v/>
      </c>
      <c r="AE288">
        <f>IF($U288="",0,COUNTIF(บันทึกรายเที่ยว!$T$6:$T$6005,$U288))</f>
        <v/>
      </c>
      <c r="AF288">
        <f>IF($U288="",0,ROUND(SUMIF(บันทึกรายเที่ยว!$T$6:$T$6005,$U288,บันทึกรายเที่ยว!$J$6:$J$6005),2))</f>
        <v/>
      </c>
      <c r="AG288">
        <f>IF($U288="",0,ROUND(SUMIF(บันทึกรายเที่ยว!$T$6:$T$6005,$U288,บันทึกรายเที่ยว!$K$6:$K$6005),2))</f>
        <v/>
      </c>
      <c r="AH288">
        <f>IF($U288="",0,ROUND(SUMIF(บันทึกรายเที่ยว!$T$6:$T$6005,$U288,บันทึกรายเที่ยว!$M$6:$M$6005),2))</f>
        <v/>
      </c>
    </row>
    <row r="289" ht="21" customHeight="1" s="66">
      <c r="A289" s="3">
        <f>IF($AB289="G","ผลรวมทั้งหมด",IF($AB289="R",INDEX($S$8:$S$407,$AA289),""))</f>
        <v/>
      </c>
      <c r="B289" s="3">
        <f>IF($AB289="S",INDEX($Y$8:$Y$407,$AA289),"")</f>
        <v/>
      </c>
      <c r="C289" s="68">
        <f>IF($AB289="D",INDEX($Z$8:$Z$407,$AA289),"")</f>
        <v/>
      </c>
      <c r="D289" s="31">
        <f>IF($AB289="G",SUM($AE$8:$AE$407),IF(OR($AB289="",$AB289="R"),"",IF($AB289="D",INDEX($AE$8:$AE$407,$AA289),SUMIF($T$8:$T$407,INDEX($T$8:$T$407,$AA289),$AE$8:$AE$407))))</f>
        <v/>
      </c>
      <c r="E289" s="32">
        <f>IF(282=$AD$1+3,"ขอแสดงความนับถือ",IF(282=$AD$1+6,"(                 )",IF(282=$AD$1+7,"เจ้าหน้าที่ขนส่ง",IF($AB289="G",SUM($AF$8:$AF$407),IF(OR($AB289="",$AB289="R"),"",IF($AB289="D",INDEX($AF$8:$AF$407,$AA289),SUMIF($T$8:$T$407,INDEX($T$8:$T$407,$AA289),$AF$8:$AF$407)))))))</f>
        <v/>
      </c>
      <c r="F289" s="32">
        <f>IF($AB289="G",SUM($AG$8:$AG$407),IF(OR($AB289="",$AB289="R"),"",IF($AB289="D",INDEX($AG$8:$AG$407,$AA289),SUMIF($T$8:$T$407,INDEX($T$8:$T$407,$AA289),$AG$8:$AG$407))))</f>
        <v/>
      </c>
      <c r="G289" s="32">
        <f>IF(OR($AB289="",$AB289="R"),"",ROUND($E289-$F289,2))</f>
        <v/>
      </c>
      <c r="H289" s="32">
        <f>IF($AB289="G",SUM($AH$8:$AH$407),IF(OR($AB289="",$AB289="R"),"",IF($AB289="D",INDEX($AH$8:$AH$407,$AA289),SUMIF($T$8:$T$407,INDEX($T$8:$T$407,$AA289),$AH$8:$AH$407))))</f>
        <v/>
      </c>
      <c r="J289">
        <f>IFERROR(MATCH(282,บันทึกรายเที่ยว!$W$6:$W$6005,0),"")</f>
        <v/>
      </c>
      <c r="K289">
        <f>IF($J289="","",INDEX(บันทึกรายเที่ยว!$T$6:$T$6005,$J289))</f>
        <v/>
      </c>
      <c r="L289">
        <f>IF($J289="","",INDEX(บันทึกรายเที่ยว!$S$6:$S$6005,$J289))</f>
        <v/>
      </c>
      <c r="M289">
        <f>IF($J289="","",INDEX(บันทึกรายเที่ยว!$R$6:$R$6005,$J289))</f>
        <v/>
      </c>
      <c r="N289">
        <f>IF($J289="","",MATCH($M289,บันทึกรายเที่ยว!$R$6:$R$6005,0))</f>
        <v/>
      </c>
      <c r="O289">
        <f>IF($J289="","",MATCH($L289,บันทึกรายเที่ยว!$S$6:$S$6005,0))</f>
        <v/>
      </c>
      <c r="P289">
        <f>IF($J289="","",IF(AND(OR($I$3="(ทั้งหมด)",INDEX(บันทึกรายเที่ยว!$C$6:$C$6005,$J289)=$I$3),OR($I$5="(ทั้งหมด)",INDEX(บันทึกรายเที่ยว!$D$6:$D$6005,$J289)=$I$5),OR($I$7="(ทั้งหมด)",INDEX(บันทึกรายเที่ยว!$F$6:$F$6005,$J289)=$I$7)),$N289*10000000+$O289*1000+282,""))</f>
        <v/>
      </c>
      <c r="Q289">
        <f>IFERROR(MATCH(SMALL($P$8:$P$407,282),$P$8:$P$407,0),"")</f>
        <v/>
      </c>
      <c r="R289">
        <f>IF($Q289="","",INDEX($J$8:$J$407,$Q289))</f>
        <v/>
      </c>
      <c r="S289">
        <f>IF($Q289="","",INDEX($M$8:$M$407,$Q289))</f>
        <v/>
      </c>
      <c r="T289">
        <f>IF($Q289="","",INDEX($L$8:$L$407,$Q289))</f>
        <v/>
      </c>
      <c r="U289">
        <f>IF($Q289="","",INDEX($K$8:$K$407,$Q289))</f>
        <v/>
      </c>
      <c r="V289">
        <f>IF($Q289="",0,IF($S289&lt;&gt;$S288,1,0))</f>
        <v/>
      </c>
      <c r="W289">
        <f>IF($Q289="",0,IF($T289&lt;&gt;$T288,1,0))</f>
        <v/>
      </c>
      <c r="X289">
        <f>IF($Q289="",99999+282,$X288+1+$V288+$W288)</f>
        <v/>
      </c>
      <c r="Y289">
        <f>IF($Q289="","",INDEX(บันทึกรายเที่ยว!$Q$6:$Q$6005,$R289))</f>
        <v/>
      </c>
      <c r="Z289">
        <f>IF($Q289="","",INDEX(บันทึกรายเที่ยว!$F$6:$F$6005,$R289))</f>
        <v/>
      </c>
      <c r="AA289">
        <f>IFERROR(MATCH(282,$X$8:$X$407,1),"")</f>
        <v/>
      </c>
      <c r="AB289">
        <f>IF(282=$AD$1+1,"G",IF($AA289="","",IF(INDEX($Q$8:$Q$407,$AA289)="","",IF(282&gt;INDEX($X$8:$X$407,$AA289)+INDEX($V$8:$V$407,$AA289)+INDEX($W$8:$W$407,$AA289),"",IF(282=INDEX($X$8:$X$407,$AA289)+INDEX($V$8:$V$407,$AA289)+INDEX($W$8:$W$407,$AA289),"D",IF(AND(INDEX($W$8:$W$407,$AA289)=1,282=INDEX($X$8:$X$407,$AA289)+INDEX($V$8:$V$407,$AA289)),"S","R"))))))</f>
        <v/>
      </c>
      <c r="AC289">
        <f>IF(OR($AB289="",$AB289="G"),"",IF($AB289="D",INDEX($U$8:$U$407,$AA289),IF($AB289="S",INDEX($T$8:$T$407,$AA289)&amp;"|*",INDEX($S$8:$S$407,$AA289)&amp;"|*")))</f>
        <v/>
      </c>
      <c r="AE289">
        <f>IF($U289="",0,COUNTIF(บันทึกรายเที่ยว!$T$6:$T$6005,$U289))</f>
        <v/>
      </c>
      <c r="AF289">
        <f>IF($U289="",0,ROUND(SUMIF(บันทึกรายเที่ยว!$T$6:$T$6005,$U289,บันทึกรายเที่ยว!$J$6:$J$6005),2))</f>
        <v/>
      </c>
      <c r="AG289">
        <f>IF($U289="",0,ROUND(SUMIF(บันทึกรายเที่ยว!$T$6:$T$6005,$U289,บันทึกรายเที่ยว!$K$6:$K$6005),2))</f>
        <v/>
      </c>
      <c r="AH289">
        <f>IF($U289="",0,ROUND(SUMIF(บันทึกรายเที่ยว!$T$6:$T$6005,$U289,บันทึกรายเที่ยว!$M$6:$M$6005),2))</f>
        <v/>
      </c>
    </row>
    <row r="290" ht="21" customHeight="1" s="66">
      <c r="A290" s="3">
        <f>IF($AB290="G","ผลรวมทั้งหมด",IF($AB290="R",INDEX($S$8:$S$407,$AA290),""))</f>
        <v/>
      </c>
      <c r="B290" s="3">
        <f>IF($AB290="S",INDEX($Y$8:$Y$407,$AA290),"")</f>
        <v/>
      </c>
      <c r="C290" s="68">
        <f>IF($AB290="D",INDEX($Z$8:$Z$407,$AA290),"")</f>
        <v/>
      </c>
      <c r="D290" s="31">
        <f>IF($AB290="G",SUM($AE$8:$AE$407),IF(OR($AB290="",$AB290="R"),"",IF($AB290="D",INDEX($AE$8:$AE$407,$AA290),SUMIF($T$8:$T$407,INDEX($T$8:$T$407,$AA290),$AE$8:$AE$407))))</f>
        <v/>
      </c>
      <c r="E290" s="32">
        <f>IF(283=$AD$1+3,"ขอแสดงความนับถือ",IF(283=$AD$1+6,"(                 )",IF(283=$AD$1+7,"เจ้าหน้าที่ขนส่ง",IF($AB290="G",SUM($AF$8:$AF$407),IF(OR($AB290="",$AB290="R"),"",IF($AB290="D",INDEX($AF$8:$AF$407,$AA290),SUMIF($T$8:$T$407,INDEX($T$8:$T$407,$AA290),$AF$8:$AF$407)))))))</f>
        <v/>
      </c>
      <c r="F290" s="32">
        <f>IF($AB290="G",SUM($AG$8:$AG$407),IF(OR($AB290="",$AB290="R"),"",IF($AB290="D",INDEX($AG$8:$AG$407,$AA290),SUMIF($T$8:$T$407,INDEX($T$8:$T$407,$AA290),$AG$8:$AG$407))))</f>
        <v/>
      </c>
      <c r="G290" s="32">
        <f>IF(OR($AB290="",$AB290="R"),"",ROUND($E290-$F290,2))</f>
        <v/>
      </c>
      <c r="H290" s="32">
        <f>IF($AB290="G",SUM($AH$8:$AH$407),IF(OR($AB290="",$AB290="R"),"",IF($AB290="D",INDEX($AH$8:$AH$407,$AA290),SUMIF($T$8:$T$407,INDEX($T$8:$T$407,$AA290),$AH$8:$AH$407))))</f>
        <v/>
      </c>
      <c r="J290">
        <f>IFERROR(MATCH(283,บันทึกรายเที่ยว!$W$6:$W$6005,0),"")</f>
        <v/>
      </c>
      <c r="K290">
        <f>IF($J290="","",INDEX(บันทึกรายเที่ยว!$T$6:$T$6005,$J290))</f>
        <v/>
      </c>
      <c r="L290">
        <f>IF($J290="","",INDEX(บันทึกรายเที่ยว!$S$6:$S$6005,$J290))</f>
        <v/>
      </c>
      <c r="M290">
        <f>IF($J290="","",INDEX(บันทึกรายเที่ยว!$R$6:$R$6005,$J290))</f>
        <v/>
      </c>
      <c r="N290">
        <f>IF($J290="","",MATCH($M290,บันทึกรายเที่ยว!$R$6:$R$6005,0))</f>
        <v/>
      </c>
      <c r="O290">
        <f>IF($J290="","",MATCH($L290,บันทึกรายเที่ยว!$S$6:$S$6005,0))</f>
        <v/>
      </c>
      <c r="P290">
        <f>IF($J290="","",IF(AND(OR($I$3="(ทั้งหมด)",INDEX(บันทึกรายเที่ยว!$C$6:$C$6005,$J290)=$I$3),OR($I$5="(ทั้งหมด)",INDEX(บันทึกรายเที่ยว!$D$6:$D$6005,$J290)=$I$5),OR($I$7="(ทั้งหมด)",INDEX(บันทึกรายเที่ยว!$F$6:$F$6005,$J290)=$I$7)),$N290*10000000+$O290*1000+283,""))</f>
        <v/>
      </c>
      <c r="Q290">
        <f>IFERROR(MATCH(SMALL($P$8:$P$407,283),$P$8:$P$407,0),"")</f>
        <v/>
      </c>
      <c r="R290">
        <f>IF($Q290="","",INDEX($J$8:$J$407,$Q290))</f>
        <v/>
      </c>
      <c r="S290">
        <f>IF($Q290="","",INDEX($M$8:$M$407,$Q290))</f>
        <v/>
      </c>
      <c r="T290">
        <f>IF($Q290="","",INDEX($L$8:$L$407,$Q290))</f>
        <v/>
      </c>
      <c r="U290">
        <f>IF($Q290="","",INDEX($K$8:$K$407,$Q290))</f>
        <v/>
      </c>
      <c r="V290">
        <f>IF($Q290="",0,IF($S290&lt;&gt;$S289,1,0))</f>
        <v/>
      </c>
      <c r="W290">
        <f>IF($Q290="",0,IF($T290&lt;&gt;$T289,1,0))</f>
        <v/>
      </c>
      <c r="X290">
        <f>IF($Q290="",99999+283,$X289+1+$V289+$W289)</f>
        <v/>
      </c>
      <c r="Y290">
        <f>IF($Q290="","",INDEX(บันทึกรายเที่ยว!$Q$6:$Q$6005,$R290))</f>
        <v/>
      </c>
      <c r="Z290">
        <f>IF($Q290="","",INDEX(บันทึกรายเที่ยว!$F$6:$F$6005,$R290))</f>
        <v/>
      </c>
      <c r="AA290">
        <f>IFERROR(MATCH(283,$X$8:$X$407,1),"")</f>
        <v/>
      </c>
      <c r="AB290">
        <f>IF(283=$AD$1+1,"G",IF($AA290="","",IF(INDEX($Q$8:$Q$407,$AA290)="","",IF(283&gt;INDEX($X$8:$X$407,$AA290)+INDEX($V$8:$V$407,$AA290)+INDEX($W$8:$W$407,$AA290),"",IF(283=INDEX($X$8:$X$407,$AA290)+INDEX($V$8:$V$407,$AA290)+INDEX($W$8:$W$407,$AA290),"D",IF(AND(INDEX($W$8:$W$407,$AA290)=1,283=INDEX($X$8:$X$407,$AA290)+INDEX($V$8:$V$407,$AA290)),"S","R"))))))</f>
        <v/>
      </c>
      <c r="AC290">
        <f>IF(OR($AB290="",$AB290="G"),"",IF($AB290="D",INDEX($U$8:$U$407,$AA290),IF($AB290="S",INDEX($T$8:$T$407,$AA290)&amp;"|*",INDEX($S$8:$S$407,$AA290)&amp;"|*")))</f>
        <v/>
      </c>
      <c r="AE290">
        <f>IF($U290="",0,COUNTIF(บันทึกรายเที่ยว!$T$6:$T$6005,$U290))</f>
        <v/>
      </c>
      <c r="AF290">
        <f>IF($U290="",0,ROUND(SUMIF(บันทึกรายเที่ยว!$T$6:$T$6005,$U290,บันทึกรายเที่ยว!$J$6:$J$6005),2))</f>
        <v/>
      </c>
      <c r="AG290">
        <f>IF($U290="",0,ROUND(SUMIF(บันทึกรายเที่ยว!$T$6:$T$6005,$U290,บันทึกรายเที่ยว!$K$6:$K$6005),2))</f>
        <v/>
      </c>
      <c r="AH290">
        <f>IF($U290="",0,ROUND(SUMIF(บันทึกรายเที่ยว!$T$6:$T$6005,$U290,บันทึกรายเที่ยว!$M$6:$M$6005),2))</f>
        <v/>
      </c>
    </row>
    <row r="291" ht="21" customHeight="1" s="66">
      <c r="A291" s="3">
        <f>IF($AB291="G","ผลรวมทั้งหมด",IF($AB291="R",INDEX($S$8:$S$407,$AA291),""))</f>
        <v/>
      </c>
      <c r="B291" s="3">
        <f>IF($AB291="S",INDEX($Y$8:$Y$407,$AA291),"")</f>
        <v/>
      </c>
      <c r="C291" s="68">
        <f>IF($AB291="D",INDEX($Z$8:$Z$407,$AA291),"")</f>
        <v/>
      </c>
      <c r="D291" s="31">
        <f>IF($AB291="G",SUM($AE$8:$AE$407),IF(OR($AB291="",$AB291="R"),"",IF($AB291="D",INDEX($AE$8:$AE$407,$AA291),SUMIF($T$8:$T$407,INDEX($T$8:$T$407,$AA291),$AE$8:$AE$407))))</f>
        <v/>
      </c>
      <c r="E291" s="32">
        <f>IF(284=$AD$1+3,"ขอแสดงความนับถือ",IF(284=$AD$1+6,"(                 )",IF(284=$AD$1+7,"เจ้าหน้าที่ขนส่ง",IF($AB291="G",SUM($AF$8:$AF$407),IF(OR($AB291="",$AB291="R"),"",IF($AB291="D",INDEX($AF$8:$AF$407,$AA291),SUMIF($T$8:$T$407,INDEX($T$8:$T$407,$AA291),$AF$8:$AF$407)))))))</f>
        <v/>
      </c>
      <c r="F291" s="32">
        <f>IF($AB291="G",SUM($AG$8:$AG$407),IF(OR($AB291="",$AB291="R"),"",IF($AB291="D",INDEX($AG$8:$AG$407,$AA291),SUMIF($T$8:$T$407,INDEX($T$8:$T$407,$AA291),$AG$8:$AG$407))))</f>
        <v/>
      </c>
      <c r="G291" s="32">
        <f>IF(OR($AB291="",$AB291="R"),"",ROUND($E291-$F291,2))</f>
        <v/>
      </c>
      <c r="H291" s="32">
        <f>IF($AB291="G",SUM($AH$8:$AH$407),IF(OR($AB291="",$AB291="R"),"",IF($AB291="D",INDEX($AH$8:$AH$407,$AA291),SUMIF($T$8:$T$407,INDEX($T$8:$T$407,$AA291),$AH$8:$AH$407))))</f>
        <v/>
      </c>
      <c r="J291">
        <f>IFERROR(MATCH(284,บันทึกรายเที่ยว!$W$6:$W$6005,0),"")</f>
        <v/>
      </c>
      <c r="K291">
        <f>IF($J291="","",INDEX(บันทึกรายเที่ยว!$T$6:$T$6005,$J291))</f>
        <v/>
      </c>
      <c r="L291">
        <f>IF($J291="","",INDEX(บันทึกรายเที่ยว!$S$6:$S$6005,$J291))</f>
        <v/>
      </c>
      <c r="M291">
        <f>IF($J291="","",INDEX(บันทึกรายเที่ยว!$R$6:$R$6005,$J291))</f>
        <v/>
      </c>
      <c r="N291">
        <f>IF($J291="","",MATCH($M291,บันทึกรายเที่ยว!$R$6:$R$6005,0))</f>
        <v/>
      </c>
      <c r="O291">
        <f>IF($J291="","",MATCH($L291,บันทึกรายเที่ยว!$S$6:$S$6005,0))</f>
        <v/>
      </c>
      <c r="P291">
        <f>IF($J291="","",IF(AND(OR($I$3="(ทั้งหมด)",INDEX(บันทึกรายเที่ยว!$C$6:$C$6005,$J291)=$I$3),OR($I$5="(ทั้งหมด)",INDEX(บันทึกรายเที่ยว!$D$6:$D$6005,$J291)=$I$5),OR($I$7="(ทั้งหมด)",INDEX(บันทึกรายเที่ยว!$F$6:$F$6005,$J291)=$I$7)),$N291*10000000+$O291*1000+284,""))</f>
        <v/>
      </c>
      <c r="Q291">
        <f>IFERROR(MATCH(SMALL($P$8:$P$407,284),$P$8:$P$407,0),"")</f>
        <v/>
      </c>
      <c r="R291">
        <f>IF($Q291="","",INDEX($J$8:$J$407,$Q291))</f>
        <v/>
      </c>
      <c r="S291">
        <f>IF($Q291="","",INDEX($M$8:$M$407,$Q291))</f>
        <v/>
      </c>
      <c r="T291">
        <f>IF($Q291="","",INDEX($L$8:$L$407,$Q291))</f>
        <v/>
      </c>
      <c r="U291">
        <f>IF($Q291="","",INDEX($K$8:$K$407,$Q291))</f>
        <v/>
      </c>
      <c r="V291">
        <f>IF($Q291="",0,IF($S291&lt;&gt;$S290,1,0))</f>
        <v/>
      </c>
      <c r="W291">
        <f>IF($Q291="",0,IF($T291&lt;&gt;$T290,1,0))</f>
        <v/>
      </c>
      <c r="X291">
        <f>IF($Q291="",99999+284,$X290+1+$V290+$W290)</f>
        <v/>
      </c>
      <c r="Y291">
        <f>IF($Q291="","",INDEX(บันทึกรายเที่ยว!$Q$6:$Q$6005,$R291))</f>
        <v/>
      </c>
      <c r="Z291">
        <f>IF($Q291="","",INDEX(บันทึกรายเที่ยว!$F$6:$F$6005,$R291))</f>
        <v/>
      </c>
      <c r="AA291">
        <f>IFERROR(MATCH(284,$X$8:$X$407,1),"")</f>
        <v/>
      </c>
      <c r="AB291">
        <f>IF(284=$AD$1+1,"G",IF($AA291="","",IF(INDEX($Q$8:$Q$407,$AA291)="","",IF(284&gt;INDEX($X$8:$X$407,$AA291)+INDEX($V$8:$V$407,$AA291)+INDEX($W$8:$W$407,$AA291),"",IF(284=INDEX($X$8:$X$407,$AA291)+INDEX($V$8:$V$407,$AA291)+INDEX($W$8:$W$407,$AA291),"D",IF(AND(INDEX($W$8:$W$407,$AA291)=1,284=INDEX($X$8:$X$407,$AA291)+INDEX($V$8:$V$407,$AA291)),"S","R"))))))</f>
        <v/>
      </c>
      <c r="AC291">
        <f>IF(OR($AB291="",$AB291="G"),"",IF($AB291="D",INDEX($U$8:$U$407,$AA291),IF($AB291="S",INDEX($T$8:$T$407,$AA291)&amp;"|*",INDEX($S$8:$S$407,$AA291)&amp;"|*")))</f>
        <v/>
      </c>
      <c r="AE291">
        <f>IF($U291="",0,COUNTIF(บันทึกรายเที่ยว!$T$6:$T$6005,$U291))</f>
        <v/>
      </c>
      <c r="AF291">
        <f>IF($U291="",0,ROUND(SUMIF(บันทึกรายเที่ยว!$T$6:$T$6005,$U291,บันทึกรายเที่ยว!$J$6:$J$6005),2))</f>
        <v/>
      </c>
      <c r="AG291">
        <f>IF($U291="",0,ROUND(SUMIF(บันทึกรายเที่ยว!$T$6:$T$6005,$U291,บันทึกรายเที่ยว!$K$6:$K$6005),2))</f>
        <v/>
      </c>
      <c r="AH291">
        <f>IF($U291="",0,ROUND(SUMIF(บันทึกรายเที่ยว!$T$6:$T$6005,$U291,บันทึกรายเที่ยว!$M$6:$M$6005),2))</f>
        <v/>
      </c>
    </row>
    <row r="292" ht="21" customHeight="1" s="66">
      <c r="A292" s="3">
        <f>IF($AB292="G","ผลรวมทั้งหมด",IF($AB292="R",INDEX($S$8:$S$407,$AA292),""))</f>
        <v/>
      </c>
      <c r="B292" s="3">
        <f>IF($AB292="S",INDEX($Y$8:$Y$407,$AA292),"")</f>
        <v/>
      </c>
      <c r="C292" s="68">
        <f>IF($AB292="D",INDEX($Z$8:$Z$407,$AA292),"")</f>
        <v/>
      </c>
      <c r="D292" s="31">
        <f>IF($AB292="G",SUM($AE$8:$AE$407),IF(OR($AB292="",$AB292="R"),"",IF($AB292="D",INDEX($AE$8:$AE$407,$AA292),SUMIF($T$8:$T$407,INDEX($T$8:$T$407,$AA292),$AE$8:$AE$407))))</f>
        <v/>
      </c>
      <c r="E292" s="32">
        <f>IF(285=$AD$1+3,"ขอแสดงความนับถือ",IF(285=$AD$1+6,"(                 )",IF(285=$AD$1+7,"เจ้าหน้าที่ขนส่ง",IF($AB292="G",SUM($AF$8:$AF$407),IF(OR($AB292="",$AB292="R"),"",IF($AB292="D",INDEX($AF$8:$AF$407,$AA292),SUMIF($T$8:$T$407,INDEX($T$8:$T$407,$AA292),$AF$8:$AF$407)))))))</f>
        <v/>
      </c>
      <c r="F292" s="32">
        <f>IF($AB292="G",SUM($AG$8:$AG$407),IF(OR($AB292="",$AB292="R"),"",IF($AB292="D",INDEX($AG$8:$AG$407,$AA292),SUMIF($T$8:$T$407,INDEX($T$8:$T$407,$AA292),$AG$8:$AG$407))))</f>
        <v/>
      </c>
      <c r="G292" s="32">
        <f>IF(OR($AB292="",$AB292="R"),"",ROUND($E292-$F292,2))</f>
        <v/>
      </c>
      <c r="H292" s="32">
        <f>IF($AB292="G",SUM($AH$8:$AH$407),IF(OR($AB292="",$AB292="R"),"",IF($AB292="D",INDEX($AH$8:$AH$407,$AA292),SUMIF($T$8:$T$407,INDEX($T$8:$T$407,$AA292),$AH$8:$AH$407))))</f>
        <v/>
      </c>
      <c r="J292">
        <f>IFERROR(MATCH(285,บันทึกรายเที่ยว!$W$6:$W$6005,0),"")</f>
        <v/>
      </c>
      <c r="K292">
        <f>IF($J292="","",INDEX(บันทึกรายเที่ยว!$T$6:$T$6005,$J292))</f>
        <v/>
      </c>
      <c r="L292">
        <f>IF($J292="","",INDEX(บันทึกรายเที่ยว!$S$6:$S$6005,$J292))</f>
        <v/>
      </c>
      <c r="M292">
        <f>IF($J292="","",INDEX(บันทึกรายเที่ยว!$R$6:$R$6005,$J292))</f>
        <v/>
      </c>
      <c r="N292">
        <f>IF($J292="","",MATCH($M292,บันทึกรายเที่ยว!$R$6:$R$6005,0))</f>
        <v/>
      </c>
      <c r="O292">
        <f>IF($J292="","",MATCH($L292,บันทึกรายเที่ยว!$S$6:$S$6005,0))</f>
        <v/>
      </c>
      <c r="P292">
        <f>IF($J292="","",IF(AND(OR($I$3="(ทั้งหมด)",INDEX(บันทึกรายเที่ยว!$C$6:$C$6005,$J292)=$I$3),OR($I$5="(ทั้งหมด)",INDEX(บันทึกรายเที่ยว!$D$6:$D$6005,$J292)=$I$5),OR($I$7="(ทั้งหมด)",INDEX(บันทึกรายเที่ยว!$F$6:$F$6005,$J292)=$I$7)),$N292*10000000+$O292*1000+285,""))</f>
        <v/>
      </c>
      <c r="Q292">
        <f>IFERROR(MATCH(SMALL($P$8:$P$407,285),$P$8:$P$407,0),"")</f>
        <v/>
      </c>
      <c r="R292">
        <f>IF($Q292="","",INDEX($J$8:$J$407,$Q292))</f>
        <v/>
      </c>
      <c r="S292">
        <f>IF($Q292="","",INDEX($M$8:$M$407,$Q292))</f>
        <v/>
      </c>
      <c r="T292">
        <f>IF($Q292="","",INDEX($L$8:$L$407,$Q292))</f>
        <v/>
      </c>
      <c r="U292">
        <f>IF($Q292="","",INDEX($K$8:$K$407,$Q292))</f>
        <v/>
      </c>
      <c r="V292">
        <f>IF($Q292="",0,IF($S292&lt;&gt;$S291,1,0))</f>
        <v/>
      </c>
      <c r="W292">
        <f>IF($Q292="",0,IF($T292&lt;&gt;$T291,1,0))</f>
        <v/>
      </c>
      <c r="X292">
        <f>IF($Q292="",99999+285,$X291+1+$V291+$W291)</f>
        <v/>
      </c>
      <c r="Y292">
        <f>IF($Q292="","",INDEX(บันทึกรายเที่ยว!$Q$6:$Q$6005,$R292))</f>
        <v/>
      </c>
      <c r="Z292">
        <f>IF($Q292="","",INDEX(บันทึกรายเที่ยว!$F$6:$F$6005,$R292))</f>
        <v/>
      </c>
      <c r="AA292">
        <f>IFERROR(MATCH(285,$X$8:$X$407,1),"")</f>
        <v/>
      </c>
      <c r="AB292">
        <f>IF(285=$AD$1+1,"G",IF($AA292="","",IF(INDEX($Q$8:$Q$407,$AA292)="","",IF(285&gt;INDEX($X$8:$X$407,$AA292)+INDEX($V$8:$V$407,$AA292)+INDEX($W$8:$W$407,$AA292),"",IF(285=INDEX($X$8:$X$407,$AA292)+INDEX($V$8:$V$407,$AA292)+INDEX($W$8:$W$407,$AA292),"D",IF(AND(INDEX($W$8:$W$407,$AA292)=1,285=INDEX($X$8:$X$407,$AA292)+INDEX($V$8:$V$407,$AA292)),"S","R"))))))</f>
        <v/>
      </c>
      <c r="AC292">
        <f>IF(OR($AB292="",$AB292="G"),"",IF($AB292="D",INDEX($U$8:$U$407,$AA292),IF($AB292="S",INDEX($T$8:$T$407,$AA292)&amp;"|*",INDEX($S$8:$S$407,$AA292)&amp;"|*")))</f>
        <v/>
      </c>
      <c r="AE292">
        <f>IF($U292="",0,COUNTIF(บันทึกรายเที่ยว!$T$6:$T$6005,$U292))</f>
        <v/>
      </c>
      <c r="AF292">
        <f>IF($U292="",0,ROUND(SUMIF(บันทึกรายเที่ยว!$T$6:$T$6005,$U292,บันทึกรายเที่ยว!$J$6:$J$6005),2))</f>
        <v/>
      </c>
      <c r="AG292">
        <f>IF($U292="",0,ROUND(SUMIF(บันทึกรายเที่ยว!$T$6:$T$6005,$U292,บันทึกรายเที่ยว!$K$6:$K$6005),2))</f>
        <v/>
      </c>
      <c r="AH292">
        <f>IF($U292="",0,ROUND(SUMIF(บันทึกรายเที่ยว!$T$6:$T$6005,$U292,บันทึกรายเที่ยว!$M$6:$M$6005),2))</f>
        <v/>
      </c>
    </row>
    <row r="293" ht="21" customHeight="1" s="66">
      <c r="A293" s="3">
        <f>IF($AB293="G","ผลรวมทั้งหมด",IF($AB293="R",INDEX($S$8:$S$407,$AA293),""))</f>
        <v/>
      </c>
      <c r="B293" s="3">
        <f>IF($AB293="S",INDEX($Y$8:$Y$407,$AA293),"")</f>
        <v/>
      </c>
      <c r="C293" s="68">
        <f>IF($AB293="D",INDEX($Z$8:$Z$407,$AA293),"")</f>
        <v/>
      </c>
      <c r="D293" s="31">
        <f>IF($AB293="G",SUM($AE$8:$AE$407),IF(OR($AB293="",$AB293="R"),"",IF($AB293="D",INDEX($AE$8:$AE$407,$AA293),SUMIF($T$8:$T$407,INDEX($T$8:$T$407,$AA293),$AE$8:$AE$407))))</f>
        <v/>
      </c>
      <c r="E293" s="32">
        <f>IF(286=$AD$1+3,"ขอแสดงความนับถือ",IF(286=$AD$1+6,"(                 )",IF(286=$AD$1+7,"เจ้าหน้าที่ขนส่ง",IF($AB293="G",SUM($AF$8:$AF$407),IF(OR($AB293="",$AB293="R"),"",IF($AB293="D",INDEX($AF$8:$AF$407,$AA293),SUMIF($T$8:$T$407,INDEX($T$8:$T$407,$AA293),$AF$8:$AF$407)))))))</f>
        <v/>
      </c>
      <c r="F293" s="32">
        <f>IF($AB293="G",SUM($AG$8:$AG$407),IF(OR($AB293="",$AB293="R"),"",IF($AB293="D",INDEX($AG$8:$AG$407,$AA293),SUMIF($T$8:$T$407,INDEX($T$8:$T$407,$AA293),$AG$8:$AG$407))))</f>
        <v/>
      </c>
      <c r="G293" s="32">
        <f>IF(OR($AB293="",$AB293="R"),"",ROUND($E293-$F293,2))</f>
        <v/>
      </c>
      <c r="H293" s="32">
        <f>IF($AB293="G",SUM($AH$8:$AH$407),IF(OR($AB293="",$AB293="R"),"",IF($AB293="D",INDEX($AH$8:$AH$407,$AA293),SUMIF($T$8:$T$407,INDEX($T$8:$T$407,$AA293),$AH$8:$AH$407))))</f>
        <v/>
      </c>
      <c r="J293">
        <f>IFERROR(MATCH(286,บันทึกรายเที่ยว!$W$6:$W$6005,0),"")</f>
        <v/>
      </c>
      <c r="K293">
        <f>IF($J293="","",INDEX(บันทึกรายเที่ยว!$T$6:$T$6005,$J293))</f>
        <v/>
      </c>
      <c r="L293">
        <f>IF($J293="","",INDEX(บันทึกรายเที่ยว!$S$6:$S$6005,$J293))</f>
        <v/>
      </c>
      <c r="M293">
        <f>IF($J293="","",INDEX(บันทึกรายเที่ยว!$R$6:$R$6005,$J293))</f>
        <v/>
      </c>
      <c r="N293">
        <f>IF($J293="","",MATCH($M293,บันทึกรายเที่ยว!$R$6:$R$6005,0))</f>
        <v/>
      </c>
      <c r="O293">
        <f>IF($J293="","",MATCH($L293,บันทึกรายเที่ยว!$S$6:$S$6005,0))</f>
        <v/>
      </c>
      <c r="P293">
        <f>IF($J293="","",IF(AND(OR($I$3="(ทั้งหมด)",INDEX(บันทึกรายเที่ยว!$C$6:$C$6005,$J293)=$I$3),OR($I$5="(ทั้งหมด)",INDEX(บันทึกรายเที่ยว!$D$6:$D$6005,$J293)=$I$5),OR($I$7="(ทั้งหมด)",INDEX(บันทึกรายเที่ยว!$F$6:$F$6005,$J293)=$I$7)),$N293*10000000+$O293*1000+286,""))</f>
        <v/>
      </c>
      <c r="Q293">
        <f>IFERROR(MATCH(SMALL($P$8:$P$407,286),$P$8:$P$407,0),"")</f>
        <v/>
      </c>
      <c r="R293">
        <f>IF($Q293="","",INDEX($J$8:$J$407,$Q293))</f>
        <v/>
      </c>
      <c r="S293">
        <f>IF($Q293="","",INDEX($M$8:$M$407,$Q293))</f>
        <v/>
      </c>
      <c r="T293">
        <f>IF($Q293="","",INDEX($L$8:$L$407,$Q293))</f>
        <v/>
      </c>
      <c r="U293">
        <f>IF($Q293="","",INDEX($K$8:$K$407,$Q293))</f>
        <v/>
      </c>
      <c r="V293">
        <f>IF($Q293="",0,IF($S293&lt;&gt;$S292,1,0))</f>
        <v/>
      </c>
      <c r="W293">
        <f>IF($Q293="",0,IF($T293&lt;&gt;$T292,1,0))</f>
        <v/>
      </c>
      <c r="X293">
        <f>IF($Q293="",99999+286,$X292+1+$V292+$W292)</f>
        <v/>
      </c>
      <c r="Y293">
        <f>IF($Q293="","",INDEX(บันทึกรายเที่ยว!$Q$6:$Q$6005,$R293))</f>
        <v/>
      </c>
      <c r="Z293">
        <f>IF($Q293="","",INDEX(บันทึกรายเที่ยว!$F$6:$F$6005,$R293))</f>
        <v/>
      </c>
      <c r="AA293">
        <f>IFERROR(MATCH(286,$X$8:$X$407,1),"")</f>
        <v/>
      </c>
      <c r="AB293">
        <f>IF(286=$AD$1+1,"G",IF($AA293="","",IF(INDEX($Q$8:$Q$407,$AA293)="","",IF(286&gt;INDEX($X$8:$X$407,$AA293)+INDEX($V$8:$V$407,$AA293)+INDEX($W$8:$W$407,$AA293),"",IF(286=INDEX($X$8:$X$407,$AA293)+INDEX($V$8:$V$407,$AA293)+INDEX($W$8:$W$407,$AA293),"D",IF(AND(INDEX($W$8:$W$407,$AA293)=1,286=INDEX($X$8:$X$407,$AA293)+INDEX($V$8:$V$407,$AA293)),"S","R"))))))</f>
        <v/>
      </c>
      <c r="AC293">
        <f>IF(OR($AB293="",$AB293="G"),"",IF($AB293="D",INDEX($U$8:$U$407,$AA293),IF($AB293="S",INDEX($T$8:$T$407,$AA293)&amp;"|*",INDEX($S$8:$S$407,$AA293)&amp;"|*")))</f>
        <v/>
      </c>
      <c r="AE293">
        <f>IF($U293="",0,COUNTIF(บันทึกรายเที่ยว!$T$6:$T$6005,$U293))</f>
        <v/>
      </c>
      <c r="AF293">
        <f>IF($U293="",0,ROUND(SUMIF(บันทึกรายเที่ยว!$T$6:$T$6005,$U293,บันทึกรายเที่ยว!$J$6:$J$6005),2))</f>
        <v/>
      </c>
      <c r="AG293">
        <f>IF($U293="",0,ROUND(SUMIF(บันทึกรายเที่ยว!$T$6:$T$6005,$U293,บันทึกรายเที่ยว!$K$6:$K$6005),2))</f>
        <v/>
      </c>
      <c r="AH293">
        <f>IF($U293="",0,ROUND(SUMIF(บันทึกรายเที่ยว!$T$6:$T$6005,$U293,บันทึกรายเที่ยว!$M$6:$M$6005),2))</f>
        <v/>
      </c>
    </row>
    <row r="294" ht="21" customHeight="1" s="66">
      <c r="A294" s="3">
        <f>IF($AB294="G","ผลรวมทั้งหมด",IF($AB294="R",INDEX($S$8:$S$407,$AA294),""))</f>
        <v/>
      </c>
      <c r="B294" s="3">
        <f>IF($AB294="S",INDEX($Y$8:$Y$407,$AA294),"")</f>
        <v/>
      </c>
      <c r="C294" s="68">
        <f>IF($AB294="D",INDEX($Z$8:$Z$407,$AA294),"")</f>
        <v/>
      </c>
      <c r="D294" s="31">
        <f>IF($AB294="G",SUM($AE$8:$AE$407),IF(OR($AB294="",$AB294="R"),"",IF($AB294="D",INDEX($AE$8:$AE$407,$AA294),SUMIF($T$8:$T$407,INDEX($T$8:$T$407,$AA294),$AE$8:$AE$407))))</f>
        <v/>
      </c>
      <c r="E294" s="32">
        <f>IF(287=$AD$1+3,"ขอแสดงความนับถือ",IF(287=$AD$1+6,"(                 )",IF(287=$AD$1+7,"เจ้าหน้าที่ขนส่ง",IF($AB294="G",SUM($AF$8:$AF$407),IF(OR($AB294="",$AB294="R"),"",IF($AB294="D",INDEX($AF$8:$AF$407,$AA294),SUMIF($T$8:$T$407,INDEX($T$8:$T$407,$AA294),$AF$8:$AF$407)))))))</f>
        <v/>
      </c>
      <c r="F294" s="32">
        <f>IF($AB294="G",SUM($AG$8:$AG$407),IF(OR($AB294="",$AB294="R"),"",IF($AB294="D",INDEX($AG$8:$AG$407,$AA294),SUMIF($T$8:$T$407,INDEX($T$8:$T$407,$AA294),$AG$8:$AG$407))))</f>
        <v/>
      </c>
      <c r="G294" s="32">
        <f>IF(OR($AB294="",$AB294="R"),"",ROUND($E294-$F294,2))</f>
        <v/>
      </c>
      <c r="H294" s="32">
        <f>IF($AB294="G",SUM($AH$8:$AH$407),IF(OR($AB294="",$AB294="R"),"",IF($AB294="D",INDEX($AH$8:$AH$407,$AA294),SUMIF($T$8:$T$407,INDEX($T$8:$T$407,$AA294),$AH$8:$AH$407))))</f>
        <v/>
      </c>
      <c r="J294">
        <f>IFERROR(MATCH(287,บันทึกรายเที่ยว!$W$6:$W$6005,0),"")</f>
        <v/>
      </c>
      <c r="K294">
        <f>IF($J294="","",INDEX(บันทึกรายเที่ยว!$T$6:$T$6005,$J294))</f>
        <v/>
      </c>
      <c r="L294">
        <f>IF($J294="","",INDEX(บันทึกรายเที่ยว!$S$6:$S$6005,$J294))</f>
        <v/>
      </c>
      <c r="M294">
        <f>IF($J294="","",INDEX(บันทึกรายเที่ยว!$R$6:$R$6005,$J294))</f>
        <v/>
      </c>
      <c r="N294">
        <f>IF($J294="","",MATCH($M294,บันทึกรายเที่ยว!$R$6:$R$6005,0))</f>
        <v/>
      </c>
      <c r="O294">
        <f>IF($J294="","",MATCH($L294,บันทึกรายเที่ยว!$S$6:$S$6005,0))</f>
        <v/>
      </c>
      <c r="P294">
        <f>IF($J294="","",IF(AND(OR($I$3="(ทั้งหมด)",INDEX(บันทึกรายเที่ยว!$C$6:$C$6005,$J294)=$I$3),OR($I$5="(ทั้งหมด)",INDEX(บันทึกรายเที่ยว!$D$6:$D$6005,$J294)=$I$5),OR($I$7="(ทั้งหมด)",INDEX(บันทึกรายเที่ยว!$F$6:$F$6005,$J294)=$I$7)),$N294*10000000+$O294*1000+287,""))</f>
        <v/>
      </c>
      <c r="Q294">
        <f>IFERROR(MATCH(SMALL($P$8:$P$407,287),$P$8:$P$407,0),"")</f>
        <v/>
      </c>
      <c r="R294">
        <f>IF($Q294="","",INDEX($J$8:$J$407,$Q294))</f>
        <v/>
      </c>
      <c r="S294">
        <f>IF($Q294="","",INDEX($M$8:$M$407,$Q294))</f>
        <v/>
      </c>
      <c r="T294">
        <f>IF($Q294="","",INDEX($L$8:$L$407,$Q294))</f>
        <v/>
      </c>
      <c r="U294">
        <f>IF($Q294="","",INDEX($K$8:$K$407,$Q294))</f>
        <v/>
      </c>
      <c r="V294">
        <f>IF($Q294="",0,IF($S294&lt;&gt;$S293,1,0))</f>
        <v/>
      </c>
      <c r="W294">
        <f>IF($Q294="",0,IF($T294&lt;&gt;$T293,1,0))</f>
        <v/>
      </c>
      <c r="X294">
        <f>IF($Q294="",99999+287,$X293+1+$V293+$W293)</f>
        <v/>
      </c>
      <c r="Y294">
        <f>IF($Q294="","",INDEX(บันทึกรายเที่ยว!$Q$6:$Q$6005,$R294))</f>
        <v/>
      </c>
      <c r="Z294">
        <f>IF($Q294="","",INDEX(บันทึกรายเที่ยว!$F$6:$F$6005,$R294))</f>
        <v/>
      </c>
      <c r="AA294">
        <f>IFERROR(MATCH(287,$X$8:$X$407,1),"")</f>
        <v/>
      </c>
      <c r="AB294">
        <f>IF(287=$AD$1+1,"G",IF($AA294="","",IF(INDEX($Q$8:$Q$407,$AA294)="","",IF(287&gt;INDEX($X$8:$X$407,$AA294)+INDEX($V$8:$V$407,$AA294)+INDEX($W$8:$W$407,$AA294),"",IF(287=INDEX($X$8:$X$407,$AA294)+INDEX($V$8:$V$407,$AA294)+INDEX($W$8:$W$407,$AA294),"D",IF(AND(INDEX($W$8:$W$407,$AA294)=1,287=INDEX($X$8:$X$407,$AA294)+INDEX($V$8:$V$407,$AA294)),"S","R"))))))</f>
        <v/>
      </c>
      <c r="AC294">
        <f>IF(OR($AB294="",$AB294="G"),"",IF($AB294="D",INDEX($U$8:$U$407,$AA294),IF($AB294="S",INDEX($T$8:$T$407,$AA294)&amp;"|*",INDEX($S$8:$S$407,$AA294)&amp;"|*")))</f>
        <v/>
      </c>
      <c r="AE294">
        <f>IF($U294="",0,COUNTIF(บันทึกรายเที่ยว!$T$6:$T$6005,$U294))</f>
        <v/>
      </c>
      <c r="AF294">
        <f>IF($U294="",0,ROUND(SUMIF(บันทึกรายเที่ยว!$T$6:$T$6005,$U294,บันทึกรายเที่ยว!$J$6:$J$6005),2))</f>
        <v/>
      </c>
      <c r="AG294">
        <f>IF($U294="",0,ROUND(SUMIF(บันทึกรายเที่ยว!$T$6:$T$6005,$U294,บันทึกรายเที่ยว!$K$6:$K$6005),2))</f>
        <v/>
      </c>
      <c r="AH294">
        <f>IF($U294="",0,ROUND(SUMIF(บันทึกรายเที่ยว!$T$6:$T$6005,$U294,บันทึกรายเที่ยว!$M$6:$M$6005),2))</f>
        <v/>
      </c>
    </row>
    <row r="295" ht="21" customHeight="1" s="66">
      <c r="A295" s="3">
        <f>IF($AB295="G","ผลรวมทั้งหมด",IF($AB295="R",INDEX($S$8:$S$407,$AA295),""))</f>
        <v/>
      </c>
      <c r="B295" s="3">
        <f>IF($AB295="S",INDEX($Y$8:$Y$407,$AA295),"")</f>
        <v/>
      </c>
      <c r="C295" s="68">
        <f>IF($AB295="D",INDEX($Z$8:$Z$407,$AA295),"")</f>
        <v/>
      </c>
      <c r="D295" s="31">
        <f>IF($AB295="G",SUM($AE$8:$AE$407),IF(OR($AB295="",$AB295="R"),"",IF($AB295="D",INDEX($AE$8:$AE$407,$AA295),SUMIF($T$8:$T$407,INDEX($T$8:$T$407,$AA295),$AE$8:$AE$407))))</f>
        <v/>
      </c>
      <c r="E295" s="32">
        <f>IF(288=$AD$1+3,"ขอแสดงความนับถือ",IF(288=$AD$1+6,"(                 )",IF(288=$AD$1+7,"เจ้าหน้าที่ขนส่ง",IF($AB295="G",SUM($AF$8:$AF$407),IF(OR($AB295="",$AB295="R"),"",IF($AB295="D",INDEX($AF$8:$AF$407,$AA295),SUMIF($T$8:$T$407,INDEX($T$8:$T$407,$AA295),$AF$8:$AF$407)))))))</f>
        <v/>
      </c>
      <c r="F295" s="32">
        <f>IF($AB295="G",SUM($AG$8:$AG$407),IF(OR($AB295="",$AB295="R"),"",IF($AB295="D",INDEX($AG$8:$AG$407,$AA295),SUMIF($T$8:$T$407,INDEX($T$8:$T$407,$AA295),$AG$8:$AG$407))))</f>
        <v/>
      </c>
      <c r="G295" s="32">
        <f>IF(OR($AB295="",$AB295="R"),"",ROUND($E295-$F295,2))</f>
        <v/>
      </c>
      <c r="H295" s="32">
        <f>IF($AB295="G",SUM($AH$8:$AH$407),IF(OR($AB295="",$AB295="R"),"",IF($AB295="D",INDEX($AH$8:$AH$407,$AA295),SUMIF($T$8:$T$407,INDEX($T$8:$T$407,$AA295),$AH$8:$AH$407))))</f>
        <v/>
      </c>
      <c r="J295">
        <f>IFERROR(MATCH(288,บันทึกรายเที่ยว!$W$6:$W$6005,0),"")</f>
        <v/>
      </c>
      <c r="K295">
        <f>IF($J295="","",INDEX(บันทึกรายเที่ยว!$T$6:$T$6005,$J295))</f>
        <v/>
      </c>
      <c r="L295">
        <f>IF($J295="","",INDEX(บันทึกรายเที่ยว!$S$6:$S$6005,$J295))</f>
        <v/>
      </c>
      <c r="M295">
        <f>IF($J295="","",INDEX(บันทึกรายเที่ยว!$R$6:$R$6005,$J295))</f>
        <v/>
      </c>
      <c r="N295">
        <f>IF($J295="","",MATCH($M295,บันทึกรายเที่ยว!$R$6:$R$6005,0))</f>
        <v/>
      </c>
      <c r="O295">
        <f>IF($J295="","",MATCH($L295,บันทึกรายเที่ยว!$S$6:$S$6005,0))</f>
        <v/>
      </c>
      <c r="P295">
        <f>IF($J295="","",IF(AND(OR($I$3="(ทั้งหมด)",INDEX(บันทึกรายเที่ยว!$C$6:$C$6005,$J295)=$I$3),OR($I$5="(ทั้งหมด)",INDEX(บันทึกรายเที่ยว!$D$6:$D$6005,$J295)=$I$5),OR($I$7="(ทั้งหมด)",INDEX(บันทึกรายเที่ยว!$F$6:$F$6005,$J295)=$I$7)),$N295*10000000+$O295*1000+288,""))</f>
        <v/>
      </c>
      <c r="Q295">
        <f>IFERROR(MATCH(SMALL($P$8:$P$407,288),$P$8:$P$407,0),"")</f>
        <v/>
      </c>
      <c r="R295">
        <f>IF($Q295="","",INDEX($J$8:$J$407,$Q295))</f>
        <v/>
      </c>
      <c r="S295">
        <f>IF($Q295="","",INDEX($M$8:$M$407,$Q295))</f>
        <v/>
      </c>
      <c r="T295">
        <f>IF($Q295="","",INDEX($L$8:$L$407,$Q295))</f>
        <v/>
      </c>
      <c r="U295">
        <f>IF($Q295="","",INDEX($K$8:$K$407,$Q295))</f>
        <v/>
      </c>
      <c r="V295">
        <f>IF($Q295="",0,IF($S295&lt;&gt;$S294,1,0))</f>
        <v/>
      </c>
      <c r="W295">
        <f>IF($Q295="",0,IF($T295&lt;&gt;$T294,1,0))</f>
        <v/>
      </c>
      <c r="X295">
        <f>IF($Q295="",99999+288,$X294+1+$V294+$W294)</f>
        <v/>
      </c>
      <c r="Y295">
        <f>IF($Q295="","",INDEX(บันทึกรายเที่ยว!$Q$6:$Q$6005,$R295))</f>
        <v/>
      </c>
      <c r="Z295">
        <f>IF($Q295="","",INDEX(บันทึกรายเที่ยว!$F$6:$F$6005,$R295))</f>
        <v/>
      </c>
      <c r="AA295">
        <f>IFERROR(MATCH(288,$X$8:$X$407,1),"")</f>
        <v/>
      </c>
      <c r="AB295">
        <f>IF(288=$AD$1+1,"G",IF($AA295="","",IF(INDEX($Q$8:$Q$407,$AA295)="","",IF(288&gt;INDEX($X$8:$X$407,$AA295)+INDEX($V$8:$V$407,$AA295)+INDEX($W$8:$W$407,$AA295),"",IF(288=INDEX($X$8:$X$407,$AA295)+INDEX($V$8:$V$407,$AA295)+INDEX($W$8:$W$407,$AA295),"D",IF(AND(INDEX($W$8:$W$407,$AA295)=1,288=INDEX($X$8:$X$407,$AA295)+INDEX($V$8:$V$407,$AA295)),"S","R"))))))</f>
        <v/>
      </c>
      <c r="AC295">
        <f>IF(OR($AB295="",$AB295="G"),"",IF($AB295="D",INDEX($U$8:$U$407,$AA295),IF($AB295="S",INDEX($T$8:$T$407,$AA295)&amp;"|*",INDEX($S$8:$S$407,$AA295)&amp;"|*")))</f>
        <v/>
      </c>
      <c r="AE295">
        <f>IF($U295="",0,COUNTIF(บันทึกรายเที่ยว!$T$6:$T$6005,$U295))</f>
        <v/>
      </c>
      <c r="AF295">
        <f>IF($U295="",0,ROUND(SUMIF(บันทึกรายเที่ยว!$T$6:$T$6005,$U295,บันทึกรายเที่ยว!$J$6:$J$6005),2))</f>
        <v/>
      </c>
      <c r="AG295">
        <f>IF($U295="",0,ROUND(SUMIF(บันทึกรายเที่ยว!$T$6:$T$6005,$U295,บันทึกรายเที่ยว!$K$6:$K$6005),2))</f>
        <v/>
      </c>
      <c r="AH295">
        <f>IF($U295="",0,ROUND(SUMIF(บันทึกรายเที่ยว!$T$6:$T$6005,$U295,บันทึกรายเที่ยว!$M$6:$M$6005),2))</f>
        <v/>
      </c>
    </row>
    <row r="296" ht="21" customHeight="1" s="66">
      <c r="A296" s="3">
        <f>IF($AB296="G","ผลรวมทั้งหมด",IF($AB296="R",INDEX($S$8:$S$407,$AA296),""))</f>
        <v/>
      </c>
      <c r="B296" s="3">
        <f>IF($AB296="S",INDEX($Y$8:$Y$407,$AA296),"")</f>
        <v/>
      </c>
      <c r="C296" s="68">
        <f>IF($AB296="D",INDEX($Z$8:$Z$407,$AA296),"")</f>
        <v/>
      </c>
      <c r="D296" s="31">
        <f>IF($AB296="G",SUM($AE$8:$AE$407),IF(OR($AB296="",$AB296="R"),"",IF($AB296="D",INDEX($AE$8:$AE$407,$AA296),SUMIF($T$8:$T$407,INDEX($T$8:$T$407,$AA296),$AE$8:$AE$407))))</f>
        <v/>
      </c>
      <c r="E296" s="32">
        <f>IF(289=$AD$1+3,"ขอแสดงความนับถือ",IF(289=$AD$1+6,"(                 )",IF(289=$AD$1+7,"เจ้าหน้าที่ขนส่ง",IF($AB296="G",SUM($AF$8:$AF$407),IF(OR($AB296="",$AB296="R"),"",IF($AB296="D",INDEX($AF$8:$AF$407,$AA296),SUMIF($T$8:$T$407,INDEX($T$8:$T$407,$AA296),$AF$8:$AF$407)))))))</f>
        <v/>
      </c>
      <c r="F296" s="32">
        <f>IF($AB296="G",SUM($AG$8:$AG$407),IF(OR($AB296="",$AB296="R"),"",IF($AB296="D",INDEX($AG$8:$AG$407,$AA296),SUMIF($T$8:$T$407,INDEX($T$8:$T$407,$AA296),$AG$8:$AG$407))))</f>
        <v/>
      </c>
      <c r="G296" s="32">
        <f>IF(OR($AB296="",$AB296="R"),"",ROUND($E296-$F296,2))</f>
        <v/>
      </c>
      <c r="H296" s="32">
        <f>IF($AB296="G",SUM($AH$8:$AH$407),IF(OR($AB296="",$AB296="R"),"",IF($AB296="D",INDEX($AH$8:$AH$407,$AA296),SUMIF($T$8:$T$407,INDEX($T$8:$T$407,$AA296),$AH$8:$AH$407))))</f>
        <v/>
      </c>
      <c r="J296">
        <f>IFERROR(MATCH(289,บันทึกรายเที่ยว!$W$6:$W$6005,0),"")</f>
        <v/>
      </c>
      <c r="K296">
        <f>IF($J296="","",INDEX(บันทึกรายเที่ยว!$T$6:$T$6005,$J296))</f>
        <v/>
      </c>
      <c r="L296">
        <f>IF($J296="","",INDEX(บันทึกรายเที่ยว!$S$6:$S$6005,$J296))</f>
        <v/>
      </c>
      <c r="M296">
        <f>IF($J296="","",INDEX(บันทึกรายเที่ยว!$R$6:$R$6005,$J296))</f>
        <v/>
      </c>
      <c r="N296">
        <f>IF($J296="","",MATCH($M296,บันทึกรายเที่ยว!$R$6:$R$6005,0))</f>
        <v/>
      </c>
      <c r="O296">
        <f>IF($J296="","",MATCH($L296,บันทึกรายเที่ยว!$S$6:$S$6005,0))</f>
        <v/>
      </c>
      <c r="P296">
        <f>IF($J296="","",IF(AND(OR($I$3="(ทั้งหมด)",INDEX(บันทึกรายเที่ยว!$C$6:$C$6005,$J296)=$I$3),OR($I$5="(ทั้งหมด)",INDEX(บันทึกรายเที่ยว!$D$6:$D$6005,$J296)=$I$5),OR($I$7="(ทั้งหมด)",INDEX(บันทึกรายเที่ยว!$F$6:$F$6005,$J296)=$I$7)),$N296*10000000+$O296*1000+289,""))</f>
        <v/>
      </c>
      <c r="Q296">
        <f>IFERROR(MATCH(SMALL($P$8:$P$407,289),$P$8:$P$407,0),"")</f>
        <v/>
      </c>
      <c r="R296">
        <f>IF($Q296="","",INDEX($J$8:$J$407,$Q296))</f>
        <v/>
      </c>
      <c r="S296">
        <f>IF($Q296="","",INDEX($M$8:$M$407,$Q296))</f>
        <v/>
      </c>
      <c r="T296">
        <f>IF($Q296="","",INDEX($L$8:$L$407,$Q296))</f>
        <v/>
      </c>
      <c r="U296">
        <f>IF($Q296="","",INDEX($K$8:$K$407,$Q296))</f>
        <v/>
      </c>
      <c r="V296">
        <f>IF($Q296="",0,IF($S296&lt;&gt;$S295,1,0))</f>
        <v/>
      </c>
      <c r="W296">
        <f>IF($Q296="",0,IF($T296&lt;&gt;$T295,1,0))</f>
        <v/>
      </c>
      <c r="X296">
        <f>IF($Q296="",99999+289,$X295+1+$V295+$W295)</f>
        <v/>
      </c>
      <c r="Y296">
        <f>IF($Q296="","",INDEX(บันทึกรายเที่ยว!$Q$6:$Q$6005,$R296))</f>
        <v/>
      </c>
      <c r="Z296">
        <f>IF($Q296="","",INDEX(บันทึกรายเที่ยว!$F$6:$F$6005,$R296))</f>
        <v/>
      </c>
      <c r="AA296">
        <f>IFERROR(MATCH(289,$X$8:$X$407,1),"")</f>
        <v/>
      </c>
      <c r="AB296">
        <f>IF(289=$AD$1+1,"G",IF($AA296="","",IF(INDEX($Q$8:$Q$407,$AA296)="","",IF(289&gt;INDEX($X$8:$X$407,$AA296)+INDEX($V$8:$V$407,$AA296)+INDEX($W$8:$W$407,$AA296),"",IF(289=INDEX($X$8:$X$407,$AA296)+INDEX($V$8:$V$407,$AA296)+INDEX($W$8:$W$407,$AA296),"D",IF(AND(INDEX($W$8:$W$407,$AA296)=1,289=INDEX($X$8:$X$407,$AA296)+INDEX($V$8:$V$407,$AA296)),"S","R"))))))</f>
        <v/>
      </c>
      <c r="AC296">
        <f>IF(OR($AB296="",$AB296="G"),"",IF($AB296="D",INDEX($U$8:$U$407,$AA296),IF($AB296="S",INDEX($T$8:$T$407,$AA296)&amp;"|*",INDEX($S$8:$S$407,$AA296)&amp;"|*")))</f>
        <v/>
      </c>
      <c r="AE296">
        <f>IF($U296="",0,COUNTIF(บันทึกรายเที่ยว!$T$6:$T$6005,$U296))</f>
        <v/>
      </c>
      <c r="AF296">
        <f>IF($U296="",0,ROUND(SUMIF(บันทึกรายเที่ยว!$T$6:$T$6005,$U296,บันทึกรายเที่ยว!$J$6:$J$6005),2))</f>
        <v/>
      </c>
      <c r="AG296">
        <f>IF($U296="",0,ROUND(SUMIF(บันทึกรายเที่ยว!$T$6:$T$6005,$U296,บันทึกรายเที่ยว!$K$6:$K$6005),2))</f>
        <v/>
      </c>
      <c r="AH296">
        <f>IF($U296="",0,ROUND(SUMIF(บันทึกรายเที่ยว!$T$6:$T$6005,$U296,บันทึกรายเที่ยว!$M$6:$M$6005),2))</f>
        <v/>
      </c>
    </row>
    <row r="297" ht="21" customHeight="1" s="66">
      <c r="A297" s="3">
        <f>IF($AB297="G","ผลรวมทั้งหมด",IF($AB297="R",INDEX($S$8:$S$407,$AA297),""))</f>
        <v/>
      </c>
      <c r="B297" s="3">
        <f>IF($AB297="S",INDEX($Y$8:$Y$407,$AA297),"")</f>
        <v/>
      </c>
      <c r="C297" s="68">
        <f>IF($AB297="D",INDEX($Z$8:$Z$407,$AA297),"")</f>
        <v/>
      </c>
      <c r="D297" s="31">
        <f>IF($AB297="G",SUM($AE$8:$AE$407),IF(OR($AB297="",$AB297="R"),"",IF($AB297="D",INDEX($AE$8:$AE$407,$AA297),SUMIF($T$8:$T$407,INDEX($T$8:$T$407,$AA297),$AE$8:$AE$407))))</f>
        <v/>
      </c>
      <c r="E297" s="32">
        <f>IF(290=$AD$1+3,"ขอแสดงความนับถือ",IF(290=$AD$1+6,"(                 )",IF(290=$AD$1+7,"เจ้าหน้าที่ขนส่ง",IF($AB297="G",SUM($AF$8:$AF$407),IF(OR($AB297="",$AB297="R"),"",IF($AB297="D",INDEX($AF$8:$AF$407,$AA297),SUMIF($T$8:$T$407,INDEX($T$8:$T$407,$AA297),$AF$8:$AF$407)))))))</f>
        <v/>
      </c>
      <c r="F297" s="32">
        <f>IF($AB297="G",SUM($AG$8:$AG$407),IF(OR($AB297="",$AB297="R"),"",IF($AB297="D",INDEX($AG$8:$AG$407,$AA297),SUMIF($T$8:$T$407,INDEX($T$8:$T$407,$AA297),$AG$8:$AG$407))))</f>
        <v/>
      </c>
      <c r="G297" s="32">
        <f>IF(OR($AB297="",$AB297="R"),"",ROUND($E297-$F297,2))</f>
        <v/>
      </c>
      <c r="H297" s="32">
        <f>IF($AB297="G",SUM($AH$8:$AH$407),IF(OR($AB297="",$AB297="R"),"",IF($AB297="D",INDEX($AH$8:$AH$407,$AA297),SUMIF($T$8:$T$407,INDEX($T$8:$T$407,$AA297),$AH$8:$AH$407))))</f>
        <v/>
      </c>
      <c r="J297">
        <f>IFERROR(MATCH(290,บันทึกรายเที่ยว!$W$6:$W$6005,0),"")</f>
        <v/>
      </c>
      <c r="K297">
        <f>IF($J297="","",INDEX(บันทึกรายเที่ยว!$T$6:$T$6005,$J297))</f>
        <v/>
      </c>
      <c r="L297">
        <f>IF($J297="","",INDEX(บันทึกรายเที่ยว!$S$6:$S$6005,$J297))</f>
        <v/>
      </c>
      <c r="M297">
        <f>IF($J297="","",INDEX(บันทึกรายเที่ยว!$R$6:$R$6005,$J297))</f>
        <v/>
      </c>
      <c r="N297">
        <f>IF($J297="","",MATCH($M297,บันทึกรายเที่ยว!$R$6:$R$6005,0))</f>
        <v/>
      </c>
      <c r="O297">
        <f>IF($J297="","",MATCH($L297,บันทึกรายเที่ยว!$S$6:$S$6005,0))</f>
        <v/>
      </c>
      <c r="P297">
        <f>IF($J297="","",IF(AND(OR($I$3="(ทั้งหมด)",INDEX(บันทึกรายเที่ยว!$C$6:$C$6005,$J297)=$I$3),OR($I$5="(ทั้งหมด)",INDEX(บันทึกรายเที่ยว!$D$6:$D$6005,$J297)=$I$5),OR($I$7="(ทั้งหมด)",INDEX(บันทึกรายเที่ยว!$F$6:$F$6005,$J297)=$I$7)),$N297*10000000+$O297*1000+290,""))</f>
        <v/>
      </c>
      <c r="Q297">
        <f>IFERROR(MATCH(SMALL($P$8:$P$407,290),$P$8:$P$407,0),"")</f>
        <v/>
      </c>
      <c r="R297">
        <f>IF($Q297="","",INDEX($J$8:$J$407,$Q297))</f>
        <v/>
      </c>
      <c r="S297">
        <f>IF($Q297="","",INDEX($M$8:$M$407,$Q297))</f>
        <v/>
      </c>
      <c r="T297">
        <f>IF($Q297="","",INDEX($L$8:$L$407,$Q297))</f>
        <v/>
      </c>
      <c r="U297">
        <f>IF($Q297="","",INDEX($K$8:$K$407,$Q297))</f>
        <v/>
      </c>
      <c r="V297">
        <f>IF($Q297="",0,IF($S297&lt;&gt;$S296,1,0))</f>
        <v/>
      </c>
      <c r="W297">
        <f>IF($Q297="",0,IF($T297&lt;&gt;$T296,1,0))</f>
        <v/>
      </c>
      <c r="X297">
        <f>IF($Q297="",99999+290,$X296+1+$V296+$W296)</f>
        <v/>
      </c>
      <c r="Y297">
        <f>IF($Q297="","",INDEX(บันทึกรายเที่ยว!$Q$6:$Q$6005,$R297))</f>
        <v/>
      </c>
      <c r="Z297">
        <f>IF($Q297="","",INDEX(บันทึกรายเที่ยว!$F$6:$F$6005,$R297))</f>
        <v/>
      </c>
      <c r="AA297">
        <f>IFERROR(MATCH(290,$X$8:$X$407,1),"")</f>
        <v/>
      </c>
      <c r="AB297">
        <f>IF(290=$AD$1+1,"G",IF($AA297="","",IF(INDEX($Q$8:$Q$407,$AA297)="","",IF(290&gt;INDEX($X$8:$X$407,$AA297)+INDEX($V$8:$V$407,$AA297)+INDEX($W$8:$W$407,$AA297),"",IF(290=INDEX($X$8:$X$407,$AA297)+INDEX($V$8:$V$407,$AA297)+INDEX($W$8:$W$407,$AA297),"D",IF(AND(INDEX($W$8:$W$407,$AA297)=1,290=INDEX($X$8:$X$407,$AA297)+INDEX($V$8:$V$407,$AA297)),"S","R"))))))</f>
        <v/>
      </c>
      <c r="AC297">
        <f>IF(OR($AB297="",$AB297="G"),"",IF($AB297="D",INDEX($U$8:$U$407,$AA297),IF($AB297="S",INDEX($T$8:$T$407,$AA297)&amp;"|*",INDEX($S$8:$S$407,$AA297)&amp;"|*")))</f>
        <v/>
      </c>
      <c r="AE297">
        <f>IF($U297="",0,COUNTIF(บันทึกรายเที่ยว!$T$6:$T$6005,$U297))</f>
        <v/>
      </c>
      <c r="AF297">
        <f>IF($U297="",0,ROUND(SUMIF(บันทึกรายเที่ยว!$T$6:$T$6005,$U297,บันทึกรายเที่ยว!$J$6:$J$6005),2))</f>
        <v/>
      </c>
      <c r="AG297">
        <f>IF($U297="",0,ROUND(SUMIF(บันทึกรายเที่ยว!$T$6:$T$6005,$U297,บันทึกรายเที่ยว!$K$6:$K$6005),2))</f>
        <v/>
      </c>
      <c r="AH297">
        <f>IF($U297="",0,ROUND(SUMIF(บันทึกรายเที่ยว!$T$6:$T$6005,$U297,บันทึกรายเที่ยว!$M$6:$M$6005),2))</f>
        <v/>
      </c>
    </row>
    <row r="298" ht="21" customHeight="1" s="66">
      <c r="A298" s="3">
        <f>IF($AB298="G","ผลรวมทั้งหมด",IF($AB298="R",INDEX($S$8:$S$407,$AA298),""))</f>
        <v/>
      </c>
      <c r="B298" s="3">
        <f>IF($AB298="S",INDEX($Y$8:$Y$407,$AA298),"")</f>
        <v/>
      </c>
      <c r="C298" s="68">
        <f>IF($AB298="D",INDEX($Z$8:$Z$407,$AA298),"")</f>
        <v/>
      </c>
      <c r="D298" s="31">
        <f>IF($AB298="G",SUM($AE$8:$AE$407),IF(OR($AB298="",$AB298="R"),"",IF($AB298="D",INDEX($AE$8:$AE$407,$AA298),SUMIF($T$8:$T$407,INDEX($T$8:$T$407,$AA298),$AE$8:$AE$407))))</f>
        <v/>
      </c>
      <c r="E298" s="32">
        <f>IF(291=$AD$1+3,"ขอแสดงความนับถือ",IF(291=$AD$1+6,"(                 )",IF(291=$AD$1+7,"เจ้าหน้าที่ขนส่ง",IF($AB298="G",SUM($AF$8:$AF$407),IF(OR($AB298="",$AB298="R"),"",IF($AB298="D",INDEX($AF$8:$AF$407,$AA298),SUMIF($T$8:$T$407,INDEX($T$8:$T$407,$AA298),$AF$8:$AF$407)))))))</f>
        <v/>
      </c>
      <c r="F298" s="32">
        <f>IF($AB298="G",SUM($AG$8:$AG$407),IF(OR($AB298="",$AB298="R"),"",IF($AB298="D",INDEX($AG$8:$AG$407,$AA298),SUMIF($T$8:$T$407,INDEX($T$8:$T$407,$AA298),$AG$8:$AG$407))))</f>
        <v/>
      </c>
      <c r="G298" s="32">
        <f>IF(OR($AB298="",$AB298="R"),"",ROUND($E298-$F298,2))</f>
        <v/>
      </c>
      <c r="H298" s="32">
        <f>IF($AB298="G",SUM($AH$8:$AH$407),IF(OR($AB298="",$AB298="R"),"",IF($AB298="D",INDEX($AH$8:$AH$407,$AA298),SUMIF($T$8:$T$407,INDEX($T$8:$T$407,$AA298),$AH$8:$AH$407))))</f>
        <v/>
      </c>
      <c r="J298">
        <f>IFERROR(MATCH(291,บันทึกรายเที่ยว!$W$6:$W$6005,0),"")</f>
        <v/>
      </c>
      <c r="K298">
        <f>IF($J298="","",INDEX(บันทึกรายเที่ยว!$T$6:$T$6005,$J298))</f>
        <v/>
      </c>
      <c r="L298">
        <f>IF($J298="","",INDEX(บันทึกรายเที่ยว!$S$6:$S$6005,$J298))</f>
        <v/>
      </c>
      <c r="M298">
        <f>IF($J298="","",INDEX(บันทึกรายเที่ยว!$R$6:$R$6005,$J298))</f>
        <v/>
      </c>
      <c r="N298">
        <f>IF($J298="","",MATCH($M298,บันทึกรายเที่ยว!$R$6:$R$6005,0))</f>
        <v/>
      </c>
      <c r="O298">
        <f>IF($J298="","",MATCH($L298,บันทึกรายเที่ยว!$S$6:$S$6005,0))</f>
        <v/>
      </c>
      <c r="P298">
        <f>IF($J298="","",IF(AND(OR($I$3="(ทั้งหมด)",INDEX(บันทึกรายเที่ยว!$C$6:$C$6005,$J298)=$I$3),OR($I$5="(ทั้งหมด)",INDEX(บันทึกรายเที่ยว!$D$6:$D$6005,$J298)=$I$5),OR($I$7="(ทั้งหมด)",INDEX(บันทึกรายเที่ยว!$F$6:$F$6005,$J298)=$I$7)),$N298*10000000+$O298*1000+291,""))</f>
        <v/>
      </c>
      <c r="Q298">
        <f>IFERROR(MATCH(SMALL($P$8:$P$407,291),$P$8:$P$407,0),"")</f>
        <v/>
      </c>
      <c r="R298">
        <f>IF($Q298="","",INDEX($J$8:$J$407,$Q298))</f>
        <v/>
      </c>
      <c r="S298">
        <f>IF($Q298="","",INDEX($M$8:$M$407,$Q298))</f>
        <v/>
      </c>
      <c r="T298">
        <f>IF($Q298="","",INDEX($L$8:$L$407,$Q298))</f>
        <v/>
      </c>
      <c r="U298">
        <f>IF($Q298="","",INDEX($K$8:$K$407,$Q298))</f>
        <v/>
      </c>
      <c r="V298">
        <f>IF($Q298="",0,IF($S298&lt;&gt;$S297,1,0))</f>
        <v/>
      </c>
      <c r="W298">
        <f>IF($Q298="",0,IF($T298&lt;&gt;$T297,1,0))</f>
        <v/>
      </c>
      <c r="X298">
        <f>IF($Q298="",99999+291,$X297+1+$V297+$W297)</f>
        <v/>
      </c>
      <c r="Y298">
        <f>IF($Q298="","",INDEX(บันทึกรายเที่ยว!$Q$6:$Q$6005,$R298))</f>
        <v/>
      </c>
      <c r="Z298">
        <f>IF($Q298="","",INDEX(บันทึกรายเที่ยว!$F$6:$F$6005,$R298))</f>
        <v/>
      </c>
      <c r="AA298">
        <f>IFERROR(MATCH(291,$X$8:$X$407,1),"")</f>
        <v/>
      </c>
      <c r="AB298">
        <f>IF(291=$AD$1+1,"G",IF($AA298="","",IF(INDEX($Q$8:$Q$407,$AA298)="","",IF(291&gt;INDEX($X$8:$X$407,$AA298)+INDEX($V$8:$V$407,$AA298)+INDEX($W$8:$W$407,$AA298),"",IF(291=INDEX($X$8:$X$407,$AA298)+INDEX($V$8:$V$407,$AA298)+INDEX($W$8:$W$407,$AA298),"D",IF(AND(INDEX($W$8:$W$407,$AA298)=1,291=INDEX($X$8:$X$407,$AA298)+INDEX($V$8:$V$407,$AA298)),"S","R"))))))</f>
        <v/>
      </c>
      <c r="AC298">
        <f>IF(OR($AB298="",$AB298="G"),"",IF($AB298="D",INDEX($U$8:$U$407,$AA298),IF($AB298="S",INDEX($T$8:$T$407,$AA298)&amp;"|*",INDEX($S$8:$S$407,$AA298)&amp;"|*")))</f>
        <v/>
      </c>
      <c r="AE298">
        <f>IF($U298="",0,COUNTIF(บันทึกรายเที่ยว!$T$6:$T$6005,$U298))</f>
        <v/>
      </c>
      <c r="AF298">
        <f>IF($U298="",0,ROUND(SUMIF(บันทึกรายเที่ยว!$T$6:$T$6005,$U298,บันทึกรายเที่ยว!$J$6:$J$6005),2))</f>
        <v/>
      </c>
      <c r="AG298">
        <f>IF($U298="",0,ROUND(SUMIF(บันทึกรายเที่ยว!$T$6:$T$6005,$U298,บันทึกรายเที่ยว!$K$6:$K$6005),2))</f>
        <v/>
      </c>
      <c r="AH298">
        <f>IF($U298="",0,ROUND(SUMIF(บันทึกรายเที่ยว!$T$6:$T$6005,$U298,บันทึกรายเที่ยว!$M$6:$M$6005),2))</f>
        <v/>
      </c>
    </row>
    <row r="299" ht="21" customHeight="1" s="66">
      <c r="A299" s="3">
        <f>IF($AB299="G","ผลรวมทั้งหมด",IF($AB299="R",INDEX($S$8:$S$407,$AA299),""))</f>
        <v/>
      </c>
      <c r="B299" s="3">
        <f>IF($AB299="S",INDEX($Y$8:$Y$407,$AA299),"")</f>
        <v/>
      </c>
      <c r="C299" s="68">
        <f>IF($AB299="D",INDEX($Z$8:$Z$407,$AA299),"")</f>
        <v/>
      </c>
      <c r="D299" s="31">
        <f>IF($AB299="G",SUM($AE$8:$AE$407),IF(OR($AB299="",$AB299="R"),"",IF($AB299="D",INDEX($AE$8:$AE$407,$AA299),SUMIF($T$8:$T$407,INDEX($T$8:$T$407,$AA299),$AE$8:$AE$407))))</f>
        <v/>
      </c>
      <c r="E299" s="32">
        <f>IF(292=$AD$1+3,"ขอแสดงความนับถือ",IF(292=$AD$1+6,"(                 )",IF(292=$AD$1+7,"เจ้าหน้าที่ขนส่ง",IF($AB299="G",SUM($AF$8:$AF$407),IF(OR($AB299="",$AB299="R"),"",IF($AB299="D",INDEX($AF$8:$AF$407,$AA299),SUMIF($T$8:$T$407,INDEX($T$8:$T$407,$AA299),$AF$8:$AF$407)))))))</f>
        <v/>
      </c>
      <c r="F299" s="32">
        <f>IF($AB299="G",SUM($AG$8:$AG$407),IF(OR($AB299="",$AB299="R"),"",IF($AB299="D",INDEX($AG$8:$AG$407,$AA299),SUMIF($T$8:$T$407,INDEX($T$8:$T$407,$AA299),$AG$8:$AG$407))))</f>
        <v/>
      </c>
      <c r="G299" s="32">
        <f>IF(OR($AB299="",$AB299="R"),"",ROUND($E299-$F299,2))</f>
        <v/>
      </c>
      <c r="H299" s="32">
        <f>IF($AB299="G",SUM($AH$8:$AH$407),IF(OR($AB299="",$AB299="R"),"",IF($AB299="D",INDEX($AH$8:$AH$407,$AA299),SUMIF($T$8:$T$407,INDEX($T$8:$T$407,$AA299),$AH$8:$AH$407))))</f>
        <v/>
      </c>
      <c r="J299">
        <f>IFERROR(MATCH(292,บันทึกรายเที่ยว!$W$6:$W$6005,0),"")</f>
        <v/>
      </c>
      <c r="K299">
        <f>IF($J299="","",INDEX(บันทึกรายเที่ยว!$T$6:$T$6005,$J299))</f>
        <v/>
      </c>
      <c r="L299">
        <f>IF($J299="","",INDEX(บันทึกรายเที่ยว!$S$6:$S$6005,$J299))</f>
        <v/>
      </c>
      <c r="M299">
        <f>IF($J299="","",INDEX(บันทึกรายเที่ยว!$R$6:$R$6005,$J299))</f>
        <v/>
      </c>
      <c r="N299">
        <f>IF($J299="","",MATCH($M299,บันทึกรายเที่ยว!$R$6:$R$6005,0))</f>
        <v/>
      </c>
      <c r="O299">
        <f>IF($J299="","",MATCH($L299,บันทึกรายเที่ยว!$S$6:$S$6005,0))</f>
        <v/>
      </c>
      <c r="P299">
        <f>IF($J299="","",IF(AND(OR($I$3="(ทั้งหมด)",INDEX(บันทึกรายเที่ยว!$C$6:$C$6005,$J299)=$I$3),OR($I$5="(ทั้งหมด)",INDEX(บันทึกรายเที่ยว!$D$6:$D$6005,$J299)=$I$5),OR($I$7="(ทั้งหมด)",INDEX(บันทึกรายเที่ยว!$F$6:$F$6005,$J299)=$I$7)),$N299*10000000+$O299*1000+292,""))</f>
        <v/>
      </c>
      <c r="Q299">
        <f>IFERROR(MATCH(SMALL($P$8:$P$407,292),$P$8:$P$407,0),"")</f>
        <v/>
      </c>
      <c r="R299">
        <f>IF($Q299="","",INDEX($J$8:$J$407,$Q299))</f>
        <v/>
      </c>
      <c r="S299">
        <f>IF($Q299="","",INDEX($M$8:$M$407,$Q299))</f>
        <v/>
      </c>
      <c r="T299">
        <f>IF($Q299="","",INDEX($L$8:$L$407,$Q299))</f>
        <v/>
      </c>
      <c r="U299">
        <f>IF($Q299="","",INDEX($K$8:$K$407,$Q299))</f>
        <v/>
      </c>
      <c r="V299">
        <f>IF($Q299="",0,IF($S299&lt;&gt;$S298,1,0))</f>
        <v/>
      </c>
      <c r="W299">
        <f>IF($Q299="",0,IF($T299&lt;&gt;$T298,1,0))</f>
        <v/>
      </c>
      <c r="X299">
        <f>IF($Q299="",99999+292,$X298+1+$V298+$W298)</f>
        <v/>
      </c>
      <c r="Y299">
        <f>IF($Q299="","",INDEX(บันทึกรายเที่ยว!$Q$6:$Q$6005,$R299))</f>
        <v/>
      </c>
      <c r="Z299">
        <f>IF($Q299="","",INDEX(บันทึกรายเที่ยว!$F$6:$F$6005,$R299))</f>
        <v/>
      </c>
      <c r="AA299">
        <f>IFERROR(MATCH(292,$X$8:$X$407,1),"")</f>
        <v/>
      </c>
      <c r="AB299">
        <f>IF(292=$AD$1+1,"G",IF($AA299="","",IF(INDEX($Q$8:$Q$407,$AA299)="","",IF(292&gt;INDEX($X$8:$X$407,$AA299)+INDEX($V$8:$V$407,$AA299)+INDEX($W$8:$W$407,$AA299),"",IF(292=INDEX($X$8:$X$407,$AA299)+INDEX($V$8:$V$407,$AA299)+INDEX($W$8:$W$407,$AA299),"D",IF(AND(INDEX($W$8:$W$407,$AA299)=1,292=INDEX($X$8:$X$407,$AA299)+INDEX($V$8:$V$407,$AA299)),"S","R"))))))</f>
        <v/>
      </c>
      <c r="AC299">
        <f>IF(OR($AB299="",$AB299="G"),"",IF($AB299="D",INDEX($U$8:$U$407,$AA299),IF($AB299="S",INDEX($T$8:$T$407,$AA299)&amp;"|*",INDEX($S$8:$S$407,$AA299)&amp;"|*")))</f>
        <v/>
      </c>
      <c r="AE299">
        <f>IF($U299="",0,COUNTIF(บันทึกรายเที่ยว!$T$6:$T$6005,$U299))</f>
        <v/>
      </c>
      <c r="AF299">
        <f>IF($U299="",0,ROUND(SUMIF(บันทึกรายเที่ยว!$T$6:$T$6005,$U299,บันทึกรายเที่ยว!$J$6:$J$6005),2))</f>
        <v/>
      </c>
      <c r="AG299">
        <f>IF($U299="",0,ROUND(SUMIF(บันทึกรายเที่ยว!$T$6:$T$6005,$U299,บันทึกรายเที่ยว!$K$6:$K$6005),2))</f>
        <v/>
      </c>
      <c r="AH299">
        <f>IF($U299="",0,ROUND(SUMIF(บันทึกรายเที่ยว!$T$6:$T$6005,$U299,บันทึกรายเที่ยว!$M$6:$M$6005),2))</f>
        <v/>
      </c>
    </row>
    <row r="300" ht="21" customHeight="1" s="66">
      <c r="A300" s="3">
        <f>IF($AB300="G","ผลรวมทั้งหมด",IF($AB300="R",INDEX($S$8:$S$407,$AA300),""))</f>
        <v/>
      </c>
      <c r="B300" s="3">
        <f>IF($AB300="S",INDEX($Y$8:$Y$407,$AA300),"")</f>
        <v/>
      </c>
      <c r="C300" s="68">
        <f>IF($AB300="D",INDEX($Z$8:$Z$407,$AA300),"")</f>
        <v/>
      </c>
      <c r="D300" s="31">
        <f>IF($AB300="G",SUM($AE$8:$AE$407),IF(OR($AB300="",$AB300="R"),"",IF($AB300="D",INDEX($AE$8:$AE$407,$AA300),SUMIF($T$8:$T$407,INDEX($T$8:$T$407,$AA300),$AE$8:$AE$407))))</f>
        <v/>
      </c>
      <c r="E300" s="32">
        <f>IF(293=$AD$1+3,"ขอแสดงความนับถือ",IF(293=$AD$1+6,"(                 )",IF(293=$AD$1+7,"เจ้าหน้าที่ขนส่ง",IF($AB300="G",SUM($AF$8:$AF$407),IF(OR($AB300="",$AB300="R"),"",IF($AB300="D",INDEX($AF$8:$AF$407,$AA300),SUMIF($T$8:$T$407,INDEX($T$8:$T$407,$AA300),$AF$8:$AF$407)))))))</f>
        <v/>
      </c>
      <c r="F300" s="32">
        <f>IF($AB300="G",SUM($AG$8:$AG$407),IF(OR($AB300="",$AB300="R"),"",IF($AB300="D",INDEX($AG$8:$AG$407,$AA300),SUMIF($T$8:$T$407,INDEX($T$8:$T$407,$AA300),$AG$8:$AG$407))))</f>
        <v/>
      </c>
      <c r="G300" s="32">
        <f>IF(OR($AB300="",$AB300="R"),"",ROUND($E300-$F300,2))</f>
        <v/>
      </c>
      <c r="H300" s="32">
        <f>IF($AB300="G",SUM($AH$8:$AH$407),IF(OR($AB300="",$AB300="R"),"",IF($AB300="D",INDEX($AH$8:$AH$407,$AA300),SUMIF($T$8:$T$407,INDEX($T$8:$T$407,$AA300),$AH$8:$AH$407))))</f>
        <v/>
      </c>
      <c r="J300">
        <f>IFERROR(MATCH(293,บันทึกรายเที่ยว!$W$6:$W$6005,0),"")</f>
        <v/>
      </c>
      <c r="K300">
        <f>IF($J300="","",INDEX(บันทึกรายเที่ยว!$T$6:$T$6005,$J300))</f>
        <v/>
      </c>
      <c r="L300">
        <f>IF($J300="","",INDEX(บันทึกรายเที่ยว!$S$6:$S$6005,$J300))</f>
        <v/>
      </c>
      <c r="M300">
        <f>IF($J300="","",INDEX(บันทึกรายเที่ยว!$R$6:$R$6005,$J300))</f>
        <v/>
      </c>
      <c r="N300">
        <f>IF($J300="","",MATCH($M300,บันทึกรายเที่ยว!$R$6:$R$6005,0))</f>
        <v/>
      </c>
      <c r="O300">
        <f>IF($J300="","",MATCH($L300,บันทึกรายเที่ยว!$S$6:$S$6005,0))</f>
        <v/>
      </c>
      <c r="P300">
        <f>IF($J300="","",IF(AND(OR($I$3="(ทั้งหมด)",INDEX(บันทึกรายเที่ยว!$C$6:$C$6005,$J300)=$I$3),OR($I$5="(ทั้งหมด)",INDEX(บันทึกรายเที่ยว!$D$6:$D$6005,$J300)=$I$5),OR($I$7="(ทั้งหมด)",INDEX(บันทึกรายเที่ยว!$F$6:$F$6005,$J300)=$I$7)),$N300*10000000+$O300*1000+293,""))</f>
        <v/>
      </c>
      <c r="Q300">
        <f>IFERROR(MATCH(SMALL($P$8:$P$407,293),$P$8:$P$407,0),"")</f>
        <v/>
      </c>
      <c r="R300">
        <f>IF($Q300="","",INDEX($J$8:$J$407,$Q300))</f>
        <v/>
      </c>
      <c r="S300">
        <f>IF($Q300="","",INDEX($M$8:$M$407,$Q300))</f>
        <v/>
      </c>
      <c r="T300">
        <f>IF($Q300="","",INDEX($L$8:$L$407,$Q300))</f>
        <v/>
      </c>
      <c r="U300">
        <f>IF($Q300="","",INDEX($K$8:$K$407,$Q300))</f>
        <v/>
      </c>
      <c r="V300">
        <f>IF($Q300="",0,IF($S300&lt;&gt;$S299,1,0))</f>
        <v/>
      </c>
      <c r="W300">
        <f>IF($Q300="",0,IF($T300&lt;&gt;$T299,1,0))</f>
        <v/>
      </c>
      <c r="X300">
        <f>IF($Q300="",99999+293,$X299+1+$V299+$W299)</f>
        <v/>
      </c>
      <c r="Y300">
        <f>IF($Q300="","",INDEX(บันทึกรายเที่ยว!$Q$6:$Q$6005,$R300))</f>
        <v/>
      </c>
      <c r="Z300">
        <f>IF($Q300="","",INDEX(บันทึกรายเที่ยว!$F$6:$F$6005,$R300))</f>
        <v/>
      </c>
      <c r="AA300">
        <f>IFERROR(MATCH(293,$X$8:$X$407,1),"")</f>
        <v/>
      </c>
      <c r="AB300">
        <f>IF(293=$AD$1+1,"G",IF($AA300="","",IF(INDEX($Q$8:$Q$407,$AA300)="","",IF(293&gt;INDEX($X$8:$X$407,$AA300)+INDEX($V$8:$V$407,$AA300)+INDEX($W$8:$W$407,$AA300),"",IF(293=INDEX($X$8:$X$407,$AA300)+INDEX($V$8:$V$407,$AA300)+INDEX($W$8:$W$407,$AA300),"D",IF(AND(INDEX($W$8:$W$407,$AA300)=1,293=INDEX($X$8:$X$407,$AA300)+INDEX($V$8:$V$407,$AA300)),"S","R"))))))</f>
        <v/>
      </c>
      <c r="AC300">
        <f>IF(OR($AB300="",$AB300="G"),"",IF($AB300="D",INDEX($U$8:$U$407,$AA300),IF($AB300="S",INDEX($T$8:$T$407,$AA300)&amp;"|*",INDEX($S$8:$S$407,$AA300)&amp;"|*")))</f>
        <v/>
      </c>
      <c r="AE300">
        <f>IF($U300="",0,COUNTIF(บันทึกรายเที่ยว!$T$6:$T$6005,$U300))</f>
        <v/>
      </c>
      <c r="AF300">
        <f>IF($U300="",0,ROUND(SUMIF(บันทึกรายเที่ยว!$T$6:$T$6005,$U300,บันทึกรายเที่ยว!$J$6:$J$6005),2))</f>
        <v/>
      </c>
      <c r="AG300">
        <f>IF($U300="",0,ROUND(SUMIF(บันทึกรายเที่ยว!$T$6:$T$6005,$U300,บันทึกรายเที่ยว!$K$6:$K$6005),2))</f>
        <v/>
      </c>
      <c r="AH300">
        <f>IF($U300="",0,ROUND(SUMIF(บันทึกรายเที่ยว!$T$6:$T$6005,$U300,บันทึกรายเที่ยว!$M$6:$M$6005),2))</f>
        <v/>
      </c>
    </row>
    <row r="301" ht="21" customHeight="1" s="66">
      <c r="A301" s="3">
        <f>IF($AB301="G","ผลรวมทั้งหมด",IF($AB301="R",INDEX($S$8:$S$407,$AA301),""))</f>
        <v/>
      </c>
      <c r="B301" s="3">
        <f>IF($AB301="S",INDEX($Y$8:$Y$407,$AA301),"")</f>
        <v/>
      </c>
      <c r="C301" s="68">
        <f>IF($AB301="D",INDEX($Z$8:$Z$407,$AA301),"")</f>
        <v/>
      </c>
      <c r="D301" s="31">
        <f>IF($AB301="G",SUM($AE$8:$AE$407),IF(OR($AB301="",$AB301="R"),"",IF($AB301="D",INDEX($AE$8:$AE$407,$AA301),SUMIF($T$8:$T$407,INDEX($T$8:$T$407,$AA301),$AE$8:$AE$407))))</f>
        <v/>
      </c>
      <c r="E301" s="32">
        <f>IF(294=$AD$1+3,"ขอแสดงความนับถือ",IF(294=$AD$1+6,"(                 )",IF(294=$AD$1+7,"เจ้าหน้าที่ขนส่ง",IF($AB301="G",SUM($AF$8:$AF$407),IF(OR($AB301="",$AB301="R"),"",IF($AB301="D",INDEX($AF$8:$AF$407,$AA301),SUMIF($T$8:$T$407,INDEX($T$8:$T$407,$AA301),$AF$8:$AF$407)))))))</f>
        <v/>
      </c>
      <c r="F301" s="32">
        <f>IF($AB301="G",SUM($AG$8:$AG$407),IF(OR($AB301="",$AB301="R"),"",IF($AB301="D",INDEX($AG$8:$AG$407,$AA301),SUMIF($T$8:$T$407,INDEX($T$8:$T$407,$AA301),$AG$8:$AG$407))))</f>
        <v/>
      </c>
      <c r="G301" s="32">
        <f>IF(OR($AB301="",$AB301="R"),"",ROUND($E301-$F301,2))</f>
        <v/>
      </c>
      <c r="H301" s="32">
        <f>IF($AB301="G",SUM($AH$8:$AH$407),IF(OR($AB301="",$AB301="R"),"",IF($AB301="D",INDEX($AH$8:$AH$407,$AA301),SUMIF($T$8:$T$407,INDEX($T$8:$T$407,$AA301),$AH$8:$AH$407))))</f>
        <v/>
      </c>
      <c r="J301">
        <f>IFERROR(MATCH(294,บันทึกรายเที่ยว!$W$6:$W$6005,0),"")</f>
        <v/>
      </c>
      <c r="K301">
        <f>IF($J301="","",INDEX(บันทึกรายเที่ยว!$T$6:$T$6005,$J301))</f>
        <v/>
      </c>
      <c r="L301">
        <f>IF($J301="","",INDEX(บันทึกรายเที่ยว!$S$6:$S$6005,$J301))</f>
        <v/>
      </c>
      <c r="M301">
        <f>IF($J301="","",INDEX(บันทึกรายเที่ยว!$R$6:$R$6005,$J301))</f>
        <v/>
      </c>
      <c r="N301">
        <f>IF($J301="","",MATCH($M301,บันทึกรายเที่ยว!$R$6:$R$6005,0))</f>
        <v/>
      </c>
      <c r="O301">
        <f>IF($J301="","",MATCH($L301,บันทึกรายเที่ยว!$S$6:$S$6005,0))</f>
        <v/>
      </c>
      <c r="P301">
        <f>IF($J301="","",IF(AND(OR($I$3="(ทั้งหมด)",INDEX(บันทึกรายเที่ยว!$C$6:$C$6005,$J301)=$I$3),OR($I$5="(ทั้งหมด)",INDEX(บันทึกรายเที่ยว!$D$6:$D$6005,$J301)=$I$5),OR($I$7="(ทั้งหมด)",INDEX(บันทึกรายเที่ยว!$F$6:$F$6005,$J301)=$I$7)),$N301*10000000+$O301*1000+294,""))</f>
        <v/>
      </c>
      <c r="Q301">
        <f>IFERROR(MATCH(SMALL($P$8:$P$407,294),$P$8:$P$407,0),"")</f>
        <v/>
      </c>
      <c r="R301">
        <f>IF($Q301="","",INDEX($J$8:$J$407,$Q301))</f>
        <v/>
      </c>
      <c r="S301">
        <f>IF($Q301="","",INDEX($M$8:$M$407,$Q301))</f>
        <v/>
      </c>
      <c r="T301">
        <f>IF($Q301="","",INDEX($L$8:$L$407,$Q301))</f>
        <v/>
      </c>
      <c r="U301">
        <f>IF($Q301="","",INDEX($K$8:$K$407,$Q301))</f>
        <v/>
      </c>
      <c r="V301">
        <f>IF($Q301="",0,IF($S301&lt;&gt;$S300,1,0))</f>
        <v/>
      </c>
      <c r="W301">
        <f>IF($Q301="",0,IF($T301&lt;&gt;$T300,1,0))</f>
        <v/>
      </c>
      <c r="X301">
        <f>IF($Q301="",99999+294,$X300+1+$V300+$W300)</f>
        <v/>
      </c>
      <c r="Y301">
        <f>IF($Q301="","",INDEX(บันทึกรายเที่ยว!$Q$6:$Q$6005,$R301))</f>
        <v/>
      </c>
      <c r="Z301">
        <f>IF($Q301="","",INDEX(บันทึกรายเที่ยว!$F$6:$F$6005,$R301))</f>
        <v/>
      </c>
      <c r="AA301">
        <f>IFERROR(MATCH(294,$X$8:$X$407,1),"")</f>
        <v/>
      </c>
      <c r="AB301">
        <f>IF(294=$AD$1+1,"G",IF($AA301="","",IF(INDEX($Q$8:$Q$407,$AA301)="","",IF(294&gt;INDEX($X$8:$X$407,$AA301)+INDEX($V$8:$V$407,$AA301)+INDEX($W$8:$W$407,$AA301),"",IF(294=INDEX($X$8:$X$407,$AA301)+INDEX($V$8:$V$407,$AA301)+INDEX($W$8:$W$407,$AA301),"D",IF(AND(INDEX($W$8:$W$407,$AA301)=1,294=INDEX($X$8:$X$407,$AA301)+INDEX($V$8:$V$407,$AA301)),"S","R"))))))</f>
        <v/>
      </c>
      <c r="AC301">
        <f>IF(OR($AB301="",$AB301="G"),"",IF($AB301="D",INDEX($U$8:$U$407,$AA301),IF($AB301="S",INDEX($T$8:$T$407,$AA301)&amp;"|*",INDEX($S$8:$S$407,$AA301)&amp;"|*")))</f>
        <v/>
      </c>
      <c r="AE301">
        <f>IF($U301="",0,COUNTIF(บันทึกรายเที่ยว!$T$6:$T$6005,$U301))</f>
        <v/>
      </c>
      <c r="AF301">
        <f>IF($U301="",0,ROUND(SUMIF(บันทึกรายเที่ยว!$T$6:$T$6005,$U301,บันทึกรายเที่ยว!$J$6:$J$6005),2))</f>
        <v/>
      </c>
      <c r="AG301">
        <f>IF($U301="",0,ROUND(SUMIF(บันทึกรายเที่ยว!$T$6:$T$6005,$U301,บันทึกรายเที่ยว!$K$6:$K$6005),2))</f>
        <v/>
      </c>
      <c r="AH301">
        <f>IF($U301="",0,ROUND(SUMIF(บันทึกรายเที่ยว!$T$6:$T$6005,$U301,บันทึกรายเที่ยว!$M$6:$M$6005),2))</f>
        <v/>
      </c>
    </row>
    <row r="302" ht="21" customHeight="1" s="66">
      <c r="A302" s="3">
        <f>IF($AB302="G","ผลรวมทั้งหมด",IF($AB302="R",INDEX($S$8:$S$407,$AA302),""))</f>
        <v/>
      </c>
      <c r="B302" s="3">
        <f>IF($AB302="S",INDEX($Y$8:$Y$407,$AA302),"")</f>
        <v/>
      </c>
      <c r="C302" s="68">
        <f>IF($AB302="D",INDEX($Z$8:$Z$407,$AA302),"")</f>
        <v/>
      </c>
      <c r="D302" s="31">
        <f>IF($AB302="G",SUM($AE$8:$AE$407),IF(OR($AB302="",$AB302="R"),"",IF($AB302="D",INDEX($AE$8:$AE$407,$AA302),SUMIF($T$8:$T$407,INDEX($T$8:$T$407,$AA302),$AE$8:$AE$407))))</f>
        <v/>
      </c>
      <c r="E302" s="32">
        <f>IF(295=$AD$1+3,"ขอแสดงความนับถือ",IF(295=$AD$1+6,"(                 )",IF(295=$AD$1+7,"เจ้าหน้าที่ขนส่ง",IF($AB302="G",SUM($AF$8:$AF$407),IF(OR($AB302="",$AB302="R"),"",IF($AB302="D",INDEX($AF$8:$AF$407,$AA302),SUMIF($T$8:$T$407,INDEX($T$8:$T$407,$AA302),$AF$8:$AF$407)))))))</f>
        <v/>
      </c>
      <c r="F302" s="32">
        <f>IF($AB302="G",SUM($AG$8:$AG$407),IF(OR($AB302="",$AB302="R"),"",IF($AB302="D",INDEX($AG$8:$AG$407,$AA302),SUMIF($T$8:$T$407,INDEX($T$8:$T$407,$AA302),$AG$8:$AG$407))))</f>
        <v/>
      </c>
      <c r="G302" s="32">
        <f>IF(OR($AB302="",$AB302="R"),"",ROUND($E302-$F302,2))</f>
        <v/>
      </c>
      <c r="H302" s="32">
        <f>IF($AB302="G",SUM($AH$8:$AH$407),IF(OR($AB302="",$AB302="R"),"",IF($AB302="D",INDEX($AH$8:$AH$407,$AA302),SUMIF($T$8:$T$407,INDEX($T$8:$T$407,$AA302),$AH$8:$AH$407))))</f>
        <v/>
      </c>
      <c r="J302">
        <f>IFERROR(MATCH(295,บันทึกรายเที่ยว!$W$6:$W$6005,0),"")</f>
        <v/>
      </c>
      <c r="K302">
        <f>IF($J302="","",INDEX(บันทึกรายเที่ยว!$T$6:$T$6005,$J302))</f>
        <v/>
      </c>
      <c r="L302">
        <f>IF($J302="","",INDEX(บันทึกรายเที่ยว!$S$6:$S$6005,$J302))</f>
        <v/>
      </c>
      <c r="M302">
        <f>IF($J302="","",INDEX(บันทึกรายเที่ยว!$R$6:$R$6005,$J302))</f>
        <v/>
      </c>
      <c r="N302">
        <f>IF($J302="","",MATCH($M302,บันทึกรายเที่ยว!$R$6:$R$6005,0))</f>
        <v/>
      </c>
      <c r="O302">
        <f>IF($J302="","",MATCH($L302,บันทึกรายเที่ยว!$S$6:$S$6005,0))</f>
        <v/>
      </c>
      <c r="P302">
        <f>IF($J302="","",IF(AND(OR($I$3="(ทั้งหมด)",INDEX(บันทึกรายเที่ยว!$C$6:$C$6005,$J302)=$I$3),OR($I$5="(ทั้งหมด)",INDEX(บันทึกรายเที่ยว!$D$6:$D$6005,$J302)=$I$5),OR($I$7="(ทั้งหมด)",INDEX(บันทึกรายเที่ยว!$F$6:$F$6005,$J302)=$I$7)),$N302*10000000+$O302*1000+295,""))</f>
        <v/>
      </c>
      <c r="Q302">
        <f>IFERROR(MATCH(SMALL($P$8:$P$407,295),$P$8:$P$407,0),"")</f>
        <v/>
      </c>
      <c r="R302">
        <f>IF($Q302="","",INDEX($J$8:$J$407,$Q302))</f>
        <v/>
      </c>
      <c r="S302">
        <f>IF($Q302="","",INDEX($M$8:$M$407,$Q302))</f>
        <v/>
      </c>
      <c r="T302">
        <f>IF($Q302="","",INDEX($L$8:$L$407,$Q302))</f>
        <v/>
      </c>
      <c r="U302">
        <f>IF($Q302="","",INDEX($K$8:$K$407,$Q302))</f>
        <v/>
      </c>
      <c r="V302">
        <f>IF($Q302="",0,IF($S302&lt;&gt;$S301,1,0))</f>
        <v/>
      </c>
      <c r="W302">
        <f>IF($Q302="",0,IF($T302&lt;&gt;$T301,1,0))</f>
        <v/>
      </c>
      <c r="X302">
        <f>IF($Q302="",99999+295,$X301+1+$V301+$W301)</f>
        <v/>
      </c>
      <c r="Y302">
        <f>IF($Q302="","",INDEX(บันทึกรายเที่ยว!$Q$6:$Q$6005,$R302))</f>
        <v/>
      </c>
      <c r="Z302">
        <f>IF($Q302="","",INDEX(บันทึกรายเที่ยว!$F$6:$F$6005,$R302))</f>
        <v/>
      </c>
      <c r="AA302">
        <f>IFERROR(MATCH(295,$X$8:$X$407,1),"")</f>
        <v/>
      </c>
      <c r="AB302">
        <f>IF(295=$AD$1+1,"G",IF($AA302="","",IF(INDEX($Q$8:$Q$407,$AA302)="","",IF(295&gt;INDEX($X$8:$X$407,$AA302)+INDEX($V$8:$V$407,$AA302)+INDEX($W$8:$W$407,$AA302),"",IF(295=INDEX($X$8:$X$407,$AA302)+INDEX($V$8:$V$407,$AA302)+INDEX($W$8:$W$407,$AA302),"D",IF(AND(INDEX($W$8:$W$407,$AA302)=1,295=INDEX($X$8:$X$407,$AA302)+INDEX($V$8:$V$407,$AA302)),"S","R"))))))</f>
        <v/>
      </c>
      <c r="AC302">
        <f>IF(OR($AB302="",$AB302="G"),"",IF($AB302="D",INDEX($U$8:$U$407,$AA302),IF($AB302="S",INDEX($T$8:$T$407,$AA302)&amp;"|*",INDEX($S$8:$S$407,$AA302)&amp;"|*")))</f>
        <v/>
      </c>
      <c r="AE302">
        <f>IF($U302="",0,COUNTIF(บันทึกรายเที่ยว!$T$6:$T$6005,$U302))</f>
        <v/>
      </c>
      <c r="AF302">
        <f>IF($U302="",0,ROUND(SUMIF(บันทึกรายเที่ยว!$T$6:$T$6005,$U302,บันทึกรายเที่ยว!$J$6:$J$6005),2))</f>
        <v/>
      </c>
      <c r="AG302">
        <f>IF($U302="",0,ROUND(SUMIF(บันทึกรายเที่ยว!$T$6:$T$6005,$U302,บันทึกรายเที่ยว!$K$6:$K$6005),2))</f>
        <v/>
      </c>
      <c r="AH302">
        <f>IF($U302="",0,ROUND(SUMIF(บันทึกรายเที่ยว!$T$6:$T$6005,$U302,บันทึกรายเที่ยว!$M$6:$M$6005),2))</f>
        <v/>
      </c>
    </row>
    <row r="303" ht="21" customHeight="1" s="66">
      <c r="A303" s="3">
        <f>IF($AB303="G","ผลรวมทั้งหมด",IF($AB303="R",INDEX($S$8:$S$407,$AA303),""))</f>
        <v/>
      </c>
      <c r="B303" s="3">
        <f>IF($AB303="S",INDEX($Y$8:$Y$407,$AA303),"")</f>
        <v/>
      </c>
      <c r="C303" s="68">
        <f>IF($AB303="D",INDEX($Z$8:$Z$407,$AA303),"")</f>
        <v/>
      </c>
      <c r="D303" s="31">
        <f>IF($AB303="G",SUM($AE$8:$AE$407),IF(OR($AB303="",$AB303="R"),"",IF($AB303="D",INDEX($AE$8:$AE$407,$AA303),SUMIF($T$8:$T$407,INDEX($T$8:$T$407,$AA303),$AE$8:$AE$407))))</f>
        <v/>
      </c>
      <c r="E303" s="32">
        <f>IF(296=$AD$1+3,"ขอแสดงความนับถือ",IF(296=$AD$1+6,"(                 )",IF(296=$AD$1+7,"เจ้าหน้าที่ขนส่ง",IF($AB303="G",SUM($AF$8:$AF$407),IF(OR($AB303="",$AB303="R"),"",IF($AB303="D",INDEX($AF$8:$AF$407,$AA303),SUMIF($T$8:$T$407,INDEX($T$8:$T$407,$AA303),$AF$8:$AF$407)))))))</f>
        <v/>
      </c>
      <c r="F303" s="32">
        <f>IF($AB303="G",SUM($AG$8:$AG$407),IF(OR($AB303="",$AB303="R"),"",IF($AB303="D",INDEX($AG$8:$AG$407,$AA303),SUMIF($T$8:$T$407,INDEX($T$8:$T$407,$AA303),$AG$8:$AG$407))))</f>
        <v/>
      </c>
      <c r="G303" s="32">
        <f>IF(OR($AB303="",$AB303="R"),"",ROUND($E303-$F303,2))</f>
        <v/>
      </c>
      <c r="H303" s="32">
        <f>IF($AB303="G",SUM($AH$8:$AH$407),IF(OR($AB303="",$AB303="R"),"",IF($AB303="D",INDEX($AH$8:$AH$407,$AA303),SUMIF($T$8:$T$407,INDEX($T$8:$T$407,$AA303),$AH$8:$AH$407))))</f>
        <v/>
      </c>
      <c r="J303">
        <f>IFERROR(MATCH(296,บันทึกรายเที่ยว!$W$6:$W$6005,0),"")</f>
        <v/>
      </c>
      <c r="K303">
        <f>IF($J303="","",INDEX(บันทึกรายเที่ยว!$T$6:$T$6005,$J303))</f>
        <v/>
      </c>
      <c r="L303">
        <f>IF($J303="","",INDEX(บันทึกรายเที่ยว!$S$6:$S$6005,$J303))</f>
        <v/>
      </c>
      <c r="M303">
        <f>IF($J303="","",INDEX(บันทึกรายเที่ยว!$R$6:$R$6005,$J303))</f>
        <v/>
      </c>
      <c r="N303">
        <f>IF($J303="","",MATCH($M303,บันทึกรายเที่ยว!$R$6:$R$6005,0))</f>
        <v/>
      </c>
      <c r="O303">
        <f>IF($J303="","",MATCH($L303,บันทึกรายเที่ยว!$S$6:$S$6005,0))</f>
        <v/>
      </c>
      <c r="P303">
        <f>IF($J303="","",IF(AND(OR($I$3="(ทั้งหมด)",INDEX(บันทึกรายเที่ยว!$C$6:$C$6005,$J303)=$I$3),OR($I$5="(ทั้งหมด)",INDEX(บันทึกรายเที่ยว!$D$6:$D$6005,$J303)=$I$5),OR($I$7="(ทั้งหมด)",INDEX(บันทึกรายเที่ยว!$F$6:$F$6005,$J303)=$I$7)),$N303*10000000+$O303*1000+296,""))</f>
        <v/>
      </c>
      <c r="Q303">
        <f>IFERROR(MATCH(SMALL($P$8:$P$407,296),$P$8:$P$407,0),"")</f>
        <v/>
      </c>
      <c r="R303">
        <f>IF($Q303="","",INDEX($J$8:$J$407,$Q303))</f>
        <v/>
      </c>
      <c r="S303">
        <f>IF($Q303="","",INDEX($M$8:$M$407,$Q303))</f>
        <v/>
      </c>
      <c r="T303">
        <f>IF($Q303="","",INDEX($L$8:$L$407,$Q303))</f>
        <v/>
      </c>
      <c r="U303">
        <f>IF($Q303="","",INDEX($K$8:$K$407,$Q303))</f>
        <v/>
      </c>
      <c r="V303">
        <f>IF($Q303="",0,IF($S303&lt;&gt;$S302,1,0))</f>
        <v/>
      </c>
      <c r="W303">
        <f>IF($Q303="",0,IF($T303&lt;&gt;$T302,1,0))</f>
        <v/>
      </c>
      <c r="X303">
        <f>IF($Q303="",99999+296,$X302+1+$V302+$W302)</f>
        <v/>
      </c>
      <c r="Y303">
        <f>IF($Q303="","",INDEX(บันทึกรายเที่ยว!$Q$6:$Q$6005,$R303))</f>
        <v/>
      </c>
      <c r="Z303">
        <f>IF($Q303="","",INDEX(บันทึกรายเที่ยว!$F$6:$F$6005,$R303))</f>
        <v/>
      </c>
      <c r="AA303">
        <f>IFERROR(MATCH(296,$X$8:$X$407,1),"")</f>
        <v/>
      </c>
      <c r="AB303">
        <f>IF(296=$AD$1+1,"G",IF($AA303="","",IF(INDEX($Q$8:$Q$407,$AA303)="","",IF(296&gt;INDEX($X$8:$X$407,$AA303)+INDEX($V$8:$V$407,$AA303)+INDEX($W$8:$W$407,$AA303),"",IF(296=INDEX($X$8:$X$407,$AA303)+INDEX($V$8:$V$407,$AA303)+INDEX($W$8:$W$407,$AA303),"D",IF(AND(INDEX($W$8:$W$407,$AA303)=1,296=INDEX($X$8:$X$407,$AA303)+INDEX($V$8:$V$407,$AA303)),"S","R"))))))</f>
        <v/>
      </c>
      <c r="AC303">
        <f>IF(OR($AB303="",$AB303="G"),"",IF($AB303="D",INDEX($U$8:$U$407,$AA303),IF($AB303="S",INDEX($T$8:$T$407,$AA303)&amp;"|*",INDEX($S$8:$S$407,$AA303)&amp;"|*")))</f>
        <v/>
      </c>
      <c r="AE303">
        <f>IF($U303="",0,COUNTIF(บันทึกรายเที่ยว!$T$6:$T$6005,$U303))</f>
        <v/>
      </c>
      <c r="AF303">
        <f>IF($U303="",0,ROUND(SUMIF(บันทึกรายเที่ยว!$T$6:$T$6005,$U303,บันทึกรายเที่ยว!$J$6:$J$6005),2))</f>
        <v/>
      </c>
      <c r="AG303">
        <f>IF($U303="",0,ROUND(SUMIF(บันทึกรายเที่ยว!$T$6:$T$6005,$U303,บันทึกรายเที่ยว!$K$6:$K$6005),2))</f>
        <v/>
      </c>
      <c r="AH303">
        <f>IF($U303="",0,ROUND(SUMIF(บันทึกรายเที่ยว!$T$6:$T$6005,$U303,บันทึกรายเที่ยว!$M$6:$M$6005),2))</f>
        <v/>
      </c>
    </row>
    <row r="304" ht="21" customHeight="1" s="66">
      <c r="A304" s="3">
        <f>IF($AB304="G","ผลรวมทั้งหมด",IF($AB304="R",INDEX($S$8:$S$407,$AA304),""))</f>
        <v/>
      </c>
      <c r="B304" s="3">
        <f>IF($AB304="S",INDEX($Y$8:$Y$407,$AA304),"")</f>
        <v/>
      </c>
      <c r="C304" s="68">
        <f>IF($AB304="D",INDEX($Z$8:$Z$407,$AA304),"")</f>
        <v/>
      </c>
      <c r="D304" s="31">
        <f>IF($AB304="G",SUM($AE$8:$AE$407),IF(OR($AB304="",$AB304="R"),"",IF($AB304="D",INDEX($AE$8:$AE$407,$AA304),SUMIF($T$8:$T$407,INDEX($T$8:$T$407,$AA304),$AE$8:$AE$407))))</f>
        <v/>
      </c>
      <c r="E304" s="32">
        <f>IF(297=$AD$1+3,"ขอแสดงความนับถือ",IF(297=$AD$1+6,"(                 )",IF(297=$AD$1+7,"เจ้าหน้าที่ขนส่ง",IF($AB304="G",SUM($AF$8:$AF$407),IF(OR($AB304="",$AB304="R"),"",IF($AB304="D",INDEX($AF$8:$AF$407,$AA304),SUMIF($T$8:$T$407,INDEX($T$8:$T$407,$AA304),$AF$8:$AF$407)))))))</f>
        <v/>
      </c>
      <c r="F304" s="32">
        <f>IF($AB304="G",SUM($AG$8:$AG$407),IF(OR($AB304="",$AB304="R"),"",IF($AB304="D",INDEX($AG$8:$AG$407,$AA304),SUMIF($T$8:$T$407,INDEX($T$8:$T$407,$AA304),$AG$8:$AG$407))))</f>
        <v/>
      </c>
      <c r="G304" s="32">
        <f>IF(OR($AB304="",$AB304="R"),"",ROUND($E304-$F304,2))</f>
        <v/>
      </c>
      <c r="H304" s="32">
        <f>IF($AB304="G",SUM($AH$8:$AH$407),IF(OR($AB304="",$AB304="R"),"",IF($AB304="D",INDEX($AH$8:$AH$407,$AA304),SUMIF($T$8:$T$407,INDEX($T$8:$T$407,$AA304),$AH$8:$AH$407))))</f>
        <v/>
      </c>
      <c r="J304">
        <f>IFERROR(MATCH(297,บันทึกรายเที่ยว!$W$6:$W$6005,0),"")</f>
        <v/>
      </c>
      <c r="K304">
        <f>IF($J304="","",INDEX(บันทึกรายเที่ยว!$T$6:$T$6005,$J304))</f>
        <v/>
      </c>
      <c r="L304">
        <f>IF($J304="","",INDEX(บันทึกรายเที่ยว!$S$6:$S$6005,$J304))</f>
        <v/>
      </c>
      <c r="M304">
        <f>IF($J304="","",INDEX(บันทึกรายเที่ยว!$R$6:$R$6005,$J304))</f>
        <v/>
      </c>
      <c r="N304">
        <f>IF($J304="","",MATCH($M304,บันทึกรายเที่ยว!$R$6:$R$6005,0))</f>
        <v/>
      </c>
      <c r="O304">
        <f>IF($J304="","",MATCH($L304,บันทึกรายเที่ยว!$S$6:$S$6005,0))</f>
        <v/>
      </c>
      <c r="P304">
        <f>IF($J304="","",IF(AND(OR($I$3="(ทั้งหมด)",INDEX(บันทึกรายเที่ยว!$C$6:$C$6005,$J304)=$I$3),OR($I$5="(ทั้งหมด)",INDEX(บันทึกรายเที่ยว!$D$6:$D$6005,$J304)=$I$5),OR($I$7="(ทั้งหมด)",INDEX(บันทึกรายเที่ยว!$F$6:$F$6005,$J304)=$I$7)),$N304*10000000+$O304*1000+297,""))</f>
        <v/>
      </c>
      <c r="Q304">
        <f>IFERROR(MATCH(SMALL($P$8:$P$407,297),$P$8:$P$407,0),"")</f>
        <v/>
      </c>
      <c r="R304">
        <f>IF($Q304="","",INDEX($J$8:$J$407,$Q304))</f>
        <v/>
      </c>
      <c r="S304">
        <f>IF($Q304="","",INDEX($M$8:$M$407,$Q304))</f>
        <v/>
      </c>
      <c r="T304">
        <f>IF($Q304="","",INDEX($L$8:$L$407,$Q304))</f>
        <v/>
      </c>
      <c r="U304">
        <f>IF($Q304="","",INDEX($K$8:$K$407,$Q304))</f>
        <v/>
      </c>
      <c r="V304">
        <f>IF($Q304="",0,IF($S304&lt;&gt;$S303,1,0))</f>
        <v/>
      </c>
      <c r="W304">
        <f>IF($Q304="",0,IF($T304&lt;&gt;$T303,1,0))</f>
        <v/>
      </c>
      <c r="X304">
        <f>IF($Q304="",99999+297,$X303+1+$V303+$W303)</f>
        <v/>
      </c>
      <c r="Y304">
        <f>IF($Q304="","",INDEX(บันทึกรายเที่ยว!$Q$6:$Q$6005,$R304))</f>
        <v/>
      </c>
      <c r="Z304">
        <f>IF($Q304="","",INDEX(บันทึกรายเที่ยว!$F$6:$F$6005,$R304))</f>
        <v/>
      </c>
      <c r="AA304">
        <f>IFERROR(MATCH(297,$X$8:$X$407,1),"")</f>
        <v/>
      </c>
      <c r="AB304">
        <f>IF(297=$AD$1+1,"G",IF($AA304="","",IF(INDEX($Q$8:$Q$407,$AA304)="","",IF(297&gt;INDEX($X$8:$X$407,$AA304)+INDEX($V$8:$V$407,$AA304)+INDEX($W$8:$W$407,$AA304),"",IF(297=INDEX($X$8:$X$407,$AA304)+INDEX($V$8:$V$407,$AA304)+INDEX($W$8:$W$407,$AA304),"D",IF(AND(INDEX($W$8:$W$407,$AA304)=1,297=INDEX($X$8:$X$407,$AA304)+INDEX($V$8:$V$407,$AA304)),"S","R"))))))</f>
        <v/>
      </c>
      <c r="AC304">
        <f>IF(OR($AB304="",$AB304="G"),"",IF($AB304="D",INDEX($U$8:$U$407,$AA304),IF($AB304="S",INDEX($T$8:$T$407,$AA304)&amp;"|*",INDEX($S$8:$S$407,$AA304)&amp;"|*")))</f>
        <v/>
      </c>
      <c r="AE304">
        <f>IF($U304="",0,COUNTIF(บันทึกรายเที่ยว!$T$6:$T$6005,$U304))</f>
        <v/>
      </c>
      <c r="AF304">
        <f>IF($U304="",0,ROUND(SUMIF(บันทึกรายเที่ยว!$T$6:$T$6005,$U304,บันทึกรายเที่ยว!$J$6:$J$6005),2))</f>
        <v/>
      </c>
      <c r="AG304">
        <f>IF($U304="",0,ROUND(SUMIF(บันทึกรายเที่ยว!$T$6:$T$6005,$U304,บันทึกรายเที่ยว!$K$6:$K$6005),2))</f>
        <v/>
      </c>
      <c r="AH304">
        <f>IF($U304="",0,ROUND(SUMIF(บันทึกรายเที่ยว!$T$6:$T$6005,$U304,บันทึกรายเที่ยว!$M$6:$M$6005),2))</f>
        <v/>
      </c>
    </row>
    <row r="305" ht="21" customHeight="1" s="66">
      <c r="A305" s="3">
        <f>IF($AB305="G","ผลรวมทั้งหมด",IF($AB305="R",INDEX($S$8:$S$407,$AA305),""))</f>
        <v/>
      </c>
      <c r="B305" s="3">
        <f>IF($AB305="S",INDEX($Y$8:$Y$407,$AA305),"")</f>
        <v/>
      </c>
      <c r="C305" s="68">
        <f>IF($AB305="D",INDEX($Z$8:$Z$407,$AA305),"")</f>
        <v/>
      </c>
      <c r="D305" s="31">
        <f>IF($AB305="G",SUM($AE$8:$AE$407),IF(OR($AB305="",$AB305="R"),"",IF($AB305="D",INDEX($AE$8:$AE$407,$AA305),SUMIF($T$8:$T$407,INDEX($T$8:$T$407,$AA305),$AE$8:$AE$407))))</f>
        <v/>
      </c>
      <c r="E305" s="32">
        <f>IF(298=$AD$1+3,"ขอแสดงความนับถือ",IF(298=$AD$1+6,"(                 )",IF(298=$AD$1+7,"เจ้าหน้าที่ขนส่ง",IF($AB305="G",SUM($AF$8:$AF$407),IF(OR($AB305="",$AB305="R"),"",IF($AB305="D",INDEX($AF$8:$AF$407,$AA305),SUMIF($T$8:$T$407,INDEX($T$8:$T$407,$AA305),$AF$8:$AF$407)))))))</f>
        <v/>
      </c>
      <c r="F305" s="32">
        <f>IF($AB305="G",SUM($AG$8:$AG$407),IF(OR($AB305="",$AB305="R"),"",IF($AB305="D",INDEX($AG$8:$AG$407,$AA305),SUMIF($T$8:$T$407,INDEX($T$8:$T$407,$AA305),$AG$8:$AG$407))))</f>
        <v/>
      </c>
      <c r="G305" s="32">
        <f>IF(OR($AB305="",$AB305="R"),"",ROUND($E305-$F305,2))</f>
        <v/>
      </c>
      <c r="H305" s="32">
        <f>IF($AB305="G",SUM($AH$8:$AH$407),IF(OR($AB305="",$AB305="R"),"",IF($AB305="D",INDEX($AH$8:$AH$407,$AA305),SUMIF($T$8:$T$407,INDEX($T$8:$T$407,$AA305),$AH$8:$AH$407))))</f>
        <v/>
      </c>
      <c r="J305">
        <f>IFERROR(MATCH(298,บันทึกรายเที่ยว!$W$6:$W$6005,0),"")</f>
        <v/>
      </c>
      <c r="K305">
        <f>IF($J305="","",INDEX(บันทึกรายเที่ยว!$T$6:$T$6005,$J305))</f>
        <v/>
      </c>
      <c r="L305">
        <f>IF($J305="","",INDEX(บันทึกรายเที่ยว!$S$6:$S$6005,$J305))</f>
        <v/>
      </c>
      <c r="M305">
        <f>IF($J305="","",INDEX(บันทึกรายเที่ยว!$R$6:$R$6005,$J305))</f>
        <v/>
      </c>
      <c r="N305">
        <f>IF($J305="","",MATCH($M305,บันทึกรายเที่ยว!$R$6:$R$6005,0))</f>
        <v/>
      </c>
      <c r="O305">
        <f>IF($J305="","",MATCH($L305,บันทึกรายเที่ยว!$S$6:$S$6005,0))</f>
        <v/>
      </c>
      <c r="P305">
        <f>IF($J305="","",IF(AND(OR($I$3="(ทั้งหมด)",INDEX(บันทึกรายเที่ยว!$C$6:$C$6005,$J305)=$I$3),OR($I$5="(ทั้งหมด)",INDEX(บันทึกรายเที่ยว!$D$6:$D$6005,$J305)=$I$5),OR($I$7="(ทั้งหมด)",INDEX(บันทึกรายเที่ยว!$F$6:$F$6005,$J305)=$I$7)),$N305*10000000+$O305*1000+298,""))</f>
        <v/>
      </c>
      <c r="Q305">
        <f>IFERROR(MATCH(SMALL($P$8:$P$407,298),$P$8:$P$407,0),"")</f>
        <v/>
      </c>
      <c r="R305">
        <f>IF($Q305="","",INDEX($J$8:$J$407,$Q305))</f>
        <v/>
      </c>
      <c r="S305">
        <f>IF($Q305="","",INDEX($M$8:$M$407,$Q305))</f>
        <v/>
      </c>
      <c r="T305">
        <f>IF($Q305="","",INDEX($L$8:$L$407,$Q305))</f>
        <v/>
      </c>
      <c r="U305">
        <f>IF($Q305="","",INDEX($K$8:$K$407,$Q305))</f>
        <v/>
      </c>
      <c r="V305">
        <f>IF($Q305="",0,IF($S305&lt;&gt;$S304,1,0))</f>
        <v/>
      </c>
      <c r="W305">
        <f>IF($Q305="",0,IF($T305&lt;&gt;$T304,1,0))</f>
        <v/>
      </c>
      <c r="X305">
        <f>IF($Q305="",99999+298,$X304+1+$V304+$W304)</f>
        <v/>
      </c>
      <c r="Y305">
        <f>IF($Q305="","",INDEX(บันทึกรายเที่ยว!$Q$6:$Q$6005,$R305))</f>
        <v/>
      </c>
      <c r="Z305">
        <f>IF($Q305="","",INDEX(บันทึกรายเที่ยว!$F$6:$F$6005,$R305))</f>
        <v/>
      </c>
      <c r="AA305">
        <f>IFERROR(MATCH(298,$X$8:$X$407,1),"")</f>
        <v/>
      </c>
      <c r="AB305">
        <f>IF(298=$AD$1+1,"G",IF($AA305="","",IF(INDEX($Q$8:$Q$407,$AA305)="","",IF(298&gt;INDEX($X$8:$X$407,$AA305)+INDEX($V$8:$V$407,$AA305)+INDEX($W$8:$W$407,$AA305),"",IF(298=INDEX($X$8:$X$407,$AA305)+INDEX($V$8:$V$407,$AA305)+INDEX($W$8:$W$407,$AA305),"D",IF(AND(INDEX($W$8:$W$407,$AA305)=1,298=INDEX($X$8:$X$407,$AA305)+INDEX($V$8:$V$407,$AA305)),"S","R"))))))</f>
        <v/>
      </c>
      <c r="AC305">
        <f>IF(OR($AB305="",$AB305="G"),"",IF($AB305="D",INDEX($U$8:$U$407,$AA305),IF($AB305="S",INDEX($T$8:$T$407,$AA305)&amp;"|*",INDEX($S$8:$S$407,$AA305)&amp;"|*")))</f>
        <v/>
      </c>
      <c r="AE305">
        <f>IF($U305="",0,COUNTIF(บันทึกรายเที่ยว!$T$6:$T$6005,$U305))</f>
        <v/>
      </c>
      <c r="AF305">
        <f>IF($U305="",0,ROUND(SUMIF(บันทึกรายเที่ยว!$T$6:$T$6005,$U305,บันทึกรายเที่ยว!$J$6:$J$6005),2))</f>
        <v/>
      </c>
      <c r="AG305">
        <f>IF($U305="",0,ROUND(SUMIF(บันทึกรายเที่ยว!$T$6:$T$6005,$U305,บันทึกรายเที่ยว!$K$6:$K$6005),2))</f>
        <v/>
      </c>
      <c r="AH305">
        <f>IF($U305="",0,ROUND(SUMIF(บันทึกรายเที่ยว!$T$6:$T$6005,$U305,บันทึกรายเที่ยว!$M$6:$M$6005),2))</f>
        <v/>
      </c>
    </row>
    <row r="306" ht="21" customHeight="1" s="66">
      <c r="A306" s="3">
        <f>IF($AB306="G","ผลรวมทั้งหมด",IF($AB306="R",INDEX($S$8:$S$407,$AA306),""))</f>
        <v/>
      </c>
      <c r="B306" s="3">
        <f>IF($AB306="S",INDEX($Y$8:$Y$407,$AA306),"")</f>
        <v/>
      </c>
      <c r="C306" s="68">
        <f>IF($AB306="D",INDEX($Z$8:$Z$407,$AA306),"")</f>
        <v/>
      </c>
      <c r="D306" s="31">
        <f>IF($AB306="G",SUM($AE$8:$AE$407),IF(OR($AB306="",$AB306="R"),"",IF($AB306="D",INDEX($AE$8:$AE$407,$AA306),SUMIF($T$8:$T$407,INDEX($T$8:$T$407,$AA306),$AE$8:$AE$407))))</f>
        <v/>
      </c>
      <c r="E306" s="32">
        <f>IF(299=$AD$1+3,"ขอแสดงความนับถือ",IF(299=$AD$1+6,"(                 )",IF(299=$AD$1+7,"เจ้าหน้าที่ขนส่ง",IF($AB306="G",SUM($AF$8:$AF$407),IF(OR($AB306="",$AB306="R"),"",IF($AB306="D",INDEX($AF$8:$AF$407,$AA306),SUMIF($T$8:$T$407,INDEX($T$8:$T$407,$AA306),$AF$8:$AF$407)))))))</f>
        <v/>
      </c>
      <c r="F306" s="32">
        <f>IF($AB306="G",SUM($AG$8:$AG$407),IF(OR($AB306="",$AB306="R"),"",IF($AB306="D",INDEX($AG$8:$AG$407,$AA306),SUMIF($T$8:$T$407,INDEX($T$8:$T$407,$AA306),$AG$8:$AG$407))))</f>
        <v/>
      </c>
      <c r="G306" s="32">
        <f>IF(OR($AB306="",$AB306="R"),"",ROUND($E306-$F306,2))</f>
        <v/>
      </c>
      <c r="H306" s="32">
        <f>IF($AB306="G",SUM($AH$8:$AH$407),IF(OR($AB306="",$AB306="R"),"",IF($AB306="D",INDEX($AH$8:$AH$407,$AA306),SUMIF($T$8:$T$407,INDEX($T$8:$T$407,$AA306),$AH$8:$AH$407))))</f>
        <v/>
      </c>
      <c r="J306">
        <f>IFERROR(MATCH(299,บันทึกรายเที่ยว!$W$6:$W$6005,0),"")</f>
        <v/>
      </c>
      <c r="K306">
        <f>IF($J306="","",INDEX(บันทึกรายเที่ยว!$T$6:$T$6005,$J306))</f>
        <v/>
      </c>
      <c r="L306">
        <f>IF($J306="","",INDEX(บันทึกรายเที่ยว!$S$6:$S$6005,$J306))</f>
        <v/>
      </c>
      <c r="M306">
        <f>IF($J306="","",INDEX(บันทึกรายเที่ยว!$R$6:$R$6005,$J306))</f>
        <v/>
      </c>
      <c r="N306">
        <f>IF($J306="","",MATCH($M306,บันทึกรายเที่ยว!$R$6:$R$6005,0))</f>
        <v/>
      </c>
      <c r="O306">
        <f>IF($J306="","",MATCH($L306,บันทึกรายเที่ยว!$S$6:$S$6005,0))</f>
        <v/>
      </c>
      <c r="P306">
        <f>IF($J306="","",IF(AND(OR($I$3="(ทั้งหมด)",INDEX(บันทึกรายเที่ยว!$C$6:$C$6005,$J306)=$I$3),OR($I$5="(ทั้งหมด)",INDEX(บันทึกรายเที่ยว!$D$6:$D$6005,$J306)=$I$5),OR($I$7="(ทั้งหมด)",INDEX(บันทึกรายเที่ยว!$F$6:$F$6005,$J306)=$I$7)),$N306*10000000+$O306*1000+299,""))</f>
        <v/>
      </c>
      <c r="Q306">
        <f>IFERROR(MATCH(SMALL($P$8:$P$407,299),$P$8:$P$407,0),"")</f>
        <v/>
      </c>
      <c r="R306">
        <f>IF($Q306="","",INDEX($J$8:$J$407,$Q306))</f>
        <v/>
      </c>
      <c r="S306">
        <f>IF($Q306="","",INDEX($M$8:$M$407,$Q306))</f>
        <v/>
      </c>
      <c r="T306">
        <f>IF($Q306="","",INDEX($L$8:$L$407,$Q306))</f>
        <v/>
      </c>
      <c r="U306">
        <f>IF($Q306="","",INDEX($K$8:$K$407,$Q306))</f>
        <v/>
      </c>
      <c r="V306">
        <f>IF($Q306="",0,IF($S306&lt;&gt;$S305,1,0))</f>
        <v/>
      </c>
      <c r="W306">
        <f>IF($Q306="",0,IF($T306&lt;&gt;$T305,1,0))</f>
        <v/>
      </c>
      <c r="X306">
        <f>IF($Q306="",99999+299,$X305+1+$V305+$W305)</f>
        <v/>
      </c>
      <c r="Y306">
        <f>IF($Q306="","",INDEX(บันทึกรายเที่ยว!$Q$6:$Q$6005,$R306))</f>
        <v/>
      </c>
      <c r="Z306">
        <f>IF($Q306="","",INDEX(บันทึกรายเที่ยว!$F$6:$F$6005,$R306))</f>
        <v/>
      </c>
      <c r="AA306">
        <f>IFERROR(MATCH(299,$X$8:$X$407,1),"")</f>
        <v/>
      </c>
      <c r="AB306">
        <f>IF(299=$AD$1+1,"G",IF($AA306="","",IF(INDEX($Q$8:$Q$407,$AA306)="","",IF(299&gt;INDEX($X$8:$X$407,$AA306)+INDEX($V$8:$V$407,$AA306)+INDEX($W$8:$W$407,$AA306),"",IF(299=INDEX($X$8:$X$407,$AA306)+INDEX($V$8:$V$407,$AA306)+INDEX($W$8:$W$407,$AA306),"D",IF(AND(INDEX($W$8:$W$407,$AA306)=1,299=INDEX($X$8:$X$407,$AA306)+INDEX($V$8:$V$407,$AA306)),"S","R"))))))</f>
        <v/>
      </c>
      <c r="AC306">
        <f>IF(OR($AB306="",$AB306="G"),"",IF($AB306="D",INDEX($U$8:$U$407,$AA306),IF($AB306="S",INDEX($T$8:$T$407,$AA306)&amp;"|*",INDEX($S$8:$S$407,$AA306)&amp;"|*")))</f>
        <v/>
      </c>
      <c r="AE306">
        <f>IF($U306="",0,COUNTIF(บันทึกรายเที่ยว!$T$6:$T$6005,$U306))</f>
        <v/>
      </c>
      <c r="AF306">
        <f>IF($U306="",0,ROUND(SUMIF(บันทึกรายเที่ยว!$T$6:$T$6005,$U306,บันทึกรายเที่ยว!$J$6:$J$6005),2))</f>
        <v/>
      </c>
      <c r="AG306">
        <f>IF($U306="",0,ROUND(SUMIF(บันทึกรายเที่ยว!$T$6:$T$6005,$U306,บันทึกรายเที่ยว!$K$6:$K$6005),2))</f>
        <v/>
      </c>
      <c r="AH306">
        <f>IF($U306="",0,ROUND(SUMIF(บันทึกรายเที่ยว!$T$6:$T$6005,$U306,บันทึกรายเที่ยว!$M$6:$M$6005),2))</f>
        <v/>
      </c>
    </row>
    <row r="307" ht="21" customHeight="1" s="66">
      <c r="A307" s="3">
        <f>IF($AB307="G","ผลรวมทั้งหมด",IF($AB307="R",INDEX($S$8:$S$407,$AA307),""))</f>
        <v/>
      </c>
      <c r="B307" s="3">
        <f>IF($AB307="S",INDEX($Y$8:$Y$407,$AA307),"")</f>
        <v/>
      </c>
      <c r="C307" s="68">
        <f>IF($AB307="D",INDEX($Z$8:$Z$407,$AA307),"")</f>
        <v/>
      </c>
      <c r="D307" s="31">
        <f>IF($AB307="G",SUM($AE$8:$AE$407),IF(OR($AB307="",$AB307="R"),"",IF($AB307="D",INDEX($AE$8:$AE$407,$AA307),SUMIF($T$8:$T$407,INDEX($T$8:$T$407,$AA307),$AE$8:$AE$407))))</f>
        <v/>
      </c>
      <c r="E307" s="32">
        <f>IF(300=$AD$1+3,"ขอแสดงความนับถือ",IF(300=$AD$1+6,"(                 )",IF(300=$AD$1+7,"เจ้าหน้าที่ขนส่ง",IF($AB307="G",SUM($AF$8:$AF$407),IF(OR($AB307="",$AB307="R"),"",IF($AB307="D",INDEX($AF$8:$AF$407,$AA307),SUMIF($T$8:$T$407,INDEX($T$8:$T$407,$AA307),$AF$8:$AF$407)))))))</f>
        <v/>
      </c>
      <c r="F307" s="32">
        <f>IF($AB307="G",SUM($AG$8:$AG$407),IF(OR($AB307="",$AB307="R"),"",IF($AB307="D",INDEX($AG$8:$AG$407,$AA307),SUMIF($T$8:$T$407,INDEX($T$8:$T$407,$AA307),$AG$8:$AG$407))))</f>
        <v/>
      </c>
      <c r="G307" s="32">
        <f>IF(OR($AB307="",$AB307="R"),"",ROUND($E307-$F307,2))</f>
        <v/>
      </c>
      <c r="H307" s="32">
        <f>IF($AB307="G",SUM($AH$8:$AH$407),IF(OR($AB307="",$AB307="R"),"",IF($AB307="D",INDEX($AH$8:$AH$407,$AA307),SUMIF($T$8:$T$407,INDEX($T$8:$T$407,$AA307),$AH$8:$AH$407))))</f>
        <v/>
      </c>
      <c r="J307">
        <f>IFERROR(MATCH(300,บันทึกรายเที่ยว!$W$6:$W$6005,0),"")</f>
        <v/>
      </c>
      <c r="K307">
        <f>IF($J307="","",INDEX(บันทึกรายเที่ยว!$T$6:$T$6005,$J307))</f>
        <v/>
      </c>
      <c r="L307">
        <f>IF($J307="","",INDEX(บันทึกรายเที่ยว!$S$6:$S$6005,$J307))</f>
        <v/>
      </c>
      <c r="M307">
        <f>IF($J307="","",INDEX(บันทึกรายเที่ยว!$R$6:$R$6005,$J307))</f>
        <v/>
      </c>
      <c r="N307">
        <f>IF($J307="","",MATCH($M307,บันทึกรายเที่ยว!$R$6:$R$6005,0))</f>
        <v/>
      </c>
      <c r="O307">
        <f>IF($J307="","",MATCH($L307,บันทึกรายเที่ยว!$S$6:$S$6005,0))</f>
        <v/>
      </c>
      <c r="P307">
        <f>IF($J307="","",IF(AND(OR($I$3="(ทั้งหมด)",INDEX(บันทึกรายเที่ยว!$C$6:$C$6005,$J307)=$I$3),OR($I$5="(ทั้งหมด)",INDEX(บันทึกรายเที่ยว!$D$6:$D$6005,$J307)=$I$5),OR($I$7="(ทั้งหมด)",INDEX(บันทึกรายเที่ยว!$F$6:$F$6005,$J307)=$I$7)),$N307*10000000+$O307*1000+300,""))</f>
        <v/>
      </c>
      <c r="Q307">
        <f>IFERROR(MATCH(SMALL($P$8:$P$407,300),$P$8:$P$407,0),"")</f>
        <v/>
      </c>
      <c r="R307">
        <f>IF($Q307="","",INDEX($J$8:$J$407,$Q307))</f>
        <v/>
      </c>
      <c r="S307">
        <f>IF($Q307="","",INDEX($M$8:$M$407,$Q307))</f>
        <v/>
      </c>
      <c r="T307">
        <f>IF($Q307="","",INDEX($L$8:$L$407,$Q307))</f>
        <v/>
      </c>
      <c r="U307">
        <f>IF($Q307="","",INDEX($K$8:$K$407,$Q307))</f>
        <v/>
      </c>
      <c r="V307">
        <f>IF($Q307="",0,IF($S307&lt;&gt;$S306,1,0))</f>
        <v/>
      </c>
      <c r="W307">
        <f>IF($Q307="",0,IF($T307&lt;&gt;$T306,1,0))</f>
        <v/>
      </c>
      <c r="X307">
        <f>IF($Q307="",99999+300,$X306+1+$V306+$W306)</f>
        <v/>
      </c>
      <c r="Y307">
        <f>IF($Q307="","",INDEX(บันทึกรายเที่ยว!$Q$6:$Q$6005,$R307))</f>
        <v/>
      </c>
      <c r="Z307">
        <f>IF($Q307="","",INDEX(บันทึกรายเที่ยว!$F$6:$F$6005,$R307))</f>
        <v/>
      </c>
      <c r="AA307">
        <f>IFERROR(MATCH(300,$X$8:$X$407,1),"")</f>
        <v/>
      </c>
      <c r="AB307">
        <f>IF(300=$AD$1+1,"G",IF($AA307="","",IF(INDEX($Q$8:$Q$407,$AA307)="","",IF(300&gt;INDEX($X$8:$X$407,$AA307)+INDEX($V$8:$V$407,$AA307)+INDEX($W$8:$W$407,$AA307),"",IF(300=INDEX($X$8:$X$407,$AA307)+INDEX($V$8:$V$407,$AA307)+INDEX($W$8:$W$407,$AA307),"D",IF(AND(INDEX($W$8:$W$407,$AA307)=1,300=INDEX($X$8:$X$407,$AA307)+INDEX($V$8:$V$407,$AA307)),"S","R"))))))</f>
        <v/>
      </c>
      <c r="AC307">
        <f>IF(OR($AB307="",$AB307="G"),"",IF($AB307="D",INDEX($U$8:$U$407,$AA307),IF($AB307="S",INDEX($T$8:$T$407,$AA307)&amp;"|*",INDEX($S$8:$S$407,$AA307)&amp;"|*")))</f>
        <v/>
      </c>
      <c r="AE307">
        <f>IF($U307="",0,COUNTIF(บันทึกรายเที่ยว!$T$6:$T$6005,$U307))</f>
        <v/>
      </c>
      <c r="AF307">
        <f>IF($U307="",0,ROUND(SUMIF(บันทึกรายเที่ยว!$T$6:$T$6005,$U307,บันทึกรายเที่ยว!$J$6:$J$6005),2))</f>
        <v/>
      </c>
      <c r="AG307">
        <f>IF($U307="",0,ROUND(SUMIF(บันทึกรายเที่ยว!$T$6:$T$6005,$U307,บันทึกรายเที่ยว!$K$6:$K$6005),2))</f>
        <v/>
      </c>
      <c r="AH307">
        <f>IF($U307="",0,ROUND(SUMIF(บันทึกรายเที่ยว!$T$6:$T$6005,$U307,บันทึกรายเที่ยว!$M$6:$M$6005),2))</f>
        <v/>
      </c>
    </row>
    <row r="308" ht="21" customHeight="1" s="66">
      <c r="A308" s="3">
        <f>IF($AB308="G","ผลรวมทั้งหมด",IF($AB308="R",INDEX($S$8:$S$407,$AA308),""))</f>
        <v/>
      </c>
      <c r="B308" s="3">
        <f>IF($AB308="S",INDEX($Y$8:$Y$407,$AA308),"")</f>
        <v/>
      </c>
      <c r="C308" s="68">
        <f>IF($AB308="D",INDEX($Z$8:$Z$407,$AA308),"")</f>
        <v/>
      </c>
      <c r="D308" s="31">
        <f>IF($AB308="G",SUM($AE$8:$AE$407),IF(OR($AB308="",$AB308="R"),"",IF($AB308="D",INDEX($AE$8:$AE$407,$AA308),SUMIF($T$8:$T$407,INDEX($T$8:$T$407,$AA308),$AE$8:$AE$407))))</f>
        <v/>
      </c>
      <c r="E308" s="32">
        <f>IF(301=$AD$1+3,"ขอแสดงความนับถือ",IF(301=$AD$1+6,"(                 )",IF(301=$AD$1+7,"เจ้าหน้าที่ขนส่ง",IF($AB308="G",SUM($AF$8:$AF$407),IF(OR($AB308="",$AB308="R"),"",IF($AB308="D",INDEX($AF$8:$AF$407,$AA308),SUMIF($T$8:$T$407,INDEX($T$8:$T$407,$AA308),$AF$8:$AF$407)))))))</f>
        <v/>
      </c>
      <c r="F308" s="32">
        <f>IF($AB308="G",SUM($AG$8:$AG$407),IF(OR($AB308="",$AB308="R"),"",IF($AB308="D",INDEX($AG$8:$AG$407,$AA308),SUMIF($T$8:$T$407,INDEX($T$8:$T$407,$AA308),$AG$8:$AG$407))))</f>
        <v/>
      </c>
      <c r="G308" s="32">
        <f>IF(OR($AB308="",$AB308="R"),"",ROUND($E308-$F308,2))</f>
        <v/>
      </c>
      <c r="H308" s="32">
        <f>IF($AB308="G",SUM($AH$8:$AH$407),IF(OR($AB308="",$AB308="R"),"",IF($AB308="D",INDEX($AH$8:$AH$407,$AA308),SUMIF($T$8:$T$407,INDEX($T$8:$T$407,$AA308),$AH$8:$AH$407))))</f>
        <v/>
      </c>
      <c r="J308">
        <f>IFERROR(MATCH(301,บันทึกรายเที่ยว!$W$6:$W$6005,0),"")</f>
        <v/>
      </c>
      <c r="K308">
        <f>IF($J308="","",INDEX(บันทึกรายเที่ยว!$T$6:$T$6005,$J308))</f>
        <v/>
      </c>
      <c r="L308">
        <f>IF($J308="","",INDEX(บันทึกรายเที่ยว!$S$6:$S$6005,$J308))</f>
        <v/>
      </c>
      <c r="M308">
        <f>IF($J308="","",INDEX(บันทึกรายเที่ยว!$R$6:$R$6005,$J308))</f>
        <v/>
      </c>
      <c r="N308">
        <f>IF($J308="","",MATCH($M308,บันทึกรายเที่ยว!$R$6:$R$6005,0))</f>
        <v/>
      </c>
      <c r="O308">
        <f>IF($J308="","",MATCH($L308,บันทึกรายเที่ยว!$S$6:$S$6005,0))</f>
        <v/>
      </c>
      <c r="P308">
        <f>IF($J308="","",IF(AND(OR($I$3="(ทั้งหมด)",INDEX(บันทึกรายเที่ยว!$C$6:$C$6005,$J308)=$I$3),OR($I$5="(ทั้งหมด)",INDEX(บันทึกรายเที่ยว!$D$6:$D$6005,$J308)=$I$5),OR($I$7="(ทั้งหมด)",INDEX(บันทึกรายเที่ยว!$F$6:$F$6005,$J308)=$I$7)),$N308*10000000+$O308*1000+301,""))</f>
        <v/>
      </c>
      <c r="Q308">
        <f>IFERROR(MATCH(SMALL($P$8:$P$407,301),$P$8:$P$407,0),"")</f>
        <v/>
      </c>
      <c r="R308">
        <f>IF($Q308="","",INDEX($J$8:$J$407,$Q308))</f>
        <v/>
      </c>
      <c r="S308">
        <f>IF($Q308="","",INDEX($M$8:$M$407,$Q308))</f>
        <v/>
      </c>
      <c r="T308">
        <f>IF($Q308="","",INDEX($L$8:$L$407,$Q308))</f>
        <v/>
      </c>
      <c r="U308">
        <f>IF($Q308="","",INDEX($K$8:$K$407,$Q308))</f>
        <v/>
      </c>
      <c r="V308">
        <f>IF($Q308="",0,IF($S308&lt;&gt;$S307,1,0))</f>
        <v/>
      </c>
      <c r="W308">
        <f>IF($Q308="",0,IF($T308&lt;&gt;$T307,1,0))</f>
        <v/>
      </c>
      <c r="X308">
        <f>IF($Q308="",99999+301,$X307+1+$V307+$W307)</f>
        <v/>
      </c>
      <c r="Y308">
        <f>IF($Q308="","",INDEX(บันทึกรายเที่ยว!$Q$6:$Q$6005,$R308))</f>
        <v/>
      </c>
      <c r="Z308">
        <f>IF($Q308="","",INDEX(บันทึกรายเที่ยว!$F$6:$F$6005,$R308))</f>
        <v/>
      </c>
      <c r="AA308">
        <f>IFERROR(MATCH(301,$X$8:$X$407,1),"")</f>
        <v/>
      </c>
      <c r="AB308">
        <f>IF(301=$AD$1+1,"G",IF($AA308="","",IF(INDEX($Q$8:$Q$407,$AA308)="","",IF(301&gt;INDEX($X$8:$X$407,$AA308)+INDEX($V$8:$V$407,$AA308)+INDEX($W$8:$W$407,$AA308),"",IF(301=INDEX($X$8:$X$407,$AA308)+INDEX($V$8:$V$407,$AA308)+INDEX($W$8:$W$407,$AA308),"D",IF(AND(INDEX($W$8:$W$407,$AA308)=1,301=INDEX($X$8:$X$407,$AA308)+INDEX($V$8:$V$407,$AA308)),"S","R"))))))</f>
        <v/>
      </c>
      <c r="AC308">
        <f>IF(OR($AB308="",$AB308="G"),"",IF($AB308="D",INDEX($U$8:$U$407,$AA308),IF($AB308="S",INDEX($T$8:$T$407,$AA308)&amp;"|*",INDEX($S$8:$S$407,$AA308)&amp;"|*")))</f>
        <v/>
      </c>
      <c r="AE308">
        <f>IF($U308="",0,COUNTIF(บันทึกรายเที่ยว!$T$6:$T$6005,$U308))</f>
        <v/>
      </c>
      <c r="AF308">
        <f>IF($U308="",0,ROUND(SUMIF(บันทึกรายเที่ยว!$T$6:$T$6005,$U308,บันทึกรายเที่ยว!$J$6:$J$6005),2))</f>
        <v/>
      </c>
      <c r="AG308">
        <f>IF($U308="",0,ROUND(SUMIF(บันทึกรายเที่ยว!$T$6:$T$6005,$U308,บันทึกรายเที่ยว!$K$6:$K$6005),2))</f>
        <v/>
      </c>
      <c r="AH308">
        <f>IF($U308="",0,ROUND(SUMIF(บันทึกรายเที่ยว!$T$6:$T$6005,$U308,บันทึกรายเที่ยว!$M$6:$M$6005),2))</f>
        <v/>
      </c>
    </row>
    <row r="309" ht="21" customHeight="1" s="66">
      <c r="A309" s="3">
        <f>IF($AB309="G","ผลรวมทั้งหมด",IF($AB309="R",INDEX($S$8:$S$407,$AA309),""))</f>
        <v/>
      </c>
      <c r="B309" s="3">
        <f>IF($AB309="S",INDEX($Y$8:$Y$407,$AA309),"")</f>
        <v/>
      </c>
      <c r="C309" s="68">
        <f>IF($AB309="D",INDEX($Z$8:$Z$407,$AA309),"")</f>
        <v/>
      </c>
      <c r="D309" s="31">
        <f>IF($AB309="G",SUM($AE$8:$AE$407),IF(OR($AB309="",$AB309="R"),"",IF($AB309="D",INDEX($AE$8:$AE$407,$AA309),SUMIF($T$8:$T$407,INDEX($T$8:$T$407,$AA309),$AE$8:$AE$407))))</f>
        <v/>
      </c>
      <c r="E309" s="32">
        <f>IF(302=$AD$1+3,"ขอแสดงความนับถือ",IF(302=$AD$1+6,"(                 )",IF(302=$AD$1+7,"เจ้าหน้าที่ขนส่ง",IF($AB309="G",SUM($AF$8:$AF$407),IF(OR($AB309="",$AB309="R"),"",IF($AB309="D",INDEX($AF$8:$AF$407,$AA309),SUMIF($T$8:$T$407,INDEX($T$8:$T$407,$AA309),$AF$8:$AF$407)))))))</f>
        <v/>
      </c>
      <c r="F309" s="32">
        <f>IF($AB309="G",SUM($AG$8:$AG$407),IF(OR($AB309="",$AB309="R"),"",IF($AB309="D",INDEX($AG$8:$AG$407,$AA309),SUMIF($T$8:$T$407,INDEX($T$8:$T$407,$AA309),$AG$8:$AG$407))))</f>
        <v/>
      </c>
      <c r="G309" s="32">
        <f>IF(OR($AB309="",$AB309="R"),"",ROUND($E309-$F309,2))</f>
        <v/>
      </c>
      <c r="H309" s="32">
        <f>IF($AB309="G",SUM($AH$8:$AH$407),IF(OR($AB309="",$AB309="R"),"",IF($AB309="D",INDEX($AH$8:$AH$407,$AA309),SUMIF($T$8:$T$407,INDEX($T$8:$T$407,$AA309),$AH$8:$AH$407))))</f>
        <v/>
      </c>
      <c r="J309">
        <f>IFERROR(MATCH(302,บันทึกรายเที่ยว!$W$6:$W$6005,0),"")</f>
        <v/>
      </c>
      <c r="K309">
        <f>IF($J309="","",INDEX(บันทึกรายเที่ยว!$T$6:$T$6005,$J309))</f>
        <v/>
      </c>
      <c r="L309">
        <f>IF($J309="","",INDEX(บันทึกรายเที่ยว!$S$6:$S$6005,$J309))</f>
        <v/>
      </c>
      <c r="M309">
        <f>IF($J309="","",INDEX(บันทึกรายเที่ยว!$R$6:$R$6005,$J309))</f>
        <v/>
      </c>
      <c r="N309">
        <f>IF($J309="","",MATCH($M309,บันทึกรายเที่ยว!$R$6:$R$6005,0))</f>
        <v/>
      </c>
      <c r="O309">
        <f>IF($J309="","",MATCH($L309,บันทึกรายเที่ยว!$S$6:$S$6005,0))</f>
        <v/>
      </c>
      <c r="P309">
        <f>IF($J309="","",IF(AND(OR($I$3="(ทั้งหมด)",INDEX(บันทึกรายเที่ยว!$C$6:$C$6005,$J309)=$I$3),OR($I$5="(ทั้งหมด)",INDEX(บันทึกรายเที่ยว!$D$6:$D$6005,$J309)=$I$5),OR($I$7="(ทั้งหมด)",INDEX(บันทึกรายเที่ยว!$F$6:$F$6005,$J309)=$I$7)),$N309*10000000+$O309*1000+302,""))</f>
        <v/>
      </c>
      <c r="Q309">
        <f>IFERROR(MATCH(SMALL($P$8:$P$407,302),$P$8:$P$407,0),"")</f>
        <v/>
      </c>
      <c r="R309">
        <f>IF($Q309="","",INDEX($J$8:$J$407,$Q309))</f>
        <v/>
      </c>
      <c r="S309">
        <f>IF($Q309="","",INDEX($M$8:$M$407,$Q309))</f>
        <v/>
      </c>
      <c r="T309">
        <f>IF($Q309="","",INDEX($L$8:$L$407,$Q309))</f>
        <v/>
      </c>
      <c r="U309">
        <f>IF($Q309="","",INDEX($K$8:$K$407,$Q309))</f>
        <v/>
      </c>
      <c r="V309">
        <f>IF($Q309="",0,IF($S309&lt;&gt;$S308,1,0))</f>
        <v/>
      </c>
      <c r="W309">
        <f>IF($Q309="",0,IF($T309&lt;&gt;$T308,1,0))</f>
        <v/>
      </c>
      <c r="X309">
        <f>IF($Q309="",99999+302,$X308+1+$V308+$W308)</f>
        <v/>
      </c>
      <c r="Y309">
        <f>IF($Q309="","",INDEX(บันทึกรายเที่ยว!$Q$6:$Q$6005,$R309))</f>
        <v/>
      </c>
      <c r="Z309">
        <f>IF($Q309="","",INDEX(บันทึกรายเที่ยว!$F$6:$F$6005,$R309))</f>
        <v/>
      </c>
      <c r="AA309">
        <f>IFERROR(MATCH(302,$X$8:$X$407,1),"")</f>
        <v/>
      </c>
      <c r="AB309">
        <f>IF(302=$AD$1+1,"G",IF($AA309="","",IF(INDEX($Q$8:$Q$407,$AA309)="","",IF(302&gt;INDEX($X$8:$X$407,$AA309)+INDEX($V$8:$V$407,$AA309)+INDEX($W$8:$W$407,$AA309),"",IF(302=INDEX($X$8:$X$407,$AA309)+INDEX($V$8:$V$407,$AA309)+INDEX($W$8:$W$407,$AA309),"D",IF(AND(INDEX($W$8:$W$407,$AA309)=1,302=INDEX($X$8:$X$407,$AA309)+INDEX($V$8:$V$407,$AA309)),"S","R"))))))</f>
        <v/>
      </c>
      <c r="AC309">
        <f>IF(OR($AB309="",$AB309="G"),"",IF($AB309="D",INDEX($U$8:$U$407,$AA309),IF($AB309="S",INDEX($T$8:$T$407,$AA309)&amp;"|*",INDEX($S$8:$S$407,$AA309)&amp;"|*")))</f>
        <v/>
      </c>
      <c r="AE309">
        <f>IF($U309="",0,COUNTIF(บันทึกรายเที่ยว!$T$6:$T$6005,$U309))</f>
        <v/>
      </c>
      <c r="AF309">
        <f>IF($U309="",0,ROUND(SUMIF(บันทึกรายเที่ยว!$T$6:$T$6005,$U309,บันทึกรายเที่ยว!$J$6:$J$6005),2))</f>
        <v/>
      </c>
      <c r="AG309">
        <f>IF($U309="",0,ROUND(SUMIF(บันทึกรายเที่ยว!$T$6:$T$6005,$U309,บันทึกรายเที่ยว!$K$6:$K$6005),2))</f>
        <v/>
      </c>
      <c r="AH309">
        <f>IF($U309="",0,ROUND(SUMIF(บันทึกรายเที่ยว!$T$6:$T$6005,$U309,บันทึกรายเที่ยว!$M$6:$M$6005),2))</f>
        <v/>
      </c>
    </row>
    <row r="310" ht="21" customHeight="1" s="66">
      <c r="A310" s="3">
        <f>IF($AB310="G","ผลรวมทั้งหมด",IF($AB310="R",INDEX($S$8:$S$407,$AA310),""))</f>
        <v/>
      </c>
      <c r="B310" s="3">
        <f>IF($AB310="S",INDEX($Y$8:$Y$407,$AA310),"")</f>
        <v/>
      </c>
      <c r="C310" s="68">
        <f>IF($AB310="D",INDEX($Z$8:$Z$407,$AA310),"")</f>
        <v/>
      </c>
      <c r="D310" s="31">
        <f>IF($AB310="G",SUM($AE$8:$AE$407),IF(OR($AB310="",$AB310="R"),"",IF($AB310="D",INDEX($AE$8:$AE$407,$AA310),SUMIF($T$8:$T$407,INDEX($T$8:$T$407,$AA310),$AE$8:$AE$407))))</f>
        <v/>
      </c>
      <c r="E310" s="32">
        <f>IF(303=$AD$1+3,"ขอแสดงความนับถือ",IF(303=$AD$1+6,"(                 )",IF(303=$AD$1+7,"เจ้าหน้าที่ขนส่ง",IF($AB310="G",SUM($AF$8:$AF$407),IF(OR($AB310="",$AB310="R"),"",IF($AB310="D",INDEX($AF$8:$AF$407,$AA310),SUMIF($T$8:$T$407,INDEX($T$8:$T$407,$AA310),$AF$8:$AF$407)))))))</f>
        <v/>
      </c>
      <c r="F310" s="32">
        <f>IF($AB310="G",SUM($AG$8:$AG$407),IF(OR($AB310="",$AB310="R"),"",IF($AB310="D",INDEX($AG$8:$AG$407,$AA310),SUMIF($T$8:$T$407,INDEX($T$8:$T$407,$AA310),$AG$8:$AG$407))))</f>
        <v/>
      </c>
      <c r="G310" s="32">
        <f>IF(OR($AB310="",$AB310="R"),"",ROUND($E310-$F310,2))</f>
        <v/>
      </c>
      <c r="H310" s="32">
        <f>IF($AB310="G",SUM($AH$8:$AH$407),IF(OR($AB310="",$AB310="R"),"",IF($AB310="D",INDEX($AH$8:$AH$407,$AA310),SUMIF($T$8:$T$407,INDEX($T$8:$T$407,$AA310),$AH$8:$AH$407))))</f>
        <v/>
      </c>
      <c r="J310">
        <f>IFERROR(MATCH(303,บันทึกรายเที่ยว!$W$6:$W$6005,0),"")</f>
        <v/>
      </c>
      <c r="K310">
        <f>IF($J310="","",INDEX(บันทึกรายเที่ยว!$T$6:$T$6005,$J310))</f>
        <v/>
      </c>
      <c r="L310">
        <f>IF($J310="","",INDEX(บันทึกรายเที่ยว!$S$6:$S$6005,$J310))</f>
        <v/>
      </c>
      <c r="M310">
        <f>IF($J310="","",INDEX(บันทึกรายเที่ยว!$R$6:$R$6005,$J310))</f>
        <v/>
      </c>
      <c r="N310">
        <f>IF($J310="","",MATCH($M310,บันทึกรายเที่ยว!$R$6:$R$6005,0))</f>
        <v/>
      </c>
      <c r="O310">
        <f>IF($J310="","",MATCH($L310,บันทึกรายเที่ยว!$S$6:$S$6005,0))</f>
        <v/>
      </c>
      <c r="P310">
        <f>IF($J310="","",IF(AND(OR($I$3="(ทั้งหมด)",INDEX(บันทึกรายเที่ยว!$C$6:$C$6005,$J310)=$I$3),OR($I$5="(ทั้งหมด)",INDEX(บันทึกรายเที่ยว!$D$6:$D$6005,$J310)=$I$5),OR($I$7="(ทั้งหมด)",INDEX(บันทึกรายเที่ยว!$F$6:$F$6005,$J310)=$I$7)),$N310*10000000+$O310*1000+303,""))</f>
        <v/>
      </c>
      <c r="Q310">
        <f>IFERROR(MATCH(SMALL($P$8:$P$407,303),$P$8:$P$407,0),"")</f>
        <v/>
      </c>
      <c r="R310">
        <f>IF($Q310="","",INDEX($J$8:$J$407,$Q310))</f>
        <v/>
      </c>
      <c r="S310">
        <f>IF($Q310="","",INDEX($M$8:$M$407,$Q310))</f>
        <v/>
      </c>
      <c r="T310">
        <f>IF($Q310="","",INDEX($L$8:$L$407,$Q310))</f>
        <v/>
      </c>
      <c r="U310">
        <f>IF($Q310="","",INDEX($K$8:$K$407,$Q310))</f>
        <v/>
      </c>
      <c r="V310">
        <f>IF($Q310="",0,IF($S310&lt;&gt;$S309,1,0))</f>
        <v/>
      </c>
      <c r="W310">
        <f>IF($Q310="",0,IF($T310&lt;&gt;$T309,1,0))</f>
        <v/>
      </c>
      <c r="X310">
        <f>IF($Q310="",99999+303,$X309+1+$V309+$W309)</f>
        <v/>
      </c>
      <c r="Y310">
        <f>IF($Q310="","",INDEX(บันทึกรายเที่ยว!$Q$6:$Q$6005,$R310))</f>
        <v/>
      </c>
      <c r="Z310">
        <f>IF($Q310="","",INDEX(บันทึกรายเที่ยว!$F$6:$F$6005,$R310))</f>
        <v/>
      </c>
      <c r="AA310">
        <f>IFERROR(MATCH(303,$X$8:$X$407,1),"")</f>
        <v/>
      </c>
      <c r="AB310">
        <f>IF(303=$AD$1+1,"G",IF($AA310="","",IF(INDEX($Q$8:$Q$407,$AA310)="","",IF(303&gt;INDEX($X$8:$X$407,$AA310)+INDEX($V$8:$V$407,$AA310)+INDEX($W$8:$W$407,$AA310),"",IF(303=INDEX($X$8:$X$407,$AA310)+INDEX($V$8:$V$407,$AA310)+INDEX($W$8:$W$407,$AA310),"D",IF(AND(INDEX($W$8:$W$407,$AA310)=1,303=INDEX($X$8:$X$407,$AA310)+INDEX($V$8:$V$407,$AA310)),"S","R"))))))</f>
        <v/>
      </c>
      <c r="AC310">
        <f>IF(OR($AB310="",$AB310="G"),"",IF($AB310="D",INDEX($U$8:$U$407,$AA310),IF($AB310="S",INDEX($T$8:$T$407,$AA310)&amp;"|*",INDEX($S$8:$S$407,$AA310)&amp;"|*")))</f>
        <v/>
      </c>
      <c r="AE310">
        <f>IF($U310="",0,COUNTIF(บันทึกรายเที่ยว!$T$6:$T$6005,$U310))</f>
        <v/>
      </c>
      <c r="AF310">
        <f>IF($U310="",0,ROUND(SUMIF(บันทึกรายเที่ยว!$T$6:$T$6005,$U310,บันทึกรายเที่ยว!$J$6:$J$6005),2))</f>
        <v/>
      </c>
      <c r="AG310">
        <f>IF($U310="",0,ROUND(SUMIF(บันทึกรายเที่ยว!$T$6:$T$6005,$U310,บันทึกรายเที่ยว!$K$6:$K$6005),2))</f>
        <v/>
      </c>
      <c r="AH310">
        <f>IF($U310="",0,ROUND(SUMIF(บันทึกรายเที่ยว!$T$6:$T$6005,$U310,บันทึกรายเที่ยว!$M$6:$M$6005),2))</f>
        <v/>
      </c>
    </row>
    <row r="311" ht="21" customHeight="1" s="66">
      <c r="A311" s="3">
        <f>IF($AB311="G","ผลรวมทั้งหมด",IF($AB311="R",INDEX($S$8:$S$407,$AA311),""))</f>
        <v/>
      </c>
      <c r="B311" s="3">
        <f>IF($AB311="S",INDEX($Y$8:$Y$407,$AA311),"")</f>
        <v/>
      </c>
      <c r="C311" s="68">
        <f>IF($AB311="D",INDEX($Z$8:$Z$407,$AA311),"")</f>
        <v/>
      </c>
      <c r="D311" s="31">
        <f>IF($AB311="G",SUM($AE$8:$AE$407),IF(OR($AB311="",$AB311="R"),"",IF($AB311="D",INDEX($AE$8:$AE$407,$AA311),SUMIF($T$8:$T$407,INDEX($T$8:$T$407,$AA311),$AE$8:$AE$407))))</f>
        <v/>
      </c>
      <c r="E311" s="32">
        <f>IF(304=$AD$1+3,"ขอแสดงความนับถือ",IF(304=$AD$1+6,"(                 )",IF(304=$AD$1+7,"เจ้าหน้าที่ขนส่ง",IF($AB311="G",SUM($AF$8:$AF$407),IF(OR($AB311="",$AB311="R"),"",IF($AB311="D",INDEX($AF$8:$AF$407,$AA311),SUMIF($T$8:$T$407,INDEX($T$8:$T$407,$AA311),$AF$8:$AF$407)))))))</f>
        <v/>
      </c>
      <c r="F311" s="32">
        <f>IF($AB311="G",SUM($AG$8:$AG$407),IF(OR($AB311="",$AB311="R"),"",IF($AB311="D",INDEX($AG$8:$AG$407,$AA311),SUMIF($T$8:$T$407,INDEX($T$8:$T$407,$AA311),$AG$8:$AG$407))))</f>
        <v/>
      </c>
      <c r="G311" s="32">
        <f>IF(OR($AB311="",$AB311="R"),"",ROUND($E311-$F311,2))</f>
        <v/>
      </c>
      <c r="H311" s="32">
        <f>IF($AB311="G",SUM($AH$8:$AH$407),IF(OR($AB311="",$AB311="R"),"",IF($AB311="D",INDEX($AH$8:$AH$407,$AA311),SUMIF($T$8:$T$407,INDEX($T$8:$T$407,$AA311),$AH$8:$AH$407))))</f>
        <v/>
      </c>
      <c r="J311">
        <f>IFERROR(MATCH(304,บันทึกรายเที่ยว!$W$6:$W$6005,0),"")</f>
        <v/>
      </c>
      <c r="K311">
        <f>IF($J311="","",INDEX(บันทึกรายเที่ยว!$T$6:$T$6005,$J311))</f>
        <v/>
      </c>
      <c r="L311">
        <f>IF($J311="","",INDEX(บันทึกรายเที่ยว!$S$6:$S$6005,$J311))</f>
        <v/>
      </c>
      <c r="M311">
        <f>IF($J311="","",INDEX(บันทึกรายเที่ยว!$R$6:$R$6005,$J311))</f>
        <v/>
      </c>
      <c r="N311">
        <f>IF($J311="","",MATCH($M311,บันทึกรายเที่ยว!$R$6:$R$6005,0))</f>
        <v/>
      </c>
      <c r="O311">
        <f>IF($J311="","",MATCH($L311,บันทึกรายเที่ยว!$S$6:$S$6005,0))</f>
        <v/>
      </c>
      <c r="P311">
        <f>IF($J311="","",IF(AND(OR($I$3="(ทั้งหมด)",INDEX(บันทึกรายเที่ยว!$C$6:$C$6005,$J311)=$I$3),OR($I$5="(ทั้งหมด)",INDEX(บันทึกรายเที่ยว!$D$6:$D$6005,$J311)=$I$5),OR($I$7="(ทั้งหมด)",INDEX(บันทึกรายเที่ยว!$F$6:$F$6005,$J311)=$I$7)),$N311*10000000+$O311*1000+304,""))</f>
        <v/>
      </c>
      <c r="Q311">
        <f>IFERROR(MATCH(SMALL($P$8:$P$407,304),$P$8:$P$407,0),"")</f>
        <v/>
      </c>
      <c r="R311">
        <f>IF($Q311="","",INDEX($J$8:$J$407,$Q311))</f>
        <v/>
      </c>
      <c r="S311">
        <f>IF($Q311="","",INDEX($M$8:$M$407,$Q311))</f>
        <v/>
      </c>
      <c r="T311">
        <f>IF($Q311="","",INDEX($L$8:$L$407,$Q311))</f>
        <v/>
      </c>
      <c r="U311">
        <f>IF($Q311="","",INDEX($K$8:$K$407,$Q311))</f>
        <v/>
      </c>
      <c r="V311">
        <f>IF($Q311="",0,IF($S311&lt;&gt;$S310,1,0))</f>
        <v/>
      </c>
      <c r="W311">
        <f>IF($Q311="",0,IF($T311&lt;&gt;$T310,1,0))</f>
        <v/>
      </c>
      <c r="X311">
        <f>IF($Q311="",99999+304,$X310+1+$V310+$W310)</f>
        <v/>
      </c>
      <c r="Y311">
        <f>IF($Q311="","",INDEX(บันทึกรายเที่ยว!$Q$6:$Q$6005,$R311))</f>
        <v/>
      </c>
      <c r="Z311">
        <f>IF($Q311="","",INDEX(บันทึกรายเที่ยว!$F$6:$F$6005,$R311))</f>
        <v/>
      </c>
      <c r="AA311">
        <f>IFERROR(MATCH(304,$X$8:$X$407,1),"")</f>
        <v/>
      </c>
      <c r="AB311">
        <f>IF(304=$AD$1+1,"G",IF($AA311="","",IF(INDEX($Q$8:$Q$407,$AA311)="","",IF(304&gt;INDEX($X$8:$X$407,$AA311)+INDEX($V$8:$V$407,$AA311)+INDEX($W$8:$W$407,$AA311),"",IF(304=INDEX($X$8:$X$407,$AA311)+INDEX($V$8:$V$407,$AA311)+INDEX($W$8:$W$407,$AA311),"D",IF(AND(INDEX($W$8:$W$407,$AA311)=1,304=INDEX($X$8:$X$407,$AA311)+INDEX($V$8:$V$407,$AA311)),"S","R"))))))</f>
        <v/>
      </c>
      <c r="AC311">
        <f>IF(OR($AB311="",$AB311="G"),"",IF($AB311="D",INDEX($U$8:$U$407,$AA311),IF($AB311="S",INDEX($T$8:$T$407,$AA311)&amp;"|*",INDEX($S$8:$S$407,$AA311)&amp;"|*")))</f>
        <v/>
      </c>
      <c r="AE311">
        <f>IF($U311="",0,COUNTIF(บันทึกรายเที่ยว!$T$6:$T$6005,$U311))</f>
        <v/>
      </c>
      <c r="AF311">
        <f>IF($U311="",0,ROUND(SUMIF(บันทึกรายเที่ยว!$T$6:$T$6005,$U311,บันทึกรายเที่ยว!$J$6:$J$6005),2))</f>
        <v/>
      </c>
      <c r="AG311">
        <f>IF($U311="",0,ROUND(SUMIF(บันทึกรายเที่ยว!$T$6:$T$6005,$U311,บันทึกรายเที่ยว!$K$6:$K$6005),2))</f>
        <v/>
      </c>
      <c r="AH311">
        <f>IF($U311="",0,ROUND(SUMIF(บันทึกรายเที่ยว!$T$6:$T$6005,$U311,บันทึกรายเที่ยว!$M$6:$M$6005),2))</f>
        <v/>
      </c>
    </row>
    <row r="312" ht="21" customHeight="1" s="66">
      <c r="A312" s="3">
        <f>IF($AB312="G","ผลรวมทั้งหมด",IF($AB312="R",INDEX($S$8:$S$407,$AA312),""))</f>
        <v/>
      </c>
      <c r="B312" s="3">
        <f>IF($AB312="S",INDEX($Y$8:$Y$407,$AA312),"")</f>
        <v/>
      </c>
      <c r="C312" s="68">
        <f>IF($AB312="D",INDEX($Z$8:$Z$407,$AA312),"")</f>
        <v/>
      </c>
      <c r="D312" s="31">
        <f>IF($AB312="G",SUM($AE$8:$AE$407),IF(OR($AB312="",$AB312="R"),"",IF($AB312="D",INDEX($AE$8:$AE$407,$AA312),SUMIF($T$8:$T$407,INDEX($T$8:$T$407,$AA312),$AE$8:$AE$407))))</f>
        <v/>
      </c>
      <c r="E312" s="32">
        <f>IF(305=$AD$1+3,"ขอแสดงความนับถือ",IF(305=$AD$1+6,"(                 )",IF(305=$AD$1+7,"เจ้าหน้าที่ขนส่ง",IF($AB312="G",SUM($AF$8:$AF$407),IF(OR($AB312="",$AB312="R"),"",IF($AB312="D",INDEX($AF$8:$AF$407,$AA312),SUMIF($T$8:$T$407,INDEX($T$8:$T$407,$AA312),$AF$8:$AF$407)))))))</f>
        <v/>
      </c>
      <c r="F312" s="32">
        <f>IF($AB312="G",SUM($AG$8:$AG$407),IF(OR($AB312="",$AB312="R"),"",IF($AB312="D",INDEX($AG$8:$AG$407,$AA312),SUMIF($T$8:$T$407,INDEX($T$8:$T$407,$AA312),$AG$8:$AG$407))))</f>
        <v/>
      </c>
      <c r="G312" s="32">
        <f>IF(OR($AB312="",$AB312="R"),"",ROUND($E312-$F312,2))</f>
        <v/>
      </c>
      <c r="H312" s="32">
        <f>IF($AB312="G",SUM($AH$8:$AH$407),IF(OR($AB312="",$AB312="R"),"",IF($AB312="D",INDEX($AH$8:$AH$407,$AA312),SUMIF($T$8:$T$407,INDEX($T$8:$T$407,$AA312),$AH$8:$AH$407))))</f>
        <v/>
      </c>
      <c r="J312">
        <f>IFERROR(MATCH(305,บันทึกรายเที่ยว!$W$6:$W$6005,0),"")</f>
        <v/>
      </c>
      <c r="K312">
        <f>IF($J312="","",INDEX(บันทึกรายเที่ยว!$T$6:$T$6005,$J312))</f>
        <v/>
      </c>
      <c r="L312">
        <f>IF($J312="","",INDEX(บันทึกรายเที่ยว!$S$6:$S$6005,$J312))</f>
        <v/>
      </c>
      <c r="M312">
        <f>IF($J312="","",INDEX(บันทึกรายเที่ยว!$R$6:$R$6005,$J312))</f>
        <v/>
      </c>
      <c r="N312">
        <f>IF($J312="","",MATCH($M312,บันทึกรายเที่ยว!$R$6:$R$6005,0))</f>
        <v/>
      </c>
      <c r="O312">
        <f>IF($J312="","",MATCH($L312,บันทึกรายเที่ยว!$S$6:$S$6005,0))</f>
        <v/>
      </c>
      <c r="P312">
        <f>IF($J312="","",IF(AND(OR($I$3="(ทั้งหมด)",INDEX(บันทึกรายเที่ยว!$C$6:$C$6005,$J312)=$I$3),OR($I$5="(ทั้งหมด)",INDEX(บันทึกรายเที่ยว!$D$6:$D$6005,$J312)=$I$5),OR($I$7="(ทั้งหมด)",INDEX(บันทึกรายเที่ยว!$F$6:$F$6005,$J312)=$I$7)),$N312*10000000+$O312*1000+305,""))</f>
        <v/>
      </c>
      <c r="Q312">
        <f>IFERROR(MATCH(SMALL($P$8:$P$407,305),$P$8:$P$407,0),"")</f>
        <v/>
      </c>
      <c r="R312">
        <f>IF($Q312="","",INDEX($J$8:$J$407,$Q312))</f>
        <v/>
      </c>
      <c r="S312">
        <f>IF($Q312="","",INDEX($M$8:$M$407,$Q312))</f>
        <v/>
      </c>
      <c r="T312">
        <f>IF($Q312="","",INDEX($L$8:$L$407,$Q312))</f>
        <v/>
      </c>
      <c r="U312">
        <f>IF($Q312="","",INDEX($K$8:$K$407,$Q312))</f>
        <v/>
      </c>
      <c r="V312">
        <f>IF($Q312="",0,IF($S312&lt;&gt;$S311,1,0))</f>
        <v/>
      </c>
      <c r="W312">
        <f>IF($Q312="",0,IF($T312&lt;&gt;$T311,1,0))</f>
        <v/>
      </c>
      <c r="X312">
        <f>IF($Q312="",99999+305,$X311+1+$V311+$W311)</f>
        <v/>
      </c>
      <c r="Y312">
        <f>IF($Q312="","",INDEX(บันทึกรายเที่ยว!$Q$6:$Q$6005,$R312))</f>
        <v/>
      </c>
      <c r="Z312">
        <f>IF($Q312="","",INDEX(บันทึกรายเที่ยว!$F$6:$F$6005,$R312))</f>
        <v/>
      </c>
      <c r="AA312">
        <f>IFERROR(MATCH(305,$X$8:$X$407,1),"")</f>
        <v/>
      </c>
      <c r="AB312">
        <f>IF(305=$AD$1+1,"G",IF($AA312="","",IF(INDEX($Q$8:$Q$407,$AA312)="","",IF(305&gt;INDEX($X$8:$X$407,$AA312)+INDEX($V$8:$V$407,$AA312)+INDEX($W$8:$W$407,$AA312),"",IF(305=INDEX($X$8:$X$407,$AA312)+INDEX($V$8:$V$407,$AA312)+INDEX($W$8:$W$407,$AA312),"D",IF(AND(INDEX($W$8:$W$407,$AA312)=1,305=INDEX($X$8:$X$407,$AA312)+INDEX($V$8:$V$407,$AA312)),"S","R"))))))</f>
        <v/>
      </c>
      <c r="AC312">
        <f>IF(OR($AB312="",$AB312="G"),"",IF($AB312="D",INDEX($U$8:$U$407,$AA312),IF($AB312="S",INDEX($T$8:$T$407,$AA312)&amp;"|*",INDEX($S$8:$S$407,$AA312)&amp;"|*")))</f>
        <v/>
      </c>
      <c r="AE312">
        <f>IF($U312="",0,COUNTIF(บันทึกรายเที่ยว!$T$6:$T$6005,$U312))</f>
        <v/>
      </c>
      <c r="AF312">
        <f>IF($U312="",0,ROUND(SUMIF(บันทึกรายเที่ยว!$T$6:$T$6005,$U312,บันทึกรายเที่ยว!$J$6:$J$6005),2))</f>
        <v/>
      </c>
      <c r="AG312">
        <f>IF($U312="",0,ROUND(SUMIF(บันทึกรายเที่ยว!$T$6:$T$6005,$U312,บันทึกรายเที่ยว!$K$6:$K$6005),2))</f>
        <v/>
      </c>
      <c r="AH312">
        <f>IF($U312="",0,ROUND(SUMIF(บันทึกรายเที่ยว!$T$6:$T$6005,$U312,บันทึกรายเที่ยว!$M$6:$M$6005),2))</f>
        <v/>
      </c>
    </row>
    <row r="313" ht="21" customHeight="1" s="66">
      <c r="A313" s="3">
        <f>IF($AB313="G","ผลรวมทั้งหมด",IF($AB313="R",INDEX($S$8:$S$407,$AA313),""))</f>
        <v/>
      </c>
      <c r="B313" s="3">
        <f>IF($AB313="S",INDEX($Y$8:$Y$407,$AA313),"")</f>
        <v/>
      </c>
      <c r="C313" s="68">
        <f>IF($AB313="D",INDEX($Z$8:$Z$407,$AA313),"")</f>
        <v/>
      </c>
      <c r="D313" s="31">
        <f>IF($AB313="G",SUM($AE$8:$AE$407),IF(OR($AB313="",$AB313="R"),"",IF($AB313="D",INDEX($AE$8:$AE$407,$AA313),SUMIF($T$8:$T$407,INDEX($T$8:$T$407,$AA313),$AE$8:$AE$407))))</f>
        <v/>
      </c>
      <c r="E313" s="32">
        <f>IF(306=$AD$1+3,"ขอแสดงความนับถือ",IF(306=$AD$1+6,"(                 )",IF(306=$AD$1+7,"เจ้าหน้าที่ขนส่ง",IF($AB313="G",SUM($AF$8:$AF$407),IF(OR($AB313="",$AB313="R"),"",IF($AB313="D",INDEX($AF$8:$AF$407,$AA313),SUMIF($T$8:$T$407,INDEX($T$8:$T$407,$AA313),$AF$8:$AF$407)))))))</f>
        <v/>
      </c>
      <c r="F313" s="32">
        <f>IF($AB313="G",SUM($AG$8:$AG$407),IF(OR($AB313="",$AB313="R"),"",IF($AB313="D",INDEX($AG$8:$AG$407,$AA313),SUMIF($T$8:$T$407,INDEX($T$8:$T$407,$AA313),$AG$8:$AG$407))))</f>
        <v/>
      </c>
      <c r="G313" s="32">
        <f>IF(OR($AB313="",$AB313="R"),"",ROUND($E313-$F313,2))</f>
        <v/>
      </c>
      <c r="H313" s="32">
        <f>IF($AB313="G",SUM($AH$8:$AH$407),IF(OR($AB313="",$AB313="R"),"",IF($AB313="D",INDEX($AH$8:$AH$407,$AA313),SUMIF($T$8:$T$407,INDEX($T$8:$T$407,$AA313),$AH$8:$AH$407))))</f>
        <v/>
      </c>
      <c r="J313">
        <f>IFERROR(MATCH(306,บันทึกรายเที่ยว!$W$6:$W$6005,0),"")</f>
        <v/>
      </c>
      <c r="K313">
        <f>IF($J313="","",INDEX(บันทึกรายเที่ยว!$T$6:$T$6005,$J313))</f>
        <v/>
      </c>
      <c r="L313">
        <f>IF($J313="","",INDEX(บันทึกรายเที่ยว!$S$6:$S$6005,$J313))</f>
        <v/>
      </c>
      <c r="M313">
        <f>IF($J313="","",INDEX(บันทึกรายเที่ยว!$R$6:$R$6005,$J313))</f>
        <v/>
      </c>
      <c r="N313">
        <f>IF($J313="","",MATCH($M313,บันทึกรายเที่ยว!$R$6:$R$6005,0))</f>
        <v/>
      </c>
      <c r="O313">
        <f>IF($J313="","",MATCH($L313,บันทึกรายเที่ยว!$S$6:$S$6005,0))</f>
        <v/>
      </c>
      <c r="P313">
        <f>IF($J313="","",IF(AND(OR($I$3="(ทั้งหมด)",INDEX(บันทึกรายเที่ยว!$C$6:$C$6005,$J313)=$I$3),OR($I$5="(ทั้งหมด)",INDEX(บันทึกรายเที่ยว!$D$6:$D$6005,$J313)=$I$5),OR($I$7="(ทั้งหมด)",INDEX(บันทึกรายเที่ยว!$F$6:$F$6005,$J313)=$I$7)),$N313*10000000+$O313*1000+306,""))</f>
        <v/>
      </c>
      <c r="Q313">
        <f>IFERROR(MATCH(SMALL($P$8:$P$407,306),$P$8:$P$407,0),"")</f>
        <v/>
      </c>
      <c r="R313">
        <f>IF($Q313="","",INDEX($J$8:$J$407,$Q313))</f>
        <v/>
      </c>
      <c r="S313">
        <f>IF($Q313="","",INDEX($M$8:$M$407,$Q313))</f>
        <v/>
      </c>
      <c r="T313">
        <f>IF($Q313="","",INDEX($L$8:$L$407,$Q313))</f>
        <v/>
      </c>
      <c r="U313">
        <f>IF($Q313="","",INDEX($K$8:$K$407,$Q313))</f>
        <v/>
      </c>
      <c r="V313">
        <f>IF($Q313="",0,IF($S313&lt;&gt;$S312,1,0))</f>
        <v/>
      </c>
      <c r="W313">
        <f>IF($Q313="",0,IF($T313&lt;&gt;$T312,1,0))</f>
        <v/>
      </c>
      <c r="X313">
        <f>IF($Q313="",99999+306,$X312+1+$V312+$W312)</f>
        <v/>
      </c>
      <c r="Y313">
        <f>IF($Q313="","",INDEX(บันทึกรายเที่ยว!$Q$6:$Q$6005,$R313))</f>
        <v/>
      </c>
      <c r="Z313">
        <f>IF($Q313="","",INDEX(บันทึกรายเที่ยว!$F$6:$F$6005,$R313))</f>
        <v/>
      </c>
      <c r="AA313">
        <f>IFERROR(MATCH(306,$X$8:$X$407,1),"")</f>
        <v/>
      </c>
      <c r="AB313">
        <f>IF(306=$AD$1+1,"G",IF($AA313="","",IF(INDEX($Q$8:$Q$407,$AA313)="","",IF(306&gt;INDEX($X$8:$X$407,$AA313)+INDEX($V$8:$V$407,$AA313)+INDEX($W$8:$W$407,$AA313),"",IF(306=INDEX($X$8:$X$407,$AA313)+INDEX($V$8:$V$407,$AA313)+INDEX($W$8:$W$407,$AA313),"D",IF(AND(INDEX($W$8:$W$407,$AA313)=1,306=INDEX($X$8:$X$407,$AA313)+INDEX($V$8:$V$407,$AA313)),"S","R"))))))</f>
        <v/>
      </c>
      <c r="AC313">
        <f>IF(OR($AB313="",$AB313="G"),"",IF($AB313="D",INDEX($U$8:$U$407,$AA313),IF($AB313="S",INDEX($T$8:$T$407,$AA313)&amp;"|*",INDEX($S$8:$S$407,$AA313)&amp;"|*")))</f>
        <v/>
      </c>
      <c r="AE313">
        <f>IF($U313="",0,COUNTIF(บันทึกรายเที่ยว!$T$6:$T$6005,$U313))</f>
        <v/>
      </c>
      <c r="AF313">
        <f>IF($U313="",0,ROUND(SUMIF(บันทึกรายเที่ยว!$T$6:$T$6005,$U313,บันทึกรายเที่ยว!$J$6:$J$6005),2))</f>
        <v/>
      </c>
      <c r="AG313">
        <f>IF($U313="",0,ROUND(SUMIF(บันทึกรายเที่ยว!$T$6:$T$6005,$U313,บันทึกรายเที่ยว!$K$6:$K$6005),2))</f>
        <v/>
      </c>
      <c r="AH313">
        <f>IF($U313="",0,ROUND(SUMIF(บันทึกรายเที่ยว!$T$6:$T$6005,$U313,บันทึกรายเที่ยว!$M$6:$M$6005),2))</f>
        <v/>
      </c>
    </row>
    <row r="314" ht="21" customHeight="1" s="66">
      <c r="A314" s="3">
        <f>IF($AB314="G","ผลรวมทั้งหมด",IF($AB314="R",INDEX($S$8:$S$407,$AA314),""))</f>
        <v/>
      </c>
      <c r="B314" s="3">
        <f>IF($AB314="S",INDEX($Y$8:$Y$407,$AA314),"")</f>
        <v/>
      </c>
      <c r="C314" s="68">
        <f>IF($AB314="D",INDEX($Z$8:$Z$407,$AA314),"")</f>
        <v/>
      </c>
      <c r="D314" s="31">
        <f>IF($AB314="G",SUM($AE$8:$AE$407),IF(OR($AB314="",$AB314="R"),"",IF($AB314="D",INDEX($AE$8:$AE$407,$AA314),SUMIF($T$8:$T$407,INDEX($T$8:$T$407,$AA314),$AE$8:$AE$407))))</f>
        <v/>
      </c>
      <c r="E314" s="32">
        <f>IF(307=$AD$1+3,"ขอแสดงความนับถือ",IF(307=$AD$1+6,"(                 )",IF(307=$AD$1+7,"เจ้าหน้าที่ขนส่ง",IF($AB314="G",SUM($AF$8:$AF$407),IF(OR($AB314="",$AB314="R"),"",IF($AB314="D",INDEX($AF$8:$AF$407,$AA314),SUMIF($T$8:$T$407,INDEX($T$8:$T$407,$AA314),$AF$8:$AF$407)))))))</f>
        <v/>
      </c>
      <c r="F314" s="32">
        <f>IF($AB314="G",SUM($AG$8:$AG$407),IF(OR($AB314="",$AB314="R"),"",IF($AB314="D",INDEX($AG$8:$AG$407,$AA314),SUMIF($T$8:$T$407,INDEX($T$8:$T$407,$AA314),$AG$8:$AG$407))))</f>
        <v/>
      </c>
      <c r="G314" s="32">
        <f>IF(OR($AB314="",$AB314="R"),"",ROUND($E314-$F314,2))</f>
        <v/>
      </c>
      <c r="H314" s="32">
        <f>IF($AB314="G",SUM($AH$8:$AH$407),IF(OR($AB314="",$AB314="R"),"",IF($AB314="D",INDEX($AH$8:$AH$407,$AA314),SUMIF($T$8:$T$407,INDEX($T$8:$T$407,$AA314),$AH$8:$AH$407))))</f>
        <v/>
      </c>
      <c r="J314">
        <f>IFERROR(MATCH(307,บันทึกรายเที่ยว!$W$6:$W$6005,0),"")</f>
        <v/>
      </c>
      <c r="K314">
        <f>IF($J314="","",INDEX(บันทึกรายเที่ยว!$T$6:$T$6005,$J314))</f>
        <v/>
      </c>
      <c r="L314">
        <f>IF($J314="","",INDEX(บันทึกรายเที่ยว!$S$6:$S$6005,$J314))</f>
        <v/>
      </c>
      <c r="M314">
        <f>IF($J314="","",INDEX(บันทึกรายเที่ยว!$R$6:$R$6005,$J314))</f>
        <v/>
      </c>
      <c r="N314">
        <f>IF($J314="","",MATCH($M314,บันทึกรายเที่ยว!$R$6:$R$6005,0))</f>
        <v/>
      </c>
      <c r="O314">
        <f>IF($J314="","",MATCH($L314,บันทึกรายเที่ยว!$S$6:$S$6005,0))</f>
        <v/>
      </c>
      <c r="P314">
        <f>IF($J314="","",IF(AND(OR($I$3="(ทั้งหมด)",INDEX(บันทึกรายเที่ยว!$C$6:$C$6005,$J314)=$I$3),OR($I$5="(ทั้งหมด)",INDEX(บันทึกรายเที่ยว!$D$6:$D$6005,$J314)=$I$5),OR($I$7="(ทั้งหมด)",INDEX(บันทึกรายเที่ยว!$F$6:$F$6005,$J314)=$I$7)),$N314*10000000+$O314*1000+307,""))</f>
        <v/>
      </c>
      <c r="Q314">
        <f>IFERROR(MATCH(SMALL($P$8:$P$407,307),$P$8:$P$407,0),"")</f>
        <v/>
      </c>
      <c r="R314">
        <f>IF($Q314="","",INDEX($J$8:$J$407,$Q314))</f>
        <v/>
      </c>
      <c r="S314">
        <f>IF($Q314="","",INDEX($M$8:$M$407,$Q314))</f>
        <v/>
      </c>
      <c r="T314">
        <f>IF($Q314="","",INDEX($L$8:$L$407,$Q314))</f>
        <v/>
      </c>
      <c r="U314">
        <f>IF($Q314="","",INDEX($K$8:$K$407,$Q314))</f>
        <v/>
      </c>
      <c r="V314">
        <f>IF($Q314="",0,IF($S314&lt;&gt;$S313,1,0))</f>
        <v/>
      </c>
      <c r="W314">
        <f>IF($Q314="",0,IF($T314&lt;&gt;$T313,1,0))</f>
        <v/>
      </c>
      <c r="X314">
        <f>IF($Q314="",99999+307,$X313+1+$V313+$W313)</f>
        <v/>
      </c>
      <c r="Y314">
        <f>IF($Q314="","",INDEX(บันทึกรายเที่ยว!$Q$6:$Q$6005,$R314))</f>
        <v/>
      </c>
      <c r="Z314">
        <f>IF($Q314="","",INDEX(บันทึกรายเที่ยว!$F$6:$F$6005,$R314))</f>
        <v/>
      </c>
      <c r="AA314">
        <f>IFERROR(MATCH(307,$X$8:$X$407,1),"")</f>
        <v/>
      </c>
      <c r="AB314">
        <f>IF(307=$AD$1+1,"G",IF($AA314="","",IF(INDEX($Q$8:$Q$407,$AA314)="","",IF(307&gt;INDEX($X$8:$X$407,$AA314)+INDEX($V$8:$V$407,$AA314)+INDEX($W$8:$W$407,$AA314),"",IF(307=INDEX($X$8:$X$407,$AA314)+INDEX($V$8:$V$407,$AA314)+INDEX($W$8:$W$407,$AA314),"D",IF(AND(INDEX($W$8:$W$407,$AA314)=1,307=INDEX($X$8:$X$407,$AA314)+INDEX($V$8:$V$407,$AA314)),"S","R"))))))</f>
        <v/>
      </c>
      <c r="AC314">
        <f>IF(OR($AB314="",$AB314="G"),"",IF($AB314="D",INDEX($U$8:$U$407,$AA314),IF($AB314="S",INDEX($T$8:$T$407,$AA314)&amp;"|*",INDEX($S$8:$S$407,$AA314)&amp;"|*")))</f>
        <v/>
      </c>
      <c r="AE314">
        <f>IF($U314="",0,COUNTIF(บันทึกรายเที่ยว!$T$6:$T$6005,$U314))</f>
        <v/>
      </c>
      <c r="AF314">
        <f>IF($U314="",0,ROUND(SUMIF(บันทึกรายเที่ยว!$T$6:$T$6005,$U314,บันทึกรายเที่ยว!$J$6:$J$6005),2))</f>
        <v/>
      </c>
      <c r="AG314">
        <f>IF($U314="",0,ROUND(SUMIF(บันทึกรายเที่ยว!$T$6:$T$6005,$U314,บันทึกรายเที่ยว!$K$6:$K$6005),2))</f>
        <v/>
      </c>
      <c r="AH314">
        <f>IF($U314="",0,ROUND(SUMIF(บันทึกรายเที่ยว!$T$6:$T$6005,$U314,บันทึกรายเที่ยว!$M$6:$M$6005),2))</f>
        <v/>
      </c>
    </row>
    <row r="315" ht="21" customHeight="1" s="66">
      <c r="A315" s="3">
        <f>IF($AB315="G","ผลรวมทั้งหมด",IF($AB315="R",INDEX($S$8:$S$407,$AA315),""))</f>
        <v/>
      </c>
      <c r="B315" s="3">
        <f>IF($AB315="S",INDEX($Y$8:$Y$407,$AA315),"")</f>
        <v/>
      </c>
      <c r="C315" s="68">
        <f>IF($AB315="D",INDEX($Z$8:$Z$407,$AA315),"")</f>
        <v/>
      </c>
      <c r="D315" s="31">
        <f>IF($AB315="G",SUM($AE$8:$AE$407),IF(OR($AB315="",$AB315="R"),"",IF($AB315="D",INDEX($AE$8:$AE$407,$AA315),SUMIF($T$8:$T$407,INDEX($T$8:$T$407,$AA315),$AE$8:$AE$407))))</f>
        <v/>
      </c>
      <c r="E315" s="32">
        <f>IF(308=$AD$1+3,"ขอแสดงความนับถือ",IF(308=$AD$1+6,"(                 )",IF(308=$AD$1+7,"เจ้าหน้าที่ขนส่ง",IF($AB315="G",SUM($AF$8:$AF$407),IF(OR($AB315="",$AB315="R"),"",IF($AB315="D",INDEX($AF$8:$AF$407,$AA315),SUMIF($T$8:$T$407,INDEX($T$8:$T$407,$AA315),$AF$8:$AF$407)))))))</f>
        <v/>
      </c>
      <c r="F315" s="32">
        <f>IF($AB315="G",SUM($AG$8:$AG$407),IF(OR($AB315="",$AB315="R"),"",IF($AB315="D",INDEX($AG$8:$AG$407,$AA315),SUMIF($T$8:$T$407,INDEX($T$8:$T$407,$AA315),$AG$8:$AG$407))))</f>
        <v/>
      </c>
      <c r="G315" s="32">
        <f>IF(OR($AB315="",$AB315="R"),"",ROUND($E315-$F315,2))</f>
        <v/>
      </c>
      <c r="H315" s="32">
        <f>IF($AB315="G",SUM($AH$8:$AH$407),IF(OR($AB315="",$AB315="R"),"",IF($AB315="D",INDEX($AH$8:$AH$407,$AA315),SUMIF($T$8:$T$407,INDEX($T$8:$T$407,$AA315),$AH$8:$AH$407))))</f>
        <v/>
      </c>
      <c r="J315">
        <f>IFERROR(MATCH(308,บันทึกรายเที่ยว!$W$6:$W$6005,0),"")</f>
        <v/>
      </c>
      <c r="K315">
        <f>IF($J315="","",INDEX(บันทึกรายเที่ยว!$T$6:$T$6005,$J315))</f>
        <v/>
      </c>
      <c r="L315">
        <f>IF($J315="","",INDEX(บันทึกรายเที่ยว!$S$6:$S$6005,$J315))</f>
        <v/>
      </c>
      <c r="M315">
        <f>IF($J315="","",INDEX(บันทึกรายเที่ยว!$R$6:$R$6005,$J315))</f>
        <v/>
      </c>
      <c r="N315">
        <f>IF($J315="","",MATCH($M315,บันทึกรายเที่ยว!$R$6:$R$6005,0))</f>
        <v/>
      </c>
      <c r="O315">
        <f>IF($J315="","",MATCH($L315,บันทึกรายเที่ยว!$S$6:$S$6005,0))</f>
        <v/>
      </c>
      <c r="P315">
        <f>IF($J315="","",IF(AND(OR($I$3="(ทั้งหมด)",INDEX(บันทึกรายเที่ยว!$C$6:$C$6005,$J315)=$I$3),OR($I$5="(ทั้งหมด)",INDEX(บันทึกรายเที่ยว!$D$6:$D$6005,$J315)=$I$5),OR($I$7="(ทั้งหมด)",INDEX(บันทึกรายเที่ยว!$F$6:$F$6005,$J315)=$I$7)),$N315*10000000+$O315*1000+308,""))</f>
        <v/>
      </c>
      <c r="Q315">
        <f>IFERROR(MATCH(SMALL($P$8:$P$407,308),$P$8:$P$407,0),"")</f>
        <v/>
      </c>
      <c r="R315">
        <f>IF($Q315="","",INDEX($J$8:$J$407,$Q315))</f>
        <v/>
      </c>
      <c r="S315">
        <f>IF($Q315="","",INDEX($M$8:$M$407,$Q315))</f>
        <v/>
      </c>
      <c r="T315">
        <f>IF($Q315="","",INDEX($L$8:$L$407,$Q315))</f>
        <v/>
      </c>
      <c r="U315">
        <f>IF($Q315="","",INDEX($K$8:$K$407,$Q315))</f>
        <v/>
      </c>
      <c r="V315">
        <f>IF($Q315="",0,IF($S315&lt;&gt;$S314,1,0))</f>
        <v/>
      </c>
      <c r="W315">
        <f>IF($Q315="",0,IF($T315&lt;&gt;$T314,1,0))</f>
        <v/>
      </c>
      <c r="X315">
        <f>IF($Q315="",99999+308,$X314+1+$V314+$W314)</f>
        <v/>
      </c>
      <c r="Y315">
        <f>IF($Q315="","",INDEX(บันทึกรายเที่ยว!$Q$6:$Q$6005,$R315))</f>
        <v/>
      </c>
      <c r="Z315">
        <f>IF($Q315="","",INDEX(บันทึกรายเที่ยว!$F$6:$F$6005,$R315))</f>
        <v/>
      </c>
      <c r="AA315">
        <f>IFERROR(MATCH(308,$X$8:$X$407,1),"")</f>
        <v/>
      </c>
      <c r="AB315">
        <f>IF(308=$AD$1+1,"G",IF($AA315="","",IF(INDEX($Q$8:$Q$407,$AA315)="","",IF(308&gt;INDEX($X$8:$X$407,$AA315)+INDEX($V$8:$V$407,$AA315)+INDEX($W$8:$W$407,$AA315),"",IF(308=INDEX($X$8:$X$407,$AA315)+INDEX($V$8:$V$407,$AA315)+INDEX($W$8:$W$407,$AA315),"D",IF(AND(INDEX($W$8:$W$407,$AA315)=1,308=INDEX($X$8:$X$407,$AA315)+INDEX($V$8:$V$407,$AA315)),"S","R"))))))</f>
        <v/>
      </c>
      <c r="AC315">
        <f>IF(OR($AB315="",$AB315="G"),"",IF($AB315="D",INDEX($U$8:$U$407,$AA315),IF($AB315="S",INDEX($T$8:$T$407,$AA315)&amp;"|*",INDEX($S$8:$S$407,$AA315)&amp;"|*")))</f>
        <v/>
      </c>
      <c r="AE315">
        <f>IF($U315="",0,COUNTIF(บันทึกรายเที่ยว!$T$6:$T$6005,$U315))</f>
        <v/>
      </c>
      <c r="AF315">
        <f>IF($U315="",0,ROUND(SUMIF(บันทึกรายเที่ยว!$T$6:$T$6005,$U315,บันทึกรายเที่ยว!$J$6:$J$6005),2))</f>
        <v/>
      </c>
      <c r="AG315">
        <f>IF($U315="",0,ROUND(SUMIF(บันทึกรายเที่ยว!$T$6:$T$6005,$U315,บันทึกรายเที่ยว!$K$6:$K$6005),2))</f>
        <v/>
      </c>
      <c r="AH315">
        <f>IF($U315="",0,ROUND(SUMIF(บันทึกรายเที่ยว!$T$6:$T$6005,$U315,บันทึกรายเที่ยว!$M$6:$M$6005),2))</f>
        <v/>
      </c>
    </row>
    <row r="316" ht="21" customHeight="1" s="66">
      <c r="A316" s="3">
        <f>IF($AB316="G","ผลรวมทั้งหมด",IF($AB316="R",INDEX($S$8:$S$407,$AA316),""))</f>
        <v/>
      </c>
      <c r="B316" s="3">
        <f>IF($AB316="S",INDEX($Y$8:$Y$407,$AA316),"")</f>
        <v/>
      </c>
      <c r="C316" s="68">
        <f>IF($AB316="D",INDEX($Z$8:$Z$407,$AA316),"")</f>
        <v/>
      </c>
      <c r="D316" s="31">
        <f>IF($AB316="G",SUM($AE$8:$AE$407),IF(OR($AB316="",$AB316="R"),"",IF($AB316="D",INDEX($AE$8:$AE$407,$AA316),SUMIF($T$8:$T$407,INDEX($T$8:$T$407,$AA316),$AE$8:$AE$407))))</f>
        <v/>
      </c>
      <c r="E316" s="32">
        <f>IF(309=$AD$1+3,"ขอแสดงความนับถือ",IF(309=$AD$1+6,"(                 )",IF(309=$AD$1+7,"เจ้าหน้าที่ขนส่ง",IF($AB316="G",SUM($AF$8:$AF$407),IF(OR($AB316="",$AB316="R"),"",IF($AB316="D",INDEX($AF$8:$AF$407,$AA316),SUMIF($T$8:$T$407,INDEX($T$8:$T$407,$AA316),$AF$8:$AF$407)))))))</f>
        <v/>
      </c>
      <c r="F316" s="32">
        <f>IF($AB316="G",SUM($AG$8:$AG$407),IF(OR($AB316="",$AB316="R"),"",IF($AB316="D",INDEX($AG$8:$AG$407,$AA316),SUMIF($T$8:$T$407,INDEX($T$8:$T$407,$AA316),$AG$8:$AG$407))))</f>
        <v/>
      </c>
      <c r="G316" s="32">
        <f>IF(OR($AB316="",$AB316="R"),"",ROUND($E316-$F316,2))</f>
        <v/>
      </c>
      <c r="H316" s="32">
        <f>IF($AB316="G",SUM($AH$8:$AH$407),IF(OR($AB316="",$AB316="R"),"",IF($AB316="D",INDEX($AH$8:$AH$407,$AA316),SUMIF($T$8:$T$407,INDEX($T$8:$T$407,$AA316),$AH$8:$AH$407))))</f>
        <v/>
      </c>
      <c r="J316">
        <f>IFERROR(MATCH(309,บันทึกรายเที่ยว!$W$6:$W$6005,0),"")</f>
        <v/>
      </c>
      <c r="K316">
        <f>IF($J316="","",INDEX(บันทึกรายเที่ยว!$T$6:$T$6005,$J316))</f>
        <v/>
      </c>
      <c r="L316">
        <f>IF($J316="","",INDEX(บันทึกรายเที่ยว!$S$6:$S$6005,$J316))</f>
        <v/>
      </c>
      <c r="M316">
        <f>IF($J316="","",INDEX(บันทึกรายเที่ยว!$R$6:$R$6005,$J316))</f>
        <v/>
      </c>
      <c r="N316">
        <f>IF($J316="","",MATCH($M316,บันทึกรายเที่ยว!$R$6:$R$6005,0))</f>
        <v/>
      </c>
      <c r="O316">
        <f>IF($J316="","",MATCH($L316,บันทึกรายเที่ยว!$S$6:$S$6005,0))</f>
        <v/>
      </c>
      <c r="P316">
        <f>IF($J316="","",IF(AND(OR($I$3="(ทั้งหมด)",INDEX(บันทึกรายเที่ยว!$C$6:$C$6005,$J316)=$I$3),OR($I$5="(ทั้งหมด)",INDEX(บันทึกรายเที่ยว!$D$6:$D$6005,$J316)=$I$5),OR($I$7="(ทั้งหมด)",INDEX(บันทึกรายเที่ยว!$F$6:$F$6005,$J316)=$I$7)),$N316*10000000+$O316*1000+309,""))</f>
        <v/>
      </c>
      <c r="Q316">
        <f>IFERROR(MATCH(SMALL($P$8:$P$407,309),$P$8:$P$407,0),"")</f>
        <v/>
      </c>
      <c r="R316">
        <f>IF($Q316="","",INDEX($J$8:$J$407,$Q316))</f>
        <v/>
      </c>
      <c r="S316">
        <f>IF($Q316="","",INDEX($M$8:$M$407,$Q316))</f>
        <v/>
      </c>
      <c r="T316">
        <f>IF($Q316="","",INDEX($L$8:$L$407,$Q316))</f>
        <v/>
      </c>
      <c r="U316">
        <f>IF($Q316="","",INDEX($K$8:$K$407,$Q316))</f>
        <v/>
      </c>
      <c r="V316">
        <f>IF($Q316="",0,IF($S316&lt;&gt;$S315,1,0))</f>
        <v/>
      </c>
      <c r="W316">
        <f>IF($Q316="",0,IF($T316&lt;&gt;$T315,1,0))</f>
        <v/>
      </c>
      <c r="X316">
        <f>IF($Q316="",99999+309,$X315+1+$V315+$W315)</f>
        <v/>
      </c>
      <c r="Y316">
        <f>IF($Q316="","",INDEX(บันทึกรายเที่ยว!$Q$6:$Q$6005,$R316))</f>
        <v/>
      </c>
      <c r="Z316">
        <f>IF($Q316="","",INDEX(บันทึกรายเที่ยว!$F$6:$F$6005,$R316))</f>
        <v/>
      </c>
      <c r="AA316">
        <f>IFERROR(MATCH(309,$X$8:$X$407,1),"")</f>
        <v/>
      </c>
      <c r="AB316">
        <f>IF(309=$AD$1+1,"G",IF($AA316="","",IF(INDEX($Q$8:$Q$407,$AA316)="","",IF(309&gt;INDEX($X$8:$X$407,$AA316)+INDEX($V$8:$V$407,$AA316)+INDEX($W$8:$W$407,$AA316),"",IF(309=INDEX($X$8:$X$407,$AA316)+INDEX($V$8:$V$407,$AA316)+INDEX($W$8:$W$407,$AA316),"D",IF(AND(INDEX($W$8:$W$407,$AA316)=1,309=INDEX($X$8:$X$407,$AA316)+INDEX($V$8:$V$407,$AA316)),"S","R"))))))</f>
        <v/>
      </c>
      <c r="AC316">
        <f>IF(OR($AB316="",$AB316="G"),"",IF($AB316="D",INDEX($U$8:$U$407,$AA316),IF($AB316="S",INDEX($T$8:$T$407,$AA316)&amp;"|*",INDEX($S$8:$S$407,$AA316)&amp;"|*")))</f>
        <v/>
      </c>
      <c r="AE316">
        <f>IF($U316="",0,COUNTIF(บันทึกรายเที่ยว!$T$6:$T$6005,$U316))</f>
        <v/>
      </c>
      <c r="AF316">
        <f>IF($U316="",0,ROUND(SUMIF(บันทึกรายเที่ยว!$T$6:$T$6005,$U316,บันทึกรายเที่ยว!$J$6:$J$6005),2))</f>
        <v/>
      </c>
      <c r="AG316">
        <f>IF($U316="",0,ROUND(SUMIF(บันทึกรายเที่ยว!$T$6:$T$6005,$U316,บันทึกรายเที่ยว!$K$6:$K$6005),2))</f>
        <v/>
      </c>
      <c r="AH316">
        <f>IF($U316="",0,ROUND(SUMIF(บันทึกรายเที่ยว!$T$6:$T$6005,$U316,บันทึกรายเที่ยว!$M$6:$M$6005),2))</f>
        <v/>
      </c>
    </row>
    <row r="317" ht="21" customHeight="1" s="66">
      <c r="A317" s="3">
        <f>IF($AB317="G","ผลรวมทั้งหมด",IF($AB317="R",INDEX($S$8:$S$407,$AA317),""))</f>
        <v/>
      </c>
      <c r="B317" s="3">
        <f>IF($AB317="S",INDEX($Y$8:$Y$407,$AA317),"")</f>
        <v/>
      </c>
      <c r="C317" s="68">
        <f>IF($AB317="D",INDEX($Z$8:$Z$407,$AA317),"")</f>
        <v/>
      </c>
      <c r="D317" s="31">
        <f>IF($AB317="G",SUM($AE$8:$AE$407),IF(OR($AB317="",$AB317="R"),"",IF($AB317="D",INDEX($AE$8:$AE$407,$AA317),SUMIF($T$8:$T$407,INDEX($T$8:$T$407,$AA317),$AE$8:$AE$407))))</f>
        <v/>
      </c>
      <c r="E317" s="32">
        <f>IF(310=$AD$1+3,"ขอแสดงความนับถือ",IF(310=$AD$1+6,"(                 )",IF(310=$AD$1+7,"เจ้าหน้าที่ขนส่ง",IF($AB317="G",SUM($AF$8:$AF$407),IF(OR($AB317="",$AB317="R"),"",IF($AB317="D",INDEX($AF$8:$AF$407,$AA317),SUMIF($T$8:$T$407,INDEX($T$8:$T$407,$AA317),$AF$8:$AF$407)))))))</f>
        <v/>
      </c>
      <c r="F317" s="32">
        <f>IF($AB317="G",SUM($AG$8:$AG$407),IF(OR($AB317="",$AB317="R"),"",IF($AB317="D",INDEX($AG$8:$AG$407,$AA317),SUMIF($T$8:$T$407,INDEX($T$8:$T$407,$AA317),$AG$8:$AG$407))))</f>
        <v/>
      </c>
      <c r="G317" s="32">
        <f>IF(OR($AB317="",$AB317="R"),"",ROUND($E317-$F317,2))</f>
        <v/>
      </c>
      <c r="H317" s="32">
        <f>IF($AB317="G",SUM($AH$8:$AH$407),IF(OR($AB317="",$AB317="R"),"",IF($AB317="D",INDEX($AH$8:$AH$407,$AA317),SUMIF($T$8:$T$407,INDEX($T$8:$T$407,$AA317),$AH$8:$AH$407))))</f>
        <v/>
      </c>
      <c r="J317">
        <f>IFERROR(MATCH(310,บันทึกรายเที่ยว!$W$6:$W$6005,0),"")</f>
        <v/>
      </c>
      <c r="K317">
        <f>IF($J317="","",INDEX(บันทึกรายเที่ยว!$T$6:$T$6005,$J317))</f>
        <v/>
      </c>
      <c r="L317">
        <f>IF($J317="","",INDEX(บันทึกรายเที่ยว!$S$6:$S$6005,$J317))</f>
        <v/>
      </c>
      <c r="M317">
        <f>IF($J317="","",INDEX(บันทึกรายเที่ยว!$R$6:$R$6005,$J317))</f>
        <v/>
      </c>
      <c r="N317">
        <f>IF($J317="","",MATCH($M317,บันทึกรายเที่ยว!$R$6:$R$6005,0))</f>
        <v/>
      </c>
      <c r="O317">
        <f>IF($J317="","",MATCH($L317,บันทึกรายเที่ยว!$S$6:$S$6005,0))</f>
        <v/>
      </c>
      <c r="P317">
        <f>IF($J317="","",IF(AND(OR($I$3="(ทั้งหมด)",INDEX(บันทึกรายเที่ยว!$C$6:$C$6005,$J317)=$I$3),OR($I$5="(ทั้งหมด)",INDEX(บันทึกรายเที่ยว!$D$6:$D$6005,$J317)=$I$5),OR($I$7="(ทั้งหมด)",INDEX(บันทึกรายเที่ยว!$F$6:$F$6005,$J317)=$I$7)),$N317*10000000+$O317*1000+310,""))</f>
        <v/>
      </c>
      <c r="Q317">
        <f>IFERROR(MATCH(SMALL($P$8:$P$407,310),$P$8:$P$407,0),"")</f>
        <v/>
      </c>
      <c r="R317">
        <f>IF($Q317="","",INDEX($J$8:$J$407,$Q317))</f>
        <v/>
      </c>
      <c r="S317">
        <f>IF($Q317="","",INDEX($M$8:$M$407,$Q317))</f>
        <v/>
      </c>
      <c r="T317">
        <f>IF($Q317="","",INDEX($L$8:$L$407,$Q317))</f>
        <v/>
      </c>
      <c r="U317">
        <f>IF($Q317="","",INDEX($K$8:$K$407,$Q317))</f>
        <v/>
      </c>
      <c r="V317">
        <f>IF($Q317="",0,IF($S317&lt;&gt;$S316,1,0))</f>
        <v/>
      </c>
      <c r="W317">
        <f>IF($Q317="",0,IF($T317&lt;&gt;$T316,1,0))</f>
        <v/>
      </c>
      <c r="X317">
        <f>IF($Q317="",99999+310,$X316+1+$V316+$W316)</f>
        <v/>
      </c>
      <c r="Y317">
        <f>IF($Q317="","",INDEX(บันทึกรายเที่ยว!$Q$6:$Q$6005,$R317))</f>
        <v/>
      </c>
      <c r="Z317">
        <f>IF($Q317="","",INDEX(บันทึกรายเที่ยว!$F$6:$F$6005,$R317))</f>
        <v/>
      </c>
      <c r="AA317">
        <f>IFERROR(MATCH(310,$X$8:$X$407,1),"")</f>
        <v/>
      </c>
      <c r="AB317">
        <f>IF(310=$AD$1+1,"G",IF($AA317="","",IF(INDEX($Q$8:$Q$407,$AA317)="","",IF(310&gt;INDEX($X$8:$X$407,$AA317)+INDEX($V$8:$V$407,$AA317)+INDEX($W$8:$W$407,$AA317),"",IF(310=INDEX($X$8:$X$407,$AA317)+INDEX($V$8:$V$407,$AA317)+INDEX($W$8:$W$407,$AA317),"D",IF(AND(INDEX($W$8:$W$407,$AA317)=1,310=INDEX($X$8:$X$407,$AA317)+INDEX($V$8:$V$407,$AA317)),"S","R"))))))</f>
        <v/>
      </c>
      <c r="AC317">
        <f>IF(OR($AB317="",$AB317="G"),"",IF($AB317="D",INDEX($U$8:$U$407,$AA317),IF($AB317="S",INDEX($T$8:$T$407,$AA317)&amp;"|*",INDEX($S$8:$S$407,$AA317)&amp;"|*")))</f>
        <v/>
      </c>
      <c r="AE317">
        <f>IF($U317="",0,COUNTIF(บันทึกรายเที่ยว!$T$6:$T$6005,$U317))</f>
        <v/>
      </c>
      <c r="AF317">
        <f>IF($U317="",0,ROUND(SUMIF(บันทึกรายเที่ยว!$T$6:$T$6005,$U317,บันทึกรายเที่ยว!$J$6:$J$6005),2))</f>
        <v/>
      </c>
      <c r="AG317">
        <f>IF($U317="",0,ROUND(SUMIF(บันทึกรายเที่ยว!$T$6:$T$6005,$U317,บันทึกรายเที่ยว!$K$6:$K$6005),2))</f>
        <v/>
      </c>
      <c r="AH317">
        <f>IF($U317="",0,ROUND(SUMIF(บันทึกรายเที่ยว!$T$6:$T$6005,$U317,บันทึกรายเที่ยว!$M$6:$M$6005),2))</f>
        <v/>
      </c>
    </row>
    <row r="318" ht="21" customHeight="1" s="66">
      <c r="A318" s="3">
        <f>IF($AB318="G","ผลรวมทั้งหมด",IF($AB318="R",INDEX($S$8:$S$407,$AA318),""))</f>
        <v/>
      </c>
      <c r="B318" s="3">
        <f>IF($AB318="S",INDEX($Y$8:$Y$407,$AA318),"")</f>
        <v/>
      </c>
      <c r="C318" s="68">
        <f>IF($AB318="D",INDEX($Z$8:$Z$407,$AA318),"")</f>
        <v/>
      </c>
      <c r="D318" s="31">
        <f>IF($AB318="G",SUM($AE$8:$AE$407),IF(OR($AB318="",$AB318="R"),"",IF($AB318="D",INDEX($AE$8:$AE$407,$AA318),SUMIF($T$8:$T$407,INDEX($T$8:$T$407,$AA318),$AE$8:$AE$407))))</f>
        <v/>
      </c>
      <c r="E318" s="32">
        <f>IF(311=$AD$1+3,"ขอแสดงความนับถือ",IF(311=$AD$1+6,"(                 )",IF(311=$AD$1+7,"เจ้าหน้าที่ขนส่ง",IF($AB318="G",SUM($AF$8:$AF$407),IF(OR($AB318="",$AB318="R"),"",IF($AB318="D",INDEX($AF$8:$AF$407,$AA318),SUMIF($T$8:$T$407,INDEX($T$8:$T$407,$AA318),$AF$8:$AF$407)))))))</f>
        <v/>
      </c>
      <c r="F318" s="32">
        <f>IF($AB318="G",SUM($AG$8:$AG$407),IF(OR($AB318="",$AB318="R"),"",IF($AB318="D",INDEX($AG$8:$AG$407,$AA318),SUMIF($T$8:$T$407,INDEX($T$8:$T$407,$AA318),$AG$8:$AG$407))))</f>
        <v/>
      </c>
      <c r="G318" s="32">
        <f>IF(OR($AB318="",$AB318="R"),"",ROUND($E318-$F318,2))</f>
        <v/>
      </c>
      <c r="H318" s="32">
        <f>IF($AB318="G",SUM($AH$8:$AH$407),IF(OR($AB318="",$AB318="R"),"",IF($AB318="D",INDEX($AH$8:$AH$407,$AA318),SUMIF($T$8:$T$407,INDEX($T$8:$T$407,$AA318),$AH$8:$AH$407))))</f>
        <v/>
      </c>
      <c r="J318">
        <f>IFERROR(MATCH(311,บันทึกรายเที่ยว!$W$6:$W$6005,0),"")</f>
        <v/>
      </c>
      <c r="K318">
        <f>IF($J318="","",INDEX(บันทึกรายเที่ยว!$T$6:$T$6005,$J318))</f>
        <v/>
      </c>
      <c r="L318">
        <f>IF($J318="","",INDEX(บันทึกรายเที่ยว!$S$6:$S$6005,$J318))</f>
        <v/>
      </c>
      <c r="M318">
        <f>IF($J318="","",INDEX(บันทึกรายเที่ยว!$R$6:$R$6005,$J318))</f>
        <v/>
      </c>
      <c r="N318">
        <f>IF($J318="","",MATCH($M318,บันทึกรายเที่ยว!$R$6:$R$6005,0))</f>
        <v/>
      </c>
      <c r="O318">
        <f>IF($J318="","",MATCH($L318,บันทึกรายเที่ยว!$S$6:$S$6005,0))</f>
        <v/>
      </c>
      <c r="P318">
        <f>IF($J318="","",IF(AND(OR($I$3="(ทั้งหมด)",INDEX(บันทึกรายเที่ยว!$C$6:$C$6005,$J318)=$I$3),OR($I$5="(ทั้งหมด)",INDEX(บันทึกรายเที่ยว!$D$6:$D$6005,$J318)=$I$5),OR($I$7="(ทั้งหมด)",INDEX(บันทึกรายเที่ยว!$F$6:$F$6005,$J318)=$I$7)),$N318*10000000+$O318*1000+311,""))</f>
        <v/>
      </c>
      <c r="Q318">
        <f>IFERROR(MATCH(SMALL($P$8:$P$407,311),$P$8:$P$407,0),"")</f>
        <v/>
      </c>
      <c r="R318">
        <f>IF($Q318="","",INDEX($J$8:$J$407,$Q318))</f>
        <v/>
      </c>
      <c r="S318">
        <f>IF($Q318="","",INDEX($M$8:$M$407,$Q318))</f>
        <v/>
      </c>
      <c r="T318">
        <f>IF($Q318="","",INDEX($L$8:$L$407,$Q318))</f>
        <v/>
      </c>
      <c r="U318">
        <f>IF($Q318="","",INDEX($K$8:$K$407,$Q318))</f>
        <v/>
      </c>
      <c r="V318">
        <f>IF($Q318="",0,IF($S318&lt;&gt;$S317,1,0))</f>
        <v/>
      </c>
      <c r="W318">
        <f>IF($Q318="",0,IF($T318&lt;&gt;$T317,1,0))</f>
        <v/>
      </c>
      <c r="X318">
        <f>IF($Q318="",99999+311,$X317+1+$V317+$W317)</f>
        <v/>
      </c>
      <c r="Y318">
        <f>IF($Q318="","",INDEX(บันทึกรายเที่ยว!$Q$6:$Q$6005,$R318))</f>
        <v/>
      </c>
      <c r="Z318">
        <f>IF($Q318="","",INDEX(บันทึกรายเที่ยว!$F$6:$F$6005,$R318))</f>
        <v/>
      </c>
      <c r="AA318">
        <f>IFERROR(MATCH(311,$X$8:$X$407,1),"")</f>
        <v/>
      </c>
      <c r="AB318">
        <f>IF(311=$AD$1+1,"G",IF($AA318="","",IF(INDEX($Q$8:$Q$407,$AA318)="","",IF(311&gt;INDEX($X$8:$X$407,$AA318)+INDEX($V$8:$V$407,$AA318)+INDEX($W$8:$W$407,$AA318),"",IF(311=INDEX($X$8:$X$407,$AA318)+INDEX($V$8:$V$407,$AA318)+INDEX($W$8:$W$407,$AA318),"D",IF(AND(INDEX($W$8:$W$407,$AA318)=1,311=INDEX($X$8:$X$407,$AA318)+INDEX($V$8:$V$407,$AA318)),"S","R"))))))</f>
        <v/>
      </c>
      <c r="AC318">
        <f>IF(OR($AB318="",$AB318="G"),"",IF($AB318="D",INDEX($U$8:$U$407,$AA318),IF($AB318="S",INDEX($T$8:$T$407,$AA318)&amp;"|*",INDEX($S$8:$S$407,$AA318)&amp;"|*")))</f>
        <v/>
      </c>
      <c r="AE318">
        <f>IF($U318="",0,COUNTIF(บันทึกรายเที่ยว!$T$6:$T$6005,$U318))</f>
        <v/>
      </c>
      <c r="AF318">
        <f>IF($U318="",0,ROUND(SUMIF(บันทึกรายเที่ยว!$T$6:$T$6005,$U318,บันทึกรายเที่ยว!$J$6:$J$6005),2))</f>
        <v/>
      </c>
      <c r="AG318">
        <f>IF($U318="",0,ROUND(SUMIF(บันทึกรายเที่ยว!$T$6:$T$6005,$U318,บันทึกรายเที่ยว!$K$6:$K$6005),2))</f>
        <v/>
      </c>
      <c r="AH318">
        <f>IF($U318="",0,ROUND(SUMIF(บันทึกรายเที่ยว!$T$6:$T$6005,$U318,บันทึกรายเที่ยว!$M$6:$M$6005),2))</f>
        <v/>
      </c>
    </row>
    <row r="319" ht="21" customHeight="1" s="66">
      <c r="A319" s="3">
        <f>IF($AB319="G","ผลรวมทั้งหมด",IF($AB319="R",INDEX($S$8:$S$407,$AA319),""))</f>
        <v/>
      </c>
      <c r="B319" s="3">
        <f>IF($AB319="S",INDEX($Y$8:$Y$407,$AA319),"")</f>
        <v/>
      </c>
      <c r="C319" s="68">
        <f>IF($AB319="D",INDEX($Z$8:$Z$407,$AA319),"")</f>
        <v/>
      </c>
      <c r="D319" s="31">
        <f>IF($AB319="G",SUM($AE$8:$AE$407),IF(OR($AB319="",$AB319="R"),"",IF($AB319="D",INDEX($AE$8:$AE$407,$AA319),SUMIF($T$8:$T$407,INDEX($T$8:$T$407,$AA319),$AE$8:$AE$407))))</f>
        <v/>
      </c>
      <c r="E319" s="32">
        <f>IF(312=$AD$1+3,"ขอแสดงความนับถือ",IF(312=$AD$1+6,"(                 )",IF(312=$AD$1+7,"เจ้าหน้าที่ขนส่ง",IF($AB319="G",SUM($AF$8:$AF$407),IF(OR($AB319="",$AB319="R"),"",IF($AB319="D",INDEX($AF$8:$AF$407,$AA319),SUMIF($T$8:$T$407,INDEX($T$8:$T$407,$AA319),$AF$8:$AF$407)))))))</f>
        <v/>
      </c>
      <c r="F319" s="32">
        <f>IF($AB319="G",SUM($AG$8:$AG$407),IF(OR($AB319="",$AB319="R"),"",IF($AB319="D",INDEX($AG$8:$AG$407,$AA319),SUMIF($T$8:$T$407,INDEX($T$8:$T$407,$AA319),$AG$8:$AG$407))))</f>
        <v/>
      </c>
      <c r="G319" s="32">
        <f>IF(OR($AB319="",$AB319="R"),"",ROUND($E319-$F319,2))</f>
        <v/>
      </c>
      <c r="H319" s="32">
        <f>IF($AB319="G",SUM($AH$8:$AH$407),IF(OR($AB319="",$AB319="R"),"",IF($AB319="D",INDEX($AH$8:$AH$407,$AA319),SUMIF($T$8:$T$407,INDEX($T$8:$T$407,$AA319),$AH$8:$AH$407))))</f>
        <v/>
      </c>
      <c r="J319">
        <f>IFERROR(MATCH(312,บันทึกรายเที่ยว!$W$6:$W$6005,0),"")</f>
        <v/>
      </c>
      <c r="K319">
        <f>IF($J319="","",INDEX(บันทึกรายเที่ยว!$T$6:$T$6005,$J319))</f>
        <v/>
      </c>
      <c r="L319">
        <f>IF($J319="","",INDEX(บันทึกรายเที่ยว!$S$6:$S$6005,$J319))</f>
        <v/>
      </c>
      <c r="M319">
        <f>IF($J319="","",INDEX(บันทึกรายเที่ยว!$R$6:$R$6005,$J319))</f>
        <v/>
      </c>
      <c r="N319">
        <f>IF($J319="","",MATCH($M319,บันทึกรายเที่ยว!$R$6:$R$6005,0))</f>
        <v/>
      </c>
      <c r="O319">
        <f>IF($J319="","",MATCH($L319,บันทึกรายเที่ยว!$S$6:$S$6005,0))</f>
        <v/>
      </c>
      <c r="P319">
        <f>IF($J319="","",IF(AND(OR($I$3="(ทั้งหมด)",INDEX(บันทึกรายเที่ยว!$C$6:$C$6005,$J319)=$I$3),OR($I$5="(ทั้งหมด)",INDEX(บันทึกรายเที่ยว!$D$6:$D$6005,$J319)=$I$5),OR($I$7="(ทั้งหมด)",INDEX(บันทึกรายเที่ยว!$F$6:$F$6005,$J319)=$I$7)),$N319*10000000+$O319*1000+312,""))</f>
        <v/>
      </c>
      <c r="Q319">
        <f>IFERROR(MATCH(SMALL($P$8:$P$407,312),$P$8:$P$407,0),"")</f>
        <v/>
      </c>
      <c r="R319">
        <f>IF($Q319="","",INDEX($J$8:$J$407,$Q319))</f>
        <v/>
      </c>
      <c r="S319">
        <f>IF($Q319="","",INDEX($M$8:$M$407,$Q319))</f>
        <v/>
      </c>
      <c r="T319">
        <f>IF($Q319="","",INDEX($L$8:$L$407,$Q319))</f>
        <v/>
      </c>
      <c r="U319">
        <f>IF($Q319="","",INDEX($K$8:$K$407,$Q319))</f>
        <v/>
      </c>
      <c r="V319">
        <f>IF($Q319="",0,IF($S319&lt;&gt;$S318,1,0))</f>
        <v/>
      </c>
      <c r="W319">
        <f>IF($Q319="",0,IF($T319&lt;&gt;$T318,1,0))</f>
        <v/>
      </c>
      <c r="X319">
        <f>IF($Q319="",99999+312,$X318+1+$V318+$W318)</f>
        <v/>
      </c>
      <c r="Y319">
        <f>IF($Q319="","",INDEX(บันทึกรายเที่ยว!$Q$6:$Q$6005,$R319))</f>
        <v/>
      </c>
      <c r="Z319">
        <f>IF($Q319="","",INDEX(บันทึกรายเที่ยว!$F$6:$F$6005,$R319))</f>
        <v/>
      </c>
      <c r="AA319">
        <f>IFERROR(MATCH(312,$X$8:$X$407,1),"")</f>
        <v/>
      </c>
      <c r="AB319">
        <f>IF(312=$AD$1+1,"G",IF($AA319="","",IF(INDEX($Q$8:$Q$407,$AA319)="","",IF(312&gt;INDEX($X$8:$X$407,$AA319)+INDEX($V$8:$V$407,$AA319)+INDEX($W$8:$W$407,$AA319),"",IF(312=INDEX($X$8:$X$407,$AA319)+INDEX($V$8:$V$407,$AA319)+INDEX($W$8:$W$407,$AA319),"D",IF(AND(INDEX($W$8:$W$407,$AA319)=1,312=INDEX($X$8:$X$407,$AA319)+INDEX($V$8:$V$407,$AA319)),"S","R"))))))</f>
        <v/>
      </c>
      <c r="AC319">
        <f>IF(OR($AB319="",$AB319="G"),"",IF($AB319="D",INDEX($U$8:$U$407,$AA319),IF($AB319="S",INDEX($T$8:$T$407,$AA319)&amp;"|*",INDEX($S$8:$S$407,$AA319)&amp;"|*")))</f>
        <v/>
      </c>
      <c r="AE319">
        <f>IF($U319="",0,COUNTIF(บันทึกรายเที่ยว!$T$6:$T$6005,$U319))</f>
        <v/>
      </c>
      <c r="AF319">
        <f>IF($U319="",0,ROUND(SUMIF(บันทึกรายเที่ยว!$T$6:$T$6005,$U319,บันทึกรายเที่ยว!$J$6:$J$6005),2))</f>
        <v/>
      </c>
      <c r="AG319">
        <f>IF($U319="",0,ROUND(SUMIF(บันทึกรายเที่ยว!$T$6:$T$6005,$U319,บันทึกรายเที่ยว!$K$6:$K$6005),2))</f>
        <v/>
      </c>
      <c r="AH319">
        <f>IF($U319="",0,ROUND(SUMIF(บันทึกรายเที่ยว!$T$6:$T$6005,$U319,บันทึกรายเที่ยว!$M$6:$M$6005),2))</f>
        <v/>
      </c>
    </row>
    <row r="320" ht="21" customHeight="1" s="66">
      <c r="A320" s="3">
        <f>IF($AB320="G","ผลรวมทั้งหมด",IF($AB320="R",INDEX($S$8:$S$407,$AA320),""))</f>
        <v/>
      </c>
      <c r="B320" s="3">
        <f>IF($AB320="S",INDEX($Y$8:$Y$407,$AA320),"")</f>
        <v/>
      </c>
      <c r="C320" s="68">
        <f>IF($AB320="D",INDEX($Z$8:$Z$407,$AA320),"")</f>
        <v/>
      </c>
      <c r="D320" s="31">
        <f>IF($AB320="G",SUM($AE$8:$AE$407),IF(OR($AB320="",$AB320="R"),"",IF($AB320="D",INDEX($AE$8:$AE$407,$AA320),SUMIF($T$8:$T$407,INDEX($T$8:$T$407,$AA320),$AE$8:$AE$407))))</f>
        <v/>
      </c>
      <c r="E320" s="32">
        <f>IF(313=$AD$1+3,"ขอแสดงความนับถือ",IF(313=$AD$1+6,"(                 )",IF(313=$AD$1+7,"เจ้าหน้าที่ขนส่ง",IF($AB320="G",SUM($AF$8:$AF$407),IF(OR($AB320="",$AB320="R"),"",IF($AB320="D",INDEX($AF$8:$AF$407,$AA320),SUMIF($T$8:$T$407,INDEX($T$8:$T$407,$AA320),$AF$8:$AF$407)))))))</f>
        <v/>
      </c>
      <c r="F320" s="32">
        <f>IF($AB320="G",SUM($AG$8:$AG$407),IF(OR($AB320="",$AB320="R"),"",IF($AB320="D",INDEX($AG$8:$AG$407,$AA320),SUMIF($T$8:$T$407,INDEX($T$8:$T$407,$AA320),$AG$8:$AG$407))))</f>
        <v/>
      </c>
      <c r="G320" s="32">
        <f>IF(OR($AB320="",$AB320="R"),"",ROUND($E320-$F320,2))</f>
        <v/>
      </c>
      <c r="H320" s="32">
        <f>IF($AB320="G",SUM($AH$8:$AH$407),IF(OR($AB320="",$AB320="R"),"",IF($AB320="D",INDEX($AH$8:$AH$407,$AA320),SUMIF($T$8:$T$407,INDEX($T$8:$T$407,$AA320),$AH$8:$AH$407))))</f>
        <v/>
      </c>
      <c r="J320">
        <f>IFERROR(MATCH(313,บันทึกรายเที่ยว!$W$6:$W$6005,0),"")</f>
        <v/>
      </c>
      <c r="K320">
        <f>IF($J320="","",INDEX(บันทึกรายเที่ยว!$T$6:$T$6005,$J320))</f>
        <v/>
      </c>
      <c r="L320">
        <f>IF($J320="","",INDEX(บันทึกรายเที่ยว!$S$6:$S$6005,$J320))</f>
        <v/>
      </c>
      <c r="M320">
        <f>IF($J320="","",INDEX(บันทึกรายเที่ยว!$R$6:$R$6005,$J320))</f>
        <v/>
      </c>
      <c r="N320">
        <f>IF($J320="","",MATCH($M320,บันทึกรายเที่ยว!$R$6:$R$6005,0))</f>
        <v/>
      </c>
      <c r="O320">
        <f>IF($J320="","",MATCH($L320,บันทึกรายเที่ยว!$S$6:$S$6005,0))</f>
        <v/>
      </c>
      <c r="P320">
        <f>IF($J320="","",IF(AND(OR($I$3="(ทั้งหมด)",INDEX(บันทึกรายเที่ยว!$C$6:$C$6005,$J320)=$I$3),OR($I$5="(ทั้งหมด)",INDEX(บันทึกรายเที่ยว!$D$6:$D$6005,$J320)=$I$5),OR($I$7="(ทั้งหมด)",INDEX(บันทึกรายเที่ยว!$F$6:$F$6005,$J320)=$I$7)),$N320*10000000+$O320*1000+313,""))</f>
        <v/>
      </c>
      <c r="Q320">
        <f>IFERROR(MATCH(SMALL($P$8:$P$407,313),$P$8:$P$407,0),"")</f>
        <v/>
      </c>
      <c r="R320">
        <f>IF($Q320="","",INDEX($J$8:$J$407,$Q320))</f>
        <v/>
      </c>
      <c r="S320">
        <f>IF($Q320="","",INDEX($M$8:$M$407,$Q320))</f>
        <v/>
      </c>
      <c r="T320">
        <f>IF($Q320="","",INDEX($L$8:$L$407,$Q320))</f>
        <v/>
      </c>
      <c r="U320">
        <f>IF($Q320="","",INDEX($K$8:$K$407,$Q320))</f>
        <v/>
      </c>
      <c r="V320">
        <f>IF($Q320="",0,IF($S320&lt;&gt;$S319,1,0))</f>
        <v/>
      </c>
      <c r="W320">
        <f>IF($Q320="",0,IF($T320&lt;&gt;$T319,1,0))</f>
        <v/>
      </c>
      <c r="X320">
        <f>IF($Q320="",99999+313,$X319+1+$V319+$W319)</f>
        <v/>
      </c>
      <c r="Y320">
        <f>IF($Q320="","",INDEX(บันทึกรายเที่ยว!$Q$6:$Q$6005,$R320))</f>
        <v/>
      </c>
      <c r="Z320">
        <f>IF($Q320="","",INDEX(บันทึกรายเที่ยว!$F$6:$F$6005,$R320))</f>
        <v/>
      </c>
      <c r="AA320">
        <f>IFERROR(MATCH(313,$X$8:$X$407,1),"")</f>
        <v/>
      </c>
      <c r="AB320">
        <f>IF(313=$AD$1+1,"G",IF($AA320="","",IF(INDEX($Q$8:$Q$407,$AA320)="","",IF(313&gt;INDEX($X$8:$X$407,$AA320)+INDEX($V$8:$V$407,$AA320)+INDEX($W$8:$W$407,$AA320),"",IF(313=INDEX($X$8:$X$407,$AA320)+INDEX($V$8:$V$407,$AA320)+INDEX($W$8:$W$407,$AA320),"D",IF(AND(INDEX($W$8:$W$407,$AA320)=1,313=INDEX($X$8:$X$407,$AA320)+INDEX($V$8:$V$407,$AA320)),"S","R"))))))</f>
        <v/>
      </c>
      <c r="AC320">
        <f>IF(OR($AB320="",$AB320="G"),"",IF($AB320="D",INDEX($U$8:$U$407,$AA320),IF($AB320="S",INDEX($T$8:$T$407,$AA320)&amp;"|*",INDEX($S$8:$S$407,$AA320)&amp;"|*")))</f>
        <v/>
      </c>
      <c r="AE320">
        <f>IF($U320="",0,COUNTIF(บันทึกรายเที่ยว!$T$6:$T$6005,$U320))</f>
        <v/>
      </c>
      <c r="AF320">
        <f>IF($U320="",0,ROUND(SUMIF(บันทึกรายเที่ยว!$T$6:$T$6005,$U320,บันทึกรายเที่ยว!$J$6:$J$6005),2))</f>
        <v/>
      </c>
      <c r="AG320">
        <f>IF($U320="",0,ROUND(SUMIF(บันทึกรายเที่ยว!$T$6:$T$6005,$U320,บันทึกรายเที่ยว!$K$6:$K$6005),2))</f>
        <v/>
      </c>
      <c r="AH320">
        <f>IF($U320="",0,ROUND(SUMIF(บันทึกรายเที่ยว!$T$6:$T$6005,$U320,บันทึกรายเที่ยว!$M$6:$M$6005),2))</f>
        <v/>
      </c>
    </row>
    <row r="321" ht="21" customHeight="1" s="66">
      <c r="A321" s="3">
        <f>IF($AB321="G","ผลรวมทั้งหมด",IF($AB321="R",INDEX($S$8:$S$407,$AA321),""))</f>
        <v/>
      </c>
      <c r="B321" s="3">
        <f>IF($AB321="S",INDEX($Y$8:$Y$407,$AA321),"")</f>
        <v/>
      </c>
      <c r="C321" s="68">
        <f>IF($AB321="D",INDEX($Z$8:$Z$407,$AA321),"")</f>
        <v/>
      </c>
      <c r="D321" s="31">
        <f>IF($AB321="G",SUM($AE$8:$AE$407),IF(OR($AB321="",$AB321="R"),"",IF($AB321="D",INDEX($AE$8:$AE$407,$AA321),SUMIF($T$8:$T$407,INDEX($T$8:$T$407,$AA321),$AE$8:$AE$407))))</f>
        <v/>
      </c>
      <c r="E321" s="32">
        <f>IF(314=$AD$1+3,"ขอแสดงความนับถือ",IF(314=$AD$1+6,"(                 )",IF(314=$AD$1+7,"เจ้าหน้าที่ขนส่ง",IF($AB321="G",SUM($AF$8:$AF$407),IF(OR($AB321="",$AB321="R"),"",IF($AB321="D",INDEX($AF$8:$AF$407,$AA321),SUMIF($T$8:$T$407,INDEX($T$8:$T$407,$AA321),$AF$8:$AF$407)))))))</f>
        <v/>
      </c>
      <c r="F321" s="32">
        <f>IF($AB321="G",SUM($AG$8:$AG$407),IF(OR($AB321="",$AB321="R"),"",IF($AB321="D",INDEX($AG$8:$AG$407,$AA321),SUMIF($T$8:$T$407,INDEX($T$8:$T$407,$AA321),$AG$8:$AG$407))))</f>
        <v/>
      </c>
      <c r="G321" s="32">
        <f>IF(OR($AB321="",$AB321="R"),"",ROUND($E321-$F321,2))</f>
        <v/>
      </c>
      <c r="H321" s="32">
        <f>IF($AB321="G",SUM($AH$8:$AH$407),IF(OR($AB321="",$AB321="R"),"",IF($AB321="D",INDEX($AH$8:$AH$407,$AA321),SUMIF($T$8:$T$407,INDEX($T$8:$T$407,$AA321),$AH$8:$AH$407))))</f>
        <v/>
      </c>
      <c r="J321">
        <f>IFERROR(MATCH(314,บันทึกรายเที่ยว!$W$6:$W$6005,0),"")</f>
        <v/>
      </c>
      <c r="K321">
        <f>IF($J321="","",INDEX(บันทึกรายเที่ยว!$T$6:$T$6005,$J321))</f>
        <v/>
      </c>
      <c r="L321">
        <f>IF($J321="","",INDEX(บันทึกรายเที่ยว!$S$6:$S$6005,$J321))</f>
        <v/>
      </c>
      <c r="M321">
        <f>IF($J321="","",INDEX(บันทึกรายเที่ยว!$R$6:$R$6005,$J321))</f>
        <v/>
      </c>
      <c r="N321">
        <f>IF($J321="","",MATCH($M321,บันทึกรายเที่ยว!$R$6:$R$6005,0))</f>
        <v/>
      </c>
      <c r="O321">
        <f>IF($J321="","",MATCH($L321,บันทึกรายเที่ยว!$S$6:$S$6005,0))</f>
        <v/>
      </c>
      <c r="P321">
        <f>IF($J321="","",IF(AND(OR($I$3="(ทั้งหมด)",INDEX(บันทึกรายเที่ยว!$C$6:$C$6005,$J321)=$I$3),OR($I$5="(ทั้งหมด)",INDEX(บันทึกรายเที่ยว!$D$6:$D$6005,$J321)=$I$5),OR($I$7="(ทั้งหมด)",INDEX(บันทึกรายเที่ยว!$F$6:$F$6005,$J321)=$I$7)),$N321*10000000+$O321*1000+314,""))</f>
        <v/>
      </c>
      <c r="Q321">
        <f>IFERROR(MATCH(SMALL($P$8:$P$407,314),$P$8:$P$407,0),"")</f>
        <v/>
      </c>
      <c r="R321">
        <f>IF($Q321="","",INDEX($J$8:$J$407,$Q321))</f>
        <v/>
      </c>
      <c r="S321">
        <f>IF($Q321="","",INDEX($M$8:$M$407,$Q321))</f>
        <v/>
      </c>
      <c r="T321">
        <f>IF($Q321="","",INDEX($L$8:$L$407,$Q321))</f>
        <v/>
      </c>
      <c r="U321">
        <f>IF($Q321="","",INDEX($K$8:$K$407,$Q321))</f>
        <v/>
      </c>
      <c r="V321">
        <f>IF($Q321="",0,IF($S321&lt;&gt;$S320,1,0))</f>
        <v/>
      </c>
      <c r="W321">
        <f>IF($Q321="",0,IF($T321&lt;&gt;$T320,1,0))</f>
        <v/>
      </c>
      <c r="X321">
        <f>IF($Q321="",99999+314,$X320+1+$V320+$W320)</f>
        <v/>
      </c>
      <c r="Y321">
        <f>IF($Q321="","",INDEX(บันทึกรายเที่ยว!$Q$6:$Q$6005,$R321))</f>
        <v/>
      </c>
      <c r="Z321">
        <f>IF($Q321="","",INDEX(บันทึกรายเที่ยว!$F$6:$F$6005,$R321))</f>
        <v/>
      </c>
      <c r="AA321">
        <f>IFERROR(MATCH(314,$X$8:$X$407,1),"")</f>
        <v/>
      </c>
      <c r="AB321">
        <f>IF(314=$AD$1+1,"G",IF($AA321="","",IF(INDEX($Q$8:$Q$407,$AA321)="","",IF(314&gt;INDEX($X$8:$X$407,$AA321)+INDEX($V$8:$V$407,$AA321)+INDEX($W$8:$W$407,$AA321),"",IF(314=INDEX($X$8:$X$407,$AA321)+INDEX($V$8:$V$407,$AA321)+INDEX($W$8:$W$407,$AA321),"D",IF(AND(INDEX($W$8:$W$407,$AA321)=1,314=INDEX($X$8:$X$407,$AA321)+INDEX($V$8:$V$407,$AA321)),"S","R"))))))</f>
        <v/>
      </c>
      <c r="AC321">
        <f>IF(OR($AB321="",$AB321="G"),"",IF($AB321="D",INDEX($U$8:$U$407,$AA321),IF($AB321="S",INDEX($T$8:$T$407,$AA321)&amp;"|*",INDEX($S$8:$S$407,$AA321)&amp;"|*")))</f>
        <v/>
      </c>
      <c r="AE321">
        <f>IF($U321="",0,COUNTIF(บันทึกรายเที่ยว!$T$6:$T$6005,$U321))</f>
        <v/>
      </c>
      <c r="AF321">
        <f>IF($U321="",0,ROUND(SUMIF(บันทึกรายเที่ยว!$T$6:$T$6005,$U321,บันทึกรายเที่ยว!$J$6:$J$6005),2))</f>
        <v/>
      </c>
      <c r="AG321">
        <f>IF($U321="",0,ROUND(SUMIF(บันทึกรายเที่ยว!$T$6:$T$6005,$U321,บันทึกรายเที่ยว!$K$6:$K$6005),2))</f>
        <v/>
      </c>
      <c r="AH321">
        <f>IF($U321="",0,ROUND(SUMIF(บันทึกรายเที่ยว!$T$6:$T$6005,$U321,บันทึกรายเที่ยว!$M$6:$M$6005),2))</f>
        <v/>
      </c>
    </row>
    <row r="322" ht="21" customHeight="1" s="66">
      <c r="A322" s="3">
        <f>IF($AB322="G","ผลรวมทั้งหมด",IF($AB322="R",INDEX($S$8:$S$407,$AA322),""))</f>
        <v/>
      </c>
      <c r="B322" s="3">
        <f>IF($AB322="S",INDEX($Y$8:$Y$407,$AA322),"")</f>
        <v/>
      </c>
      <c r="C322" s="68">
        <f>IF($AB322="D",INDEX($Z$8:$Z$407,$AA322),"")</f>
        <v/>
      </c>
      <c r="D322" s="31">
        <f>IF($AB322="G",SUM($AE$8:$AE$407),IF(OR($AB322="",$AB322="R"),"",IF($AB322="D",INDEX($AE$8:$AE$407,$AA322),SUMIF($T$8:$T$407,INDEX($T$8:$T$407,$AA322),$AE$8:$AE$407))))</f>
        <v/>
      </c>
      <c r="E322" s="32">
        <f>IF(315=$AD$1+3,"ขอแสดงความนับถือ",IF(315=$AD$1+6,"(                 )",IF(315=$AD$1+7,"เจ้าหน้าที่ขนส่ง",IF($AB322="G",SUM($AF$8:$AF$407),IF(OR($AB322="",$AB322="R"),"",IF($AB322="D",INDEX($AF$8:$AF$407,$AA322),SUMIF($T$8:$T$407,INDEX($T$8:$T$407,$AA322),$AF$8:$AF$407)))))))</f>
        <v/>
      </c>
      <c r="F322" s="32">
        <f>IF($AB322="G",SUM($AG$8:$AG$407),IF(OR($AB322="",$AB322="R"),"",IF($AB322="D",INDEX($AG$8:$AG$407,$AA322),SUMIF($T$8:$T$407,INDEX($T$8:$T$407,$AA322),$AG$8:$AG$407))))</f>
        <v/>
      </c>
      <c r="G322" s="32">
        <f>IF(OR($AB322="",$AB322="R"),"",ROUND($E322-$F322,2))</f>
        <v/>
      </c>
      <c r="H322" s="32">
        <f>IF($AB322="G",SUM($AH$8:$AH$407),IF(OR($AB322="",$AB322="R"),"",IF($AB322="D",INDEX($AH$8:$AH$407,$AA322),SUMIF($T$8:$T$407,INDEX($T$8:$T$407,$AA322),$AH$8:$AH$407))))</f>
        <v/>
      </c>
      <c r="J322">
        <f>IFERROR(MATCH(315,บันทึกรายเที่ยว!$W$6:$W$6005,0),"")</f>
        <v/>
      </c>
      <c r="K322">
        <f>IF($J322="","",INDEX(บันทึกรายเที่ยว!$T$6:$T$6005,$J322))</f>
        <v/>
      </c>
      <c r="L322">
        <f>IF($J322="","",INDEX(บันทึกรายเที่ยว!$S$6:$S$6005,$J322))</f>
        <v/>
      </c>
      <c r="M322">
        <f>IF($J322="","",INDEX(บันทึกรายเที่ยว!$R$6:$R$6005,$J322))</f>
        <v/>
      </c>
      <c r="N322">
        <f>IF($J322="","",MATCH($M322,บันทึกรายเที่ยว!$R$6:$R$6005,0))</f>
        <v/>
      </c>
      <c r="O322">
        <f>IF($J322="","",MATCH($L322,บันทึกรายเที่ยว!$S$6:$S$6005,0))</f>
        <v/>
      </c>
      <c r="P322">
        <f>IF($J322="","",IF(AND(OR($I$3="(ทั้งหมด)",INDEX(บันทึกรายเที่ยว!$C$6:$C$6005,$J322)=$I$3),OR($I$5="(ทั้งหมด)",INDEX(บันทึกรายเที่ยว!$D$6:$D$6005,$J322)=$I$5),OR($I$7="(ทั้งหมด)",INDEX(บันทึกรายเที่ยว!$F$6:$F$6005,$J322)=$I$7)),$N322*10000000+$O322*1000+315,""))</f>
        <v/>
      </c>
      <c r="Q322">
        <f>IFERROR(MATCH(SMALL($P$8:$P$407,315),$P$8:$P$407,0),"")</f>
        <v/>
      </c>
      <c r="R322">
        <f>IF($Q322="","",INDEX($J$8:$J$407,$Q322))</f>
        <v/>
      </c>
      <c r="S322">
        <f>IF($Q322="","",INDEX($M$8:$M$407,$Q322))</f>
        <v/>
      </c>
      <c r="T322">
        <f>IF($Q322="","",INDEX($L$8:$L$407,$Q322))</f>
        <v/>
      </c>
      <c r="U322">
        <f>IF($Q322="","",INDEX($K$8:$K$407,$Q322))</f>
        <v/>
      </c>
      <c r="V322">
        <f>IF($Q322="",0,IF($S322&lt;&gt;$S321,1,0))</f>
        <v/>
      </c>
      <c r="W322">
        <f>IF($Q322="",0,IF($T322&lt;&gt;$T321,1,0))</f>
        <v/>
      </c>
      <c r="X322">
        <f>IF($Q322="",99999+315,$X321+1+$V321+$W321)</f>
        <v/>
      </c>
      <c r="Y322">
        <f>IF($Q322="","",INDEX(บันทึกรายเที่ยว!$Q$6:$Q$6005,$R322))</f>
        <v/>
      </c>
      <c r="Z322">
        <f>IF($Q322="","",INDEX(บันทึกรายเที่ยว!$F$6:$F$6005,$R322))</f>
        <v/>
      </c>
      <c r="AA322">
        <f>IFERROR(MATCH(315,$X$8:$X$407,1),"")</f>
        <v/>
      </c>
      <c r="AB322">
        <f>IF(315=$AD$1+1,"G",IF($AA322="","",IF(INDEX($Q$8:$Q$407,$AA322)="","",IF(315&gt;INDEX($X$8:$X$407,$AA322)+INDEX($V$8:$V$407,$AA322)+INDEX($W$8:$W$407,$AA322),"",IF(315=INDEX($X$8:$X$407,$AA322)+INDEX($V$8:$V$407,$AA322)+INDEX($W$8:$W$407,$AA322),"D",IF(AND(INDEX($W$8:$W$407,$AA322)=1,315=INDEX($X$8:$X$407,$AA322)+INDEX($V$8:$V$407,$AA322)),"S","R"))))))</f>
        <v/>
      </c>
      <c r="AC322">
        <f>IF(OR($AB322="",$AB322="G"),"",IF($AB322="D",INDEX($U$8:$U$407,$AA322),IF($AB322="S",INDEX($T$8:$T$407,$AA322)&amp;"|*",INDEX($S$8:$S$407,$AA322)&amp;"|*")))</f>
        <v/>
      </c>
      <c r="AE322">
        <f>IF($U322="",0,COUNTIF(บันทึกรายเที่ยว!$T$6:$T$6005,$U322))</f>
        <v/>
      </c>
      <c r="AF322">
        <f>IF($U322="",0,ROUND(SUMIF(บันทึกรายเที่ยว!$T$6:$T$6005,$U322,บันทึกรายเที่ยว!$J$6:$J$6005),2))</f>
        <v/>
      </c>
      <c r="AG322">
        <f>IF($U322="",0,ROUND(SUMIF(บันทึกรายเที่ยว!$T$6:$T$6005,$U322,บันทึกรายเที่ยว!$K$6:$K$6005),2))</f>
        <v/>
      </c>
      <c r="AH322">
        <f>IF($U322="",0,ROUND(SUMIF(บันทึกรายเที่ยว!$T$6:$T$6005,$U322,บันทึกรายเที่ยว!$M$6:$M$6005),2))</f>
        <v/>
      </c>
    </row>
    <row r="323" ht="21" customHeight="1" s="66">
      <c r="A323" s="3">
        <f>IF($AB323="G","ผลรวมทั้งหมด",IF($AB323="R",INDEX($S$8:$S$407,$AA323),""))</f>
        <v/>
      </c>
      <c r="B323" s="3">
        <f>IF($AB323="S",INDEX($Y$8:$Y$407,$AA323),"")</f>
        <v/>
      </c>
      <c r="C323" s="68">
        <f>IF($AB323="D",INDEX($Z$8:$Z$407,$AA323),"")</f>
        <v/>
      </c>
      <c r="D323" s="31">
        <f>IF($AB323="G",SUM($AE$8:$AE$407),IF(OR($AB323="",$AB323="R"),"",IF($AB323="D",INDEX($AE$8:$AE$407,$AA323),SUMIF($T$8:$T$407,INDEX($T$8:$T$407,$AA323),$AE$8:$AE$407))))</f>
        <v/>
      </c>
      <c r="E323" s="32">
        <f>IF(316=$AD$1+3,"ขอแสดงความนับถือ",IF(316=$AD$1+6,"(                 )",IF(316=$AD$1+7,"เจ้าหน้าที่ขนส่ง",IF($AB323="G",SUM($AF$8:$AF$407),IF(OR($AB323="",$AB323="R"),"",IF($AB323="D",INDEX($AF$8:$AF$407,$AA323),SUMIF($T$8:$T$407,INDEX($T$8:$T$407,$AA323),$AF$8:$AF$407)))))))</f>
        <v/>
      </c>
      <c r="F323" s="32">
        <f>IF($AB323="G",SUM($AG$8:$AG$407),IF(OR($AB323="",$AB323="R"),"",IF($AB323="D",INDEX($AG$8:$AG$407,$AA323),SUMIF($T$8:$T$407,INDEX($T$8:$T$407,$AA323),$AG$8:$AG$407))))</f>
        <v/>
      </c>
      <c r="G323" s="32">
        <f>IF(OR($AB323="",$AB323="R"),"",ROUND($E323-$F323,2))</f>
        <v/>
      </c>
      <c r="H323" s="32">
        <f>IF($AB323="G",SUM($AH$8:$AH$407),IF(OR($AB323="",$AB323="R"),"",IF($AB323="D",INDEX($AH$8:$AH$407,$AA323),SUMIF($T$8:$T$407,INDEX($T$8:$T$407,$AA323),$AH$8:$AH$407))))</f>
        <v/>
      </c>
      <c r="J323">
        <f>IFERROR(MATCH(316,บันทึกรายเที่ยว!$W$6:$W$6005,0),"")</f>
        <v/>
      </c>
      <c r="K323">
        <f>IF($J323="","",INDEX(บันทึกรายเที่ยว!$T$6:$T$6005,$J323))</f>
        <v/>
      </c>
      <c r="L323">
        <f>IF($J323="","",INDEX(บันทึกรายเที่ยว!$S$6:$S$6005,$J323))</f>
        <v/>
      </c>
      <c r="M323">
        <f>IF($J323="","",INDEX(บันทึกรายเที่ยว!$R$6:$R$6005,$J323))</f>
        <v/>
      </c>
      <c r="N323">
        <f>IF($J323="","",MATCH($M323,บันทึกรายเที่ยว!$R$6:$R$6005,0))</f>
        <v/>
      </c>
      <c r="O323">
        <f>IF($J323="","",MATCH($L323,บันทึกรายเที่ยว!$S$6:$S$6005,0))</f>
        <v/>
      </c>
      <c r="P323">
        <f>IF($J323="","",IF(AND(OR($I$3="(ทั้งหมด)",INDEX(บันทึกรายเที่ยว!$C$6:$C$6005,$J323)=$I$3),OR($I$5="(ทั้งหมด)",INDEX(บันทึกรายเที่ยว!$D$6:$D$6005,$J323)=$I$5),OR($I$7="(ทั้งหมด)",INDEX(บันทึกรายเที่ยว!$F$6:$F$6005,$J323)=$I$7)),$N323*10000000+$O323*1000+316,""))</f>
        <v/>
      </c>
      <c r="Q323">
        <f>IFERROR(MATCH(SMALL($P$8:$P$407,316),$P$8:$P$407,0),"")</f>
        <v/>
      </c>
      <c r="R323">
        <f>IF($Q323="","",INDEX($J$8:$J$407,$Q323))</f>
        <v/>
      </c>
      <c r="S323">
        <f>IF($Q323="","",INDEX($M$8:$M$407,$Q323))</f>
        <v/>
      </c>
      <c r="T323">
        <f>IF($Q323="","",INDEX($L$8:$L$407,$Q323))</f>
        <v/>
      </c>
      <c r="U323">
        <f>IF($Q323="","",INDEX($K$8:$K$407,$Q323))</f>
        <v/>
      </c>
      <c r="V323">
        <f>IF($Q323="",0,IF($S323&lt;&gt;$S322,1,0))</f>
        <v/>
      </c>
      <c r="W323">
        <f>IF($Q323="",0,IF($T323&lt;&gt;$T322,1,0))</f>
        <v/>
      </c>
      <c r="X323">
        <f>IF($Q323="",99999+316,$X322+1+$V322+$W322)</f>
        <v/>
      </c>
      <c r="Y323">
        <f>IF($Q323="","",INDEX(บันทึกรายเที่ยว!$Q$6:$Q$6005,$R323))</f>
        <v/>
      </c>
      <c r="Z323">
        <f>IF($Q323="","",INDEX(บันทึกรายเที่ยว!$F$6:$F$6005,$R323))</f>
        <v/>
      </c>
      <c r="AA323">
        <f>IFERROR(MATCH(316,$X$8:$X$407,1),"")</f>
        <v/>
      </c>
      <c r="AB323">
        <f>IF(316=$AD$1+1,"G",IF($AA323="","",IF(INDEX($Q$8:$Q$407,$AA323)="","",IF(316&gt;INDEX($X$8:$X$407,$AA323)+INDEX($V$8:$V$407,$AA323)+INDEX($W$8:$W$407,$AA323),"",IF(316=INDEX($X$8:$X$407,$AA323)+INDEX($V$8:$V$407,$AA323)+INDEX($W$8:$W$407,$AA323),"D",IF(AND(INDEX($W$8:$W$407,$AA323)=1,316=INDEX($X$8:$X$407,$AA323)+INDEX($V$8:$V$407,$AA323)),"S","R"))))))</f>
        <v/>
      </c>
      <c r="AC323">
        <f>IF(OR($AB323="",$AB323="G"),"",IF($AB323="D",INDEX($U$8:$U$407,$AA323),IF($AB323="S",INDEX($T$8:$T$407,$AA323)&amp;"|*",INDEX($S$8:$S$407,$AA323)&amp;"|*")))</f>
        <v/>
      </c>
      <c r="AE323">
        <f>IF($U323="",0,COUNTIF(บันทึกรายเที่ยว!$T$6:$T$6005,$U323))</f>
        <v/>
      </c>
      <c r="AF323">
        <f>IF($U323="",0,ROUND(SUMIF(บันทึกรายเที่ยว!$T$6:$T$6005,$U323,บันทึกรายเที่ยว!$J$6:$J$6005),2))</f>
        <v/>
      </c>
      <c r="AG323">
        <f>IF($U323="",0,ROUND(SUMIF(บันทึกรายเที่ยว!$T$6:$T$6005,$U323,บันทึกรายเที่ยว!$K$6:$K$6005),2))</f>
        <v/>
      </c>
      <c r="AH323">
        <f>IF($U323="",0,ROUND(SUMIF(บันทึกรายเที่ยว!$T$6:$T$6005,$U323,บันทึกรายเที่ยว!$M$6:$M$6005),2))</f>
        <v/>
      </c>
    </row>
    <row r="324" ht="21" customHeight="1" s="66">
      <c r="A324" s="3">
        <f>IF($AB324="G","ผลรวมทั้งหมด",IF($AB324="R",INDEX($S$8:$S$407,$AA324),""))</f>
        <v/>
      </c>
      <c r="B324" s="3">
        <f>IF($AB324="S",INDEX($Y$8:$Y$407,$AA324),"")</f>
        <v/>
      </c>
      <c r="C324" s="68">
        <f>IF($AB324="D",INDEX($Z$8:$Z$407,$AA324),"")</f>
        <v/>
      </c>
      <c r="D324" s="31">
        <f>IF($AB324="G",SUM($AE$8:$AE$407),IF(OR($AB324="",$AB324="R"),"",IF($AB324="D",INDEX($AE$8:$AE$407,$AA324),SUMIF($T$8:$T$407,INDEX($T$8:$T$407,$AA324),$AE$8:$AE$407))))</f>
        <v/>
      </c>
      <c r="E324" s="32">
        <f>IF(317=$AD$1+3,"ขอแสดงความนับถือ",IF(317=$AD$1+6,"(                 )",IF(317=$AD$1+7,"เจ้าหน้าที่ขนส่ง",IF($AB324="G",SUM($AF$8:$AF$407),IF(OR($AB324="",$AB324="R"),"",IF($AB324="D",INDEX($AF$8:$AF$407,$AA324),SUMIF($T$8:$T$407,INDEX($T$8:$T$407,$AA324),$AF$8:$AF$407)))))))</f>
        <v/>
      </c>
      <c r="F324" s="32">
        <f>IF($AB324="G",SUM($AG$8:$AG$407),IF(OR($AB324="",$AB324="R"),"",IF($AB324="D",INDEX($AG$8:$AG$407,$AA324),SUMIF($T$8:$T$407,INDEX($T$8:$T$407,$AA324),$AG$8:$AG$407))))</f>
        <v/>
      </c>
      <c r="G324" s="32">
        <f>IF(OR($AB324="",$AB324="R"),"",ROUND($E324-$F324,2))</f>
        <v/>
      </c>
      <c r="H324" s="32">
        <f>IF($AB324="G",SUM($AH$8:$AH$407),IF(OR($AB324="",$AB324="R"),"",IF($AB324="D",INDEX($AH$8:$AH$407,$AA324),SUMIF($T$8:$T$407,INDEX($T$8:$T$407,$AA324),$AH$8:$AH$407))))</f>
        <v/>
      </c>
      <c r="J324">
        <f>IFERROR(MATCH(317,บันทึกรายเที่ยว!$W$6:$W$6005,0),"")</f>
        <v/>
      </c>
      <c r="K324">
        <f>IF($J324="","",INDEX(บันทึกรายเที่ยว!$T$6:$T$6005,$J324))</f>
        <v/>
      </c>
      <c r="L324">
        <f>IF($J324="","",INDEX(บันทึกรายเที่ยว!$S$6:$S$6005,$J324))</f>
        <v/>
      </c>
      <c r="M324">
        <f>IF($J324="","",INDEX(บันทึกรายเที่ยว!$R$6:$R$6005,$J324))</f>
        <v/>
      </c>
      <c r="N324">
        <f>IF($J324="","",MATCH($M324,บันทึกรายเที่ยว!$R$6:$R$6005,0))</f>
        <v/>
      </c>
      <c r="O324">
        <f>IF($J324="","",MATCH($L324,บันทึกรายเที่ยว!$S$6:$S$6005,0))</f>
        <v/>
      </c>
      <c r="P324">
        <f>IF($J324="","",IF(AND(OR($I$3="(ทั้งหมด)",INDEX(บันทึกรายเที่ยว!$C$6:$C$6005,$J324)=$I$3),OR($I$5="(ทั้งหมด)",INDEX(บันทึกรายเที่ยว!$D$6:$D$6005,$J324)=$I$5),OR($I$7="(ทั้งหมด)",INDEX(บันทึกรายเที่ยว!$F$6:$F$6005,$J324)=$I$7)),$N324*10000000+$O324*1000+317,""))</f>
        <v/>
      </c>
      <c r="Q324">
        <f>IFERROR(MATCH(SMALL($P$8:$P$407,317),$P$8:$P$407,0),"")</f>
        <v/>
      </c>
      <c r="R324">
        <f>IF($Q324="","",INDEX($J$8:$J$407,$Q324))</f>
        <v/>
      </c>
      <c r="S324">
        <f>IF($Q324="","",INDEX($M$8:$M$407,$Q324))</f>
        <v/>
      </c>
      <c r="T324">
        <f>IF($Q324="","",INDEX($L$8:$L$407,$Q324))</f>
        <v/>
      </c>
      <c r="U324">
        <f>IF($Q324="","",INDEX($K$8:$K$407,$Q324))</f>
        <v/>
      </c>
      <c r="V324">
        <f>IF($Q324="",0,IF($S324&lt;&gt;$S323,1,0))</f>
        <v/>
      </c>
      <c r="W324">
        <f>IF($Q324="",0,IF($T324&lt;&gt;$T323,1,0))</f>
        <v/>
      </c>
      <c r="X324">
        <f>IF($Q324="",99999+317,$X323+1+$V323+$W323)</f>
        <v/>
      </c>
      <c r="Y324">
        <f>IF($Q324="","",INDEX(บันทึกรายเที่ยว!$Q$6:$Q$6005,$R324))</f>
        <v/>
      </c>
      <c r="Z324">
        <f>IF($Q324="","",INDEX(บันทึกรายเที่ยว!$F$6:$F$6005,$R324))</f>
        <v/>
      </c>
      <c r="AA324">
        <f>IFERROR(MATCH(317,$X$8:$X$407,1),"")</f>
        <v/>
      </c>
      <c r="AB324">
        <f>IF(317=$AD$1+1,"G",IF($AA324="","",IF(INDEX($Q$8:$Q$407,$AA324)="","",IF(317&gt;INDEX($X$8:$X$407,$AA324)+INDEX($V$8:$V$407,$AA324)+INDEX($W$8:$W$407,$AA324),"",IF(317=INDEX($X$8:$X$407,$AA324)+INDEX($V$8:$V$407,$AA324)+INDEX($W$8:$W$407,$AA324),"D",IF(AND(INDEX($W$8:$W$407,$AA324)=1,317=INDEX($X$8:$X$407,$AA324)+INDEX($V$8:$V$407,$AA324)),"S","R"))))))</f>
        <v/>
      </c>
      <c r="AC324">
        <f>IF(OR($AB324="",$AB324="G"),"",IF($AB324="D",INDEX($U$8:$U$407,$AA324),IF($AB324="S",INDEX($T$8:$T$407,$AA324)&amp;"|*",INDEX($S$8:$S$407,$AA324)&amp;"|*")))</f>
        <v/>
      </c>
      <c r="AE324">
        <f>IF($U324="",0,COUNTIF(บันทึกรายเที่ยว!$T$6:$T$6005,$U324))</f>
        <v/>
      </c>
      <c r="AF324">
        <f>IF($U324="",0,ROUND(SUMIF(บันทึกรายเที่ยว!$T$6:$T$6005,$U324,บันทึกรายเที่ยว!$J$6:$J$6005),2))</f>
        <v/>
      </c>
      <c r="AG324">
        <f>IF($U324="",0,ROUND(SUMIF(บันทึกรายเที่ยว!$T$6:$T$6005,$U324,บันทึกรายเที่ยว!$K$6:$K$6005),2))</f>
        <v/>
      </c>
      <c r="AH324">
        <f>IF($U324="",0,ROUND(SUMIF(บันทึกรายเที่ยว!$T$6:$T$6005,$U324,บันทึกรายเที่ยว!$M$6:$M$6005),2))</f>
        <v/>
      </c>
    </row>
    <row r="325" ht="21" customHeight="1" s="66">
      <c r="A325" s="3">
        <f>IF($AB325="G","ผลรวมทั้งหมด",IF($AB325="R",INDEX($S$8:$S$407,$AA325),""))</f>
        <v/>
      </c>
      <c r="B325" s="3">
        <f>IF($AB325="S",INDEX($Y$8:$Y$407,$AA325),"")</f>
        <v/>
      </c>
      <c r="C325" s="68">
        <f>IF($AB325="D",INDEX($Z$8:$Z$407,$AA325),"")</f>
        <v/>
      </c>
      <c r="D325" s="31">
        <f>IF($AB325="G",SUM($AE$8:$AE$407),IF(OR($AB325="",$AB325="R"),"",IF($AB325="D",INDEX($AE$8:$AE$407,$AA325),SUMIF($T$8:$T$407,INDEX($T$8:$T$407,$AA325),$AE$8:$AE$407))))</f>
        <v/>
      </c>
      <c r="E325" s="32">
        <f>IF(318=$AD$1+3,"ขอแสดงความนับถือ",IF(318=$AD$1+6,"(                 )",IF(318=$AD$1+7,"เจ้าหน้าที่ขนส่ง",IF($AB325="G",SUM($AF$8:$AF$407),IF(OR($AB325="",$AB325="R"),"",IF($AB325="D",INDEX($AF$8:$AF$407,$AA325),SUMIF($T$8:$T$407,INDEX($T$8:$T$407,$AA325),$AF$8:$AF$407)))))))</f>
        <v/>
      </c>
      <c r="F325" s="32">
        <f>IF($AB325="G",SUM($AG$8:$AG$407),IF(OR($AB325="",$AB325="R"),"",IF($AB325="D",INDEX($AG$8:$AG$407,$AA325),SUMIF($T$8:$T$407,INDEX($T$8:$T$407,$AA325),$AG$8:$AG$407))))</f>
        <v/>
      </c>
      <c r="G325" s="32">
        <f>IF(OR($AB325="",$AB325="R"),"",ROUND($E325-$F325,2))</f>
        <v/>
      </c>
      <c r="H325" s="32">
        <f>IF($AB325="G",SUM($AH$8:$AH$407),IF(OR($AB325="",$AB325="R"),"",IF($AB325="D",INDEX($AH$8:$AH$407,$AA325),SUMIF($T$8:$T$407,INDEX($T$8:$T$407,$AA325),$AH$8:$AH$407))))</f>
        <v/>
      </c>
      <c r="J325">
        <f>IFERROR(MATCH(318,บันทึกรายเที่ยว!$W$6:$W$6005,0),"")</f>
        <v/>
      </c>
      <c r="K325">
        <f>IF($J325="","",INDEX(บันทึกรายเที่ยว!$T$6:$T$6005,$J325))</f>
        <v/>
      </c>
      <c r="L325">
        <f>IF($J325="","",INDEX(บันทึกรายเที่ยว!$S$6:$S$6005,$J325))</f>
        <v/>
      </c>
      <c r="M325">
        <f>IF($J325="","",INDEX(บันทึกรายเที่ยว!$R$6:$R$6005,$J325))</f>
        <v/>
      </c>
      <c r="N325">
        <f>IF($J325="","",MATCH($M325,บันทึกรายเที่ยว!$R$6:$R$6005,0))</f>
        <v/>
      </c>
      <c r="O325">
        <f>IF($J325="","",MATCH($L325,บันทึกรายเที่ยว!$S$6:$S$6005,0))</f>
        <v/>
      </c>
      <c r="P325">
        <f>IF($J325="","",IF(AND(OR($I$3="(ทั้งหมด)",INDEX(บันทึกรายเที่ยว!$C$6:$C$6005,$J325)=$I$3),OR($I$5="(ทั้งหมด)",INDEX(บันทึกรายเที่ยว!$D$6:$D$6005,$J325)=$I$5),OR($I$7="(ทั้งหมด)",INDEX(บันทึกรายเที่ยว!$F$6:$F$6005,$J325)=$I$7)),$N325*10000000+$O325*1000+318,""))</f>
        <v/>
      </c>
      <c r="Q325">
        <f>IFERROR(MATCH(SMALL($P$8:$P$407,318),$P$8:$P$407,0),"")</f>
        <v/>
      </c>
      <c r="R325">
        <f>IF($Q325="","",INDEX($J$8:$J$407,$Q325))</f>
        <v/>
      </c>
      <c r="S325">
        <f>IF($Q325="","",INDEX($M$8:$M$407,$Q325))</f>
        <v/>
      </c>
      <c r="T325">
        <f>IF($Q325="","",INDEX($L$8:$L$407,$Q325))</f>
        <v/>
      </c>
      <c r="U325">
        <f>IF($Q325="","",INDEX($K$8:$K$407,$Q325))</f>
        <v/>
      </c>
      <c r="V325">
        <f>IF($Q325="",0,IF($S325&lt;&gt;$S324,1,0))</f>
        <v/>
      </c>
      <c r="W325">
        <f>IF($Q325="",0,IF($T325&lt;&gt;$T324,1,0))</f>
        <v/>
      </c>
      <c r="X325">
        <f>IF($Q325="",99999+318,$X324+1+$V324+$W324)</f>
        <v/>
      </c>
      <c r="Y325">
        <f>IF($Q325="","",INDEX(บันทึกรายเที่ยว!$Q$6:$Q$6005,$R325))</f>
        <v/>
      </c>
      <c r="Z325">
        <f>IF($Q325="","",INDEX(บันทึกรายเที่ยว!$F$6:$F$6005,$R325))</f>
        <v/>
      </c>
      <c r="AA325">
        <f>IFERROR(MATCH(318,$X$8:$X$407,1),"")</f>
        <v/>
      </c>
      <c r="AB325">
        <f>IF(318=$AD$1+1,"G",IF($AA325="","",IF(INDEX($Q$8:$Q$407,$AA325)="","",IF(318&gt;INDEX($X$8:$X$407,$AA325)+INDEX($V$8:$V$407,$AA325)+INDEX($W$8:$W$407,$AA325),"",IF(318=INDEX($X$8:$X$407,$AA325)+INDEX($V$8:$V$407,$AA325)+INDEX($W$8:$W$407,$AA325),"D",IF(AND(INDEX($W$8:$W$407,$AA325)=1,318=INDEX($X$8:$X$407,$AA325)+INDEX($V$8:$V$407,$AA325)),"S","R"))))))</f>
        <v/>
      </c>
      <c r="AC325">
        <f>IF(OR($AB325="",$AB325="G"),"",IF($AB325="D",INDEX($U$8:$U$407,$AA325),IF($AB325="S",INDEX($T$8:$T$407,$AA325)&amp;"|*",INDEX($S$8:$S$407,$AA325)&amp;"|*")))</f>
        <v/>
      </c>
      <c r="AE325">
        <f>IF($U325="",0,COUNTIF(บันทึกรายเที่ยว!$T$6:$T$6005,$U325))</f>
        <v/>
      </c>
      <c r="AF325">
        <f>IF($U325="",0,ROUND(SUMIF(บันทึกรายเที่ยว!$T$6:$T$6005,$U325,บันทึกรายเที่ยว!$J$6:$J$6005),2))</f>
        <v/>
      </c>
      <c r="AG325">
        <f>IF($U325="",0,ROUND(SUMIF(บันทึกรายเที่ยว!$T$6:$T$6005,$U325,บันทึกรายเที่ยว!$K$6:$K$6005),2))</f>
        <v/>
      </c>
      <c r="AH325">
        <f>IF($U325="",0,ROUND(SUMIF(บันทึกรายเที่ยว!$T$6:$T$6005,$U325,บันทึกรายเที่ยว!$M$6:$M$6005),2))</f>
        <v/>
      </c>
    </row>
    <row r="326" ht="21" customHeight="1" s="66">
      <c r="A326" s="3">
        <f>IF($AB326="G","ผลรวมทั้งหมด",IF($AB326="R",INDEX($S$8:$S$407,$AA326),""))</f>
        <v/>
      </c>
      <c r="B326" s="3">
        <f>IF($AB326="S",INDEX($Y$8:$Y$407,$AA326),"")</f>
        <v/>
      </c>
      <c r="C326" s="68">
        <f>IF($AB326="D",INDEX($Z$8:$Z$407,$AA326),"")</f>
        <v/>
      </c>
      <c r="D326" s="31">
        <f>IF($AB326="G",SUM($AE$8:$AE$407),IF(OR($AB326="",$AB326="R"),"",IF($AB326="D",INDEX($AE$8:$AE$407,$AA326),SUMIF($T$8:$T$407,INDEX($T$8:$T$407,$AA326),$AE$8:$AE$407))))</f>
        <v/>
      </c>
      <c r="E326" s="32">
        <f>IF(319=$AD$1+3,"ขอแสดงความนับถือ",IF(319=$AD$1+6,"(                 )",IF(319=$AD$1+7,"เจ้าหน้าที่ขนส่ง",IF($AB326="G",SUM($AF$8:$AF$407),IF(OR($AB326="",$AB326="R"),"",IF($AB326="D",INDEX($AF$8:$AF$407,$AA326),SUMIF($T$8:$T$407,INDEX($T$8:$T$407,$AA326),$AF$8:$AF$407)))))))</f>
        <v/>
      </c>
      <c r="F326" s="32">
        <f>IF($AB326="G",SUM($AG$8:$AG$407),IF(OR($AB326="",$AB326="R"),"",IF($AB326="D",INDEX($AG$8:$AG$407,$AA326),SUMIF($T$8:$T$407,INDEX($T$8:$T$407,$AA326),$AG$8:$AG$407))))</f>
        <v/>
      </c>
      <c r="G326" s="32">
        <f>IF(OR($AB326="",$AB326="R"),"",ROUND($E326-$F326,2))</f>
        <v/>
      </c>
      <c r="H326" s="32">
        <f>IF($AB326="G",SUM($AH$8:$AH$407),IF(OR($AB326="",$AB326="R"),"",IF($AB326="D",INDEX($AH$8:$AH$407,$AA326),SUMIF($T$8:$T$407,INDEX($T$8:$T$407,$AA326),$AH$8:$AH$407))))</f>
        <v/>
      </c>
      <c r="J326">
        <f>IFERROR(MATCH(319,บันทึกรายเที่ยว!$W$6:$W$6005,0),"")</f>
        <v/>
      </c>
      <c r="K326">
        <f>IF($J326="","",INDEX(บันทึกรายเที่ยว!$T$6:$T$6005,$J326))</f>
        <v/>
      </c>
      <c r="L326">
        <f>IF($J326="","",INDEX(บันทึกรายเที่ยว!$S$6:$S$6005,$J326))</f>
        <v/>
      </c>
      <c r="M326">
        <f>IF($J326="","",INDEX(บันทึกรายเที่ยว!$R$6:$R$6005,$J326))</f>
        <v/>
      </c>
      <c r="N326">
        <f>IF($J326="","",MATCH($M326,บันทึกรายเที่ยว!$R$6:$R$6005,0))</f>
        <v/>
      </c>
      <c r="O326">
        <f>IF($J326="","",MATCH($L326,บันทึกรายเที่ยว!$S$6:$S$6005,0))</f>
        <v/>
      </c>
      <c r="P326">
        <f>IF($J326="","",IF(AND(OR($I$3="(ทั้งหมด)",INDEX(บันทึกรายเที่ยว!$C$6:$C$6005,$J326)=$I$3),OR($I$5="(ทั้งหมด)",INDEX(บันทึกรายเที่ยว!$D$6:$D$6005,$J326)=$I$5),OR($I$7="(ทั้งหมด)",INDEX(บันทึกรายเที่ยว!$F$6:$F$6005,$J326)=$I$7)),$N326*10000000+$O326*1000+319,""))</f>
        <v/>
      </c>
      <c r="Q326">
        <f>IFERROR(MATCH(SMALL($P$8:$P$407,319),$P$8:$P$407,0),"")</f>
        <v/>
      </c>
      <c r="R326">
        <f>IF($Q326="","",INDEX($J$8:$J$407,$Q326))</f>
        <v/>
      </c>
      <c r="S326">
        <f>IF($Q326="","",INDEX($M$8:$M$407,$Q326))</f>
        <v/>
      </c>
      <c r="T326">
        <f>IF($Q326="","",INDEX($L$8:$L$407,$Q326))</f>
        <v/>
      </c>
      <c r="U326">
        <f>IF($Q326="","",INDEX($K$8:$K$407,$Q326))</f>
        <v/>
      </c>
      <c r="V326">
        <f>IF($Q326="",0,IF($S326&lt;&gt;$S325,1,0))</f>
        <v/>
      </c>
      <c r="W326">
        <f>IF($Q326="",0,IF($T326&lt;&gt;$T325,1,0))</f>
        <v/>
      </c>
      <c r="X326">
        <f>IF($Q326="",99999+319,$X325+1+$V325+$W325)</f>
        <v/>
      </c>
      <c r="Y326">
        <f>IF($Q326="","",INDEX(บันทึกรายเที่ยว!$Q$6:$Q$6005,$R326))</f>
        <v/>
      </c>
      <c r="Z326">
        <f>IF($Q326="","",INDEX(บันทึกรายเที่ยว!$F$6:$F$6005,$R326))</f>
        <v/>
      </c>
      <c r="AA326">
        <f>IFERROR(MATCH(319,$X$8:$X$407,1),"")</f>
        <v/>
      </c>
      <c r="AB326">
        <f>IF(319=$AD$1+1,"G",IF($AA326="","",IF(INDEX($Q$8:$Q$407,$AA326)="","",IF(319&gt;INDEX($X$8:$X$407,$AA326)+INDEX($V$8:$V$407,$AA326)+INDEX($W$8:$W$407,$AA326),"",IF(319=INDEX($X$8:$X$407,$AA326)+INDEX($V$8:$V$407,$AA326)+INDEX($W$8:$W$407,$AA326),"D",IF(AND(INDEX($W$8:$W$407,$AA326)=1,319=INDEX($X$8:$X$407,$AA326)+INDEX($V$8:$V$407,$AA326)),"S","R"))))))</f>
        <v/>
      </c>
      <c r="AC326">
        <f>IF(OR($AB326="",$AB326="G"),"",IF($AB326="D",INDEX($U$8:$U$407,$AA326),IF($AB326="S",INDEX($T$8:$T$407,$AA326)&amp;"|*",INDEX($S$8:$S$407,$AA326)&amp;"|*")))</f>
        <v/>
      </c>
      <c r="AE326">
        <f>IF($U326="",0,COUNTIF(บันทึกรายเที่ยว!$T$6:$T$6005,$U326))</f>
        <v/>
      </c>
      <c r="AF326">
        <f>IF($U326="",0,ROUND(SUMIF(บันทึกรายเที่ยว!$T$6:$T$6005,$U326,บันทึกรายเที่ยว!$J$6:$J$6005),2))</f>
        <v/>
      </c>
      <c r="AG326">
        <f>IF($U326="",0,ROUND(SUMIF(บันทึกรายเที่ยว!$T$6:$T$6005,$U326,บันทึกรายเที่ยว!$K$6:$K$6005),2))</f>
        <v/>
      </c>
      <c r="AH326">
        <f>IF($U326="",0,ROUND(SUMIF(บันทึกรายเที่ยว!$T$6:$T$6005,$U326,บันทึกรายเที่ยว!$M$6:$M$6005),2))</f>
        <v/>
      </c>
    </row>
    <row r="327" ht="21" customHeight="1" s="66">
      <c r="A327" s="3">
        <f>IF($AB327="G","ผลรวมทั้งหมด",IF($AB327="R",INDEX($S$8:$S$407,$AA327),""))</f>
        <v/>
      </c>
      <c r="B327" s="3">
        <f>IF($AB327="S",INDEX($Y$8:$Y$407,$AA327),"")</f>
        <v/>
      </c>
      <c r="C327" s="68">
        <f>IF($AB327="D",INDEX($Z$8:$Z$407,$AA327),"")</f>
        <v/>
      </c>
      <c r="D327" s="31">
        <f>IF($AB327="G",SUM($AE$8:$AE$407),IF(OR($AB327="",$AB327="R"),"",IF($AB327="D",INDEX($AE$8:$AE$407,$AA327),SUMIF($T$8:$T$407,INDEX($T$8:$T$407,$AA327),$AE$8:$AE$407))))</f>
        <v/>
      </c>
      <c r="E327" s="32">
        <f>IF(320=$AD$1+3,"ขอแสดงความนับถือ",IF(320=$AD$1+6,"(                 )",IF(320=$AD$1+7,"เจ้าหน้าที่ขนส่ง",IF($AB327="G",SUM($AF$8:$AF$407),IF(OR($AB327="",$AB327="R"),"",IF($AB327="D",INDEX($AF$8:$AF$407,$AA327),SUMIF($T$8:$T$407,INDEX($T$8:$T$407,$AA327),$AF$8:$AF$407)))))))</f>
        <v/>
      </c>
      <c r="F327" s="32">
        <f>IF($AB327="G",SUM($AG$8:$AG$407),IF(OR($AB327="",$AB327="R"),"",IF($AB327="D",INDEX($AG$8:$AG$407,$AA327),SUMIF($T$8:$T$407,INDEX($T$8:$T$407,$AA327),$AG$8:$AG$407))))</f>
        <v/>
      </c>
      <c r="G327" s="32">
        <f>IF(OR($AB327="",$AB327="R"),"",ROUND($E327-$F327,2))</f>
        <v/>
      </c>
      <c r="H327" s="32">
        <f>IF($AB327="G",SUM($AH$8:$AH$407),IF(OR($AB327="",$AB327="R"),"",IF($AB327="D",INDEX($AH$8:$AH$407,$AA327),SUMIF($T$8:$T$407,INDEX($T$8:$T$407,$AA327),$AH$8:$AH$407))))</f>
        <v/>
      </c>
      <c r="J327">
        <f>IFERROR(MATCH(320,บันทึกรายเที่ยว!$W$6:$W$6005,0),"")</f>
        <v/>
      </c>
      <c r="K327">
        <f>IF($J327="","",INDEX(บันทึกรายเที่ยว!$T$6:$T$6005,$J327))</f>
        <v/>
      </c>
      <c r="L327">
        <f>IF($J327="","",INDEX(บันทึกรายเที่ยว!$S$6:$S$6005,$J327))</f>
        <v/>
      </c>
      <c r="M327">
        <f>IF($J327="","",INDEX(บันทึกรายเที่ยว!$R$6:$R$6005,$J327))</f>
        <v/>
      </c>
      <c r="N327">
        <f>IF($J327="","",MATCH($M327,บันทึกรายเที่ยว!$R$6:$R$6005,0))</f>
        <v/>
      </c>
      <c r="O327">
        <f>IF($J327="","",MATCH($L327,บันทึกรายเที่ยว!$S$6:$S$6005,0))</f>
        <v/>
      </c>
      <c r="P327">
        <f>IF($J327="","",IF(AND(OR($I$3="(ทั้งหมด)",INDEX(บันทึกรายเที่ยว!$C$6:$C$6005,$J327)=$I$3),OR($I$5="(ทั้งหมด)",INDEX(บันทึกรายเที่ยว!$D$6:$D$6005,$J327)=$I$5),OR($I$7="(ทั้งหมด)",INDEX(บันทึกรายเที่ยว!$F$6:$F$6005,$J327)=$I$7)),$N327*10000000+$O327*1000+320,""))</f>
        <v/>
      </c>
      <c r="Q327">
        <f>IFERROR(MATCH(SMALL($P$8:$P$407,320),$P$8:$P$407,0),"")</f>
        <v/>
      </c>
      <c r="R327">
        <f>IF($Q327="","",INDEX($J$8:$J$407,$Q327))</f>
        <v/>
      </c>
      <c r="S327">
        <f>IF($Q327="","",INDEX($M$8:$M$407,$Q327))</f>
        <v/>
      </c>
      <c r="T327">
        <f>IF($Q327="","",INDEX($L$8:$L$407,$Q327))</f>
        <v/>
      </c>
      <c r="U327">
        <f>IF($Q327="","",INDEX($K$8:$K$407,$Q327))</f>
        <v/>
      </c>
      <c r="V327">
        <f>IF($Q327="",0,IF($S327&lt;&gt;$S326,1,0))</f>
        <v/>
      </c>
      <c r="W327">
        <f>IF($Q327="",0,IF($T327&lt;&gt;$T326,1,0))</f>
        <v/>
      </c>
      <c r="X327">
        <f>IF($Q327="",99999+320,$X326+1+$V326+$W326)</f>
        <v/>
      </c>
      <c r="Y327">
        <f>IF($Q327="","",INDEX(บันทึกรายเที่ยว!$Q$6:$Q$6005,$R327))</f>
        <v/>
      </c>
      <c r="Z327">
        <f>IF($Q327="","",INDEX(บันทึกรายเที่ยว!$F$6:$F$6005,$R327))</f>
        <v/>
      </c>
      <c r="AA327">
        <f>IFERROR(MATCH(320,$X$8:$X$407,1),"")</f>
        <v/>
      </c>
      <c r="AB327">
        <f>IF(320=$AD$1+1,"G",IF($AA327="","",IF(INDEX($Q$8:$Q$407,$AA327)="","",IF(320&gt;INDEX($X$8:$X$407,$AA327)+INDEX($V$8:$V$407,$AA327)+INDEX($W$8:$W$407,$AA327),"",IF(320=INDEX($X$8:$X$407,$AA327)+INDEX($V$8:$V$407,$AA327)+INDEX($W$8:$W$407,$AA327),"D",IF(AND(INDEX($W$8:$W$407,$AA327)=1,320=INDEX($X$8:$X$407,$AA327)+INDEX($V$8:$V$407,$AA327)),"S","R"))))))</f>
        <v/>
      </c>
      <c r="AC327">
        <f>IF(OR($AB327="",$AB327="G"),"",IF($AB327="D",INDEX($U$8:$U$407,$AA327),IF($AB327="S",INDEX($T$8:$T$407,$AA327)&amp;"|*",INDEX($S$8:$S$407,$AA327)&amp;"|*")))</f>
        <v/>
      </c>
      <c r="AE327">
        <f>IF($U327="",0,COUNTIF(บันทึกรายเที่ยว!$T$6:$T$6005,$U327))</f>
        <v/>
      </c>
      <c r="AF327">
        <f>IF($U327="",0,ROUND(SUMIF(บันทึกรายเที่ยว!$T$6:$T$6005,$U327,บันทึกรายเที่ยว!$J$6:$J$6005),2))</f>
        <v/>
      </c>
      <c r="AG327">
        <f>IF($U327="",0,ROUND(SUMIF(บันทึกรายเที่ยว!$T$6:$T$6005,$U327,บันทึกรายเที่ยว!$K$6:$K$6005),2))</f>
        <v/>
      </c>
      <c r="AH327">
        <f>IF($U327="",0,ROUND(SUMIF(บันทึกรายเที่ยว!$T$6:$T$6005,$U327,บันทึกรายเที่ยว!$M$6:$M$6005),2))</f>
        <v/>
      </c>
    </row>
    <row r="328" ht="21" customHeight="1" s="66">
      <c r="A328" s="3">
        <f>IF($AB328="G","ผลรวมทั้งหมด",IF($AB328="R",INDEX($S$8:$S$407,$AA328),""))</f>
        <v/>
      </c>
      <c r="B328" s="3">
        <f>IF($AB328="S",INDEX($Y$8:$Y$407,$AA328),"")</f>
        <v/>
      </c>
      <c r="C328" s="68">
        <f>IF($AB328="D",INDEX($Z$8:$Z$407,$AA328),"")</f>
        <v/>
      </c>
      <c r="D328" s="31">
        <f>IF($AB328="G",SUM($AE$8:$AE$407),IF(OR($AB328="",$AB328="R"),"",IF($AB328="D",INDEX($AE$8:$AE$407,$AA328),SUMIF($T$8:$T$407,INDEX($T$8:$T$407,$AA328),$AE$8:$AE$407))))</f>
        <v/>
      </c>
      <c r="E328" s="32">
        <f>IF(321=$AD$1+3,"ขอแสดงความนับถือ",IF(321=$AD$1+6,"(                 )",IF(321=$AD$1+7,"เจ้าหน้าที่ขนส่ง",IF($AB328="G",SUM($AF$8:$AF$407),IF(OR($AB328="",$AB328="R"),"",IF($AB328="D",INDEX($AF$8:$AF$407,$AA328),SUMIF($T$8:$T$407,INDEX($T$8:$T$407,$AA328),$AF$8:$AF$407)))))))</f>
        <v/>
      </c>
      <c r="F328" s="32">
        <f>IF($AB328="G",SUM($AG$8:$AG$407),IF(OR($AB328="",$AB328="R"),"",IF($AB328="D",INDEX($AG$8:$AG$407,$AA328),SUMIF($T$8:$T$407,INDEX($T$8:$T$407,$AA328),$AG$8:$AG$407))))</f>
        <v/>
      </c>
      <c r="G328" s="32">
        <f>IF(OR($AB328="",$AB328="R"),"",ROUND($E328-$F328,2))</f>
        <v/>
      </c>
      <c r="H328" s="32">
        <f>IF($AB328="G",SUM($AH$8:$AH$407),IF(OR($AB328="",$AB328="R"),"",IF($AB328="D",INDEX($AH$8:$AH$407,$AA328),SUMIF($T$8:$T$407,INDEX($T$8:$T$407,$AA328),$AH$8:$AH$407))))</f>
        <v/>
      </c>
      <c r="J328">
        <f>IFERROR(MATCH(321,บันทึกรายเที่ยว!$W$6:$W$6005,0),"")</f>
        <v/>
      </c>
      <c r="K328">
        <f>IF($J328="","",INDEX(บันทึกรายเที่ยว!$T$6:$T$6005,$J328))</f>
        <v/>
      </c>
      <c r="L328">
        <f>IF($J328="","",INDEX(บันทึกรายเที่ยว!$S$6:$S$6005,$J328))</f>
        <v/>
      </c>
      <c r="M328">
        <f>IF($J328="","",INDEX(บันทึกรายเที่ยว!$R$6:$R$6005,$J328))</f>
        <v/>
      </c>
      <c r="N328">
        <f>IF($J328="","",MATCH($M328,บันทึกรายเที่ยว!$R$6:$R$6005,0))</f>
        <v/>
      </c>
      <c r="O328">
        <f>IF($J328="","",MATCH($L328,บันทึกรายเที่ยว!$S$6:$S$6005,0))</f>
        <v/>
      </c>
      <c r="P328">
        <f>IF($J328="","",IF(AND(OR($I$3="(ทั้งหมด)",INDEX(บันทึกรายเที่ยว!$C$6:$C$6005,$J328)=$I$3),OR($I$5="(ทั้งหมด)",INDEX(บันทึกรายเที่ยว!$D$6:$D$6005,$J328)=$I$5),OR($I$7="(ทั้งหมด)",INDEX(บันทึกรายเที่ยว!$F$6:$F$6005,$J328)=$I$7)),$N328*10000000+$O328*1000+321,""))</f>
        <v/>
      </c>
      <c r="Q328">
        <f>IFERROR(MATCH(SMALL($P$8:$P$407,321),$P$8:$P$407,0),"")</f>
        <v/>
      </c>
      <c r="R328">
        <f>IF($Q328="","",INDEX($J$8:$J$407,$Q328))</f>
        <v/>
      </c>
      <c r="S328">
        <f>IF($Q328="","",INDEX($M$8:$M$407,$Q328))</f>
        <v/>
      </c>
      <c r="T328">
        <f>IF($Q328="","",INDEX($L$8:$L$407,$Q328))</f>
        <v/>
      </c>
      <c r="U328">
        <f>IF($Q328="","",INDEX($K$8:$K$407,$Q328))</f>
        <v/>
      </c>
      <c r="V328">
        <f>IF($Q328="",0,IF($S328&lt;&gt;$S327,1,0))</f>
        <v/>
      </c>
      <c r="W328">
        <f>IF($Q328="",0,IF($T328&lt;&gt;$T327,1,0))</f>
        <v/>
      </c>
      <c r="X328">
        <f>IF($Q328="",99999+321,$X327+1+$V327+$W327)</f>
        <v/>
      </c>
      <c r="Y328">
        <f>IF($Q328="","",INDEX(บันทึกรายเที่ยว!$Q$6:$Q$6005,$R328))</f>
        <v/>
      </c>
      <c r="Z328">
        <f>IF($Q328="","",INDEX(บันทึกรายเที่ยว!$F$6:$F$6005,$R328))</f>
        <v/>
      </c>
      <c r="AA328">
        <f>IFERROR(MATCH(321,$X$8:$X$407,1),"")</f>
        <v/>
      </c>
      <c r="AB328">
        <f>IF(321=$AD$1+1,"G",IF($AA328="","",IF(INDEX($Q$8:$Q$407,$AA328)="","",IF(321&gt;INDEX($X$8:$X$407,$AA328)+INDEX($V$8:$V$407,$AA328)+INDEX($W$8:$W$407,$AA328),"",IF(321=INDEX($X$8:$X$407,$AA328)+INDEX($V$8:$V$407,$AA328)+INDEX($W$8:$W$407,$AA328),"D",IF(AND(INDEX($W$8:$W$407,$AA328)=1,321=INDEX($X$8:$X$407,$AA328)+INDEX($V$8:$V$407,$AA328)),"S","R"))))))</f>
        <v/>
      </c>
      <c r="AC328">
        <f>IF(OR($AB328="",$AB328="G"),"",IF($AB328="D",INDEX($U$8:$U$407,$AA328),IF($AB328="S",INDEX($T$8:$T$407,$AA328)&amp;"|*",INDEX($S$8:$S$407,$AA328)&amp;"|*")))</f>
        <v/>
      </c>
      <c r="AE328">
        <f>IF($U328="",0,COUNTIF(บันทึกรายเที่ยว!$T$6:$T$6005,$U328))</f>
        <v/>
      </c>
      <c r="AF328">
        <f>IF($U328="",0,ROUND(SUMIF(บันทึกรายเที่ยว!$T$6:$T$6005,$U328,บันทึกรายเที่ยว!$J$6:$J$6005),2))</f>
        <v/>
      </c>
      <c r="AG328">
        <f>IF($U328="",0,ROUND(SUMIF(บันทึกรายเที่ยว!$T$6:$T$6005,$U328,บันทึกรายเที่ยว!$K$6:$K$6005),2))</f>
        <v/>
      </c>
      <c r="AH328">
        <f>IF($U328="",0,ROUND(SUMIF(บันทึกรายเที่ยว!$T$6:$T$6005,$U328,บันทึกรายเที่ยว!$M$6:$M$6005),2))</f>
        <v/>
      </c>
    </row>
    <row r="329" ht="21" customHeight="1" s="66">
      <c r="A329" s="3">
        <f>IF($AB329="G","ผลรวมทั้งหมด",IF($AB329="R",INDEX($S$8:$S$407,$AA329),""))</f>
        <v/>
      </c>
      <c r="B329" s="3">
        <f>IF($AB329="S",INDEX($Y$8:$Y$407,$AA329),"")</f>
        <v/>
      </c>
      <c r="C329" s="68">
        <f>IF($AB329="D",INDEX($Z$8:$Z$407,$AA329),"")</f>
        <v/>
      </c>
      <c r="D329" s="31">
        <f>IF($AB329="G",SUM($AE$8:$AE$407),IF(OR($AB329="",$AB329="R"),"",IF($AB329="D",INDEX($AE$8:$AE$407,$AA329),SUMIF($T$8:$T$407,INDEX($T$8:$T$407,$AA329),$AE$8:$AE$407))))</f>
        <v/>
      </c>
      <c r="E329" s="32">
        <f>IF(322=$AD$1+3,"ขอแสดงความนับถือ",IF(322=$AD$1+6,"(                 )",IF(322=$AD$1+7,"เจ้าหน้าที่ขนส่ง",IF($AB329="G",SUM($AF$8:$AF$407),IF(OR($AB329="",$AB329="R"),"",IF($AB329="D",INDEX($AF$8:$AF$407,$AA329),SUMIF($T$8:$T$407,INDEX($T$8:$T$407,$AA329),$AF$8:$AF$407)))))))</f>
        <v/>
      </c>
      <c r="F329" s="32">
        <f>IF($AB329="G",SUM($AG$8:$AG$407),IF(OR($AB329="",$AB329="R"),"",IF($AB329="D",INDEX($AG$8:$AG$407,$AA329),SUMIF($T$8:$T$407,INDEX($T$8:$T$407,$AA329),$AG$8:$AG$407))))</f>
        <v/>
      </c>
      <c r="G329" s="32">
        <f>IF(OR($AB329="",$AB329="R"),"",ROUND($E329-$F329,2))</f>
        <v/>
      </c>
      <c r="H329" s="32">
        <f>IF($AB329="G",SUM($AH$8:$AH$407),IF(OR($AB329="",$AB329="R"),"",IF($AB329="D",INDEX($AH$8:$AH$407,$AA329),SUMIF($T$8:$T$407,INDEX($T$8:$T$407,$AA329),$AH$8:$AH$407))))</f>
        <v/>
      </c>
      <c r="J329">
        <f>IFERROR(MATCH(322,บันทึกรายเที่ยว!$W$6:$W$6005,0),"")</f>
        <v/>
      </c>
      <c r="K329">
        <f>IF($J329="","",INDEX(บันทึกรายเที่ยว!$T$6:$T$6005,$J329))</f>
        <v/>
      </c>
      <c r="L329">
        <f>IF($J329="","",INDEX(บันทึกรายเที่ยว!$S$6:$S$6005,$J329))</f>
        <v/>
      </c>
      <c r="M329">
        <f>IF($J329="","",INDEX(บันทึกรายเที่ยว!$R$6:$R$6005,$J329))</f>
        <v/>
      </c>
      <c r="N329">
        <f>IF($J329="","",MATCH($M329,บันทึกรายเที่ยว!$R$6:$R$6005,0))</f>
        <v/>
      </c>
      <c r="O329">
        <f>IF($J329="","",MATCH($L329,บันทึกรายเที่ยว!$S$6:$S$6005,0))</f>
        <v/>
      </c>
      <c r="P329">
        <f>IF($J329="","",IF(AND(OR($I$3="(ทั้งหมด)",INDEX(บันทึกรายเที่ยว!$C$6:$C$6005,$J329)=$I$3),OR($I$5="(ทั้งหมด)",INDEX(บันทึกรายเที่ยว!$D$6:$D$6005,$J329)=$I$5),OR($I$7="(ทั้งหมด)",INDEX(บันทึกรายเที่ยว!$F$6:$F$6005,$J329)=$I$7)),$N329*10000000+$O329*1000+322,""))</f>
        <v/>
      </c>
      <c r="Q329">
        <f>IFERROR(MATCH(SMALL($P$8:$P$407,322),$P$8:$P$407,0),"")</f>
        <v/>
      </c>
      <c r="R329">
        <f>IF($Q329="","",INDEX($J$8:$J$407,$Q329))</f>
        <v/>
      </c>
      <c r="S329">
        <f>IF($Q329="","",INDEX($M$8:$M$407,$Q329))</f>
        <v/>
      </c>
      <c r="T329">
        <f>IF($Q329="","",INDEX($L$8:$L$407,$Q329))</f>
        <v/>
      </c>
      <c r="U329">
        <f>IF($Q329="","",INDEX($K$8:$K$407,$Q329))</f>
        <v/>
      </c>
      <c r="V329">
        <f>IF($Q329="",0,IF($S329&lt;&gt;$S328,1,0))</f>
        <v/>
      </c>
      <c r="W329">
        <f>IF($Q329="",0,IF($T329&lt;&gt;$T328,1,0))</f>
        <v/>
      </c>
      <c r="X329">
        <f>IF($Q329="",99999+322,$X328+1+$V328+$W328)</f>
        <v/>
      </c>
      <c r="Y329">
        <f>IF($Q329="","",INDEX(บันทึกรายเที่ยว!$Q$6:$Q$6005,$R329))</f>
        <v/>
      </c>
      <c r="Z329">
        <f>IF($Q329="","",INDEX(บันทึกรายเที่ยว!$F$6:$F$6005,$R329))</f>
        <v/>
      </c>
      <c r="AA329">
        <f>IFERROR(MATCH(322,$X$8:$X$407,1),"")</f>
        <v/>
      </c>
      <c r="AB329">
        <f>IF(322=$AD$1+1,"G",IF($AA329="","",IF(INDEX($Q$8:$Q$407,$AA329)="","",IF(322&gt;INDEX($X$8:$X$407,$AA329)+INDEX($V$8:$V$407,$AA329)+INDEX($W$8:$W$407,$AA329),"",IF(322=INDEX($X$8:$X$407,$AA329)+INDEX($V$8:$V$407,$AA329)+INDEX($W$8:$W$407,$AA329),"D",IF(AND(INDEX($W$8:$W$407,$AA329)=1,322=INDEX($X$8:$X$407,$AA329)+INDEX($V$8:$V$407,$AA329)),"S","R"))))))</f>
        <v/>
      </c>
      <c r="AC329">
        <f>IF(OR($AB329="",$AB329="G"),"",IF($AB329="D",INDEX($U$8:$U$407,$AA329),IF($AB329="S",INDEX($T$8:$T$407,$AA329)&amp;"|*",INDEX($S$8:$S$407,$AA329)&amp;"|*")))</f>
        <v/>
      </c>
      <c r="AE329">
        <f>IF($U329="",0,COUNTIF(บันทึกรายเที่ยว!$T$6:$T$6005,$U329))</f>
        <v/>
      </c>
      <c r="AF329">
        <f>IF($U329="",0,ROUND(SUMIF(บันทึกรายเที่ยว!$T$6:$T$6005,$U329,บันทึกรายเที่ยว!$J$6:$J$6005),2))</f>
        <v/>
      </c>
      <c r="AG329">
        <f>IF($U329="",0,ROUND(SUMIF(บันทึกรายเที่ยว!$T$6:$T$6005,$U329,บันทึกรายเที่ยว!$K$6:$K$6005),2))</f>
        <v/>
      </c>
      <c r="AH329">
        <f>IF($U329="",0,ROUND(SUMIF(บันทึกรายเที่ยว!$T$6:$T$6005,$U329,บันทึกรายเที่ยว!$M$6:$M$6005),2))</f>
        <v/>
      </c>
    </row>
    <row r="330" ht="21" customHeight="1" s="66">
      <c r="A330" s="3">
        <f>IF($AB330="G","ผลรวมทั้งหมด",IF($AB330="R",INDEX($S$8:$S$407,$AA330),""))</f>
        <v/>
      </c>
      <c r="B330" s="3">
        <f>IF($AB330="S",INDEX($Y$8:$Y$407,$AA330),"")</f>
        <v/>
      </c>
      <c r="C330" s="68">
        <f>IF($AB330="D",INDEX($Z$8:$Z$407,$AA330),"")</f>
        <v/>
      </c>
      <c r="D330" s="31">
        <f>IF($AB330="G",SUM($AE$8:$AE$407),IF(OR($AB330="",$AB330="R"),"",IF($AB330="D",INDEX($AE$8:$AE$407,$AA330),SUMIF($T$8:$T$407,INDEX($T$8:$T$407,$AA330),$AE$8:$AE$407))))</f>
        <v/>
      </c>
      <c r="E330" s="32">
        <f>IF(323=$AD$1+3,"ขอแสดงความนับถือ",IF(323=$AD$1+6,"(                 )",IF(323=$AD$1+7,"เจ้าหน้าที่ขนส่ง",IF($AB330="G",SUM($AF$8:$AF$407),IF(OR($AB330="",$AB330="R"),"",IF($AB330="D",INDEX($AF$8:$AF$407,$AA330),SUMIF($T$8:$T$407,INDEX($T$8:$T$407,$AA330),$AF$8:$AF$407)))))))</f>
        <v/>
      </c>
      <c r="F330" s="32">
        <f>IF($AB330="G",SUM($AG$8:$AG$407),IF(OR($AB330="",$AB330="R"),"",IF($AB330="D",INDEX($AG$8:$AG$407,$AA330),SUMIF($T$8:$T$407,INDEX($T$8:$T$407,$AA330),$AG$8:$AG$407))))</f>
        <v/>
      </c>
      <c r="G330" s="32">
        <f>IF(OR($AB330="",$AB330="R"),"",ROUND($E330-$F330,2))</f>
        <v/>
      </c>
      <c r="H330" s="32">
        <f>IF($AB330="G",SUM($AH$8:$AH$407),IF(OR($AB330="",$AB330="R"),"",IF($AB330="D",INDEX($AH$8:$AH$407,$AA330),SUMIF($T$8:$T$407,INDEX($T$8:$T$407,$AA330),$AH$8:$AH$407))))</f>
        <v/>
      </c>
      <c r="J330">
        <f>IFERROR(MATCH(323,บันทึกรายเที่ยว!$W$6:$W$6005,0),"")</f>
        <v/>
      </c>
      <c r="K330">
        <f>IF($J330="","",INDEX(บันทึกรายเที่ยว!$T$6:$T$6005,$J330))</f>
        <v/>
      </c>
      <c r="L330">
        <f>IF($J330="","",INDEX(บันทึกรายเที่ยว!$S$6:$S$6005,$J330))</f>
        <v/>
      </c>
      <c r="M330">
        <f>IF($J330="","",INDEX(บันทึกรายเที่ยว!$R$6:$R$6005,$J330))</f>
        <v/>
      </c>
      <c r="N330">
        <f>IF($J330="","",MATCH($M330,บันทึกรายเที่ยว!$R$6:$R$6005,0))</f>
        <v/>
      </c>
      <c r="O330">
        <f>IF($J330="","",MATCH($L330,บันทึกรายเที่ยว!$S$6:$S$6005,0))</f>
        <v/>
      </c>
      <c r="P330">
        <f>IF($J330="","",IF(AND(OR($I$3="(ทั้งหมด)",INDEX(บันทึกรายเที่ยว!$C$6:$C$6005,$J330)=$I$3),OR($I$5="(ทั้งหมด)",INDEX(บันทึกรายเที่ยว!$D$6:$D$6005,$J330)=$I$5),OR($I$7="(ทั้งหมด)",INDEX(บันทึกรายเที่ยว!$F$6:$F$6005,$J330)=$I$7)),$N330*10000000+$O330*1000+323,""))</f>
        <v/>
      </c>
      <c r="Q330">
        <f>IFERROR(MATCH(SMALL($P$8:$P$407,323),$P$8:$P$407,0),"")</f>
        <v/>
      </c>
      <c r="R330">
        <f>IF($Q330="","",INDEX($J$8:$J$407,$Q330))</f>
        <v/>
      </c>
      <c r="S330">
        <f>IF($Q330="","",INDEX($M$8:$M$407,$Q330))</f>
        <v/>
      </c>
      <c r="T330">
        <f>IF($Q330="","",INDEX($L$8:$L$407,$Q330))</f>
        <v/>
      </c>
      <c r="U330">
        <f>IF($Q330="","",INDEX($K$8:$K$407,$Q330))</f>
        <v/>
      </c>
      <c r="V330">
        <f>IF($Q330="",0,IF($S330&lt;&gt;$S329,1,0))</f>
        <v/>
      </c>
      <c r="W330">
        <f>IF($Q330="",0,IF($T330&lt;&gt;$T329,1,0))</f>
        <v/>
      </c>
      <c r="X330">
        <f>IF($Q330="",99999+323,$X329+1+$V329+$W329)</f>
        <v/>
      </c>
      <c r="Y330">
        <f>IF($Q330="","",INDEX(บันทึกรายเที่ยว!$Q$6:$Q$6005,$R330))</f>
        <v/>
      </c>
      <c r="Z330">
        <f>IF($Q330="","",INDEX(บันทึกรายเที่ยว!$F$6:$F$6005,$R330))</f>
        <v/>
      </c>
      <c r="AA330">
        <f>IFERROR(MATCH(323,$X$8:$X$407,1),"")</f>
        <v/>
      </c>
      <c r="AB330">
        <f>IF(323=$AD$1+1,"G",IF($AA330="","",IF(INDEX($Q$8:$Q$407,$AA330)="","",IF(323&gt;INDEX($X$8:$X$407,$AA330)+INDEX($V$8:$V$407,$AA330)+INDEX($W$8:$W$407,$AA330),"",IF(323=INDEX($X$8:$X$407,$AA330)+INDEX($V$8:$V$407,$AA330)+INDEX($W$8:$W$407,$AA330),"D",IF(AND(INDEX($W$8:$W$407,$AA330)=1,323=INDEX($X$8:$X$407,$AA330)+INDEX($V$8:$V$407,$AA330)),"S","R"))))))</f>
        <v/>
      </c>
      <c r="AC330">
        <f>IF(OR($AB330="",$AB330="G"),"",IF($AB330="D",INDEX($U$8:$U$407,$AA330),IF($AB330="S",INDEX($T$8:$T$407,$AA330)&amp;"|*",INDEX($S$8:$S$407,$AA330)&amp;"|*")))</f>
        <v/>
      </c>
      <c r="AE330">
        <f>IF($U330="",0,COUNTIF(บันทึกรายเที่ยว!$T$6:$T$6005,$U330))</f>
        <v/>
      </c>
      <c r="AF330">
        <f>IF($U330="",0,ROUND(SUMIF(บันทึกรายเที่ยว!$T$6:$T$6005,$U330,บันทึกรายเที่ยว!$J$6:$J$6005),2))</f>
        <v/>
      </c>
      <c r="AG330">
        <f>IF($U330="",0,ROUND(SUMIF(บันทึกรายเที่ยว!$T$6:$T$6005,$U330,บันทึกรายเที่ยว!$K$6:$K$6005),2))</f>
        <v/>
      </c>
      <c r="AH330">
        <f>IF($U330="",0,ROUND(SUMIF(บันทึกรายเที่ยว!$T$6:$T$6005,$U330,บันทึกรายเที่ยว!$M$6:$M$6005),2))</f>
        <v/>
      </c>
    </row>
    <row r="331" ht="21" customHeight="1" s="66">
      <c r="A331" s="3">
        <f>IF($AB331="G","ผลรวมทั้งหมด",IF($AB331="R",INDEX($S$8:$S$407,$AA331),""))</f>
        <v/>
      </c>
      <c r="B331" s="3">
        <f>IF($AB331="S",INDEX($Y$8:$Y$407,$AA331),"")</f>
        <v/>
      </c>
      <c r="C331" s="68">
        <f>IF($AB331="D",INDEX($Z$8:$Z$407,$AA331),"")</f>
        <v/>
      </c>
      <c r="D331" s="31">
        <f>IF($AB331="G",SUM($AE$8:$AE$407),IF(OR($AB331="",$AB331="R"),"",IF($AB331="D",INDEX($AE$8:$AE$407,$AA331),SUMIF($T$8:$T$407,INDEX($T$8:$T$407,$AA331),$AE$8:$AE$407))))</f>
        <v/>
      </c>
      <c r="E331" s="32">
        <f>IF(324=$AD$1+3,"ขอแสดงความนับถือ",IF(324=$AD$1+6,"(                 )",IF(324=$AD$1+7,"เจ้าหน้าที่ขนส่ง",IF($AB331="G",SUM($AF$8:$AF$407),IF(OR($AB331="",$AB331="R"),"",IF($AB331="D",INDEX($AF$8:$AF$407,$AA331),SUMIF($T$8:$T$407,INDEX($T$8:$T$407,$AA331),$AF$8:$AF$407)))))))</f>
        <v/>
      </c>
      <c r="F331" s="32">
        <f>IF($AB331="G",SUM($AG$8:$AG$407),IF(OR($AB331="",$AB331="R"),"",IF($AB331="D",INDEX($AG$8:$AG$407,$AA331),SUMIF($T$8:$T$407,INDEX($T$8:$T$407,$AA331),$AG$8:$AG$407))))</f>
        <v/>
      </c>
      <c r="G331" s="32">
        <f>IF(OR($AB331="",$AB331="R"),"",ROUND($E331-$F331,2))</f>
        <v/>
      </c>
      <c r="H331" s="32">
        <f>IF($AB331="G",SUM($AH$8:$AH$407),IF(OR($AB331="",$AB331="R"),"",IF($AB331="D",INDEX($AH$8:$AH$407,$AA331),SUMIF($T$8:$T$407,INDEX($T$8:$T$407,$AA331),$AH$8:$AH$407))))</f>
        <v/>
      </c>
      <c r="J331">
        <f>IFERROR(MATCH(324,บันทึกรายเที่ยว!$W$6:$W$6005,0),"")</f>
        <v/>
      </c>
      <c r="K331">
        <f>IF($J331="","",INDEX(บันทึกรายเที่ยว!$T$6:$T$6005,$J331))</f>
        <v/>
      </c>
      <c r="L331">
        <f>IF($J331="","",INDEX(บันทึกรายเที่ยว!$S$6:$S$6005,$J331))</f>
        <v/>
      </c>
      <c r="M331">
        <f>IF($J331="","",INDEX(บันทึกรายเที่ยว!$R$6:$R$6005,$J331))</f>
        <v/>
      </c>
      <c r="N331">
        <f>IF($J331="","",MATCH($M331,บันทึกรายเที่ยว!$R$6:$R$6005,0))</f>
        <v/>
      </c>
      <c r="O331">
        <f>IF($J331="","",MATCH($L331,บันทึกรายเที่ยว!$S$6:$S$6005,0))</f>
        <v/>
      </c>
      <c r="P331">
        <f>IF($J331="","",IF(AND(OR($I$3="(ทั้งหมด)",INDEX(บันทึกรายเที่ยว!$C$6:$C$6005,$J331)=$I$3),OR($I$5="(ทั้งหมด)",INDEX(บันทึกรายเที่ยว!$D$6:$D$6005,$J331)=$I$5),OR($I$7="(ทั้งหมด)",INDEX(บันทึกรายเที่ยว!$F$6:$F$6005,$J331)=$I$7)),$N331*10000000+$O331*1000+324,""))</f>
        <v/>
      </c>
      <c r="Q331">
        <f>IFERROR(MATCH(SMALL($P$8:$P$407,324),$P$8:$P$407,0),"")</f>
        <v/>
      </c>
      <c r="R331">
        <f>IF($Q331="","",INDEX($J$8:$J$407,$Q331))</f>
        <v/>
      </c>
      <c r="S331">
        <f>IF($Q331="","",INDEX($M$8:$M$407,$Q331))</f>
        <v/>
      </c>
      <c r="T331">
        <f>IF($Q331="","",INDEX($L$8:$L$407,$Q331))</f>
        <v/>
      </c>
      <c r="U331">
        <f>IF($Q331="","",INDEX($K$8:$K$407,$Q331))</f>
        <v/>
      </c>
      <c r="V331">
        <f>IF($Q331="",0,IF($S331&lt;&gt;$S330,1,0))</f>
        <v/>
      </c>
      <c r="W331">
        <f>IF($Q331="",0,IF($T331&lt;&gt;$T330,1,0))</f>
        <v/>
      </c>
      <c r="X331">
        <f>IF($Q331="",99999+324,$X330+1+$V330+$W330)</f>
        <v/>
      </c>
      <c r="Y331">
        <f>IF($Q331="","",INDEX(บันทึกรายเที่ยว!$Q$6:$Q$6005,$R331))</f>
        <v/>
      </c>
      <c r="Z331">
        <f>IF($Q331="","",INDEX(บันทึกรายเที่ยว!$F$6:$F$6005,$R331))</f>
        <v/>
      </c>
      <c r="AA331">
        <f>IFERROR(MATCH(324,$X$8:$X$407,1),"")</f>
        <v/>
      </c>
      <c r="AB331">
        <f>IF(324=$AD$1+1,"G",IF($AA331="","",IF(INDEX($Q$8:$Q$407,$AA331)="","",IF(324&gt;INDEX($X$8:$X$407,$AA331)+INDEX($V$8:$V$407,$AA331)+INDEX($W$8:$W$407,$AA331),"",IF(324=INDEX($X$8:$X$407,$AA331)+INDEX($V$8:$V$407,$AA331)+INDEX($W$8:$W$407,$AA331),"D",IF(AND(INDEX($W$8:$W$407,$AA331)=1,324=INDEX($X$8:$X$407,$AA331)+INDEX($V$8:$V$407,$AA331)),"S","R"))))))</f>
        <v/>
      </c>
      <c r="AC331">
        <f>IF(OR($AB331="",$AB331="G"),"",IF($AB331="D",INDEX($U$8:$U$407,$AA331),IF($AB331="S",INDEX($T$8:$T$407,$AA331)&amp;"|*",INDEX($S$8:$S$407,$AA331)&amp;"|*")))</f>
        <v/>
      </c>
      <c r="AE331">
        <f>IF($U331="",0,COUNTIF(บันทึกรายเที่ยว!$T$6:$T$6005,$U331))</f>
        <v/>
      </c>
      <c r="AF331">
        <f>IF($U331="",0,ROUND(SUMIF(บันทึกรายเที่ยว!$T$6:$T$6005,$U331,บันทึกรายเที่ยว!$J$6:$J$6005),2))</f>
        <v/>
      </c>
      <c r="AG331">
        <f>IF($U331="",0,ROUND(SUMIF(บันทึกรายเที่ยว!$T$6:$T$6005,$U331,บันทึกรายเที่ยว!$K$6:$K$6005),2))</f>
        <v/>
      </c>
      <c r="AH331">
        <f>IF($U331="",0,ROUND(SUMIF(บันทึกรายเที่ยว!$T$6:$T$6005,$U331,บันทึกรายเที่ยว!$M$6:$M$6005),2))</f>
        <v/>
      </c>
    </row>
    <row r="332" ht="21" customHeight="1" s="66">
      <c r="A332" s="3">
        <f>IF($AB332="G","ผลรวมทั้งหมด",IF($AB332="R",INDEX($S$8:$S$407,$AA332),""))</f>
        <v/>
      </c>
      <c r="B332" s="3">
        <f>IF($AB332="S",INDEX($Y$8:$Y$407,$AA332),"")</f>
        <v/>
      </c>
      <c r="C332" s="68">
        <f>IF($AB332="D",INDEX($Z$8:$Z$407,$AA332),"")</f>
        <v/>
      </c>
      <c r="D332" s="31">
        <f>IF($AB332="G",SUM($AE$8:$AE$407),IF(OR($AB332="",$AB332="R"),"",IF($AB332="D",INDEX($AE$8:$AE$407,$AA332),SUMIF($T$8:$T$407,INDEX($T$8:$T$407,$AA332),$AE$8:$AE$407))))</f>
        <v/>
      </c>
      <c r="E332" s="32">
        <f>IF(325=$AD$1+3,"ขอแสดงความนับถือ",IF(325=$AD$1+6,"(                 )",IF(325=$AD$1+7,"เจ้าหน้าที่ขนส่ง",IF($AB332="G",SUM($AF$8:$AF$407),IF(OR($AB332="",$AB332="R"),"",IF($AB332="D",INDEX($AF$8:$AF$407,$AA332),SUMIF($T$8:$T$407,INDEX($T$8:$T$407,$AA332),$AF$8:$AF$407)))))))</f>
        <v/>
      </c>
      <c r="F332" s="32">
        <f>IF($AB332="G",SUM($AG$8:$AG$407),IF(OR($AB332="",$AB332="R"),"",IF($AB332="D",INDEX($AG$8:$AG$407,$AA332),SUMIF($T$8:$T$407,INDEX($T$8:$T$407,$AA332),$AG$8:$AG$407))))</f>
        <v/>
      </c>
      <c r="G332" s="32">
        <f>IF(OR($AB332="",$AB332="R"),"",ROUND($E332-$F332,2))</f>
        <v/>
      </c>
      <c r="H332" s="32">
        <f>IF($AB332="G",SUM($AH$8:$AH$407),IF(OR($AB332="",$AB332="R"),"",IF($AB332="D",INDEX($AH$8:$AH$407,$AA332),SUMIF($T$8:$T$407,INDEX($T$8:$T$407,$AA332),$AH$8:$AH$407))))</f>
        <v/>
      </c>
      <c r="J332">
        <f>IFERROR(MATCH(325,บันทึกรายเที่ยว!$W$6:$W$6005,0),"")</f>
        <v/>
      </c>
      <c r="K332">
        <f>IF($J332="","",INDEX(บันทึกรายเที่ยว!$T$6:$T$6005,$J332))</f>
        <v/>
      </c>
      <c r="L332">
        <f>IF($J332="","",INDEX(บันทึกรายเที่ยว!$S$6:$S$6005,$J332))</f>
        <v/>
      </c>
      <c r="M332">
        <f>IF($J332="","",INDEX(บันทึกรายเที่ยว!$R$6:$R$6005,$J332))</f>
        <v/>
      </c>
      <c r="N332">
        <f>IF($J332="","",MATCH($M332,บันทึกรายเที่ยว!$R$6:$R$6005,0))</f>
        <v/>
      </c>
      <c r="O332">
        <f>IF($J332="","",MATCH($L332,บันทึกรายเที่ยว!$S$6:$S$6005,0))</f>
        <v/>
      </c>
      <c r="P332">
        <f>IF($J332="","",IF(AND(OR($I$3="(ทั้งหมด)",INDEX(บันทึกรายเที่ยว!$C$6:$C$6005,$J332)=$I$3),OR($I$5="(ทั้งหมด)",INDEX(บันทึกรายเที่ยว!$D$6:$D$6005,$J332)=$I$5),OR($I$7="(ทั้งหมด)",INDEX(บันทึกรายเที่ยว!$F$6:$F$6005,$J332)=$I$7)),$N332*10000000+$O332*1000+325,""))</f>
        <v/>
      </c>
      <c r="Q332">
        <f>IFERROR(MATCH(SMALL($P$8:$P$407,325),$P$8:$P$407,0),"")</f>
        <v/>
      </c>
      <c r="R332">
        <f>IF($Q332="","",INDEX($J$8:$J$407,$Q332))</f>
        <v/>
      </c>
      <c r="S332">
        <f>IF($Q332="","",INDEX($M$8:$M$407,$Q332))</f>
        <v/>
      </c>
      <c r="T332">
        <f>IF($Q332="","",INDEX($L$8:$L$407,$Q332))</f>
        <v/>
      </c>
      <c r="U332">
        <f>IF($Q332="","",INDEX($K$8:$K$407,$Q332))</f>
        <v/>
      </c>
      <c r="V332">
        <f>IF($Q332="",0,IF($S332&lt;&gt;$S331,1,0))</f>
        <v/>
      </c>
      <c r="W332">
        <f>IF($Q332="",0,IF($T332&lt;&gt;$T331,1,0))</f>
        <v/>
      </c>
      <c r="X332">
        <f>IF($Q332="",99999+325,$X331+1+$V331+$W331)</f>
        <v/>
      </c>
      <c r="Y332">
        <f>IF($Q332="","",INDEX(บันทึกรายเที่ยว!$Q$6:$Q$6005,$R332))</f>
        <v/>
      </c>
      <c r="Z332">
        <f>IF($Q332="","",INDEX(บันทึกรายเที่ยว!$F$6:$F$6005,$R332))</f>
        <v/>
      </c>
      <c r="AA332">
        <f>IFERROR(MATCH(325,$X$8:$X$407,1),"")</f>
        <v/>
      </c>
      <c r="AB332">
        <f>IF(325=$AD$1+1,"G",IF($AA332="","",IF(INDEX($Q$8:$Q$407,$AA332)="","",IF(325&gt;INDEX($X$8:$X$407,$AA332)+INDEX($V$8:$V$407,$AA332)+INDEX($W$8:$W$407,$AA332),"",IF(325=INDEX($X$8:$X$407,$AA332)+INDEX($V$8:$V$407,$AA332)+INDEX($W$8:$W$407,$AA332),"D",IF(AND(INDEX($W$8:$W$407,$AA332)=1,325=INDEX($X$8:$X$407,$AA332)+INDEX($V$8:$V$407,$AA332)),"S","R"))))))</f>
        <v/>
      </c>
      <c r="AC332">
        <f>IF(OR($AB332="",$AB332="G"),"",IF($AB332="D",INDEX($U$8:$U$407,$AA332),IF($AB332="S",INDEX($T$8:$T$407,$AA332)&amp;"|*",INDEX($S$8:$S$407,$AA332)&amp;"|*")))</f>
        <v/>
      </c>
      <c r="AE332">
        <f>IF($U332="",0,COUNTIF(บันทึกรายเที่ยว!$T$6:$T$6005,$U332))</f>
        <v/>
      </c>
      <c r="AF332">
        <f>IF($U332="",0,ROUND(SUMIF(บันทึกรายเที่ยว!$T$6:$T$6005,$U332,บันทึกรายเที่ยว!$J$6:$J$6005),2))</f>
        <v/>
      </c>
      <c r="AG332">
        <f>IF($U332="",0,ROUND(SUMIF(บันทึกรายเที่ยว!$T$6:$T$6005,$U332,บันทึกรายเที่ยว!$K$6:$K$6005),2))</f>
        <v/>
      </c>
      <c r="AH332">
        <f>IF($U332="",0,ROUND(SUMIF(บันทึกรายเที่ยว!$T$6:$T$6005,$U332,บันทึกรายเที่ยว!$M$6:$M$6005),2))</f>
        <v/>
      </c>
    </row>
    <row r="333" ht="21" customHeight="1" s="66">
      <c r="A333" s="3">
        <f>IF($AB333="G","ผลรวมทั้งหมด",IF($AB333="R",INDEX($S$8:$S$407,$AA333),""))</f>
        <v/>
      </c>
      <c r="B333" s="3">
        <f>IF($AB333="S",INDEX($Y$8:$Y$407,$AA333),"")</f>
        <v/>
      </c>
      <c r="C333" s="68">
        <f>IF($AB333="D",INDEX($Z$8:$Z$407,$AA333),"")</f>
        <v/>
      </c>
      <c r="D333" s="31">
        <f>IF($AB333="G",SUM($AE$8:$AE$407),IF(OR($AB333="",$AB333="R"),"",IF($AB333="D",INDEX($AE$8:$AE$407,$AA333),SUMIF($T$8:$T$407,INDEX($T$8:$T$407,$AA333),$AE$8:$AE$407))))</f>
        <v/>
      </c>
      <c r="E333" s="32">
        <f>IF(326=$AD$1+3,"ขอแสดงความนับถือ",IF(326=$AD$1+6,"(                 )",IF(326=$AD$1+7,"เจ้าหน้าที่ขนส่ง",IF($AB333="G",SUM($AF$8:$AF$407),IF(OR($AB333="",$AB333="R"),"",IF($AB333="D",INDEX($AF$8:$AF$407,$AA333),SUMIF($T$8:$T$407,INDEX($T$8:$T$407,$AA333),$AF$8:$AF$407)))))))</f>
        <v/>
      </c>
      <c r="F333" s="32">
        <f>IF($AB333="G",SUM($AG$8:$AG$407),IF(OR($AB333="",$AB333="R"),"",IF($AB333="D",INDEX($AG$8:$AG$407,$AA333),SUMIF($T$8:$T$407,INDEX($T$8:$T$407,$AA333),$AG$8:$AG$407))))</f>
        <v/>
      </c>
      <c r="G333" s="32">
        <f>IF(OR($AB333="",$AB333="R"),"",ROUND($E333-$F333,2))</f>
        <v/>
      </c>
      <c r="H333" s="32">
        <f>IF($AB333="G",SUM($AH$8:$AH$407),IF(OR($AB333="",$AB333="R"),"",IF($AB333="D",INDEX($AH$8:$AH$407,$AA333),SUMIF($T$8:$T$407,INDEX($T$8:$T$407,$AA333),$AH$8:$AH$407))))</f>
        <v/>
      </c>
      <c r="J333">
        <f>IFERROR(MATCH(326,บันทึกรายเที่ยว!$W$6:$W$6005,0),"")</f>
        <v/>
      </c>
      <c r="K333">
        <f>IF($J333="","",INDEX(บันทึกรายเที่ยว!$T$6:$T$6005,$J333))</f>
        <v/>
      </c>
      <c r="L333">
        <f>IF($J333="","",INDEX(บันทึกรายเที่ยว!$S$6:$S$6005,$J333))</f>
        <v/>
      </c>
      <c r="M333">
        <f>IF($J333="","",INDEX(บันทึกรายเที่ยว!$R$6:$R$6005,$J333))</f>
        <v/>
      </c>
      <c r="N333">
        <f>IF($J333="","",MATCH($M333,บันทึกรายเที่ยว!$R$6:$R$6005,0))</f>
        <v/>
      </c>
      <c r="O333">
        <f>IF($J333="","",MATCH($L333,บันทึกรายเที่ยว!$S$6:$S$6005,0))</f>
        <v/>
      </c>
      <c r="P333">
        <f>IF($J333="","",IF(AND(OR($I$3="(ทั้งหมด)",INDEX(บันทึกรายเที่ยว!$C$6:$C$6005,$J333)=$I$3),OR($I$5="(ทั้งหมด)",INDEX(บันทึกรายเที่ยว!$D$6:$D$6005,$J333)=$I$5),OR($I$7="(ทั้งหมด)",INDEX(บันทึกรายเที่ยว!$F$6:$F$6005,$J333)=$I$7)),$N333*10000000+$O333*1000+326,""))</f>
        <v/>
      </c>
      <c r="Q333">
        <f>IFERROR(MATCH(SMALL($P$8:$P$407,326),$P$8:$P$407,0),"")</f>
        <v/>
      </c>
      <c r="R333">
        <f>IF($Q333="","",INDEX($J$8:$J$407,$Q333))</f>
        <v/>
      </c>
      <c r="S333">
        <f>IF($Q333="","",INDEX($M$8:$M$407,$Q333))</f>
        <v/>
      </c>
      <c r="T333">
        <f>IF($Q333="","",INDEX($L$8:$L$407,$Q333))</f>
        <v/>
      </c>
      <c r="U333">
        <f>IF($Q333="","",INDEX($K$8:$K$407,$Q333))</f>
        <v/>
      </c>
      <c r="V333">
        <f>IF($Q333="",0,IF($S333&lt;&gt;$S332,1,0))</f>
        <v/>
      </c>
      <c r="W333">
        <f>IF($Q333="",0,IF($T333&lt;&gt;$T332,1,0))</f>
        <v/>
      </c>
      <c r="X333">
        <f>IF($Q333="",99999+326,$X332+1+$V332+$W332)</f>
        <v/>
      </c>
      <c r="Y333">
        <f>IF($Q333="","",INDEX(บันทึกรายเที่ยว!$Q$6:$Q$6005,$R333))</f>
        <v/>
      </c>
      <c r="Z333">
        <f>IF($Q333="","",INDEX(บันทึกรายเที่ยว!$F$6:$F$6005,$R333))</f>
        <v/>
      </c>
      <c r="AA333">
        <f>IFERROR(MATCH(326,$X$8:$X$407,1),"")</f>
        <v/>
      </c>
      <c r="AB333">
        <f>IF(326=$AD$1+1,"G",IF($AA333="","",IF(INDEX($Q$8:$Q$407,$AA333)="","",IF(326&gt;INDEX($X$8:$X$407,$AA333)+INDEX($V$8:$V$407,$AA333)+INDEX($W$8:$W$407,$AA333),"",IF(326=INDEX($X$8:$X$407,$AA333)+INDEX($V$8:$V$407,$AA333)+INDEX($W$8:$W$407,$AA333),"D",IF(AND(INDEX($W$8:$W$407,$AA333)=1,326=INDEX($X$8:$X$407,$AA333)+INDEX($V$8:$V$407,$AA333)),"S","R"))))))</f>
        <v/>
      </c>
      <c r="AC333">
        <f>IF(OR($AB333="",$AB333="G"),"",IF($AB333="D",INDEX($U$8:$U$407,$AA333),IF($AB333="S",INDEX($T$8:$T$407,$AA333)&amp;"|*",INDEX($S$8:$S$407,$AA333)&amp;"|*")))</f>
        <v/>
      </c>
      <c r="AE333">
        <f>IF($U333="",0,COUNTIF(บันทึกรายเที่ยว!$T$6:$T$6005,$U333))</f>
        <v/>
      </c>
      <c r="AF333">
        <f>IF($U333="",0,ROUND(SUMIF(บันทึกรายเที่ยว!$T$6:$T$6005,$U333,บันทึกรายเที่ยว!$J$6:$J$6005),2))</f>
        <v/>
      </c>
      <c r="AG333">
        <f>IF($U333="",0,ROUND(SUMIF(บันทึกรายเที่ยว!$T$6:$T$6005,$U333,บันทึกรายเที่ยว!$K$6:$K$6005),2))</f>
        <v/>
      </c>
      <c r="AH333">
        <f>IF($U333="",0,ROUND(SUMIF(บันทึกรายเที่ยว!$T$6:$T$6005,$U333,บันทึกรายเที่ยว!$M$6:$M$6005),2))</f>
        <v/>
      </c>
    </row>
    <row r="334" ht="21" customHeight="1" s="66">
      <c r="A334" s="3">
        <f>IF($AB334="G","ผลรวมทั้งหมด",IF($AB334="R",INDEX($S$8:$S$407,$AA334),""))</f>
        <v/>
      </c>
      <c r="B334" s="3">
        <f>IF($AB334="S",INDEX($Y$8:$Y$407,$AA334),"")</f>
        <v/>
      </c>
      <c r="C334" s="68">
        <f>IF($AB334="D",INDEX($Z$8:$Z$407,$AA334),"")</f>
        <v/>
      </c>
      <c r="D334" s="31">
        <f>IF($AB334="G",SUM($AE$8:$AE$407),IF(OR($AB334="",$AB334="R"),"",IF($AB334="D",INDEX($AE$8:$AE$407,$AA334),SUMIF($T$8:$T$407,INDEX($T$8:$T$407,$AA334),$AE$8:$AE$407))))</f>
        <v/>
      </c>
      <c r="E334" s="32">
        <f>IF(327=$AD$1+3,"ขอแสดงความนับถือ",IF(327=$AD$1+6,"(                 )",IF(327=$AD$1+7,"เจ้าหน้าที่ขนส่ง",IF($AB334="G",SUM($AF$8:$AF$407),IF(OR($AB334="",$AB334="R"),"",IF($AB334="D",INDEX($AF$8:$AF$407,$AA334),SUMIF($T$8:$T$407,INDEX($T$8:$T$407,$AA334),$AF$8:$AF$407)))))))</f>
        <v/>
      </c>
      <c r="F334" s="32">
        <f>IF($AB334="G",SUM($AG$8:$AG$407),IF(OR($AB334="",$AB334="R"),"",IF($AB334="D",INDEX($AG$8:$AG$407,$AA334),SUMIF($T$8:$T$407,INDEX($T$8:$T$407,$AA334),$AG$8:$AG$407))))</f>
        <v/>
      </c>
      <c r="G334" s="32">
        <f>IF(OR($AB334="",$AB334="R"),"",ROUND($E334-$F334,2))</f>
        <v/>
      </c>
      <c r="H334" s="32">
        <f>IF($AB334="G",SUM($AH$8:$AH$407),IF(OR($AB334="",$AB334="R"),"",IF($AB334="D",INDEX($AH$8:$AH$407,$AA334),SUMIF($T$8:$T$407,INDEX($T$8:$T$407,$AA334),$AH$8:$AH$407))))</f>
        <v/>
      </c>
      <c r="J334">
        <f>IFERROR(MATCH(327,บันทึกรายเที่ยว!$W$6:$W$6005,0),"")</f>
        <v/>
      </c>
      <c r="K334">
        <f>IF($J334="","",INDEX(บันทึกรายเที่ยว!$T$6:$T$6005,$J334))</f>
        <v/>
      </c>
      <c r="L334">
        <f>IF($J334="","",INDEX(บันทึกรายเที่ยว!$S$6:$S$6005,$J334))</f>
        <v/>
      </c>
      <c r="M334">
        <f>IF($J334="","",INDEX(บันทึกรายเที่ยว!$R$6:$R$6005,$J334))</f>
        <v/>
      </c>
      <c r="N334">
        <f>IF($J334="","",MATCH($M334,บันทึกรายเที่ยว!$R$6:$R$6005,0))</f>
        <v/>
      </c>
      <c r="O334">
        <f>IF($J334="","",MATCH($L334,บันทึกรายเที่ยว!$S$6:$S$6005,0))</f>
        <v/>
      </c>
      <c r="P334">
        <f>IF($J334="","",IF(AND(OR($I$3="(ทั้งหมด)",INDEX(บันทึกรายเที่ยว!$C$6:$C$6005,$J334)=$I$3),OR($I$5="(ทั้งหมด)",INDEX(บันทึกรายเที่ยว!$D$6:$D$6005,$J334)=$I$5),OR($I$7="(ทั้งหมด)",INDEX(บันทึกรายเที่ยว!$F$6:$F$6005,$J334)=$I$7)),$N334*10000000+$O334*1000+327,""))</f>
        <v/>
      </c>
      <c r="Q334">
        <f>IFERROR(MATCH(SMALL($P$8:$P$407,327),$P$8:$P$407,0),"")</f>
        <v/>
      </c>
      <c r="R334">
        <f>IF($Q334="","",INDEX($J$8:$J$407,$Q334))</f>
        <v/>
      </c>
      <c r="S334">
        <f>IF($Q334="","",INDEX($M$8:$M$407,$Q334))</f>
        <v/>
      </c>
      <c r="T334">
        <f>IF($Q334="","",INDEX($L$8:$L$407,$Q334))</f>
        <v/>
      </c>
      <c r="U334">
        <f>IF($Q334="","",INDEX($K$8:$K$407,$Q334))</f>
        <v/>
      </c>
      <c r="V334">
        <f>IF($Q334="",0,IF($S334&lt;&gt;$S333,1,0))</f>
        <v/>
      </c>
      <c r="W334">
        <f>IF($Q334="",0,IF($T334&lt;&gt;$T333,1,0))</f>
        <v/>
      </c>
      <c r="X334">
        <f>IF($Q334="",99999+327,$X333+1+$V333+$W333)</f>
        <v/>
      </c>
      <c r="Y334">
        <f>IF($Q334="","",INDEX(บันทึกรายเที่ยว!$Q$6:$Q$6005,$R334))</f>
        <v/>
      </c>
      <c r="Z334">
        <f>IF($Q334="","",INDEX(บันทึกรายเที่ยว!$F$6:$F$6005,$R334))</f>
        <v/>
      </c>
      <c r="AA334">
        <f>IFERROR(MATCH(327,$X$8:$X$407,1),"")</f>
        <v/>
      </c>
      <c r="AB334">
        <f>IF(327=$AD$1+1,"G",IF($AA334="","",IF(INDEX($Q$8:$Q$407,$AA334)="","",IF(327&gt;INDEX($X$8:$X$407,$AA334)+INDEX($V$8:$V$407,$AA334)+INDEX($W$8:$W$407,$AA334),"",IF(327=INDEX($X$8:$X$407,$AA334)+INDEX($V$8:$V$407,$AA334)+INDEX($W$8:$W$407,$AA334),"D",IF(AND(INDEX($W$8:$W$407,$AA334)=1,327=INDEX($X$8:$X$407,$AA334)+INDEX($V$8:$V$407,$AA334)),"S","R"))))))</f>
        <v/>
      </c>
      <c r="AC334">
        <f>IF(OR($AB334="",$AB334="G"),"",IF($AB334="D",INDEX($U$8:$U$407,$AA334),IF($AB334="S",INDEX($T$8:$T$407,$AA334)&amp;"|*",INDEX($S$8:$S$407,$AA334)&amp;"|*")))</f>
        <v/>
      </c>
      <c r="AE334">
        <f>IF($U334="",0,COUNTIF(บันทึกรายเที่ยว!$T$6:$T$6005,$U334))</f>
        <v/>
      </c>
      <c r="AF334">
        <f>IF($U334="",0,ROUND(SUMIF(บันทึกรายเที่ยว!$T$6:$T$6005,$U334,บันทึกรายเที่ยว!$J$6:$J$6005),2))</f>
        <v/>
      </c>
      <c r="AG334">
        <f>IF($U334="",0,ROUND(SUMIF(บันทึกรายเที่ยว!$T$6:$T$6005,$U334,บันทึกรายเที่ยว!$K$6:$K$6005),2))</f>
        <v/>
      </c>
      <c r="AH334">
        <f>IF($U334="",0,ROUND(SUMIF(บันทึกรายเที่ยว!$T$6:$T$6005,$U334,บันทึกรายเที่ยว!$M$6:$M$6005),2))</f>
        <v/>
      </c>
    </row>
    <row r="335" ht="21" customHeight="1" s="66">
      <c r="A335" s="3">
        <f>IF($AB335="G","ผลรวมทั้งหมด",IF($AB335="R",INDEX($S$8:$S$407,$AA335),""))</f>
        <v/>
      </c>
      <c r="B335" s="3">
        <f>IF($AB335="S",INDEX($Y$8:$Y$407,$AA335),"")</f>
        <v/>
      </c>
      <c r="C335" s="68">
        <f>IF($AB335="D",INDEX($Z$8:$Z$407,$AA335),"")</f>
        <v/>
      </c>
      <c r="D335" s="31">
        <f>IF($AB335="G",SUM($AE$8:$AE$407),IF(OR($AB335="",$AB335="R"),"",IF($AB335="D",INDEX($AE$8:$AE$407,$AA335),SUMIF($T$8:$T$407,INDEX($T$8:$T$407,$AA335),$AE$8:$AE$407))))</f>
        <v/>
      </c>
      <c r="E335" s="32">
        <f>IF(328=$AD$1+3,"ขอแสดงความนับถือ",IF(328=$AD$1+6,"(                 )",IF(328=$AD$1+7,"เจ้าหน้าที่ขนส่ง",IF($AB335="G",SUM($AF$8:$AF$407),IF(OR($AB335="",$AB335="R"),"",IF($AB335="D",INDEX($AF$8:$AF$407,$AA335),SUMIF($T$8:$T$407,INDEX($T$8:$T$407,$AA335),$AF$8:$AF$407)))))))</f>
        <v/>
      </c>
      <c r="F335" s="32">
        <f>IF($AB335="G",SUM($AG$8:$AG$407),IF(OR($AB335="",$AB335="R"),"",IF($AB335="D",INDEX($AG$8:$AG$407,$AA335),SUMIF($T$8:$T$407,INDEX($T$8:$T$407,$AA335),$AG$8:$AG$407))))</f>
        <v/>
      </c>
      <c r="G335" s="32">
        <f>IF(OR($AB335="",$AB335="R"),"",ROUND($E335-$F335,2))</f>
        <v/>
      </c>
      <c r="H335" s="32">
        <f>IF($AB335="G",SUM($AH$8:$AH$407),IF(OR($AB335="",$AB335="R"),"",IF($AB335="D",INDEX($AH$8:$AH$407,$AA335),SUMIF($T$8:$T$407,INDEX($T$8:$T$407,$AA335),$AH$8:$AH$407))))</f>
        <v/>
      </c>
      <c r="J335">
        <f>IFERROR(MATCH(328,บันทึกรายเที่ยว!$W$6:$W$6005,0),"")</f>
        <v/>
      </c>
      <c r="K335">
        <f>IF($J335="","",INDEX(บันทึกรายเที่ยว!$T$6:$T$6005,$J335))</f>
        <v/>
      </c>
      <c r="L335">
        <f>IF($J335="","",INDEX(บันทึกรายเที่ยว!$S$6:$S$6005,$J335))</f>
        <v/>
      </c>
      <c r="M335">
        <f>IF($J335="","",INDEX(บันทึกรายเที่ยว!$R$6:$R$6005,$J335))</f>
        <v/>
      </c>
      <c r="N335">
        <f>IF($J335="","",MATCH($M335,บันทึกรายเที่ยว!$R$6:$R$6005,0))</f>
        <v/>
      </c>
      <c r="O335">
        <f>IF($J335="","",MATCH($L335,บันทึกรายเที่ยว!$S$6:$S$6005,0))</f>
        <v/>
      </c>
      <c r="P335">
        <f>IF($J335="","",IF(AND(OR($I$3="(ทั้งหมด)",INDEX(บันทึกรายเที่ยว!$C$6:$C$6005,$J335)=$I$3),OR($I$5="(ทั้งหมด)",INDEX(บันทึกรายเที่ยว!$D$6:$D$6005,$J335)=$I$5),OR($I$7="(ทั้งหมด)",INDEX(บันทึกรายเที่ยว!$F$6:$F$6005,$J335)=$I$7)),$N335*10000000+$O335*1000+328,""))</f>
        <v/>
      </c>
      <c r="Q335">
        <f>IFERROR(MATCH(SMALL($P$8:$P$407,328),$P$8:$P$407,0),"")</f>
        <v/>
      </c>
      <c r="R335">
        <f>IF($Q335="","",INDEX($J$8:$J$407,$Q335))</f>
        <v/>
      </c>
      <c r="S335">
        <f>IF($Q335="","",INDEX($M$8:$M$407,$Q335))</f>
        <v/>
      </c>
      <c r="T335">
        <f>IF($Q335="","",INDEX($L$8:$L$407,$Q335))</f>
        <v/>
      </c>
      <c r="U335">
        <f>IF($Q335="","",INDEX($K$8:$K$407,$Q335))</f>
        <v/>
      </c>
      <c r="V335">
        <f>IF($Q335="",0,IF($S335&lt;&gt;$S334,1,0))</f>
        <v/>
      </c>
      <c r="W335">
        <f>IF($Q335="",0,IF($T335&lt;&gt;$T334,1,0))</f>
        <v/>
      </c>
      <c r="X335">
        <f>IF($Q335="",99999+328,$X334+1+$V334+$W334)</f>
        <v/>
      </c>
      <c r="Y335">
        <f>IF($Q335="","",INDEX(บันทึกรายเที่ยว!$Q$6:$Q$6005,$R335))</f>
        <v/>
      </c>
      <c r="Z335">
        <f>IF($Q335="","",INDEX(บันทึกรายเที่ยว!$F$6:$F$6005,$R335))</f>
        <v/>
      </c>
      <c r="AA335">
        <f>IFERROR(MATCH(328,$X$8:$X$407,1),"")</f>
        <v/>
      </c>
      <c r="AB335">
        <f>IF(328=$AD$1+1,"G",IF($AA335="","",IF(INDEX($Q$8:$Q$407,$AA335)="","",IF(328&gt;INDEX($X$8:$X$407,$AA335)+INDEX($V$8:$V$407,$AA335)+INDEX($W$8:$W$407,$AA335),"",IF(328=INDEX($X$8:$X$407,$AA335)+INDEX($V$8:$V$407,$AA335)+INDEX($W$8:$W$407,$AA335),"D",IF(AND(INDEX($W$8:$W$407,$AA335)=1,328=INDEX($X$8:$X$407,$AA335)+INDEX($V$8:$V$407,$AA335)),"S","R"))))))</f>
        <v/>
      </c>
      <c r="AC335">
        <f>IF(OR($AB335="",$AB335="G"),"",IF($AB335="D",INDEX($U$8:$U$407,$AA335),IF($AB335="S",INDEX($T$8:$T$407,$AA335)&amp;"|*",INDEX($S$8:$S$407,$AA335)&amp;"|*")))</f>
        <v/>
      </c>
      <c r="AE335">
        <f>IF($U335="",0,COUNTIF(บันทึกรายเที่ยว!$T$6:$T$6005,$U335))</f>
        <v/>
      </c>
      <c r="AF335">
        <f>IF($U335="",0,ROUND(SUMIF(บันทึกรายเที่ยว!$T$6:$T$6005,$U335,บันทึกรายเที่ยว!$J$6:$J$6005),2))</f>
        <v/>
      </c>
      <c r="AG335">
        <f>IF($U335="",0,ROUND(SUMIF(บันทึกรายเที่ยว!$T$6:$T$6005,$U335,บันทึกรายเที่ยว!$K$6:$K$6005),2))</f>
        <v/>
      </c>
      <c r="AH335">
        <f>IF($U335="",0,ROUND(SUMIF(บันทึกรายเที่ยว!$T$6:$T$6005,$U335,บันทึกรายเที่ยว!$M$6:$M$6005),2))</f>
        <v/>
      </c>
    </row>
    <row r="336" ht="21" customHeight="1" s="66">
      <c r="A336" s="3">
        <f>IF($AB336="G","ผลรวมทั้งหมด",IF($AB336="R",INDEX($S$8:$S$407,$AA336),""))</f>
        <v/>
      </c>
      <c r="B336" s="3">
        <f>IF($AB336="S",INDEX($Y$8:$Y$407,$AA336),"")</f>
        <v/>
      </c>
      <c r="C336" s="68">
        <f>IF($AB336="D",INDEX($Z$8:$Z$407,$AA336),"")</f>
        <v/>
      </c>
      <c r="D336" s="31">
        <f>IF($AB336="G",SUM($AE$8:$AE$407),IF(OR($AB336="",$AB336="R"),"",IF($AB336="D",INDEX($AE$8:$AE$407,$AA336),SUMIF($T$8:$T$407,INDEX($T$8:$T$407,$AA336),$AE$8:$AE$407))))</f>
        <v/>
      </c>
      <c r="E336" s="32">
        <f>IF(329=$AD$1+3,"ขอแสดงความนับถือ",IF(329=$AD$1+6,"(                 )",IF(329=$AD$1+7,"เจ้าหน้าที่ขนส่ง",IF($AB336="G",SUM($AF$8:$AF$407),IF(OR($AB336="",$AB336="R"),"",IF($AB336="D",INDEX($AF$8:$AF$407,$AA336),SUMIF($T$8:$T$407,INDEX($T$8:$T$407,$AA336),$AF$8:$AF$407)))))))</f>
        <v/>
      </c>
      <c r="F336" s="32">
        <f>IF($AB336="G",SUM($AG$8:$AG$407),IF(OR($AB336="",$AB336="R"),"",IF($AB336="D",INDEX($AG$8:$AG$407,$AA336),SUMIF($T$8:$T$407,INDEX($T$8:$T$407,$AA336),$AG$8:$AG$407))))</f>
        <v/>
      </c>
      <c r="G336" s="32">
        <f>IF(OR($AB336="",$AB336="R"),"",ROUND($E336-$F336,2))</f>
        <v/>
      </c>
      <c r="H336" s="32">
        <f>IF($AB336="G",SUM($AH$8:$AH$407),IF(OR($AB336="",$AB336="R"),"",IF($AB336="D",INDEX($AH$8:$AH$407,$AA336),SUMIF($T$8:$T$407,INDEX($T$8:$T$407,$AA336),$AH$8:$AH$407))))</f>
        <v/>
      </c>
      <c r="J336">
        <f>IFERROR(MATCH(329,บันทึกรายเที่ยว!$W$6:$W$6005,0),"")</f>
        <v/>
      </c>
      <c r="K336">
        <f>IF($J336="","",INDEX(บันทึกรายเที่ยว!$T$6:$T$6005,$J336))</f>
        <v/>
      </c>
      <c r="L336">
        <f>IF($J336="","",INDEX(บันทึกรายเที่ยว!$S$6:$S$6005,$J336))</f>
        <v/>
      </c>
      <c r="M336">
        <f>IF($J336="","",INDEX(บันทึกรายเที่ยว!$R$6:$R$6005,$J336))</f>
        <v/>
      </c>
      <c r="N336">
        <f>IF($J336="","",MATCH($M336,บันทึกรายเที่ยว!$R$6:$R$6005,0))</f>
        <v/>
      </c>
      <c r="O336">
        <f>IF($J336="","",MATCH($L336,บันทึกรายเที่ยว!$S$6:$S$6005,0))</f>
        <v/>
      </c>
      <c r="P336">
        <f>IF($J336="","",IF(AND(OR($I$3="(ทั้งหมด)",INDEX(บันทึกรายเที่ยว!$C$6:$C$6005,$J336)=$I$3),OR($I$5="(ทั้งหมด)",INDEX(บันทึกรายเที่ยว!$D$6:$D$6005,$J336)=$I$5),OR($I$7="(ทั้งหมด)",INDEX(บันทึกรายเที่ยว!$F$6:$F$6005,$J336)=$I$7)),$N336*10000000+$O336*1000+329,""))</f>
        <v/>
      </c>
      <c r="Q336">
        <f>IFERROR(MATCH(SMALL($P$8:$P$407,329),$P$8:$P$407,0),"")</f>
        <v/>
      </c>
      <c r="R336">
        <f>IF($Q336="","",INDEX($J$8:$J$407,$Q336))</f>
        <v/>
      </c>
      <c r="S336">
        <f>IF($Q336="","",INDEX($M$8:$M$407,$Q336))</f>
        <v/>
      </c>
      <c r="T336">
        <f>IF($Q336="","",INDEX($L$8:$L$407,$Q336))</f>
        <v/>
      </c>
      <c r="U336">
        <f>IF($Q336="","",INDEX($K$8:$K$407,$Q336))</f>
        <v/>
      </c>
      <c r="V336">
        <f>IF($Q336="",0,IF($S336&lt;&gt;$S335,1,0))</f>
        <v/>
      </c>
      <c r="W336">
        <f>IF($Q336="",0,IF($T336&lt;&gt;$T335,1,0))</f>
        <v/>
      </c>
      <c r="X336">
        <f>IF($Q336="",99999+329,$X335+1+$V335+$W335)</f>
        <v/>
      </c>
      <c r="Y336">
        <f>IF($Q336="","",INDEX(บันทึกรายเที่ยว!$Q$6:$Q$6005,$R336))</f>
        <v/>
      </c>
      <c r="Z336">
        <f>IF($Q336="","",INDEX(บันทึกรายเที่ยว!$F$6:$F$6005,$R336))</f>
        <v/>
      </c>
      <c r="AA336">
        <f>IFERROR(MATCH(329,$X$8:$X$407,1),"")</f>
        <v/>
      </c>
      <c r="AB336">
        <f>IF(329=$AD$1+1,"G",IF($AA336="","",IF(INDEX($Q$8:$Q$407,$AA336)="","",IF(329&gt;INDEX($X$8:$X$407,$AA336)+INDEX($V$8:$V$407,$AA336)+INDEX($W$8:$W$407,$AA336),"",IF(329=INDEX($X$8:$X$407,$AA336)+INDEX($V$8:$V$407,$AA336)+INDEX($W$8:$W$407,$AA336),"D",IF(AND(INDEX($W$8:$W$407,$AA336)=1,329=INDEX($X$8:$X$407,$AA336)+INDEX($V$8:$V$407,$AA336)),"S","R"))))))</f>
        <v/>
      </c>
      <c r="AC336">
        <f>IF(OR($AB336="",$AB336="G"),"",IF($AB336="D",INDEX($U$8:$U$407,$AA336),IF($AB336="S",INDEX($T$8:$T$407,$AA336)&amp;"|*",INDEX($S$8:$S$407,$AA336)&amp;"|*")))</f>
        <v/>
      </c>
      <c r="AE336">
        <f>IF($U336="",0,COUNTIF(บันทึกรายเที่ยว!$T$6:$T$6005,$U336))</f>
        <v/>
      </c>
      <c r="AF336">
        <f>IF($U336="",0,ROUND(SUMIF(บันทึกรายเที่ยว!$T$6:$T$6005,$U336,บันทึกรายเที่ยว!$J$6:$J$6005),2))</f>
        <v/>
      </c>
      <c r="AG336">
        <f>IF($U336="",0,ROUND(SUMIF(บันทึกรายเที่ยว!$T$6:$T$6005,$U336,บันทึกรายเที่ยว!$K$6:$K$6005),2))</f>
        <v/>
      </c>
      <c r="AH336">
        <f>IF($U336="",0,ROUND(SUMIF(บันทึกรายเที่ยว!$T$6:$T$6005,$U336,บันทึกรายเที่ยว!$M$6:$M$6005),2))</f>
        <v/>
      </c>
    </row>
    <row r="337" ht="21" customHeight="1" s="66">
      <c r="A337" s="3">
        <f>IF($AB337="G","ผลรวมทั้งหมด",IF($AB337="R",INDEX($S$8:$S$407,$AA337),""))</f>
        <v/>
      </c>
      <c r="B337" s="3">
        <f>IF($AB337="S",INDEX($Y$8:$Y$407,$AA337),"")</f>
        <v/>
      </c>
      <c r="C337" s="68">
        <f>IF($AB337="D",INDEX($Z$8:$Z$407,$AA337),"")</f>
        <v/>
      </c>
      <c r="D337" s="31">
        <f>IF($AB337="G",SUM($AE$8:$AE$407),IF(OR($AB337="",$AB337="R"),"",IF($AB337="D",INDEX($AE$8:$AE$407,$AA337),SUMIF($T$8:$T$407,INDEX($T$8:$T$407,$AA337),$AE$8:$AE$407))))</f>
        <v/>
      </c>
      <c r="E337" s="32">
        <f>IF(330=$AD$1+3,"ขอแสดงความนับถือ",IF(330=$AD$1+6,"(                 )",IF(330=$AD$1+7,"เจ้าหน้าที่ขนส่ง",IF($AB337="G",SUM($AF$8:$AF$407),IF(OR($AB337="",$AB337="R"),"",IF($AB337="D",INDEX($AF$8:$AF$407,$AA337),SUMIF($T$8:$T$407,INDEX($T$8:$T$407,$AA337),$AF$8:$AF$407)))))))</f>
        <v/>
      </c>
      <c r="F337" s="32">
        <f>IF($AB337="G",SUM($AG$8:$AG$407),IF(OR($AB337="",$AB337="R"),"",IF($AB337="D",INDEX($AG$8:$AG$407,$AA337),SUMIF($T$8:$T$407,INDEX($T$8:$T$407,$AA337),$AG$8:$AG$407))))</f>
        <v/>
      </c>
      <c r="G337" s="32">
        <f>IF(OR($AB337="",$AB337="R"),"",ROUND($E337-$F337,2))</f>
        <v/>
      </c>
      <c r="H337" s="32">
        <f>IF($AB337="G",SUM($AH$8:$AH$407),IF(OR($AB337="",$AB337="R"),"",IF($AB337="D",INDEX($AH$8:$AH$407,$AA337),SUMIF($T$8:$T$407,INDEX($T$8:$T$407,$AA337),$AH$8:$AH$407))))</f>
        <v/>
      </c>
      <c r="J337">
        <f>IFERROR(MATCH(330,บันทึกรายเที่ยว!$W$6:$W$6005,0),"")</f>
        <v/>
      </c>
      <c r="K337">
        <f>IF($J337="","",INDEX(บันทึกรายเที่ยว!$T$6:$T$6005,$J337))</f>
        <v/>
      </c>
      <c r="L337">
        <f>IF($J337="","",INDEX(บันทึกรายเที่ยว!$S$6:$S$6005,$J337))</f>
        <v/>
      </c>
      <c r="M337">
        <f>IF($J337="","",INDEX(บันทึกรายเที่ยว!$R$6:$R$6005,$J337))</f>
        <v/>
      </c>
      <c r="N337">
        <f>IF($J337="","",MATCH($M337,บันทึกรายเที่ยว!$R$6:$R$6005,0))</f>
        <v/>
      </c>
      <c r="O337">
        <f>IF($J337="","",MATCH($L337,บันทึกรายเที่ยว!$S$6:$S$6005,0))</f>
        <v/>
      </c>
      <c r="P337">
        <f>IF($J337="","",IF(AND(OR($I$3="(ทั้งหมด)",INDEX(บันทึกรายเที่ยว!$C$6:$C$6005,$J337)=$I$3),OR($I$5="(ทั้งหมด)",INDEX(บันทึกรายเที่ยว!$D$6:$D$6005,$J337)=$I$5),OR($I$7="(ทั้งหมด)",INDEX(บันทึกรายเที่ยว!$F$6:$F$6005,$J337)=$I$7)),$N337*10000000+$O337*1000+330,""))</f>
        <v/>
      </c>
      <c r="Q337">
        <f>IFERROR(MATCH(SMALL($P$8:$P$407,330),$P$8:$P$407,0),"")</f>
        <v/>
      </c>
      <c r="R337">
        <f>IF($Q337="","",INDEX($J$8:$J$407,$Q337))</f>
        <v/>
      </c>
      <c r="S337">
        <f>IF($Q337="","",INDEX($M$8:$M$407,$Q337))</f>
        <v/>
      </c>
      <c r="T337">
        <f>IF($Q337="","",INDEX($L$8:$L$407,$Q337))</f>
        <v/>
      </c>
      <c r="U337">
        <f>IF($Q337="","",INDEX($K$8:$K$407,$Q337))</f>
        <v/>
      </c>
      <c r="V337">
        <f>IF($Q337="",0,IF($S337&lt;&gt;$S336,1,0))</f>
        <v/>
      </c>
      <c r="W337">
        <f>IF($Q337="",0,IF($T337&lt;&gt;$T336,1,0))</f>
        <v/>
      </c>
      <c r="X337">
        <f>IF($Q337="",99999+330,$X336+1+$V336+$W336)</f>
        <v/>
      </c>
      <c r="Y337">
        <f>IF($Q337="","",INDEX(บันทึกรายเที่ยว!$Q$6:$Q$6005,$R337))</f>
        <v/>
      </c>
      <c r="Z337">
        <f>IF($Q337="","",INDEX(บันทึกรายเที่ยว!$F$6:$F$6005,$R337))</f>
        <v/>
      </c>
      <c r="AA337">
        <f>IFERROR(MATCH(330,$X$8:$X$407,1),"")</f>
        <v/>
      </c>
      <c r="AB337">
        <f>IF(330=$AD$1+1,"G",IF($AA337="","",IF(INDEX($Q$8:$Q$407,$AA337)="","",IF(330&gt;INDEX($X$8:$X$407,$AA337)+INDEX($V$8:$V$407,$AA337)+INDEX($W$8:$W$407,$AA337),"",IF(330=INDEX($X$8:$X$407,$AA337)+INDEX($V$8:$V$407,$AA337)+INDEX($W$8:$W$407,$AA337),"D",IF(AND(INDEX($W$8:$W$407,$AA337)=1,330=INDEX($X$8:$X$407,$AA337)+INDEX($V$8:$V$407,$AA337)),"S","R"))))))</f>
        <v/>
      </c>
      <c r="AC337">
        <f>IF(OR($AB337="",$AB337="G"),"",IF($AB337="D",INDEX($U$8:$U$407,$AA337),IF($AB337="S",INDEX($T$8:$T$407,$AA337)&amp;"|*",INDEX($S$8:$S$407,$AA337)&amp;"|*")))</f>
        <v/>
      </c>
      <c r="AE337">
        <f>IF($U337="",0,COUNTIF(บันทึกรายเที่ยว!$T$6:$T$6005,$U337))</f>
        <v/>
      </c>
      <c r="AF337">
        <f>IF($U337="",0,ROUND(SUMIF(บันทึกรายเที่ยว!$T$6:$T$6005,$U337,บันทึกรายเที่ยว!$J$6:$J$6005),2))</f>
        <v/>
      </c>
      <c r="AG337">
        <f>IF($U337="",0,ROUND(SUMIF(บันทึกรายเที่ยว!$T$6:$T$6005,$U337,บันทึกรายเที่ยว!$K$6:$K$6005),2))</f>
        <v/>
      </c>
      <c r="AH337">
        <f>IF($U337="",0,ROUND(SUMIF(บันทึกรายเที่ยว!$T$6:$T$6005,$U337,บันทึกรายเที่ยว!$M$6:$M$6005),2))</f>
        <v/>
      </c>
    </row>
    <row r="338" ht="21" customHeight="1" s="66">
      <c r="A338" s="3">
        <f>IF($AB338="G","ผลรวมทั้งหมด",IF($AB338="R",INDEX($S$8:$S$407,$AA338),""))</f>
        <v/>
      </c>
      <c r="B338" s="3">
        <f>IF($AB338="S",INDEX($Y$8:$Y$407,$AA338),"")</f>
        <v/>
      </c>
      <c r="C338" s="68">
        <f>IF($AB338="D",INDEX($Z$8:$Z$407,$AA338),"")</f>
        <v/>
      </c>
      <c r="D338" s="31">
        <f>IF($AB338="G",SUM($AE$8:$AE$407),IF(OR($AB338="",$AB338="R"),"",IF($AB338="D",INDEX($AE$8:$AE$407,$AA338),SUMIF($T$8:$T$407,INDEX($T$8:$T$407,$AA338),$AE$8:$AE$407))))</f>
        <v/>
      </c>
      <c r="E338" s="32">
        <f>IF(331=$AD$1+3,"ขอแสดงความนับถือ",IF(331=$AD$1+6,"(                 )",IF(331=$AD$1+7,"เจ้าหน้าที่ขนส่ง",IF($AB338="G",SUM($AF$8:$AF$407),IF(OR($AB338="",$AB338="R"),"",IF($AB338="D",INDEX($AF$8:$AF$407,$AA338),SUMIF($T$8:$T$407,INDEX($T$8:$T$407,$AA338),$AF$8:$AF$407)))))))</f>
        <v/>
      </c>
      <c r="F338" s="32">
        <f>IF($AB338="G",SUM($AG$8:$AG$407),IF(OR($AB338="",$AB338="R"),"",IF($AB338="D",INDEX($AG$8:$AG$407,$AA338),SUMIF($T$8:$T$407,INDEX($T$8:$T$407,$AA338),$AG$8:$AG$407))))</f>
        <v/>
      </c>
      <c r="G338" s="32">
        <f>IF(OR($AB338="",$AB338="R"),"",ROUND($E338-$F338,2))</f>
        <v/>
      </c>
      <c r="H338" s="32">
        <f>IF($AB338="G",SUM($AH$8:$AH$407),IF(OR($AB338="",$AB338="R"),"",IF($AB338="D",INDEX($AH$8:$AH$407,$AA338),SUMIF($T$8:$T$407,INDEX($T$8:$T$407,$AA338),$AH$8:$AH$407))))</f>
        <v/>
      </c>
      <c r="J338">
        <f>IFERROR(MATCH(331,บันทึกรายเที่ยว!$W$6:$W$6005,0),"")</f>
        <v/>
      </c>
      <c r="K338">
        <f>IF($J338="","",INDEX(บันทึกรายเที่ยว!$T$6:$T$6005,$J338))</f>
        <v/>
      </c>
      <c r="L338">
        <f>IF($J338="","",INDEX(บันทึกรายเที่ยว!$S$6:$S$6005,$J338))</f>
        <v/>
      </c>
      <c r="M338">
        <f>IF($J338="","",INDEX(บันทึกรายเที่ยว!$R$6:$R$6005,$J338))</f>
        <v/>
      </c>
      <c r="N338">
        <f>IF($J338="","",MATCH($M338,บันทึกรายเที่ยว!$R$6:$R$6005,0))</f>
        <v/>
      </c>
      <c r="O338">
        <f>IF($J338="","",MATCH($L338,บันทึกรายเที่ยว!$S$6:$S$6005,0))</f>
        <v/>
      </c>
      <c r="P338">
        <f>IF($J338="","",IF(AND(OR($I$3="(ทั้งหมด)",INDEX(บันทึกรายเที่ยว!$C$6:$C$6005,$J338)=$I$3),OR($I$5="(ทั้งหมด)",INDEX(บันทึกรายเที่ยว!$D$6:$D$6005,$J338)=$I$5),OR($I$7="(ทั้งหมด)",INDEX(บันทึกรายเที่ยว!$F$6:$F$6005,$J338)=$I$7)),$N338*10000000+$O338*1000+331,""))</f>
        <v/>
      </c>
      <c r="Q338">
        <f>IFERROR(MATCH(SMALL($P$8:$P$407,331),$P$8:$P$407,0),"")</f>
        <v/>
      </c>
      <c r="R338">
        <f>IF($Q338="","",INDEX($J$8:$J$407,$Q338))</f>
        <v/>
      </c>
      <c r="S338">
        <f>IF($Q338="","",INDEX($M$8:$M$407,$Q338))</f>
        <v/>
      </c>
      <c r="T338">
        <f>IF($Q338="","",INDEX($L$8:$L$407,$Q338))</f>
        <v/>
      </c>
      <c r="U338">
        <f>IF($Q338="","",INDEX($K$8:$K$407,$Q338))</f>
        <v/>
      </c>
      <c r="V338">
        <f>IF($Q338="",0,IF($S338&lt;&gt;$S337,1,0))</f>
        <v/>
      </c>
      <c r="W338">
        <f>IF($Q338="",0,IF($T338&lt;&gt;$T337,1,0))</f>
        <v/>
      </c>
      <c r="X338">
        <f>IF($Q338="",99999+331,$X337+1+$V337+$W337)</f>
        <v/>
      </c>
      <c r="Y338">
        <f>IF($Q338="","",INDEX(บันทึกรายเที่ยว!$Q$6:$Q$6005,$R338))</f>
        <v/>
      </c>
      <c r="Z338">
        <f>IF($Q338="","",INDEX(บันทึกรายเที่ยว!$F$6:$F$6005,$R338))</f>
        <v/>
      </c>
      <c r="AA338">
        <f>IFERROR(MATCH(331,$X$8:$X$407,1),"")</f>
        <v/>
      </c>
      <c r="AB338">
        <f>IF(331=$AD$1+1,"G",IF($AA338="","",IF(INDEX($Q$8:$Q$407,$AA338)="","",IF(331&gt;INDEX($X$8:$X$407,$AA338)+INDEX($V$8:$V$407,$AA338)+INDEX($W$8:$W$407,$AA338),"",IF(331=INDEX($X$8:$X$407,$AA338)+INDEX($V$8:$V$407,$AA338)+INDEX($W$8:$W$407,$AA338),"D",IF(AND(INDEX($W$8:$W$407,$AA338)=1,331=INDEX($X$8:$X$407,$AA338)+INDEX($V$8:$V$407,$AA338)),"S","R"))))))</f>
        <v/>
      </c>
      <c r="AC338">
        <f>IF(OR($AB338="",$AB338="G"),"",IF($AB338="D",INDEX($U$8:$U$407,$AA338),IF($AB338="S",INDEX($T$8:$T$407,$AA338)&amp;"|*",INDEX($S$8:$S$407,$AA338)&amp;"|*")))</f>
        <v/>
      </c>
      <c r="AE338">
        <f>IF($U338="",0,COUNTIF(บันทึกรายเที่ยว!$T$6:$T$6005,$U338))</f>
        <v/>
      </c>
      <c r="AF338">
        <f>IF($U338="",0,ROUND(SUMIF(บันทึกรายเที่ยว!$T$6:$T$6005,$U338,บันทึกรายเที่ยว!$J$6:$J$6005),2))</f>
        <v/>
      </c>
      <c r="AG338">
        <f>IF($U338="",0,ROUND(SUMIF(บันทึกรายเที่ยว!$T$6:$T$6005,$U338,บันทึกรายเที่ยว!$K$6:$K$6005),2))</f>
        <v/>
      </c>
      <c r="AH338">
        <f>IF($U338="",0,ROUND(SUMIF(บันทึกรายเที่ยว!$T$6:$T$6005,$U338,บันทึกรายเที่ยว!$M$6:$M$6005),2))</f>
        <v/>
      </c>
    </row>
    <row r="339" ht="21" customHeight="1" s="66">
      <c r="A339" s="3">
        <f>IF($AB339="G","ผลรวมทั้งหมด",IF($AB339="R",INDEX($S$8:$S$407,$AA339),""))</f>
        <v/>
      </c>
      <c r="B339" s="3">
        <f>IF($AB339="S",INDEX($Y$8:$Y$407,$AA339),"")</f>
        <v/>
      </c>
      <c r="C339" s="68">
        <f>IF($AB339="D",INDEX($Z$8:$Z$407,$AA339),"")</f>
        <v/>
      </c>
      <c r="D339" s="31">
        <f>IF($AB339="G",SUM($AE$8:$AE$407),IF(OR($AB339="",$AB339="R"),"",IF($AB339="D",INDEX($AE$8:$AE$407,$AA339),SUMIF($T$8:$T$407,INDEX($T$8:$T$407,$AA339),$AE$8:$AE$407))))</f>
        <v/>
      </c>
      <c r="E339" s="32">
        <f>IF(332=$AD$1+3,"ขอแสดงความนับถือ",IF(332=$AD$1+6,"(                 )",IF(332=$AD$1+7,"เจ้าหน้าที่ขนส่ง",IF($AB339="G",SUM($AF$8:$AF$407),IF(OR($AB339="",$AB339="R"),"",IF($AB339="D",INDEX($AF$8:$AF$407,$AA339),SUMIF($T$8:$T$407,INDEX($T$8:$T$407,$AA339),$AF$8:$AF$407)))))))</f>
        <v/>
      </c>
      <c r="F339" s="32">
        <f>IF($AB339="G",SUM($AG$8:$AG$407),IF(OR($AB339="",$AB339="R"),"",IF($AB339="D",INDEX($AG$8:$AG$407,$AA339),SUMIF($T$8:$T$407,INDEX($T$8:$T$407,$AA339),$AG$8:$AG$407))))</f>
        <v/>
      </c>
      <c r="G339" s="32">
        <f>IF(OR($AB339="",$AB339="R"),"",ROUND($E339-$F339,2))</f>
        <v/>
      </c>
      <c r="H339" s="32">
        <f>IF($AB339="G",SUM($AH$8:$AH$407),IF(OR($AB339="",$AB339="R"),"",IF($AB339="D",INDEX($AH$8:$AH$407,$AA339),SUMIF($T$8:$T$407,INDEX($T$8:$T$407,$AA339),$AH$8:$AH$407))))</f>
        <v/>
      </c>
      <c r="J339">
        <f>IFERROR(MATCH(332,บันทึกรายเที่ยว!$W$6:$W$6005,0),"")</f>
        <v/>
      </c>
      <c r="K339">
        <f>IF($J339="","",INDEX(บันทึกรายเที่ยว!$T$6:$T$6005,$J339))</f>
        <v/>
      </c>
      <c r="L339">
        <f>IF($J339="","",INDEX(บันทึกรายเที่ยว!$S$6:$S$6005,$J339))</f>
        <v/>
      </c>
      <c r="M339">
        <f>IF($J339="","",INDEX(บันทึกรายเที่ยว!$R$6:$R$6005,$J339))</f>
        <v/>
      </c>
      <c r="N339">
        <f>IF($J339="","",MATCH($M339,บันทึกรายเที่ยว!$R$6:$R$6005,0))</f>
        <v/>
      </c>
      <c r="O339">
        <f>IF($J339="","",MATCH($L339,บันทึกรายเที่ยว!$S$6:$S$6005,0))</f>
        <v/>
      </c>
      <c r="P339">
        <f>IF($J339="","",IF(AND(OR($I$3="(ทั้งหมด)",INDEX(บันทึกรายเที่ยว!$C$6:$C$6005,$J339)=$I$3),OR($I$5="(ทั้งหมด)",INDEX(บันทึกรายเที่ยว!$D$6:$D$6005,$J339)=$I$5),OR($I$7="(ทั้งหมด)",INDEX(บันทึกรายเที่ยว!$F$6:$F$6005,$J339)=$I$7)),$N339*10000000+$O339*1000+332,""))</f>
        <v/>
      </c>
      <c r="Q339">
        <f>IFERROR(MATCH(SMALL($P$8:$P$407,332),$P$8:$P$407,0),"")</f>
        <v/>
      </c>
      <c r="R339">
        <f>IF($Q339="","",INDEX($J$8:$J$407,$Q339))</f>
        <v/>
      </c>
      <c r="S339">
        <f>IF($Q339="","",INDEX($M$8:$M$407,$Q339))</f>
        <v/>
      </c>
      <c r="T339">
        <f>IF($Q339="","",INDEX($L$8:$L$407,$Q339))</f>
        <v/>
      </c>
      <c r="U339">
        <f>IF($Q339="","",INDEX($K$8:$K$407,$Q339))</f>
        <v/>
      </c>
      <c r="V339">
        <f>IF($Q339="",0,IF($S339&lt;&gt;$S338,1,0))</f>
        <v/>
      </c>
      <c r="W339">
        <f>IF($Q339="",0,IF($T339&lt;&gt;$T338,1,0))</f>
        <v/>
      </c>
      <c r="X339">
        <f>IF($Q339="",99999+332,$X338+1+$V338+$W338)</f>
        <v/>
      </c>
      <c r="Y339">
        <f>IF($Q339="","",INDEX(บันทึกรายเที่ยว!$Q$6:$Q$6005,$R339))</f>
        <v/>
      </c>
      <c r="Z339">
        <f>IF($Q339="","",INDEX(บันทึกรายเที่ยว!$F$6:$F$6005,$R339))</f>
        <v/>
      </c>
      <c r="AA339">
        <f>IFERROR(MATCH(332,$X$8:$X$407,1),"")</f>
        <v/>
      </c>
      <c r="AB339">
        <f>IF(332=$AD$1+1,"G",IF($AA339="","",IF(INDEX($Q$8:$Q$407,$AA339)="","",IF(332&gt;INDEX($X$8:$X$407,$AA339)+INDEX($V$8:$V$407,$AA339)+INDEX($W$8:$W$407,$AA339),"",IF(332=INDEX($X$8:$X$407,$AA339)+INDEX($V$8:$V$407,$AA339)+INDEX($W$8:$W$407,$AA339),"D",IF(AND(INDEX($W$8:$W$407,$AA339)=1,332=INDEX($X$8:$X$407,$AA339)+INDEX($V$8:$V$407,$AA339)),"S","R"))))))</f>
        <v/>
      </c>
      <c r="AC339">
        <f>IF(OR($AB339="",$AB339="G"),"",IF($AB339="D",INDEX($U$8:$U$407,$AA339),IF($AB339="S",INDEX($T$8:$T$407,$AA339)&amp;"|*",INDEX($S$8:$S$407,$AA339)&amp;"|*")))</f>
        <v/>
      </c>
      <c r="AE339">
        <f>IF($U339="",0,COUNTIF(บันทึกรายเที่ยว!$T$6:$T$6005,$U339))</f>
        <v/>
      </c>
      <c r="AF339">
        <f>IF($U339="",0,ROUND(SUMIF(บันทึกรายเที่ยว!$T$6:$T$6005,$U339,บันทึกรายเที่ยว!$J$6:$J$6005),2))</f>
        <v/>
      </c>
      <c r="AG339">
        <f>IF($U339="",0,ROUND(SUMIF(บันทึกรายเที่ยว!$T$6:$T$6005,$U339,บันทึกรายเที่ยว!$K$6:$K$6005),2))</f>
        <v/>
      </c>
      <c r="AH339">
        <f>IF($U339="",0,ROUND(SUMIF(บันทึกรายเที่ยว!$T$6:$T$6005,$U339,บันทึกรายเที่ยว!$M$6:$M$6005),2))</f>
        <v/>
      </c>
    </row>
    <row r="340" ht="21" customHeight="1" s="66">
      <c r="A340" s="3">
        <f>IF($AB340="G","ผลรวมทั้งหมด",IF($AB340="R",INDEX($S$8:$S$407,$AA340),""))</f>
        <v/>
      </c>
      <c r="B340" s="3">
        <f>IF($AB340="S",INDEX($Y$8:$Y$407,$AA340),"")</f>
        <v/>
      </c>
      <c r="C340" s="68">
        <f>IF($AB340="D",INDEX($Z$8:$Z$407,$AA340),"")</f>
        <v/>
      </c>
      <c r="D340" s="31">
        <f>IF($AB340="G",SUM($AE$8:$AE$407),IF(OR($AB340="",$AB340="R"),"",IF($AB340="D",INDEX($AE$8:$AE$407,$AA340),SUMIF($T$8:$T$407,INDEX($T$8:$T$407,$AA340),$AE$8:$AE$407))))</f>
        <v/>
      </c>
      <c r="E340" s="32">
        <f>IF(333=$AD$1+3,"ขอแสดงความนับถือ",IF(333=$AD$1+6,"(                 )",IF(333=$AD$1+7,"เจ้าหน้าที่ขนส่ง",IF($AB340="G",SUM($AF$8:$AF$407),IF(OR($AB340="",$AB340="R"),"",IF($AB340="D",INDEX($AF$8:$AF$407,$AA340),SUMIF($T$8:$T$407,INDEX($T$8:$T$407,$AA340),$AF$8:$AF$407)))))))</f>
        <v/>
      </c>
      <c r="F340" s="32">
        <f>IF($AB340="G",SUM($AG$8:$AG$407),IF(OR($AB340="",$AB340="R"),"",IF($AB340="D",INDEX($AG$8:$AG$407,$AA340),SUMIF($T$8:$T$407,INDEX($T$8:$T$407,$AA340),$AG$8:$AG$407))))</f>
        <v/>
      </c>
      <c r="G340" s="32">
        <f>IF(OR($AB340="",$AB340="R"),"",ROUND($E340-$F340,2))</f>
        <v/>
      </c>
      <c r="H340" s="32">
        <f>IF($AB340="G",SUM($AH$8:$AH$407),IF(OR($AB340="",$AB340="R"),"",IF($AB340="D",INDEX($AH$8:$AH$407,$AA340),SUMIF($T$8:$T$407,INDEX($T$8:$T$407,$AA340),$AH$8:$AH$407))))</f>
        <v/>
      </c>
      <c r="J340">
        <f>IFERROR(MATCH(333,บันทึกรายเที่ยว!$W$6:$W$6005,0),"")</f>
        <v/>
      </c>
      <c r="K340">
        <f>IF($J340="","",INDEX(บันทึกรายเที่ยว!$T$6:$T$6005,$J340))</f>
        <v/>
      </c>
      <c r="L340">
        <f>IF($J340="","",INDEX(บันทึกรายเที่ยว!$S$6:$S$6005,$J340))</f>
        <v/>
      </c>
      <c r="M340">
        <f>IF($J340="","",INDEX(บันทึกรายเที่ยว!$R$6:$R$6005,$J340))</f>
        <v/>
      </c>
      <c r="N340">
        <f>IF($J340="","",MATCH($M340,บันทึกรายเที่ยว!$R$6:$R$6005,0))</f>
        <v/>
      </c>
      <c r="O340">
        <f>IF($J340="","",MATCH($L340,บันทึกรายเที่ยว!$S$6:$S$6005,0))</f>
        <v/>
      </c>
      <c r="P340">
        <f>IF($J340="","",IF(AND(OR($I$3="(ทั้งหมด)",INDEX(บันทึกรายเที่ยว!$C$6:$C$6005,$J340)=$I$3),OR($I$5="(ทั้งหมด)",INDEX(บันทึกรายเที่ยว!$D$6:$D$6005,$J340)=$I$5),OR($I$7="(ทั้งหมด)",INDEX(บันทึกรายเที่ยว!$F$6:$F$6005,$J340)=$I$7)),$N340*10000000+$O340*1000+333,""))</f>
        <v/>
      </c>
      <c r="Q340">
        <f>IFERROR(MATCH(SMALL($P$8:$P$407,333),$P$8:$P$407,0),"")</f>
        <v/>
      </c>
      <c r="R340">
        <f>IF($Q340="","",INDEX($J$8:$J$407,$Q340))</f>
        <v/>
      </c>
      <c r="S340">
        <f>IF($Q340="","",INDEX($M$8:$M$407,$Q340))</f>
        <v/>
      </c>
      <c r="T340">
        <f>IF($Q340="","",INDEX($L$8:$L$407,$Q340))</f>
        <v/>
      </c>
      <c r="U340">
        <f>IF($Q340="","",INDEX($K$8:$K$407,$Q340))</f>
        <v/>
      </c>
      <c r="V340">
        <f>IF($Q340="",0,IF($S340&lt;&gt;$S339,1,0))</f>
        <v/>
      </c>
      <c r="W340">
        <f>IF($Q340="",0,IF($T340&lt;&gt;$T339,1,0))</f>
        <v/>
      </c>
      <c r="X340">
        <f>IF($Q340="",99999+333,$X339+1+$V339+$W339)</f>
        <v/>
      </c>
      <c r="Y340">
        <f>IF($Q340="","",INDEX(บันทึกรายเที่ยว!$Q$6:$Q$6005,$R340))</f>
        <v/>
      </c>
      <c r="Z340">
        <f>IF($Q340="","",INDEX(บันทึกรายเที่ยว!$F$6:$F$6005,$R340))</f>
        <v/>
      </c>
      <c r="AA340">
        <f>IFERROR(MATCH(333,$X$8:$X$407,1),"")</f>
        <v/>
      </c>
      <c r="AB340">
        <f>IF(333=$AD$1+1,"G",IF($AA340="","",IF(INDEX($Q$8:$Q$407,$AA340)="","",IF(333&gt;INDEX($X$8:$X$407,$AA340)+INDEX($V$8:$V$407,$AA340)+INDEX($W$8:$W$407,$AA340),"",IF(333=INDEX($X$8:$X$407,$AA340)+INDEX($V$8:$V$407,$AA340)+INDEX($W$8:$W$407,$AA340),"D",IF(AND(INDEX($W$8:$W$407,$AA340)=1,333=INDEX($X$8:$X$407,$AA340)+INDEX($V$8:$V$407,$AA340)),"S","R"))))))</f>
        <v/>
      </c>
      <c r="AC340">
        <f>IF(OR($AB340="",$AB340="G"),"",IF($AB340="D",INDEX($U$8:$U$407,$AA340),IF($AB340="S",INDEX($T$8:$T$407,$AA340)&amp;"|*",INDEX($S$8:$S$407,$AA340)&amp;"|*")))</f>
        <v/>
      </c>
      <c r="AE340">
        <f>IF($U340="",0,COUNTIF(บันทึกรายเที่ยว!$T$6:$T$6005,$U340))</f>
        <v/>
      </c>
      <c r="AF340">
        <f>IF($U340="",0,ROUND(SUMIF(บันทึกรายเที่ยว!$T$6:$T$6005,$U340,บันทึกรายเที่ยว!$J$6:$J$6005),2))</f>
        <v/>
      </c>
      <c r="AG340">
        <f>IF($U340="",0,ROUND(SUMIF(บันทึกรายเที่ยว!$T$6:$T$6005,$U340,บันทึกรายเที่ยว!$K$6:$K$6005),2))</f>
        <v/>
      </c>
      <c r="AH340">
        <f>IF($U340="",0,ROUND(SUMIF(บันทึกรายเที่ยว!$T$6:$T$6005,$U340,บันทึกรายเที่ยว!$M$6:$M$6005),2))</f>
        <v/>
      </c>
    </row>
    <row r="341" ht="21" customHeight="1" s="66">
      <c r="A341" s="3">
        <f>IF($AB341="G","ผลรวมทั้งหมด",IF($AB341="R",INDEX($S$8:$S$407,$AA341),""))</f>
        <v/>
      </c>
      <c r="B341" s="3">
        <f>IF($AB341="S",INDEX($Y$8:$Y$407,$AA341),"")</f>
        <v/>
      </c>
      <c r="C341" s="68">
        <f>IF($AB341="D",INDEX($Z$8:$Z$407,$AA341),"")</f>
        <v/>
      </c>
      <c r="D341" s="31">
        <f>IF($AB341="G",SUM($AE$8:$AE$407),IF(OR($AB341="",$AB341="R"),"",IF($AB341="D",INDEX($AE$8:$AE$407,$AA341),SUMIF($T$8:$T$407,INDEX($T$8:$T$407,$AA341),$AE$8:$AE$407))))</f>
        <v/>
      </c>
      <c r="E341" s="32">
        <f>IF(334=$AD$1+3,"ขอแสดงความนับถือ",IF(334=$AD$1+6,"(                 )",IF(334=$AD$1+7,"เจ้าหน้าที่ขนส่ง",IF($AB341="G",SUM($AF$8:$AF$407),IF(OR($AB341="",$AB341="R"),"",IF($AB341="D",INDEX($AF$8:$AF$407,$AA341),SUMIF($T$8:$T$407,INDEX($T$8:$T$407,$AA341),$AF$8:$AF$407)))))))</f>
        <v/>
      </c>
      <c r="F341" s="32">
        <f>IF($AB341="G",SUM($AG$8:$AG$407),IF(OR($AB341="",$AB341="R"),"",IF($AB341="D",INDEX($AG$8:$AG$407,$AA341),SUMIF($T$8:$T$407,INDEX($T$8:$T$407,$AA341),$AG$8:$AG$407))))</f>
        <v/>
      </c>
      <c r="G341" s="32">
        <f>IF(OR($AB341="",$AB341="R"),"",ROUND($E341-$F341,2))</f>
        <v/>
      </c>
      <c r="H341" s="32">
        <f>IF($AB341="G",SUM($AH$8:$AH$407),IF(OR($AB341="",$AB341="R"),"",IF($AB341="D",INDEX($AH$8:$AH$407,$AA341),SUMIF($T$8:$T$407,INDEX($T$8:$T$407,$AA341),$AH$8:$AH$407))))</f>
        <v/>
      </c>
      <c r="J341">
        <f>IFERROR(MATCH(334,บันทึกรายเที่ยว!$W$6:$W$6005,0),"")</f>
        <v/>
      </c>
      <c r="K341">
        <f>IF($J341="","",INDEX(บันทึกรายเที่ยว!$T$6:$T$6005,$J341))</f>
        <v/>
      </c>
      <c r="L341">
        <f>IF($J341="","",INDEX(บันทึกรายเที่ยว!$S$6:$S$6005,$J341))</f>
        <v/>
      </c>
      <c r="M341">
        <f>IF($J341="","",INDEX(บันทึกรายเที่ยว!$R$6:$R$6005,$J341))</f>
        <v/>
      </c>
      <c r="N341">
        <f>IF($J341="","",MATCH($M341,บันทึกรายเที่ยว!$R$6:$R$6005,0))</f>
        <v/>
      </c>
      <c r="O341">
        <f>IF($J341="","",MATCH($L341,บันทึกรายเที่ยว!$S$6:$S$6005,0))</f>
        <v/>
      </c>
      <c r="P341">
        <f>IF($J341="","",IF(AND(OR($I$3="(ทั้งหมด)",INDEX(บันทึกรายเที่ยว!$C$6:$C$6005,$J341)=$I$3),OR($I$5="(ทั้งหมด)",INDEX(บันทึกรายเที่ยว!$D$6:$D$6005,$J341)=$I$5),OR($I$7="(ทั้งหมด)",INDEX(บันทึกรายเที่ยว!$F$6:$F$6005,$J341)=$I$7)),$N341*10000000+$O341*1000+334,""))</f>
        <v/>
      </c>
      <c r="Q341">
        <f>IFERROR(MATCH(SMALL($P$8:$P$407,334),$P$8:$P$407,0),"")</f>
        <v/>
      </c>
      <c r="R341">
        <f>IF($Q341="","",INDEX($J$8:$J$407,$Q341))</f>
        <v/>
      </c>
      <c r="S341">
        <f>IF($Q341="","",INDEX($M$8:$M$407,$Q341))</f>
        <v/>
      </c>
      <c r="T341">
        <f>IF($Q341="","",INDEX($L$8:$L$407,$Q341))</f>
        <v/>
      </c>
      <c r="U341">
        <f>IF($Q341="","",INDEX($K$8:$K$407,$Q341))</f>
        <v/>
      </c>
      <c r="V341">
        <f>IF($Q341="",0,IF($S341&lt;&gt;$S340,1,0))</f>
        <v/>
      </c>
      <c r="W341">
        <f>IF($Q341="",0,IF($T341&lt;&gt;$T340,1,0))</f>
        <v/>
      </c>
      <c r="X341">
        <f>IF($Q341="",99999+334,$X340+1+$V340+$W340)</f>
        <v/>
      </c>
      <c r="Y341">
        <f>IF($Q341="","",INDEX(บันทึกรายเที่ยว!$Q$6:$Q$6005,$R341))</f>
        <v/>
      </c>
      <c r="Z341">
        <f>IF($Q341="","",INDEX(บันทึกรายเที่ยว!$F$6:$F$6005,$R341))</f>
        <v/>
      </c>
      <c r="AA341">
        <f>IFERROR(MATCH(334,$X$8:$X$407,1),"")</f>
        <v/>
      </c>
      <c r="AB341">
        <f>IF(334=$AD$1+1,"G",IF($AA341="","",IF(INDEX($Q$8:$Q$407,$AA341)="","",IF(334&gt;INDEX($X$8:$X$407,$AA341)+INDEX($V$8:$V$407,$AA341)+INDEX($W$8:$W$407,$AA341),"",IF(334=INDEX($X$8:$X$407,$AA341)+INDEX($V$8:$V$407,$AA341)+INDEX($W$8:$W$407,$AA341),"D",IF(AND(INDEX($W$8:$W$407,$AA341)=1,334=INDEX($X$8:$X$407,$AA341)+INDEX($V$8:$V$407,$AA341)),"S","R"))))))</f>
        <v/>
      </c>
      <c r="AC341">
        <f>IF(OR($AB341="",$AB341="G"),"",IF($AB341="D",INDEX($U$8:$U$407,$AA341),IF($AB341="S",INDEX($T$8:$T$407,$AA341)&amp;"|*",INDEX($S$8:$S$407,$AA341)&amp;"|*")))</f>
        <v/>
      </c>
      <c r="AE341">
        <f>IF($U341="",0,COUNTIF(บันทึกรายเที่ยว!$T$6:$T$6005,$U341))</f>
        <v/>
      </c>
      <c r="AF341">
        <f>IF($U341="",0,ROUND(SUMIF(บันทึกรายเที่ยว!$T$6:$T$6005,$U341,บันทึกรายเที่ยว!$J$6:$J$6005),2))</f>
        <v/>
      </c>
      <c r="AG341">
        <f>IF($U341="",0,ROUND(SUMIF(บันทึกรายเที่ยว!$T$6:$T$6005,$U341,บันทึกรายเที่ยว!$K$6:$K$6005),2))</f>
        <v/>
      </c>
      <c r="AH341">
        <f>IF($U341="",0,ROUND(SUMIF(บันทึกรายเที่ยว!$T$6:$T$6005,$U341,บันทึกรายเที่ยว!$M$6:$M$6005),2))</f>
        <v/>
      </c>
    </row>
    <row r="342" ht="21" customHeight="1" s="66">
      <c r="A342" s="3">
        <f>IF($AB342="G","ผลรวมทั้งหมด",IF($AB342="R",INDEX($S$8:$S$407,$AA342),""))</f>
        <v/>
      </c>
      <c r="B342" s="3">
        <f>IF($AB342="S",INDEX($Y$8:$Y$407,$AA342),"")</f>
        <v/>
      </c>
      <c r="C342" s="68">
        <f>IF($AB342="D",INDEX($Z$8:$Z$407,$AA342),"")</f>
        <v/>
      </c>
      <c r="D342" s="31">
        <f>IF($AB342="G",SUM($AE$8:$AE$407),IF(OR($AB342="",$AB342="R"),"",IF($AB342="D",INDEX($AE$8:$AE$407,$AA342),SUMIF($T$8:$T$407,INDEX($T$8:$T$407,$AA342),$AE$8:$AE$407))))</f>
        <v/>
      </c>
      <c r="E342" s="32">
        <f>IF(335=$AD$1+3,"ขอแสดงความนับถือ",IF(335=$AD$1+6,"(                 )",IF(335=$AD$1+7,"เจ้าหน้าที่ขนส่ง",IF($AB342="G",SUM($AF$8:$AF$407),IF(OR($AB342="",$AB342="R"),"",IF($AB342="D",INDEX($AF$8:$AF$407,$AA342),SUMIF($T$8:$T$407,INDEX($T$8:$T$407,$AA342),$AF$8:$AF$407)))))))</f>
        <v/>
      </c>
      <c r="F342" s="32">
        <f>IF($AB342="G",SUM($AG$8:$AG$407),IF(OR($AB342="",$AB342="R"),"",IF($AB342="D",INDEX($AG$8:$AG$407,$AA342),SUMIF($T$8:$T$407,INDEX($T$8:$T$407,$AA342),$AG$8:$AG$407))))</f>
        <v/>
      </c>
      <c r="G342" s="32">
        <f>IF(OR($AB342="",$AB342="R"),"",ROUND($E342-$F342,2))</f>
        <v/>
      </c>
      <c r="H342" s="32">
        <f>IF($AB342="G",SUM($AH$8:$AH$407),IF(OR($AB342="",$AB342="R"),"",IF($AB342="D",INDEX($AH$8:$AH$407,$AA342),SUMIF($T$8:$T$407,INDEX($T$8:$T$407,$AA342),$AH$8:$AH$407))))</f>
        <v/>
      </c>
      <c r="J342">
        <f>IFERROR(MATCH(335,บันทึกรายเที่ยว!$W$6:$W$6005,0),"")</f>
        <v/>
      </c>
      <c r="K342">
        <f>IF($J342="","",INDEX(บันทึกรายเที่ยว!$T$6:$T$6005,$J342))</f>
        <v/>
      </c>
      <c r="L342">
        <f>IF($J342="","",INDEX(บันทึกรายเที่ยว!$S$6:$S$6005,$J342))</f>
        <v/>
      </c>
      <c r="M342">
        <f>IF($J342="","",INDEX(บันทึกรายเที่ยว!$R$6:$R$6005,$J342))</f>
        <v/>
      </c>
      <c r="N342">
        <f>IF($J342="","",MATCH($M342,บันทึกรายเที่ยว!$R$6:$R$6005,0))</f>
        <v/>
      </c>
      <c r="O342">
        <f>IF($J342="","",MATCH($L342,บันทึกรายเที่ยว!$S$6:$S$6005,0))</f>
        <v/>
      </c>
      <c r="P342">
        <f>IF($J342="","",IF(AND(OR($I$3="(ทั้งหมด)",INDEX(บันทึกรายเที่ยว!$C$6:$C$6005,$J342)=$I$3),OR($I$5="(ทั้งหมด)",INDEX(บันทึกรายเที่ยว!$D$6:$D$6005,$J342)=$I$5),OR($I$7="(ทั้งหมด)",INDEX(บันทึกรายเที่ยว!$F$6:$F$6005,$J342)=$I$7)),$N342*10000000+$O342*1000+335,""))</f>
        <v/>
      </c>
      <c r="Q342">
        <f>IFERROR(MATCH(SMALL($P$8:$P$407,335),$P$8:$P$407,0),"")</f>
        <v/>
      </c>
      <c r="R342">
        <f>IF($Q342="","",INDEX($J$8:$J$407,$Q342))</f>
        <v/>
      </c>
      <c r="S342">
        <f>IF($Q342="","",INDEX($M$8:$M$407,$Q342))</f>
        <v/>
      </c>
      <c r="T342">
        <f>IF($Q342="","",INDEX($L$8:$L$407,$Q342))</f>
        <v/>
      </c>
      <c r="U342">
        <f>IF($Q342="","",INDEX($K$8:$K$407,$Q342))</f>
        <v/>
      </c>
      <c r="V342">
        <f>IF($Q342="",0,IF($S342&lt;&gt;$S341,1,0))</f>
        <v/>
      </c>
      <c r="W342">
        <f>IF($Q342="",0,IF($T342&lt;&gt;$T341,1,0))</f>
        <v/>
      </c>
      <c r="X342">
        <f>IF($Q342="",99999+335,$X341+1+$V341+$W341)</f>
        <v/>
      </c>
      <c r="Y342">
        <f>IF($Q342="","",INDEX(บันทึกรายเที่ยว!$Q$6:$Q$6005,$R342))</f>
        <v/>
      </c>
      <c r="Z342">
        <f>IF($Q342="","",INDEX(บันทึกรายเที่ยว!$F$6:$F$6005,$R342))</f>
        <v/>
      </c>
      <c r="AA342">
        <f>IFERROR(MATCH(335,$X$8:$X$407,1),"")</f>
        <v/>
      </c>
      <c r="AB342">
        <f>IF(335=$AD$1+1,"G",IF($AA342="","",IF(INDEX($Q$8:$Q$407,$AA342)="","",IF(335&gt;INDEX($X$8:$X$407,$AA342)+INDEX($V$8:$V$407,$AA342)+INDEX($W$8:$W$407,$AA342),"",IF(335=INDEX($X$8:$X$407,$AA342)+INDEX($V$8:$V$407,$AA342)+INDEX($W$8:$W$407,$AA342),"D",IF(AND(INDEX($W$8:$W$407,$AA342)=1,335=INDEX($X$8:$X$407,$AA342)+INDEX($V$8:$V$407,$AA342)),"S","R"))))))</f>
        <v/>
      </c>
      <c r="AC342">
        <f>IF(OR($AB342="",$AB342="G"),"",IF($AB342="D",INDEX($U$8:$U$407,$AA342),IF($AB342="S",INDEX($T$8:$T$407,$AA342)&amp;"|*",INDEX($S$8:$S$407,$AA342)&amp;"|*")))</f>
        <v/>
      </c>
      <c r="AE342">
        <f>IF($U342="",0,COUNTIF(บันทึกรายเที่ยว!$T$6:$T$6005,$U342))</f>
        <v/>
      </c>
      <c r="AF342">
        <f>IF($U342="",0,ROUND(SUMIF(บันทึกรายเที่ยว!$T$6:$T$6005,$U342,บันทึกรายเที่ยว!$J$6:$J$6005),2))</f>
        <v/>
      </c>
      <c r="AG342">
        <f>IF($U342="",0,ROUND(SUMIF(บันทึกรายเที่ยว!$T$6:$T$6005,$U342,บันทึกรายเที่ยว!$K$6:$K$6005),2))</f>
        <v/>
      </c>
      <c r="AH342">
        <f>IF($U342="",0,ROUND(SUMIF(บันทึกรายเที่ยว!$T$6:$T$6005,$U342,บันทึกรายเที่ยว!$M$6:$M$6005),2))</f>
        <v/>
      </c>
    </row>
    <row r="343" ht="21" customHeight="1" s="66">
      <c r="A343" s="3">
        <f>IF($AB343="G","ผลรวมทั้งหมด",IF($AB343="R",INDEX($S$8:$S$407,$AA343),""))</f>
        <v/>
      </c>
      <c r="B343" s="3">
        <f>IF($AB343="S",INDEX($Y$8:$Y$407,$AA343),"")</f>
        <v/>
      </c>
      <c r="C343" s="68">
        <f>IF($AB343="D",INDEX($Z$8:$Z$407,$AA343),"")</f>
        <v/>
      </c>
      <c r="D343" s="31">
        <f>IF($AB343="G",SUM($AE$8:$AE$407),IF(OR($AB343="",$AB343="R"),"",IF($AB343="D",INDEX($AE$8:$AE$407,$AA343),SUMIF($T$8:$T$407,INDEX($T$8:$T$407,$AA343),$AE$8:$AE$407))))</f>
        <v/>
      </c>
      <c r="E343" s="32">
        <f>IF(336=$AD$1+3,"ขอแสดงความนับถือ",IF(336=$AD$1+6,"(                 )",IF(336=$AD$1+7,"เจ้าหน้าที่ขนส่ง",IF($AB343="G",SUM($AF$8:$AF$407),IF(OR($AB343="",$AB343="R"),"",IF($AB343="D",INDEX($AF$8:$AF$407,$AA343),SUMIF($T$8:$T$407,INDEX($T$8:$T$407,$AA343),$AF$8:$AF$407)))))))</f>
        <v/>
      </c>
      <c r="F343" s="32">
        <f>IF($AB343="G",SUM($AG$8:$AG$407),IF(OR($AB343="",$AB343="R"),"",IF($AB343="D",INDEX($AG$8:$AG$407,$AA343),SUMIF($T$8:$T$407,INDEX($T$8:$T$407,$AA343),$AG$8:$AG$407))))</f>
        <v/>
      </c>
      <c r="G343" s="32">
        <f>IF(OR($AB343="",$AB343="R"),"",ROUND($E343-$F343,2))</f>
        <v/>
      </c>
      <c r="H343" s="32">
        <f>IF($AB343="G",SUM($AH$8:$AH$407),IF(OR($AB343="",$AB343="R"),"",IF($AB343="D",INDEX($AH$8:$AH$407,$AA343),SUMIF($T$8:$T$407,INDEX($T$8:$T$407,$AA343),$AH$8:$AH$407))))</f>
        <v/>
      </c>
      <c r="J343">
        <f>IFERROR(MATCH(336,บันทึกรายเที่ยว!$W$6:$W$6005,0),"")</f>
        <v/>
      </c>
      <c r="K343">
        <f>IF($J343="","",INDEX(บันทึกรายเที่ยว!$T$6:$T$6005,$J343))</f>
        <v/>
      </c>
      <c r="L343">
        <f>IF($J343="","",INDEX(บันทึกรายเที่ยว!$S$6:$S$6005,$J343))</f>
        <v/>
      </c>
      <c r="M343">
        <f>IF($J343="","",INDEX(บันทึกรายเที่ยว!$R$6:$R$6005,$J343))</f>
        <v/>
      </c>
      <c r="N343">
        <f>IF($J343="","",MATCH($M343,บันทึกรายเที่ยว!$R$6:$R$6005,0))</f>
        <v/>
      </c>
      <c r="O343">
        <f>IF($J343="","",MATCH($L343,บันทึกรายเที่ยว!$S$6:$S$6005,0))</f>
        <v/>
      </c>
      <c r="P343">
        <f>IF($J343="","",IF(AND(OR($I$3="(ทั้งหมด)",INDEX(บันทึกรายเที่ยว!$C$6:$C$6005,$J343)=$I$3),OR($I$5="(ทั้งหมด)",INDEX(บันทึกรายเที่ยว!$D$6:$D$6005,$J343)=$I$5),OR($I$7="(ทั้งหมด)",INDEX(บันทึกรายเที่ยว!$F$6:$F$6005,$J343)=$I$7)),$N343*10000000+$O343*1000+336,""))</f>
        <v/>
      </c>
      <c r="Q343">
        <f>IFERROR(MATCH(SMALL($P$8:$P$407,336),$P$8:$P$407,0),"")</f>
        <v/>
      </c>
      <c r="R343">
        <f>IF($Q343="","",INDEX($J$8:$J$407,$Q343))</f>
        <v/>
      </c>
      <c r="S343">
        <f>IF($Q343="","",INDEX($M$8:$M$407,$Q343))</f>
        <v/>
      </c>
      <c r="T343">
        <f>IF($Q343="","",INDEX($L$8:$L$407,$Q343))</f>
        <v/>
      </c>
      <c r="U343">
        <f>IF($Q343="","",INDEX($K$8:$K$407,$Q343))</f>
        <v/>
      </c>
      <c r="V343">
        <f>IF($Q343="",0,IF($S343&lt;&gt;$S342,1,0))</f>
        <v/>
      </c>
      <c r="W343">
        <f>IF($Q343="",0,IF($T343&lt;&gt;$T342,1,0))</f>
        <v/>
      </c>
      <c r="X343">
        <f>IF($Q343="",99999+336,$X342+1+$V342+$W342)</f>
        <v/>
      </c>
      <c r="Y343">
        <f>IF($Q343="","",INDEX(บันทึกรายเที่ยว!$Q$6:$Q$6005,$R343))</f>
        <v/>
      </c>
      <c r="Z343">
        <f>IF($Q343="","",INDEX(บันทึกรายเที่ยว!$F$6:$F$6005,$R343))</f>
        <v/>
      </c>
      <c r="AA343">
        <f>IFERROR(MATCH(336,$X$8:$X$407,1),"")</f>
        <v/>
      </c>
      <c r="AB343">
        <f>IF(336=$AD$1+1,"G",IF($AA343="","",IF(INDEX($Q$8:$Q$407,$AA343)="","",IF(336&gt;INDEX($X$8:$X$407,$AA343)+INDEX($V$8:$V$407,$AA343)+INDEX($W$8:$W$407,$AA343),"",IF(336=INDEX($X$8:$X$407,$AA343)+INDEX($V$8:$V$407,$AA343)+INDEX($W$8:$W$407,$AA343),"D",IF(AND(INDEX($W$8:$W$407,$AA343)=1,336=INDEX($X$8:$X$407,$AA343)+INDEX($V$8:$V$407,$AA343)),"S","R"))))))</f>
        <v/>
      </c>
      <c r="AC343">
        <f>IF(OR($AB343="",$AB343="G"),"",IF($AB343="D",INDEX($U$8:$U$407,$AA343),IF($AB343="S",INDEX($T$8:$T$407,$AA343)&amp;"|*",INDEX($S$8:$S$407,$AA343)&amp;"|*")))</f>
        <v/>
      </c>
      <c r="AE343">
        <f>IF($U343="",0,COUNTIF(บันทึกรายเที่ยว!$T$6:$T$6005,$U343))</f>
        <v/>
      </c>
      <c r="AF343">
        <f>IF($U343="",0,ROUND(SUMIF(บันทึกรายเที่ยว!$T$6:$T$6005,$U343,บันทึกรายเที่ยว!$J$6:$J$6005),2))</f>
        <v/>
      </c>
      <c r="AG343">
        <f>IF($U343="",0,ROUND(SUMIF(บันทึกรายเที่ยว!$T$6:$T$6005,$U343,บันทึกรายเที่ยว!$K$6:$K$6005),2))</f>
        <v/>
      </c>
      <c r="AH343">
        <f>IF($U343="",0,ROUND(SUMIF(บันทึกรายเที่ยว!$T$6:$T$6005,$U343,บันทึกรายเที่ยว!$M$6:$M$6005),2))</f>
        <v/>
      </c>
    </row>
    <row r="344" ht="21" customHeight="1" s="66">
      <c r="A344" s="3">
        <f>IF($AB344="G","ผลรวมทั้งหมด",IF($AB344="R",INDEX($S$8:$S$407,$AA344),""))</f>
        <v/>
      </c>
      <c r="B344" s="3">
        <f>IF($AB344="S",INDEX($Y$8:$Y$407,$AA344),"")</f>
        <v/>
      </c>
      <c r="C344" s="68">
        <f>IF($AB344="D",INDEX($Z$8:$Z$407,$AA344),"")</f>
        <v/>
      </c>
      <c r="D344" s="31">
        <f>IF($AB344="G",SUM($AE$8:$AE$407),IF(OR($AB344="",$AB344="R"),"",IF($AB344="D",INDEX($AE$8:$AE$407,$AA344),SUMIF($T$8:$T$407,INDEX($T$8:$T$407,$AA344),$AE$8:$AE$407))))</f>
        <v/>
      </c>
      <c r="E344" s="32">
        <f>IF(337=$AD$1+3,"ขอแสดงความนับถือ",IF(337=$AD$1+6,"(                 )",IF(337=$AD$1+7,"เจ้าหน้าที่ขนส่ง",IF($AB344="G",SUM($AF$8:$AF$407),IF(OR($AB344="",$AB344="R"),"",IF($AB344="D",INDEX($AF$8:$AF$407,$AA344),SUMIF($T$8:$T$407,INDEX($T$8:$T$407,$AA344),$AF$8:$AF$407)))))))</f>
        <v/>
      </c>
      <c r="F344" s="32">
        <f>IF($AB344="G",SUM($AG$8:$AG$407),IF(OR($AB344="",$AB344="R"),"",IF($AB344="D",INDEX($AG$8:$AG$407,$AA344),SUMIF($T$8:$T$407,INDEX($T$8:$T$407,$AA344),$AG$8:$AG$407))))</f>
        <v/>
      </c>
      <c r="G344" s="32">
        <f>IF(OR($AB344="",$AB344="R"),"",ROUND($E344-$F344,2))</f>
        <v/>
      </c>
      <c r="H344" s="32">
        <f>IF($AB344="G",SUM($AH$8:$AH$407),IF(OR($AB344="",$AB344="R"),"",IF($AB344="D",INDEX($AH$8:$AH$407,$AA344),SUMIF($T$8:$T$407,INDEX($T$8:$T$407,$AA344),$AH$8:$AH$407))))</f>
        <v/>
      </c>
      <c r="J344">
        <f>IFERROR(MATCH(337,บันทึกรายเที่ยว!$W$6:$W$6005,0),"")</f>
        <v/>
      </c>
      <c r="K344">
        <f>IF($J344="","",INDEX(บันทึกรายเที่ยว!$T$6:$T$6005,$J344))</f>
        <v/>
      </c>
      <c r="L344">
        <f>IF($J344="","",INDEX(บันทึกรายเที่ยว!$S$6:$S$6005,$J344))</f>
        <v/>
      </c>
      <c r="M344">
        <f>IF($J344="","",INDEX(บันทึกรายเที่ยว!$R$6:$R$6005,$J344))</f>
        <v/>
      </c>
      <c r="N344">
        <f>IF($J344="","",MATCH($M344,บันทึกรายเที่ยว!$R$6:$R$6005,0))</f>
        <v/>
      </c>
      <c r="O344">
        <f>IF($J344="","",MATCH($L344,บันทึกรายเที่ยว!$S$6:$S$6005,0))</f>
        <v/>
      </c>
      <c r="P344">
        <f>IF($J344="","",IF(AND(OR($I$3="(ทั้งหมด)",INDEX(บันทึกรายเที่ยว!$C$6:$C$6005,$J344)=$I$3),OR($I$5="(ทั้งหมด)",INDEX(บันทึกรายเที่ยว!$D$6:$D$6005,$J344)=$I$5),OR($I$7="(ทั้งหมด)",INDEX(บันทึกรายเที่ยว!$F$6:$F$6005,$J344)=$I$7)),$N344*10000000+$O344*1000+337,""))</f>
        <v/>
      </c>
      <c r="Q344">
        <f>IFERROR(MATCH(SMALL($P$8:$P$407,337),$P$8:$P$407,0),"")</f>
        <v/>
      </c>
      <c r="R344">
        <f>IF($Q344="","",INDEX($J$8:$J$407,$Q344))</f>
        <v/>
      </c>
      <c r="S344">
        <f>IF($Q344="","",INDEX($M$8:$M$407,$Q344))</f>
        <v/>
      </c>
      <c r="T344">
        <f>IF($Q344="","",INDEX($L$8:$L$407,$Q344))</f>
        <v/>
      </c>
      <c r="U344">
        <f>IF($Q344="","",INDEX($K$8:$K$407,$Q344))</f>
        <v/>
      </c>
      <c r="V344">
        <f>IF($Q344="",0,IF($S344&lt;&gt;$S343,1,0))</f>
        <v/>
      </c>
      <c r="W344">
        <f>IF($Q344="",0,IF($T344&lt;&gt;$T343,1,0))</f>
        <v/>
      </c>
      <c r="X344">
        <f>IF($Q344="",99999+337,$X343+1+$V343+$W343)</f>
        <v/>
      </c>
      <c r="Y344">
        <f>IF($Q344="","",INDEX(บันทึกรายเที่ยว!$Q$6:$Q$6005,$R344))</f>
        <v/>
      </c>
      <c r="Z344">
        <f>IF($Q344="","",INDEX(บันทึกรายเที่ยว!$F$6:$F$6005,$R344))</f>
        <v/>
      </c>
      <c r="AA344">
        <f>IFERROR(MATCH(337,$X$8:$X$407,1),"")</f>
        <v/>
      </c>
      <c r="AB344">
        <f>IF(337=$AD$1+1,"G",IF($AA344="","",IF(INDEX($Q$8:$Q$407,$AA344)="","",IF(337&gt;INDEX($X$8:$X$407,$AA344)+INDEX($V$8:$V$407,$AA344)+INDEX($W$8:$W$407,$AA344),"",IF(337=INDEX($X$8:$X$407,$AA344)+INDEX($V$8:$V$407,$AA344)+INDEX($W$8:$W$407,$AA344),"D",IF(AND(INDEX($W$8:$W$407,$AA344)=1,337=INDEX($X$8:$X$407,$AA344)+INDEX($V$8:$V$407,$AA344)),"S","R"))))))</f>
        <v/>
      </c>
      <c r="AC344">
        <f>IF(OR($AB344="",$AB344="G"),"",IF($AB344="D",INDEX($U$8:$U$407,$AA344),IF($AB344="S",INDEX($T$8:$T$407,$AA344)&amp;"|*",INDEX($S$8:$S$407,$AA344)&amp;"|*")))</f>
        <v/>
      </c>
      <c r="AE344">
        <f>IF($U344="",0,COUNTIF(บันทึกรายเที่ยว!$T$6:$T$6005,$U344))</f>
        <v/>
      </c>
      <c r="AF344">
        <f>IF($U344="",0,ROUND(SUMIF(บันทึกรายเที่ยว!$T$6:$T$6005,$U344,บันทึกรายเที่ยว!$J$6:$J$6005),2))</f>
        <v/>
      </c>
      <c r="AG344">
        <f>IF($U344="",0,ROUND(SUMIF(บันทึกรายเที่ยว!$T$6:$T$6005,$U344,บันทึกรายเที่ยว!$K$6:$K$6005),2))</f>
        <v/>
      </c>
      <c r="AH344">
        <f>IF($U344="",0,ROUND(SUMIF(บันทึกรายเที่ยว!$T$6:$T$6005,$U344,บันทึกรายเที่ยว!$M$6:$M$6005),2))</f>
        <v/>
      </c>
    </row>
    <row r="345" ht="21" customHeight="1" s="66">
      <c r="A345" s="3">
        <f>IF($AB345="G","ผลรวมทั้งหมด",IF($AB345="R",INDEX($S$8:$S$407,$AA345),""))</f>
        <v/>
      </c>
      <c r="B345" s="3">
        <f>IF($AB345="S",INDEX($Y$8:$Y$407,$AA345),"")</f>
        <v/>
      </c>
      <c r="C345" s="68">
        <f>IF($AB345="D",INDEX($Z$8:$Z$407,$AA345),"")</f>
        <v/>
      </c>
      <c r="D345" s="31">
        <f>IF($AB345="G",SUM($AE$8:$AE$407),IF(OR($AB345="",$AB345="R"),"",IF($AB345="D",INDEX($AE$8:$AE$407,$AA345),SUMIF($T$8:$T$407,INDEX($T$8:$T$407,$AA345),$AE$8:$AE$407))))</f>
        <v/>
      </c>
      <c r="E345" s="32">
        <f>IF(338=$AD$1+3,"ขอแสดงความนับถือ",IF(338=$AD$1+6,"(                 )",IF(338=$AD$1+7,"เจ้าหน้าที่ขนส่ง",IF($AB345="G",SUM($AF$8:$AF$407),IF(OR($AB345="",$AB345="R"),"",IF($AB345="D",INDEX($AF$8:$AF$407,$AA345),SUMIF($T$8:$T$407,INDEX($T$8:$T$407,$AA345),$AF$8:$AF$407)))))))</f>
        <v/>
      </c>
      <c r="F345" s="32">
        <f>IF($AB345="G",SUM($AG$8:$AG$407),IF(OR($AB345="",$AB345="R"),"",IF($AB345="D",INDEX($AG$8:$AG$407,$AA345),SUMIF($T$8:$T$407,INDEX($T$8:$T$407,$AA345),$AG$8:$AG$407))))</f>
        <v/>
      </c>
      <c r="G345" s="32">
        <f>IF(OR($AB345="",$AB345="R"),"",ROUND($E345-$F345,2))</f>
        <v/>
      </c>
      <c r="H345" s="32">
        <f>IF($AB345="G",SUM($AH$8:$AH$407),IF(OR($AB345="",$AB345="R"),"",IF($AB345="D",INDEX($AH$8:$AH$407,$AA345),SUMIF($T$8:$T$407,INDEX($T$8:$T$407,$AA345),$AH$8:$AH$407))))</f>
        <v/>
      </c>
      <c r="J345">
        <f>IFERROR(MATCH(338,บันทึกรายเที่ยว!$W$6:$W$6005,0),"")</f>
        <v/>
      </c>
      <c r="K345">
        <f>IF($J345="","",INDEX(บันทึกรายเที่ยว!$T$6:$T$6005,$J345))</f>
        <v/>
      </c>
      <c r="L345">
        <f>IF($J345="","",INDEX(บันทึกรายเที่ยว!$S$6:$S$6005,$J345))</f>
        <v/>
      </c>
      <c r="M345">
        <f>IF($J345="","",INDEX(บันทึกรายเที่ยว!$R$6:$R$6005,$J345))</f>
        <v/>
      </c>
      <c r="N345">
        <f>IF($J345="","",MATCH($M345,บันทึกรายเที่ยว!$R$6:$R$6005,0))</f>
        <v/>
      </c>
      <c r="O345">
        <f>IF($J345="","",MATCH($L345,บันทึกรายเที่ยว!$S$6:$S$6005,0))</f>
        <v/>
      </c>
      <c r="P345">
        <f>IF($J345="","",IF(AND(OR($I$3="(ทั้งหมด)",INDEX(บันทึกรายเที่ยว!$C$6:$C$6005,$J345)=$I$3),OR($I$5="(ทั้งหมด)",INDEX(บันทึกรายเที่ยว!$D$6:$D$6005,$J345)=$I$5),OR($I$7="(ทั้งหมด)",INDEX(บันทึกรายเที่ยว!$F$6:$F$6005,$J345)=$I$7)),$N345*10000000+$O345*1000+338,""))</f>
        <v/>
      </c>
      <c r="Q345">
        <f>IFERROR(MATCH(SMALL($P$8:$P$407,338),$P$8:$P$407,0),"")</f>
        <v/>
      </c>
      <c r="R345">
        <f>IF($Q345="","",INDEX($J$8:$J$407,$Q345))</f>
        <v/>
      </c>
      <c r="S345">
        <f>IF($Q345="","",INDEX($M$8:$M$407,$Q345))</f>
        <v/>
      </c>
      <c r="T345">
        <f>IF($Q345="","",INDEX($L$8:$L$407,$Q345))</f>
        <v/>
      </c>
      <c r="U345">
        <f>IF($Q345="","",INDEX($K$8:$K$407,$Q345))</f>
        <v/>
      </c>
      <c r="V345">
        <f>IF($Q345="",0,IF($S345&lt;&gt;$S344,1,0))</f>
        <v/>
      </c>
      <c r="W345">
        <f>IF($Q345="",0,IF($T345&lt;&gt;$T344,1,0))</f>
        <v/>
      </c>
      <c r="X345">
        <f>IF($Q345="",99999+338,$X344+1+$V344+$W344)</f>
        <v/>
      </c>
      <c r="Y345">
        <f>IF($Q345="","",INDEX(บันทึกรายเที่ยว!$Q$6:$Q$6005,$R345))</f>
        <v/>
      </c>
      <c r="Z345">
        <f>IF($Q345="","",INDEX(บันทึกรายเที่ยว!$F$6:$F$6005,$R345))</f>
        <v/>
      </c>
      <c r="AA345">
        <f>IFERROR(MATCH(338,$X$8:$X$407,1),"")</f>
        <v/>
      </c>
      <c r="AB345">
        <f>IF(338=$AD$1+1,"G",IF($AA345="","",IF(INDEX($Q$8:$Q$407,$AA345)="","",IF(338&gt;INDEX($X$8:$X$407,$AA345)+INDEX($V$8:$V$407,$AA345)+INDEX($W$8:$W$407,$AA345),"",IF(338=INDEX($X$8:$X$407,$AA345)+INDEX($V$8:$V$407,$AA345)+INDEX($W$8:$W$407,$AA345),"D",IF(AND(INDEX($W$8:$W$407,$AA345)=1,338=INDEX($X$8:$X$407,$AA345)+INDEX($V$8:$V$407,$AA345)),"S","R"))))))</f>
        <v/>
      </c>
      <c r="AC345">
        <f>IF(OR($AB345="",$AB345="G"),"",IF($AB345="D",INDEX($U$8:$U$407,$AA345),IF($AB345="S",INDEX($T$8:$T$407,$AA345)&amp;"|*",INDEX($S$8:$S$407,$AA345)&amp;"|*")))</f>
        <v/>
      </c>
      <c r="AE345">
        <f>IF($U345="",0,COUNTIF(บันทึกรายเที่ยว!$T$6:$T$6005,$U345))</f>
        <v/>
      </c>
      <c r="AF345">
        <f>IF($U345="",0,ROUND(SUMIF(บันทึกรายเที่ยว!$T$6:$T$6005,$U345,บันทึกรายเที่ยว!$J$6:$J$6005),2))</f>
        <v/>
      </c>
      <c r="AG345">
        <f>IF($U345="",0,ROUND(SUMIF(บันทึกรายเที่ยว!$T$6:$T$6005,$U345,บันทึกรายเที่ยว!$K$6:$K$6005),2))</f>
        <v/>
      </c>
      <c r="AH345">
        <f>IF($U345="",0,ROUND(SUMIF(บันทึกรายเที่ยว!$T$6:$T$6005,$U345,บันทึกรายเที่ยว!$M$6:$M$6005),2))</f>
        <v/>
      </c>
    </row>
    <row r="346" ht="21" customHeight="1" s="66">
      <c r="A346" s="3">
        <f>IF($AB346="G","ผลรวมทั้งหมด",IF($AB346="R",INDEX($S$8:$S$407,$AA346),""))</f>
        <v/>
      </c>
      <c r="B346" s="3">
        <f>IF($AB346="S",INDEX($Y$8:$Y$407,$AA346),"")</f>
        <v/>
      </c>
      <c r="C346" s="68">
        <f>IF($AB346="D",INDEX($Z$8:$Z$407,$AA346),"")</f>
        <v/>
      </c>
      <c r="D346" s="31">
        <f>IF($AB346="G",SUM($AE$8:$AE$407),IF(OR($AB346="",$AB346="R"),"",IF($AB346="D",INDEX($AE$8:$AE$407,$AA346),SUMIF($T$8:$T$407,INDEX($T$8:$T$407,$AA346),$AE$8:$AE$407))))</f>
        <v/>
      </c>
      <c r="E346" s="32">
        <f>IF(339=$AD$1+3,"ขอแสดงความนับถือ",IF(339=$AD$1+6,"(                 )",IF(339=$AD$1+7,"เจ้าหน้าที่ขนส่ง",IF($AB346="G",SUM($AF$8:$AF$407),IF(OR($AB346="",$AB346="R"),"",IF($AB346="D",INDEX($AF$8:$AF$407,$AA346),SUMIF($T$8:$T$407,INDEX($T$8:$T$407,$AA346),$AF$8:$AF$407)))))))</f>
        <v/>
      </c>
      <c r="F346" s="32">
        <f>IF($AB346="G",SUM($AG$8:$AG$407),IF(OR($AB346="",$AB346="R"),"",IF($AB346="D",INDEX($AG$8:$AG$407,$AA346),SUMIF($T$8:$T$407,INDEX($T$8:$T$407,$AA346),$AG$8:$AG$407))))</f>
        <v/>
      </c>
      <c r="G346" s="32">
        <f>IF(OR($AB346="",$AB346="R"),"",ROUND($E346-$F346,2))</f>
        <v/>
      </c>
      <c r="H346" s="32">
        <f>IF($AB346="G",SUM($AH$8:$AH$407),IF(OR($AB346="",$AB346="R"),"",IF($AB346="D",INDEX($AH$8:$AH$407,$AA346),SUMIF($T$8:$T$407,INDEX($T$8:$T$407,$AA346),$AH$8:$AH$407))))</f>
        <v/>
      </c>
      <c r="J346">
        <f>IFERROR(MATCH(339,บันทึกรายเที่ยว!$W$6:$W$6005,0),"")</f>
        <v/>
      </c>
      <c r="K346">
        <f>IF($J346="","",INDEX(บันทึกรายเที่ยว!$T$6:$T$6005,$J346))</f>
        <v/>
      </c>
      <c r="L346">
        <f>IF($J346="","",INDEX(บันทึกรายเที่ยว!$S$6:$S$6005,$J346))</f>
        <v/>
      </c>
      <c r="M346">
        <f>IF($J346="","",INDEX(บันทึกรายเที่ยว!$R$6:$R$6005,$J346))</f>
        <v/>
      </c>
      <c r="N346">
        <f>IF($J346="","",MATCH($M346,บันทึกรายเที่ยว!$R$6:$R$6005,0))</f>
        <v/>
      </c>
      <c r="O346">
        <f>IF($J346="","",MATCH($L346,บันทึกรายเที่ยว!$S$6:$S$6005,0))</f>
        <v/>
      </c>
      <c r="P346">
        <f>IF($J346="","",IF(AND(OR($I$3="(ทั้งหมด)",INDEX(บันทึกรายเที่ยว!$C$6:$C$6005,$J346)=$I$3),OR($I$5="(ทั้งหมด)",INDEX(บันทึกรายเที่ยว!$D$6:$D$6005,$J346)=$I$5),OR($I$7="(ทั้งหมด)",INDEX(บันทึกรายเที่ยว!$F$6:$F$6005,$J346)=$I$7)),$N346*10000000+$O346*1000+339,""))</f>
        <v/>
      </c>
      <c r="Q346">
        <f>IFERROR(MATCH(SMALL($P$8:$P$407,339),$P$8:$P$407,0),"")</f>
        <v/>
      </c>
      <c r="R346">
        <f>IF($Q346="","",INDEX($J$8:$J$407,$Q346))</f>
        <v/>
      </c>
      <c r="S346">
        <f>IF($Q346="","",INDEX($M$8:$M$407,$Q346))</f>
        <v/>
      </c>
      <c r="T346">
        <f>IF($Q346="","",INDEX($L$8:$L$407,$Q346))</f>
        <v/>
      </c>
      <c r="U346">
        <f>IF($Q346="","",INDEX($K$8:$K$407,$Q346))</f>
        <v/>
      </c>
      <c r="V346">
        <f>IF($Q346="",0,IF($S346&lt;&gt;$S345,1,0))</f>
        <v/>
      </c>
      <c r="W346">
        <f>IF($Q346="",0,IF($T346&lt;&gt;$T345,1,0))</f>
        <v/>
      </c>
      <c r="X346">
        <f>IF($Q346="",99999+339,$X345+1+$V345+$W345)</f>
        <v/>
      </c>
      <c r="Y346">
        <f>IF($Q346="","",INDEX(บันทึกรายเที่ยว!$Q$6:$Q$6005,$R346))</f>
        <v/>
      </c>
      <c r="Z346">
        <f>IF($Q346="","",INDEX(บันทึกรายเที่ยว!$F$6:$F$6005,$R346))</f>
        <v/>
      </c>
      <c r="AA346">
        <f>IFERROR(MATCH(339,$X$8:$X$407,1),"")</f>
        <v/>
      </c>
      <c r="AB346">
        <f>IF(339=$AD$1+1,"G",IF($AA346="","",IF(INDEX($Q$8:$Q$407,$AA346)="","",IF(339&gt;INDEX($X$8:$X$407,$AA346)+INDEX($V$8:$V$407,$AA346)+INDEX($W$8:$W$407,$AA346),"",IF(339=INDEX($X$8:$X$407,$AA346)+INDEX($V$8:$V$407,$AA346)+INDEX($W$8:$W$407,$AA346),"D",IF(AND(INDEX($W$8:$W$407,$AA346)=1,339=INDEX($X$8:$X$407,$AA346)+INDEX($V$8:$V$407,$AA346)),"S","R"))))))</f>
        <v/>
      </c>
      <c r="AC346">
        <f>IF(OR($AB346="",$AB346="G"),"",IF($AB346="D",INDEX($U$8:$U$407,$AA346),IF($AB346="S",INDEX($T$8:$T$407,$AA346)&amp;"|*",INDEX($S$8:$S$407,$AA346)&amp;"|*")))</f>
        <v/>
      </c>
      <c r="AE346">
        <f>IF($U346="",0,COUNTIF(บันทึกรายเที่ยว!$T$6:$T$6005,$U346))</f>
        <v/>
      </c>
      <c r="AF346">
        <f>IF($U346="",0,ROUND(SUMIF(บันทึกรายเที่ยว!$T$6:$T$6005,$U346,บันทึกรายเที่ยว!$J$6:$J$6005),2))</f>
        <v/>
      </c>
      <c r="AG346">
        <f>IF($U346="",0,ROUND(SUMIF(บันทึกรายเที่ยว!$T$6:$T$6005,$U346,บันทึกรายเที่ยว!$K$6:$K$6005),2))</f>
        <v/>
      </c>
      <c r="AH346">
        <f>IF($U346="",0,ROUND(SUMIF(บันทึกรายเที่ยว!$T$6:$T$6005,$U346,บันทึกรายเที่ยว!$M$6:$M$6005),2))</f>
        <v/>
      </c>
    </row>
    <row r="347" ht="21" customHeight="1" s="66">
      <c r="A347" s="3">
        <f>IF($AB347="G","ผลรวมทั้งหมด",IF($AB347="R",INDEX($S$8:$S$407,$AA347),""))</f>
        <v/>
      </c>
      <c r="B347" s="3">
        <f>IF($AB347="S",INDEX($Y$8:$Y$407,$AA347),"")</f>
        <v/>
      </c>
      <c r="C347" s="68">
        <f>IF($AB347="D",INDEX($Z$8:$Z$407,$AA347),"")</f>
        <v/>
      </c>
      <c r="D347" s="31">
        <f>IF($AB347="G",SUM($AE$8:$AE$407),IF(OR($AB347="",$AB347="R"),"",IF($AB347="D",INDEX($AE$8:$AE$407,$AA347),SUMIF($T$8:$T$407,INDEX($T$8:$T$407,$AA347),$AE$8:$AE$407))))</f>
        <v/>
      </c>
      <c r="E347" s="32">
        <f>IF(340=$AD$1+3,"ขอแสดงความนับถือ",IF(340=$AD$1+6,"(                 )",IF(340=$AD$1+7,"เจ้าหน้าที่ขนส่ง",IF($AB347="G",SUM($AF$8:$AF$407),IF(OR($AB347="",$AB347="R"),"",IF($AB347="D",INDEX($AF$8:$AF$407,$AA347),SUMIF($T$8:$T$407,INDEX($T$8:$T$407,$AA347),$AF$8:$AF$407)))))))</f>
        <v/>
      </c>
      <c r="F347" s="32">
        <f>IF($AB347="G",SUM($AG$8:$AG$407),IF(OR($AB347="",$AB347="R"),"",IF($AB347="D",INDEX($AG$8:$AG$407,$AA347),SUMIF($T$8:$T$407,INDEX($T$8:$T$407,$AA347),$AG$8:$AG$407))))</f>
        <v/>
      </c>
      <c r="G347" s="32">
        <f>IF(OR($AB347="",$AB347="R"),"",ROUND($E347-$F347,2))</f>
        <v/>
      </c>
      <c r="H347" s="32">
        <f>IF($AB347="G",SUM($AH$8:$AH$407),IF(OR($AB347="",$AB347="R"),"",IF($AB347="D",INDEX($AH$8:$AH$407,$AA347),SUMIF($T$8:$T$407,INDEX($T$8:$T$407,$AA347),$AH$8:$AH$407))))</f>
        <v/>
      </c>
      <c r="J347">
        <f>IFERROR(MATCH(340,บันทึกรายเที่ยว!$W$6:$W$6005,0),"")</f>
        <v/>
      </c>
      <c r="K347">
        <f>IF($J347="","",INDEX(บันทึกรายเที่ยว!$T$6:$T$6005,$J347))</f>
        <v/>
      </c>
      <c r="L347">
        <f>IF($J347="","",INDEX(บันทึกรายเที่ยว!$S$6:$S$6005,$J347))</f>
        <v/>
      </c>
      <c r="M347">
        <f>IF($J347="","",INDEX(บันทึกรายเที่ยว!$R$6:$R$6005,$J347))</f>
        <v/>
      </c>
      <c r="N347">
        <f>IF($J347="","",MATCH($M347,บันทึกรายเที่ยว!$R$6:$R$6005,0))</f>
        <v/>
      </c>
      <c r="O347">
        <f>IF($J347="","",MATCH($L347,บันทึกรายเที่ยว!$S$6:$S$6005,0))</f>
        <v/>
      </c>
      <c r="P347">
        <f>IF($J347="","",IF(AND(OR($I$3="(ทั้งหมด)",INDEX(บันทึกรายเที่ยว!$C$6:$C$6005,$J347)=$I$3),OR($I$5="(ทั้งหมด)",INDEX(บันทึกรายเที่ยว!$D$6:$D$6005,$J347)=$I$5),OR($I$7="(ทั้งหมด)",INDEX(บันทึกรายเที่ยว!$F$6:$F$6005,$J347)=$I$7)),$N347*10000000+$O347*1000+340,""))</f>
        <v/>
      </c>
      <c r="Q347">
        <f>IFERROR(MATCH(SMALL($P$8:$P$407,340),$P$8:$P$407,0),"")</f>
        <v/>
      </c>
      <c r="R347">
        <f>IF($Q347="","",INDEX($J$8:$J$407,$Q347))</f>
        <v/>
      </c>
      <c r="S347">
        <f>IF($Q347="","",INDEX($M$8:$M$407,$Q347))</f>
        <v/>
      </c>
      <c r="T347">
        <f>IF($Q347="","",INDEX($L$8:$L$407,$Q347))</f>
        <v/>
      </c>
      <c r="U347">
        <f>IF($Q347="","",INDEX($K$8:$K$407,$Q347))</f>
        <v/>
      </c>
      <c r="V347">
        <f>IF($Q347="",0,IF($S347&lt;&gt;$S346,1,0))</f>
        <v/>
      </c>
      <c r="W347">
        <f>IF($Q347="",0,IF($T347&lt;&gt;$T346,1,0))</f>
        <v/>
      </c>
      <c r="X347">
        <f>IF($Q347="",99999+340,$X346+1+$V346+$W346)</f>
        <v/>
      </c>
      <c r="Y347">
        <f>IF($Q347="","",INDEX(บันทึกรายเที่ยว!$Q$6:$Q$6005,$R347))</f>
        <v/>
      </c>
      <c r="Z347">
        <f>IF($Q347="","",INDEX(บันทึกรายเที่ยว!$F$6:$F$6005,$R347))</f>
        <v/>
      </c>
      <c r="AA347">
        <f>IFERROR(MATCH(340,$X$8:$X$407,1),"")</f>
        <v/>
      </c>
      <c r="AB347">
        <f>IF(340=$AD$1+1,"G",IF($AA347="","",IF(INDEX($Q$8:$Q$407,$AA347)="","",IF(340&gt;INDEX($X$8:$X$407,$AA347)+INDEX($V$8:$V$407,$AA347)+INDEX($W$8:$W$407,$AA347),"",IF(340=INDEX($X$8:$X$407,$AA347)+INDEX($V$8:$V$407,$AA347)+INDEX($W$8:$W$407,$AA347),"D",IF(AND(INDEX($W$8:$W$407,$AA347)=1,340=INDEX($X$8:$X$407,$AA347)+INDEX($V$8:$V$407,$AA347)),"S","R"))))))</f>
        <v/>
      </c>
      <c r="AC347">
        <f>IF(OR($AB347="",$AB347="G"),"",IF($AB347="D",INDEX($U$8:$U$407,$AA347),IF($AB347="S",INDEX($T$8:$T$407,$AA347)&amp;"|*",INDEX($S$8:$S$407,$AA347)&amp;"|*")))</f>
        <v/>
      </c>
      <c r="AE347">
        <f>IF($U347="",0,COUNTIF(บันทึกรายเที่ยว!$T$6:$T$6005,$U347))</f>
        <v/>
      </c>
      <c r="AF347">
        <f>IF($U347="",0,ROUND(SUMIF(บันทึกรายเที่ยว!$T$6:$T$6005,$U347,บันทึกรายเที่ยว!$J$6:$J$6005),2))</f>
        <v/>
      </c>
      <c r="AG347">
        <f>IF($U347="",0,ROUND(SUMIF(บันทึกรายเที่ยว!$T$6:$T$6005,$U347,บันทึกรายเที่ยว!$K$6:$K$6005),2))</f>
        <v/>
      </c>
      <c r="AH347">
        <f>IF($U347="",0,ROUND(SUMIF(บันทึกรายเที่ยว!$T$6:$T$6005,$U347,บันทึกรายเที่ยว!$M$6:$M$6005),2))</f>
        <v/>
      </c>
    </row>
    <row r="348" ht="21" customHeight="1" s="66">
      <c r="A348" s="3">
        <f>IF($AB348="G","ผลรวมทั้งหมด",IF($AB348="R",INDEX($S$8:$S$407,$AA348),""))</f>
        <v/>
      </c>
      <c r="B348" s="3">
        <f>IF($AB348="S",INDEX($Y$8:$Y$407,$AA348),"")</f>
        <v/>
      </c>
      <c r="C348" s="68">
        <f>IF($AB348="D",INDEX($Z$8:$Z$407,$AA348),"")</f>
        <v/>
      </c>
      <c r="D348" s="31">
        <f>IF($AB348="G",SUM($AE$8:$AE$407),IF(OR($AB348="",$AB348="R"),"",IF($AB348="D",INDEX($AE$8:$AE$407,$AA348),SUMIF($T$8:$T$407,INDEX($T$8:$T$407,$AA348),$AE$8:$AE$407))))</f>
        <v/>
      </c>
      <c r="E348" s="32">
        <f>IF(341=$AD$1+3,"ขอแสดงความนับถือ",IF(341=$AD$1+6,"(                 )",IF(341=$AD$1+7,"เจ้าหน้าที่ขนส่ง",IF($AB348="G",SUM($AF$8:$AF$407),IF(OR($AB348="",$AB348="R"),"",IF($AB348="D",INDEX($AF$8:$AF$407,$AA348),SUMIF($T$8:$T$407,INDEX($T$8:$T$407,$AA348),$AF$8:$AF$407)))))))</f>
        <v/>
      </c>
      <c r="F348" s="32">
        <f>IF($AB348="G",SUM($AG$8:$AG$407),IF(OR($AB348="",$AB348="R"),"",IF($AB348="D",INDEX($AG$8:$AG$407,$AA348),SUMIF($T$8:$T$407,INDEX($T$8:$T$407,$AA348),$AG$8:$AG$407))))</f>
        <v/>
      </c>
      <c r="G348" s="32">
        <f>IF(OR($AB348="",$AB348="R"),"",ROUND($E348-$F348,2))</f>
        <v/>
      </c>
      <c r="H348" s="32">
        <f>IF($AB348="G",SUM($AH$8:$AH$407),IF(OR($AB348="",$AB348="R"),"",IF($AB348="D",INDEX($AH$8:$AH$407,$AA348),SUMIF($T$8:$T$407,INDEX($T$8:$T$407,$AA348),$AH$8:$AH$407))))</f>
        <v/>
      </c>
      <c r="J348">
        <f>IFERROR(MATCH(341,บันทึกรายเที่ยว!$W$6:$W$6005,0),"")</f>
        <v/>
      </c>
      <c r="K348">
        <f>IF($J348="","",INDEX(บันทึกรายเที่ยว!$T$6:$T$6005,$J348))</f>
        <v/>
      </c>
      <c r="L348">
        <f>IF($J348="","",INDEX(บันทึกรายเที่ยว!$S$6:$S$6005,$J348))</f>
        <v/>
      </c>
      <c r="M348">
        <f>IF($J348="","",INDEX(บันทึกรายเที่ยว!$R$6:$R$6005,$J348))</f>
        <v/>
      </c>
      <c r="N348">
        <f>IF($J348="","",MATCH($M348,บันทึกรายเที่ยว!$R$6:$R$6005,0))</f>
        <v/>
      </c>
      <c r="O348">
        <f>IF($J348="","",MATCH($L348,บันทึกรายเที่ยว!$S$6:$S$6005,0))</f>
        <v/>
      </c>
      <c r="P348">
        <f>IF($J348="","",IF(AND(OR($I$3="(ทั้งหมด)",INDEX(บันทึกรายเที่ยว!$C$6:$C$6005,$J348)=$I$3),OR($I$5="(ทั้งหมด)",INDEX(บันทึกรายเที่ยว!$D$6:$D$6005,$J348)=$I$5),OR($I$7="(ทั้งหมด)",INDEX(บันทึกรายเที่ยว!$F$6:$F$6005,$J348)=$I$7)),$N348*10000000+$O348*1000+341,""))</f>
        <v/>
      </c>
      <c r="Q348">
        <f>IFERROR(MATCH(SMALL($P$8:$P$407,341),$P$8:$P$407,0),"")</f>
        <v/>
      </c>
      <c r="R348">
        <f>IF($Q348="","",INDEX($J$8:$J$407,$Q348))</f>
        <v/>
      </c>
      <c r="S348">
        <f>IF($Q348="","",INDEX($M$8:$M$407,$Q348))</f>
        <v/>
      </c>
      <c r="T348">
        <f>IF($Q348="","",INDEX($L$8:$L$407,$Q348))</f>
        <v/>
      </c>
      <c r="U348">
        <f>IF($Q348="","",INDEX($K$8:$K$407,$Q348))</f>
        <v/>
      </c>
      <c r="V348">
        <f>IF($Q348="",0,IF($S348&lt;&gt;$S347,1,0))</f>
        <v/>
      </c>
      <c r="W348">
        <f>IF($Q348="",0,IF($T348&lt;&gt;$T347,1,0))</f>
        <v/>
      </c>
      <c r="X348">
        <f>IF($Q348="",99999+341,$X347+1+$V347+$W347)</f>
        <v/>
      </c>
      <c r="Y348">
        <f>IF($Q348="","",INDEX(บันทึกรายเที่ยว!$Q$6:$Q$6005,$R348))</f>
        <v/>
      </c>
      <c r="Z348">
        <f>IF($Q348="","",INDEX(บันทึกรายเที่ยว!$F$6:$F$6005,$R348))</f>
        <v/>
      </c>
      <c r="AA348">
        <f>IFERROR(MATCH(341,$X$8:$X$407,1),"")</f>
        <v/>
      </c>
      <c r="AB348">
        <f>IF(341=$AD$1+1,"G",IF($AA348="","",IF(INDEX($Q$8:$Q$407,$AA348)="","",IF(341&gt;INDEX($X$8:$X$407,$AA348)+INDEX($V$8:$V$407,$AA348)+INDEX($W$8:$W$407,$AA348),"",IF(341=INDEX($X$8:$X$407,$AA348)+INDEX($V$8:$V$407,$AA348)+INDEX($W$8:$W$407,$AA348),"D",IF(AND(INDEX($W$8:$W$407,$AA348)=1,341=INDEX($X$8:$X$407,$AA348)+INDEX($V$8:$V$407,$AA348)),"S","R"))))))</f>
        <v/>
      </c>
      <c r="AC348">
        <f>IF(OR($AB348="",$AB348="G"),"",IF($AB348="D",INDEX($U$8:$U$407,$AA348),IF($AB348="S",INDEX($T$8:$T$407,$AA348)&amp;"|*",INDEX($S$8:$S$407,$AA348)&amp;"|*")))</f>
        <v/>
      </c>
      <c r="AE348">
        <f>IF($U348="",0,COUNTIF(บันทึกรายเที่ยว!$T$6:$T$6005,$U348))</f>
        <v/>
      </c>
      <c r="AF348">
        <f>IF($U348="",0,ROUND(SUMIF(บันทึกรายเที่ยว!$T$6:$T$6005,$U348,บันทึกรายเที่ยว!$J$6:$J$6005),2))</f>
        <v/>
      </c>
      <c r="AG348">
        <f>IF($U348="",0,ROUND(SUMIF(บันทึกรายเที่ยว!$T$6:$T$6005,$U348,บันทึกรายเที่ยว!$K$6:$K$6005),2))</f>
        <v/>
      </c>
      <c r="AH348">
        <f>IF($U348="",0,ROUND(SUMIF(บันทึกรายเที่ยว!$T$6:$T$6005,$U348,บันทึกรายเที่ยว!$M$6:$M$6005),2))</f>
        <v/>
      </c>
    </row>
    <row r="349" ht="21" customHeight="1" s="66">
      <c r="A349" s="3">
        <f>IF($AB349="G","ผลรวมทั้งหมด",IF($AB349="R",INDEX($S$8:$S$407,$AA349),""))</f>
        <v/>
      </c>
      <c r="B349" s="3">
        <f>IF($AB349="S",INDEX($Y$8:$Y$407,$AA349),"")</f>
        <v/>
      </c>
      <c r="C349" s="68">
        <f>IF($AB349="D",INDEX($Z$8:$Z$407,$AA349),"")</f>
        <v/>
      </c>
      <c r="D349" s="31">
        <f>IF($AB349="G",SUM($AE$8:$AE$407),IF(OR($AB349="",$AB349="R"),"",IF($AB349="D",INDEX($AE$8:$AE$407,$AA349),SUMIF($T$8:$T$407,INDEX($T$8:$T$407,$AA349),$AE$8:$AE$407))))</f>
        <v/>
      </c>
      <c r="E349" s="32">
        <f>IF(342=$AD$1+3,"ขอแสดงความนับถือ",IF(342=$AD$1+6,"(                 )",IF(342=$AD$1+7,"เจ้าหน้าที่ขนส่ง",IF($AB349="G",SUM($AF$8:$AF$407),IF(OR($AB349="",$AB349="R"),"",IF($AB349="D",INDEX($AF$8:$AF$407,$AA349),SUMIF($T$8:$T$407,INDEX($T$8:$T$407,$AA349),$AF$8:$AF$407)))))))</f>
        <v/>
      </c>
      <c r="F349" s="32">
        <f>IF($AB349="G",SUM($AG$8:$AG$407),IF(OR($AB349="",$AB349="R"),"",IF($AB349="D",INDEX($AG$8:$AG$407,$AA349),SUMIF($T$8:$T$407,INDEX($T$8:$T$407,$AA349),$AG$8:$AG$407))))</f>
        <v/>
      </c>
      <c r="G349" s="32">
        <f>IF(OR($AB349="",$AB349="R"),"",ROUND($E349-$F349,2))</f>
        <v/>
      </c>
      <c r="H349" s="32">
        <f>IF($AB349="G",SUM($AH$8:$AH$407),IF(OR($AB349="",$AB349="R"),"",IF($AB349="D",INDEX($AH$8:$AH$407,$AA349),SUMIF($T$8:$T$407,INDEX($T$8:$T$407,$AA349),$AH$8:$AH$407))))</f>
        <v/>
      </c>
      <c r="J349">
        <f>IFERROR(MATCH(342,บันทึกรายเที่ยว!$W$6:$W$6005,0),"")</f>
        <v/>
      </c>
      <c r="K349">
        <f>IF($J349="","",INDEX(บันทึกรายเที่ยว!$T$6:$T$6005,$J349))</f>
        <v/>
      </c>
      <c r="L349">
        <f>IF($J349="","",INDEX(บันทึกรายเที่ยว!$S$6:$S$6005,$J349))</f>
        <v/>
      </c>
      <c r="M349">
        <f>IF($J349="","",INDEX(บันทึกรายเที่ยว!$R$6:$R$6005,$J349))</f>
        <v/>
      </c>
      <c r="N349">
        <f>IF($J349="","",MATCH($M349,บันทึกรายเที่ยว!$R$6:$R$6005,0))</f>
        <v/>
      </c>
      <c r="O349">
        <f>IF($J349="","",MATCH($L349,บันทึกรายเที่ยว!$S$6:$S$6005,0))</f>
        <v/>
      </c>
      <c r="P349">
        <f>IF($J349="","",IF(AND(OR($I$3="(ทั้งหมด)",INDEX(บันทึกรายเที่ยว!$C$6:$C$6005,$J349)=$I$3),OR($I$5="(ทั้งหมด)",INDEX(บันทึกรายเที่ยว!$D$6:$D$6005,$J349)=$I$5),OR($I$7="(ทั้งหมด)",INDEX(บันทึกรายเที่ยว!$F$6:$F$6005,$J349)=$I$7)),$N349*10000000+$O349*1000+342,""))</f>
        <v/>
      </c>
      <c r="Q349">
        <f>IFERROR(MATCH(SMALL($P$8:$P$407,342),$P$8:$P$407,0),"")</f>
        <v/>
      </c>
      <c r="R349">
        <f>IF($Q349="","",INDEX($J$8:$J$407,$Q349))</f>
        <v/>
      </c>
      <c r="S349">
        <f>IF($Q349="","",INDEX($M$8:$M$407,$Q349))</f>
        <v/>
      </c>
      <c r="T349">
        <f>IF($Q349="","",INDEX($L$8:$L$407,$Q349))</f>
        <v/>
      </c>
      <c r="U349">
        <f>IF($Q349="","",INDEX($K$8:$K$407,$Q349))</f>
        <v/>
      </c>
      <c r="V349">
        <f>IF($Q349="",0,IF($S349&lt;&gt;$S348,1,0))</f>
        <v/>
      </c>
      <c r="W349">
        <f>IF($Q349="",0,IF($T349&lt;&gt;$T348,1,0))</f>
        <v/>
      </c>
      <c r="X349">
        <f>IF($Q349="",99999+342,$X348+1+$V348+$W348)</f>
        <v/>
      </c>
      <c r="Y349">
        <f>IF($Q349="","",INDEX(บันทึกรายเที่ยว!$Q$6:$Q$6005,$R349))</f>
        <v/>
      </c>
      <c r="Z349">
        <f>IF($Q349="","",INDEX(บันทึกรายเที่ยว!$F$6:$F$6005,$R349))</f>
        <v/>
      </c>
      <c r="AA349">
        <f>IFERROR(MATCH(342,$X$8:$X$407,1),"")</f>
        <v/>
      </c>
      <c r="AB349">
        <f>IF(342=$AD$1+1,"G",IF($AA349="","",IF(INDEX($Q$8:$Q$407,$AA349)="","",IF(342&gt;INDEX($X$8:$X$407,$AA349)+INDEX($V$8:$V$407,$AA349)+INDEX($W$8:$W$407,$AA349),"",IF(342=INDEX($X$8:$X$407,$AA349)+INDEX($V$8:$V$407,$AA349)+INDEX($W$8:$W$407,$AA349),"D",IF(AND(INDEX($W$8:$W$407,$AA349)=1,342=INDEX($X$8:$X$407,$AA349)+INDEX($V$8:$V$407,$AA349)),"S","R"))))))</f>
        <v/>
      </c>
      <c r="AC349">
        <f>IF(OR($AB349="",$AB349="G"),"",IF($AB349="D",INDEX($U$8:$U$407,$AA349),IF($AB349="S",INDEX($T$8:$T$407,$AA349)&amp;"|*",INDEX($S$8:$S$407,$AA349)&amp;"|*")))</f>
        <v/>
      </c>
      <c r="AE349">
        <f>IF($U349="",0,COUNTIF(บันทึกรายเที่ยว!$T$6:$T$6005,$U349))</f>
        <v/>
      </c>
      <c r="AF349">
        <f>IF($U349="",0,ROUND(SUMIF(บันทึกรายเที่ยว!$T$6:$T$6005,$U349,บันทึกรายเที่ยว!$J$6:$J$6005),2))</f>
        <v/>
      </c>
      <c r="AG349">
        <f>IF($U349="",0,ROUND(SUMIF(บันทึกรายเที่ยว!$T$6:$T$6005,$U349,บันทึกรายเที่ยว!$K$6:$K$6005),2))</f>
        <v/>
      </c>
      <c r="AH349">
        <f>IF($U349="",0,ROUND(SUMIF(บันทึกรายเที่ยว!$T$6:$T$6005,$U349,บันทึกรายเที่ยว!$M$6:$M$6005),2))</f>
        <v/>
      </c>
    </row>
    <row r="350" ht="21" customHeight="1" s="66">
      <c r="A350" s="3">
        <f>IF($AB350="G","ผลรวมทั้งหมด",IF($AB350="R",INDEX($S$8:$S$407,$AA350),""))</f>
        <v/>
      </c>
      <c r="B350" s="3">
        <f>IF($AB350="S",INDEX($Y$8:$Y$407,$AA350),"")</f>
        <v/>
      </c>
      <c r="C350" s="68">
        <f>IF($AB350="D",INDEX($Z$8:$Z$407,$AA350),"")</f>
        <v/>
      </c>
      <c r="D350" s="31">
        <f>IF($AB350="G",SUM($AE$8:$AE$407),IF(OR($AB350="",$AB350="R"),"",IF($AB350="D",INDEX($AE$8:$AE$407,$AA350),SUMIF($T$8:$T$407,INDEX($T$8:$T$407,$AA350),$AE$8:$AE$407))))</f>
        <v/>
      </c>
      <c r="E350" s="32">
        <f>IF(343=$AD$1+3,"ขอแสดงความนับถือ",IF(343=$AD$1+6,"(                 )",IF(343=$AD$1+7,"เจ้าหน้าที่ขนส่ง",IF($AB350="G",SUM($AF$8:$AF$407),IF(OR($AB350="",$AB350="R"),"",IF($AB350="D",INDEX($AF$8:$AF$407,$AA350),SUMIF($T$8:$T$407,INDEX($T$8:$T$407,$AA350),$AF$8:$AF$407)))))))</f>
        <v/>
      </c>
      <c r="F350" s="32">
        <f>IF($AB350="G",SUM($AG$8:$AG$407),IF(OR($AB350="",$AB350="R"),"",IF($AB350="D",INDEX($AG$8:$AG$407,$AA350),SUMIF($T$8:$T$407,INDEX($T$8:$T$407,$AA350),$AG$8:$AG$407))))</f>
        <v/>
      </c>
      <c r="G350" s="32">
        <f>IF(OR($AB350="",$AB350="R"),"",ROUND($E350-$F350,2))</f>
        <v/>
      </c>
      <c r="H350" s="32">
        <f>IF($AB350="G",SUM($AH$8:$AH$407),IF(OR($AB350="",$AB350="R"),"",IF($AB350="D",INDEX($AH$8:$AH$407,$AA350),SUMIF($T$8:$T$407,INDEX($T$8:$T$407,$AA350),$AH$8:$AH$407))))</f>
        <v/>
      </c>
      <c r="J350">
        <f>IFERROR(MATCH(343,บันทึกรายเที่ยว!$W$6:$W$6005,0),"")</f>
        <v/>
      </c>
      <c r="K350">
        <f>IF($J350="","",INDEX(บันทึกรายเที่ยว!$T$6:$T$6005,$J350))</f>
        <v/>
      </c>
      <c r="L350">
        <f>IF($J350="","",INDEX(บันทึกรายเที่ยว!$S$6:$S$6005,$J350))</f>
        <v/>
      </c>
      <c r="M350">
        <f>IF($J350="","",INDEX(บันทึกรายเที่ยว!$R$6:$R$6005,$J350))</f>
        <v/>
      </c>
      <c r="N350">
        <f>IF($J350="","",MATCH($M350,บันทึกรายเที่ยว!$R$6:$R$6005,0))</f>
        <v/>
      </c>
      <c r="O350">
        <f>IF($J350="","",MATCH($L350,บันทึกรายเที่ยว!$S$6:$S$6005,0))</f>
        <v/>
      </c>
      <c r="P350">
        <f>IF($J350="","",IF(AND(OR($I$3="(ทั้งหมด)",INDEX(บันทึกรายเที่ยว!$C$6:$C$6005,$J350)=$I$3),OR($I$5="(ทั้งหมด)",INDEX(บันทึกรายเที่ยว!$D$6:$D$6005,$J350)=$I$5),OR($I$7="(ทั้งหมด)",INDEX(บันทึกรายเที่ยว!$F$6:$F$6005,$J350)=$I$7)),$N350*10000000+$O350*1000+343,""))</f>
        <v/>
      </c>
      <c r="Q350">
        <f>IFERROR(MATCH(SMALL($P$8:$P$407,343),$P$8:$P$407,0),"")</f>
        <v/>
      </c>
      <c r="R350">
        <f>IF($Q350="","",INDEX($J$8:$J$407,$Q350))</f>
        <v/>
      </c>
      <c r="S350">
        <f>IF($Q350="","",INDEX($M$8:$M$407,$Q350))</f>
        <v/>
      </c>
      <c r="T350">
        <f>IF($Q350="","",INDEX($L$8:$L$407,$Q350))</f>
        <v/>
      </c>
      <c r="U350">
        <f>IF($Q350="","",INDEX($K$8:$K$407,$Q350))</f>
        <v/>
      </c>
      <c r="V350">
        <f>IF($Q350="",0,IF($S350&lt;&gt;$S349,1,0))</f>
        <v/>
      </c>
      <c r="W350">
        <f>IF($Q350="",0,IF($T350&lt;&gt;$T349,1,0))</f>
        <v/>
      </c>
      <c r="X350">
        <f>IF($Q350="",99999+343,$X349+1+$V349+$W349)</f>
        <v/>
      </c>
      <c r="Y350">
        <f>IF($Q350="","",INDEX(บันทึกรายเที่ยว!$Q$6:$Q$6005,$R350))</f>
        <v/>
      </c>
      <c r="Z350">
        <f>IF($Q350="","",INDEX(บันทึกรายเที่ยว!$F$6:$F$6005,$R350))</f>
        <v/>
      </c>
      <c r="AA350">
        <f>IFERROR(MATCH(343,$X$8:$X$407,1),"")</f>
        <v/>
      </c>
      <c r="AB350">
        <f>IF(343=$AD$1+1,"G",IF($AA350="","",IF(INDEX($Q$8:$Q$407,$AA350)="","",IF(343&gt;INDEX($X$8:$X$407,$AA350)+INDEX($V$8:$V$407,$AA350)+INDEX($W$8:$W$407,$AA350),"",IF(343=INDEX($X$8:$X$407,$AA350)+INDEX($V$8:$V$407,$AA350)+INDEX($W$8:$W$407,$AA350),"D",IF(AND(INDEX($W$8:$W$407,$AA350)=1,343=INDEX($X$8:$X$407,$AA350)+INDEX($V$8:$V$407,$AA350)),"S","R"))))))</f>
        <v/>
      </c>
      <c r="AC350">
        <f>IF(OR($AB350="",$AB350="G"),"",IF($AB350="D",INDEX($U$8:$U$407,$AA350),IF($AB350="S",INDEX($T$8:$T$407,$AA350)&amp;"|*",INDEX($S$8:$S$407,$AA350)&amp;"|*")))</f>
        <v/>
      </c>
      <c r="AE350">
        <f>IF($U350="",0,COUNTIF(บันทึกรายเที่ยว!$T$6:$T$6005,$U350))</f>
        <v/>
      </c>
      <c r="AF350">
        <f>IF($U350="",0,ROUND(SUMIF(บันทึกรายเที่ยว!$T$6:$T$6005,$U350,บันทึกรายเที่ยว!$J$6:$J$6005),2))</f>
        <v/>
      </c>
      <c r="AG350">
        <f>IF($U350="",0,ROUND(SUMIF(บันทึกรายเที่ยว!$T$6:$T$6005,$U350,บันทึกรายเที่ยว!$K$6:$K$6005),2))</f>
        <v/>
      </c>
      <c r="AH350">
        <f>IF($U350="",0,ROUND(SUMIF(บันทึกรายเที่ยว!$T$6:$T$6005,$U350,บันทึกรายเที่ยว!$M$6:$M$6005),2))</f>
        <v/>
      </c>
    </row>
    <row r="351" ht="21" customHeight="1" s="66">
      <c r="A351" s="3">
        <f>IF($AB351="G","ผลรวมทั้งหมด",IF($AB351="R",INDEX($S$8:$S$407,$AA351),""))</f>
        <v/>
      </c>
      <c r="B351" s="3">
        <f>IF($AB351="S",INDEX($Y$8:$Y$407,$AA351),"")</f>
        <v/>
      </c>
      <c r="C351" s="68">
        <f>IF($AB351="D",INDEX($Z$8:$Z$407,$AA351),"")</f>
        <v/>
      </c>
      <c r="D351" s="31">
        <f>IF($AB351="G",SUM($AE$8:$AE$407),IF(OR($AB351="",$AB351="R"),"",IF($AB351="D",INDEX($AE$8:$AE$407,$AA351),SUMIF($T$8:$T$407,INDEX($T$8:$T$407,$AA351),$AE$8:$AE$407))))</f>
        <v/>
      </c>
      <c r="E351" s="32">
        <f>IF(344=$AD$1+3,"ขอแสดงความนับถือ",IF(344=$AD$1+6,"(                 )",IF(344=$AD$1+7,"เจ้าหน้าที่ขนส่ง",IF($AB351="G",SUM($AF$8:$AF$407),IF(OR($AB351="",$AB351="R"),"",IF($AB351="D",INDEX($AF$8:$AF$407,$AA351),SUMIF($T$8:$T$407,INDEX($T$8:$T$407,$AA351),$AF$8:$AF$407)))))))</f>
        <v/>
      </c>
      <c r="F351" s="32">
        <f>IF($AB351="G",SUM($AG$8:$AG$407),IF(OR($AB351="",$AB351="R"),"",IF($AB351="D",INDEX($AG$8:$AG$407,$AA351),SUMIF($T$8:$T$407,INDEX($T$8:$T$407,$AA351),$AG$8:$AG$407))))</f>
        <v/>
      </c>
      <c r="G351" s="32">
        <f>IF(OR($AB351="",$AB351="R"),"",ROUND($E351-$F351,2))</f>
        <v/>
      </c>
      <c r="H351" s="32">
        <f>IF($AB351="G",SUM($AH$8:$AH$407),IF(OR($AB351="",$AB351="R"),"",IF($AB351="D",INDEX($AH$8:$AH$407,$AA351),SUMIF($T$8:$T$407,INDEX($T$8:$T$407,$AA351),$AH$8:$AH$407))))</f>
        <v/>
      </c>
      <c r="J351">
        <f>IFERROR(MATCH(344,บันทึกรายเที่ยว!$W$6:$W$6005,0),"")</f>
        <v/>
      </c>
      <c r="K351">
        <f>IF($J351="","",INDEX(บันทึกรายเที่ยว!$T$6:$T$6005,$J351))</f>
        <v/>
      </c>
      <c r="L351">
        <f>IF($J351="","",INDEX(บันทึกรายเที่ยว!$S$6:$S$6005,$J351))</f>
        <v/>
      </c>
      <c r="M351">
        <f>IF($J351="","",INDEX(บันทึกรายเที่ยว!$R$6:$R$6005,$J351))</f>
        <v/>
      </c>
      <c r="N351">
        <f>IF($J351="","",MATCH($M351,บันทึกรายเที่ยว!$R$6:$R$6005,0))</f>
        <v/>
      </c>
      <c r="O351">
        <f>IF($J351="","",MATCH($L351,บันทึกรายเที่ยว!$S$6:$S$6005,0))</f>
        <v/>
      </c>
      <c r="P351">
        <f>IF($J351="","",IF(AND(OR($I$3="(ทั้งหมด)",INDEX(บันทึกรายเที่ยว!$C$6:$C$6005,$J351)=$I$3),OR($I$5="(ทั้งหมด)",INDEX(บันทึกรายเที่ยว!$D$6:$D$6005,$J351)=$I$5),OR($I$7="(ทั้งหมด)",INDEX(บันทึกรายเที่ยว!$F$6:$F$6005,$J351)=$I$7)),$N351*10000000+$O351*1000+344,""))</f>
        <v/>
      </c>
      <c r="Q351">
        <f>IFERROR(MATCH(SMALL($P$8:$P$407,344),$P$8:$P$407,0),"")</f>
        <v/>
      </c>
      <c r="R351">
        <f>IF($Q351="","",INDEX($J$8:$J$407,$Q351))</f>
        <v/>
      </c>
      <c r="S351">
        <f>IF($Q351="","",INDEX($M$8:$M$407,$Q351))</f>
        <v/>
      </c>
      <c r="T351">
        <f>IF($Q351="","",INDEX($L$8:$L$407,$Q351))</f>
        <v/>
      </c>
      <c r="U351">
        <f>IF($Q351="","",INDEX($K$8:$K$407,$Q351))</f>
        <v/>
      </c>
      <c r="V351">
        <f>IF($Q351="",0,IF($S351&lt;&gt;$S350,1,0))</f>
        <v/>
      </c>
      <c r="W351">
        <f>IF($Q351="",0,IF($T351&lt;&gt;$T350,1,0))</f>
        <v/>
      </c>
      <c r="X351">
        <f>IF($Q351="",99999+344,$X350+1+$V350+$W350)</f>
        <v/>
      </c>
      <c r="Y351">
        <f>IF($Q351="","",INDEX(บันทึกรายเที่ยว!$Q$6:$Q$6005,$R351))</f>
        <v/>
      </c>
      <c r="Z351">
        <f>IF($Q351="","",INDEX(บันทึกรายเที่ยว!$F$6:$F$6005,$R351))</f>
        <v/>
      </c>
      <c r="AA351">
        <f>IFERROR(MATCH(344,$X$8:$X$407,1),"")</f>
        <v/>
      </c>
      <c r="AB351">
        <f>IF(344=$AD$1+1,"G",IF($AA351="","",IF(INDEX($Q$8:$Q$407,$AA351)="","",IF(344&gt;INDEX($X$8:$X$407,$AA351)+INDEX($V$8:$V$407,$AA351)+INDEX($W$8:$W$407,$AA351),"",IF(344=INDEX($X$8:$X$407,$AA351)+INDEX($V$8:$V$407,$AA351)+INDEX($W$8:$W$407,$AA351),"D",IF(AND(INDEX($W$8:$W$407,$AA351)=1,344=INDEX($X$8:$X$407,$AA351)+INDEX($V$8:$V$407,$AA351)),"S","R"))))))</f>
        <v/>
      </c>
      <c r="AC351">
        <f>IF(OR($AB351="",$AB351="G"),"",IF($AB351="D",INDEX($U$8:$U$407,$AA351),IF($AB351="S",INDEX($T$8:$T$407,$AA351)&amp;"|*",INDEX($S$8:$S$407,$AA351)&amp;"|*")))</f>
        <v/>
      </c>
      <c r="AE351">
        <f>IF($U351="",0,COUNTIF(บันทึกรายเที่ยว!$T$6:$T$6005,$U351))</f>
        <v/>
      </c>
      <c r="AF351">
        <f>IF($U351="",0,ROUND(SUMIF(บันทึกรายเที่ยว!$T$6:$T$6005,$U351,บันทึกรายเที่ยว!$J$6:$J$6005),2))</f>
        <v/>
      </c>
      <c r="AG351">
        <f>IF($U351="",0,ROUND(SUMIF(บันทึกรายเที่ยว!$T$6:$T$6005,$U351,บันทึกรายเที่ยว!$K$6:$K$6005),2))</f>
        <v/>
      </c>
      <c r="AH351">
        <f>IF($U351="",0,ROUND(SUMIF(บันทึกรายเที่ยว!$T$6:$T$6005,$U351,บันทึกรายเที่ยว!$M$6:$M$6005),2))</f>
        <v/>
      </c>
    </row>
    <row r="352" ht="21" customHeight="1" s="66">
      <c r="A352" s="3">
        <f>IF($AB352="G","ผลรวมทั้งหมด",IF($AB352="R",INDEX($S$8:$S$407,$AA352),""))</f>
        <v/>
      </c>
      <c r="B352" s="3">
        <f>IF($AB352="S",INDEX($Y$8:$Y$407,$AA352),"")</f>
        <v/>
      </c>
      <c r="C352" s="68">
        <f>IF($AB352="D",INDEX($Z$8:$Z$407,$AA352),"")</f>
        <v/>
      </c>
      <c r="D352" s="31">
        <f>IF($AB352="G",SUM($AE$8:$AE$407),IF(OR($AB352="",$AB352="R"),"",IF($AB352="D",INDEX($AE$8:$AE$407,$AA352),SUMIF($T$8:$T$407,INDEX($T$8:$T$407,$AA352),$AE$8:$AE$407))))</f>
        <v/>
      </c>
      <c r="E352" s="32">
        <f>IF(345=$AD$1+3,"ขอแสดงความนับถือ",IF(345=$AD$1+6,"(                 )",IF(345=$AD$1+7,"เจ้าหน้าที่ขนส่ง",IF($AB352="G",SUM($AF$8:$AF$407),IF(OR($AB352="",$AB352="R"),"",IF($AB352="D",INDEX($AF$8:$AF$407,$AA352),SUMIF($T$8:$T$407,INDEX($T$8:$T$407,$AA352),$AF$8:$AF$407)))))))</f>
        <v/>
      </c>
      <c r="F352" s="32">
        <f>IF($AB352="G",SUM($AG$8:$AG$407),IF(OR($AB352="",$AB352="R"),"",IF($AB352="D",INDEX($AG$8:$AG$407,$AA352),SUMIF($T$8:$T$407,INDEX($T$8:$T$407,$AA352),$AG$8:$AG$407))))</f>
        <v/>
      </c>
      <c r="G352" s="32">
        <f>IF(OR($AB352="",$AB352="R"),"",ROUND($E352-$F352,2))</f>
        <v/>
      </c>
      <c r="H352" s="32">
        <f>IF($AB352="G",SUM($AH$8:$AH$407),IF(OR($AB352="",$AB352="R"),"",IF($AB352="D",INDEX($AH$8:$AH$407,$AA352),SUMIF($T$8:$T$407,INDEX($T$8:$T$407,$AA352),$AH$8:$AH$407))))</f>
        <v/>
      </c>
      <c r="J352">
        <f>IFERROR(MATCH(345,บันทึกรายเที่ยว!$W$6:$W$6005,0),"")</f>
        <v/>
      </c>
      <c r="K352">
        <f>IF($J352="","",INDEX(บันทึกรายเที่ยว!$T$6:$T$6005,$J352))</f>
        <v/>
      </c>
      <c r="L352">
        <f>IF($J352="","",INDEX(บันทึกรายเที่ยว!$S$6:$S$6005,$J352))</f>
        <v/>
      </c>
      <c r="M352">
        <f>IF($J352="","",INDEX(บันทึกรายเที่ยว!$R$6:$R$6005,$J352))</f>
        <v/>
      </c>
      <c r="N352">
        <f>IF($J352="","",MATCH($M352,บันทึกรายเที่ยว!$R$6:$R$6005,0))</f>
        <v/>
      </c>
      <c r="O352">
        <f>IF($J352="","",MATCH($L352,บันทึกรายเที่ยว!$S$6:$S$6005,0))</f>
        <v/>
      </c>
      <c r="P352">
        <f>IF($J352="","",IF(AND(OR($I$3="(ทั้งหมด)",INDEX(บันทึกรายเที่ยว!$C$6:$C$6005,$J352)=$I$3),OR($I$5="(ทั้งหมด)",INDEX(บันทึกรายเที่ยว!$D$6:$D$6005,$J352)=$I$5),OR($I$7="(ทั้งหมด)",INDEX(บันทึกรายเที่ยว!$F$6:$F$6005,$J352)=$I$7)),$N352*10000000+$O352*1000+345,""))</f>
        <v/>
      </c>
      <c r="Q352">
        <f>IFERROR(MATCH(SMALL($P$8:$P$407,345),$P$8:$P$407,0),"")</f>
        <v/>
      </c>
      <c r="R352">
        <f>IF($Q352="","",INDEX($J$8:$J$407,$Q352))</f>
        <v/>
      </c>
      <c r="S352">
        <f>IF($Q352="","",INDEX($M$8:$M$407,$Q352))</f>
        <v/>
      </c>
      <c r="T352">
        <f>IF($Q352="","",INDEX($L$8:$L$407,$Q352))</f>
        <v/>
      </c>
      <c r="U352">
        <f>IF($Q352="","",INDEX($K$8:$K$407,$Q352))</f>
        <v/>
      </c>
      <c r="V352">
        <f>IF($Q352="",0,IF($S352&lt;&gt;$S351,1,0))</f>
        <v/>
      </c>
      <c r="W352">
        <f>IF($Q352="",0,IF($T352&lt;&gt;$T351,1,0))</f>
        <v/>
      </c>
      <c r="X352">
        <f>IF($Q352="",99999+345,$X351+1+$V351+$W351)</f>
        <v/>
      </c>
      <c r="Y352">
        <f>IF($Q352="","",INDEX(บันทึกรายเที่ยว!$Q$6:$Q$6005,$R352))</f>
        <v/>
      </c>
      <c r="Z352">
        <f>IF($Q352="","",INDEX(บันทึกรายเที่ยว!$F$6:$F$6005,$R352))</f>
        <v/>
      </c>
      <c r="AA352">
        <f>IFERROR(MATCH(345,$X$8:$X$407,1),"")</f>
        <v/>
      </c>
      <c r="AB352">
        <f>IF(345=$AD$1+1,"G",IF($AA352="","",IF(INDEX($Q$8:$Q$407,$AA352)="","",IF(345&gt;INDEX($X$8:$X$407,$AA352)+INDEX($V$8:$V$407,$AA352)+INDEX($W$8:$W$407,$AA352),"",IF(345=INDEX($X$8:$X$407,$AA352)+INDEX($V$8:$V$407,$AA352)+INDEX($W$8:$W$407,$AA352),"D",IF(AND(INDEX($W$8:$W$407,$AA352)=1,345=INDEX($X$8:$X$407,$AA352)+INDEX($V$8:$V$407,$AA352)),"S","R"))))))</f>
        <v/>
      </c>
      <c r="AC352">
        <f>IF(OR($AB352="",$AB352="G"),"",IF($AB352="D",INDEX($U$8:$U$407,$AA352),IF($AB352="S",INDEX($T$8:$T$407,$AA352)&amp;"|*",INDEX($S$8:$S$407,$AA352)&amp;"|*")))</f>
        <v/>
      </c>
      <c r="AE352">
        <f>IF($U352="",0,COUNTIF(บันทึกรายเที่ยว!$T$6:$T$6005,$U352))</f>
        <v/>
      </c>
      <c r="AF352">
        <f>IF($U352="",0,ROUND(SUMIF(บันทึกรายเที่ยว!$T$6:$T$6005,$U352,บันทึกรายเที่ยว!$J$6:$J$6005),2))</f>
        <v/>
      </c>
      <c r="AG352">
        <f>IF($U352="",0,ROUND(SUMIF(บันทึกรายเที่ยว!$T$6:$T$6005,$U352,บันทึกรายเที่ยว!$K$6:$K$6005),2))</f>
        <v/>
      </c>
      <c r="AH352">
        <f>IF($U352="",0,ROUND(SUMIF(บันทึกรายเที่ยว!$T$6:$T$6005,$U352,บันทึกรายเที่ยว!$M$6:$M$6005),2))</f>
        <v/>
      </c>
    </row>
    <row r="353" ht="21" customHeight="1" s="66">
      <c r="A353" s="3">
        <f>IF($AB353="G","ผลรวมทั้งหมด",IF($AB353="R",INDEX($S$8:$S$407,$AA353),""))</f>
        <v/>
      </c>
      <c r="B353" s="3">
        <f>IF($AB353="S",INDEX($Y$8:$Y$407,$AA353),"")</f>
        <v/>
      </c>
      <c r="C353" s="68">
        <f>IF($AB353="D",INDEX($Z$8:$Z$407,$AA353),"")</f>
        <v/>
      </c>
      <c r="D353" s="31">
        <f>IF($AB353="G",SUM($AE$8:$AE$407),IF(OR($AB353="",$AB353="R"),"",IF($AB353="D",INDEX($AE$8:$AE$407,$AA353),SUMIF($T$8:$T$407,INDEX($T$8:$T$407,$AA353),$AE$8:$AE$407))))</f>
        <v/>
      </c>
      <c r="E353" s="32">
        <f>IF(346=$AD$1+3,"ขอแสดงความนับถือ",IF(346=$AD$1+6,"(                 )",IF(346=$AD$1+7,"เจ้าหน้าที่ขนส่ง",IF($AB353="G",SUM($AF$8:$AF$407),IF(OR($AB353="",$AB353="R"),"",IF($AB353="D",INDEX($AF$8:$AF$407,$AA353),SUMIF($T$8:$T$407,INDEX($T$8:$T$407,$AA353),$AF$8:$AF$407)))))))</f>
        <v/>
      </c>
      <c r="F353" s="32">
        <f>IF($AB353="G",SUM($AG$8:$AG$407),IF(OR($AB353="",$AB353="R"),"",IF($AB353="D",INDEX($AG$8:$AG$407,$AA353),SUMIF($T$8:$T$407,INDEX($T$8:$T$407,$AA353),$AG$8:$AG$407))))</f>
        <v/>
      </c>
      <c r="G353" s="32">
        <f>IF(OR($AB353="",$AB353="R"),"",ROUND($E353-$F353,2))</f>
        <v/>
      </c>
      <c r="H353" s="32">
        <f>IF($AB353="G",SUM($AH$8:$AH$407),IF(OR($AB353="",$AB353="R"),"",IF($AB353="D",INDEX($AH$8:$AH$407,$AA353),SUMIF($T$8:$T$407,INDEX($T$8:$T$407,$AA353),$AH$8:$AH$407))))</f>
        <v/>
      </c>
      <c r="J353">
        <f>IFERROR(MATCH(346,บันทึกรายเที่ยว!$W$6:$W$6005,0),"")</f>
        <v/>
      </c>
      <c r="K353">
        <f>IF($J353="","",INDEX(บันทึกรายเที่ยว!$T$6:$T$6005,$J353))</f>
        <v/>
      </c>
      <c r="L353">
        <f>IF($J353="","",INDEX(บันทึกรายเที่ยว!$S$6:$S$6005,$J353))</f>
        <v/>
      </c>
      <c r="M353">
        <f>IF($J353="","",INDEX(บันทึกรายเที่ยว!$R$6:$R$6005,$J353))</f>
        <v/>
      </c>
      <c r="N353">
        <f>IF($J353="","",MATCH($M353,บันทึกรายเที่ยว!$R$6:$R$6005,0))</f>
        <v/>
      </c>
      <c r="O353">
        <f>IF($J353="","",MATCH($L353,บันทึกรายเที่ยว!$S$6:$S$6005,0))</f>
        <v/>
      </c>
      <c r="P353">
        <f>IF($J353="","",IF(AND(OR($I$3="(ทั้งหมด)",INDEX(บันทึกรายเที่ยว!$C$6:$C$6005,$J353)=$I$3),OR($I$5="(ทั้งหมด)",INDEX(บันทึกรายเที่ยว!$D$6:$D$6005,$J353)=$I$5),OR($I$7="(ทั้งหมด)",INDEX(บันทึกรายเที่ยว!$F$6:$F$6005,$J353)=$I$7)),$N353*10000000+$O353*1000+346,""))</f>
        <v/>
      </c>
      <c r="Q353">
        <f>IFERROR(MATCH(SMALL($P$8:$P$407,346),$P$8:$P$407,0),"")</f>
        <v/>
      </c>
      <c r="R353">
        <f>IF($Q353="","",INDEX($J$8:$J$407,$Q353))</f>
        <v/>
      </c>
      <c r="S353">
        <f>IF($Q353="","",INDEX($M$8:$M$407,$Q353))</f>
        <v/>
      </c>
      <c r="T353">
        <f>IF($Q353="","",INDEX($L$8:$L$407,$Q353))</f>
        <v/>
      </c>
      <c r="U353">
        <f>IF($Q353="","",INDEX($K$8:$K$407,$Q353))</f>
        <v/>
      </c>
      <c r="V353">
        <f>IF($Q353="",0,IF($S353&lt;&gt;$S352,1,0))</f>
        <v/>
      </c>
      <c r="W353">
        <f>IF($Q353="",0,IF($T353&lt;&gt;$T352,1,0))</f>
        <v/>
      </c>
      <c r="X353">
        <f>IF($Q353="",99999+346,$X352+1+$V352+$W352)</f>
        <v/>
      </c>
      <c r="Y353">
        <f>IF($Q353="","",INDEX(บันทึกรายเที่ยว!$Q$6:$Q$6005,$R353))</f>
        <v/>
      </c>
      <c r="Z353">
        <f>IF($Q353="","",INDEX(บันทึกรายเที่ยว!$F$6:$F$6005,$R353))</f>
        <v/>
      </c>
      <c r="AA353">
        <f>IFERROR(MATCH(346,$X$8:$X$407,1),"")</f>
        <v/>
      </c>
      <c r="AB353">
        <f>IF(346=$AD$1+1,"G",IF($AA353="","",IF(INDEX($Q$8:$Q$407,$AA353)="","",IF(346&gt;INDEX($X$8:$X$407,$AA353)+INDEX($V$8:$V$407,$AA353)+INDEX($W$8:$W$407,$AA353),"",IF(346=INDEX($X$8:$X$407,$AA353)+INDEX($V$8:$V$407,$AA353)+INDEX($W$8:$W$407,$AA353),"D",IF(AND(INDEX($W$8:$W$407,$AA353)=1,346=INDEX($X$8:$X$407,$AA353)+INDEX($V$8:$V$407,$AA353)),"S","R"))))))</f>
        <v/>
      </c>
      <c r="AC353">
        <f>IF(OR($AB353="",$AB353="G"),"",IF($AB353="D",INDEX($U$8:$U$407,$AA353),IF($AB353="S",INDEX($T$8:$T$407,$AA353)&amp;"|*",INDEX($S$8:$S$407,$AA353)&amp;"|*")))</f>
        <v/>
      </c>
      <c r="AE353">
        <f>IF($U353="",0,COUNTIF(บันทึกรายเที่ยว!$T$6:$T$6005,$U353))</f>
        <v/>
      </c>
      <c r="AF353">
        <f>IF($U353="",0,ROUND(SUMIF(บันทึกรายเที่ยว!$T$6:$T$6005,$U353,บันทึกรายเที่ยว!$J$6:$J$6005),2))</f>
        <v/>
      </c>
      <c r="AG353">
        <f>IF($U353="",0,ROUND(SUMIF(บันทึกรายเที่ยว!$T$6:$T$6005,$U353,บันทึกรายเที่ยว!$K$6:$K$6005),2))</f>
        <v/>
      </c>
      <c r="AH353">
        <f>IF($U353="",0,ROUND(SUMIF(บันทึกรายเที่ยว!$T$6:$T$6005,$U353,บันทึกรายเที่ยว!$M$6:$M$6005),2))</f>
        <v/>
      </c>
    </row>
    <row r="354" ht="21" customHeight="1" s="66">
      <c r="A354" s="3">
        <f>IF($AB354="G","ผลรวมทั้งหมด",IF($AB354="R",INDEX($S$8:$S$407,$AA354),""))</f>
        <v/>
      </c>
      <c r="B354" s="3">
        <f>IF($AB354="S",INDEX($Y$8:$Y$407,$AA354),"")</f>
        <v/>
      </c>
      <c r="C354" s="68">
        <f>IF($AB354="D",INDEX($Z$8:$Z$407,$AA354),"")</f>
        <v/>
      </c>
      <c r="D354" s="31">
        <f>IF($AB354="G",SUM($AE$8:$AE$407),IF(OR($AB354="",$AB354="R"),"",IF($AB354="D",INDEX($AE$8:$AE$407,$AA354),SUMIF($T$8:$T$407,INDEX($T$8:$T$407,$AA354),$AE$8:$AE$407))))</f>
        <v/>
      </c>
      <c r="E354" s="32">
        <f>IF(347=$AD$1+3,"ขอแสดงความนับถือ",IF(347=$AD$1+6,"(                 )",IF(347=$AD$1+7,"เจ้าหน้าที่ขนส่ง",IF($AB354="G",SUM($AF$8:$AF$407),IF(OR($AB354="",$AB354="R"),"",IF($AB354="D",INDEX($AF$8:$AF$407,$AA354),SUMIF($T$8:$T$407,INDEX($T$8:$T$407,$AA354),$AF$8:$AF$407)))))))</f>
        <v/>
      </c>
      <c r="F354" s="32">
        <f>IF($AB354="G",SUM($AG$8:$AG$407),IF(OR($AB354="",$AB354="R"),"",IF($AB354="D",INDEX($AG$8:$AG$407,$AA354),SUMIF($T$8:$T$407,INDEX($T$8:$T$407,$AA354),$AG$8:$AG$407))))</f>
        <v/>
      </c>
      <c r="G354" s="32">
        <f>IF(OR($AB354="",$AB354="R"),"",ROUND($E354-$F354,2))</f>
        <v/>
      </c>
      <c r="H354" s="32">
        <f>IF($AB354="G",SUM($AH$8:$AH$407),IF(OR($AB354="",$AB354="R"),"",IF($AB354="D",INDEX($AH$8:$AH$407,$AA354),SUMIF($T$8:$T$407,INDEX($T$8:$T$407,$AA354),$AH$8:$AH$407))))</f>
        <v/>
      </c>
      <c r="J354">
        <f>IFERROR(MATCH(347,บันทึกรายเที่ยว!$W$6:$W$6005,0),"")</f>
        <v/>
      </c>
      <c r="K354">
        <f>IF($J354="","",INDEX(บันทึกรายเที่ยว!$T$6:$T$6005,$J354))</f>
        <v/>
      </c>
      <c r="L354">
        <f>IF($J354="","",INDEX(บันทึกรายเที่ยว!$S$6:$S$6005,$J354))</f>
        <v/>
      </c>
      <c r="M354">
        <f>IF($J354="","",INDEX(บันทึกรายเที่ยว!$R$6:$R$6005,$J354))</f>
        <v/>
      </c>
      <c r="N354">
        <f>IF($J354="","",MATCH($M354,บันทึกรายเที่ยว!$R$6:$R$6005,0))</f>
        <v/>
      </c>
      <c r="O354">
        <f>IF($J354="","",MATCH($L354,บันทึกรายเที่ยว!$S$6:$S$6005,0))</f>
        <v/>
      </c>
      <c r="P354">
        <f>IF($J354="","",IF(AND(OR($I$3="(ทั้งหมด)",INDEX(บันทึกรายเที่ยว!$C$6:$C$6005,$J354)=$I$3),OR($I$5="(ทั้งหมด)",INDEX(บันทึกรายเที่ยว!$D$6:$D$6005,$J354)=$I$5),OR($I$7="(ทั้งหมด)",INDEX(บันทึกรายเที่ยว!$F$6:$F$6005,$J354)=$I$7)),$N354*10000000+$O354*1000+347,""))</f>
        <v/>
      </c>
      <c r="Q354">
        <f>IFERROR(MATCH(SMALL($P$8:$P$407,347),$P$8:$P$407,0),"")</f>
        <v/>
      </c>
      <c r="R354">
        <f>IF($Q354="","",INDEX($J$8:$J$407,$Q354))</f>
        <v/>
      </c>
      <c r="S354">
        <f>IF($Q354="","",INDEX($M$8:$M$407,$Q354))</f>
        <v/>
      </c>
      <c r="T354">
        <f>IF($Q354="","",INDEX($L$8:$L$407,$Q354))</f>
        <v/>
      </c>
      <c r="U354">
        <f>IF($Q354="","",INDEX($K$8:$K$407,$Q354))</f>
        <v/>
      </c>
      <c r="V354">
        <f>IF($Q354="",0,IF($S354&lt;&gt;$S353,1,0))</f>
        <v/>
      </c>
      <c r="W354">
        <f>IF($Q354="",0,IF($T354&lt;&gt;$T353,1,0))</f>
        <v/>
      </c>
      <c r="X354">
        <f>IF($Q354="",99999+347,$X353+1+$V353+$W353)</f>
        <v/>
      </c>
      <c r="Y354">
        <f>IF($Q354="","",INDEX(บันทึกรายเที่ยว!$Q$6:$Q$6005,$R354))</f>
        <v/>
      </c>
      <c r="Z354">
        <f>IF($Q354="","",INDEX(บันทึกรายเที่ยว!$F$6:$F$6005,$R354))</f>
        <v/>
      </c>
      <c r="AA354">
        <f>IFERROR(MATCH(347,$X$8:$X$407,1),"")</f>
        <v/>
      </c>
      <c r="AB354">
        <f>IF(347=$AD$1+1,"G",IF($AA354="","",IF(INDEX($Q$8:$Q$407,$AA354)="","",IF(347&gt;INDEX($X$8:$X$407,$AA354)+INDEX($V$8:$V$407,$AA354)+INDEX($W$8:$W$407,$AA354),"",IF(347=INDEX($X$8:$X$407,$AA354)+INDEX($V$8:$V$407,$AA354)+INDEX($W$8:$W$407,$AA354),"D",IF(AND(INDEX($W$8:$W$407,$AA354)=1,347=INDEX($X$8:$X$407,$AA354)+INDEX($V$8:$V$407,$AA354)),"S","R"))))))</f>
        <v/>
      </c>
      <c r="AC354">
        <f>IF(OR($AB354="",$AB354="G"),"",IF($AB354="D",INDEX($U$8:$U$407,$AA354),IF($AB354="S",INDEX($T$8:$T$407,$AA354)&amp;"|*",INDEX($S$8:$S$407,$AA354)&amp;"|*")))</f>
        <v/>
      </c>
      <c r="AE354">
        <f>IF($U354="",0,COUNTIF(บันทึกรายเที่ยว!$T$6:$T$6005,$U354))</f>
        <v/>
      </c>
      <c r="AF354">
        <f>IF($U354="",0,ROUND(SUMIF(บันทึกรายเที่ยว!$T$6:$T$6005,$U354,บันทึกรายเที่ยว!$J$6:$J$6005),2))</f>
        <v/>
      </c>
      <c r="AG354">
        <f>IF($U354="",0,ROUND(SUMIF(บันทึกรายเที่ยว!$T$6:$T$6005,$U354,บันทึกรายเที่ยว!$K$6:$K$6005),2))</f>
        <v/>
      </c>
      <c r="AH354">
        <f>IF($U354="",0,ROUND(SUMIF(บันทึกรายเที่ยว!$T$6:$T$6005,$U354,บันทึกรายเที่ยว!$M$6:$M$6005),2))</f>
        <v/>
      </c>
    </row>
    <row r="355" ht="21" customHeight="1" s="66">
      <c r="A355" s="3">
        <f>IF($AB355="G","ผลรวมทั้งหมด",IF($AB355="R",INDEX($S$8:$S$407,$AA355),""))</f>
        <v/>
      </c>
      <c r="B355" s="3">
        <f>IF($AB355="S",INDEX($Y$8:$Y$407,$AA355),"")</f>
        <v/>
      </c>
      <c r="C355" s="68">
        <f>IF($AB355="D",INDEX($Z$8:$Z$407,$AA355),"")</f>
        <v/>
      </c>
      <c r="D355" s="31">
        <f>IF($AB355="G",SUM($AE$8:$AE$407),IF(OR($AB355="",$AB355="R"),"",IF($AB355="D",INDEX($AE$8:$AE$407,$AA355),SUMIF($T$8:$T$407,INDEX($T$8:$T$407,$AA355),$AE$8:$AE$407))))</f>
        <v/>
      </c>
      <c r="E355" s="32">
        <f>IF(348=$AD$1+3,"ขอแสดงความนับถือ",IF(348=$AD$1+6,"(                 )",IF(348=$AD$1+7,"เจ้าหน้าที่ขนส่ง",IF($AB355="G",SUM($AF$8:$AF$407),IF(OR($AB355="",$AB355="R"),"",IF($AB355="D",INDEX($AF$8:$AF$407,$AA355),SUMIF($T$8:$T$407,INDEX($T$8:$T$407,$AA355),$AF$8:$AF$407)))))))</f>
        <v/>
      </c>
      <c r="F355" s="32">
        <f>IF($AB355="G",SUM($AG$8:$AG$407),IF(OR($AB355="",$AB355="R"),"",IF($AB355="D",INDEX($AG$8:$AG$407,$AA355),SUMIF($T$8:$T$407,INDEX($T$8:$T$407,$AA355),$AG$8:$AG$407))))</f>
        <v/>
      </c>
      <c r="G355" s="32">
        <f>IF(OR($AB355="",$AB355="R"),"",ROUND($E355-$F355,2))</f>
        <v/>
      </c>
      <c r="H355" s="32">
        <f>IF($AB355="G",SUM($AH$8:$AH$407),IF(OR($AB355="",$AB355="R"),"",IF($AB355="D",INDEX($AH$8:$AH$407,$AA355),SUMIF($T$8:$T$407,INDEX($T$8:$T$407,$AA355),$AH$8:$AH$407))))</f>
        <v/>
      </c>
      <c r="J355">
        <f>IFERROR(MATCH(348,บันทึกรายเที่ยว!$W$6:$W$6005,0),"")</f>
        <v/>
      </c>
      <c r="K355">
        <f>IF($J355="","",INDEX(บันทึกรายเที่ยว!$T$6:$T$6005,$J355))</f>
        <v/>
      </c>
      <c r="L355">
        <f>IF($J355="","",INDEX(บันทึกรายเที่ยว!$S$6:$S$6005,$J355))</f>
        <v/>
      </c>
      <c r="M355">
        <f>IF($J355="","",INDEX(บันทึกรายเที่ยว!$R$6:$R$6005,$J355))</f>
        <v/>
      </c>
      <c r="N355">
        <f>IF($J355="","",MATCH($M355,บันทึกรายเที่ยว!$R$6:$R$6005,0))</f>
        <v/>
      </c>
      <c r="O355">
        <f>IF($J355="","",MATCH($L355,บันทึกรายเที่ยว!$S$6:$S$6005,0))</f>
        <v/>
      </c>
      <c r="P355">
        <f>IF($J355="","",IF(AND(OR($I$3="(ทั้งหมด)",INDEX(บันทึกรายเที่ยว!$C$6:$C$6005,$J355)=$I$3),OR($I$5="(ทั้งหมด)",INDEX(บันทึกรายเที่ยว!$D$6:$D$6005,$J355)=$I$5),OR($I$7="(ทั้งหมด)",INDEX(บันทึกรายเที่ยว!$F$6:$F$6005,$J355)=$I$7)),$N355*10000000+$O355*1000+348,""))</f>
        <v/>
      </c>
      <c r="Q355">
        <f>IFERROR(MATCH(SMALL($P$8:$P$407,348),$P$8:$P$407,0),"")</f>
        <v/>
      </c>
      <c r="R355">
        <f>IF($Q355="","",INDEX($J$8:$J$407,$Q355))</f>
        <v/>
      </c>
      <c r="S355">
        <f>IF($Q355="","",INDEX($M$8:$M$407,$Q355))</f>
        <v/>
      </c>
      <c r="T355">
        <f>IF($Q355="","",INDEX($L$8:$L$407,$Q355))</f>
        <v/>
      </c>
      <c r="U355">
        <f>IF($Q355="","",INDEX($K$8:$K$407,$Q355))</f>
        <v/>
      </c>
      <c r="V355">
        <f>IF($Q355="",0,IF($S355&lt;&gt;$S354,1,0))</f>
        <v/>
      </c>
      <c r="W355">
        <f>IF($Q355="",0,IF($T355&lt;&gt;$T354,1,0))</f>
        <v/>
      </c>
      <c r="X355">
        <f>IF($Q355="",99999+348,$X354+1+$V354+$W354)</f>
        <v/>
      </c>
      <c r="Y355">
        <f>IF($Q355="","",INDEX(บันทึกรายเที่ยว!$Q$6:$Q$6005,$R355))</f>
        <v/>
      </c>
      <c r="Z355">
        <f>IF($Q355="","",INDEX(บันทึกรายเที่ยว!$F$6:$F$6005,$R355))</f>
        <v/>
      </c>
      <c r="AA355">
        <f>IFERROR(MATCH(348,$X$8:$X$407,1),"")</f>
        <v/>
      </c>
      <c r="AB355">
        <f>IF(348=$AD$1+1,"G",IF($AA355="","",IF(INDEX($Q$8:$Q$407,$AA355)="","",IF(348&gt;INDEX($X$8:$X$407,$AA355)+INDEX($V$8:$V$407,$AA355)+INDEX($W$8:$W$407,$AA355),"",IF(348=INDEX($X$8:$X$407,$AA355)+INDEX($V$8:$V$407,$AA355)+INDEX($W$8:$W$407,$AA355),"D",IF(AND(INDEX($W$8:$W$407,$AA355)=1,348=INDEX($X$8:$X$407,$AA355)+INDEX($V$8:$V$407,$AA355)),"S","R"))))))</f>
        <v/>
      </c>
      <c r="AC355">
        <f>IF(OR($AB355="",$AB355="G"),"",IF($AB355="D",INDEX($U$8:$U$407,$AA355),IF($AB355="S",INDEX($T$8:$T$407,$AA355)&amp;"|*",INDEX($S$8:$S$407,$AA355)&amp;"|*")))</f>
        <v/>
      </c>
      <c r="AE355">
        <f>IF($U355="",0,COUNTIF(บันทึกรายเที่ยว!$T$6:$T$6005,$U355))</f>
        <v/>
      </c>
      <c r="AF355">
        <f>IF($U355="",0,ROUND(SUMIF(บันทึกรายเที่ยว!$T$6:$T$6005,$U355,บันทึกรายเที่ยว!$J$6:$J$6005),2))</f>
        <v/>
      </c>
      <c r="AG355">
        <f>IF($U355="",0,ROUND(SUMIF(บันทึกรายเที่ยว!$T$6:$T$6005,$U355,บันทึกรายเที่ยว!$K$6:$K$6005),2))</f>
        <v/>
      </c>
      <c r="AH355">
        <f>IF($U355="",0,ROUND(SUMIF(บันทึกรายเที่ยว!$T$6:$T$6005,$U355,บันทึกรายเที่ยว!$M$6:$M$6005),2))</f>
        <v/>
      </c>
    </row>
    <row r="356" ht="21" customHeight="1" s="66">
      <c r="A356" s="3">
        <f>IF($AB356="G","ผลรวมทั้งหมด",IF($AB356="R",INDEX($S$8:$S$407,$AA356),""))</f>
        <v/>
      </c>
      <c r="B356" s="3">
        <f>IF($AB356="S",INDEX($Y$8:$Y$407,$AA356),"")</f>
        <v/>
      </c>
      <c r="C356" s="68">
        <f>IF($AB356="D",INDEX($Z$8:$Z$407,$AA356),"")</f>
        <v/>
      </c>
      <c r="D356" s="31">
        <f>IF($AB356="G",SUM($AE$8:$AE$407),IF(OR($AB356="",$AB356="R"),"",IF($AB356="D",INDEX($AE$8:$AE$407,$AA356),SUMIF($T$8:$T$407,INDEX($T$8:$T$407,$AA356),$AE$8:$AE$407))))</f>
        <v/>
      </c>
      <c r="E356" s="32">
        <f>IF(349=$AD$1+3,"ขอแสดงความนับถือ",IF(349=$AD$1+6,"(                 )",IF(349=$AD$1+7,"เจ้าหน้าที่ขนส่ง",IF($AB356="G",SUM($AF$8:$AF$407),IF(OR($AB356="",$AB356="R"),"",IF($AB356="D",INDEX($AF$8:$AF$407,$AA356),SUMIF($T$8:$T$407,INDEX($T$8:$T$407,$AA356),$AF$8:$AF$407)))))))</f>
        <v/>
      </c>
      <c r="F356" s="32">
        <f>IF($AB356="G",SUM($AG$8:$AG$407),IF(OR($AB356="",$AB356="R"),"",IF($AB356="D",INDEX($AG$8:$AG$407,$AA356),SUMIF($T$8:$T$407,INDEX($T$8:$T$407,$AA356),$AG$8:$AG$407))))</f>
        <v/>
      </c>
      <c r="G356" s="32">
        <f>IF(OR($AB356="",$AB356="R"),"",ROUND($E356-$F356,2))</f>
        <v/>
      </c>
      <c r="H356" s="32">
        <f>IF($AB356="G",SUM($AH$8:$AH$407),IF(OR($AB356="",$AB356="R"),"",IF($AB356="D",INDEX($AH$8:$AH$407,$AA356),SUMIF($T$8:$T$407,INDEX($T$8:$T$407,$AA356),$AH$8:$AH$407))))</f>
        <v/>
      </c>
      <c r="J356">
        <f>IFERROR(MATCH(349,บันทึกรายเที่ยว!$W$6:$W$6005,0),"")</f>
        <v/>
      </c>
      <c r="K356">
        <f>IF($J356="","",INDEX(บันทึกรายเที่ยว!$T$6:$T$6005,$J356))</f>
        <v/>
      </c>
      <c r="L356">
        <f>IF($J356="","",INDEX(บันทึกรายเที่ยว!$S$6:$S$6005,$J356))</f>
        <v/>
      </c>
      <c r="M356">
        <f>IF($J356="","",INDEX(บันทึกรายเที่ยว!$R$6:$R$6005,$J356))</f>
        <v/>
      </c>
      <c r="N356">
        <f>IF($J356="","",MATCH($M356,บันทึกรายเที่ยว!$R$6:$R$6005,0))</f>
        <v/>
      </c>
      <c r="O356">
        <f>IF($J356="","",MATCH($L356,บันทึกรายเที่ยว!$S$6:$S$6005,0))</f>
        <v/>
      </c>
      <c r="P356">
        <f>IF($J356="","",IF(AND(OR($I$3="(ทั้งหมด)",INDEX(บันทึกรายเที่ยว!$C$6:$C$6005,$J356)=$I$3),OR($I$5="(ทั้งหมด)",INDEX(บันทึกรายเที่ยว!$D$6:$D$6005,$J356)=$I$5),OR($I$7="(ทั้งหมด)",INDEX(บันทึกรายเที่ยว!$F$6:$F$6005,$J356)=$I$7)),$N356*10000000+$O356*1000+349,""))</f>
        <v/>
      </c>
      <c r="Q356">
        <f>IFERROR(MATCH(SMALL($P$8:$P$407,349),$P$8:$P$407,0),"")</f>
        <v/>
      </c>
      <c r="R356">
        <f>IF($Q356="","",INDEX($J$8:$J$407,$Q356))</f>
        <v/>
      </c>
      <c r="S356">
        <f>IF($Q356="","",INDEX($M$8:$M$407,$Q356))</f>
        <v/>
      </c>
      <c r="T356">
        <f>IF($Q356="","",INDEX($L$8:$L$407,$Q356))</f>
        <v/>
      </c>
      <c r="U356">
        <f>IF($Q356="","",INDEX($K$8:$K$407,$Q356))</f>
        <v/>
      </c>
      <c r="V356">
        <f>IF($Q356="",0,IF($S356&lt;&gt;$S355,1,0))</f>
        <v/>
      </c>
      <c r="W356">
        <f>IF($Q356="",0,IF($T356&lt;&gt;$T355,1,0))</f>
        <v/>
      </c>
      <c r="X356">
        <f>IF($Q356="",99999+349,$X355+1+$V355+$W355)</f>
        <v/>
      </c>
      <c r="Y356">
        <f>IF($Q356="","",INDEX(บันทึกรายเที่ยว!$Q$6:$Q$6005,$R356))</f>
        <v/>
      </c>
      <c r="Z356">
        <f>IF($Q356="","",INDEX(บันทึกรายเที่ยว!$F$6:$F$6005,$R356))</f>
        <v/>
      </c>
      <c r="AA356">
        <f>IFERROR(MATCH(349,$X$8:$X$407,1),"")</f>
        <v/>
      </c>
      <c r="AB356">
        <f>IF(349=$AD$1+1,"G",IF($AA356="","",IF(INDEX($Q$8:$Q$407,$AA356)="","",IF(349&gt;INDEX($X$8:$X$407,$AA356)+INDEX($V$8:$V$407,$AA356)+INDEX($W$8:$W$407,$AA356),"",IF(349=INDEX($X$8:$X$407,$AA356)+INDEX($V$8:$V$407,$AA356)+INDEX($W$8:$W$407,$AA356),"D",IF(AND(INDEX($W$8:$W$407,$AA356)=1,349=INDEX($X$8:$X$407,$AA356)+INDEX($V$8:$V$407,$AA356)),"S","R"))))))</f>
        <v/>
      </c>
      <c r="AC356">
        <f>IF(OR($AB356="",$AB356="G"),"",IF($AB356="D",INDEX($U$8:$U$407,$AA356),IF($AB356="S",INDEX($T$8:$T$407,$AA356)&amp;"|*",INDEX($S$8:$S$407,$AA356)&amp;"|*")))</f>
        <v/>
      </c>
      <c r="AE356">
        <f>IF($U356="",0,COUNTIF(บันทึกรายเที่ยว!$T$6:$T$6005,$U356))</f>
        <v/>
      </c>
      <c r="AF356">
        <f>IF($U356="",0,ROUND(SUMIF(บันทึกรายเที่ยว!$T$6:$T$6005,$U356,บันทึกรายเที่ยว!$J$6:$J$6005),2))</f>
        <v/>
      </c>
      <c r="AG356">
        <f>IF($U356="",0,ROUND(SUMIF(บันทึกรายเที่ยว!$T$6:$T$6005,$U356,บันทึกรายเที่ยว!$K$6:$K$6005),2))</f>
        <v/>
      </c>
      <c r="AH356">
        <f>IF($U356="",0,ROUND(SUMIF(บันทึกรายเที่ยว!$T$6:$T$6005,$U356,บันทึกรายเที่ยว!$M$6:$M$6005),2))</f>
        <v/>
      </c>
    </row>
    <row r="357" ht="21" customHeight="1" s="66">
      <c r="A357" s="3">
        <f>IF($AB357="G","ผลรวมทั้งหมด",IF($AB357="R",INDEX($S$8:$S$407,$AA357),""))</f>
        <v/>
      </c>
      <c r="B357" s="3">
        <f>IF($AB357="S",INDEX($Y$8:$Y$407,$AA357),"")</f>
        <v/>
      </c>
      <c r="C357" s="68">
        <f>IF($AB357="D",INDEX($Z$8:$Z$407,$AA357),"")</f>
        <v/>
      </c>
      <c r="D357" s="31">
        <f>IF($AB357="G",SUM($AE$8:$AE$407),IF(OR($AB357="",$AB357="R"),"",IF($AB357="D",INDEX($AE$8:$AE$407,$AA357),SUMIF($T$8:$T$407,INDEX($T$8:$T$407,$AA357),$AE$8:$AE$407))))</f>
        <v/>
      </c>
      <c r="E357" s="32">
        <f>IF(350=$AD$1+3,"ขอแสดงความนับถือ",IF(350=$AD$1+6,"(                 )",IF(350=$AD$1+7,"เจ้าหน้าที่ขนส่ง",IF($AB357="G",SUM($AF$8:$AF$407),IF(OR($AB357="",$AB357="R"),"",IF($AB357="D",INDEX($AF$8:$AF$407,$AA357),SUMIF($T$8:$T$407,INDEX($T$8:$T$407,$AA357),$AF$8:$AF$407)))))))</f>
        <v/>
      </c>
      <c r="F357" s="32">
        <f>IF($AB357="G",SUM($AG$8:$AG$407),IF(OR($AB357="",$AB357="R"),"",IF($AB357="D",INDEX($AG$8:$AG$407,$AA357),SUMIF($T$8:$T$407,INDEX($T$8:$T$407,$AA357),$AG$8:$AG$407))))</f>
        <v/>
      </c>
      <c r="G357" s="32">
        <f>IF(OR($AB357="",$AB357="R"),"",ROUND($E357-$F357,2))</f>
        <v/>
      </c>
      <c r="H357" s="32">
        <f>IF($AB357="G",SUM($AH$8:$AH$407),IF(OR($AB357="",$AB357="R"),"",IF($AB357="D",INDEX($AH$8:$AH$407,$AA357),SUMIF($T$8:$T$407,INDEX($T$8:$T$407,$AA357),$AH$8:$AH$407))))</f>
        <v/>
      </c>
      <c r="J357">
        <f>IFERROR(MATCH(350,บันทึกรายเที่ยว!$W$6:$W$6005,0),"")</f>
        <v/>
      </c>
      <c r="K357">
        <f>IF($J357="","",INDEX(บันทึกรายเที่ยว!$T$6:$T$6005,$J357))</f>
        <v/>
      </c>
      <c r="L357">
        <f>IF($J357="","",INDEX(บันทึกรายเที่ยว!$S$6:$S$6005,$J357))</f>
        <v/>
      </c>
      <c r="M357">
        <f>IF($J357="","",INDEX(บันทึกรายเที่ยว!$R$6:$R$6005,$J357))</f>
        <v/>
      </c>
      <c r="N357">
        <f>IF($J357="","",MATCH($M357,บันทึกรายเที่ยว!$R$6:$R$6005,0))</f>
        <v/>
      </c>
      <c r="O357">
        <f>IF($J357="","",MATCH($L357,บันทึกรายเที่ยว!$S$6:$S$6005,0))</f>
        <v/>
      </c>
      <c r="P357">
        <f>IF($J357="","",IF(AND(OR($I$3="(ทั้งหมด)",INDEX(บันทึกรายเที่ยว!$C$6:$C$6005,$J357)=$I$3),OR($I$5="(ทั้งหมด)",INDEX(บันทึกรายเที่ยว!$D$6:$D$6005,$J357)=$I$5),OR($I$7="(ทั้งหมด)",INDEX(บันทึกรายเที่ยว!$F$6:$F$6005,$J357)=$I$7)),$N357*10000000+$O357*1000+350,""))</f>
        <v/>
      </c>
      <c r="Q357">
        <f>IFERROR(MATCH(SMALL($P$8:$P$407,350),$P$8:$P$407,0),"")</f>
        <v/>
      </c>
      <c r="R357">
        <f>IF($Q357="","",INDEX($J$8:$J$407,$Q357))</f>
        <v/>
      </c>
      <c r="S357">
        <f>IF($Q357="","",INDEX($M$8:$M$407,$Q357))</f>
        <v/>
      </c>
      <c r="T357">
        <f>IF($Q357="","",INDEX($L$8:$L$407,$Q357))</f>
        <v/>
      </c>
      <c r="U357">
        <f>IF($Q357="","",INDEX($K$8:$K$407,$Q357))</f>
        <v/>
      </c>
      <c r="V357">
        <f>IF($Q357="",0,IF($S357&lt;&gt;$S356,1,0))</f>
        <v/>
      </c>
      <c r="W357">
        <f>IF($Q357="",0,IF($T357&lt;&gt;$T356,1,0))</f>
        <v/>
      </c>
      <c r="X357">
        <f>IF($Q357="",99999+350,$X356+1+$V356+$W356)</f>
        <v/>
      </c>
      <c r="Y357">
        <f>IF($Q357="","",INDEX(บันทึกรายเที่ยว!$Q$6:$Q$6005,$R357))</f>
        <v/>
      </c>
      <c r="Z357">
        <f>IF($Q357="","",INDEX(บันทึกรายเที่ยว!$F$6:$F$6005,$R357))</f>
        <v/>
      </c>
      <c r="AA357">
        <f>IFERROR(MATCH(350,$X$8:$X$407,1),"")</f>
        <v/>
      </c>
      <c r="AB357">
        <f>IF(350=$AD$1+1,"G",IF($AA357="","",IF(INDEX($Q$8:$Q$407,$AA357)="","",IF(350&gt;INDEX($X$8:$X$407,$AA357)+INDEX($V$8:$V$407,$AA357)+INDEX($W$8:$W$407,$AA357),"",IF(350=INDEX($X$8:$X$407,$AA357)+INDEX($V$8:$V$407,$AA357)+INDEX($W$8:$W$407,$AA357),"D",IF(AND(INDEX($W$8:$W$407,$AA357)=1,350=INDEX($X$8:$X$407,$AA357)+INDEX($V$8:$V$407,$AA357)),"S","R"))))))</f>
        <v/>
      </c>
      <c r="AC357">
        <f>IF(OR($AB357="",$AB357="G"),"",IF($AB357="D",INDEX($U$8:$U$407,$AA357),IF($AB357="S",INDEX($T$8:$T$407,$AA357)&amp;"|*",INDEX($S$8:$S$407,$AA357)&amp;"|*")))</f>
        <v/>
      </c>
      <c r="AE357">
        <f>IF($U357="",0,COUNTIF(บันทึกรายเที่ยว!$T$6:$T$6005,$U357))</f>
        <v/>
      </c>
      <c r="AF357">
        <f>IF($U357="",0,ROUND(SUMIF(บันทึกรายเที่ยว!$T$6:$T$6005,$U357,บันทึกรายเที่ยว!$J$6:$J$6005),2))</f>
        <v/>
      </c>
      <c r="AG357">
        <f>IF($U357="",0,ROUND(SUMIF(บันทึกรายเที่ยว!$T$6:$T$6005,$U357,บันทึกรายเที่ยว!$K$6:$K$6005),2))</f>
        <v/>
      </c>
      <c r="AH357">
        <f>IF($U357="",0,ROUND(SUMIF(บันทึกรายเที่ยว!$T$6:$T$6005,$U357,บันทึกรายเที่ยว!$M$6:$M$6005),2))</f>
        <v/>
      </c>
    </row>
    <row r="358" ht="21" customHeight="1" s="66">
      <c r="A358" s="3">
        <f>IF($AB358="G","ผลรวมทั้งหมด",IF($AB358="R",INDEX($S$8:$S$407,$AA358),""))</f>
        <v/>
      </c>
      <c r="B358" s="3">
        <f>IF($AB358="S",INDEX($Y$8:$Y$407,$AA358),"")</f>
        <v/>
      </c>
      <c r="C358" s="68">
        <f>IF($AB358="D",INDEX($Z$8:$Z$407,$AA358),"")</f>
        <v/>
      </c>
      <c r="D358" s="31">
        <f>IF($AB358="G",SUM($AE$8:$AE$407),IF(OR($AB358="",$AB358="R"),"",IF($AB358="D",INDEX($AE$8:$AE$407,$AA358),SUMIF($T$8:$T$407,INDEX($T$8:$T$407,$AA358),$AE$8:$AE$407))))</f>
        <v/>
      </c>
      <c r="E358" s="32">
        <f>IF(351=$AD$1+3,"ขอแสดงความนับถือ",IF(351=$AD$1+6,"(                 )",IF(351=$AD$1+7,"เจ้าหน้าที่ขนส่ง",IF($AB358="G",SUM($AF$8:$AF$407),IF(OR($AB358="",$AB358="R"),"",IF($AB358="D",INDEX($AF$8:$AF$407,$AA358),SUMIF($T$8:$T$407,INDEX($T$8:$T$407,$AA358),$AF$8:$AF$407)))))))</f>
        <v/>
      </c>
      <c r="F358" s="32">
        <f>IF($AB358="G",SUM($AG$8:$AG$407),IF(OR($AB358="",$AB358="R"),"",IF($AB358="D",INDEX($AG$8:$AG$407,$AA358),SUMIF($T$8:$T$407,INDEX($T$8:$T$407,$AA358),$AG$8:$AG$407))))</f>
        <v/>
      </c>
      <c r="G358" s="32">
        <f>IF(OR($AB358="",$AB358="R"),"",ROUND($E358-$F358,2))</f>
        <v/>
      </c>
      <c r="H358" s="32">
        <f>IF($AB358="G",SUM($AH$8:$AH$407),IF(OR($AB358="",$AB358="R"),"",IF($AB358="D",INDEX($AH$8:$AH$407,$AA358),SUMIF($T$8:$T$407,INDEX($T$8:$T$407,$AA358),$AH$8:$AH$407))))</f>
        <v/>
      </c>
      <c r="J358">
        <f>IFERROR(MATCH(351,บันทึกรายเที่ยว!$W$6:$W$6005,0),"")</f>
        <v/>
      </c>
      <c r="K358">
        <f>IF($J358="","",INDEX(บันทึกรายเที่ยว!$T$6:$T$6005,$J358))</f>
        <v/>
      </c>
      <c r="L358">
        <f>IF($J358="","",INDEX(บันทึกรายเที่ยว!$S$6:$S$6005,$J358))</f>
        <v/>
      </c>
      <c r="M358">
        <f>IF($J358="","",INDEX(บันทึกรายเที่ยว!$R$6:$R$6005,$J358))</f>
        <v/>
      </c>
      <c r="N358">
        <f>IF($J358="","",MATCH($M358,บันทึกรายเที่ยว!$R$6:$R$6005,0))</f>
        <v/>
      </c>
      <c r="O358">
        <f>IF($J358="","",MATCH($L358,บันทึกรายเที่ยว!$S$6:$S$6005,0))</f>
        <v/>
      </c>
      <c r="P358">
        <f>IF($J358="","",IF(AND(OR($I$3="(ทั้งหมด)",INDEX(บันทึกรายเที่ยว!$C$6:$C$6005,$J358)=$I$3),OR($I$5="(ทั้งหมด)",INDEX(บันทึกรายเที่ยว!$D$6:$D$6005,$J358)=$I$5),OR($I$7="(ทั้งหมด)",INDEX(บันทึกรายเที่ยว!$F$6:$F$6005,$J358)=$I$7)),$N358*10000000+$O358*1000+351,""))</f>
        <v/>
      </c>
      <c r="Q358">
        <f>IFERROR(MATCH(SMALL($P$8:$P$407,351),$P$8:$P$407,0),"")</f>
        <v/>
      </c>
      <c r="R358">
        <f>IF($Q358="","",INDEX($J$8:$J$407,$Q358))</f>
        <v/>
      </c>
      <c r="S358">
        <f>IF($Q358="","",INDEX($M$8:$M$407,$Q358))</f>
        <v/>
      </c>
      <c r="T358">
        <f>IF($Q358="","",INDEX($L$8:$L$407,$Q358))</f>
        <v/>
      </c>
      <c r="U358">
        <f>IF($Q358="","",INDEX($K$8:$K$407,$Q358))</f>
        <v/>
      </c>
      <c r="V358">
        <f>IF($Q358="",0,IF($S358&lt;&gt;$S357,1,0))</f>
        <v/>
      </c>
      <c r="W358">
        <f>IF($Q358="",0,IF($T358&lt;&gt;$T357,1,0))</f>
        <v/>
      </c>
      <c r="X358">
        <f>IF($Q358="",99999+351,$X357+1+$V357+$W357)</f>
        <v/>
      </c>
      <c r="Y358">
        <f>IF($Q358="","",INDEX(บันทึกรายเที่ยว!$Q$6:$Q$6005,$R358))</f>
        <v/>
      </c>
      <c r="Z358">
        <f>IF($Q358="","",INDEX(บันทึกรายเที่ยว!$F$6:$F$6005,$R358))</f>
        <v/>
      </c>
      <c r="AA358">
        <f>IFERROR(MATCH(351,$X$8:$X$407,1),"")</f>
        <v/>
      </c>
      <c r="AB358">
        <f>IF(351=$AD$1+1,"G",IF($AA358="","",IF(INDEX($Q$8:$Q$407,$AA358)="","",IF(351&gt;INDEX($X$8:$X$407,$AA358)+INDEX($V$8:$V$407,$AA358)+INDEX($W$8:$W$407,$AA358),"",IF(351=INDEX($X$8:$X$407,$AA358)+INDEX($V$8:$V$407,$AA358)+INDEX($W$8:$W$407,$AA358),"D",IF(AND(INDEX($W$8:$W$407,$AA358)=1,351=INDEX($X$8:$X$407,$AA358)+INDEX($V$8:$V$407,$AA358)),"S","R"))))))</f>
        <v/>
      </c>
      <c r="AC358">
        <f>IF(OR($AB358="",$AB358="G"),"",IF($AB358="D",INDEX($U$8:$U$407,$AA358),IF($AB358="S",INDEX($T$8:$T$407,$AA358)&amp;"|*",INDEX($S$8:$S$407,$AA358)&amp;"|*")))</f>
        <v/>
      </c>
      <c r="AE358">
        <f>IF($U358="",0,COUNTIF(บันทึกรายเที่ยว!$T$6:$T$6005,$U358))</f>
        <v/>
      </c>
      <c r="AF358">
        <f>IF($U358="",0,ROUND(SUMIF(บันทึกรายเที่ยว!$T$6:$T$6005,$U358,บันทึกรายเที่ยว!$J$6:$J$6005),2))</f>
        <v/>
      </c>
      <c r="AG358">
        <f>IF($U358="",0,ROUND(SUMIF(บันทึกรายเที่ยว!$T$6:$T$6005,$U358,บันทึกรายเที่ยว!$K$6:$K$6005),2))</f>
        <v/>
      </c>
      <c r="AH358">
        <f>IF($U358="",0,ROUND(SUMIF(บันทึกรายเที่ยว!$T$6:$T$6005,$U358,บันทึกรายเที่ยว!$M$6:$M$6005),2))</f>
        <v/>
      </c>
    </row>
    <row r="359" ht="21" customHeight="1" s="66">
      <c r="A359" s="3">
        <f>IF($AB359="G","ผลรวมทั้งหมด",IF($AB359="R",INDEX($S$8:$S$407,$AA359),""))</f>
        <v/>
      </c>
      <c r="B359" s="3">
        <f>IF($AB359="S",INDEX($Y$8:$Y$407,$AA359),"")</f>
        <v/>
      </c>
      <c r="C359" s="68">
        <f>IF($AB359="D",INDEX($Z$8:$Z$407,$AA359),"")</f>
        <v/>
      </c>
      <c r="D359" s="31">
        <f>IF($AB359="G",SUM($AE$8:$AE$407),IF(OR($AB359="",$AB359="R"),"",IF($AB359="D",INDEX($AE$8:$AE$407,$AA359),SUMIF($T$8:$T$407,INDEX($T$8:$T$407,$AA359),$AE$8:$AE$407))))</f>
        <v/>
      </c>
      <c r="E359" s="32">
        <f>IF(352=$AD$1+3,"ขอแสดงความนับถือ",IF(352=$AD$1+6,"(                 )",IF(352=$AD$1+7,"เจ้าหน้าที่ขนส่ง",IF($AB359="G",SUM($AF$8:$AF$407),IF(OR($AB359="",$AB359="R"),"",IF($AB359="D",INDEX($AF$8:$AF$407,$AA359),SUMIF($T$8:$T$407,INDEX($T$8:$T$407,$AA359),$AF$8:$AF$407)))))))</f>
        <v/>
      </c>
      <c r="F359" s="32">
        <f>IF($AB359="G",SUM($AG$8:$AG$407),IF(OR($AB359="",$AB359="R"),"",IF($AB359="D",INDEX($AG$8:$AG$407,$AA359),SUMIF($T$8:$T$407,INDEX($T$8:$T$407,$AA359),$AG$8:$AG$407))))</f>
        <v/>
      </c>
      <c r="G359" s="32">
        <f>IF(OR($AB359="",$AB359="R"),"",ROUND($E359-$F359,2))</f>
        <v/>
      </c>
      <c r="H359" s="32">
        <f>IF($AB359="G",SUM($AH$8:$AH$407),IF(OR($AB359="",$AB359="R"),"",IF($AB359="D",INDEX($AH$8:$AH$407,$AA359),SUMIF($T$8:$T$407,INDEX($T$8:$T$407,$AA359),$AH$8:$AH$407))))</f>
        <v/>
      </c>
      <c r="J359">
        <f>IFERROR(MATCH(352,บันทึกรายเที่ยว!$W$6:$W$6005,0),"")</f>
        <v/>
      </c>
      <c r="K359">
        <f>IF($J359="","",INDEX(บันทึกรายเที่ยว!$T$6:$T$6005,$J359))</f>
        <v/>
      </c>
      <c r="L359">
        <f>IF($J359="","",INDEX(บันทึกรายเที่ยว!$S$6:$S$6005,$J359))</f>
        <v/>
      </c>
      <c r="M359">
        <f>IF($J359="","",INDEX(บันทึกรายเที่ยว!$R$6:$R$6005,$J359))</f>
        <v/>
      </c>
      <c r="N359">
        <f>IF($J359="","",MATCH($M359,บันทึกรายเที่ยว!$R$6:$R$6005,0))</f>
        <v/>
      </c>
      <c r="O359">
        <f>IF($J359="","",MATCH($L359,บันทึกรายเที่ยว!$S$6:$S$6005,0))</f>
        <v/>
      </c>
      <c r="P359">
        <f>IF($J359="","",IF(AND(OR($I$3="(ทั้งหมด)",INDEX(บันทึกรายเที่ยว!$C$6:$C$6005,$J359)=$I$3),OR($I$5="(ทั้งหมด)",INDEX(บันทึกรายเที่ยว!$D$6:$D$6005,$J359)=$I$5),OR($I$7="(ทั้งหมด)",INDEX(บันทึกรายเที่ยว!$F$6:$F$6005,$J359)=$I$7)),$N359*10000000+$O359*1000+352,""))</f>
        <v/>
      </c>
      <c r="Q359">
        <f>IFERROR(MATCH(SMALL($P$8:$P$407,352),$P$8:$P$407,0),"")</f>
        <v/>
      </c>
      <c r="R359">
        <f>IF($Q359="","",INDEX($J$8:$J$407,$Q359))</f>
        <v/>
      </c>
      <c r="S359">
        <f>IF($Q359="","",INDEX($M$8:$M$407,$Q359))</f>
        <v/>
      </c>
      <c r="T359">
        <f>IF($Q359="","",INDEX($L$8:$L$407,$Q359))</f>
        <v/>
      </c>
      <c r="U359">
        <f>IF($Q359="","",INDEX($K$8:$K$407,$Q359))</f>
        <v/>
      </c>
      <c r="V359">
        <f>IF($Q359="",0,IF($S359&lt;&gt;$S358,1,0))</f>
        <v/>
      </c>
      <c r="W359">
        <f>IF($Q359="",0,IF($T359&lt;&gt;$T358,1,0))</f>
        <v/>
      </c>
      <c r="X359">
        <f>IF($Q359="",99999+352,$X358+1+$V358+$W358)</f>
        <v/>
      </c>
      <c r="Y359">
        <f>IF($Q359="","",INDEX(บันทึกรายเที่ยว!$Q$6:$Q$6005,$R359))</f>
        <v/>
      </c>
      <c r="Z359">
        <f>IF($Q359="","",INDEX(บันทึกรายเที่ยว!$F$6:$F$6005,$R359))</f>
        <v/>
      </c>
      <c r="AA359">
        <f>IFERROR(MATCH(352,$X$8:$X$407,1),"")</f>
        <v/>
      </c>
      <c r="AB359">
        <f>IF(352=$AD$1+1,"G",IF($AA359="","",IF(INDEX($Q$8:$Q$407,$AA359)="","",IF(352&gt;INDEX($X$8:$X$407,$AA359)+INDEX($V$8:$V$407,$AA359)+INDEX($W$8:$W$407,$AA359),"",IF(352=INDEX($X$8:$X$407,$AA359)+INDEX($V$8:$V$407,$AA359)+INDEX($W$8:$W$407,$AA359),"D",IF(AND(INDEX($W$8:$W$407,$AA359)=1,352=INDEX($X$8:$X$407,$AA359)+INDEX($V$8:$V$407,$AA359)),"S","R"))))))</f>
        <v/>
      </c>
      <c r="AC359">
        <f>IF(OR($AB359="",$AB359="G"),"",IF($AB359="D",INDEX($U$8:$U$407,$AA359),IF($AB359="S",INDEX($T$8:$T$407,$AA359)&amp;"|*",INDEX($S$8:$S$407,$AA359)&amp;"|*")))</f>
        <v/>
      </c>
      <c r="AE359">
        <f>IF($U359="",0,COUNTIF(บันทึกรายเที่ยว!$T$6:$T$6005,$U359))</f>
        <v/>
      </c>
      <c r="AF359">
        <f>IF($U359="",0,ROUND(SUMIF(บันทึกรายเที่ยว!$T$6:$T$6005,$U359,บันทึกรายเที่ยว!$J$6:$J$6005),2))</f>
        <v/>
      </c>
      <c r="AG359">
        <f>IF($U359="",0,ROUND(SUMIF(บันทึกรายเที่ยว!$T$6:$T$6005,$U359,บันทึกรายเที่ยว!$K$6:$K$6005),2))</f>
        <v/>
      </c>
      <c r="AH359">
        <f>IF($U359="",0,ROUND(SUMIF(บันทึกรายเที่ยว!$T$6:$T$6005,$U359,บันทึกรายเที่ยว!$M$6:$M$6005),2))</f>
        <v/>
      </c>
    </row>
    <row r="360" ht="21" customHeight="1" s="66">
      <c r="A360" s="3">
        <f>IF($AB360="G","ผลรวมทั้งหมด",IF($AB360="R",INDEX($S$8:$S$407,$AA360),""))</f>
        <v/>
      </c>
      <c r="B360" s="3">
        <f>IF($AB360="S",INDEX($Y$8:$Y$407,$AA360),"")</f>
        <v/>
      </c>
      <c r="C360" s="68">
        <f>IF($AB360="D",INDEX($Z$8:$Z$407,$AA360),"")</f>
        <v/>
      </c>
      <c r="D360" s="31">
        <f>IF($AB360="G",SUM($AE$8:$AE$407),IF(OR($AB360="",$AB360="R"),"",IF($AB360="D",INDEX($AE$8:$AE$407,$AA360),SUMIF($T$8:$T$407,INDEX($T$8:$T$407,$AA360),$AE$8:$AE$407))))</f>
        <v/>
      </c>
      <c r="E360" s="32">
        <f>IF(353=$AD$1+3,"ขอแสดงความนับถือ",IF(353=$AD$1+6,"(                 )",IF(353=$AD$1+7,"เจ้าหน้าที่ขนส่ง",IF($AB360="G",SUM($AF$8:$AF$407),IF(OR($AB360="",$AB360="R"),"",IF($AB360="D",INDEX($AF$8:$AF$407,$AA360),SUMIF($T$8:$T$407,INDEX($T$8:$T$407,$AA360),$AF$8:$AF$407)))))))</f>
        <v/>
      </c>
      <c r="F360" s="32">
        <f>IF($AB360="G",SUM($AG$8:$AG$407),IF(OR($AB360="",$AB360="R"),"",IF($AB360="D",INDEX($AG$8:$AG$407,$AA360),SUMIF($T$8:$T$407,INDEX($T$8:$T$407,$AA360),$AG$8:$AG$407))))</f>
        <v/>
      </c>
      <c r="G360" s="32">
        <f>IF(OR($AB360="",$AB360="R"),"",ROUND($E360-$F360,2))</f>
        <v/>
      </c>
      <c r="H360" s="32">
        <f>IF($AB360="G",SUM($AH$8:$AH$407),IF(OR($AB360="",$AB360="R"),"",IF($AB360="D",INDEX($AH$8:$AH$407,$AA360),SUMIF($T$8:$T$407,INDEX($T$8:$T$407,$AA360),$AH$8:$AH$407))))</f>
        <v/>
      </c>
      <c r="J360">
        <f>IFERROR(MATCH(353,บันทึกรายเที่ยว!$W$6:$W$6005,0),"")</f>
        <v/>
      </c>
      <c r="K360">
        <f>IF($J360="","",INDEX(บันทึกรายเที่ยว!$T$6:$T$6005,$J360))</f>
        <v/>
      </c>
      <c r="L360">
        <f>IF($J360="","",INDEX(บันทึกรายเที่ยว!$S$6:$S$6005,$J360))</f>
        <v/>
      </c>
      <c r="M360">
        <f>IF($J360="","",INDEX(บันทึกรายเที่ยว!$R$6:$R$6005,$J360))</f>
        <v/>
      </c>
      <c r="N360">
        <f>IF($J360="","",MATCH($M360,บันทึกรายเที่ยว!$R$6:$R$6005,0))</f>
        <v/>
      </c>
      <c r="O360">
        <f>IF($J360="","",MATCH($L360,บันทึกรายเที่ยว!$S$6:$S$6005,0))</f>
        <v/>
      </c>
      <c r="P360">
        <f>IF($J360="","",IF(AND(OR($I$3="(ทั้งหมด)",INDEX(บันทึกรายเที่ยว!$C$6:$C$6005,$J360)=$I$3),OR($I$5="(ทั้งหมด)",INDEX(บันทึกรายเที่ยว!$D$6:$D$6005,$J360)=$I$5),OR($I$7="(ทั้งหมด)",INDEX(บันทึกรายเที่ยว!$F$6:$F$6005,$J360)=$I$7)),$N360*10000000+$O360*1000+353,""))</f>
        <v/>
      </c>
      <c r="Q360">
        <f>IFERROR(MATCH(SMALL($P$8:$P$407,353),$P$8:$P$407,0),"")</f>
        <v/>
      </c>
      <c r="R360">
        <f>IF($Q360="","",INDEX($J$8:$J$407,$Q360))</f>
        <v/>
      </c>
      <c r="S360">
        <f>IF($Q360="","",INDEX($M$8:$M$407,$Q360))</f>
        <v/>
      </c>
      <c r="T360">
        <f>IF($Q360="","",INDEX($L$8:$L$407,$Q360))</f>
        <v/>
      </c>
      <c r="U360">
        <f>IF($Q360="","",INDEX($K$8:$K$407,$Q360))</f>
        <v/>
      </c>
      <c r="V360">
        <f>IF($Q360="",0,IF($S360&lt;&gt;$S359,1,0))</f>
        <v/>
      </c>
      <c r="W360">
        <f>IF($Q360="",0,IF($T360&lt;&gt;$T359,1,0))</f>
        <v/>
      </c>
      <c r="X360">
        <f>IF($Q360="",99999+353,$X359+1+$V359+$W359)</f>
        <v/>
      </c>
      <c r="Y360">
        <f>IF($Q360="","",INDEX(บันทึกรายเที่ยว!$Q$6:$Q$6005,$R360))</f>
        <v/>
      </c>
      <c r="Z360">
        <f>IF($Q360="","",INDEX(บันทึกรายเที่ยว!$F$6:$F$6005,$R360))</f>
        <v/>
      </c>
      <c r="AA360">
        <f>IFERROR(MATCH(353,$X$8:$X$407,1),"")</f>
        <v/>
      </c>
      <c r="AB360">
        <f>IF(353=$AD$1+1,"G",IF($AA360="","",IF(INDEX($Q$8:$Q$407,$AA360)="","",IF(353&gt;INDEX($X$8:$X$407,$AA360)+INDEX($V$8:$V$407,$AA360)+INDEX($W$8:$W$407,$AA360),"",IF(353=INDEX($X$8:$X$407,$AA360)+INDEX($V$8:$V$407,$AA360)+INDEX($W$8:$W$407,$AA360),"D",IF(AND(INDEX($W$8:$W$407,$AA360)=1,353=INDEX($X$8:$X$407,$AA360)+INDEX($V$8:$V$407,$AA360)),"S","R"))))))</f>
        <v/>
      </c>
      <c r="AC360">
        <f>IF(OR($AB360="",$AB360="G"),"",IF($AB360="D",INDEX($U$8:$U$407,$AA360),IF($AB360="S",INDEX($T$8:$T$407,$AA360)&amp;"|*",INDEX($S$8:$S$407,$AA360)&amp;"|*")))</f>
        <v/>
      </c>
      <c r="AE360">
        <f>IF($U360="",0,COUNTIF(บันทึกรายเที่ยว!$T$6:$T$6005,$U360))</f>
        <v/>
      </c>
      <c r="AF360">
        <f>IF($U360="",0,ROUND(SUMIF(บันทึกรายเที่ยว!$T$6:$T$6005,$U360,บันทึกรายเที่ยว!$J$6:$J$6005),2))</f>
        <v/>
      </c>
      <c r="AG360">
        <f>IF($U360="",0,ROUND(SUMIF(บันทึกรายเที่ยว!$T$6:$T$6005,$U360,บันทึกรายเที่ยว!$K$6:$K$6005),2))</f>
        <v/>
      </c>
      <c r="AH360">
        <f>IF($U360="",0,ROUND(SUMIF(บันทึกรายเที่ยว!$T$6:$T$6005,$U360,บันทึกรายเที่ยว!$M$6:$M$6005),2))</f>
        <v/>
      </c>
    </row>
    <row r="361" ht="21" customHeight="1" s="66">
      <c r="A361" s="3">
        <f>IF($AB361="G","ผลรวมทั้งหมด",IF($AB361="R",INDEX($S$8:$S$407,$AA361),""))</f>
        <v/>
      </c>
      <c r="B361" s="3">
        <f>IF($AB361="S",INDEX($Y$8:$Y$407,$AA361),"")</f>
        <v/>
      </c>
      <c r="C361" s="68">
        <f>IF($AB361="D",INDEX($Z$8:$Z$407,$AA361),"")</f>
        <v/>
      </c>
      <c r="D361" s="31">
        <f>IF($AB361="G",SUM($AE$8:$AE$407),IF(OR($AB361="",$AB361="R"),"",IF($AB361="D",INDEX($AE$8:$AE$407,$AA361),SUMIF($T$8:$T$407,INDEX($T$8:$T$407,$AA361),$AE$8:$AE$407))))</f>
        <v/>
      </c>
      <c r="E361" s="32">
        <f>IF(354=$AD$1+3,"ขอแสดงความนับถือ",IF(354=$AD$1+6,"(                 )",IF(354=$AD$1+7,"เจ้าหน้าที่ขนส่ง",IF($AB361="G",SUM($AF$8:$AF$407),IF(OR($AB361="",$AB361="R"),"",IF($AB361="D",INDEX($AF$8:$AF$407,$AA361),SUMIF($T$8:$T$407,INDEX($T$8:$T$407,$AA361),$AF$8:$AF$407)))))))</f>
        <v/>
      </c>
      <c r="F361" s="32">
        <f>IF($AB361="G",SUM($AG$8:$AG$407),IF(OR($AB361="",$AB361="R"),"",IF($AB361="D",INDEX($AG$8:$AG$407,$AA361),SUMIF($T$8:$T$407,INDEX($T$8:$T$407,$AA361),$AG$8:$AG$407))))</f>
        <v/>
      </c>
      <c r="G361" s="32">
        <f>IF(OR($AB361="",$AB361="R"),"",ROUND($E361-$F361,2))</f>
        <v/>
      </c>
      <c r="H361" s="32">
        <f>IF($AB361="G",SUM($AH$8:$AH$407),IF(OR($AB361="",$AB361="R"),"",IF($AB361="D",INDEX($AH$8:$AH$407,$AA361),SUMIF($T$8:$T$407,INDEX($T$8:$T$407,$AA361),$AH$8:$AH$407))))</f>
        <v/>
      </c>
      <c r="J361">
        <f>IFERROR(MATCH(354,บันทึกรายเที่ยว!$W$6:$W$6005,0),"")</f>
        <v/>
      </c>
      <c r="K361">
        <f>IF($J361="","",INDEX(บันทึกรายเที่ยว!$T$6:$T$6005,$J361))</f>
        <v/>
      </c>
      <c r="L361">
        <f>IF($J361="","",INDEX(บันทึกรายเที่ยว!$S$6:$S$6005,$J361))</f>
        <v/>
      </c>
      <c r="M361">
        <f>IF($J361="","",INDEX(บันทึกรายเที่ยว!$R$6:$R$6005,$J361))</f>
        <v/>
      </c>
      <c r="N361">
        <f>IF($J361="","",MATCH($M361,บันทึกรายเที่ยว!$R$6:$R$6005,0))</f>
        <v/>
      </c>
      <c r="O361">
        <f>IF($J361="","",MATCH($L361,บันทึกรายเที่ยว!$S$6:$S$6005,0))</f>
        <v/>
      </c>
      <c r="P361">
        <f>IF($J361="","",IF(AND(OR($I$3="(ทั้งหมด)",INDEX(บันทึกรายเที่ยว!$C$6:$C$6005,$J361)=$I$3),OR($I$5="(ทั้งหมด)",INDEX(บันทึกรายเที่ยว!$D$6:$D$6005,$J361)=$I$5),OR($I$7="(ทั้งหมด)",INDEX(บันทึกรายเที่ยว!$F$6:$F$6005,$J361)=$I$7)),$N361*10000000+$O361*1000+354,""))</f>
        <v/>
      </c>
      <c r="Q361">
        <f>IFERROR(MATCH(SMALL($P$8:$P$407,354),$P$8:$P$407,0),"")</f>
        <v/>
      </c>
      <c r="R361">
        <f>IF($Q361="","",INDEX($J$8:$J$407,$Q361))</f>
        <v/>
      </c>
      <c r="S361">
        <f>IF($Q361="","",INDEX($M$8:$M$407,$Q361))</f>
        <v/>
      </c>
      <c r="T361">
        <f>IF($Q361="","",INDEX($L$8:$L$407,$Q361))</f>
        <v/>
      </c>
      <c r="U361">
        <f>IF($Q361="","",INDEX($K$8:$K$407,$Q361))</f>
        <v/>
      </c>
      <c r="V361">
        <f>IF($Q361="",0,IF($S361&lt;&gt;$S360,1,0))</f>
        <v/>
      </c>
      <c r="W361">
        <f>IF($Q361="",0,IF($T361&lt;&gt;$T360,1,0))</f>
        <v/>
      </c>
      <c r="X361">
        <f>IF($Q361="",99999+354,$X360+1+$V360+$W360)</f>
        <v/>
      </c>
      <c r="Y361">
        <f>IF($Q361="","",INDEX(บันทึกรายเที่ยว!$Q$6:$Q$6005,$R361))</f>
        <v/>
      </c>
      <c r="Z361">
        <f>IF($Q361="","",INDEX(บันทึกรายเที่ยว!$F$6:$F$6005,$R361))</f>
        <v/>
      </c>
      <c r="AA361">
        <f>IFERROR(MATCH(354,$X$8:$X$407,1),"")</f>
        <v/>
      </c>
      <c r="AB361">
        <f>IF(354=$AD$1+1,"G",IF($AA361="","",IF(INDEX($Q$8:$Q$407,$AA361)="","",IF(354&gt;INDEX($X$8:$X$407,$AA361)+INDEX($V$8:$V$407,$AA361)+INDEX($W$8:$W$407,$AA361),"",IF(354=INDEX($X$8:$X$407,$AA361)+INDEX($V$8:$V$407,$AA361)+INDEX($W$8:$W$407,$AA361),"D",IF(AND(INDEX($W$8:$W$407,$AA361)=1,354=INDEX($X$8:$X$407,$AA361)+INDEX($V$8:$V$407,$AA361)),"S","R"))))))</f>
        <v/>
      </c>
      <c r="AC361">
        <f>IF(OR($AB361="",$AB361="G"),"",IF($AB361="D",INDEX($U$8:$U$407,$AA361),IF($AB361="S",INDEX($T$8:$T$407,$AA361)&amp;"|*",INDEX($S$8:$S$407,$AA361)&amp;"|*")))</f>
        <v/>
      </c>
      <c r="AE361">
        <f>IF($U361="",0,COUNTIF(บันทึกรายเที่ยว!$T$6:$T$6005,$U361))</f>
        <v/>
      </c>
      <c r="AF361">
        <f>IF($U361="",0,ROUND(SUMIF(บันทึกรายเที่ยว!$T$6:$T$6005,$U361,บันทึกรายเที่ยว!$J$6:$J$6005),2))</f>
        <v/>
      </c>
      <c r="AG361">
        <f>IF($U361="",0,ROUND(SUMIF(บันทึกรายเที่ยว!$T$6:$T$6005,$U361,บันทึกรายเที่ยว!$K$6:$K$6005),2))</f>
        <v/>
      </c>
      <c r="AH361">
        <f>IF($U361="",0,ROUND(SUMIF(บันทึกรายเที่ยว!$T$6:$T$6005,$U361,บันทึกรายเที่ยว!$M$6:$M$6005),2))</f>
        <v/>
      </c>
    </row>
    <row r="362" ht="21" customHeight="1" s="66">
      <c r="A362" s="3">
        <f>IF($AB362="G","ผลรวมทั้งหมด",IF($AB362="R",INDEX($S$8:$S$407,$AA362),""))</f>
        <v/>
      </c>
      <c r="B362" s="3">
        <f>IF($AB362="S",INDEX($Y$8:$Y$407,$AA362),"")</f>
        <v/>
      </c>
      <c r="C362" s="68">
        <f>IF($AB362="D",INDEX($Z$8:$Z$407,$AA362),"")</f>
        <v/>
      </c>
      <c r="D362" s="31">
        <f>IF($AB362="G",SUM($AE$8:$AE$407),IF(OR($AB362="",$AB362="R"),"",IF($AB362="D",INDEX($AE$8:$AE$407,$AA362),SUMIF($T$8:$T$407,INDEX($T$8:$T$407,$AA362),$AE$8:$AE$407))))</f>
        <v/>
      </c>
      <c r="E362" s="32">
        <f>IF(355=$AD$1+3,"ขอแสดงความนับถือ",IF(355=$AD$1+6,"(                 )",IF(355=$AD$1+7,"เจ้าหน้าที่ขนส่ง",IF($AB362="G",SUM($AF$8:$AF$407),IF(OR($AB362="",$AB362="R"),"",IF($AB362="D",INDEX($AF$8:$AF$407,$AA362),SUMIF($T$8:$T$407,INDEX($T$8:$T$407,$AA362),$AF$8:$AF$407)))))))</f>
        <v/>
      </c>
      <c r="F362" s="32">
        <f>IF($AB362="G",SUM($AG$8:$AG$407),IF(OR($AB362="",$AB362="R"),"",IF($AB362="D",INDEX($AG$8:$AG$407,$AA362),SUMIF($T$8:$T$407,INDEX($T$8:$T$407,$AA362),$AG$8:$AG$407))))</f>
        <v/>
      </c>
      <c r="G362" s="32">
        <f>IF(OR($AB362="",$AB362="R"),"",ROUND($E362-$F362,2))</f>
        <v/>
      </c>
      <c r="H362" s="32">
        <f>IF($AB362="G",SUM($AH$8:$AH$407),IF(OR($AB362="",$AB362="R"),"",IF($AB362="D",INDEX($AH$8:$AH$407,$AA362),SUMIF($T$8:$T$407,INDEX($T$8:$T$407,$AA362),$AH$8:$AH$407))))</f>
        <v/>
      </c>
      <c r="J362">
        <f>IFERROR(MATCH(355,บันทึกรายเที่ยว!$W$6:$W$6005,0),"")</f>
        <v/>
      </c>
      <c r="K362">
        <f>IF($J362="","",INDEX(บันทึกรายเที่ยว!$T$6:$T$6005,$J362))</f>
        <v/>
      </c>
      <c r="L362">
        <f>IF($J362="","",INDEX(บันทึกรายเที่ยว!$S$6:$S$6005,$J362))</f>
        <v/>
      </c>
      <c r="M362">
        <f>IF($J362="","",INDEX(บันทึกรายเที่ยว!$R$6:$R$6005,$J362))</f>
        <v/>
      </c>
      <c r="N362">
        <f>IF($J362="","",MATCH($M362,บันทึกรายเที่ยว!$R$6:$R$6005,0))</f>
        <v/>
      </c>
      <c r="O362">
        <f>IF($J362="","",MATCH($L362,บันทึกรายเที่ยว!$S$6:$S$6005,0))</f>
        <v/>
      </c>
      <c r="P362">
        <f>IF($J362="","",IF(AND(OR($I$3="(ทั้งหมด)",INDEX(บันทึกรายเที่ยว!$C$6:$C$6005,$J362)=$I$3),OR($I$5="(ทั้งหมด)",INDEX(บันทึกรายเที่ยว!$D$6:$D$6005,$J362)=$I$5),OR($I$7="(ทั้งหมด)",INDEX(บันทึกรายเที่ยว!$F$6:$F$6005,$J362)=$I$7)),$N362*10000000+$O362*1000+355,""))</f>
        <v/>
      </c>
      <c r="Q362">
        <f>IFERROR(MATCH(SMALL($P$8:$P$407,355),$P$8:$P$407,0),"")</f>
        <v/>
      </c>
      <c r="R362">
        <f>IF($Q362="","",INDEX($J$8:$J$407,$Q362))</f>
        <v/>
      </c>
      <c r="S362">
        <f>IF($Q362="","",INDEX($M$8:$M$407,$Q362))</f>
        <v/>
      </c>
      <c r="T362">
        <f>IF($Q362="","",INDEX($L$8:$L$407,$Q362))</f>
        <v/>
      </c>
      <c r="U362">
        <f>IF($Q362="","",INDEX($K$8:$K$407,$Q362))</f>
        <v/>
      </c>
      <c r="V362">
        <f>IF($Q362="",0,IF($S362&lt;&gt;$S361,1,0))</f>
        <v/>
      </c>
      <c r="W362">
        <f>IF($Q362="",0,IF($T362&lt;&gt;$T361,1,0))</f>
        <v/>
      </c>
      <c r="X362">
        <f>IF($Q362="",99999+355,$X361+1+$V361+$W361)</f>
        <v/>
      </c>
      <c r="Y362">
        <f>IF($Q362="","",INDEX(บันทึกรายเที่ยว!$Q$6:$Q$6005,$R362))</f>
        <v/>
      </c>
      <c r="Z362">
        <f>IF($Q362="","",INDEX(บันทึกรายเที่ยว!$F$6:$F$6005,$R362))</f>
        <v/>
      </c>
      <c r="AA362">
        <f>IFERROR(MATCH(355,$X$8:$X$407,1),"")</f>
        <v/>
      </c>
      <c r="AB362">
        <f>IF(355=$AD$1+1,"G",IF($AA362="","",IF(INDEX($Q$8:$Q$407,$AA362)="","",IF(355&gt;INDEX($X$8:$X$407,$AA362)+INDEX($V$8:$V$407,$AA362)+INDEX($W$8:$W$407,$AA362),"",IF(355=INDEX($X$8:$X$407,$AA362)+INDEX($V$8:$V$407,$AA362)+INDEX($W$8:$W$407,$AA362),"D",IF(AND(INDEX($W$8:$W$407,$AA362)=1,355=INDEX($X$8:$X$407,$AA362)+INDEX($V$8:$V$407,$AA362)),"S","R"))))))</f>
        <v/>
      </c>
      <c r="AC362">
        <f>IF(OR($AB362="",$AB362="G"),"",IF($AB362="D",INDEX($U$8:$U$407,$AA362),IF($AB362="S",INDEX($T$8:$T$407,$AA362)&amp;"|*",INDEX($S$8:$S$407,$AA362)&amp;"|*")))</f>
        <v/>
      </c>
      <c r="AE362">
        <f>IF($U362="",0,COUNTIF(บันทึกรายเที่ยว!$T$6:$T$6005,$U362))</f>
        <v/>
      </c>
      <c r="AF362">
        <f>IF($U362="",0,ROUND(SUMIF(บันทึกรายเที่ยว!$T$6:$T$6005,$U362,บันทึกรายเที่ยว!$J$6:$J$6005),2))</f>
        <v/>
      </c>
      <c r="AG362">
        <f>IF($U362="",0,ROUND(SUMIF(บันทึกรายเที่ยว!$T$6:$T$6005,$U362,บันทึกรายเที่ยว!$K$6:$K$6005),2))</f>
        <v/>
      </c>
      <c r="AH362">
        <f>IF($U362="",0,ROUND(SUMIF(บันทึกรายเที่ยว!$T$6:$T$6005,$U362,บันทึกรายเที่ยว!$M$6:$M$6005),2))</f>
        <v/>
      </c>
    </row>
    <row r="363" ht="21" customHeight="1" s="66">
      <c r="A363" s="3">
        <f>IF($AB363="G","ผลรวมทั้งหมด",IF($AB363="R",INDEX($S$8:$S$407,$AA363),""))</f>
        <v/>
      </c>
      <c r="B363" s="3">
        <f>IF($AB363="S",INDEX($Y$8:$Y$407,$AA363),"")</f>
        <v/>
      </c>
      <c r="C363" s="68">
        <f>IF($AB363="D",INDEX($Z$8:$Z$407,$AA363),"")</f>
        <v/>
      </c>
      <c r="D363" s="31">
        <f>IF($AB363="G",SUM($AE$8:$AE$407),IF(OR($AB363="",$AB363="R"),"",IF($AB363="D",INDEX($AE$8:$AE$407,$AA363),SUMIF($T$8:$T$407,INDEX($T$8:$T$407,$AA363),$AE$8:$AE$407))))</f>
        <v/>
      </c>
      <c r="E363" s="32">
        <f>IF(356=$AD$1+3,"ขอแสดงความนับถือ",IF(356=$AD$1+6,"(                 )",IF(356=$AD$1+7,"เจ้าหน้าที่ขนส่ง",IF($AB363="G",SUM($AF$8:$AF$407),IF(OR($AB363="",$AB363="R"),"",IF($AB363="D",INDEX($AF$8:$AF$407,$AA363),SUMIF($T$8:$T$407,INDEX($T$8:$T$407,$AA363),$AF$8:$AF$407)))))))</f>
        <v/>
      </c>
      <c r="F363" s="32">
        <f>IF($AB363="G",SUM($AG$8:$AG$407),IF(OR($AB363="",$AB363="R"),"",IF($AB363="D",INDEX($AG$8:$AG$407,$AA363),SUMIF($T$8:$T$407,INDEX($T$8:$T$407,$AA363),$AG$8:$AG$407))))</f>
        <v/>
      </c>
      <c r="G363" s="32">
        <f>IF(OR($AB363="",$AB363="R"),"",ROUND($E363-$F363,2))</f>
        <v/>
      </c>
      <c r="H363" s="32">
        <f>IF($AB363="G",SUM($AH$8:$AH$407),IF(OR($AB363="",$AB363="R"),"",IF($AB363="D",INDEX($AH$8:$AH$407,$AA363),SUMIF($T$8:$T$407,INDEX($T$8:$T$407,$AA363),$AH$8:$AH$407))))</f>
        <v/>
      </c>
      <c r="J363">
        <f>IFERROR(MATCH(356,บันทึกรายเที่ยว!$W$6:$W$6005,0),"")</f>
        <v/>
      </c>
      <c r="K363">
        <f>IF($J363="","",INDEX(บันทึกรายเที่ยว!$T$6:$T$6005,$J363))</f>
        <v/>
      </c>
      <c r="L363">
        <f>IF($J363="","",INDEX(บันทึกรายเที่ยว!$S$6:$S$6005,$J363))</f>
        <v/>
      </c>
      <c r="M363">
        <f>IF($J363="","",INDEX(บันทึกรายเที่ยว!$R$6:$R$6005,$J363))</f>
        <v/>
      </c>
      <c r="N363">
        <f>IF($J363="","",MATCH($M363,บันทึกรายเที่ยว!$R$6:$R$6005,0))</f>
        <v/>
      </c>
      <c r="O363">
        <f>IF($J363="","",MATCH($L363,บันทึกรายเที่ยว!$S$6:$S$6005,0))</f>
        <v/>
      </c>
      <c r="P363">
        <f>IF($J363="","",IF(AND(OR($I$3="(ทั้งหมด)",INDEX(บันทึกรายเที่ยว!$C$6:$C$6005,$J363)=$I$3),OR($I$5="(ทั้งหมด)",INDEX(บันทึกรายเที่ยว!$D$6:$D$6005,$J363)=$I$5),OR($I$7="(ทั้งหมด)",INDEX(บันทึกรายเที่ยว!$F$6:$F$6005,$J363)=$I$7)),$N363*10000000+$O363*1000+356,""))</f>
        <v/>
      </c>
      <c r="Q363">
        <f>IFERROR(MATCH(SMALL($P$8:$P$407,356),$P$8:$P$407,0),"")</f>
        <v/>
      </c>
      <c r="R363">
        <f>IF($Q363="","",INDEX($J$8:$J$407,$Q363))</f>
        <v/>
      </c>
      <c r="S363">
        <f>IF($Q363="","",INDEX($M$8:$M$407,$Q363))</f>
        <v/>
      </c>
      <c r="T363">
        <f>IF($Q363="","",INDEX($L$8:$L$407,$Q363))</f>
        <v/>
      </c>
      <c r="U363">
        <f>IF($Q363="","",INDEX($K$8:$K$407,$Q363))</f>
        <v/>
      </c>
      <c r="V363">
        <f>IF($Q363="",0,IF($S363&lt;&gt;$S362,1,0))</f>
        <v/>
      </c>
      <c r="W363">
        <f>IF($Q363="",0,IF($T363&lt;&gt;$T362,1,0))</f>
        <v/>
      </c>
      <c r="X363">
        <f>IF($Q363="",99999+356,$X362+1+$V362+$W362)</f>
        <v/>
      </c>
      <c r="Y363">
        <f>IF($Q363="","",INDEX(บันทึกรายเที่ยว!$Q$6:$Q$6005,$R363))</f>
        <v/>
      </c>
      <c r="Z363">
        <f>IF($Q363="","",INDEX(บันทึกรายเที่ยว!$F$6:$F$6005,$R363))</f>
        <v/>
      </c>
      <c r="AA363">
        <f>IFERROR(MATCH(356,$X$8:$X$407,1),"")</f>
        <v/>
      </c>
      <c r="AB363">
        <f>IF(356=$AD$1+1,"G",IF($AA363="","",IF(INDEX($Q$8:$Q$407,$AA363)="","",IF(356&gt;INDEX($X$8:$X$407,$AA363)+INDEX($V$8:$V$407,$AA363)+INDEX($W$8:$W$407,$AA363),"",IF(356=INDEX($X$8:$X$407,$AA363)+INDEX($V$8:$V$407,$AA363)+INDEX($W$8:$W$407,$AA363),"D",IF(AND(INDEX($W$8:$W$407,$AA363)=1,356=INDEX($X$8:$X$407,$AA363)+INDEX($V$8:$V$407,$AA363)),"S","R"))))))</f>
        <v/>
      </c>
      <c r="AC363">
        <f>IF(OR($AB363="",$AB363="G"),"",IF($AB363="D",INDEX($U$8:$U$407,$AA363),IF($AB363="S",INDEX($T$8:$T$407,$AA363)&amp;"|*",INDEX($S$8:$S$407,$AA363)&amp;"|*")))</f>
        <v/>
      </c>
      <c r="AE363">
        <f>IF($U363="",0,COUNTIF(บันทึกรายเที่ยว!$T$6:$T$6005,$U363))</f>
        <v/>
      </c>
      <c r="AF363">
        <f>IF($U363="",0,ROUND(SUMIF(บันทึกรายเที่ยว!$T$6:$T$6005,$U363,บันทึกรายเที่ยว!$J$6:$J$6005),2))</f>
        <v/>
      </c>
      <c r="AG363">
        <f>IF($U363="",0,ROUND(SUMIF(บันทึกรายเที่ยว!$T$6:$T$6005,$U363,บันทึกรายเที่ยว!$K$6:$K$6005),2))</f>
        <v/>
      </c>
      <c r="AH363">
        <f>IF($U363="",0,ROUND(SUMIF(บันทึกรายเที่ยว!$T$6:$T$6005,$U363,บันทึกรายเที่ยว!$M$6:$M$6005),2))</f>
        <v/>
      </c>
    </row>
    <row r="364" ht="21" customHeight="1" s="66">
      <c r="A364" s="3">
        <f>IF($AB364="G","ผลรวมทั้งหมด",IF($AB364="R",INDEX($S$8:$S$407,$AA364),""))</f>
        <v/>
      </c>
      <c r="B364" s="3">
        <f>IF($AB364="S",INDEX($Y$8:$Y$407,$AA364),"")</f>
        <v/>
      </c>
      <c r="C364" s="68">
        <f>IF($AB364="D",INDEX($Z$8:$Z$407,$AA364),"")</f>
        <v/>
      </c>
      <c r="D364" s="31">
        <f>IF($AB364="G",SUM($AE$8:$AE$407),IF(OR($AB364="",$AB364="R"),"",IF($AB364="D",INDEX($AE$8:$AE$407,$AA364),SUMIF($T$8:$T$407,INDEX($T$8:$T$407,$AA364),$AE$8:$AE$407))))</f>
        <v/>
      </c>
      <c r="E364" s="32">
        <f>IF(357=$AD$1+3,"ขอแสดงความนับถือ",IF(357=$AD$1+6,"(                 )",IF(357=$AD$1+7,"เจ้าหน้าที่ขนส่ง",IF($AB364="G",SUM($AF$8:$AF$407),IF(OR($AB364="",$AB364="R"),"",IF($AB364="D",INDEX($AF$8:$AF$407,$AA364),SUMIF($T$8:$T$407,INDEX($T$8:$T$407,$AA364),$AF$8:$AF$407)))))))</f>
        <v/>
      </c>
      <c r="F364" s="32">
        <f>IF($AB364="G",SUM($AG$8:$AG$407),IF(OR($AB364="",$AB364="R"),"",IF($AB364="D",INDEX($AG$8:$AG$407,$AA364),SUMIF($T$8:$T$407,INDEX($T$8:$T$407,$AA364),$AG$8:$AG$407))))</f>
        <v/>
      </c>
      <c r="G364" s="32">
        <f>IF(OR($AB364="",$AB364="R"),"",ROUND($E364-$F364,2))</f>
        <v/>
      </c>
      <c r="H364" s="32">
        <f>IF($AB364="G",SUM($AH$8:$AH$407),IF(OR($AB364="",$AB364="R"),"",IF($AB364="D",INDEX($AH$8:$AH$407,$AA364),SUMIF($T$8:$T$407,INDEX($T$8:$T$407,$AA364),$AH$8:$AH$407))))</f>
        <v/>
      </c>
      <c r="J364">
        <f>IFERROR(MATCH(357,บันทึกรายเที่ยว!$W$6:$W$6005,0),"")</f>
        <v/>
      </c>
      <c r="K364">
        <f>IF($J364="","",INDEX(บันทึกรายเที่ยว!$T$6:$T$6005,$J364))</f>
        <v/>
      </c>
      <c r="L364">
        <f>IF($J364="","",INDEX(บันทึกรายเที่ยว!$S$6:$S$6005,$J364))</f>
        <v/>
      </c>
      <c r="M364">
        <f>IF($J364="","",INDEX(บันทึกรายเที่ยว!$R$6:$R$6005,$J364))</f>
        <v/>
      </c>
      <c r="N364">
        <f>IF($J364="","",MATCH($M364,บันทึกรายเที่ยว!$R$6:$R$6005,0))</f>
        <v/>
      </c>
      <c r="O364">
        <f>IF($J364="","",MATCH($L364,บันทึกรายเที่ยว!$S$6:$S$6005,0))</f>
        <v/>
      </c>
      <c r="P364">
        <f>IF($J364="","",IF(AND(OR($I$3="(ทั้งหมด)",INDEX(บันทึกรายเที่ยว!$C$6:$C$6005,$J364)=$I$3),OR($I$5="(ทั้งหมด)",INDEX(บันทึกรายเที่ยว!$D$6:$D$6005,$J364)=$I$5),OR($I$7="(ทั้งหมด)",INDEX(บันทึกรายเที่ยว!$F$6:$F$6005,$J364)=$I$7)),$N364*10000000+$O364*1000+357,""))</f>
        <v/>
      </c>
      <c r="Q364">
        <f>IFERROR(MATCH(SMALL($P$8:$P$407,357),$P$8:$P$407,0),"")</f>
        <v/>
      </c>
      <c r="R364">
        <f>IF($Q364="","",INDEX($J$8:$J$407,$Q364))</f>
        <v/>
      </c>
      <c r="S364">
        <f>IF($Q364="","",INDEX($M$8:$M$407,$Q364))</f>
        <v/>
      </c>
      <c r="T364">
        <f>IF($Q364="","",INDEX($L$8:$L$407,$Q364))</f>
        <v/>
      </c>
      <c r="U364">
        <f>IF($Q364="","",INDEX($K$8:$K$407,$Q364))</f>
        <v/>
      </c>
      <c r="V364">
        <f>IF($Q364="",0,IF($S364&lt;&gt;$S363,1,0))</f>
        <v/>
      </c>
      <c r="W364">
        <f>IF($Q364="",0,IF($T364&lt;&gt;$T363,1,0))</f>
        <v/>
      </c>
      <c r="X364">
        <f>IF($Q364="",99999+357,$X363+1+$V363+$W363)</f>
        <v/>
      </c>
      <c r="Y364">
        <f>IF($Q364="","",INDEX(บันทึกรายเที่ยว!$Q$6:$Q$6005,$R364))</f>
        <v/>
      </c>
      <c r="Z364">
        <f>IF($Q364="","",INDEX(บันทึกรายเที่ยว!$F$6:$F$6005,$R364))</f>
        <v/>
      </c>
      <c r="AA364">
        <f>IFERROR(MATCH(357,$X$8:$X$407,1),"")</f>
        <v/>
      </c>
      <c r="AB364">
        <f>IF(357=$AD$1+1,"G",IF($AA364="","",IF(INDEX($Q$8:$Q$407,$AA364)="","",IF(357&gt;INDEX($X$8:$X$407,$AA364)+INDEX($V$8:$V$407,$AA364)+INDEX($W$8:$W$407,$AA364),"",IF(357=INDEX($X$8:$X$407,$AA364)+INDEX($V$8:$V$407,$AA364)+INDEX($W$8:$W$407,$AA364),"D",IF(AND(INDEX($W$8:$W$407,$AA364)=1,357=INDEX($X$8:$X$407,$AA364)+INDEX($V$8:$V$407,$AA364)),"S","R"))))))</f>
        <v/>
      </c>
      <c r="AC364">
        <f>IF(OR($AB364="",$AB364="G"),"",IF($AB364="D",INDEX($U$8:$U$407,$AA364),IF($AB364="S",INDEX($T$8:$T$407,$AA364)&amp;"|*",INDEX($S$8:$S$407,$AA364)&amp;"|*")))</f>
        <v/>
      </c>
      <c r="AE364">
        <f>IF($U364="",0,COUNTIF(บันทึกรายเที่ยว!$T$6:$T$6005,$U364))</f>
        <v/>
      </c>
      <c r="AF364">
        <f>IF($U364="",0,ROUND(SUMIF(บันทึกรายเที่ยว!$T$6:$T$6005,$U364,บันทึกรายเที่ยว!$J$6:$J$6005),2))</f>
        <v/>
      </c>
      <c r="AG364">
        <f>IF($U364="",0,ROUND(SUMIF(บันทึกรายเที่ยว!$T$6:$T$6005,$U364,บันทึกรายเที่ยว!$K$6:$K$6005),2))</f>
        <v/>
      </c>
      <c r="AH364">
        <f>IF($U364="",0,ROUND(SUMIF(บันทึกรายเที่ยว!$T$6:$T$6005,$U364,บันทึกรายเที่ยว!$M$6:$M$6005),2))</f>
        <v/>
      </c>
    </row>
    <row r="365" ht="21" customHeight="1" s="66">
      <c r="A365" s="3">
        <f>IF($AB365="G","ผลรวมทั้งหมด",IF($AB365="R",INDEX($S$8:$S$407,$AA365),""))</f>
        <v/>
      </c>
      <c r="B365" s="3">
        <f>IF($AB365="S",INDEX($Y$8:$Y$407,$AA365),"")</f>
        <v/>
      </c>
      <c r="C365" s="68">
        <f>IF($AB365="D",INDEX($Z$8:$Z$407,$AA365),"")</f>
        <v/>
      </c>
      <c r="D365" s="31">
        <f>IF($AB365="G",SUM($AE$8:$AE$407),IF(OR($AB365="",$AB365="R"),"",IF($AB365="D",INDEX($AE$8:$AE$407,$AA365),SUMIF($T$8:$T$407,INDEX($T$8:$T$407,$AA365),$AE$8:$AE$407))))</f>
        <v/>
      </c>
      <c r="E365" s="32">
        <f>IF(358=$AD$1+3,"ขอแสดงความนับถือ",IF(358=$AD$1+6,"(                 )",IF(358=$AD$1+7,"เจ้าหน้าที่ขนส่ง",IF($AB365="G",SUM($AF$8:$AF$407),IF(OR($AB365="",$AB365="R"),"",IF($AB365="D",INDEX($AF$8:$AF$407,$AA365),SUMIF($T$8:$T$407,INDEX($T$8:$T$407,$AA365),$AF$8:$AF$407)))))))</f>
        <v/>
      </c>
      <c r="F365" s="32">
        <f>IF($AB365="G",SUM($AG$8:$AG$407),IF(OR($AB365="",$AB365="R"),"",IF($AB365="D",INDEX($AG$8:$AG$407,$AA365),SUMIF($T$8:$T$407,INDEX($T$8:$T$407,$AA365),$AG$8:$AG$407))))</f>
        <v/>
      </c>
      <c r="G365" s="32">
        <f>IF(OR($AB365="",$AB365="R"),"",ROUND($E365-$F365,2))</f>
        <v/>
      </c>
      <c r="H365" s="32">
        <f>IF($AB365="G",SUM($AH$8:$AH$407),IF(OR($AB365="",$AB365="R"),"",IF($AB365="D",INDEX($AH$8:$AH$407,$AA365),SUMIF($T$8:$T$407,INDEX($T$8:$T$407,$AA365),$AH$8:$AH$407))))</f>
        <v/>
      </c>
      <c r="J365">
        <f>IFERROR(MATCH(358,บันทึกรายเที่ยว!$W$6:$W$6005,0),"")</f>
        <v/>
      </c>
      <c r="K365">
        <f>IF($J365="","",INDEX(บันทึกรายเที่ยว!$T$6:$T$6005,$J365))</f>
        <v/>
      </c>
      <c r="L365">
        <f>IF($J365="","",INDEX(บันทึกรายเที่ยว!$S$6:$S$6005,$J365))</f>
        <v/>
      </c>
      <c r="M365">
        <f>IF($J365="","",INDEX(บันทึกรายเที่ยว!$R$6:$R$6005,$J365))</f>
        <v/>
      </c>
      <c r="N365">
        <f>IF($J365="","",MATCH($M365,บันทึกรายเที่ยว!$R$6:$R$6005,0))</f>
        <v/>
      </c>
      <c r="O365">
        <f>IF($J365="","",MATCH($L365,บันทึกรายเที่ยว!$S$6:$S$6005,0))</f>
        <v/>
      </c>
      <c r="P365">
        <f>IF($J365="","",IF(AND(OR($I$3="(ทั้งหมด)",INDEX(บันทึกรายเที่ยว!$C$6:$C$6005,$J365)=$I$3),OR($I$5="(ทั้งหมด)",INDEX(บันทึกรายเที่ยว!$D$6:$D$6005,$J365)=$I$5),OR($I$7="(ทั้งหมด)",INDEX(บันทึกรายเที่ยว!$F$6:$F$6005,$J365)=$I$7)),$N365*10000000+$O365*1000+358,""))</f>
        <v/>
      </c>
      <c r="Q365">
        <f>IFERROR(MATCH(SMALL($P$8:$P$407,358),$P$8:$P$407,0),"")</f>
        <v/>
      </c>
      <c r="R365">
        <f>IF($Q365="","",INDEX($J$8:$J$407,$Q365))</f>
        <v/>
      </c>
      <c r="S365">
        <f>IF($Q365="","",INDEX($M$8:$M$407,$Q365))</f>
        <v/>
      </c>
      <c r="T365">
        <f>IF($Q365="","",INDEX($L$8:$L$407,$Q365))</f>
        <v/>
      </c>
      <c r="U365">
        <f>IF($Q365="","",INDEX($K$8:$K$407,$Q365))</f>
        <v/>
      </c>
      <c r="V365">
        <f>IF($Q365="",0,IF($S365&lt;&gt;$S364,1,0))</f>
        <v/>
      </c>
      <c r="W365">
        <f>IF($Q365="",0,IF($T365&lt;&gt;$T364,1,0))</f>
        <v/>
      </c>
      <c r="X365">
        <f>IF($Q365="",99999+358,$X364+1+$V364+$W364)</f>
        <v/>
      </c>
      <c r="Y365">
        <f>IF($Q365="","",INDEX(บันทึกรายเที่ยว!$Q$6:$Q$6005,$R365))</f>
        <v/>
      </c>
      <c r="Z365">
        <f>IF($Q365="","",INDEX(บันทึกรายเที่ยว!$F$6:$F$6005,$R365))</f>
        <v/>
      </c>
      <c r="AA365">
        <f>IFERROR(MATCH(358,$X$8:$X$407,1),"")</f>
        <v/>
      </c>
      <c r="AB365">
        <f>IF(358=$AD$1+1,"G",IF($AA365="","",IF(INDEX($Q$8:$Q$407,$AA365)="","",IF(358&gt;INDEX($X$8:$X$407,$AA365)+INDEX($V$8:$V$407,$AA365)+INDEX($W$8:$W$407,$AA365),"",IF(358=INDEX($X$8:$X$407,$AA365)+INDEX($V$8:$V$407,$AA365)+INDEX($W$8:$W$407,$AA365),"D",IF(AND(INDEX($W$8:$W$407,$AA365)=1,358=INDEX($X$8:$X$407,$AA365)+INDEX($V$8:$V$407,$AA365)),"S","R"))))))</f>
        <v/>
      </c>
      <c r="AC365">
        <f>IF(OR($AB365="",$AB365="G"),"",IF($AB365="D",INDEX($U$8:$U$407,$AA365),IF($AB365="S",INDEX($T$8:$T$407,$AA365)&amp;"|*",INDEX($S$8:$S$407,$AA365)&amp;"|*")))</f>
        <v/>
      </c>
      <c r="AE365">
        <f>IF($U365="",0,COUNTIF(บันทึกรายเที่ยว!$T$6:$T$6005,$U365))</f>
        <v/>
      </c>
      <c r="AF365">
        <f>IF($U365="",0,ROUND(SUMIF(บันทึกรายเที่ยว!$T$6:$T$6005,$U365,บันทึกรายเที่ยว!$J$6:$J$6005),2))</f>
        <v/>
      </c>
      <c r="AG365">
        <f>IF($U365="",0,ROUND(SUMIF(บันทึกรายเที่ยว!$T$6:$T$6005,$U365,บันทึกรายเที่ยว!$K$6:$K$6005),2))</f>
        <v/>
      </c>
      <c r="AH365">
        <f>IF($U365="",0,ROUND(SUMIF(บันทึกรายเที่ยว!$T$6:$T$6005,$U365,บันทึกรายเที่ยว!$M$6:$M$6005),2))</f>
        <v/>
      </c>
    </row>
    <row r="366" ht="21" customHeight="1" s="66">
      <c r="A366" s="3">
        <f>IF($AB366="G","ผลรวมทั้งหมด",IF($AB366="R",INDEX($S$8:$S$407,$AA366),""))</f>
        <v/>
      </c>
      <c r="B366" s="3">
        <f>IF($AB366="S",INDEX($Y$8:$Y$407,$AA366),"")</f>
        <v/>
      </c>
      <c r="C366" s="68">
        <f>IF($AB366="D",INDEX($Z$8:$Z$407,$AA366),"")</f>
        <v/>
      </c>
      <c r="D366" s="31">
        <f>IF($AB366="G",SUM($AE$8:$AE$407),IF(OR($AB366="",$AB366="R"),"",IF($AB366="D",INDEX($AE$8:$AE$407,$AA366),SUMIF($T$8:$T$407,INDEX($T$8:$T$407,$AA366),$AE$8:$AE$407))))</f>
        <v/>
      </c>
      <c r="E366" s="32">
        <f>IF(359=$AD$1+3,"ขอแสดงความนับถือ",IF(359=$AD$1+6,"(                 )",IF(359=$AD$1+7,"เจ้าหน้าที่ขนส่ง",IF($AB366="G",SUM($AF$8:$AF$407),IF(OR($AB366="",$AB366="R"),"",IF($AB366="D",INDEX($AF$8:$AF$407,$AA366),SUMIF($T$8:$T$407,INDEX($T$8:$T$407,$AA366),$AF$8:$AF$407)))))))</f>
        <v/>
      </c>
      <c r="F366" s="32">
        <f>IF($AB366="G",SUM($AG$8:$AG$407),IF(OR($AB366="",$AB366="R"),"",IF($AB366="D",INDEX($AG$8:$AG$407,$AA366),SUMIF($T$8:$T$407,INDEX($T$8:$T$407,$AA366),$AG$8:$AG$407))))</f>
        <v/>
      </c>
      <c r="G366" s="32">
        <f>IF(OR($AB366="",$AB366="R"),"",ROUND($E366-$F366,2))</f>
        <v/>
      </c>
      <c r="H366" s="32">
        <f>IF($AB366="G",SUM($AH$8:$AH$407),IF(OR($AB366="",$AB366="R"),"",IF($AB366="D",INDEX($AH$8:$AH$407,$AA366),SUMIF($T$8:$T$407,INDEX($T$8:$T$407,$AA366),$AH$8:$AH$407))))</f>
        <v/>
      </c>
      <c r="J366">
        <f>IFERROR(MATCH(359,บันทึกรายเที่ยว!$W$6:$W$6005,0),"")</f>
        <v/>
      </c>
      <c r="K366">
        <f>IF($J366="","",INDEX(บันทึกรายเที่ยว!$T$6:$T$6005,$J366))</f>
        <v/>
      </c>
      <c r="L366">
        <f>IF($J366="","",INDEX(บันทึกรายเที่ยว!$S$6:$S$6005,$J366))</f>
        <v/>
      </c>
      <c r="M366">
        <f>IF($J366="","",INDEX(บันทึกรายเที่ยว!$R$6:$R$6005,$J366))</f>
        <v/>
      </c>
      <c r="N366">
        <f>IF($J366="","",MATCH($M366,บันทึกรายเที่ยว!$R$6:$R$6005,0))</f>
        <v/>
      </c>
      <c r="O366">
        <f>IF($J366="","",MATCH($L366,บันทึกรายเที่ยว!$S$6:$S$6005,0))</f>
        <v/>
      </c>
      <c r="P366">
        <f>IF($J366="","",IF(AND(OR($I$3="(ทั้งหมด)",INDEX(บันทึกรายเที่ยว!$C$6:$C$6005,$J366)=$I$3),OR($I$5="(ทั้งหมด)",INDEX(บันทึกรายเที่ยว!$D$6:$D$6005,$J366)=$I$5),OR($I$7="(ทั้งหมด)",INDEX(บันทึกรายเที่ยว!$F$6:$F$6005,$J366)=$I$7)),$N366*10000000+$O366*1000+359,""))</f>
        <v/>
      </c>
      <c r="Q366">
        <f>IFERROR(MATCH(SMALL($P$8:$P$407,359),$P$8:$P$407,0),"")</f>
        <v/>
      </c>
      <c r="R366">
        <f>IF($Q366="","",INDEX($J$8:$J$407,$Q366))</f>
        <v/>
      </c>
      <c r="S366">
        <f>IF($Q366="","",INDEX($M$8:$M$407,$Q366))</f>
        <v/>
      </c>
      <c r="T366">
        <f>IF($Q366="","",INDEX($L$8:$L$407,$Q366))</f>
        <v/>
      </c>
      <c r="U366">
        <f>IF($Q366="","",INDEX($K$8:$K$407,$Q366))</f>
        <v/>
      </c>
      <c r="V366">
        <f>IF($Q366="",0,IF($S366&lt;&gt;$S365,1,0))</f>
        <v/>
      </c>
      <c r="W366">
        <f>IF($Q366="",0,IF($T366&lt;&gt;$T365,1,0))</f>
        <v/>
      </c>
      <c r="X366">
        <f>IF($Q366="",99999+359,$X365+1+$V365+$W365)</f>
        <v/>
      </c>
      <c r="Y366">
        <f>IF($Q366="","",INDEX(บันทึกรายเที่ยว!$Q$6:$Q$6005,$R366))</f>
        <v/>
      </c>
      <c r="Z366">
        <f>IF($Q366="","",INDEX(บันทึกรายเที่ยว!$F$6:$F$6005,$R366))</f>
        <v/>
      </c>
      <c r="AA366">
        <f>IFERROR(MATCH(359,$X$8:$X$407,1),"")</f>
        <v/>
      </c>
      <c r="AB366">
        <f>IF(359=$AD$1+1,"G",IF($AA366="","",IF(INDEX($Q$8:$Q$407,$AA366)="","",IF(359&gt;INDEX($X$8:$X$407,$AA366)+INDEX($V$8:$V$407,$AA366)+INDEX($W$8:$W$407,$AA366),"",IF(359=INDEX($X$8:$X$407,$AA366)+INDEX($V$8:$V$407,$AA366)+INDEX($W$8:$W$407,$AA366),"D",IF(AND(INDEX($W$8:$W$407,$AA366)=1,359=INDEX($X$8:$X$407,$AA366)+INDEX($V$8:$V$407,$AA366)),"S","R"))))))</f>
        <v/>
      </c>
      <c r="AC366">
        <f>IF(OR($AB366="",$AB366="G"),"",IF($AB366="D",INDEX($U$8:$U$407,$AA366),IF($AB366="S",INDEX($T$8:$T$407,$AA366)&amp;"|*",INDEX($S$8:$S$407,$AA366)&amp;"|*")))</f>
        <v/>
      </c>
      <c r="AE366">
        <f>IF($U366="",0,COUNTIF(บันทึกรายเที่ยว!$T$6:$T$6005,$U366))</f>
        <v/>
      </c>
      <c r="AF366">
        <f>IF($U366="",0,ROUND(SUMIF(บันทึกรายเที่ยว!$T$6:$T$6005,$U366,บันทึกรายเที่ยว!$J$6:$J$6005),2))</f>
        <v/>
      </c>
      <c r="AG366">
        <f>IF($U366="",0,ROUND(SUMIF(บันทึกรายเที่ยว!$T$6:$T$6005,$U366,บันทึกรายเที่ยว!$K$6:$K$6005),2))</f>
        <v/>
      </c>
      <c r="AH366">
        <f>IF($U366="",0,ROUND(SUMIF(บันทึกรายเที่ยว!$T$6:$T$6005,$U366,บันทึกรายเที่ยว!$M$6:$M$6005),2))</f>
        <v/>
      </c>
    </row>
    <row r="367" ht="21" customHeight="1" s="66">
      <c r="A367" s="3">
        <f>IF($AB367="G","ผลรวมทั้งหมด",IF($AB367="R",INDEX($S$8:$S$407,$AA367),""))</f>
        <v/>
      </c>
      <c r="B367" s="3">
        <f>IF($AB367="S",INDEX($Y$8:$Y$407,$AA367),"")</f>
        <v/>
      </c>
      <c r="C367" s="68">
        <f>IF($AB367="D",INDEX($Z$8:$Z$407,$AA367),"")</f>
        <v/>
      </c>
      <c r="D367" s="31">
        <f>IF($AB367="G",SUM($AE$8:$AE$407),IF(OR($AB367="",$AB367="R"),"",IF($AB367="D",INDEX($AE$8:$AE$407,$AA367),SUMIF($T$8:$T$407,INDEX($T$8:$T$407,$AA367),$AE$8:$AE$407))))</f>
        <v/>
      </c>
      <c r="E367" s="32">
        <f>IF(360=$AD$1+3,"ขอแสดงความนับถือ",IF(360=$AD$1+6,"(                 )",IF(360=$AD$1+7,"เจ้าหน้าที่ขนส่ง",IF($AB367="G",SUM($AF$8:$AF$407),IF(OR($AB367="",$AB367="R"),"",IF($AB367="D",INDEX($AF$8:$AF$407,$AA367),SUMIF($T$8:$T$407,INDEX($T$8:$T$407,$AA367),$AF$8:$AF$407)))))))</f>
        <v/>
      </c>
      <c r="F367" s="32">
        <f>IF($AB367="G",SUM($AG$8:$AG$407),IF(OR($AB367="",$AB367="R"),"",IF($AB367="D",INDEX($AG$8:$AG$407,$AA367),SUMIF($T$8:$T$407,INDEX($T$8:$T$407,$AA367),$AG$8:$AG$407))))</f>
        <v/>
      </c>
      <c r="G367" s="32">
        <f>IF(OR($AB367="",$AB367="R"),"",ROUND($E367-$F367,2))</f>
        <v/>
      </c>
      <c r="H367" s="32">
        <f>IF($AB367="G",SUM($AH$8:$AH$407),IF(OR($AB367="",$AB367="R"),"",IF($AB367="D",INDEX($AH$8:$AH$407,$AA367),SUMIF($T$8:$T$407,INDEX($T$8:$T$407,$AA367),$AH$8:$AH$407))))</f>
        <v/>
      </c>
      <c r="J367">
        <f>IFERROR(MATCH(360,บันทึกรายเที่ยว!$W$6:$W$6005,0),"")</f>
        <v/>
      </c>
      <c r="K367">
        <f>IF($J367="","",INDEX(บันทึกรายเที่ยว!$T$6:$T$6005,$J367))</f>
        <v/>
      </c>
      <c r="L367">
        <f>IF($J367="","",INDEX(บันทึกรายเที่ยว!$S$6:$S$6005,$J367))</f>
        <v/>
      </c>
      <c r="M367">
        <f>IF($J367="","",INDEX(บันทึกรายเที่ยว!$R$6:$R$6005,$J367))</f>
        <v/>
      </c>
      <c r="N367">
        <f>IF($J367="","",MATCH($M367,บันทึกรายเที่ยว!$R$6:$R$6005,0))</f>
        <v/>
      </c>
      <c r="O367">
        <f>IF($J367="","",MATCH($L367,บันทึกรายเที่ยว!$S$6:$S$6005,0))</f>
        <v/>
      </c>
      <c r="P367">
        <f>IF($J367="","",IF(AND(OR($I$3="(ทั้งหมด)",INDEX(บันทึกรายเที่ยว!$C$6:$C$6005,$J367)=$I$3),OR($I$5="(ทั้งหมด)",INDEX(บันทึกรายเที่ยว!$D$6:$D$6005,$J367)=$I$5),OR($I$7="(ทั้งหมด)",INDEX(บันทึกรายเที่ยว!$F$6:$F$6005,$J367)=$I$7)),$N367*10000000+$O367*1000+360,""))</f>
        <v/>
      </c>
      <c r="Q367">
        <f>IFERROR(MATCH(SMALL($P$8:$P$407,360),$P$8:$P$407,0),"")</f>
        <v/>
      </c>
      <c r="R367">
        <f>IF($Q367="","",INDEX($J$8:$J$407,$Q367))</f>
        <v/>
      </c>
      <c r="S367">
        <f>IF($Q367="","",INDEX($M$8:$M$407,$Q367))</f>
        <v/>
      </c>
      <c r="T367">
        <f>IF($Q367="","",INDEX($L$8:$L$407,$Q367))</f>
        <v/>
      </c>
      <c r="U367">
        <f>IF($Q367="","",INDEX($K$8:$K$407,$Q367))</f>
        <v/>
      </c>
      <c r="V367">
        <f>IF($Q367="",0,IF($S367&lt;&gt;$S366,1,0))</f>
        <v/>
      </c>
      <c r="W367">
        <f>IF($Q367="",0,IF($T367&lt;&gt;$T366,1,0))</f>
        <v/>
      </c>
      <c r="X367">
        <f>IF($Q367="",99999+360,$X366+1+$V366+$W366)</f>
        <v/>
      </c>
      <c r="Y367">
        <f>IF($Q367="","",INDEX(บันทึกรายเที่ยว!$Q$6:$Q$6005,$R367))</f>
        <v/>
      </c>
      <c r="Z367">
        <f>IF($Q367="","",INDEX(บันทึกรายเที่ยว!$F$6:$F$6005,$R367))</f>
        <v/>
      </c>
      <c r="AA367">
        <f>IFERROR(MATCH(360,$X$8:$X$407,1),"")</f>
        <v/>
      </c>
      <c r="AB367">
        <f>IF(360=$AD$1+1,"G",IF($AA367="","",IF(INDEX($Q$8:$Q$407,$AA367)="","",IF(360&gt;INDEX($X$8:$X$407,$AA367)+INDEX($V$8:$V$407,$AA367)+INDEX($W$8:$W$407,$AA367),"",IF(360=INDEX($X$8:$X$407,$AA367)+INDEX($V$8:$V$407,$AA367)+INDEX($W$8:$W$407,$AA367),"D",IF(AND(INDEX($W$8:$W$407,$AA367)=1,360=INDEX($X$8:$X$407,$AA367)+INDEX($V$8:$V$407,$AA367)),"S","R"))))))</f>
        <v/>
      </c>
      <c r="AC367">
        <f>IF(OR($AB367="",$AB367="G"),"",IF($AB367="D",INDEX($U$8:$U$407,$AA367),IF($AB367="S",INDEX($T$8:$T$407,$AA367)&amp;"|*",INDEX($S$8:$S$407,$AA367)&amp;"|*")))</f>
        <v/>
      </c>
      <c r="AE367">
        <f>IF($U367="",0,COUNTIF(บันทึกรายเที่ยว!$T$6:$T$6005,$U367))</f>
        <v/>
      </c>
      <c r="AF367">
        <f>IF($U367="",0,ROUND(SUMIF(บันทึกรายเที่ยว!$T$6:$T$6005,$U367,บันทึกรายเที่ยว!$J$6:$J$6005),2))</f>
        <v/>
      </c>
      <c r="AG367">
        <f>IF($U367="",0,ROUND(SUMIF(บันทึกรายเที่ยว!$T$6:$T$6005,$U367,บันทึกรายเที่ยว!$K$6:$K$6005),2))</f>
        <v/>
      </c>
      <c r="AH367">
        <f>IF($U367="",0,ROUND(SUMIF(บันทึกรายเที่ยว!$T$6:$T$6005,$U367,บันทึกรายเที่ยว!$M$6:$M$6005),2))</f>
        <v/>
      </c>
    </row>
    <row r="368" ht="21" customHeight="1" s="66">
      <c r="A368" s="3">
        <f>IF($AB368="G","ผลรวมทั้งหมด",IF($AB368="R",INDEX($S$8:$S$407,$AA368),""))</f>
        <v/>
      </c>
      <c r="B368" s="3">
        <f>IF($AB368="S",INDEX($Y$8:$Y$407,$AA368),"")</f>
        <v/>
      </c>
      <c r="C368" s="68">
        <f>IF($AB368="D",INDEX($Z$8:$Z$407,$AA368),"")</f>
        <v/>
      </c>
      <c r="D368" s="31">
        <f>IF($AB368="G",SUM($AE$8:$AE$407),IF(OR($AB368="",$AB368="R"),"",IF($AB368="D",INDEX($AE$8:$AE$407,$AA368),SUMIF($T$8:$T$407,INDEX($T$8:$T$407,$AA368),$AE$8:$AE$407))))</f>
        <v/>
      </c>
      <c r="E368" s="32">
        <f>IF(361=$AD$1+3,"ขอแสดงความนับถือ",IF(361=$AD$1+6,"(                 )",IF(361=$AD$1+7,"เจ้าหน้าที่ขนส่ง",IF($AB368="G",SUM($AF$8:$AF$407),IF(OR($AB368="",$AB368="R"),"",IF($AB368="D",INDEX($AF$8:$AF$407,$AA368),SUMIF($T$8:$T$407,INDEX($T$8:$T$407,$AA368),$AF$8:$AF$407)))))))</f>
        <v/>
      </c>
      <c r="F368" s="32">
        <f>IF($AB368="G",SUM($AG$8:$AG$407),IF(OR($AB368="",$AB368="R"),"",IF($AB368="D",INDEX($AG$8:$AG$407,$AA368),SUMIF($T$8:$T$407,INDEX($T$8:$T$407,$AA368),$AG$8:$AG$407))))</f>
        <v/>
      </c>
      <c r="G368" s="32">
        <f>IF(OR($AB368="",$AB368="R"),"",ROUND($E368-$F368,2))</f>
        <v/>
      </c>
      <c r="H368" s="32">
        <f>IF($AB368="G",SUM($AH$8:$AH$407),IF(OR($AB368="",$AB368="R"),"",IF($AB368="D",INDEX($AH$8:$AH$407,$AA368),SUMIF($T$8:$T$407,INDEX($T$8:$T$407,$AA368),$AH$8:$AH$407))))</f>
        <v/>
      </c>
      <c r="J368">
        <f>IFERROR(MATCH(361,บันทึกรายเที่ยว!$W$6:$W$6005,0),"")</f>
        <v/>
      </c>
      <c r="K368">
        <f>IF($J368="","",INDEX(บันทึกรายเที่ยว!$T$6:$T$6005,$J368))</f>
        <v/>
      </c>
      <c r="L368">
        <f>IF($J368="","",INDEX(บันทึกรายเที่ยว!$S$6:$S$6005,$J368))</f>
        <v/>
      </c>
      <c r="M368">
        <f>IF($J368="","",INDEX(บันทึกรายเที่ยว!$R$6:$R$6005,$J368))</f>
        <v/>
      </c>
      <c r="N368">
        <f>IF($J368="","",MATCH($M368,บันทึกรายเที่ยว!$R$6:$R$6005,0))</f>
        <v/>
      </c>
      <c r="O368">
        <f>IF($J368="","",MATCH($L368,บันทึกรายเที่ยว!$S$6:$S$6005,0))</f>
        <v/>
      </c>
      <c r="P368">
        <f>IF($J368="","",IF(AND(OR($I$3="(ทั้งหมด)",INDEX(บันทึกรายเที่ยว!$C$6:$C$6005,$J368)=$I$3),OR($I$5="(ทั้งหมด)",INDEX(บันทึกรายเที่ยว!$D$6:$D$6005,$J368)=$I$5),OR($I$7="(ทั้งหมด)",INDEX(บันทึกรายเที่ยว!$F$6:$F$6005,$J368)=$I$7)),$N368*10000000+$O368*1000+361,""))</f>
        <v/>
      </c>
      <c r="Q368">
        <f>IFERROR(MATCH(SMALL($P$8:$P$407,361),$P$8:$P$407,0),"")</f>
        <v/>
      </c>
      <c r="R368">
        <f>IF($Q368="","",INDEX($J$8:$J$407,$Q368))</f>
        <v/>
      </c>
      <c r="S368">
        <f>IF($Q368="","",INDEX($M$8:$M$407,$Q368))</f>
        <v/>
      </c>
      <c r="T368">
        <f>IF($Q368="","",INDEX($L$8:$L$407,$Q368))</f>
        <v/>
      </c>
      <c r="U368">
        <f>IF($Q368="","",INDEX($K$8:$K$407,$Q368))</f>
        <v/>
      </c>
      <c r="V368">
        <f>IF($Q368="",0,IF($S368&lt;&gt;$S367,1,0))</f>
        <v/>
      </c>
      <c r="W368">
        <f>IF($Q368="",0,IF($T368&lt;&gt;$T367,1,0))</f>
        <v/>
      </c>
      <c r="X368">
        <f>IF($Q368="",99999+361,$X367+1+$V367+$W367)</f>
        <v/>
      </c>
      <c r="Y368">
        <f>IF($Q368="","",INDEX(บันทึกรายเที่ยว!$Q$6:$Q$6005,$R368))</f>
        <v/>
      </c>
      <c r="Z368">
        <f>IF($Q368="","",INDEX(บันทึกรายเที่ยว!$F$6:$F$6005,$R368))</f>
        <v/>
      </c>
      <c r="AA368">
        <f>IFERROR(MATCH(361,$X$8:$X$407,1),"")</f>
        <v/>
      </c>
      <c r="AB368">
        <f>IF(361=$AD$1+1,"G",IF($AA368="","",IF(INDEX($Q$8:$Q$407,$AA368)="","",IF(361&gt;INDEX($X$8:$X$407,$AA368)+INDEX($V$8:$V$407,$AA368)+INDEX($W$8:$W$407,$AA368),"",IF(361=INDEX($X$8:$X$407,$AA368)+INDEX($V$8:$V$407,$AA368)+INDEX($W$8:$W$407,$AA368),"D",IF(AND(INDEX($W$8:$W$407,$AA368)=1,361=INDEX($X$8:$X$407,$AA368)+INDEX($V$8:$V$407,$AA368)),"S","R"))))))</f>
        <v/>
      </c>
      <c r="AC368">
        <f>IF(OR($AB368="",$AB368="G"),"",IF($AB368="D",INDEX($U$8:$U$407,$AA368),IF($AB368="S",INDEX($T$8:$T$407,$AA368)&amp;"|*",INDEX($S$8:$S$407,$AA368)&amp;"|*")))</f>
        <v/>
      </c>
      <c r="AE368">
        <f>IF($U368="",0,COUNTIF(บันทึกรายเที่ยว!$T$6:$T$6005,$U368))</f>
        <v/>
      </c>
      <c r="AF368">
        <f>IF($U368="",0,ROUND(SUMIF(บันทึกรายเที่ยว!$T$6:$T$6005,$U368,บันทึกรายเที่ยว!$J$6:$J$6005),2))</f>
        <v/>
      </c>
      <c r="AG368">
        <f>IF($U368="",0,ROUND(SUMIF(บันทึกรายเที่ยว!$T$6:$T$6005,$U368,บันทึกรายเที่ยว!$K$6:$K$6005),2))</f>
        <v/>
      </c>
      <c r="AH368">
        <f>IF($U368="",0,ROUND(SUMIF(บันทึกรายเที่ยว!$T$6:$T$6005,$U368,บันทึกรายเที่ยว!$M$6:$M$6005),2))</f>
        <v/>
      </c>
    </row>
    <row r="369" ht="21" customHeight="1" s="66">
      <c r="A369" s="3">
        <f>IF($AB369="G","ผลรวมทั้งหมด",IF($AB369="R",INDEX($S$8:$S$407,$AA369),""))</f>
        <v/>
      </c>
      <c r="B369" s="3">
        <f>IF($AB369="S",INDEX($Y$8:$Y$407,$AA369),"")</f>
        <v/>
      </c>
      <c r="C369" s="68">
        <f>IF($AB369="D",INDEX($Z$8:$Z$407,$AA369),"")</f>
        <v/>
      </c>
      <c r="D369" s="31">
        <f>IF($AB369="G",SUM($AE$8:$AE$407),IF(OR($AB369="",$AB369="R"),"",IF($AB369="D",INDEX($AE$8:$AE$407,$AA369),SUMIF($T$8:$T$407,INDEX($T$8:$T$407,$AA369),$AE$8:$AE$407))))</f>
        <v/>
      </c>
      <c r="E369" s="32">
        <f>IF(362=$AD$1+3,"ขอแสดงความนับถือ",IF(362=$AD$1+6,"(                 )",IF(362=$AD$1+7,"เจ้าหน้าที่ขนส่ง",IF($AB369="G",SUM($AF$8:$AF$407),IF(OR($AB369="",$AB369="R"),"",IF($AB369="D",INDEX($AF$8:$AF$407,$AA369),SUMIF($T$8:$T$407,INDEX($T$8:$T$407,$AA369),$AF$8:$AF$407)))))))</f>
        <v/>
      </c>
      <c r="F369" s="32">
        <f>IF($AB369="G",SUM($AG$8:$AG$407),IF(OR($AB369="",$AB369="R"),"",IF($AB369="D",INDEX($AG$8:$AG$407,$AA369),SUMIF($T$8:$T$407,INDEX($T$8:$T$407,$AA369),$AG$8:$AG$407))))</f>
        <v/>
      </c>
      <c r="G369" s="32">
        <f>IF(OR($AB369="",$AB369="R"),"",ROUND($E369-$F369,2))</f>
        <v/>
      </c>
      <c r="H369" s="32">
        <f>IF($AB369="G",SUM($AH$8:$AH$407),IF(OR($AB369="",$AB369="R"),"",IF($AB369="D",INDEX($AH$8:$AH$407,$AA369),SUMIF($T$8:$T$407,INDEX($T$8:$T$407,$AA369),$AH$8:$AH$407))))</f>
        <v/>
      </c>
      <c r="J369">
        <f>IFERROR(MATCH(362,บันทึกรายเที่ยว!$W$6:$W$6005,0),"")</f>
        <v/>
      </c>
      <c r="K369">
        <f>IF($J369="","",INDEX(บันทึกรายเที่ยว!$T$6:$T$6005,$J369))</f>
        <v/>
      </c>
      <c r="L369">
        <f>IF($J369="","",INDEX(บันทึกรายเที่ยว!$S$6:$S$6005,$J369))</f>
        <v/>
      </c>
      <c r="M369">
        <f>IF($J369="","",INDEX(บันทึกรายเที่ยว!$R$6:$R$6005,$J369))</f>
        <v/>
      </c>
      <c r="N369">
        <f>IF($J369="","",MATCH($M369,บันทึกรายเที่ยว!$R$6:$R$6005,0))</f>
        <v/>
      </c>
      <c r="O369">
        <f>IF($J369="","",MATCH($L369,บันทึกรายเที่ยว!$S$6:$S$6005,0))</f>
        <v/>
      </c>
      <c r="P369">
        <f>IF($J369="","",IF(AND(OR($I$3="(ทั้งหมด)",INDEX(บันทึกรายเที่ยว!$C$6:$C$6005,$J369)=$I$3),OR($I$5="(ทั้งหมด)",INDEX(บันทึกรายเที่ยว!$D$6:$D$6005,$J369)=$I$5),OR($I$7="(ทั้งหมด)",INDEX(บันทึกรายเที่ยว!$F$6:$F$6005,$J369)=$I$7)),$N369*10000000+$O369*1000+362,""))</f>
        <v/>
      </c>
      <c r="Q369">
        <f>IFERROR(MATCH(SMALL($P$8:$P$407,362),$P$8:$P$407,0),"")</f>
        <v/>
      </c>
      <c r="R369">
        <f>IF($Q369="","",INDEX($J$8:$J$407,$Q369))</f>
        <v/>
      </c>
      <c r="S369">
        <f>IF($Q369="","",INDEX($M$8:$M$407,$Q369))</f>
        <v/>
      </c>
      <c r="T369">
        <f>IF($Q369="","",INDEX($L$8:$L$407,$Q369))</f>
        <v/>
      </c>
      <c r="U369">
        <f>IF($Q369="","",INDEX($K$8:$K$407,$Q369))</f>
        <v/>
      </c>
      <c r="V369">
        <f>IF($Q369="",0,IF($S369&lt;&gt;$S368,1,0))</f>
        <v/>
      </c>
      <c r="W369">
        <f>IF($Q369="",0,IF($T369&lt;&gt;$T368,1,0))</f>
        <v/>
      </c>
      <c r="X369">
        <f>IF($Q369="",99999+362,$X368+1+$V368+$W368)</f>
        <v/>
      </c>
      <c r="Y369">
        <f>IF($Q369="","",INDEX(บันทึกรายเที่ยว!$Q$6:$Q$6005,$R369))</f>
        <v/>
      </c>
      <c r="Z369">
        <f>IF($Q369="","",INDEX(บันทึกรายเที่ยว!$F$6:$F$6005,$R369))</f>
        <v/>
      </c>
      <c r="AA369">
        <f>IFERROR(MATCH(362,$X$8:$X$407,1),"")</f>
        <v/>
      </c>
      <c r="AB369">
        <f>IF(362=$AD$1+1,"G",IF($AA369="","",IF(INDEX($Q$8:$Q$407,$AA369)="","",IF(362&gt;INDEX($X$8:$X$407,$AA369)+INDEX($V$8:$V$407,$AA369)+INDEX($W$8:$W$407,$AA369),"",IF(362=INDEX($X$8:$X$407,$AA369)+INDEX($V$8:$V$407,$AA369)+INDEX($W$8:$W$407,$AA369),"D",IF(AND(INDEX($W$8:$W$407,$AA369)=1,362=INDEX($X$8:$X$407,$AA369)+INDEX($V$8:$V$407,$AA369)),"S","R"))))))</f>
        <v/>
      </c>
      <c r="AC369">
        <f>IF(OR($AB369="",$AB369="G"),"",IF($AB369="D",INDEX($U$8:$U$407,$AA369),IF($AB369="S",INDEX($T$8:$T$407,$AA369)&amp;"|*",INDEX($S$8:$S$407,$AA369)&amp;"|*")))</f>
        <v/>
      </c>
      <c r="AE369">
        <f>IF($U369="",0,COUNTIF(บันทึกรายเที่ยว!$T$6:$T$6005,$U369))</f>
        <v/>
      </c>
      <c r="AF369">
        <f>IF($U369="",0,ROUND(SUMIF(บันทึกรายเที่ยว!$T$6:$T$6005,$U369,บันทึกรายเที่ยว!$J$6:$J$6005),2))</f>
        <v/>
      </c>
      <c r="AG369">
        <f>IF($U369="",0,ROUND(SUMIF(บันทึกรายเที่ยว!$T$6:$T$6005,$U369,บันทึกรายเที่ยว!$K$6:$K$6005),2))</f>
        <v/>
      </c>
      <c r="AH369">
        <f>IF($U369="",0,ROUND(SUMIF(บันทึกรายเที่ยว!$T$6:$T$6005,$U369,บันทึกรายเที่ยว!$M$6:$M$6005),2))</f>
        <v/>
      </c>
    </row>
    <row r="370" ht="21" customHeight="1" s="66">
      <c r="A370" s="3">
        <f>IF($AB370="G","ผลรวมทั้งหมด",IF($AB370="R",INDEX($S$8:$S$407,$AA370),""))</f>
        <v/>
      </c>
      <c r="B370" s="3">
        <f>IF($AB370="S",INDEX($Y$8:$Y$407,$AA370),"")</f>
        <v/>
      </c>
      <c r="C370" s="68">
        <f>IF($AB370="D",INDEX($Z$8:$Z$407,$AA370),"")</f>
        <v/>
      </c>
      <c r="D370" s="31">
        <f>IF($AB370="G",SUM($AE$8:$AE$407),IF(OR($AB370="",$AB370="R"),"",IF($AB370="D",INDEX($AE$8:$AE$407,$AA370),SUMIF($T$8:$T$407,INDEX($T$8:$T$407,$AA370),$AE$8:$AE$407))))</f>
        <v/>
      </c>
      <c r="E370" s="32">
        <f>IF(363=$AD$1+3,"ขอแสดงความนับถือ",IF(363=$AD$1+6,"(                 )",IF(363=$AD$1+7,"เจ้าหน้าที่ขนส่ง",IF($AB370="G",SUM($AF$8:$AF$407),IF(OR($AB370="",$AB370="R"),"",IF($AB370="D",INDEX($AF$8:$AF$407,$AA370),SUMIF($T$8:$T$407,INDEX($T$8:$T$407,$AA370),$AF$8:$AF$407)))))))</f>
        <v/>
      </c>
      <c r="F370" s="32">
        <f>IF($AB370="G",SUM($AG$8:$AG$407),IF(OR($AB370="",$AB370="R"),"",IF($AB370="D",INDEX($AG$8:$AG$407,$AA370),SUMIF($T$8:$T$407,INDEX($T$8:$T$407,$AA370),$AG$8:$AG$407))))</f>
        <v/>
      </c>
      <c r="G370" s="32">
        <f>IF(OR($AB370="",$AB370="R"),"",ROUND($E370-$F370,2))</f>
        <v/>
      </c>
      <c r="H370" s="32">
        <f>IF($AB370="G",SUM($AH$8:$AH$407),IF(OR($AB370="",$AB370="R"),"",IF($AB370="D",INDEX($AH$8:$AH$407,$AA370),SUMIF($T$8:$T$407,INDEX($T$8:$T$407,$AA370),$AH$8:$AH$407))))</f>
        <v/>
      </c>
      <c r="J370">
        <f>IFERROR(MATCH(363,บันทึกรายเที่ยว!$W$6:$W$6005,0),"")</f>
        <v/>
      </c>
      <c r="K370">
        <f>IF($J370="","",INDEX(บันทึกรายเที่ยว!$T$6:$T$6005,$J370))</f>
        <v/>
      </c>
      <c r="L370">
        <f>IF($J370="","",INDEX(บันทึกรายเที่ยว!$S$6:$S$6005,$J370))</f>
        <v/>
      </c>
      <c r="M370">
        <f>IF($J370="","",INDEX(บันทึกรายเที่ยว!$R$6:$R$6005,$J370))</f>
        <v/>
      </c>
      <c r="N370">
        <f>IF($J370="","",MATCH($M370,บันทึกรายเที่ยว!$R$6:$R$6005,0))</f>
        <v/>
      </c>
      <c r="O370">
        <f>IF($J370="","",MATCH($L370,บันทึกรายเที่ยว!$S$6:$S$6005,0))</f>
        <v/>
      </c>
      <c r="P370">
        <f>IF($J370="","",IF(AND(OR($I$3="(ทั้งหมด)",INDEX(บันทึกรายเที่ยว!$C$6:$C$6005,$J370)=$I$3),OR($I$5="(ทั้งหมด)",INDEX(บันทึกรายเที่ยว!$D$6:$D$6005,$J370)=$I$5),OR($I$7="(ทั้งหมด)",INDEX(บันทึกรายเที่ยว!$F$6:$F$6005,$J370)=$I$7)),$N370*10000000+$O370*1000+363,""))</f>
        <v/>
      </c>
      <c r="Q370">
        <f>IFERROR(MATCH(SMALL($P$8:$P$407,363),$P$8:$P$407,0),"")</f>
        <v/>
      </c>
      <c r="R370">
        <f>IF($Q370="","",INDEX($J$8:$J$407,$Q370))</f>
        <v/>
      </c>
      <c r="S370">
        <f>IF($Q370="","",INDEX($M$8:$M$407,$Q370))</f>
        <v/>
      </c>
      <c r="T370">
        <f>IF($Q370="","",INDEX($L$8:$L$407,$Q370))</f>
        <v/>
      </c>
      <c r="U370">
        <f>IF($Q370="","",INDEX($K$8:$K$407,$Q370))</f>
        <v/>
      </c>
      <c r="V370">
        <f>IF($Q370="",0,IF($S370&lt;&gt;$S369,1,0))</f>
        <v/>
      </c>
      <c r="W370">
        <f>IF($Q370="",0,IF($T370&lt;&gt;$T369,1,0))</f>
        <v/>
      </c>
      <c r="X370">
        <f>IF($Q370="",99999+363,$X369+1+$V369+$W369)</f>
        <v/>
      </c>
      <c r="Y370">
        <f>IF($Q370="","",INDEX(บันทึกรายเที่ยว!$Q$6:$Q$6005,$R370))</f>
        <v/>
      </c>
      <c r="Z370">
        <f>IF($Q370="","",INDEX(บันทึกรายเที่ยว!$F$6:$F$6005,$R370))</f>
        <v/>
      </c>
      <c r="AA370">
        <f>IFERROR(MATCH(363,$X$8:$X$407,1),"")</f>
        <v/>
      </c>
      <c r="AB370">
        <f>IF(363=$AD$1+1,"G",IF($AA370="","",IF(INDEX($Q$8:$Q$407,$AA370)="","",IF(363&gt;INDEX($X$8:$X$407,$AA370)+INDEX($V$8:$V$407,$AA370)+INDEX($W$8:$W$407,$AA370),"",IF(363=INDEX($X$8:$X$407,$AA370)+INDEX($V$8:$V$407,$AA370)+INDEX($W$8:$W$407,$AA370),"D",IF(AND(INDEX($W$8:$W$407,$AA370)=1,363=INDEX($X$8:$X$407,$AA370)+INDEX($V$8:$V$407,$AA370)),"S","R"))))))</f>
        <v/>
      </c>
      <c r="AC370">
        <f>IF(OR($AB370="",$AB370="G"),"",IF($AB370="D",INDEX($U$8:$U$407,$AA370),IF($AB370="S",INDEX($T$8:$T$407,$AA370)&amp;"|*",INDEX($S$8:$S$407,$AA370)&amp;"|*")))</f>
        <v/>
      </c>
      <c r="AE370">
        <f>IF($U370="",0,COUNTIF(บันทึกรายเที่ยว!$T$6:$T$6005,$U370))</f>
        <v/>
      </c>
      <c r="AF370">
        <f>IF($U370="",0,ROUND(SUMIF(บันทึกรายเที่ยว!$T$6:$T$6005,$U370,บันทึกรายเที่ยว!$J$6:$J$6005),2))</f>
        <v/>
      </c>
      <c r="AG370">
        <f>IF($U370="",0,ROUND(SUMIF(บันทึกรายเที่ยว!$T$6:$T$6005,$U370,บันทึกรายเที่ยว!$K$6:$K$6005),2))</f>
        <v/>
      </c>
      <c r="AH370">
        <f>IF($U370="",0,ROUND(SUMIF(บันทึกรายเที่ยว!$T$6:$T$6005,$U370,บันทึกรายเที่ยว!$M$6:$M$6005),2))</f>
        <v/>
      </c>
    </row>
    <row r="371" ht="21" customHeight="1" s="66">
      <c r="A371" s="3">
        <f>IF($AB371="G","ผลรวมทั้งหมด",IF($AB371="R",INDEX($S$8:$S$407,$AA371),""))</f>
        <v/>
      </c>
      <c r="B371" s="3">
        <f>IF($AB371="S",INDEX($Y$8:$Y$407,$AA371),"")</f>
        <v/>
      </c>
      <c r="C371" s="68">
        <f>IF($AB371="D",INDEX($Z$8:$Z$407,$AA371),"")</f>
        <v/>
      </c>
      <c r="D371" s="31">
        <f>IF($AB371="G",SUM($AE$8:$AE$407),IF(OR($AB371="",$AB371="R"),"",IF($AB371="D",INDEX($AE$8:$AE$407,$AA371),SUMIF($T$8:$T$407,INDEX($T$8:$T$407,$AA371),$AE$8:$AE$407))))</f>
        <v/>
      </c>
      <c r="E371" s="32">
        <f>IF(364=$AD$1+3,"ขอแสดงความนับถือ",IF(364=$AD$1+6,"(                 )",IF(364=$AD$1+7,"เจ้าหน้าที่ขนส่ง",IF($AB371="G",SUM($AF$8:$AF$407),IF(OR($AB371="",$AB371="R"),"",IF($AB371="D",INDEX($AF$8:$AF$407,$AA371),SUMIF($T$8:$T$407,INDEX($T$8:$T$407,$AA371),$AF$8:$AF$407)))))))</f>
        <v/>
      </c>
      <c r="F371" s="32">
        <f>IF($AB371="G",SUM($AG$8:$AG$407),IF(OR($AB371="",$AB371="R"),"",IF($AB371="D",INDEX($AG$8:$AG$407,$AA371),SUMIF($T$8:$T$407,INDEX($T$8:$T$407,$AA371),$AG$8:$AG$407))))</f>
        <v/>
      </c>
      <c r="G371" s="32">
        <f>IF(OR($AB371="",$AB371="R"),"",ROUND($E371-$F371,2))</f>
        <v/>
      </c>
      <c r="H371" s="32">
        <f>IF($AB371="G",SUM($AH$8:$AH$407),IF(OR($AB371="",$AB371="R"),"",IF($AB371="D",INDEX($AH$8:$AH$407,$AA371),SUMIF($T$8:$T$407,INDEX($T$8:$T$407,$AA371),$AH$8:$AH$407))))</f>
        <v/>
      </c>
      <c r="J371">
        <f>IFERROR(MATCH(364,บันทึกรายเที่ยว!$W$6:$W$6005,0),"")</f>
        <v/>
      </c>
      <c r="K371">
        <f>IF($J371="","",INDEX(บันทึกรายเที่ยว!$T$6:$T$6005,$J371))</f>
        <v/>
      </c>
      <c r="L371">
        <f>IF($J371="","",INDEX(บันทึกรายเที่ยว!$S$6:$S$6005,$J371))</f>
        <v/>
      </c>
      <c r="M371">
        <f>IF($J371="","",INDEX(บันทึกรายเที่ยว!$R$6:$R$6005,$J371))</f>
        <v/>
      </c>
      <c r="N371">
        <f>IF($J371="","",MATCH($M371,บันทึกรายเที่ยว!$R$6:$R$6005,0))</f>
        <v/>
      </c>
      <c r="O371">
        <f>IF($J371="","",MATCH($L371,บันทึกรายเที่ยว!$S$6:$S$6005,0))</f>
        <v/>
      </c>
      <c r="P371">
        <f>IF($J371="","",IF(AND(OR($I$3="(ทั้งหมด)",INDEX(บันทึกรายเที่ยว!$C$6:$C$6005,$J371)=$I$3),OR($I$5="(ทั้งหมด)",INDEX(บันทึกรายเที่ยว!$D$6:$D$6005,$J371)=$I$5),OR($I$7="(ทั้งหมด)",INDEX(บันทึกรายเที่ยว!$F$6:$F$6005,$J371)=$I$7)),$N371*10000000+$O371*1000+364,""))</f>
        <v/>
      </c>
      <c r="Q371">
        <f>IFERROR(MATCH(SMALL($P$8:$P$407,364),$P$8:$P$407,0),"")</f>
        <v/>
      </c>
      <c r="R371">
        <f>IF($Q371="","",INDEX($J$8:$J$407,$Q371))</f>
        <v/>
      </c>
      <c r="S371">
        <f>IF($Q371="","",INDEX($M$8:$M$407,$Q371))</f>
        <v/>
      </c>
      <c r="T371">
        <f>IF($Q371="","",INDEX($L$8:$L$407,$Q371))</f>
        <v/>
      </c>
      <c r="U371">
        <f>IF($Q371="","",INDEX($K$8:$K$407,$Q371))</f>
        <v/>
      </c>
      <c r="V371">
        <f>IF($Q371="",0,IF($S371&lt;&gt;$S370,1,0))</f>
        <v/>
      </c>
      <c r="W371">
        <f>IF($Q371="",0,IF($T371&lt;&gt;$T370,1,0))</f>
        <v/>
      </c>
      <c r="X371">
        <f>IF($Q371="",99999+364,$X370+1+$V370+$W370)</f>
        <v/>
      </c>
      <c r="Y371">
        <f>IF($Q371="","",INDEX(บันทึกรายเที่ยว!$Q$6:$Q$6005,$R371))</f>
        <v/>
      </c>
      <c r="Z371">
        <f>IF($Q371="","",INDEX(บันทึกรายเที่ยว!$F$6:$F$6005,$R371))</f>
        <v/>
      </c>
      <c r="AA371">
        <f>IFERROR(MATCH(364,$X$8:$X$407,1),"")</f>
        <v/>
      </c>
      <c r="AB371">
        <f>IF(364=$AD$1+1,"G",IF($AA371="","",IF(INDEX($Q$8:$Q$407,$AA371)="","",IF(364&gt;INDEX($X$8:$X$407,$AA371)+INDEX($V$8:$V$407,$AA371)+INDEX($W$8:$W$407,$AA371),"",IF(364=INDEX($X$8:$X$407,$AA371)+INDEX($V$8:$V$407,$AA371)+INDEX($W$8:$W$407,$AA371),"D",IF(AND(INDEX($W$8:$W$407,$AA371)=1,364=INDEX($X$8:$X$407,$AA371)+INDEX($V$8:$V$407,$AA371)),"S","R"))))))</f>
        <v/>
      </c>
      <c r="AC371">
        <f>IF(OR($AB371="",$AB371="G"),"",IF($AB371="D",INDEX($U$8:$U$407,$AA371),IF($AB371="S",INDEX($T$8:$T$407,$AA371)&amp;"|*",INDEX($S$8:$S$407,$AA371)&amp;"|*")))</f>
        <v/>
      </c>
      <c r="AE371">
        <f>IF($U371="",0,COUNTIF(บันทึกรายเที่ยว!$T$6:$T$6005,$U371))</f>
        <v/>
      </c>
      <c r="AF371">
        <f>IF($U371="",0,ROUND(SUMIF(บันทึกรายเที่ยว!$T$6:$T$6005,$U371,บันทึกรายเที่ยว!$J$6:$J$6005),2))</f>
        <v/>
      </c>
      <c r="AG371">
        <f>IF($U371="",0,ROUND(SUMIF(บันทึกรายเที่ยว!$T$6:$T$6005,$U371,บันทึกรายเที่ยว!$K$6:$K$6005),2))</f>
        <v/>
      </c>
      <c r="AH371">
        <f>IF($U371="",0,ROUND(SUMIF(บันทึกรายเที่ยว!$T$6:$T$6005,$U371,บันทึกรายเที่ยว!$M$6:$M$6005),2))</f>
        <v/>
      </c>
    </row>
    <row r="372" ht="21" customHeight="1" s="66">
      <c r="A372" s="3">
        <f>IF($AB372="G","ผลรวมทั้งหมด",IF($AB372="R",INDEX($S$8:$S$407,$AA372),""))</f>
        <v/>
      </c>
      <c r="B372" s="3">
        <f>IF($AB372="S",INDEX($Y$8:$Y$407,$AA372),"")</f>
        <v/>
      </c>
      <c r="C372" s="68">
        <f>IF($AB372="D",INDEX($Z$8:$Z$407,$AA372),"")</f>
        <v/>
      </c>
      <c r="D372" s="31">
        <f>IF($AB372="G",SUM($AE$8:$AE$407),IF(OR($AB372="",$AB372="R"),"",IF($AB372="D",INDEX($AE$8:$AE$407,$AA372),SUMIF($T$8:$T$407,INDEX($T$8:$T$407,$AA372),$AE$8:$AE$407))))</f>
        <v/>
      </c>
      <c r="E372" s="32">
        <f>IF(365=$AD$1+3,"ขอแสดงความนับถือ",IF(365=$AD$1+6,"(                 )",IF(365=$AD$1+7,"เจ้าหน้าที่ขนส่ง",IF($AB372="G",SUM($AF$8:$AF$407),IF(OR($AB372="",$AB372="R"),"",IF($AB372="D",INDEX($AF$8:$AF$407,$AA372),SUMIF($T$8:$T$407,INDEX($T$8:$T$407,$AA372),$AF$8:$AF$407)))))))</f>
        <v/>
      </c>
      <c r="F372" s="32">
        <f>IF($AB372="G",SUM($AG$8:$AG$407),IF(OR($AB372="",$AB372="R"),"",IF($AB372="D",INDEX($AG$8:$AG$407,$AA372),SUMIF($T$8:$T$407,INDEX($T$8:$T$407,$AA372),$AG$8:$AG$407))))</f>
        <v/>
      </c>
      <c r="G372" s="32">
        <f>IF(OR($AB372="",$AB372="R"),"",ROUND($E372-$F372,2))</f>
        <v/>
      </c>
      <c r="H372" s="32">
        <f>IF($AB372="G",SUM($AH$8:$AH$407),IF(OR($AB372="",$AB372="R"),"",IF($AB372="D",INDEX($AH$8:$AH$407,$AA372),SUMIF($T$8:$T$407,INDEX($T$8:$T$407,$AA372),$AH$8:$AH$407))))</f>
        <v/>
      </c>
      <c r="J372">
        <f>IFERROR(MATCH(365,บันทึกรายเที่ยว!$W$6:$W$6005,0),"")</f>
        <v/>
      </c>
      <c r="K372">
        <f>IF($J372="","",INDEX(บันทึกรายเที่ยว!$T$6:$T$6005,$J372))</f>
        <v/>
      </c>
      <c r="L372">
        <f>IF($J372="","",INDEX(บันทึกรายเที่ยว!$S$6:$S$6005,$J372))</f>
        <v/>
      </c>
      <c r="M372">
        <f>IF($J372="","",INDEX(บันทึกรายเที่ยว!$R$6:$R$6005,$J372))</f>
        <v/>
      </c>
      <c r="N372">
        <f>IF($J372="","",MATCH($M372,บันทึกรายเที่ยว!$R$6:$R$6005,0))</f>
        <v/>
      </c>
      <c r="O372">
        <f>IF($J372="","",MATCH($L372,บันทึกรายเที่ยว!$S$6:$S$6005,0))</f>
        <v/>
      </c>
      <c r="P372">
        <f>IF($J372="","",IF(AND(OR($I$3="(ทั้งหมด)",INDEX(บันทึกรายเที่ยว!$C$6:$C$6005,$J372)=$I$3),OR($I$5="(ทั้งหมด)",INDEX(บันทึกรายเที่ยว!$D$6:$D$6005,$J372)=$I$5),OR($I$7="(ทั้งหมด)",INDEX(บันทึกรายเที่ยว!$F$6:$F$6005,$J372)=$I$7)),$N372*10000000+$O372*1000+365,""))</f>
        <v/>
      </c>
      <c r="Q372">
        <f>IFERROR(MATCH(SMALL($P$8:$P$407,365),$P$8:$P$407,0),"")</f>
        <v/>
      </c>
      <c r="R372">
        <f>IF($Q372="","",INDEX($J$8:$J$407,$Q372))</f>
        <v/>
      </c>
      <c r="S372">
        <f>IF($Q372="","",INDEX($M$8:$M$407,$Q372))</f>
        <v/>
      </c>
      <c r="T372">
        <f>IF($Q372="","",INDEX($L$8:$L$407,$Q372))</f>
        <v/>
      </c>
      <c r="U372">
        <f>IF($Q372="","",INDEX($K$8:$K$407,$Q372))</f>
        <v/>
      </c>
      <c r="V372">
        <f>IF($Q372="",0,IF($S372&lt;&gt;$S371,1,0))</f>
        <v/>
      </c>
      <c r="W372">
        <f>IF($Q372="",0,IF($T372&lt;&gt;$T371,1,0))</f>
        <v/>
      </c>
      <c r="X372">
        <f>IF($Q372="",99999+365,$X371+1+$V371+$W371)</f>
        <v/>
      </c>
      <c r="Y372">
        <f>IF($Q372="","",INDEX(บันทึกรายเที่ยว!$Q$6:$Q$6005,$R372))</f>
        <v/>
      </c>
      <c r="Z372">
        <f>IF($Q372="","",INDEX(บันทึกรายเที่ยว!$F$6:$F$6005,$R372))</f>
        <v/>
      </c>
      <c r="AA372">
        <f>IFERROR(MATCH(365,$X$8:$X$407,1),"")</f>
        <v/>
      </c>
      <c r="AB372">
        <f>IF(365=$AD$1+1,"G",IF($AA372="","",IF(INDEX($Q$8:$Q$407,$AA372)="","",IF(365&gt;INDEX($X$8:$X$407,$AA372)+INDEX($V$8:$V$407,$AA372)+INDEX($W$8:$W$407,$AA372),"",IF(365=INDEX($X$8:$X$407,$AA372)+INDEX($V$8:$V$407,$AA372)+INDEX($W$8:$W$407,$AA372),"D",IF(AND(INDEX($W$8:$W$407,$AA372)=1,365=INDEX($X$8:$X$407,$AA372)+INDEX($V$8:$V$407,$AA372)),"S","R"))))))</f>
        <v/>
      </c>
      <c r="AC372">
        <f>IF(OR($AB372="",$AB372="G"),"",IF($AB372="D",INDEX($U$8:$U$407,$AA372),IF($AB372="S",INDEX($T$8:$T$407,$AA372)&amp;"|*",INDEX($S$8:$S$407,$AA372)&amp;"|*")))</f>
        <v/>
      </c>
      <c r="AE372">
        <f>IF($U372="",0,COUNTIF(บันทึกรายเที่ยว!$T$6:$T$6005,$U372))</f>
        <v/>
      </c>
      <c r="AF372">
        <f>IF($U372="",0,ROUND(SUMIF(บันทึกรายเที่ยว!$T$6:$T$6005,$U372,บันทึกรายเที่ยว!$J$6:$J$6005),2))</f>
        <v/>
      </c>
      <c r="AG372">
        <f>IF($U372="",0,ROUND(SUMIF(บันทึกรายเที่ยว!$T$6:$T$6005,$U372,บันทึกรายเที่ยว!$K$6:$K$6005),2))</f>
        <v/>
      </c>
      <c r="AH372">
        <f>IF($U372="",0,ROUND(SUMIF(บันทึกรายเที่ยว!$T$6:$T$6005,$U372,บันทึกรายเที่ยว!$M$6:$M$6005),2))</f>
        <v/>
      </c>
    </row>
    <row r="373" ht="21" customHeight="1" s="66">
      <c r="A373" s="3">
        <f>IF($AB373="G","ผลรวมทั้งหมด",IF($AB373="R",INDEX($S$8:$S$407,$AA373),""))</f>
        <v/>
      </c>
      <c r="B373" s="3">
        <f>IF($AB373="S",INDEX($Y$8:$Y$407,$AA373),"")</f>
        <v/>
      </c>
      <c r="C373" s="68">
        <f>IF($AB373="D",INDEX($Z$8:$Z$407,$AA373),"")</f>
        <v/>
      </c>
      <c r="D373" s="31">
        <f>IF($AB373="G",SUM($AE$8:$AE$407),IF(OR($AB373="",$AB373="R"),"",IF($AB373="D",INDEX($AE$8:$AE$407,$AA373),SUMIF($T$8:$T$407,INDEX($T$8:$T$407,$AA373),$AE$8:$AE$407))))</f>
        <v/>
      </c>
      <c r="E373" s="32">
        <f>IF(366=$AD$1+3,"ขอแสดงความนับถือ",IF(366=$AD$1+6,"(                 )",IF(366=$AD$1+7,"เจ้าหน้าที่ขนส่ง",IF($AB373="G",SUM($AF$8:$AF$407),IF(OR($AB373="",$AB373="R"),"",IF($AB373="D",INDEX($AF$8:$AF$407,$AA373),SUMIF($T$8:$T$407,INDEX($T$8:$T$407,$AA373),$AF$8:$AF$407)))))))</f>
        <v/>
      </c>
      <c r="F373" s="32">
        <f>IF($AB373="G",SUM($AG$8:$AG$407),IF(OR($AB373="",$AB373="R"),"",IF($AB373="D",INDEX($AG$8:$AG$407,$AA373),SUMIF($T$8:$T$407,INDEX($T$8:$T$407,$AA373),$AG$8:$AG$407))))</f>
        <v/>
      </c>
      <c r="G373" s="32">
        <f>IF(OR($AB373="",$AB373="R"),"",ROUND($E373-$F373,2))</f>
        <v/>
      </c>
      <c r="H373" s="32">
        <f>IF($AB373="G",SUM($AH$8:$AH$407),IF(OR($AB373="",$AB373="R"),"",IF($AB373="D",INDEX($AH$8:$AH$407,$AA373),SUMIF($T$8:$T$407,INDEX($T$8:$T$407,$AA373),$AH$8:$AH$407))))</f>
        <v/>
      </c>
      <c r="J373">
        <f>IFERROR(MATCH(366,บันทึกรายเที่ยว!$W$6:$W$6005,0),"")</f>
        <v/>
      </c>
      <c r="K373">
        <f>IF($J373="","",INDEX(บันทึกรายเที่ยว!$T$6:$T$6005,$J373))</f>
        <v/>
      </c>
      <c r="L373">
        <f>IF($J373="","",INDEX(บันทึกรายเที่ยว!$S$6:$S$6005,$J373))</f>
        <v/>
      </c>
      <c r="M373">
        <f>IF($J373="","",INDEX(บันทึกรายเที่ยว!$R$6:$R$6005,$J373))</f>
        <v/>
      </c>
      <c r="N373">
        <f>IF($J373="","",MATCH($M373,บันทึกรายเที่ยว!$R$6:$R$6005,0))</f>
        <v/>
      </c>
      <c r="O373">
        <f>IF($J373="","",MATCH($L373,บันทึกรายเที่ยว!$S$6:$S$6005,0))</f>
        <v/>
      </c>
      <c r="P373">
        <f>IF($J373="","",IF(AND(OR($I$3="(ทั้งหมด)",INDEX(บันทึกรายเที่ยว!$C$6:$C$6005,$J373)=$I$3),OR($I$5="(ทั้งหมด)",INDEX(บันทึกรายเที่ยว!$D$6:$D$6005,$J373)=$I$5),OR($I$7="(ทั้งหมด)",INDEX(บันทึกรายเที่ยว!$F$6:$F$6005,$J373)=$I$7)),$N373*10000000+$O373*1000+366,""))</f>
        <v/>
      </c>
      <c r="Q373">
        <f>IFERROR(MATCH(SMALL($P$8:$P$407,366),$P$8:$P$407,0),"")</f>
        <v/>
      </c>
      <c r="R373">
        <f>IF($Q373="","",INDEX($J$8:$J$407,$Q373))</f>
        <v/>
      </c>
      <c r="S373">
        <f>IF($Q373="","",INDEX($M$8:$M$407,$Q373))</f>
        <v/>
      </c>
      <c r="T373">
        <f>IF($Q373="","",INDEX($L$8:$L$407,$Q373))</f>
        <v/>
      </c>
      <c r="U373">
        <f>IF($Q373="","",INDEX($K$8:$K$407,$Q373))</f>
        <v/>
      </c>
      <c r="V373">
        <f>IF($Q373="",0,IF($S373&lt;&gt;$S372,1,0))</f>
        <v/>
      </c>
      <c r="W373">
        <f>IF($Q373="",0,IF($T373&lt;&gt;$T372,1,0))</f>
        <v/>
      </c>
      <c r="X373">
        <f>IF($Q373="",99999+366,$X372+1+$V372+$W372)</f>
        <v/>
      </c>
      <c r="Y373">
        <f>IF($Q373="","",INDEX(บันทึกรายเที่ยว!$Q$6:$Q$6005,$R373))</f>
        <v/>
      </c>
      <c r="Z373">
        <f>IF($Q373="","",INDEX(บันทึกรายเที่ยว!$F$6:$F$6005,$R373))</f>
        <v/>
      </c>
      <c r="AA373">
        <f>IFERROR(MATCH(366,$X$8:$X$407,1),"")</f>
        <v/>
      </c>
      <c r="AB373">
        <f>IF(366=$AD$1+1,"G",IF($AA373="","",IF(INDEX($Q$8:$Q$407,$AA373)="","",IF(366&gt;INDEX($X$8:$X$407,$AA373)+INDEX($V$8:$V$407,$AA373)+INDEX($W$8:$W$407,$AA373),"",IF(366=INDEX($X$8:$X$407,$AA373)+INDEX($V$8:$V$407,$AA373)+INDEX($W$8:$W$407,$AA373),"D",IF(AND(INDEX($W$8:$W$407,$AA373)=1,366=INDEX($X$8:$X$407,$AA373)+INDEX($V$8:$V$407,$AA373)),"S","R"))))))</f>
        <v/>
      </c>
      <c r="AC373">
        <f>IF(OR($AB373="",$AB373="G"),"",IF($AB373="D",INDEX($U$8:$U$407,$AA373),IF($AB373="S",INDEX($T$8:$T$407,$AA373)&amp;"|*",INDEX($S$8:$S$407,$AA373)&amp;"|*")))</f>
        <v/>
      </c>
      <c r="AE373">
        <f>IF($U373="",0,COUNTIF(บันทึกรายเที่ยว!$T$6:$T$6005,$U373))</f>
        <v/>
      </c>
      <c r="AF373">
        <f>IF($U373="",0,ROUND(SUMIF(บันทึกรายเที่ยว!$T$6:$T$6005,$U373,บันทึกรายเที่ยว!$J$6:$J$6005),2))</f>
        <v/>
      </c>
      <c r="AG373">
        <f>IF($U373="",0,ROUND(SUMIF(บันทึกรายเที่ยว!$T$6:$T$6005,$U373,บันทึกรายเที่ยว!$K$6:$K$6005),2))</f>
        <v/>
      </c>
      <c r="AH373">
        <f>IF($U373="",0,ROUND(SUMIF(บันทึกรายเที่ยว!$T$6:$T$6005,$U373,บันทึกรายเที่ยว!$M$6:$M$6005),2))</f>
        <v/>
      </c>
    </row>
    <row r="374" ht="21" customHeight="1" s="66">
      <c r="A374" s="3">
        <f>IF($AB374="G","ผลรวมทั้งหมด",IF($AB374="R",INDEX($S$8:$S$407,$AA374),""))</f>
        <v/>
      </c>
      <c r="B374" s="3">
        <f>IF($AB374="S",INDEX($Y$8:$Y$407,$AA374),"")</f>
        <v/>
      </c>
      <c r="C374" s="68">
        <f>IF($AB374="D",INDEX($Z$8:$Z$407,$AA374),"")</f>
        <v/>
      </c>
      <c r="D374" s="31">
        <f>IF($AB374="G",SUM($AE$8:$AE$407),IF(OR($AB374="",$AB374="R"),"",IF($AB374="D",INDEX($AE$8:$AE$407,$AA374),SUMIF($T$8:$T$407,INDEX($T$8:$T$407,$AA374),$AE$8:$AE$407))))</f>
        <v/>
      </c>
      <c r="E374" s="32">
        <f>IF(367=$AD$1+3,"ขอแสดงความนับถือ",IF(367=$AD$1+6,"(                 )",IF(367=$AD$1+7,"เจ้าหน้าที่ขนส่ง",IF($AB374="G",SUM($AF$8:$AF$407),IF(OR($AB374="",$AB374="R"),"",IF($AB374="D",INDEX($AF$8:$AF$407,$AA374),SUMIF($T$8:$T$407,INDEX($T$8:$T$407,$AA374),$AF$8:$AF$407)))))))</f>
        <v/>
      </c>
      <c r="F374" s="32">
        <f>IF($AB374="G",SUM($AG$8:$AG$407),IF(OR($AB374="",$AB374="R"),"",IF($AB374="D",INDEX($AG$8:$AG$407,$AA374),SUMIF($T$8:$T$407,INDEX($T$8:$T$407,$AA374),$AG$8:$AG$407))))</f>
        <v/>
      </c>
      <c r="G374" s="32">
        <f>IF(OR($AB374="",$AB374="R"),"",ROUND($E374-$F374,2))</f>
        <v/>
      </c>
      <c r="H374" s="32">
        <f>IF($AB374="G",SUM($AH$8:$AH$407),IF(OR($AB374="",$AB374="R"),"",IF($AB374="D",INDEX($AH$8:$AH$407,$AA374),SUMIF($T$8:$T$407,INDEX($T$8:$T$407,$AA374),$AH$8:$AH$407))))</f>
        <v/>
      </c>
      <c r="J374">
        <f>IFERROR(MATCH(367,บันทึกรายเที่ยว!$W$6:$W$6005,0),"")</f>
        <v/>
      </c>
      <c r="K374">
        <f>IF($J374="","",INDEX(บันทึกรายเที่ยว!$T$6:$T$6005,$J374))</f>
        <v/>
      </c>
      <c r="L374">
        <f>IF($J374="","",INDEX(บันทึกรายเที่ยว!$S$6:$S$6005,$J374))</f>
        <v/>
      </c>
      <c r="M374">
        <f>IF($J374="","",INDEX(บันทึกรายเที่ยว!$R$6:$R$6005,$J374))</f>
        <v/>
      </c>
      <c r="N374">
        <f>IF($J374="","",MATCH($M374,บันทึกรายเที่ยว!$R$6:$R$6005,0))</f>
        <v/>
      </c>
      <c r="O374">
        <f>IF($J374="","",MATCH($L374,บันทึกรายเที่ยว!$S$6:$S$6005,0))</f>
        <v/>
      </c>
      <c r="P374">
        <f>IF($J374="","",IF(AND(OR($I$3="(ทั้งหมด)",INDEX(บันทึกรายเที่ยว!$C$6:$C$6005,$J374)=$I$3),OR($I$5="(ทั้งหมด)",INDEX(บันทึกรายเที่ยว!$D$6:$D$6005,$J374)=$I$5),OR($I$7="(ทั้งหมด)",INDEX(บันทึกรายเที่ยว!$F$6:$F$6005,$J374)=$I$7)),$N374*10000000+$O374*1000+367,""))</f>
        <v/>
      </c>
      <c r="Q374">
        <f>IFERROR(MATCH(SMALL($P$8:$P$407,367),$P$8:$P$407,0),"")</f>
        <v/>
      </c>
      <c r="R374">
        <f>IF($Q374="","",INDEX($J$8:$J$407,$Q374))</f>
        <v/>
      </c>
      <c r="S374">
        <f>IF($Q374="","",INDEX($M$8:$M$407,$Q374))</f>
        <v/>
      </c>
      <c r="T374">
        <f>IF($Q374="","",INDEX($L$8:$L$407,$Q374))</f>
        <v/>
      </c>
      <c r="U374">
        <f>IF($Q374="","",INDEX($K$8:$K$407,$Q374))</f>
        <v/>
      </c>
      <c r="V374">
        <f>IF($Q374="",0,IF($S374&lt;&gt;$S373,1,0))</f>
        <v/>
      </c>
      <c r="W374">
        <f>IF($Q374="",0,IF($T374&lt;&gt;$T373,1,0))</f>
        <v/>
      </c>
      <c r="X374">
        <f>IF($Q374="",99999+367,$X373+1+$V373+$W373)</f>
        <v/>
      </c>
      <c r="Y374">
        <f>IF($Q374="","",INDEX(บันทึกรายเที่ยว!$Q$6:$Q$6005,$R374))</f>
        <v/>
      </c>
      <c r="Z374">
        <f>IF($Q374="","",INDEX(บันทึกรายเที่ยว!$F$6:$F$6005,$R374))</f>
        <v/>
      </c>
      <c r="AA374">
        <f>IFERROR(MATCH(367,$X$8:$X$407,1),"")</f>
        <v/>
      </c>
      <c r="AB374">
        <f>IF(367=$AD$1+1,"G",IF($AA374="","",IF(INDEX($Q$8:$Q$407,$AA374)="","",IF(367&gt;INDEX($X$8:$X$407,$AA374)+INDEX($V$8:$V$407,$AA374)+INDEX($W$8:$W$407,$AA374),"",IF(367=INDEX($X$8:$X$407,$AA374)+INDEX($V$8:$V$407,$AA374)+INDEX($W$8:$W$407,$AA374),"D",IF(AND(INDEX($W$8:$W$407,$AA374)=1,367=INDEX($X$8:$X$407,$AA374)+INDEX($V$8:$V$407,$AA374)),"S","R"))))))</f>
        <v/>
      </c>
      <c r="AC374">
        <f>IF(OR($AB374="",$AB374="G"),"",IF($AB374="D",INDEX($U$8:$U$407,$AA374),IF($AB374="S",INDEX($T$8:$T$407,$AA374)&amp;"|*",INDEX($S$8:$S$407,$AA374)&amp;"|*")))</f>
        <v/>
      </c>
      <c r="AE374">
        <f>IF($U374="",0,COUNTIF(บันทึกรายเที่ยว!$T$6:$T$6005,$U374))</f>
        <v/>
      </c>
      <c r="AF374">
        <f>IF($U374="",0,ROUND(SUMIF(บันทึกรายเที่ยว!$T$6:$T$6005,$U374,บันทึกรายเที่ยว!$J$6:$J$6005),2))</f>
        <v/>
      </c>
      <c r="AG374">
        <f>IF($U374="",0,ROUND(SUMIF(บันทึกรายเที่ยว!$T$6:$T$6005,$U374,บันทึกรายเที่ยว!$K$6:$K$6005),2))</f>
        <v/>
      </c>
      <c r="AH374">
        <f>IF($U374="",0,ROUND(SUMIF(บันทึกรายเที่ยว!$T$6:$T$6005,$U374,บันทึกรายเที่ยว!$M$6:$M$6005),2))</f>
        <v/>
      </c>
    </row>
    <row r="375" ht="21" customHeight="1" s="66">
      <c r="A375" s="3">
        <f>IF($AB375="G","ผลรวมทั้งหมด",IF($AB375="R",INDEX($S$8:$S$407,$AA375),""))</f>
        <v/>
      </c>
      <c r="B375" s="3">
        <f>IF($AB375="S",INDEX($Y$8:$Y$407,$AA375),"")</f>
        <v/>
      </c>
      <c r="C375" s="68">
        <f>IF($AB375="D",INDEX($Z$8:$Z$407,$AA375),"")</f>
        <v/>
      </c>
      <c r="D375" s="31">
        <f>IF($AB375="G",SUM($AE$8:$AE$407),IF(OR($AB375="",$AB375="R"),"",IF($AB375="D",INDEX($AE$8:$AE$407,$AA375),SUMIF($T$8:$T$407,INDEX($T$8:$T$407,$AA375),$AE$8:$AE$407))))</f>
        <v/>
      </c>
      <c r="E375" s="32">
        <f>IF(368=$AD$1+3,"ขอแสดงความนับถือ",IF(368=$AD$1+6,"(                 )",IF(368=$AD$1+7,"เจ้าหน้าที่ขนส่ง",IF($AB375="G",SUM($AF$8:$AF$407),IF(OR($AB375="",$AB375="R"),"",IF($AB375="D",INDEX($AF$8:$AF$407,$AA375),SUMIF($T$8:$T$407,INDEX($T$8:$T$407,$AA375),$AF$8:$AF$407)))))))</f>
        <v/>
      </c>
      <c r="F375" s="32">
        <f>IF($AB375="G",SUM($AG$8:$AG$407),IF(OR($AB375="",$AB375="R"),"",IF($AB375="D",INDEX($AG$8:$AG$407,$AA375),SUMIF($T$8:$T$407,INDEX($T$8:$T$407,$AA375),$AG$8:$AG$407))))</f>
        <v/>
      </c>
      <c r="G375" s="32">
        <f>IF(OR($AB375="",$AB375="R"),"",ROUND($E375-$F375,2))</f>
        <v/>
      </c>
      <c r="H375" s="32">
        <f>IF($AB375="G",SUM($AH$8:$AH$407),IF(OR($AB375="",$AB375="R"),"",IF($AB375="D",INDEX($AH$8:$AH$407,$AA375),SUMIF($T$8:$T$407,INDEX($T$8:$T$407,$AA375),$AH$8:$AH$407))))</f>
        <v/>
      </c>
      <c r="J375">
        <f>IFERROR(MATCH(368,บันทึกรายเที่ยว!$W$6:$W$6005,0),"")</f>
        <v/>
      </c>
      <c r="K375">
        <f>IF($J375="","",INDEX(บันทึกรายเที่ยว!$T$6:$T$6005,$J375))</f>
        <v/>
      </c>
      <c r="L375">
        <f>IF($J375="","",INDEX(บันทึกรายเที่ยว!$S$6:$S$6005,$J375))</f>
        <v/>
      </c>
      <c r="M375">
        <f>IF($J375="","",INDEX(บันทึกรายเที่ยว!$R$6:$R$6005,$J375))</f>
        <v/>
      </c>
      <c r="N375">
        <f>IF($J375="","",MATCH($M375,บันทึกรายเที่ยว!$R$6:$R$6005,0))</f>
        <v/>
      </c>
      <c r="O375">
        <f>IF($J375="","",MATCH($L375,บันทึกรายเที่ยว!$S$6:$S$6005,0))</f>
        <v/>
      </c>
      <c r="P375">
        <f>IF($J375="","",IF(AND(OR($I$3="(ทั้งหมด)",INDEX(บันทึกรายเที่ยว!$C$6:$C$6005,$J375)=$I$3),OR($I$5="(ทั้งหมด)",INDEX(บันทึกรายเที่ยว!$D$6:$D$6005,$J375)=$I$5),OR($I$7="(ทั้งหมด)",INDEX(บันทึกรายเที่ยว!$F$6:$F$6005,$J375)=$I$7)),$N375*10000000+$O375*1000+368,""))</f>
        <v/>
      </c>
      <c r="Q375">
        <f>IFERROR(MATCH(SMALL($P$8:$P$407,368),$P$8:$P$407,0),"")</f>
        <v/>
      </c>
      <c r="R375">
        <f>IF($Q375="","",INDEX($J$8:$J$407,$Q375))</f>
        <v/>
      </c>
      <c r="S375">
        <f>IF($Q375="","",INDEX($M$8:$M$407,$Q375))</f>
        <v/>
      </c>
      <c r="T375">
        <f>IF($Q375="","",INDEX($L$8:$L$407,$Q375))</f>
        <v/>
      </c>
      <c r="U375">
        <f>IF($Q375="","",INDEX($K$8:$K$407,$Q375))</f>
        <v/>
      </c>
      <c r="V375">
        <f>IF($Q375="",0,IF($S375&lt;&gt;$S374,1,0))</f>
        <v/>
      </c>
      <c r="W375">
        <f>IF($Q375="",0,IF($T375&lt;&gt;$T374,1,0))</f>
        <v/>
      </c>
      <c r="X375">
        <f>IF($Q375="",99999+368,$X374+1+$V374+$W374)</f>
        <v/>
      </c>
      <c r="Y375">
        <f>IF($Q375="","",INDEX(บันทึกรายเที่ยว!$Q$6:$Q$6005,$R375))</f>
        <v/>
      </c>
      <c r="Z375">
        <f>IF($Q375="","",INDEX(บันทึกรายเที่ยว!$F$6:$F$6005,$R375))</f>
        <v/>
      </c>
      <c r="AA375">
        <f>IFERROR(MATCH(368,$X$8:$X$407,1),"")</f>
        <v/>
      </c>
      <c r="AB375">
        <f>IF(368=$AD$1+1,"G",IF($AA375="","",IF(INDEX($Q$8:$Q$407,$AA375)="","",IF(368&gt;INDEX($X$8:$X$407,$AA375)+INDEX($V$8:$V$407,$AA375)+INDEX($W$8:$W$407,$AA375),"",IF(368=INDEX($X$8:$X$407,$AA375)+INDEX($V$8:$V$407,$AA375)+INDEX($W$8:$W$407,$AA375),"D",IF(AND(INDEX($W$8:$W$407,$AA375)=1,368=INDEX($X$8:$X$407,$AA375)+INDEX($V$8:$V$407,$AA375)),"S","R"))))))</f>
        <v/>
      </c>
      <c r="AC375">
        <f>IF(OR($AB375="",$AB375="G"),"",IF($AB375="D",INDEX($U$8:$U$407,$AA375),IF($AB375="S",INDEX($T$8:$T$407,$AA375)&amp;"|*",INDEX($S$8:$S$407,$AA375)&amp;"|*")))</f>
        <v/>
      </c>
      <c r="AE375">
        <f>IF($U375="",0,COUNTIF(บันทึกรายเที่ยว!$T$6:$T$6005,$U375))</f>
        <v/>
      </c>
      <c r="AF375">
        <f>IF($U375="",0,ROUND(SUMIF(บันทึกรายเที่ยว!$T$6:$T$6005,$U375,บันทึกรายเที่ยว!$J$6:$J$6005),2))</f>
        <v/>
      </c>
      <c r="AG375">
        <f>IF($U375="",0,ROUND(SUMIF(บันทึกรายเที่ยว!$T$6:$T$6005,$U375,บันทึกรายเที่ยว!$K$6:$K$6005),2))</f>
        <v/>
      </c>
      <c r="AH375">
        <f>IF($U375="",0,ROUND(SUMIF(บันทึกรายเที่ยว!$T$6:$T$6005,$U375,บันทึกรายเที่ยว!$M$6:$M$6005),2))</f>
        <v/>
      </c>
    </row>
    <row r="376" ht="21" customHeight="1" s="66">
      <c r="A376" s="3">
        <f>IF($AB376="G","ผลรวมทั้งหมด",IF($AB376="R",INDEX($S$8:$S$407,$AA376),""))</f>
        <v/>
      </c>
      <c r="B376" s="3">
        <f>IF($AB376="S",INDEX($Y$8:$Y$407,$AA376),"")</f>
        <v/>
      </c>
      <c r="C376" s="68">
        <f>IF($AB376="D",INDEX($Z$8:$Z$407,$AA376),"")</f>
        <v/>
      </c>
      <c r="D376" s="31">
        <f>IF($AB376="G",SUM($AE$8:$AE$407),IF(OR($AB376="",$AB376="R"),"",IF($AB376="D",INDEX($AE$8:$AE$407,$AA376),SUMIF($T$8:$T$407,INDEX($T$8:$T$407,$AA376),$AE$8:$AE$407))))</f>
        <v/>
      </c>
      <c r="E376" s="32">
        <f>IF(369=$AD$1+3,"ขอแสดงความนับถือ",IF(369=$AD$1+6,"(                 )",IF(369=$AD$1+7,"เจ้าหน้าที่ขนส่ง",IF($AB376="G",SUM($AF$8:$AF$407),IF(OR($AB376="",$AB376="R"),"",IF($AB376="D",INDEX($AF$8:$AF$407,$AA376),SUMIF($T$8:$T$407,INDEX($T$8:$T$407,$AA376),$AF$8:$AF$407)))))))</f>
        <v/>
      </c>
      <c r="F376" s="32">
        <f>IF($AB376="G",SUM($AG$8:$AG$407),IF(OR($AB376="",$AB376="R"),"",IF($AB376="D",INDEX($AG$8:$AG$407,$AA376),SUMIF($T$8:$T$407,INDEX($T$8:$T$407,$AA376),$AG$8:$AG$407))))</f>
        <v/>
      </c>
      <c r="G376" s="32">
        <f>IF(OR($AB376="",$AB376="R"),"",ROUND($E376-$F376,2))</f>
        <v/>
      </c>
      <c r="H376" s="32">
        <f>IF($AB376="G",SUM($AH$8:$AH$407),IF(OR($AB376="",$AB376="R"),"",IF($AB376="D",INDEX($AH$8:$AH$407,$AA376),SUMIF($T$8:$T$407,INDEX($T$8:$T$407,$AA376),$AH$8:$AH$407))))</f>
        <v/>
      </c>
      <c r="J376">
        <f>IFERROR(MATCH(369,บันทึกรายเที่ยว!$W$6:$W$6005,0),"")</f>
        <v/>
      </c>
      <c r="K376">
        <f>IF($J376="","",INDEX(บันทึกรายเที่ยว!$T$6:$T$6005,$J376))</f>
        <v/>
      </c>
      <c r="L376">
        <f>IF($J376="","",INDEX(บันทึกรายเที่ยว!$S$6:$S$6005,$J376))</f>
        <v/>
      </c>
      <c r="M376">
        <f>IF($J376="","",INDEX(บันทึกรายเที่ยว!$R$6:$R$6005,$J376))</f>
        <v/>
      </c>
      <c r="N376">
        <f>IF($J376="","",MATCH($M376,บันทึกรายเที่ยว!$R$6:$R$6005,0))</f>
        <v/>
      </c>
      <c r="O376">
        <f>IF($J376="","",MATCH($L376,บันทึกรายเที่ยว!$S$6:$S$6005,0))</f>
        <v/>
      </c>
      <c r="P376">
        <f>IF($J376="","",IF(AND(OR($I$3="(ทั้งหมด)",INDEX(บันทึกรายเที่ยว!$C$6:$C$6005,$J376)=$I$3),OR($I$5="(ทั้งหมด)",INDEX(บันทึกรายเที่ยว!$D$6:$D$6005,$J376)=$I$5),OR($I$7="(ทั้งหมด)",INDEX(บันทึกรายเที่ยว!$F$6:$F$6005,$J376)=$I$7)),$N376*10000000+$O376*1000+369,""))</f>
        <v/>
      </c>
      <c r="Q376">
        <f>IFERROR(MATCH(SMALL($P$8:$P$407,369),$P$8:$P$407,0),"")</f>
        <v/>
      </c>
      <c r="R376">
        <f>IF($Q376="","",INDEX($J$8:$J$407,$Q376))</f>
        <v/>
      </c>
      <c r="S376">
        <f>IF($Q376="","",INDEX($M$8:$M$407,$Q376))</f>
        <v/>
      </c>
      <c r="T376">
        <f>IF($Q376="","",INDEX($L$8:$L$407,$Q376))</f>
        <v/>
      </c>
      <c r="U376">
        <f>IF($Q376="","",INDEX($K$8:$K$407,$Q376))</f>
        <v/>
      </c>
      <c r="V376">
        <f>IF($Q376="",0,IF($S376&lt;&gt;$S375,1,0))</f>
        <v/>
      </c>
      <c r="W376">
        <f>IF($Q376="",0,IF($T376&lt;&gt;$T375,1,0))</f>
        <v/>
      </c>
      <c r="X376">
        <f>IF($Q376="",99999+369,$X375+1+$V375+$W375)</f>
        <v/>
      </c>
      <c r="Y376">
        <f>IF($Q376="","",INDEX(บันทึกรายเที่ยว!$Q$6:$Q$6005,$R376))</f>
        <v/>
      </c>
      <c r="Z376">
        <f>IF($Q376="","",INDEX(บันทึกรายเที่ยว!$F$6:$F$6005,$R376))</f>
        <v/>
      </c>
      <c r="AA376">
        <f>IFERROR(MATCH(369,$X$8:$X$407,1),"")</f>
        <v/>
      </c>
      <c r="AB376">
        <f>IF(369=$AD$1+1,"G",IF($AA376="","",IF(INDEX($Q$8:$Q$407,$AA376)="","",IF(369&gt;INDEX($X$8:$X$407,$AA376)+INDEX($V$8:$V$407,$AA376)+INDEX($W$8:$W$407,$AA376),"",IF(369=INDEX($X$8:$X$407,$AA376)+INDEX($V$8:$V$407,$AA376)+INDEX($W$8:$W$407,$AA376),"D",IF(AND(INDEX($W$8:$W$407,$AA376)=1,369=INDEX($X$8:$X$407,$AA376)+INDEX($V$8:$V$407,$AA376)),"S","R"))))))</f>
        <v/>
      </c>
      <c r="AC376">
        <f>IF(OR($AB376="",$AB376="G"),"",IF($AB376="D",INDEX($U$8:$U$407,$AA376),IF($AB376="S",INDEX($T$8:$T$407,$AA376)&amp;"|*",INDEX($S$8:$S$407,$AA376)&amp;"|*")))</f>
        <v/>
      </c>
      <c r="AE376">
        <f>IF($U376="",0,COUNTIF(บันทึกรายเที่ยว!$T$6:$T$6005,$U376))</f>
        <v/>
      </c>
      <c r="AF376">
        <f>IF($U376="",0,ROUND(SUMIF(บันทึกรายเที่ยว!$T$6:$T$6005,$U376,บันทึกรายเที่ยว!$J$6:$J$6005),2))</f>
        <v/>
      </c>
      <c r="AG376">
        <f>IF($U376="",0,ROUND(SUMIF(บันทึกรายเที่ยว!$T$6:$T$6005,$U376,บันทึกรายเที่ยว!$K$6:$K$6005),2))</f>
        <v/>
      </c>
      <c r="AH376">
        <f>IF($U376="",0,ROUND(SUMIF(บันทึกรายเที่ยว!$T$6:$T$6005,$U376,บันทึกรายเที่ยว!$M$6:$M$6005),2))</f>
        <v/>
      </c>
    </row>
    <row r="377" ht="21" customHeight="1" s="66">
      <c r="A377" s="3">
        <f>IF($AB377="G","ผลรวมทั้งหมด",IF($AB377="R",INDEX($S$8:$S$407,$AA377),""))</f>
        <v/>
      </c>
      <c r="B377" s="3">
        <f>IF($AB377="S",INDEX($Y$8:$Y$407,$AA377),"")</f>
        <v/>
      </c>
      <c r="C377" s="68">
        <f>IF($AB377="D",INDEX($Z$8:$Z$407,$AA377),"")</f>
        <v/>
      </c>
      <c r="D377" s="31">
        <f>IF($AB377="G",SUM($AE$8:$AE$407),IF(OR($AB377="",$AB377="R"),"",IF($AB377="D",INDEX($AE$8:$AE$407,$AA377),SUMIF($T$8:$T$407,INDEX($T$8:$T$407,$AA377),$AE$8:$AE$407))))</f>
        <v/>
      </c>
      <c r="E377" s="32">
        <f>IF(370=$AD$1+3,"ขอแสดงความนับถือ",IF(370=$AD$1+6,"(                 )",IF(370=$AD$1+7,"เจ้าหน้าที่ขนส่ง",IF($AB377="G",SUM($AF$8:$AF$407),IF(OR($AB377="",$AB377="R"),"",IF($AB377="D",INDEX($AF$8:$AF$407,$AA377),SUMIF($T$8:$T$407,INDEX($T$8:$T$407,$AA377),$AF$8:$AF$407)))))))</f>
        <v/>
      </c>
      <c r="F377" s="32">
        <f>IF($AB377="G",SUM($AG$8:$AG$407),IF(OR($AB377="",$AB377="R"),"",IF($AB377="D",INDEX($AG$8:$AG$407,$AA377),SUMIF($T$8:$T$407,INDEX($T$8:$T$407,$AA377),$AG$8:$AG$407))))</f>
        <v/>
      </c>
      <c r="G377" s="32">
        <f>IF(OR($AB377="",$AB377="R"),"",ROUND($E377-$F377,2))</f>
        <v/>
      </c>
      <c r="H377" s="32">
        <f>IF($AB377="G",SUM($AH$8:$AH$407),IF(OR($AB377="",$AB377="R"),"",IF($AB377="D",INDEX($AH$8:$AH$407,$AA377),SUMIF($T$8:$T$407,INDEX($T$8:$T$407,$AA377),$AH$8:$AH$407))))</f>
        <v/>
      </c>
      <c r="J377">
        <f>IFERROR(MATCH(370,บันทึกรายเที่ยว!$W$6:$W$6005,0),"")</f>
        <v/>
      </c>
      <c r="K377">
        <f>IF($J377="","",INDEX(บันทึกรายเที่ยว!$T$6:$T$6005,$J377))</f>
        <v/>
      </c>
      <c r="L377">
        <f>IF($J377="","",INDEX(บันทึกรายเที่ยว!$S$6:$S$6005,$J377))</f>
        <v/>
      </c>
      <c r="M377">
        <f>IF($J377="","",INDEX(บันทึกรายเที่ยว!$R$6:$R$6005,$J377))</f>
        <v/>
      </c>
      <c r="N377">
        <f>IF($J377="","",MATCH($M377,บันทึกรายเที่ยว!$R$6:$R$6005,0))</f>
        <v/>
      </c>
      <c r="O377">
        <f>IF($J377="","",MATCH($L377,บันทึกรายเที่ยว!$S$6:$S$6005,0))</f>
        <v/>
      </c>
      <c r="P377">
        <f>IF($J377="","",IF(AND(OR($I$3="(ทั้งหมด)",INDEX(บันทึกรายเที่ยว!$C$6:$C$6005,$J377)=$I$3),OR($I$5="(ทั้งหมด)",INDEX(บันทึกรายเที่ยว!$D$6:$D$6005,$J377)=$I$5),OR($I$7="(ทั้งหมด)",INDEX(บันทึกรายเที่ยว!$F$6:$F$6005,$J377)=$I$7)),$N377*10000000+$O377*1000+370,""))</f>
        <v/>
      </c>
      <c r="Q377">
        <f>IFERROR(MATCH(SMALL($P$8:$P$407,370),$P$8:$P$407,0),"")</f>
        <v/>
      </c>
      <c r="R377">
        <f>IF($Q377="","",INDEX($J$8:$J$407,$Q377))</f>
        <v/>
      </c>
      <c r="S377">
        <f>IF($Q377="","",INDEX($M$8:$M$407,$Q377))</f>
        <v/>
      </c>
      <c r="T377">
        <f>IF($Q377="","",INDEX($L$8:$L$407,$Q377))</f>
        <v/>
      </c>
      <c r="U377">
        <f>IF($Q377="","",INDEX($K$8:$K$407,$Q377))</f>
        <v/>
      </c>
      <c r="V377">
        <f>IF($Q377="",0,IF($S377&lt;&gt;$S376,1,0))</f>
        <v/>
      </c>
      <c r="W377">
        <f>IF($Q377="",0,IF($T377&lt;&gt;$T376,1,0))</f>
        <v/>
      </c>
      <c r="X377">
        <f>IF($Q377="",99999+370,$X376+1+$V376+$W376)</f>
        <v/>
      </c>
      <c r="Y377">
        <f>IF($Q377="","",INDEX(บันทึกรายเที่ยว!$Q$6:$Q$6005,$R377))</f>
        <v/>
      </c>
      <c r="Z377">
        <f>IF($Q377="","",INDEX(บันทึกรายเที่ยว!$F$6:$F$6005,$R377))</f>
        <v/>
      </c>
      <c r="AA377">
        <f>IFERROR(MATCH(370,$X$8:$X$407,1),"")</f>
        <v/>
      </c>
      <c r="AB377">
        <f>IF(370=$AD$1+1,"G",IF($AA377="","",IF(INDEX($Q$8:$Q$407,$AA377)="","",IF(370&gt;INDEX($X$8:$X$407,$AA377)+INDEX($V$8:$V$407,$AA377)+INDEX($W$8:$W$407,$AA377),"",IF(370=INDEX($X$8:$X$407,$AA377)+INDEX($V$8:$V$407,$AA377)+INDEX($W$8:$W$407,$AA377),"D",IF(AND(INDEX($W$8:$W$407,$AA377)=1,370=INDEX($X$8:$X$407,$AA377)+INDEX($V$8:$V$407,$AA377)),"S","R"))))))</f>
        <v/>
      </c>
      <c r="AC377">
        <f>IF(OR($AB377="",$AB377="G"),"",IF($AB377="D",INDEX($U$8:$U$407,$AA377),IF($AB377="S",INDEX($T$8:$T$407,$AA377)&amp;"|*",INDEX($S$8:$S$407,$AA377)&amp;"|*")))</f>
        <v/>
      </c>
      <c r="AE377">
        <f>IF($U377="",0,COUNTIF(บันทึกรายเที่ยว!$T$6:$T$6005,$U377))</f>
        <v/>
      </c>
      <c r="AF377">
        <f>IF($U377="",0,ROUND(SUMIF(บันทึกรายเที่ยว!$T$6:$T$6005,$U377,บันทึกรายเที่ยว!$J$6:$J$6005),2))</f>
        <v/>
      </c>
      <c r="AG377">
        <f>IF($U377="",0,ROUND(SUMIF(บันทึกรายเที่ยว!$T$6:$T$6005,$U377,บันทึกรายเที่ยว!$K$6:$K$6005),2))</f>
        <v/>
      </c>
      <c r="AH377">
        <f>IF($U377="",0,ROUND(SUMIF(บันทึกรายเที่ยว!$T$6:$T$6005,$U377,บันทึกรายเที่ยว!$M$6:$M$6005),2))</f>
        <v/>
      </c>
    </row>
    <row r="378" ht="21" customHeight="1" s="66">
      <c r="A378" s="3">
        <f>IF($AB378="G","ผลรวมทั้งหมด",IF($AB378="R",INDEX($S$8:$S$407,$AA378),""))</f>
        <v/>
      </c>
      <c r="B378" s="3">
        <f>IF($AB378="S",INDEX($Y$8:$Y$407,$AA378),"")</f>
        <v/>
      </c>
      <c r="C378" s="68">
        <f>IF($AB378="D",INDEX($Z$8:$Z$407,$AA378),"")</f>
        <v/>
      </c>
      <c r="D378" s="31">
        <f>IF($AB378="G",SUM($AE$8:$AE$407),IF(OR($AB378="",$AB378="R"),"",IF($AB378="D",INDEX($AE$8:$AE$407,$AA378),SUMIF($T$8:$T$407,INDEX($T$8:$T$407,$AA378),$AE$8:$AE$407))))</f>
        <v/>
      </c>
      <c r="E378" s="32">
        <f>IF(371=$AD$1+3,"ขอแสดงความนับถือ",IF(371=$AD$1+6,"(                 )",IF(371=$AD$1+7,"เจ้าหน้าที่ขนส่ง",IF($AB378="G",SUM($AF$8:$AF$407),IF(OR($AB378="",$AB378="R"),"",IF($AB378="D",INDEX($AF$8:$AF$407,$AA378),SUMIF($T$8:$T$407,INDEX($T$8:$T$407,$AA378),$AF$8:$AF$407)))))))</f>
        <v/>
      </c>
      <c r="F378" s="32">
        <f>IF($AB378="G",SUM($AG$8:$AG$407),IF(OR($AB378="",$AB378="R"),"",IF($AB378="D",INDEX($AG$8:$AG$407,$AA378),SUMIF($T$8:$T$407,INDEX($T$8:$T$407,$AA378),$AG$8:$AG$407))))</f>
        <v/>
      </c>
      <c r="G378" s="32">
        <f>IF(OR($AB378="",$AB378="R"),"",ROUND($E378-$F378,2))</f>
        <v/>
      </c>
      <c r="H378" s="32">
        <f>IF($AB378="G",SUM($AH$8:$AH$407),IF(OR($AB378="",$AB378="R"),"",IF($AB378="D",INDEX($AH$8:$AH$407,$AA378),SUMIF($T$8:$T$407,INDEX($T$8:$T$407,$AA378),$AH$8:$AH$407))))</f>
        <v/>
      </c>
      <c r="J378">
        <f>IFERROR(MATCH(371,บันทึกรายเที่ยว!$W$6:$W$6005,0),"")</f>
        <v/>
      </c>
      <c r="K378">
        <f>IF($J378="","",INDEX(บันทึกรายเที่ยว!$T$6:$T$6005,$J378))</f>
        <v/>
      </c>
      <c r="L378">
        <f>IF($J378="","",INDEX(บันทึกรายเที่ยว!$S$6:$S$6005,$J378))</f>
        <v/>
      </c>
      <c r="M378">
        <f>IF($J378="","",INDEX(บันทึกรายเที่ยว!$R$6:$R$6005,$J378))</f>
        <v/>
      </c>
      <c r="N378">
        <f>IF($J378="","",MATCH($M378,บันทึกรายเที่ยว!$R$6:$R$6005,0))</f>
        <v/>
      </c>
      <c r="O378">
        <f>IF($J378="","",MATCH($L378,บันทึกรายเที่ยว!$S$6:$S$6005,0))</f>
        <v/>
      </c>
      <c r="P378">
        <f>IF($J378="","",IF(AND(OR($I$3="(ทั้งหมด)",INDEX(บันทึกรายเที่ยว!$C$6:$C$6005,$J378)=$I$3),OR($I$5="(ทั้งหมด)",INDEX(บันทึกรายเที่ยว!$D$6:$D$6005,$J378)=$I$5),OR($I$7="(ทั้งหมด)",INDEX(บันทึกรายเที่ยว!$F$6:$F$6005,$J378)=$I$7)),$N378*10000000+$O378*1000+371,""))</f>
        <v/>
      </c>
      <c r="Q378">
        <f>IFERROR(MATCH(SMALL($P$8:$P$407,371),$P$8:$P$407,0),"")</f>
        <v/>
      </c>
      <c r="R378">
        <f>IF($Q378="","",INDEX($J$8:$J$407,$Q378))</f>
        <v/>
      </c>
      <c r="S378">
        <f>IF($Q378="","",INDEX($M$8:$M$407,$Q378))</f>
        <v/>
      </c>
      <c r="T378">
        <f>IF($Q378="","",INDEX($L$8:$L$407,$Q378))</f>
        <v/>
      </c>
      <c r="U378">
        <f>IF($Q378="","",INDEX($K$8:$K$407,$Q378))</f>
        <v/>
      </c>
      <c r="V378">
        <f>IF($Q378="",0,IF($S378&lt;&gt;$S377,1,0))</f>
        <v/>
      </c>
      <c r="W378">
        <f>IF($Q378="",0,IF($T378&lt;&gt;$T377,1,0))</f>
        <v/>
      </c>
      <c r="X378">
        <f>IF($Q378="",99999+371,$X377+1+$V377+$W377)</f>
        <v/>
      </c>
      <c r="Y378">
        <f>IF($Q378="","",INDEX(บันทึกรายเที่ยว!$Q$6:$Q$6005,$R378))</f>
        <v/>
      </c>
      <c r="Z378">
        <f>IF($Q378="","",INDEX(บันทึกรายเที่ยว!$F$6:$F$6005,$R378))</f>
        <v/>
      </c>
      <c r="AA378">
        <f>IFERROR(MATCH(371,$X$8:$X$407,1),"")</f>
        <v/>
      </c>
      <c r="AB378">
        <f>IF(371=$AD$1+1,"G",IF($AA378="","",IF(INDEX($Q$8:$Q$407,$AA378)="","",IF(371&gt;INDEX($X$8:$X$407,$AA378)+INDEX($V$8:$V$407,$AA378)+INDEX($W$8:$W$407,$AA378),"",IF(371=INDEX($X$8:$X$407,$AA378)+INDEX($V$8:$V$407,$AA378)+INDEX($W$8:$W$407,$AA378),"D",IF(AND(INDEX($W$8:$W$407,$AA378)=1,371=INDEX($X$8:$X$407,$AA378)+INDEX($V$8:$V$407,$AA378)),"S","R"))))))</f>
        <v/>
      </c>
      <c r="AC378">
        <f>IF(OR($AB378="",$AB378="G"),"",IF($AB378="D",INDEX($U$8:$U$407,$AA378),IF($AB378="S",INDEX($T$8:$T$407,$AA378)&amp;"|*",INDEX($S$8:$S$407,$AA378)&amp;"|*")))</f>
        <v/>
      </c>
      <c r="AE378">
        <f>IF($U378="",0,COUNTIF(บันทึกรายเที่ยว!$T$6:$T$6005,$U378))</f>
        <v/>
      </c>
      <c r="AF378">
        <f>IF($U378="",0,ROUND(SUMIF(บันทึกรายเที่ยว!$T$6:$T$6005,$U378,บันทึกรายเที่ยว!$J$6:$J$6005),2))</f>
        <v/>
      </c>
      <c r="AG378">
        <f>IF($U378="",0,ROUND(SUMIF(บันทึกรายเที่ยว!$T$6:$T$6005,$U378,บันทึกรายเที่ยว!$K$6:$K$6005),2))</f>
        <v/>
      </c>
      <c r="AH378">
        <f>IF($U378="",0,ROUND(SUMIF(บันทึกรายเที่ยว!$T$6:$T$6005,$U378,บันทึกรายเที่ยว!$M$6:$M$6005),2))</f>
        <v/>
      </c>
    </row>
    <row r="379" ht="21" customHeight="1" s="66">
      <c r="A379" s="3">
        <f>IF($AB379="G","ผลรวมทั้งหมด",IF($AB379="R",INDEX($S$8:$S$407,$AA379),""))</f>
        <v/>
      </c>
      <c r="B379" s="3">
        <f>IF($AB379="S",INDEX($Y$8:$Y$407,$AA379),"")</f>
        <v/>
      </c>
      <c r="C379" s="68">
        <f>IF($AB379="D",INDEX($Z$8:$Z$407,$AA379),"")</f>
        <v/>
      </c>
      <c r="D379" s="31">
        <f>IF($AB379="G",SUM($AE$8:$AE$407),IF(OR($AB379="",$AB379="R"),"",IF($AB379="D",INDEX($AE$8:$AE$407,$AA379),SUMIF($T$8:$T$407,INDEX($T$8:$T$407,$AA379),$AE$8:$AE$407))))</f>
        <v/>
      </c>
      <c r="E379" s="32">
        <f>IF(372=$AD$1+3,"ขอแสดงความนับถือ",IF(372=$AD$1+6,"(                 )",IF(372=$AD$1+7,"เจ้าหน้าที่ขนส่ง",IF($AB379="G",SUM($AF$8:$AF$407),IF(OR($AB379="",$AB379="R"),"",IF($AB379="D",INDEX($AF$8:$AF$407,$AA379),SUMIF($T$8:$T$407,INDEX($T$8:$T$407,$AA379),$AF$8:$AF$407)))))))</f>
        <v/>
      </c>
      <c r="F379" s="32">
        <f>IF($AB379="G",SUM($AG$8:$AG$407),IF(OR($AB379="",$AB379="R"),"",IF($AB379="D",INDEX($AG$8:$AG$407,$AA379),SUMIF($T$8:$T$407,INDEX($T$8:$T$407,$AA379),$AG$8:$AG$407))))</f>
        <v/>
      </c>
      <c r="G379" s="32">
        <f>IF(OR($AB379="",$AB379="R"),"",ROUND($E379-$F379,2))</f>
        <v/>
      </c>
      <c r="H379" s="32">
        <f>IF($AB379="G",SUM($AH$8:$AH$407),IF(OR($AB379="",$AB379="R"),"",IF($AB379="D",INDEX($AH$8:$AH$407,$AA379),SUMIF($T$8:$T$407,INDEX($T$8:$T$407,$AA379),$AH$8:$AH$407))))</f>
        <v/>
      </c>
      <c r="J379">
        <f>IFERROR(MATCH(372,บันทึกรายเที่ยว!$W$6:$W$6005,0),"")</f>
        <v/>
      </c>
      <c r="K379">
        <f>IF($J379="","",INDEX(บันทึกรายเที่ยว!$T$6:$T$6005,$J379))</f>
        <v/>
      </c>
      <c r="L379">
        <f>IF($J379="","",INDEX(บันทึกรายเที่ยว!$S$6:$S$6005,$J379))</f>
        <v/>
      </c>
      <c r="M379">
        <f>IF($J379="","",INDEX(บันทึกรายเที่ยว!$R$6:$R$6005,$J379))</f>
        <v/>
      </c>
      <c r="N379">
        <f>IF($J379="","",MATCH($M379,บันทึกรายเที่ยว!$R$6:$R$6005,0))</f>
        <v/>
      </c>
      <c r="O379">
        <f>IF($J379="","",MATCH($L379,บันทึกรายเที่ยว!$S$6:$S$6005,0))</f>
        <v/>
      </c>
      <c r="P379">
        <f>IF($J379="","",IF(AND(OR($I$3="(ทั้งหมด)",INDEX(บันทึกรายเที่ยว!$C$6:$C$6005,$J379)=$I$3),OR($I$5="(ทั้งหมด)",INDEX(บันทึกรายเที่ยว!$D$6:$D$6005,$J379)=$I$5),OR($I$7="(ทั้งหมด)",INDEX(บันทึกรายเที่ยว!$F$6:$F$6005,$J379)=$I$7)),$N379*10000000+$O379*1000+372,""))</f>
        <v/>
      </c>
      <c r="Q379">
        <f>IFERROR(MATCH(SMALL($P$8:$P$407,372),$P$8:$P$407,0),"")</f>
        <v/>
      </c>
      <c r="R379">
        <f>IF($Q379="","",INDEX($J$8:$J$407,$Q379))</f>
        <v/>
      </c>
      <c r="S379">
        <f>IF($Q379="","",INDEX($M$8:$M$407,$Q379))</f>
        <v/>
      </c>
      <c r="T379">
        <f>IF($Q379="","",INDEX($L$8:$L$407,$Q379))</f>
        <v/>
      </c>
      <c r="U379">
        <f>IF($Q379="","",INDEX($K$8:$K$407,$Q379))</f>
        <v/>
      </c>
      <c r="V379">
        <f>IF($Q379="",0,IF($S379&lt;&gt;$S378,1,0))</f>
        <v/>
      </c>
      <c r="W379">
        <f>IF($Q379="",0,IF($T379&lt;&gt;$T378,1,0))</f>
        <v/>
      </c>
      <c r="X379">
        <f>IF($Q379="",99999+372,$X378+1+$V378+$W378)</f>
        <v/>
      </c>
      <c r="Y379">
        <f>IF($Q379="","",INDEX(บันทึกรายเที่ยว!$Q$6:$Q$6005,$R379))</f>
        <v/>
      </c>
      <c r="Z379">
        <f>IF($Q379="","",INDEX(บันทึกรายเที่ยว!$F$6:$F$6005,$R379))</f>
        <v/>
      </c>
      <c r="AA379">
        <f>IFERROR(MATCH(372,$X$8:$X$407,1),"")</f>
        <v/>
      </c>
      <c r="AB379">
        <f>IF(372=$AD$1+1,"G",IF($AA379="","",IF(INDEX($Q$8:$Q$407,$AA379)="","",IF(372&gt;INDEX($X$8:$X$407,$AA379)+INDEX($V$8:$V$407,$AA379)+INDEX($W$8:$W$407,$AA379),"",IF(372=INDEX($X$8:$X$407,$AA379)+INDEX($V$8:$V$407,$AA379)+INDEX($W$8:$W$407,$AA379),"D",IF(AND(INDEX($W$8:$W$407,$AA379)=1,372=INDEX($X$8:$X$407,$AA379)+INDEX($V$8:$V$407,$AA379)),"S","R"))))))</f>
        <v/>
      </c>
      <c r="AC379">
        <f>IF(OR($AB379="",$AB379="G"),"",IF($AB379="D",INDEX($U$8:$U$407,$AA379),IF($AB379="S",INDEX($T$8:$T$407,$AA379)&amp;"|*",INDEX($S$8:$S$407,$AA379)&amp;"|*")))</f>
        <v/>
      </c>
      <c r="AE379">
        <f>IF($U379="",0,COUNTIF(บันทึกรายเที่ยว!$T$6:$T$6005,$U379))</f>
        <v/>
      </c>
      <c r="AF379">
        <f>IF($U379="",0,ROUND(SUMIF(บันทึกรายเที่ยว!$T$6:$T$6005,$U379,บันทึกรายเที่ยว!$J$6:$J$6005),2))</f>
        <v/>
      </c>
      <c r="AG379">
        <f>IF($U379="",0,ROUND(SUMIF(บันทึกรายเที่ยว!$T$6:$T$6005,$U379,บันทึกรายเที่ยว!$K$6:$K$6005),2))</f>
        <v/>
      </c>
      <c r="AH379">
        <f>IF($U379="",0,ROUND(SUMIF(บันทึกรายเที่ยว!$T$6:$T$6005,$U379,บันทึกรายเที่ยว!$M$6:$M$6005),2))</f>
        <v/>
      </c>
    </row>
    <row r="380" ht="21" customHeight="1" s="66">
      <c r="A380" s="3">
        <f>IF($AB380="G","ผลรวมทั้งหมด",IF($AB380="R",INDEX($S$8:$S$407,$AA380),""))</f>
        <v/>
      </c>
      <c r="B380" s="3">
        <f>IF($AB380="S",INDEX($Y$8:$Y$407,$AA380),"")</f>
        <v/>
      </c>
      <c r="C380" s="68">
        <f>IF($AB380="D",INDEX($Z$8:$Z$407,$AA380),"")</f>
        <v/>
      </c>
      <c r="D380" s="31">
        <f>IF($AB380="G",SUM($AE$8:$AE$407),IF(OR($AB380="",$AB380="R"),"",IF($AB380="D",INDEX($AE$8:$AE$407,$AA380),SUMIF($T$8:$T$407,INDEX($T$8:$T$407,$AA380),$AE$8:$AE$407))))</f>
        <v/>
      </c>
      <c r="E380" s="32">
        <f>IF(373=$AD$1+3,"ขอแสดงความนับถือ",IF(373=$AD$1+6,"(                 )",IF(373=$AD$1+7,"เจ้าหน้าที่ขนส่ง",IF($AB380="G",SUM($AF$8:$AF$407),IF(OR($AB380="",$AB380="R"),"",IF($AB380="D",INDEX($AF$8:$AF$407,$AA380),SUMIF($T$8:$T$407,INDEX($T$8:$T$407,$AA380),$AF$8:$AF$407)))))))</f>
        <v/>
      </c>
      <c r="F380" s="32">
        <f>IF($AB380="G",SUM($AG$8:$AG$407),IF(OR($AB380="",$AB380="R"),"",IF($AB380="D",INDEX($AG$8:$AG$407,$AA380),SUMIF($T$8:$T$407,INDEX($T$8:$T$407,$AA380),$AG$8:$AG$407))))</f>
        <v/>
      </c>
      <c r="G380" s="32">
        <f>IF(OR($AB380="",$AB380="R"),"",ROUND($E380-$F380,2))</f>
        <v/>
      </c>
      <c r="H380" s="32">
        <f>IF($AB380="G",SUM($AH$8:$AH$407),IF(OR($AB380="",$AB380="R"),"",IF($AB380="D",INDEX($AH$8:$AH$407,$AA380),SUMIF($T$8:$T$407,INDEX($T$8:$T$407,$AA380),$AH$8:$AH$407))))</f>
        <v/>
      </c>
      <c r="J380">
        <f>IFERROR(MATCH(373,บันทึกรายเที่ยว!$W$6:$W$6005,0),"")</f>
        <v/>
      </c>
      <c r="K380">
        <f>IF($J380="","",INDEX(บันทึกรายเที่ยว!$T$6:$T$6005,$J380))</f>
        <v/>
      </c>
      <c r="L380">
        <f>IF($J380="","",INDEX(บันทึกรายเที่ยว!$S$6:$S$6005,$J380))</f>
        <v/>
      </c>
      <c r="M380">
        <f>IF($J380="","",INDEX(บันทึกรายเที่ยว!$R$6:$R$6005,$J380))</f>
        <v/>
      </c>
      <c r="N380">
        <f>IF($J380="","",MATCH($M380,บันทึกรายเที่ยว!$R$6:$R$6005,0))</f>
        <v/>
      </c>
      <c r="O380">
        <f>IF($J380="","",MATCH($L380,บันทึกรายเที่ยว!$S$6:$S$6005,0))</f>
        <v/>
      </c>
      <c r="P380">
        <f>IF($J380="","",IF(AND(OR($I$3="(ทั้งหมด)",INDEX(บันทึกรายเที่ยว!$C$6:$C$6005,$J380)=$I$3),OR($I$5="(ทั้งหมด)",INDEX(บันทึกรายเที่ยว!$D$6:$D$6005,$J380)=$I$5),OR($I$7="(ทั้งหมด)",INDEX(บันทึกรายเที่ยว!$F$6:$F$6005,$J380)=$I$7)),$N380*10000000+$O380*1000+373,""))</f>
        <v/>
      </c>
      <c r="Q380">
        <f>IFERROR(MATCH(SMALL($P$8:$P$407,373),$P$8:$P$407,0),"")</f>
        <v/>
      </c>
      <c r="R380">
        <f>IF($Q380="","",INDEX($J$8:$J$407,$Q380))</f>
        <v/>
      </c>
      <c r="S380">
        <f>IF($Q380="","",INDEX($M$8:$M$407,$Q380))</f>
        <v/>
      </c>
      <c r="T380">
        <f>IF($Q380="","",INDEX($L$8:$L$407,$Q380))</f>
        <v/>
      </c>
      <c r="U380">
        <f>IF($Q380="","",INDEX($K$8:$K$407,$Q380))</f>
        <v/>
      </c>
      <c r="V380">
        <f>IF($Q380="",0,IF($S380&lt;&gt;$S379,1,0))</f>
        <v/>
      </c>
      <c r="W380">
        <f>IF($Q380="",0,IF($T380&lt;&gt;$T379,1,0))</f>
        <v/>
      </c>
      <c r="X380">
        <f>IF($Q380="",99999+373,$X379+1+$V379+$W379)</f>
        <v/>
      </c>
      <c r="Y380">
        <f>IF($Q380="","",INDEX(บันทึกรายเที่ยว!$Q$6:$Q$6005,$R380))</f>
        <v/>
      </c>
      <c r="Z380">
        <f>IF($Q380="","",INDEX(บันทึกรายเที่ยว!$F$6:$F$6005,$R380))</f>
        <v/>
      </c>
      <c r="AA380">
        <f>IFERROR(MATCH(373,$X$8:$X$407,1),"")</f>
        <v/>
      </c>
      <c r="AB380">
        <f>IF(373=$AD$1+1,"G",IF($AA380="","",IF(INDEX($Q$8:$Q$407,$AA380)="","",IF(373&gt;INDEX($X$8:$X$407,$AA380)+INDEX($V$8:$V$407,$AA380)+INDEX($W$8:$W$407,$AA380),"",IF(373=INDEX($X$8:$X$407,$AA380)+INDEX($V$8:$V$407,$AA380)+INDEX($W$8:$W$407,$AA380),"D",IF(AND(INDEX($W$8:$W$407,$AA380)=1,373=INDEX($X$8:$X$407,$AA380)+INDEX($V$8:$V$407,$AA380)),"S","R"))))))</f>
        <v/>
      </c>
      <c r="AC380">
        <f>IF(OR($AB380="",$AB380="G"),"",IF($AB380="D",INDEX($U$8:$U$407,$AA380),IF($AB380="S",INDEX($T$8:$T$407,$AA380)&amp;"|*",INDEX($S$8:$S$407,$AA380)&amp;"|*")))</f>
        <v/>
      </c>
      <c r="AE380">
        <f>IF($U380="",0,COUNTIF(บันทึกรายเที่ยว!$T$6:$T$6005,$U380))</f>
        <v/>
      </c>
      <c r="AF380">
        <f>IF($U380="",0,ROUND(SUMIF(บันทึกรายเที่ยว!$T$6:$T$6005,$U380,บันทึกรายเที่ยว!$J$6:$J$6005),2))</f>
        <v/>
      </c>
      <c r="AG380">
        <f>IF($U380="",0,ROUND(SUMIF(บันทึกรายเที่ยว!$T$6:$T$6005,$U380,บันทึกรายเที่ยว!$K$6:$K$6005),2))</f>
        <v/>
      </c>
      <c r="AH380">
        <f>IF($U380="",0,ROUND(SUMIF(บันทึกรายเที่ยว!$T$6:$T$6005,$U380,บันทึกรายเที่ยว!$M$6:$M$6005),2))</f>
        <v/>
      </c>
    </row>
    <row r="381" ht="21" customHeight="1" s="66">
      <c r="A381" s="3">
        <f>IF($AB381="G","ผลรวมทั้งหมด",IF($AB381="R",INDEX($S$8:$S$407,$AA381),""))</f>
        <v/>
      </c>
      <c r="B381" s="3">
        <f>IF($AB381="S",INDEX($Y$8:$Y$407,$AA381),"")</f>
        <v/>
      </c>
      <c r="C381" s="68">
        <f>IF($AB381="D",INDEX($Z$8:$Z$407,$AA381),"")</f>
        <v/>
      </c>
      <c r="D381" s="31">
        <f>IF($AB381="G",SUM($AE$8:$AE$407),IF(OR($AB381="",$AB381="R"),"",IF($AB381="D",INDEX($AE$8:$AE$407,$AA381),SUMIF($T$8:$T$407,INDEX($T$8:$T$407,$AA381),$AE$8:$AE$407))))</f>
        <v/>
      </c>
      <c r="E381" s="32">
        <f>IF(374=$AD$1+3,"ขอแสดงความนับถือ",IF(374=$AD$1+6,"(                 )",IF(374=$AD$1+7,"เจ้าหน้าที่ขนส่ง",IF($AB381="G",SUM($AF$8:$AF$407),IF(OR($AB381="",$AB381="R"),"",IF($AB381="D",INDEX($AF$8:$AF$407,$AA381),SUMIF($T$8:$T$407,INDEX($T$8:$T$407,$AA381),$AF$8:$AF$407)))))))</f>
        <v/>
      </c>
      <c r="F381" s="32">
        <f>IF($AB381="G",SUM($AG$8:$AG$407),IF(OR($AB381="",$AB381="R"),"",IF($AB381="D",INDEX($AG$8:$AG$407,$AA381),SUMIF($T$8:$T$407,INDEX($T$8:$T$407,$AA381),$AG$8:$AG$407))))</f>
        <v/>
      </c>
      <c r="G381" s="32">
        <f>IF(OR($AB381="",$AB381="R"),"",ROUND($E381-$F381,2))</f>
        <v/>
      </c>
      <c r="H381" s="32">
        <f>IF($AB381="G",SUM($AH$8:$AH$407),IF(OR($AB381="",$AB381="R"),"",IF($AB381="D",INDEX($AH$8:$AH$407,$AA381),SUMIF($T$8:$T$407,INDEX($T$8:$T$407,$AA381),$AH$8:$AH$407))))</f>
        <v/>
      </c>
      <c r="J381">
        <f>IFERROR(MATCH(374,บันทึกรายเที่ยว!$W$6:$W$6005,0),"")</f>
        <v/>
      </c>
      <c r="K381">
        <f>IF($J381="","",INDEX(บันทึกรายเที่ยว!$T$6:$T$6005,$J381))</f>
        <v/>
      </c>
      <c r="L381">
        <f>IF($J381="","",INDEX(บันทึกรายเที่ยว!$S$6:$S$6005,$J381))</f>
        <v/>
      </c>
      <c r="M381">
        <f>IF($J381="","",INDEX(บันทึกรายเที่ยว!$R$6:$R$6005,$J381))</f>
        <v/>
      </c>
      <c r="N381">
        <f>IF($J381="","",MATCH($M381,บันทึกรายเที่ยว!$R$6:$R$6005,0))</f>
        <v/>
      </c>
      <c r="O381">
        <f>IF($J381="","",MATCH($L381,บันทึกรายเที่ยว!$S$6:$S$6005,0))</f>
        <v/>
      </c>
      <c r="P381">
        <f>IF($J381="","",IF(AND(OR($I$3="(ทั้งหมด)",INDEX(บันทึกรายเที่ยว!$C$6:$C$6005,$J381)=$I$3),OR($I$5="(ทั้งหมด)",INDEX(บันทึกรายเที่ยว!$D$6:$D$6005,$J381)=$I$5),OR($I$7="(ทั้งหมด)",INDEX(บันทึกรายเที่ยว!$F$6:$F$6005,$J381)=$I$7)),$N381*10000000+$O381*1000+374,""))</f>
        <v/>
      </c>
      <c r="Q381">
        <f>IFERROR(MATCH(SMALL($P$8:$P$407,374),$P$8:$P$407,0),"")</f>
        <v/>
      </c>
      <c r="R381">
        <f>IF($Q381="","",INDEX($J$8:$J$407,$Q381))</f>
        <v/>
      </c>
      <c r="S381">
        <f>IF($Q381="","",INDEX($M$8:$M$407,$Q381))</f>
        <v/>
      </c>
      <c r="T381">
        <f>IF($Q381="","",INDEX($L$8:$L$407,$Q381))</f>
        <v/>
      </c>
      <c r="U381">
        <f>IF($Q381="","",INDEX($K$8:$K$407,$Q381))</f>
        <v/>
      </c>
      <c r="V381">
        <f>IF($Q381="",0,IF($S381&lt;&gt;$S380,1,0))</f>
        <v/>
      </c>
      <c r="W381">
        <f>IF($Q381="",0,IF($T381&lt;&gt;$T380,1,0))</f>
        <v/>
      </c>
      <c r="X381">
        <f>IF($Q381="",99999+374,$X380+1+$V380+$W380)</f>
        <v/>
      </c>
      <c r="Y381">
        <f>IF($Q381="","",INDEX(บันทึกรายเที่ยว!$Q$6:$Q$6005,$R381))</f>
        <v/>
      </c>
      <c r="Z381">
        <f>IF($Q381="","",INDEX(บันทึกรายเที่ยว!$F$6:$F$6005,$R381))</f>
        <v/>
      </c>
      <c r="AA381">
        <f>IFERROR(MATCH(374,$X$8:$X$407,1),"")</f>
        <v/>
      </c>
      <c r="AB381">
        <f>IF(374=$AD$1+1,"G",IF($AA381="","",IF(INDEX($Q$8:$Q$407,$AA381)="","",IF(374&gt;INDEX($X$8:$X$407,$AA381)+INDEX($V$8:$V$407,$AA381)+INDEX($W$8:$W$407,$AA381),"",IF(374=INDEX($X$8:$X$407,$AA381)+INDEX($V$8:$V$407,$AA381)+INDEX($W$8:$W$407,$AA381),"D",IF(AND(INDEX($W$8:$W$407,$AA381)=1,374=INDEX($X$8:$X$407,$AA381)+INDEX($V$8:$V$407,$AA381)),"S","R"))))))</f>
        <v/>
      </c>
      <c r="AC381">
        <f>IF(OR($AB381="",$AB381="G"),"",IF($AB381="D",INDEX($U$8:$U$407,$AA381),IF($AB381="S",INDEX($T$8:$T$407,$AA381)&amp;"|*",INDEX($S$8:$S$407,$AA381)&amp;"|*")))</f>
        <v/>
      </c>
      <c r="AE381">
        <f>IF($U381="",0,COUNTIF(บันทึกรายเที่ยว!$T$6:$T$6005,$U381))</f>
        <v/>
      </c>
      <c r="AF381">
        <f>IF($U381="",0,ROUND(SUMIF(บันทึกรายเที่ยว!$T$6:$T$6005,$U381,บันทึกรายเที่ยว!$J$6:$J$6005),2))</f>
        <v/>
      </c>
      <c r="AG381">
        <f>IF($U381="",0,ROUND(SUMIF(บันทึกรายเที่ยว!$T$6:$T$6005,$U381,บันทึกรายเที่ยว!$K$6:$K$6005),2))</f>
        <v/>
      </c>
      <c r="AH381">
        <f>IF($U381="",0,ROUND(SUMIF(บันทึกรายเที่ยว!$T$6:$T$6005,$U381,บันทึกรายเที่ยว!$M$6:$M$6005),2))</f>
        <v/>
      </c>
    </row>
    <row r="382" ht="21" customHeight="1" s="66">
      <c r="A382" s="3">
        <f>IF($AB382="G","ผลรวมทั้งหมด",IF($AB382="R",INDEX($S$8:$S$407,$AA382),""))</f>
        <v/>
      </c>
      <c r="B382" s="3">
        <f>IF($AB382="S",INDEX($Y$8:$Y$407,$AA382),"")</f>
        <v/>
      </c>
      <c r="C382" s="68">
        <f>IF($AB382="D",INDEX($Z$8:$Z$407,$AA382),"")</f>
        <v/>
      </c>
      <c r="D382" s="31">
        <f>IF($AB382="G",SUM($AE$8:$AE$407),IF(OR($AB382="",$AB382="R"),"",IF($AB382="D",INDEX($AE$8:$AE$407,$AA382),SUMIF($T$8:$T$407,INDEX($T$8:$T$407,$AA382),$AE$8:$AE$407))))</f>
        <v/>
      </c>
      <c r="E382" s="32">
        <f>IF(375=$AD$1+3,"ขอแสดงความนับถือ",IF(375=$AD$1+6,"(                 )",IF(375=$AD$1+7,"เจ้าหน้าที่ขนส่ง",IF($AB382="G",SUM($AF$8:$AF$407),IF(OR($AB382="",$AB382="R"),"",IF($AB382="D",INDEX($AF$8:$AF$407,$AA382),SUMIF($T$8:$T$407,INDEX($T$8:$T$407,$AA382),$AF$8:$AF$407)))))))</f>
        <v/>
      </c>
      <c r="F382" s="32">
        <f>IF($AB382="G",SUM($AG$8:$AG$407),IF(OR($AB382="",$AB382="R"),"",IF($AB382="D",INDEX($AG$8:$AG$407,$AA382),SUMIF($T$8:$T$407,INDEX($T$8:$T$407,$AA382),$AG$8:$AG$407))))</f>
        <v/>
      </c>
      <c r="G382" s="32">
        <f>IF(OR($AB382="",$AB382="R"),"",ROUND($E382-$F382,2))</f>
        <v/>
      </c>
      <c r="H382" s="32">
        <f>IF($AB382="G",SUM($AH$8:$AH$407),IF(OR($AB382="",$AB382="R"),"",IF($AB382="D",INDEX($AH$8:$AH$407,$AA382),SUMIF($T$8:$T$407,INDEX($T$8:$T$407,$AA382),$AH$8:$AH$407))))</f>
        <v/>
      </c>
      <c r="J382">
        <f>IFERROR(MATCH(375,บันทึกรายเที่ยว!$W$6:$W$6005,0),"")</f>
        <v/>
      </c>
      <c r="K382">
        <f>IF($J382="","",INDEX(บันทึกรายเที่ยว!$T$6:$T$6005,$J382))</f>
        <v/>
      </c>
      <c r="L382">
        <f>IF($J382="","",INDEX(บันทึกรายเที่ยว!$S$6:$S$6005,$J382))</f>
        <v/>
      </c>
      <c r="M382">
        <f>IF($J382="","",INDEX(บันทึกรายเที่ยว!$R$6:$R$6005,$J382))</f>
        <v/>
      </c>
      <c r="N382">
        <f>IF($J382="","",MATCH($M382,บันทึกรายเที่ยว!$R$6:$R$6005,0))</f>
        <v/>
      </c>
      <c r="O382">
        <f>IF($J382="","",MATCH($L382,บันทึกรายเที่ยว!$S$6:$S$6005,0))</f>
        <v/>
      </c>
      <c r="P382">
        <f>IF($J382="","",IF(AND(OR($I$3="(ทั้งหมด)",INDEX(บันทึกรายเที่ยว!$C$6:$C$6005,$J382)=$I$3),OR($I$5="(ทั้งหมด)",INDEX(บันทึกรายเที่ยว!$D$6:$D$6005,$J382)=$I$5),OR($I$7="(ทั้งหมด)",INDEX(บันทึกรายเที่ยว!$F$6:$F$6005,$J382)=$I$7)),$N382*10000000+$O382*1000+375,""))</f>
        <v/>
      </c>
      <c r="Q382">
        <f>IFERROR(MATCH(SMALL($P$8:$P$407,375),$P$8:$P$407,0),"")</f>
        <v/>
      </c>
      <c r="R382">
        <f>IF($Q382="","",INDEX($J$8:$J$407,$Q382))</f>
        <v/>
      </c>
      <c r="S382">
        <f>IF($Q382="","",INDEX($M$8:$M$407,$Q382))</f>
        <v/>
      </c>
      <c r="T382">
        <f>IF($Q382="","",INDEX($L$8:$L$407,$Q382))</f>
        <v/>
      </c>
      <c r="U382">
        <f>IF($Q382="","",INDEX($K$8:$K$407,$Q382))</f>
        <v/>
      </c>
      <c r="V382">
        <f>IF($Q382="",0,IF($S382&lt;&gt;$S381,1,0))</f>
        <v/>
      </c>
      <c r="W382">
        <f>IF($Q382="",0,IF($T382&lt;&gt;$T381,1,0))</f>
        <v/>
      </c>
      <c r="X382">
        <f>IF($Q382="",99999+375,$X381+1+$V381+$W381)</f>
        <v/>
      </c>
      <c r="Y382">
        <f>IF($Q382="","",INDEX(บันทึกรายเที่ยว!$Q$6:$Q$6005,$R382))</f>
        <v/>
      </c>
      <c r="Z382">
        <f>IF($Q382="","",INDEX(บันทึกรายเที่ยว!$F$6:$F$6005,$R382))</f>
        <v/>
      </c>
      <c r="AA382">
        <f>IFERROR(MATCH(375,$X$8:$X$407,1),"")</f>
        <v/>
      </c>
      <c r="AB382">
        <f>IF(375=$AD$1+1,"G",IF($AA382="","",IF(INDEX($Q$8:$Q$407,$AA382)="","",IF(375&gt;INDEX($X$8:$X$407,$AA382)+INDEX($V$8:$V$407,$AA382)+INDEX($W$8:$W$407,$AA382),"",IF(375=INDEX($X$8:$X$407,$AA382)+INDEX($V$8:$V$407,$AA382)+INDEX($W$8:$W$407,$AA382),"D",IF(AND(INDEX($W$8:$W$407,$AA382)=1,375=INDEX($X$8:$X$407,$AA382)+INDEX($V$8:$V$407,$AA382)),"S","R"))))))</f>
        <v/>
      </c>
      <c r="AC382">
        <f>IF(OR($AB382="",$AB382="G"),"",IF($AB382="D",INDEX($U$8:$U$407,$AA382),IF($AB382="S",INDEX($T$8:$T$407,$AA382)&amp;"|*",INDEX($S$8:$S$407,$AA382)&amp;"|*")))</f>
        <v/>
      </c>
      <c r="AE382">
        <f>IF($U382="",0,COUNTIF(บันทึกรายเที่ยว!$T$6:$T$6005,$U382))</f>
        <v/>
      </c>
      <c r="AF382">
        <f>IF($U382="",0,ROUND(SUMIF(บันทึกรายเที่ยว!$T$6:$T$6005,$U382,บันทึกรายเที่ยว!$J$6:$J$6005),2))</f>
        <v/>
      </c>
      <c r="AG382">
        <f>IF($U382="",0,ROUND(SUMIF(บันทึกรายเที่ยว!$T$6:$T$6005,$U382,บันทึกรายเที่ยว!$K$6:$K$6005),2))</f>
        <v/>
      </c>
      <c r="AH382">
        <f>IF($U382="",0,ROUND(SUMIF(บันทึกรายเที่ยว!$T$6:$T$6005,$U382,บันทึกรายเที่ยว!$M$6:$M$6005),2))</f>
        <v/>
      </c>
    </row>
    <row r="383" ht="21" customHeight="1" s="66">
      <c r="A383" s="3">
        <f>IF($AB383="G","ผลรวมทั้งหมด",IF($AB383="R",INDEX($S$8:$S$407,$AA383),""))</f>
        <v/>
      </c>
      <c r="B383" s="3">
        <f>IF($AB383="S",INDEX($Y$8:$Y$407,$AA383),"")</f>
        <v/>
      </c>
      <c r="C383" s="68">
        <f>IF($AB383="D",INDEX($Z$8:$Z$407,$AA383),"")</f>
        <v/>
      </c>
      <c r="D383" s="31">
        <f>IF($AB383="G",SUM($AE$8:$AE$407),IF(OR($AB383="",$AB383="R"),"",IF($AB383="D",INDEX($AE$8:$AE$407,$AA383),SUMIF($T$8:$T$407,INDEX($T$8:$T$407,$AA383),$AE$8:$AE$407))))</f>
        <v/>
      </c>
      <c r="E383" s="32">
        <f>IF(376=$AD$1+3,"ขอแสดงความนับถือ",IF(376=$AD$1+6,"(                 )",IF(376=$AD$1+7,"เจ้าหน้าที่ขนส่ง",IF($AB383="G",SUM($AF$8:$AF$407),IF(OR($AB383="",$AB383="R"),"",IF($AB383="D",INDEX($AF$8:$AF$407,$AA383),SUMIF($T$8:$T$407,INDEX($T$8:$T$407,$AA383),$AF$8:$AF$407)))))))</f>
        <v/>
      </c>
      <c r="F383" s="32">
        <f>IF($AB383="G",SUM($AG$8:$AG$407),IF(OR($AB383="",$AB383="R"),"",IF($AB383="D",INDEX($AG$8:$AG$407,$AA383),SUMIF($T$8:$T$407,INDEX($T$8:$T$407,$AA383),$AG$8:$AG$407))))</f>
        <v/>
      </c>
      <c r="G383" s="32">
        <f>IF(OR($AB383="",$AB383="R"),"",ROUND($E383-$F383,2))</f>
        <v/>
      </c>
      <c r="H383" s="32">
        <f>IF($AB383="G",SUM($AH$8:$AH$407),IF(OR($AB383="",$AB383="R"),"",IF($AB383="D",INDEX($AH$8:$AH$407,$AA383),SUMIF($T$8:$T$407,INDEX($T$8:$T$407,$AA383),$AH$8:$AH$407))))</f>
        <v/>
      </c>
      <c r="J383">
        <f>IFERROR(MATCH(376,บันทึกรายเที่ยว!$W$6:$W$6005,0),"")</f>
        <v/>
      </c>
      <c r="K383">
        <f>IF($J383="","",INDEX(บันทึกรายเที่ยว!$T$6:$T$6005,$J383))</f>
        <v/>
      </c>
      <c r="L383">
        <f>IF($J383="","",INDEX(บันทึกรายเที่ยว!$S$6:$S$6005,$J383))</f>
        <v/>
      </c>
      <c r="M383">
        <f>IF($J383="","",INDEX(บันทึกรายเที่ยว!$R$6:$R$6005,$J383))</f>
        <v/>
      </c>
      <c r="N383">
        <f>IF($J383="","",MATCH($M383,บันทึกรายเที่ยว!$R$6:$R$6005,0))</f>
        <v/>
      </c>
      <c r="O383">
        <f>IF($J383="","",MATCH($L383,บันทึกรายเที่ยว!$S$6:$S$6005,0))</f>
        <v/>
      </c>
      <c r="P383">
        <f>IF($J383="","",IF(AND(OR($I$3="(ทั้งหมด)",INDEX(บันทึกรายเที่ยว!$C$6:$C$6005,$J383)=$I$3),OR($I$5="(ทั้งหมด)",INDEX(บันทึกรายเที่ยว!$D$6:$D$6005,$J383)=$I$5),OR($I$7="(ทั้งหมด)",INDEX(บันทึกรายเที่ยว!$F$6:$F$6005,$J383)=$I$7)),$N383*10000000+$O383*1000+376,""))</f>
        <v/>
      </c>
      <c r="Q383">
        <f>IFERROR(MATCH(SMALL($P$8:$P$407,376),$P$8:$P$407,0),"")</f>
        <v/>
      </c>
      <c r="R383">
        <f>IF($Q383="","",INDEX($J$8:$J$407,$Q383))</f>
        <v/>
      </c>
      <c r="S383">
        <f>IF($Q383="","",INDEX($M$8:$M$407,$Q383))</f>
        <v/>
      </c>
      <c r="T383">
        <f>IF($Q383="","",INDEX($L$8:$L$407,$Q383))</f>
        <v/>
      </c>
      <c r="U383">
        <f>IF($Q383="","",INDEX($K$8:$K$407,$Q383))</f>
        <v/>
      </c>
      <c r="V383">
        <f>IF($Q383="",0,IF($S383&lt;&gt;$S382,1,0))</f>
        <v/>
      </c>
      <c r="W383">
        <f>IF($Q383="",0,IF($T383&lt;&gt;$T382,1,0))</f>
        <v/>
      </c>
      <c r="X383">
        <f>IF($Q383="",99999+376,$X382+1+$V382+$W382)</f>
        <v/>
      </c>
      <c r="Y383">
        <f>IF($Q383="","",INDEX(บันทึกรายเที่ยว!$Q$6:$Q$6005,$R383))</f>
        <v/>
      </c>
      <c r="Z383">
        <f>IF($Q383="","",INDEX(บันทึกรายเที่ยว!$F$6:$F$6005,$R383))</f>
        <v/>
      </c>
      <c r="AA383">
        <f>IFERROR(MATCH(376,$X$8:$X$407,1),"")</f>
        <v/>
      </c>
      <c r="AB383">
        <f>IF(376=$AD$1+1,"G",IF($AA383="","",IF(INDEX($Q$8:$Q$407,$AA383)="","",IF(376&gt;INDEX($X$8:$X$407,$AA383)+INDEX($V$8:$V$407,$AA383)+INDEX($W$8:$W$407,$AA383),"",IF(376=INDEX($X$8:$X$407,$AA383)+INDEX($V$8:$V$407,$AA383)+INDEX($W$8:$W$407,$AA383),"D",IF(AND(INDEX($W$8:$W$407,$AA383)=1,376=INDEX($X$8:$X$407,$AA383)+INDEX($V$8:$V$407,$AA383)),"S","R"))))))</f>
        <v/>
      </c>
      <c r="AC383">
        <f>IF(OR($AB383="",$AB383="G"),"",IF($AB383="D",INDEX($U$8:$U$407,$AA383),IF($AB383="S",INDEX($T$8:$T$407,$AA383)&amp;"|*",INDEX($S$8:$S$407,$AA383)&amp;"|*")))</f>
        <v/>
      </c>
      <c r="AE383">
        <f>IF($U383="",0,COUNTIF(บันทึกรายเที่ยว!$T$6:$T$6005,$U383))</f>
        <v/>
      </c>
      <c r="AF383">
        <f>IF($U383="",0,ROUND(SUMIF(บันทึกรายเที่ยว!$T$6:$T$6005,$U383,บันทึกรายเที่ยว!$J$6:$J$6005),2))</f>
        <v/>
      </c>
      <c r="AG383">
        <f>IF($U383="",0,ROUND(SUMIF(บันทึกรายเที่ยว!$T$6:$T$6005,$U383,บันทึกรายเที่ยว!$K$6:$K$6005),2))</f>
        <v/>
      </c>
      <c r="AH383">
        <f>IF($U383="",0,ROUND(SUMIF(บันทึกรายเที่ยว!$T$6:$T$6005,$U383,บันทึกรายเที่ยว!$M$6:$M$6005),2))</f>
        <v/>
      </c>
    </row>
    <row r="384" ht="21" customHeight="1" s="66">
      <c r="A384" s="3">
        <f>IF($AB384="G","ผลรวมทั้งหมด",IF($AB384="R",INDEX($S$8:$S$407,$AA384),""))</f>
        <v/>
      </c>
      <c r="B384" s="3">
        <f>IF($AB384="S",INDEX($Y$8:$Y$407,$AA384),"")</f>
        <v/>
      </c>
      <c r="C384" s="68">
        <f>IF($AB384="D",INDEX($Z$8:$Z$407,$AA384),"")</f>
        <v/>
      </c>
      <c r="D384" s="31">
        <f>IF($AB384="G",SUM($AE$8:$AE$407),IF(OR($AB384="",$AB384="R"),"",IF($AB384="D",INDEX($AE$8:$AE$407,$AA384),SUMIF($T$8:$T$407,INDEX($T$8:$T$407,$AA384),$AE$8:$AE$407))))</f>
        <v/>
      </c>
      <c r="E384" s="32">
        <f>IF(377=$AD$1+3,"ขอแสดงความนับถือ",IF(377=$AD$1+6,"(                 )",IF(377=$AD$1+7,"เจ้าหน้าที่ขนส่ง",IF($AB384="G",SUM($AF$8:$AF$407),IF(OR($AB384="",$AB384="R"),"",IF($AB384="D",INDEX($AF$8:$AF$407,$AA384),SUMIF($T$8:$T$407,INDEX($T$8:$T$407,$AA384),$AF$8:$AF$407)))))))</f>
        <v/>
      </c>
      <c r="F384" s="32">
        <f>IF($AB384="G",SUM($AG$8:$AG$407),IF(OR($AB384="",$AB384="R"),"",IF($AB384="D",INDEX($AG$8:$AG$407,$AA384),SUMIF($T$8:$T$407,INDEX($T$8:$T$407,$AA384),$AG$8:$AG$407))))</f>
        <v/>
      </c>
      <c r="G384" s="32">
        <f>IF(OR($AB384="",$AB384="R"),"",ROUND($E384-$F384,2))</f>
        <v/>
      </c>
      <c r="H384" s="32">
        <f>IF($AB384="G",SUM($AH$8:$AH$407),IF(OR($AB384="",$AB384="R"),"",IF($AB384="D",INDEX($AH$8:$AH$407,$AA384),SUMIF($T$8:$T$407,INDEX($T$8:$T$407,$AA384),$AH$8:$AH$407))))</f>
        <v/>
      </c>
      <c r="J384">
        <f>IFERROR(MATCH(377,บันทึกรายเที่ยว!$W$6:$W$6005,0),"")</f>
        <v/>
      </c>
      <c r="K384">
        <f>IF($J384="","",INDEX(บันทึกรายเที่ยว!$T$6:$T$6005,$J384))</f>
        <v/>
      </c>
      <c r="L384">
        <f>IF($J384="","",INDEX(บันทึกรายเที่ยว!$S$6:$S$6005,$J384))</f>
        <v/>
      </c>
      <c r="M384">
        <f>IF($J384="","",INDEX(บันทึกรายเที่ยว!$R$6:$R$6005,$J384))</f>
        <v/>
      </c>
      <c r="N384">
        <f>IF($J384="","",MATCH($M384,บันทึกรายเที่ยว!$R$6:$R$6005,0))</f>
        <v/>
      </c>
      <c r="O384">
        <f>IF($J384="","",MATCH($L384,บันทึกรายเที่ยว!$S$6:$S$6005,0))</f>
        <v/>
      </c>
      <c r="P384">
        <f>IF($J384="","",IF(AND(OR($I$3="(ทั้งหมด)",INDEX(บันทึกรายเที่ยว!$C$6:$C$6005,$J384)=$I$3),OR($I$5="(ทั้งหมด)",INDEX(บันทึกรายเที่ยว!$D$6:$D$6005,$J384)=$I$5),OR($I$7="(ทั้งหมด)",INDEX(บันทึกรายเที่ยว!$F$6:$F$6005,$J384)=$I$7)),$N384*10000000+$O384*1000+377,""))</f>
        <v/>
      </c>
      <c r="Q384">
        <f>IFERROR(MATCH(SMALL($P$8:$P$407,377),$P$8:$P$407,0),"")</f>
        <v/>
      </c>
      <c r="R384">
        <f>IF($Q384="","",INDEX($J$8:$J$407,$Q384))</f>
        <v/>
      </c>
      <c r="S384">
        <f>IF($Q384="","",INDEX($M$8:$M$407,$Q384))</f>
        <v/>
      </c>
      <c r="T384">
        <f>IF($Q384="","",INDEX($L$8:$L$407,$Q384))</f>
        <v/>
      </c>
      <c r="U384">
        <f>IF($Q384="","",INDEX($K$8:$K$407,$Q384))</f>
        <v/>
      </c>
      <c r="V384">
        <f>IF($Q384="",0,IF($S384&lt;&gt;$S383,1,0))</f>
        <v/>
      </c>
      <c r="W384">
        <f>IF($Q384="",0,IF($T384&lt;&gt;$T383,1,0))</f>
        <v/>
      </c>
      <c r="X384">
        <f>IF($Q384="",99999+377,$X383+1+$V383+$W383)</f>
        <v/>
      </c>
      <c r="Y384">
        <f>IF($Q384="","",INDEX(บันทึกรายเที่ยว!$Q$6:$Q$6005,$R384))</f>
        <v/>
      </c>
      <c r="Z384">
        <f>IF($Q384="","",INDEX(บันทึกรายเที่ยว!$F$6:$F$6005,$R384))</f>
        <v/>
      </c>
      <c r="AA384">
        <f>IFERROR(MATCH(377,$X$8:$X$407,1),"")</f>
        <v/>
      </c>
      <c r="AB384">
        <f>IF(377=$AD$1+1,"G",IF($AA384="","",IF(INDEX($Q$8:$Q$407,$AA384)="","",IF(377&gt;INDEX($X$8:$X$407,$AA384)+INDEX($V$8:$V$407,$AA384)+INDEX($W$8:$W$407,$AA384),"",IF(377=INDEX($X$8:$X$407,$AA384)+INDEX($V$8:$V$407,$AA384)+INDEX($W$8:$W$407,$AA384),"D",IF(AND(INDEX($W$8:$W$407,$AA384)=1,377=INDEX($X$8:$X$407,$AA384)+INDEX($V$8:$V$407,$AA384)),"S","R"))))))</f>
        <v/>
      </c>
      <c r="AC384">
        <f>IF(OR($AB384="",$AB384="G"),"",IF($AB384="D",INDEX($U$8:$U$407,$AA384),IF($AB384="S",INDEX($T$8:$T$407,$AA384)&amp;"|*",INDEX($S$8:$S$407,$AA384)&amp;"|*")))</f>
        <v/>
      </c>
      <c r="AE384">
        <f>IF($U384="",0,COUNTIF(บันทึกรายเที่ยว!$T$6:$T$6005,$U384))</f>
        <v/>
      </c>
      <c r="AF384">
        <f>IF($U384="",0,ROUND(SUMIF(บันทึกรายเที่ยว!$T$6:$T$6005,$U384,บันทึกรายเที่ยว!$J$6:$J$6005),2))</f>
        <v/>
      </c>
      <c r="AG384">
        <f>IF($U384="",0,ROUND(SUMIF(บันทึกรายเที่ยว!$T$6:$T$6005,$U384,บันทึกรายเที่ยว!$K$6:$K$6005),2))</f>
        <v/>
      </c>
      <c r="AH384">
        <f>IF($U384="",0,ROUND(SUMIF(บันทึกรายเที่ยว!$T$6:$T$6005,$U384,บันทึกรายเที่ยว!$M$6:$M$6005),2))</f>
        <v/>
      </c>
    </row>
    <row r="385" ht="21" customHeight="1" s="66">
      <c r="A385" s="3">
        <f>IF($AB385="G","ผลรวมทั้งหมด",IF($AB385="R",INDEX($S$8:$S$407,$AA385),""))</f>
        <v/>
      </c>
      <c r="B385" s="3">
        <f>IF($AB385="S",INDEX($Y$8:$Y$407,$AA385),"")</f>
        <v/>
      </c>
      <c r="C385" s="68">
        <f>IF($AB385="D",INDEX($Z$8:$Z$407,$AA385),"")</f>
        <v/>
      </c>
      <c r="D385" s="31">
        <f>IF($AB385="G",SUM($AE$8:$AE$407),IF(OR($AB385="",$AB385="R"),"",IF($AB385="D",INDEX($AE$8:$AE$407,$AA385),SUMIF($T$8:$T$407,INDEX($T$8:$T$407,$AA385),$AE$8:$AE$407))))</f>
        <v/>
      </c>
      <c r="E385" s="32">
        <f>IF(378=$AD$1+3,"ขอแสดงความนับถือ",IF(378=$AD$1+6,"(                 )",IF(378=$AD$1+7,"เจ้าหน้าที่ขนส่ง",IF($AB385="G",SUM($AF$8:$AF$407),IF(OR($AB385="",$AB385="R"),"",IF($AB385="D",INDEX($AF$8:$AF$407,$AA385),SUMIF($T$8:$T$407,INDEX($T$8:$T$407,$AA385),$AF$8:$AF$407)))))))</f>
        <v/>
      </c>
      <c r="F385" s="32">
        <f>IF($AB385="G",SUM($AG$8:$AG$407),IF(OR($AB385="",$AB385="R"),"",IF($AB385="D",INDEX($AG$8:$AG$407,$AA385),SUMIF($T$8:$T$407,INDEX($T$8:$T$407,$AA385),$AG$8:$AG$407))))</f>
        <v/>
      </c>
      <c r="G385" s="32">
        <f>IF(OR($AB385="",$AB385="R"),"",ROUND($E385-$F385,2))</f>
        <v/>
      </c>
      <c r="H385" s="32">
        <f>IF($AB385="G",SUM($AH$8:$AH$407),IF(OR($AB385="",$AB385="R"),"",IF($AB385="D",INDEX($AH$8:$AH$407,$AA385),SUMIF($T$8:$T$407,INDEX($T$8:$T$407,$AA385),$AH$8:$AH$407))))</f>
        <v/>
      </c>
      <c r="J385">
        <f>IFERROR(MATCH(378,บันทึกรายเที่ยว!$W$6:$W$6005,0),"")</f>
        <v/>
      </c>
      <c r="K385">
        <f>IF($J385="","",INDEX(บันทึกรายเที่ยว!$T$6:$T$6005,$J385))</f>
        <v/>
      </c>
      <c r="L385">
        <f>IF($J385="","",INDEX(บันทึกรายเที่ยว!$S$6:$S$6005,$J385))</f>
        <v/>
      </c>
      <c r="M385">
        <f>IF($J385="","",INDEX(บันทึกรายเที่ยว!$R$6:$R$6005,$J385))</f>
        <v/>
      </c>
      <c r="N385">
        <f>IF($J385="","",MATCH($M385,บันทึกรายเที่ยว!$R$6:$R$6005,0))</f>
        <v/>
      </c>
      <c r="O385">
        <f>IF($J385="","",MATCH($L385,บันทึกรายเที่ยว!$S$6:$S$6005,0))</f>
        <v/>
      </c>
      <c r="P385">
        <f>IF($J385="","",IF(AND(OR($I$3="(ทั้งหมด)",INDEX(บันทึกรายเที่ยว!$C$6:$C$6005,$J385)=$I$3),OR($I$5="(ทั้งหมด)",INDEX(บันทึกรายเที่ยว!$D$6:$D$6005,$J385)=$I$5),OR($I$7="(ทั้งหมด)",INDEX(บันทึกรายเที่ยว!$F$6:$F$6005,$J385)=$I$7)),$N385*10000000+$O385*1000+378,""))</f>
        <v/>
      </c>
      <c r="Q385">
        <f>IFERROR(MATCH(SMALL($P$8:$P$407,378),$P$8:$P$407,0),"")</f>
        <v/>
      </c>
      <c r="R385">
        <f>IF($Q385="","",INDEX($J$8:$J$407,$Q385))</f>
        <v/>
      </c>
      <c r="S385">
        <f>IF($Q385="","",INDEX($M$8:$M$407,$Q385))</f>
        <v/>
      </c>
      <c r="T385">
        <f>IF($Q385="","",INDEX($L$8:$L$407,$Q385))</f>
        <v/>
      </c>
      <c r="U385">
        <f>IF($Q385="","",INDEX($K$8:$K$407,$Q385))</f>
        <v/>
      </c>
      <c r="V385">
        <f>IF($Q385="",0,IF($S385&lt;&gt;$S384,1,0))</f>
        <v/>
      </c>
      <c r="W385">
        <f>IF($Q385="",0,IF($T385&lt;&gt;$T384,1,0))</f>
        <v/>
      </c>
      <c r="X385">
        <f>IF($Q385="",99999+378,$X384+1+$V384+$W384)</f>
        <v/>
      </c>
      <c r="Y385">
        <f>IF($Q385="","",INDEX(บันทึกรายเที่ยว!$Q$6:$Q$6005,$R385))</f>
        <v/>
      </c>
      <c r="Z385">
        <f>IF($Q385="","",INDEX(บันทึกรายเที่ยว!$F$6:$F$6005,$R385))</f>
        <v/>
      </c>
      <c r="AA385">
        <f>IFERROR(MATCH(378,$X$8:$X$407,1),"")</f>
        <v/>
      </c>
      <c r="AB385">
        <f>IF(378=$AD$1+1,"G",IF($AA385="","",IF(INDEX($Q$8:$Q$407,$AA385)="","",IF(378&gt;INDEX($X$8:$X$407,$AA385)+INDEX($V$8:$V$407,$AA385)+INDEX($W$8:$W$407,$AA385),"",IF(378=INDEX($X$8:$X$407,$AA385)+INDEX($V$8:$V$407,$AA385)+INDEX($W$8:$W$407,$AA385),"D",IF(AND(INDEX($W$8:$W$407,$AA385)=1,378=INDEX($X$8:$X$407,$AA385)+INDEX($V$8:$V$407,$AA385)),"S","R"))))))</f>
        <v/>
      </c>
      <c r="AC385">
        <f>IF(OR($AB385="",$AB385="G"),"",IF($AB385="D",INDEX($U$8:$U$407,$AA385),IF($AB385="S",INDEX($T$8:$T$407,$AA385)&amp;"|*",INDEX($S$8:$S$407,$AA385)&amp;"|*")))</f>
        <v/>
      </c>
      <c r="AE385">
        <f>IF($U385="",0,COUNTIF(บันทึกรายเที่ยว!$T$6:$T$6005,$U385))</f>
        <v/>
      </c>
      <c r="AF385">
        <f>IF($U385="",0,ROUND(SUMIF(บันทึกรายเที่ยว!$T$6:$T$6005,$U385,บันทึกรายเที่ยว!$J$6:$J$6005),2))</f>
        <v/>
      </c>
      <c r="AG385">
        <f>IF($U385="",0,ROUND(SUMIF(บันทึกรายเที่ยว!$T$6:$T$6005,$U385,บันทึกรายเที่ยว!$K$6:$K$6005),2))</f>
        <v/>
      </c>
      <c r="AH385">
        <f>IF($U385="",0,ROUND(SUMIF(บันทึกรายเที่ยว!$T$6:$T$6005,$U385,บันทึกรายเที่ยว!$M$6:$M$6005),2))</f>
        <v/>
      </c>
    </row>
    <row r="386" ht="21" customHeight="1" s="66">
      <c r="A386" s="3">
        <f>IF($AB386="G","ผลรวมทั้งหมด",IF($AB386="R",INDEX($S$8:$S$407,$AA386),""))</f>
        <v/>
      </c>
      <c r="B386" s="3">
        <f>IF($AB386="S",INDEX($Y$8:$Y$407,$AA386),"")</f>
        <v/>
      </c>
      <c r="C386" s="68">
        <f>IF($AB386="D",INDEX($Z$8:$Z$407,$AA386),"")</f>
        <v/>
      </c>
      <c r="D386" s="31">
        <f>IF($AB386="G",SUM($AE$8:$AE$407),IF(OR($AB386="",$AB386="R"),"",IF($AB386="D",INDEX($AE$8:$AE$407,$AA386),SUMIF($T$8:$T$407,INDEX($T$8:$T$407,$AA386),$AE$8:$AE$407))))</f>
        <v/>
      </c>
      <c r="E386" s="32">
        <f>IF(379=$AD$1+3,"ขอแสดงความนับถือ",IF(379=$AD$1+6,"(                 )",IF(379=$AD$1+7,"เจ้าหน้าที่ขนส่ง",IF($AB386="G",SUM($AF$8:$AF$407),IF(OR($AB386="",$AB386="R"),"",IF($AB386="D",INDEX($AF$8:$AF$407,$AA386),SUMIF($T$8:$T$407,INDEX($T$8:$T$407,$AA386),$AF$8:$AF$407)))))))</f>
        <v/>
      </c>
      <c r="F386" s="32">
        <f>IF($AB386="G",SUM($AG$8:$AG$407),IF(OR($AB386="",$AB386="R"),"",IF($AB386="D",INDEX($AG$8:$AG$407,$AA386),SUMIF($T$8:$T$407,INDEX($T$8:$T$407,$AA386),$AG$8:$AG$407))))</f>
        <v/>
      </c>
      <c r="G386" s="32">
        <f>IF(OR($AB386="",$AB386="R"),"",ROUND($E386-$F386,2))</f>
        <v/>
      </c>
      <c r="H386" s="32">
        <f>IF($AB386="G",SUM($AH$8:$AH$407),IF(OR($AB386="",$AB386="R"),"",IF($AB386="D",INDEX($AH$8:$AH$407,$AA386),SUMIF($T$8:$T$407,INDEX($T$8:$T$407,$AA386),$AH$8:$AH$407))))</f>
        <v/>
      </c>
      <c r="J386">
        <f>IFERROR(MATCH(379,บันทึกรายเที่ยว!$W$6:$W$6005,0),"")</f>
        <v/>
      </c>
      <c r="K386">
        <f>IF($J386="","",INDEX(บันทึกรายเที่ยว!$T$6:$T$6005,$J386))</f>
        <v/>
      </c>
      <c r="L386">
        <f>IF($J386="","",INDEX(บันทึกรายเที่ยว!$S$6:$S$6005,$J386))</f>
        <v/>
      </c>
      <c r="M386">
        <f>IF($J386="","",INDEX(บันทึกรายเที่ยว!$R$6:$R$6005,$J386))</f>
        <v/>
      </c>
      <c r="N386">
        <f>IF($J386="","",MATCH($M386,บันทึกรายเที่ยว!$R$6:$R$6005,0))</f>
        <v/>
      </c>
      <c r="O386">
        <f>IF($J386="","",MATCH($L386,บันทึกรายเที่ยว!$S$6:$S$6005,0))</f>
        <v/>
      </c>
      <c r="P386">
        <f>IF($J386="","",IF(AND(OR($I$3="(ทั้งหมด)",INDEX(บันทึกรายเที่ยว!$C$6:$C$6005,$J386)=$I$3),OR($I$5="(ทั้งหมด)",INDEX(บันทึกรายเที่ยว!$D$6:$D$6005,$J386)=$I$5),OR($I$7="(ทั้งหมด)",INDEX(บันทึกรายเที่ยว!$F$6:$F$6005,$J386)=$I$7)),$N386*10000000+$O386*1000+379,""))</f>
        <v/>
      </c>
      <c r="Q386">
        <f>IFERROR(MATCH(SMALL($P$8:$P$407,379),$P$8:$P$407,0),"")</f>
        <v/>
      </c>
      <c r="R386">
        <f>IF($Q386="","",INDEX($J$8:$J$407,$Q386))</f>
        <v/>
      </c>
      <c r="S386">
        <f>IF($Q386="","",INDEX($M$8:$M$407,$Q386))</f>
        <v/>
      </c>
      <c r="T386">
        <f>IF($Q386="","",INDEX($L$8:$L$407,$Q386))</f>
        <v/>
      </c>
      <c r="U386">
        <f>IF($Q386="","",INDEX($K$8:$K$407,$Q386))</f>
        <v/>
      </c>
      <c r="V386">
        <f>IF($Q386="",0,IF($S386&lt;&gt;$S385,1,0))</f>
        <v/>
      </c>
      <c r="W386">
        <f>IF($Q386="",0,IF($T386&lt;&gt;$T385,1,0))</f>
        <v/>
      </c>
      <c r="X386">
        <f>IF($Q386="",99999+379,$X385+1+$V385+$W385)</f>
        <v/>
      </c>
      <c r="Y386">
        <f>IF($Q386="","",INDEX(บันทึกรายเที่ยว!$Q$6:$Q$6005,$R386))</f>
        <v/>
      </c>
      <c r="Z386">
        <f>IF($Q386="","",INDEX(บันทึกรายเที่ยว!$F$6:$F$6005,$R386))</f>
        <v/>
      </c>
      <c r="AA386">
        <f>IFERROR(MATCH(379,$X$8:$X$407,1),"")</f>
        <v/>
      </c>
      <c r="AB386">
        <f>IF(379=$AD$1+1,"G",IF($AA386="","",IF(INDEX($Q$8:$Q$407,$AA386)="","",IF(379&gt;INDEX($X$8:$X$407,$AA386)+INDEX($V$8:$V$407,$AA386)+INDEX($W$8:$W$407,$AA386),"",IF(379=INDEX($X$8:$X$407,$AA386)+INDEX($V$8:$V$407,$AA386)+INDEX($W$8:$W$407,$AA386),"D",IF(AND(INDEX($W$8:$W$407,$AA386)=1,379=INDEX($X$8:$X$407,$AA386)+INDEX($V$8:$V$407,$AA386)),"S","R"))))))</f>
        <v/>
      </c>
      <c r="AC386">
        <f>IF(OR($AB386="",$AB386="G"),"",IF($AB386="D",INDEX($U$8:$U$407,$AA386),IF($AB386="S",INDEX($T$8:$T$407,$AA386)&amp;"|*",INDEX($S$8:$S$407,$AA386)&amp;"|*")))</f>
        <v/>
      </c>
      <c r="AE386">
        <f>IF($U386="",0,COUNTIF(บันทึกรายเที่ยว!$T$6:$T$6005,$U386))</f>
        <v/>
      </c>
      <c r="AF386">
        <f>IF($U386="",0,ROUND(SUMIF(บันทึกรายเที่ยว!$T$6:$T$6005,$U386,บันทึกรายเที่ยว!$J$6:$J$6005),2))</f>
        <v/>
      </c>
      <c r="AG386">
        <f>IF($U386="",0,ROUND(SUMIF(บันทึกรายเที่ยว!$T$6:$T$6005,$U386,บันทึกรายเที่ยว!$K$6:$K$6005),2))</f>
        <v/>
      </c>
      <c r="AH386">
        <f>IF($U386="",0,ROUND(SUMIF(บันทึกรายเที่ยว!$T$6:$T$6005,$U386,บันทึกรายเที่ยว!$M$6:$M$6005),2))</f>
        <v/>
      </c>
    </row>
    <row r="387" ht="21" customHeight="1" s="66">
      <c r="A387" s="3">
        <f>IF($AB387="G","ผลรวมทั้งหมด",IF($AB387="R",INDEX($S$8:$S$407,$AA387),""))</f>
        <v/>
      </c>
      <c r="B387" s="3">
        <f>IF($AB387="S",INDEX($Y$8:$Y$407,$AA387),"")</f>
        <v/>
      </c>
      <c r="C387" s="68">
        <f>IF($AB387="D",INDEX($Z$8:$Z$407,$AA387),"")</f>
        <v/>
      </c>
      <c r="D387" s="31">
        <f>IF($AB387="G",SUM($AE$8:$AE$407),IF(OR($AB387="",$AB387="R"),"",IF($AB387="D",INDEX($AE$8:$AE$407,$AA387),SUMIF($T$8:$T$407,INDEX($T$8:$T$407,$AA387),$AE$8:$AE$407))))</f>
        <v/>
      </c>
      <c r="E387" s="32">
        <f>IF(380=$AD$1+3,"ขอแสดงความนับถือ",IF(380=$AD$1+6,"(                 )",IF(380=$AD$1+7,"เจ้าหน้าที่ขนส่ง",IF($AB387="G",SUM($AF$8:$AF$407),IF(OR($AB387="",$AB387="R"),"",IF($AB387="D",INDEX($AF$8:$AF$407,$AA387),SUMIF($T$8:$T$407,INDEX($T$8:$T$407,$AA387),$AF$8:$AF$407)))))))</f>
        <v/>
      </c>
      <c r="F387" s="32">
        <f>IF($AB387="G",SUM($AG$8:$AG$407),IF(OR($AB387="",$AB387="R"),"",IF($AB387="D",INDEX($AG$8:$AG$407,$AA387),SUMIF($T$8:$T$407,INDEX($T$8:$T$407,$AA387),$AG$8:$AG$407))))</f>
        <v/>
      </c>
      <c r="G387" s="32">
        <f>IF(OR($AB387="",$AB387="R"),"",ROUND($E387-$F387,2))</f>
        <v/>
      </c>
      <c r="H387" s="32">
        <f>IF($AB387="G",SUM($AH$8:$AH$407),IF(OR($AB387="",$AB387="R"),"",IF($AB387="D",INDEX($AH$8:$AH$407,$AA387),SUMIF($T$8:$T$407,INDEX($T$8:$T$407,$AA387),$AH$8:$AH$407))))</f>
        <v/>
      </c>
      <c r="J387">
        <f>IFERROR(MATCH(380,บันทึกรายเที่ยว!$W$6:$W$6005,0),"")</f>
        <v/>
      </c>
      <c r="K387">
        <f>IF($J387="","",INDEX(บันทึกรายเที่ยว!$T$6:$T$6005,$J387))</f>
        <v/>
      </c>
      <c r="L387">
        <f>IF($J387="","",INDEX(บันทึกรายเที่ยว!$S$6:$S$6005,$J387))</f>
        <v/>
      </c>
      <c r="M387">
        <f>IF($J387="","",INDEX(บันทึกรายเที่ยว!$R$6:$R$6005,$J387))</f>
        <v/>
      </c>
      <c r="N387">
        <f>IF($J387="","",MATCH($M387,บันทึกรายเที่ยว!$R$6:$R$6005,0))</f>
        <v/>
      </c>
      <c r="O387">
        <f>IF($J387="","",MATCH($L387,บันทึกรายเที่ยว!$S$6:$S$6005,0))</f>
        <v/>
      </c>
      <c r="P387">
        <f>IF($J387="","",IF(AND(OR($I$3="(ทั้งหมด)",INDEX(บันทึกรายเที่ยว!$C$6:$C$6005,$J387)=$I$3),OR($I$5="(ทั้งหมด)",INDEX(บันทึกรายเที่ยว!$D$6:$D$6005,$J387)=$I$5),OR($I$7="(ทั้งหมด)",INDEX(บันทึกรายเที่ยว!$F$6:$F$6005,$J387)=$I$7)),$N387*10000000+$O387*1000+380,""))</f>
        <v/>
      </c>
      <c r="Q387">
        <f>IFERROR(MATCH(SMALL($P$8:$P$407,380),$P$8:$P$407,0),"")</f>
        <v/>
      </c>
      <c r="R387">
        <f>IF($Q387="","",INDEX($J$8:$J$407,$Q387))</f>
        <v/>
      </c>
      <c r="S387">
        <f>IF($Q387="","",INDEX($M$8:$M$407,$Q387))</f>
        <v/>
      </c>
      <c r="T387">
        <f>IF($Q387="","",INDEX($L$8:$L$407,$Q387))</f>
        <v/>
      </c>
      <c r="U387">
        <f>IF($Q387="","",INDEX($K$8:$K$407,$Q387))</f>
        <v/>
      </c>
      <c r="V387">
        <f>IF($Q387="",0,IF($S387&lt;&gt;$S386,1,0))</f>
        <v/>
      </c>
      <c r="W387">
        <f>IF($Q387="",0,IF($T387&lt;&gt;$T386,1,0))</f>
        <v/>
      </c>
      <c r="X387">
        <f>IF($Q387="",99999+380,$X386+1+$V386+$W386)</f>
        <v/>
      </c>
      <c r="Y387">
        <f>IF($Q387="","",INDEX(บันทึกรายเที่ยว!$Q$6:$Q$6005,$R387))</f>
        <v/>
      </c>
      <c r="Z387">
        <f>IF($Q387="","",INDEX(บันทึกรายเที่ยว!$F$6:$F$6005,$R387))</f>
        <v/>
      </c>
      <c r="AA387">
        <f>IFERROR(MATCH(380,$X$8:$X$407,1),"")</f>
        <v/>
      </c>
      <c r="AB387">
        <f>IF(380=$AD$1+1,"G",IF($AA387="","",IF(INDEX($Q$8:$Q$407,$AA387)="","",IF(380&gt;INDEX($X$8:$X$407,$AA387)+INDEX($V$8:$V$407,$AA387)+INDEX($W$8:$W$407,$AA387),"",IF(380=INDEX($X$8:$X$407,$AA387)+INDEX($V$8:$V$407,$AA387)+INDEX($W$8:$W$407,$AA387),"D",IF(AND(INDEX($W$8:$W$407,$AA387)=1,380=INDEX($X$8:$X$407,$AA387)+INDEX($V$8:$V$407,$AA387)),"S","R"))))))</f>
        <v/>
      </c>
      <c r="AC387">
        <f>IF(OR($AB387="",$AB387="G"),"",IF($AB387="D",INDEX($U$8:$U$407,$AA387),IF($AB387="S",INDEX($T$8:$T$407,$AA387)&amp;"|*",INDEX($S$8:$S$407,$AA387)&amp;"|*")))</f>
        <v/>
      </c>
      <c r="AE387">
        <f>IF($U387="",0,COUNTIF(บันทึกรายเที่ยว!$T$6:$T$6005,$U387))</f>
        <v/>
      </c>
      <c r="AF387">
        <f>IF($U387="",0,ROUND(SUMIF(บันทึกรายเที่ยว!$T$6:$T$6005,$U387,บันทึกรายเที่ยว!$J$6:$J$6005),2))</f>
        <v/>
      </c>
      <c r="AG387">
        <f>IF($U387="",0,ROUND(SUMIF(บันทึกรายเที่ยว!$T$6:$T$6005,$U387,บันทึกรายเที่ยว!$K$6:$K$6005),2))</f>
        <v/>
      </c>
      <c r="AH387">
        <f>IF($U387="",0,ROUND(SUMIF(บันทึกรายเที่ยว!$T$6:$T$6005,$U387,บันทึกรายเที่ยว!$M$6:$M$6005),2))</f>
        <v/>
      </c>
    </row>
    <row r="388" ht="21" customHeight="1" s="66">
      <c r="A388" s="3">
        <f>IF($AB388="G","ผลรวมทั้งหมด",IF($AB388="R",INDEX($S$8:$S$407,$AA388),""))</f>
        <v/>
      </c>
      <c r="B388" s="3">
        <f>IF($AB388="S",INDEX($Y$8:$Y$407,$AA388),"")</f>
        <v/>
      </c>
      <c r="C388" s="68">
        <f>IF($AB388="D",INDEX($Z$8:$Z$407,$AA388),"")</f>
        <v/>
      </c>
      <c r="D388" s="31">
        <f>IF($AB388="G",SUM($AE$8:$AE$407),IF(OR($AB388="",$AB388="R"),"",IF($AB388="D",INDEX($AE$8:$AE$407,$AA388),SUMIF($T$8:$T$407,INDEX($T$8:$T$407,$AA388),$AE$8:$AE$407))))</f>
        <v/>
      </c>
      <c r="E388" s="32">
        <f>IF(381=$AD$1+3,"ขอแสดงความนับถือ",IF(381=$AD$1+6,"(                 )",IF(381=$AD$1+7,"เจ้าหน้าที่ขนส่ง",IF($AB388="G",SUM($AF$8:$AF$407),IF(OR($AB388="",$AB388="R"),"",IF($AB388="D",INDEX($AF$8:$AF$407,$AA388),SUMIF($T$8:$T$407,INDEX($T$8:$T$407,$AA388),$AF$8:$AF$407)))))))</f>
        <v/>
      </c>
      <c r="F388" s="32">
        <f>IF($AB388="G",SUM($AG$8:$AG$407),IF(OR($AB388="",$AB388="R"),"",IF($AB388="D",INDEX($AG$8:$AG$407,$AA388),SUMIF($T$8:$T$407,INDEX($T$8:$T$407,$AA388),$AG$8:$AG$407))))</f>
        <v/>
      </c>
      <c r="G388" s="32">
        <f>IF(OR($AB388="",$AB388="R"),"",ROUND($E388-$F388,2))</f>
        <v/>
      </c>
      <c r="H388" s="32">
        <f>IF($AB388="G",SUM($AH$8:$AH$407),IF(OR($AB388="",$AB388="R"),"",IF($AB388="D",INDEX($AH$8:$AH$407,$AA388),SUMIF($T$8:$T$407,INDEX($T$8:$T$407,$AA388),$AH$8:$AH$407))))</f>
        <v/>
      </c>
      <c r="J388">
        <f>IFERROR(MATCH(381,บันทึกรายเที่ยว!$W$6:$W$6005,0),"")</f>
        <v/>
      </c>
      <c r="K388">
        <f>IF($J388="","",INDEX(บันทึกรายเที่ยว!$T$6:$T$6005,$J388))</f>
        <v/>
      </c>
      <c r="L388">
        <f>IF($J388="","",INDEX(บันทึกรายเที่ยว!$S$6:$S$6005,$J388))</f>
        <v/>
      </c>
      <c r="M388">
        <f>IF($J388="","",INDEX(บันทึกรายเที่ยว!$R$6:$R$6005,$J388))</f>
        <v/>
      </c>
      <c r="N388">
        <f>IF($J388="","",MATCH($M388,บันทึกรายเที่ยว!$R$6:$R$6005,0))</f>
        <v/>
      </c>
      <c r="O388">
        <f>IF($J388="","",MATCH($L388,บันทึกรายเที่ยว!$S$6:$S$6005,0))</f>
        <v/>
      </c>
      <c r="P388">
        <f>IF($J388="","",IF(AND(OR($I$3="(ทั้งหมด)",INDEX(บันทึกรายเที่ยว!$C$6:$C$6005,$J388)=$I$3),OR($I$5="(ทั้งหมด)",INDEX(บันทึกรายเที่ยว!$D$6:$D$6005,$J388)=$I$5),OR($I$7="(ทั้งหมด)",INDEX(บันทึกรายเที่ยว!$F$6:$F$6005,$J388)=$I$7)),$N388*10000000+$O388*1000+381,""))</f>
        <v/>
      </c>
      <c r="Q388">
        <f>IFERROR(MATCH(SMALL($P$8:$P$407,381),$P$8:$P$407,0),"")</f>
        <v/>
      </c>
      <c r="R388">
        <f>IF($Q388="","",INDEX($J$8:$J$407,$Q388))</f>
        <v/>
      </c>
      <c r="S388">
        <f>IF($Q388="","",INDEX($M$8:$M$407,$Q388))</f>
        <v/>
      </c>
      <c r="T388">
        <f>IF($Q388="","",INDEX($L$8:$L$407,$Q388))</f>
        <v/>
      </c>
      <c r="U388">
        <f>IF($Q388="","",INDEX($K$8:$K$407,$Q388))</f>
        <v/>
      </c>
      <c r="V388">
        <f>IF($Q388="",0,IF($S388&lt;&gt;$S387,1,0))</f>
        <v/>
      </c>
      <c r="W388">
        <f>IF($Q388="",0,IF($T388&lt;&gt;$T387,1,0))</f>
        <v/>
      </c>
      <c r="X388">
        <f>IF($Q388="",99999+381,$X387+1+$V387+$W387)</f>
        <v/>
      </c>
      <c r="Y388">
        <f>IF($Q388="","",INDEX(บันทึกรายเที่ยว!$Q$6:$Q$6005,$R388))</f>
        <v/>
      </c>
      <c r="Z388">
        <f>IF($Q388="","",INDEX(บันทึกรายเที่ยว!$F$6:$F$6005,$R388))</f>
        <v/>
      </c>
      <c r="AA388">
        <f>IFERROR(MATCH(381,$X$8:$X$407,1),"")</f>
        <v/>
      </c>
      <c r="AB388">
        <f>IF(381=$AD$1+1,"G",IF($AA388="","",IF(INDEX($Q$8:$Q$407,$AA388)="","",IF(381&gt;INDEX($X$8:$X$407,$AA388)+INDEX($V$8:$V$407,$AA388)+INDEX($W$8:$W$407,$AA388),"",IF(381=INDEX($X$8:$X$407,$AA388)+INDEX($V$8:$V$407,$AA388)+INDEX($W$8:$W$407,$AA388),"D",IF(AND(INDEX($W$8:$W$407,$AA388)=1,381=INDEX($X$8:$X$407,$AA388)+INDEX($V$8:$V$407,$AA388)),"S","R"))))))</f>
        <v/>
      </c>
      <c r="AC388">
        <f>IF(OR($AB388="",$AB388="G"),"",IF($AB388="D",INDEX($U$8:$U$407,$AA388),IF($AB388="S",INDEX($T$8:$T$407,$AA388)&amp;"|*",INDEX($S$8:$S$407,$AA388)&amp;"|*")))</f>
        <v/>
      </c>
      <c r="AE388">
        <f>IF($U388="",0,COUNTIF(บันทึกรายเที่ยว!$T$6:$T$6005,$U388))</f>
        <v/>
      </c>
      <c r="AF388">
        <f>IF($U388="",0,ROUND(SUMIF(บันทึกรายเที่ยว!$T$6:$T$6005,$U388,บันทึกรายเที่ยว!$J$6:$J$6005),2))</f>
        <v/>
      </c>
      <c r="AG388">
        <f>IF($U388="",0,ROUND(SUMIF(บันทึกรายเที่ยว!$T$6:$T$6005,$U388,บันทึกรายเที่ยว!$K$6:$K$6005),2))</f>
        <v/>
      </c>
      <c r="AH388">
        <f>IF($U388="",0,ROUND(SUMIF(บันทึกรายเที่ยว!$T$6:$T$6005,$U388,บันทึกรายเที่ยว!$M$6:$M$6005),2))</f>
        <v/>
      </c>
    </row>
    <row r="389" ht="21" customHeight="1" s="66">
      <c r="A389" s="3">
        <f>IF($AB389="G","ผลรวมทั้งหมด",IF($AB389="R",INDEX($S$8:$S$407,$AA389),""))</f>
        <v/>
      </c>
      <c r="B389" s="3">
        <f>IF($AB389="S",INDEX($Y$8:$Y$407,$AA389),"")</f>
        <v/>
      </c>
      <c r="C389" s="68">
        <f>IF($AB389="D",INDEX($Z$8:$Z$407,$AA389),"")</f>
        <v/>
      </c>
      <c r="D389" s="31">
        <f>IF($AB389="G",SUM($AE$8:$AE$407),IF(OR($AB389="",$AB389="R"),"",IF($AB389="D",INDEX($AE$8:$AE$407,$AA389),SUMIF($T$8:$T$407,INDEX($T$8:$T$407,$AA389),$AE$8:$AE$407))))</f>
        <v/>
      </c>
      <c r="E389" s="32">
        <f>IF(382=$AD$1+3,"ขอแสดงความนับถือ",IF(382=$AD$1+6,"(                 )",IF(382=$AD$1+7,"เจ้าหน้าที่ขนส่ง",IF($AB389="G",SUM($AF$8:$AF$407),IF(OR($AB389="",$AB389="R"),"",IF($AB389="D",INDEX($AF$8:$AF$407,$AA389),SUMIF($T$8:$T$407,INDEX($T$8:$T$407,$AA389),$AF$8:$AF$407)))))))</f>
        <v/>
      </c>
      <c r="F389" s="32">
        <f>IF($AB389="G",SUM($AG$8:$AG$407),IF(OR($AB389="",$AB389="R"),"",IF($AB389="D",INDEX($AG$8:$AG$407,$AA389),SUMIF($T$8:$T$407,INDEX($T$8:$T$407,$AA389),$AG$8:$AG$407))))</f>
        <v/>
      </c>
      <c r="G389" s="32">
        <f>IF(OR($AB389="",$AB389="R"),"",ROUND($E389-$F389,2))</f>
        <v/>
      </c>
      <c r="H389" s="32">
        <f>IF($AB389="G",SUM($AH$8:$AH$407),IF(OR($AB389="",$AB389="R"),"",IF($AB389="D",INDEX($AH$8:$AH$407,$AA389),SUMIF($T$8:$T$407,INDEX($T$8:$T$407,$AA389),$AH$8:$AH$407))))</f>
        <v/>
      </c>
      <c r="J389">
        <f>IFERROR(MATCH(382,บันทึกรายเที่ยว!$W$6:$W$6005,0),"")</f>
        <v/>
      </c>
      <c r="K389">
        <f>IF($J389="","",INDEX(บันทึกรายเที่ยว!$T$6:$T$6005,$J389))</f>
        <v/>
      </c>
      <c r="L389">
        <f>IF($J389="","",INDEX(บันทึกรายเที่ยว!$S$6:$S$6005,$J389))</f>
        <v/>
      </c>
      <c r="M389">
        <f>IF($J389="","",INDEX(บันทึกรายเที่ยว!$R$6:$R$6005,$J389))</f>
        <v/>
      </c>
      <c r="N389">
        <f>IF($J389="","",MATCH($M389,บันทึกรายเที่ยว!$R$6:$R$6005,0))</f>
        <v/>
      </c>
      <c r="O389">
        <f>IF($J389="","",MATCH($L389,บันทึกรายเที่ยว!$S$6:$S$6005,0))</f>
        <v/>
      </c>
      <c r="P389">
        <f>IF($J389="","",IF(AND(OR($I$3="(ทั้งหมด)",INDEX(บันทึกรายเที่ยว!$C$6:$C$6005,$J389)=$I$3),OR($I$5="(ทั้งหมด)",INDEX(บันทึกรายเที่ยว!$D$6:$D$6005,$J389)=$I$5),OR($I$7="(ทั้งหมด)",INDEX(บันทึกรายเที่ยว!$F$6:$F$6005,$J389)=$I$7)),$N389*10000000+$O389*1000+382,""))</f>
        <v/>
      </c>
      <c r="Q389">
        <f>IFERROR(MATCH(SMALL($P$8:$P$407,382),$P$8:$P$407,0),"")</f>
        <v/>
      </c>
      <c r="R389">
        <f>IF($Q389="","",INDEX($J$8:$J$407,$Q389))</f>
        <v/>
      </c>
      <c r="S389">
        <f>IF($Q389="","",INDEX($M$8:$M$407,$Q389))</f>
        <v/>
      </c>
      <c r="T389">
        <f>IF($Q389="","",INDEX($L$8:$L$407,$Q389))</f>
        <v/>
      </c>
      <c r="U389">
        <f>IF($Q389="","",INDEX($K$8:$K$407,$Q389))</f>
        <v/>
      </c>
      <c r="V389">
        <f>IF($Q389="",0,IF($S389&lt;&gt;$S388,1,0))</f>
        <v/>
      </c>
      <c r="W389">
        <f>IF($Q389="",0,IF($T389&lt;&gt;$T388,1,0))</f>
        <v/>
      </c>
      <c r="X389">
        <f>IF($Q389="",99999+382,$X388+1+$V388+$W388)</f>
        <v/>
      </c>
      <c r="Y389">
        <f>IF($Q389="","",INDEX(บันทึกรายเที่ยว!$Q$6:$Q$6005,$R389))</f>
        <v/>
      </c>
      <c r="Z389">
        <f>IF($Q389="","",INDEX(บันทึกรายเที่ยว!$F$6:$F$6005,$R389))</f>
        <v/>
      </c>
      <c r="AA389">
        <f>IFERROR(MATCH(382,$X$8:$X$407,1),"")</f>
        <v/>
      </c>
      <c r="AB389">
        <f>IF(382=$AD$1+1,"G",IF($AA389="","",IF(INDEX($Q$8:$Q$407,$AA389)="","",IF(382&gt;INDEX($X$8:$X$407,$AA389)+INDEX($V$8:$V$407,$AA389)+INDEX($W$8:$W$407,$AA389),"",IF(382=INDEX($X$8:$X$407,$AA389)+INDEX($V$8:$V$407,$AA389)+INDEX($W$8:$W$407,$AA389),"D",IF(AND(INDEX($W$8:$W$407,$AA389)=1,382=INDEX($X$8:$X$407,$AA389)+INDEX($V$8:$V$407,$AA389)),"S","R"))))))</f>
        <v/>
      </c>
      <c r="AC389">
        <f>IF(OR($AB389="",$AB389="G"),"",IF($AB389="D",INDEX($U$8:$U$407,$AA389),IF($AB389="S",INDEX($T$8:$T$407,$AA389)&amp;"|*",INDEX($S$8:$S$407,$AA389)&amp;"|*")))</f>
        <v/>
      </c>
      <c r="AE389">
        <f>IF($U389="",0,COUNTIF(บันทึกรายเที่ยว!$T$6:$T$6005,$U389))</f>
        <v/>
      </c>
      <c r="AF389">
        <f>IF($U389="",0,ROUND(SUMIF(บันทึกรายเที่ยว!$T$6:$T$6005,$U389,บันทึกรายเที่ยว!$J$6:$J$6005),2))</f>
        <v/>
      </c>
      <c r="AG389">
        <f>IF($U389="",0,ROUND(SUMIF(บันทึกรายเที่ยว!$T$6:$T$6005,$U389,บันทึกรายเที่ยว!$K$6:$K$6005),2))</f>
        <v/>
      </c>
      <c r="AH389">
        <f>IF($U389="",0,ROUND(SUMIF(บันทึกรายเที่ยว!$T$6:$T$6005,$U389,บันทึกรายเที่ยว!$M$6:$M$6005),2))</f>
        <v/>
      </c>
    </row>
    <row r="390" ht="21" customHeight="1" s="66">
      <c r="A390" s="3">
        <f>IF($AB390="G","ผลรวมทั้งหมด",IF($AB390="R",INDEX($S$8:$S$407,$AA390),""))</f>
        <v/>
      </c>
      <c r="B390" s="3">
        <f>IF($AB390="S",INDEX($Y$8:$Y$407,$AA390),"")</f>
        <v/>
      </c>
      <c r="C390" s="68">
        <f>IF($AB390="D",INDEX($Z$8:$Z$407,$AA390),"")</f>
        <v/>
      </c>
      <c r="D390" s="31">
        <f>IF($AB390="G",SUM($AE$8:$AE$407),IF(OR($AB390="",$AB390="R"),"",IF($AB390="D",INDEX($AE$8:$AE$407,$AA390),SUMIF($T$8:$T$407,INDEX($T$8:$T$407,$AA390),$AE$8:$AE$407))))</f>
        <v/>
      </c>
      <c r="E390" s="32">
        <f>IF(383=$AD$1+3,"ขอแสดงความนับถือ",IF(383=$AD$1+6,"(                 )",IF(383=$AD$1+7,"เจ้าหน้าที่ขนส่ง",IF($AB390="G",SUM($AF$8:$AF$407),IF(OR($AB390="",$AB390="R"),"",IF($AB390="D",INDEX($AF$8:$AF$407,$AA390),SUMIF($T$8:$T$407,INDEX($T$8:$T$407,$AA390),$AF$8:$AF$407)))))))</f>
        <v/>
      </c>
      <c r="F390" s="32">
        <f>IF($AB390="G",SUM($AG$8:$AG$407),IF(OR($AB390="",$AB390="R"),"",IF($AB390="D",INDEX($AG$8:$AG$407,$AA390),SUMIF($T$8:$T$407,INDEX($T$8:$T$407,$AA390),$AG$8:$AG$407))))</f>
        <v/>
      </c>
      <c r="G390" s="32">
        <f>IF(OR($AB390="",$AB390="R"),"",ROUND($E390-$F390,2))</f>
        <v/>
      </c>
      <c r="H390" s="32">
        <f>IF($AB390="G",SUM($AH$8:$AH$407),IF(OR($AB390="",$AB390="R"),"",IF($AB390="D",INDEX($AH$8:$AH$407,$AA390),SUMIF($T$8:$T$407,INDEX($T$8:$T$407,$AA390),$AH$8:$AH$407))))</f>
        <v/>
      </c>
      <c r="J390">
        <f>IFERROR(MATCH(383,บันทึกรายเที่ยว!$W$6:$W$6005,0),"")</f>
        <v/>
      </c>
      <c r="K390">
        <f>IF($J390="","",INDEX(บันทึกรายเที่ยว!$T$6:$T$6005,$J390))</f>
        <v/>
      </c>
      <c r="L390">
        <f>IF($J390="","",INDEX(บันทึกรายเที่ยว!$S$6:$S$6005,$J390))</f>
        <v/>
      </c>
      <c r="M390">
        <f>IF($J390="","",INDEX(บันทึกรายเที่ยว!$R$6:$R$6005,$J390))</f>
        <v/>
      </c>
      <c r="N390">
        <f>IF($J390="","",MATCH($M390,บันทึกรายเที่ยว!$R$6:$R$6005,0))</f>
        <v/>
      </c>
      <c r="O390">
        <f>IF($J390="","",MATCH($L390,บันทึกรายเที่ยว!$S$6:$S$6005,0))</f>
        <v/>
      </c>
      <c r="P390">
        <f>IF($J390="","",IF(AND(OR($I$3="(ทั้งหมด)",INDEX(บันทึกรายเที่ยว!$C$6:$C$6005,$J390)=$I$3),OR($I$5="(ทั้งหมด)",INDEX(บันทึกรายเที่ยว!$D$6:$D$6005,$J390)=$I$5),OR($I$7="(ทั้งหมด)",INDEX(บันทึกรายเที่ยว!$F$6:$F$6005,$J390)=$I$7)),$N390*10000000+$O390*1000+383,""))</f>
        <v/>
      </c>
      <c r="Q390">
        <f>IFERROR(MATCH(SMALL($P$8:$P$407,383),$P$8:$P$407,0),"")</f>
        <v/>
      </c>
      <c r="R390">
        <f>IF($Q390="","",INDEX($J$8:$J$407,$Q390))</f>
        <v/>
      </c>
      <c r="S390">
        <f>IF($Q390="","",INDEX($M$8:$M$407,$Q390))</f>
        <v/>
      </c>
      <c r="T390">
        <f>IF($Q390="","",INDEX($L$8:$L$407,$Q390))</f>
        <v/>
      </c>
      <c r="U390">
        <f>IF($Q390="","",INDEX($K$8:$K$407,$Q390))</f>
        <v/>
      </c>
      <c r="V390">
        <f>IF($Q390="",0,IF($S390&lt;&gt;$S389,1,0))</f>
        <v/>
      </c>
      <c r="W390">
        <f>IF($Q390="",0,IF($T390&lt;&gt;$T389,1,0))</f>
        <v/>
      </c>
      <c r="X390">
        <f>IF($Q390="",99999+383,$X389+1+$V389+$W389)</f>
        <v/>
      </c>
      <c r="Y390">
        <f>IF($Q390="","",INDEX(บันทึกรายเที่ยว!$Q$6:$Q$6005,$R390))</f>
        <v/>
      </c>
      <c r="Z390">
        <f>IF($Q390="","",INDEX(บันทึกรายเที่ยว!$F$6:$F$6005,$R390))</f>
        <v/>
      </c>
      <c r="AA390">
        <f>IFERROR(MATCH(383,$X$8:$X$407,1),"")</f>
        <v/>
      </c>
      <c r="AB390">
        <f>IF(383=$AD$1+1,"G",IF($AA390="","",IF(INDEX($Q$8:$Q$407,$AA390)="","",IF(383&gt;INDEX($X$8:$X$407,$AA390)+INDEX($V$8:$V$407,$AA390)+INDEX($W$8:$W$407,$AA390),"",IF(383=INDEX($X$8:$X$407,$AA390)+INDEX($V$8:$V$407,$AA390)+INDEX($W$8:$W$407,$AA390),"D",IF(AND(INDEX($W$8:$W$407,$AA390)=1,383=INDEX($X$8:$X$407,$AA390)+INDEX($V$8:$V$407,$AA390)),"S","R"))))))</f>
        <v/>
      </c>
      <c r="AC390">
        <f>IF(OR($AB390="",$AB390="G"),"",IF($AB390="D",INDEX($U$8:$U$407,$AA390),IF($AB390="S",INDEX($T$8:$T$407,$AA390)&amp;"|*",INDEX($S$8:$S$407,$AA390)&amp;"|*")))</f>
        <v/>
      </c>
      <c r="AE390">
        <f>IF($U390="",0,COUNTIF(บันทึกรายเที่ยว!$T$6:$T$6005,$U390))</f>
        <v/>
      </c>
      <c r="AF390">
        <f>IF($U390="",0,ROUND(SUMIF(บันทึกรายเที่ยว!$T$6:$T$6005,$U390,บันทึกรายเที่ยว!$J$6:$J$6005),2))</f>
        <v/>
      </c>
      <c r="AG390">
        <f>IF($U390="",0,ROUND(SUMIF(บันทึกรายเที่ยว!$T$6:$T$6005,$U390,บันทึกรายเที่ยว!$K$6:$K$6005),2))</f>
        <v/>
      </c>
      <c r="AH390">
        <f>IF($U390="",0,ROUND(SUMIF(บันทึกรายเที่ยว!$T$6:$T$6005,$U390,บันทึกรายเที่ยว!$M$6:$M$6005),2))</f>
        <v/>
      </c>
    </row>
    <row r="391" ht="21" customHeight="1" s="66">
      <c r="A391" s="3">
        <f>IF($AB391="G","ผลรวมทั้งหมด",IF($AB391="R",INDEX($S$8:$S$407,$AA391),""))</f>
        <v/>
      </c>
      <c r="B391" s="3">
        <f>IF($AB391="S",INDEX($Y$8:$Y$407,$AA391),"")</f>
        <v/>
      </c>
      <c r="C391" s="68">
        <f>IF($AB391="D",INDEX($Z$8:$Z$407,$AA391),"")</f>
        <v/>
      </c>
      <c r="D391" s="31">
        <f>IF($AB391="G",SUM($AE$8:$AE$407),IF(OR($AB391="",$AB391="R"),"",IF($AB391="D",INDEX($AE$8:$AE$407,$AA391),SUMIF($T$8:$T$407,INDEX($T$8:$T$407,$AA391),$AE$8:$AE$407))))</f>
        <v/>
      </c>
      <c r="E391" s="32">
        <f>IF(384=$AD$1+3,"ขอแสดงความนับถือ",IF(384=$AD$1+6,"(                 )",IF(384=$AD$1+7,"เจ้าหน้าที่ขนส่ง",IF($AB391="G",SUM($AF$8:$AF$407),IF(OR($AB391="",$AB391="R"),"",IF($AB391="D",INDEX($AF$8:$AF$407,$AA391),SUMIF($T$8:$T$407,INDEX($T$8:$T$407,$AA391),$AF$8:$AF$407)))))))</f>
        <v/>
      </c>
      <c r="F391" s="32">
        <f>IF($AB391="G",SUM($AG$8:$AG$407),IF(OR($AB391="",$AB391="R"),"",IF($AB391="D",INDEX($AG$8:$AG$407,$AA391),SUMIF($T$8:$T$407,INDEX($T$8:$T$407,$AA391),$AG$8:$AG$407))))</f>
        <v/>
      </c>
      <c r="G391" s="32">
        <f>IF(OR($AB391="",$AB391="R"),"",ROUND($E391-$F391,2))</f>
        <v/>
      </c>
      <c r="H391" s="32">
        <f>IF($AB391="G",SUM($AH$8:$AH$407),IF(OR($AB391="",$AB391="R"),"",IF($AB391="D",INDEX($AH$8:$AH$407,$AA391),SUMIF($T$8:$T$407,INDEX($T$8:$T$407,$AA391),$AH$8:$AH$407))))</f>
        <v/>
      </c>
      <c r="J391">
        <f>IFERROR(MATCH(384,บันทึกรายเที่ยว!$W$6:$W$6005,0),"")</f>
        <v/>
      </c>
      <c r="K391">
        <f>IF($J391="","",INDEX(บันทึกรายเที่ยว!$T$6:$T$6005,$J391))</f>
        <v/>
      </c>
      <c r="L391">
        <f>IF($J391="","",INDEX(บันทึกรายเที่ยว!$S$6:$S$6005,$J391))</f>
        <v/>
      </c>
      <c r="M391">
        <f>IF($J391="","",INDEX(บันทึกรายเที่ยว!$R$6:$R$6005,$J391))</f>
        <v/>
      </c>
      <c r="N391">
        <f>IF($J391="","",MATCH($M391,บันทึกรายเที่ยว!$R$6:$R$6005,0))</f>
        <v/>
      </c>
      <c r="O391">
        <f>IF($J391="","",MATCH($L391,บันทึกรายเที่ยว!$S$6:$S$6005,0))</f>
        <v/>
      </c>
      <c r="P391">
        <f>IF($J391="","",IF(AND(OR($I$3="(ทั้งหมด)",INDEX(บันทึกรายเที่ยว!$C$6:$C$6005,$J391)=$I$3),OR($I$5="(ทั้งหมด)",INDEX(บันทึกรายเที่ยว!$D$6:$D$6005,$J391)=$I$5),OR($I$7="(ทั้งหมด)",INDEX(บันทึกรายเที่ยว!$F$6:$F$6005,$J391)=$I$7)),$N391*10000000+$O391*1000+384,""))</f>
        <v/>
      </c>
      <c r="Q391">
        <f>IFERROR(MATCH(SMALL($P$8:$P$407,384),$P$8:$P$407,0),"")</f>
        <v/>
      </c>
      <c r="R391">
        <f>IF($Q391="","",INDEX($J$8:$J$407,$Q391))</f>
        <v/>
      </c>
      <c r="S391">
        <f>IF($Q391="","",INDEX($M$8:$M$407,$Q391))</f>
        <v/>
      </c>
      <c r="T391">
        <f>IF($Q391="","",INDEX($L$8:$L$407,$Q391))</f>
        <v/>
      </c>
      <c r="U391">
        <f>IF($Q391="","",INDEX($K$8:$K$407,$Q391))</f>
        <v/>
      </c>
      <c r="V391">
        <f>IF($Q391="",0,IF($S391&lt;&gt;$S390,1,0))</f>
        <v/>
      </c>
      <c r="W391">
        <f>IF($Q391="",0,IF($T391&lt;&gt;$T390,1,0))</f>
        <v/>
      </c>
      <c r="X391">
        <f>IF($Q391="",99999+384,$X390+1+$V390+$W390)</f>
        <v/>
      </c>
      <c r="Y391">
        <f>IF($Q391="","",INDEX(บันทึกรายเที่ยว!$Q$6:$Q$6005,$R391))</f>
        <v/>
      </c>
      <c r="Z391">
        <f>IF($Q391="","",INDEX(บันทึกรายเที่ยว!$F$6:$F$6005,$R391))</f>
        <v/>
      </c>
      <c r="AA391">
        <f>IFERROR(MATCH(384,$X$8:$X$407,1),"")</f>
        <v/>
      </c>
      <c r="AB391">
        <f>IF(384=$AD$1+1,"G",IF($AA391="","",IF(INDEX($Q$8:$Q$407,$AA391)="","",IF(384&gt;INDEX($X$8:$X$407,$AA391)+INDEX($V$8:$V$407,$AA391)+INDEX($W$8:$W$407,$AA391),"",IF(384=INDEX($X$8:$X$407,$AA391)+INDEX($V$8:$V$407,$AA391)+INDEX($W$8:$W$407,$AA391),"D",IF(AND(INDEX($W$8:$W$407,$AA391)=1,384=INDEX($X$8:$X$407,$AA391)+INDEX($V$8:$V$407,$AA391)),"S","R"))))))</f>
        <v/>
      </c>
      <c r="AC391">
        <f>IF(OR($AB391="",$AB391="G"),"",IF($AB391="D",INDEX($U$8:$U$407,$AA391),IF($AB391="S",INDEX($T$8:$T$407,$AA391)&amp;"|*",INDEX($S$8:$S$407,$AA391)&amp;"|*")))</f>
        <v/>
      </c>
      <c r="AE391">
        <f>IF($U391="",0,COUNTIF(บันทึกรายเที่ยว!$T$6:$T$6005,$U391))</f>
        <v/>
      </c>
      <c r="AF391">
        <f>IF($U391="",0,ROUND(SUMIF(บันทึกรายเที่ยว!$T$6:$T$6005,$U391,บันทึกรายเที่ยว!$J$6:$J$6005),2))</f>
        <v/>
      </c>
      <c r="AG391">
        <f>IF($U391="",0,ROUND(SUMIF(บันทึกรายเที่ยว!$T$6:$T$6005,$U391,บันทึกรายเที่ยว!$K$6:$K$6005),2))</f>
        <v/>
      </c>
      <c r="AH391">
        <f>IF($U391="",0,ROUND(SUMIF(บันทึกรายเที่ยว!$T$6:$T$6005,$U391,บันทึกรายเที่ยว!$M$6:$M$6005),2))</f>
        <v/>
      </c>
    </row>
    <row r="392" ht="21" customHeight="1" s="66">
      <c r="A392" s="3">
        <f>IF($AB392="G","ผลรวมทั้งหมด",IF($AB392="R",INDEX($S$8:$S$407,$AA392),""))</f>
        <v/>
      </c>
      <c r="B392" s="3">
        <f>IF($AB392="S",INDEX($Y$8:$Y$407,$AA392),"")</f>
        <v/>
      </c>
      <c r="C392" s="68">
        <f>IF($AB392="D",INDEX($Z$8:$Z$407,$AA392),"")</f>
        <v/>
      </c>
      <c r="D392" s="31">
        <f>IF($AB392="G",SUM($AE$8:$AE$407),IF(OR($AB392="",$AB392="R"),"",IF($AB392="D",INDEX($AE$8:$AE$407,$AA392),SUMIF($T$8:$T$407,INDEX($T$8:$T$407,$AA392),$AE$8:$AE$407))))</f>
        <v/>
      </c>
      <c r="E392" s="32">
        <f>IF(385=$AD$1+3,"ขอแสดงความนับถือ",IF(385=$AD$1+6,"(                 )",IF(385=$AD$1+7,"เจ้าหน้าที่ขนส่ง",IF($AB392="G",SUM($AF$8:$AF$407),IF(OR($AB392="",$AB392="R"),"",IF($AB392="D",INDEX($AF$8:$AF$407,$AA392),SUMIF($T$8:$T$407,INDEX($T$8:$T$407,$AA392),$AF$8:$AF$407)))))))</f>
        <v/>
      </c>
      <c r="F392" s="32">
        <f>IF($AB392="G",SUM($AG$8:$AG$407),IF(OR($AB392="",$AB392="R"),"",IF($AB392="D",INDEX($AG$8:$AG$407,$AA392),SUMIF($T$8:$T$407,INDEX($T$8:$T$407,$AA392),$AG$8:$AG$407))))</f>
        <v/>
      </c>
      <c r="G392" s="32">
        <f>IF(OR($AB392="",$AB392="R"),"",ROUND($E392-$F392,2))</f>
        <v/>
      </c>
      <c r="H392" s="32">
        <f>IF($AB392="G",SUM($AH$8:$AH$407),IF(OR($AB392="",$AB392="R"),"",IF($AB392="D",INDEX($AH$8:$AH$407,$AA392),SUMIF($T$8:$T$407,INDEX($T$8:$T$407,$AA392),$AH$8:$AH$407))))</f>
        <v/>
      </c>
      <c r="J392">
        <f>IFERROR(MATCH(385,บันทึกรายเที่ยว!$W$6:$W$6005,0),"")</f>
        <v/>
      </c>
      <c r="K392">
        <f>IF($J392="","",INDEX(บันทึกรายเที่ยว!$T$6:$T$6005,$J392))</f>
        <v/>
      </c>
      <c r="L392">
        <f>IF($J392="","",INDEX(บันทึกรายเที่ยว!$S$6:$S$6005,$J392))</f>
        <v/>
      </c>
      <c r="M392">
        <f>IF($J392="","",INDEX(บันทึกรายเที่ยว!$R$6:$R$6005,$J392))</f>
        <v/>
      </c>
      <c r="N392">
        <f>IF($J392="","",MATCH($M392,บันทึกรายเที่ยว!$R$6:$R$6005,0))</f>
        <v/>
      </c>
      <c r="O392">
        <f>IF($J392="","",MATCH($L392,บันทึกรายเที่ยว!$S$6:$S$6005,0))</f>
        <v/>
      </c>
      <c r="P392">
        <f>IF($J392="","",IF(AND(OR($I$3="(ทั้งหมด)",INDEX(บันทึกรายเที่ยว!$C$6:$C$6005,$J392)=$I$3),OR($I$5="(ทั้งหมด)",INDEX(บันทึกรายเที่ยว!$D$6:$D$6005,$J392)=$I$5),OR($I$7="(ทั้งหมด)",INDEX(บันทึกรายเที่ยว!$F$6:$F$6005,$J392)=$I$7)),$N392*10000000+$O392*1000+385,""))</f>
        <v/>
      </c>
      <c r="Q392">
        <f>IFERROR(MATCH(SMALL($P$8:$P$407,385),$P$8:$P$407,0),"")</f>
        <v/>
      </c>
      <c r="R392">
        <f>IF($Q392="","",INDEX($J$8:$J$407,$Q392))</f>
        <v/>
      </c>
      <c r="S392">
        <f>IF($Q392="","",INDEX($M$8:$M$407,$Q392))</f>
        <v/>
      </c>
      <c r="T392">
        <f>IF($Q392="","",INDEX($L$8:$L$407,$Q392))</f>
        <v/>
      </c>
      <c r="U392">
        <f>IF($Q392="","",INDEX($K$8:$K$407,$Q392))</f>
        <v/>
      </c>
      <c r="V392">
        <f>IF($Q392="",0,IF($S392&lt;&gt;$S391,1,0))</f>
        <v/>
      </c>
      <c r="W392">
        <f>IF($Q392="",0,IF($T392&lt;&gt;$T391,1,0))</f>
        <v/>
      </c>
      <c r="X392">
        <f>IF($Q392="",99999+385,$X391+1+$V391+$W391)</f>
        <v/>
      </c>
      <c r="Y392">
        <f>IF($Q392="","",INDEX(บันทึกรายเที่ยว!$Q$6:$Q$6005,$R392))</f>
        <v/>
      </c>
      <c r="Z392">
        <f>IF($Q392="","",INDEX(บันทึกรายเที่ยว!$F$6:$F$6005,$R392))</f>
        <v/>
      </c>
      <c r="AA392">
        <f>IFERROR(MATCH(385,$X$8:$X$407,1),"")</f>
        <v/>
      </c>
      <c r="AB392">
        <f>IF(385=$AD$1+1,"G",IF($AA392="","",IF(INDEX($Q$8:$Q$407,$AA392)="","",IF(385&gt;INDEX($X$8:$X$407,$AA392)+INDEX($V$8:$V$407,$AA392)+INDEX($W$8:$W$407,$AA392),"",IF(385=INDEX($X$8:$X$407,$AA392)+INDEX($V$8:$V$407,$AA392)+INDEX($W$8:$W$407,$AA392),"D",IF(AND(INDEX($W$8:$W$407,$AA392)=1,385=INDEX($X$8:$X$407,$AA392)+INDEX($V$8:$V$407,$AA392)),"S","R"))))))</f>
        <v/>
      </c>
      <c r="AC392">
        <f>IF(OR($AB392="",$AB392="G"),"",IF($AB392="D",INDEX($U$8:$U$407,$AA392),IF($AB392="S",INDEX($T$8:$T$407,$AA392)&amp;"|*",INDEX($S$8:$S$407,$AA392)&amp;"|*")))</f>
        <v/>
      </c>
      <c r="AE392">
        <f>IF($U392="",0,COUNTIF(บันทึกรายเที่ยว!$T$6:$T$6005,$U392))</f>
        <v/>
      </c>
      <c r="AF392">
        <f>IF($U392="",0,ROUND(SUMIF(บันทึกรายเที่ยว!$T$6:$T$6005,$U392,บันทึกรายเที่ยว!$J$6:$J$6005),2))</f>
        <v/>
      </c>
      <c r="AG392">
        <f>IF($U392="",0,ROUND(SUMIF(บันทึกรายเที่ยว!$T$6:$T$6005,$U392,บันทึกรายเที่ยว!$K$6:$K$6005),2))</f>
        <v/>
      </c>
      <c r="AH392">
        <f>IF($U392="",0,ROUND(SUMIF(บันทึกรายเที่ยว!$T$6:$T$6005,$U392,บันทึกรายเที่ยว!$M$6:$M$6005),2))</f>
        <v/>
      </c>
    </row>
    <row r="393" ht="21" customHeight="1" s="66">
      <c r="A393" s="3">
        <f>IF($AB393="G","ผลรวมทั้งหมด",IF($AB393="R",INDEX($S$8:$S$407,$AA393),""))</f>
        <v/>
      </c>
      <c r="B393" s="3">
        <f>IF($AB393="S",INDEX($Y$8:$Y$407,$AA393),"")</f>
        <v/>
      </c>
      <c r="C393" s="68">
        <f>IF($AB393="D",INDEX($Z$8:$Z$407,$AA393),"")</f>
        <v/>
      </c>
      <c r="D393" s="31">
        <f>IF($AB393="G",SUM($AE$8:$AE$407),IF(OR($AB393="",$AB393="R"),"",IF($AB393="D",INDEX($AE$8:$AE$407,$AA393),SUMIF($T$8:$T$407,INDEX($T$8:$T$407,$AA393),$AE$8:$AE$407))))</f>
        <v/>
      </c>
      <c r="E393" s="32">
        <f>IF(386=$AD$1+3,"ขอแสดงความนับถือ",IF(386=$AD$1+6,"(                 )",IF(386=$AD$1+7,"เจ้าหน้าที่ขนส่ง",IF($AB393="G",SUM($AF$8:$AF$407),IF(OR($AB393="",$AB393="R"),"",IF($AB393="D",INDEX($AF$8:$AF$407,$AA393),SUMIF($T$8:$T$407,INDEX($T$8:$T$407,$AA393),$AF$8:$AF$407)))))))</f>
        <v/>
      </c>
      <c r="F393" s="32">
        <f>IF($AB393="G",SUM($AG$8:$AG$407),IF(OR($AB393="",$AB393="R"),"",IF($AB393="D",INDEX($AG$8:$AG$407,$AA393),SUMIF($T$8:$T$407,INDEX($T$8:$T$407,$AA393),$AG$8:$AG$407))))</f>
        <v/>
      </c>
      <c r="G393" s="32">
        <f>IF(OR($AB393="",$AB393="R"),"",ROUND($E393-$F393,2))</f>
        <v/>
      </c>
      <c r="H393" s="32">
        <f>IF($AB393="G",SUM($AH$8:$AH$407),IF(OR($AB393="",$AB393="R"),"",IF($AB393="D",INDEX($AH$8:$AH$407,$AA393),SUMIF($T$8:$T$407,INDEX($T$8:$T$407,$AA393),$AH$8:$AH$407))))</f>
        <v/>
      </c>
      <c r="J393">
        <f>IFERROR(MATCH(386,บันทึกรายเที่ยว!$W$6:$W$6005,0),"")</f>
        <v/>
      </c>
      <c r="K393">
        <f>IF($J393="","",INDEX(บันทึกรายเที่ยว!$T$6:$T$6005,$J393))</f>
        <v/>
      </c>
      <c r="L393">
        <f>IF($J393="","",INDEX(บันทึกรายเที่ยว!$S$6:$S$6005,$J393))</f>
        <v/>
      </c>
      <c r="M393">
        <f>IF($J393="","",INDEX(บันทึกรายเที่ยว!$R$6:$R$6005,$J393))</f>
        <v/>
      </c>
      <c r="N393">
        <f>IF($J393="","",MATCH($M393,บันทึกรายเที่ยว!$R$6:$R$6005,0))</f>
        <v/>
      </c>
      <c r="O393">
        <f>IF($J393="","",MATCH($L393,บันทึกรายเที่ยว!$S$6:$S$6005,0))</f>
        <v/>
      </c>
      <c r="P393">
        <f>IF($J393="","",IF(AND(OR($I$3="(ทั้งหมด)",INDEX(บันทึกรายเที่ยว!$C$6:$C$6005,$J393)=$I$3),OR($I$5="(ทั้งหมด)",INDEX(บันทึกรายเที่ยว!$D$6:$D$6005,$J393)=$I$5),OR($I$7="(ทั้งหมด)",INDEX(บันทึกรายเที่ยว!$F$6:$F$6005,$J393)=$I$7)),$N393*10000000+$O393*1000+386,""))</f>
        <v/>
      </c>
      <c r="Q393">
        <f>IFERROR(MATCH(SMALL($P$8:$P$407,386),$P$8:$P$407,0),"")</f>
        <v/>
      </c>
      <c r="R393">
        <f>IF($Q393="","",INDEX($J$8:$J$407,$Q393))</f>
        <v/>
      </c>
      <c r="S393">
        <f>IF($Q393="","",INDEX($M$8:$M$407,$Q393))</f>
        <v/>
      </c>
      <c r="T393">
        <f>IF($Q393="","",INDEX($L$8:$L$407,$Q393))</f>
        <v/>
      </c>
      <c r="U393">
        <f>IF($Q393="","",INDEX($K$8:$K$407,$Q393))</f>
        <v/>
      </c>
      <c r="V393">
        <f>IF($Q393="",0,IF($S393&lt;&gt;$S392,1,0))</f>
        <v/>
      </c>
      <c r="W393">
        <f>IF($Q393="",0,IF($T393&lt;&gt;$T392,1,0))</f>
        <v/>
      </c>
      <c r="X393">
        <f>IF($Q393="",99999+386,$X392+1+$V392+$W392)</f>
        <v/>
      </c>
      <c r="Y393">
        <f>IF($Q393="","",INDEX(บันทึกรายเที่ยว!$Q$6:$Q$6005,$R393))</f>
        <v/>
      </c>
      <c r="Z393">
        <f>IF($Q393="","",INDEX(บันทึกรายเที่ยว!$F$6:$F$6005,$R393))</f>
        <v/>
      </c>
      <c r="AA393">
        <f>IFERROR(MATCH(386,$X$8:$X$407,1),"")</f>
        <v/>
      </c>
      <c r="AB393">
        <f>IF(386=$AD$1+1,"G",IF($AA393="","",IF(INDEX($Q$8:$Q$407,$AA393)="","",IF(386&gt;INDEX($X$8:$X$407,$AA393)+INDEX($V$8:$V$407,$AA393)+INDEX($W$8:$W$407,$AA393),"",IF(386=INDEX($X$8:$X$407,$AA393)+INDEX($V$8:$V$407,$AA393)+INDEX($W$8:$W$407,$AA393),"D",IF(AND(INDEX($W$8:$W$407,$AA393)=1,386=INDEX($X$8:$X$407,$AA393)+INDEX($V$8:$V$407,$AA393)),"S","R"))))))</f>
        <v/>
      </c>
      <c r="AC393">
        <f>IF(OR($AB393="",$AB393="G"),"",IF($AB393="D",INDEX($U$8:$U$407,$AA393),IF($AB393="S",INDEX($T$8:$T$407,$AA393)&amp;"|*",INDEX($S$8:$S$407,$AA393)&amp;"|*")))</f>
        <v/>
      </c>
      <c r="AE393">
        <f>IF($U393="",0,COUNTIF(บันทึกรายเที่ยว!$T$6:$T$6005,$U393))</f>
        <v/>
      </c>
      <c r="AF393">
        <f>IF($U393="",0,ROUND(SUMIF(บันทึกรายเที่ยว!$T$6:$T$6005,$U393,บันทึกรายเที่ยว!$J$6:$J$6005),2))</f>
        <v/>
      </c>
      <c r="AG393">
        <f>IF($U393="",0,ROUND(SUMIF(บันทึกรายเที่ยว!$T$6:$T$6005,$U393,บันทึกรายเที่ยว!$K$6:$K$6005),2))</f>
        <v/>
      </c>
      <c r="AH393">
        <f>IF($U393="",0,ROUND(SUMIF(บันทึกรายเที่ยว!$T$6:$T$6005,$U393,บันทึกรายเที่ยว!$M$6:$M$6005),2))</f>
        <v/>
      </c>
    </row>
    <row r="394" ht="21" customHeight="1" s="66">
      <c r="A394" s="3">
        <f>IF($AB394="G","ผลรวมทั้งหมด",IF($AB394="R",INDEX($S$8:$S$407,$AA394),""))</f>
        <v/>
      </c>
      <c r="B394" s="3">
        <f>IF($AB394="S",INDEX($Y$8:$Y$407,$AA394),"")</f>
        <v/>
      </c>
      <c r="C394" s="68">
        <f>IF($AB394="D",INDEX($Z$8:$Z$407,$AA394),"")</f>
        <v/>
      </c>
      <c r="D394" s="31">
        <f>IF($AB394="G",SUM($AE$8:$AE$407),IF(OR($AB394="",$AB394="R"),"",IF($AB394="D",INDEX($AE$8:$AE$407,$AA394),SUMIF($T$8:$T$407,INDEX($T$8:$T$407,$AA394),$AE$8:$AE$407))))</f>
        <v/>
      </c>
      <c r="E394" s="32">
        <f>IF(387=$AD$1+3,"ขอแสดงความนับถือ",IF(387=$AD$1+6,"(                 )",IF(387=$AD$1+7,"เจ้าหน้าที่ขนส่ง",IF($AB394="G",SUM($AF$8:$AF$407),IF(OR($AB394="",$AB394="R"),"",IF($AB394="D",INDEX($AF$8:$AF$407,$AA394),SUMIF($T$8:$T$407,INDEX($T$8:$T$407,$AA394),$AF$8:$AF$407)))))))</f>
        <v/>
      </c>
      <c r="F394" s="32">
        <f>IF($AB394="G",SUM($AG$8:$AG$407),IF(OR($AB394="",$AB394="R"),"",IF($AB394="D",INDEX($AG$8:$AG$407,$AA394),SUMIF($T$8:$T$407,INDEX($T$8:$T$407,$AA394),$AG$8:$AG$407))))</f>
        <v/>
      </c>
      <c r="G394" s="32">
        <f>IF(OR($AB394="",$AB394="R"),"",ROUND($E394-$F394,2))</f>
        <v/>
      </c>
      <c r="H394" s="32">
        <f>IF($AB394="G",SUM($AH$8:$AH$407),IF(OR($AB394="",$AB394="R"),"",IF($AB394="D",INDEX($AH$8:$AH$407,$AA394),SUMIF($T$8:$T$407,INDEX($T$8:$T$407,$AA394),$AH$8:$AH$407))))</f>
        <v/>
      </c>
      <c r="J394">
        <f>IFERROR(MATCH(387,บันทึกรายเที่ยว!$W$6:$W$6005,0),"")</f>
        <v/>
      </c>
      <c r="K394">
        <f>IF($J394="","",INDEX(บันทึกรายเที่ยว!$T$6:$T$6005,$J394))</f>
        <v/>
      </c>
      <c r="L394">
        <f>IF($J394="","",INDEX(บันทึกรายเที่ยว!$S$6:$S$6005,$J394))</f>
        <v/>
      </c>
      <c r="M394">
        <f>IF($J394="","",INDEX(บันทึกรายเที่ยว!$R$6:$R$6005,$J394))</f>
        <v/>
      </c>
      <c r="N394">
        <f>IF($J394="","",MATCH($M394,บันทึกรายเที่ยว!$R$6:$R$6005,0))</f>
        <v/>
      </c>
      <c r="O394">
        <f>IF($J394="","",MATCH($L394,บันทึกรายเที่ยว!$S$6:$S$6005,0))</f>
        <v/>
      </c>
      <c r="P394">
        <f>IF($J394="","",IF(AND(OR($I$3="(ทั้งหมด)",INDEX(บันทึกรายเที่ยว!$C$6:$C$6005,$J394)=$I$3),OR($I$5="(ทั้งหมด)",INDEX(บันทึกรายเที่ยว!$D$6:$D$6005,$J394)=$I$5),OR($I$7="(ทั้งหมด)",INDEX(บันทึกรายเที่ยว!$F$6:$F$6005,$J394)=$I$7)),$N394*10000000+$O394*1000+387,""))</f>
        <v/>
      </c>
      <c r="Q394">
        <f>IFERROR(MATCH(SMALL($P$8:$P$407,387),$P$8:$P$407,0),"")</f>
        <v/>
      </c>
      <c r="R394">
        <f>IF($Q394="","",INDEX($J$8:$J$407,$Q394))</f>
        <v/>
      </c>
      <c r="S394">
        <f>IF($Q394="","",INDEX($M$8:$M$407,$Q394))</f>
        <v/>
      </c>
      <c r="T394">
        <f>IF($Q394="","",INDEX($L$8:$L$407,$Q394))</f>
        <v/>
      </c>
      <c r="U394">
        <f>IF($Q394="","",INDEX($K$8:$K$407,$Q394))</f>
        <v/>
      </c>
      <c r="V394">
        <f>IF($Q394="",0,IF($S394&lt;&gt;$S393,1,0))</f>
        <v/>
      </c>
      <c r="W394">
        <f>IF($Q394="",0,IF($T394&lt;&gt;$T393,1,0))</f>
        <v/>
      </c>
      <c r="X394">
        <f>IF($Q394="",99999+387,$X393+1+$V393+$W393)</f>
        <v/>
      </c>
      <c r="Y394">
        <f>IF($Q394="","",INDEX(บันทึกรายเที่ยว!$Q$6:$Q$6005,$R394))</f>
        <v/>
      </c>
      <c r="Z394">
        <f>IF($Q394="","",INDEX(บันทึกรายเที่ยว!$F$6:$F$6005,$R394))</f>
        <v/>
      </c>
      <c r="AA394">
        <f>IFERROR(MATCH(387,$X$8:$X$407,1),"")</f>
        <v/>
      </c>
      <c r="AB394">
        <f>IF(387=$AD$1+1,"G",IF($AA394="","",IF(INDEX($Q$8:$Q$407,$AA394)="","",IF(387&gt;INDEX($X$8:$X$407,$AA394)+INDEX($V$8:$V$407,$AA394)+INDEX($W$8:$W$407,$AA394),"",IF(387=INDEX($X$8:$X$407,$AA394)+INDEX($V$8:$V$407,$AA394)+INDEX($W$8:$W$407,$AA394),"D",IF(AND(INDEX($W$8:$W$407,$AA394)=1,387=INDEX($X$8:$X$407,$AA394)+INDEX($V$8:$V$407,$AA394)),"S","R"))))))</f>
        <v/>
      </c>
      <c r="AC394">
        <f>IF(OR($AB394="",$AB394="G"),"",IF($AB394="D",INDEX($U$8:$U$407,$AA394),IF($AB394="S",INDEX($T$8:$T$407,$AA394)&amp;"|*",INDEX($S$8:$S$407,$AA394)&amp;"|*")))</f>
        <v/>
      </c>
      <c r="AE394">
        <f>IF($U394="",0,COUNTIF(บันทึกรายเที่ยว!$T$6:$T$6005,$U394))</f>
        <v/>
      </c>
      <c r="AF394">
        <f>IF($U394="",0,ROUND(SUMIF(บันทึกรายเที่ยว!$T$6:$T$6005,$U394,บันทึกรายเที่ยว!$J$6:$J$6005),2))</f>
        <v/>
      </c>
      <c r="AG394">
        <f>IF($U394="",0,ROUND(SUMIF(บันทึกรายเที่ยว!$T$6:$T$6005,$U394,บันทึกรายเที่ยว!$K$6:$K$6005),2))</f>
        <v/>
      </c>
      <c r="AH394">
        <f>IF($U394="",0,ROUND(SUMIF(บันทึกรายเที่ยว!$T$6:$T$6005,$U394,บันทึกรายเที่ยว!$M$6:$M$6005),2))</f>
        <v/>
      </c>
    </row>
    <row r="395" ht="21" customHeight="1" s="66">
      <c r="A395" s="3">
        <f>IF($AB395="G","ผลรวมทั้งหมด",IF($AB395="R",INDEX($S$8:$S$407,$AA395),""))</f>
        <v/>
      </c>
      <c r="B395" s="3">
        <f>IF($AB395="S",INDEX($Y$8:$Y$407,$AA395),"")</f>
        <v/>
      </c>
      <c r="C395" s="68">
        <f>IF($AB395="D",INDEX($Z$8:$Z$407,$AA395),"")</f>
        <v/>
      </c>
      <c r="D395" s="31">
        <f>IF($AB395="G",SUM($AE$8:$AE$407),IF(OR($AB395="",$AB395="R"),"",IF($AB395="D",INDEX($AE$8:$AE$407,$AA395),SUMIF($T$8:$T$407,INDEX($T$8:$T$407,$AA395),$AE$8:$AE$407))))</f>
        <v/>
      </c>
      <c r="E395" s="32">
        <f>IF(388=$AD$1+3,"ขอแสดงความนับถือ",IF(388=$AD$1+6,"(                 )",IF(388=$AD$1+7,"เจ้าหน้าที่ขนส่ง",IF($AB395="G",SUM($AF$8:$AF$407),IF(OR($AB395="",$AB395="R"),"",IF($AB395="D",INDEX($AF$8:$AF$407,$AA395),SUMIF($T$8:$T$407,INDEX($T$8:$T$407,$AA395),$AF$8:$AF$407)))))))</f>
        <v/>
      </c>
      <c r="F395" s="32">
        <f>IF($AB395="G",SUM($AG$8:$AG$407),IF(OR($AB395="",$AB395="R"),"",IF($AB395="D",INDEX($AG$8:$AG$407,$AA395),SUMIF($T$8:$T$407,INDEX($T$8:$T$407,$AA395),$AG$8:$AG$407))))</f>
        <v/>
      </c>
      <c r="G395" s="32">
        <f>IF(OR($AB395="",$AB395="R"),"",ROUND($E395-$F395,2))</f>
        <v/>
      </c>
      <c r="H395" s="32">
        <f>IF($AB395="G",SUM($AH$8:$AH$407),IF(OR($AB395="",$AB395="R"),"",IF($AB395="D",INDEX($AH$8:$AH$407,$AA395),SUMIF($T$8:$T$407,INDEX($T$8:$T$407,$AA395),$AH$8:$AH$407))))</f>
        <v/>
      </c>
      <c r="J395">
        <f>IFERROR(MATCH(388,บันทึกรายเที่ยว!$W$6:$W$6005,0),"")</f>
        <v/>
      </c>
      <c r="K395">
        <f>IF($J395="","",INDEX(บันทึกรายเที่ยว!$T$6:$T$6005,$J395))</f>
        <v/>
      </c>
      <c r="L395">
        <f>IF($J395="","",INDEX(บันทึกรายเที่ยว!$S$6:$S$6005,$J395))</f>
        <v/>
      </c>
      <c r="M395">
        <f>IF($J395="","",INDEX(บันทึกรายเที่ยว!$R$6:$R$6005,$J395))</f>
        <v/>
      </c>
      <c r="N395">
        <f>IF($J395="","",MATCH($M395,บันทึกรายเที่ยว!$R$6:$R$6005,0))</f>
        <v/>
      </c>
      <c r="O395">
        <f>IF($J395="","",MATCH($L395,บันทึกรายเที่ยว!$S$6:$S$6005,0))</f>
        <v/>
      </c>
      <c r="P395">
        <f>IF($J395="","",IF(AND(OR($I$3="(ทั้งหมด)",INDEX(บันทึกรายเที่ยว!$C$6:$C$6005,$J395)=$I$3),OR($I$5="(ทั้งหมด)",INDEX(บันทึกรายเที่ยว!$D$6:$D$6005,$J395)=$I$5),OR($I$7="(ทั้งหมด)",INDEX(บันทึกรายเที่ยว!$F$6:$F$6005,$J395)=$I$7)),$N395*10000000+$O395*1000+388,""))</f>
        <v/>
      </c>
      <c r="Q395">
        <f>IFERROR(MATCH(SMALL($P$8:$P$407,388),$P$8:$P$407,0),"")</f>
        <v/>
      </c>
      <c r="R395">
        <f>IF($Q395="","",INDEX($J$8:$J$407,$Q395))</f>
        <v/>
      </c>
      <c r="S395">
        <f>IF($Q395="","",INDEX($M$8:$M$407,$Q395))</f>
        <v/>
      </c>
      <c r="T395">
        <f>IF($Q395="","",INDEX($L$8:$L$407,$Q395))</f>
        <v/>
      </c>
      <c r="U395">
        <f>IF($Q395="","",INDEX($K$8:$K$407,$Q395))</f>
        <v/>
      </c>
      <c r="V395">
        <f>IF($Q395="",0,IF($S395&lt;&gt;$S394,1,0))</f>
        <v/>
      </c>
      <c r="W395">
        <f>IF($Q395="",0,IF($T395&lt;&gt;$T394,1,0))</f>
        <v/>
      </c>
      <c r="X395">
        <f>IF($Q395="",99999+388,$X394+1+$V394+$W394)</f>
        <v/>
      </c>
      <c r="Y395">
        <f>IF($Q395="","",INDEX(บันทึกรายเที่ยว!$Q$6:$Q$6005,$R395))</f>
        <v/>
      </c>
      <c r="Z395">
        <f>IF($Q395="","",INDEX(บันทึกรายเที่ยว!$F$6:$F$6005,$R395))</f>
        <v/>
      </c>
      <c r="AA395">
        <f>IFERROR(MATCH(388,$X$8:$X$407,1),"")</f>
        <v/>
      </c>
      <c r="AB395">
        <f>IF(388=$AD$1+1,"G",IF($AA395="","",IF(INDEX($Q$8:$Q$407,$AA395)="","",IF(388&gt;INDEX($X$8:$X$407,$AA395)+INDEX($V$8:$V$407,$AA395)+INDEX($W$8:$W$407,$AA395),"",IF(388=INDEX($X$8:$X$407,$AA395)+INDEX($V$8:$V$407,$AA395)+INDEX($W$8:$W$407,$AA395),"D",IF(AND(INDEX($W$8:$W$407,$AA395)=1,388=INDEX($X$8:$X$407,$AA395)+INDEX($V$8:$V$407,$AA395)),"S","R"))))))</f>
        <v/>
      </c>
      <c r="AC395">
        <f>IF(OR($AB395="",$AB395="G"),"",IF($AB395="D",INDEX($U$8:$U$407,$AA395),IF($AB395="S",INDEX($T$8:$T$407,$AA395)&amp;"|*",INDEX($S$8:$S$407,$AA395)&amp;"|*")))</f>
        <v/>
      </c>
      <c r="AE395">
        <f>IF($U395="",0,COUNTIF(บันทึกรายเที่ยว!$T$6:$T$6005,$U395))</f>
        <v/>
      </c>
      <c r="AF395">
        <f>IF($U395="",0,ROUND(SUMIF(บันทึกรายเที่ยว!$T$6:$T$6005,$U395,บันทึกรายเที่ยว!$J$6:$J$6005),2))</f>
        <v/>
      </c>
      <c r="AG395">
        <f>IF($U395="",0,ROUND(SUMIF(บันทึกรายเที่ยว!$T$6:$T$6005,$U395,บันทึกรายเที่ยว!$K$6:$K$6005),2))</f>
        <v/>
      </c>
      <c r="AH395">
        <f>IF($U395="",0,ROUND(SUMIF(บันทึกรายเที่ยว!$T$6:$T$6005,$U395,บันทึกรายเที่ยว!$M$6:$M$6005),2))</f>
        <v/>
      </c>
    </row>
    <row r="396" ht="21" customHeight="1" s="66">
      <c r="A396" s="3">
        <f>IF($AB396="G","ผลรวมทั้งหมด",IF($AB396="R",INDEX($S$8:$S$407,$AA396),""))</f>
        <v/>
      </c>
      <c r="B396" s="3">
        <f>IF($AB396="S",INDEX($Y$8:$Y$407,$AA396),"")</f>
        <v/>
      </c>
      <c r="C396" s="68">
        <f>IF($AB396="D",INDEX($Z$8:$Z$407,$AA396),"")</f>
        <v/>
      </c>
      <c r="D396" s="31">
        <f>IF($AB396="G",SUM($AE$8:$AE$407),IF(OR($AB396="",$AB396="R"),"",IF($AB396="D",INDEX($AE$8:$AE$407,$AA396),SUMIF($T$8:$T$407,INDEX($T$8:$T$407,$AA396),$AE$8:$AE$407))))</f>
        <v/>
      </c>
      <c r="E396" s="32">
        <f>IF(389=$AD$1+3,"ขอแสดงความนับถือ",IF(389=$AD$1+6,"(                 )",IF(389=$AD$1+7,"เจ้าหน้าที่ขนส่ง",IF($AB396="G",SUM($AF$8:$AF$407),IF(OR($AB396="",$AB396="R"),"",IF($AB396="D",INDEX($AF$8:$AF$407,$AA396),SUMIF($T$8:$T$407,INDEX($T$8:$T$407,$AA396),$AF$8:$AF$407)))))))</f>
        <v/>
      </c>
      <c r="F396" s="32">
        <f>IF($AB396="G",SUM($AG$8:$AG$407),IF(OR($AB396="",$AB396="R"),"",IF($AB396="D",INDEX($AG$8:$AG$407,$AA396),SUMIF($T$8:$T$407,INDEX($T$8:$T$407,$AA396),$AG$8:$AG$407))))</f>
        <v/>
      </c>
      <c r="G396" s="32">
        <f>IF(OR($AB396="",$AB396="R"),"",ROUND($E396-$F396,2))</f>
        <v/>
      </c>
      <c r="H396" s="32">
        <f>IF($AB396="G",SUM($AH$8:$AH$407),IF(OR($AB396="",$AB396="R"),"",IF($AB396="D",INDEX($AH$8:$AH$407,$AA396),SUMIF($T$8:$T$407,INDEX($T$8:$T$407,$AA396),$AH$8:$AH$407))))</f>
        <v/>
      </c>
      <c r="J396">
        <f>IFERROR(MATCH(389,บันทึกรายเที่ยว!$W$6:$W$6005,0),"")</f>
        <v/>
      </c>
      <c r="K396">
        <f>IF($J396="","",INDEX(บันทึกรายเที่ยว!$T$6:$T$6005,$J396))</f>
        <v/>
      </c>
      <c r="L396">
        <f>IF($J396="","",INDEX(บันทึกรายเที่ยว!$S$6:$S$6005,$J396))</f>
        <v/>
      </c>
      <c r="M396">
        <f>IF($J396="","",INDEX(บันทึกรายเที่ยว!$R$6:$R$6005,$J396))</f>
        <v/>
      </c>
      <c r="N396">
        <f>IF($J396="","",MATCH($M396,บันทึกรายเที่ยว!$R$6:$R$6005,0))</f>
        <v/>
      </c>
      <c r="O396">
        <f>IF($J396="","",MATCH($L396,บันทึกรายเที่ยว!$S$6:$S$6005,0))</f>
        <v/>
      </c>
      <c r="P396">
        <f>IF($J396="","",IF(AND(OR($I$3="(ทั้งหมด)",INDEX(บันทึกรายเที่ยว!$C$6:$C$6005,$J396)=$I$3),OR($I$5="(ทั้งหมด)",INDEX(บันทึกรายเที่ยว!$D$6:$D$6005,$J396)=$I$5),OR($I$7="(ทั้งหมด)",INDEX(บันทึกรายเที่ยว!$F$6:$F$6005,$J396)=$I$7)),$N396*10000000+$O396*1000+389,""))</f>
        <v/>
      </c>
      <c r="Q396">
        <f>IFERROR(MATCH(SMALL($P$8:$P$407,389),$P$8:$P$407,0),"")</f>
        <v/>
      </c>
      <c r="R396">
        <f>IF($Q396="","",INDEX($J$8:$J$407,$Q396))</f>
        <v/>
      </c>
      <c r="S396">
        <f>IF($Q396="","",INDEX($M$8:$M$407,$Q396))</f>
        <v/>
      </c>
      <c r="T396">
        <f>IF($Q396="","",INDEX($L$8:$L$407,$Q396))</f>
        <v/>
      </c>
      <c r="U396">
        <f>IF($Q396="","",INDEX($K$8:$K$407,$Q396))</f>
        <v/>
      </c>
      <c r="V396">
        <f>IF($Q396="",0,IF($S396&lt;&gt;$S395,1,0))</f>
        <v/>
      </c>
      <c r="W396">
        <f>IF($Q396="",0,IF($T396&lt;&gt;$T395,1,0))</f>
        <v/>
      </c>
      <c r="X396">
        <f>IF($Q396="",99999+389,$X395+1+$V395+$W395)</f>
        <v/>
      </c>
      <c r="Y396">
        <f>IF($Q396="","",INDEX(บันทึกรายเที่ยว!$Q$6:$Q$6005,$R396))</f>
        <v/>
      </c>
      <c r="Z396">
        <f>IF($Q396="","",INDEX(บันทึกรายเที่ยว!$F$6:$F$6005,$R396))</f>
        <v/>
      </c>
      <c r="AA396">
        <f>IFERROR(MATCH(389,$X$8:$X$407,1),"")</f>
        <v/>
      </c>
      <c r="AB396">
        <f>IF(389=$AD$1+1,"G",IF($AA396="","",IF(INDEX($Q$8:$Q$407,$AA396)="","",IF(389&gt;INDEX($X$8:$X$407,$AA396)+INDEX($V$8:$V$407,$AA396)+INDEX($W$8:$W$407,$AA396),"",IF(389=INDEX($X$8:$X$407,$AA396)+INDEX($V$8:$V$407,$AA396)+INDEX($W$8:$W$407,$AA396),"D",IF(AND(INDEX($W$8:$W$407,$AA396)=1,389=INDEX($X$8:$X$407,$AA396)+INDEX($V$8:$V$407,$AA396)),"S","R"))))))</f>
        <v/>
      </c>
      <c r="AC396">
        <f>IF(OR($AB396="",$AB396="G"),"",IF($AB396="D",INDEX($U$8:$U$407,$AA396),IF($AB396="S",INDEX($T$8:$T$407,$AA396)&amp;"|*",INDEX($S$8:$S$407,$AA396)&amp;"|*")))</f>
        <v/>
      </c>
      <c r="AE396">
        <f>IF($U396="",0,COUNTIF(บันทึกรายเที่ยว!$T$6:$T$6005,$U396))</f>
        <v/>
      </c>
      <c r="AF396">
        <f>IF($U396="",0,ROUND(SUMIF(บันทึกรายเที่ยว!$T$6:$T$6005,$U396,บันทึกรายเที่ยว!$J$6:$J$6005),2))</f>
        <v/>
      </c>
      <c r="AG396">
        <f>IF($U396="",0,ROUND(SUMIF(บันทึกรายเที่ยว!$T$6:$T$6005,$U396,บันทึกรายเที่ยว!$K$6:$K$6005),2))</f>
        <v/>
      </c>
      <c r="AH396">
        <f>IF($U396="",0,ROUND(SUMIF(บันทึกรายเที่ยว!$T$6:$T$6005,$U396,บันทึกรายเที่ยว!$M$6:$M$6005),2))</f>
        <v/>
      </c>
    </row>
    <row r="397" ht="21" customHeight="1" s="66">
      <c r="A397" s="3">
        <f>IF($AB397="G","ผลรวมทั้งหมด",IF($AB397="R",INDEX($S$8:$S$407,$AA397),""))</f>
        <v/>
      </c>
      <c r="B397" s="3">
        <f>IF($AB397="S",INDEX($Y$8:$Y$407,$AA397),"")</f>
        <v/>
      </c>
      <c r="C397" s="68">
        <f>IF($AB397="D",INDEX($Z$8:$Z$407,$AA397),"")</f>
        <v/>
      </c>
      <c r="D397" s="31">
        <f>IF($AB397="G",SUM($AE$8:$AE$407),IF(OR($AB397="",$AB397="R"),"",IF($AB397="D",INDEX($AE$8:$AE$407,$AA397),SUMIF($T$8:$T$407,INDEX($T$8:$T$407,$AA397),$AE$8:$AE$407))))</f>
        <v/>
      </c>
      <c r="E397" s="32">
        <f>IF(390=$AD$1+3,"ขอแสดงความนับถือ",IF(390=$AD$1+6,"(                 )",IF(390=$AD$1+7,"เจ้าหน้าที่ขนส่ง",IF($AB397="G",SUM($AF$8:$AF$407),IF(OR($AB397="",$AB397="R"),"",IF($AB397="D",INDEX($AF$8:$AF$407,$AA397),SUMIF($T$8:$T$407,INDEX($T$8:$T$407,$AA397),$AF$8:$AF$407)))))))</f>
        <v/>
      </c>
      <c r="F397" s="32">
        <f>IF($AB397="G",SUM($AG$8:$AG$407),IF(OR($AB397="",$AB397="R"),"",IF($AB397="D",INDEX($AG$8:$AG$407,$AA397),SUMIF($T$8:$T$407,INDEX($T$8:$T$407,$AA397),$AG$8:$AG$407))))</f>
        <v/>
      </c>
      <c r="G397" s="32">
        <f>IF(OR($AB397="",$AB397="R"),"",ROUND($E397-$F397,2))</f>
        <v/>
      </c>
      <c r="H397" s="32">
        <f>IF($AB397="G",SUM($AH$8:$AH$407),IF(OR($AB397="",$AB397="R"),"",IF($AB397="D",INDEX($AH$8:$AH$407,$AA397),SUMIF($T$8:$T$407,INDEX($T$8:$T$407,$AA397),$AH$8:$AH$407))))</f>
        <v/>
      </c>
      <c r="J397">
        <f>IFERROR(MATCH(390,บันทึกรายเที่ยว!$W$6:$W$6005,0),"")</f>
        <v/>
      </c>
      <c r="K397">
        <f>IF($J397="","",INDEX(บันทึกรายเที่ยว!$T$6:$T$6005,$J397))</f>
        <v/>
      </c>
      <c r="L397">
        <f>IF($J397="","",INDEX(บันทึกรายเที่ยว!$S$6:$S$6005,$J397))</f>
        <v/>
      </c>
      <c r="M397">
        <f>IF($J397="","",INDEX(บันทึกรายเที่ยว!$R$6:$R$6005,$J397))</f>
        <v/>
      </c>
      <c r="N397">
        <f>IF($J397="","",MATCH($M397,บันทึกรายเที่ยว!$R$6:$R$6005,0))</f>
        <v/>
      </c>
      <c r="O397">
        <f>IF($J397="","",MATCH($L397,บันทึกรายเที่ยว!$S$6:$S$6005,0))</f>
        <v/>
      </c>
      <c r="P397">
        <f>IF($J397="","",IF(AND(OR($I$3="(ทั้งหมด)",INDEX(บันทึกรายเที่ยว!$C$6:$C$6005,$J397)=$I$3),OR($I$5="(ทั้งหมด)",INDEX(บันทึกรายเที่ยว!$D$6:$D$6005,$J397)=$I$5),OR($I$7="(ทั้งหมด)",INDEX(บันทึกรายเที่ยว!$F$6:$F$6005,$J397)=$I$7)),$N397*10000000+$O397*1000+390,""))</f>
        <v/>
      </c>
      <c r="Q397">
        <f>IFERROR(MATCH(SMALL($P$8:$P$407,390),$P$8:$P$407,0),"")</f>
        <v/>
      </c>
      <c r="R397">
        <f>IF($Q397="","",INDEX($J$8:$J$407,$Q397))</f>
        <v/>
      </c>
      <c r="S397">
        <f>IF($Q397="","",INDEX($M$8:$M$407,$Q397))</f>
        <v/>
      </c>
      <c r="T397">
        <f>IF($Q397="","",INDEX($L$8:$L$407,$Q397))</f>
        <v/>
      </c>
      <c r="U397">
        <f>IF($Q397="","",INDEX($K$8:$K$407,$Q397))</f>
        <v/>
      </c>
      <c r="V397">
        <f>IF($Q397="",0,IF($S397&lt;&gt;$S396,1,0))</f>
        <v/>
      </c>
      <c r="W397">
        <f>IF($Q397="",0,IF($T397&lt;&gt;$T396,1,0))</f>
        <v/>
      </c>
      <c r="X397">
        <f>IF($Q397="",99999+390,$X396+1+$V396+$W396)</f>
        <v/>
      </c>
      <c r="Y397">
        <f>IF($Q397="","",INDEX(บันทึกรายเที่ยว!$Q$6:$Q$6005,$R397))</f>
        <v/>
      </c>
      <c r="Z397">
        <f>IF($Q397="","",INDEX(บันทึกรายเที่ยว!$F$6:$F$6005,$R397))</f>
        <v/>
      </c>
      <c r="AA397">
        <f>IFERROR(MATCH(390,$X$8:$X$407,1),"")</f>
        <v/>
      </c>
      <c r="AB397">
        <f>IF(390=$AD$1+1,"G",IF($AA397="","",IF(INDEX($Q$8:$Q$407,$AA397)="","",IF(390&gt;INDEX($X$8:$X$407,$AA397)+INDEX($V$8:$V$407,$AA397)+INDEX($W$8:$W$407,$AA397),"",IF(390=INDEX($X$8:$X$407,$AA397)+INDEX($V$8:$V$407,$AA397)+INDEX($W$8:$W$407,$AA397),"D",IF(AND(INDEX($W$8:$W$407,$AA397)=1,390=INDEX($X$8:$X$407,$AA397)+INDEX($V$8:$V$407,$AA397)),"S","R"))))))</f>
        <v/>
      </c>
      <c r="AC397">
        <f>IF(OR($AB397="",$AB397="G"),"",IF($AB397="D",INDEX($U$8:$U$407,$AA397),IF($AB397="S",INDEX($T$8:$T$407,$AA397)&amp;"|*",INDEX($S$8:$S$407,$AA397)&amp;"|*")))</f>
        <v/>
      </c>
      <c r="AE397">
        <f>IF($U397="",0,COUNTIF(บันทึกรายเที่ยว!$T$6:$T$6005,$U397))</f>
        <v/>
      </c>
      <c r="AF397">
        <f>IF($U397="",0,ROUND(SUMIF(บันทึกรายเที่ยว!$T$6:$T$6005,$U397,บันทึกรายเที่ยว!$J$6:$J$6005),2))</f>
        <v/>
      </c>
      <c r="AG397">
        <f>IF($U397="",0,ROUND(SUMIF(บันทึกรายเที่ยว!$T$6:$T$6005,$U397,บันทึกรายเที่ยว!$K$6:$K$6005),2))</f>
        <v/>
      </c>
      <c r="AH397">
        <f>IF($U397="",0,ROUND(SUMIF(บันทึกรายเที่ยว!$T$6:$T$6005,$U397,บันทึกรายเที่ยว!$M$6:$M$6005),2))</f>
        <v/>
      </c>
    </row>
    <row r="398" ht="21" customHeight="1" s="66">
      <c r="A398" s="3">
        <f>IF($AB398="G","ผลรวมทั้งหมด",IF($AB398="R",INDEX($S$8:$S$407,$AA398),""))</f>
        <v/>
      </c>
      <c r="B398" s="3">
        <f>IF($AB398="S",INDEX($Y$8:$Y$407,$AA398),"")</f>
        <v/>
      </c>
      <c r="C398" s="68">
        <f>IF($AB398="D",INDEX($Z$8:$Z$407,$AA398),"")</f>
        <v/>
      </c>
      <c r="D398" s="31">
        <f>IF($AB398="G",SUM($AE$8:$AE$407),IF(OR($AB398="",$AB398="R"),"",IF($AB398="D",INDEX($AE$8:$AE$407,$AA398),SUMIF($T$8:$T$407,INDEX($T$8:$T$407,$AA398),$AE$8:$AE$407))))</f>
        <v/>
      </c>
      <c r="E398" s="32">
        <f>IF(391=$AD$1+3,"ขอแสดงความนับถือ",IF(391=$AD$1+6,"(                 )",IF(391=$AD$1+7,"เจ้าหน้าที่ขนส่ง",IF($AB398="G",SUM($AF$8:$AF$407),IF(OR($AB398="",$AB398="R"),"",IF($AB398="D",INDEX($AF$8:$AF$407,$AA398),SUMIF($T$8:$T$407,INDEX($T$8:$T$407,$AA398),$AF$8:$AF$407)))))))</f>
        <v/>
      </c>
      <c r="F398" s="32">
        <f>IF($AB398="G",SUM($AG$8:$AG$407),IF(OR($AB398="",$AB398="R"),"",IF($AB398="D",INDEX($AG$8:$AG$407,$AA398),SUMIF($T$8:$T$407,INDEX($T$8:$T$407,$AA398),$AG$8:$AG$407))))</f>
        <v/>
      </c>
      <c r="G398" s="32">
        <f>IF(OR($AB398="",$AB398="R"),"",ROUND($E398-$F398,2))</f>
        <v/>
      </c>
      <c r="H398" s="32">
        <f>IF($AB398="G",SUM($AH$8:$AH$407),IF(OR($AB398="",$AB398="R"),"",IF($AB398="D",INDEX($AH$8:$AH$407,$AA398),SUMIF($T$8:$T$407,INDEX($T$8:$T$407,$AA398),$AH$8:$AH$407))))</f>
        <v/>
      </c>
      <c r="J398">
        <f>IFERROR(MATCH(391,บันทึกรายเที่ยว!$W$6:$W$6005,0),"")</f>
        <v/>
      </c>
      <c r="K398">
        <f>IF($J398="","",INDEX(บันทึกรายเที่ยว!$T$6:$T$6005,$J398))</f>
        <v/>
      </c>
      <c r="L398">
        <f>IF($J398="","",INDEX(บันทึกรายเที่ยว!$S$6:$S$6005,$J398))</f>
        <v/>
      </c>
      <c r="M398">
        <f>IF($J398="","",INDEX(บันทึกรายเที่ยว!$R$6:$R$6005,$J398))</f>
        <v/>
      </c>
      <c r="N398">
        <f>IF($J398="","",MATCH($M398,บันทึกรายเที่ยว!$R$6:$R$6005,0))</f>
        <v/>
      </c>
      <c r="O398">
        <f>IF($J398="","",MATCH($L398,บันทึกรายเที่ยว!$S$6:$S$6005,0))</f>
        <v/>
      </c>
      <c r="P398">
        <f>IF($J398="","",IF(AND(OR($I$3="(ทั้งหมด)",INDEX(บันทึกรายเที่ยว!$C$6:$C$6005,$J398)=$I$3),OR($I$5="(ทั้งหมด)",INDEX(บันทึกรายเที่ยว!$D$6:$D$6005,$J398)=$I$5),OR($I$7="(ทั้งหมด)",INDEX(บันทึกรายเที่ยว!$F$6:$F$6005,$J398)=$I$7)),$N398*10000000+$O398*1000+391,""))</f>
        <v/>
      </c>
      <c r="Q398">
        <f>IFERROR(MATCH(SMALL($P$8:$P$407,391),$P$8:$P$407,0),"")</f>
        <v/>
      </c>
      <c r="R398">
        <f>IF($Q398="","",INDEX($J$8:$J$407,$Q398))</f>
        <v/>
      </c>
      <c r="S398">
        <f>IF($Q398="","",INDEX($M$8:$M$407,$Q398))</f>
        <v/>
      </c>
      <c r="T398">
        <f>IF($Q398="","",INDEX($L$8:$L$407,$Q398))</f>
        <v/>
      </c>
      <c r="U398">
        <f>IF($Q398="","",INDEX($K$8:$K$407,$Q398))</f>
        <v/>
      </c>
      <c r="V398">
        <f>IF($Q398="",0,IF($S398&lt;&gt;$S397,1,0))</f>
        <v/>
      </c>
      <c r="W398">
        <f>IF($Q398="",0,IF($T398&lt;&gt;$T397,1,0))</f>
        <v/>
      </c>
      <c r="X398">
        <f>IF($Q398="",99999+391,$X397+1+$V397+$W397)</f>
        <v/>
      </c>
      <c r="Y398">
        <f>IF($Q398="","",INDEX(บันทึกรายเที่ยว!$Q$6:$Q$6005,$R398))</f>
        <v/>
      </c>
      <c r="Z398">
        <f>IF($Q398="","",INDEX(บันทึกรายเที่ยว!$F$6:$F$6005,$R398))</f>
        <v/>
      </c>
      <c r="AA398">
        <f>IFERROR(MATCH(391,$X$8:$X$407,1),"")</f>
        <v/>
      </c>
      <c r="AB398">
        <f>IF(391=$AD$1+1,"G",IF($AA398="","",IF(INDEX($Q$8:$Q$407,$AA398)="","",IF(391&gt;INDEX($X$8:$X$407,$AA398)+INDEX($V$8:$V$407,$AA398)+INDEX($W$8:$W$407,$AA398),"",IF(391=INDEX($X$8:$X$407,$AA398)+INDEX($V$8:$V$407,$AA398)+INDEX($W$8:$W$407,$AA398),"D",IF(AND(INDEX($W$8:$W$407,$AA398)=1,391=INDEX($X$8:$X$407,$AA398)+INDEX($V$8:$V$407,$AA398)),"S","R"))))))</f>
        <v/>
      </c>
      <c r="AC398">
        <f>IF(OR($AB398="",$AB398="G"),"",IF($AB398="D",INDEX($U$8:$U$407,$AA398),IF($AB398="S",INDEX($T$8:$T$407,$AA398)&amp;"|*",INDEX($S$8:$S$407,$AA398)&amp;"|*")))</f>
        <v/>
      </c>
      <c r="AE398">
        <f>IF($U398="",0,COUNTIF(บันทึกรายเที่ยว!$T$6:$T$6005,$U398))</f>
        <v/>
      </c>
      <c r="AF398">
        <f>IF($U398="",0,ROUND(SUMIF(บันทึกรายเที่ยว!$T$6:$T$6005,$U398,บันทึกรายเที่ยว!$J$6:$J$6005),2))</f>
        <v/>
      </c>
      <c r="AG398">
        <f>IF($U398="",0,ROUND(SUMIF(บันทึกรายเที่ยว!$T$6:$T$6005,$U398,บันทึกรายเที่ยว!$K$6:$K$6005),2))</f>
        <v/>
      </c>
      <c r="AH398">
        <f>IF($U398="",0,ROUND(SUMIF(บันทึกรายเที่ยว!$T$6:$T$6005,$U398,บันทึกรายเที่ยว!$M$6:$M$6005),2))</f>
        <v/>
      </c>
    </row>
    <row r="399" ht="21" customHeight="1" s="66">
      <c r="A399" s="3">
        <f>IF($AB399="G","ผลรวมทั้งหมด",IF($AB399="R",INDEX($S$8:$S$407,$AA399),""))</f>
        <v/>
      </c>
      <c r="B399" s="3">
        <f>IF($AB399="S",INDEX($Y$8:$Y$407,$AA399),"")</f>
        <v/>
      </c>
      <c r="C399" s="68">
        <f>IF($AB399="D",INDEX($Z$8:$Z$407,$AA399),"")</f>
        <v/>
      </c>
      <c r="D399" s="31">
        <f>IF($AB399="G",SUM($AE$8:$AE$407),IF(OR($AB399="",$AB399="R"),"",IF($AB399="D",INDEX($AE$8:$AE$407,$AA399),SUMIF($T$8:$T$407,INDEX($T$8:$T$407,$AA399),$AE$8:$AE$407))))</f>
        <v/>
      </c>
      <c r="E399" s="32">
        <f>IF(392=$AD$1+3,"ขอแสดงความนับถือ",IF(392=$AD$1+6,"(                 )",IF(392=$AD$1+7,"เจ้าหน้าที่ขนส่ง",IF($AB399="G",SUM($AF$8:$AF$407),IF(OR($AB399="",$AB399="R"),"",IF($AB399="D",INDEX($AF$8:$AF$407,$AA399),SUMIF($T$8:$T$407,INDEX($T$8:$T$407,$AA399),$AF$8:$AF$407)))))))</f>
        <v/>
      </c>
      <c r="F399" s="32">
        <f>IF($AB399="G",SUM($AG$8:$AG$407),IF(OR($AB399="",$AB399="R"),"",IF($AB399="D",INDEX($AG$8:$AG$407,$AA399),SUMIF($T$8:$T$407,INDEX($T$8:$T$407,$AA399),$AG$8:$AG$407))))</f>
        <v/>
      </c>
      <c r="G399" s="32">
        <f>IF(OR($AB399="",$AB399="R"),"",ROUND($E399-$F399,2))</f>
        <v/>
      </c>
      <c r="H399" s="32">
        <f>IF($AB399="G",SUM($AH$8:$AH$407),IF(OR($AB399="",$AB399="R"),"",IF($AB399="D",INDEX($AH$8:$AH$407,$AA399),SUMIF($T$8:$T$407,INDEX($T$8:$T$407,$AA399),$AH$8:$AH$407))))</f>
        <v/>
      </c>
      <c r="J399">
        <f>IFERROR(MATCH(392,บันทึกรายเที่ยว!$W$6:$W$6005,0),"")</f>
        <v/>
      </c>
      <c r="K399">
        <f>IF($J399="","",INDEX(บันทึกรายเที่ยว!$T$6:$T$6005,$J399))</f>
        <v/>
      </c>
      <c r="L399">
        <f>IF($J399="","",INDEX(บันทึกรายเที่ยว!$S$6:$S$6005,$J399))</f>
        <v/>
      </c>
      <c r="M399">
        <f>IF($J399="","",INDEX(บันทึกรายเที่ยว!$R$6:$R$6005,$J399))</f>
        <v/>
      </c>
      <c r="N399">
        <f>IF($J399="","",MATCH($M399,บันทึกรายเที่ยว!$R$6:$R$6005,0))</f>
        <v/>
      </c>
      <c r="O399">
        <f>IF($J399="","",MATCH($L399,บันทึกรายเที่ยว!$S$6:$S$6005,0))</f>
        <v/>
      </c>
      <c r="P399">
        <f>IF($J399="","",IF(AND(OR($I$3="(ทั้งหมด)",INDEX(บันทึกรายเที่ยว!$C$6:$C$6005,$J399)=$I$3),OR($I$5="(ทั้งหมด)",INDEX(บันทึกรายเที่ยว!$D$6:$D$6005,$J399)=$I$5),OR($I$7="(ทั้งหมด)",INDEX(บันทึกรายเที่ยว!$F$6:$F$6005,$J399)=$I$7)),$N399*10000000+$O399*1000+392,""))</f>
        <v/>
      </c>
      <c r="Q399">
        <f>IFERROR(MATCH(SMALL($P$8:$P$407,392),$P$8:$P$407,0),"")</f>
        <v/>
      </c>
      <c r="R399">
        <f>IF($Q399="","",INDEX($J$8:$J$407,$Q399))</f>
        <v/>
      </c>
      <c r="S399">
        <f>IF($Q399="","",INDEX($M$8:$M$407,$Q399))</f>
        <v/>
      </c>
      <c r="T399">
        <f>IF($Q399="","",INDEX($L$8:$L$407,$Q399))</f>
        <v/>
      </c>
      <c r="U399">
        <f>IF($Q399="","",INDEX($K$8:$K$407,$Q399))</f>
        <v/>
      </c>
      <c r="V399">
        <f>IF($Q399="",0,IF($S399&lt;&gt;$S398,1,0))</f>
        <v/>
      </c>
      <c r="W399">
        <f>IF($Q399="",0,IF($T399&lt;&gt;$T398,1,0))</f>
        <v/>
      </c>
      <c r="X399">
        <f>IF($Q399="",99999+392,$X398+1+$V398+$W398)</f>
        <v/>
      </c>
      <c r="Y399">
        <f>IF($Q399="","",INDEX(บันทึกรายเที่ยว!$Q$6:$Q$6005,$R399))</f>
        <v/>
      </c>
      <c r="Z399">
        <f>IF($Q399="","",INDEX(บันทึกรายเที่ยว!$F$6:$F$6005,$R399))</f>
        <v/>
      </c>
      <c r="AA399">
        <f>IFERROR(MATCH(392,$X$8:$X$407,1),"")</f>
        <v/>
      </c>
      <c r="AB399">
        <f>IF(392=$AD$1+1,"G",IF($AA399="","",IF(INDEX($Q$8:$Q$407,$AA399)="","",IF(392&gt;INDEX($X$8:$X$407,$AA399)+INDEX($V$8:$V$407,$AA399)+INDEX($W$8:$W$407,$AA399),"",IF(392=INDEX($X$8:$X$407,$AA399)+INDEX($V$8:$V$407,$AA399)+INDEX($W$8:$W$407,$AA399),"D",IF(AND(INDEX($W$8:$W$407,$AA399)=1,392=INDEX($X$8:$X$407,$AA399)+INDEX($V$8:$V$407,$AA399)),"S","R"))))))</f>
        <v/>
      </c>
      <c r="AC399">
        <f>IF(OR($AB399="",$AB399="G"),"",IF($AB399="D",INDEX($U$8:$U$407,$AA399),IF($AB399="S",INDEX($T$8:$T$407,$AA399)&amp;"|*",INDEX($S$8:$S$407,$AA399)&amp;"|*")))</f>
        <v/>
      </c>
      <c r="AE399">
        <f>IF($U399="",0,COUNTIF(บันทึกรายเที่ยว!$T$6:$T$6005,$U399))</f>
        <v/>
      </c>
      <c r="AF399">
        <f>IF($U399="",0,ROUND(SUMIF(บันทึกรายเที่ยว!$T$6:$T$6005,$U399,บันทึกรายเที่ยว!$J$6:$J$6005),2))</f>
        <v/>
      </c>
      <c r="AG399">
        <f>IF($U399="",0,ROUND(SUMIF(บันทึกรายเที่ยว!$T$6:$T$6005,$U399,บันทึกรายเที่ยว!$K$6:$K$6005),2))</f>
        <v/>
      </c>
      <c r="AH399">
        <f>IF($U399="",0,ROUND(SUMIF(บันทึกรายเที่ยว!$T$6:$T$6005,$U399,บันทึกรายเที่ยว!$M$6:$M$6005),2))</f>
        <v/>
      </c>
    </row>
    <row r="400" ht="21" customHeight="1" s="66">
      <c r="A400" s="3">
        <f>IF($AB400="G","ผลรวมทั้งหมด",IF($AB400="R",INDEX($S$8:$S$407,$AA400),""))</f>
        <v/>
      </c>
      <c r="B400" s="3">
        <f>IF($AB400="S",INDEX($Y$8:$Y$407,$AA400),"")</f>
        <v/>
      </c>
      <c r="C400" s="68">
        <f>IF($AB400="D",INDEX($Z$8:$Z$407,$AA400),"")</f>
        <v/>
      </c>
      <c r="D400" s="31">
        <f>IF($AB400="G",SUM($AE$8:$AE$407),IF(OR($AB400="",$AB400="R"),"",IF($AB400="D",INDEX($AE$8:$AE$407,$AA400),SUMIF($T$8:$T$407,INDEX($T$8:$T$407,$AA400),$AE$8:$AE$407))))</f>
        <v/>
      </c>
      <c r="E400" s="32">
        <f>IF(393=$AD$1+3,"ขอแสดงความนับถือ",IF(393=$AD$1+6,"(                 )",IF(393=$AD$1+7,"เจ้าหน้าที่ขนส่ง",IF($AB400="G",SUM($AF$8:$AF$407),IF(OR($AB400="",$AB400="R"),"",IF($AB400="D",INDEX($AF$8:$AF$407,$AA400),SUMIF($T$8:$T$407,INDEX($T$8:$T$407,$AA400),$AF$8:$AF$407)))))))</f>
        <v/>
      </c>
      <c r="F400" s="32">
        <f>IF($AB400="G",SUM($AG$8:$AG$407),IF(OR($AB400="",$AB400="R"),"",IF($AB400="D",INDEX($AG$8:$AG$407,$AA400),SUMIF($T$8:$T$407,INDEX($T$8:$T$407,$AA400),$AG$8:$AG$407))))</f>
        <v/>
      </c>
      <c r="G400" s="32">
        <f>IF(OR($AB400="",$AB400="R"),"",ROUND($E400-$F400,2))</f>
        <v/>
      </c>
      <c r="H400" s="32">
        <f>IF($AB400="G",SUM($AH$8:$AH$407),IF(OR($AB400="",$AB400="R"),"",IF($AB400="D",INDEX($AH$8:$AH$407,$AA400),SUMIF($T$8:$T$407,INDEX($T$8:$T$407,$AA400),$AH$8:$AH$407))))</f>
        <v/>
      </c>
      <c r="J400">
        <f>IFERROR(MATCH(393,บันทึกรายเที่ยว!$W$6:$W$6005,0),"")</f>
        <v/>
      </c>
      <c r="K400">
        <f>IF($J400="","",INDEX(บันทึกรายเที่ยว!$T$6:$T$6005,$J400))</f>
        <v/>
      </c>
      <c r="L400">
        <f>IF($J400="","",INDEX(บันทึกรายเที่ยว!$S$6:$S$6005,$J400))</f>
        <v/>
      </c>
      <c r="M400">
        <f>IF($J400="","",INDEX(บันทึกรายเที่ยว!$R$6:$R$6005,$J400))</f>
        <v/>
      </c>
      <c r="N400">
        <f>IF($J400="","",MATCH($M400,บันทึกรายเที่ยว!$R$6:$R$6005,0))</f>
        <v/>
      </c>
      <c r="O400">
        <f>IF($J400="","",MATCH($L400,บันทึกรายเที่ยว!$S$6:$S$6005,0))</f>
        <v/>
      </c>
      <c r="P400">
        <f>IF($J400="","",IF(AND(OR($I$3="(ทั้งหมด)",INDEX(บันทึกรายเที่ยว!$C$6:$C$6005,$J400)=$I$3),OR($I$5="(ทั้งหมด)",INDEX(บันทึกรายเที่ยว!$D$6:$D$6005,$J400)=$I$5),OR($I$7="(ทั้งหมด)",INDEX(บันทึกรายเที่ยว!$F$6:$F$6005,$J400)=$I$7)),$N400*10000000+$O400*1000+393,""))</f>
        <v/>
      </c>
      <c r="Q400">
        <f>IFERROR(MATCH(SMALL($P$8:$P$407,393),$P$8:$P$407,0),"")</f>
        <v/>
      </c>
      <c r="R400">
        <f>IF($Q400="","",INDEX($J$8:$J$407,$Q400))</f>
        <v/>
      </c>
      <c r="S400">
        <f>IF($Q400="","",INDEX($M$8:$M$407,$Q400))</f>
        <v/>
      </c>
      <c r="T400">
        <f>IF($Q400="","",INDEX($L$8:$L$407,$Q400))</f>
        <v/>
      </c>
      <c r="U400">
        <f>IF($Q400="","",INDEX($K$8:$K$407,$Q400))</f>
        <v/>
      </c>
      <c r="V400">
        <f>IF($Q400="",0,IF($S400&lt;&gt;$S399,1,0))</f>
        <v/>
      </c>
      <c r="W400">
        <f>IF($Q400="",0,IF($T400&lt;&gt;$T399,1,0))</f>
        <v/>
      </c>
      <c r="X400">
        <f>IF($Q400="",99999+393,$X399+1+$V399+$W399)</f>
        <v/>
      </c>
      <c r="Y400">
        <f>IF($Q400="","",INDEX(บันทึกรายเที่ยว!$Q$6:$Q$6005,$R400))</f>
        <v/>
      </c>
      <c r="Z400">
        <f>IF($Q400="","",INDEX(บันทึกรายเที่ยว!$F$6:$F$6005,$R400))</f>
        <v/>
      </c>
      <c r="AA400">
        <f>IFERROR(MATCH(393,$X$8:$X$407,1),"")</f>
        <v/>
      </c>
      <c r="AB400">
        <f>IF(393=$AD$1+1,"G",IF($AA400="","",IF(INDEX($Q$8:$Q$407,$AA400)="","",IF(393&gt;INDEX($X$8:$X$407,$AA400)+INDEX($V$8:$V$407,$AA400)+INDEX($W$8:$W$407,$AA400),"",IF(393=INDEX($X$8:$X$407,$AA400)+INDEX($V$8:$V$407,$AA400)+INDEX($W$8:$W$407,$AA400),"D",IF(AND(INDEX($W$8:$W$407,$AA400)=1,393=INDEX($X$8:$X$407,$AA400)+INDEX($V$8:$V$407,$AA400)),"S","R"))))))</f>
        <v/>
      </c>
      <c r="AC400">
        <f>IF(OR($AB400="",$AB400="G"),"",IF($AB400="D",INDEX($U$8:$U$407,$AA400),IF($AB400="S",INDEX($T$8:$T$407,$AA400)&amp;"|*",INDEX($S$8:$S$407,$AA400)&amp;"|*")))</f>
        <v/>
      </c>
      <c r="AE400">
        <f>IF($U400="",0,COUNTIF(บันทึกรายเที่ยว!$T$6:$T$6005,$U400))</f>
        <v/>
      </c>
      <c r="AF400">
        <f>IF($U400="",0,ROUND(SUMIF(บันทึกรายเที่ยว!$T$6:$T$6005,$U400,บันทึกรายเที่ยว!$J$6:$J$6005),2))</f>
        <v/>
      </c>
      <c r="AG400">
        <f>IF($U400="",0,ROUND(SUMIF(บันทึกรายเที่ยว!$T$6:$T$6005,$U400,บันทึกรายเที่ยว!$K$6:$K$6005),2))</f>
        <v/>
      </c>
      <c r="AH400">
        <f>IF($U400="",0,ROUND(SUMIF(บันทึกรายเที่ยว!$T$6:$T$6005,$U400,บันทึกรายเที่ยว!$M$6:$M$6005),2))</f>
        <v/>
      </c>
    </row>
    <row r="401" ht="21" customHeight="1" s="66">
      <c r="A401" s="3">
        <f>IF($AB401="G","ผลรวมทั้งหมด",IF($AB401="R",INDEX($S$8:$S$407,$AA401),""))</f>
        <v/>
      </c>
      <c r="B401" s="3">
        <f>IF($AB401="S",INDEX($Y$8:$Y$407,$AA401),"")</f>
        <v/>
      </c>
      <c r="C401" s="68">
        <f>IF($AB401="D",INDEX($Z$8:$Z$407,$AA401),"")</f>
        <v/>
      </c>
      <c r="D401" s="31">
        <f>IF($AB401="G",SUM($AE$8:$AE$407),IF(OR($AB401="",$AB401="R"),"",IF($AB401="D",INDEX($AE$8:$AE$407,$AA401),SUMIF($T$8:$T$407,INDEX($T$8:$T$407,$AA401),$AE$8:$AE$407))))</f>
        <v/>
      </c>
      <c r="E401" s="32">
        <f>IF(394=$AD$1+3,"ขอแสดงความนับถือ",IF(394=$AD$1+6,"(                 )",IF(394=$AD$1+7,"เจ้าหน้าที่ขนส่ง",IF($AB401="G",SUM($AF$8:$AF$407),IF(OR($AB401="",$AB401="R"),"",IF($AB401="D",INDEX($AF$8:$AF$407,$AA401),SUMIF($T$8:$T$407,INDEX($T$8:$T$407,$AA401),$AF$8:$AF$407)))))))</f>
        <v/>
      </c>
      <c r="F401" s="32">
        <f>IF($AB401="G",SUM($AG$8:$AG$407),IF(OR($AB401="",$AB401="R"),"",IF($AB401="D",INDEX($AG$8:$AG$407,$AA401),SUMIF($T$8:$T$407,INDEX($T$8:$T$407,$AA401),$AG$8:$AG$407))))</f>
        <v/>
      </c>
      <c r="G401" s="32">
        <f>IF(OR($AB401="",$AB401="R"),"",ROUND($E401-$F401,2))</f>
        <v/>
      </c>
      <c r="H401" s="32">
        <f>IF($AB401="G",SUM($AH$8:$AH$407),IF(OR($AB401="",$AB401="R"),"",IF($AB401="D",INDEX($AH$8:$AH$407,$AA401),SUMIF($T$8:$T$407,INDEX($T$8:$T$407,$AA401),$AH$8:$AH$407))))</f>
        <v/>
      </c>
      <c r="J401">
        <f>IFERROR(MATCH(394,บันทึกรายเที่ยว!$W$6:$W$6005,0),"")</f>
        <v/>
      </c>
      <c r="K401">
        <f>IF($J401="","",INDEX(บันทึกรายเที่ยว!$T$6:$T$6005,$J401))</f>
        <v/>
      </c>
      <c r="L401">
        <f>IF($J401="","",INDEX(บันทึกรายเที่ยว!$S$6:$S$6005,$J401))</f>
        <v/>
      </c>
      <c r="M401">
        <f>IF($J401="","",INDEX(บันทึกรายเที่ยว!$R$6:$R$6005,$J401))</f>
        <v/>
      </c>
      <c r="N401">
        <f>IF($J401="","",MATCH($M401,บันทึกรายเที่ยว!$R$6:$R$6005,0))</f>
        <v/>
      </c>
      <c r="O401">
        <f>IF($J401="","",MATCH($L401,บันทึกรายเที่ยว!$S$6:$S$6005,0))</f>
        <v/>
      </c>
      <c r="P401">
        <f>IF($J401="","",IF(AND(OR($I$3="(ทั้งหมด)",INDEX(บันทึกรายเที่ยว!$C$6:$C$6005,$J401)=$I$3),OR($I$5="(ทั้งหมด)",INDEX(บันทึกรายเที่ยว!$D$6:$D$6005,$J401)=$I$5),OR($I$7="(ทั้งหมด)",INDEX(บันทึกรายเที่ยว!$F$6:$F$6005,$J401)=$I$7)),$N401*10000000+$O401*1000+394,""))</f>
        <v/>
      </c>
      <c r="Q401">
        <f>IFERROR(MATCH(SMALL($P$8:$P$407,394),$P$8:$P$407,0),"")</f>
        <v/>
      </c>
      <c r="R401">
        <f>IF($Q401="","",INDEX($J$8:$J$407,$Q401))</f>
        <v/>
      </c>
      <c r="S401">
        <f>IF($Q401="","",INDEX($M$8:$M$407,$Q401))</f>
        <v/>
      </c>
      <c r="T401">
        <f>IF($Q401="","",INDEX($L$8:$L$407,$Q401))</f>
        <v/>
      </c>
      <c r="U401">
        <f>IF($Q401="","",INDEX($K$8:$K$407,$Q401))</f>
        <v/>
      </c>
      <c r="V401">
        <f>IF($Q401="",0,IF($S401&lt;&gt;$S400,1,0))</f>
        <v/>
      </c>
      <c r="W401">
        <f>IF($Q401="",0,IF($T401&lt;&gt;$T400,1,0))</f>
        <v/>
      </c>
      <c r="X401">
        <f>IF($Q401="",99999+394,$X400+1+$V400+$W400)</f>
        <v/>
      </c>
      <c r="Y401">
        <f>IF($Q401="","",INDEX(บันทึกรายเที่ยว!$Q$6:$Q$6005,$R401))</f>
        <v/>
      </c>
      <c r="Z401">
        <f>IF($Q401="","",INDEX(บันทึกรายเที่ยว!$F$6:$F$6005,$R401))</f>
        <v/>
      </c>
      <c r="AA401">
        <f>IFERROR(MATCH(394,$X$8:$X$407,1),"")</f>
        <v/>
      </c>
      <c r="AB401">
        <f>IF(394=$AD$1+1,"G",IF($AA401="","",IF(INDEX($Q$8:$Q$407,$AA401)="","",IF(394&gt;INDEX($X$8:$X$407,$AA401)+INDEX($V$8:$V$407,$AA401)+INDEX($W$8:$W$407,$AA401),"",IF(394=INDEX($X$8:$X$407,$AA401)+INDEX($V$8:$V$407,$AA401)+INDEX($W$8:$W$407,$AA401),"D",IF(AND(INDEX($W$8:$W$407,$AA401)=1,394=INDEX($X$8:$X$407,$AA401)+INDEX($V$8:$V$407,$AA401)),"S","R"))))))</f>
        <v/>
      </c>
      <c r="AC401">
        <f>IF(OR($AB401="",$AB401="G"),"",IF($AB401="D",INDEX($U$8:$U$407,$AA401),IF($AB401="S",INDEX($T$8:$T$407,$AA401)&amp;"|*",INDEX($S$8:$S$407,$AA401)&amp;"|*")))</f>
        <v/>
      </c>
      <c r="AE401">
        <f>IF($U401="",0,COUNTIF(บันทึกรายเที่ยว!$T$6:$T$6005,$U401))</f>
        <v/>
      </c>
      <c r="AF401">
        <f>IF($U401="",0,ROUND(SUMIF(บันทึกรายเที่ยว!$T$6:$T$6005,$U401,บันทึกรายเที่ยว!$J$6:$J$6005),2))</f>
        <v/>
      </c>
      <c r="AG401">
        <f>IF($U401="",0,ROUND(SUMIF(บันทึกรายเที่ยว!$T$6:$T$6005,$U401,บันทึกรายเที่ยว!$K$6:$K$6005),2))</f>
        <v/>
      </c>
      <c r="AH401">
        <f>IF($U401="",0,ROUND(SUMIF(บันทึกรายเที่ยว!$T$6:$T$6005,$U401,บันทึกรายเที่ยว!$M$6:$M$6005),2))</f>
        <v/>
      </c>
    </row>
    <row r="402" ht="21" customHeight="1" s="66">
      <c r="A402" s="3">
        <f>IF($AB402="G","ผลรวมทั้งหมด",IF($AB402="R",INDEX($S$8:$S$407,$AA402),""))</f>
        <v/>
      </c>
      <c r="B402" s="3">
        <f>IF($AB402="S",INDEX($Y$8:$Y$407,$AA402),"")</f>
        <v/>
      </c>
      <c r="C402" s="68">
        <f>IF($AB402="D",INDEX($Z$8:$Z$407,$AA402),"")</f>
        <v/>
      </c>
      <c r="D402" s="31">
        <f>IF($AB402="G",SUM($AE$8:$AE$407),IF(OR($AB402="",$AB402="R"),"",IF($AB402="D",INDEX($AE$8:$AE$407,$AA402),SUMIF($T$8:$T$407,INDEX($T$8:$T$407,$AA402),$AE$8:$AE$407))))</f>
        <v/>
      </c>
      <c r="E402" s="32">
        <f>IF(395=$AD$1+3,"ขอแสดงความนับถือ",IF(395=$AD$1+6,"(                 )",IF(395=$AD$1+7,"เจ้าหน้าที่ขนส่ง",IF($AB402="G",SUM($AF$8:$AF$407),IF(OR($AB402="",$AB402="R"),"",IF($AB402="D",INDEX($AF$8:$AF$407,$AA402),SUMIF($T$8:$T$407,INDEX($T$8:$T$407,$AA402),$AF$8:$AF$407)))))))</f>
        <v/>
      </c>
      <c r="F402" s="32">
        <f>IF($AB402="G",SUM($AG$8:$AG$407),IF(OR($AB402="",$AB402="R"),"",IF($AB402="D",INDEX($AG$8:$AG$407,$AA402),SUMIF($T$8:$T$407,INDEX($T$8:$T$407,$AA402),$AG$8:$AG$407))))</f>
        <v/>
      </c>
      <c r="G402" s="32">
        <f>IF(OR($AB402="",$AB402="R"),"",ROUND($E402-$F402,2))</f>
        <v/>
      </c>
      <c r="H402" s="32">
        <f>IF($AB402="G",SUM($AH$8:$AH$407),IF(OR($AB402="",$AB402="R"),"",IF($AB402="D",INDEX($AH$8:$AH$407,$AA402),SUMIF($T$8:$T$407,INDEX($T$8:$T$407,$AA402),$AH$8:$AH$407))))</f>
        <v/>
      </c>
      <c r="J402">
        <f>IFERROR(MATCH(395,บันทึกรายเที่ยว!$W$6:$W$6005,0),"")</f>
        <v/>
      </c>
      <c r="K402">
        <f>IF($J402="","",INDEX(บันทึกรายเที่ยว!$T$6:$T$6005,$J402))</f>
        <v/>
      </c>
      <c r="L402">
        <f>IF($J402="","",INDEX(บันทึกรายเที่ยว!$S$6:$S$6005,$J402))</f>
        <v/>
      </c>
      <c r="M402">
        <f>IF($J402="","",INDEX(บันทึกรายเที่ยว!$R$6:$R$6005,$J402))</f>
        <v/>
      </c>
      <c r="N402">
        <f>IF($J402="","",MATCH($M402,บันทึกรายเที่ยว!$R$6:$R$6005,0))</f>
        <v/>
      </c>
      <c r="O402">
        <f>IF($J402="","",MATCH($L402,บันทึกรายเที่ยว!$S$6:$S$6005,0))</f>
        <v/>
      </c>
      <c r="P402">
        <f>IF($J402="","",IF(AND(OR($I$3="(ทั้งหมด)",INDEX(บันทึกรายเที่ยว!$C$6:$C$6005,$J402)=$I$3),OR($I$5="(ทั้งหมด)",INDEX(บันทึกรายเที่ยว!$D$6:$D$6005,$J402)=$I$5),OR($I$7="(ทั้งหมด)",INDEX(บันทึกรายเที่ยว!$F$6:$F$6005,$J402)=$I$7)),$N402*10000000+$O402*1000+395,""))</f>
        <v/>
      </c>
      <c r="Q402">
        <f>IFERROR(MATCH(SMALL($P$8:$P$407,395),$P$8:$P$407,0),"")</f>
        <v/>
      </c>
      <c r="R402">
        <f>IF($Q402="","",INDEX($J$8:$J$407,$Q402))</f>
        <v/>
      </c>
      <c r="S402">
        <f>IF($Q402="","",INDEX($M$8:$M$407,$Q402))</f>
        <v/>
      </c>
      <c r="T402">
        <f>IF($Q402="","",INDEX($L$8:$L$407,$Q402))</f>
        <v/>
      </c>
      <c r="U402">
        <f>IF($Q402="","",INDEX($K$8:$K$407,$Q402))</f>
        <v/>
      </c>
      <c r="V402">
        <f>IF($Q402="",0,IF($S402&lt;&gt;$S401,1,0))</f>
        <v/>
      </c>
      <c r="W402">
        <f>IF($Q402="",0,IF($T402&lt;&gt;$T401,1,0))</f>
        <v/>
      </c>
      <c r="X402">
        <f>IF($Q402="",99999+395,$X401+1+$V401+$W401)</f>
        <v/>
      </c>
      <c r="Y402">
        <f>IF($Q402="","",INDEX(บันทึกรายเที่ยว!$Q$6:$Q$6005,$R402))</f>
        <v/>
      </c>
      <c r="Z402">
        <f>IF($Q402="","",INDEX(บันทึกรายเที่ยว!$F$6:$F$6005,$R402))</f>
        <v/>
      </c>
      <c r="AA402">
        <f>IFERROR(MATCH(395,$X$8:$X$407,1),"")</f>
        <v/>
      </c>
      <c r="AB402">
        <f>IF(395=$AD$1+1,"G",IF($AA402="","",IF(INDEX($Q$8:$Q$407,$AA402)="","",IF(395&gt;INDEX($X$8:$X$407,$AA402)+INDEX($V$8:$V$407,$AA402)+INDEX($W$8:$W$407,$AA402),"",IF(395=INDEX($X$8:$X$407,$AA402)+INDEX($V$8:$V$407,$AA402)+INDEX($W$8:$W$407,$AA402),"D",IF(AND(INDEX($W$8:$W$407,$AA402)=1,395=INDEX($X$8:$X$407,$AA402)+INDEX($V$8:$V$407,$AA402)),"S","R"))))))</f>
        <v/>
      </c>
      <c r="AC402">
        <f>IF(OR($AB402="",$AB402="G"),"",IF($AB402="D",INDEX($U$8:$U$407,$AA402),IF($AB402="S",INDEX($T$8:$T$407,$AA402)&amp;"|*",INDEX($S$8:$S$407,$AA402)&amp;"|*")))</f>
        <v/>
      </c>
      <c r="AE402">
        <f>IF($U402="",0,COUNTIF(บันทึกรายเที่ยว!$T$6:$T$6005,$U402))</f>
        <v/>
      </c>
      <c r="AF402">
        <f>IF($U402="",0,ROUND(SUMIF(บันทึกรายเที่ยว!$T$6:$T$6005,$U402,บันทึกรายเที่ยว!$J$6:$J$6005),2))</f>
        <v/>
      </c>
      <c r="AG402">
        <f>IF($U402="",0,ROUND(SUMIF(บันทึกรายเที่ยว!$T$6:$T$6005,$U402,บันทึกรายเที่ยว!$K$6:$K$6005),2))</f>
        <v/>
      </c>
      <c r="AH402">
        <f>IF($U402="",0,ROUND(SUMIF(บันทึกรายเที่ยว!$T$6:$T$6005,$U402,บันทึกรายเที่ยว!$M$6:$M$6005),2))</f>
        <v/>
      </c>
    </row>
    <row r="403" ht="21" customHeight="1" s="66">
      <c r="A403" s="3">
        <f>IF($AB403="G","ผลรวมทั้งหมด",IF($AB403="R",INDEX($S$8:$S$407,$AA403),""))</f>
        <v/>
      </c>
      <c r="B403" s="3">
        <f>IF($AB403="S",INDEX($Y$8:$Y$407,$AA403),"")</f>
        <v/>
      </c>
      <c r="C403" s="68">
        <f>IF($AB403="D",INDEX($Z$8:$Z$407,$AA403),"")</f>
        <v/>
      </c>
      <c r="D403" s="31">
        <f>IF($AB403="G",SUM($AE$8:$AE$407),IF(OR($AB403="",$AB403="R"),"",IF($AB403="D",INDEX($AE$8:$AE$407,$AA403),SUMIF($T$8:$T$407,INDEX($T$8:$T$407,$AA403),$AE$8:$AE$407))))</f>
        <v/>
      </c>
      <c r="E403" s="32">
        <f>IF(396=$AD$1+3,"ขอแสดงความนับถือ",IF(396=$AD$1+6,"(                 )",IF(396=$AD$1+7,"เจ้าหน้าที่ขนส่ง",IF($AB403="G",SUM($AF$8:$AF$407),IF(OR($AB403="",$AB403="R"),"",IF($AB403="D",INDEX($AF$8:$AF$407,$AA403),SUMIF($T$8:$T$407,INDEX($T$8:$T$407,$AA403),$AF$8:$AF$407)))))))</f>
        <v/>
      </c>
      <c r="F403" s="32">
        <f>IF($AB403="G",SUM($AG$8:$AG$407),IF(OR($AB403="",$AB403="R"),"",IF($AB403="D",INDEX($AG$8:$AG$407,$AA403),SUMIF($T$8:$T$407,INDEX($T$8:$T$407,$AA403),$AG$8:$AG$407))))</f>
        <v/>
      </c>
      <c r="G403" s="32">
        <f>IF(OR($AB403="",$AB403="R"),"",ROUND($E403-$F403,2))</f>
        <v/>
      </c>
      <c r="H403" s="32">
        <f>IF($AB403="G",SUM($AH$8:$AH$407),IF(OR($AB403="",$AB403="R"),"",IF($AB403="D",INDEX($AH$8:$AH$407,$AA403),SUMIF($T$8:$T$407,INDEX($T$8:$T$407,$AA403),$AH$8:$AH$407))))</f>
        <v/>
      </c>
      <c r="J403">
        <f>IFERROR(MATCH(396,บันทึกรายเที่ยว!$W$6:$W$6005,0),"")</f>
        <v/>
      </c>
      <c r="K403">
        <f>IF($J403="","",INDEX(บันทึกรายเที่ยว!$T$6:$T$6005,$J403))</f>
        <v/>
      </c>
      <c r="L403">
        <f>IF($J403="","",INDEX(บันทึกรายเที่ยว!$S$6:$S$6005,$J403))</f>
        <v/>
      </c>
      <c r="M403">
        <f>IF($J403="","",INDEX(บันทึกรายเที่ยว!$R$6:$R$6005,$J403))</f>
        <v/>
      </c>
      <c r="N403">
        <f>IF($J403="","",MATCH($M403,บันทึกรายเที่ยว!$R$6:$R$6005,0))</f>
        <v/>
      </c>
      <c r="O403">
        <f>IF($J403="","",MATCH($L403,บันทึกรายเที่ยว!$S$6:$S$6005,0))</f>
        <v/>
      </c>
      <c r="P403">
        <f>IF($J403="","",IF(AND(OR($I$3="(ทั้งหมด)",INDEX(บันทึกรายเที่ยว!$C$6:$C$6005,$J403)=$I$3),OR($I$5="(ทั้งหมด)",INDEX(บันทึกรายเที่ยว!$D$6:$D$6005,$J403)=$I$5),OR($I$7="(ทั้งหมด)",INDEX(บันทึกรายเที่ยว!$F$6:$F$6005,$J403)=$I$7)),$N403*10000000+$O403*1000+396,""))</f>
        <v/>
      </c>
      <c r="Q403">
        <f>IFERROR(MATCH(SMALL($P$8:$P$407,396),$P$8:$P$407,0),"")</f>
        <v/>
      </c>
      <c r="R403">
        <f>IF($Q403="","",INDEX($J$8:$J$407,$Q403))</f>
        <v/>
      </c>
      <c r="S403">
        <f>IF($Q403="","",INDEX($M$8:$M$407,$Q403))</f>
        <v/>
      </c>
      <c r="T403">
        <f>IF($Q403="","",INDEX($L$8:$L$407,$Q403))</f>
        <v/>
      </c>
      <c r="U403">
        <f>IF($Q403="","",INDEX($K$8:$K$407,$Q403))</f>
        <v/>
      </c>
      <c r="V403">
        <f>IF($Q403="",0,IF($S403&lt;&gt;$S402,1,0))</f>
        <v/>
      </c>
      <c r="W403">
        <f>IF($Q403="",0,IF($T403&lt;&gt;$T402,1,0))</f>
        <v/>
      </c>
      <c r="X403">
        <f>IF($Q403="",99999+396,$X402+1+$V402+$W402)</f>
        <v/>
      </c>
      <c r="Y403">
        <f>IF($Q403="","",INDEX(บันทึกรายเที่ยว!$Q$6:$Q$6005,$R403))</f>
        <v/>
      </c>
      <c r="Z403">
        <f>IF($Q403="","",INDEX(บันทึกรายเที่ยว!$F$6:$F$6005,$R403))</f>
        <v/>
      </c>
      <c r="AA403">
        <f>IFERROR(MATCH(396,$X$8:$X$407,1),"")</f>
        <v/>
      </c>
      <c r="AB403">
        <f>IF(396=$AD$1+1,"G",IF($AA403="","",IF(INDEX($Q$8:$Q$407,$AA403)="","",IF(396&gt;INDEX($X$8:$X$407,$AA403)+INDEX($V$8:$V$407,$AA403)+INDEX($W$8:$W$407,$AA403),"",IF(396=INDEX($X$8:$X$407,$AA403)+INDEX($V$8:$V$407,$AA403)+INDEX($W$8:$W$407,$AA403),"D",IF(AND(INDEX($W$8:$W$407,$AA403)=1,396=INDEX($X$8:$X$407,$AA403)+INDEX($V$8:$V$407,$AA403)),"S","R"))))))</f>
        <v/>
      </c>
      <c r="AC403">
        <f>IF(OR($AB403="",$AB403="G"),"",IF($AB403="D",INDEX($U$8:$U$407,$AA403),IF($AB403="S",INDEX($T$8:$T$407,$AA403)&amp;"|*",INDEX($S$8:$S$407,$AA403)&amp;"|*")))</f>
        <v/>
      </c>
      <c r="AE403">
        <f>IF($U403="",0,COUNTIF(บันทึกรายเที่ยว!$T$6:$T$6005,$U403))</f>
        <v/>
      </c>
      <c r="AF403">
        <f>IF($U403="",0,ROUND(SUMIF(บันทึกรายเที่ยว!$T$6:$T$6005,$U403,บันทึกรายเที่ยว!$J$6:$J$6005),2))</f>
        <v/>
      </c>
      <c r="AG403">
        <f>IF($U403="",0,ROUND(SUMIF(บันทึกรายเที่ยว!$T$6:$T$6005,$U403,บันทึกรายเที่ยว!$K$6:$K$6005),2))</f>
        <v/>
      </c>
      <c r="AH403">
        <f>IF($U403="",0,ROUND(SUMIF(บันทึกรายเที่ยว!$T$6:$T$6005,$U403,บันทึกรายเที่ยว!$M$6:$M$6005),2))</f>
        <v/>
      </c>
    </row>
    <row r="404" ht="21" customHeight="1" s="66">
      <c r="A404" s="3">
        <f>IF($AB404="G","ผลรวมทั้งหมด",IF($AB404="R",INDEX($S$8:$S$407,$AA404),""))</f>
        <v/>
      </c>
      <c r="B404" s="3">
        <f>IF($AB404="S",INDEX($Y$8:$Y$407,$AA404),"")</f>
        <v/>
      </c>
      <c r="C404" s="68">
        <f>IF($AB404="D",INDEX($Z$8:$Z$407,$AA404),"")</f>
        <v/>
      </c>
      <c r="D404" s="31">
        <f>IF($AB404="G",SUM($AE$8:$AE$407),IF(OR($AB404="",$AB404="R"),"",IF($AB404="D",INDEX($AE$8:$AE$407,$AA404),SUMIF($T$8:$T$407,INDEX($T$8:$T$407,$AA404),$AE$8:$AE$407))))</f>
        <v/>
      </c>
      <c r="E404" s="32">
        <f>IF(397=$AD$1+3,"ขอแสดงความนับถือ",IF(397=$AD$1+6,"(                 )",IF(397=$AD$1+7,"เจ้าหน้าที่ขนส่ง",IF($AB404="G",SUM($AF$8:$AF$407),IF(OR($AB404="",$AB404="R"),"",IF($AB404="D",INDEX($AF$8:$AF$407,$AA404),SUMIF($T$8:$T$407,INDEX($T$8:$T$407,$AA404),$AF$8:$AF$407)))))))</f>
        <v/>
      </c>
      <c r="F404" s="32">
        <f>IF($AB404="G",SUM($AG$8:$AG$407),IF(OR($AB404="",$AB404="R"),"",IF($AB404="D",INDEX($AG$8:$AG$407,$AA404),SUMIF($T$8:$T$407,INDEX($T$8:$T$407,$AA404),$AG$8:$AG$407))))</f>
        <v/>
      </c>
      <c r="G404" s="32">
        <f>IF(OR($AB404="",$AB404="R"),"",ROUND($E404-$F404,2))</f>
        <v/>
      </c>
      <c r="H404" s="32">
        <f>IF($AB404="G",SUM($AH$8:$AH$407),IF(OR($AB404="",$AB404="R"),"",IF($AB404="D",INDEX($AH$8:$AH$407,$AA404),SUMIF($T$8:$T$407,INDEX($T$8:$T$407,$AA404),$AH$8:$AH$407))))</f>
        <v/>
      </c>
      <c r="J404">
        <f>IFERROR(MATCH(397,บันทึกรายเที่ยว!$W$6:$W$6005,0),"")</f>
        <v/>
      </c>
      <c r="K404">
        <f>IF($J404="","",INDEX(บันทึกรายเที่ยว!$T$6:$T$6005,$J404))</f>
        <v/>
      </c>
      <c r="L404">
        <f>IF($J404="","",INDEX(บันทึกรายเที่ยว!$S$6:$S$6005,$J404))</f>
        <v/>
      </c>
      <c r="M404">
        <f>IF($J404="","",INDEX(บันทึกรายเที่ยว!$R$6:$R$6005,$J404))</f>
        <v/>
      </c>
      <c r="N404">
        <f>IF($J404="","",MATCH($M404,บันทึกรายเที่ยว!$R$6:$R$6005,0))</f>
        <v/>
      </c>
      <c r="O404">
        <f>IF($J404="","",MATCH($L404,บันทึกรายเที่ยว!$S$6:$S$6005,0))</f>
        <v/>
      </c>
      <c r="P404">
        <f>IF($J404="","",IF(AND(OR($I$3="(ทั้งหมด)",INDEX(บันทึกรายเที่ยว!$C$6:$C$6005,$J404)=$I$3),OR($I$5="(ทั้งหมด)",INDEX(บันทึกรายเที่ยว!$D$6:$D$6005,$J404)=$I$5),OR($I$7="(ทั้งหมด)",INDEX(บันทึกรายเที่ยว!$F$6:$F$6005,$J404)=$I$7)),$N404*10000000+$O404*1000+397,""))</f>
        <v/>
      </c>
      <c r="Q404">
        <f>IFERROR(MATCH(SMALL($P$8:$P$407,397),$P$8:$P$407,0),"")</f>
        <v/>
      </c>
      <c r="R404">
        <f>IF($Q404="","",INDEX($J$8:$J$407,$Q404))</f>
        <v/>
      </c>
      <c r="S404">
        <f>IF($Q404="","",INDEX($M$8:$M$407,$Q404))</f>
        <v/>
      </c>
      <c r="T404">
        <f>IF($Q404="","",INDEX($L$8:$L$407,$Q404))</f>
        <v/>
      </c>
      <c r="U404">
        <f>IF($Q404="","",INDEX($K$8:$K$407,$Q404))</f>
        <v/>
      </c>
      <c r="V404">
        <f>IF($Q404="",0,IF($S404&lt;&gt;$S403,1,0))</f>
        <v/>
      </c>
      <c r="W404">
        <f>IF($Q404="",0,IF($T404&lt;&gt;$T403,1,0))</f>
        <v/>
      </c>
      <c r="X404">
        <f>IF($Q404="",99999+397,$X403+1+$V403+$W403)</f>
        <v/>
      </c>
      <c r="Y404">
        <f>IF($Q404="","",INDEX(บันทึกรายเที่ยว!$Q$6:$Q$6005,$R404))</f>
        <v/>
      </c>
      <c r="Z404">
        <f>IF($Q404="","",INDEX(บันทึกรายเที่ยว!$F$6:$F$6005,$R404))</f>
        <v/>
      </c>
      <c r="AA404">
        <f>IFERROR(MATCH(397,$X$8:$X$407,1),"")</f>
        <v/>
      </c>
      <c r="AB404">
        <f>IF(397=$AD$1+1,"G",IF($AA404="","",IF(INDEX($Q$8:$Q$407,$AA404)="","",IF(397&gt;INDEX($X$8:$X$407,$AA404)+INDEX($V$8:$V$407,$AA404)+INDEX($W$8:$W$407,$AA404),"",IF(397=INDEX($X$8:$X$407,$AA404)+INDEX($V$8:$V$407,$AA404)+INDEX($W$8:$W$407,$AA404),"D",IF(AND(INDEX($W$8:$W$407,$AA404)=1,397=INDEX($X$8:$X$407,$AA404)+INDEX($V$8:$V$407,$AA404)),"S","R"))))))</f>
        <v/>
      </c>
      <c r="AC404">
        <f>IF(OR($AB404="",$AB404="G"),"",IF($AB404="D",INDEX($U$8:$U$407,$AA404),IF($AB404="S",INDEX($T$8:$T$407,$AA404)&amp;"|*",INDEX($S$8:$S$407,$AA404)&amp;"|*")))</f>
        <v/>
      </c>
      <c r="AE404">
        <f>IF($U404="",0,COUNTIF(บันทึกรายเที่ยว!$T$6:$T$6005,$U404))</f>
        <v/>
      </c>
      <c r="AF404">
        <f>IF($U404="",0,ROUND(SUMIF(บันทึกรายเที่ยว!$T$6:$T$6005,$U404,บันทึกรายเที่ยว!$J$6:$J$6005),2))</f>
        <v/>
      </c>
      <c r="AG404">
        <f>IF($U404="",0,ROUND(SUMIF(บันทึกรายเที่ยว!$T$6:$T$6005,$U404,บันทึกรายเที่ยว!$K$6:$K$6005),2))</f>
        <v/>
      </c>
      <c r="AH404">
        <f>IF($U404="",0,ROUND(SUMIF(บันทึกรายเที่ยว!$T$6:$T$6005,$U404,บันทึกรายเที่ยว!$M$6:$M$6005),2))</f>
        <v/>
      </c>
    </row>
    <row r="405" ht="21" customHeight="1" s="66">
      <c r="A405" s="3">
        <f>IF($AB405="G","ผลรวมทั้งหมด",IF($AB405="R",INDEX($S$8:$S$407,$AA405),""))</f>
        <v/>
      </c>
      <c r="B405" s="3">
        <f>IF($AB405="S",INDEX($Y$8:$Y$407,$AA405),"")</f>
        <v/>
      </c>
      <c r="C405" s="68">
        <f>IF($AB405="D",INDEX($Z$8:$Z$407,$AA405),"")</f>
        <v/>
      </c>
      <c r="D405" s="31">
        <f>IF($AB405="G",SUM($AE$8:$AE$407),IF(OR($AB405="",$AB405="R"),"",IF($AB405="D",INDEX($AE$8:$AE$407,$AA405),SUMIF($T$8:$T$407,INDEX($T$8:$T$407,$AA405),$AE$8:$AE$407))))</f>
        <v/>
      </c>
      <c r="E405" s="32">
        <f>IF(398=$AD$1+3,"ขอแสดงความนับถือ",IF(398=$AD$1+6,"(                 )",IF(398=$AD$1+7,"เจ้าหน้าที่ขนส่ง",IF($AB405="G",SUM($AF$8:$AF$407),IF(OR($AB405="",$AB405="R"),"",IF($AB405="D",INDEX($AF$8:$AF$407,$AA405),SUMIF($T$8:$T$407,INDEX($T$8:$T$407,$AA405),$AF$8:$AF$407)))))))</f>
        <v/>
      </c>
      <c r="F405" s="32">
        <f>IF($AB405="G",SUM($AG$8:$AG$407),IF(OR($AB405="",$AB405="R"),"",IF($AB405="D",INDEX($AG$8:$AG$407,$AA405),SUMIF($T$8:$T$407,INDEX($T$8:$T$407,$AA405),$AG$8:$AG$407))))</f>
        <v/>
      </c>
      <c r="G405" s="32">
        <f>IF(OR($AB405="",$AB405="R"),"",ROUND($E405-$F405,2))</f>
        <v/>
      </c>
      <c r="H405" s="32">
        <f>IF($AB405="G",SUM($AH$8:$AH$407),IF(OR($AB405="",$AB405="R"),"",IF($AB405="D",INDEX($AH$8:$AH$407,$AA405),SUMIF($T$8:$T$407,INDEX($T$8:$T$407,$AA405),$AH$8:$AH$407))))</f>
        <v/>
      </c>
      <c r="J405">
        <f>IFERROR(MATCH(398,บันทึกรายเที่ยว!$W$6:$W$6005,0),"")</f>
        <v/>
      </c>
      <c r="K405">
        <f>IF($J405="","",INDEX(บันทึกรายเที่ยว!$T$6:$T$6005,$J405))</f>
        <v/>
      </c>
      <c r="L405">
        <f>IF($J405="","",INDEX(บันทึกรายเที่ยว!$S$6:$S$6005,$J405))</f>
        <v/>
      </c>
      <c r="M405">
        <f>IF($J405="","",INDEX(บันทึกรายเที่ยว!$R$6:$R$6005,$J405))</f>
        <v/>
      </c>
      <c r="N405">
        <f>IF($J405="","",MATCH($M405,บันทึกรายเที่ยว!$R$6:$R$6005,0))</f>
        <v/>
      </c>
      <c r="O405">
        <f>IF($J405="","",MATCH($L405,บันทึกรายเที่ยว!$S$6:$S$6005,0))</f>
        <v/>
      </c>
      <c r="P405">
        <f>IF($J405="","",IF(AND(OR($I$3="(ทั้งหมด)",INDEX(บันทึกรายเที่ยว!$C$6:$C$6005,$J405)=$I$3),OR($I$5="(ทั้งหมด)",INDEX(บันทึกรายเที่ยว!$D$6:$D$6005,$J405)=$I$5),OR($I$7="(ทั้งหมด)",INDEX(บันทึกรายเที่ยว!$F$6:$F$6005,$J405)=$I$7)),$N405*10000000+$O405*1000+398,""))</f>
        <v/>
      </c>
      <c r="Q405">
        <f>IFERROR(MATCH(SMALL($P$8:$P$407,398),$P$8:$P$407,0),"")</f>
        <v/>
      </c>
      <c r="R405">
        <f>IF($Q405="","",INDEX($J$8:$J$407,$Q405))</f>
        <v/>
      </c>
      <c r="S405">
        <f>IF($Q405="","",INDEX($M$8:$M$407,$Q405))</f>
        <v/>
      </c>
      <c r="T405">
        <f>IF($Q405="","",INDEX($L$8:$L$407,$Q405))</f>
        <v/>
      </c>
      <c r="U405">
        <f>IF($Q405="","",INDEX($K$8:$K$407,$Q405))</f>
        <v/>
      </c>
      <c r="V405">
        <f>IF($Q405="",0,IF($S405&lt;&gt;$S404,1,0))</f>
        <v/>
      </c>
      <c r="W405">
        <f>IF($Q405="",0,IF($T405&lt;&gt;$T404,1,0))</f>
        <v/>
      </c>
      <c r="X405">
        <f>IF($Q405="",99999+398,$X404+1+$V404+$W404)</f>
        <v/>
      </c>
      <c r="Y405">
        <f>IF($Q405="","",INDEX(บันทึกรายเที่ยว!$Q$6:$Q$6005,$R405))</f>
        <v/>
      </c>
      <c r="Z405">
        <f>IF($Q405="","",INDEX(บันทึกรายเที่ยว!$F$6:$F$6005,$R405))</f>
        <v/>
      </c>
      <c r="AA405">
        <f>IFERROR(MATCH(398,$X$8:$X$407,1),"")</f>
        <v/>
      </c>
      <c r="AB405">
        <f>IF(398=$AD$1+1,"G",IF($AA405="","",IF(INDEX($Q$8:$Q$407,$AA405)="","",IF(398&gt;INDEX($X$8:$X$407,$AA405)+INDEX($V$8:$V$407,$AA405)+INDEX($W$8:$W$407,$AA405),"",IF(398=INDEX($X$8:$X$407,$AA405)+INDEX($V$8:$V$407,$AA405)+INDEX($W$8:$W$407,$AA405),"D",IF(AND(INDEX($W$8:$W$407,$AA405)=1,398=INDEX($X$8:$X$407,$AA405)+INDEX($V$8:$V$407,$AA405)),"S","R"))))))</f>
        <v/>
      </c>
      <c r="AC405">
        <f>IF(OR($AB405="",$AB405="G"),"",IF($AB405="D",INDEX($U$8:$U$407,$AA405),IF($AB405="S",INDEX($T$8:$T$407,$AA405)&amp;"|*",INDEX($S$8:$S$407,$AA405)&amp;"|*")))</f>
        <v/>
      </c>
      <c r="AE405">
        <f>IF($U405="",0,COUNTIF(บันทึกรายเที่ยว!$T$6:$T$6005,$U405))</f>
        <v/>
      </c>
      <c r="AF405">
        <f>IF($U405="",0,ROUND(SUMIF(บันทึกรายเที่ยว!$T$6:$T$6005,$U405,บันทึกรายเที่ยว!$J$6:$J$6005),2))</f>
        <v/>
      </c>
      <c r="AG405">
        <f>IF($U405="",0,ROUND(SUMIF(บันทึกรายเที่ยว!$T$6:$T$6005,$U405,บันทึกรายเที่ยว!$K$6:$K$6005),2))</f>
        <v/>
      </c>
      <c r="AH405">
        <f>IF($U405="",0,ROUND(SUMIF(บันทึกรายเที่ยว!$T$6:$T$6005,$U405,บันทึกรายเที่ยว!$M$6:$M$6005),2))</f>
        <v/>
      </c>
    </row>
    <row r="406" ht="21" customHeight="1" s="66">
      <c r="A406" s="3">
        <f>IF($AB406="G","ผลรวมทั้งหมด",IF($AB406="R",INDEX($S$8:$S$407,$AA406),""))</f>
        <v/>
      </c>
      <c r="B406" s="3">
        <f>IF($AB406="S",INDEX($Y$8:$Y$407,$AA406),"")</f>
        <v/>
      </c>
      <c r="C406" s="68">
        <f>IF($AB406="D",INDEX($Z$8:$Z$407,$AA406),"")</f>
        <v/>
      </c>
      <c r="D406" s="31">
        <f>IF($AB406="G",SUM($AE$8:$AE$407),IF(OR($AB406="",$AB406="R"),"",IF($AB406="D",INDEX($AE$8:$AE$407,$AA406),SUMIF($T$8:$T$407,INDEX($T$8:$T$407,$AA406),$AE$8:$AE$407))))</f>
        <v/>
      </c>
      <c r="E406" s="32">
        <f>IF(399=$AD$1+3,"ขอแสดงความนับถือ",IF(399=$AD$1+6,"(                 )",IF(399=$AD$1+7,"เจ้าหน้าที่ขนส่ง",IF($AB406="G",SUM($AF$8:$AF$407),IF(OR($AB406="",$AB406="R"),"",IF($AB406="D",INDEX($AF$8:$AF$407,$AA406),SUMIF($T$8:$T$407,INDEX($T$8:$T$407,$AA406),$AF$8:$AF$407)))))))</f>
        <v/>
      </c>
      <c r="F406" s="32">
        <f>IF($AB406="G",SUM($AG$8:$AG$407),IF(OR($AB406="",$AB406="R"),"",IF($AB406="D",INDEX($AG$8:$AG$407,$AA406),SUMIF($T$8:$T$407,INDEX($T$8:$T$407,$AA406),$AG$8:$AG$407))))</f>
        <v/>
      </c>
      <c r="G406" s="32">
        <f>IF(OR($AB406="",$AB406="R"),"",ROUND($E406-$F406,2))</f>
        <v/>
      </c>
      <c r="H406" s="32">
        <f>IF($AB406="G",SUM($AH$8:$AH$407),IF(OR($AB406="",$AB406="R"),"",IF($AB406="D",INDEX($AH$8:$AH$407,$AA406),SUMIF($T$8:$T$407,INDEX($T$8:$T$407,$AA406),$AH$8:$AH$407))))</f>
        <v/>
      </c>
      <c r="J406">
        <f>IFERROR(MATCH(399,บันทึกรายเที่ยว!$W$6:$W$6005,0),"")</f>
        <v/>
      </c>
      <c r="K406">
        <f>IF($J406="","",INDEX(บันทึกรายเที่ยว!$T$6:$T$6005,$J406))</f>
        <v/>
      </c>
      <c r="L406">
        <f>IF($J406="","",INDEX(บันทึกรายเที่ยว!$S$6:$S$6005,$J406))</f>
        <v/>
      </c>
      <c r="M406">
        <f>IF($J406="","",INDEX(บันทึกรายเที่ยว!$R$6:$R$6005,$J406))</f>
        <v/>
      </c>
      <c r="N406">
        <f>IF($J406="","",MATCH($M406,บันทึกรายเที่ยว!$R$6:$R$6005,0))</f>
        <v/>
      </c>
      <c r="O406">
        <f>IF($J406="","",MATCH($L406,บันทึกรายเที่ยว!$S$6:$S$6005,0))</f>
        <v/>
      </c>
      <c r="P406">
        <f>IF($J406="","",IF(AND(OR($I$3="(ทั้งหมด)",INDEX(บันทึกรายเที่ยว!$C$6:$C$6005,$J406)=$I$3),OR($I$5="(ทั้งหมด)",INDEX(บันทึกรายเที่ยว!$D$6:$D$6005,$J406)=$I$5),OR($I$7="(ทั้งหมด)",INDEX(บันทึกรายเที่ยว!$F$6:$F$6005,$J406)=$I$7)),$N406*10000000+$O406*1000+399,""))</f>
        <v/>
      </c>
      <c r="Q406">
        <f>IFERROR(MATCH(SMALL($P$8:$P$407,399),$P$8:$P$407,0),"")</f>
        <v/>
      </c>
      <c r="R406">
        <f>IF($Q406="","",INDEX($J$8:$J$407,$Q406))</f>
        <v/>
      </c>
      <c r="S406">
        <f>IF($Q406="","",INDEX($M$8:$M$407,$Q406))</f>
        <v/>
      </c>
      <c r="T406">
        <f>IF($Q406="","",INDEX($L$8:$L$407,$Q406))</f>
        <v/>
      </c>
      <c r="U406">
        <f>IF($Q406="","",INDEX($K$8:$K$407,$Q406))</f>
        <v/>
      </c>
      <c r="V406">
        <f>IF($Q406="",0,IF($S406&lt;&gt;$S405,1,0))</f>
        <v/>
      </c>
      <c r="W406">
        <f>IF($Q406="",0,IF($T406&lt;&gt;$T405,1,0))</f>
        <v/>
      </c>
      <c r="X406">
        <f>IF($Q406="",99999+399,$X405+1+$V405+$W405)</f>
        <v/>
      </c>
      <c r="Y406">
        <f>IF($Q406="","",INDEX(บันทึกรายเที่ยว!$Q$6:$Q$6005,$R406))</f>
        <v/>
      </c>
      <c r="Z406">
        <f>IF($Q406="","",INDEX(บันทึกรายเที่ยว!$F$6:$F$6005,$R406))</f>
        <v/>
      </c>
      <c r="AA406">
        <f>IFERROR(MATCH(399,$X$8:$X$407,1),"")</f>
        <v/>
      </c>
      <c r="AB406">
        <f>IF(399=$AD$1+1,"G",IF($AA406="","",IF(INDEX($Q$8:$Q$407,$AA406)="","",IF(399&gt;INDEX($X$8:$X$407,$AA406)+INDEX($V$8:$V$407,$AA406)+INDEX($W$8:$W$407,$AA406),"",IF(399=INDEX($X$8:$X$407,$AA406)+INDEX($V$8:$V$407,$AA406)+INDEX($W$8:$W$407,$AA406),"D",IF(AND(INDEX($W$8:$W$407,$AA406)=1,399=INDEX($X$8:$X$407,$AA406)+INDEX($V$8:$V$407,$AA406)),"S","R"))))))</f>
        <v/>
      </c>
      <c r="AC406">
        <f>IF(OR($AB406="",$AB406="G"),"",IF($AB406="D",INDEX($U$8:$U$407,$AA406),IF($AB406="S",INDEX($T$8:$T$407,$AA406)&amp;"|*",INDEX($S$8:$S$407,$AA406)&amp;"|*")))</f>
        <v/>
      </c>
      <c r="AE406">
        <f>IF($U406="",0,COUNTIF(บันทึกรายเที่ยว!$T$6:$T$6005,$U406))</f>
        <v/>
      </c>
      <c r="AF406">
        <f>IF($U406="",0,ROUND(SUMIF(บันทึกรายเที่ยว!$T$6:$T$6005,$U406,บันทึกรายเที่ยว!$J$6:$J$6005),2))</f>
        <v/>
      </c>
      <c r="AG406">
        <f>IF($U406="",0,ROUND(SUMIF(บันทึกรายเที่ยว!$T$6:$T$6005,$U406,บันทึกรายเที่ยว!$K$6:$K$6005),2))</f>
        <v/>
      </c>
      <c r="AH406">
        <f>IF($U406="",0,ROUND(SUMIF(บันทึกรายเที่ยว!$T$6:$T$6005,$U406,บันทึกรายเที่ยว!$M$6:$M$6005),2))</f>
        <v/>
      </c>
    </row>
    <row r="407" ht="21" customHeight="1" s="66">
      <c r="A407" s="3">
        <f>IF($AB407="G","ผลรวมทั้งหมด",IF($AB407="R",INDEX($S$8:$S$407,$AA407),""))</f>
        <v/>
      </c>
      <c r="B407" s="3">
        <f>IF($AB407="S",INDEX($Y$8:$Y$407,$AA407),"")</f>
        <v/>
      </c>
      <c r="C407" s="68">
        <f>IF($AB407="D",INDEX($Z$8:$Z$407,$AA407),"")</f>
        <v/>
      </c>
      <c r="D407" s="31">
        <f>IF($AB407="G",SUM($AE$8:$AE$407),IF(OR($AB407="",$AB407="R"),"",IF($AB407="D",INDEX($AE$8:$AE$407,$AA407),SUMIF($T$8:$T$407,INDEX($T$8:$T$407,$AA407),$AE$8:$AE$407))))</f>
        <v/>
      </c>
      <c r="E407" s="32">
        <f>IF(400=$AD$1+3,"ขอแสดงความนับถือ",IF(400=$AD$1+6,"(                 )",IF(400=$AD$1+7,"เจ้าหน้าที่ขนส่ง",IF($AB407="G",SUM($AF$8:$AF$407),IF(OR($AB407="",$AB407="R"),"",IF($AB407="D",INDEX($AF$8:$AF$407,$AA407),SUMIF($T$8:$T$407,INDEX($T$8:$T$407,$AA407),$AF$8:$AF$407)))))))</f>
        <v/>
      </c>
      <c r="F407" s="32">
        <f>IF($AB407="G",SUM($AG$8:$AG$407),IF(OR($AB407="",$AB407="R"),"",IF($AB407="D",INDEX($AG$8:$AG$407,$AA407),SUMIF($T$8:$T$407,INDEX($T$8:$T$407,$AA407),$AG$8:$AG$407))))</f>
        <v/>
      </c>
      <c r="G407" s="32">
        <f>IF(OR($AB407="",$AB407="R"),"",ROUND($E407-$F407,2))</f>
        <v/>
      </c>
      <c r="H407" s="32">
        <f>IF($AB407="G",SUM($AH$8:$AH$407),IF(OR($AB407="",$AB407="R"),"",IF($AB407="D",INDEX($AH$8:$AH$407,$AA407),SUMIF($T$8:$T$407,INDEX($T$8:$T$407,$AA407),$AH$8:$AH$407))))</f>
        <v/>
      </c>
      <c r="J407">
        <f>IFERROR(MATCH(400,บันทึกรายเที่ยว!$W$6:$W$6005,0),"")</f>
        <v/>
      </c>
      <c r="K407">
        <f>IF($J407="","",INDEX(บันทึกรายเที่ยว!$T$6:$T$6005,$J407))</f>
        <v/>
      </c>
      <c r="L407">
        <f>IF($J407="","",INDEX(บันทึกรายเที่ยว!$S$6:$S$6005,$J407))</f>
        <v/>
      </c>
      <c r="M407">
        <f>IF($J407="","",INDEX(บันทึกรายเที่ยว!$R$6:$R$6005,$J407))</f>
        <v/>
      </c>
      <c r="N407">
        <f>IF($J407="","",MATCH($M407,บันทึกรายเที่ยว!$R$6:$R$6005,0))</f>
        <v/>
      </c>
      <c r="O407">
        <f>IF($J407="","",MATCH($L407,บันทึกรายเที่ยว!$S$6:$S$6005,0))</f>
        <v/>
      </c>
      <c r="P407">
        <f>IF($J407="","",IF(AND(OR($I$3="(ทั้งหมด)",INDEX(บันทึกรายเที่ยว!$C$6:$C$6005,$J407)=$I$3),OR($I$5="(ทั้งหมด)",INDEX(บันทึกรายเที่ยว!$D$6:$D$6005,$J407)=$I$5),OR($I$7="(ทั้งหมด)",INDEX(บันทึกรายเที่ยว!$F$6:$F$6005,$J407)=$I$7)),$N407*10000000+$O407*1000+400,""))</f>
        <v/>
      </c>
      <c r="Q407">
        <f>IFERROR(MATCH(SMALL($P$8:$P$407,400),$P$8:$P$407,0),"")</f>
        <v/>
      </c>
      <c r="R407">
        <f>IF($Q407="","",INDEX($J$8:$J$407,$Q407))</f>
        <v/>
      </c>
      <c r="S407">
        <f>IF($Q407="","",INDEX($M$8:$M$407,$Q407))</f>
        <v/>
      </c>
      <c r="T407">
        <f>IF($Q407="","",INDEX($L$8:$L$407,$Q407))</f>
        <v/>
      </c>
      <c r="U407">
        <f>IF($Q407="","",INDEX($K$8:$K$407,$Q407))</f>
        <v/>
      </c>
      <c r="V407">
        <f>IF($Q407="",0,IF($S407&lt;&gt;$S406,1,0))</f>
        <v/>
      </c>
      <c r="W407">
        <f>IF($Q407="",0,IF($T407&lt;&gt;$T406,1,0))</f>
        <v/>
      </c>
      <c r="X407">
        <f>IF($Q407="",99999+400,$X406+1+$V406+$W406)</f>
        <v/>
      </c>
      <c r="Y407">
        <f>IF($Q407="","",INDEX(บันทึกรายเที่ยว!$Q$6:$Q$6005,$R407))</f>
        <v/>
      </c>
      <c r="Z407">
        <f>IF($Q407="","",INDEX(บันทึกรายเที่ยว!$F$6:$F$6005,$R407))</f>
        <v/>
      </c>
      <c r="AA407">
        <f>IFERROR(MATCH(400,$X$8:$X$407,1),"")</f>
        <v/>
      </c>
      <c r="AB407">
        <f>IF(400=$AD$1+1,"G",IF($AA407="","",IF(INDEX($Q$8:$Q$407,$AA407)="","",IF(400&gt;INDEX($X$8:$X$407,$AA407)+INDEX($V$8:$V$407,$AA407)+INDEX($W$8:$W$407,$AA407),"",IF(400=INDEX($X$8:$X$407,$AA407)+INDEX($V$8:$V$407,$AA407)+INDEX($W$8:$W$407,$AA407),"D",IF(AND(INDEX($W$8:$W$407,$AA407)=1,400=INDEX($X$8:$X$407,$AA407)+INDEX($V$8:$V$407,$AA407)),"S","R"))))))</f>
        <v/>
      </c>
      <c r="AC407">
        <f>IF(OR($AB407="",$AB407="G"),"",IF($AB407="D",INDEX($U$8:$U$407,$AA407),IF($AB407="S",INDEX($T$8:$T$407,$AA407)&amp;"|*",INDEX($S$8:$S$407,$AA407)&amp;"|*")))</f>
        <v/>
      </c>
      <c r="AE407">
        <f>IF($U407="",0,COUNTIF(บันทึกรายเที่ยว!$T$6:$T$6005,$U407))</f>
        <v/>
      </c>
      <c r="AF407">
        <f>IF($U407="",0,ROUND(SUMIF(บันทึกรายเที่ยว!$T$6:$T$6005,$U407,บันทึกรายเที่ยว!$J$6:$J$6005),2))</f>
        <v/>
      </c>
      <c r="AG407">
        <f>IF($U407="",0,ROUND(SUMIF(บันทึกรายเที่ยว!$T$6:$T$6005,$U407,บันทึกรายเที่ยว!$K$6:$K$6005),2))</f>
        <v/>
      </c>
      <c r="AH407">
        <f>IF($U407="",0,ROUND(SUMIF(บันทึกรายเที่ยว!$T$6:$T$6005,$U407,บันทึกรายเที่ยว!$M$6:$M$6005),2))</f>
        <v/>
      </c>
    </row>
    <row r="408" ht="21" customHeight="1" s="66">
      <c r="A408" s="3">
        <f>IF($AB408="G","ผลรวมทั้งหมด",IF($AB408="R",INDEX($S$8:$S$407,$AA408),""))</f>
        <v/>
      </c>
      <c r="B408" s="3">
        <f>IF($AB408="S",INDEX($Y$8:$Y$407,$AA408),"")</f>
        <v/>
      </c>
      <c r="C408" s="68">
        <f>IF($AB408="D",INDEX($Z$8:$Z$407,$AA408),"")</f>
        <v/>
      </c>
      <c r="D408" s="31">
        <f>IF($AB408="G",SUM($AE$8:$AE$407),IF(OR($AB408="",$AB408="R"),"",IF($AB408="D",INDEX($AE$8:$AE$407,$AA408),SUMIF($T$8:$T$407,INDEX($T$8:$T$407,$AA408),$AE$8:$AE$407))))</f>
        <v/>
      </c>
      <c r="E408" s="32">
        <f>IF(401=$AD$1+3,"ขอแสดงความนับถือ",IF(401=$AD$1+6,"(                 )",IF(401=$AD$1+7,"เจ้าหน้าที่ขนส่ง",IF($AB408="G",SUM($AF$8:$AF$407),IF(OR($AB408="",$AB408="R"),"",IF($AB408="D",INDEX($AF$8:$AF$407,$AA408),SUMIF($T$8:$T$407,INDEX($T$8:$T$407,$AA408),$AF$8:$AF$407)))))))</f>
        <v/>
      </c>
      <c r="F408" s="32">
        <f>IF($AB408="G",SUM($AG$8:$AG$407),IF(OR($AB408="",$AB408="R"),"",IF($AB408="D",INDEX($AG$8:$AG$407,$AA408),SUMIF($T$8:$T$407,INDEX($T$8:$T$407,$AA408),$AG$8:$AG$407))))</f>
        <v/>
      </c>
      <c r="G408" s="32">
        <f>IF(OR($AB408="",$AB408="R"),"",ROUND($E408-$F408,2))</f>
        <v/>
      </c>
      <c r="H408" s="32">
        <f>IF($AB408="G",SUM($AH$8:$AH$407),IF(OR($AB408="",$AB408="R"),"",IF($AB408="D",INDEX($AH$8:$AH$407,$AA408),SUMIF($T$8:$T$407,INDEX($T$8:$T$407,$AA408),$AH$8:$AH$407))))</f>
        <v/>
      </c>
      <c r="AA408">
        <f>IFERROR(MATCH(401,$X$8:$X$407,1),"")</f>
        <v/>
      </c>
      <c r="AB408">
        <f>IF(401=$AD$1+1,"G",IF($AA408="","",IF(INDEX($Q$8:$Q$407,$AA408)="","",IF(401&gt;INDEX($X$8:$X$407,$AA408)+INDEX($V$8:$V$407,$AA408)+INDEX($W$8:$W$407,$AA408),"",IF(401=INDEX($X$8:$X$407,$AA408)+INDEX($V$8:$V$407,$AA408)+INDEX($W$8:$W$407,$AA408),"D",IF(AND(INDEX($W$8:$W$407,$AA408)=1,401=INDEX($X$8:$X$407,$AA408)+INDEX($V$8:$V$407,$AA408)),"S","R"))))))</f>
        <v/>
      </c>
      <c r="AC408">
        <f>IF(OR($AB408="",$AB408="G"),"",IF($AB408="D",INDEX($U$8:$U$407,$AA408),IF($AB408="S",INDEX($T$8:$T$407,$AA408)&amp;"|*",INDEX($S$8:$S$407,$AA408)&amp;"|*")))</f>
        <v/>
      </c>
    </row>
    <row r="409" ht="21" customHeight="1" s="66">
      <c r="A409" s="3">
        <f>IF($AB409="G","ผลรวมทั้งหมด",IF($AB409="R",INDEX($S$8:$S$407,$AA409),""))</f>
        <v/>
      </c>
      <c r="B409" s="3">
        <f>IF($AB409="S",INDEX($Y$8:$Y$407,$AA409),"")</f>
        <v/>
      </c>
      <c r="C409" s="68">
        <f>IF($AB409="D",INDEX($Z$8:$Z$407,$AA409),"")</f>
        <v/>
      </c>
      <c r="D409" s="31">
        <f>IF($AB409="G",SUM($AE$8:$AE$407),IF(OR($AB409="",$AB409="R"),"",IF($AB409="D",INDEX($AE$8:$AE$407,$AA409),SUMIF($T$8:$T$407,INDEX($T$8:$T$407,$AA409),$AE$8:$AE$407))))</f>
        <v/>
      </c>
      <c r="E409" s="32">
        <f>IF(402=$AD$1+3,"ขอแสดงความนับถือ",IF(402=$AD$1+6,"(                 )",IF(402=$AD$1+7,"เจ้าหน้าที่ขนส่ง",IF($AB409="G",SUM($AF$8:$AF$407),IF(OR($AB409="",$AB409="R"),"",IF($AB409="D",INDEX($AF$8:$AF$407,$AA409),SUMIF($T$8:$T$407,INDEX($T$8:$T$407,$AA409),$AF$8:$AF$407)))))))</f>
        <v/>
      </c>
      <c r="F409" s="32">
        <f>IF($AB409="G",SUM($AG$8:$AG$407),IF(OR($AB409="",$AB409="R"),"",IF($AB409="D",INDEX($AG$8:$AG$407,$AA409),SUMIF($T$8:$T$407,INDEX($T$8:$T$407,$AA409),$AG$8:$AG$407))))</f>
        <v/>
      </c>
      <c r="G409" s="32">
        <f>IF(OR($AB409="",$AB409="R"),"",ROUND($E409-$F409,2))</f>
        <v/>
      </c>
      <c r="H409" s="32">
        <f>IF($AB409="G",SUM($AH$8:$AH$407),IF(OR($AB409="",$AB409="R"),"",IF($AB409="D",INDEX($AH$8:$AH$407,$AA409),SUMIF($T$8:$T$407,INDEX($T$8:$T$407,$AA409),$AH$8:$AH$407))))</f>
        <v/>
      </c>
      <c r="AA409">
        <f>IFERROR(MATCH(402,$X$8:$X$407,1),"")</f>
        <v/>
      </c>
      <c r="AB409">
        <f>IF(402=$AD$1+1,"G",IF($AA409="","",IF(INDEX($Q$8:$Q$407,$AA409)="","",IF(402&gt;INDEX($X$8:$X$407,$AA409)+INDEX($V$8:$V$407,$AA409)+INDEX($W$8:$W$407,$AA409),"",IF(402=INDEX($X$8:$X$407,$AA409)+INDEX($V$8:$V$407,$AA409)+INDEX($W$8:$W$407,$AA409),"D",IF(AND(INDEX($W$8:$W$407,$AA409)=1,402=INDEX($X$8:$X$407,$AA409)+INDEX($V$8:$V$407,$AA409)),"S","R"))))))</f>
        <v/>
      </c>
      <c r="AC409">
        <f>IF(OR($AB409="",$AB409="G"),"",IF($AB409="D",INDEX($U$8:$U$407,$AA409),IF($AB409="S",INDEX($T$8:$T$407,$AA409)&amp;"|*",INDEX($S$8:$S$407,$AA409)&amp;"|*")))</f>
        <v/>
      </c>
    </row>
    <row r="410" ht="21" customHeight="1" s="66">
      <c r="A410" s="3">
        <f>IF($AB410="G","ผลรวมทั้งหมด",IF($AB410="R",INDEX($S$8:$S$407,$AA410),""))</f>
        <v/>
      </c>
      <c r="B410" s="3">
        <f>IF($AB410="S",INDEX($Y$8:$Y$407,$AA410),"")</f>
        <v/>
      </c>
      <c r="C410" s="68">
        <f>IF($AB410="D",INDEX($Z$8:$Z$407,$AA410),"")</f>
        <v/>
      </c>
      <c r="D410" s="31">
        <f>IF($AB410="G",SUM($AE$8:$AE$407),IF(OR($AB410="",$AB410="R"),"",IF($AB410="D",INDEX($AE$8:$AE$407,$AA410),SUMIF($T$8:$T$407,INDEX($T$8:$T$407,$AA410),$AE$8:$AE$407))))</f>
        <v/>
      </c>
      <c r="E410" s="32">
        <f>IF(403=$AD$1+3,"ขอแสดงความนับถือ",IF(403=$AD$1+6,"(                 )",IF(403=$AD$1+7,"เจ้าหน้าที่ขนส่ง",IF($AB410="G",SUM($AF$8:$AF$407),IF(OR($AB410="",$AB410="R"),"",IF($AB410="D",INDEX($AF$8:$AF$407,$AA410),SUMIF($T$8:$T$407,INDEX($T$8:$T$407,$AA410),$AF$8:$AF$407)))))))</f>
        <v/>
      </c>
      <c r="F410" s="32">
        <f>IF($AB410="G",SUM($AG$8:$AG$407),IF(OR($AB410="",$AB410="R"),"",IF($AB410="D",INDEX($AG$8:$AG$407,$AA410),SUMIF($T$8:$T$407,INDEX($T$8:$T$407,$AA410),$AG$8:$AG$407))))</f>
        <v/>
      </c>
      <c r="G410" s="32">
        <f>IF(OR($AB410="",$AB410="R"),"",ROUND($E410-$F410,2))</f>
        <v/>
      </c>
      <c r="H410" s="32">
        <f>IF($AB410="G",SUM($AH$8:$AH$407),IF(OR($AB410="",$AB410="R"),"",IF($AB410="D",INDEX($AH$8:$AH$407,$AA410),SUMIF($T$8:$T$407,INDEX($T$8:$T$407,$AA410),$AH$8:$AH$407))))</f>
        <v/>
      </c>
      <c r="AA410">
        <f>IFERROR(MATCH(403,$X$8:$X$407,1),"")</f>
        <v/>
      </c>
      <c r="AB410">
        <f>IF(403=$AD$1+1,"G",IF($AA410="","",IF(INDEX($Q$8:$Q$407,$AA410)="","",IF(403&gt;INDEX($X$8:$X$407,$AA410)+INDEX($V$8:$V$407,$AA410)+INDEX($W$8:$W$407,$AA410),"",IF(403=INDEX($X$8:$X$407,$AA410)+INDEX($V$8:$V$407,$AA410)+INDEX($W$8:$W$407,$AA410),"D",IF(AND(INDEX($W$8:$W$407,$AA410)=1,403=INDEX($X$8:$X$407,$AA410)+INDEX($V$8:$V$407,$AA410)),"S","R"))))))</f>
        <v/>
      </c>
      <c r="AC410">
        <f>IF(OR($AB410="",$AB410="G"),"",IF($AB410="D",INDEX($U$8:$U$407,$AA410),IF($AB410="S",INDEX($T$8:$T$407,$AA410)&amp;"|*",INDEX($S$8:$S$407,$AA410)&amp;"|*")))</f>
        <v/>
      </c>
    </row>
    <row r="411" ht="21" customHeight="1" s="66">
      <c r="A411" s="3">
        <f>IF($AB411="G","ผลรวมทั้งหมด",IF($AB411="R",INDEX($S$8:$S$407,$AA411),""))</f>
        <v/>
      </c>
      <c r="B411" s="3">
        <f>IF($AB411="S",INDEX($Y$8:$Y$407,$AA411),"")</f>
        <v/>
      </c>
      <c r="C411" s="68">
        <f>IF($AB411="D",INDEX($Z$8:$Z$407,$AA411),"")</f>
        <v/>
      </c>
      <c r="D411" s="31">
        <f>IF($AB411="G",SUM($AE$8:$AE$407),IF(OR($AB411="",$AB411="R"),"",IF($AB411="D",INDEX($AE$8:$AE$407,$AA411),SUMIF($T$8:$T$407,INDEX($T$8:$T$407,$AA411),$AE$8:$AE$407))))</f>
        <v/>
      </c>
      <c r="E411" s="32">
        <f>IF(404=$AD$1+3,"ขอแสดงความนับถือ",IF(404=$AD$1+6,"(                 )",IF(404=$AD$1+7,"เจ้าหน้าที่ขนส่ง",IF($AB411="G",SUM($AF$8:$AF$407),IF(OR($AB411="",$AB411="R"),"",IF($AB411="D",INDEX($AF$8:$AF$407,$AA411),SUMIF($T$8:$T$407,INDEX($T$8:$T$407,$AA411),$AF$8:$AF$407)))))))</f>
        <v/>
      </c>
      <c r="F411" s="32">
        <f>IF($AB411="G",SUM($AG$8:$AG$407),IF(OR($AB411="",$AB411="R"),"",IF($AB411="D",INDEX($AG$8:$AG$407,$AA411),SUMIF($T$8:$T$407,INDEX($T$8:$T$407,$AA411),$AG$8:$AG$407))))</f>
        <v/>
      </c>
      <c r="G411" s="32">
        <f>IF(OR($AB411="",$AB411="R"),"",ROUND($E411-$F411,2))</f>
        <v/>
      </c>
      <c r="H411" s="32">
        <f>IF($AB411="G",SUM($AH$8:$AH$407),IF(OR($AB411="",$AB411="R"),"",IF($AB411="D",INDEX($AH$8:$AH$407,$AA411),SUMIF($T$8:$T$407,INDEX($T$8:$T$407,$AA411),$AH$8:$AH$407))))</f>
        <v/>
      </c>
      <c r="AA411">
        <f>IFERROR(MATCH(404,$X$8:$X$407,1),"")</f>
        <v/>
      </c>
      <c r="AB411">
        <f>IF(404=$AD$1+1,"G",IF($AA411="","",IF(INDEX($Q$8:$Q$407,$AA411)="","",IF(404&gt;INDEX($X$8:$X$407,$AA411)+INDEX($V$8:$V$407,$AA411)+INDEX($W$8:$W$407,$AA411),"",IF(404=INDEX($X$8:$X$407,$AA411)+INDEX($V$8:$V$407,$AA411)+INDEX($W$8:$W$407,$AA411),"D",IF(AND(INDEX($W$8:$W$407,$AA411)=1,404=INDEX($X$8:$X$407,$AA411)+INDEX($V$8:$V$407,$AA411)),"S","R"))))))</f>
        <v/>
      </c>
      <c r="AC411">
        <f>IF(OR($AB411="",$AB411="G"),"",IF($AB411="D",INDEX($U$8:$U$407,$AA411),IF($AB411="S",INDEX($T$8:$T$407,$AA411)&amp;"|*",INDEX($S$8:$S$407,$AA411)&amp;"|*")))</f>
        <v/>
      </c>
    </row>
    <row r="412" ht="21" customHeight="1" s="66">
      <c r="A412" s="3">
        <f>IF($AB412="G","ผลรวมทั้งหมด",IF($AB412="R",INDEX($S$8:$S$407,$AA412),""))</f>
        <v/>
      </c>
      <c r="B412" s="3">
        <f>IF($AB412="S",INDEX($Y$8:$Y$407,$AA412),"")</f>
        <v/>
      </c>
      <c r="C412" s="68">
        <f>IF($AB412="D",INDEX($Z$8:$Z$407,$AA412),"")</f>
        <v/>
      </c>
      <c r="D412" s="31">
        <f>IF($AB412="G",SUM($AE$8:$AE$407),IF(OR($AB412="",$AB412="R"),"",IF($AB412="D",INDEX($AE$8:$AE$407,$AA412),SUMIF($T$8:$T$407,INDEX($T$8:$T$407,$AA412),$AE$8:$AE$407))))</f>
        <v/>
      </c>
      <c r="E412" s="32">
        <f>IF(405=$AD$1+3,"ขอแสดงความนับถือ",IF(405=$AD$1+6,"(                 )",IF(405=$AD$1+7,"เจ้าหน้าที่ขนส่ง",IF($AB412="G",SUM($AF$8:$AF$407),IF(OR($AB412="",$AB412="R"),"",IF($AB412="D",INDEX($AF$8:$AF$407,$AA412),SUMIF($T$8:$T$407,INDEX($T$8:$T$407,$AA412),$AF$8:$AF$407)))))))</f>
        <v/>
      </c>
      <c r="F412" s="32">
        <f>IF($AB412="G",SUM($AG$8:$AG$407),IF(OR($AB412="",$AB412="R"),"",IF($AB412="D",INDEX($AG$8:$AG$407,$AA412),SUMIF($T$8:$T$407,INDEX($T$8:$T$407,$AA412),$AG$8:$AG$407))))</f>
        <v/>
      </c>
      <c r="G412" s="32">
        <f>IF(OR($AB412="",$AB412="R"),"",ROUND($E412-$F412,2))</f>
        <v/>
      </c>
      <c r="H412" s="32">
        <f>IF($AB412="G",SUM($AH$8:$AH$407),IF(OR($AB412="",$AB412="R"),"",IF($AB412="D",INDEX($AH$8:$AH$407,$AA412),SUMIF($T$8:$T$407,INDEX($T$8:$T$407,$AA412),$AH$8:$AH$407))))</f>
        <v/>
      </c>
      <c r="AA412">
        <f>IFERROR(MATCH(405,$X$8:$X$407,1),"")</f>
        <v/>
      </c>
      <c r="AB412">
        <f>IF(405=$AD$1+1,"G",IF($AA412="","",IF(INDEX($Q$8:$Q$407,$AA412)="","",IF(405&gt;INDEX($X$8:$X$407,$AA412)+INDEX($V$8:$V$407,$AA412)+INDEX($W$8:$W$407,$AA412),"",IF(405=INDEX($X$8:$X$407,$AA412)+INDEX($V$8:$V$407,$AA412)+INDEX($W$8:$W$407,$AA412),"D",IF(AND(INDEX($W$8:$W$407,$AA412)=1,405=INDEX($X$8:$X$407,$AA412)+INDEX($V$8:$V$407,$AA412)),"S","R"))))))</f>
        <v/>
      </c>
      <c r="AC412">
        <f>IF(OR($AB412="",$AB412="G"),"",IF($AB412="D",INDEX($U$8:$U$407,$AA412),IF($AB412="S",INDEX($T$8:$T$407,$AA412)&amp;"|*",INDEX($S$8:$S$407,$AA412)&amp;"|*")))</f>
        <v/>
      </c>
    </row>
    <row r="413" ht="21" customHeight="1" s="66">
      <c r="A413" s="3">
        <f>IF($AB413="G","ผลรวมทั้งหมด",IF($AB413="R",INDEX($S$8:$S$407,$AA413),""))</f>
        <v/>
      </c>
      <c r="B413" s="3">
        <f>IF($AB413="S",INDEX($Y$8:$Y$407,$AA413),"")</f>
        <v/>
      </c>
      <c r="C413" s="68">
        <f>IF($AB413="D",INDEX($Z$8:$Z$407,$AA413),"")</f>
        <v/>
      </c>
      <c r="D413" s="31">
        <f>IF($AB413="G",SUM($AE$8:$AE$407),IF(OR($AB413="",$AB413="R"),"",IF($AB413="D",INDEX($AE$8:$AE$407,$AA413),SUMIF($T$8:$T$407,INDEX($T$8:$T$407,$AA413),$AE$8:$AE$407))))</f>
        <v/>
      </c>
      <c r="E413" s="32">
        <f>IF(406=$AD$1+3,"ขอแสดงความนับถือ",IF(406=$AD$1+6,"(                 )",IF(406=$AD$1+7,"เจ้าหน้าที่ขนส่ง",IF($AB413="G",SUM($AF$8:$AF$407),IF(OR($AB413="",$AB413="R"),"",IF($AB413="D",INDEX($AF$8:$AF$407,$AA413),SUMIF($T$8:$T$407,INDEX($T$8:$T$407,$AA413),$AF$8:$AF$407)))))))</f>
        <v/>
      </c>
      <c r="F413" s="32">
        <f>IF($AB413="G",SUM($AG$8:$AG$407),IF(OR($AB413="",$AB413="R"),"",IF($AB413="D",INDEX($AG$8:$AG$407,$AA413),SUMIF($T$8:$T$407,INDEX($T$8:$T$407,$AA413),$AG$8:$AG$407))))</f>
        <v/>
      </c>
      <c r="G413" s="32">
        <f>IF(OR($AB413="",$AB413="R"),"",ROUND($E413-$F413,2))</f>
        <v/>
      </c>
      <c r="H413" s="32">
        <f>IF($AB413="G",SUM($AH$8:$AH$407),IF(OR($AB413="",$AB413="R"),"",IF($AB413="D",INDEX($AH$8:$AH$407,$AA413),SUMIF($T$8:$T$407,INDEX($T$8:$T$407,$AA413),$AH$8:$AH$407))))</f>
        <v/>
      </c>
      <c r="AA413">
        <f>IFERROR(MATCH(406,$X$8:$X$407,1),"")</f>
        <v/>
      </c>
      <c r="AB413">
        <f>IF(406=$AD$1+1,"G",IF($AA413="","",IF(INDEX($Q$8:$Q$407,$AA413)="","",IF(406&gt;INDEX($X$8:$X$407,$AA413)+INDEX($V$8:$V$407,$AA413)+INDEX($W$8:$W$407,$AA413),"",IF(406=INDEX($X$8:$X$407,$AA413)+INDEX($V$8:$V$407,$AA413)+INDEX($W$8:$W$407,$AA413),"D",IF(AND(INDEX($W$8:$W$407,$AA413)=1,406=INDEX($X$8:$X$407,$AA413)+INDEX($V$8:$V$407,$AA413)),"S","R"))))))</f>
        <v/>
      </c>
      <c r="AC413">
        <f>IF(OR($AB413="",$AB413="G"),"",IF($AB413="D",INDEX($U$8:$U$407,$AA413),IF($AB413="S",INDEX($T$8:$T$407,$AA413)&amp;"|*",INDEX($S$8:$S$407,$AA413)&amp;"|*")))</f>
        <v/>
      </c>
    </row>
    <row r="414" ht="21" customHeight="1" s="66">
      <c r="A414" s="3">
        <f>IF($AB414="G","ผลรวมทั้งหมด",IF($AB414="R",INDEX($S$8:$S$407,$AA414),""))</f>
        <v/>
      </c>
      <c r="B414" s="3">
        <f>IF($AB414="S",INDEX($Y$8:$Y$407,$AA414),"")</f>
        <v/>
      </c>
      <c r="C414" s="68">
        <f>IF($AB414="D",INDEX($Z$8:$Z$407,$AA414),"")</f>
        <v/>
      </c>
      <c r="D414" s="31">
        <f>IF($AB414="G",SUM($AE$8:$AE$407),IF(OR($AB414="",$AB414="R"),"",IF($AB414="D",INDEX($AE$8:$AE$407,$AA414),SUMIF($T$8:$T$407,INDEX($T$8:$T$407,$AA414),$AE$8:$AE$407))))</f>
        <v/>
      </c>
      <c r="E414" s="32">
        <f>IF(407=$AD$1+3,"ขอแสดงความนับถือ",IF(407=$AD$1+6,"(                 )",IF(407=$AD$1+7,"เจ้าหน้าที่ขนส่ง",IF($AB414="G",SUM($AF$8:$AF$407),IF(OR($AB414="",$AB414="R"),"",IF($AB414="D",INDEX($AF$8:$AF$407,$AA414),SUMIF($T$8:$T$407,INDEX($T$8:$T$407,$AA414),$AF$8:$AF$407)))))))</f>
        <v/>
      </c>
      <c r="F414" s="32">
        <f>IF($AB414="G",SUM($AG$8:$AG$407),IF(OR($AB414="",$AB414="R"),"",IF($AB414="D",INDEX($AG$8:$AG$407,$AA414),SUMIF($T$8:$T$407,INDEX($T$8:$T$407,$AA414),$AG$8:$AG$407))))</f>
        <v/>
      </c>
      <c r="G414" s="32">
        <f>IF(OR($AB414="",$AB414="R"),"",ROUND($E414-$F414,2))</f>
        <v/>
      </c>
      <c r="H414" s="32">
        <f>IF($AB414="G",SUM($AH$8:$AH$407),IF(OR($AB414="",$AB414="R"),"",IF($AB414="D",INDEX($AH$8:$AH$407,$AA414),SUMIF($T$8:$T$407,INDEX($T$8:$T$407,$AA414),$AH$8:$AH$407))))</f>
        <v/>
      </c>
      <c r="AA414">
        <f>IFERROR(MATCH(407,$X$8:$X$407,1),"")</f>
        <v/>
      </c>
      <c r="AB414">
        <f>IF(407=$AD$1+1,"G",IF($AA414="","",IF(INDEX($Q$8:$Q$407,$AA414)="","",IF(407&gt;INDEX($X$8:$X$407,$AA414)+INDEX($V$8:$V$407,$AA414)+INDEX($W$8:$W$407,$AA414),"",IF(407=INDEX($X$8:$X$407,$AA414)+INDEX($V$8:$V$407,$AA414)+INDEX($W$8:$W$407,$AA414),"D",IF(AND(INDEX($W$8:$W$407,$AA414)=1,407=INDEX($X$8:$X$407,$AA414)+INDEX($V$8:$V$407,$AA414)),"S","R"))))))</f>
        <v/>
      </c>
      <c r="AC414">
        <f>IF(OR($AB414="",$AB414="G"),"",IF($AB414="D",INDEX($U$8:$U$407,$AA414),IF($AB414="S",INDEX($T$8:$T$407,$AA414)&amp;"|*",INDEX($S$8:$S$407,$AA414)&amp;"|*")))</f>
        <v/>
      </c>
    </row>
    <row r="415" ht="21" customHeight="1" s="66">
      <c r="A415" s="3">
        <f>IF($AB415="G","ผลรวมทั้งหมด",IF($AB415="R",INDEX($S$8:$S$407,$AA415),""))</f>
        <v/>
      </c>
      <c r="B415" s="3">
        <f>IF($AB415="S",INDEX($Y$8:$Y$407,$AA415),"")</f>
        <v/>
      </c>
      <c r="C415" s="68">
        <f>IF($AB415="D",INDEX($Z$8:$Z$407,$AA415),"")</f>
        <v/>
      </c>
      <c r="D415" s="31">
        <f>IF($AB415="G",SUM($AE$8:$AE$407),IF(OR($AB415="",$AB415="R"),"",IF($AB415="D",INDEX($AE$8:$AE$407,$AA415),SUMIF($T$8:$T$407,INDEX($T$8:$T$407,$AA415),$AE$8:$AE$407))))</f>
        <v/>
      </c>
      <c r="E415" s="32">
        <f>IF(408=$AD$1+3,"ขอแสดงความนับถือ",IF(408=$AD$1+6,"(                 )",IF(408=$AD$1+7,"เจ้าหน้าที่ขนส่ง",IF($AB415="G",SUM($AF$8:$AF$407),IF(OR($AB415="",$AB415="R"),"",IF($AB415="D",INDEX($AF$8:$AF$407,$AA415),SUMIF($T$8:$T$407,INDEX($T$8:$T$407,$AA415),$AF$8:$AF$407)))))))</f>
        <v/>
      </c>
      <c r="F415" s="32">
        <f>IF($AB415="G",SUM($AG$8:$AG$407),IF(OR($AB415="",$AB415="R"),"",IF($AB415="D",INDEX($AG$8:$AG$407,$AA415),SUMIF($T$8:$T$407,INDEX($T$8:$T$407,$AA415),$AG$8:$AG$407))))</f>
        <v/>
      </c>
      <c r="G415" s="32">
        <f>IF(OR($AB415="",$AB415="R"),"",ROUND($E415-$F415,2))</f>
        <v/>
      </c>
      <c r="H415" s="32">
        <f>IF($AB415="G",SUM($AH$8:$AH$407),IF(OR($AB415="",$AB415="R"),"",IF($AB415="D",INDEX($AH$8:$AH$407,$AA415),SUMIF($T$8:$T$407,INDEX($T$8:$T$407,$AA415),$AH$8:$AH$407))))</f>
        <v/>
      </c>
      <c r="AA415">
        <f>IFERROR(MATCH(408,$X$8:$X$407,1),"")</f>
        <v/>
      </c>
      <c r="AB415">
        <f>IF(408=$AD$1+1,"G",IF($AA415="","",IF(INDEX($Q$8:$Q$407,$AA415)="","",IF(408&gt;INDEX($X$8:$X$407,$AA415)+INDEX($V$8:$V$407,$AA415)+INDEX($W$8:$W$407,$AA415),"",IF(408=INDEX($X$8:$X$407,$AA415)+INDEX($V$8:$V$407,$AA415)+INDEX($W$8:$W$407,$AA415),"D",IF(AND(INDEX($W$8:$W$407,$AA415)=1,408=INDEX($X$8:$X$407,$AA415)+INDEX($V$8:$V$407,$AA415)),"S","R"))))))</f>
        <v/>
      </c>
      <c r="AC415">
        <f>IF(OR($AB415="",$AB415="G"),"",IF($AB415="D",INDEX($U$8:$U$407,$AA415),IF($AB415="S",INDEX($T$8:$T$407,$AA415)&amp;"|*",INDEX($S$8:$S$407,$AA415)&amp;"|*")))</f>
        <v/>
      </c>
    </row>
    <row r="416" ht="21" customHeight="1" s="66">
      <c r="A416" s="3">
        <f>IF($AB416="G","ผลรวมทั้งหมด",IF($AB416="R",INDEX($S$8:$S$407,$AA416),""))</f>
        <v/>
      </c>
      <c r="B416" s="3">
        <f>IF($AB416="S",INDEX($Y$8:$Y$407,$AA416),"")</f>
        <v/>
      </c>
      <c r="C416" s="68">
        <f>IF($AB416="D",INDEX($Z$8:$Z$407,$AA416),"")</f>
        <v/>
      </c>
      <c r="D416" s="31">
        <f>IF($AB416="G",SUM($AE$8:$AE$407),IF(OR($AB416="",$AB416="R"),"",IF($AB416="D",INDEX($AE$8:$AE$407,$AA416),SUMIF($T$8:$T$407,INDEX($T$8:$T$407,$AA416),$AE$8:$AE$407))))</f>
        <v/>
      </c>
      <c r="E416" s="32">
        <f>IF(409=$AD$1+3,"ขอแสดงความนับถือ",IF(409=$AD$1+6,"(                 )",IF(409=$AD$1+7,"เจ้าหน้าที่ขนส่ง",IF($AB416="G",SUM($AF$8:$AF$407),IF(OR($AB416="",$AB416="R"),"",IF($AB416="D",INDEX($AF$8:$AF$407,$AA416),SUMIF($T$8:$T$407,INDEX($T$8:$T$407,$AA416),$AF$8:$AF$407)))))))</f>
        <v/>
      </c>
      <c r="F416" s="32">
        <f>IF($AB416="G",SUM($AG$8:$AG$407),IF(OR($AB416="",$AB416="R"),"",IF($AB416="D",INDEX($AG$8:$AG$407,$AA416),SUMIF($T$8:$T$407,INDEX($T$8:$T$407,$AA416),$AG$8:$AG$407))))</f>
        <v/>
      </c>
      <c r="G416" s="32">
        <f>IF(OR($AB416="",$AB416="R"),"",ROUND($E416-$F416,2))</f>
        <v/>
      </c>
      <c r="H416" s="32">
        <f>IF($AB416="G",SUM($AH$8:$AH$407),IF(OR($AB416="",$AB416="R"),"",IF($AB416="D",INDEX($AH$8:$AH$407,$AA416),SUMIF($T$8:$T$407,INDEX($T$8:$T$407,$AA416),$AH$8:$AH$407))))</f>
        <v/>
      </c>
      <c r="AA416">
        <f>IFERROR(MATCH(409,$X$8:$X$407,1),"")</f>
        <v/>
      </c>
      <c r="AB416">
        <f>IF(409=$AD$1+1,"G",IF($AA416="","",IF(INDEX($Q$8:$Q$407,$AA416)="","",IF(409&gt;INDEX($X$8:$X$407,$AA416)+INDEX($V$8:$V$407,$AA416)+INDEX($W$8:$W$407,$AA416),"",IF(409=INDEX($X$8:$X$407,$AA416)+INDEX($V$8:$V$407,$AA416)+INDEX($W$8:$W$407,$AA416),"D",IF(AND(INDEX($W$8:$W$407,$AA416)=1,409=INDEX($X$8:$X$407,$AA416)+INDEX($V$8:$V$407,$AA416)),"S","R"))))))</f>
        <v/>
      </c>
      <c r="AC416">
        <f>IF(OR($AB416="",$AB416="G"),"",IF($AB416="D",INDEX($U$8:$U$407,$AA416),IF($AB416="S",INDEX($T$8:$T$407,$AA416)&amp;"|*",INDEX($S$8:$S$407,$AA416)&amp;"|*")))</f>
        <v/>
      </c>
    </row>
    <row r="417" ht="21" customHeight="1" s="66">
      <c r="A417" s="3">
        <f>IF($AB417="G","ผลรวมทั้งหมด",IF($AB417="R",INDEX($S$8:$S$407,$AA417),""))</f>
        <v/>
      </c>
      <c r="B417" s="3">
        <f>IF($AB417="S",INDEX($Y$8:$Y$407,$AA417),"")</f>
        <v/>
      </c>
      <c r="C417" s="68">
        <f>IF($AB417="D",INDEX($Z$8:$Z$407,$AA417),"")</f>
        <v/>
      </c>
      <c r="D417" s="31">
        <f>IF($AB417="G",SUM($AE$8:$AE$407),IF(OR($AB417="",$AB417="R"),"",IF($AB417="D",INDEX($AE$8:$AE$407,$AA417),SUMIF($T$8:$T$407,INDEX($T$8:$T$407,$AA417),$AE$8:$AE$407))))</f>
        <v/>
      </c>
      <c r="E417" s="32">
        <f>IF(410=$AD$1+3,"ขอแสดงความนับถือ",IF(410=$AD$1+6,"(                 )",IF(410=$AD$1+7,"เจ้าหน้าที่ขนส่ง",IF($AB417="G",SUM($AF$8:$AF$407),IF(OR($AB417="",$AB417="R"),"",IF($AB417="D",INDEX($AF$8:$AF$407,$AA417),SUMIF($T$8:$T$407,INDEX($T$8:$T$407,$AA417),$AF$8:$AF$407)))))))</f>
        <v/>
      </c>
      <c r="F417" s="32">
        <f>IF($AB417="G",SUM($AG$8:$AG$407),IF(OR($AB417="",$AB417="R"),"",IF($AB417="D",INDEX($AG$8:$AG$407,$AA417),SUMIF($T$8:$T$407,INDEX($T$8:$T$407,$AA417),$AG$8:$AG$407))))</f>
        <v/>
      </c>
      <c r="G417" s="32">
        <f>IF(OR($AB417="",$AB417="R"),"",ROUND($E417-$F417,2))</f>
        <v/>
      </c>
      <c r="H417" s="32">
        <f>IF($AB417="G",SUM($AH$8:$AH$407),IF(OR($AB417="",$AB417="R"),"",IF($AB417="D",INDEX($AH$8:$AH$407,$AA417),SUMIF($T$8:$T$407,INDEX($T$8:$T$407,$AA417),$AH$8:$AH$407))))</f>
        <v/>
      </c>
      <c r="AA417">
        <f>IFERROR(MATCH(410,$X$8:$X$407,1),"")</f>
        <v/>
      </c>
      <c r="AB417">
        <f>IF(410=$AD$1+1,"G",IF($AA417="","",IF(INDEX($Q$8:$Q$407,$AA417)="","",IF(410&gt;INDEX($X$8:$X$407,$AA417)+INDEX($V$8:$V$407,$AA417)+INDEX($W$8:$W$407,$AA417),"",IF(410=INDEX($X$8:$X$407,$AA417)+INDEX($V$8:$V$407,$AA417)+INDEX($W$8:$W$407,$AA417),"D",IF(AND(INDEX($W$8:$W$407,$AA417)=1,410=INDEX($X$8:$X$407,$AA417)+INDEX($V$8:$V$407,$AA417)),"S","R"))))))</f>
        <v/>
      </c>
      <c r="AC417">
        <f>IF(OR($AB417="",$AB417="G"),"",IF($AB417="D",INDEX($U$8:$U$407,$AA417),IF($AB417="S",INDEX($T$8:$T$407,$AA417)&amp;"|*",INDEX($S$8:$S$407,$AA417)&amp;"|*")))</f>
        <v/>
      </c>
    </row>
    <row r="418" ht="21" customHeight="1" s="66">
      <c r="A418" s="3">
        <f>IF($AB418="G","ผลรวมทั้งหมด",IF($AB418="R",INDEX($S$8:$S$407,$AA418),""))</f>
        <v/>
      </c>
      <c r="B418" s="3">
        <f>IF($AB418="S",INDEX($Y$8:$Y$407,$AA418),"")</f>
        <v/>
      </c>
      <c r="C418" s="68">
        <f>IF($AB418="D",INDEX($Z$8:$Z$407,$AA418),"")</f>
        <v/>
      </c>
      <c r="D418" s="31">
        <f>IF($AB418="G",SUM($AE$8:$AE$407),IF(OR($AB418="",$AB418="R"),"",IF($AB418="D",INDEX($AE$8:$AE$407,$AA418),SUMIF($T$8:$T$407,INDEX($T$8:$T$407,$AA418),$AE$8:$AE$407))))</f>
        <v/>
      </c>
      <c r="E418" s="32">
        <f>IF(411=$AD$1+3,"ขอแสดงความนับถือ",IF(411=$AD$1+6,"(                 )",IF(411=$AD$1+7,"เจ้าหน้าที่ขนส่ง",IF($AB418="G",SUM($AF$8:$AF$407),IF(OR($AB418="",$AB418="R"),"",IF($AB418="D",INDEX($AF$8:$AF$407,$AA418),SUMIF($T$8:$T$407,INDEX($T$8:$T$407,$AA418),$AF$8:$AF$407)))))))</f>
        <v/>
      </c>
      <c r="F418" s="32">
        <f>IF($AB418="G",SUM($AG$8:$AG$407),IF(OR($AB418="",$AB418="R"),"",IF($AB418="D",INDEX($AG$8:$AG$407,$AA418),SUMIF($T$8:$T$407,INDEX($T$8:$T$407,$AA418),$AG$8:$AG$407))))</f>
        <v/>
      </c>
      <c r="G418" s="32">
        <f>IF(OR($AB418="",$AB418="R"),"",ROUND($E418-$F418,2))</f>
        <v/>
      </c>
      <c r="H418" s="32">
        <f>IF($AB418="G",SUM($AH$8:$AH$407),IF(OR($AB418="",$AB418="R"),"",IF($AB418="D",INDEX($AH$8:$AH$407,$AA418),SUMIF($T$8:$T$407,INDEX($T$8:$T$407,$AA418),$AH$8:$AH$407))))</f>
        <v/>
      </c>
      <c r="AA418">
        <f>IFERROR(MATCH(411,$X$8:$X$407,1),"")</f>
        <v/>
      </c>
      <c r="AB418">
        <f>IF(411=$AD$1+1,"G",IF($AA418="","",IF(INDEX($Q$8:$Q$407,$AA418)="","",IF(411&gt;INDEX($X$8:$X$407,$AA418)+INDEX($V$8:$V$407,$AA418)+INDEX($W$8:$W$407,$AA418),"",IF(411=INDEX($X$8:$X$407,$AA418)+INDEX($V$8:$V$407,$AA418)+INDEX($W$8:$W$407,$AA418),"D",IF(AND(INDEX($W$8:$W$407,$AA418)=1,411=INDEX($X$8:$X$407,$AA418)+INDEX($V$8:$V$407,$AA418)),"S","R"))))))</f>
        <v/>
      </c>
      <c r="AC418">
        <f>IF(OR($AB418="",$AB418="G"),"",IF($AB418="D",INDEX($U$8:$U$407,$AA418),IF($AB418="S",INDEX($T$8:$T$407,$AA418)&amp;"|*",INDEX($S$8:$S$407,$AA418)&amp;"|*")))</f>
        <v/>
      </c>
    </row>
    <row r="419" ht="21" customHeight="1" s="66">
      <c r="A419" s="3">
        <f>IF($AB419="G","ผลรวมทั้งหมด",IF($AB419="R",INDEX($S$8:$S$407,$AA419),""))</f>
        <v/>
      </c>
      <c r="B419" s="3">
        <f>IF($AB419="S",INDEX($Y$8:$Y$407,$AA419),"")</f>
        <v/>
      </c>
      <c r="C419" s="68">
        <f>IF($AB419="D",INDEX($Z$8:$Z$407,$AA419),"")</f>
        <v/>
      </c>
      <c r="D419" s="31">
        <f>IF($AB419="G",SUM($AE$8:$AE$407),IF(OR($AB419="",$AB419="R"),"",IF($AB419="D",INDEX($AE$8:$AE$407,$AA419),SUMIF($T$8:$T$407,INDEX($T$8:$T$407,$AA419),$AE$8:$AE$407))))</f>
        <v/>
      </c>
      <c r="E419" s="32">
        <f>IF(412=$AD$1+3,"ขอแสดงความนับถือ",IF(412=$AD$1+6,"(                 )",IF(412=$AD$1+7,"เจ้าหน้าที่ขนส่ง",IF($AB419="G",SUM($AF$8:$AF$407),IF(OR($AB419="",$AB419="R"),"",IF($AB419="D",INDEX($AF$8:$AF$407,$AA419),SUMIF($T$8:$T$407,INDEX($T$8:$T$407,$AA419),$AF$8:$AF$407)))))))</f>
        <v/>
      </c>
      <c r="F419" s="32">
        <f>IF($AB419="G",SUM($AG$8:$AG$407),IF(OR($AB419="",$AB419="R"),"",IF($AB419="D",INDEX($AG$8:$AG$407,$AA419),SUMIF($T$8:$T$407,INDEX($T$8:$T$407,$AA419),$AG$8:$AG$407))))</f>
        <v/>
      </c>
      <c r="G419" s="32">
        <f>IF(OR($AB419="",$AB419="R"),"",ROUND($E419-$F419,2))</f>
        <v/>
      </c>
      <c r="H419" s="32">
        <f>IF($AB419="G",SUM($AH$8:$AH$407),IF(OR($AB419="",$AB419="R"),"",IF($AB419="D",INDEX($AH$8:$AH$407,$AA419),SUMIF($T$8:$T$407,INDEX($T$8:$T$407,$AA419),$AH$8:$AH$407))))</f>
        <v/>
      </c>
      <c r="AA419">
        <f>IFERROR(MATCH(412,$X$8:$X$407,1),"")</f>
        <v/>
      </c>
      <c r="AB419">
        <f>IF(412=$AD$1+1,"G",IF($AA419="","",IF(INDEX($Q$8:$Q$407,$AA419)="","",IF(412&gt;INDEX($X$8:$X$407,$AA419)+INDEX($V$8:$V$407,$AA419)+INDEX($W$8:$W$407,$AA419),"",IF(412=INDEX($X$8:$X$407,$AA419)+INDEX($V$8:$V$407,$AA419)+INDEX($W$8:$W$407,$AA419),"D",IF(AND(INDEX($W$8:$W$407,$AA419)=1,412=INDEX($X$8:$X$407,$AA419)+INDEX($V$8:$V$407,$AA419)),"S","R"))))))</f>
        <v/>
      </c>
      <c r="AC419">
        <f>IF(OR($AB419="",$AB419="G"),"",IF($AB419="D",INDEX($U$8:$U$407,$AA419),IF($AB419="S",INDEX($T$8:$T$407,$AA419)&amp;"|*",INDEX($S$8:$S$407,$AA419)&amp;"|*")))</f>
        <v/>
      </c>
    </row>
    <row r="420" ht="21" customHeight="1" s="66">
      <c r="A420" s="3">
        <f>IF($AB420="G","ผลรวมทั้งหมด",IF($AB420="R",INDEX($S$8:$S$407,$AA420),""))</f>
        <v/>
      </c>
      <c r="B420" s="3">
        <f>IF($AB420="S",INDEX($Y$8:$Y$407,$AA420),"")</f>
        <v/>
      </c>
      <c r="C420" s="68">
        <f>IF($AB420="D",INDEX($Z$8:$Z$407,$AA420),"")</f>
        <v/>
      </c>
      <c r="D420" s="31">
        <f>IF($AB420="G",SUM($AE$8:$AE$407),IF(OR($AB420="",$AB420="R"),"",IF($AB420="D",INDEX($AE$8:$AE$407,$AA420),SUMIF($T$8:$T$407,INDEX($T$8:$T$407,$AA420),$AE$8:$AE$407))))</f>
        <v/>
      </c>
      <c r="E420" s="32">
        <f>IF(413=$AD$1+3,"ขอแสดงความนับถือ",IF(413=$AD$1+6,"(                 )",IF(413=$AD$1+7,"เจ้าหน้าที่ขนส่ง",IF($AB420="G",SUM($AF$8:$AF$407),IF(OR($AB420="",$AB420="R"),"",IF($AB420="D",INDEX($AF$8:$AF$407,$AA420),SUMIF($T$8:$T$407,INDEX($T$8:$T$407,$AA420),$AF$8:$AF$407)))))))</f>
        <v/>
      </c>
      <c r="F420" s="32">
        <f>IF($AB420="G",SUM($AG$8:$AG$407),IF(OR($AB420="",$AB420="R"),"",IF($AB420="D",INDEX($AG$8:$AG$407,$AA420),SUMIF($T$8:$T$407,INDEX($T$8:$T$407,$AA420),$AG$8:$AG$407))))</f>
        <v/>
      </c>
      <c r="G420" s="32">
        <f>IF(OR($AB420="",$AB420="R"),"",ROUND($E420-$F420,2))</f>
        <v/>
      </c>
      <c r="H420" s="32">
        <f>IF($AB420="G",SUM($AH$8:$AH$407),IF(OR($AB420="",$AB420="R"),"",IF($AB420="D",INDEX($AH$8:$AH$407,$AA420),SUMIF($T$8:$T$407,INDEX($T$8:$T$407,$AA420),$AH$8:$AH$407))))</f>
        <v/>
      </c>
      <c r="AA420">
        <f>IFERROR(MATCH(413,$X$8:$X$407,1),"")</f>
        <v/>
      </c>
      <c r="AB420">
        <f>IF(413=$AD$1+1,"G",IF($AA420="","",IF(INDEX($Q$8:$Q$407,$AA420)="","",IF(413&gt;INDEX($X$8:$X$407,$AA420)+INDEX($V$8:$V$407,$AA420)+INDEX($W$8:$W$407,$AA420),"",IF(413=INDEX($X$8:$X$407,$AA420)+INDEX($V$8:$V$407,$AA420)+INDEX($W$8:$W$407,$AA420),"D",IF(AND(INDEX($W$8:$W$407,$AA420)=1,413=INDEX($X$8:$X$407,$AA420)+INDEX($V$8:$V$407,$AA420)),"S","R"))))))</f>
        <v/>
      </c>
      <c r="AC420">
        <f>IF(OR($AB420="",$AB420="G"),"",IF($AB420="D",INDEX($U$8:$U$407,$AA420),IF($AB420="S",INDEX($T$8:$T$407,$AA420)&amp;"|*",INDEX($S$8:$S$407,$AA420)&amp;"|*")))</f>
        <v/>
      </c>
    </row>
    <row r="421" ht="21" customHeight="1" s="66">
      <c r="A421" s="3">
        <f>IF($AB421="G","ผลรวมทั้งหมด",IF($AB421="R",INDEX($S$8:$S$407,$AA421),""))</f>
        <v/>
      </c>
      <c r="B421" s="3">
        <f>IF($AB421="S",INDEX($Y$8:$Y$407,$AA421),"")</f>
        <v/>
      </c>
      <c r="C421" s="68">
        <f>IF($AB421="D",INDEX($Z$8:$Z$407,$AA421),"")</f>
        <v/>
      </c>
      <c r="D421" s="31">
        <f>IF($AB421="G",SUM($AE$8:$AE$407),IF(OR($AB421="",$AB421="R"),"",IF($AB421="D",INDEX($AE$8:$AE$407,$AA421),SUMIF($T$8:$T$407,INDEX($T$8:$T$407,$AA421),$AE$8:$AE$407))))</f>
        <v/>
      </c>
      <c r="E421" s="32">
        <f>IF(414=$AD$1+3,"ขอแสดงความนับถือ",IF(414=$AD$1+6,"(                 )",IF(414=$AD$1+7,"เจ้าหน้าที่ขนส่ง",IF($AB421="G",SUM($AF$8:$AF$407),IF(OR($AB421="",$AB421="R"),"",IF($AB421="D",INDEX($AF$8:$AF$407,$AA421),SUMIF($T$8:$T$407,INDEX($T$8:$T$407,$AA421),$AF$8:$AF$407)))))))</f>
        <v/>
      </c>
      <c r="F421" s="32">
        <f>IF($AB421="G",SUM($AG$8:$AG$407),IF(OR($AB421="",$AB421="R"),"",IF($AB421="D",INDEX($AG$8:$AG$407,$AA421),SUMIF($T$8:$T$407,INDEX($T$8:$T$407,$AA421),$AG$8:$AG$407))))</f>
        <v/>
      </c>
      <c r="G421" s="32">
        <f>IF(OR($AB421="",$AB421="R"),"",ROUND($E421-$F421,2))</f>
        <v/>
      </c>
      <c r="H421" s="32">
        <f>IF($AB421="G",SUM($AH$8:$AH$407),IF(OR($AB421="",$AB421="R"),"",IF($AB421="D",INDEX($AH$8:$AH$407,$AA421),SUMIF($T$8:$T$407,INDEX($T$8:$T$407,$AA421),$AH$8:$AH$407))))</f>
        <v/>
      </c>
      <c r="AA421">
        <f>IFERROR(MATCH(414,$X$8:$X$407,1),"")</f>
        <v/>
      </c>
      <c r="AB421">
        <f>IF(414=$AD$1+1,"G",IF($AA421="","",IF(INDEX($Q$8:$Q$407,$AA421)="","",IF(414&gt;INDEX($X$8:$X$407,$AA421)+INDEX($V$8:$V$407,$AA421)+INDEX($W$8:$W$407,$AA421),"",IF(414=INDEX($X$8:$X$407,$AA421)+INDEX($V$8:$V$407,$AA421)+INDEX($W$8:$W$407,$AA421),"D",IF(AND(INDEX($W$8:$W$407,$AA421)=1,414=INDEX($X$8:$X$407,$AA421)+INDEX($V$8:$V$407,$AA421)),"S","R"))))))</f>
        <v/>
      </c>
      <c r="AC421">
        <f>IF(OR($AB421="",$AB421="G"),"",IF($AB421="D",INDEX($U$8:$U$407,$AA421),IF($AB421="S",INDEX($T$8:$T$407,$AA421)&amp;"|*",INDEX($S$8:$S$407,$AA421)&amp;"|*")))</f>
        <v/>
      </c>
    </row>
    <row r="422" ht="21" customHeight="1" s="66">
      <c r="A422" s="3">
        <f>IF($AB422="G","ผลรวมทั้งหมด",IF($AB422="R",INDEX($S$8:$S$407,$AA422),""))</f>
        <v/>
      </c>
      <c r="B422" s="3">
        <f>IF($AB422="S",INDEX($Y$8:$Y$407,$AA422),"")</f>
        <v/>
      </c>
      <c r="C422" s="68">
        <f>IF($AB422="D",INDEX($Z$8:$Z$407,$AA422),"")</f>
        <v/>
      </c>
      <c r="D422" s="31">
        <f>IF($AB422="G",SUM($AE$8:$AE$407),IF(OR($AB422="",$AB422="R"),"",IF($AB422="D",INDEX($AE$8:$AE$407,$AA422),SUMIF($T$8:$T$407,INDEX($T$8:$T$407,$AA422),$AE$8:$AE$407))))</f>
        <v/>
      </c>
      <c r="E422" s="32">
        <f>IF(415=$AD$1+3,"ขอแสดงความนับถือ",IF(415=$AD$1+6,"(                 )",IF(415=$AD$1+7,"เจ้าหน้าที่ขนส่ง",IF($AB422="G",SUM($AF$8:$AF$407),IF(OR($AB422="",$AB422="R"),"",IF($AB422="D",INDEX($AF$8:$AF$407,$AA422),SUMIF($T$8:$T$407,INDEX($T$8:$T$407,$AA422),$AF$8:$AF$407)))))))</f>
        <v/>
      </c>
      <c r="F422" s="32">
        <f>IF($AB422="G",SUM($AG$8:$AG$407),IF(OR($AB422="",$AB422="R"),"",IF($AB422="D",INDEX($AG$8:$AG$407,$AA422),SUMIF($T$8:$T$407,INDEX($T$8:$T$407,$AA422),$AG$8:$AG$407))))</f>
        <v/>
      </c>
      <c r="G422" s="32">
        <f>IF(OR($AB422="",$AB422="R"),"",ROUND($E422-$F422,2))</f>
        <v/>
      </c>
      <c r="H422" s="32">
        <f>IF($AB422="G",SUM($AH$8:$AH$407),IF(OR($AB422="",$AB422="R"),"",IF($AB422="D",INDEX($AH$8:$AH$407,$AA422),SUMIF($T$8:$T$407,INDEX($T$8:$T$407,$AA422),$AH$8:$AH$407))))</f>
        <v/>
      </c>
      <c r="AA422">
        <f>IFERROR(MATCH(415,$X$8:$X$407,1),"")</f>
        <v/>
      </c>
      <c r="AB422">
        <f>IF(415=$AD$1+1,"G",IF($AA422="","",IF(INDEX($Q$8:$Q$407,$AA422)="","",IF(415&gt;INDEX($X$8:$X$407,$AA422)+INDEX($V$8:$V$407,$AA422)+INDEX($W$8:$W$407,$AA422),"",IF(415=INDEX($X$8:$X$407,$AA422)+INDEX($V$8:$V$407,$AA422)+INDEX($W$8:$W$407,$AA422),"D",IF(AND(INDEX($W$8:$W$407,$AA422)=1,415=INDEX($X$8:$X$407,$AA422)+INDEX($V$8:$V$407,$AA422)),"S","R"))))))</f>
        <v/>
      </c>
      <c r="AC422">
        <f>IF(OR($AB422="",$AB422="G"),"",IF($AB422="D",INDEX($U$8:$U$407,$AA422),IF($AB422="S",INDEX($T$8:$T$407,$AA422)&amp;"|*",INDEX($S$8:$S$407,$AA422)&amp;"|*")))</f>
        <v/>
      </c>
    </row>
    <row r="423" ht="21" customHeight="1" s="66">
      <c r="A423" s="3">
        <f>IF($AB423="G","ผลรวมทั้งหมด",IF($AB423="R",INDEX($S$8:$S$407,$AA423),""))</f>
        <v/>
      </c>
      <c r="B423" s="3">
        <f>IF($AB423="S",INDEX($Y$8:$Y$407,$AA423),"")</f>
        <v/>
      </c>
      <c r="C423" s="68">
        <f>IF($AB423="D",INDEX($Z$8:$Z$407,$AA423),"")</f>
        <v/>
      </c>
      <c r="D423" s="31">
        <f>IF($AB423="G",SUM($AE$8:$AE$407),IF(OR($AB423="",$AB423="R"),"",IF($AB423="D",INDEX($AE$8:$AE$407,$AA423),SUMIF($T$8:$T$407,INDEX($T$8:$T$407,$AA423),$AE$8:$AE$407))))</f>
        <v/>
      </c>
      <c r="E423" s="32">
        <f>IF(416=$AD$1+3,"ขอแสดงความนับถือ",IF(416=$AD$1+6,"(                 )",IF(416=$AD$1+7,"เจ้าหน้าที่ขนส่ง",IF($AB423="G",SUM($AF$8:$AF$407),IF(OR($AB423="",$AB423="R"),"",IF($AB423="D",INDEX($AF$8:$AF$407,$AA423),SUMIF($T$8:$T$407,INDEX($T$8:$T$407,$AA423),$AF$8:$AF$407)))))))</f>
        <v/>
      </c>
      <c r="F423" s="32">
        <f>IF($AB423="G",SUM($AG$8:$AG$407),IF(OR($AB423="",$AB423="R"),"",IF($AB423="D",INDEX($AG$8:$AG$407,$AA423),SUMIF($T$8:$T$407,INDEX($T$8:$T$407,$AA423),$AG$8:$AG$407))))</f>
        <v/>
      </c>
      <c r="G423" s="32">
        <f>IF(OR($AB423="",$AB423="R"),"",ROUND($E423-$F423,2))</f>
        <v/>
      </c>
      <c r="H423" s="32">
        <f>IF($AB423="G",SUM($AH$8:$AH$407),IF(OR($AB423="",$AB423="R"),"",IF($AB423="D",INDEX($AH$8:$AH$407,$AA423),SUMIF($T$8:$T$407,INDEX($T$8:$T$407,$AA423),$AH$8:$AH$407))))</f>
        <v/>
      </c>
      <c r="AA423">
        <f>IFERROR(MATCH(416,$X$8:$X$407,1),"")</f>
        <v/>
      </c>
      <c r="AB423">
        <f>IF(416=$AD$1+1,"G",IF($AA423="","",IF(INDEX($Q$8:$Q$407,$AA423)="","",IF(416&gt;INDEX($X$8:$X$407,$AA423)+INDEX($V$8:$V$407,$AA423)+INDEX($W$8:$W$407,$AA423),"",IF(416=INDEX($X$8:$X$407,$AA423)+INDEX($V$8:$V$407,$AA423)+INDEX($W$8:$W$407,$AA423),"D",IF(AND(INDEX($W$8:$W$407,$AA423)=1,416=INDEX($X$8:$X$407,$AA423)+INDEX($V$8:$V$407,$AA423)),"S","R"))))))</f>
        <v/>
      </c>
      <c r="AC423">
        <f>IF(OR($AB423="",$AB423="G"),"",IF($AB423="D",INDEX($U$8:$U$407,$AA423),IF($AB423="S",INDEX($T$8:$T$407,$AA423)&amp;"|*",INDEX($S$8:$S$407,$AA423)&amp;"|*")))</f>
        <v/>
      </c>
    </row>
    <row r="424" ht="21" customHeight="1" s="66">
      <c r="A424" s="3">
        <f>IF($AB424="G","ผลรวมทั้งหมด",IF($AB424="R",INDEX($S$8:$S$407,$AA424),""))</f>
        <v/>
      </c>
      <c r="B424" s="3">
        <f>IF($AB424="S",INDEX($Y$8:$Y$407,$AA424),"")</f>
        <v/>
      </c>
      <c r="C424" s="68">
        <f>IF($AB424="D",INDEX($Z$8:$Z$407,$AA424),"")</f>
        <v/>
      </c>
      <c r="D424" s="31">
        <f>IF($AB424="G",SUM($AE$8:$AE$407),IF(OR($AB424="",$AB424="R"),"",IF($AB424="D",INDEX($AE$8:$AE$407,$AA424),SUMIF($T$8:$T$407,INDEX($T$8:$T$407,$AA424),$AE$8:$AE$407))))</f>
        <v/>
      </c>
      <c r="E424" s="32">
        <f>IF(417=$AD$1+3,"ขอแสดงความนับถือ",IF(417=$AD$1+6,"(                 )",IF(417=$AD$1+7,"เจ้าหน้าที่ขนส่ง",IF($AB424="G",SUM($AF$8:$AF$407),IF(OR($AB424="",$AB424="R"),"",IF($AB424="D",INDEX($AF$8:$AF$407,$AA424),SUMIF($T$8:$T$407,INDEX($T$8:$T$407,$AA424),$AF$8:$AF$407)))))))</f>
        <v/>
      </c>
      <c r="F424" s="32">
        <f>IF($AB424="G",SUM($AG$8:$AG$407),IF(OR($AB424="",$AB424="R"),"",IF($AB424="D",INDEX($AG$8:$AG$407,$AA424),SUMIF($T$8:$T$407,INDEX($T$8:$T$407,$AA424),$AG$8:$AG$407))))</f>
        <v/>
      </c>
      <c r="G424" s="32">
        <f>IF(OR($AB424="",$AB424="R"),"",ROUND($E424-$F424,2))</f>
        <v/>
      </c>
      <c r="H424" s="32">
        <f>IF($AB424="G",SUM($AH$8:$AH$407),IF(OR($AB424="",$AB424="R"),"",IF($AB424="D",INDEX($AH$8:$AH$407,$AA424),SUMIF($T$8:$T$407,INDEX($T$8:$T$407,$AA424),$AH$8:$AH$407))))</f>
        <v/>
      </c>
      <c r="AA424">
        <f>IFERROR(MATCH(417,$X$8:$X$407,1),"")</f>
        <v/>
      </c>
      <c r="AB424">
        <f>IF(417=$AD$1+1,"G",IF($AA424="","",IF(INDEX($Q$8:$Q$407,$AA424)="","",IF(417&gt;INDEX($X$8:$X$407,$AA424)+INDEX($V$8:$V$407,$AA424)+INDEX($W$8:$W$407,$AA424),"",IF(417=INDEX($X$8:$X$407,$AA424)+INDEX($V$8:$V$407,$AA424)+INDEX($W$8:$W$407,$AA424),"D",IF(AND(INDEX($W$8:$W$407,$AA424)=1,417=INDEX($X$8:$X$407,$AA424)+INDEX($V$8:$V$407,$AA424)),"S","R"))))))</f>
        <v/>
      </c>
      <c r="AC424">
        <f>IF(OR($AB424="",$AB424="G"),"",IF($AB424="D",INDEX($U$8:$U$407,$AA424),IF($AB424="S",INDEX($T$8:$T$407,$AA424)&amp;"|*",INDEX($S$8:$S$407,$AA424)&amp;"|*")))</f>
        <v/>
      </c>
    </row>
    <row r="425" ht="21" customHeight="1" s="66">
      <c r="A425" s="3">
        <f>IF($AB425="G","ผลรวมทั้งหมด",IF($AB425="R",INDEX($S$8:$S$407,$AA425),""))</f>
        <v/>
      </c>
      <c r="B425" s="3">
        <f>IF($AB425="S",INDEX($Y$8:$Y$407,$AA425),"")</f>
        <v/>
      </c>
      <c r="C425" s="68">
        <f>IF($AB425="D",INDEX($Z$8:$Z$407,$AA425),"")</f>
        <v/>
      </c>
      <c r="D425" s="31">
        <f>IF($AB425="G",SUM($AE$8:$AE$407),IF(OR($AB425="",$AB425="R"),"",IF($AB425="D",INDEX($AE$8:$AE$407,$AA425),SUMIF($T$8:$T$407,INDEX($T$8:$T$407,$AA425),$AE$8:$AE$407))))</f>
        <v/>
      </c>
      <c r="E425" s="32">
        <f>IF(418=$AD$1+3,"ขอแสดงความนับถือ",IF(418=$AD$1+6,"(                 )",IF(418=$AD$1+7,"เจ้าหน้าที่ขนส่ง",IF($AB425="G",SUM($AF$8:$AF$407),IF(OR($AB425="",$AB425="R"),"",IF($AB425="D",INDEX($AF$8:$AF$407,$AA425),SUMIF($T$8:$T$407,INDEX($T$8:$T$407,$AA425),$AF$8:$AF$407)))))))</f>
        <v/>
      </c>
      <c r="F425" s="32">
        <f>IF($AB425="G",SUM($AG$8:$AG$407),IF(OR($AB425="",$AB425="R"),"",IF($AB425="D",INDEX($AG$8:$AG$407,$AA425),SUMIF($T$8:$T$407,INDEX($T$8:$T$407,$AA425),$AG$8:$AG$407))))</f>
        <v/>
      </c>
      <c r="G425" s="32">
        <f>IF(OR($AB425="",$AB425="R"),"",ROUND($E425-$F425,2))</f>
        <v/>
      </c>
      <c r="H425" s="32">
        <f>IF($AB425="G",SUM($AH$8:$AH$407),IF(OR($AB425="",$AB425="R"),"",IF($AB425="D",INDEX($AH$8:$AH$407,$AA425),SUMIF($T$8:$T$407,INDEX($T$8:$T$407,$AA425),$AH$8:$AH$407))))</f>
        <v/>
      </c>
      <c r="AA425">
        <f>IFERROR(MATCH(418,$X$8:$X$407,1),"")</f>
        <v/>
      </c>
      <c r="AB425">
        <f>IF(418=$AD$1+1,"G",IF($AA425="","",IF(INDEX($Q$8:$Q$407,$AA425)="","",IF(418&gt;INDEX($X$8:$X$407,$AA425)+INDEX($V$8:$V$407,$AA425)+INDEX($W$8:$W$407,$AA425),"",IF(418=INDEX($X$8:$X$407,$AA425)+INDEX($V$8:$V$407,$AA425)+INDEX($W$8:$W$407,$AA425),"D",IF(AND(INDEX($W$8:$W$407,$AA425)=1,418=INDEX($X$8:$X$407,$AA425)+INDEX($V$8:$V$407,$AA425)),"S","R"))))))</f>
        <v/>
      </c>
      <c r="AC425">
        <f>IF(OR($AB425="",$AB425="G"),"",IF($AB425="D",INDEX($U$8:$U$407,$AA425),IF($AB425="S",INDEX($T$8:$T$407,$AA425)&amp;"|*",INDEX($S$8:$S$407,$AA425)&amp;"|*")))</f>
        <v/>
      </c>
    </row>
    <row r="426" ht="21" customHeight="1" s="66">
      <c r="A426" s="3">
        <f>IF($AB426="G","ผลรวมทั้งหมด",IF($AB426="R",INDEX($S$8:$S$407,$AA426),""))</f>
        <v/>
      </c>
      <c r="B426" s="3">
        <f>IF($AB426="S",INDEX($Y$8:$Y$407,$AA426),"")</f>
        <v/>
      </c>
      <c r="C426" s="68">
        <f>IF($AB426="D",INDEX($Z$8:$Z$407,$AA426),"")</f>
        <v/>
      </c>
      <c r="D426" s="31">
        <f>IF($AB426="G",SUM($AE$8:$AE$407),IF(OR($AB426="",$AB426="R"),"",IF($AB426="D",INDEX($AE$8:$AE$407,$AA426),SUMIF($T$8:$T$407,INDEX($T$8:$T$407,$AA426),$AE$8:$AE$407))))</f>
        <v/>
      </c>
      <c r="E426" s="32">
        <f>IF(419=$AD$1+3,"ขอแสดงความนับถือ",IF(419=$AD$1+6,"(                 )",IF(419=$AD$1+7,"เจ้าหน้าที่ขนส่ง",IF($AB426="G",SUM($AF$8:$AF$407),IF(OR($AB426="",$AB426="R"),"",IF($AB426="D",INDEX($AF$8:$AF$407,$AA426),SUMIF($T$8:$T$407,INDEX($T$8:$T$407,$AA426),$AF$8:$AF$407)))))))</f>
        <v/>
      </c>
      <c r="F426" s="32">
        <f>IF($AB426="G",SUM($AG$8:$AG$407),IF(OR($AB426="",$AB426="R"),"",IF($AB426="D",INDEX($AG$8:$AG$407,$AA426),SUMIF($T$8:$T$407,INDEX($T$8:$T$407,$AA426),$AG$8:$AG$407))))</f>
        <v/>
      </c>
      <c r="G426" s="32">
        <f>IF(OR($AB426="",$AB426="R"),"",ROUND($E426-$F426,2))</f>
        <v/>
      </c>
      <c r="H426" s="32">
        <f>IF($AB426="G",SUM($AH$8:$AH$407),IF(OR($AB426="",$AB426="R"),"",IF($AB426="D",INDEX($AH$8:$AH$407,$AA426),SUMIF($T$8:$T$407,INDEX($T$8:$T$407,$AA426),$AH$8:$AH$407))))</f>
        <v/>
      </c>
      <c r="AA426">
        <f>IFERROR(MATCH(419,$X$8:$X$407,1),"")</f>
        <v/>
      </c>
      <c r="AB426">
        <f>IF(419=$AD$1+1,"G",IF($AA426="","",IF(INDEX($Q$8:$Q$407,$AA426)="","",IF(419&gt;INDEX($X$8:$X$407,$AA426)+INDEX($V$8:$V$407,$AA426)+INDEX($W$8:$W$407,$AA426),"",IF(419=INDEX($X$8:$X$407,$AA426)+INDEX($V$8:$V$407,$AA426)+INDEX($W$8:$W$407,$AA426),"D",IF(AND(INDEX($W$8:$W$407,$AA426)=1,419=INDEX($X$8:$X$407,$AA426)+INDEX($V$8:$V$407,$AA426)),"S","R"))))))</f>
        <v/>
      </c>
      <c r="AC426">
        <f>IF(OR($AB426="",$AB426="G"),"",IF($AB426="D",INDEX($U$8:$U$407,$AA426),IF($AB426="S",INDEX($T$8:$T$407,$AA426)&amp;"|*",INDEX($S$8:$S$407,$AA426)&amp;"|*")))</f>
        <v/>
      </c>
    </row>
    <row r="427" ht="21" customHeight="1" s="66">
      <c r="A427" s="3">
        <f>IF($AB427="G","ผลรวมทั้งหมด",IF($AB427="R",INDEX($S$8:$S$407,$AA427),""))</f>
        <v/>
      </c>
      <c r="B427" s="3">
        <f>IF($AB427="S",INDEX($Y$8:$Y$407,$AA427),"")</f>
        <v/>
      </c>
      <c r="C427" s="68">
        <f>IF($AB427="D",INDEX($Z$8:$Z$407,$AA427),"")</f>
        <v/>
      </c>
      <c r="D427" s="31">
        <f>IF($AB427="G",SUM($AE$8:$AE$407),IF(OR($AB427="",$AB427="R"),"",IF($AB427="D",INDEX($AE$8:$AE$407,$AA427),SUMIF($T$8:$T$407,INDEX($T$8:$T$407,$AA427),$AE$8:$AE$407))))</f>
        <v/>
      </c>
      <c r="E427" s="32">
        <f>IF(420=$AD$1+3,"ขอแสดงความนับถือ",IF(420=$AD$1+6,"(                 )",IF(420=$AD$1+7,"เจ้าหน้าที่ขนส่ง",IF($AB427="G",SUM($AF$8:$AF$407),IF(OR($AB427="",$AB427="R"),"",IF($AB427="D",INDEX($AF$8:$AF$407,$AA427),SUMIF($T$8:$T$407,INDEX($T$8:$T$407,$AA427),$AF$8:$AF$407)))))))</f>
        <v/>
      </c>
      <c r="F427" s="32">
        <f>IF($AB427="G",SUM($AG$8:$AG$407),IF(OR($AB427="",$AB427="R"),"",IF($AB427="D",INDEX($AG$8:$AG$407,$AA427),SUMIF($T$8:$T$407,INDEX($T$8:$T$407,$AA427),$AG$8:$AG$407))))</f>
        <v/>
      </c>
      <c r="G427" s="32">
        <f>IF(OR($AB427="",$AB427="R"),"",ROUND($E427-$F427,2))</f>
        <v/>
      </c>
      <c r="H427" s="32">
        <f>IF($AB427="G",SUM($AH$8:$AH$407),IF(OR($AB427="",$AB427="R"),"",IF($AB427="D",INDEX($AH$8:$AH$407,$AA427),SUMIF($T$8:$T$407,INDEX($T$8:$T$407,$AA427),$AH$8:$AH$407))))</f>
        <v/>
      </c>
      <c r="AA427">
        <f>IFERROR(MATCH(420,$X$8:$X$407,1),"")</f>
        <v/>
      </c>
      <c r="AB427">
        <f>IF(420=$AD$1+1,"G",IF($AA427="","",IF(INDEX($Q$8:$Q$407,$AA427)="","",IF(420&gt;INDEX($X$8:$X$407,$AA427)+INDEX($V$8:$V$407,$AA427)+INDEX($W$8:$W$407,$AA427),"",IF(420=INDEX($X$8:$X$407,$AA427)+INDEX($V$8:$V$407,$AA427)+INDEX($W$8:$W$407,$AA427),"D",IF(AND(INDEX($W$8:$W$407,$AA427)=1,420=INDEX($X$8:$X$407,$AA427)+INDEX($V$8:$V$407,$AA427)),"S","R"))))))</f>
        <v/>
      </c>
      <c r="AC427">
        <f>IF(OR($AB427="",$AB427="G"),"",IF($AB427="D",INDEX($U$8:$U$407,$AA427),IF($AB427="S",INDEX($T$8:$T$407,$AA427)&amp;"|*",INDEX($S$8:$S$407,$AA427)&amp;"|*")))</f>
        <v/>
      </c>
    </row>
    <row r="428" ht="21" customHeight="1" s="66">
      <c r="A428" s="3">
        <f>IF($AB428="G","ผลรวมทั้งหมด",IF($AB428="R",INDEX($S$8:$S$407,$AA428),""))</f>
        <v/>
      </c>
      <c r="B428" s="3">
        <f>IF($AB428="S",INDEX($Y$8:$Y$407,$AA428),"")</f>
        <v/>
      </c>
      <c r="C428" s="68">
        <f>IF($AB428="D",INDEX($Z$8:$Z$407,$AA428),"")</f>
        <v/>
      </c>
      <c r="D428" s="31">
        <f>IF($AB428="G",SUM($AE$8:$AE$407),IF(OR($AB428="",$AB428="R"),"",IF($AB428="D",INDEX($AE$8:$AE$407,$AA428),SUMIF($T$8:$T$407,INDEX($T$8:$T$407,$AA428),$AE$8:$AE$407))))</f>
        <v/>
      </c>
      <c r="E428" s="32">
        <f>IF(421=$AD$1+3,"ขอแสดงความนับถือ",IF(421=$AD$1+6,"(                 )",IF(421=$AD$1+7,"เจ้าหน้าที่ขนส่ง",IF($AB428="G",SUM($AF$8:$AF$407),IF(OR($AB428="",$AB428="R"),"",IF($AB428="D",INDEX($AF$8:$AF$407,$AA428),SUMIF($T$8:$T$407,INDEX($T$8:$T$407,$AA428),$AF$8:$AF$407)))))))</f>
        <v/>
      </c>
      <c r="F428" s="32">
        <f>IF($AB428="G",SUM($AG$8:$AG$407),IF(OR($AB428="",$AB428="R"),"",IF($AB428="D",INDEX($AG$8:$AG$407,$AA428),SUMIF($T$8:$T$407,INDEX($T$8:$T$407,$AA428),$AG$8:$AG$407))))</f>
        <v/>
      </c>
      <c r="G428" s="32">
        <f>IF(OR($AB428="",$AB428="R"),"",ROUND($E428-$F428,2))</f>
        <v/>
      </c>
      <c r="H428" s="32">
        <f>IF($AB428="G",SUM($AH$8:$AH$407),IF(OR($AB428="",$AB428="R"),"",IF($AB428="D",INDEX($AH$8:$AH$407,$AA428),SUMIF($T$8:$T$407,INDEX($T$8:$T$407,$AA428),$AH$8:$AH$407))))</f>
        <v/>
      </c>
      <c r="AA428">
        <f>IFERROR(MATCH(421,$X$8:$X$407,1),"")</f>
        <v/>
      </c>
      <c r="AB428">
        <f>IF(421=$AD$1+1,"G",IF($AA428="","",IF(INDEX($Q$8:$Q$407,$AA428)="","",IF(421&gt;INDEX($X$8:$X$407,$AA428)+INDEX($V$8:$V$407,$AA428)+INDEX($W$8:$W$407,$AA428),"",IF(421=INDEX($X$8:$X$407,$AA428)+INDEX($V$8:$V$407,$AA428)+INDEX($W$8:$W$407,$AA428),"D",IF(AND(INDEX($W$8:$W$407,$AA428)=1,421=INDEX($X$8:$X$407,$AA428)+INDEX($V$8:$V$407,$AA428)),"S","R"))))))</f>
        <v/>
      </c>
      <c r="AC428">
        <f>IF(OR($AB428="",$AB428="G"),"",IF($AB428="D",INDEX($U$8:$U$407,$AA428),IF($AB428="S",INDEX($T$8:$T$407,$AA428)&amp;"|*",INDEX($S$8:$S$407,$AA428)&amp;"|*")))</f>
        <v/>
      </c>
    </row>
    <row r="429" ht="21" customHeight="1" s="66">
      <c r="A429" s="3">
        <f>IF($AB429="G","ผลรวมทั้งหมด",IF($AB429="R",INDEX($S$8:$S$407,$AA429),""))</f>
        <v/>
      </c>
      <c r="B429" s="3">
        <f>IF($AB429="S",INDEX($Y$8:$Y$407,$AA429),"")</f>
        <v/>
      </c>
      <c r="C429" s="68">
        <f>IF($AB429="D",INDEX($Z$8:$Z$407,$AA429),"")</f>
        <v/>
      </c>
      <c r="D429" s="31">
        <f>IF($AB429="G",SUM($AE$8:$AE$407),IF(OR($AB429="",$AB429="R"),"",IF($AB429="D",INDEX($AE$8:$AE$407,$AA429),SUMIF($T$8:$T$407,INDEX($T$8:$T$407,$AA429),$AE$8:$AE$407))))</f>
        <v/>
      </c>
      <c r="E429" s="32">
        <f>IF(422=$AD$1+3,"ขอแสดงความนับถือ",IF(422=$AD$1+6,"(                 )",IF(422=$AD$1+7,"เจ้าหน้าที่ขนส่ง",IF($AB429="G",SUM($AF$8:$AF$407),IF(OR($AB429="",$AB429="R"),"",IF($AB429="D",INDEX($AF$8:$AF$407,$AA429),SUMIF($T$8:$T$407,INDEX($T$8:$T$407,$AA429),$AF$8:$AF$407)))))))</f>
        <v/>
      </c>
      <c r="F429" s="32">
        <f>IF($AB429="G",SUM($AG$8:$AG$407),IF(OR($AB429="",$AB429="R"),"",IF($AB429="D",INDEX($AG$8:$AG$407,$AA429),SUMIF($T$8:$T$407,INDEX($T$8:$T$407,$AA429),$AG$8:$AG$407))))</f>
        <v/>
      </c>
      <c r="G429" s="32">
        <f>IF(OR($AB429="",$AB429="R"),"",ROUND($E429-$F429,2))</f>
        <v/>
      </c>
      <c r="H429" s="32">
        <f>IF($AB429="G",SUM($AH$8:$AH$407),IF(OR($AB429="",$AB429="R"),"",IF($AB429="D",INDEX($AH$8:$AH$407,$AA429),SUMIF($T$8:$T$407,INDEX($T$8:$T$407,$AA429),$AH$8:$AH$407))))</f>
        <v/>
      </c>
      <c r="AA429">
        <f>IFERROR(MATCH(422,$X$8:$X$407,1),"")</f>
        <v/>
      </c>
      <c r="AB429">
        <f>IF(422=$AD$1+1,"G",IF($AA429="","",IF(INDEX($Q$8:$Q$407,$AA429)="","",IF(422&gt;INDEX($X$8:$X$407,$AA429)+INDEX($V$8:$V$407,$AA429)+INDEX($W$8:$W$407,$AA429),"",IF(422=INDEX($X$8:$X$407,$AA429)+INDEX($V$8:$V$407,$AA429)+INDEX($W$8:$W$407,$AA429),"D",IF(AND(INDEX($W$8:$W$407,$AA429)=1,422=INDEX($X$8:$X$407,$AA429)+INDEX($V$8:$V$407,$AA429)),"S","R"))))))</f>
        <v/>
      </c>
      <c r="AC429">
        <f>IF(OR($AB429="",$AB429="G"),"",IF($AB429="D",INDEX($U$8:$U$407,$AA429),IF($AB429="S",INDEX($T$8:$T$407,$AA429)&amp;"|*",INDEX($S$8:$S$407,$AA429)&amp;"|*")))</f>
        <v/>
      </c>
    </row>
    <row r="430" ht="21" customHeight="1" s="66">
      <c r="A430" s="3">
        <f>IF($AB430="G","ผลรวมทั้งหมด",IF($AB430="R",INDEX($S$8:$S$407,$AA430),""))</f>
        <v/>
      </c>
      <c r="B430" s="3">
        <f>IF($AB430="S",INDEX($Y$8:$Y$407,$AA430),"")</f>
        <v/>
      </c>
      <c r="C430" s="68">
        <f>IF($AB430="D",INDEX($Z$8:$Z$407,$AA430),"")</f>
        <v/>
      </c>
      <c r="D430" s="31">
        <f>IF($AB430="G",SUM($AE$8:$AE$407),IF(OR($AB430="",$AB430="R"),"",IF($AB430="D",INDEX($AE$8:$AE$407,$AA430),SUMIF($T$8:$T$407,INDEX($T$8:$T$407,$AA430),$AE$8:$AE$407))))</f>
        <v/>
      </c>
      <c r="E430" s="32">
        <f>IF(423=$AD$1+3,"ขอแสดงความนับถือ",IF(423=$AD$1+6,"(                 )",IF(423=$AD$1+7,"เจ้าหน้าที่ขนส่ง",IF($AB430="G",SUM($AF$8:$AF$407),IF(OR($AB430="",$AB430="R"),"",IF($AB430="D",INDEX($AF$8:$AF$407,$AA430),SUMIF($T$8:$T$407,INDEX($T$8:$T$407,$AA430),$AF$8:$AF$407)))))))</f>
        <v/>
      </c>
      <c r="F430" s="32">
        <f>IF($AB430="G",SUM($AG$8:$AG$407),IF(OR($AB430="",$AB430="R"),"",IF($AB430="D",INDEX($AG$8:$AG$407,$AA430),SUMIF($T$8:$T$407,INDEX($T$8:$T$407,$AA430),$AG$8:$AG$407))))</f>
        <v/>
      </c>
      <c r="G430" s="32">
        <f>IF(OR($AB430="",$AB430="R"),"",ROUND($E430-$F430,2))</f>
        <v/>
      </c>
      <c r="H430" s="32">
        <f>IF($AB430="G",SUM($AH$8:$AH$407),IF(OR($AB430="",$AB430="R"),"",IF($AB430="D",INDEX($AH$8:$AH$407,$AA430),SUMIF($T$8:$T$407,INDEX($T$8:$T$407,$AA430),$AH$8:$AH$407))))</f>
        <v/>
      </c>
      <c r="AA430">
        <f>IFERROR(MATCH(423,$X$8:$X$407,1),"")</f>
        <v/>
      </c>
      <c r="AB430">
        <f>IF(423=$AD$1+1,"G",IF($AA430="","",IF(INDEX($Q$8:$Q$407,$AA430)="","",IF(423&gt;INDEX($X$8:$X$407,$AA430)+INDEX($V$8:$V$407,$AA430)+INDEX($W$8:$W$407,$AA430),"",IF(423=INDEX($X$8:$X$407,$AA430)+INDEX($V$8:$V$407,$AA430)+INDEX($W$8:$W$407,$AA430),"D",IF(AND(INDEX($W$8:$W$407,$AA430)=1,423=INDEX($X$8:$X$407,$AA430)+INDEX($V$8:$V$407,$AA430)),"S","R"))))))</f>
        <v/>
      </c>
      <c r="AC430">
        <f>IF(OR($AB430="",$AB430="G"),"",IF($AB430="D",INDEX($U$8:$U$407,$AA430),IF($AB430="S",INDEX($T$8:$T$407,$AA430)&amp;"|*",INDEX($S$8:$S$407,$AA430)&amp;"|*")))</f>
        <v/>
      </c>
    </row>
    <row r="431" ht="21" customHeight="1" s="66">
      <c r="A431" s="3">
        <f>IF($AB431="G","ผลรวมทั้งหมด",IF($AB431="R",INDEX($S$8:$S$407,$AA431),""))</f>
        <v/>
      </c>
      <c r="B431" s="3">
        <f>IF($AB431="S",INDEX($Y$8:$Y$407,$AA431),"")</f>
        <v/>
      </c>
      <c r="C431" s="68">
        <f>IF($AB431="D",INDEX($Z$8:$Z$407,$AA431),"")</f>
        <v/>
      </c>
      <c r="D431" s="31">
        <f>IF($AB431="G",SUM($AE$8:$AE$407),IF(OR($AB431="",$AB431="R"),"",IF($AB431="D",INDEX($AE$8:$AE$407,$AA431),SUMIF($T$8:$T$407,INDEX($T$8:$T$407,$AA431),$AE$8:$AE$407))))</f>
        <v/>
      </c>
      <c r="E431" s="32">
        <f>IF(424=$AD$1+3,"ขอแสดงความนับถือ",IF(424=$AD$1+6,"(                 )",IF(424=$AD$1+7,"เจ้าหน้าที่ขนส่ง",IF($AB431="G",SUM($AF$8:$AF$407),IF(OR($AB431="",$AB431="R"),"",IF($AB431="D",INDEX($AF$8:$AF$407,$AA431),SUMIF($T$8:$T$407,INDEX($T$8:$T$407,$AA431),$AF$8:$AF$407)))))))</f>
        <v/>
      </c>
      <c r="F431" s="32">
        <f>IF($AB431="G",SUM($AG$8:$AG$407),IF(OR($AB431="",$AB431="R"),"",IF($AB431="D",INDEX($AG$8:$AG$407,$AA431),SUMIF($T$8:$T$407,INDEX($T$8:$T$407,$AA431),$AG$8:$AG$407))))</f>
        <v/>
      </c>
      <c r="G431" s="32">
        <f>IF(OR($AB431="",$AB431="R"),"",ROUND($E431-$F431,2))</f>
        <v/>
      </c>
      <c r="H431" s="32">
        <f>IF($AB431="G",SUM($AH$8:$AH$407),IF(OR($AB431="",$AB431="R"),"",IF($AB431="D",INDEX($AH$8:$AH$407,$AA431),SUMIF($T$8:$T$407,INDEX($T$8:$T$407,$AA431),$AH$8:$AH$407))))</f>
        <v/>
      </c>
      <c r="AA431">
        <f>IFERROR(MATCH(424,$X$8:$X$407,1),"")</f>
        <v/>
      </c>
      <c r="AB431">
        <f>IF(424=$AD$1+1,"G",IF($AA431="","",IF(INDEX($Q$8:$Q$407,$AA431)="","",IF(424&gt;INDEX($X$8:$X$407,$AA431)+INDEX($V$8:$V$407,$AA431)+INDEX($W$8:$W$407,$AA431),"",IF(424=INDEX($X$8:$X$407,$AA431)+INDEX($V$8:$V$407,$AA431)+INDEX($W$8:$W$407,$AA431),"D",IF(AND(INDEX($W$8:$W$407,$AA431)=1,424=INDEX($X$8:$X$407,$AA431)+INDEX($V$8:$V$407,$AA431)),"S","R"))))))</f>
        <v/>
      </c>
      <c r="AC431">
        <f>IF(OR($AB431="",$AB431="G"),"",IF($AB431="D",INDEX($U$8:$U$407,$AA431),IF($AB431="S",INDEX($T$8:$T$407,$AA431)&amp;"|*",INDEX($S$8:$S$407,$AA431)&amp;"|*")))</f>
        <v/>
      </c>
    </row>
    <row r="432" ht="21" customHeight="1" s="66">
      <c r="A432" s="3">
        <f>IF($AB432="G","ผลรวมทั้งหมด",IF($AB432="R",INDEX($S$8:$S$407,$AA432),""))</f>
        <v/>
      </c>
      <c r="B432" s="3">
        <f>IF($AB432="S",INDEX($Y$8:$Y$407,$AA432),"")</f>
        <v/>
      </c>
      <c r="C432" s="68">
        <f>IF($AB432="D",INDEX($Z$8:$Z$407,$AA432),"")</f>
        <v/>
      </c>
      <c r="D432" s="31">
        <f>IF($AB432="G",SUM($AE$8:$AE$407),IF(OR($AB432="",$AB432="R"),"",IF($AB432="D",INDEX($AE$8:$AE$407,$AA432),SUMIF($T$8:$T$407,INDEX($T$8:$T$407,$AA432),$AE$8:$AE$407))))</f>
        <v/>
      </c>
      <c r="E432" s="32">
        <f>IF(425=$AD$1+3,"ขอแสดงความนับถือ",IF(425=$AD$1+6,"(                 )",IF(425=$AD$1+7,"เจ้าหน้าที่ขนส่ง",IF($AB432="G",SUM($AF$8:$AF$407),IF(OR($AB432="",$AB432="R"),"",IF($AB432="D",INDEX($AF$8:$AF$407,$AA432),SUMIF($T$8:$T$407,INDEX($T$8:$T$407,$AA432),$AF$8:$AF$407)))))))</f>
        <v/>
      </c>
      <c r="F432" s="32">
        <f>IF($AB432="G",SUM($AG$8:$AG$407),IF(OR($AB432="",$AB432="R"),"",IF($AB432="D",INDEX($AG$8:$AG$407,$AA432),SUMIF($T$8:$T$407,INDEX($T$8:$T$407,$AA432),$AG$8:$AG$407))))</f>
        <v/>
      </c>
      <c r="G432" s="32">
        <f>IF(OR($AB432="",$AB432="R"),"",ROUND($E432-$F432,2))</f>
        <v/>
      </c>
      <c r="H432" s="32">
        <f>IF($AB432="G",SUM($AH$8:$AH$407),IF(OR($AB432="",$AB432="R"),"",IF($AB432="D",INDEX($AH$8:$AH$407,$AA432),SUMIF($T$8:$T$407,INDEX($T$8:$T$407,$AA432),$AH$8:$AH$407))))</f>
        <v/>
      </c>
      <c r="AA432">
        <f>IFERROR(MATCH(425,$X$8:$X$407,1),"")</f>
        <v/>
      </c>
      <c r="AB432">
        <f>IF(425=$AD$1+1,"G",IF($AA432="","",IF(INDEX($Q$8:$Q$407,$AA432)="","",IF(425&gt;INDEX($X$8:$X$407,$AA432)+INDEX($V$8:$V$407,$AA432)+INDEX($W$8:$W$407,$AA432),"",IF(425=INDEX($X$8:$X$407,$AA432)+INDEX($V$8:$V$407,$AA432)+INDEX($W$8:$W$407,$AA432),"D",IF(AND(INDEX($W$8:$W$407,$AA432)=1,425=INDEX($X$8:$X$407,$AA432)+INDEX($V$8:$V$407,$AA432)),"S","R"))))))</f>
        <v/>
      </c>
      <c r="AC432">
        <f>IF(OR($AB432="",$AB432="G"),"",IF($AB432="D",INDEX($U$8:$U$407,$AA432),IF($AB432="S",INDEX($T$8:$T$407,$AA432)&amp;"|*",INDEX($S$8:$S$407,$AA432)&amp;"|*")))</f>
        <v/>
      </c>
    </row>
    <row r="433" ht="21" customHeight="1" s="66">
      <c r="A433" s="3">
        <f>IF($AB433="G","ผลรวมทั้งหมด",IF($AB433="R",INDEX($S$8:$S$407,$AA433),""))</f>
        <v/>
      </c>
      <c r="B433" s="3">
        <f>IF($AB433="S",INDEX($Y$8:$Y$407,$AA433),"")</f>
        <v/>
      </c>
      <c r="C433" s="68">
        <f>IF($AB433="D",INDEX($Z$8:$Z$407,$AA433),"")</f>
        <v/>
      </c>
      <c r="D433" s="31">
        <f>IF($AB433="G",SUM($AE$8:$AE$407),IF(OR($AB433="",$AB433="R"),"",IF($AB433="D",INDEX($AE$8:$AE$407,$AA433),SUMIF($T$8:$T$407,INDEX($T$8:$T$407,$AA433),$AE$8:$AE$407))))</f>
        <v/>
      </c>
      <c r="E433" s="32">
        <f>IF(426=$AD$1+3,"ขอแสดงความนับถือ",IF(426=$AD$1+6,"(                 )",IF(426=$AD$1+7,"เจ้าหน้าที่ขนส่ง",IF($AB433="G",SUM($AF$8:$AF$407),IF(OR($AB433="",$AB433="R"),"",IF($AB433="D",INDEX($AF$8:$AF$407,$AA433),SUMIF($T$8:$T$407,INDEX($T$8:$T$407,$AA433),$AF$8:$AF$407)))))))</f>
        <v/>
      </c>
      <c r="F433" s="32">
        <f>IF($AB433="G",SUM($AG$8:$AG$407),IF(OR($AB433="",$AB433="R"),"",IF($AB433="D",INDEX($AG$8:$AG$407,$AA433),SUMIF($T$8:$T$407,INDEX($T$8:$T$407,$AA433),$AG$8:$AG$407))))</f>
        <v/>
      </c>
      <c r="G433" s="32">
        <f>IF(OR($AB433="",$AB433="R"),"",ROUND($E433-$F433,2))</f>
        <v/>
      </c>
      <c r="H433" s="32">
        <f>IF($AB433="G",SUM($AH$8:$AH$407),IF(OR($AB433="",$AB433="R"),"",IF($AB433="D",INDEX($AH$8:$AH$407,$AA433),SUMIF($T$8:$T$407,INDEX($T$8:$T$407,$AA433),$AH$8:$AH$407))))</f>
        <v/>
      </c>
      <c r="AA433">
        <f>IFERROR(MATCH(426,$X$8:$X$407,1),"")</f>
        <v/>
      </c>
      <c r="AB433">
        <f>IF(426=$AD$1+1,"G",IF($AA433="","",IF(INDEX($Q$8:$Q$407,$AA433)="","",IF(426&gt;INDEX($X$8:$X$407,$AA433)+INDEX($V$8:$V$407,$AA433)+INDEX($W$8:$W$407,$AA433),"",IF(426=INDEX($X$8:$X$407,$AA433)+INDEX($V$8:$V$407,$AA433)+INDEX($W$8:$W$407,$AA433),"D",IF(AND(INDEX($W$8:$W$407,$AA433)=1,426=INDEX($X$8:$X$407,$AA433)+INDEX($V$8:$V$407,$AA433)),"S","R"))))))</f>
        <v/>
      </c>
      <c r="AC433">
        <f>IF(OR($AB433="",$AB433="G"),"",IF($AB433="D",INDEX($U$8:$U$407,$AA433),IF($AB433="S",INDEX($T$8:$T$407,$AA433)&amp;"|*",INDEX($S$8:$S$407,$AA433)&amp;"|*")))</f>
        <v/>
      </c>
    </row>
    <row r="434" ht="21" customHeight="1" s="66">
      <c r="A434" s="3">
        <f>IF($AB434="G","ผลรวมทั้งหมด",IF($AB434="R",INDEX($S$8:$S$407,$AA434),""))</f>
        <v/>
      </c>
      <c r="B434" s="3">
        <f>IF($AB434="S",INDEX($Y$8:$Y$407,$AA434),"")</f>
        <v/>
      </c>
      <c r="C434" s="68">
        <f>IF($AB434="D",INDEX($Z$8:$Z$407,$AA434),"")</f>
        <v/>
      </c>
      <c r="D434" s="31">
        <f>IF($AB434="G",SUM($AE$8:$AE$407),IF(OR($AB434="",$AB434="R"),"",IF($AB434="D",INDEX($AE$8:$AE$407,$AA434),SUMIF($T$8:$T$407,INDEX($T$8:$T$407,$AA434),$AE$8:$AE$407))))</f>
        <v/>
      </c>
      <c r="E434" s="32">
        <f>IF(427=$AD$1+3,"ขอแสดงความนับถือ",IF(427=$AD$1+6,"(                 )",IF(427=$AD$1+7,"เจ้าหน้าที่ขนส่ง",IF($AB434="G",SUM($AF$8:$AF$407),IF(OR($AB434="",$AB434="R"),"",IF($AB434="D",INDEX($AF$8:$AF$407,$AA434),SUMIF($T$8:$T$407,INDEX($T$8:$T$407,$AA434),$AF$8:$AF$407)))))))</f>
        <v/>
      </c>
      <c r="F434" s="32">
        <f>IF($AB434="G",SUM($AG$8:$AG$407),IF(OR($AB434="",$AB434="R"),"",IF($AB434="D",INDEX($AG$8:$AG$407,$AA434),SUMIF($T$8:$T$407,INDEX($T$8:$T$407,$AA434),$AG$8:$AG$407))))</f>
        <v/>
      </c>
      <c r="G434" s="32">
        <f>IF(OR($AB434="",$AB434="R"),"",ROUND($E434-$F434,2))</f>
        <v/>
      </c>
      <c r="H434" s="32">
        <f>IF($AB434="G",SUM($AH$8:$AH$407),IF(OR($AB434="",$AB434="R"),"",IF($AB434="D",INDEX($AH$8:$AH$407,$AA434),SUMIF($T$8:$T$407,INDEX($T$8:$T$407,$AA434),$AH$8:$AH$407))))</f>
        <v/>
      </c>
      <c r="AA434">
        <f>IFERROR(MATCH(427,$X$8:$X$407,1),"")</f>
        <v/>
      </c>
      <c r="AB434">
        <f>IF(427=$AD$1+1,"G",IF($AA434="","",IF(INDEX($Q$8:$Q$407,$AA434)="","",IF(427&gt;INDEX($X$8:$X$407,$AA434)+INDEX($V$8:$V$407,$AA434)+INDEX($W$8:$W$407,$AA434),"",IF(427=INDEX($X$8:$X$407,$AA434)+INDEX($V$8:$V$407,$AA434)+INDEX($W$8:$W$407,$AA434),"D",IF(AND(INDEX($W$8:$W$407,$AA434)=1,427=INDEX($X$8:$X$407,$AA434)+INDEX($V$8:$V$407,$AA434)),"S","R"))))))</f>
        <v/>
      </c>
      <c r="AC434">
        <f>IF(OR($AB434="",$AB434="G"),"",IF($AB434="D",INDEX($U$8:$U$407,$AA434),IF($AB434="S",INDEX($T$8:$T$407,$AA434)&amp;"|*",INDEX($S$8:$S$407,$AA434)&amp;"|*")))</f>
        <v/>
      </c>
    </row>
    <row r="435" ht="21" customHeight="1" s="66">
      <c r="A435" s="3">
        <f>IF($AB435="G","ผลรวมทั้งหมด",IF($AB435="R",INDEX($S$8:$S$407,$AA435),""))</f>
        <v/>
      </c>
      <c r="B435" s="3">
        <f>IF($AB435="S",INDEX($Y$8:$Y$407,$AA435),"")</f>
        <v/>
      </c>
      <c r="C435" s="68">
        <f>IF($AB435="D",INDEX($Z$8:$Z$407,$AA435),"")</f>
        <v/>
      </c>
      <c r="D435" s="31">
        <f>IF($AB435="G",SUM($AE$8:$AE$407),IF(OR($AB435="",$AB435="R"),"",IF($AB435="D",INDEX($AE$8:$AE$407,$AA435),SUMIF($T$8:$T$407,INDEX($T$8:$T$407,$AA435),$AE$8:$AE$407))))</f>
        <v/>
      </c>
      <c r="E435" s="32">
        <f>IF(428=$AD$1+3,"ขอแสดงความนับถือ",IF(428=$AD$1+6,"(                 )",IF(428=$AD$1+7,"เจ้าหน้าที่ขนส่ง",IF($AB435="G",SUM($AF$8:$AF$407),IF(OR($AB435="",$AB435="R"),"",IF($AB435="D",INDEX($AF$8:$AF$407,$AA435),SUMIF($T$8:$T$407,INDEX($T$8:$T$407,$AA435),$AF$8:$AF$407)))))))</f>
        <v/>
      </c>
      <c r="F435" s="32">
        <f>IF($AB435="G",SUM($AG$8:$AG$407),IF(OR($AB435="",$AB435="R"),"",IF($AB435="D",INDEX($AG$8:$AG$407,$AA435),SUMIF($T$8:$T$407,INDEX($T$8:$T$407,$AA435),$AG$8:$AG$407))))</f>
        <v/>
      </c>
      <c r="G435" s="32">
        <f>IF(OR($AB435="",$AB435="R"),"",ROUND($E435-$F435,2))</f>
        <v/>
      </c>
      <c r="H435" s="32">
        <f>IF($AB435="G",SUM($AH$8:$AH$407),IF(OR($AB435="",$AB435="R"),"",IF($AB435="D",INDEX($AH$8:$AH$407,$AA435),SUMIF($T$8:$T$407,INDEX($T$8:$T$407,$AA435),$AH$8:$AH$407))))</f>
        <v/>
      </c>
      <c r="AA435">
        <f>IFERROR(MATCH(428,$X$8:$X$407,1),"")</f>
        <v/>
      </c>
      <c r="AB435">
        <f>IF(428=$AD$1+1,"G",IF($AA435="","",IF(INDEX($Q$8:$Q$407,$AA435)="","",IF(428&gt;INDEX($X$8:$X$407,$AA435)+INDEX($V$8:$V$407,$AA435)+INDEX($W$8:$W$407,$AA435),"",IF(428=INDEX($X$8:$X$407,$AA435)+INDEX($V$8:$V$407,$AA435)+INDEX($W$8:$W$407,$AA435),"D",IF(AND(INDEX($W$8:$W$407,$AA435)=1,428=INDEX($X$8:$X$407,$AA435)+INDEX($V$8:$V$407,$AA435)),"S","R"))))))</f>
        <v/>
      </c>
      <c r="AC435">
        <f>IF(OR($AB435="",$AB435="G"),"",IF($AB435="D",INDEX($U$8:$U$407,$AA435),IF($AB435="S",INDEX($T$8:$T$407,$AA435)&amp;"|*",INDEX($S$8:$S$407,$AA435)&amp;"|*")))</f>
        <v/>
      </c>
    </row>
    <row r="436" ht="21" customHeight="1" s="66">
      <c r="A436" s="3">
        <f>IF($AB436="G","ผลรวมทั้งหมด",IF($AB436="R",INDEX($S$8:$S$407,$AA436),""))</f>
        <v/>
      </c>
      <c r="B436" s="3">
        <f>IF($AB436="S",INDEX($Y$8:$Y$407,$AA436),"")</f>
        <v/>
      </c>
      <c r="C436" s="68">
        <f>IF($AB436="D",INDEX($Z$8:$Z$407,$AA436),"")</f>
        <v/>
      </c>
      <c r="D436" s="31">
        <f>IF($AB436="G",SUM($AE$8:$AE$407),IF(OR($AB436="",$AB436="R"),"",IF($AB436="D",INDEX($AE$8:$AE$407,$AA436),SUMIF($T$8:$T$407,INDEX($T$8:$T$407,$AA436),$AE$8:$AE$407))))</f>
        <v/>
      </c>
      <c r="E436" s="32">
        <f>IF(429=$AD$1+3,"ขอแสดงความนับถือ",IF(429=$AD$1+6,"(                 )",IF(429=$AD$1+7,"เจ้าหน้าที่ขนส่ง",IF($AB436="G",SUM($AF$8:$AF$407),IF(OR($AB436="",$AB436="R"),"",IF($AB436="D",INDEX($AF$8:$AF$407,$AA436),SUMIF($T$8:$T$407,INDEX($T$8:$T$407,$AA436),$AF$8:$AF$407)))))))</f>
        <v/>
      </c>
      <c r="F436" s="32">
        <f>IF($AB436="G",SUM($AG$8:$AG$407),IF(OR($AB436="",$AB436="R"),"",IF($AB436="D",INDEX($AG$8:$AG$407,$AA436),SUMIF($T$8:$T$407,INDEX($T$8:$T$407,$AA436),$AG$8:$AG$407))))</f>
        <v/>
      </c>
      <c r="G436" s="32">
        <f>IF(OR($AB436="",$AB436="R"),"",ROUND($E436-$F436,2))</f>
        <v/>
      </c>
      <c r="H436" s="32">
        <f>IF($AB436="G",SUM($AH$8:$AH$407),IF(OR($AB436="",$AB436="R"),"",IF($AB436="D",INDEX($AH$8:$AH$407,$AA436),SUMIF($T$8:$T$407,INDEX($T$8:$T$407,$AA436),$AH$8:$AH$407))))</f>
        <v/>
      </c>
      <c r="AA436">
        <f>IFERROR(MATCH(429,$X$8:$X$407,1),"")</f>
        <v/>
      </c>
      <c r="AB436">
        <f>IF(429=$AD$1+1,"G",IF($AA436="","",IF(INDEX($Q$8:$Q$407,$AA436)="","",IF(429&gt;INDEX($X$8:$X$407,$AA436)+INDEX($V$8:$V$407,$AA436)+INDEX($W$8:$W$407,$AA436),"",IF(429=INDEX($X$8:$X$407,$AA436)+INDEX($V$8:$V$407,$AA436)+INDEX($W$8:$W$407,$AA436),"D",IF(AND(INDEX($W$8:$W$407,$AA436)=1,429=INDEX($X$8:$X$407,$AA436)+INDEX($V$8:$V$407,$AA436)),"S","R"))))))</f>
        <v/>
      </c>
      <c r="AC436">
        <f>IF(OR($AB436="",$AB436="G"),"",IF($AB436="D",INDEX($U$8:$U$407,$AA436),IF($AB436="S",INDEX($T$8:$T$407,$AA436)&amp;"|*",INDEX($S$8:$S$407,$AA436)&amp;"|*")))</f>
        <v/>
      </c>
    </row>
    <row r="437" ht="21" customHeight="1" s="66">
      <c r="A437" s="3">
        <f>IF($AB437="G","ผลรวมทั้งหมด",IF($AB437="R",INDEX($S$8:$S$407,$AA437),""))</f>
        <v/>
      </c>
      <c r="B437" s="3">
        <f>IF($AB437="S",INDEX($Y$8:$Y$407,$AA437),"")</f>
        <v/>
      </c>
      <c r="C437" s="68">
        <f>IF($AB437="D",INDEX($Z$8:$Z$407,$AA437),"")</f>
        <v/>
      </c>
      <c r="D437" s="31">
        <f>IF($AB437="G",SUM($AE$8:$AE$407),IF(OR($AB437="",$AB437="R"),"",IF($AB437="D",INDEX($AE$8:$AE$407,$AA437),SUMIF($T$8:$T$407,INDEX($T$8:$T$407,$AA437),$AE$8:$AE$407))))</f>
        <v/>
      </c>
      <c r="E437" s="32">
        <f>IF(430=$AD$1+3,"ขอแสดงความนับถือ",IF(430=$AD$1+6,"(                 )",IF(430=$AD$1+7,"เจ้าหน้าที่ขนส่ง",IF($AB437="G",SUM($AF$8:$AF$407),IF(OR($AB437="",$AB437="R"),"",IF($AB437="D",INDEX($AF$8:$AF$407,$AA437),SUMIF($T$8:$T$407,INDEX($T$8:$T$407,$AA437),$AF$8:$AF$407)))))))</f>
        <v/>
      </c>
      <c r="F437" s="32">
        <f>IF($AB437="G",SUM($AG$8:$AG$407),IF(OR($AB437="",$AB437="R"),"",IF($AB437="D",INDEX($AG$8:$AG$407,$AA437),SUMIF($T$8:$T$407,INDEX($T$8:$T$407,$AA437),$AG$8:$AG$407))))</f>
        <v/>
      </c>
      <c r="G437" s="32">
        <f>IF(OR($AB437="",$AB437="R"),"",ROUND($E437-$F437,2))</f>
        <v/>
      </c>
      <c r="H437" s="32">
        <f>IF($AB437="G",SUM($AH$8:$AH$407),IF(OR($AB437="",$AB437="R"),"",IF($AB437="D",INDEX($AH$8:$AH$407,$AA437),SUMIF($T$8:$T$407,INDEX($T$8:$T$407,$AA437),$AH$8:$AH$407))))</f>
        <v/>
      </c>
      <c r="AA437">
        <f>IFERROR(MATCH(430,$X$8:$X$407,1),"")</f>
        <v/>
      </c>
      <c r="AB437">
        <f>IF(430=$AD$1+1,"G",IF($AA437="","",IF(INDEX($Q$8:$Q$407,$AA437)="","",IF(430&gt;INDEX($X$8:$X$407,$AA437)+INDEX($V$8:$V$407,$AA437)+INDEX($W$8:$W$407,$AA437),"",IF(430=INDEX($X$8:$X$407,$AA437)+INDEX($V$8:$V$407,$AA437)+INDEX($W$8:$W$407,$AA437),"D",IF(AND(INDEX($W$8:$W$407,$AA437)=1,430=INDEX($X$8:$X$407,$AA437)+INDEX($V$8:$V$407,$AA437)),"S","R"))))))</f>
        <v/>
      </c>
      <c r="AC437">
        <f>IF(OR($AB437="",$AB437="G"),"",IF($AB437="D",INDEX($U$8:$U$407,$AA437),IF($AB437="S",INDEX($T$8:$T$407,$AA437)&amp;"|*",INDEX($S$8:$S$407,$AA437)&amp;"|*")))</f>
        <v/>
      </c>
    </row>
    <row r="438" ht="21" customHeight="1" s="66">
      <c r="A438" s="3">
        <f>IF($AB438="G","ผลรวมทั้งหมด",IF($AB438="R",INDEX($S$8:$S$407,$AA438),""))</f>
        <v/>
      </c>
      <c r="B438" s="3">
        <f>IF($AB438="S",INDEX($Y$8:$Y$407,$AA438),"")</f>
        <v/>
      </c>
      <c r="C438" s="68">
        <f>IF($AB438="D",INDEX($Z$8:$Z$407,$AA438),"")</f>
        <v/>
      </c>
      <c r="D438" s="31">
        <f>IF($AB438="G",SUM($AE$8:$AE$407),IF(OR($AB438="",$AB438="R"),"",IF($AB438="D",INDEX($AE$8:$AE$407,$AA438),SUMIF($T$8:$T$407,INDEX($T$8:$T$407,$AA438),$AE$8:$AE$407))))</f>
        <v/>
      </c>
      <c r="E438" s="32">
        <f>IF(431=$AD$1+3,"ขอแสดงความนับถือ",IF(431=$AD$1+6,"(                 )",IF(431=$AD$1+7,"เจ้าหน้าที่ขนส่ง",IF($AB438="G",SUM($AF$8:$AF$407),IF(OR($AB438="",$AB438="R"),"",IF($AB438="D",INDEX($AF$8:$AF$407,$AA438),SUMIF($T$8:$T$407,INDEX($T$8:$T$407,$AA438),$AF$8:$AF$407)))))))</f>
        <v/>
      </c>
      <c r="F438" s="32">
        <f>IF($AB438="G",SUM($AG$8:$AG$407),IF(OR($AB438="",$AB438="R"),"",IF($AB438="D",INDEX($AG$8:$AG$407,$AA438),SUMIF($T$8:$T$407,INDEX($T$8:$T$407,$AA438),$AG$8:$AG$407))))</f>
        <v/>
      </c>
      <c r="G438" s="32">
        <f>IF(OR($AB438="",$AB438="R"),"",ROUND($E438-$F438,2))</f>
        <v/>
      </c>
      <c r="H438" s="32">
        <f>IF($AB438="G",SUM($AH$8:$AH$407),IF(OR($AB438="",$AB438="R"),"",IF($AB438="D",INDEX($AH$8:$AH$407,$AA438),SUMIF($T$8:$T$407,INDEX($T$8:$T$407,$AA438),$AH$8:$AH$407))))</f>
        <v/>
      </c>
      <c r="AA438">
        <f>IFERROR(MATCH(431,$X$8:$X$407,1),"")</f>
        <v/>
      </c>
      <c r="AB438">
        <f>IF(431=$AD$1+1,"G",IF($AA438="","",IF(INDEX($Q$8:$Q$407,$AA438)="","",IF(431&gt;INDEX($X$8:$X$407,$AA438)+INDEX($V$8:$V$407,$AA438)+INDEX($W$8:$W$407,$AA438),"",IF(431=INDEX($X$8:$X$407,$AA438)+INDEX($V$8:$V$407,$AA438)+INDEX($W$8:$W$407,$AA438),"D",IF(AND(INDEX($W$8:$W$407,$AA438)=1,431=INDEX($X$8:$X$407,$AA438)+INDEX($V$8:$V$407,$AA438)),"S","R"))))))</f>
        <v/>
      </c>
      <c r="AC438">
        <f>IF(OR($AB438="",$AB438="G"),"",IF($AB438="D",INDEX($U$8:$U$407,$AA438),IF($AB438="S",INDEX($T$8:$T$407,$AA438)&amp;"|*",INDEX($S$8:$S$407,$AA438)&amp;"|*")))</f>
        <v/>
      </c>
    </row>
    <row r="439" ht="21" customHeight="1" s="66">
      <c r="A439" s="3">
        <f>IF($AB439="G","ผลรวมทั้งหมด",IF($AB439="R",INDEX($S$8:$S$407,$AA439),""))</f>
        <v/>
      </c>
      <c r="B439" s="3">
        <f>IF($AB439="S",INDEX($Y$8:$Y$407,$AA439),"")</f>
        <v/>
      </c>
      <c r="C439" s="68">
        <f>IF($AB439="D",INDEX($Z$8:$Z$407,$AA439),"")</f>
        <v/>
      </c>
      <c r="D439" s="31">
        <f>IF($AB439="G",SUM($AE$8:$AE$407),IF(OR($AB439="",$AB439="R"),"",IF($AB439="D",INDEX($AE$8:$AE$407,$AA439),SUMIF($T$8:$T$407,INDEX($T$8:$T$407,$AA439),$AE$8:$AE$407))))</f>
        <v/>
      </c>
      <c r="E439" s="32">
        <f>IF(432=$AD$1+3,"ขอแสดงความนับถือ",IF(432=$AD$1+6,"(                 )",IF(432=$AD$1+7,"เจ้าหน้าที่ขนส่ง",IF($AB439="G",SUM($AF$8:$AF$407),IF(OR($AB439="",$AB439="R"),"",IF($AB439="D",INDEX($AF$8:$AF$407,$AA439),SUMIF($T$8:$T$407,INDEX($T$8:$T$407,$AA439),$AF$8:$AF$407)))))))</f>
        <v/>
      </c>
      <c r="F439" s="32">
        <f>IF($AB439="G",SUM($AG$8:$AG$407),IF(OR($AB439="",$AB439="R"),"",IF($AB439="D",INDEX($AG$8:$AG$407,$AA439),SUMIF($T$8:$T$407,INDEX($T$8:$T$407,$AA439),$AG$8:$AG$407))))</f>
        <v/>
      </c>
      <c r="G439" s="32">
        <f>IF(OR($AB439="",$AB439="R"),"",ROUND($E439-$F439,2))</f>
        <v/>
      </c>
      <c r="H439" s="32">
        <f>IF($AB439="G",SUM($AH$8:$AH$407),IF(OR($AB439="",$AB439="R"),"",IF($AB439="D",INDEX($AH$8:$AH$407,$AA439),SUMIF($T$8:$T$407,INDEX($T$8:$T$407,$AA439),$AH$8:$AH$407))))</f>
        <v/>
      </c>
      <c r="AA439">
        <f>IFERROR(MATCH(432,$X$8:$X$407,1),"")</f>
        <v/>
      </c>
      <c r="AB439">
        <f>IF(432=$AD$1+1,"G",IF($AA439="","",IF(INDEX($Q$8:$Q$407,$AA439)="","",IF(432&gt;INDEX($X$8:$X$407,$AA439)+INDEX($V$8:$V$407,$AA439)+INDEX($W$8:$W$407,$AA439),"",IF(432=INDEX($X$8:$X$407,$AA439)+INDEX($V$8:$V$407,$AA439)+INDEX($W$8:$W$407,$AA439),"D",IF(AND(INDEX($W$8:$W$407,$AA439)=1,432=INDEX($X$8:$X$407,$AA439)+INDEX($V$8:$V$407,$AA439)),"S","R"))))))</f>
        <v/>
      </c>
      <c r="AC439">
        <f>IF(OR($AB439="",$AB439="G"),"",IF($AB439="D",INDEX($U$8:$U$407,$AA439),IF($AB439="S",INDEX($T$8:$T$407,$AA439)&amp;"|*",INDEX($S$8:$S$407,$AA439)&amp;"|*")))</f>
        <v/>
      </c>
    </row>
    <row r="440" ht="21" customHeight="1" s="66">
      <c r="A440" s="3">
        <f>IF($AB440="G","ผลรวมทั้งหมด",IF($AB440="R",INDEX($S$8:$S$407,$AA440),""))</f>
        <v/>
      </c>
      <c r="B440" s="3">
        <f>IF($AB440="S",INDEX($Y$8:$Y$407,$AA440),"")</f>
        <v/>
      </c>
      <c r="C440" s="68">
        <f>IF($AB440="D",INDEX($Z$8:$Z$407,$AA440),"")</f>
        <v/>
      </c>
      <c r="D440" s="31">
        <f>IF($AB440="G",SUM($AE$8:$AE$407),IF(OR($AB440="",$AB440="R"),"",IF($AB440="D",INDEX($AE$8:$AE$407,$AA440),SUMIF($T$8:$T$407,INDEX($T$8:$T$407,$AA440),$AE$8:$AE$407))))</f>
        <v/>
      </c>
      <c r="E440" s="32">
        <f>IF(433=$AD$1+3,"ขอแสดงความนับถือ",IF(433=$AD$1+6,"(                 )",IF(433=$AD$1+7,"เจ้าหน้าที่ขนส่ง",IF($AB440="G",SUM($AF$8:$AF$407),IF(OR($AB440="",$AB440="R"),"",IF($AB440="D",INDEX($AF$8:$AF$407,$AA440),SUMIF($T$8:$T$407,INDEX($T$8:$T$407,$AA440),$AF$8:$AF$407)))))))</f>
        <v/>
      </c>
      <c r="F440" s="32">
        <f>IF($AB440="G",SUM($AG$8:$AG$407),IF(OR($AB440="",$AB440="R"),"",IF($AB440="D",INDEX($AG$8:$AG$407,$AA440),SUMIF($T$8:$T$407,INDEX($T$8:$T$407,$AA440),$AG$8:$AG$407))))</f>
        <v/>
      </c>
      <c r="G440" s="32">
        <f>IF(OR($AB440="",$AB440="R"),"",ROUND($E440-$F440,2))</f>
        <v/>
      </c>
      <c r="H440" s="32">
        <f>IF($AB440="G",SUM($AH$8:$AH$407),IF(OR($AB440="",$AB440="R"),"",IF($AB440="D",INDEX($AH$8:$AH$407,$AA440),SUMIF($T$8:$T$407,INDEX($T$8:$T$407,$AA440),$AH$8:$AH$407))))</f>
        <v/>
      </c>
      <c r="AA440">
        <f>IFERROR(MATCH(433,$X$8:$X$407,1),"")</f>
        <v/>
      </c>
      <c r="AB440">
        <f>IF(433=$AD$1+1,"G",IF($AA440="","",IF(INDEX($Q$8:$Q$407,$AA440)="","",IF(433&gt;INDEX($X$8:$X$407,$AA440)+INDEX($V$8:$V$407,$AA440)+INDEX($W$8:$W$407,$AA440),"",IF(433=INDEX($X$8:$X$407,$AA440)+INDEX($V$8:$V$407,$AA440)+INDEX($W$8:$W$407,$AA440),"D",IF(AND(INDEX($W$8:$W$407,$AA440)=1,433=INDEX($X$8:$X$407,$AA440)+INDEX($V$8:$V$407,$AA440)),"S","R"))))))</f>
        <v/>
      </c>
      <c r="AC440">
        <f>IF(OR($AB440="",$AB440="G"),"",IF($AB440="D",INDEX($U$8:$U$407,$AA440),IF($AB440="S",INDEX($T$8:$T$407,$AA440)&amp;"|*",INDEX($S$8:$S$407,$AA440)&amp;"|*")))</f>
        <v/>
      </c>
    </row>
    <row r="441" ht="21" customHeight="1" s="66">
      <c r="A441" s="3">
        <f>IF($AB441="G","ผลรวมทั้งหมด",IF($AB441="R",INDEX($S$8:$S$407,$AA441),""))</f>
        <v/>
      </c>
      <c r="B441" s="3">
        <f>IF($AB441="S",INDEX($Y$8:$Y$407,$AA441),"")</f>
        <v/>
      </c>
      <c r="C441" s="68">
        <f>IF($AB441="D",INDEX($Z$8:$Z$407,$AA441),"")</f>
        <v/>
      </c>
      <c r="D441" s="31">
        <f>IF($AB441="G",SUM($AE$8:$AE$407),IF(OR($AB441="",$AB441="R"),"",IF($AB441="D",INDEX($AE$8:$AE$407,$AA441),SUMIF($T$8:$T$407,INDEX($T$8:$T$407,$AA441),$AE$8:$AE$407))))</f>
        <v/>
      </c>
      <c r="E441" s="32">
        <f>IF(434=$AD$1+3,"ขอแสดงความนับถือ",IF(434=$AD$1+6,"(                 )",IF(434=$AD$1+7,"เจ้าหน้าที่ขนส่ง",IF($AB441="G",SUM($AF$8:$AF$407),IF(OR($AB441="",$AB441="R"),"",IF($AB441="D",INDEX($AF$8:$AF$407,$AA441),SUMIF($T$8:$T$407,INDEX($T$8:$T$407,$AA441),$AF$8:$AF$407)))))))</f>
        <v/>
      </c>
      <c r="F441" s="32">
        <f>IF($AB441="G",SUM($AG$8:$AG$407),IF(OR($AB441="",$AB441="R"),"",IF($AB441="D",INDEX($AG$8:$AG$407,$AA441),SUMIF($T$8:$T$407,INDEX($T$8:$T$407,$AA441),$AG$8:$AG$407))))</f>
        <v/>
      </c>
      <c r="G441" s="32">
        <f>IF(OR($AB441="",$AB441="R"),"",ROUND($E441-$F441,2))</f>
        <v/>
      </c>
      <c r="H441" s="32">
        <f>IF($AB441="G",SUM($AH$8:$AH$407),IF(OR($AB441="",$AB441="R"),"",IF($AB441="D",INDEX($AH$8:$AH$407,$AA441),SUMIF($T$8:$T$407,INDEX($T$8:$T$407,$AA441),$AH$8:$AH$407))))</f>
        <v/>
      </c>
      <c r="AA441">
        <f>IFERROR(MATCH(434,$X$8:$X$407,1),"")</f>
        <v/>
      </c>
      <c r="AB441">
        <f>IF(434=$AD$1+1,"G",IF($AA441="","",IF(INDEX($Q$8:$Q$407,$AA441)="","",IF(434&gt;INDEX($X$8:$X$407,$AA441)+INDEX($V$8:$V$407,$AA441)+INDEX($W$8:$W$407,$AA441),"",IF(434=INDEX($X$8:$X$407,$AA441)+INDEX($V$8:$V$407,$AA441)+INDEX($W$8:$W$407,$AA441),"D",IF(AND(INDEX($W$8:$W$407,$AA441)=1,434=INDEX($X$8:$X$407,$AA441)+INDEX($V$8:$V$407,$AA441)),"S","R"))))))</f>
        <v/>
      </c>
      <c r="AC441">
        <f>IF(OR($AB441="",$AB441="G"),"",IF($AB441="D",INDEX($U$8:$U$407,$AA441),IF($AB441="S",INDEX($T$8:$T$407,$AA441)&amp;"|*",INDEX($S$8:$S$407,$AA441)&amp;"|*")))</f>
        <v/>
      </c>
    </row>
    <row r="442" ht="21" customHeight="1" s="66">
      <c r="A442" s="3">
        <f>IF($AB442="G","ผลรวมทั้งหมด",IF($AB442="R",INDEX($S$8:$S$407,$AA442),""))</f>
        <v/>
      </c>
      <c r="B442" s="3">
        <f>IF($AB442="S",INDEX($Y$8:$Y$407,$AA442),"")</f>
        <v/>
      </c>
      <c r="C442" s="68">
        <f>IF($AB442="D",INDEX($Z$8:$Z$407,$AA442),"")</f>
        <v/>
      </c>
      <c r="D442" s="31">
        <f>IF($AB442="G",SUM($AE$8:$AE$407),IF(OR($AB442="",$AB442="R"),"",IF($AB442="D",INDEX($AE$8:$AE$407,$AA442),SUMIF($T$8:$T$407,INDEX($T$8:$T$407,$AA442),$AE$8:$AE$407))))</f>
        <v/>
      </c>
      <c r="E442" s="32">
        <f>IF(435=$AD$1+3,"ขอแสดงความนับถือ",IF(435=$AD$1+6,"(                 )",IF(435=$AD$1+7,"เจ้าหน้าที่ขนส่ง",IF($AB442="G",SUM($AF$8:$AF$407),IF(OR($AB442="",$AB442="R"),"",IF($AB442="D",INDEX($AF$8:$AF$407,$AA442),SUMIF($T$8:$T$407,INDEX($T$8:$T$407,$AA442),$AF$8:$AF$407)))))))</f>
        <v/>
      </c>
      <c r="F442" s="32">
        <f>IF($AB442="G",SUM($AG$8:$AG$407),IF(OR($AB442="",$AB442="R"),"",IF($AB442="D",INDEX($AG$8:$AG$407,$AA442),SUMIF($T$8:$T$407,INDEX($T$8:$T$407,$AA442),$AG$8:$AG$407))))</f>
        <v/>
      </c>
      <c r="G442" s="32">
        <f>IF(OR($AB442="",$AB442="R"),"",ROUND($E442-$F442,2))</f>
        <v/>
      </c>
      <c r="H442" s="32">
        <f>IF($AB442="G",SUM($AH$8:$AH$407),IF(OR($AB442="",$AB442="R"),"",IF($AB442="D",INDEX($AH$8:$AH$407,$AA442),SUMIF($T$8:$T$407,INDEX($T$8:$T$407,$AA442),$AH$8:$AH$407))))</f>
        <v/>
      </c>
      <c r="AA442">
        <f>IFERROR(MATCH(435,$X$8:$X$407,1),"")</f>
        <v/>
      </c>
      <c r="AB442">
        <f>IF(435=$AD$1+1,"G",IF($AA442="","",IF(INDEX($Q$8:$Q$407,$AA442)="","",IF(435&gt;INDEX($X$8:$X$407,$AA442)+INDEX($V$8:$V$407,$AA442)+INDEX($W$8:$W$407,$AA442),"",IF(435=INDEX($X$8:$X$407,$AA442)+INDEX($V$8:$V$407,$AA442)+INDEX($W$8:$W$407,$AA442),"D",IF(AND(INDEX($W$8:$W$407,$AA442)=1,435=INDEX($X$8:$X$407,$AA442)+INDEX($V$8:$V$407,$AA442)),"S","R"))))))</f>
        <v/>
      </c>
      <c r="AC442">
        <f>IF(OR($AB442="",$AB442="G"),"",IF($AB442="D",INDEX($U$8:$U$407,$AA442),IF($AB442="S",INDEX($T$8:$T$407,$AA442)&amp;"|*",INDEX($S$8:$S$407,$AA442)&amp;"|*")))</f>
        <v/>
      </c>
    </row>
    <row r="443" ht="21" customHeight="1" s="66">
      <c r="A443" s="3">
        <f>IF($AB443="G","ผลรวมทั้งหมด",IF($AB443="R",INDEX($S$8:$S$407,$AA443),""))</f>
        <v/>
      </c>
      <c r="B443" s="3">
        <f>IF($AB443="S",INDEX($Y$8:$Y$407,$AA443),"")</f>
        <v/>
      </c>
      <c r="C443" s="68">
        <f>IF($AB443="D",INDEX($Z$8:$Z$407,$AA443),"")</f>
        <v/>
      </c>
      <c r="D443" s="31">
        <f>IF($AB443="G",SUM($AE$8:$AE$407),IF(OR($AB443="",$AB443="R"),"",IF($AB443="D",INDEX($AE$8:$AE$407,$AA443),SUMIF($T$8:$T$407,INDEX($T$8:$T$407,$AA443),$AE$8:$AE$407))))</f>
        <v/>
      </c>
      <c r="E443" s="32">
        <f>IF(436=$AD$1+3,"ขอแสดงความนับถือ",IF(436=$AD$1+6,"(                 )",IF(436=$AD$1+7,"เจ้าหน้าที่ขนส่ง",IF($AB443="G",SUM($AF$8:$AF$407),IF(OR($AB443="",$AB443="R"),"",IF($AB443="D",INDEX($AF$8:$AF$407,$AA443),SUMIF($T$8:$T$407,INDEX($T$8:$T$407,$AA443),$AF$8:$AF$407)))))))</f>
        <v/>
      </c>
      <c r="F443" s="32">
        <f>IF($AB443="G",SUM($AG$8:$AG$407),IF(OR($AB443="",$AB443="R"),"",IF($AB443="D",INDEX($AG$8:$AG$407,$AA443),SUMIF($T$8:$T$407,INDEX($T$8:$T$407,$AA443),$AG$8:$AG$407))))</f>
        <v/>
      </c>
      <c r="G443" s="32">
        <f>IF(OR($AB443="",$AB443="R"),"",ROUND($E443-$F443,2))</f>
        <v/>
      </c>
      <c r="H443" s="32">
        <f>IF($AB443="G",SUM($AH$8:$AH$407),IF(OR($AB443="",$AB443="R"),"",IF($AB443="D",INDEX($AH$8:$AH$407,$AA443),SUMIF($T$8:$T$407,INDEX($T$8:$T$407,$AA443),$AH$8:$AH$407))))</f>
        <v/>
      </c>
      <c r="AA443">
        <f>IFERROR(MATCH(436,$X$8:$X$407,1),"")</f>
        <v/>
      </c>
      <c r="AB443">
        <f>IF(436=$AD$1+1,"G",IF($AA443="","",IF(INDEX($Q$8:$Q$407,$AA443)="","",IF(436&gt;INDEX($X$8:$X$407,$AA443)+INDEX($V$8:$V$407,$AA443)+INDEX($W$8:$W$407,$AA443),"",IF(436=INDEX($X$8:$X$407,$AA443)+INDEX($V$8:$V$407,$AA443)+INDEX($W$8:$W$407,$AA443),"D",IF(AND(INDEX($W$8:$W$407,$AA443)=1,436=INDEX($X$8:$X$407,$AA443)+INDEX($V$8:$V$407,$AA443)),"S","R"))))))</f>
        <v/>
      </c>
      <c r="AC443">
        <f>IF(OR($AB443="",$AB443="G"),"",IF($AB443="D",INDEX($U$8:$U$407,$AA443),IF($AB443="S",INDEX($T$8:$T$407,$AA443)&amp;"|*",INDEX($S$8:$S$407,$AA443)&amp;"|*")))</f>
        <v/>
      </c>
    </row>
    <row r="444" ht="21" customHeight="1" s="66">
      <c r="A444" s="3">
        <f>IF($AB444="G","ผลรวมทั้งหมด",IF($AB444="R",INDEX($S$8:$S$407,$AA444),""))</f>
        <v/>
      </c>
      <c r="B444" s="3">
        <f>IF($AB444="S",INDEX($Y$8:$Y$407,$AA444),"")</f>
        <v/>
      </c>
      <c r="C444" s="68">
        <f>IF($AB444="D",INDEX($Z$8:$Z$407,$AA444),"")</f>
        <v/>
      </c>
      <c r="D444" s="31">
        <f>IF($AB444="G",SUM($AE$8:$AE$407),IF(OR($AB444="",$AB444="R"),"",IF($AB444="D",INDEX($AE$8:$AE$407,$AA444),SUMIF($T$8:$T$407,INDEX($T$8:$T$407,$AA444),$AE$8:$AE$407))))</f>
        <v/>
      </c>
      <c r="E444" s="32">
        <f>IF(437=$AD$1+3,"ขอแสดงความนับถือ",IF(437=$AD$1+6,"(                 )",IF(437=$AD$1+7,"เจ้าหน้าที่ขนส่ง",IF($AB444="G",SUM($AF$8:$AF$407),IF(OR($AB444="",$AB444="R"),"",IF($AB444="D",INDEX($AF$8:$AF$407,$AA444),SUMIF($T$8:$T$407,INDEX($T$8:$T$407,$AA444),$AF$8:$AF$407)))))))</f>
        <v/>
      </c>
      <c r="F444" s="32">
        <f>IF($AB444="G",SUM($AG$8:$AG$407),IF(OR($AB444="",$AB444="R"),"",IF($AB444="D",INDEX($AG$8:$AG$407,$AA444),SUMIF($T$8:$T$407,INDEX($T$8:$T$407,$AA444),$AG$8:$AG$407))))</f>
        <v/>
      </c>
      <c r="G444" s="32">
        <f>IF(OR($AB444="",$AB444="R"),"",ROUND($E444-$F444,2))</f>
        <v/>
      </c>
      <c r="H444" s="32">
        <f>IF($AB444="G",SUM($AH$8:$AH$407),IF(OR($AB444="",$AB444="R"),"",IF($AB444="D",INDEX($AH$8:$AH$407,$AA444),SUMIF($T$8:$T$407,INDEX($T$8:$T$407,$AA444),$AH$8:$AH$407))))</f>
        <v/>
      </c>
      <c r="AA444">
        <f>IFERROR(MATCH(437,$X$8:$X$407,1),"")</f>
        <v/>
      </c>
      <c r="AB444">
        <f>IF(437=$AD$1+1,"G",IF($AA444="","",IF(INDEX($Q$8:$Q$407,$AA444)="","",IF(437&gt;INDEX($X$8:$X$407,$AA444)+INDEX($V$8:$V$407,$AA444)+INDEX($W$8:$W$407,$AA444),"",IF(437=INDEX($X$8:$X$407,$AA444)+INDEX($V$8:$V$407,$AA444)+INDEX($W$8:$W$407,$AA444),"D",IF(AND(INDEX($W$8:$W$407,$AA444)=1,437=INDEX($X$8:$X$407,$AA444)+INDEX($V$8:$V$407,$AA444)),"S","R"))))))</f>
        <v/>
      </c>
      <c r="AC444">
        <f>IF(OR($AB444="",$AB444="G"),"",IF($AB444="D",INDEX($U$8:$U$407,$AA444),IF($AB444="S",INDEX($T$8:$T$407,$AA444)&amp;"|*",INDEX($S$8:$S$407,$AA444)&amp;"|*")))</f>
        <v/>
      </c>
    </row>
    <row r="445" ht="21" customHeight="1" s="66">
      <c r="A445" s="3">
        <f>IF($AB445="G","ผลรวมทั้งหมด",IF($AB445="R",INDEX($S$8:$S$407,$AA445),""))</f>
        <v/>
      </c>
      <c r="B445" s="3">
        <f>IF($AB445="S",INDEX($Y$8:$Y$407,$AA445),"")</f>
        <v/>
      </c>
      <c r="C445" s="68">
        <f>IF($AB445="D",INDEX($Z$8:$Z$407,$AA445),"")</f>
        <v/>
      </c>
      <c r="D445" s="31">
        <f>IF($AB445="G",SUM($AE$8:$AE$407),IF(OR($AB445="",$AB445="R"),"",IF($AB445="D",INDEX($AE$8:$AE$407,$AA445),SUMIF($T$8:$T$407,INDEX($T$8:$T$407,$AA445),$AE$8:$AE$407))))</f>
        <v/>
      </c>
      <c r="E445" s="32">
        <f>IF(438=$AD$1+3,"ขอแสดงความนับถือ",IF(438=$AD$1+6,"(                 )",IF(438=$AD$1+7,"เจ้าหน้าที่ขนส่ง",IF($AB445="G",SUM($AF$8:$AF$407),IF(OR($AB445="",$AB445="R"),"",IF($AB445="D",INDEX($AF$8:$AF$407,$AA445),SUMIF($T$8:$T$407,INDEX($T$8:$T$407,$AA445),$AF$8:$AF$407)))))))</f>
        <v/>
      </c>
      <c r="F445" s="32">
        <f>IF($AB445="G",SUM($AG$8:$AG$407),IF(OR($AB445="",$AB445="R"),"",IF($AB445="D",INDEX($AG$8:$AG$407,$AA445),SUMIF($T$8:$T$407,INDEX($T$8:$T$407,$AA445),$AG$8:$AG$407))))</f>
        <v/>
      </c>
      <c r="G445" s="32">
        <f>IF(OR($AB445="",$AB445="R"),"",ROUND($E445-$F445,2))</f>
        <v/>
      </c>
      <c r="H445" s="32">
        <f>IF($AB445="G",SUM($AH$8:$AH$407),IF(OR($AB445="",$AB445="R"),"",IF($AB445="D",INDEX($AH$8:$AH$407,$AA445),SUMIF($T$8:$T$407,INDEX($T$8:$T$407,$AA445),$AH$8:$AH$407))))</f>
        <v/>
      </c>
      <c r="AA445">
        <f>IFERROR(MATCH(438,$X$8:$X$407,1),"")</f>
        <v/>
      </c>
      <c r="AB445">
        <f>IF(438=$AD$1+1,"G",IF($AA445="","",IF(INDEX($Q$8:$Q$407,$AA445)="","",IF(438&gt;INDEX($X$8:$X$407,$AA445)+INDEX($V$8:$V$407,$AA445)+INDEX($W$8:$W$407,$AA445),"",IF(438=INDEX($X$8:$X$407,$AA445)+INDEX($V$8:$V$407,$AA445)+INDEX($W$8:$W$407,$AA445),"D",IF(AND(INDEX($W$8:$W$407,$AA445)=1,438=INDEX($X$8:$X$407,$AA445)+INDEX($V$8:$V$407,$AA445)),"S","R"))))))</f>
        <v/>
      </c>
      <c r="AC445">
        <f>IF(OR($AB445="",$AB445="G"),"",IF($AB445="D",INDEX($U$8:$U$407,$AA445),IF($AB445="S",INDEX($T$8:$T$407,$AA445)&amp;"|*",INDEX($S$8:$S$407,$AA445)&amp;"|*")))</f>
        <v/>
      </c>
    </row>
    <row r="446" ht="21" customHeight="1" s="66">
      <c r="A446" s="3">
        <f>IF($AB446="G","ผลรวมทั้งหมด",IF($AB446="R",INDEX($S$8:$S$407,$AA446),""))</f>
        <v/>
      </c>
      <c r="B446" s="3">
        <f>IF($AB446="S",INDEX($Y$8:$Y$407,$AA446),"")</f>
        <v/>
      </c>
      <c r="C446" s="68">
        <f>IF($AB446="D",INDEX($Z$8:$Z$407,$AA446),"")</f>
        <v/>
      </c>
      <c r="D446" s="31">
        <f>IF($AB446="G",SUM($AE$8:$AE$407),IF(OR($AB446="",$AB446="R"),"",IF($AB446="D",INDEX($AE$8:$AE$407,$AA446),SUMIF($T$8:$T$407,INDEX($T$8:$T$407,$AA446),$AE$8:$AE$407))))</f>
        <v/>
      </c>
      <c r="E446" s="32">
        <f>IF(439=$AD$1+3,"ขอแสดงความนับถือ",IF(439=$AD$1+6,"(                 )",IF(439=$AD$1+7,"เจ้าหน้าที่ขนส่ง",IF($AB446="G",SUM($AF$8:$AF$407),IF(OR($AB446="",$AB446="R"),"",IF($AB446="D",INDEX($AF$8:$AF$407,$AA446),SUMIF($T$8:$T$407,INDEX($T$8:$T$407,$AA446),$AF$8:$AF$407)))))))</f>
        <v/>
      </c>
      <c r="F446" s="32">
        <f>IF($AB446="G",SUM($AG$8:$AG$407),IF(OR($AB446="",$AB446="R"),"",IF($AB446="D",INDEX($AG$8:$AG$407,$AA446),SUMIF($T$8:$T$407,INDEX($T$8:$T$407,$AA446),$AG$8:$AG$407))))</f>
        <v/>
      </c>
      <c r="G446" s="32">
        <f>IF(OR($AB446="",$AB446="R"),"",ROUND($E446-$F446,2))</f>
        <v/>
      </c>
      <c r="H446" s="32">
        <f>IF($AB446="G",SUM($AH$8:$AH$407),IF(OR($AB446="",$AB446="R"),"",IF($AB446="D",INDEX($AH$8:$AH$407,$AA446),SUMIF($T$8:$T$407,INDEX($T$8:$T$407,$AA446),$AH$8:$AH$407))))</f>
        <v/>
      </c>
      <c r="AA446">
        <f>IFERROR(MATCH(439,$X$8:$X$407,1),"")</f>
        <v/>
      </c>
      <c r="AB446">
        <f>IF(439=$AD$1+1,"G",IF($AA446="","",IF(INDEX($Q$8:$Q$407,$AA446)="","",IF(439&gt;INDEX($X$8:$X$407,$AA446)+INDEX($V$8:$V$407,$AA446)+INDEX($W$8:$W$407,$AA446),"",IF(439=INDEX($X$8:$X$407,$AA446)+INDEX($V$8:$V$407,$AA446)+INDEX($W$8:$W$407,$AA446),"D",IF(AND(INDEX($W$8:$W$407,$AA446)=1,439=INDEX($X$8:$X$407,$AA446)+INDEX($V$8:$V$407,$AA446)),"S","R"))))))</f>
        <v/>
      </c>
      <c r="AC446">
        <f>IF(OR($AB446="",$AB446="G"),"",IF($AB446="D",INDEX($U$8:$U$407,$AA446),IF($AB446="S",INDEX($T$8:$T$407,$AA446)&amp;"|*",INDEX($S$8:$S$407,$AA446)&amp;"|*")))</f>
        <v/>
      </c>
    </row>
    <row r="447" ht="21" customHeight="1" s="66">
      <c r="A447" s="3">
        <f>IF($AB447="G","ผลรวมทั้งหมด",IF($AB447="R",INDEX($S$8:$S$407,$AA447),""))</f>
        <v/>
      </c>
      <c r="B447" s="3">
        <f>IF($AB447="S",INDEX($Y$8:$Y$407,$AA447),"")</f>
        <v/>
      </c>
      <c r="C447" s="68">
        <f>IF($AB447="D",INDEX($Z$8:$Z$407,$AA447),"")</f>
        <v/>
      </c>
      <c r="D447" s="31">
        <f>IF($AB447="G",SUM($AE$8:$AE$407),IF(OR($AB447="",$AB447="R"),"",IF($AB447="D",INDEX($AE$8:$AE$407,$AA447),SUMIF($T$8:$T$407,INDEX($T$8:$T$407,$AA447),$AE$8:$AE$407))))</f>
        <v/>
      </c>
      <c r="E447" s="32">
        <f>IF(440=$AD$1+3,"ขอแสดงความนับถือ",IF(440=$AD$1+6,"(                 )",IF(440=$AD$1+7,"เจ้าหน้าที่ขนส่ง",IF($AB447="G",SUM($AF$8:$AF$407),IF(OR($AB447="",$AB447="R"),"",IF($AB447="D",INDEX($AF$8:$AF$407,$AA447),SUMIF($T$8:$T$407,INDEX($T$8:$T$407,$AA447),$AF$8:$AF$407)))))))</f>
        <v/>
      </c>
      <c r="F447" s="32">
        <f>IF($AB447="G",SUM($AG$8:$AG$407),IF(OR($AB447="",$AB447="R"),"",IF($AB447="D",INDEX($AG$8:$AG$407,$AA447),SUMIF($T$8:$T$407,INDEX($T$8:$T$407,$AA447),$AG$8:$AG$407))))</f>
        <v/>
      </c>
      <c r="G447" s="32">
        <f>IF(OR($AB447="",$AB447="R"),"",ROUND($E447-$F447,2))</f>
        <v/>
      </c>
      <c r="H447" s="32">
        <f>IF($AB447="G",SUM($AH$8:$AH$407),IF(OR($AB447="",$AB447="R"),"",IF($AB447="D",INDEX($AH$8:$AH$407,$AA447),SUMIF($T$8:$T$407,INDEX($T$8:$T$407,$AA447),$AH$8:$AH$407))))</f>
        <v/>
      </c>
      <c r="AA447">
        <f>IFERROR(MATCH(440,$X$8:$X$407,1),"")</f>
        <v/>
      </c>
      <c r="AB447">
        <f>IF(440=$AD$1+1,"G",IF($AA447="","",IF(INDEX($Q$8:$Q$407,$AA447)="","",IF(440&gt;INDEX($X$8:$X$407,$AA447)+INDEX($V$8:$V$407,$AA447)+INDEX($W$8:$W$407,$AA447),"",IF(440=INDEX($X$8:$X$407,$AA447)+INDEX($V$8:$V$407,$AA447)+INDEX($W$8:$W$407,$AA447),"D",IF(AND(INDEX($W$8:$W$407,$AA447)=1,440=INDEX($X$8:$X$407,$AA447)+INDEX($V$8:$V$407,$AA447)),"S","R"))))))</f>
        <v/>
      </c>
      <c r="AC447">
        <f>IF(OR($AB447="",$AB447="G"),"",IF($AB447="D",INDEX($U$8:$U$407,$AA447),IF($AB447="S",INDEX($T$8:$T$407,$AA447)&amp;"|*",INDEX($S$8:$S$407,$AA447)&amp;"|*")))</f>
        <v/>
      </c>
    </row>
    <row r="448" ht="21" customHeight="1" s="66">
      <c r="A448" s="3">
        <f>IF($AB448="G","ผลรวมทั้งหมด",IF($AB448="R",INDEX($S$8:$S$407,$AA448),""))</f>
        <v/>
      </c>
      <c r="B448" s="3">
        <f>IF($AB448="S",INDEX($Y$8:$Y$407,$AA448),"")</f>
        <v/>
      </c>
      <c r="C448" s="68">
        <f>IF($AB448="D",INDEX($Z$8:$Z$407,$AA448),"")</f>
        <v/>
      </c>
      <c r="D448" s="31">
        <f>IF($AB448="G",SUM($AE$8:$AE$407),IF(OR($AB448="",$AB448="R"),"",IF($AB448="D",INDEX($AE$8:$AE$407,$AA448),SUMIF($T$8:$T$407,INDEX($T$8:$T$407,$AA448),$AE$8:$AE$407))))</f>
        <v/>
      </c>
      <c r="E448" s="32">
        <f>IF(441=$AD$1+3,"ขอแสดงความนับถือ",IF(441=$AD$1+6,"(                 )",IF(441=$AD$1+7,"เจ้าหน้าที่ขนส่ง",IF($AB448="G",SUM($AF$8:$AF$407),IF(OR($AB448="",$AB448="R"),"",IF($AB448="D",INDEX($AF$8:$AF$407,$AA448),SUMIF($T$8:$T$407,INDEX($T$8:$T$407,$AA448),$AF$8:$AF$407)))))))</f>
        <v/>
      </c>
      <c r="F448" s="32">
        <f>IF($AB448="G",SUM($AG$8:$AG$407),IF(OR($AB448="",$AB448="R"),"",IF($AB448="D",INDEX($AG$8:$AG$407,$AA448),SUMIF($T$8:$T$407,INDEX($T$8:$T$407,$AA448),$AG$8:$AG$407))))</f>
        <v/>
      </c>
      <c r="G448" s="32">
        <f>IF(OR($AB448="",$AB448="R"),"",ROUND($E448-$F448,2))</f>
        <v/>
      </c>
      <c r="H448" s="32">
        <f>IF($AB448="G",SUM($AH$8:$AH$407),IF(OR($AB448="",$AB448="R"),"",IF($AB448="D",INDEX($AH$8:$AH$407,$AA448),SUMIF($T$8:$T$407,INDEX($T$8:$T$407,$AA448),$AH$8:$AH$407))))</f>
        <v/>
      </c>
      <c r="AA448">
        <f>IFERROR(MATCH(441,$X$8:$X$407,1),"")</f>
        <v/>
      </c>
      <c r="AB448">
        <f>IF(441=$AD$1+1,"G",IF($AA448="","",IF(INDEX($Q$8:$Q$407,$AA448)="","",IF(441&gt;INDEX($X$8:$X$407,$AA448)+INDEX($V$8:$V$407,$AA448)+INDEX($W$8:$W$407,$AA448),"",IF(441=INDEX($X$8:$X$407,$AA448)+INDEX($V$8:$V$407,$AA448)+INDEX($W$8:$W$407,$AA448),"D",IF(AND(INDEX($W$8:$W$407,$AA448)=1,441=INDEX($X$8:$X$407,$AA448)+INDEX($V$8:$V$407,$AA448)),"S","R"))))))</f>
        <v/>
      </c>
      <c r="AC448">
        <f>IF(OR($AB448="",$AB448="G"),"",IF($AB448="D",INDEX($U$8:$U$407,$AA448),IF($AB448="S",INDEX($T$8:$T$407,$AA448)&amp;"|*",INDEX($S$8:$S$407,$AA448)&amp;"|*")))</f>
        <v/>
      </c>
    </row>
    <row r="449" ht="21" customHeight="1" s="66">
      <c r="A449" s="3">
        <f>IF($AB449="G","ผลรวมทั้งหมด",IF($AB449="R",INDEX($S$8:$S$407,$AA449),""))</f>
        <v/>
      </c>
      <c r="B449" s="3">
        <f>IF($AB449="S",INDEX($Y$8:$Y$407,$AA449),"")</f>
        <v/>
      </c>
      <c r="C449" s="68">
        <f>IF($AB449="D",INDEX($Z$8:$Z$407,$AA449),"")</f>
        <v/>
      </c>
      <c r="D449" s="31">
        <f>IF($AB449="G",SUM($AE$8:$AE$407),IF(OR($AB449="",$AB449="R"),"",IF($AB449="D",INDEX($AE$8:$AE$407,$AA449),SUMIF($T$8:$T$407,INDEX($T$8:$T$407,$AA449),$AE$8:$AE$407))))</f>
        <v/>
      </c>
      <c r="E449" s="32">
        <f>IF(442=$AD$1+3,"ขอแสดงความนับถือ",IF(442=$AD$1+6,"(                 )",IF(442=$AD$1+7,"เจ้าหน้าที่ขนส่ง",IF($AB449="G",SUM($AF$8:$AF$407),IF(OR($AB449="",$AB449="R"),"",IF($AB449="D",INDEX($AF$8:$AF$407,$AA449),SUMIF($T$8:$T$407,INDEX($T$8:$T$407,$AA449),$AF$8:$AF$407)))))))</f>
        <v/>
      </c>
      <c r="F449" s="32">
        <f>IF($AB449="G",SUM($AG$8:$AG$407),IF(OR($AB449="",$AB449="R"),"",IF($AB449="D",INDEX($AG$8:$AG$407,$AA449),SUMIF($T$8:$T$407,INDEX($T$8:$T$407,$AA449),$AG$8:$AG$407))))</f>
        <v/>
      </c>
      <c r="G449" s="32">
        <f>IF(OR($AB449="",$AB449="R"),"",ROUND($E449-$F449,2))</f>
        <v/>
      </c>
      <c r="H449" s="32">
        <f>IF($AB449="G",SUM($AH$8:$AH$407),IF(OR($AB449="",$AB449="R"),"",IF($AB449="D",INDEX($AH$8:$AH$407,$AA449),SUMIF($T$8:$T$407,INDEX($T$8:$T$407,$AA449),$AH$8:$AH$407))))</f>
        <v/>
      </c>
      <c r="AA449">
        <f>IFERROR(MATCH(442,$X$8:$X$407,1),"")</f>
        <v/>
      </c>
      <c r="AB449">
        <f>IF(442=$AD$1+1,"G",IF($AA449="","",IF(INDEX($Q$8:$Q$407,$AA449)="","",IF(442&gt;INDEX($X$8:$X$407,$AA449)+INDEX($V$8:$V$407,$AA449)+INDEX($W$8:$W$407,$AA449),"",IF(442=INDEX($X$8:$X$407,$AA449)+INDEX($V$8:$V$407,$AA449)+INDEX($W$8:$W$407,$AA449),"D",IF(AND(INDEX($W$8:$W$407,$AA449)=1,442=INDEX($X$8:$X$407,$AA449)+INDEX($V$8:$V$407,$AA449)),"S","R"))))))</f>
        <v/>
      </c>
      <c r="AC449">
        <f>IF(OR($AB449="",$AB449="G"),"",IF($AB449="D",INDEX($U$8:$U$407,$AA449),IF($AB449="S",INDEX($T$8:$T$407,$AA449)&amp;"|*",INDEX($S$8:$S$407,$AA449)&amp;"|*")))</f>
        <v/>
      </c>
    </row>
    <row r="450" ht="21" customHeight="1" s="66">
      <c r="A450" s="3">
        <f>IF($AB450="G","ผลรวมทั้งหมด",IF($AB450="R",INDEX($S$8:$S$407,$AA450),""))</f>
        <v/>
      </c>
      <c r="B450" s="3">
        <f>IF($AB450="S",INDEX($Y$8:$Y$407,$AA450),"")</f>
        <v/>
      </c>
      <c r="C450" s="68">
        <f>IF($AB450="D",INDEX($Z$8:$Z$407,$AA450),"")</f>
        <v/>
      </c>
      <c r="D450" s="31">
        <f>IF($AB450="G",SUM($AE$8:$AE$407),IF(OR($AB450="",$AB450="R"),"",IF($AB450="D",INDEX($AE$8:$AE$407,$AA450),SUMIF($T$8:$T$407,INDEX($T$8:$T$407,$AA450),$AE$8:$AE$407))))</f>
        <v/>
      </c>
      <c r="E450" s="32">
        <f>IF(443=$AD$1+3,"ขอแสดงความนับถือ",IF(443=$AD$1+6,"(                 )",IF(443=$AD$1+7,"เจ้าหน้าที่ขนส่ง",IF($AB450="G",SUM($AF$8:$AF$407),IF(OR($AB450="",$AB450="R"),"",IF($AB450="D",INDEX($AF$8:$AF$407,$AA450),SUMIF($T$8:$T$407,INDEX($T$8:$T$407,$AA450),$AF$8:$AF$407)))))))</f>
        <v/>
      </c>
      <c r="F450" s="32">
        <f>IF($AB450="G",SUM($AG$8:$AG$407),IF(OR($AB450="",$AB450="R"),"",IF($AB450="D",INDEX($AG$8:$AG$407,$AA450),SUMIF($T$8:$T$407,INDEX($T$8:$T$407,$AA450),$AG$8:$AG$407))))</f>
        <v/>
      </c>
      <c r="G450" s="32">
        <f>IF(OR($AB450="",$AB450="R"),"",ROUND($E450-$F450,2))</f>
        <v/>
      </c>
      <c r="H450" s="32">
        <f>IF($AB450="G",SUM($AH$8:$AH$407),IF(OR($AB450="",$AB450="R"),"",IF($AB450="D",INDEX($AH$8:$AH$407,$AA450),SUMIF($T$8:$T$407,INDEX($T$8:$T$407,$AA450),$AH$8:$AH$407))))</f>
        <v/>
      </c>
      <c r="AA450">
        <f>IFERROR(MATCH(443,$X$8:$X$407,1),"")</f>
        <v/>
      </c>
      <c r="AB450">
        <f>IF(443=$AD$1+1,"G",IF($AA450="","",IF(INDEX($Q$8:$Q$407,$AA450)="","",IF(443&gt;INDEX($X$8:$X$407,$AA450)+INDEX($V$8:$V$407,$AA450)+INDEX($W$8:$W$407,$AA450),"",IF(443=INDEX($X$8:$X$407,$AA450)+INDEX($V$8:$V$407,$AA450)+INDEX($W$8:$W$407,$AA450),"D",IF(AND(INDEX($W$8:$W$407,$AA450)=1,443=INDEX($X$8:$X$407,$AA450)+INDEX($V$8:$V$407,$AA450)),"S","R"))))))</f>
        <v/>
      </c>
      <c r="AC450">
        <f>IF(OR($AB450="",$AB450="G"),"",IF($AB450="D",INDEX($U$8:$U$407,$AA450),IF($AB450="S",INDEX($T$8:$T$407,$AA450)&amp;"|*",INDEX($S$8:$S$407,$AA450)&amp;"|*")))</f>
        <v/>
      </c>
    </row>
    <row r="451" ht="21" customHeight="1" s="66">
      <c r="A451" s="3">
        <f>IF($AB451="G","ผลรวมทั้งหมด",IF($AB451="R",INDEX($S$8:$S$407,$AA451),""))</f>
        <v/>
      </c>
      <c r="B451" s="3">
        <f>IF($AB451="S",INDEX($Y$8:$Y$407,$AA451),"")</f>
        <v/>
      </c>
      <c r="C451" s="68">
        <f>IF($AB451="D",INDEX($Z$8:$Z$407,$AA451),"")</f>
        <v/>
      </c>
      <c r="D451" s="31">
        <f>IF($AB451="G",SUM($AE$8:$AE$407),IF(OR($AB451="",$AB451="R"),"",IF($AB451="D",INDEX($AE$8:$AE$407,$AA451),SUMIF($T$8:$T$407,INDEX($T$8:$T$407,$AA451),$AE$8:$AE$407))))</f>
        <v/>
      </c>
      <c r="E451" s="32">
        <f>IF(444=$AD$1+3,"ขอแสดงความนับถือ",IF(444=$AD$1+6,"(                 )",IF(444=$AD$1+7,"เจ้าหน้าที่ขนส่ง",IF($AB451="G",SUM($AF$8:$AF$407),IF(OR($AB451="",$AB451="R"),"",IF($AB451="D",INDEX($AF$8:$AF$407,$AA451),SUMIF($T$8:$T$407,INDEX($T$8:$T$407,$AA451),$AF$8:$AF$407)))))))</f>
        <v/>
      </c>
      <c r="F451" s="32">
        <f>IF($AB451="G",SUM($AG$8:$AG$407),IF(OR($AB451="",$AB451="R"),"",IF($AB451="D",INDEX($AG$8:$AG$407,$AA451),SUMIF($T$8:$T$407,INDEX($T$8:$T$407,$AA451),$AG$8:$AG$407))))</f>
        <v/>
      </c>
      <c r="G451" s="32">
        <f>IF(OR($AB451="",$AB451="R"),"",ROUND($E451-$F451,2))</f>
        <v/>
      </c>
      <c r="H451" s="32">
        <f>IF($AB451="G",SUM($AH$8:$AH$407),IF(OR($AB451="",$AB451="R"),"",IF($AB451="D",INDEX($AH$8:$AH$407,$AA451),SUMIF($T$8:$T$407,INDEX($T$8:$T$407,$AA451),$AH$8:$AH$407))))</f>
        <v/>
      </c>
      <c r="AA451">
        <f>IFERROR(MATCH(444,$X$8:$X$407,1),"")</f>
        <v/>
      </c>
      <c r="AB451">
        <f>IF(444=$AD$1+1,"G",IF($AA451="","",IF(INDEX($Q$8:$Q$407,$AA451)="","",IF(444&gt;INDEX($X$8:$X$407,$AA451)+INDEX($V$8:$V$407,$AA451)+INDEX($W$8:$W$407,$AA451),"",IF(444=INDEX($X$8:$X$407,$AA451)+INDEX($V$8:$V$407,$AA451)+INDEX($W$8:$W$407,$AA451),"D",IF(AND(INDEX($W$8:$W$407,$AA451)=1,444=INDEX($X$8:$X$407,$AA451)+INDEX($V$8:$V$407,$AA451)),"S","R"))))))</f>
        <v/>
      </c>
      <c r="AC451">
        <f>IF(OR($AB451="",$AB451="G"),"",IF($AB451="D",INDEX($U$8:$U$407,$AA451),IF($AB451="S",INDEX($T$8:$T$407,$AA451)&amp;"|*",INDEX($S$8:$S$407,$AA451)&amp;"|*")))</f>
        <v/>
      </c>
    </row>
    <row r="452" ht="21" customHeight="1" s="66">
      <c r="A452" s="3">
        <f>IF($AB452="G","ผลรวมทั้งหมด",IF($AB452="R",INDEX($S$8:$S$407,$AA452),""))</f>
        <v/>
      </c>
      <c r="B452" s="3">
        <f>IF($AB452="S",INDEX($Y$8:$Y$407,$AA452),"")</f>
        <v/>
      </c>
      <c r="C452" s="68">
        <f>IF($AB452="D",INDEX($Z$8:$Z$407,$AA452),"")</f>
        <v/>
      </c>
      <c r="D452" s="31">
        <f>IF($AB452="G",SUM($AE$8:$AE$407),IF(OR($AB452="",$AB452="R"),"",IF($AB452="D",INDEX($AE$8:$AE$407,$AA452),SUMIF($T$8:$T$407,INDEX($T$8:$T$407,$AA452),$AE$8:$AE$407))))</f>
        <v/>
      </c>
      <c r="E452" s="32">
        <f>IF(445=$AD$1+3,"ขอแสดงความนับถือ",IF(445=$AD$1+6,"(                 )",IF(445=$AD$1+7,"เจ้าหน้าที่ขนส่ง",IF($AB452="G",SUM($AF$8:$AF$407),IF(OR($AB452="",$AB452="R"),"",IF($AB452="D",INDEX($AF$8:$AF$407,$AA452),SUMIF($T$8:$T$407,INDEX($T$8:$T$407,$AA452),$AF$8:$AF$407)))))))</f>
        <v/>
      </c>
      <c r="F452" s="32">
        <f>IF($AB452="G",SUM($AG$8:$AG$407),IF(OR($AB452="",$AB452="R"),"",IF($AB452="D",INDEX($AG$8:$AG$407,$AA452),SUMIF($T$8:$T$407,INDEX($T$8:$T$407,$AA452),$AG$8:$AG$407))))</f>
        <v/>
      </c>
      <c r="G452" s="32">
        <f>IF(OR($AB452="",$AB452="R"),"",ROUND($E452-$F452,2))</f>
        <v/>
      </c>
      <c r="H452" s="32">
        <f>IF($AB452="G",SUM($AH$8:$AH$407),IF(OR($AB452="",$AB452="R"),"",IF($AB452="D",INDEX($AH$8:$AH$407,$AA452),SUMIF($T$8:$T$407,INDEX($T$8:$T$407,$AA452),$AH$8:$AH$407))))</f>
        <v/>
      </c>
      <c r="AA452">
        <f>IFERROR(MATCH(445,$X$8:$X$407,1),"")</f>
        <v/>
      </c>
      <c r="AB452">
        <f>IF(445=$AD$1+1,"G",IF($AA452="","",IF(INDEX($Q$8:$Q$407,$AA452)="","",IF(445&gt;INDEX($X$8:$X$407,$AA452)+INDEX($V$8:$V$407,$AA452)+INDEX($W$8:$W$407,$AA452),"",IF(445=INDEX($X$8:$X$407,$AA452)+INDEX($V$8:$V$407,$AA452)+INDEX($W$8:$W$407,$AA452),"D",IF(AND(INDEX($W$8:$W$407,$AA452)=1,445=INDEX($X$8:$X$407,$AA452)+INDEX($V$8:$V$407,$AA452)),"S","R"))))))</f>
        <v/>
      </c>
      <c r="AC452">
        <f>IF(OR($AB452="",$AB452="G"),"",IF($AB452="D",INDEX($U$8:$U$407,$AA452),IF($AB452="S",INDEX($T$8:$T$407,$AA452)&amp;"|*",INDEX($S$8:$S$407,$AA452)&amp;"|*")))</f>
        <v/>
      </c>
    </row>
    <row r="453" ht="21" customHeight="1" s="66">
      <c r="A453" s="3">
        <f>IF($AB453="G","ผลรวมทั้งหมด",IF($AB453="R",INDEX($S$8:$S$407,$AA453),""))</f>
        <v/>
      </c>
      <c r="B453" s="3">
        <f>IF($AB453="S",INDEX($Y$8:$Y$407,$AA453),"")</f>
        <v/>
      </c>
      <c r="C453" s="68">
        <f>IF($AB453="D",INDEX($Z$8:$Z$407,$AA453),"")</f>
        <v/>
      </c>
      <c r="D453" s="31">
        <f>IF($AB453="G",SUM($AE$8:$AE$407),IF(OR($AB453="",$AB453="R"),"",IF($AB453="D",INDEX($AE$8:$AE$407,$AA453),SUMIF($T$8:$T$407,INDEX($T$8:$T$407,$AA453),$AE$8:$AE$407))))</f>
        <v/>
      </c>
      <c r="E453" s="32">
        <f>IF(446=$AD$1+3,"ขอแสดงความนับถือ",IF(446=$AD$1+6,"(                 )",IF(446=$AD$1+7,"เจ้าหน้าที่ขนส่ง",IF($AB453="G",SUM($AF$8:$AF$407),IF(OR($AB453="",$AB453="R"),"",IF($AB453="D",INDEX($AF$8:$AF$407,$AA453),SUMIF($T$8:$T$407,INDEX($T$8:$T$407,$AA453),$AF$8:$AF$407)))))))</f>
        <v/>
      </c>
      <c r="F453" s="32">
        <f>IF($AB453="G",SUM($AG$8:$AG$407),IF(OR($AB453="",$AB453="R"),"",IF($AB453="D",INDEX($AG$8:$AG$407,$AA453),SUMIF($T$8:$T$407,INDEX($T$8:$T$407,$AA453),$AG$8:$AG$407))))</f>
        <v/>
      </c>
      <c r="G453" s="32">
        <f>IF(OR($AB453="",$AB453="R"),"",ROUND($E453-$F453,2))</f>
        <v/>
      </c>
      <c r="H453" s="32">
        <f>IF($AB453="G",SUM($AH$8:$AH$407),IF(OR($AB453="",$AB453="R"),"",IF($AB453="D",INDEX($AH$8:$AH$407,$AA453),SUMIF($T$8:$T$407,INDEX($T$8:$T$407,$AA453),$AH$8:$AH$407))))</f>
        <v/>
      </c>
      <c r="AA453">
        <f>IFERROR(MATCH(446,$X$8:$X$407,1),"")</f>
        <v/>
      </c>
      <c r="AB453">
        <f>IF(446=$AD$1+1,"G",IF($AA453="","",IF(INDEX($Q$8:$Q$407,$AA453)="","",IF(446&gt;INDEX($X$8:$X$407,$AA453)+INDEX($V$8:$V$407,$AA453)+INDEX($W$8:$W$407,$AA453),"",IF(446=INDEX($X$8:$X$407,$AA453)+INDEX($V$8:$V$407,$AA453)+INDEX($W$8:$W$407,$AA453),"D",IF(AND(INDEX($W$8:$W$407,$AA453)=1,446=INDEX($X$8:$X$407,$AA453)+INDEX($V$8:$V$407,$AA453)),"S","R"))))))</f>
        <v/>
      </c>
      <c r="AC453">
        <f>IF(OR($AB453="",$AB453="G"),"",IF($AB453="D",INDEX($U$8:$U$407,$AA453),IF($AB453="S",INDEX($T$8:$T$407,$AA453)&amp;"|*",INDEX($S$8:$S$407,$AA453)&amp;"|*")))</f>
        <v/>
      </c>
    </row>
    <row r="454" ht="21" customHeight="1" s="66">
      <c r="A454" s="3">
        <f>IF($AB454="G","ผลรวมทั้งหมด",IF($AB454="R",INDEX($S$8:$S$407,$AA454),""))</f>
        <v/>
      </c>
      <c r="B454" s="3">
        <f>IF($AB454="S",INDEX($Y$8:$Y$407,$AA454),"")</f>
        <v/>
      </c>
      <c r="C454" s="68">
        <f>IF($AB454="D",INDEX($Z$8:$Z$407,$AA454),"")</f>
        <v/>
      </c>
      <c r="D454" s="31">
        <f>IF($AB454="G",SUM($AE$8:$AE$407),IF(OR($AB454="",$AB454="R"),"",IF($AB454="D",INDEX($AE$8:$AE$407,$AA454),SUMIF($T$8:$T$407,INDEX($T$8:$T$407,$AA454),$AE$8:$AE$407))))</f>
        <v/>
      </c>
      <c r="E454" s="32">
        <f>IF(447=$AD$1+3,"ขอแสดงความนับถือ",IF(447=$AD$1+6,"(                 )",IF(447=$AD$1+7,"เจ้าหน้าที่ขนส่ง",IF($AB454="G",SUM($AF$8:$AF$407),IF(OR($AB454="",$AB454="R"),"",IF($AB454="D",INDEX($AF$8:$AF$407,$AA454),SUMIF($T$8:$T$407,INDEX($T$8:$T$407,$AA454),$AF$8:$AF$407)))))))</f>
        <v/>
      </c>
      <c r="F454" s="32">
        <f>IF($AB454="G",SUM($AG$8:$AG$407),IF(OR($AB454="",$AB454="R"),"",IF($AB454="D",INDEX($AG$8:$AG$407,$AA454),SUMIF($T$8:$T$407,INDEX($T$8:$T$407,$AA454),$AG$8:$AG$407))))</f>
        <v/>
      </c>
      <c r="G454" s="32">
        <f>IF(OR($AB454="",$AB454="R"),"",ROUND($E454-$F454,2))</f>
        <v/>
      </c>
      <c r="H454" s="32">
        <f>IF($AB454="G",SUM($AH$8:$AH$407),IF(OR($AB454="",$AB454="R"),"",IF($AB454="D",INDEX($AH$8:$AH$407,$AA454),SUMIF($T$8:$T$407,INDEX($T$8:$T$407,$AA454),$AH$8:$AH$407))))</f>
        <v/>
      </c>
      <c r="AA454">
        <f>IFERROR(MATCH(447,$X$8:$X$407,1),"")</f>
        <v/>
      </c>
      <c r="AB454">
        <f>IF(447=$AD$1+1,"G",IF($AA454="","",IF(INDEX($Q$8:$Q$407,$AA454)="","",IF(447&gt;INDEX($X$8:$X$407,$AA454)+INDEX($V$8:$V$407,$AA454)+INDEX($W$8:$W$407,$AA454),"",IF(447=INDEX($X$8:$X$407,$AA454)+INDEX($V$8:$V$407,$AA454)+INDEX($W$8:$W$407,$AA454),"D",IF(AND(INDEX($W$8:$W$407,$AA454)=1,447=INDEX($X$8:$X$407,$AA454)+INDEX($V$8:$V$407,$AA454)),"S","R"))))))</f>
        <v/>
      </c>
      <c r="AC454">
        <f>IF(OR($AB454="",$AB454="G"),"",IF($AB454="D",INDEX($U$8:$U$407,$AA454),IF($AB454="S",INDEX($T$8:$T$407,$AA454)&amp;"|*",INDEX($S$8:$S$407,$AA454)&amp;"|*")))</f>
        <v/>
      </c>
    </row>
    <row r="455" ht="21" customHeight="1" s="66">
      <c r="A455" s="3">
        <f>IF($AB455="G","ผลรวมทั้งหมด",IF($AB455="R",INDEX($S$8:$S$407,$AA455),""))</f>
        <v/>
      </c>
      <c r="B455" s="3">
        <f>IF($AB455="S",INDEX($Y$8:$Y$407,$AA455),"")</f>
        <v/>
      </c>
      <c r="C455" s="68">
        <f>IF($AB455="D",INDEX($Z$8:$Z$407,$AA455),"")</f>
        <v/>
      </c>
      <c r="D455" s="31">
        <f>IF($AB455="G",SUM($AE$8:$AE$407),IF(OR($AB455="",$AB455="R"),"",IF($AB455="D",INDEX($AE$8:$AE$407,$AA455),SUMIF($T$8:$T$407,INDEX($T$8:$T$407,$AA455),$AE$8:$AE$407))))</f>
        <v/>
      </c>
      <c r="E455" s="32">
        <f>IF(448=$AD$1+3,"ขอแสดงความนับถือ",IF(448=$AD$1+6,"(                 )",IF(448=$AD$1+7,"เจ้าหน้าที่ขนส่ง",IF($AB455="G",SUM($AF$8:$AF$407),IF(OR($AB455="",$AB455="R"),"",IF($AB455="D",INDEX($AF$8:$AF$407,$AA455),SUMIF($T$8:$T$407,INDEX($T$8:$T$407,$AA455),$AF$8:$AF$407)))))))</f>
        <v/>
      </c>
      <c r="F455" s="32">
        <f>IF($AB455="G",SUM($AG$8:$AG$407),IF(OR($AB455="",$AB455="R"),"",IF($AB455="D",INDEX($AG$8:$AG$407,$AA455),SUMIF($T$8:$T$407,INDEX($T$8:$T$407,$AA455),$AG$8:$AG$407))))</f>
        <v/>
      </c>
      <c r="G455" s="32">
        <f>IF(OR($AB455="",$AB455="R"),"",ROUND($E455-$F455,2))</f>
        <v/>
      </c>
      <c r="H455" s="32">
        <f>IF($AB455="G",SUM($AH$8:$AH$407),IF(OR($AB455="",$AB455="R"),"",IF($AB455="D",INDEX($AH$8:$AH$407,$AA455),SUMIF($T$8:$T$407,INDEX($T$8:$T$407,$AA455),$AH$8:$AH$407))))</f>
        <v/>
      </c>
      <c r="AA455">
        <f>IFERROR(MATCH(448,$X$8:$X$407,1),"")</f>
        <v/>
      </c>
      <c r="AB455">
        <f>IF(448=$AD$1+1,"G",IF($AA455="","",IF(INDEX($Q$8:$Q$407,$AA455)="","",IF(448&gt;INDEX($X$8:$X$407,$AA455)+INDEX($V$8:$V$407,$AA455)+INDEX($W$8:$W$407,$AA455),"",IF(448=INDEX($X$8:$X$407,$AA455)+INDEX($V$8:$V$407,$AA455)+INDEX($W$8:$W$407,$AA455),"D",IF(AND(INDEX($W$8:$W$407,$AA455)=1,448=INDEX($X$8:$X$407,$AA455)+INDEX($V$8:$V$407,$AA455)),"S","R"))))))</f>
        <v/>
      </c>
      <c r="AC455">
        <f>IF(OR($AB455="",$AB455="G"),"",IF($AB455="D",INDEX($U$8:$U$407,$AA455),IF($AB455="S",INDEX($T$8:$T$407,$AA455)&amp;"|*",INDEX($S$8:$S$407,$AA455)&amp;"|*")))</f>
        <v/>
      </c>
    </row>
    <row r="456" ht="21" customHeight="1" s="66">
      <c r="A456" s="3">
        <f>IF($AB456="G","ผลรวมทั้งหมด",IF($AB456="R",INDEX($S$8:$S$407,$AA456),""))</f>
        <v/>
      </c>
      <c r="B456" s="3">
        <f>IF($AB456="S",INDEX($Y$8:$Y$407,$AA456),"")</f>
        <v/>
      </c>
      <c r="C456" s="68">
        <f>IF($AB456="D",INDEX($Z$8:$Z$407,$AA456),"")</f>
        <v/>
      </c>
      <c r="D456" s="31">
        <f>IF($AB456="G",SUM($AE$8:$AE$407),IF(OR($AB456="",$AB456="R"),"",IF($AB456="D",INDEX($AE$8:$AE$407,$AA456),SUMIF($T$8:$T$407,INDEX($T$8:$T$407,$AA456),$AE$8:$AE$407))))</f>
        <v/>
      </c>
      <c r="E456" s="32">
        <f>IF(449=$AD$1+3,"ขอแสดงความนับถือ",IF(449=$AD$1+6,"(                 )",IF(449=$AD$1+7,"เจ้าหน้าที่ขนส่ง",IF($AB456="G",SUM($AF$8:$AF$407),IF(OR($AB456="",$AB456="R"),"",IF($AB456="D",INDEX($AF$8:$AF$407,$AA456),SUMIF($T$8:$T$407,INDEX($T$8:$T$407,$AA456),$AF$8:$AF$407)))))))</f>
        <v/>
      </c>
      <c r="F456" s="32">
        <f>IF($AB456="G",SUM($AG$8:$AG$407),IF(OR($AB456="",$AB456="R"),"",IF($AB456="D",INDEX($AG$8:$AG$407,$AA456),SUMIF($T$8:$T$407,INDEX($T$8:$T$407,$AA456),$AG$8:$AG$407))))</f>
        <v/>
      </c>
      <c r="G456" s="32">
        <f>IF(OR($AB456="",$AB456="R"),"",ROUND($E456-$F456,2))</f>
        <v/>
      </c>
      <c r="H456" s="32">
        <f>IF($AB456="G",SUM($AH$8:$AH$407),IF(OR($AB456="",$AB456="R"),"",IF($AB456="D",INDEX($AH$8:$AH$407,$AA456),SUMIF($T$8:$T$407,INDEX($T$8:$T$407,$AA456),$AH$8:$AH$407))))</f>
        <v/>
      </c>
      <c r="AA456">
        <f>IFERROR(MATCH(449,$X$8:$X$407,1),"")</f>
        <v/>
      </c>
      <c r="AB456">
        <f>IF(449=$AD$1+1,"G",IF($AA456="","",IF(INDEX($Q$8:$Q$407,$AA456)="","",IF(449&gt;INDEX($X$8:$X$407,$AA456)+INDEX($V$8:$V$407,$AA456)+INDEX($W$8:$W$407,$AA456),"",IF(449=INDEX($X$8:$X$407,$AA456)+INDEX($V$8:$V$407,$AA456)+INDEX($W$8:$W$407,$AA456),"D",IF(AND(INDEX($W$8:$W$407,$AA456)=1,449=INDEX($X$8:$X$407,$AA456)+INDEX($V$8:$V$407,$AA456)),"S","R"))))))</f>
        <v/>
      </c>
      <c r="AC456">
        <f>IF(OR($AB456="",$AB456="G"),"",IF($AB456="D",INDEX($U$8:$U$407,$AA456),IF($AB456="S",INDEX($T$8:$T$407,$AA456)&amp;"|*",INDEX($S$8:$S$407,$AA456)&amp;"|*")))</f>
        <v/>
      </c>
    </row>
    <row r="457" ht="21" customHeight="1" s="66">
      <c r="A457" s="3">
        <f>IF($AB457="G","ผลรวมทั้งหมด",IF($AB457="R",INDEX($S$8:$S$407,$AA457),""))</f>
        <v/>
      </c>
      <c r="B457" s="3">
        <f>IF($AB457="S",INDEX($Y$8:$Y$407,$AA457),"")</f>
        <v/>
      </c>
      <c r="C457" s="68">
        <f>IF($AB457="D",INDEX($Z$8:$Z$407,$AA457),"")</f>
        <v/>
      </c>
      <c r="D457" s="31">
        <f>IF($AB457="G",SUM($AE$8:$AE$407),IF(OR($AB457="",$AB457="R"),"",IF($AB457="D",INDEX($AE$8:$AE$407,$AA457),SUMIF($T$8:$T$407,INDEX($T$8:$T$407,$AA457),$AE$8:$AE$407))))</f>
        <v/>
      </c>
      <c r="E457" s="32">
        <f>IF(450=$AD$1+3,"ขอแสดงความนับถือ",IF(450=$AD$1+6,"(                 )",IF(450=$AD$1+7,"เจ้าหน้าที่ขนส่ง",IF($AB457="G",SUM($AF$8:$AF$407),IF(OR($AB457="",$AB457="R"),"",IF($AB457="D",INDEX($AF$8:$AF$407,$AA457),SUMIF($T$8:$T$407,INDEX($T$8:$T$407,$AA457),$AF$8:$AF$407)))))))</f>
        <v/>
      </c>
      <c r="F457" s="32">
        <f>IF($AB457="G",SUM($AG$8:$AG$407),IF(OR($AB457="",$AB457="R"),"",IF($AB457="D",INDEX($AG$8:$AG$407,$AA457),SUMIF($T$8:$T$407,INDEX($T$8:$T$407,$AA457),$AG$8:$AG$407))))</f>
        <v/>
      </c>
      <c r="G457" s="32">
        <f>IF(OR($AB457="",$AB457="R"),"",ROUND($E457-$F457,2))</f>
        <v/>
      </c>
      <c r="H457" s="32">
        <f>IF($AB457="G",SUM($AH$8:$AH$407),IF(OR($AB457="",$AB457="R"),"",IF($AB457="D",INDEX($AH$8:$AH$407,$AA457),SUMIF($T$8:$T$407,INDEX($T$8:$T$407,$AA457),$AH$8:$AH$407))))</f>
        <v/>
      </c>
      <c r="AA457">
        <f>IFERROR(MATCH(450,$X$8:$X$407,1),"")</f>
        <v/>
      </c>
      <c r="AB457">
        <f>IF(450=$AD$1+1,"G",IF($AA457="","",IF(INDEX($Q$8:$Q$407,$AA457)="","",IF(450&gt;INDEX($X$8:$X$407,$AA457)+INDEX($V$8:$V$407,$AA457)+INDEX($W$8:$W$407,$AA457),"",IF(450=INDEX($X$8:$X$407,$AA457)+INDEX($V$8:$V$407,$AA457)+INDEX($W$8:$W$407,$AA457),"D",IF(AND(INDEX($W$8:$W$407,$AA457)=1,450=INDEX($X$8:$X$407,$AA457)+INDEX($V$8:$V$407,$AA457)),"S","R"))))))</f>
        <v/>
      </c>
      <c r="AC457">
        <f>IF(OR($AB457="",$AB457="G"),"",IF($AB457="D",INDEX($U$8:$U$407,$AA457),IF($AB457="S",INDEX($T$8:$T$407,$AA457)&amp;"|*",INDEX($S$8:$S$407,$AA457)&amp;"|*")))</f>
        <v/>
      </c>
    </row>
    <row r="458" ht="21" customHeight="1" s="66">
      <c r="A458" s="3">
        <f>IF($AB458="G","ผลรวมทั้งหมด",IF($AB458="R",INDEX($S$8:$S$407,$AA458),""))</f>
        <v/>
      </c>
      <c r="B458" s="3">
        <f>IF($AB458="S",INDEX($Y$8:$Y$407,$AA458),"")</f>
        <v/>
      </c>
      <c r="C458" s="68">
        <f>IF($AB458="D",INDEX($Z$8:$Z$407,$AA458),"")</f>
        <v/>
      </c>
      <c r="D458" s="31">
        <f>IF($AB458="G",SUM($AE$8:$AE$407),IF(OR($AB458="",$AB458="R"),"",IF($AB458="D",INDEX($AE$8:$AE$407,$AA458),SUMIF($T$8:$T$407,INDEX($T$8:$T$407,$AA458),$AE$8:$AE$407))))</f>
        <v/>
      </c>
      <c r="E458" s="32">
        <f>IF(451=$AD$1+3,"ขอแสดงความนับถือ",IF(451=$AD$1+6,"(                 )",IF(451=$AD$1+7,"เจ้าหน้าที่ขนส่ง",IF($AB458="G",SUM($AF$8:$AF$407),IF(OR($AB458="",$AB458="R"),"",IF($AB458="D",INDEX($AF$8:$AF$407,$AA458),SUMIF($T$8:$T$407,INDEX($T$8:$T$407,$AA458),$AF$8:$AF$407)))))))</f>
        <v/>
      </c>
      <c r="F458" s="32">
        <f>IF($AB458="G",SUM($AG$8:$AG$407),IF(OR($AB458="",$AB458="R"),"",IF($AB458="D",INDEX($AG$8:$AG$407,$AA458),SUMIF($T$8:$T$407,INDEX($T$8:$T$407,$AA458),$AG$8:$AG$407))))</f>
        <v/>
      </c>
      <c r="G458" s="32">
        <f>IF(OR($AB458="",$AB458="R"),"",ROUND($E458-$F458,2))</f>
        <v/>
      </c>
      <c r="H458" s="32">
        <f>IF($AB458="G",SUM($AH$8:$AH$407),IF(OR($AB458="",$AB458="R"),"",IF($AB458="D",INDEX($AH$8:$AH$407,$AA458),SUMIF($T$8:$T$407,INDEX($T$8:$T$407,$AA458),$AH$8:$AH$407))))</f>
        <v/>
      </c>
      <c r="AA458">
        <f>IFERROR(MATCH(451,$X$8:$X$407,1),"")</f>
        <v/>
      </c>
      <c r="AB458">
        <f>IF(451=$AD$1+1,"G",IF($AA458="","",IF(INDEX($Q$8:$Q$407,$AA458)="","",IF(451&gt;INDEX($X$8:$X$407,$AA458)+INDEX($V$8:$V$407,$AA458)+INDEX($W$8:$W$407,$AA458),"",IF(451=INDEX($X$8:$X$407,$AA458)+INDEX($V$8:$V$407,$AA458)+INDEX($W$8:$W$407,$AA458),"D",IF(AND(INDEX($W$8:$W$407,$AA458)=1,451=INDEX($X$8:$X$407,$AA458)+INDEX($V$8:$V$407,$AA458)),"S","R"))))))</f>
        <v/>
      </c>
      <c r="AC458">
        <f>IF(OR($AB458="",$AB458="G"),"",IF($AB458="D",INDEX($U$8:$U$407,$AA458),IF($AB458="S",INDEX($T$8:$T$407,$AA458)&amp;"|*",INDEX($S$8:$S$407,$AA458)&amp;"|*")))</f>
        <v/>
      </c>
    </row>
    <row r="459" ht="21" customHeight="1" s="66">
      <c r="A459" s="3">
        <f>IF($AB459="G","ผลรวมทั้งหมด",IF($AB459="R",INDEX($S$8:$S$407,$AA459),""))</f>
        <v/>
      </c>
      <c r="B459" s="3">
        <f>IF($AB459="S",INDEX($Y$8:$Y$407,$AA459),"")</f>
        <v/>
      </c>
      <c r="C459" s="68">
        <f>IF($AB459="D",INDEX($Z$8:$Z$407,$AA459),"")</f>
        <v/>
      </c>
      <c r="D459" s="31">
        <f>IF($AB459="G",SUM($AE$8:$AE$407),IF(OR($AB459="",$AB459="R"),"",IF($AB459="D",INDEX($AE$8:$AE$407,$AA459),SUMIF($T$8:$T$407,INDEX($T$8:$T$407,$AA459),$AE$8:$AE$407))))</f>
        <v/>
      </c>
      <c r="E459" s="32">
        <f>IF(452=$AD$1+3,"ขอแสดงความนับถือ",IF(452=$AD$1+6,"(                 )",IF(452=$AD$1+7,"เจ้าหน้าที่ขนส่ง",IF($AB459="G",SUM($AF$8:$AF$407),IF(OR($AB459="",$AB459="R"),"",IF($AB459="D",INDEX($AF$8:$AF$407,$AA459),SUMIF($T$8:$T$407,INDEX($T$8:$T$407,$AA459),$AF$8:$AF$407)))))))</f>
        <v/>
      </c>
      <c r="F459" s="32">
        <f>IF($AB459="G",SUM($AG$8:$AG$407),IF(OR($AB459="",$AB459="R"),"",IF($AB459="D",INDEX($AG$8:$AG$407,$AA459),SUMIF($T$8:$T$407,INDEX($T$8:$T$407,$AA459),$AG$8:$AG$407))))</f>
        <v/>
      </c>
      <c r="G459" s="32">
        <f>IF(OR($AB459="",$AB459="R"),"",ROUND($E459-$F459,2))</f>
        <v/>
      </c>
      <c r="H459" s="32">
        <f>IF($AB459="G",SUM($AH$8:$AH$407),IF(OR($AB459="",$AB459="R"),"",IF($AB459="D",INDEX($AH$8:$AH$407,$AA459),SUMIF($T$8:$T$407,INDEX($T$8:$T$407,$AA459),$AH$8:$AH$407))))</f>
        <v/>
      </c>
      <c r="AA459">
        <f>IFERROR(MATCH(452,$X$8:$X$407,1),"")</f>
        <v/>
      </c>
      <c r="AB459">
        <f>IF(452=$AD$1+1,"G",IF($AA459="","",IF(INDEX($Q$8:$Q$407,$AA459)="","",IF(452&gt;INDEX($X$8:$X$407,$AA459)+INDEX($V$8:$V$407,$AA459)+INDEX($W$8:$W$407,$AA459),"",IF(452=INDEX($X$8:$X$407,$AA459)+INDEX($V$8:$V$407,$AA459)+INDEX($W$8:$W$407,$AA459),"D",IF(AND(INDEX($W$8:$W$407,$AA459)=1,452=INDEX($X$8:$X$407,$AA459)+INDEX($V$8:$V$407,$AA459)),"S","R"))))))</f>
        <v/>
      </c>
      <c r="AC459">
        <f>IF(OR($AB459="",$AB459="G"),"",IF($AB459="D",INDEX($U$8:$U$407,$AA459),IF($AB459="S",INDEX($T$8:$T$407,$AA459)&amp;"|*",INDEX($S$8:$S$407,$AA459)&amp;"|*")))</f>
        <v/>
      </c>
    </row>
    <row r="460" ht="21" customHeight="1" s="66">
      <c r="A460" s="3">
        <f>IF($AB460="G","ผลรวมทั้งหมด",IF($AB460="R",INDEX($S$8:$S$407,$AA460),""))</f>
        <v/>
      </c>
      <c r="B460" s="3">
        <f>IF($AB460="S",INDEX($Y$8:$Y$407,$AA460),"")</f>
        <v/>
      </c>
      <c r="C460" s="68">
        <f>IF($AB460="D",INDEX($Z$8:$Z$407,$AA460),"")</f>
        <v/>
      </c>
      <c r="D460" s="31">
        <f>IF($AB460="G",SUM($AE$8:$AE$407),IF(OR($AB460="",$AB460="R"),"",IF($AB460="D",INDEX($AE$8:$AE$407,$AA460),SUMIF($T$8:$T$407,INDEX($T$8:$T$407,$AA460),$AE$8:$AE$407))))</f>
        <v/>
      </c>
      <c r="E460" s="32">
        <f>IF(453=$AD$1+3,"ขอแสดงความนับถือ",IF(453=$AD$1+6,"(                 )",IF(453=$AD$1+7,"เจ้าหน้าที่ขนส่ง",IF($AB460="G",SUM($AF$8:$AF$407),IF(OR($AB460="",$AB460="R"),"",IF($AB460="D",INDEX($AF$8:$AF$407,$AA460),SUMIF($T$8:$T$407,INDEX($T$8:$T$407,$AA460),$AF$8:$AF$407)))))))</f>
        <v/>
      </c>
      <c r="F460" s="32">
        <f>IF($AB460="G",SUM($AG$8:$AG$407),IF(OR($AB460="",$AB460="R"),"",IF($AB460="D",INDEX($AG$8:$AG$407,$AA460),SUMIF($T$8:$T$407,INDEX($T$8:$T$407,$AA460),$AG$8:$AG$407))))</f>
        <v/>
      </c>
      <c r="G460" s="32">
        <f>IF(OR($AB460="",$AB460="R"),"",ROUND($E460-$F460,2))</f>
        <v/>
      </c>
      <c r="H460" s="32">
        <f>IF($AB460="G",SUM($AH$8:$AH$407),IF(OR($AB460="",$AB460="R"),"",IF($AB460="D",INDEX($AH$8:$AH$407,$AA460),SUMIF($T$8:$T$407,INDEX($T$8:$T$407,$AA460),$AH$8:$AH$407))))</f>
        <v/>
      </c>
      <c r="AA460">
        <f>IFERROR(MATCH(453,$X$8:$X$407,1),"")</f>
        <v/>
      </c>
      <c r="AB460">
        <f>IF(453=$AD$1+1,"G",IF($AA460="","",IF(INDEX($Q$8:$Q$407,$AA460)="","",IF(453&gt;INDEX($X$8:$X$407,$AA460)+INDEX($V$8:$V$407,$AA460)+INDEX($W$8:$W$407,$AA460),"",IF(453=INDEX($X$8:$X$407,$AA460)+INDEX($V$8:$V$407,$AA460)+INDEX($W$8:$W$407,$AA460),"D",IF(AND(INDEX($W$8:$W$407,$AA460)=1,453=INDEX($X$8:$X$407,$AA460)+INDEX($V$8:$V$407,$AA460)),"S","R"))))))</f>
        <v/>
      </c>
      <c r="AC460">
        <f>IF(OR($AB460="",$AB460="G"),"",IF($AB460="D",INDEX($U$8:$U$407,$AA460),IF($AB460="S",INDEX($T$8:$T$407,$AA460)&amp;"|*",INDEX($S$8:$S$407,$AA460)&amp;"|*")))</f>
        <v/>
      </c>
    </row>
    <row r="461" ht="21" customHeight="1" s="66">
      <c r="A461" s="3">
        <f>IF($AB461="G","ผลรวมทั้งหมด",IF($AB461="R",INDEX($S$8:$S$407,$AA461),""))</f>
        <v/>
      </c>
      <c r="B461" s="3">
        <f>IF($AB461="S",INDEX($Y$8:$Y$407,$AA461),"")</f>
        <v/>
      </c>
      <c r="C461" s="68">
        <f>IF($AB461="D",INDEX($Z$8:$Z$407,$AA461),"")</f>
        <v/>
      </c>
      <c r="D461" s="31">
        <f>IF($AB461="G",SUM($AE$8:$AE$407),IF(OR($AB461="",$AB461="R"),"",IF($AB461="D",INDEX($AE$8:$AE$407,$AA461),SUMIF($T$8:$T$407,INDEX($T$8:$T$407,$AA461),$AE$8:$AE$407))))</f>
        <v/>
      </c>
      <c r="E461" s="32">
        <f>IF(454=$AD$1+3,"ขอแสดงความนับถือ",IF(454=$AD$1+6,"(                 )",IF(454=$AD$1+7,"เจ้าหน้าที่ขนส่ง",IF($AB461="G",SUM($AF$8:$AF$407),IF(OR($AB461="",$AB461="R"),"",IF($AB461="D",INDEX($AF$8:$AF$407,$AA461),SUMIF($T$8:$T$407,INDEX($T$8:$T$407,$AA461),$AF$8:$AF$407)))))))</f>
        <v/>
      </c>
      <c r="F461" s="32">
        <f>IF($AB461="G",SUM($AG$8:$AG$407),IF(OR($AB461="",$AB461="R"),"",IF($AB461="D",INDEX($AG$8:$AG$407,$AA461),SUMIF($T$8:$T$407,INDEX($T$8:$T$407,$AA461),$AG$8:$AG$407))))</f>
        <v/>
      </c>
      <c r="G461" s="32">
        <f>IF(OR($AB461="",$AB461="R"),"",ROUND($E461-$F461,2))</f>
        <v/>
      </c>
      <c r="H461" s="32">
        <f>IF($AB461="G",SUM($AH$8:$AH$407),IF(OR($AB461="",$AB461="R"),"",IF($AB461="D",INDEX($AH$8:$AH$407,$AA461),SUMIF($T$8:$T$407,INDEX($T$8:$T$407,$AA461),$AH$8:$AH$407))))</f>
        <v/>
      </c>
      <c r="AA461">
        <f>IFERROR(MATCH(454,$X$8:$X$407,1),"")</f>
        <v/>
      </c>
      <c r="AB461">
        <f>IF(454=$AD$1+1,"G",IF($AA461="","",IF(INDEX($Q$8:$Q$407,$AA461)="","",IF(454&gt;INDEX($X$8:$X$407,$AA461)+INDEX($V$8:$V$407,$AA461)+INDEX($W$8:$W$407,$AA461),"",IF(454=INDEX($X$8:$X$407,$AA461)+INDEX($V$8:$V$407,$AA461)+INDEX($W$8:$W$407,$AA461),"D",IF(AND(INDEX($W$8:$W$407,$AA461)=1,454=INDEX($X$8:$X$407,$AA461)+INDEX($V$8:$V$407,$AA461)),"S","R"))))))</f>
        <v/>
      </c>
      <c r="AC461">
        <f>IF(OR($AB461="",$AB461="G"),"",IF($AB461="D",INDEX($U$8:$U$407,$AA461),IF($AB461="S",INDEX($T$8:$T$407,$AA461)&amp;"|*",INDEX($S$8:$S$407,$AA461)&amp;"|*")))</f>
        <v/>
      </c>
    </row>
    <row r="462" ht="21" customHeight="1" s="66">
      <c r="A462" s="3">
        <f>IF($AB462="G","ผลรวมทั้งหมด",IF($AB462="R",INDEX($S$8:$S$407,$AA462),""))</f>
        <v/>
      </c>
      <c r="B462" s="3">
        <f>IF($AB462="S",INDEX($Y$8:$Y$407,$AA462),"")</f>
        <v/>
      </c>
      <c r="C462" s="68">
        <f>IF($AB462="D",INDEX($Z$8:$Z$407,$AA462),"")</f>
        <v/>
      </c>
      <c r="D462" s="31">
        <f>IF($AB462="G",SUM($AE$8:$AE$407),IF(OR($AB462="",$AB462="R"),"",IF($AB462="D",INDEX($AE$8:$AE$407,$AA462),SUMIF($T$8:$T$407,INDEX($T$8:$T$407,$AA462),$AE$8:$AE$407))))</f>
        <v/>
      </c>
      <c r="E462" s="32">
        <f>IF(455=$AD$1+3,"ขอแสดงความนับถือ",IF(455=$AD$1+6,"(                 )",IF(455=$AD$1+7,"เจ้าหน้าที่ขนส่ง",IF($AB462="G",SUM($AF$8:$AF$407),IF(OR($AB462="",$AB462="R"),"",IF($AB462="D",INDEX($AF$8:$AF$407,$AA462),SUMIF($T$8:$T$407,INDEX($T$8:$T$407,$AA462),$AF$8:$AF$407)))))))</f>
        <v/>
      </c>
      <c r="F462" s="32">
        <f>IF($AB462="G",SUM($AG$8:$AG$407),IF(OR($AB462="",$AB462="R"),"",IF($AB462="D",INDEX($AG$8:$AG$407,$AA462),SUMIF($T$8:$T$407,INDEX($T$8:$T$407,$AA462),$AG$8:$AG$407))))</f>
        <v/>
      </c>
      <c r="G462" s="32">
        <f>IF(OR($AB462="",$AB462="R"),"",ROUND($E462-$F462,2))</f>
        <v/>
      </c>
      <c r="H462" s="32">
        <f>IF($AB462="G",SUM($AH$8:$AH$407),IF(OR($AB462="",$AB462="R"),"",IF($AB462="D",INDEX($AH$8:$AH$407,$AA462),SUMIF($T$8:$T$407,INDEX($T$8:$T$407,$AA462),$AH$8:$AH$407))))</f>
        <v/>
      </c>
      <c r="AA462">
        <f>IFERROR(MATCH(455,$X$8:$X$407,1),"")</f>
        <v/>
      </c>
      <c r="AB462">
        <f>IF(455=$AD$1+1,"G",IF($AA462="","",IF(INDEX($Q$8:$Q$407,$AA462)="","",IF(455&gt;INDEX($X$8:$X$407,$AA462)+INDEX($V$8:$V$407,$AA462)+INDEX($W$8:$W$407,$AA462),"",IF(455=INDEX($X$8:$X$407,$AA462)+INDEX($V$8:$V$407,$AA462)+INDEX($W$8:$W$407,$AA462),"D",IF(AND(INDEX($W$8:$W$407,$AA462)=1,455=INDEX($X$8:$X$407,$AA462)+INDEX($V$8:$V$407,$AA462)),"S","R"))))))</f>
        <v/>
      </c>
      <c r="AC462">
        <f>IF(OR($AB462="",$AB462="G"),"",IF($AB462="D",INDEX($U$8:$U$407,$AA462),IF($AB462="S",INDEX($T$8:$T$407,$AA462)&amp;"|*",INDEX($S$8:$S$407,$AA462)&amp;"|*")))</f>
        <v/>
      </c>
    </row>
    <row r="463" ht="21" customHeight="1" s="66">
      <c r="A463" s="3">
        <f>IF($AB463="G","ผลรวมทั้งหมด",IF($AB463="R",INDEX($S$8:$S$407,$AA463),""))</f>
        <v/>
      </c>
      <c r="B463" s="3">
        <f>IF($AB463="S",INDEX($Y$8:$Y$407,$AA463),"")</f>
        <v/>
      </c>
      <c r="C463" s="68">
        <f>IF($AB463="D",INDEX($Z$8:$Z$407,$AA463),"")</f>
        <v/>
      </c>
      <c r="D463" s="31">
        <f>IF($AB463="G",SUM($AE$8:$AE$407),IF(OR($AB463="",$AB463="R"),"",IF($AB463="D",INDEX($AE$8:$AE$407,$AA463),SUMIF($T$8:$T$407,INDEX($T$8:$T$407,$AA463),$AE$8:$AE$407))))</f>
        <v/>
      </c>
      <c r="E463" s="32">
        <f>IF(456=$AD$1+3,"ขอแสดงความนับถือ",IF(456=$AD$1+6,"(                 )",IF(456=$AD$1+7,"เจ้าหน้าที่ขนส่ง",IF($AB463="G",SUM($AF$8:$AF$407),IF(OR($AB463="",$AB463="R"),"",IF($AB463="D",INDEX($AF$8:$AF$407,$AA463),SUMIF($T$8:$T$407,INDEX($T$8:$T$407,$AA463),$AF$8:$AF$407)))))))</f>
        <v/>
      </c>
      <c r="F463" s="32">
        <f>IF($AB463="G",SUM($AG$8:$AG$407),IF(OR($AB463="",$AB463="R"),"",IF($AB463="D",INDEX($AG$8:$AG$407,$AA463),SUMIF($T$8:$T$407,INDEX($T$8:$T$407,$AA463),$AG$8:$AG$407))))</f>
        <v/>
      </c>
      <c r="G463" s="32">
        <f>IF(OR($AB463="",$AB463="R"),"",ROUND($E463-$F463,2))</f>
        <v/>
      </c>
      <c r="H463" s="32">
        <f>IF($AB463="G",SUM($AH$8:$AH$407),IF(OR($AB463="",$AB463="R"),"",IF($AB463="D",INDEX($AH$8:$AH$407,$AA463),SUMIF($T$8:$T$407,INDEX($T$8:$T$407,$AA463),$AH$8:$AH$407))))</f>
        <v/>
      </c>
      <c r="AA463">
        <f>IFERROR(MATCH(456,$X$8:$X$407,1),"")</f>
        <v/>
      </c>
      <c r="AB463">
        <f>IF(456=$AD$1+1,"G",IF($AA463="","",IF(INDEX($Q$8:$Q$407,$AA463)="","",IF(456&gt;INDEX($X$8:$X$407,$AA463)+INDEX($V$8:$V$407,$AA463)+INDEX($W$8:$W$407,$AA463),"",IF(456=INDEX($X$8:$X$407,$AA463)+INDEX($V$8:$V$407,$AA463)+INDEX($W$8:$W$407,$AA463),"D",IF(AND(INDEX($W$8:$W$407,$AA463)=1,456=INDEX($X$8:$X$407,$AA463)+INDEX($V$8:$V$407,$AA463)),"S","R"))))))</f>
        <v/>
      </c>
      <c r="AC463">
        <f>IF(OR($AB463="",$AB463="G"),"",IF($AB463="D",INDEX($U$8:$U$407,$AA463),IF($AB463="S",INDEX($T$8:$T$407,$AA463)&amp;"|*",INDEX($S$8:$S$407,$AA463)&amp;"|*")))</f>
        <v/>
      </c>
    </row>
    <row r="464" ht="21" customHeight="1" s="66">
      <c r="A464" s="3">
        <f>IF($AB464="G","ผลรวมทั้งหมด",IF($AB464="R",INDEX($S$8:$S$407,$AA464),""))</f>
        <v/>
      </c>
      <c r="B464" s="3">
        <f>IF($AB464="S",INDEX($Y$8:$Y$407,$AA464),"")</f>
        <v/>
      </c>
      <c r="C464" s="68">
        <f>IF($AB464="D",INDEX($Z$8:$Z$407,$AA464),"")</f>
        <v/>
      </c>
      <c r="D464" s="31">
        <f>IF($AB464="G",SUM($AE$8:$AE$407),IF(OR($AB464="",$AB464="R"),"",IF($AB464="D",INDEX($AE$8:$AE$407,$AA464),SUMIF($T$8:$T$407,INDEX($T$8:$T$407,$AA464),$AE$8:$AE$407))))</f>
        <v/>
      </c>
      <c r="E464" s="32">
        <f>IF(457=$AD$1+3,"ขอแสดงความนับถือ",IF(457=$AD$1+6,"(                 )",IF(457=$AD$1+7,"เจ้าหน้าที่ขนส่ง",IF($AB464="G",SUM($AF$8:$AF$407),IF(OR($AB464="",$AB464="R"),"",IF($AB464="D",INDEX($AF$8:$AF$407,$AA464),SUMIF($T$8:$T$407,INDEX($T$8:$T$407,$AA464),$AF$8:$AF$407)))))))</f>
        <v/>
      </c>
      <c r="F464" s="32">
        <f>IF($AB464="G",SUM($AG$8:$AG$407),IF(OR($AB464="",$AB464="R"),"",IF($AB464="D",INDEX($AG$8:$AG$407,$AA464),SUMIF($T$8:$T$407,INDEX($T$8:$T$407,$AA464),$AG$8:$AG$407))))</f>
        <v/>
      </c>
      <c r="G464" s="32">
        <f>IF(OR($AB464="",$AB464="R"),"",ROUND($E464-$F464,2))</f>
        <v/>
      </c>
      <c r="H464" s="32">
        <f>IF($AB464="G",SUM($AH$8:$AH$407),IF(OR($AB464="",$AB464="R"),"",IF($AB464="D",INDEX($AH$8:$AH$407,$AA464),SUMIF($T$8:$T$407,INDEX($T$8:$T$407,$AA464),$AH$8:$AH$407))))</f>
        <v/>
      </c>
      <c r="AA464">
        <f>IFERROR(MATCH(457,$X$8:$X$407,1),"")</f>
        <v/>
      </c>
      <c r="AB464">
        <f>IF(457=$AD$1+1,"G",IF($AA464="","",IF(INDEX($Q$8:$Q$407,$AA464)="","",IF(457&gt;INDEX($X$8:$X$407,$AA464)+INDEX($V$8:$V$407,$AA464)+INDEX($W$8:$W$407,$AA464),"",IF(457=INDEX($X$8:$X$407,$AA464)+INDEX($V$8:$V$407,$AA464)+INDEX($W$8:$W$407,$AA464),"D",IF(AND(INDEX($W$8:$W$407,$AA464)=1,457=INDEX($X$8:$X$407,$AA464)+INDEX($V$8:$V$407,$AA464)),"S","R"))))))</f>
        <v/>
      </c>
      <c r="AC464">
        <f>IF(OR($AB464="",$AB464="G"),"",IF($AB464="D",INDEX($U$8:$U$407,$AA464),IF($AB464="S",INDEX($T$8:$T$407,$AA464)&amp;"|*",INDEX($S$8:$S$407,$AA464)&amp;"|*")))</f>
        <v/>
      </c>
    </row>
    <row r="465" ht="21" customHeight="1" s="66">
      <c r="A465" s="3">
        <f>IF($AB465="G","ผลรวมทั้งหมด",IF($AB465="R",INDEX($S$8:$S$407,$AA465),""))</f>
        <v/>
      </c>
      <c r="B465" s="3">
        <f>IF($AB465="S",INDEX($Y$8:$Y$407,$AA465),"")</f>
        <v/>
      </c>
      <c r="C465" s="68">
        <f>IF($AB465="D",INDEX($Z$8:$Z$407,$AA465),"")</f>
        <v/>
      </c>
      <c r="D465" s="31">
        <f>IF($AB465="G",SUM($AE$8:$AE$407),IF(OR($AB465="",$AB465="R"),"",IF($AB465="D",INDEX($AE$8:$AE$407,$AA465),SUMIF($T$8:$T$407,INDEX($T$8:$T$407,$AA465),$AE$8:$AE$407))))</f>
        <v/>
      </c>
      <c r="E465" s="32">
        <f>IF(458=$AD$1+3,"ขอแสดงความนับถือ",IF(458=$AD$1+6,"(                 )",IF(458=$AD$1+7,"เจ้าหน้าที่ขนส่ง",IF($AB465="G",SUM($AF$8:$AF$407),IF(OR($AB465="",$AB465="R"),"",IF($AB465="D",INDEX($AF$8:$AF$407,$AA465),SUMIF($T$8:$T$407,INDEX($T$8:$T$407,$AA465),$AF$8:$AF$407)))))))</f>
        <v/>
      </c>
      <c r="F465" s="32">
        <f>IF($AB465="G",SUM($AG$8:$AG$407),IF(OR($AB465="",$AB465="R"),"",IF($AB465="D",INDEX($AG$8:$AG$407,$AA465),SUMIF($T$8:$T$407,INDEX($T$8:$T$407,$AA465),$AG$8:$AG$407))))</f>
        <v/>
      </c>
      <c r="G465" s="32">
        <f>IF(OR($AB465="",$AB465="R"),"",ROUND($E465-$F465,2))</f>
        <v/>
      </c>
      <c r="H465" s="32">
        <f>IF($AB465="G",SUM($AH$8:$AH$407),IF(OR($AB465="",$AB465="R"),"",IF($AB465="D",INDEX($AH$8:$AH$407,$AA465),SUMIF($T$8:$T$407,INDEX($T$8:$T$407,$AA465),$AH$8:$AH$407))))</f>
        <v/>
      </c>
      <c r="AA465">
        <f>IFERROR(MATCH(458,$X$8:$X$407,1),"")</f>
        <v/>
      </c>
      <c r="AB465">
        <f>IF(458=$AD$1+1,"G",IF($AA465="","",IF(INDEX($Q$8:$Q$407,$AA465)="","",IF(458&gt;INDEX($X$8:$X$407,$AA465)+INDEX($V$8:$V$407,$AA465)+INDEX($W$8:$W$407,$AA465),"",IF(458=INDEX($X$8:$X$407,$AA465)+INDEX($V$8:$V$407,$AA465)+INDEX($W$8:$W$407,$AA465),"D",IF(AND(INDEX($W$8:$W$407,$AA465)=1,458=INDEX($X$8:$X$407,$AA465)+INDEX($V$8:$V$407,$AA465)),"S","R"))))))</f>
        <v/>
      </c>
      <c r="AC465">
        <f>IF(OR($AB465="",$AB465="G"),"",IF($AB465="D",INDEX($U$8:$U$407,$AA465),IF($AB465="S",INDEX($T$8:$T$407,$AA465)&amp;"|*",INDEX($S$8:$S$407,$AA465)&amp;"|*")))</f>
        <v/>
      </c>
    </row>
    <row r="466" ht="21" customHeight="1" s="66">
      <c r="A466" s="3">
        <f>IF($AB466="G","ผลรวมทั้งหมด",IF($AB466="R",INDEX($S$8:$S$407,$AA466),""))</f>
        <v/>
      </c>
      <c r="B466" s="3">
        <f>IF($AB466="S",INDEX($Y$8:$Y$407,$AA466),"")</f>
        <v/>
      </c>
      <c r="C466" s="68">
        <f>IF($AB466="D",INDEX($Z$8:$Z$407,$AA466),"")</f>
        <v/>
      </c>
      <c r="D466" s="31">
        <f>IF($AB466="G",SUM($AE$8:$AE$407),IF(OR($AB466="",$AB466="R"),"",IF($AB466="D",INDEX($AE$8:$AE$407,$AA466),SUMIF($T$8:$T$407,INDEX($T$8:$T$407,$AA466),$AE$8:$AE$407))))</f>
        <v/>
      </c>
      <c r="E466" s="32">
        <f>IF(459=$AD$1+3,"ขอแสดงความนับถือ",IF(459=$AD$1+6,"(                 )",IF(459=$AD$1+7,"เจ้าหน้าที่ขนส่ง",IF($AB466="G",SUM($AF$8:$AF$407),IF(OR($AB466="",$AB466="R"),"",IF($AB466="D",INDEX($AF$8:$AF$407,$AA466),SUMIF($T$8:$T$407,INDEX($T$8:$T$407,$AA466),$AF$8:$AF$407)))))))</f>
        <v/>
      </c>
      <c r="F466" s="32">
        <f>IF($AB466="G",SUM($AG$8:$AG$407),IF(OR($AB466="",$AB466="R"),"",IF($AB466="D",INDEX($AG$8:$AG$407,$AA466),SUMIF($T$8:$T$407,INDEX($T$8:$T$407,$AA466),$AG$8:$AG$407))))</f>
        <v/>
      </c>
      <c r="G466" s="32">
        <f>IF(OR($AB466="",$AB466="R"),"",ROUND($E466-$F466,2))</f>
        <v/>
      </c>
      <c r="H466" s="32">
        <f>IF($AB466="G",SUM($AH$8:$AH$407),IF(OR($AB466="",$AB466="R"),"",IF($AB466="D",INDEX($AH$8:$AH$407,$AA466),SUMIF($T$8:$T$407,INDEX($T$8:$T$407,$AA466),$AH$8:$AH$407))))</f>
        <v/>
      </c>
      <c r="AA466">
        <f>IFERROR(MATCH(459,$X$8:$X$407,1),"")</f>
        <v/>
      </c>
      <c r="AB466">
        <f>IF(459=$AD$1+1,"G",IF($AA466="","",IF(INDEX($Q$8:$Q$407,$AA466)="","",IF(459&gt;INDEX($X$8:$X$407,$AA466)+INDEX($V$8:$V$407,$AA466)+INDEX($W$8:$W$407,$AA466),"",IF(459=INDEX($X$8:$X$407,$AA466)+INDEX($V$8:$V$407,$AA466)+INDEX($W$8:$W$407,$AA466),"D",IF(AND(INDEX($W$8:$W$407,$AA466)=1,459=INDEX($X$8:$X$407,$AA466)+INDEX($V$8:$V$407,$AA466)),"S","R"))))))</f>
        <v/>
      </c>
      <c r="AC466">
        <f>IF(OR($AB466="",$AB466="G"),"",IF($AB466="D",INDEX($U$8:$U$407,$AA466),IF($AB466="S",INDEX($T$8:$T$407,$AA466)&amp;"|*",INDEX($S$8:$S$407,$AA466)&amp;"|*")))</f>
        <v/>
      </c>
    </row>
    <row r="467" ht="21" customHeight="1" s="66">
      <c r="A467" s="3">
        <f>IF($AB467="G","ผลรวมทั้งหมด",IF($AB467="R",INDEX($S$8:$S$407,$AA467),""))</f>
        <v/>
      </c>
      <c r="B467" s="3">
        <f>IF($AB467="S",INDEX($Y$8:$Y$407,$AA467),"")</f>
        <v/>
      </c>
      <c r="C467" s="68">
        <f>IF($AB467="D",INDEX($Z$8:$Z$407,$AA467),"")</f>
        <v/>
      </c>
      <c r="D467" s="31">
        <f>IF($AB467="G",SUM($AE$8:$AE$407),IF(OR($AB467="",$AB467="R"),"",IF($AB467="D",INDEX($AE$8:$AE$407,$AA467),SUMIF($T$8:$T$407,INDEX($T$8:$T$407,$AA467),$AE$8:$AE$407))))</f>
        <v/>
      </c>
      <c r="E467" s="32">
        <f>IF(460=$AD$1+3,"ขอแสดงความนับถือ",IF(460=$AD$1+6,"(                 )",IF(460=$AD$1+7,"เจ้าหน้าที่ขนส่ง",IF($AB467="G",SUM($AF$8:$AF$407),IF(OR($AB467="",$AB467="R"),"",IF($AB467="D",INDEX($AF$8:$AF$407,$AA467),SUMIF($T$8:$T$407,INDEX($T$8:$T$407,$AA467),$AF$8:$AF$407)))))))</f>
        <v/>
      </c>
      <c r="F467" s="32">
        <f>IF($AB467="G",SUM($AG$8:$AG$407),IF(OR($AB467="",$AB467="R"),"",IF($AB467="D",INDEX($AG$8:$AG$407,$AA467),SUMIF($T$8:$T$407,INDEX($T$8:$T$407,$AA467),$AG$8:$AG$407))))</f>
        <v/>
      </c>
      <c r="G467" s="32">
        <f>IF(OR($AB467="",$AB467="R"),"",ROUND($E467-$F467,2))</f>
        <v/>
      </c>
      <c r="H467" s="32">
        <f>IF($AB467="G",SUM($AH$8:$AH$407),IF(OR($AB467="",$AB467="R"),"",IF($AB467="D",INDEX($AH$8:$AH$407,$AA467),SUMIF($T$8:$T$407,INDEX($T$8:$T$407,$AA467),$AH$8:$AH$407))))</f>
        <v/>
      </c>
      <c r="AA467">
        <f>IFERROR(MATCH(460,$X$8:$X$407,1),"")</f>
        <v/>
      </c>
      <c r="AB467">
        <f>IF(460=$AD$1+1,"G",IF($AA467="","",IF(INDEX($Q$8:$Q$407,$AA467)="","",IF(460&gt;INDEX($X$8:$X$407,$AA467)+INDEX($V$8:$V$407,$AA467)+INDEX($W$8:$W$407,$AA467),"",IF(460=INDEX($X$8:$X$407,$AA467)+INDEX($V$8:$V$407,$AA467)+INDEX($W$8:$W$407,$AA467),"D",IF(AND(INDEX($W$8:$W$407,$AA467)=1,460=INDEX($X$8:$X$407,$AA467)+INDEX($V$8:$V$407,$AA467)),"S","R"))))))</f>
        <v/>
      </c>
      <c r="AC467">
        <f>IF(OR($AB467="",$AB467="G"),"",IF($AB467="D",INDEX($U$8:$U$407,$AA467),IF($AB467="S",INDEX($T$8:$T$407,$AA467)&amp;"|*",INDEX($S$8:$S$407,$AA467)&amp;"|*")))</f>
        <v/>
      </c>
    </row>
    <row r="468" ht="21" customHeight="1" s="66">
      <c r="A468" s="3">
        <f>IF($AB468="G","ผลรวมทั้งหมด",IF($AB468="R",INDEX($S$8:$S$407,$AA468),""))</f>
        <v/>
      </c>
      <c r="B468" s="3">
        <f>IF($AB468="S",INDEX($Y$8:$Y$407,$AA468),"")</f>
        <v/>
      </c>
      <c r="C468" s="68">
        <f>IF($AB468="D",INDEX($Z$8:$Z$407,$AA468),"")</f>
        <v/>
      </c>
      <c r="D468" s="31">
        <f>IF($AB468="G",SUM($AE$8:$AE$407),IF(OR($AB468="",$AB468="R"),"",IF($AB468="D",INDEX($AE$8:$AE$407,$AA468),SUMIF($T$8:$T$407,INDEX($T$8:$T$407,$AA468),$AE$8:$AE$407))))</f>
        <v/>
      </c>
      <c r="E468" s="32">
        <f>IF(461=$AD$1+3,"ขอแสดงความนับถือ",IF(461=$AD$1+6,"(                 )",IF(461=$AD$1+7,"เจ้าหน้าที่ขนส่ง",IF($AB468="G",SUM($AF$8:$AF$407),IF(OR($AB468="",$AB468="R"),"",IF($AB468="D",INDEX($AF$8:$AF$407,$AA468),SUMIF($T$8:$T$407,INDEX($T$8:$T$407,$AA468),$AF$8:$AF$407)))))))</f>
        <v/>
      </c>
      <c r="F468" s="32">
        <f>IF($AB468="G",SUM($AG$8:$AG$407),IF(OR($AB468="",$AB468="R"),"",IF($AB468="D",INDEX($AG$8:$AG$407,$AA468),SUMIF($T$8:$T$407,INDEX($T$8:$T$407,$AA468),$AG$8:$AG$407))))</f>
        <v/>
      </c>
      <c r="G468" s="32">
        <f>IF(OR($AB468="",$AB468="R"),"",ROUND($E468-$F468,2))</f>
        <v/>
      </c>
      <c r="H468" s="32">
        <f>IF($AB468="G",SUM($AH$8:$AH$407),IF(OR($AB468="",$AB468="R"),"",IF($AB468="D",INDEX($AH$8:$AH$407,$AA468),SUMIF($T$8:$T$407,INDEX($T$8:$T$407,$AA468),$AH$8:$AH$407))))</f>
        <v/>
      </c>
      <c r="AA468">
        <f>IFERROR(MATCH(461,$X$8:$X$407,1),"")</f>
        <v/>
      </c>
      <c r="AB468">
        <f>IF(461=$AD$1+1,"G",IF($AA468="","",IF(INDEX($Q$8:$Q$407,$AA468)="","",IF(461&gt;INDEX($X$8:$X$407,$AA468)+INDEX($V$8:$V$407,$AA468)+INDEX($W$8:$W$407,$AA468),"",IF(461=INDEX($X$8:$X$407,$AA468)+INDEX($V$8:$V$407,$AA468)+INDEX($W$8:$W$407,$AA468),"D",IF(AND(INDEX($W$8:$W$407,$AA468)=1,461=INDEX($X$8:$X$407,$AA468)+INDEX($V$8:$V$407,$AA468)),"S","R"))))))</f>
        <v/>
      </c>
      <c r="AC468">
        <f>IF(OR($AB468="",$AB468="G"),"",IF($AB468="D",INDEX($U$8:$U$407,$AA468),IF($AB468="S",INDEX($T$8:$T$407,$AA468)&amp;"|*",INDEX($S$8:$S$407,$AA468)&amp;"|*")))</f>
        <v/>
      </c>
    </row>
    <row r="469" ht="21" customHeight="1" s="66">
      <c r="A469" s="3">
        <f>IF($AB469="G","ผลรวมทั้งหมด",IF($AB469="R",INDEX($S$8:$S$407,$AA469),""))</f>
        <v/>
      </c>
      <c r="B469" s="3">
        <f>IF($AB469="S",INDEX($Y$8:$Y$407,$AA469),"")</f>
        <v/>
      </c>
      <c r="C469" s="68">
        <f>IF($AB469="D",INDEX($Z$8:$Z$407,$AA469),"")</f>
        <v/>
      </c>
      <c r="D469" s="31">
        <f>IF($AB469="G",SUM($AE$8:$AE$407),IF(OR($AB469="",$AB469="R"),"",IF($AB469="D",INDEX($AE$8:$AE$407,$AA469),SUMIF($T$8:$T$407,INDEX($T$8:$T$407,$AA469),$AE$8:$AE$407))))</f>
        <v/>
      </c>
      <c r="E469" s="32">
        <f>IF(462=$AD$1+3,"ขอแสดงความนับถือ",IF(462=$AD$1+6,"(                 )",IF(462=$AD$1+7,"เจ้าหน้าที่ขนส่ง",IF($AB469="G",SUM($AF$8:$AF$407),IF(OR($AB469="",$AB469="R"),"",IF($AB469="D",INDEX($AF$8:$AF$407,$AA469),SUMIF($T$8:$T$407,INDEX($T$8:$T$407,$AA469),$AF$8:$AF$407)))))))</f>
        <v/>
      </c>
      <c r="F469" s="32">
        <f>IF($AB469="G",SUM($AG$8:$AG$407),IF(OR($AB469="",$AB469="R"),"",IF($AB469="D",INDEX($AG$8:$AG$407,$AA469),SUMIF($T$8:$T$407,INDEX($T$8:$T$407,$AA469),$AG$8:$AG$407))))</f>
        <v/>
      </c>
      <c r="G469" s="32">
        <f>IF(OR($AB469="",$AB469="R"),"",ROUND($E469-$F469,2))</f>
        <v/>
      </c>
      <c r="H469" s="32">
        <f>IF($AB469="G",SUM($AH$8:$AH$407),IF(OR($AB469="",$AB469="R"),"",IF($AB469="D",INDEX($AH$8:$AH$407,$AA469),SUMIF($T$8:$T$407,INDEX($T$8:$T$407,$AA469),$AH$8:$AH$407))))</f>
        <v/>
      </c>
      <c r="AA469">
        <f>IFERROR(MATCH(462,$X$8:$X$407,1),"")</f>
        <v/>
      </c>
      <c r="AB469">
        <f>IF(462=$AD$1+1,"G",IF($AA469="","",IF(INDEX($Q$8:$Q$407,$AA469)="","",IF(462&gt;INDEX($X$8:$X$407,$AA469)+INDEX($V$8:$V$407,$AA469)+INDEX($W$8:$W$407,$AA469),"",IF(462=INDEX($X$8:$X$407,$AA469)+INDEX($V$8:$V$407,$AA469)+INDEX($W$8:$W$407,$AA469),"D",IF(AND(INDEX($W$8:$W$407,$AA469)=1,462=INDEX($X$8:$X$407,$AA469)+INDEX($V$8:$V$407,$AA469)),"S","R"))))))</f>
        <v/>
      </c>
      <c r="AC469">
        <f>IF(OR($AB469="",$AB469="G"),"",IF($AB469="D",INDEX($U$8:$U$407,$AA469),IF($AB469="S",INDEX($T$8:$T$407,$AA469)&amp;"|*",INDEX($S$8:$S$407,$AA469)&amp;"|*")))</f>
        <v/>
      </c>
    </row>
    <row r="470" ht="21" customHeight="1" s="66">
      <c r="A470" s="3">
        <f>IF($AB470="G","ผลรวมทั้งหมด",IF($AB470="R",INDEX($S$8:$S$407,$AA470),""))</f>
        <v/>
      </c>
      <c r="B470" s="3">
        <f>IF($AB470="S",INDEX($Y$8:$Y$407,$AA470),"")</f>
        <v/>
      </c>
      <c r="C470" s="68">
        <f>IF($AB470="D",INDEX($Z$8:$Z$407,$AA470),"")</f>
        <v/>
      </c>
      <c r="D470" s="31">
        <f>IF($AB470="G",SUM($AE$8:$AE$407),IF(OR($AB470="",$AB470="R"),"",IF($AB470="D",INDEX($AE$8:$AE$407,$AA470),SUMIF($T$8:$T$407,INDEX($T$8:$T$407,$AA470),$AE$8:$AE$407))))</f>
        <v/>
      </c>
      <c r="E470" s="32">
        <f>IF(463=$AD$1+3,"ขอแสดงความนับถือ",IF(463=$AD$1+6,"(                 )",IF(463=$AD$1+7,"เจ้าหน้าที่ขนส่ง",IF($AB470="G",SUM($AF$8:$AF$407),IF(OR($AB470="",$AB470="R"),"",IF($AB470="D",INDEX($AF$8:$AF$407,$AA470),SUMIF($T$8:$T$407,INDEX($T$8:$T$407,$AA470),$AF$8:$AF$407)))))))</f>
        <v/>
      </c>
      <c r="F470" s="32">
        <f>IF($AB470="G",SUM($AG$8:$AG$407),IF(OR($AB470="",$AB470="R"),"",IF($AB470="D",INDEX($AG$8:$AG$407,$AA470),SUMIF($T$8:$T$407,INDEX($T$8:$T$407,$AA470),$AG$8:$AG$407))))</f>
        <v/>
      </c>
      <c r="G470" s="32">
        <f>IF(OR($AB470="",$AB470="R"),"",ROUND($E470-$F470,2))</f>
        <v/>
      </c>
      <c r="H470" s="32">
        <f>IF($AB470="G",SUM($AH$8:$AH$407),IF(OR($AB470="",$AB470="R"),"",IF($AB470="D",INDEX($AH$8:$AH$407,$AA470),SUMIF($T$8:$T$407,INDEX($T$8:$T$407,$AA470),$AH$8:$AH$407))))</f>
        <v/>
      </c>
      <c r="AA470">
        <f>IFERROR(MATCH(463,$X$8:$X$407,1),"")</f>
        <v/>
      </c>
      <c r="AB470">
        <f>IF(463=$AD$1+1,"G",IF($AA470="","",IF(INDEX($Q$8:$Q$407,$AA470)="","",IF(463&gt;INDEX($X$8:$X$407,$AA470)+INDEX($V$8:$V$407,$AA470)+INDEX($W$8:$W$407,$AA470),"",IF(463=INDEX($X$8:$X$407,$AA470)+INDEX($V$8:$V$407,$AA470)+INDEX($W$8:$W$407,$AA470),"D",IF(AND(INDEX($W$8:$W$407,$AA470)=1,463=INDEX($X$8:$X$407,$AA470)+INDEX($V$8:$V$407,$AA470)),"S","R"))))))</f>
        <v/>
      </c>
      <c r="AC470">
        <f>IF(OR($AB470="",$AB470="G"),"",IF($AB470="D",INDEX($U$8:$U$407,$AA470),IF($AB470="S",INDEX($T$8:$T$407,$AA470)&amp;"|*",INDEX($S$8:$S$407,$AA470)&amp;"|*")))</f>
        <v/>
      </c>
    </row>
    <row r="471" ht="21" customHeight="1" s="66">
      <c r="A471" s="3">
        <f>IF($AB471="G","ผลรวมทั้งหมด",IF($AB471="R",INDEX($S$8:$S$407,$AA471),""))</f>
        <v/>
      </c>
      <c r="B471" s="3">
        <f>IF($AB471="S",INDEX($Y$8:$Y$407,$AA471),"")</f>
        <v/>
      </c>
      <c r="C471" s="68">
        <f>IF($AB471="D",INDEX($Z$8:$Z$407,$AA471),"")</f>
        <v/>
      </c>
      <c r="D471" s="31">
        <f>IF($AB471="G",SUM($AE$8:$AE$407),IF(OR($AB471="",$AB471="R"),"",IF($AB471="D",INDEX($AE$8:$AE$407,$AA471),SUMIF($T$8:$T$407,INDEX($T$8:$T$407,$AA471),$AE$8:$AE$407))))</f>
        <v/>
      </c>
      <c r="E471" s="32">
        <f>IF(464=$AD$1+3,"ขอแสดงความนับถือ",IF(464=$AD$1+6,"(                 )",IF(464=$AD$1+7,"เจ้าหน้าที่ขนส่ง",IF($AB471="G",SUM($AF$8:$AF$407),IF(OR($AB471="",$AB471="R"),"",IF($AB471="D",INDEX($AF$8:$AF$407,$AA471),SUMIF($T$8:$T$407,INDEX($T$8:$T$407,$AA471),$AF$8:$AF$407)))))))</f>
        <v/>
      </c>
      <c r="F471" s="32">
        <f>IF($AB471="G",SUM($AG$8:$AG$407),IF(OR($AB471="",$AB471="R"),"",IF($AB471="D",INDEX($AG$8:$AG$407,$AA471),SUMIF($T$8:$T$407,INDEX($T$8:$T$407,$AA471),$AG$8:$AG$407))))</f>
        <v/>
      </c>
      <c r="G471" s="32">
        <f>IF(OR($AB471="",$AB471="R"),"",ROUND($E471-$F471,2))</f>
        <v/>
      </c>
      <c r="H471" s="32">
        <f>IF($AB471="G",SUM($AH$8:$AH$407),IF(OR($AB471="",$AB471="R"),"",IF($AB471="D",INDEX($AH$8:$AH$407,$AA471),SUMIF($T$8:$T$407,INDEX($T$8:$T$407,$AA471),$AH$8:$AH$407))))</f>
        <v/>
      </c>
      <c r="AA471">
        <f>IFERROR(MATCH(464,$X$8:$X$407,1),"")</f>
        <v/>
      </c>
      <c r="AB471">
        <f>IF(464=$AD$1+1,"G",IF($AA471="","",IF(INDEX($Q$8:$Q$407,$AA471)="","",IF(464&gt;INDEX($X$8:$X$407,$AA471)+INDEX($V$8:$V$407,$AA471)+INDEX($W$8:$W$407,$AA471),"",IF(464=INDEX($X$8:$X$407,$AA471)+INDEX($V$8:$V$407,$AA471)+INDEX($W$8:$W$407,$AA471),"D",IF(AND(INDEX($W$8:$W$407,$AA471)=1,464=INDEX($X$8:$X$407,$AA471)+INDEX($V$8:$V$407,$AA471)),"S","R"))))))</f>
        <v/>
      </c>
      <c r="AC471">
        <f>IF(OR($AB471="",$AB471="G"),"",IF($AB471="D",INDEX($U$8:$U$407,$AA471),IF($AB471="S",INDEX($T$8:$T$407,$AA471)&amp;"|*",INDEX($S$8:$S$407,$AA471)&amp;"|*")))</f>
        <v/>
      </c>
    </row>
    <row r="472" ht="21" customHeight="1" s="66">
      <c r="A472" s="3">
        <f>IF($AB472="G","ผลรวมทั้งหมด",IF($AB472="R",INDEX($S$8:$S$407,$AA472),""))</f>
        <v/>
      </c>
      <c r="B472" s="3">
        <f>IF($AB472="S",INDEX($Y$8:$Y$407,$AA472),"")</f>
        <v/>
      </c>
      <c r="C472" s="68">
        <f>IF($AB472="D",INDEX($Z$8:$Z$407,$AA472),"")</f>
        <v/>
      </c>
      <c r="D472" s="31">
        <f>IF($AB472="G",SUM($AE$8:$AE$407),IF(OR($AB472="",$AB472="R"),"",IF($AB472="D",INDEX($AE$8:$AE$407,$AA472),SUMIF($T$8:$T$407,INDEX($T$8:$T$407,$AA472),$AE$8:$AE$407))))</f>
        <v/>
      </c>
      <c r="E472" s="32">
        <f>IF(465=$AD$1+3,"ขอแสดงความนับถือ",IF(465=$AD$1+6,"(                 )",IF(465=$AD$1+7,"เจ้าหน้าที่ขนส่ง",IF($AB472="G",SUM($AF$8:$AF$407),IF(OR($AB472="",$AB472="R"),"",IF($AB472="D",INDEX($AF$8:$AF$407,$AA472),SUMIF($T$8:$T$407,INDEX($T$8:$T$407,$AA472),$AF$8:$AF$407)))))))</f>
        <v/>
      </c>
      <c r="F472" s="32">
        <f>IF($AB472="G",SUM($AG$8:$AG$407),IF(OR($AB472="",$AB472="R"),"",IF($AB472="D",INDEX($AG$8:$AG$407,$AA472),SUMIF($T$8:$T$407,INDEX($T$8:$T$407,$AA472),$AG$8:$AG$407))))</f>
        <v/>
      </c>
      <c r="G472" s="32">
        <f>IF(OR($AB472="",$AB472="R"),"",ROUND($E472-$F472,2))</f>
        <v/>
      </c>
      <c r="H472" s="32">
        <f>IF($AB472="G",SUM($AH$8:$AH$407),IF(OR($AB472="",$AB472="R"),"",IF($AB472="D",INDEX($AH$8:$AH$407,$AA472),SUMIF($T$8:$T$407,INDEX($T$8:$T$407,$AA472),$AH$8:$AH$407))))</f>
        <v/>
      </c>
      <c r="AA472">
        <f>IFERROR(MATCH(465,$X$8:$X$407,1),"")</f>
        <v/>
      </c>
      <c r="AB472">
        <f>IF(465=$AD$1+1,"G",IF($AA472="","",IF(INDEX($Q$8:$Q$407,$AA472)="","",IF(465&gt;INDEX($X$8:$X$407,$AA472)+INDEX($V$8:$V$407,$AA472)+INDEX($W$8:$W$407,$AA472),"",IF(465=INDEX($X$8:$X$407,$AA472)+INDEX($V$8:$V$407,$AA472)+INDEX($W$8:$W$407,$AA472),"D",IF(AND(INDEX($W$8:$W$407,$AA472)=1,465=INDEX($X$8:$X$407,$AA472)+INDEX($V$8:$V$407,$AA472)),"S","R"))))))</f>
        <v/>
      </c>
      <c r="AC472">
        <f>IF(OR($AB472="",$AB472="G"),"",IF($AB472="D",INDEX($U$8:$U$407,$AA472),IF($AB472="S",INDEX($T$8:$T$407,$AA472)&amp;"|*",INDEX($S$8:$S$407,$AA472)&amp;"|*")))</f>
        <v/>
      </c>
    </row>
    <row r="473" ht="21" customHeight="1" s="66">
      <c r="A473" s="3">
        <f>IF($AB473="G","ผลรวมทั้งหมด",IF($AB473="R",INDEX($S$8:$S$407,$AA473),""))</f>
        <v/>
      </c>
      <c r="B473" s="3">
        <f>IF($AB473="S",INDEX($Y$8:$Y$407,$AA473),"")</f>
        <v/>
      </c>
      <c r="C473" s="68">
        <f>IF($AB473="D",INDEX($Z$8:$Z$407,$AA473),"")</f>
        <v/>
      </c>
      <c r="D473" s="31">
        <f>IF($AB473="G",SUM($AE$8:$AE$407),IF(OR($AB473="",$AB473="R"),"",IF($AB473="D",INDEX($AE$8:$AE$407,$AA473),SUMIF($T$8:$T$407,INDEX($T$8:$T$407,$AA473),$AE$8:$AE$407))))</f>
        <v/>
      </c>
      <c r="E473" s="32">
        <f>IF(466=$AD$1+3,"ขอแสดงความนับถือ",IF(466=$AD$1+6,"(                 )",IF(466=$AD$1+7,"เจ้าหน้าที่ขนส่ง",IF($AB473="G",SUM($AF$8:$AF$407),IF(OR($AB473="",$AB473="R"),"",IF($AB473="D",INDEX($AF$8:$AF$407,$AA473),SUMIF($T$8:$T$407,INDEX($T$8:$T$407,$AA473),$AF$8:$AF$407)))))))</f>
        <v/>
      </c>
      <c r="F473" s="32">
        <f>IF($AB473="G",SUM($AG$8:$AG$407),IF(OR($AB473="",$AB473="R"),"",IF($AB473="D",INDEX($AG$8:$AG$407,$AA473),SUMIF($T$8:$T$407,INDEX($T$8:$T$407,$AA473),$AG$8:$AG$407))))</f>
        <v/>
      </c>
      <c r="G473" s="32">
        <f>IF(OR($AB473="",$AB473="R"),"",ROUND($E473-$F473,2))</f>
        <v/>
      </c>
      <c r="H473" s="32">
        <f>IF($AB473="G",SUM($AH$8:$AH$407),IF(OR($AB473="",$AB473="R"),"",IF($AB473="D",INDEX($AH$8:$AH$407,$AA473),SUMIF($T$8:$T$407,INDEX($T$8:$T$407,$AA473),$AH$8:$AH$407))))</f>
        <v/>
      </c>
      <c r="AA473">
        <f>IFERROR(MATCH(466,$X$8:$X$407,1),"")</f>
        <v/>
      </c>
      <c r="AB473">
        <f>IF(466=$AD$1+1,"G",IF($AA473="","",IF(INDEX($Q$8:$Q$407,$AA473)="","",IF(466&gt;INDEX($X$8:$X$407,$AA473)+INDEX($V$8:$V$407,$AA473)+INDEX($W$8:$W$407,$AA473),"",IF(466=INDEX($X$8:$X$407,$AA473)+INDEX($V$8:$V$407,$AA473)+INDEX($W$8:$W$407,$AA473),"D",IF(AND(INDEX($W$8:$W$407,$AA473)=1,466=INDEX($X$8:$X$407,$AA473)+INDEX($V$8:$V$407,$AA473)),"S","R"))))))</f>
        <v/>
      </c>
      <c r="AC473">
        <f>IF(OR($AB473="",$AB473="G"),"",IF($AB473="D",INDEX($U$8:$U$407,$AA473),IF($AB473="S",INDEX($T$8:$T$407,$AA473)&amp;"|*",INDEX($S$8:$S$407,$AA473)&amp;"|*")))</f>
        <v/>
      </c>
    </row>
    <row r="474" ht="21" customHeight="1" s="66">
      <c r="A474" s="3">
        <f>IF($AB474="G","ผลรวมทั้งหมด",IF($AB474="R",INDEX($S$8:$S$407,$AA474),""))</f>
        <v/>
      </c>
      <c r="B474" s="3">
        <f>IF($AB474="S",INDEX($Y$8:$Y$407,$AA474),"")</f>
        <v/>
      </c>
      <c r="C474" s="68">
        <f>IF($AB474="D",INDEX($Z$8:$Z$407,$AA474),"")</f>
        <v/>
      </c>
      <c r="D474" s="31">
        <f>IF($AB474="G",SUM($AE$8:$AE$407),IF(OR($AB474="",$AB474="R"),"",IF($AB474="D",INDEX($AE$8:$AE$407,$AA474),SUMIF($T$8:$T$407,INDEX($T$8:$T$407,$AA474),$AE$8:$AE$407))))</f>
        <v/>
      </c>
      <c r="E474" s="32">
        <f>IF(467=$AD$1+3,"ขอแสดงความนับถือ",IF(467=$AD$1+6,"(                 )",IF(467=$AD$1+7,"เจ้าหน้าที่ขนส่ง",IF($AB474="G",SUM($AF$8:$AF$407),IF(OR($AB474="",$AB474="R"),"",IF($AB474="D",INDEX($AF$8:$AF$407,$AA474),SUMIF($T$8:$T$407,INDEX($T$8:$T$407,$AA474),$AF$8:$AF$407)))))))</f>
        <v/>
      </c>
      <c r="F474" s="32">
        <f>IF($AB474="G",SUM($AG$8:$AG$407),IF(OR($AB474="",$AB474="R"),"",IF($AB474="D",INDEX($AG$8:$AG$407,$AA474),SUMIF($T$8:$T$407,INDEX($T$8:$T$407,$AA474),$AG$8:$AG$407))))</f>
        <v/>
      </c>
      <c r="G474" s="32">
        <f>IF(OR($AB474="",$AB474="R"),"",ROUND($E474-$F474,2))</f>
        <v/>
      </c>
      <c r="H474" s="32">
        <f>IF($AB474="G",SUM($AH$8:$AH$407),IF(OR($AB474="",$AB474="R"),"",IF($AB474="D",INDEX($AH$8:$AH$407,$AA474),SUMIF($T$8:$T$407,INDEX($T$8:$T$407,$AA474),$AH$8:$AH$407))))</f>
        <v/>
      </c>
      <c r="AA474">
        <f>IFERROR(MATCH(467,$X$8:$X$407,1),"")</f>
        <v/>
      </c>
      <c r="AB474">
        <f>IF(467=$AD$1+1,"G",IF($AA474="","",IF(INDEX($Q$8:$Q$407,$AA474)="","",IF(467&gt;INDEX($X$8:$X$407,$AA474)+INDEX($V$8:$V$407,$AA474)+INDEX($W$8:$W$407,$AA474),"",IF(467=INDEX($X$8:$X$407,$AA474)+INDEX($V$8:$V$407,$AA474)+INDEX($W$8:$W$407,$AA474),"D",IF(AND(INDEX($W$8:$W$407,$AA474)=1,467=INDEX($X$8:$X$407,$AA474)+INDEX($V$8:$V$407,$AA474)),"S","R"))))))</f>
        <v/>
      </c>
      <c r="AC474">
        <f>IF(OR($AB474="",$AB474="G"),"",IF($AB474="D",INDEX($U$8:$U$407,$AA474),IF($AB474="S",INDEX($T$8:$T$407,$AA474)&amp;"|*",INDEX($S$8:$S$407,$AA474)&amp;"|*")))</f>
        <v/>
      </c>
    </row>
    <row r="475" ht="21" customHeight="1" s="66">
      <c r="A475" s="3">
        <f>IF($AB475="G","ผลรวมทั้งหมด",IF($AB475="R",INDEX($S$8:$S$407,$AA475),""))</f>
        <v/>
      </c>
      <c r="B475" s="3">
        <f>IF($AB475="S",INDEX($Y$8:$Y$407,$AA475),"")</f>
        <v/>
      </c>
      <c r="C475" s="68">
        <f>IF($AB475="D",INDEX($Z$8:$Z$407,$AA475),"")</f>
        <v/>
      </c>
      <c r="D475" s="31">
        <f>IF($AB475="G",SUM($AE$8:$AE$407),IF(OR($AB475="",$AB475="R"),"",IF($AB475="D",INDEX($AE$8:$AE$407,$AA475),SUMIF($T$8:$T$407,INDEX($T$8:$T$407,$AA475),$AE$8:$AE$407))))</f>
        <v/>
      </c>
      <c r="E475" s="32">
        <f>IF(468=$AD$1+3,"ขอแสดงความนับถือ",IF(468=$AD$1+6,"(                 )",IF(468=$AD$1+7,"เจ้าหน้าที่ขนส่ง",IF($AB475="G",SUM($AF$8:$AF$407),IF(OR($AB475="",$AB475="R"),"",IF($AB475="D",INDEX($AF$8:$AF$407,$AA475),SUMIF($T$8:$T$407,INDEX($T$8:$T$407,$AA475),$AF$8:$AF$407)))))))</f>
        <v/>
      </c>
      <c r="F475" s="32">
        <f>IF($AB475="G",SUM($AG$8:$AG$407),IF(OR($AB475="",$AB475="R"),"",IF($AB475="D",INDEX($AG$8:$AG$407,$AA475),SUMIF($T$8:$T$407,INDEX($T$8:$T$407,$AA475),$AG$8:$AG$407))))</f>
        <v/>
      </c>
      <c r="G475" s="32">
        <f>IF(OR($AB475="",$AB475="R"),"",ROUND($E475-$F475,2))</f>
        <v/>
      </c>
      <c r="H475" s="32">
        <f>IF($AB475="G",SUM($AH$8:$AH$407),IF(OR($AB475="",$AB475="R"),"",IF($AB475="D",INDEX($AH$8:$AH$407,$AA475),SUMIF($T$8:$T$407,INDEX($T$8:$T$407,$AA475),$AH$8:$AH$407))))</f>
        <v/>
      </c>
      <c r="AA475">
        <f>IFERROR(MATCH(468,$X$8:$X$407,1),"")</f>
        <v/>
      </c>
      <c r="AB475">
        <f>IF(468=$AD$1+1,"G",IF($AA475="","",IF(INDEX($Q$8:$Q$407,$AA475)="","",IF(468&gt;INDEX($X$8:$X$407,$AA475)+INDEX($V$8:$V$407,$AA475)+INDEX($W$8:$W$407,$AA475),"",IF(468=INDEX($X$8:$X$407,$AA475)+INDEX($V$8:$V$407,$AA475)+INDEX($W$8:$W$407,$AA475),"D",IF(AND(INDEX($W$8:$W$407,$AA475)=1,468=INDEX($X$8:$X$407,$AA475)+INDEX($V$8:$V$407,$AA475)),"S","R"))))))</f>
        <v/>
      </c>
      <c r="AC475">
        <f>IF(OR($AB475="",$AB475="G"),"",IF($AB475="D",INDEX($U$8:$U$407,$AA475),IF($AB475="S",INDEX($T$8:$T$407,$AA475)&amp;"|*",INDEX($S$8:$S$407,$AA475)&amp;"|*")))</f>
        <v/>
      </c>
    </row>
    <row r="476" ht="21" customHeight="1" s="66">
      <c r="A476" s="3">
        <f>IF($AB476="G","ผลรวมทั้งหมด",IF($AB476="R",INDEX($S$8:$S$407,$AA476),""))</f>
        <v/>
      </c>
      <c r="B476" s="3">
        <f>IF($AB476="S",INDEX($Y$8:$Y$407,$AA476),"")</f>
        <v/>
      </c>
      <c r="C476" s="68">
        <f>IF($AB476="D",INDEX($Z$8:$Z$407,$AA476),"")</f>
        <v/>
      </c>
      <c r="D476" s="31">
        <f>IF($AB476="G",SUM($AE$8:$AE$407),IF(OR($AB476="",$AB476="R"),"",IF($AB476="D",INDEX($AE$8:$AE$407,$AA476),SUMIF($T$8:$T$407,INDEX($T$8:$T$407,$AA476),$AE$8:$AE$407))))</f>
        <v/>
      </c>
      <c r="E476" s="32">
        <f>IF(469=$AD$1+3,"ขอแสดงความนับถือ",IF(469=$AD$1+6,"(                 )",IF(469=$AD$1+7,"เจ้าหน้าที่ขนส่ง",IF($AB476="G",SUM($AF$8:$AF$407),IF(OR($AB476="",$AB476="R"),"",IF($AB476="D",INDEX($AF$8:$AF$407,$AA476),SUMIF($T$8:$T$407,INDEX($T$8:$T$407,$AA476),$AF$8:$AF$407)))))))</f>
        <v/>
      </c>
      <c r="F476" s="32">
        <f>IF($AB476="G",SUM($AG$8:$AG$407),IF(OR($AB476="",$AB476="R"),"",IF($AB476="D",INDEX($AG$8:$AG$407,$AA476),SUMIF($T$8:$T$407,INDEX($T$8:$T$407,$AA476),$AG$8:$AG$407))))</f>
        <v/>
      </c>
      <c r="G476" s="32">
        <f>IF(OR($AB476="",$AB476="R"),"",ROUND($E476-$F476,2))</f>
        <v/>
      </c>
      <c r="H476" s="32">
        <f>IF($AB476="G",SUM($AH$8:$AH$407),IF(OR($AB476="",$AB476="R"),"",IF($AB476="D",INDEX($AH$8:$AH$407,$AA476),SUMIF($T$8:$T$407,INDEX($T$8:$T$407,$AA476),$AH$8:$AH$407))))</f>
        <v/>
      </c>
      <c r="AA476">
        <f>IFERROR(MATCH(469,$X$8:$X$407,1),"")</f>
        <v/>
      </c>
      <c r="AB476">
        <f>IF(469=$AD$1+1,"G",IF($AA476="","",IF(INDEX($Q$8:$Q$407,$AA476)="","",IF(469&gt;INDEX($X$8:$X$407,$AA476)+INDEX($V$8:$V$407,$AA476)+INDEX($W$8:$W$407,$AA476),"",IF(469=INDEX($X$8:$X$407,$AA476)+INDEX($V$8:$V$407,$AA476)+INDEX($W$8:$W$407,$AA476),"D",IF(AND(INDEX($W$8:$W$407,$AA476)=1,469=INDEX($X$8:$X$407,$AA476)+INDEX($V$8:$V$407,$AA476)),"S","R"))))))</f>
        <v/>
      </c>
      <c r="AC476">
        <f>IF(OR($AB476="",$AB476="G"),"",IF($AB476="D",INDEX($U$8:$U$407,$AA476),IF($AB476="S",INDEX($T$8:$T$407,$AA476)&amp;"|*",INDEX($S$8:$S$407,$AA476)&amp;"|*")))</f>
        <v/>
      </c>
    </row>
    <row r="477" ht="21" customHeight="1" s="66">
      <c r="A477" s="3">
        <f>IF($AB477="G","ผลรวมทั้งหมด",IF($AB477="R",INDEX($S$8:$S$407,$AA477),""))</f>
        <v/>
      </c>
      <c r="B477" s="3">
        <f>IF($AB477="S",INDEX($Y$8:$Y$407,$AA477),"")</f>
        <v/>
      </c>
      <c r="C477" s="68">
        <f>IF($AB477="D",INDEX($Z$8:$Z$407,$AA477),"")</f>
        <v/>
      </c>
      <c r="D477" s="31">
        <f>IF($AB477="G",SUM($AE$8:$AE$407),IF(OR($AB477="",$AB477="R"),"",IF($AB477="D",INDEX($AE$8:$AE$407,$AA477),SUMIF($T$8:$T$407,INDEX($T$8:$T$407,$AA477),$AE$8:$AE$407))))</f>
        <v/>
      </c>
      <c r="E477" s="32">
        <f>IF(470=$AD$1+3,"ขอแสดงความนับถือ",IF(470=$AD$1+6,"(                 )",IF(470=$AD$1+7,"เจ้าหน้าที่ขนส่ง",IF($AB477="G",SUM($AF$8:$AF$407),IF(OR($AB477="",$AB477="R"),"",IF($AB477="D",INDEX($AF$8:$AF$407,$AA477),SUMIF($T$8:$T$407,INDEX($T$8:$T$407,$AA477),$AF$8:$AF$407)))))))</f>
        <v/>
      </c>
      <c r="F477" s="32">
        <f>IF($AB477="G",SUM($AG$8:$AG$407),IF(OR($AB477="",$AB477="R"),"",IF($AB477="D",INDEX($AG$8:$AG$407,$AA477),SUMIF($T$8:$T$407,INDEX($T$8:$T$407,$AA477),$AG$8:$AG$407))))</f>
        <v/>
      </c>
      <c r="G477" s="32">
        <f>IF(OR($AB477="",$AB477="R"),"",ROUND($E477-$F477,2))</f>
        <v/>
      </c>
      <c r="H477" s="32">
        <f>IF($AB477="G",SUM($AH$8:$AH$407),IF(OR($AB477="",$AB477="R"),"",IF($AB477="D",INDEX($AH$8:$AH$407,$AA477),SUMIF($T$8:$T$407,INDEX($T$8:$T$407,$AA477),$AH$8:$AH$407))))</f>
        <v/>
      </c>
      <c r="AA477">
        <f>IFERROR(MATCH(470,$X$8:$X$407,1),"")</f>
        <v/>
      </c>
      <c r="AB477">
        <f>IF(470=$AD$1+1,"G",IF($AA477="","",IF(INDEX($Q$8:$Q$407,$AA477)="","",IF(470&gt;INDEX($X$8:$X$407,$AA477)+INDEX($V$8:$V$407,$AA477)+INDEX($W$8:$W$407,$AA477),"",IF(470=INDEX($X$8:$X$407,$AA477)+INDEX($V$8:$V$407,$AA477)+INDEX($W$8:$W$407,$AA477),"D",IF(AND(INDEX($W$8:$W$407,$AA477)=1,470=INDEX($X$8:$X$407,$AA477)+INDEX($V$8:$V$407,$AA477)),"S","R"))))))</f>
        <v/>
      </c>
      <c r="AC477">
        <f>IF(OR($AB477="",$AB477="G"),"",IF($AB477="D",INDEX($U$8:$U$407,$AA477),IF($AB477="S",INDEX($T$8:$T$407,$AA477)&amp;"|*",INDEX($S$8:$S$407,$AA477)&amp;"|*")))</f>
        <v/>
      </c>
    </row>
    <row r="478" ht="21" customHeight="1" s="66">
      <c r="A478" s="3">
        <f>IF($AB478="G","ผลรวมทั้งหมด",IF($AB478="R",INDEX($S$8:$S$407,$AA478),""))</f>
        <v/>
      </c>
      <c r="B478" s="3">
        <f>IF($AB478="S",INDEX($Y$8:$Y$407,$AA478),"")</f>
        <v/>
      </c>
      <c r="C478" s="68">
        <f>IF($AB478="D",INDEX($Z$8:$Z$407,$AA478),"")</f>
        <v/>
      </c>
      <c r="D478" s="31">
        <f>IF($AB478="G",SUM($AE$8:$AE$407),IF(OR($AB478="",$AB478="R"),"",IF($AB478="D",INDEX($AE$8:$AE$407,$AA478),SUMIF($T$8:$T$407,INDEX($T$8:$T$407,$AA478),$AE$8:$AE$407))))</f>
        <v/>
      </c>
      <c r="E478" s="32">
        <f>IF(471=$AD$1+3,"ขอแสดงความนับถือ",IF(471=$AD$1+6,"(                 )",IF(471=$AD$1+7,"เจ้าหน้าที่ขนส่ง",IF($AB478="G",SUM($AF$8:$AF$407),IF(OR($AB478="",$AB478="R"),"",IF($AB478="D",INDEX($AF$8:$AF$407,$AA478),SUMIF($T$8:$T$407,INDEX($T$8:$T$407,$AA478),$AF$8:$AF$407)))))))</f>
        <v/>
      </c>
      <c r="F478" s="32">
        <f>IF($AB478="G",SUM($AG$8:$AG$407),IF(OR($AB478="",$AB478="R"),"",IF($AB478="D",INDEX($AG$8:$AG$407,$AA478),SUMIF($T$8:$T$407,INDEX($T$8:$T$407,$AA478),$AG$8:$AG$407))))</f>
        <v/>
      </c>
      <c r="G478" s="32">
        <f>IF(OR($AB478="",$AB478="R"),"",ROUND($E478-$F478,2))</f>
        <v/>
      </c>
      <c r="H478" s="32">
        <f>IF($AB478="G",SUM($AH$8:$AH$407),IF(OR($AB478="",$AB478="R"),"",IF($AB478="D",INDEX($AH$8:$AH$407,$AA478),SUMIF($T$8:$T$407,INDEX($T$8:$T$407,$AA478),$AH$8:$AH$407))))</f>
        <v/>
      </c>
      <c r="AA478">
        <f>IFERROR(MATCH(471,$X$8:$X$407,1),"")</f>
        <v/>
      </c>
      <c r="AB478">
        <f>IF(471=$AD$1+1,"G",IF($AA478="","",IF(INDEX($Q$8:$Q$407,$AA478)="","",IF(471&gt;INDEX($X$8:$X$407,$AA478)+INDEX($V$8:$V$407,$AA478)+INDEX($W$8:$W$407,$AA478),"",IF(471=INDEX($X$8:$X$407,$AA478)+INDEX($V$8:$V$407,$AA478)+INDEX($W$8:$W$407,$AA478),"D",IF(AND(INDEX($W$8:$W$407,$AA478)=1,471=INDEX($X$8:$X$407,$AA478)+INDEX($V$8:$V$407,$AA478)),"S","R"))))))</f>
        <v/>
      </c>
      <c r="AC478">
        <f>IF(OR($AB478="",$AB478="G"),"",IF($AB478="D",INDEX($U$8:$U$407,$AA478),IF($AB478="S",INDEX($T$8:$T$407,$AA478)&amp;"|*",INDEX($S$8:$S$407,$AA478)&amp;"|*")))</f>
        <v/>
      </c>
    </row>
    <row r="479" ht="21" customHeight="1" s="66">
      <c r="A479" s="3">
        <f>IF($AB479="G","ผลรวมทั้งหมด",IF($AB479="R",INDEX($S$8:$S$407,$AA479),""))</f>
        <v/>
      </c>
      <c r="B479" s="3">
        <f>IF($AB479="S",INDEX($Y$8:$Y$407,$AA479),"")</f>
        <v/>
      </c>
      <c r="C479" s="68">
        <f>IF($AB479="D",INDEX($Z$8:$Z$407,$AA479),"")</f>
        <v/>
      </c>
      <c r="D479" s="31">
        <f>IF($AB479="G",SUM($AE$8:$AE$407),IF(OR($AB479="",$AB479="R"),"",IF($AB479="D",INDEX($AE$8:$AE$407,$AA479),SUMIF($T$8:$T$407,INDEX($T$8:$T$407,$AA479),$AE$8:$AE$407))))</f>
        <v/>
      </c>
      <c r="E479" s="32">
        <f>IF(472=$AD$1+3,"ขอแสดงความนับถือ",IF(472=$AD$1+6,"(                 )",IF(472=$AD$1+7,"เจ้าหน้าที่ขนส่ง",IF($AB479="G",SUM($AF$8:$AF$407),IF(OR($AB479="",$AB479="R"),"",IF($AB479="D",INDEX($AF$8:$AF$407,$AA479),SUMIF($T$8:$T$407,INDEX($T$8:$T$407,$AA479),$AF$8:$AF$407)))))))</f>
        <v/>
      </c>
      <c r="F479" s="32">
        <f>IF($AB479="G",SUM($AG$8:$AG$407),IF(OR($AB479="",$AB479="R"),"",IF($AB479="D",INDEX($AG$8:$AG$407,$AA479),SUMIF($T$8:$T$407,INDEX($T$8:$T$407,$AA479),$AG$8:$AG$407))))</f>
        <v/>
      </c>
      <c r="G479" s="32">
        <f>IF(OR($AB479="",$AB479="R"),"",ROUND($E479-$F479,2))</f>
        <v/>
      </c>
      <c r="H479" s="32">
        <f>IF($AB479="G",SUM($AH$8:$AH$407),IF(OR($AB479="",$AB479="R"),"",IF($AB479="D",INDEX($AH$8:$AH$407,$AA479),SUMIF($T$8:$T$407,INDEX($T$8:$T$407,$AA479),$AH$8:$AH$407))))</f>
        <v/>
      </c>
      <c r="AA479">
        <f>IFERROR(MATCH(472,$X$8:$X$407,1),"")</f>
        <v/>
      </c>
      <c r="AB479">
        <f>IF(472=$AD$1+1,"G",IF($AA479="","",IF(INDEX($Q$8:$Q$407,$AA479)="","",IF(472&gt;INDEX($X$8:$X$407,$AA479)+INDEX($V$8:$V$407,$AA479)+INDEX($W$8:$W$407,$AA479),"",IF(472=INDEX($X$8:$X$407,$AA479)+INDEX($V$8:$V$407,$AA479)+INDEX($W$8:$W$407,$AA479),"D",IF(AND(INDEX($W$8:$W$407,$AA479)=1,472=INDEX($X$8:$X$407,$AA479)+INDEX($V$8:$V$407,$AA479)),"S","R"))))))</f>
        <v/>
      </c>
      <c r="AC479">
        <f>IF(OR($AB479="",$AB479="G"),"",IF($AB479="D",INDEX($U$8:$U$407,$AA479),IF($AB479="S",INDEX($T$8:$T$407,$AA479)&amp;"|*",INDEX($S$8:$S$407,$AA479)&amp;"|*")))</f>
        <v/>
      </c>
    </row>
    <row r="480" ht="21" customHeight="1" s="66">
      <c r="A480" s="3">
        <f>IF($AB480="G","ผลรวมทั้งหมด",IF($AB480="R",INDEX($S$8:$S$407,$AA480),""))</f>
        <v/>
      </c>
      <c r="B480" s="3">
        <f>IF($AB480="S",INDEX($Y$8:$Y$407,$AA480),"")</f>
        <v/>
      </c>
      <c r="C480" s="68">
        <f>IF($AB480="D",INDEX($Z$8:$Z$407,$AA480),"")</f>
        <v/>
      </c>
      <c r="D480" s="31">
        <f>IF($AB480="G",SUM($AE$8:$AE$407),IF(OR($AB480="",$AB480="R"),"",IF($AB480="D",INDEX($AE$8:$AE$407,$AA480),SUMIF($T$8:$T$407,INDEX($T$8:$T$407,$AA480),$AE$8:$AE$407))))</f>
        <v/>
      </c>
      <c r="E480" s="32">
        <f>IF(473=$AD$1+3,"ขอแสดงความนับถือ",IF(473=$AD$1+6,"(                 )",IF(473=$AD$1+7,"เจ้าหน้าที่ขนส่ง",IF($AB480="G",SUM($AF$8:$AF$407),IF(OR($AB480="",$AB480="R"),"",IF($AB480="D",INDEX($AF$8:$AF$407,$AA480),SUMIF($T$8:$T$407,INDEX($T$8:$T$407,$AA480),$AF$8:$AF$407)))))))</f>
        <v/>
      </c>
      <c r="F480" s="32">
        <f>IF($AB480="G",SUM($AG$8:$AG$407),IF(OR($AB480="",$AB480="R"),"",IF($AB480="D",INDEX($AG$8:$AG$407,$AA480),SUMIF($T$8:$T$407,INDEX($T$8:$T$407,$AA480),$AG$8:$AG$407))))</f>
        <v/>
      </c>
      <c r="G480" s="32">
        <f>IF(OR($AB480="",$AB480="R"),"",ROUND($E480-$F480,2))</f>
        <v/>
      </c>
      <c r="H480" s="32">
        <f>IF($AB480="G",SUM($AH$8:$AH$407),IF(OR($AB480="",$AB480="R"),"",IF($AB480="D",INDEX($AH$8:$AH$407,$AA480),SUMIF($T$8:$T$407,INDEX($T$8:$T$407,$AA480),$AH$8:$AH$407))))</f>
        <v/>
      </c>
      <c r="AA480">
        <f>IFERROR(MATCH(473,$X$8:$X$407,1),"")</f>
        <v/>
      </c>
      <c r="AB480">
        <f>IF(473=$AD$1+1,"G",IF($AA480="","",IF(INDEX($Q$8:$Q$407,$AA480)="","",IF(473&gt;INDEX($X$8:$X$407,$AA480)+INDEX($V$8:$V$407,$AA480)+INDEX($W$8:$W$407,$AA480),"",IF(473=INDEX($X$8:$X$407,$AA480)+INDEX($V$8:$V$407,$AA480)+INDEX($W$8:$W$407,$AA480),"D",IF(AND(INDEX($W$8:$W$407,$AA480)=1,473=INDEX($X$8:$X$407,$AA480)+INDEX($V$8:$V$407,$AA480)),"S","R"))))))</f>
        <v/>
      </c>
      <c r="AC480">
        <f>IF(OR($AB480="",$AB480="G"),"",IF($AB480="D",INDEX($U$8:$U$407,$AA480),IF($AB480="S",INDEX($T$8:$T$407,$AA480)&amp;"|*",INDEX($S$8:$S$407,$AA480)&amp;"|*")))</f>
        <v/>
      </c>
    </row>
    <row r="481" ht="21" customHeight="1" s="66">
      <c r="A481" s="3">
        <f>IF($AB481="G","ผลรวมทั้งหมด",IF($AB481="R",INDEX($S$8:$S$407,$AA481),""))</f>
        <v/>
      </c>
      <c r="B481" s="3">
        <f>IF($AB481="S",INDEX($Y$8:$Y$407,$AA481),"")</f>
        <v/>
      </c>
      <c r="C481" s="68">
        <f>IF($AB481="D",INDEX($Z$8:$Z$407,$AA481),"")</f>
        <v/>
      </c>
      <c r="D481" s="31">
        <f>IF($AB481="G",SUM($AE$8:$AE$407),IF(OR($AB481="",$AB481="R"),"",IF($AB481="D",INDEX($AE$8:$AE$407,$AA481),SUMIF($T$8:$T$407,INDEX($T$8:$T$407,$AA481),$AE$8:$AE$407))))</f>
        <v/>
      </c>
      <c r="E481" s="32">
        <f>IF(474=$AD$1+3,"ขอแสดงความนับถือ",IF(474=$AD$1+6,"(                 )",IF(474=$AD$1+7,"เจ้าหน้าที่ขนส่ง",IF($AB481="G",SUM($AF$8:$AF$407),IF(OR($AB481="",$AB481="R"),"",IF($AB481="D",INDEX($AF$8:$AF$407,$AA481),SUMIF($T$8:$T$407,INDEX($T$8:$T$407,$AA481),$AF$8:$AF$407)))))))</f>
        <v/>
      </c>
      <c r="F481" s="32">
        <f>IF($AB481="G",SUM($AG$8:$AG$407),IF(OR($AB481="",$AB481="R"),"",IF($AB481="D",INDEX($AG$8:$AG$407,$AA481),SUMIF($T$8:$T$407,INDEX($T$8:$T$407,$AA481),$AG$8:$AG$407))))</f>
        <v/>
      </c>
      <c r="G481" s="32">
        <f>IF(OR($AB481="",$AB481="R"),"",ROUND($E481-$F481,2))</f>
        <v/>
      </c>
      <c r="H481" s="32">
        <f>IF($AB481="G",SUM($AH$8:$AH$407),IF(OR($AB481="",$AB481="R"),"",IF($AB481="D",INDEX($AH$8:$AH$407,$AA481),SUMIF($T$8:$T$407,INDEX($T$8:$T$407,$AA481),$AH$8:$AH$407))))</f>
        <v/>
      </c>
      <c r="AA481">
        <f>IFERROR(MATCH(474,$X$8:$X$407,1),"")</f>
        <v/>
      </c>
      <c r="AB481">
        <f>IF(474=$AD$1+1,"G",IF($AA481="","",IF(INDEX($Q$8:$Q$407,$AA481)="","",IF(474&gt;INDEX($X$8:$X$407,$AA481)+INDEX($V$8:$V$407,$AA481)+INDEX($W$8:$W$407,$AA481),"",IF(474=INDEX($X$8:$X$407,$AA481)+INDEX($V$8:$V$407,$AA481)+INDEX($W$8:$W$407,$AA481),"D",IF(AND(INDEX($W$8:$W$407,$AA481)=1,474=INDEX($X$8:$X$407,$AA481)+INDEX($V$8:$V$407,$AA481)),"S","R"))))))</f>
        <v/>
      </c>
      <c r="AC481">
        <f>IF(OR($AB481="",$AB481="G"),"",IF($AB481="D",INDEX($U$8:$U$407,$AA481),IF($AB481="S",INDEX($T$8:$T$407,$AA481)&amp;"|*",INDEX($S$8:$S$407,$AA481)&amp;"|*")))</f>
        <v/>
      </c>
    </row>
    <row r="482" ht="21" customHeight="1" s="66">
      <c r="A482" s="3">
        <f>IF($AB482="G","ผลรวมทั้งหมด",IF($AB482="R",INDEX($S$8:$S$407,$AA482),""))</f>
        <v/>
      </c>
      <c r="B482" s="3">
        <f>IF($AB482="S",INDEX($Y$8:$Y$407,$AA482),"")</f>
        <v/>
      </c>
      <c r="C482" s="68">
        <f>IF($AB482="D",INDEX($Z$8:$Z$407,$AA482),"")</f>
        <v/>
      </c>
      <c r="D482" s="31">
        <f>IF($AB482="G",SUM($AE$8:$AE$407),IF(OR($AB482="",$AB482="R"),"",IF($AB482="D",INDEX($AE$8:$AE$407,$AA482),SUMIF($T$8:$T$407,INDEX($T$8:$T$407,$AA482),$AE$8:$AE$407))))</f>
        <v/>
      </c>
      <c r="E482" s="32">
        <f>IF(475=$AD$1+3,"ขอแสดงความนับถือ",IF(475=$AD$1+6,"(                 )",IF(475=$AD$1+7,"เจ้าหน้าที่ขนส่ง",IF($AB482="G",SUM($AF$8:$AF$407),IF(OR($AB482="",$AB482="R"),"",IF($AB482="D",INDEX($AF$8:$AF$407,$AA482),SUMIF($T$8:$T$407,INDEX($T$8:$T$407,$AA482),$AF$8:$AF$407)))))))</f>
        <v/>
      </c>
      <c r="F482" s="32">
        <f>IF($AB482="G",SUM($AG$8:$AG$407),IF(OR($AB482="",$AB482="R"),"",IF($AB482="D",INDEX($AG$8:$AG$407,$AA482),SUMIF($T$8:$T$407,INDEX($T$8:$T$407,$AA482),$AG$8:$AG$407))))</f>
        <v/>
      </c>
      <c r="G482" s="32">
        <f>IF(OR($AB482="",$AB482="R"),"",ROUND($E482-$F482,2))</f>
        <v/>
      </c>
      <c r="H482" s="32">
        <f>IF($AB482="G",SUM($AH$8:$AH$407),IF(OR($AB482="",$AB482="R"),"",IF($AB482="D",INDEX($AH$8:$AH$407,$AA482),SUMIF($T$8:$T$407,INDEX($T$8:$T$407,$AA482),$AH$8:$AH$407))))</f>
        <v/>
      </c>
      <c r="AA482">
        <f>IFERROR(MATCH(475,$X$8:$X$407,1),"")</f>
        <v/>
      </c>
      <c r="AB482">
        <f>IF(475=$AD$1+1,"G",IF($AA482="","",IF(INDEX($Q$8:$Q$407,$AA482)="","",IF(475&gt;INDEX($X$8:$X$407,$AA482)+INDEX($V$8:$V$407,$AA482)+INDEX($W$8:$W$407,$AA482),"",IF(475=INDEX($X$8:$X$407,$AA482)+INDEX($V$8:$V$407,$AA482)+INDEX($W$8:$W$407,$AA482),"D",IF(AND(INDEX($W$8:$W$407,$AA482)=1,475=INDEX($X$8:$X$407,$AA482)+INDEX($V$8:$V$407,$AA482)),"S","R"))))))</f>
        <v/>
      </c>
      <c r="AC482">
        <f>IF(OR($AB482="",$AB482="G"),"",IF($AB482="D",INDEX($U$8:$U$407,$AA482),IF($AB482="S",INDEX($T$8:$T$407,$AA482)&amp;"|*",INDEX($S$8:$S$407,$AA482)&amp;"|*")))</f>
        <v/>
      </c>
    </row>
    <row r="483" ht="21" customHeight="1" s="66">
      <c r="A483" s="3">
        <f>IF($AB483="G","ผลรวมทั้งหมด",IF($AB483="R",INDEX($S$8:$S$407,$AA483),""))</f>
        <v/>
      </c>
      <c r="B483" s="3">
        <f>IF($AB483="S",INDEX($Y$8:$Y$407,$AA483),"")</f>
        <v/>
      </c>
      <c r="C483" s="68">
        <f>IF($AB483="D",INDEX($Z$8:$Z$407,$AA483),"")</f>
        <v/>
      </c>
      <c r="D483" s="31">
        <f>IF($AB483="G",SUM($AE$8:$AE$407),IF(OR($AB483="",$AB483="R"),"",IF($AB483="D",INDEX($AE$8:$AE$407,$AA483),SUMIF($T$8:$T$407,INDEX($T$8:$T$407,$AA483),$AE$8:$AE$407))))</f>
        <v/>
      </c>
      <c r="E483" s="32">
        <f>IF(476=$AD$1+3,"ขอแสดงความนับถือ",IF(476=$AD$1+6,"(                 )",IF(476=$AD$1+7,"เจ้าหน้าที่ขนส่ง",IF($AB483="G",SUM($AF$8:$AF$407),IF(OR($AB483="",$AB483="R"),"",IF($AB483="D",INDEX($AF$8:$AF$407,$AA483),SUMIF($T$8:$T$407,INDEX($T$8:$T$407,$AA483),$AF$8:$AF$407)))))))</f>
        <v/>
      </c>
      <c r="F483" s="32">
        <f>IF($AB483="G",SUM($AG$8:$AG$407),IF(OR($AB483="",$AB483="R"),"",IF($AB483="D",INDEX($AG$8:$AG$407,$AA483),SUMIF($T$8:$T$407,INDEX($T$8:$T$407,$AA483),$AG$8:$AG$407))))</f>
        <v/>
      </c>
      <c r="G483" s="32">
        <f>IF(OR($AB483="",$AB483="R"),"",ROUND($E483-$F483,2))</f>
        <v/>
      </c>
      <c r="H483" s="32">
        <f>IF($AB483="G",SUM($AH$8:$AH$407),IF(OR($AB483="",$AB483="R"),"",IF($AB483="D",INDEX($AH$8:$AH$407,$AA483),SUMIF($T$8:$T$407,INDEX($T$8:$T$407,$AA483),$AH$8:$AH$407))))</f>
        <v/>
      </c>
      <c r="AA483">
        <f>IFERROR(MATCH(476,$X$8:$X$407,1),"")</f>
        <v/>
      </c>
      <c r="AB483">
        <f>IF(476=$AD$1+1,"G",IF($AA483="","",IF(INDEX($Q$8:$Q$407,$AA483)="","",IF(476&gt;INDEX($X$8:$X$407,$AA483)+INDEX($V$8:$V$407,$AA483)+INDEX($W$8:$W$407,$AA483),"",IF(476=INDEX($X$8:$X$407,$AA483)+INDEX($V$8:$V$407,$AA483)+INDEX($W$8:$W$407,$AA483),"D",IF(AND(INDEX($W$8:$W$407,$AA483)=1,476=INDEX($X$8:$X$407,$AA483)+INDEX($V$8:$V$407,$AA483)),"S","R"))))))</f>
        <v/>
      </c>
      <c r="AC483">
        <f>IF(OR($AB483="",$AB483="G"),"",IF($AB483="D",INDEX($U$8:$U$407,$AA483),IF($AB483="S",INDEX($T$8:$T$407,$AA483)&amp;"|*",INDEX($S$8:$S$407,$AA483)&amp;"|*")))</f>
        <v/>
      </c>
    </row>
    <row r="484" ht="21" customHeight="1" s="66">
      <c r="A484" s="3">
        <f>IF($AB484="G","ผลรวมทั้งหมด",IF($AB484="R",INDEX($S$8:$S$407,$AA484),""))</f>
        <v/>
      </c>
      <c r="B484" s="3">
        <f>IF($AB484="S",INDEX($Y$8:$Y$407,$AA484),"")</f>
        <v/>
      </c>
      <c r="C484" s="68">
        <f>IF($AB484="D",INDEX($Z$8:$Z$407,$AA484),"")</f>
        <v/>
      </c>
      <c r="D484" s="31">
        <f>IF($AB484="G",SUM($AE$8:$AE$407),IF(OR($AB484="",$AB484="R"),"",IF($AB484="D",INDEX($AE$8:$AE$407,$AA484),SUMIF($T$8:$T$407,INDEX($T$8:$T$407,$AA484),$AE$8:$AE$407))))</f>
        <v/>
      </c>
      <c r="E484" s="32">
        <f>IF(477=$AD$1+3,"ขอแสดงความนับถือ",IF(477=$AD$1+6,"(                 )",IF(477=$AD$1+7,"เจ้าหน้าที่ขนส่ง",IF($AB484="G",SUM($AF$8:$AF$407),IF(OR($AB484="",$AB484="R"),"",IF($AB484="D",INDEX($AF$8:$AF$407,$AA484),SUMIF($T$8:$T$407,INDEX($T$8:$T$407,$AA484),$AF$8:$AF$407)))))))</f>
        <v/>
      </c>
      <c r="F484" s="32">
        <f>IF($AB484="G",SUM($AG$8:$AG$407),IF(OR($AB484="",$AB484="R"),"",IF($AB484="D",INDEX($AG$8:$AG$407,$AA484),SUMIF($T$8:$T$407,INDEX($T$8:$T$407,$AA484),$AG$8:$AG$407))))</f>
        <v/>
      </c>
      <c r="G484" s="32">
        <f>IF(OR($AB484="",$AB484="R"),"",ROUND($E484-$F484,2))</f>
        <v/>
      </c>
      <c r="H484" s="32">
        <f>IF($AB484="G",SUM($AH$8:$AH$407),IF(OR($AB484="",$AB484="R"),"",IF($AB484="D",INDEX($AH$8:$AH$407,$AA484),SUMIF($T$8:$T$407,INDEX($T$8:$T$407,$AA484),$AH$8:$AH$407))))</f>
        <v/>
      </c>
      <c r="AA484">
        <f>IFERROR(MATCH(477,$X$8:$X$407,1),"")</f>
        <v/>
      </c>
      <c r="AB484">
        <f>IF(477=$AD$1+1,"G",IF($AA484="","",IF(INDEX($Q$8:$Q$407,$AA484)="","",IF(477&gt;INDEX($X$8:$X$407,$AA484)+INDEX($V$8:$V$407,$AA484)+INDEX($W$8:$W$407,$AA484),"",IF(477=INDEX($X$8:$X$407,$AA484)+INDEX($V$8:$V$407,$AA484)+INDEX($W$8:$W$407,$AA484),"D",IF(AND(INDEX($W$8:$W$407,$AA484)=1,477=INDEX($X$8:$X$407,$AA484)+INDEX($V$8:$V$407,$AA484)),"S","R"))))))</f>
        <v/>
      </c>
      <c r="AC484">
        <f>IF(OR($AB484="",$AB484="G"),"",IF($AB484="D",INDEX($U$8:$U$407,$AA484),IF($AB484="S",INDEX($T$8:$T$407,$AA484)&amp;"|*",INDEX($S$8:$S$407,$AA484)&amp;"|*")))</f>
        <v/>
      </c>
    </row>
    <row r="485" ht="21" customHeight="1" s="66">
      <c r="A485" s="3">
        <f>IF($AB485="G","ผลรวมทั้งหมด",IF($AB485="R",INDEX($S$8:$S$407,$AA485),""))</f>
        <v/>
      </c>
      <c r="B485" s="3">
        <f>IF($AB485="S",INDEX($Y$8:$Y$407,$AA485),"")</f>
        <v/>
      </c>
      <c r="C485" s="68">
        <f>IF($AB485="D",INDEX($Z$8:$Z$407,$AA485),"")</f>
        <v/>
      </c>
      <c r="D485" s="31">
        <f>IF($AB485="G",SUM($AE$8:$AE$407),IF(OR($AB485="",$AB485="R"),"",IF($AB485="D",INDEX($AE$8:$AE$407,$AA485),SUMIF($T$8:$T$407,INDEX($T$8:$T$407,$AA485),$AE$8:$AE$407))))</f>
        <v/>
      </c>
      <c r="E485" s="32">
        <f>IF(478=$AD$1+3,"ขอแสดงความนับถือ",IF(478=$AD$1+6,"(                 )",IF(478=$AD$1+7,"เจ้าหน้าที่ขนส่ง",IF($AB485="G",SUM($AF$8:$AF$407),IF(OR($AB485="",$AB485="R"),"",IF($AB485="D",INDEX($AF$8:$AF$407,$AA485),SUMIF($T$8:$T$407,INDEX($T$8:$T$407,$AA485),$AF$8:$AF$407)))))))</f>
        <v/>
      </c>
      <c r="F485" s="32">
        <f>IF($AB485="G",SUM($AG$8:$AG$407),IF(OR($AB485="",$AB485="R"),"",IF($AB485="D",INDEX($AG$8:$AG$407,$AA485),SUMIF($T$8:$T$407,INDEX($T$8:$T$407,$AA485),$AG$8:$AG$407))))</f>
        <v/>
      </c>
      <c r="G485" s="32">
        <f>IF(OR($AB485="",$AB485="R"),"",ROUND($E485-$F485,2))</f>
        <v/>
      </c>
      <c r="H485" s="32">
        <f>IF($AB485="G",SUM($AH$8:$AH$407),IF(OR($AB485="",$AB485="R"),"",IF($AB485="D",INDEX($AH$8:$AH$407,$AA485),SUMIF($T$8:$T$407,INDEX($T$8:$T$407,$AA485),$AH$8:$AH$407))))</f>
        <v/>
      </c>
      <c r="AA485">
        <f>IFERROR(MATCH(478,$X$8:$X$407,1),"")</f>
        <v/>
      </c>
      <c r="AB485">
        <f>IF(478=$AD$1+1,"G",IF($AA485="","",IF(INDEX($Q$8:$Q$407,$AA485)="","",IF(478&gt;INDEX($X$8:$X$407,$AA485)+INDEX($V$8:$V$407,$AA485)+INDEX($W$8:$W$407,$AA485),"",IF(478=INDEX($X$8:$X$407,$AA485)+INDEX($V$8:$V$407,$AA485)+INDEX($W$8:$W$407,$AA485),"D",IF(AND(INDEX($W$8:$W$407,$AA485)=1,478=INDEX($X$8:$X$407,$AA485)+INDEX($V$8:$V$407,$AA485)),"S","R"))))))</f>
        <v/>
      </c>
      <c r="AC485">
        <f>IF(OR($AB485="",$AB485="G"),"",IF($AB485="D",INDEX($U$8:$U$407,$AA485),IF($AB485="S",INDEX($T$8:$T$407,$AA485)&amp;"|*",INDEX($S$8:$S$407,$AA485)&amp;"|*")))</f>
        <v/>
      </c>
    </row>
    <row r="486" ht="21" customHeight="1" s="66">
      <c r="A486" s="3">
        <f>IF($AB486="G","ผลรวมทั้งหมด",IF($AB486="R",INDEX($S$8:$S$407,$AA486),""))</f>
        <v/>
      </c>
      <c r="B486" s="3">
        <f>IF($AB486="S",INDEX($Y$8:$Y$407,$AA486),"")</f>
        <v/>
      </c>
      <c r="C486" s="68">
        <f>IF($AB486="D",INDEX($Z$8:$Z$407,$AA486),"")</f>
        <v/>
      </c>
      <c r="D486" s="31">
        <f>IF($AB486="G",SUM($AE$8:$AE$407),IF(OR($AB486="",$AB486="R"),"",IF($AB486="D",INDEX($AE$8:$AE$407,$AA486),SUMIF($T$8:$T$407,INDEX($T$8:$T$407,$AA486),$AE$8:$AE$407))))</f>
        <v/>
      </c>
      <c r="E486" s="32">
        <f>IF(479=$AD$1+3,"ขอแสดงความนับถือ",IF(479=$AD$1+6,"(                 )",IF(479=$AD$1+7,"เจ้าหน้าที่ขนส่ง",IF($AB486="G",SUM($AF$8:$AF$407),IF(OR($AB486="",$AB486="R"),"",IF($AB486="D",INDEX($AF$8:$AF$407,$AA486),SUMIF($T$8:$T$407,INDEX($T$8:$T$407,$AA486),$AF$8:$AF$407)))))))</f>
        <v/>
      </c>
      <c r="F486" s="32">
        <f>IF($AB486="G",SUM($AG$8:$AG$407),IF(OR($AB486="",$AB486="R"),"",IF($AB486="D",INDEX($AG$8:$AG$407,$AA486),SUMIF($T$8:$T$407,INDEX($T$8:$T$407,$AA486),$AG$8:$AG$407))))</f>
        <v/>
      </c>
      <c r="G486" s="32">
        <f>IF(OR($AB486="",$AB486="R"),"",ROUND($E486-$F486,2))</f>
        <v/>
      </c>
      <c r="H486" s="32">
        <f>IF($AB486="G",SUM($AH$8:$AH$407),IF(OR($AB486="",$AB486="R"),"",IF($AB486="D",INDEX($AH$8:$AH$407,$AA486),SUMIF($T$8:$T$407,INDEX($T$8:$T$407,$AA486),$AH$8:$AH$407))))</f>
        <v/>
      </c>
      <c r="AA486">
        <f>IFERROR(MATCH(479,$X$8:$X$407,1),"")</f>
        <v/>
      </c>
      <c r="AB486">
        <f>IF(479=$AD$1+1,"G",IF($AA486="","",IF(INDEX($Q$8:$Q$407,$AA486)="","",IF(479&gt;INDEX($X$8:$X$407,$AA486)+INDEX($V$8:$V$407,$AA486)+INDEX($W$8:$W$407,$AA486),"",IF(479=INDEX($X$8:$X$407,$AA486)+INDEX($V$8:$V$407,$AA486)+INDEX($W$8:$W$407,$AA486),"D",IF(AND(INDEX($W$8:$W$407,$AA486)=1,479=INDEX($X$8:$X$407,$AA486)+INDEX($V$8:$V$407,$AA486)),"S","R"))))))</f>
        <v/>
      </c>
      <c r="AC486">
        <f>IF(OR($AB486="",$AB486="G"),"",IF($AB486="D",INDEX($U$8:$U$407,$AA486),IF($AB486="S",INDEX($T$8:$T$407,$AA486)&amp;"|*",INDEX($S$8:$S$407,$AA486)&amp;"|*")))</f>
        <v/>
      </c>
    </row>
    <row r="487" ht="21" customHeight="1" s="66">
      <c r="A487" s="3">
        <f>IF($AB487="G","ผลรวมทั้งหมด",IF($AB487="R",INDEX($S$8:$S$407,$AA487),""))</f>
        <v/>
      </c>
      <c r="B487" s="3">
        <f>IF($AB487="S",INDEX($Y$8:$Y$407,$AA487),"")</f>
        <v/>
      </c>
      <c r="C487" s="68">
        <f>IF($AB487="D",INDEX($Z$8:$Z$407,$AA487),"")</f>
        <v/>
      </c>
      <c r="D487" s="31">
        <f>IF($AB487="G",SUM($AE$8:$AE$407),IF(OR($AB487="",$AB487="R"),"",IF($AB487="D",INDEX($AE$8:$AE$407,$AA487),SUMIF($T$8:$T$407,INDEX($T$8:$T$407,$AA487),$AE$8:$AE$407))))</f>
        <v/>
      </c>
      <c r="E487" s="32">
        <f>IF(480=$AD$1+3,"ขอแสดงความนับถือ",IF(480=$AD$1+6,"(                 )",IF(480=$AD$1+7,"เจ้าหน้าที่ขนส่ง",IF($AB487="G",SUM($AF$8:$AF$407),IF(OR($AB487="",$AB487="R"),"",IF($AB487="D",INDEX($AF$8:$AF$407,$AA487),SUMIF($T$8:$T$407,INDEX($T$8:$T$407,$AA487),$AF$8:$AF$407)))))))</f>
        <v/>
      </c>
      <c r="F487" s="32">
        <f>IF($AB487="G",SUM($AG$8:$AG$407),IF(OR($AB487="",$AB487="R"),"",IF($AB487="D",INDEX($AG$8:$AG$407,$AA487),SUMIF($T$8:$T$407,INDEX($T$8:$T$407,$AA487),$AG$8:$AG$407))))</f>
        <v/>
      </c>
      <c r="G487" s="32">
        <f>IF(OR($AB487="",$AB487="R"),"",ROUND($E487-$F487,2))</f>
        <v/>
      </c>
      <c r="H487" s="32">
        <f>IF($AB487="G",SUM($AH$8:$AH$407),IF(OR($AB487="",$AB487="R"),"",IF($AB487="D",INDEX($AH$8:$AH$407,$AA487),SUMIF($T$8:$T$407,INDEX($T$8:$T$407,$AA487),$AH$8:$AH$407))))</f>
        <v/>
      </c>
      <c r="AA487">
        <f>IFERROR(MATCH(480,$X$8:$X$407,1),"")</f>
        <v/>
      </c>
      <c r="AB487">
        <f>IF(480=$AD$1+1,"G",IF($AA487="","",IF(INDEX($Q$8:$Q$407,$AA487)="","",IF(480&gt;INDEX($X$8:$X$407,$AA487)+INDEX($V$8:$V$407,$AA487)+INDEX($W$8:$W$407,$AA487),"",IF(480=INDEX($X$8:$X$407,$AA487)+INDEX($V$8:$V$407,$AA487)+INDEX($W$8:$W$407,$AA487),"D",IF(AND(INDEX($W$8:$W$407,$AA487)=1,480=INDEX($X$8:$X$407,$AA487)+INDEX($V$8:$V$407,$AA487)),"S","R"))))))</f>
        <v/>
      </c>
      <c r="AC487">
        <f>IF(OR($AB487="",$AB487="G"),"",IF($AB487="D",INDEX($U$8:$U$407,$AA487),IF($AB487="S",INDEX($T$8:$T$407,$AA487)&amp;"|*",INDEX($S$8:$S$407,$AA487)&amp;"|*")))</f>
        <v/>
      </c>
    </row>
    <row r="488" ht="21" customHeight="1" s="66">
      <c r="A488" s="3">
        <f>IF($AB488="G","ผลรวมทั้งหมด",IF($AB488="R",INDEX($S$8:$S$407,$AA488),""))</f>
        <v/>
      </c>
      <c r="B488" s="3">
        <f>IF($AB488="S",INDEX($Y$8:$Y$407,$AA488),"")</f>
        <v/>
      </c>
      <c r="C488" s="68">
        <f>IF($AB488="D",INDEX($Z$8:$Z$407,$AA488),"")</f>
        <v/>
      </c>
      <c r="D488" s="31">
        <f>IF($AB488="G",SUM($AE$8:$AE$407),IF(OR($AB488="",$AB488="R"),"",IF($AB488="D",INDEX($AE$8:$AE$407,$AA488),SUMIF($T$8:$T$407,INDEX($T$8:$T$407,$AA488),$AE$8:$AE$407))))</f>
        <v/>
      </c>
      <c r="E488" s="32">
        <f>IF(481=$AD$1+3,"ขอแสดงความนับถือ",IF(481=$AD$1+6,"(                 )",IF(481=$AD$1+7,"เจ้าหน้าที่ขนส่ง",IF($AB488="G",SUM($AF$8:$AF$407),IF(OR($AB488="",$AB488="R"),"",IF($AB488="D",INDEX($AF$8:$AF$407,$AA488),SUMIF($T$8:$T$407,INDEX($T$8:$T$407,$AA488),$AF$8:$AF$407)))))))</f>
        <v/>
      </c>
      <c r="F488" s="32">
        <f>IF($AB488="G",SUM($AG$8:$AG$407),IF(OR($AB488="",$AB488="R"),"",IF($AB488="D",INDEX($AG$8:$AG$407,$AA488),SUMIF($T$8:$T$407,INDEX($T$8:$T$407,$AA488),$AG$8:$AG$407))))</f>
        <v/>
      </c>
      <c r="G488" s="32">
        <f>IF(OR($AB488="",$AB488="R"),"",ROUND($E488-$F488,2))</f>
        <v/>
      </c>
      <c r="H488" s="32">
        <f>IF($AB488="G",SUM($AH$8:$AH$407),IF(OR($AB488="",$AB488="R"),"",IF($AB488="D",INDEX($AH$8:$AH$407,$AA488),SUMIF($T$8:$T$407,INDEX($T$8:$T$407,$AA488),$AH$8:$AH$407))))</f>
        <v/>
      </c>
      <c r="AA488">
        <f>IFERROR(MATCH(481,$X$8:$X$407,1),"")</f>
        <v/>
      </c>
      <c r="AB488">
        <f>IF(481=$AD$1+1,"G",IF($AA488="","",IF(INDEX($Q$8:$Q$407,$AA488)="","",IF(481&gt;INDEX($X$8:$X$407,$AA488)+INDEX($V$8:$V$407,$AA488)+INDEX($W$8:$W$407,$AA488),"",IF(481=INDEX($X$8:$X$407,$AA488)+INDEX($V$8:$V$407,$AA488)+INDEX($W$8:$W$407,$AA488),"D",IF(AND(INDEX($W$8:$W$407,$AA488)=1,481=INDEX($X$8:$X$407,$AA488)+INDEX($V$8:$V$407,$AA488)),"S","R"))))))</f>
        <v/>
      </c>
      <c r="AC488">
        <f>IF(OR($AB488="",$AB488="G"),"",IF($AB488="D",INDEX($U$8:$U$407,$AA488),IF($AB488="S",INDEX($T$8:$T$407,$AA488)&amp;"|*",INDEX($S$8:$S$407,$AA488)&amp;"|*")))</f>
        <v/>
      </c>
    </row>
    <row r="489" ht="21" customHeight="1" s="66">
      <c r="A489" s="3">
        <f>IF($AB489="G","ผลรวมทั้งหมด",IF($AB489="R",INDEX($S$8:$S$407,$AA489),""))</f>
        <v/>
      </c>
      <c r="B489" s="3">
        <f>IF($AB489="S",INDEX($Y$8:$Y$407,$AA489),"")</f>
        <v/>
      </c>
      <c r="C489" s="68">
        <f>IF($AB489="D",INDEX($Z$8:$Z$407,$AA489),"")</f>
        <v/>
      </c>
      <c r="D489" s="31">
        <f>IF($AB489="G",SUM($AE$8:$AE$407),IF(OR($AB489="",$AB489="R"),"",IF($AB489="D",INDEX($AE$8:$AE$407,$AA489),SUMIF($T$8:$T$407,INDEX($T$8:$T$407,$AA489),$AE$8:$AE$407))))</f>
        <v/>
      </c>
      <c r="E489" s="32">
        <f>IF(482=$AD$1+3,"ขอแสดงความนับถือ",IF(482=$AD$1+6,"(                 )",IF(482=$AD$1+7,"เจ้าหน้าที่ขนส่ง",IF($AB489="G",SUM($AF$8:$AF$407),IF(OR($AB489="",$AB489="R"),"",IF($AB489="D",INDEX($AF$8:$AF$407,$AA489),SUMIF($T$8:$T$407,INDEX($T$8:$T$407,$AA489),$AF$8:$AF$407)))))))</f>
        <v/>
      </c>
      <c r="F489" s="32">
        <f>IF($AB489="G",SUM($AG$8:$AG$407),IF(OR($AB489="",$AB489="R"),"",IF($AB489="D",INDEX($AG$8:$AG$407,$AA489),SUMIF($T$8:$T$407,INDEX($T$8:$T$407,$AA489),$AG$8:$AG$407))))</f>
        <v/>
      </c>
      <c r="G489" s="32">
        <f>IF(OR($AB489="",$AB489="R"),"",ROUND($E489-$F489,2))</f>
        <v/>
      </c>
      <c r="H489" s="32">
        <f>IF($AB489="G",SUM($AH$8:$AH$407),IF(OR($AB489="",$AB489="R"),"",IF($AB489="D",INDEX($AH$8:$AH$407,$AA489),SUMIF($T$8:$T$407,INDEX($T$8:$T$407,$AA489),$AH$8:$AH$407))))</f>
        <v/>
      </c>
      <c r="AA489">
        <f>IFERROR(MATCH(482,$X$8:$X$407,1),"")</f>
        <v/>
      </c>
      <c r="AB489">
        <f>IF(482=$AD$1+1,"G",IF($AA489="","",IF(INDEX($Q$8:$Q$407,$AA489)="","",IF(482&gt;INDEX($X$8:$X$407,$AA489)+INDEX($V$8:$V$407,$AA489)+INDEX($W$8:$W$407,$AA489),"",IF(482=INDEX($X$8:$X$407,$AA489)+INDEX($V$8:$V$407,$AA489)+INDEX($W$8:$W$407,$AA489),"D",IF(AND(INDEX($W$8:$W$407,$AA489)=1,482=INDEX($X$8:$X$407,$AA489)+INDEX($V$8:$V$407,$AA489)),"S","R"))))))</f>
        <v/>
      </c>
      <c r="AC489">
        <f>IF(OR($AB489="",$AB489="G"),"",IF($AB489="D",INDEX($U$8:$U$407,$AA489),IF($AB489="S",INDEX($T$8:$T$407,$AA489)&amp;"|*",INDEX($S$8:$S$407,$AA489)&amp;"|*")))</f>
        <v/>
      </c>
    </row>
    <row r="490" ht="21" customHeight="1" s="66">
      <c r="A490" s="3">
        <f>IF($AB490="G","ผลรวมทั้งหมด",IF($AB490="R",INDEX($S$8:$S$407,$AA490),""))</f>
        <v/>
      </c>
      <c r="B490" s="3">
        <f>IF($AB490="S",INDEX($Y$8:$Y$407,$AA490),"")</f>
        <v/>
      </c>
      <c r="C490" s="68">
        <f>IF($AB490="D",INDEX($Z$8:$Z$407,$AA490),"")</f>
        <v/>
      </c>
      <c r="D490" s="31">
        <f>IF($AB490="G",SUM($AE$8:$AE$407),IF(OR($AB490="",$AB490="R"),"",IF($AB490="D",INDEX($AE$8:$AE$407,$AA490),SUMIF($T$8:$T$407,INDEX($T$8:$T$407,$AA490),$AE$8:$AE$407))))</f>
        <v/>
      </c>
      <c r="E490" s="32">
        <f>IF(483=$AD$1+3,"ขอแสดงความนับถือ",IF(483=$AD$1+6,"(                 )",IF(483=$AD$1+7,"เจ้าหน้าที่ขนส่ง",IF($AB490="G",SUM($AF$8:$AF$407),IF(OR($AB490="",$AB490="R"),"",IF($AB490="D",INDEX($AF$8:$AF$407,$AA490),SUMIF($T$8:$T$407,INDEX($T$8:$T$407,$AA490),$AF$8:$AF$407)))))))</f>
        <v/>
      </c>
      <c r="F490" s="32">
        <f>IF($AB490="G",SUM($AG$8:$AG$407),IF(OR($AB490="",$AB490="R"),"",IF($AB490="D",INDEX($AG$8:$AG$407,$AA490),SUMIF($T$8:$T$407,INDEX($T$8:$T$407,$AA490),$AG$8:$AG$407))))</f>
        <v/>
      </c>
      <c r="G490" s="32">
        <f>IF(OR($AB490="",$AB490="R"),"",ROUND($E490-$F490,2))</f>
        <v/>
      </c>
      <c r="H490" s="32">
        <f>IF($AB490="G",SUM($AH$8:$AH$407),IF(OR($AB490="",$AB490="R"),"",IF($AB490="D",INDEX($AH$8:$AH$407,$AA490),SUMIF($T$8:$T$407,INDEX($T$8:$T$407,$AA490),$AH$8:$AH$407))))</f>
        <v/>
      </c>
      <c r="AA490">
        <f>IFERROR(MATCH(483,$X$8:$X$407,1),"")</f>
        <v/>
      </c>
      <c r="AB490">
        <f>IF(483=$AD$1+1,"G",IF($AA490="","",IF(INDEX($Q$8:$Q$407,$AA490)="","",IF(483&gt;INDEX($X$8:$X$407,$AA490)+INDEX($V$8:$V$407,$AA490)+INDEX($W$8:$W$407,$AA490),"",IF(483=INDEX($X$8:$X$407,$AA490)+INDEX($V$8:$V$407,$AA490)+INDEX($W$8:$W$407,$AA490),"D",IF(AND(INDEX($W$8:$W$407,$AA490)=1,483=INDEX($X$8:$X$407,$AA490)+INDEX($V$8:$V$407,$AA490)),"S","R"))))))</f>
        <v/>
      </c>
      <c r="AC490">
        <f>IF(OR($AB490="",$AB490="G"),"",IF($AB490="D",INDEX($U$8:$U$407,$AA490),IF($AB490="S",INDEX($T$8:$T$407,$AA490)&amp;"|*",INDEX($S$8:$S$407,$AA490)&amp;"|*")))</f>
        <v/>
      </c>
    </row>
    <row r="491" ht="21" customHeight="1" s="66">
      <c r="A491" s="3">
        <f>IF($AB491="G","ผลรวมทั้งหมด",IF($AB491="R",INDEX($S$8:$S$407,$AA491),""))</f>
        <v/>
      </c>
      <c r="B491" s="3">
        <f>IF($AB491="S",INDEX($Y$8:$Y$407,$AA491),"")</f>
        <v/>
      </c>
      <c r="C491" s="68">
        <f>IF($AB491="D",INDEX($Z$8:$Z$407,$AA491),"")</f>
        <v/>
      </c>
      <c r="D491" s="31">
        <f>IF($AB491="G",SUM($AE$8:$AE$407),IF(OR($AB491="",$AB491="R"),"",IF($AB491="D",INDEX($AE$8:$AE$407,$AA491),SUMIF($T$8:$T$407,INDEX($T$8:$T$407,$AA491),$AE$8:$AE$407))))</f>
        <v/>
      </c>
      <c r="E491" s="32">
        <f>IF(484=$AD$1+3,"ขอแสดงความนับถือ",IF(484=$AD$1+6,"(                 )",IF(484=$AD$1+7,"เจ้าหน้าที่ขนส่ง",IF($AB491="G",SUM($AF$8:$AF$407),IF(OR($AB491="",$AB491="R"),"",IF($AB491="D",INDEX($AF$8:$AF$407,$AA491),SUMIF($T$8:$T$407,INDEX($T$8:$T$407,$AA491),$AF$8:$AF$407)))))))</f>
        <v/>
      </c>
      <c r="F491" s="32">
        <f>IF($AB491="G",SUM($AG$8:$AG$407),IF(OR($AB491="",$AB491="R"),"",IF($AB491="D",INDEX($AG$8:$AG$407,$AA491),SUMIF($T$8:$T$407,INDEX($T$8:$T$407,$AA491),$AG$8:$AG$407))))</f>
        <v/>
      </c>
      <c r="G491" s="32">
        <f>IF(OR($AB491="",$AB491="R"),"",ROUND($E491-$F491,2))</f>
        <v/>
      </c>
      <c r="H491" s="32">
        <f>IF($AB491="G",SUM($AH$8:$AH$407),IF(OR($AB491="",$AB491="R"),"",IF($AB491="D",INDEX($AH$8:$AH$407,$AA491),SUMIF($T$8:$T$407,INDEX($T$8:$T$407,$AA491),$AH$8:$AH$407))))</f>
        <v/>
      </c>
      <c r="AA491">
        <f>IFERROR(MATCH(484,$X$8:$X$407,1),"")</f>
        <v/>
      </c>
      <c r="AB491">
        <f>IF(484=$AD$1+1,"G",IF($AA491="","",IF(INDEX($Q$8:$Q$407,$AA491)="","",IF(484&gt;INDEX($X$8:$X$407,$AA491)+INDEX($V$8:$V$407,$AA491)+INDEX($W$8:$W$407,$AA491),"",IF(484=INDEX($X$8:$X$407,$AA491)+INDEX($V$8:$V$407,$AA491)+INDEX($W$8:$W$407,$AA491),"D",IF(AND(INDEX($W$8:$W$407,$AA491)=1,484=INDEX($X$8:$X$407,$AA491)+INDEX($V$8:$V$407,$AA491)),"S","R"))))))</f>
        <v/>
      </c>
      <c r="AC491">
        <f>IF(OR($AB491="",$AB491="G"),"",IF($AB491="D",INDEX($U$8:$U$407,$AA491),IF($AB491="S",INDEX($T$8:$T$407,$AA491)&amp;"|*",INDEX($S$8:$S$407,$AA491)&amp;"|*")))</f>
        <v/>
      </c>
    </row>
    <row r="492" ht="21" customHeight="1" s="66">
      <c r="A492" s="3">
        <f>IF($AB492="G","ผลรวมทั้งหมด",IF($AB492="R",INDEX($S$8:$S$407,$AA492),""))</f>
        <v/>
      </c>
      <c r="B492" s="3">
        <f>IF($AB492="S",INDEX($Y$8:$Y$407,$AA492),"")</f>
        <v/>
      </c>
      <c r="C492" s="68">
        <f>IF($AB492="D",INDEX($Z$8:$Z$407,$AA492),"")</f>
        <v/>
      </c>
      <c r="D492" s="31">
        <f>IF($AB492="G",SUM($AE$8:$AE$407),IF(OR($AB492="",$AB492="R"),"",IF($AB492="D",INDEX($AE$8:$AE$407,$AA492),SUMIF($T$8:$T$407,INDEX($T$8:$T$407,$AA492),$AE$8:$AE$407))))</f>
        <v/>
      </c>
      <c r="E492" s="32">
        <f>IF(485=$AD$1+3,"ขอแสดงความนับถือ",IF(485=$AD$1+6,"(                 )",IF(485=$AD$1+7,"เจ้าหน้าที่ขนส่ง",IF($AB492="G",SUM($AF$8:$AF$407),IF(OR($AB492="",$AB492="R"),"",IF($AB492="D",INDEX($AF$8:$AF$407,$AA492),SUMIF($T$8:$T$407,INDEX($T$8:$T$407,$AA492),$AF$8:$AF$407)))))))</f>
        <v/>
      </c>
      <c r="F492" s="32">
        <f>IF($AB492="G",SUM($AG$8:$AG$407),IF(OR($AB492="",$AB492="R"),"",IF($AB492="D",INDEX($AG$8:$AG$407,$AA492),SUMIF($T$8:$T$407,INDEX($T$8:$T$407,$AA492),$AG$8:$AG$407))))</f>
        <v/>
      </c>
      <c r="G492" s="32">
        <f>IF(OR($AB492="",$AB492="R"),"",ROUND($E492-$F492,2))</f>
        <v/>
      </c>
      <c r="H492" s="32">
        <f>IF($AB492="G",SUM($AH$8:$AH$407),IF(OR($AB492="",$AB492="R"),"",IF($AB492="D",INDEX($AH$8:$AH$407,$AA492),SUMIF($T$8:$T$407,INDEX($T$8:$T$407,$AA492),$AH$8:$AH$407))))</f>
        <v/>
      </c>
      <c r="AA492">
        <f>IFERROR(MATCH(485,$X$8:$X$407,1),"")</f>
        <v/>
      </c>
      <c r="AB492">
        <f>IF(485=$AD$1+1,"G",IF($AA492="","",IF(INDEX($Q$8:$Q$407,$AA492)="","",IF(485&gt;INDEX($X$8:$X$407,$AA492)+INDEX($V$8:$V$407,$AA492)+INDEX($W$8:$W$407,$AA492),"",IF(485=INDEX($X$8:$X$407,$AA492)+INDEX($V$8:$V$407,$AA492)+INDEX($W$8:$W$407,$AA492),"D",IF(AND(INDEX($W$8:$W$407,$AA492)=1,485=INDEX($X$8:$X$407,$AA492)+INDEX($V$8:$V$407,$AA492)),"S","R"))))))</f>
        <v/>
      </c>
      <c r="AC492">
        <f>IF(OR($AB492="",$AB492="G"),"",IF($AB492="D",INDEX($U$8:$U$407,$AA492),IF($AB492="S",INDEX($T$8:$T$407,$AA492)&amp;"|*",INDEX($S$8:$S$407,$AA492)&amp;"|*")))</f>
        <v/>
      </c>
    </row>
    <row r="493" ht="21" customHeight="1" s="66">
      <c r="A493" s="3">
        <f>IF($AB493="G","ผลรวมทั้งหมด",IF($AB493="R",INDEX($S$8:$S$407,$AA493),""))</f>
        <v/>
      </c>
      <c r="B493" s="3">
        <f>IF($AB493="S",INDEX($Y$8:$Y$407,$AA493),"")</f>
        <v/>
      </c>
      <c r="C493" s="68">
        <f>IF($AB493="D",INDEX($Z$8:$Z$407,$AA493),"")</f>
        <v/>
      </c>
      <c r="D493" s="31">
        <f>IF($AB493="G",SUM($AE$8:$AE$407),IF(OR($AB493="",$AB493="R"),"",IF($AB493="D",INDEX($AE$8:$AE$407,$AA493),SUMIF($T$8:$T$407,INDEX($T$8:$T$407,$AA493),$AE$8:$AE$407))))</f>
        <v/>
      </c>
      <c r="E493" s="32">
        <f>IF(486=$AD$1+3,"ขอแสดงความนับถือ",IF(486=$AD$1+6,"(                 )",IF(486=$AD$1+7,"เจ้าหน้าที่ขนส่ง",IF($AB493="G",SUM($AF$8:$AF$407),IF(OR($AB493="",$AB493="R"),"",IF($AB493="D",INDEX($AF$8:$AF$407,$AA493),SUMIF($T$8:$T$407,INDEX($T$8:$T$407,$AA493),$AF$8:$AF$407)))))))</f>
        <v/>
      </c>
      <c r="F493" s="32">
        <f>IF($AB493="G",SUM($AG$8:$AG$407),IF(OR($AB493="",$AB493="R"),"",IF($AB493="D",INDEX($AG$8:$AG$407,$AA493),SUMIF($T$8:$T$407,INDEX($T$8:$T$407,$AA493),$AG$8:$AG$407))))</f>
        <v/>
      </c>
      <c r="G493" s="32">
        <f>IF(OR($AB493="",$AB493="R"),"",ROUND($E493-$F493,2))</f>
        <v/>
      </c>
      <c r="H493" s="32">
        <f>IF($AB493="G",SUM($AH$8:$AH$407),IF(OR($AB493="",$AB493="R"),"",IF($AB493="D",INDEX($AH$8:$AH$407,$AA493),SUMIF($T$8:$T$407,INDEX($T$8:$T$407,$AA493),$AH$8:$AH$407))))</f>
        <v/>
      </c>
      <c r="AA493">
        <f>IFERROR(MATCH(486,$X$8:$X$407,1),"")</f>
        <v/>
      </c>
      <c r="AB493">
        <f>IF(486=$AD$1+1,"G",IF($AA493="","",IF(INDEX($Q$8:$Q$407,$AA493)="","",IF(486&gt;INDEX($X$8:$X$407,$AA493)+INDEX($V$8:$V$407,$AA493)+INDEX($W$8:$W$407,$AA493),"",IF(486=INDEX($X$8:$X$407,$AA493)+INDEX($V$8:$V$407,$AA493)+INDEX($W$8:$W$407,$AA493),"D",IF(AND(INDEX($W$8:$W$407,$AA493)=1,486=INDEX($X$8:$X$407,$AA493)+INDEX($V$8:$V$407,$AA493)),"S","R"))))))</f>
        <v/>
      </c>
      <c r="AC493">
        <f>IF(OR($AB493="",$AB493="G"),"",IF($AB493="D",INDEX($U$8:$U$407,$AA493),IF($AB493="S",INDEX($T$8:$T$407,$AA493)&amp;"|*",INDEX($S$8:$S$407,$AA493)&amp;"|*")))</f>
        <v/>
      </c>
    </row>
    <row r="494" ht="21" customHeight="1" s="66">
      <c r="A494" s="3">
        <f>IF($AB494="G","ผลรวมทั้งหมด",IF($AB494="R",INDEX($S$8:$S$407,$AA494),""))</f>
        <v/>
      </c>
      <c r="B494" s="3">
        <f>IF($AB494="S",INDEX($Y$8:$Y$407,$AA494),"")</f>
        <v/>
      </c>
      <c r="C494" s="68">
        <f>IF($AB494="D",INDEX($Z$8:$Z$407,$AA494),"")</f>
        <v/>
      </c>
      <c r="D494" s="31">
        <f>IF($AB494="G",SUM($AE$8:$AE$407),IF(OR($AB494="",$AB494="R"),"",IF($AB494="D",INDEX($AE$8:$AE$407,$AA494),SUMIF($T$8:$T$407,INDEX($T$8:$T$407,$AA494),$AE$8:$AE$407))))</f>
        <v/>
      </c>
      <c r="E494" s="32">
        <f>IF(487=$AD$1+3,"ขอแสดงความนับถือ",IF(487=$AD$1+6,"(                 )",IF(487=$AD$1+7,"เจ้าหน้าที่ขนส่ง",IF($AB494="G",SUM($AF$8:$AF$407),IF(OR($AB494="",$AB494="R"),"",IF($AB494="D",INDEX($AF$8:$AF$407,$AA494),SUMIF($T$8:$T$407,INDEX($T$8:$T$407,$AA494),$AF$8:$AF$407)))))))</f>
        <v/>
      </c>
      <c r="F494" s="32">
        <f>IF($AB494="G",SUM($AG$8:$AG$407),IF(OR($AB494="",$AB494="R"),"",IF($AB494="D",INDEX($AG$8:$AG$407,$AA494),SUMIF($T$8:$T$407,INDEX($T$8:$T$407,$AA494),$AG$8:$AG$407))))</f>
        <v/>
      </c>
      <c r="G494" s="32">
        <f>IF(OR($AB494="",$AB494="R"),"",ROUND($E494-$F494,2))</f>
        <v/>
      </c>
      <c r="H494" s="32">
        <f>IF($AB494="G",SUM($AH$8:$AH$407),IF(OR($AB494="",$AB494="R"),"",IF($AB494="D",INDEX($AH$8:$AH$407,$AA494),SUMIF($T$8:$T$407,INDEX($T$8:$T$407,$AA494),$AH$8:$AH$407))))</f>
        <v/>
      </c>
      <c r="AA494">
        <f>IFERROR(MATCH(487,$X$8:$X$407,1),"")</f>
        <v/>
      </c>
      <c r="AB494">
        <f>IF(487=$AD$1+1,"G",IF($AA494="","",IF(INDEX($Q$8:$Q$407,$AA494)="","",IF(487&gt;INDEX($X$8:$X$407,$AA494)+INDEX($V$8:$V$407,$AA494)+INDEX($W$8:$W$407,$AA494),"",IF(487=INDEX($X$8:$X$407,$AA494)+INDEX($V$8:$V$407,$AA494)+INDEX($W$8:$W$407,$AA494),"D",IF(AND(INDEX($W$8:$W$407,$AA494)=1,487=INDEX($X$8:$X$407,$AA494)+INDEX($V$8:$V$407,$AA494)),"S","R"))))))</f>
        <v/>
      </c>
      <c r="AC494">
        <f>IF(OR($AB494="",$AB494="G"),"",IF($AB494="D",INDEX($U$8:$U$407,$AA494),IF($AB494="S",INDEX($T$8:$T$407,$AA494)&amp;"|*",INDEX($S$8:$S$407,$AA494)&amp;"|*")))</f>
        <v/>
      </c>
    </row>
    <row r="495" ht="21" customHeight="1" s="66">
      <c r="A495" s="3">
        <f>IF($AB495="G","ผลรวมทั้งหมด",IF($AB495="R",INDEX($S$8:$S$407,$AA495),""))</f>
        <v/>
      </c>
      <c r="B495" s="3">
        <f>IF($AB495="S",INDEX($Y$8:$Y$407,$AA495),"")</f>
        <v/>
      </c>
      <c r="C495" s="68">
        <f>IF($AB495="D",INDEX($Z$8:$Z$407,$AA495),"")</f>
        <v/>
      </c>
      <c r="D495" s="31">
        <f>IF($AB495="G",SUM($AE$8:$AE$407),IF(OR($AB495="",$AB495="R"),"",IF($AB495="D",INDEX($AE$8:$AE$407,$AA495),SUMIF($T$8:$T$407,INDEX($T$8:$T$407,$AA495),$AE$8:$AE$407))))</f>
        <v/>
      </c>
      <c r="E495" s="32">
        <f>IF(488=$AD$1+3,"ขอแสดงความนับถือ",IF(488=$AD$1+6,"(                 )",IF(488=$AD$1+7,"เจ้าหน้าที่ขนส่ง",IF($AB495="G",SUM($AF$8:$AF$407),IF(OR($AB495="",$AB495="R"),"",IF($AB495="D",INDEX($AF$8:$AF$407,$AA495),SUMIF($T$8:$T$407,INDEX($T$8:$T$407,$AA495),$AF$8:$AF$407)))))))</f>
        <v/>
      </c>
      <c r="F495" s="32">
        <f>IF($AB495="G",SUM($AG$8:$AG$407),IF(OR($AB495="",$AB495="R"),"",IF($AB495="D",INDEX($AG$8:$AG$407,$AA495),SUMIF($T$8:$T$407,INDEX($T$8:$T$407,$AA495),$AG$8:$AG$407))))</f>
        <v/>
      </c>
      <c r="G495" s="32">
        <f>IF(OR($AB495="",$AB495="R"),"",ROUND($E495-$F495,2))</f>
        <v/>
      </c>
      <c r="H495" s="32">
        <f>IF($AB495="G",SUM($AH$8:$AH$407),IF(OR($AB495="",$AB495="R"),"",IF($AB495="D",INDEX($AH$8:$AH$407,$AA495),SUMIF($T$8:$T$407,INDEX($T$8:$T$407,$AA495),$AH$8:$AH$407))))</f>
        <v/>
      </c>
      <c r="AA495">
        <f>IFERROR(MATCH(488,$X$8:$X$407,1),"")</f>
        <v/>
      </c>
      <c r="AB495">
        <f>IF(488=$AD$1+1,"G",IF($AA495="","",IF(INDEX($Q$8:$Q$407,$AA495)="","",IF(488&gt;INDEX($X$8:$X$407,$AA495)+INDEX($V$8:$V$407,$AA495)+INDEX($W$8:$W$407,$AA495),"",IF(488=INDEX($X$8:$X$407,$AA495)+INDEX($V$8:$V$407,$AA495)+INDEX($W$8:$W$407,$AA495),"D",IF(AND(INDEX($W$8:$W$407,$AA495)=1,488=INDEX($X$8:$X$407,$AA495)+INDEX($V$8:$V$407,$AA495)),"S","R"))))))</f>
        <v/>
      </c>
      <c r="AC495">
        <f>IF(OR($AB495="",$AB495="G"),"",IF($AB495="D",INDEX($U$8:$U$407,$AA495),IF($AB495="S",INDEX($T$8:$T$407,$AA495)&amp;"|*",INDEX($S$8:$S$407,$AA495)&amp;"|*")))</f>
        <v/>
      </c>
    </row>
    <row r="496" ht="21" customHeight="1" s="66">
      <c r="A496" s="3">
        <f>IF($AB496="G","ผลรวมทั้งหมด",IF($AB496="R",INDEX($S$8:$S$407,$AA496),""))</f>
        <v/>
      </c>
      <c r="B496" s="3">
        <f>IF($AB496="S",INDEX($Y$8:$Y$407,$AA496),"")</f>
        <v/>
      </c>
      <c r="C496" s="68">
        <f>IF($AB496="D",INDEX($Z$8:$Z$407,$AA496),"")</f>
        <v/>
      </c>
      <c r="D496" s="31">
        <f>IF($AB496="G",SUM($AE$8:$AE$407),IF(OR($AB496="",$AB496="R"),"",IF($AB496="D",INDEX($AE$8:$AE$407,$AA496),SUMIF($T$8:$T$407,INDEX($T$8:$T$407,$AA496),$AE$8:$AE$407))))</f>
        <v/>
      </c>
      <c r="E496" s="32">
        <f>IF(489=$AD$1+3,"ขอแสดงความนับถือ",IF(489=$AD$1+6,"(                 )",IF(489=$AD$1+7,"เจ้าหน้าที่ขนส่ง",IF($AB496="G",SUM($AF$8:$AF$407),IF(OR($AB496="",$AB496="R"),"",IF($AB496="D",INDEX($AF$8:$AF$407,$AA496),SUMIF($T$8:$T$407,INDEX($T$8:$T$407,$AA496),$AF$8:$AF$407)))))))</f>
        <v/>
      </c>
      <c r="F496" s="32">
        <f>IF($AB496="G",SUM($AG$8:$AG$407),IF(OR($AB496="",$AB496="R"),"",IF($AB496="D",INDEX($AG$8:$AG$407,$AA496),SUMIF($T$8:$T$407,INDEX($T$8:$T$407,$AA496),$AG$8:$AG$407))))</f>
        <v/>
      </c>
      <c r="G496" s="32">
        <f>IF(OR($AB496="",$AB496="R"),"",ROUND($E496-$F496,2))</f>
        <v/>
      </c>
      <c r="H496" s="32">
        <f>IF($AB496="G",SUM($AH$8:$AH$407),IF(OR($AB496="",$AB496="R"),"",IF($AB496="D",INDEX($AH$8:$AH$407,$AA496),SUMIF($T$8:$T$407,INDEX($T$8:$T$407,$AA496),$AH$8:$AH$407))))</f>
        <v/>
      </c>
      <c r="AA496">
        <f>IFERROR(MATCH(489,$X$8:$X$407,1),"")</f>
        <v/>
      </c>
      <c r="AB496">
        <f>IF(489=$AD$1+1,"G",IF($AA496="","",IF(INDEX($Q$8:$Q$407,$AA496)="","",IF(489&gt;INDEX($X$8:$X$407,$AA496)+INDEX($V$8:$V$407,$AA496)+INDEX($W$8:$W$407,$AA496),"",IF(489=INDEX($X$8:$X$407,$AA496)+INDEX($V$8:$V$407,$AA496)+INDEX($W$8:$W$407,$AA496),"D",IF(AND(INDEX($W$8:$W$407,$AA496)=1,489=INDEX($X$8:$X$407,$AA496)+INDEX($V$8:$V$407,$AA496)),"S","R"))))))</f>
        <v/>
      </c>
      <c r="AC496">
        <f>IF(OR($AB496="",$AB496="G"),"",IF($AB496="D",INDEX($U$8:$U$407,$AA496),IF($AB496="S",INDEX($T$8:$T$407,$AA496)&amp;"|*",INDEX($S$8:$S$407,$AA496)&amp;"|*")))</f>
        <v/>
      </c>
    </row>
    <row r="497" ht="21" customHeight="1" s="66">
      <c r="A497" s="3">
        <f>IF($AB497="G","ผลรวมทั้งหมด",IF($AB497="R",INDEX($S$8:$S$407,$AA497),""))</f>
        <v/>
      </c>
      <c r="B497" s="3">
        <f>IF($AB497="S",INDEX($Y$8:$Y$407,$AA497),"")</f>
        <v/>
      </c>
      <c r="C497" s="68">
        <f>IF($AB497="D",INDEX($Z$8:$Z$407,$AA497),"")</f>
        <v/>
      </c>
      <c r="D497" s="31">
        <f>IF($AB497="G",SUM($AE$8:$AE$407),IF(OR($AB497="",$AB497="R"),"",IF($AB497="D",INDEX($AE$8:$AE$407,$AA497),SUMIF($T$8:$T$407,INDEX($T$8:$T$407,$AA497),$AE$8:$AE$407))))</f>
        <v/>
      </c>
      <c r="E497" s="32">
        <f>IF(490=$AD$1+3,"ขอแสดงความนับถือ",IF(490=$AD$1+6,"(                 )",IF(490=$AD$1+7,"เจ้าหน้าที่ขนส่ง",IF($AB497="G",SUM($AF$8:$AF$407),IF(OR($AB497="",$AB497="R"),"",IF($AB497="D",INDEX($AF$8:$AF$407,$AA497),SUMIF($T$8:$T$407,INDEX($T$8:$T$407,$AA497),$AF$8:$AF$407)))))))</f>
        <v/>
      </c>
      <c r="F497" s="32">
        <f>IF($AB497="G",SUM($AG$8:$AG$407),IF(OR($AB497="",$AB497="R"),"",IF($AB497="D",INDEX($AG$8:$AG$407,$AA497),SUMIF($T$8:$T$407,INDEX($T$8:$T$407,$AA497),$AG$8:$AG$407))))</f>
        <v/>
      </c>
      <c r="G497" s="32">
        <f>IF(OR($AB497="",$AB497="R"),"",ROUND($E497-$F497,2))</f>
        <v/>
      </c>
      <c r="H497" s="32">
        <f>IF($AB497="G",SUM($AH$8:$AH$407),IF(OR($AB497="",$AB497="R"),"",IF($AB497="D",INDEX($AH$8:$AH$407,$AA497),SUMIF($T$8:$T$407,INDEX($T$8:$T$407,$AA497),$AH$8:$AH$407))))</f>
        <v/>
      </c>
      <c r="AA497">
        <f>IFERROR(MATCH(490,$X$8:$X$407,1),"")</f>
        <v/>
      </c>
      <c r="AB497">
        <f>IF(490=$AD$1+1,"G",IF($AA497="","",IF(INDEX($Q$8:$Q$407,$AA497)="","",IF(490&gt;INDEX($X$8:$X$407,$AA497)+INDEX($V$8:$V$407,$AA497)+INDEX($W$8:$W$407,$AA497),"",IF(490=INDEX($X$8:$X$407,$AA497)+INDEX($V$8:$V$407,$AA497)+INDEX($W$8:$W$407,$AA497),"D",IF(AND(INDEX($W$8:$W$407,$AA497)=1,490=INDEX($X$8:$X$407,$AA497)+INDEX($V$8:$V$407,$AA497)),"S","R"))))))</f>
        <v/>
      </c>
      <c r="AC497">
        <f>IF(OR($AB497="",$AB497="G"),"",IF($AB497="D",INDEX($U$8:$U$407,$AA497),IF($AB497="S",INDEX($T$8:$T$407,$AA497)&amp;"|*",INDEX($S$8:$S$407,$AA497)&amp;"|*")))</f>
        <v/>
      </c>
    </row>
    <row r="498" ht="21" customHeight="1" s="66">
      <c r="A498" s="3">
        <f>IF($AB498="G","ผลรวมทั้งหมด",IF($AB498="R",INDEX($S$8:$S$407,$AA498),""))</f>
        <v/>
      </c>
      <c r="B498" s="3">
        <f>IF($AB498="S",INDEX($Y$8:$Y$407,$AA498),"")</f>
        <v/>
      </c>
      <c r="C498" s="68">
        <f>IF($AB498="D",INDEX($Z$8:$Z$407,$AA498),"")</f>
        <v/>
      </c>
      <c r="D498" s="31">
        <f>IF($AB498="G",SUM($AE$8:$AE$407),IF(OR($AB498="",$AB498="R"),"",IF($AB498="D",INDEX($AE$8:$AE$407,$AA498),SUMIF($T$8:$T$407,INDEX($T$8:$T$407,$AA498),$AE$8:$AE$407))))</f>
        <v/>
      </c>
      <c r="E498" s="32">
        <f>IF(491=$AD$1+3,"ขอแสดงความนับถือ",IF(491=$AD$1+6,"(                 )",IF(491=$AD$1+7,"เจ้าหน้าที่ขนส่ง",IF($AB498="G",SUM($AF$8:$AF$407),IF(OR($AB498="",$AB498="R"),"",IF($AB498="D",INDEX($AF$8:$AF$407,$AA498),SUMIF($T$8:$T$407,INDEX($T$8:$T$407,$AA498),$AF$8:$AF$407)))))))</f>
        <v/>
      </c>
      <c r="F498" s="32">
        <f>IF($AB498="G",SUM($AG$8:$AG$407),IF(OR($AB498="",$AB498="R"),"",IF($AB498="D",INDEX($AG$8:$AG$407,$AA498),SUMIF($T$8:$T$407,INDEX($T$8:$T$407,$AA498),$AG$8:$AG$407))))</f>
        <v/>
      </c>
      <c r="G498" s="32">
        <f>IF(OR($AB498="",$AB498="R"),"",ROUND($E498-$F498,2))</f>
        <v/>
      </c>
      <c r="H498" s="32">
        <f>IF($AB498="G",SUM($AH$8:$AH$407),IF(OR($AB498="",$AB498="R"),"",IF($AB498="D",INDEX($AH$8:$AH$407,$AA498),SUMIF($T$8:$T$407,INDEX($T$8:$T$407,$AA498),$AH$8:$AH$407))))</f>
        <v/>
      </c>
      <c r="AA498">
        <f>IFERROR(MATCH(491,$X$8:$X$407,1),"")</f>
        <v/>
      </c>
      <c r="AB498">
        <f>IF(491=$AD$1+1,"G",IF($AA498="","",IF(INDEX($Q$8:$Q$407,$AA498)="","",IF(491&gt;INDEX($X$8:$X$407,$AA498)+INDEX($V$8:$V$407,$AA498)+INDEX($W$8:$W$407,$AA498),"",IF(491=INDEX($X$8:$X$407,$AA498)+INDEX($V$8:$V$407,$AA498)+INDEX($W$8:$W$407,$AA498),"D",IF(AND(INDEX($W$8:$W$407,$AA498)=1,491=INDEX($X$8:$X$407,$AA498)+INDEX($V$8:$V$407,$AA498)),"S","R"))))))</f>
        <v/>
      </c>
      <c r="AC498">
        <f>IF(OR($AB498="",$AB498="G"),"",IF($AB498="D",INDEX($U$8:$U$407,$AA498),IF($AB498="S",INDEX($T$8:$T$407,$AA498)&amp;"|*",INDEX($S$8:$S$407,$AA498)&amp;"|*")))</f>
        <v/>
      </c>
    </row>
    <row r="499" ht="21" customHeight="1" s="66">
      <c r="A499" s="3">
        <f>IF($AB499="G","ผลรวมทั้งหมด",IF($AB499="R",INDEX($S$8:$S$407,$AA499),""))</f>
        <v/>
      </c>
      <c r="B499" s="3">
        <f>IF($AB499="S",INDEX($Y$8:$Y$407,$AA499),"")</f>
        <v/>
      </c>
      <c r="C499" s="68">
        <f>IF($AB499="D",INDEX($Z$8:$Z$407,$AA499),"")</f>
        <v/>
      </c>
      <c r="D499" s="31">
        <f>IF($AB499="G",SUM($AE$8:$AE$407),IF(OR($AB499="",$AB499="R"),"",IF($AB499="D",INDEX($AE$8:$AE$407,$AA499),SUMIF($T$8:$T$407,INDEX($T$8:$T$407,$AA499),$AE$8:$AE$407))))</f>
        <v/>
      </c>
      <c r="E499" s="32">
        <f>IF(492=$AD$1+3,"ขอแสดงความนับถือ",IF(492=$AD$1+6,"(                 )",IF(492=$AD$1+7,"เจ้าหน้าที่ขนส่ง",IF($AB499="G",SUM($AF$8:$AF$407),IF(OR($AB499="",$AB499="R"),"",IF($AB499="D",INDEX($AF$8:$AF$407,$AA499),SUMIF($T$8:$T$407,INDEX($T$8:$T$407,$AA499),$AF$8:$AF$407)))))))</f>
        <v/>
      </c>
      <c r="F499" s="32">
        <f>IF($AB499="G",SUM($AG$8:$AG$407),IF(OR($AB499="",$AB499="R"),"",IF($AB499="D",INDEX($AG$8:$AG$407,$AA499),SUMIF($T$8:$T$407,INDEX($T$8:$T$407,$AA499),$AG$8:$AG$407))))</f>
        <v/>
      </c>
      <c r="G499" s="32">
        <f>IF(OR($AB499="",$AB499="R"),"",ROUND($E499-$F499,2))</f>
        <v/>
      </c>
      <c r="H499" s="32">
        <f>IF($AB499="G",SUM($AH$8:$AH$407),IF(OR($AB499="",$AB499="R"),"",IF($AB499="D",INDEX($AH$8:$AH$407,$AA499),SUMIF($T$8:$T$407,INDEX($T$8:$T$407,$AA499),$AH$8:$AH$407))))</f>
        <v/>
      </c>
      <c r="AA499">
        <f>IFERROR(MATCH(492,$X$8:$X$407,1),"")</f>
        <v/>
      </c>
      <c r="AB499">
        <f>IF(492=$AD$1+1,"G",IF($AA499="","",IF(INDEX($Q$8:$Q$407,$AA499)="","",IF(492&gt;INDEX($X$8:$X$407,$AA499)+INDEX($V$8:$V$407,$AA499)+INDEX($W$8:$W$407,$AA499),"",IF(492=INDEX($X$8:$X$407,$AA499)+INDEX($V$8:$V$407,$AA499)+INDEX($W$8:$W$407,$AA499),"D",IF(AND(INDEX($W$8:$W$407,$AA499)=1,492=INDEX($X$8:$X$407,$AA499)+INDEX($V$8:$V$407,$AA499)),"S","R"))))))</f>
        <v/>
      </c>
      <c r="AC499">
        <f>IF(OR($AB499="",$AB499="G"),"",IF($AB499="D",INDEX($U$8:$U$407,$AA499),IF($AB499="S",INDEX($T$8:$T$407,$AA499)&amp;"|*",INDEX($S$8:$S$407,$AA499)&amp;"|*")))</f>
        <v/>
      </c>
    </row>
    <row r="500" ht="21" customHeight="1" s="66">
      <c r="A500" s="3">
        <f>IF($AB500="G","ผลรวมทั้งหมด",IF($AB500="R",INDEX($S$8:$S$407,$AA500),""))</f>
        <v/>
      </c>
      <c r="B500" s="3">
        <f>IF($AB500="S",INDEX($Y$8:$Y$407,$AA500),"")</f>
        <v/>
      </c>
      <c r="C500" s="68">
        <f>IF($AB500="D",INDEX($Z$8:$Z$407,$AA500),"")</f>
        <v/>
      </c>
      <c r="D500" s="31">
        <f>IF($AB500="G",SUM($AE$8:$AE$407),IF(OR($AB500="",$AB500="R"),"",IF($AB500="D",INDEX($AE$8:$AE$407,$AA500),SUMIF($T$8:$T$407,INDEX($T$8:$T$407,$AA500),$AE$8:$AE$407))))</f>
        <v/>
      </c>
      <c r="E500" s="32">
        <f>IF(493=$AD$1+3,"ขอแสดงความนับถือ",IF(493=$AD$1+6,"(                 )",IF(493=$AD$1+7,"เจ้าหน้าที่ขนส่ง",IF($AB500="G",SUM($AF$8:$AF$407),IF(OR($AB500="",$AB500="R"),"",IF($AB500="D",INDEX($AF$8:$AF$407,$AA500),SUMIF($T$8:$T$407,INDEX($T$8:$T$407,$AA500),$AF$8:$AF$407)))))))</f>
        <v/>
      </c>
      <c r="F500" s="32">
        <f>IF($AB500="G",SUM($AG$8:$AG$407),IF(OR($AB500="",$AB500="R"),"",IF($AB500="D",INDEX($AG$8:$AG$407,$AA500),SUMIF($T$8:$T$407,INDEX($T$8:$T$407,$AA500),$AG$8:$AG$407))))</f>
        <v/>
      </c>
      <c r="G500" s="32">
        <f>IF(OR($AB500="",$AB500="R"),"",ROUND($E500-$F500,2))</f>
        <v/>
      </c>
      <c r="H500" s="32">
        <f>IF($AB500="G",SUM($AH$8:$AH$407),IF(OR($AB500="",$AB500="R"),"",IF($AB500="D",INDEX($AH$8:$AH$407,$AA500),SUMIF($T$8:$T$407,INDEX($T$8:$T$407,$AA500),$AH$8:$AH$407))))</f>
        <v/>
      </c>
      <c r="AA500">
        <f>IFERROR(MATCH(493,$X$8:$X$407,1),"")</f>
        <v/>
      </c>
      <c r="AB500">
        <f>IF(493=$AD$1+1,"G",IF($AA500="","",IF(INDEX($Q$8:$Q$407,$AA500)="","",IF(493&gt;INDEX($X$8:$X$407,$AA500)+INDEX($V$8:$V$407,$AA500)+INDEX($W$8:$W$407,$AA500),"",IF(493=INDEX($X$8:$X$407,$AA500)+INDEX($V$8:$V$407,$AA500)+INDEX($W$8:$W$407,$AA500),"D",IF(AND(INDEX($W$8:$W$407,$AA500)=1,493=INDEX($X$8:$X$407,$AA500)+INDEX($V$8:$V$407,$AA500)),"S","R"))))))</f>
        <v/>
      </c>
      <c r="AC500">
        <f>IF(OR($AB500="",$AB500="G"),"",IF($AB500="D",INDEX($U$8:$U$407,$AA500),IF($AB500="S",INDEX($T$8:$T$407,$AA500)&amp;"|*",INDEX($S$8:$S$407,$AA500)&amp;"|*")))</f>
        <v/>
      </c>
    </row>
    <row r="501" ht="21" customHeight="1" s="66">
      <c r="A501" s="3">
        <f>IF($AB501="G","ผลรวมทั้งหมด",IF($AB501="R",INDEX($S$8:$S$407,$AA501),""))</f>
        <v/>
      </c>
      <c r="B501" s="3">
        <f>IF($AB501="S",INDEX($Y$8:$Y$407,$AA501),"")</f>
        <v/>
      </c>
      <c r="C501" s="68">
        <f>IF($AB501="D",INDEX($Z$8:$Z$407,$AA501),"")</f>
        <v/>
      </c>
      <c r="D501" s="31">
        <f>IF($AB501="G",SUM($AE$8:$AE$407),IF(OR($AB501="",$AB501="R"),"",IF($AB501="D",INDEX($AE$8:$AE$407,$AA501),SUMIF($T$8:$T$407,INDEX($T$8:$T$407,$AA501),$AE$8:$AE$407))))</f>
        <v/>
      </c>
      <c r="E501" s="32">
        <f>IF(494=$AD$1+3,"ขอแสดงความนับถือ",IF(494=$AD$1+6,"(                 )",IF(494=$AD$1+7,"เจ้าหน้าที่ขนส่ง",IF($AB501="G",SUM($AF$8:$AF$407),IF(OR($AB501="",$AB501="R"),"",IF($AB501="D",INDEX($AF$8:$AF$407,$AA501),SUMIF($T$8:$T$407,INDEX($T$8:$T$407,$AA501),$AF$8:$AF$407)))))))</f>
        <v/>
      </c>
      <c r="F501" s="32">
        <f>IF($AB501="G",SUM($AG$8:$AG$407),IF(OR($AB501="",$AB501="R"),"",IF($AB501="D",INDEX($AG$8:$AG$407,$AA501),SUMIF($T$8:$T$407,INDEX($T$8:$T$407,$AA501),$AG$8:$AG$407))))</f>
        <v/>
      </c>
      <c r="G501" s="32">
        <f>IF(OR($AB501="",$AB501="R"),"",ROUND($E501-$F501,2))</f>
        <v/>
      </c>
      <c r="H501" s="32">
        <f>IF($AB501="G",SUM($AH$8:$AH$407),IF(OR($AB501="",$AB501="R"),"",IF($AB501="D",INDEX($AH$8:$AH$407,$AA501),SUMIF($T$8:$T$407,INDEX($T$8:$T$407,$AA501),$AH$8:$AH$407))))</f>
        <v/>
      </c>
      <c r="AA501">
        <f>IFERROR(MATCH(494,$X$8:$X$407,1),"")</f>
        <v/>
      </c>
      <c r="AB501">
        <f>IF(494=$AD$1+1,"G",IF($AA501="","",IF(INDEX($Q$8:$Q$407,$AA501)="","",IF(494&gt;INDEX($X$8:$X$407,$AA501)+INDEX($V$8:$V$407,$AA501)+INDEX($W$8:$W$407,$AA501),"",IF(494=INDEX($X$8:$X$407,$AA501)+INDEX($V$8:$V$407,$AA501)+INDEX($W$8:$W$407,$AA501),"D",IF(AND(INDEX($W$8:$W$407,$AA501)=1,494=INDEX($X$8:$X$407,$AA501)+INDEX($V$8:$V$407,$AA501)),"S","R"))))))</f>
        <v/>
      </c>
      <c r="AC501">
        <f>IF(OR($AB501="",$AB501="G"),"",IF($AB501="D",INDEX($U$8:$U$407,$AA501),IF($AB501="S",INDEX($T$8:$T$407,$AA501)&amp;"|*",INDEX($S$8:$S$407,$AA501)&amp;"|*")))</f>
        <v/>
      </c>
    </row>
    <row r="502" ht="21" customHeight="1" s="66">
      <c r="A502" s="3">
        <f>IF($AB502="G","ผลรวมทั้งหมด",IF($AB502="R",INDEX($S$8:$S$407,$AA502),""))</f>
        <v/>
      </c>
      <c r="B502" s="3">
        <f>IF($AB502="S",INDEX($Y$8:$Y$407,$AA502),"")</f>
        <v/>
      </c>
      <c r="C502" s="68">
        <f>IF($AB502="D",INDEX($Z$8:$Z$407,$AA502),"")</f>
        <v/>
      </c>
      <c r="D502" s="31">
        <f>IF($AB502="G",SUM($AE$8:$AE$407),IF(OR($AB502="",$AB502="R"),"",IF($AB502="D",INDEX($AE$8:$AE$407,$AA502),SUMIF($T$8:$T$407,INDEX($T$8:$T$407,$AA502),$AE$8:$AE$407))))</f>
        <v/>
      </c>
      <c r="E502" s="32">
        <f>IF(495=$AD$1+3,"ขอแสดงความนับถือ",IF(495=$AD$1+6,"(                 )",IF(495=$AD$1+7,"เจ้าหน้าที่ขนส่ง",IF($AB502="G",SUM($AF$8:$AF$407),IF(OR($AB502="",$AB502="R"),"",IF($AB502="D",INDEX($AF$8:$AF$407,$AA502),SUMIF($T$8:$T$407,INDEX($T$8:$T$407,$AA502),$AF$8:$AF$407)))))))</f>
        <v/>
      </c>
      <c r="F502" s="32">
        <f>IF($AB502="G",SUM($AG$8:$AG$407),IF(OR($AB502="",$AB502="R"),"",IF($AB502="D",INDEX($AG$8:$AG$407,$AA502),SUMIF($T$8:$T$407,INDEX($T$8:$T$407,$AA502),$AG$8:$AG$407))))</f>
        <v/>
      </c>
      <c r="G502" s="32">
        <f>IF(OR($AB502="",$AB502="R"),"",ROUND($E502-$F502,2))</f>
        <v/>
      </c>
      <c r="H502" s="32">
        <f>IF($AB502="G",SUM($AH$8:$AH$407),IF(OR($AB502="",$AB502="R"),"",IF($AB502="D",INDEX($AH$8:$AH$407,$AA502),SUMIF($T$8:$T$407,INDEX($T$8:$T$407,$AA502),$AH$8:$AH$407))))</f>
        <v/>
      </c>
      <c r="AA502">
        <f>IFERROR(MATCH(495,$X$8:$X$407,1),"")</f>
        <v/>
      </c>
      <c r="AB502">
        <f>IF(495=$AD$1+1,"G",IF($AA502="","",IF(INDEX($Q$8:$Q$407,$AA502)="","",IF(495&gt;INDEX($X$8:$X$407,$AA502)+INDEX($V$8:$V$407,$AA502)+INDEX($W$8:$W$407,$AA502),"",IF(495=INDEX($X$8:$X$407,$AA502)+INDEX($V$8:$V$407,$AA502)+INDEX($W$8:$W$407,$AA502),"D",IF(AND(INDEX($W$8:$W$407,$AA502)=1,495=INDEX($X$8:$X$407,$AA502)+INDEX($V$8:$V$407,$AA502)),"S","R"))))))</f>
        <v/>
      </c>
      <c r="AC502">
        <f>IF(OR($AB502="",$AB502="G"),"",IF($AB502="D",INDEX($U$8:$U$407,$AA502),IF($AB502="S",INDEX($T$8:$T$407,$AA502)&amp;"|*",INDEX($S$8:$S$407,$AA502)&amp;"|*")))</f>
        <v/>
      </c>
    </row>
    <row r="503" ht="21" customHeight="1" s="66">
      <c r="A503" s="3">
        <f>IF($AB503="G","ผลรวมทั้งหมด",IF($AB503="R",INDEX($S$8:$S$407,$AA503),""))</f>
        <v/>
      </c>
      <c r="B503" s="3">
        <f>IF($AB503="S",INDEX($Y$8:$Y$407,$AA503),"")</f>
        <v/>
      </c>
      <c r="C503" s="68">
        <f>IF($AB503="D",INDEX($Z$8:$Z$407,$AA503),"")</f>
        <v/>
      </c>
      <c r="D503" s="31">
        <f>IF($AB503="G",SUM($AE$8:$AE$407),IF(OR($AB503="",$AB503="R"),"",IF($AB503="D",INDEX($AE$8:$AE$407,$AA503),SUMIF($T$8:$T$407,INDEX($T$8:$T$407,$AA503),$AE$8:$AE$407))))</f>
        <v/>
      </c>
      <c r="E503" s="32">
        <f>IF(496=$AD$1+3,"ขอแสดงความนับถือ",IF(496=$AD$1+6,"(                 )",IF(496=$AD$1+7,"เจ้าหน้าที่ขนส่ง",IF($AB503="G",SUM($AF$8:$AF$407),IF(OR($AB503="",$AB503="R"),"",IF($AB503="D",INDEX($AF$8:$AF$407,$AA503),SUMIF($T$8:$T$407,INDEX($T$8:$T$407,$AA503),$AF$8:$AF$407)))))))</f>
        <v/>
      </c>
      <c r="F503" s="32">
        <f>IF($AB503="G",SUM($AG$8:$AG$407),IF(OR($AB503="",$AB503="R"),"",IF($AB503="D",INDEX($AG$8:$AG$407,$AA503),SUMIF($T$8:$T$407,INDEX($T$8:$T$407,$AA503),$AG$8:$AG$407))))</f>
        <v/>
      </c>
      <c r="G503" s="32">
        <f>IF(OR($AB503="",$AB503="R"),"",ROUND($E503-$F503,2))</f>
        <v/>
      </c>
      <c r="H503" s="32">
        <f>IF($AB503="G",SUM($AH$8:$AH$407),IF(OR($AB503="",$AB503="R"),"",IF($AB503="D",INDEX($AH$8:$AH$407,$AA503),SUMIF($T$8:$T$407,INDEX($T$8:$T$407,$AA503),$AH$8:$AH$407))))</f>
        <v/>
      </c>
      <c r="AA503">
        <f>IFERROR(MATCH(496,$X$8:$X$407,1),"")</f>
        <v/>
      </c>
      <c r="AB503">
        <f>IF(496=$AD$1+1,"G",IF($AA503="","",IF(INDEX($Q$8:$Q$407,$AA503)="","",IF(496&gt;INDEX($X$8:$X$407,$AA503)+INDEX($V$8:$V$407,$AA503)+INDEX($W$8:$W$407,$AA503),"",IF(496=INDEX($X$8:$X$407,$AA503)+INDEX($V$8:$V$407,$AA503)+INDEX($W$8:$W$407,$AA503),"D",IF(AND(INDEX($W$8:$W$407,$AA503)=1,496=INDEX($X$8:$X$407,$AA503)+INDEX($V$8:$V$407,$AA503)),"S","R"))))))</f>
        <v/>
      </c>
      <c r="AC503">
        <f>IF(OR($AB503="",$AB503="G"),"",IF($AB503="D",INDEX($U$8:$U$407,$AA503),IF($AB503="S",INDEX($T$8:$T$407,$AA503)&amp;"|*",INDEX($S$8:$S$407,$AA503)&amp;"|*")))</f>
        <v/>
      </c>
    </row>
    <row r="504" ht="21" customHeight="1" s="66">
      <c r="A504" s="3">
        <f>IF($AB504="G","ผลรวมทั้งหมด",IF($AB504="R",INDEX($S$8:$S$407,$AA504),""))</f>
        <v/>
      </c>
      <c r="B504" s="3">
        <f>IF($AB504="S",INDEX($Y$8:$Y$407,$AA504),"")</f>
        <v/>
      </c>
      <c r="C504" s="68">
        <f>IF($AB504="D",INDEX($Z$8:$Z$407,$AA504),"")</f>
        <v/>
      </c>
      <c r="D504" s="31">
        <f>IF($AB504="G",SUM($AE$8:$AE$407),IF(OR($AB504="",$AB504="R"),"",IF($AB504="D",INDEX($AE$8:$AE$407,$AA504),SUMIF($T$8:$T$407,INDEX($T$8:$T$407,$AA504),$AE$8:$AE$407))))</f>
        <v/>
      </c>
      <c r="E504" s="32">
        <f>IF(497=$AD$1+3,"ขอแสดงความนับถือ",IF(497=$AD$1+6,"(                 )",IF(497=$AD$1+7,"เจ้าหน้าที่ขนส่ง",IF($AB504="G",SUM($AF$8:$AF$407),IF(OR($AB504="",$AB504="R"),"",IF($AB504="D",INDEX($AF$8:$AF$407,$AA504),SUMIF($T$8:$T$407,INDEX($T$8:$T$407,$AA504),$AF$8:$AF$407)))))))</f>
        <v/>
      </c>
      <c r="F504" s="32">
        <f>IF($AB504="G",SUM($AG$8:$AG$407),IF(OR($AB504="",$AB504="R"),"",IF($AB504="D",INDEX($AG$8:$AG$407,$AA504),SUMIF($T$8:$T$407,INDEX($T$8:$T$407,$AA504),$AG$8:$AG$407))))</f>
        <v/>
      </c>
      <c r="G504" s="32">
        <f>IF(OR($AB504="",$AB504="R"),"",ROUND($E504-$F504,2))</f>
        <v/>
      </c>
      <c r="H504" s="32">
        <f>IF($AB504="G",SUM($AH$8:$AH$407),IF(OR($AB504="",$AB504="R"),"",IF($AB504="D",INDEX($AH$8:$AH$407,$AA504),SUMIF($T$8:$T$407,INDEX($T$8:$T$407,$AA504),$AH$8:$AH$407))))</f>
        <v/>
      </c>
      <c r="AA504">
        <f>IFERROR(MATCH(497,$X$8:$X$407,1),"")</f>
        <v/>
      </c>
      <c r="AB504">
        <f>IF(497=$AD$1+1,"G",IF($AA504="","",IF(INDEX($Q$8:$Q$407,$AA504)="","",IF(497&gt;INDEX($X$8:$X$407,$AA504)+INDEX($V$8:$V$407,$AA504)+INDEX($W$8:$W$407,$AA504),"",IF(497=INDEX($X$8:$X$407,$AA504)+INDEX($V$8:$V$407,$AA504)+INDEX($W$8:$W$407,$AA504),"D",IF(AND(INDEX($W$8:$W$407,$AA504)=1,497=INDEX($X$8:$X$407,$AA504)+INDEX($V$8:$V$407,$AA504)),"S","R"))))))</f>
        <v/>
      </c>
      <c r="AC504">
        <f>IF(OR($AB504="",$AB504="G"),"",IF($AB504="D",INDEX($U$8:$U$407,$AA504),IF($AB504="S",INDEX($T$8:$T$407,$AA504)&amp;"|*",INDEX($S$8:$S$407,$AA504)&amp;"|*")))</f>
        <v/>
      </c>
    </row>
    <row r="505" ht="21" customHeight="1" s="66">
      <c r="A505" s="3">
        <f>IF($AB505="G","ผลรวมทั้งหมด",IF($AB505="R",INDEX($S$8:$S$407,$AA505),""))</f>
        <v/>
      </c>
      <c r="B505" s="3">
        <f>IF($AB505="S",INDEX($Y$8:$Y$407,$AA505),"")</f>
        <v/>
      </c>
      <c r="C505" s="68">
        <f>IF($AB505="D",INDEX($Z$8:$Z$407,$AA505),"")</f>
        <v/>
      </c>
      <c r="D505" s="31">
        <f>IF($AB505="G",SUM($AE$8:$AE$407),IF(OR($AB505="",$AB505="R"),"",IF($AB505="D",INDEX($AE$8:$AE$407,$AA505),SUMIF($T$8:$T$407,INDEX($T$8:$T$407,$AA505),$AE$8:$AE$407))))</f>
        <v/>
      </c>
      <c r="E505" s="32">
        <f>IF(498=$AD$1+3,"ขอแสดงความนับถือ",IF(498=$AD$1+6,"(                 )",IF(498=$AD$1+7,"เจ้าหน้าที่ขนส่ง",IF($AB505="G",SUM($AF$8:$AF$407),IF(OR($AB505="",$AB505="R"),"",IF($AB505="D",INDEX($AF$8:$AF$407,$AA505),SUMIF($T$8:$T$407,INDEX($T$8:$T$407,$AA505),$AF$8:$AF$407)))))))</f>
        <v/>
      </c>
      <c r="F505" s="32">
        <f>IF($AB505="G",SUM($AG$8:$AG$407),IF(OR($AB505="",$AB505="R"),"",IF($AB505="D",INDEX($AG$8:$AG$407,$AA505),SUMIF($T$8:$T$407,INDEX($T$8:$T$407,$AA505),$AG$8:$AG$407))))</f>
        <v/>
      </c>
      <c r="G505" s="32">
        <f>IF(OR($AB505="",$AB505="R"),"",ROUND($E505-$F505,2))</f>
        <v/>
      </c>
      <c r="H505" s="32">
        <f>IF($AB505="G",SUM($AH$8:$AH$407),IF(OR($AB505="",$AB505="R"),"",IF($AB505="D",INDEX($AH$8:$AH$407,$AA505),SUMIF($T$8:$T$407,INDEX($T$8:$T$407,$AA505),$AH$8:$AH$407))))</f>
        <v/>
      </c>
      <c r="AA505">
        <f>IFERROR(MATCH(498,$X$8:$X$407,1),"")</f>
        <v/>
      </c>
      <c r="AB505">
        <f>IF(498=$AD$1+1,"G",IF($AA505="","",IF(INDEX($Q$8:$Q$407,$AA505)="","",IF(498&gt;INDEX($X$8:$X$407,$AA505)+INDEX($V$8:$V$407,$AA505)+INDEX($W$8:$W$407,$AA505),"",IF(498=INDEX($X$8:$X$407,$AA505)+INDEX($V$8:$V$407,$AA505)+INDEX($W$8:$W$407,$AA505),"D",IF(AND(INDEX($W$8:$W$407,$AA505)=1,498=INDEX($X$8:$X$407,$AA505)+INDEX($V$8:$V$407,$AA505)),"S","R"))))))</f>
        <v/>
      </c>
      <c r="AC505">
        <f>IF(OR($AB505="",$AB505="G"),"",IF($AB505="D",INDEX($U$8:$U$407,$AA505),IF($AB505="S",INDEX($T$8:$T$407,$AA505)&amp;"|*",INDEX($S$8:$S$407,$AA505)&amp;"|*")))</f>
        <v/>
      </c>
    </row>
    <row r="506" ht="21" customHeight="1" s="66">
      <c r="A506" s="3">
        <f>IF($AB506="G","ผลรวมทั้งหมด",IF($AB506="R",INDEX($S$8:$S$407,$AA506),""))</f>
        <v/>
      </c>
      <c r="B506" s="3">
        <f>IF($AB506="S",INDEX($Y$8:$Y$407,$AA506),"")</f>
        <v/>
      </c>
      <c r="C506" s="68">
        <f>IF($AB506="D",INDEX($Z$8:$Z$407,$AA506),"")</f>
        <v/>
      </c>
      <c r="D506" s="31">
        <f>IF($AB506="G",SUM($AE$8:$AE$407),IF(OR($AB506="",$AB506="R"),"",IF($AB506="D",INDEX($AE$8:$AE$407,$AA506),SUMIF($T$8:$T$407,INDEX($T$8:$T$407,$AA506),$AE$8:$AE$407))))</f>
        <v/>
      </c>
      <c r="E506" s="32">
        <f>IF(499=$AD$1+3,"ขอแสดงความนับถือ",IF(499=$AD$1+6,"(                 )",IF(499=$AD$1+7,"เจ้าหน้าที่ขนส่ง",IF($AB506="G",SUM($AF$8:$AF$407),IF(OR($AB506="",$AB506="R"),"",IF($AB506="D",INDEX($AF$8:$AF$407,$AA506),SUMIF($T$8:$T$407,INDEX($T$8:$T$407,$AA506),$AF$8:$AF$407)))))))</f>
        <v/>
      </c>
      <c r="F506" s="32">
        <f>IF($AB506="G",SUM($AG$8:$AG$407),IF(OR($AB506="",$AB506="R"),"",IF($AB506="D",INDEX($AG$8:$AG$407,$AA506),SUMIF($T$8:$T$407,INDEX($T$8:$T$407,$AA506),$AG$8:$AG$407))))</f>
        <v/>
      </c>
      <c r="G506" s="32">
        <f>IF(OR($AB506="",$AB506="R"),"",ROUND($E506-$F506,2))</f>
        <v/>
      </c>
      <c r="H506" s="32">
        <f>IF($AB506="G",SUM($AH$8:$AH$407),IF(OR($AB506="",$AB506="R"),"",IF($AB506="D",INDEX($AH$8:$AH$407,$AA506),SUMIF($T$8:$T$407,INDEX($T$8:$T$407,$AA506),$AH$8:$AH$407))))</f>
        <v/>
      </c>
      <c r="AA506">
        <f>IFERROR(MATCH(499,$X$8:$X$407,1),"")</f>
        <v/>
      </c>
      <c r="AB506">
        <f>IF(499=$AD$1+1,"G",IF($AA506="","",IF(INDEX($Q$8:$Q$407,$AA506)="","",IF(499&gt;INDEX($X$8:$X$407,$AA506)+INDEX($V$8:$V$407,$AA506)+INDEX($W$8:$W$407,$AA506),"",IF(499=INDEX($X$8:$X$407,$AA506)+INDEX($V$8:$V$407,$AA506)+INDEX($W$8:$W$407,$AA506),"D",IF(AND(INDEX($W$8:$W$407,$AA506)=1,499=INDEX($X$8:$X$407,$AA506)+INDEX($V$8:$V$407,$AA506)),"S","R"))))))</f>
        <v/>
      </c>
      <c r="AC506">
        <f>IF(OR($AB506="",$AB506="G"),"",IF($AB506="D",INDEX($U$8:$U$407,$AA506),IF($AB506="S",INDEX($T$8:$T$407,$AA506)&amp;"|*",INDEX($S$8:$S$407,$AA506)&amp;"|*")))</f>
        <v/>
      </c>
    </row>
    <row r="507" ht="21" customHeight="1" s="66">
      <c r="A507" s="3">
        <f>IF($AB507="G","ผลรวมทั้งหมด",IF($AB507="R",INDEX($S$8:$S$407,$AA507),""))</f>
        <v/>
      </c>
      <c r="B507" s="3">
        <f>IF($AB507="S",INDEX($Y$8:$Y$407,$AA507),"")</f>
        <v/>
      </c>
      <c r="C507" s="68">
        <f>IF($AB507="D",INDEX($Z$8:$Z$407,$AA507),"")</f>
        <v/>
      </c>
      <c r="D507" s="31">
        <f>IF($AB507="G",SUM($AE$8:$AE$407),IF(OR($AB507="",$AB507="R"),"",IF($AB507="D",INDEX($AE$8:$AE$407,$AA507),SUMIF($T$8:$T$407,INDEX($T$8:$T$407,$AA507),$AE$8:$AE$407))))</f>
        <v/>
      </c>
      <c r="E507" s="32">
        <f>IF(500=$AD$1+3,"ขอแสดงความนับถือ",IF(500=$AD$1+6,"(                 )",IF(500=$AD$1+7,"เจ้าหน้าที่ขนส่ง",IF($AB507="G",SUM($AF$8:$AF$407),IF(OR($AB507="",$AB507="R"),"",IF($AB507="D",INDEX($AF$8:$AF$407,$AA507),SUMIF($T$8:$T$407,INDEX($T$8:$T$407,$AA507),$AF$8:$AF$407)))))))</f>
        <v/>
      </c>
      <c r="F507" s="32">
        <f>IF($AB507="G",SUM($AG$8:$AG$407),IF(OR($AB507="",$AB507="R"),"",IF($AB507="D",INDEX($AG$8:$AG$407,$AA507),SUMIF($T$8:$T$407,INDEX($T$8:$T$407,$AA507),$AG$8:$AG$407))))</f>
        <v/>
      </c>
      <c r="G507" s="32">
        <f>IF(OR($AB507="",$AB507="R"),"",ROUND($E507-$F507,2))</f>
        <v/>
      </c>
      <c r="H507" s="32">
        <f>IF($AB507="G",SUM($AH$8:$AH$407),IF(OR($AB507="",$AB507="R"),"",IF($AB507="D",INDEX($AH$8:$AH$407,$AA507),SUMIF($T$8:$T$407,INDEX($T$8:$T$407,$AA507),$AH$8:$AH$407))))</f>
        <v/>
      </c>
      <c r="AA507">
        <f>IFERROR(MATCH(500,$X$8:$X$407,1),"")</f>
        <v/>
      </c>
      <c r="AB507">
        <f>IF(500=$AD$1+1,"G",IF($AA507="","",IF(INDEX($Q$8:$Q$407,$AA507)="","",IF(500&gt;INDEX($X$8:$X$407,$AA507)+INDEX($V$8:$V$407,$AA507)+INDEX($W$8:$W$407,$AA507),"",IF(500=INDEX($X$8:$X$407,$AA507)+INDEX($V$8:$V$407,$AA507)+INDEX($W$8:$W$407,$AA507),"D",IF(AND(INDEX($W$8:$W$407,$AA507)=1,500=INDEX($X$8:$X$407,$AA507)+INDEX($V$8:$V$407,$AA507)),"S","R"))))))</f>
        <v/>
      </c>
      <c r="AC507">
        <f>IF(OR($AB507="",$AB507="G"),"",IF($AB507="D",INDEX($U$8:$U$407,$AA507),IF($AB507="S",INDEX($T$8:$T$407,$AA507)&amp;"|*",INDEX($S$8:$S$407,$AA507)&amp;"|*")))</f>
        <v/>
      </c>
    </row>
    <row r="508" ht="21" customHeight="1" s="66">
      <c r="A508" s="3">
        <f>IF($AB508="G","ผลรวมทั้งหมด",IF($AB508="R",INDEX($S$8:$S$407,$AA508),""))</f>
        <v/>
      </c>
      <c r="B508" s="3">
        <f>IF($AB508="S",INDEX($Y$8:$Y$407,$AA508),"")</f>
        <v/>
      </c>
      <c r="C508" s="68">
        <f>IF($AB508="D",INDEX($Z$8:$Z$407,$AA508),"")</f>
        <v/>
      </c>
      <c r="D508" s="31">
        <f>IF($AB508="G",SUM($AE$8:$AE$407),IF(OR($AB508="",$AB508="R"),"",IF($AB508="D",INDEX($AE$8:$AE$407,$AA508),SUMIF($T$8:$T$407,INDEX($T$8:$T$407,$AA508),$AE$8:$AE$407))))</f>
        <v/>
      </c>
      <c r="E508" s="32">
        <f>IF(501=$AD$1+3,"ขอแสดงความนับถือ",IF(501=$AD$1+6,"(                 )",IF(501=$AD$1+7,"เจ้าหน้าที่ขนส่ง",IF($AB508="G",SUM($AF$8:$AF$407),IF(OR($AB508="",$AB508="R"),"",IF($AB508="D",INDEX($AF$8:$AF$407,$AA508),SUMIF($T$8:$T$407,INDEX($T$8:$T$407,$AA508),$AF$8:$AF$407)))))))</f>
        <v/>
      </c>
      <c r="F508" s="32">
        <f>IF($AB508="G",SUM($AG$8:$AG$407),IF(OR($AB508="",$AB508="R"),"",IF($AB508="D",INDEX($AG$8:$AG$407,$AA508),SUMIF($T$8:$T$407,INDEX($T$8:$T$407,$AA508),$AG$8:$AG$407))))</f>
        <v/>
      </c>
      <c r="G508" s="32">
        <f>IF(OR($AB508="",$AB508="R"),"",ROUND($E508-$F508,2))</f>
        <v/>
      </c>
      <c r="H508" s="32">
        <f>IF($AB508="G",SUM($AH$8:$AH$407),IF(OR($AB508="",$AB508="R"),"",IF($AB508="D",INDEX($AH$8:$AH$407,$AA508),SUMIF($T$8:$T$407,INDEX($T$8:$T$407,$AA508),$AH$8:$AH$407))))</f>
        <v/>
      </c>
      <c r="AA508">
        <f>IFERROR(MATCH(501,$X$8:$X$407,1),"")</f>
        <v/>
      </c>
      <c r="AB508">
        <f>IF(501=$AD$1+1,"G",IF($AA508="","",IF(INDEX($Q$8:$Q$407,$AA508)="","",IF(501&gt;INDEX($X$8:$X$407,$AA508)+INDEX($V$8:$V$407,$AA508)+INDEX($W$8:$W$407,$AA508),"",IF(501=INDEX($X$8:$X$407,$AA508)+INDEX($V$8:$V$407,$AA508)+INDEX($W$8:$W$407,$AA508),"D",IF(AND(INDEX($W$8:$W$407,$AA508)=1,501=INDEX($X$8:$X$407,$AA508)+INDEX($V$8:$V$407,$AA508)),"S","R"))))))</f>
        <v/>
      </c>
      <c r="AC508">
        <f>IF(OR($AB508="",$AB508="G"),"",IF($AB508="D",INDEX($U$8:$U$407,$AA508),IF($AB508="S",INDEX($T$8:$T$407,$AA508)&amp;"|*",INDEX($S$8:$S$407,$AA508)&amp;"|*")))</f>
        <v/>
      </c>
    </row>
    <row r="509" ht="21" customHeight="1" s="66">
      <c r="A509" s="3">
        <f>IF($AB509="G","ผลรวมทั้งหมด",IF($AB509="R",INDEX($S$8:$S$407,$AA509),""))</f>
        <v/>
      </c>
      <c r="B509" s="3">
        <f>IF($AB509="S",INDEX($Y$8:$Y$407,$AA509),"")</f>
        <v/>
      </c>
      <c r="C509" s="68">
        <f>IF($AB509="D",INDEX($Z$8:$Z$407,$AA509),"")</f>
        <v/>
      </c>
      <c r="D509" s="31">
        <f>IF($AB509="G",SUM($AE$8:$AE$407),IF(OR($AB509="",$AB509="R"),"",IF($AB509="D",INDEX($AE$8:$AE$407,$AA509),SUMIF($T$8:$T$407,INDEX($T$8:$T$407,$AA509),$AE$8:$AE$407))))</f>
        <v/>
      </c>
      <c r="E509" s="32">
        <f>IF(502=$AD$1+3,"ขอแสดงความนับถือ",IF(502=$AD$1+6,"(                 )",IF(502=$AD$1+7,"เจ้าหน้าที่ขนส่ง",IF($AB509="G",SUM($AF$8:$AF$407),IF(OR($AB509="",$AB509="R"),"",IF($AB509="D",INDEX($AF$8:$AF$407,$AA509),SUMIF($T$8:$T$407,INDEX($T$8:$T$407,$AA509),$AF$8:$AF$407)))))))</f>
        <v/>
      </c>
      <c r="F509" s="32">
        <f>IF($AB509="G",SUM($AG$8:$AG$407),IF(OR($AB509="",$AB509="R"),"",IF($AB509="D",INDEX($AG$8:$AG$407,$AA509),SUMIF($T$8:$T$407,INDEX($T$8:$T$407,$AA509),$AG$8:$AG$407))))</f>
        <v/>
      </c>
      <c r="G509" s="32">
        <f>IF(OR($AB509="",$AB509="R"),"",ROUND($E509-$F509,2))</f>
        <v/>
      </c>
      <c r="H509" s="32">
        <f>IF($AB509="G",SUM($AH$8:$AH$407),IF(OR($AB509="",$AB509="R"),"",IF($AB509="D",INDEX($AH$8:$AH$407,$AA509),SUMIF($T$8:$T$407,INDEX($T$8:$T$407,$AA509),$AH$8:$AH$407))))</f>
        <v/>
      </c>
      <c r="AA509">
        <f>IFERROR(MATCH(502,$X$8:$X$407,1),"")</f>
        <v/>
      </c>
      <c r="AB509">
        <f>IF(502=$AD$1+1,"G",IF($AA509="","",IF(INDEX($Q$8:$Q$407,$AA509)="","",IF(502&gt;INDEX($X$8:$X$407,$AA509)+INDEX($V$8:$V$407,$AA509)+INDEX($W$8:$W$407,$AA509),"",IF(502=INDEX($X$8:$X$407,$AA509)+INDEX($V$8:$V$407,$AA509)+INDEX($W$8:$W$407,$AA509),"D",IF(AND(INDEX($W$8:$W$407,$AA509)=1,502=INDEX($X$8:$X$407,$AA509)+INDEX($V$8:$V$407,$AA509)),"S","R"))))))</f>
        <v/>
      </c>
      <c r="AC509">
        <f>IF(OR($AB509="",$AB509="G"),"",IF($AB509="D",INDEX($U$8:$U$407,$AA509),IF($AB509="S",INDEX($T$8:$T$407,$AA509)&amp;"|*",INDEX($S$8:$S$407,$AA509)&amp;"|*")))</f>
        <v/>
      </c>
    </row>
    <row r="510" ht="21" customHeight="1" s="66">
      <c r="A510" s="3">
        <f>IF($AB510="G","ผลรวมทั้งหมด",IF($AB510="R",INDEX($S$8:$S$407,$AA510),""))</f>
        <v/>
      </c>
      <c r="B510" s="3">
        <f>IF($AB510="S",INDEX($Y$8:$Y$407,$AA510),"")</f>
        <v/>
      </c>
      <c r="C510" s="68">
        <f>IF($AB510="D",INDEX($Z$8:$Z$407,$AA510),"")</f>
        <v/>
      </c>
      <c r="D510" s="31">
        <f>IF($AB510="G",SUM($AE$8:$AE$407),IF(OR($AB510="",$AB510="R"),"",IF($AB510="D",INDEX($AE$8:$AE$407,$AA510),SUMIF($T$8:$T$407,INDEX($T$8:$T$407,$AA510),$AE$8:$AE$407))))</f>
        <v/>
      </c>
      <c r="E510" s="32">
        <f>IF(503=$AD$1+3,"ขอแสดงความนับถือ",IF(503=$AD$1+6,"(                 )",IF(503=$AD$1+7,"เจ้าหน้าที่ขนส่ง",IF($AB510="G",SUM($AF$8:$AF$407),IF(OR($AB510="",$AB510="R"),"",IF($AB510="D",INDEX($AF$8:$AF$407,$AA510),SUMIF($T$8:$T$407,INDEX($T$8:$T$407,$AA510),$AF$8:$AF$407)))))))</f>
        <v/>
      </c>
      <c r="F510" s="32">
        <f>IF($AB510="G",SUM($AG$8:$AG$407),IF(OR($AB510="",$AB510="R"),"",IF($AB510="D",INDEX($AG$8:$AG$407,$AA510),SUMIF($T$8:$T$407,INDEX($T$8:$T$407,$AA510),$AG$8:$AG$407))))</f>
        <v/>
      </c>
      <c r="G510" s="32">
        <f>IF(OR($AB510="",$AB510="R"),"",ROUND($E510-$F510,2))</f>
        <v/>
      </c>
      <c r="H510" s="32">
        <f>IF($AB510="G",SUM($AH$8:$AH$407),IF(OR($AB510="",$AB510="R"),"",IF($AB510="D",INDEX($AH$8:$AH$407,$AA510),SUMIF($T$8:$T$407,INDEX($T$8:$T$407,$AA510),$AH$8:$AH$407))))</f>
        <v/>
      </c>
      <c r="AA510">
        <f>IFERROR(MATCH(503,$X$8:$X$407,1),"")</f>
        <v/>
      </c>
      <c r="AB510">
        <f>IF(503=$AD$1+1,"G",IF($AA510="","",IF(INDEX($Q$8:$Q$407,$AA510)="","",IF(503&gt;INDEX($X$8:$X$407,$AA510)+INDEX($V$8:$V$407,$AA510)+INDEX($W$8:$W$407,$AA510),"",IF(503=INDEX($X$8:$X$407,$AA510)+INDEX($V$8:$V$407,$AA510)+INDEX($W$8:$W$407,$AA510),"D",IF(AND(INDEX($W$8:$W$407,$AA510)=1,503=INDEX($X$8:$X$407,$AA510)+INDEX($V$8:$V$407,$AA510)),"S","R"))))))</f>
        <v/>
      </c>
      <c r="AC510">
        <f>IF(OR($AB510="",$AB510="G"),"",IF($AB510="D",INDEX($U$8:$U$407,$AA510),IF($AB510="S",INDEX($T$8:$T$407,$AA510)&amp;"|*",INDEX($S$8:$S$407,$AA510)&amp;"|*")))</f>
        <v/>
      </c>
    </row>
    <row r="511" ht="21" customHeight="1" s="66">
      <c r="A511" s="3">
        <f>IF($AB511="G","ผลรวมทั้งหมด",IF($AB511="R",INDEX($S$8:$S$407,$AA511),""))</f>
        <v/>
      </c>
      <c r="B511" s="3">
        <f>IF($AB511="S",INDEX($Y$8:$Y$407,$AA511),"")</f>
        <v/>
      </c>
      <c r="C511" s="68">
        <f>IF($AB511="D",INDEX($Z$8:$Z$407,$AA511),"")</f>
        <v/>
      </c>
      <c r="D511" s="31">
        <f>IF($AB511="G",SUM($AE$8:$AE$407),IF(OR($AB511="",$AB511="R"),"",IF($AB511="D",INDEX($AE$8:$AE$407,$AA511),SUMIF($T$8:$T$407,INDEX($T$8:$T$407,$AA511),$AE$8:$AE$407))))</f>
        <v/>
      </c>
      <c r="E511" s="32">
        <f>IF(504=$AD$1+3,"ขอแสดงความนับถือ",IF(504=$AD$1+6,"(                 )",IF(504=$AD$1+7,"เจ้าหน้าที่ขนส่ง",IF($AB511="G",SUM($AF$8:$AF$407),IF(OR($AB511="",$AB511="R"),"",IF($AB511="D",INDEX($AF$8:$AF$407,$AA511),SUMIF($T$8:$T$407,INDEX($T$8:$T$407,$AA511),$AF$8:$AF$407)))))))</f>
        <v/>
      </c>
      <c r="F511" s="32">
        <f>IF($AB511="G",SUM($AG$8:$AG$407),IF(OR($AB511="",$AB511="R"),"",IF($AB511="D",INDEX($AG$8:$AG$407,$AA511),SUMIF($T$8:$T$407,INDEX($T$8:$T$407,$AA511),$AG$8:$AG$407))))</f>
        <v/>
      </c>
      <c r="G511" s="32">
        <f>IF(OR($AB511="",$AB511="R"),"",ROUND($E511-$F511,2))</f>
        <v/>
      </c>
      <c r="H511" s="32">
        <f>IF($AB511="G",SUM($AH$8:$AH$407),IF(OR($AB511="",$AB511="R"),"",IF($AB511="D",INDEX($AH$8:$AH$407,$AA511),SUMIF($T$8:$T$407,INDEX($T$8:$T$407,$AA511),$AH$8:$AH$407))))</f>
        <v/>
      </c>
      <c r="AA511">
        <f>IFERROR(MATCH(504,$X$8:$X$407,1),"")</f>
        <v/>
      </c>
      <c r="AB511">
        <f>IF(504=$AD$1+1,"G",IF($AA511="","",IF(INDEX($Q$8:$Q$407,$AA511)="","",IF(504&gt;INDEX($X$8:$X$407,$AA511)+INDEX($V$8:$V$407,$AA511)+INDEX($W$8:$W$407,$AA511),"",IF(504=INDEX($X$8:$X$407,$AA511)+INDEX($V$8:$V$407,$AA511)+INDEX($W$8:$W$407,$AA511),"D",IF(AND(INDEX($W$8:$W$407,$AA511)=1,504=INDEX($X$8:$X$407,$AA511)+INDEX($V$8:$V$407,$AA511)),"S","R"))))))</f>
        <v/>
      </c>
      <c r="AC511">
        <f>IF(OR($AB511="",$AB511="G"),"",IF($AB511="D",INDEX($U$8:$U$407,$AA511),IF($AB511="S",INDEX($T$8:$T$407,$AA511)&amp;"|*",INDEX($S$8:$S$407,$AA511)&amp;"|*")))</f>
        <v/>
      </c>
    </row>
    <row r="512" ht="21" customHeight="1" s="66">
      <c r="A512" s="3">
        <f>IF($AB512="G","ผลรวมทั้งหมด",IF($AB512="R",INDEX($S$8:$S$407,$AA512),""))</f>
        <v/>
      </c>
      <c r="B512" s="3">
        <f>IF($AB512="S",INDEX($Y$8:$Y$407,$AA512),"")</f>
        <v/>
      </c>
      <c r="C512" s="68">
        <f>IF($AB512="D",INDEX($Z$8:$Z$407,$AA512),"")</f>
        <v/>
      </c>
      <c r="D512" s="31">
        <f>IF($AB512="G",SUM($AE$8:$AE$407),IF(OR($AB512="",$AB512="R"),"",IF($AB512="D",INDEX($AE$8:$AE$407,$AA512),SUMIF($T$8:$T$407,INDEX($T$8:$T$407,$AA512),$AE$8:$AE$407))))</f>
        <v/>
      </c>
      <c r="E512" s="32">
        <f>IF(505=$AD$1+3,"ขอแสดงความนับถือ",IF(505=$AD$1+6,"(                 )",IF(505=$AD$1+7,"เจ้าหน้าที่ขนส่ง",IF($AB512="G",SUM($AF$8:$AF$407),IF(OR($AB512="",$AB512="R"),"",IF($AB512="D",INDEX($AF$8:$AF$407,$AA512),SUMIF($T$8:$T$407,INDEX($T$8:$T$407,$AA512),$AF$8:$AF$407)))))))</f>
        <v/>
      </c>
      <c r="F512" s="32">
        <f>IF($AB512="G",SUM($AG$8:$AG$407),IF(OR($AB512="",$AB512="R"),"",IF($AB512="D",INDEX($AG$8:$AG$407,$AA512),SUMIF($T$8:$T$407,INDEX($T$8:$T$407,$AA512),$AG$8:$AG$407))))</f>
        <v/>
      </c>
      <c r="G512" s="32">
        <f>IF(OR($AB512="",$AB512="R"),"",ROUND($E512-$F512,2))</f>
        <v/>
      </c>
      <c r="H512" s="32">
        <f>IF($AB512="G",SUM($AH$8:$AH$407),IF(OR($AB512="",$AB512="R"),"",IF($AB512="D",INDEX($AH$8:$AH$407,$AA512),SUMIF($T$8:$T$407,INDEX($T$8:$T$407,$AA512),$AH$8:$AH$407))))</f>
        <v/>
      </c>
      <c r="AA512">
        <f>IFERROR(MATCH(505,$X$8:$X$407,1),"")</f>
        <v/>
      </c>
      <c r="AB512">
        <f>IF(505=$AD$1+1,"G",IF($AA512="","",IF(INDEX($Q$8:$Q$407,$AA512)="","",IF(505&gt;INDEX($X$8:$X$407,$AA512)+INDEX($V$8:$V$407,$AA512)+INDEX($W$8:$W$407,$AA512),"",IF(505=INDEX($X$8:$X$407,$AA512)+INDEX($V$8:$V$407,$AA512)+INDEX($W$8:$W$407,$AA512),"D",IF(AND(INDEX($W$8:$W$407,$AA512)=1,505=INDEX($X$8:$X$407,$AA512)+INDEX($V$8:$V$407,$AA512)),"S","R"))))))</f>
        <v/>
      </c>
      <c r="AC512">
        <f>IF(OR($AB512="",$AB512="G"),"",IF($AB512="D",INDEX($U$8:$U$407,$AA512),IF($AB512="S",INDEX($T$8:$T$407,$AA512)&amp;"|*",INDEX($S$8:$S$407,$AA512)&amp;"|*")))</f>
        <v/>
      </c>
    </row>
    <row r="513" ht="21" customHeight="1" s="66">
      <c r="A513" s="3">
        <f>IF($AB513="G","ผลรวมทั้งหมด",IF($AB513="R",INDEX($S$8:$S$407,$AA513),""))</f>
        <v/>
      </c>
      <c r="B513" s="3">
        <f>IF($AB513="S",INDEX($Y$8:$Y$407,$AA513),"")</f>
        <v/>
      </c>
      <c r="C513" s="68">
        <f>IF($AB513="D",INDEX($Z$8:$Z$407,$AA513),"")</f>
        <v/>
      </c>
      <c r="D513" s="31">
        <f>IF($AB513="G",SUM($AE$8:$AE$407),IF(OR($AB513="",$AB513="R"),"",IF($AB513="D",INDEX($AE$8:$AE$407,$AA513),SUMIF($T$8:$T$407,INDEX($T$8:$T$407,$AA513),$AE$8:$AE$407))))</f>
        <v/>
      </c>
      <c r="E513" s="32">
        <f>IF(506=$AD$1+3,"ขอแสดงความนับถือ",IF(506=$AD$1+6,"(                 )",IF(506=$AD$1+7,"เจ้าหน้าที่ขนส่ง",IF($AB513="G",SUM($AF$8:$AF$407),IF(OR($AB513="",$AB513="R"),"",IF($AB513="D",INDEX($AF$8:$AF$407,$AA513),SUMIF($T$8:$T$407,INDEX($T$8:$T$407,$AA513),$AF$8:$AF$407)))))))</f>
        <v/>
      </c>
      <c r="F513" s="32">
        <f>IF($AB513="G",SUM($AG$8:$AG$407),IF(OR($AB513="",$AB513="R"),"",IF($AB513="D",INDEX($AG$8:$AG$407,$AA513),SUMIF($T$8:$T$407,INDEX($T$8:$T$407,$AA513),$AG$8:$AG$407))))</f>
        <v/>
      </c>
      <c r="G513" s="32">
        <f>IF(OR($AB513="",$AB513="R"),"",ROUND($E513-$F513,2))</f>
        <v/>
      </c>
      <c r="H513" s="32">
        <f>IF($AB513="G",SUM($AH$8:$AH$407),IF(OR($AB513="",$AB513="R"),"",IF($AB513="D",INDEX($AH$8:$AH$407,$AA513),SUMIF($T$8:$T$407,INDEX($T$8:$T$407,$AA513),$AH$8:$AH$407))))</f>
        <v/>
      </c>
      <c r="AA513">
        <f>IFERROR(MATCH(506,$X$8:$X$407,1),"")</f>
        <v/>
      </c>
      <c r="AB513">
        <f>IF(506=$AD$1+1,"G",IF($AA513="","",IF(INDEX($Q$8:$Q$407,$AA513)="","",IF(506&gt;INDEX($X$8:$X$407,$AA513)+INDEX($V$8:$V$407,$AA513)+INDEX($W$8:$W$407,$AA513),"",IF(506=INDEX($X$8:$X$407,$AA513)+INDEX($V$8:$V$407,$AA513)+INDEX($W$8:$W$407,$AA513),"D",IF(AND(INDEX($W$8:$W$407,$AA513)=1,506=INDEX($X$8:$X$407,$AA513)+INDEX($V$8:$V$407,$AA513)),"S","R"))))))</f>
        <v/>
      </c>
      <c r="AC513">
        <f>IF(OR($AB513="",$AB513="G"),"",IF($AB513="D",INDEX($U$8:$U$407,$AA513),IF($AB513="S",INDEX($T$8:$T$407,$AA513)&amp;"|*",INDEX($S$8:$S$407,$AA513)&amp;"|*")))</f>
        <v/>
      </c>
    </row>
    <row r="514" ht="21" customHeight="1" s="66">
      <c r="A514" s="3">
        <f>IF($AB514="G","ผลรวมทั้งหมด",IF($AB514="R",INDEX($S$8:$S$407,$AA514),""))</f>
        <v/>
      </c>
      <c r="B514" s="3">
        <f>IF($AB514="S",INDEX($Y$8:$Y$407,$AA514),"")</f>
        <v/>
      </c>
      <c r="C514" s="68">
        <f>IF($AB514="D",INDEX($Z$8:$Z$407,$AA514),"")</f>
        <v/>
      </c>
      <c r="D514" s="31">
        <f>IF($AB514="G",SUM($AE$8:$AE$407),IF(OR($AB514="",$AB514="R"),"",IF($AB514="D",INDEX($AE$8:$AE$407,$AA514),SUMIF($T$8:$T$407,INDEX($T$8:$T$407,$AA514),$AE$8:$AE$407))))</f>
        <v/>
      </c>
      <c r="E514" s="32">
        <f>IF(507=$AD$1+3,"ขอแสดงความนับถือ",IF(507=$AD$1+6,"(                 )",IF(507=$AD$1+7,"เจ้าหน้าที่ขนส่ง",IF($AB514="G",SUM($AF$8:$AF$407),IF(OR($AB514="",$AB514="R"),"",IF($AB514="D",INDEX($AF$8:$AF$407,$AA514),SUMIF($T$8:$T$407,INDEX($T$8:$T$407,$AA514),$AF$8:$AF$407)))))))</f>
        <v/>
      </c>
      <c r="F514" s="32">
        <f>IF($AB514="G",SUM($AG$8:$AG$407),IF(OR($AB514="",$AB514="R"),"",IF($AB514="D",INDEX($AG$8:$AG$407,$AA514),SUMIF($T$8:$T$407,INDEX($T$8:$T$407,$AA514),$AG$8:$AG$407))))</f>
        <v/>
      </c>
      <c r="G514" s="32">
        <f>IF(OR($AB514="",$AB514="R"),"",ROUND($E514-$F514,2))</f>
        <v/>
      </c>
      <c r="H514" s="32">
        <f>IF($AB514="G",SUM($AH$8:$AH$407),IF(OR($AB514="",$AB514="R"),"",IF($AB514="D",INDEX($AH$8:$AH$407,$AA514),SUMIF($T$8:$T$407,INDEX($T$8:$T$407,$AA514),$AH$8:$AH$407))))</f>
        <v/>
      </c>
      <c r="AA514">
        <f>IFERROR(MATCH(507,$X$8:$X$407,1),"")</f>
        <v/>
      </c>
      <c r="AB514">
        <f>IF(507=$AD$1+1,"G",IF($AA514="","",IF(INDEX($Q$8:$Q$407,$AA514)="","",IF(507&gt;INDEX($X$8:$X$407,$AA514)+INDEX($V$8:$V$407,$AA514)+INDEX($W$8:$W$407,$AA514),"",IF(507=INDEX($X$8:$X$407,$AA514)+INDEX($V$8:$V$407,$AA514)+INDEX($W$8:$W$407,$AA514),"D",IF(AND(INDEX($W$8:$W$407,$AA514)=1,507=INDEX($X$8:$X$407,$AA514)+INDEX($V$8:$V$407,$AA514)),"S","R"))))))</f>
        <v/>
      </c>
      <c r="AC514">
        <f>IF(OR($AB514="",$AB514="G"),"",IF($AB514="D",INDEX($U$8:$U$407,$AA514),IF($AB514="S",INDEX($T$8:$T$407,$AA514)&amp;"|*",INDEX($S$8:$S$407,$AA514)&amp;"|*")))</f>
        <v/>
      </c>
    </row>
    <row r="515" ht="21" customHeight="1" s="66">
      <c r="A515" s="3">
        <f>IF($AB515="G","ผลรวมทั้งหมด",IF($AB515="R",INDEX($S$8:$S$407,$AA515),""))</f>
        <v/>
      </c>
      <c r="B515" s="3">
        <f>IF($AB515="S",INDEX($Y$8:$Y$407,$AA515),"")</f>
        <v/>
      </c>
      <c r="C515" s="68">
        <f>IF($AB515="D",INDEX($Z$8:$Z$407,$AA515),"")</f>
        <v/>
      </c>
      <c r="D515" s="31">
        <f>IF($AB515="G",SUM($AE$8:$AE$407),IF(OR($AB515="",$AB515="R"),"",IF($AB515="D",INDEX($AE$8:$AE$407,$AA515),SUMIF($T$8:$T$407,INDEX($T$8:$T$407,$AA515),$AE$8:$AE$407))))</f>
        <v/>
      </c>
      <c r="E515" s="32">
        <f>IF(508=$AD$1+3,"ขอแสดงความนับถือ",IF(508=$AD$1+6,"(                 )",IF(508=$AD$1+7,"เจ้าหน้าที่ขนส่ง",IF($AB515="G",SUM($AF$8:$AF$407),IF(OR($AB515="",$AB515="R"),"",IF($AB515="D",INDEX($AF$8:$AF$407,$AA515),SUMIF($T$8:$T$407,INDEX($T$8:$T$407,$AA515),$AF$8:$AF$407)))))))</f>
        <v/>
      </c>
      <c r="F515" s="32">
        <f>IF($AB515="G",SUM($AG$8:$AG$407),IF(OR($AB515="",$AB515="R"),"",IF($AB515="D",INDEX($AG$8:$AG$407,$AA515),SUMIF($T$8:$T$407,INDEX($T$8:$T$407,$AA515),$AG$8:$AG$407))))</f>
        <v/>
      </c>
      <c r="G515" s="32">
        <f>IF(OR($AB515="",$AB515="R"),"",ROUND($E515-$F515,2))</f>
        <v/>
      </c>
      <c r="H515" s="32">
        <f>IF($AB515="G",SUM($AH$8:$AH$407),IF(OR($AB515="",$AB515="R"),"",IF($AB515="D",INDEX($AH$8:$AH$407,$AA515),SUMIF($T$8:$T$407,INDEX($T$8:$T$407,$AA515),$AH$8:$AH$407))))</f>
        <v/>
      </c>
      <c r="AA515">
        <f>IFERROR(MATCH(508,$X$8:$X$407,1),"")</f>
        <v/>
      </c>
      <c r="AB515">
        <f>IF(508=$AD$1+1,"G",IF($AA515="","",IF(INDEX($Q$8:$Q$407,$AA515)="","",IF(508&gt;INDEX($X$8:$X$407,$AA515)+INDEX($V$8:$V$407,$AA515)+INDEX($W$8:$W$407,$AA515),"",IF(508=INDEX($X$8:$X$407,$AA515)+INDEX($V$8:$V$407,$AA515)+INDEX($W$8:$W$407,$AA515),"D",IF(AND(INDEX($W$8:$W$407,$AA515)=1,508=INDEX($X$8:$X$407,$AA515)+INDEX($V$8:$V$407,$AA515)),"S","R"))))))</f>
        <v/>
      </c>
      <c r="AC515">
        <f>IF(OR($AB515="",$AB515="G"),"",IF($AB515="D",INDEX($U$8:$U$407,$AA515),IF($AB515="S",INDEX($T$8:$T$407,$AA515)&amp;"|*",INDEX($S$8:$S$407,$AA515)&amp;"|*")))</f>
        <v/>
      </c>
    </row>
    <row r="516" ht="21" customHeight="1" s="66">
      <c r="A516" s="3">
        <f>IF($AB516="G","ผลรวมทั้งหมด",IF($AB516="R",INDEX($S$8:$S$407,$AA516),""))</f>
        <v/>
      </c>
      <c r="B516" s="3">
        <f>IF($AB516="S",INDEX($Y$8:$Y$407,$AA516),"")</f>
        <v/>
      </c>
      <c r="C516" s="68">
        <f>IF($AB516="D",INDEX($Z$8:$Z$407,$AA516),"")</f>
        <v/>
      </c>
      <c r="D516" s="31">
        <f>IF($AB516="G",SUM($AE$8:$AE$407),IF(OR($AB516="",$AB516="R"),"",IF($AB516="D",INDEX($AE$8:$AE$407,$AA516),SUMIF($T$8:$T$407,INDEX($T$8:$T$407,$AA516),$AE$8:$AE$407))))</f>
        <v/>
      </c>
      <c r="E516" s="32">
        <f>IF(509=$AD$1+3,"ขอแสดงความนับถือ",IF(509=$AD$1+6,"(                 )",IF(509=$AD$1+7,"เจ้าหน้าที่ขนส่ง",IF($AB516="G",SUM($AF$8:$AF$407),IF(OR($AB516="",$AB516="R"),"",IF($AB516="D",INDEX($AF$8:$AF$407,$AA516),SUMIF($T$8:$T$407,INDEX($T$8:$T$407,$AA516),$AF$8:$AF$407)))))))</f>
        <v/>
      </c>
      <c r="F516" s="32">
        <f>IF($AB516="G",SUM($AG$8:$AG$407),IF(OR($AB516="",$AB516="R"),"",IF($AB516="D",INDEX($AG$8:$AG$407,$AA516),SUMIF($T$8:$T$407,INDEX($T$8:$T$407,$AA516),$AG$8:$AG$407))))</f>
        <v/>
      </c>
      <c r="G516" s="32">
        <f>IF(OR($AB516="",$AB516="R"),"",ROUND($E516-$F516,2))</f>
        <v/>
      </c>
      <c r="H516" s="32">
        <f>IF($AB516="G",SUM($AH$8:$AH$407),IF(OR($AB516="",$AB516="R"),"",IF($AB516="D",INDEX($AH$8:$AH$407,$AA516),SUMIF($T$8:$T$407,INDEX($T$8:$T$407,$AA516),$AH$8:$AH$407))))</f>
        <v/>
      </c>
      <c r="AA516">
        <f>IFERROR(MATCH(509,$X$8:$X$407,1),"")</f>
        <v/>
      </c>
      <c r="AB516">
        <f>IF(509=$AD$1+1,"G",IF($AA516="","",IF(INDEX($Q$8:$Q$407,$AA516)="","",IF(509&gt;INDEX($X$8:$X$407,$AA516)+INDEX($V$8:$V$407,$AA516)+INDEX($W$8:$W$407,$AA516),"",IF(509=INDEX($X$8:$X$407,$AA516)+INDEX($V$8:$V$407,$AA516)+INDEX($W$8:$W$407,$AA516),"D",IF(AND(INDEX($W$8:$W$407,$AA516)=1,509=INDEX($X$8:$X$407,$AA516)+INDEX($V$8:$V$407,$AA516)),"S","R"))))))</f>
        <v/>
      </c>
      <c r="AC516">
        <f>IF(OR($AB516="",$AB516="G"),"",IF($AB516="D",INDEX($U$8:$U$407,$AA516),IF($AB516="S",INDEX($T$8:$T$407,$AA516)&amp;"|*",INDEX($S$8:$S$407,$AA516)&amp;"|*")))</f>
        <v/>
      </c>
    </row>
    <row r="517" ht="21" customHeight="1" s="66">
      <c r="A517" s="3">
        <f>IF($AB517="G","ผลรวมทั้งหมด",IF($AB517="R",INDEX($S$8:$S$407,$AA517),""))</f>
        <v/>
      </c>
      <c r="B517" s="3">
        <f>IF($AB517="S",INDEX($Y$8:$Y$407,$AA517),"")</f>
        <v/>
      </c>
      <c r="C517" s="68">
        <f>IF($AB517="D",INDEX($Z$8:$Z$407,$AA517),"")</f>
        <v/>
      </c>
      <c r="D517" s="31">
        <f>IF($AB517="G",SUM($AE$8:$AE$407),IF(OR($AB517="",$AB517="R"),"",IF($AB517="D",INDEX($AE$8:$AE$407,$AA517),SUMIF($T$8:$T$407,INDEX($T$8:$T$407,$AA517),$AE$8:$AE$407))))</f>
        <v/>
      </c>
      <c r="E517" s="32">
        <f>IF(510=$AD$1+3,"ขอแสดงความนับถือ",IF(510=$AD$1+6,"(                 )",IF(510=$AD$1+7,"เจ้าหน้าที่ขนส่ง",IF($AB517="G",SUM($AF$8:$AF$407),IF(OR($AB517="",$AB517="R"),"",IF($AB517="D",INDEX($AF$8:$AF$407,$AA517),SUMIF($T$8:$T$407,INDEX($T$8:$T$407,$AA517),$AF$8:$AF$407)))))))</f>
        <v/>
      </c>
      <c r="F517" s="32">
        <f>IF($AB517="G",SUM($AG$8:$AG$407),IF(OR($AB517="",$AB517="R"),"",IF($AB517="D",INDEX($AG$8:$AG$407,$AA517),SUMIF($T$8:$T$407,INDEX($T$8:$T$407,$AA517),$AG$8:$AG$407))))</f>
        <v/>
      </c>
      <c r="G517" s="32">
        <f>IF(OR($AB517="",$AB517="R"),"",ROUND($E517-$F517,2))</f>
        <v/>
      </c>
      <c r="H517" s="32">
        <f>IF($AB517="G",SUM($AH$8:$AH$407),IF(OR($AB517="",$AB517="R"),"",IF($AB517="D",INDEX($AH$8:$AH$407,$AA517),SUMIF($T$8:$T$407,INDEX($T$8:$T$407,$AA517),$AH$8:$AH$407))))</f>
        <v/>
      </c>
      <c r="AA517">
        <f>IFERROR(MATCH(510,$X$8:$X$407,1),"")</f>
        <v/>
      </c>
      <c r="AB517">
        <f>IF(510=$AD$1+1,"G",IF($AA517="","",IF(INDEX($Q$8:$Q$407,$AA517)="","",IF(510&gt;INDEX($X$8:$X$407,$AA517)+INDEX($V$8:$V$407,$AA517)+INDEX($W$8:$W$407,$AA517),"",IF(510=INDEX($X$8:$X$407,$AA517)+INDEX($V$8:$V$407,$AA517)+INDEX($W$8:$W$407,$AA517),"D",IF(AND(INDEX($W$8:$W$407,$AA517)=1,510=INDEX($X$8:$X$407,$AA517)+INDEX($V$8:$V$407,$AA517)),"S","R"))))))</f>
        <v/>
      </c>
      <c r="AC517">
        <f>IF(OR($AB517="",$AB517="G"),"",IF($AB517="D",INDEX($U$8:$U$407,$AA517),IF($AB517="S",INDEX($T$8:$T$407,$AA517)&amp;"|*",INDEX($S$8:$S$407,$AA517)&amp;"|*")))</f>
        <v/>
      </c>
    </row>
    <row r="518" ht="21" customHeight="1" s="66">
      <c r="A518" s="3">
        <f>IF($AB518="G","ผลรวมทั้งหมด",IF($AB518="R",INDEX($S$8:$S$407,$AA518),""))</f>
        <v/>
      </c>
      <c r="B518" s="3">
        <f>IF($AB518="S",INDEX($Y$8:$Y$407,$AA518),"")</f>
        <v/>
      </c>
      <c r="C518" s="68">
        <f>IF($AB518="D",INDEX($Z$8:$Z$407,$AA518),"")</f>
        <v/>
      </c>
      <c r="D518" s="31">
        <f>IF($AB518="G",SUM($AE$8:$AE$407),IF(OR($AB518="",$AB518="R"),"",IF($AB518="D",INDEX($AE$8:$AE$407,$AA518),SUMIF($T$8:$T$407,INDEX($T$8:$T$407,$AA518),$AE$8:$AE$407))))</f>
        <v/>
      </c>
      <c r="E518" s="32">
        <f>IF(511=$AD$1+3,"ขอแสดงความนับถือ",IF(511=$AD$1+6,"(                 )",IF(511=$AD$1+7,"เจ้าหน้าที่ขนส่ง",IF($AB518="G",SUM($AF$8:$AF$407),IF(OR($AB518="",$AB518="R"),"",IF($AB518="D",INDEX($AF$8:$AF$407,$AA518),SUMIF($T$8:$T$407,INDEX($T$8:$T$407,$AA518),$AF$8:$AF$407)))))))</f>
        <v/>
      </c>
      <c r="F518" s="32">
        <f>IF($AB518="G",SUM($AG$8:$AG$407),IF(OR($AB518="",$AB518="R"),"",IF($AB518="D",INDEX($AG$8:$AG$407,$AA518),SUMIF($T$8:$T$407,INDEX($T$8:$T$407,$AA518),$AG$8:$AG$407))))</f>
        <v/>
      </c>
      <c r="G518" s="32">
        <f>IF(OR($AB518="",$AB518="R"),"",ROUND($E518-$F518,2))</f>
        <v/>
      </c>
      <c r="H518" s="32">
        <f>IF($AB518="G",SUM($AH$8:$AH$407),IF(OR($AB518="",$AB518="R"),"",IF($AB518="D",INDEX($AH$8:$AH$407,$AA518),SUMIF($T$8:$T$407,INDEX($T$8:$T$407,$AA518),$AH$8:$AH$407))))</f>
        <v/>
      </c>
      <c r="AA518">
        <f>IFERROR(MATCH(511,$X$8:$X$407,1),"")</f>
        <v/>
      </c>
      <c r="AB518">
        <f>IF(511=$AD$1+1,"G",IF($AA518="","",IF(INDEX($Q$8:$Q$407,$AA518)="","",IF(511&gt;INDEX($X$8:$X$407,$AA518)+INDEX($V$8:$V$407,$AA518)+INDEX($W$8:$W$407,$AA518),"",IF(511=INDEX($X$8:$X$407,$AA518)+INDEX($V$8:$V$407,$AA518)+INDEX($W$8:$W$407,$AA518),"D",IF(AND(INDEX($W$8:$W$407,$AA518)=1,511=INDEX($X$8:$X$407,$AA518)+INDEX($V$8:$V$407,$AA518)),"S","R"))))))</f>
        <v/>
      </c>
      <c r="AC518">
        <f>IF(OR($AB518="",$AB518="G"),"",IF($AB518="D",INDEX($U$8:$U$407,$AA518),IF($AB518="S",INDEX($T$8:$T$407,$AA518)&amp;"|*",INDEX($S$8:$S$407,$AA518)&amp;"|*")))</f>
        <v/>
      </c>
    </row>
    <row r="519" ht="21" customHeight="1" s="66">
      <c r="A519" s="3">
        <f>IF($AB519="G","ผลรวมทั้งหมด",IF($AB519="R",INDEX($S$8:$S$407,$AA519),""))</f>
        <v/>
      </c>
      <c r="B519" s="3">
        <f>IF($AB519="S",INDEX($Y$8:$Y$407,$AA519),"")</f>
        <v/>
      </c>
      <c r="C519" s="68">
        <f>IF($AB519="D",INDEX($Z$8:$Z$407,$AA519),"")</f>
        <v/>
      </c>
      <c r="D519" s="31">
        <f>IF($AB519="G",SUM($AE$8:$AE$407),IF(OR($AB519="",$AB519="R"),"",IF($AB519="D",INDEX($AE$8:$AE$407,$AA519),SUMIF($T$8:$T$407,INDEX($T$8:$T$407,$AA519),$AE$8:$AE$407))))</f>
        <v/>
      </c>
      <c r="E519" s="32">
        <f>IF(512=$AD$1+3,"ขอแสดงความนับถือ",IF(512=$AD$1+6,"(                 )",IF(512=$AD$1+7,"เจ้าหน้าที่ขนส่ง",IF($AB519="G",SUM($AF$8:$AF$407),IF(OR($AB519="",$AB519="R"),"",IF($AB519="D",INDEX($AF$8:$AF$407,$AA519),SUMIF($T$8:$T$407,INDEX($T$8:$T$407,$AA519),$AF$8:$AF$407)))))))</f>
        <v/>
      </c>
      <c r="F519" s="32">
        <f>IF($AB519="G",SUM($AG$8:$AG$407),IF(OR($AB519="",$AB519="R"),"",IF($AB519="D",INDEX($AG$8:$AG$407,$AA519),SUMIF($T$8:$T$407,INDEX($T$8:$T$407,$AA519),$AG$8:$AG$407))))</f>
        <v/>
      </c>
      <c r="G519" s="32">
        <f>IF(OR($AB519="",$AB519="R"),"",ROUND($E519-$F519,2))</f>
        <v/>
      </c>
      <c r="H519" s="32">
        <f>IF($AB519="G",SUM($AH$8:$AH$407),IF(OR($AB519="",$AB519="R"),"",IF($AB519="D",INDEX($AH$8:$AH$407,$AA519),SUMIF($T$8:$T$407,INDEX($T$8:$T$407,$AA519),$AH$8:$AH$407))))</f>
        <v/>
      </c>
      <c r="AA519">
        <f>IFERROR(MATCH(512,$X$8:$X$407,1),"")</f>
        <v/>
      </c>
      <c r="AB519">
        <f>IF(512=$AD$1+1,"G",IF($AA519="","",IF(INDEX($Q$8:$Q$407,$AA519)="","",IF(512&gt;INDEX($X$8:$X$407,$AA519)+INDEX($V$8:$V$407,$AA519)+INDEX($W$8:$W$407,$AA519),"",IF(512=INDEX($X$8:$X$407,$AA519)+INDEX($V$8:$V$407,$AA519)+INDEX($W$8:$W$407,$AA519),"D",IF(AND(INDEX($W$8:$W$407,$AA519)=1,512=INDEX($X$8:$X$407,$AA519)+INDEX($V$8:$V$407,$AA519)),"S","R"))))))</f>
        <v/>
      </c>
      <c r="AC519">
        <f>IF(OR($AB519="",$AB519="G"),"",IF($AB519="D",INDEX($U$8:$U$407,$AA519),IF($AB519="S",INDEX($T$8:$T$407,$AA519)&amp;"|*",INDEX($S$8:$S$407,$AA519)&amp;"|*")))</f>
        <v/>
      </c>
    </row>
    <row r="520" ht="21" customHeight="1" s="66">
      <c r="A520" s="3">
        <f>IF($AB520="G","ผลรวมทั้งหมด",IF($AB520="R",INDEX($S$8:$S$407,$AA520),""))</f>
        <v/>
      </c>
      <c r="B520" s="3">
        <f>IF($AB520="S",INDEX($Y$8:$Y$407,$AA520),"")</f>
        <v/>
      </c>
      <c r="C520" s="68">
        <f>IF($AB520="D",INDEX($Z$8:$Z$407,$AA520),"")</f>
        <v/>
      </c>
      <c r="D520" s="31">
        <f>IF($AB520="G",SUM($AE$8:$AE$407),IF(OR($AB520="",$AB520="R"),"",IF($AB520="D",INDEX($AE$8:$AE$407,$AA520),SUMIF($T$8:$T$407,INDEX($T$8:$T$407,$AA520),$AE$8:$AE$407))))</f>
        <v/>
      </c>
      <c r="E520" s="32">
        <f>IF(513=$AD$1+3,"ขอแสดงความนับถือ",IF(513=$AD$1+6,"(                 )",IF(513=$AD$1+7,"เจ้าหน้าที่ขนส่ง",IF($AB520="G",SUM($AF$8:$AF$407),IF(OR($AB520="",$AB520="R"),"",IF($AB520="D",INDEX($AF$8:$AF$407,$AA520),SUMIF($T$8:$T$407,INDEX($T$8:$T$407,$AA520),$AF$8:$AF$407)))))))</f>
        <v/>
      </c>
      <c r="F520" s="32">
        <f>IF($AB520="G",SUM($AG$8:$AG$407),IF(OR($AB520="",$AB520="R"),"",IF($AB520="D",INDEX($AG$8:$AG$407,$AA520),SUMIF($T$8:$T$407,INDEX($T$8:$T$407,$AA520),$AG$8:$AG$407))))</f>
        <v/>
      </c>
      <c r="G520" s="32">
        <f>IF(OR($AB520="",$AB520="R"),"",ROUND($E520-$F520,2))</f>
        <v/>
      </c>
      <c r="H520" s="32">
        <f>IF($AB520="G",SUM($AH$8:$AH$407),IF(OR($AB520="",$AB520="R"),"",IF($AB520="D",INDEX($AH$8:$AH$407,$AA520),SUMIF($T$8:$T$407,INDEX($T$8:$T$407,$AA520),$AH$8:$AH$407))))</f>
        <v/>
      </c>
      <c r="AA520">
        <f>IFERROR(MATCH(513,$X$8:$X$407,1),"")</f>
        <v/>
      </c>
      <c r="AB520">
        <f>IF(513=$AD$1+1,"G",IF($AA520="","",IF(INDEX($Q$8:$Q$407,$AA520)="","",IF(513&gt;INDEX($X$8:$X$407,$AA520)+INDEX($V$8:$V$407,$AA520)+INDEX($W$8:$W$407,$AA520),"",IF(513=INDEX($X$8:$X$407,$AA520)+INDEX($V$8:$V$407,$AA520)+INDEX($W$8:$W$407,$AA520),"D",IF(AND(INDEX($W$8:$W$407,$AA520)=1,513=INDEX($X$8:$X$407,$AA520)+INDEX($V$8:$V$407,$AA520)),"S","R"))))))</f>
        <v/>
      </c>
      <c r="AC520">
        <f>IF(OR($AB520="",$AB520="G"),"",IF($AB520="D",INDEX($U$8:$U$407,$AA520),IF($AB520="S",INDEX($T$8:$T$407,$AA520)&amp;"|*",INDEX($S$8:$S$407,$AA520)&amp;"|*")))</f>
        <v/>
      </c>
    </row>
    <row r="521" ht="21" customHeight="1" s="66">
      <c r="A521" s="3">
        <f>IF($AB521="G","ผลรวมทั้งหมด",IF($AB521="R",INDEX($S$8:$S$407,$AA521),""))</f>
        <v/>
      </c>
      <c r="B521" s="3">
        <f>IF($AB521="S",INDEX($Y$8:$Y$407,$AA521),"")</f>
        <v/>
      </c>
      <c r="C521" s="68">
        <f>IF($AB521="D",INDEX($Z$8:$Z$407,$AA521),"")</f>
        <v/>
      </c>
      <c r="D521" s="31">
        <f>IF($AB521="G",SUM($AE$8:$AE$407),IF(OR($AB521="",$AB521="R"),"",IF($AB521="D",INDEX($AE$8:$AE$407,$AA521),SUMIF($T$8:$T$407,INDEX($T$8:$T$407,$AA521),$AE$8:$AE$407))))</f>
        <v/>
      </c>
      <c r="E521" s="32">
        <f>IF(514=$AD$1+3,"ขอแสดงความนับถือ",IF(514=$AD$1+6,"(                 )",IF(514=$AD$1+7,"เจ้าหน้าที่ขนส่ง",IF($AB521="G",SUM($AF$8:$AF$407),IF(OR($AB521="",$AB521="R"),"",IF($AB521="D",INDEX($AF$8:$AF$407,$AA521),SUMIF($T$8:$T$407,INDEX($T$8:$T$407,$AA521),$AF$8:$AF$407)))))))</f>
        <v/>
      </c>
      <c r="F521" s="32">
        <f>IF($AB521="G",SUM($AG$8:$AG$407),IF(OR($AB521="",$AB521="R"),"",IF($AB521="D",INDEX($AG$8:$AG$407,$AA521),SUMIF($T$8:$T$407,INDEX($T$8:$T$407,$AA521),$AG$8:$AG$407))))</f>
        <v/>
      </c>
      <c r="G521" s="32">
        <f>IF(OR($AB521="",$AB521="R"),"",ROUND($E521-$F521,2))</f>
        <v/>
      </c>
      <c r="H521" s="32">
        <f>IF($AB521="G",SUM($AH$8:$AH$407),IF(OR($AB521="",$AB521="R"),"",IF($AB521="D",INDEX($AH$8:$AH$407,$AA521),SUMIF($T$8:$T$407,INDEX($T$8:$T$407,$AA521),$AH$8:$AH$407))))</f>
        <v/>
      </c>
      <c r="AA521">
        <f>IFERROR(MATCH(514,$X$8:$X$407,1),"")</f>
        <v/>
      </c>
      <c r="AB521">
        <f>IF(514=$AD$1+1,"G",IF($AA521="","",IF(INDEX($Q$8:$Q$407,$AA521)="","",IF(514&gt;INDEX($X$8:$X$407,$AA521)+INDEX($V$8:$V$407,$AA521)+INDEX($W$8:$W$407,$AA521),"",IF(514=INDEX($X$8:$X$407,$AA521)+INDEX($V$8:$V$407,$AA521)+INDEX($W$8:$W$407,$AA521),"D",IF(AND(INDEX($W$8:$W$407,$AA521)=1,514=INDEX($X$8:$X$407,$AA521)+INDEX($V$8:$V$407,$AA521)),"S","R"))))))</f>
        <v/>
      </c>
      <c r="AC521">
        <f>IF(OR($AB521="",$AB521="G"),"",IF($AB521="D",INDEX($U$8:$U$407,$AA521),IF($AB521="S",INDEX($T$8:$T$407,$AA521)&amp;"|*",INDEX($S$8:$S$407,$AA521)&amp;"|*")))</f>
        <v/>
      </c>
    </row>
    <row r="522" ht="21" customHeight="1" s="66">
      <c r="A522" s="3">
        <f>IF($AB522="G","ผลรวมทั้งหมด",IF($AB522="R",INDEX($S$8:$S$407,$AA522),""))</f>
        <v/>
      </c>
      <c r="B522" s="3">
        <f>IF($AB522="S",INDEX($Y$8:$Y$407,$AA522),"")</f>
        <v/>
      </c>
      <c r="C522" s="68">
        <f>IF($AB522="D",INDEX($Z$8:$Z$407,$AA522),"")</f>
        <v/>
      </c>
      <c r="D522" s="31">
        <f>IF($AB522="G",SUM($AE$8:$AE$407),IF(OR($AB522="",$AB522="R"),"",IF($AB522="D",INDEX($AE$8:$AE$407,$AA522),SUMIF($T$8:$T$407,INDEX($T$8:$T$407,$AA522),$AE$8:$AE$407))))</f>
        <v/>
      </c>
      <c r="E522" s="32">
        <f>IF(515=$AD$1+3,"ขอแสดงความนับถือ",IF(515=$AD$1+6,"(                 )",IF(515=$AD$1+7,"เจ้าหน้าที่ขนส่ง",IF($AB522="G",SUM($AF$8:$AF$407),IF(OR($AB522="",$AB522="R"),"",IF($AB522="D",INDEX($AF$8:$AF$407,$AA522),SUMIF($T$8:$T$407,INDEX($T$8:$T$407,$AA522),$AF$8:$AF$407)))))))</f>
        <v/>
      </c>
      <c r="F522" s="32">
        <f>IF($AB522="G",SUM($AG$8:$AG$407),IF(OR($AB522="",$AB522="R"),"",IF($AB522="D",INDEX($AG$8:$AG$407,$AA522),SUMIF($T$8:$T$407,INDEX($T$8:$T$407,$AA522),$AG$8:$AG$407))))</f>
        <v/>
      </c>
      <c r="G522" s="32">
        <f>IF(OR($AB522="",$AB522="R"),"",ROUND($E522-$F522,2))</f>
        <v/>
      </c>
      <c r="H522" s="32">
        <f>IF($AB522="G",SUM($AH$8:$AH$407),IF(OR($AB522="",$AB522="R"),"",IF($AB522="D",INDEX($AH$8:$AH$407,$AA522),SUMIF($T$8:$T$407,INDEX($T$8:$T$407,$AA522),$AH$8:$AH$407))))</f>
        <v/>
      </c>
      <c r="AA522">
        <f>IFERROR(MATCH(515,$X$8:$X$407,1),"")</f>
        <v/>
      </c>
      <c r="AB522">
        <f>IF(515=$AD$1+1,"G",IF($AA522="","",IF(INDEX($Q$8:$Q$407,$AA522)="","",IF(515&gt;INDEX($X$8:$X$407,$AA522)+INDEX($V$8:$V$407,$AA522)+INDEX($W$8:$W$407,$AA522),"",IF(515=INDEX($X$8:$X$407,$AA522)+INDEX($V$8:$V$407,$AA522)+INDEX($W$8:$W$407,$AA522),"D",IF(AND(INDEX($W$8:$W$407,$AA522)=1,515=INDEX($X$8:$X$407,$AA522)+INDEX($V$8:$V$407,$AA522)),"S","R"))))))</f>
        <v/>
      </c>
      <c r="AC522">
        <f>IF(OR($AB522="",$AB522="G"),"",IF($AB522="D",INDEX($U$8:$U$407,$AA522),IF($AB522="S",INDEX($T$8:$T$407,$AA522)&amp;"|*",INDEX($S$8:$S$407,$AA522)&amp;"|*")))</f>
        <v/>
      </c>
    </row>
    <row r="523" ht="21" customHeight="1" s="66">
      <c r="A523" s="3">
        <f>IF($AB523="G","ผลรวมทั้งหมด",IF($AB523="R",INDEX($S$8:$S$407,$AA523),""))</f>
        <v/>
      </c>
      <c r="B523" s="3">
        <f>IF($AB523="S",INDEX($Y$8:$Y$407,$AA523),"")</f>
        <v/>
      </c>
      <c r="C523" s="68">
        <f>IF($AB523="D",INDEX($Z$8:$Z$407,$AA523),"")</f>
        <v/>
      </c>
      <c r="D523" s="31">
        <f>IF($AB523="G",SUM($AE$8:$AE$407),IF(OR($AB523="",$AB523="R"),"",IF($AB523="D",INDEX($AE$8:$AE$407,$AA523),SUMIF($T$8:$T$407,INDEX($T$8:$T$407,$AA523),$AE$8:$AE$407))))</f>
        <v/>
      </c>
      <c r="E523" s="32">
        <f>IF(516=$AD$1+3,"ขอแสดงความนับถือ",IF(516=$AD$1+6,"(                 )",IF(516=$AD$1+7,"เจ้าหน้าที่ขนส่ง",IF($AB523="G",SUM($AF$8:$AF$407),IF(OR($AB523="",$AB523="R"),"",IF($AB523="D",INDEX($AF$8:$AF$407,$AA523),SUMIF($T$8:$T$407,INDEX($T$8:$T$407,$AA523),$AF$8:$AF$407)))))))</f>
        <v/>
      </c>
      <c r="F523" s="32">
        <f>IF($AB523="G",SUM($AG$8:$AG$407),IF(OR($AB523="",$AB523="R"),"",IF($AB523="D",INDEX($AG$8:$AG$407,$AA523),SUMIF($T$8:$T$407,INDEX($T$8:$T$407,$AA523),$AG$8:$AG$407))))</f>
        <v/>
      </c>
      <c r="G523" s="32">
        <f>IF(OR($AB523="",$AB523="R"),"",ROUND($E523-$F523,2))</f>
        <v/>
      </c>
      <c r="H523" s="32">
        <f>IF($AB523="G",SUM($AH$8:$AH$407),IF(OR($AB523="",$AB523="R"),"",IF($AB523="D",INDEX($AH$8:$AH$407,$AA523),SUMIF($T$8:$T$407,INDEX($T$8:$T$407,$AA523),$AH$8:$AH$407))))</f>
        <v/>
      </c>
      <c r="AA523">
        <f>IFERROR(MATCH(516,$X$8:$X$407,1),"")</f>
        <v/>
      </c>
      <c r="AB523">
        <f>IF(516=$AD$1+1,"G",IF($AA523="","",IF(INDEX($Q$8:$Q$407,$AA523)="","",IF(516&gt;INDEX($X$8:$X$407,$AA523)+INDEX($V$8:$V$407,$AA523)+INDEX($W$8:$W$407,$AA523),"",IF(516=INDEX($X$8:$X$407,$AA523)+INDEX($V$8:$V$407,$AA523)+INDEX($W$8:$W$407,$AA523),"D",IF(AND(INDEX($W$8:$W$407,$AA523)=1,516=INDEX($X$8:$X$407,$AA523)+INDEX($V$8:$V$407,$AA523)),"S","R"))))))</f>
        <v/>
      </c>
      <c r="AC523">
        <f>IF(OR($AB523="",$AB523="G"),"",IF($AB523="D",INDEX($U$8:$U$407,$AA523),IF($AB523="S",INDEX($T$8:$T$407,$AA523)&amp;"|*",INDEX($S$8:$S$407,$AA523)&amp;"|*")))</f>
        <v/>
      </c>
    </row>
    <row r="524" ht="21" customHeight="1" s="66">
      <c r="A524" s="3">
        <f>IF($AB524="G","ผลรวมทั้งหมด",IF($AB524="R",INDEX($S$8:$S$407,$AA524),""))</f>
        <v/>
      </c>
      <c r="B524" s="3">
        <f>IF($AB524="S",INDEX($Y$8:$Y$407,$AA524),"")</f>
        <v/>
      </c>
      <c r="C524" s="68">
        <f>IF($AB524="D",INDEX($Z$8:$Z$407,$AA524),"")</f>
        <v/>
      </c>
      <c r="D524" s="31">
        <f>IF($AB524="G",SUM($AE$8:$AE$407),IF(OR($AB524="",$AB524="R"),"",IF($AB524="D",INDEX($AE$8:$AE$407,$AA524),SUMIF($T$8:$T$407,INDEX($T$8:$T$407,$AA524),$AE$8:$AE$407))))</f>
        <v/>
      </c>
      <c r="E524" s="32">
        <f>IF(517=$AD$1+3,"ขอแสดงความนับถือ",IF(517=$AD$1+6,"(                 )",IF(517=$AD$1+7,"เจ้าหน้าที่ขนส่ง",IF($AB524="G",SUM($AF$8:$AF$407),IF(OR($AB524="",$AB524="R"),"",IF($AB524="D",INDEX($AF$8:$AF$407,$AA524),SUMIF($T$8:$T$407,INDEX($T$8:$T$407,$AA524),$AF$8:$AF$407)))))))</f>
        <v/>
      </c>
      <c r="F524" s="32">
        <f>IF($AB524="G",SUM($AG$8:$AG$407),IF(OR($AB524="",$AB524="R"),"",IF($AB524="D",INDEX($AG$8:$AG$407,$AA524),SUMIF($T$8:$T$407,INDEX($T$8:$T$407,$AA524),$AG$8:$AG$407))))</f>
        <v/>
      </c>
      <c r="G524" s="32">
        <f>IF(OR($AB524="",$AB524="R"),"",ROUND($E524-$F524,2))</f>
        <v/>
      </c>
      <c r="H524" s="32">
        <f>IF($AB524="G",SUM($AH$8:$AH$407),IF(OR($AB524="",$AB524="R"),"",IF($AB524="D",INDEX($AH$8:$AH$407,$AA524),SUMIF($T$8:$T$407,INDEX($T$8:$T$407,$AA524),$AH$8:$AH$407))))</f>
        <v/>
      </c>
      <c r="AA524">
        <f>IFERROR(MATCH(517,$X$8:$X$407,1),"")</f>
        <v/>
      </c>
      <c r="AB524">
        <f>IF(517=$AD$1+1,"G",IF($AA524="","",IF(INDEX($Q$8:$Q$407,$AA524)="","",IF(517&gt;INDEX($X$8:$X$407,$AA524)+INDEX($V$8:$V$407,$AA524)+INDEX($W$8:$W$407,$AA524),"",IF(517=INDEX($X$8:$X$407,$AA524)+INDEX($V$8:$V$407,$AA524)+INDEX($W$8:$W$407,$AA524),"D",IF(AND(INDEX($W$8:$W$407,$AA524)=1,517=INDEX($X$8:$X$407,$AA524)+INDEX($V$8:$V$407,$AA524)),"S","R"))))))</f>
        <v/>
      </c>
      <c r="AC524">
        <f>IF(OR($AB524="",$AB524="G"),"",IF($AB524="D",INDEX($U$8:$U$407,$AA524),IF($AB524="S",INDEX($T$8:$T$407,$AA524)&amp;"|*",INDEX($S$8:$S$407,$AA524)&amp;"|*")))</f>
        <v/>
      </c>
    </row>
    <row r="525" ht="21" customHeight="1" s="66">
      <c r="A525" s="3">
        <f>IF($AB525="G","ผลรวมทั้งหมด",IF($AB525="R",INDEX($S$8:$S$407,$AA525),""))</f>
        <v/>
      </c>
      <c r="B525" s="3">
        <f>IF($AB525="S",INDEX($Y$8:$Y$407,$AA525),"")</f>
        <v/>
      </c>
      <c r="C525" s="68">
        <f>IF($AB525="D",INDEX($Z$8:$Z$407,$AA525),"")</f>
        <v/>
      </c>
      <c r="D525" s="31">
        <f>IF($AB525="G",SUM($AE$8:$AE$407),IF(OR($AB525="",$AB525="R"),"",IF($AB525="D",INDEX($AE$8:$AE$407,$AA525),SUMIF($T$8:$T$407,INDEX($T$8:$T$407,$AA525),$AE$8:$AE$407))))</f>
        <v/>
      </c>
      <c r="E525" s="32">
        <f>IF(518=$AD$1+3,"ขอแสดงความนับถือ",IF(518=$AD$1+6,"(                 )",IF(518=$AD$1+7,"เจ้าหน้าที่ขนส่ง",IF($AB525="G",SUM($AF$8:$AF$407),IF(OR($AB525="",$AB525="R"),"",IF($AB525="D",INDEX($AF$8:$AF$407,$AA525),SUMIF($T$8:$T$407,INDEX($T$8:$T$407,$AA525),$AF$8:$AF$407)))))))</f>
        <v/>
      </c>
      <c r="F525" s="32">
        <f>IF($AB525="G",SUM($AG$8:$AG$407),IF(OR($AB525="",$AB525="R"),"",IF($AB525="D",INDEX($AG$8:$AG$407,$AA525),SUMIF($T$8:$T$407,INDEX($T$8:$T$407,$AA525),$AG$8:$AG$407))))</f>
        <v/>
      </c>
      <c r="G525" s="32">
        <f>IF(OR($AB525="",$AB525="R"),"",ROUND($E525-$F525,2))</f>
        <v/>
      </c>
      <c r="H525" s="32">
        <f>IF($AB525="G",SUM($AH$8:$AH$407),IF(OR($AB525="",$AB525="R"),"",IF($AB525="D",INDEX($AH$8:$AH$407,$AA525),SUMIF($T$8:$T$407,INDEX($T$8:$T$407,$AA525),$AH$8:$AH$407))))</f>
        <v/>
      </c>
      <c r="AA525">
        <f>IFERROR(MATCH(518,$X$8:$X$407,1),"")</f>
        <v/>
      </c>
      <c r="AB525">
        <f>IF(518=$AD$1+1,"G",IF($AA525="","",IF(INDEX($Q$8:$Q$407,$AA525)="","",IF(518&gt;INDEX($X$8:$X$407,$AA525)+INDEX($V$8:$V$407,$AA525)+INDEX($W$8:$W$407,$AA525),"",IF(518=INDEX($X$8:$X$407,$AA525)+INDEX($V$8:$V$407,$AA525)+INDEX($W$8:$W$407,$AA525),"D",IF(AND(INDEX($W$8:$W$407,$AA525)=1,518=INDEX($X$8:$X$407,$AA525)+INDEX($V$8:$V$407,$AA525)),"S","R"))))))</f>
        <v/>
      </c>
      <c r="AC525">
        <f>IF(OR($AB525="",$AB525="G"),"",IF($AB525="D",INDEX($U$8:$U$407,$AA525),IF($AB525="S",INDEX($T$8:$T$407,$AA525)&amp;"|*",INDEX($S$8:$S$407,$AA525)&amp;"|*")))</f>
        <v/>
      </c>
    </row>
    <row r="526" ht="21" customHeight="1" s="66">
      <c r="A526" s="3">
        <f>IF($AB526="G","ผลรวมทั้งหมด",IF($AB526="R",INDEX($S$8:$S$407,$AA526),""))</f>
        <v/>
      </c>
      <c r="B526" s="3">
        <f>IF($AB526="S",INDEX($Y$8:$Y$407,$AA526),"")</f>
        <v/>
      </c>
      <c r="C526" s="68">
        <f>IF($AB526="D",INDEX($Z$8:$Z$407,$AA526),"")</f>
        <v/>
      </c>
      <c r="D526" s="31">
        <f>IF($AB526="G",SUM($AE$8:$AE$407),IF(OR($AB526="",$AB526="R"),"",IF($AB526="D",INDEX($AE$8:$AE$407,$AA526),SUMIF($T$8:$T$407,INDEX($T$8:$T$407,$AA526),$AE$8:$AE$407))))</f>
        <v/>
      </c>
      <c r="E526" s="32">
        <f>IF(519=$AD$1+3,"ขอแสดงความนับถือ",IF(519=$AD$1+6,"(                 )",IF(519=$AD$1+7,"เจ้าหน้าที่ขนส่ง",IF($AB526="G",SUM($AF$8:$AF$407),IF(OR($AB526="",$AB526="R"),"",IF($AB526="D",INDEX($AF$8:$AF$407,$AA526),SUMIF($T$8:$T$407,INDEX($T$8:$T$407,$AA526),$AF$8:$AF$407)))))))</f>
        <v/>
      </c>
      <c r="F526" s="32">
        <f>IF($AB526="G",SUM($AG$8:$AG$407),IF(OR($AB526="",$AB526="R"),"",IF($AB526="D",INDEX($AG$8:$AG$407,$AA526),SUMIF($T$8:$T$407,INDEX($T$8:$T$407,$AA526),$AG$8:$AG$407))))</f>
        <v/>
      </c>
      <c r="G526" s="32">
        <f>IF(OR($AB526="",$AB526="R"),"",ROUND($E526-$F526,2))</f>
        <v/>
      </c>
      <c r="H526" s="32">
        <f>IF($AB526="G",SUM($AH$8:$AH$407),IF(OR($AB526="",$AB526="R"),"",IF($AB526="D",INDEX($AH$8:$AH$407,$AA526),SUMIF($T$8:$T$407,INDEX($T$8:$T$407,$AA526),$AH$8:$AH$407))))</f>
        <v/>
      </c>
      <c r="AA526">
        <f>IFERROR(MATCH(519,$X$8:$X$407,1),"")</f>
        <v/>
      </c>
      <c r="AB526">
        <f>IF(519=$AD$1+1,"G",IF($AA526="","",IF(INDEX($Q$8:$Q$407,$AA526)="","",IF(519&gt;INDEX($X$8:$X$407,$AA526)+INDEX($V$8:$V$407,$AA526)+INDEX($W$8:$W$407,$AA526),"",IF(519=INDEX($X$8:$X$407,$AA526)+INDEX($V$8:$V$407,$AA526)+INDEX($W$8:$W$407,$AA526),"D",IF(AND(INDEX($W$8:$W$407,$AA526)=1,519=INDEX($X$8:$X$407,$AA526)+INDEX($V$8:$V$407,$AA526)),"S","R"))))))</f>
        <v/>
      </c>
      <c r="AC526">
        <f>IF(OR($AB526="",$AB526="G"),"",IF($AB526="D",INDEX($U$8:$U$407,$AA526),IF($AB526="S",INDEX($T$8:$T$407,$AA526)&amp;"|*",INDEX($S$8:$S$407,$AA526)&amp;"|*")))</f>
        <v/>
      </c>
    </row>
    <row r="527" ht="21" customHeight="1" s="66">
      <c r="A527" s="3">
        <f>IF($AB527="G","ผลรวมทั้งหมด",IF($AB527="R",INDEX($S$8:$S$407,$AA527),""))</f>
        <v/>
      </c>
      <c r="B527" s="3">
        <f>IF($AB527="S",INDEX($Y$8:$Y$407,$AA527),"")</f>
        <v/>
      </c>
      <c r="C527" s="68">
        <f>IF($AB527="D",INDEX($Z$8:$Z$407,$AA527),"")</f>
        <v/>
      </c>
      <c r="D527" s="31">
        <f>IF($AB527="G",SUM($AE$8:$AE$407),IF(OR($AB527="",$AB527="R"),"",IF($AB527="D",INDEX($AE$8:$AE$407,$AA527),SUMIF($T$8:$T$407,INDEX($T$8:$T$407,$AA527),$AE$8:$AE$407))))</f>
        <v/>
      </c>
      <c r="E527" s="32">
        <f>IF(520=$AD$1+3,"ขอแสดงความนับถือ",IF(520=$AD$1+6,"(                 )",IF(520=$AD$1+7,"เจ้าหน้าที่ขนส่ง",IF($AB527="G",SUM($AF$8:$AF$407),IF(OR($AB527="",$AB527="R"),"",IF($AB527="D",INDEX($AF$8:$AF$407,$AA527),SUMIF($T$8:$T$407,INDEX($T$8:$T$407,$AA527),$AF$8:$AF$407)))))))</f>
        <v/>
      </c>
      <c r="F527" s="32">
        <f>IF($AB527="G",SUM($AG$8:$AG$407),IF(OR($AB527="",$AB527="R"),"",IF($AB527="D",INDEX($AG$8:$AG$407,$AA527),SUMIF($T$8:$T$407,INDEX($T$8:$T$407,$AA527),$AG$8:$AG$407))))</f>
        <v/>
      </c>
      <c r="G527" s="32">
        <f>IF(OR($AB527="",$AB527="R"),"",ROUND($E527-$F527,2))</f>
        <v/>
      </c>
      <c r="H527" s="32">
        <f>IF($AB527="G",SUM($AH$8:$AH$407),IF(OR($AB527="",$AB527="R"),"",IF($AB527="D",INDEX($AH$8:$AH$407,$AA527),SUMIF($T$8:$T$407,INDEX($T$8:$T$407,$AA527),$AH$8:$AH$407))))</f>
        <v/>
      </c>
      <c r="AA527">
        <f>IFERROR(MATCH(520,$X$8:$X$407,1),"")</f>
        <v/>
      </c>
      <c r="AB527">
        <f>IF(520=$AD$1+1,"G",IF($AA527="","",IF(INDEX($Q$8:$Q$407,$AA527)="","",IF(520&gt;INDEX($X$8:$X$407,$AA527)+INDEX($V$8:$V$407,$AA527)+INDEX($W$8:$W$407,$AA527),"",IF(520=INDEX($X$8:$X$407,$AA527)+INDEX($V$8:$V$407,$AA527)+INDEX($W$8:$W$407,$AA527),"D",IF(AND(INDEX($W$8:$W$407,$AA527)=1,520=INDEX($X$8:$X$407,$AA527)+INDEX($V$8:$V$407,$AA527)),"S","R"))))))</f>
        <v/>
      </c>
      <c r="AC527">
        <f>IF(OR($AB527="",$AB527="G"),"",IF($AB527="D",INDEX($U$8:$U$407,$AA527),IF($AB527="S",INDEX($T$8:$T$407,$AA527)&amp;"|*",INDEX($S$8:$S$407,$AA527)&amp;"|*")))</f>
        <v/>
      </c>
    </row>
    <row r="528" ht="21" customHeight="1" s="66">
      <c r="A528" s="3">
        <f>IF($AB528="G","ผลรวมทั้งหมด",IF($AB528="R",INDEX($S$8:$S$407,$AA528),""))</f>
        <v/>
      </c>
      <c r="B528" s="3">
        <f>IF($AB528="S",INDEX($Y$8:$Y$407,$AA528),"")</f>
        <v/>
      </c>
      <c r="C528" s="68">
        <f>IF($AB528="D",INDEX($Z$8:$Z$407,$AA528),"")</f>
        <v/>
      </c>
      <c r="D528" s="31">
        <f>IF($AB528="G",SUM($AE$8:$AE$407),IF(OR($AB528="",$AB528="R"),"",IF($AB528="D",INDEX($AE$8:$AE$407,$AA528),SUMIF($T$8:$T$407,INDEX($T$8:$T$407,$AA528),$AE$8:$AE$407))))</f>
        <v/>
      </c>
      <c r="E528" s="32">
        <f>IF(521=$AD$1+3,"ขอแสดงความนับถือ",IF(521=$AD$1+6,"(                 )",IF(521=$AD$1+7,"เจ้าหน้าที่ขนส่ง",IF($AB528="G",SUM($AF$8:$AF$407),IF(OR($AB528="",$AB528="R"),"",IF($AB528="D",INDEX($AF$8:$AF$407,$AA528),SUMIF($T$8:$T$407,INDEX($T$8:$T$407,$AA528),$AF$8:$AF$407)))))))</f>
        <v/>
      </c>
      <c r="F528" s="32">
        <f>IF($AB528="G",SUM($AG$8:$AG$407),IF(OR($AB528="",$AB528="R"),"",IF($AB528="D",INDEX($AG$8:$AG$407,$AA528),SUMIF($T$8:$T$407,INDEX($T$8:$T$407,$AA528),$AG$8:$AG$407))))</f>
        <v/>
      </c>
      <c r="G528" s="32">
        <f>IF(OR($AB528="",$AB528="R"),"",ROUND($E528-$F528,2))</f>
        <v/>
      </c>
      <c r="H528" s="32">
        <f>IF($AB528="G",SUM($AH$8:$AH$407),IF(OR($AB528="",$AB528="R"),"",IF($AB528="D",INDEX($AH$8:$AH$407,$AA528),SUMIF($T$8:$T$407,INDEX($T$8:$T$407,$AA528),$AH$8:$AH$407))))</f>
        <v/>
      </c>
      <c r="AA528">
        <f>IFERROR(MATCH(521,$X$8:$X$407,1),"")</f>
        <v/>
      </c>
      <c r="AB528">
        <f>IF(521=$AD$1+1,"G",IF($AA528="","",IF(INDEX($Q$8:$Q$407,$AA528)="","",IF(521&gt;INDEX($X$8:$X$407,$AA528)+INDEX($V$8:$V$407,$AA528)+INDEX($W$8:$W$407,$AA528),"",IF(521=INDEX($X$8:$X$407,$AA528)+INDEX($V$8:$V$407,$AA528)+INDEX($W$8:$W$407,$AA528),"D",IF(AND(INDEX($W$8:$W$407,$AA528)=1,521=INDEX($X$8:$X$407,$AA528)+INDEX($V$8:$V$407,$AA528)),"S","R"))))))</f>
        <v/>
      </c>
      <c r="AC528">
        <f>IF(OR($AB528="",$AB528="G"),"",IF($AB528="D",INDEX($U$8:$U$407,$AA528),IF($AB528="S",INDEX($T$8:$T$407,$AA528)&amp;"|*",INDEX($S$8:$S$407,$AA528)&amp;"|*")))</f>
        <v/>
      </c>
    </row>
    <row r="529" ht="21" customHeight="1" s="66">
      <c r="A529" s="3">
        <f>IF($AB529="G","ผลรวมทั้งหมด",IF($AB529="R",INDEX($S$8:$S$407,$AA529),""))</f>
        <v/>
      </c>
      <c r="B529" s="3">
        <f>IF($AB529="S",INDEX($Y$8:$Y$407,$AA529),"")</f>
        <v/>
      </c>
      <c r="C529" s="68">
        <f>IF($AB529="D",INDEX($Z$8:$Z$407,$AA529),"")</f>
        <v/>
      </c>
      <c r="D529" s="31">
        <f>IF($AB529="G",SUM($AE$8:$AE$407),IF(OR($AB529="",$AB529="R"),"",IF($AB529="D",INDEX($AE$8:$AE$407,$AA529),SUMIF($T$8:$T$407,INDEX($T$8:$T$407,$AA529),$AE$8:$AE$407))))</f>
        <v/>
      </c>
      <c r="E529" s="32">
        <f>IF(522=$AD$1+3,"ขอแสดงความนับถือ",IF(522=$AD$1+6,"(                 )",IF(522=$AD$1+7,"เจ้าหน้าที่ขนส่ง",IF($AB529="G",SUM($AF$8:$AF$407),IF(OR($AB529="",$AB529="R"),"",IF($AB529="D",INDEX($AF$8:$AF$407,$AA529),SUMIF($T$8:$T$407,INDEX($T$8:$T$407,$AA529),$AF$8:$AF$407)))))))</f>
        <v/>
      </c>
      <c r="F529" s="32">
        <f>IF($AB529="G",SUM($AG$8:$AG$407),IF(OR($AB529="",$AB529="R"),"",IF($AB529="D",INDEX($AG$8:$AG$407,$AA529),SUMIF($T$8:$T$407,INDEX($T$8:$T$407,$AA529),$AG$8:$AG$407))))</f>
        <v/>
      </c>
      <c r="G529" s="32">
        <f>IF(OR($AB529="",$AB529="R"),"",ROUND($E529-$F529,2))</f>
        <v/>
      </c>
      <c r="H529" s="32">
        <f>IF($AB529="G",SUM($AH$8:$AH$407),IF(OR($AB529="",$AB529="R"),"",IF($AB529="D",INDEX($AH$8:$AH$407,$AA529),SUMIF($T$8:$T$407,INDEX($T$8:$T$407,$AA529),$AH$8:$AH$407))))</f>
        <v/>
      </c>
      <c r="AA529">
        <f>IFERROR(MATCH(522,$X$8:$X$407,1),"")</f>
        <v/>
      </c>
      <c r="AB529">
        <f>IF(522=$AD$1+1,"G",IF($AA529="","",IF(INDEX($Q$8:$Q$407,$AA529)="","",IF(522&gt;INDEX($X$8:$X$407,$AA529)+INDEX($V$8:$V$407,$AA529)+INDEX($W$8:$W$407,$AA529),"",IF(522=INDEX($X$8:$X$407,$AA529)+INDEX($V$8:$V$407,$AA529)+INDEX($W$8:$W$407,$AA529),"D",IF(AND(INDEX($W$8:$W$407,$AA529)=1,522=INDEX($X$8:$X$407,$AA529)+INDEX($V$8:$V$407,$AA529)),"S","R"))))))</f>
        <v/>
      </c>
      <c r="AC529">
        <f>IF(OR($AB529="",$AB529="G"),"",IF($AB529="D",INDEX($U$8:$U$407,$AA529),IF($AB529="S",INDEX($T$8:$T$407,$AA529)&amp;"|*",INDEX($S$8:$S$407,$AA529)&amp;"|*")))</f>
        <v/>
      </c>
    </row>
    <row r="530" ht="21" customHeight="1" s="66">
      <c r="A530" s="3">
        <f>IF($AB530="G","ผลรวมทั้งหมด",IF($AB530="R",INDEX($S$8:$S$407,$AA530),""))</f>
        <v/>
      </c>
      <c r="B530" s="3">
        <f>IF($AB530="S",INDEX($Y$8:$Y$407,$AA530),"")</f>
        <v/>
      </c>
      <c r="C530" s="68">
        <f>IF($AB530="D",INDEX($Z$8:$Z$407,$AA530),"")</f>
        <v/>
      </c>
      <c r="D530" s="31">
        <f>IF($AB530="G",SUM($AE$8:$AE$407),IF(OR($AB530="",$AB530="R"),"",IF($AB530="D",INDEX($AE$8:$AE$407,$AA530),SUMIF($T$8:$T$407,INDEX($T$8:$T$407,$AA530),$AE$8:$AE$407))))</f>
        <v/>
      </c>
      <c r="E530" s="32">
        <f>IF(523=$AD$1+3,"ขอแสดงความนับถือ",IF(523=$AD$1+6,"(                 )",IF(523=$AD$1+7,"เจ้าหน้าที่ขนส่ง",IF($AB530="G",SUM($AF$8:$AF$407),IF(OR($AB530="",$AB530="R"),"",IF($AB530="D",INDEX($AF$8:$AF$407,$AA530),SUMIF($T$8:$T$407,INDEX($T$8:$T$407,$AA530),$AF$8:$AF$407)))))))</f>
        <v/>
      </c>
      <c r="F530" s="32">
        <f>IF($AB530="G",SUM($AG$8:$AG$407),IF(OR($AB530="",$AB530="R"),"",IF($AB530="D",INDEX($AG$8:$AG$407,$AA530),SUMIF($T$8:$T$407,INDEX($T$8:$T$407,$AA530),$AG$8:$AG$407))))</f>
        <v/>
      </c>
      <c r="G530" s="32">
        <f>IF(OR($AB530="",$AB530="R"),"",ROUND($E530-$F530,2))</f>
        <v/>
      </c>
      <c r="H530" s="32">
        <f>IF($AB530="G",SUM($AH$8:$AH$407),IF(OR($AB530="",$AB530="R"),"",IF($AB530="D",INDEX($AH$8:$AH$407,$AA530),SUMIF($T$8:$T$407,INDEX($T$8:$T$407,$AA530),$AH$8:$AH$407))))</f>
        <v/>
      </c>
      <c r="AA530">
        <f>IFERROR(MATCH(523,$X$8:$X$407,1),"")</f>
        <v/>
      </c>
      <c r="AB530">
        <f>IF(523=$AD$1+1,"G",IF($AA530="","",IF(INDEX($Q$8:$Q$407,$AA530)="","",IF(523&gt;INDEX($X$8:$X$407,$AA530)+INDEX($V$8:$V$407,$AA530)+INDEX($W$8:$W$407,$AA530),"",IF(523=INDEX($X$8:$X$407,$AA530)+INDEX($V$8:$V$407,$AA530)+INDEX($W$8:$W$407,$AA530),"D",IF(AND(INDEX($W$8:$W$407,$AA530)=1,523=INDEX($X$8:$X$407,$AA530)+INDEX($V$8:$V$407,$AA530)),"S","R"))))))</f>
        <v/>
      </c>
      <c r="AC530">
        <f>IF(OR($AB530="",$AB530="G"),"",IF($AB530="D",INDEX($U$8:$U$407,$AA530),IF($AB530="S",INDEX($T$8:$T$407,$AA530)&amp;"|*",INDEX($S$8:$S$407,$AA530)&amp;"|*")))</f>
        <v/>
      </c>
    </row>
    <row r="531" ht="21" customHeight="1" s="66">
      <c r="A531" s="3">
        <f>IF($AB531="G","ผลรวมทั้งหมด",IF($AB531="R",INDEX($S$8:$S$407,$AA531),""))</f>
        <v/>
      </c>
      <c r="B531" s="3">
        <f>IF($AB531="S",INDEX($Y$8:$Y$407,$AA531),"")</f>
        <v/>
      </c>
      <c r="C531" s="68">
        <f>IF($AB531="D",INDEX($Z$8:$Z$407,$AA531),"")</f>
        <v/>
      </c>
      <c r="D531" s="31">
        <f>IF($AB531="G",SUM($AE$8:$AE$407),IF(OR($AB531="",$AB531="R"),"",IF($AB531="D",INDEX($AE$8:$AE$407,$AA531),SUMIF($T$8:$T$407,INDEX($T$8:$T$407,$AA531),$AE$8:$AE$407))))</f>
        <v/>
      </c>
      <c r="E531" s="32">
        <f>IF(524=$AD$1+3,"ขอแสดงความนับถือ",IF(524=$AD$1+6,"(                 )",IF(524=$AD$1+7,"เจ้าหน้าที่ขนส่ง",IF($AB531="G",SUM($AF$8:$AF$407),IF(OR($AB531="",$AB531="R"),"",IF($AB531="D",INDEX($AF$8:$AF$407,$AA531),SUMIF($T$8:$T$407,INDEX($T$8:$T$407,$AA531),$AF$8:$AF$407)))))))</f>
        <v/>
      </c>
      <c r="F531" s="32">
        <f>IF($AB531="G",SUM($AG$8:$AG$407),IF(OR($AB531="",$AB531="R"),"",IF($AB531="D",INDEX($AG$8:$AG$407,$AA531),SUMIF($T$8:$T$407,INDEX($T$8:$T$407,$AA531),$AG$8:$AG$407))))</f>
        <v/>
      </c>
      <c r="G531" s="32">
        <f>IF(OR($AB531="",$AB531="R"),"",ROUND($E531-$F531,2))</f>
        <v/>
      </c>
      <c r="H531" s="32">
        <f>IF($AB531="G",SUM($AH$8:$AH$407),IF(OR($AB531="",$AB531="R"),"",IF($AB531="D",INDEX($AH$8:$AH$407,$AA531),SUMIF($T$8:$T$407,INDEX($T$8:$T$407,$AA531),$AH$8:$AH$407))))</f>
        <v/>
      </c>
      <c r="AA531">
        <f>IFERROR(MATCH(524,$X$8:$X$407,1),"")</f>
        <v/>
      </c>
      <c r="AB531">
        <f>IF(524=$AD$1+1,"G",IF($AA531="","",IF(INDEX($Q$8:$Q$407,$AA531)="","",IF(524&gt;INDEX($X$8:$X$407,$AA531)+INDEX($V$8:$V$407,$AA531)+INDEX($W$8:$W$407,$AA531),"",IF(524=INDEX($X$8:$X$407,$AA531)+INDEX($V$8:$V$407,$AA531)+INDEX($W$8:$W$407,$AA531),"D",IF(AND(INDEX($W$8:$W$407,$AA531)=1,524=INDEX($X$8:$X$407,$AA531)+INDEX($V$8:$V$407,$AA531)),"S","R"))))))</f>
        <v/>
      </c>
      <c r="AC531">
        <f>IF(OR($AB531="",$AB531="G"),"",IF($AB531="D",INDEX($U$8:$U$407,$AA531),IF($AB531="S",INDEX($T$8:$T$407,$AA531)&amp;"|*",INDEX($S$8:$S$407,$AA531)&amp;"|*")))</f>
        <v/>
      </c>
    </row>
    <row r="532" ht="21" customHeight="1" s="66">
      <c r="A532" s="3">
        <f>IF($AB532="G","ผลรวมทั้งหมด",IF($AB532="R",INDEX($S$8:$S$407,$AA532),""))</f>
        <v/>
      </c>
      <c r="B532" s="3">
        <f>IF($AB532="S",INDEX($Y$8:$Y$407,$AA532),"")</f>
        <v/>
      </c>
      <c r="C532" s="68">
        <f>IF($AB532="D",INDEX($Z$8:$Z$407,$AA532),"")</f>
        <v/>
      </c>
      <c r="D532" s="31">
        <f>IF($AB532="G",SUM($AE$8:$AE$407),IF(OR($AB532="",$AB532="R"),"",IF($AB532="D",INDEX($AE$8:$AE$407,$AA532),SUMIF($T$8:$T$407,INDEX($T$8:$T$407,$AA532),$AE$8:$AE$407))))</f>
        <v/>
      </c>
      <c r="E532" s="32">
        <f>IF(525=$AD$1+3,"ขอแสดงความนับถือ",IF(525=$AD$1+6,"(                 )",IF(525=$AD$1+7,"เจ้าหน้าที่ขนส่ง",IF($AB532="G",SUM($AF$8:$AF$407),IF(OR($AB532="",$AB532="R"),"",IF($AB532="D",INDEX($AF$8:$AF$407,$AA532),SUMIF($T$8:$T$407,INDEX($T$8:$T$407,$AA532),$AF$8:$AF$407)))))))</f>
        <v/>
      </c>
      <c r="F532" s="32">
        <f>IF($AB532="G",SUM($AG$8:$AG$407),IF(OR($AB532="",$AB532="R"),"",IF($AB532="D",INDEX($AG$8:$AG$407,$AA532),SUMIF($T$8:$T$407,INDEX($T$8:$T$407,$AA532),$AG$8:$AG$407))))</f>
        <v/>
      </c>
      <c r="G532" s="32">
        <f>IF(OR($AB532="",$AB532="R"),"",ROUND($E532-$F532,2))</f>
        <v/>
      </c>
      <c r="H532" s="32">
        <f>IF($AB532="G",SUM($AH$8:$AH$407),IF(OR($AB532="",$AB532="R"),"",IF($AB532="D",INDEX($AH$8:$AH$407,$AA532),SUMIF($T$8:$T$407,INDEX($T$8:$T$407,$AA532),$AH$8:$AH$407))))</f>
        <v/>
      </c>
      <c r="AA532">
        <f>IFERROR(MATCH(525,$X$8:$X$407,1),"")</f>
        <v/>
      </c>
      <c r="AB532">
        <f>IF(525=$AD$1+1,"G",IF($AA532="","",IF(INDEX($Q$8:$Q$407,$AA532)="","",IF(525&gt;INDEX($X$8:$X$407,$AA532)+INDEX($V$8:$V$407,$AA532)+INDEX($W$8:$W$407,$AA532),"",IF(525=INDEX($X$8:$X$407,$AA532)+INDEX($V$8:$V$407,$AA532)+INDEX($W$8:$W$407,$AA532),"D",IF(AND(INDEX($W$8:$W$407,$AA532)=1,525=INDEX($X$8:$X$407,$AA532)+INDEX($V$8:$V$407,$AA532)),"S","R"))))))</f>
        <v/>
      </c>
      <c r="AC532">
        <f>IF(OR($AB532="",$AB532="G"),"",IF($AB532="D",INDEX($U$8:$U$407,$AA532),IF($AB532="S",INDEX($T$8:$T$407,$AA532)&amp;"|*",INDEX($S$8:$S$407,$AA532)&amp;"|*")))</f>
        <v/>
      </c>
    </row>
    <row r="533" ht="21" customHeight="1" s="66">
      <c r="A533" s="3">
        <f>IF($AB533="G","ผลรวมทั้งหมด",IF($AB533="R",INDEX($S$8:$S$407,$AA533),""))</f>
        <v/>
      </c>
      <c r="B533" s="3">
        <f>IF($AB533="S",INDEX($Y$8:$Y$407,$AA533),"")</f>
        <v/>
      </c>
      <c r="C533" s="68">
        <f>IF($AB533="D",INDEX($Z$8:$Z$407,$AA533),"")</f>
        <v/>
      </c>
      <c r="D533" s="31">
        <f>IF($AB533="G",SUM($AE$8:$AE$407),IF(OR($AB533="",$AB533="R"),"",IF($AB533="D",INDEX($AE$8:$AE$407,$AA533),SUMIF($T$8:$T$407,INDEX($T$8:$T$407,$AA533),$AE$8:$AE$407))))</f>
        <v/>
      </c>
      <c r="E533" s="32">
        <f>IF(526=$AD$1+3,"ขอแสดงความนับถือ",IF(526=$AD$1+6,"(                 )",IF(526=$AD$1+7,"เจ้าหน้าที่ขนส่ง",IF($AB533="G",SUM($AF$8:$AF$407),IF(OR($AB533="",$AB533="R"),"",IF($AB533="D",INDEX($AF$8:$AF$407,$AA533),SUMIF($T$8:$T$407,INDEX($T$8:$T$407,$AA533),$AF$8:$AF$407)))))))</f>
        <v/>
      </c>
      <c r="F533" s="32">
        <f>IF($AB533="G",SUM($AG$8:$AG$407),IF(OR($AB533="",$AB533="R"),"",IF($AB533="D",INDEX($AG$8:$AG$407,$AA533),SUMIF($T$8:$T$407,INDEX($T$8:$T$407,$AA533),$AG$8:$AG$407))))</f>
        <v/>
      </c>
      <c r="G533" s="32">
        <f>IF(OR($AB533="",$AB533="R"),"",ROUND($E533-$F533,2))</f>
        <v/>
      </c>
      <c r="H533" s="32">
        <f>IF($AB533="G",SUM($AH$8:$AH$407),IF(OR($AB533="",$AB533="R"),"",IF($AB533="D",INDEX($AH$8:$AH$407,$AA533),SUMIF($T$8:$T$407,INDEX($T$8:$T$407,$AA533),$AH$8:$AH$407))))</f>
        <v/>
      </c>
      <c r="AA533">
        <f>IFERROR(MATCH(526,$X$8:$X$407,1),"")</f>
        <v/>
      </c>
      <c r="AB533">
        <f>IF(526=$AD$1+1,"G",IF($AA533="","",IF(INDEX($Q$8:$Q$407,$AA533)="","",IF(526&gt;INDEX($X$8:$X$407,$AA533)+INDEX($V$8:$V$407,$AA533)+INDEX($W$8:$W$407,$AA533),"",IF(526=INDEX($X$8:$X$407,$AA533)+INDEX($V$8:$V$407,$AA533)+INDEX($W$8:$W$407,$AA533),"D",IF(AND(INDEX($W$8:$W$407,$AA533)=1,526=INDEX($X$8:$X$407,$AA533)+INDEX($V$8:$V$407,$AA533)),"S","R"))))))</f>
        <v/>
      </c>
      <c r="AC533">
        <f>IF(OR($AB533="",$AB533="G"),"",IF($AB533="D",INDEX($U$8:$U$407,$AA533),IF($AB533="S",INDEX($T$8:$T$407,$AA533)&amp;"|*",INDEX($S$8:$S$407,$AA533)&amp;"|*")))</f>
        <v/>
      </c>
    </row>
    <row r="534" ht="21" customHeight="1" s="66">
      <c r="A534" s="3">
        <f>IF($AB534="G","ผลรวมทั้งหมด",IF($AB534="R",INDEX($S$8:$S$407,$AA534),""))</f>
        <v/>
      </c>
      <c r="B534" s="3">
        <f>IF($AB534="S",INDEX($Y$8:$Y$407,$AA534),"")</f>
        <v/>
      </c>
      <c r="C534" s="68">
        <f>IF($AB534="D",INDEX($Z$8:$Z$407,$AA534),"")</f>
        <v/>
      </c>
      <c r="D534" s="31">
        <f>IF($AB534="G",SUM($AE$8:$AE$407),IF(OR($AB534="",$AB534="R"),"",IF($AB534="D",INDEX($AE$8:$AE$407,$AA534),SUMIF($T$8:$T$407,INDEX($T$8:$T$407,$AA534),$AE$8:$AE$407))))</f>
        <v/>
      </c>
      <c r="E534" s="32">
        <f>IF(527=$AD$1+3,"ขอแสดงความนับถือ",IF(527=$AD$1+6,"(                 )",IF(527=$AD$1+7,"เจ้าหน้าที่ขนส่ง",IF($AB534="G",SUM($AF$8:$AF$407),IF(OR($AB534="",$AB534="R"),"",IF($AB534="D",INDEX($AF$8:$AF$407,$AA534),SUMIF($T$8:$T$407,INDEX($T$8:$T$407,$AA534),$AF$8:$AF$407)))))))</f>
        <v/>
      </c>
      <c r="F534" s="32">
        <f>IF($AB534="G",SUM($AG$8:$AG$407),IF(OR($AB534="",$AB534="R"),"",IF($AB534="D",INDEX($AG$8:$AG$407,$AA534),SUMIF($T$8:$T$407,INDEX($T$8:$T$407,$AA534),$AG$8:$AG$407))))</f>
        <v/>
      </c>
      <c r="G534" s="32">
        <f>IF(OR($AB534="",$AB534="R"),"",ROUND($E534-$F534,2))</f>
        <v/>
      </c>
      <c r="H534" s="32">
        <f>IF($AB534="G",SUM($AH$8:$AH$407),IF(OR($AB534="",$AB534="R"),"",IF($AB534="D",INDEX($AH$8:$AH$407,$AA534),SUMIF($T$8:$T$407,INDEX($T$8:$T$407,$AA534),$AH$8:$AH$407))))</f>
        <v/>
      </c>
      <c r="AA534">
        <f>IFERROR(MATCH(527,$X$8:$X$407,1),"")</f>
        <v/>
      </c>
      <c r="AB534">
        <f>IF(527=$AD$1+1,"G",IF($AA534="","",IF(INDEX($Q$8:$Q$407,$AA534)="","",IF(527&gt;INDEX($X$8:$X$407,$AA534)+INDEX($V$8:$V$407,$AA534)+INDEX($W$8:$W$407,$AA534),"",IF(527=INDEX($X$8:$X$407,$AA534)+INDEX($V$8:$V$407,$AA534)+INDEX($W$8:$W$407,$AA534),"D",IF(AND(INDEX($W$8:$W$407,$AA534)=1,527=INDEX($X$8:$X$407,$AA534)+INDEX($V$8:$V$407,$AA534)),"S","R"))))))</f>
        <v/>
      </c>
      <c r="AC534">
        <f>IF(OR($AB534="",$AB534="G"),"",IF($AB534="D",INDEX($U$8:$U$407,$AA534),IF($AB534="S",INDEX($T$8:$T$407,$AA534)&amp;"|*",INDEX($S$8:$S$407,$AA534)&amp;"|*")))</f>
        <v/>
      </c>
    </row>
    <row r="535" ht="21" customHeight="1" s="66">
      <c r="A535" s="3">
        <f>IF($AB535="G","ผลรวมทั้งหมด",IF($AB535="R",INDEX($S$8:$S$407,$AA535),""))</f>
        <v/>
      </c>
      <c r="B535" s="3">
        <f>IF($AB535="S",INDEX($Y$8:$Y$407,$AA535),"")</f>
        <v/>
      </c>
      <c r="C535" s="68">
        <f>IF($AB535="D",INDEX($Z$8:$Z$407,$AA535),"")</f>
        <v/>
      </c>
      <c r="D535" s="31">
        <f>IF($AB535="G",SUM($AE$8:$AE$407),IF(OR($AB535="",$AB535="R"),"",IF($AB535="D",INDEX($AE$8:$AE$407,$AA535),SUMIF($T$8:$T$407,INDEX($T$8:$T$407,$AA535),$AE$8:$AE$407))))</f>
        <v/>
      </c>
      <c r="E535" s="32">
        <f>IF(528=$AD$1+3,"ขอแสดงความนับถือ",IF(528=$AD$1+6,"(                 )",IF(528=$AD$1+7,"เจ้าหน้าที่ขนส่ง",IF($AB535="G",SUM($AF$8:$AF$407),IF(OR($AB535="",$AB535="R"),"",IF($AB535="D",INDEX($AF$8:$AF$407,$AA535),SUMIF($T$8:$T$407,INDEX($T$8:$T$407,$AA535),$AF$8:$AF$407)))))))</f>
        <v/>
      </c>
      <c r="F535" s="32">
        <f>IF($AB535="G",SUM($AG$8:$AG$407),IF(OR($AB535="",$AB535="R"),"",IF($AB535="D",INDEX($AG$8:$AG$407,$AA535),SUMIF($T$8:$T$407,INDEX($T$8:$T$407,$AA535),$AG$8:$AG$407))))</f>
        <v/>
      </c>
      <c r="G535" s="32">
        <f>IF(OR($AB535="",$AB535="R"),"",ROUND($E535-$F535,2))</f>
        <v/>
      </c>
      <c r="H535" s="32">
        <f>IF($AB535="G",SUM($AH$8:$AH$407),IF(OR($AB535="",$AB535="R"),"",IF($AB535="D",INDEX($AH$8:$AH$407,$AA535),SUMIF($T$8:$T$407,INDEX($T$8:$T$407,$AA535),$AH$8:$AH$407))))</f>
        <v/>
      </c>
      <c r="AA535">
        <f>IFERROR(MATCH(528,$X$8:$X$407,1),"")</f>
        <v/>
      </c>
      <c r="AB535">
        <f>IF(528=$AD$1+1,"G",IF($AA535="","",IF(INDEX($Q$8:$Q$407,$AA535)="","",IF(528&gt;INDEX($X$8:$X$407,$AA535)+INDEX($V$8:$V$407,$AA535)+INDEX($W$8:$W$407,$AA535),"",IF(528=INDEX($X$8:$X$407,$AA535)+INDEX($V$8:$V$407,$AA535)+INDEX($W$8:$W$407,$AA535),"D",IF(AND(INDEX($W$8:$W$407,$AA535)=1,528=INDEX($X$8:$X$407,$AA535)+INDEX($V$8:$V$407,$AA535)),"S","R"))))))</f>
        <v/>
      </c>
      <c r="AC535">
        <f>IF(OR($AB535="",$AB535="G"),"",IF($AB535="D",INDEX($U$8:$U$407,$AA535),IF($AB535="S",INDEX($T$8:$T$407,$AA535)&amp;"|*",INDEX($S$8:$S$407,$AA535)&amp;"|*")))</f>
        <v/>
      </c>
    </row>
    <row r="536" ht="21" customHeight="1" s="66">
      <c r="A536" s="3">
        <f>IF($AB536="G","ผลรวมทั้งหมด",IF($AB536="R",INDEX($S$8:$S$407,$AA536),""))</f>
        <v/>
      </c>
      <c r="B536" s="3">
        <f>IF($AB536="S",INDEX($Y$8:$Y$407,$AA536),"")</f>
        <v/>
      </c>
      <c r="C536" s="68">
        <f>IF($AB536="D",INDEX($Z$8:$Z$407,$AA536),"")</f>
        <v/>
      </c>
      <c r="D536" s="31">
        <f>IF($AB536="G",SUM($AE$8:$AE$407),IF(OR($AB536="",$AB536="R"),"",IF($AB536="D",INDEX($AE$8:$AE$407,$AA536),SUMIF($T$8:$T$407,INDEX($T$8:$T$407,$AA536),$AE$8:$AE$407))))</f>
        <v/>
      </c>
      <c r="E536" s="32">
        <f>IF(529=$AD$1+3,"ขอแสดงความนับถือ",IF(529=$AD$1+6,"(                 )",IF(529=$AD$1+7,"เจ้าหน้าที่ขนส่ง",IF($AB536="G",SUM($AF$8:$AF$407),IF(OR($AB536="",$AB536="R"),"",IF($AB536="D",INDEX($AF$8:$AF$407,$AA536),SUMIF($T$8:$T$407,INDEX($T$8:$T$407,$AA536),$AF$8:$AF$407)))))))</f>
        <v/>
      </c>
      <c r="F536" s="32">
        <f>IF($AB536="G",SUM($AG$8:$AG$407),IF(OR($AB536="",$AB536="R"),"",IF($AB536="D",INDEX($AG$8:$AG$407,$AA536),SUMIF($T$8:$T$407,INDEX($T$8:$T$407,$AA536),$AG$8:$AG$407))))</f>
        <v/>
      </c>
      <c r="G536" s="32">
        <f>IF(OR($AB536="",$AB536="R"),"",ROUND($E536-$F536,2))</f>
        <v/>
      </c>
      <c r="H536" s="32">
        <f>IF($AB536="G",SUM($AH$8:$AH$407),IF(OR($AB536="",$AB536="R"),"",IF($AB536="D",INDEX($AH$8:$AH$407,$AA536),SUMIF($T$8:$T$407,INDEX($T$8:$T$407,$AA536),$AH$8:$AH$407))))</f>
        <v/>
      </c>
      <c r="AA536">
        <f>IFERROR(MATCH(529,$X$8:$X$407,1),"")</f>
        <v/>
      </c>
      <c r="AB536">
        <f>IF(529=$AD$1+1,"G",IF($AA536="","",IF(INDEX($Q$8:$Q$407,$AA536)="","",IF(529&gt;INDEX($X$8:$X$407,$AA536)+INDEX($V$8:$V$407,$AA536)+INDEX($W$8:$W$407,$AA536),"",IF(529=INDEX($X$8:$X$407,$AA536)+INDEX($V$8:$V$407,$AA536)+INDEX($W$8:$W$407,$AA536),"D",IF(AND(INDEX($W$8:$W$407,$AA536)=1,529=INDEX($X$8:$X$407,$AA536)+INDEX($V$8:$V$407,$AA536)),"S","R"))))))</f>
        <v/>
      </c>
      <c r="AC536">
        <f>IF(OR($AB536="",$AB536="G"),"",IF($AB536="D",INDEX($U$8:$U$407,$AA536),IF($AB536="S",INDEX($T$8:$T$407,$AA536)&amp;"|*",INDEX($S$8:$S$407,$AA536)&amp;"|*")))</f>
        <v/>
      </c>
    </row>
    <row r="537" ht="21" customHeight="1" s="66">
      <c r="A537" s="3">
        <f>IF($AB537="G","ผลรวมทั้งหมด",IF($AB537="R",INDEX($S$8:$S$407,$AA537),""))</f>
        <v/>
      </c>
      <c r="B537" s="3">
        <f>IF($AB537="S",INDEX($Y$8:$Y$407,$AA537),"")</f>
        <v/>
      </c>
      <c r="C537" s="68">
        <f>IF($AB537="D",INDEX($Z$8:$Z$407,$AA537),"")</f>
        <v/>
      </c>
      <c r="D537" s="31">
        <f>IF($AB537="G",SUM($AE$8:$AE$407),IF(OR($AB537="",$AB537="R"),"",IF($AB537="D",INDEX($AE$8:$AE$407,$AA537),SUMIF($T$8:$T$407,INDEX($T$8:$T$407,$AA537),$AE$8:$AE$407))))</f>
        <v/>
      </c>
      <c r="E537" s="32">
        <f>IF(530=$AD$1+3,"ขอแสดงความนับถือ",IF(530=$AD$1+6,"(                 )",IF(530=$AD$1+7,"เจ้าหน้าที่ขนส่ง",IF($AB537="G",SUM($AF$8:$AF$407),IF(OR($AB537="",$AB537="R"),"",IF($AB537="D",INDEX($AF$8:$AF$407,$AA537),SUMIF($T$8:$T$407,INDEX($T$8:$T$407,$AA537),$AF$8:$AF$407)))))))</f>
        <v/>
      </c>
      <c r="F537" s="32">
        <f>IF($AB537="G",SUM($AG$8:$AG$407),IF(OR($AB537="",$AB537="R"),"",IF($AB537="D",INDEX($AG$8:$AG$407,$AA537),SUMIF($T$8:$T$407,INDEX($T$8:$T$407,$AA537),$AG$8:$AG$407))))</f>
        <v/>
      </c>
      <c r="G537" s="32">
        <f>IF(OR($AB537="",$AB537="R"),"",ROUND($E537-$F537,2))</f>
        <v/>
      </c>
      <c r="H537" s="32">
        <f>IF($AB537="G",SUM($AH$8:$AH$407),IF(OR($AB537="",$AB537="R"),"",IF($AB537="D",INDEX($AH$8:$AH$407,$AA537),SUMIF($T$8:$T$407,INDEX($T$8:$T$407,$AA537),$AH$8:$AH$407))))</f>
        <v/>
      </c>
      <c r="AA537">
        <f>IFERROR(MATCH(530,$X$8:$X$407,1),"")</f>
        <v/>
      </c>
      <c r="AB537">
        <f>IF(530=$AD$1+1,"G",IF($AA537="","",IF(INDEX($Q$8:$Q$407,$AA537)="","",IF(530&gt;INDEX($X$8:$X$407,$AA537)+INDEX($V$8:$V$407,$AA537)+INDEX($W$8:$W$407,$AA537),"",IF(530=INDEX($X$8:$X$407,$AA537)+INDEX($V$8:$V$407,$AA537)+INDEX($W$8:$W$407,$AA537),"D",IF(AND(INDEX($W$8:$W$407,$AA537)=1,530=INDEX($X$8:$X$407,$AA537)+INDEX($V$8:$V$407,$AA537)),"S","R"))))))</f>
        <v/>
      </c>
      <c r="AC537">
        <f>IF(OR($AB537="",$AB537="G"),"",IF($AB537="D",INDEX($U$8:$U$407,$AA537),IF($AB537="S",INDEX($T$8:$T$407,$AA537)&amp;"|*",INDEX($S$8:$S$407,$AA537)&amp;"|*")))</f>
        <v/>
      </c>
    </row>
    <row r="538" ht="21" customHeight="1" s="66">
      <c r="A538" s="3">
        <f>IF($AB538="G","ผลรวมทั้งหมด",IF($AB538="R",INDEX($S$8:$S$407,$AA538),""))</f>
        <v/>
      </c>
      <c r="B538" s="3">
        <f>IF($AB538="S",INDEX($Y$8:$Y$407,$AA538),"")</f>
        <v/>
      </c>
      <c r="C538" s="68">
        <f>IF($AB538="D",INDEX($Z$8:$Z$407,$AA538),"")</f>
        <v/>
      </c>
      <c r="D538" s="31">
        <f>IF($AB538="G",SUM($AE$8:$AE$407),IF(OR($AB538="",$AB538="R"),"",IF($AB538="D",INDEX($AE$8:$AE$407,$AA538),SUMIF($T$8:$T$407,INDEX($T$8:$T$407,$AA538),$AE$8:$AE$407))))</f>
        <v/>
      </c>
      <c r="E538" s="32">
        <f>IF(531=$AD$1+3,"ขอแสดงความนับถือ",IF(531=$AD$1+6,"(                 )",IF(531=$AD$1+7,"เจ้าหน้าที่ขนส่ง",IF($AB538="G",SUM($AF$8:$AF$407),IF(OR($AB538="",$AB538="R"),"",IF($AB538="D",INDEX($AF$8:$AF$407,$AA538),SUMIF($T$8:$T$407,INDEX($T$8:$T$407,$AA538),$AF$8:$AF$407)))))))</f>
        <v/>
      </c>
      <c r="F538" s="32">
        <f>IF($AB538="G",SUM($AG$8:$AG$407),IF(OR($AB538="",$AB538="R"),"",IF($AB538="D",INDEX($AG$8:$AG$407,$AA538),SUMIF($T$8:$T$407,INDEX($T$8:$T$407,$AA538),$AG$8:$AG$407))))</f>
        <v/>
      </c>
      <c r="G538" s="32">
        <f>IF(OR($AB538="",$AB538="R"),"",ROUND($E538-$F538,2))</f>
        <v/>
      </c>
      <c r="H538" s="32">
        <f>IF($AB538="G",SUM($AH$8:$AH$407),IF(OR($AB538="",$AB538="R"),"",IF($AB538="D",INDEX($AH$8:$AH$407,$AA538),SUMIF($T$8:$T$407,INDEX($T$8:$T$407,$AA538),$AH$8:$AH$407))))</f>
        <v/>
      </c>
      <c r="AA538">
        <f>IFERROR(MATCH(531,$X$8:$X$407,1),"")</f>
        <v/>
      </c>
      <c r="AB538">
        <f>IF(531=$AD$1+1,"G",IF($AA538="","",IF(INDEX($Q$8:$Q$407,$AA538)="","",IF(531&gt;INDEX($X$8:$X$407,$AA538)+INDEX($V$8:$V$407,$AA538)+INDEX($W$8:$W$407,$AA538),"",IF(531=INDEX($X$8:$X$407,$AA538)+INDEX($V$8:$V$407,$AA538)+INDEX($W$8:$W$407,$AA538),"D",IF(AND(INDEX($W$8:$W$407,$AA538)=1,531=INDEX($X$8:$X$407,$AA538)+INDEX($V$8:$V$407,$AA538)),"S","R"))))))</f>
        <v/>
      </c>
      <c r="AC538">
        <f>IF(OR($AB538="",$AB538="G"),"",IF($AB538="D",INDEX($U$8:$U$407,$AA538),IF($AB538="S",INDEX($T$8:$T$407,$AA538)&amp;"|*",INDEX($S$8:$S$407,$AA538)&amp;"|*")))</f>
        <v/>
      </c>
    </row>
    <row r="539" ht="21" customHeight="1" s="66">
      <c r="A539" s="3">
        <f>IF($AB539="G","ผลรวมทั้งหมด",IF($AB539="R",INDEX($S$8:$S$407,$AA539),""))</f>
        <v/>
      </c>
      <c r="B539" s="3">
        <f>IF($AB539="S",INDEX($Y$8:$Y$407,$AA539),"")</f>
        <v/>
      </c>
      <c r="C539" s="68">
        <f>IF($AB539="D",INDEX($Z$8:$Z$407,$AA539),"")</f>
        <v/>
      </c>
      <c r="D539" s="31">
        <f>IF($AB539="G",SUM($AE$8:$AE$407),IF(OR($AB539="",$AB539="R"),"",IF($AB539="D",INDEX($AE$8:$AE$407,$AA539),SUMIF($T$8:$T$407,INDEX($T$8:$T$407,$AA539),$AE$8:$AE$407))))</f>
        <v/>
      </c>
      <c r="E539" s="32">
        <f>IF(532=$AD$1+3,"ขอแสดงความนับถือ",IF(532=$AD$1+6,"(                 )",IF(532=$AD$1+7,"เจ้าหน้าที่ขนส่ง",IF($AB539="G",SUM($AF$8:$AF$407),IF(OR($AB539="",$AB539="R"),"",IF($AB539="D",INDEX($AF$8:$AF$407,$AA539),SUMIF($T$8:$T$407,INDEX($T$8:$T$407,$AA539),$AF$8:$AF$407)))))))</f>
        <v/>
      </c>
      <c r="F539" s="32">
        <f>IF($AB539="G",SUM($AG$8:$AG$407),IF(OR($AB539="",$AB539="R"),"",IF($AB539="D",INDEX($AG$8:$AG$407,$AA539),SUMIF($T$8:$T$407,INDEX($T$8:$T$407,$AA539),$AG$8:$AG$407))))</f>
        <v/>
      </c>
      <c r="G539" s="32">
        <f>IF(OR($AB539="",$AB539="R"),"",ROUND($E539-$F539,2))</f>
        <v/>
      </c>
      <c r="H539" s="32">
        <f>IF($AB539="G",SUM($AH$8:$AH$407),IF(OR($AB539="",$AB539="R"),"",IF($AB539="D",INDEX($AH$8:$AH$407,$AA539),SUMIF($T$8:$T$407,INDEX($T$8:$T$407,$AA539),$AH$8:$AH$407))))</f>
        <v/>
      </c>
      <c r="AA539">
        <f>IFERROR(MATCH(532,$X$8:$X$407,1),"")</f>
        <v/>
      </c>
      <c r="AB539">
        <f>IF(532=$AD$1+1,"G",IF($AA539="","",IF(INDEX($Q$8:$Q$407,$AA539)="","",IF(532&gt;INDEX($X$8:$X$407,$AA539)+INDEX($V$8:$V$407,$AA539)+INDEX($W$8:$W$407,$AA539),"",IF(532=INDEX($X$8:$X$407,$AA539)+INDEX($V$8:$V$407,$AA539)+INDEX($W$8:$W$407,$AA539),"D",IF(AND(INDEX($W$8:$W$407,$AA539)=1,532=INDEX($X$8:$X$407,$AA539)+INDEX($V$8:$V$407,$AA539)),"S","R"))))))</f>
        <v/>
      </c>
      <c r="AC539">
        <f>IF(OR($AB539="",$AB539="G"),"",IF($AB539="D",INDEX($U$8:$U$407,$AA539),IF($AB539="S",INDEX($T$8:$T$407,$AA539)&amp;"|*",INDEX($S$8:$S$407,$AA539)&amp;"|*")))</f>
        <v/>
      </c>
    </row>
    <row r="540" ht="21" customHeight="1" s="66">
      <c r="A540" s="3">
        <f>IF($AB540="G","ผลรวมทั้งหมด",IF($AB540="R",INDEX($S$8:$S$407,$AA540),""))</f>
        <v/>
      </c>
      <c r="B540" s="3">
        <f>IF($AB540="S",INDEX($Y$8:$Y$407,$AA540),"")</f>
        <v/>
      </c>
      <c r="C540" s="68">
        <f>IF($AB540="D",INDEX($Z$8:$Z$407,$AA540),"")</f>
        <v/>
      </c>
      <c r="D540" s="31">
        <f>IF($AB540="G",SUM($AE$8:$AE$407),IF(OR($AB540="",$AB540="R"),"",IF($AB540="D",INDEX($AE$8:$AE$407,$AA540),SUMIF($T$8:$T$407,INDEX($T$8:$T$407,$AA540),$AE$8:$AE$407))))</f>
        <v/>
      </c>
      <c r="E540" s="32">
        <f>IF(533=$AD$1+3,"ขอแสดงความนับถือ",IF(533=$AD$1+6,"(                 )",IF(533=$AD$1+7,"เจ้าหน้าที่ขนส่ง",IF($AB540="G",SUM($AF$8:$AF$407),IF(OR($AB540="",$AB540="R"),"",IF($AB540="D",INDEX($AF$8:$AF$407,$AA540),SUMIF($T$8:$T$407,INDEX($T$8:$T$407,$AA540),$AF$8:$AF$407)))))))</f>
        <v/>
      </c>
      <c r="F540" s="32">
        <f>IF($AB540="G",SUM($AG$8:$AG$407),IF(OR($AB540="",$AB540="R"),"",IF($AB540="D",INDEX($AG$8:$AG$407,$AA540),SUMIF($T$8:$T$407,INDEX($T$8:$T$407,$AA540),$AG$8:$AG$407))))</f>
        <v/>
      </c>
      <c r="G540" s="32">
        <f>IF(OR($AB540="",$AB540="R"),"",ROUND($E540-$F540,2))</f>
        <v/>
      </c>
      <c r="H540" s="32">
        <f>IF($AB540="G",SUM($AH$8:$AH$407),IF(OR($AB540="",$AB540="R"),"",IF($AB540="D",INDEX($AH$8:$AH$407,$AA540),SUMIF($T$8:$T$407,INDEX($T$8:$T$407,$AA540),$AH$8:$AH$407))))</f>
        <v/>
      </c>
      <c r="AA540">
        <f>IFERROR(MATCH(533,$X$8:$X$407,1),"")</f>
        <v/>
      </c>
      <c r="AB540">
        <f>IF(533=$AD$1+1,"G",IF($AA540="","",IF(INDEX($Q$8:$Q$407,$AA540)="","",IF(533&gt;INDEX($X$8:$X$407,$AA540)+INDEX($V$8:$V$407,$AA540)+INDEX($W$8:$W$407,$AA540),"",IF(533=INDEX($X$8:$X$407,$AA540)+INDEX($V$8:$V$407,$AA540)+INDEX($W$8:$W$407,$AA540),"D",IF(AND(INDEX($W$8:$W$407,$AA540)=1,533=INDEX($X$8:$X$407,$AA540)+INDEX($V$8:$V$407,$AA540)),"S","R"))))))</f>
        <v/>
      </c>
      <c r="AC540">
        <f>IF(OR($AB540="",$AB540="G"),"",IF($AB540="D",INDEX($U$8:$U$407,$AA540),IF($AB540="S",INDEX($T$8:$T$407,$AA540)&amp;"|*",INDEX($S$8:$S$407,$AA540)&amp;"|*")))</f>
        <v/>
      </c>
    </row>
    <row r="541" ht="21" customHeight="1" s="66">
      <c r="A541" s="3">
        <f>IF($AB541="G","ผลรวมทั้งหมด",IF($AB541="R",INDEX($S$8:$S$407,$AA541),""))</f>
        <v/>
      </c>
      <c r="B541" s="3">
        <f>IF($AB541="S",INDEX($Y$8:$Y$407,$AA541),"")</f>
        <v/>
      </c>
      <c r="C541" s="68">
        <f>IF($AB541="D",INDEX($Z$8:$Z$407,$AA541),"")</f>
        <v/>
      </c>
      <c r="D541" s="31">
        <f>IF($AB541="G",SUM($AE$8:$AE$407),IF(OR($AB541="",$AB541="R"),"",IF($AB541="D",INDEX($AE$8:$AE$407,$AA541),SUMIF($T$8:$T$407,INDEX($T$8:$T$407,$AA541),$AE$8:$AE$407))))</f>
        <v/>
      </c>
      <c r="E541" s="32">
        <f>IF(534=$AD$1+3,"ขอแสดงความนับถือ",IF(534=$AD$1+6,"(                 )",IF(534=$AD$1+7,"เจ้าหน้าที่ขนส่ง",IF($AB541="G",SUM($AF$8:$AF$407),IF(OR($AB541="",$AB541="R"),"",IF($AB541="D",INDEX($AF$8:$AF$407,$AA541),SUMIF($T$8:$T$407,INDEX($T$8:$T$407,$AA541),$AF$8:$AF$407)))))))</f>
        <v/>
      </c>
      <c r="F541" s="32">
        <f>IF($AB541="G",SUM($AG$8:$AG$407),IF(OR($AB541="",$AB541="R"),"",IF($AB541="D",INDEX($AG$8:$AG$407,$AA541),SUMIF($T$8:$T$407,INDEX($T$8:$T$407,$AA541),$AG$8:$AG$407))))</f>
        <v/>
      </c>
      <c r="G541" s="32">
        <f>IF(OR($AB541="",$AB541="R"),"",ROUND($E541-$F541,2))</f>
        <v/>
      </c>
      <c r="H541" s="32">
        <f>IF($AB541="G",SUM($AH$8:$AH$407),IF(OR($AB541="",$AB541="R"),"",IF($AB541="D",INDEX($AH$8:$AH$407,$AA541),SUMIF($T$8:$T$407,INDEX($T$8:$T$407,$AA541),$AH$8:$AH$407))))</f>
        <v/>
      </c>
      <c r="AA541">
        <f>IFERROR(MATCH(534,$X$8:$X$407,1),"")</f>
        <v/>
      </c>
      <c r="AB541">
        <f>IF(534=$AD$1+1,"G",IF($AA541="","",IF(INDEX($Q$8:$Q$407,$AA541)="","",IF(534&gt;INDEX($X$8:$X$407,$AA541)+INDEX($V$8:$V$407,$AA541)+INDEX($W$8:$W$407,$AA541),"",IF(534=INDEX($X$8:$X$407,$AA541)+INDEX($V$8:$V$407,$AA541)+INDEX($W$8:$W$407,$AA541),"D",IF(AND(INDEX($W$8:$W$407,$AA541)=1,534=INDEX($X$8:$X$407,$AA541)+INDEX($V$8:$V$407,$AA541)),"S","R"))))))</f>
        <v/>
      </c>
      <c r="AC541">
        <f>IF(OR($AB541="",$AB541="G"),"",IF($AB541="D",INDEX($U$8:$U$407,$AA541),IF($AB541="S",INDEX($T$8:$T$407,$AA541)&amp;"|*",INDEX($S$8:$S$407,$AA541)&amp;"|*")))</f>
        <v/>
      </c>
    </row>
    <row r="542" ht="21" customHeight="1" s="66">
      <c r="A542" s="3">
        <f>IF($AB542="G","ผลรวมทั้งหมด",IF($AB542="R",INDEX($S$8:$S$407,$AA542),""))</f>
        <v/>
      </c>
      <c r="B542" s="3">
        <f>IF($AB542="S",INDEX($Y$8:$Y$407,$AA542),"")</f>
        <v/>
      </c>
      <c r="C542" s="68">
        <f>IF($AB542="D",INDEX($Z$8:$Z$407,$AA542),"")</f>
        <v/>
      </c>
      <c r="D542" s="31">
        <f>IF($AB542="G",SUM($AE$8:$AE$407),IF(OR($AB542="",$AB542="R"),"",IF($AB542="D",INDEX($AE$8:$AE$407,$AA542),SUMIF($T$8:$T$407,INDEX($T$8:$T$407,$AA542),$AE$8:$AE$407))))</f>
        <v/>
      </c>
      <c r="E542" s="32">
        <f>IF(535=$AD$1+3,"ขอแสดงความนับถือ",IF(535=$AD$1+6,"(                 )",IF(535=$AD$1+7,"เจ้าหน้าที่ขนส่ง",IF($AB542="G",SUM($AF$8:$AF$407),IF(OR($AB542="",$AB542="R"),"",IF($AB542="D",INDEX($AF$8:$AF$407,$AA542),SUMIF($T$8:$T$407,INDEX($T$8:$T$407,$AA542),$AF$8:$AF$407)))))))</f>
        <v/>
      </c>
      <c r="F542" s="32">
        <f>IF($AB542="G",SUM($AG$8:$AG$407),IF(OR($AB542="",$AB542="R"),"",IF($AB542="D",INDEX($AG$8:$AG$407,$AA542),SUMIF($T$8:$T$407,INDEX($T$8:$T$407,$AA542),$AG$8:$AG$407))))</f>
        <v/>
      </c>
      <c r="G542" s="32">
        <f>IF(OR($AB542="",$AB542="R"),"",ROUND($E542-$F542,2))</f>
        <v/>
      </c>
      <c r="H542" s="32">
        <f>IF($AB542="G",SUM($AH$8:$AH$407),IF(OR($AB542="",$AB542="R"),"",IF($AB542="D",INDEX($AH$8:$AH$407,$AA542),SUMIF($T$8:$T$407,INDEX($T$8:$T$407,$AA542),$AH$8:$AH$407))))</f>
        <v/>
      </c>
      <c r="AA542">
        <f>IFERROR(MATCH(535,$X$8:$X$407,1),"")</f>
        <v/>
      </c>
      <c r="AB542">
        <f>IF(535=$AD$1+1,"G",IF($AA542="","",IF(INDEX($Q$8:$Q$407,$AA542)="","",IF(535&gt;INDEX($X$8:$X$407,$AA542)+INDEX($V$8:$V$407,$AA542)+INDEX($W$8:$W$407,$AA542),"",IF(535=INDEX($X$8:$X$407,$AA542)+INDEX($V$8:$V$407,$AA542)+INDEX($W$8:$W$407,$AA542),"D",IF(AND(INDEX($W$8:$W$407,$AA542)=1,535=INDEX($X$8:$X$407,$AA542)+INDEX($V$8:$V$407,$AA542)),"S","R"))))))</f>
        <v/>
      </c>
      <c r="AC542">
        <f>IF(OR($AB542="",$AB542="G"),"",IF($AB542="D",INDEX($U$8:$U$407,$AA542),IF($AB542="S",INDEX($T$8:$T$407,$AA542)&amp;"|*",INDEX($S$8:$S$407,$AA542)&amp;"|*")))</f>
        <v/>
      </c>
    </row>
    <row r="543" ht="21" customHeight="1" s="66">
      <c r="A543" s="3">
        <f>IF($AB543="G","ผลรวมทั้งหมด",IF($AB543="R",INDEX($S$8:$S$407,$AA543),""))</f>
        <v/>
      </c>
      <c r="B543" s="3">
        <f>IF($AB543="S",INDEX($Y$8:$Y$407,$AA543),"")</f>
        <v/>
      </c>
      <c r="C543" s="68">
        <f>IF($AB543="D",INDEX($Z$8:$Z$407,$AA543),"")</f>
        <v/>
      </c>
      <c r="D543" s="31">
        <f>IF($AB543="G",SUM($AE$8:$AE$407),IF(OR($AB543="",$AB543="R"),"",IF($AB543="D",INDEX($AE$8:$AE$407,$AA543),SUMIF($T$8:$T$407,INDEX($T$8:$T$407,$AA543),$AE$8:$AE$407))))</f>
        <v/>
      </c>
      <c r="E543" s="32">
        <f>IF(536=$AD$1+3,"ขอแสดงความนับถือ",IF(536=$AD$1+6,"(                 )",IF(536=$AD$1+7,"เจ้าหน้าที่ขนส่ง",IF($AB543="G",SUM($AF$8:$AF$407),IF(OR($AB543="",$AB543="R"),"",IF($AB543="D",INDEX($AF$8:$AF$407,$AA543),SUMIF($T$8:$T$407,INDEX($T$8:$T$407,$AA543),$AF$8:$AF$407)))))))</f>
        <v/>
      </c>
      <c r="F543" s="32">
        <f>IF($AB543="G",SUM($AG$8:$AG$407),IF(OR($AB543="",$AB543="R"),"",IF($AB543="D",INDEX($AG$8:$AG$407,$AA543),SUMIF($T$8:$T$407,INDEX($T$8:$T$407,$AA543),$AG$8:$AG$407))))</f>
        <v/>
      </c>
      <c r="G543" s="32">
        <f>IF(OR($AB543="",$AB543="R"),"",ROUND($E543-$F543,2))</f>
        <v/>
      </c>
      <c r="H543" s="32">
        <f>IF($AB543="G",SUM($AH$8:$AH$407),IF(OR($AB543="",$AB543="R"),"",IF($AB543="D",INDEX($AH$8:$AH$407,$AA543),SUMIF($T$8:$T$407,INDEX($T$8:$T$407,$AA543),$AH$8:$AH$407))))</f>
        <v/>
      </c>
      <c r="AA543">
        <f>IFERROR(MATCH(536,$X$8:$X$407,1),"")</f>
        <v/>
      </c>
      <c r="AB543">
        <f>IF(536=$AD$1+1,"G",IF($AA543="","",IF(INDEX($Q$8:$Q$407,$AA543)="","",IF(536&gt;INDEX($X$8:$X$407,$AA543)+INDEX($V$8:$V$407,$AA543)+INDEX($W$8:$W$407,$AA543),"",IF(536=INDEX($X$8:$X$407,$AA543)+INDEX($V$8:$V$407,$AA543)+INDEX($W$8:$W$407,$AA543),"D",IF(AND(INDEX($W$8:$W$407,$AA543)=1,536=INDEX($X$8:$X$407,$AA543)+INDEX($V$8:$V$407,$AA543)),"S","R"))))))</f>
        <v/>
      </c>
      <c r="AC543">
        <f>IF(OR($AB543="",$AB543="G"),"",IF($AB543="D",INDEX($U$8:$U$407,$AA543),IF($AB543="S",INDEX($T$8:$T$407,$AA543)&amp;"|*",INDEX($S$8:$S$407,$AA543)&amp;"|*")))</f>
        <v/>
      </c>
    </row>
    <row r="544" ht="21" customHeight="1" s="66">
      <c r="A544" s="3">
        <f>IF($AB544="G","ผลรวมทั้งหมด",IF($AB544="R",INDEX($S$8:$S$407,$AA544),""))</f>
        <v/>
      </c>
      <c r="B544" s="3">
        <f>IF($AB544="S",INDEX($Y$8:$Y$407,$AA544),"")</f>
        <v/>
      </c>
      <c r="C544" s="68">
        <f>IF($AB544="D",INDEX($Z$8:$Z$407,$AA544),"")</f>
        <v/>
      </c>
      <c r="D544" s="31">
        <f>IF($AB544="G",SUM($AE$8:$AE$407),IF(OR($AB544="",$AB544="R"),"",IF($AB544="D",INDEX($AE$8:$AE$407,$AA544),SUMIF($T$8:$T$407,INDEX($T$8:$T$407,$AA544),$AE$8:$AE$407))))</f>
        <v/>
      </c>
      <c r="E544" s="32">
        <f>IF(537=$AD$1+3,"ขอแสดงความนับถือ",IF(537=$AD$1+6,"(                 )",IF(537=$AD$1+7,"เจ้าหน้าที่ขนส่ง",IF($AB544="G",SUM($AF$8:$AF$407),IF(OR($AB544="",$AB544="R"),"",IF($AB544="D",INDEX($AF$8:$AF$407,$AA544),SUMIF($T$8:$T$407,INDEX($T$8:$T$407,$AA544),$AF$8:$AF$407)))))))</f>
        <v/>
      </c>
      <c r="F544" s="32">
        <f>IF($AB544="G",SUM($AG$8:$AG$407),IF(OR($AB544="",$AB544="R"),"",IF($AB544="D",INDEX($AG$8:$AG$407,$AA544),SUMIF($T$8:$T$407,INDEX($T$8:$T$407,$AA544),$AG$8:$AG$407))))</f>
        <v/>
      </c>
      <c r="G544" s="32">
        <f>IF(OR($AB544="",$AB544="R"),"",ROUND($E544-$F544,2))</f>
        <v/>
      </c>
      <c r="H544" s="32">
        <f>IF($AB544="G",SUM($AH$8:$AH$407),IF(OR($AB544="",$AB544="R"),"",IF($AB544="D",INDEX($AH$8:$AH$407,$AA544),SUMIF($T$8:$T$407,INDEX($T$8:$T$407,$AA544),$AH$8:$AH$407))))</f>
        <v/>
      </c>
      <c r="AA544">
        <f>IFERROR(MATCH(537,$X$8:$X$407,1),"")</f>
        <v/>
      </c>
      <c r="AB544">
        <f>IF(537=$AD$1+1,"G",IF($AA544="","",IF(INDEX($Q$8:$Q$407,$AA544)="","",IF(537&gt;INDEX($X$8:$X$407,$AA544)+INDEX($V$8:$V$407,$AA544)+INDEX($W$8:$W$407,$AA544),"",IF(537=INDEX($X$8:$X$407,$AA544)+INDEX($V$8:$V$407,$AA544)+INDEX($W$8:$W$407,$AA544),"D",IF(AND(INDEX($W$8:$W$407,$AA544)=1,537=INDEX($X$8:$X$407,$AA544)+INDEX($V$8:$V$407,$AA544)),"S","R"))))))</f>
        <v/>
      </c>
      <c r="AC544">
        <f>IF(OR($AB544="",$AB544="G"),"",IF($AB544="D",INDEX($U$8:$U$407,$AA544),IF($AB544="S",INDEX($T$8:$T$407,$AA544)&amp;"|*",INDEX($S$8:$S$407,$AA544)&amp;"|*")))</f>
        <v/>
      </c>
    </row>
    <row r="545" ht="21" customHeight="1" s="66">
      <c r="A545" s="3">
        <f>IF($AB545="G","ผลรวมทั้งหมด",IF($AB545="R",INDEX($S$8:$S$407,$AA545),""))</f>
        <v/>
      </c>
      <c r="B545" s="3">
        <f>IF($AB545="S",INDEX($Y$8:$Y$407,$AA545),"")</f>
        <v/>
      </c>
      <c r="C545" s="68">
        <f>IF($AB545="D",INDEX($Z$8:$Z$407,$AA545),"")</f>
        <v/>
      </c>
      <c r="D545" s="31">
        <f>IF($AB545="G",SUM($AE$8:$AE$407),IF(OR($AB545="",$AB545="R"),"",IF($AB545="D",INDEX($AE$8:$AE$407,$AA545),SUMIF($T$8:$T$407,INDEX($T$8:$T$407,$AA545),$AE$8:$AE$407))))</f>
        <v/>
      </c>
      <c r="E545" s="32">
        <f>IF(538=$AD$1+3,"ขอแสดงความนับถือ",IF(538=$AD$1+6,"(                 )",IF(538=$AD$1+7,"เจ้าหน้าที่ขนส่ง",IF($AB545="G",SUM($AF$8:$AF$407),IF(OR($AB545="",$AB545="R"),"",IF($AB545="D",INDEX($AF$8:$AF$407,$AA545),SUMIF($T$8:$T$407,INDEX($T$8:$T$407,$AA545),$AF$8:$AF$407)))))))</f>
        <v/>
      </c>
      <c r="F545" s="32">
        <f>IF($AB545="G",SUM($AG$8:$AG$407),IF(OR($AB545="",$AB545="R"),"",IF($AB545="D",INDEX($AG$8:$AG$407,$AA545),SUMIF($T$8:$T$407,INDEX($T$8:$T$407,$AA545),$AG$8:$AG$407))))</f>
        <v/>
      </c>
      <c r="G545" s="32">
        <f>IF(OR($AB545="",$AB545="R"),"",ROUND($E545-$F545,2))</f>
        <v/>
      </c>
      <c r="H545" s="32">
        <f>IF($AB545="G",SUM($AH$8:$AH$407),IF(OR($AB545="",$AB545="R"),"",IF($AB545="D",INDEX($AH$8:$AH$407,$AA545),SUMIF($T$8:$T$407,INDEX($T$8:$T$407,$AA545),$AH$8:$AH$407))))</f>
        <v/>
      </c>
      <c r="AA545">
        <f>IFERROR(MATCH(538,$X$8:$X$407,1),"")</f>
        <v/>
      </c>
      <c r="AB545">
        <f>IF(538=$AD$1+1,"G",IF($AA545="","",IF(INDEX($Q$8:$Q$407,$AA545)="","",IF(538&gt;INDEX($X$8:$X$407,$AA545)+INDEX($V$8:$V$407,$AA545)+INDEX($W$8:$W$407,$AA545),"",IF(538=INDEX($X$8:$X$407,$AA545)+INDEX($V$8:$V$407,$AA545)+INDEX($W$8:$W$407,$AA545),"D",IF(AND(INDEX($W$8:$W$407,$AA545)=1,538=INDEX($X$8:$X$407,$AA545)+INDEX($V$8:$V$407,$AA545)),"S","R"))))))</f>
        <v/>
      </c>
      <c r="AC545">
        <f>IF(OR($AB545="",$AB545="G"),"",IF($AB545="D",INDEX($U$8:$U$407,$AA545),IF($AB545="S",INDEX($T$8:$T$407,$AA545)&amp;"|*",INDEX($S$8:$S$407,$AA545)&amp;"|*")))</f>
        <v/>
      </c>
    </row>
    <row r="546" ht="21" customHeight="1" s="66">
      <c r="A546" s="3">
        <f>IF($AB546="G","ผลรวมทั้งหมด",IF($AB546="R",INDEX($S$8:$S$407,$AA546),""))</f>
        <v/>
      </c>
      <c r="B546" s="3">
        <f>IF($AB546="S",INDEX($Y$8:$Y$407,$AA546),"")</f>
        <v/>
      </c>
      <c r="C546" s="68">
        <f>IF($AB546="D",INDEX($Z$8:$Z$407,$AA546),"")</f>
        <v/>
      </c>
      <c r="D546" s="31">
        <f>IF($AB546="G",SUM($AE$8:$AE$407),IF(OR($AB546="",$AB546="R"),"",IF($AB546="D",INDEX($AE$8:$AE$407,$AA546),SUMIF($T$8:$T$407,INDEX($T$8:$T$407,$AA546),$AE$8:$AE$407))))</f>
        <v/>
      </c>
      <c r="E546" s="32">
        <f>IF(539=$AD$1+3,"ขอแสดงความนับถือ",IF(539=$AD$1+6,"(                 )",IF(539=$AD$1+7,"เจ้าหน้าที่ขนส่ง",IF($AB546="G",SUM($AF$8:$AF$407),IF(OR($AB546="",$AB546="R"),"",IF($AB546="D",INDEX($AF$8:$AF$407,$AA546),SUMIF($T$8:$T$407,INDEX($T$8:$T$407,$AA546),$AF$8:$AF$407)))))))</f>
        <v/>
      </c>
      <c r="F546" s="32">
        <f>IF($AB546="G",SUM($AG$8:$AG$407),IF(OR($AB546="",$AB546="R"),"",IF($AB546="D",INDEX($AG$8:$AG$407,$AA546),SUMIF($T$8:$T$407,INDEX($T$8:$T$407,$AA546),$AG$8:$AG$407))))</f>
        <v/>
      </c>
      <c r="G546" s="32">
        <f>IF(OR($AB546="",$AB546="R"),"",ROUND($E546-$F546,2))</f>
        <v/>
      </c>
      <c r="H546" s="32">
        <f>IF($AB546="G",SUM($AH$8:$AH$407),IF(OR($AB546="",$AB546="R"),"",IF($AB546="D",INDEX($AH$8:$AH$407,$AA546),SUMIF($T$8:$T$407,INDEX($T$8:$T$407,$AA546),$AH$8:$AH$407))))</f>
        <v/>
      </c>
      <c r="AA546">
        <f>IFERROR(MATCH(539,$X$8:$X$407,1),"")</f>
        <v/>
      </c>
      <c r="AB546">
        <f>IF(539=$AD$1+1,"G",IF($AA546="","",IF(INDEX($Q$8:$Q$407,$AA546)="","",IF(539&gt;INDEX($X$8:$X$407,$AA546)+INDEX($V$8:$V$407,$AA546)+INDEX($W$8:$W$407,$AA546),"",IF(539=INDEX($X$8:$X$407,$AA546)+INDEX($V$8:$V$407,$AA546)+INDEX($W$8:$W$407,$AA546),"D",IF(AND(INDEX($W$8:$W$407,$AA546)=1,539=INDEX($X$8:$X$407,$AA546)+INDEX($V$8:$V$407,$AA546)),"S","R"))))))</f>
        <v/>
      </c>
      <c r="AC546">
        <f>IF(OR($AB546="",$AB546="G"),"",IF($AB546="D",INDEX($U$8:$U$407,$AA546),IF($AB546="S",INDEX($T$8:$T$407,$AA546)&amp;"|*",INDEX($S$8:$S$407,$AA546)&amp;"|*")))</f>
        <v/>
      </c>
    </row>
    <row r="547" ht="21" customHeight="1" s="66">
      <c r="A547" s="3">
        <f>IF($AB547="G","ผลรวมทั้งหมด",IF($AB547="R",INDEX($S$8:$S$407,$AA547),""))</f>
        <v/>
      </c>
      <c r="B547" s="3">
        <f>IF($AB547="S",INDEX($Y$8:$Y$407,$AA547),"")</f>
        <v/>
      </c>
      <c r="C547" s="68">
        <f>IF($AB547="D",INDEX($Z$8:$Z$407,$AA547),"")</f>
        <v/>
      </c>
      <c r="D547" s="31">
        <f>IF($AB547="G",SUM($AE$8:$AE$407),IF(OR($AB547="",$AB547="R"),"",IF($AB547="D",INDEX($AE$8:$AE$407,$AA547),SUMIF($T$8:$T$407,INDEX($T$8:$T$407,$AA547),$AE$8:$AE$407))))</f>
        <v/>
      </c>
      <c r="E547" s="32">
        <f>IF(540=$AD$1+3,"ขอแสดงความนับถือ",IF(540=$AD$1+6,"(                 )",IF(540=$AD$1+7,"เจ้าหน้าที่ขนส่ง",IF($AB547="G",SUM($AF$8:$AF$407),IF(OR($AB547="",$AB547="R"),"",IF($AB547="D",INDEX($AF$8:$AF$407,$AA547),SUMIF($T$8:$T$407,INDEX($T$8:$T$407,$AA547),$AF$8:$AF$407)))))))</f>
        <v/>
      </c>
      <c r="F547" s="32">
        <f>IF($AB547="G",SUM($AG$8:$AG$407),IF(OR($AB547="",$AB547="R"),"",IF($AB547="D",INDEX($AG$8:$AG$407,$AA547),SUMIF($T$8:$T$407,INDEX($T$8:$T$407,$AA547),$AG$8:$AG$407))))</f>
        <v/>
      </c>
      <c r="G547" s="32">
        <f>IF(OR($AB547="",$AB547="R"),"",ROUND($E547-$F547,2))</f>
        <v/>
      </c>
      <c r="H547" s="32">
        <f>IF($AB547="G",SUM($AH$8:$AH$407),IF(OR($AB547="",$AB547="R"),"",IF($AB547="D",INDEX($AH$8:$AH$407,$AA547),SUMIF($T$8:$T$407,INDEX($T$8:$T$407,$AA547),$AH$8:$AH$407))))</f>
        <v/>
      </c>
      <c r="AA547">
        <f>IFERROR(MATCH(540,$X$8:$X$407,1),"")</f>
        <v/>
      </c>
      <c r="AB547">
        <f>IF(540=$AD$1+1,"G",IF($AA547="","",IF(INDEX($Q$8:$Q$407,$AA547)="","",IF(540&gt;INDEX($X$8:$X$407,$AA547)+INDEX($V$8:$V$407,$AA547)+INDEX($W$8:$W$407,$AA547),"",IF(540=INDEX($X$8:$X$407,$AA547)+INDEX($V$8:$V$407,$AA547)+INDEX($W$8:$W$407,$AA547),"D",IF(AND(INDEX($W$8:$W$407,$AA547)=1,540=INDEX($X$8:$X$407,$AA547)+INDEX($V$8:$V$407,$AA547)),"S","R"))))))</f>
        <v/>
      </c>
      <c r="AC547">
        <f>IF(OR($AB547="",$AB547="G"),"",IF($AB547="D",INDEX($U$8:$U$407,$AA547),IF($AB547="S",INDEX($T$8:$T$407,$AA547)&amp;"|*",INDEX($S$8:$S$407,$AA547)&amp;"|*")))</f>
        <v/>
      </c>
    </row>
    <row r="548" ht="21" customHeight="1" s="66">
      <c r="A548" s="3">
        <f>IF($AB548="G","ผลรวมทั้งหมด",IF($AB548="R",INDEX($S$8:$S$407,$AA548),""))</f>
        <v/>
      </c>
      <c r="B548" s="3">
        <f>IF($AB548="S",INDEX($Y$8:$Y$407,$AA548),"")</f>
        <v/>
      </c>
      <c r="C548" s="68">
        <f>IF($AB548="D",INDEX($Z$8:$Z$407,$AA548),"")</f>
        <v/>
      </c>
      <c r="D548" s="31">
        <f>IF($AB548="G",SUM($AE$8:$AE$407),IF(OR($AB548="",$AB548="R"),"",IF($AB548="D",INDEX($AE$8:$AE$407,$AA548),SUMIF($T$8:$T$407,INDEX($T$8:$T$407,$AA548),$AE$8:$AE$407))))</f>
        <v/>
      </c>
      <c r="E548" s="32">
        <f>IF(541=$AD$1+3,"ขอแสดงความนับถือ",IF(541=$AD$1+6,"(                 )",IF(541=$AD$1+7,"เจ้าหน้าที่ขนส่ง",IF($AB548="G",SUM($AF$8:$AF$407),IF(OR($AB548="",$AB548="R"),"",IF($AB548="D",INDEX($AF$8:$AF$407,$AA548),SUMIF($T$8:$T$407,INDEX($T$8:$T$407,$AA548),$AF$8:$AF$407)))))))</f>
        <v/>
      </c>
      <c r="F548" s="32">
        <f>IF($AB548="G",SUM($AG$8:$AG$407),IF(OR($AB548="",$AB548="R"),"",IF($AB548="D",INDEX($AG$8:$AG$407,$AA548),SUMIF($T$8:$T$407,INDEX($T$8:$T$407,$AA548),$AG$8:$AG$407))))</f>
        <v/>
      </c>
      <c r="G548" s="32">
        <f>IF(OR($AB548="",$AB548="R"),"",ROUND($E548-$F548,2))</f>
        <v/>
      </c>
      <c r="H548" s="32">
        <f>IF($AB548="G",SUM($AH$8:$AH$407),IF(OR($AB548="",$AB548="R"),"",IF($AB548="D",INDEX($AH$8:$AH$407,$AA548),SUMIF($T$8:$T$407,INDEX($T$8:$T$407,$AA548),$AH$8:$AH$407))))</f>
        <v/>
      </c>
      <c r="AA548">
        <f>IFERROR(MATCH(541,$X$8:$X$407,1),"")</f>
        <v/>
      </c>
      <c r="AB548">
        <f>IF(541=$AD$1+1,"G",IF($AA548="","",IF(INDEX($Q$8:$Q$407,$AA548)="","",IF(541&gt;INDEX($X$8:$X$407,$AA548)+INDEX($V$8:$V$407,$AA548)+INDEX($W$8:$W$407,$AA548),"",IF(541=INDEX($X$8:$X$407,$AA548)+INDEX($V$8:$V$407,$AA548)+INDEX($W$8:$W$407,$AA548),"D",IF(AND(INDEX($W$8:$W$407,$AA548)=1,541=INDEX($X$8:$X$407,$AA548)+INDEX($V$8:$V$407,$AA548)),"S","R"))))))</f>
        <v/>
      </c>
      <c r="AC548">
        <f>IF(OR($AB548="",$AB548="G"),"",IF($AB548="D",INDEX($U$8:$U$407,$AA548),IF($AB548="S",INDEX($T$8:$T$407,$AA548)&amp;"|*",INDEX($S$8:$S$407,$AA548)&amp;"|*")))</f>
        <v/>
      </c>
    </row>
    <row r="549" ht="21" customHeight="1" s="66">
      <c r="A549" s="3">
        <f>IF($AB549="G","ผลรวมทั้งหมด",IF($AB549="R",INDEX($S$8:$S$407,$AA549),""))</f>
        <v/>
      </c>
      <c r="B549" s="3">
        <f>IF($AB549="S",INDEX($Y$8:$Y$407,$AA549),"")</f>
        <v/>
      </c>
      <c r="C549" s="68">
        <f>IF($AB549="D",INDEX($Z$8:$Z$407,$AA549),"")</f>
        <v/>
      </c>
      <c r="D549" s="31">
        <f>IF($AB549="G",SUM($AE$8:$AE$407),IF(OR($AB549="",$AB549="R"),"",IF($AB549="D",INDEX($AE$8:$AE$407,$AA549),SUMIF($T$8:$T$407,INDEX($T$8:$T$407,$AA549),$AE$8:$AE$407))))</f>
        <v/>
      </c>
      <c r="E549" s="32">
        <f>IF(542=$AD$1+3,"ขอแสดงความนับถือ",IF(542=$AD$1+6,"(                 )",IF(542=$AD$1+7,"เจ้าหน้าที่ขนส่ง",IF($AB549="G",SUM($AF$8:$AF$407),IF(OR($AB549="",$AB549="R"),"",IF($AB549="D",INDEX($AF$8:$AF$407,$AA549),SUMIF($T$8:$T$407,INDEX($T$8:$T$407,$AA549),$AF$8:$AF$407)))))))</f>
        <v/>
      </c>
      <c r="F549" s="32">
        <f>IF($AB549="G",SUM($AG$8:$AG$407),IF(OR($AB549="",$AB549="R"),"",IF($AB549="D",INDEX($AG$8:$AG$407,$AA549),SUMIF($T$8:$T$407,INDEX($T$8:$T$407,$AA549),$AG$8:$AG$407))))</f>
        <v/>
      </c>
      <c r="G549" s="32">
        <f>IF(OR($AB549="",$AB549="R"),"",ROUND($E549-$F549,2))</f>
        <v/>
      </c>
      <c r="H549" s="32">
        <f>IF($AB549="G",SUM($AH$8:$AH$407),IF(OR($AB549="",$AB549="R"),"",IF($AB549="D",INDEX($AH$8:$AH$407,$AA549),SUMIF($T$8:$T$407,INDEX($T$8:$T$407,$AA549),$AH$8:$AH$407))))</f>
        <v/>
      </c>
      <c r="AA549">
        <f>IFERROR(MATCH(542,$X$8:$X$407,1),"")</f>
        <v/>
      </c>
      <c r="AB549">
        <f>IF(542=$AD$1+1,"G",IF($AA549="","",IF(INDEX($Q$8:$Q$407,$AA549)="","",IF(542&gt;INDEX($X$8:$X$407,$AA549)+INDEX($V$8:$V$407,$AA549)+INDEX($W$8:$W$407,$AA549),"",IF(542=INDEX($X$8:$X$407,$AA549)+INDEX($V$8:$V$407,$AA549)+INDEX($W$8:$W$407,$AA549),"D",IF(AND(INDEX($W$8:$W$407,$AA549)=1,542=INDEX($X$8:$X$407,$AA549)+INDEX($V$8:$V$407,$AA549)),"S","R"))))))</f>
        <v/>
      </c>
      <c r="AC549">
        <f>IF(OR($AB549="",$AB549="G"),"",IF($AB549="D",INDEX($U$8:$U$407,$AA549),IF($AB549="S",INDEX($T$8:$T$407,$AA549)&amp;"|*",INDEX($S$8:$S$407,$AA549)&amp;"|*")))</f>
        <v/>
      </c>
    </row>
    <row r="550" ht="21" customHeight="1" s="66">
      <c r="A550" s="3">
        <f>IF($AB550="G","ผลรวมทั้งหมด",IF($AB550="R",INDEX($S$8:$S$407,$AA550),""))</f>
        <v/>
      </c>
      <c r="B550" s="3">
        <f>IF($AB550="S",INDEX($Y$8:$Y$407,$AA550),"")</f>
        <v/>
      </c>
      <c r="C550" s="68">
        <f>IF($AB550="D",INDEX($Z$8:$Z$407,$AA550),"")</f>
        <v/>
      </c>
      <c r="D550" s="31">
        <f>IF($AB550="G",SUM($AE$8:$AE$407),IF(OR($AB550="",$AB550="R"),"",IF($AB550="D",INDEX($AE$8:$AE$407,$AA550),SUMIF($T$8:$T$407,INDEX($T$8:$T$407,$AA550),$AE$8:$AE$407))))</f>
        <v/>
      </c>
      <c r="E550" s="32">
        <f>IF(543=$AD$1+3,"ขอแสดงความนับถือ",IF(543=$AD$1+6,"(                 )",IF(543=$AD$1+7,"เจ้าหน้าที่ขนส่ง",IF($AB550="G",SUM($AF$8:$AF$407),IF(OR($AB550="",$AB550="R"),"",IF($AB550="D",INDEX($AF$8:$AF$407,$AA550),SUMIF($T$8:$T$407,INDEX($T$8:$T$407,$AA550),$AF$8:$AF$407)))))))</f>
        <v/>
      </c>
      <c r="F550" s="32">
        <f>IF($AB550="G",SUM($AG$8:$AG$407),IF(OR($AB550="",$AB550="R"),"",IF($AB550="D",INDEX($AG$8:$AG$407,$AA550),SUMIF($T$8:$T$407,INDEX($T$8:$T$407,$AA550),$AG$8:$AG$407))))</f>
        <v/>
      </c>
      <c r="G550" s="32">
        <f>IF(OR($AB550="",$AB550="R"),"",ROUND($E550-$F550,2))</f>
        <v/>
      </c>
      <c r="H550" s="32">
        <f>IF($AB550="G",SUM($AH$8:$AH$407),IF(OR($AB550="",$AB550="R"),"",IF($AB550="D",INDEX($AH$8:$AH$407,$AA550),SUMIF($T$8:$T$407,INDEX($T$8:$T$407,$AA550),$AH$8:$AH$407))))</f>
        <v/>
      </c>
      <c r="AA550">
        <f>IFERROR(MATCH(543,$X$8:$X$407,1),"")</f>
        <v/>
      </c>
      <c r="AB550">
        <f>IF(543=$AD$1+1,"G",IF($AA550="","",IF(INDEX($Q$8:$Q$407,$AA550)="","",IF(543&gt;INDEX($X$8:$X$407,$AA550)+INDEX($V$8:$V$407,$AA550)+INDEX($W$8:$W$407,$AA550),"",IF(543=INDEX($X$8:$X$407,$AA550)+INDEX($V$8:$V$407,$AA550)+INDEX($W$8:$W$407,$AA550),"D",IF(AND(INDEX($W$8:$W$407,$AA550)=1,543=INDEX($X$8:$X$407,$AA550)+INDEX($V$8:$V$407,$AA550)),"S","R"))))))</f>
        <v/>
      </c>
      <c r="AC550">
        <f>IF(OR($AB550="",$AB550="G"),"",IF($AB550="D",INDEX($U$8:$U$407,$AA550),IF($AB550="S",INDEX($T$8:$T$407,$AA550)&amp;"|*",INDEX($S$8:$S$407,$AA550)&amp;"|*")))</f>
        <v/>
      </c>
    </row>
    <row r="551" ht="21" customHeight="1" s="66">
      <c r="A551" s="3">
        <f>IF($AB551="G","ผลรวมทั้งหมด",IF($AB551="R",INDEX($S$8:$S$407,$AA551),""))</f>
        <v/>
      </c>
      <c r="B551" s="3">
        <f>IF($AB551="S",INDEX($Y$8:$Y$407,$AA551),"")</f>
        <v/>
      </c>
      <c r="C551" s="68">
        <f>IF($AB551="D",INDEX($Z$8:$Z$407,$AA551),"")</f>
        <v/>
      </c>
      <c r="D551" s="31">
        <f>IF($AB551="G",SUM($AE$8:$AE$407),IF(OR($AB551="",$AB551="R"),"",IF($AB551="D",INDEX($AE$8:$AE$407,$AA551),SUMIF($T$8:$T$407,INDEX($T$8:$T$407,$AA551),$AE$8:$AE$407))))</f>
        <v/>
      </c>
      <c r="E551" s="32">
        <f>IF(544=$AD$1+3,"ขอแสดงความนับถือ",IF(544=$AD$1+6,"(                 )",IF(544=$AD$1+7,"เจ้าหน้าที่ขนส่ง",IF($AB551="G",SUM($AF$8:$AF$407),IF(OR($AB551="",$AB551="R"),"",IF($AB551="D",INDEX($AF$8:$AF$407,$AA551),SUMIF($T$8:$T$407,INDEX($T$8:$T$407,$AA551),$AF$8:$AF$407)))))))</f>
        <v/>
      </c>
      <c r="F551" s="32">
        <f>IF($AB551="G",SUM($AG$8:$AG$407),IF(OR($AB551="",$AB551="R"),"",IF($AB551="D",INDEX($AG$8:$AG$407,$AA551),SUMIF($T$8:$T$407,INDEX($T$8:$T$407,$AA551),$AG$8:$AG$407))))</f>
        <v/>
      </c>
      <c r="G551" s="32">
        <f>IF(OR($AB551="",$AB551="R"),"",ROUND($E551-$F551,2))</f>
        <v/>
      </c>
      <c r="H551" s="32">
        <f>IF($AB551="G",SUM($AH$8:$AH$407),IF(OR($AB551="",$AB551="R"),"",IF($AB551="D",INDEX($AH$8:$AH$407,$AA551),SUMIF($T$8:$T$407,INDEX($T$8:$T$407,$AA551),$AH$8:$AH$407))))</f>
        <v/>
      </c>
      <c r="AA551">
        <f>IFERROR(MATCH(544,$X$8:$X$407,1),"")</f>
        <v/>
      </c>
      <c r="AB551">
        <f>IF(544=$AD$1+1,"G",IF($AA551="","",IF(INDEX($Q$8:$Q$407,$AA551)="","",IF(544&gt;INDEX($X$8:$X$407,$AA551)+INDEX($V$8:$V$407,$AA551)+INDEX($W$8:$W$407,$AA551),"",IF(544=INDEX($X$8:$X$407,$AA551)+INDEX($V$8:$V$407,$AA551)+INDEX($W$8:$W$407,$AA551),"D",IF(AND(INDEX($W$8:$W$407,$AA551)=1,544=INDEX($X$8:$X$407,$AA551)+INDEX($V$8:$V$407,$AA551)),"S","R"))))))</f>
        <v/>
      </c>
      <c r="AC551">
        <f>IF(OR($AB551="",$AB551="G"),"",IF($AB551="D",INDEX($U$8:$U$407,$AA551),IF($AB551="S",INDEX($T$8:$T$407,$AA551)&amp;"|*",INDEX($S$8:$S$407,$AA551)&amp;"|*")))</f>
        <v/>
      </c>
    </row>
    <row r="552" ht="21" customHeight="1" s="66">
      <c r="A552" s="3">
        <f>IF($AB552="G","ผลรวมทั้งหมด",IF($AB552="R",INDEX($S$8:$S$407,$AA552),""))</f>
        <v/>
      </c>
      <c r="B552" s="3">
        <f>IF($AB552="S",INDEX($Y$8:$Y$407,$AA552),"")</f>
        <v/>
      </c>
      <c r="C552" s="68">
        <f>IF($AB552="D",INDEX($Z$8:$Z$407,$AA552),"")</f>
        <v/>
      </c>
      <c r="D552" s="31">
        <f>IF($AB552="G",SUM($AE$8:$AE$407),IF(OR($AB552="",$AB552="R"),"",IF($AB552="D",INDEX($AE$8:$AE$407,$AA552),SUMIF($T$8:$T$407,INDEX($T$8:$T$407,$AA552),$AE$8:$AE$407))))</f>
        <v/>
      </c>
      <c r="E552" s="32">
        <f>IF(545=$AD$1+3,"ขอแสดงความนับถือ",IF(545=$AD$1+6,"(                 )",IF(545=$AD$1+7,"เจ้าหน้าที่ขนส่ง",IF($AB552="G",SUM($AF$8:$AF$407),IF(OR($AB552="",$AB552="R"),"",IF($AB552="D",INDEX($AF$8:$AF$407,$AA552),SUMIF($T$8:$T$407,INDEX($T$8:$T$407,$AA552),$AF$8:$AF$407)))))))</f>
        <v/>
      </c>
      <c r="F552" s="32">
        <f>IF($AB552="G",SUM($AG$8:$AG$407),IF(OR($AB552="",$AB552="R"),"",IF($AB552="D",INDEX($AG$8:$AG$407,$AA552),SUMIF($T$8:$T$407,INDEX($T$8:$T$407,$AA552),$AG$8:$AG$407))))</f>
        <v/>
      </c>
      <c r="G552" s="32">
        <f>IF(OR($AB552="",$AB552="R"),"",ROUND($E552-$F552,2))</f>
        <v/>
      </c>
      <c r="H552" s="32">
        <f>IF($AB552="G",SUM($AH$8:$AH$407),IF(OR($AB552="",$AB552="R"),"",IF($AB552="D",INDEX($AH$8:$AH$407,$AA552),SUMIF($T$8:$T$407,INDEX($T$8:$T$407,$AA552),$AH$8:$AH$407))))</f>
        <v/>
      </c>
      <c r="AA552">
        <f>IFERROR(MATCH(545,$X$8:$X$407,1),"")</f>
        <v/>
      </c>
      <c r="AB552">
        <f>IF(545=$AD$1+1,"G",IF($AA552="","",IF(INDEX($Q$8:$Q$407,$AA552)="","",IF(545&gt;INDEX($X$8:$X$407,$AA552)+INDEX($V$8:$V$407,$AA552)+INDEX($W$8:$W$407,$AA552),"",IF(545=INDEX($X$8:$X$407,$AA552)+INDEX($V$8:$V$407,$AA552)+INDEX($W$8:$W$407,$AA552),"D",IF(AND(INDEX($W$8:$W$407,$AA552)=1,545=INDEX($X$8:$X$407,$AA552)+INDEX($V$8:$V$407,$AA552)),"S","R"))))))</f>
        <v/>
      </c>
      <c r="AC552">
        <f>IF(OR($AB552="",$AB552="G"),"",IF($AB552="D",INDEX($U$8:$U$407,$AA552),IF($AB552="S",INDEX($T$8:$T$407,$AA552)&amp;"|*",INDEX($S$8:$S$407,$AA552)&amp;"|*")))</f>
        <v/>
      </c>
    </row>
    <row r="553" ht="21" customHeight="1" s="66">
      <c r="A553" s="3">
        <f>IF($AB553="G","ผลรวมทั้งหมด",IF($AB553="R",INDEX($S$8:$S$407,$AA553),""))</f>
        <v/>
      </c>
      <c r="B553" s="3">
        <f>IF($AB553="S",INDEX($Y$8:$Y$407,$AA553),"")</f>
        <v/>
      </c>
      <c r="C553" s="68">
        <f>IF($AB553="D",INDEX($Z$8:$Z$407,$AA553),"")</f>
        <v/>
      </c>
      <c r="D553" s="31">
        <f>IF($AB553="G",SUM($AE$8:$AE$407),IF(OR($AB553="",$AB553="R"),"",IF($AB553="D",INDEX($AE$8:$AE$407,$AA553),SUMIF($T$8:$T$407,INDEX($T$8:$T$407,$AA553),$AE$8:$AE$407))))</f>
        <v/>
      </c>
      <c r="E553" s="32">
        <f>IF(546=$AD$1+3,"ขอแสดงความนับถือ",IF(546=$AD$1+6,"(                 )",IF(546=$AD$1+7,"เจ้าหน้าที่ขนส่ง",IF($AB553="G",SUM($AF$8:$AF$407),IF(OR($AB553="",$AB553="R"),"",IF($AB553="D",INDEX($AF$8:$AF$407,$AA553),SUMIF($T$8:$T$407,INDEX($T$8:$T$407,$AA553),$AF$8:$AF$407)))))))</f>
        <v/>
      </c>
      <c r="F553" s="32">
        <f>IF($AB553="G",SUM($AG$8:$AG$407),IF(OR($AB553="",$AB553="R"),"",IF($AB553="D",INDEX($AG$8:$AG$407,$AA553),SUMIF($T$8:$T$407,INDEX($T$8:$T$407,$AA553),$AG$8:$AG$407))))</f>
        <v/>
      </c>
      <c r="G553" s="32">
        <f>IF(OR($AB553="",$AB553="R"),"",ROUND($E553-$F553,2))</f>
        <v/>
      </c>
      <c r="H553" s="32">
        <f>IF($AB553="G",SUM($AH$8:$AH$407),IF(OR($AB553="",$AB553="R"),"",IF($AB553="D",INDEX($AH$8:$AH$407,$AA553),SUMIF($T$8:$T$407,INDEX($T$8:$T$407,$AA553),$AH$8:$AH$407))))</f>
        <v/>
      </c>
      <c r="AA553">
        <f>IFERROR(MATCH(546,$X$8:$X$407,1),"")</f>
        <v/>
      </c>
      <c r="AB553">
        <f>IF(546=$AD$1+1,"G",IF($AA553="","",IF(INDEX($Q$8:$Q$407,$AA553)="","",IF(546&gt;INDEX($X$8:$X$407,$AA553)+INDEX($V$8:$V$407,$AA553)+INDEX($W$8:$W$407,$AA553),"",IF(546=INDEX($X$8:$X$407,$AA553)+INDEX($V$8:$V$407,$AA553)+INDEX($W$8:$W$407,$AA553),"D",IF(AND(INDEX($W$8:$W$407,$AA553)=1,546=INDEX($X$8:$X$407,$AA553)+INDEX($V$8:$V$407,$AA553)),"S","R"))))))</f>
        <v/>
      </c>
      <c r="AC553">
        <f>IF(OR($AB553="",$AB553="G"),"",IF($AB553="D",INDEX($U$8:$U$407,$AA553),IF($AB553="S",INDEX($T$8:$T$407,$AA553)&amp;"|*",INDEX($S$8:$S$407,$AA553)&amp;"|*")))</f>
        <v/>
      </c>
    </row>
    <row r="554" ht="21" customHeight="1" s="66">
      <c r="A554" s="3">
        <f>IF($AB554="G","ผลรวมทั้งหมด",IF($AB554="R",INDEX($S$8:$S$407,$AA554),""))</f>
        <v/>
      </c>
      <c r="B554" s="3">
        <f>IF($AB554="S",INDEX($Y$8:$Y$407,$AA554),"")</f>
        <v/>
      </c>
      <c r="C554" s="68">
        <f>IF($AB554="D",INDEX($Z$8:$Z$407,$AA554),"")</f>
        <v/>
      </c>
      <c r="D554" s="31">
        <f>IF($AB554="G",SUM($AE$8:$AE$407),IF(OR($AB554="",$AB554="R"),"",IF($AB554="D",INDEX($AE$8:$AE$407,$AA554),SUMIF($T$8:$T$407,INDEX($T$8:$T$407,$AA554),$AE$8:$AE$407))))</f>
        <v/>
      </c>
      <c r="E554" s="32">
        <f>IF(547=$AD$1+3,"ขอแสดงความนับถือ",IF(547=$AD$1+6,"(                 )",IF(547=$AD$1+7,"เจ้าหน้าที่ขนส่ง",IF($AB554="G",SUM($AF$8:$AF$407),IF(OR($AB554="",$AB554="R"),"",IF($AB554="D",INDEX($AF$8:$AF$407,$AA554),SUMIF($T$8:$T$407,INDEX($T$8:$T$407,$AA554),$AF$8:$AF$407)))))))</f>
        <v/>
      </c>
      <c r="F554" s="32">
        <f>IF($AB554="G",SUM($AG$8:$AG$407),IF(OR($AB554="",$AB554="R"),"",IF($AB554="D",INDEX($AG$8:$AG$407,$AA554),SUMIF($T$8:$T$407,INDEX($T$8:$T$407,$AA554),$AG$8:$AG$407))))</f>
        <v/>
      </c>
      <c r="G554" s="32">
        <f>IF(OR($AB554="",$AB554="R"),"",ROUND($E554-$F554,2))</f>
        <v/>
      </c>
      <c r="H554" s="32">
        <f>IF($AB554="G",SUM($AH$8:$AH$407),IF(OR($AB554="",$AB554="R"),"",IF($AB554="D",INDEX($AH$8:$AH$407,$AA554),SUMIF($T$8:$T$407,INDEX($T$8:$T$407,$AA554),$AH$8:$AH$407))))</f>
        <v/>
      </c>
      <c r="AA554">
        <f>IFERROR(MATCH(547,$X$8:$X$407,1),"")</f>
        <v/>
      </c>
      <c r="AB554">
        <f>IF(547=$AD$1+1,"G",IF($AA554="","",IF(INDEX($Q$8:$Q$407,$AA554)="","",IF(547&gt;INDEX($X$8:$X$407,$AA554)+INDEX($V$8:$V$407,$AA554)+INDEX($W$8:$W$407,$AA554),"",IF(547=INDEX($X$8:$X$407,$AA554)+INDEX($V$8:$V$407,$AA554)+INDEX($W$8:$W$407,$AA554),"D",IF(AND(INDEX($W$8:$W$407,$AA554)=1,547=INDEX($X$8:$X$407,$AA554)+INDEX($V$8:$V$407,$AA554)),"S","R"))))))</f>
        <v/>
      </c>
      <c r="AC554">
        <f>IF(OR($AB554="",$AB554="G"),"",IF($AB554="D",INDEX($U$8:$U$407,$AA554),IF($AB554="S",INDEX($T$8:$T$407,$AA554)&amp;"|*",INDEX($S$8:$S$407,$AA554)&amp;"|*")))</f>
        <v/>
      </c>
    </row>
    <row r="555" ht="21" customHeight="1" s="66">
      <c r="A555" s="3">
        <f>IF($AB555="G","ผลรวมทั้งหมด",IF($AB555="R",INDEX($S$8:$S$407,$AA555),""))</f>
        <v/>
      </c>
      <c r="B555" s="3">
        <f>IF($AB555="S",INDEX($Y$8:$Y$407,$AA555),"")</f>
        <v/>
      </c>
      <c r="C555" s="68">
        <f>IF($AB555="D",INDEX($Z$8:$Z$407,$AA555),"")</f>
        <v/>
      </c>
      <c r="D555" s="31">
        <f>IF($AB555="G",SUM($AE$8:$AE$407),IF(OR($AB555="",$AB555="R"),"",IF($AB555="D",INDEX($AE$8:$AE$407,$AA555),SUMIF($T$8:$T$407,INDEX($T$8:$T$407,$AA555),$AE$8:$AE$407))))</f>
        <v/>
      </c>
      <c r="E555" s="32">
        <f>IF(548=$AD$1+3,"ขอแสดงความนับถือ",IF(548=$AD$1+6,"(                 )",IF(548=$AD$1+7,"เจ้าหน้าที่ขนส่ง",IF($AB555="G",SUM($AF$8:$AF$407),IF(OR($AB555="",$AB555="R"),"",IF($AB555="D",INDEX($AF$8:$AF$407,$AA555),SUMIF($T$8:$T$407,INDEX($T$8:$T$407,$AA555),$AF$8:$AF$407)))))))</f>
        <v/>
      </c>
      <c r="F555" s="32">
        <f>IF($AB555="G",SUM($AG$8:$AG$407),IF(OR($AB555="",$AB555="R"),"",IF($AB555="D",INDEX($AG$8:$AG$407,$AA555),SUMIF($T$8:$T$407,INDEX($T$8:$T$407,$AA555),$AG$8:$AG$407))))</f>
        <v/>
      </c>
      <c r="G555" s="32">
        <f>IF(OR($AB555="",$AB555="R"),"",ROUND($E555-$F555,2))</f>
        <v/>
      </c>
      <c r="H555" s="32">
        <f>IF($AB555="G",SUM($AH$8:$AH$407),IF(OR($AB555="",$AB555="R"),"",IF($AB555="D",INDEX($AH$8:$AH$407,$AA555),SUMIF($T$8:$T$407,INDEX($T$8:$T$407,$AA555),$AH$8:$AH$407))))</f>
        <v/>
      </c>
      <c r="AA555">
        <f>IFERROR(MATCH(548,$X$8:$X$407,1),"")</f>
        <v/>
      </c>
      <c r="AB555">
        <f>IF(548=$AD$1+1,"G",IF($AA555="","",IF(INDEX($Q$8:$Q$407,$AA555)="","",IF(548&gt;INDEX($X$8:$X$407,$AA555)+INDEX($V$8:$V$407,$AA555)+INDEX($W$8:$W$407,$AA555),"",IF(548=INDEX($X$8:$X$407,$AA555)+INDEX($V$8:$V$407,$AA555)+INDEX($W$8:$W$407,$AA555),"D",IF(AND(INDEX($W$8:$W$407,$AA555)=1,548=INDEX($X$8:$X$407,$AA555)+INDEX($V$8:$V$407,$AA555)),"S","R"))))))</f>
        <v/>
      </c>
      <c r="AC555">
        <f>IF(OR($AB555="",$AB555="G"),"",IF($AB555="D",INDEX($U$8:$U$407,$AA555),IF($AB555="S",INDEX($T$8:$T$407,$AA555)&amp;"|*",INDEX($S$8:$S$407,$AA555)&amp;"|*")))</f>
        <v/>
      </c>
    </row>
    <row r="556" ht="21" customHeight="1" s="66">
      <c r="A556" s="3">
        <f>IF($AB556="G","ผลรวมทั้งหมด",IF($AB556="R",INDEX($S$8:$S$407,$AA556),""))</f>
        <v/>
      </c>
      <c r="B556" s="3">
        <f>IF($AB556="S",INDEX($Y$8:$Y$407,$AA556),"")</f>
        <v/>
      </c>
      <c r="C556" s="68">
        <f>IF($AB556="D",INDEX($Z$8:$Z$407,$AA556),"")</f>
        <v/>
      </c>
      <c r="D556" s="31">
        <f>IF($AB556="G",SUM($AE$8:$AE$407),IF(OR($AB556="",$AB556="R"),"",IF($AB556="D",INDEX($AE$8:$AE$407,$AA556),SUMIF($T$8:$T$407,INDEX($T$8:$T$407,$AA556),$AE$8:$AE$407))))</f>
        <v/>
      </c>
      <c r="E556" s="32">
        <f>IF(549=$AD$1+3,"ขอแสดงความนับถือ",IF(549=$AD$1+6,"(                 )",IF(549=$AD$1+7,"เจ้าหน้าที่ขนส่ง",IF($AB556="G",SUM($AF$8:$AF$407),IF(OR($AB556="",$AB556="R"),"",IF($AB556="D",INDEX($AF$8:$AF$407,$AA556),SUMIF($T$8:$T$407,INDEX($T$8:$T$407,$AA556),$AF$8:$AF$407)))))))</f>
        <v/>
      </c>
      <c r="F556" s="32">
        <f>IF($AB556="G",SUM($AG$8:$AG$407),IF(OR($AB556="",$AB556="R"),"",IF($AB556="D",INDEX($AG$8:$AG$407,$AA556),SUMIF($T$8:$T$407,INDEX($T$8:$T$407,$AA556),$AG$8:$AG$407))))</f>
        <v/>
      </c>
      <c r="G556" s="32">
        <f>IF(OR($AB556="",$AB556="R"),"",ROUND($E556-$F556,2))</f>
        <v/>
      </c>
      <c r="H556" s="32">
        <f>IF($AB556="G",SUM($AH$8:$AH$407),IF(OR($AB556="",$AB556="R"),"",IF($AB556="D",INDEX($AH$8:$AH$407,$AA556),SUMIF($T$8:$T$407,INDEX($T$8:$T$407,$AA556),$AH$8:$AH$407))))</f>
        <v/>
      </c>
      <c r="AA556">
        <f>IFERROR(MATCH(549,$X$8:$X$407,1),"")</f>
        <v/>
      </c>
      <c r="AB556">
        <f>IF(549=$AD$1+1,"G",IF($AA556="","",IF(INDEX($Q$8:$Q$407,$AA556)="","",IF(549&gt;INDEX($X$8:$X$407,$AA556)+INDEX($V$8:$V$407,$AA556)+INDEX($W$8:$W$407,$AA556),"",IF(549=INDEX($X$8:$X$407,$AA556)+INDEX($V$8:$V$407,$AA556)+INDEX($W$8:$W$407,$AA556),"D",IF(AND(INDEX($W$8:$W$407,$AA556)=1,549=INDEX($X$8:$X$407,$AA556)+INDEX($V$8:$V$407,$AA556)),"S","R"))))))</f>
        <v/>
      </c>
      <c r="AC556">
        <f>IF(OR($AB556="",$AB556="G"),"",IF($AB556="D",INDEX($U$8:$U$407,$AA556),IF($AB556="S",INDEX($T$8:$T$407,$AA556)&amp;"|*",INDEX($S$8:$S$407,$AA556)&amp;"|*")))</f>
        <v/>
      </c>
    </row>
    <row r="557" ht="21" customHeight="1" s="66">
      <c r="A557" s="3">
        <f>IF($AB557="G","ผลรวมทั้งหมด",IF($AB557="R",INDEX($S$8:$S$407,$AA557),""))</f>
        <v/>
      </c>
      <c r="B557" s="3">
        <f>IF($AB557="S",INDEX($Y$8:$Y$407,$AA557),"")</f>
        <v/>
      </c>
      <c r="C557" s="68">
        <f>IF($AB557="D",INDEX($Z$8:$Z$407,$AA557),"")</f>
        <v/>
      </c>
      <c r="D557" s="31">
        <f>IF($AB557="G",SUM($AE$8:$AE$407),IF(OR($AB557="",$AB557="R"),"",IF($AB557="D",INDEX($AE$8:$AE$407,$AA557),SUMIF($T$8:$T$407,INDEX($T$8:$T$407,$AA557),$AE$8:$AE$407))))</f>
        <v/>
      </c>
      <c r="E557" s="32">
        <f>IF(550=$AD$1+3,"ขอแสดงความนับถือ",IF(550=$AD$1+6,"(                 )",IF(550=$AD$1+7,"เจ้าหน้าที่ขนส่ง",IF($AB557="G",SUM($AF$8:$AF$407),IF(OR($AB557="",$AB557="R"),"",IF($AB557="D",INDEX($AF$8:$AF$407,$AA557),SUMIF($T$8:$T$407,INDEX($T$8:$T$407,$AA557),$AF$8:$AF$407)))))))</f>
        <v/>
      </c>
      <c r="F557" s="32">
        <f>IF($AB557="G",SUM($AG$8:$AG$407),IF(OR($AB557="",$AB557="R"),"",IF($AB557="D",INDEX($AG$8:$AG$407,$AA557),SUMIF($T$8:$T$407,INDEX($T$8:$T$407,$AA557),$AG$8:$AG$407))))</f>
        <v/>
      </c>
      <c r="G557" s="32">
        <f>IF(OR($AB557="",$AB557="R"),"",ROUND($E557-$F557,2))</f>
        <v/>
      </c>
      <c r="H557" s="32">
        <f>IF($AB557="G",SUM($AH$8:$AH$407),IF(OR($AB557="",$AB557="R"),"",IF($AB557="D",INDEX($AH$8:$AH$407,$AA557),SUMIF($T$8:$T$407,INDEX($T$8:$T$407,$AA557),$AH$8:$AH$407))))</f>
        <v/>
      </c>
      <c r="AA557">
        <f>IFERROR(MATCH(550,$X$8:$X$407,1),"")</f>
        <v/>
      </c>
      <c r="AB557">
        <f>IF(550=$AD$1+1,"G",IF($AA557="","",IF(INDEX($Q$8:$Q$407,$AA557)="","",IF(550&gt;INDEX($X$8:$X$407,$AA557)+INDEX($V$8:$V$407,$AA557)+INDEX($W$8:$W$407,$AA557),"",IF(550=INDEX($X$8:$X$407,$AA557)+INDEX($V$8:$V$407,$AA557)+INDEX($W$8:$W$407,$AA557),"D",IF(AND(INDEX($W$8:$W$407,$AA557)=1,550=INDEX($X$8:$X$407,$AA557)+INDEX($V$8:$V$407,$AA557)),"S","R"))))))</f>
        <v/>
      </c>
      <c r="AC557">
        <f>IF(OR($AB557="",$AB557="G"),"",IF($AB557="D",INDEX($U$8:$U$407,$AA557),IF($AB557="S",INDEX($T$8:$T$407,$AA557)&amp;"|*",INDEX($S$8:$S$407,$AA557)&amp;"|*")))</f>
        <v/>
      </c>
    </row>
    <row r="558" ht="21" customHeight="1" s="66">
      <c r="A558" s="3">
        <f>IF($AB558="G","ผลรวมทั้งหมด",IF($AB558="R",INDEX($S$8:$S$407,$AA558),""))</f>
        <v/>
      </c>
      <c r="B558" s="3">
        <f>IF($AB558="S",INDEX($Y$8:$Y$407,$AA558),"")</f>
        <v/>
      </c>
      <c r="C558" s="68">
        <f>IF($AB558="D",INDEX($Z$8:$Z$407,$AA558),"")</f>
        <v/>
      </c>
      <c r="D558" s="31">
        <f>IF($AB558="G",SUM($AE$8:$AE$407),IF(OR($AB558="",$AB558="R"),"",IF($AB558="D",INDEX($AE$8:$AE$407,$AA558),SUMIF($T$8:$T$407,INDEX($T$8:$T$407,$AA558),$AE$8:$AE$407))))</f>
        <v/>
      </c>
      <c r="E558" s="32">
        <f>IF(551=$AD$1+3,"ขอแสดงความนับถือ",IF(551=$AD$1+6,"(                 )",IF(551=$AD$1+7,"เจ้าหน้าที่ขนส่ง",IF($AB558="G",SUM($AF$8:$AF$407),IF(OR($AB558="",$AB558="R"),"",IF($AB558="D",INDEX($AF$8:$AF$407,$AA558),SUMIF($T$8:$T$407,INDEX($T$8:$T$407,$AA558),$AF$8:$AF$407)))))))</f>
        <v/>
      </c>
      <c r="F558" s="32">
        <f>IF($AB558="G",SUM($AG$8:$AG$407),IF(OR($AB558="",$AB558="R"),"",IF($AB558="D",INDEX($AG$8:$AG$407,$AA558),SUMIF($T$8:$T$407,INDEX($T$8:$T$407,$AA558),$AG$8:$AG$407))))</f>
        <v/>
      </c>
      <c r="G558" s="32">
        <f>IF(OR($AB558="",$AB558="R"),"",ROUND($E558-$F558,2))</f>
        <v/>
      </c>
      <c r="H558" s="32">
        <f>IF($AB558="G",SUM($AH$8:$AH$407),IF(OR($AB558="",$AB558="R"),"",IF($AB558="D",INDEX($AH$8:$AH$407,$AA558),SUMIF($T$8:$T$407,INDEX($T$8:$T$407,$AA558),$AH$8:$AH$407))))</f>
        <v/>
      </c>
      <c r="AA558">
        <f>IFERROR(MATCH(551,$X$8:$X$407,1),"")</f>
        <v/>
      </c>
      <c r="AB558">
        <f>IF(551=$AD$1+1,"G",IF($AA558="","",IF(INDEX($Q$8:$Q$407,$AA558)="","",IF(551&gt;INDEX($X$8:$X$407,$AA558)+INDEX($V$8:$V$407,$AA558)+INDEX($W$8:$W$407,$AA558),"",IF(551=INDEX($X$8:$X$407,$AA558)+INDEX($V$8:$V$407,$AA558)+INDEX($W$8:$W$407,$AA558),"D",IF(AND(INDEX($W$8:$W$407,$AA558)=1,551=INDEX($X$8:$X$407,$AA558)+INDEX($V$8:$V$407,$AA558)),"S","R"))))))</f>
        <v/>
      </c>
      <c r="AC558">
        <f>IF(OR($AB558="",$AB558="G"),"",IF($AB558="D",INDEX($U$8:$U$407,$AA558),IF($AB558="S",INDEX($T$8:$T$407,$AA558)&amp;"|*",INDEX($S$8:$S$407,$AA558)&amp;"|*")))</f>
        <v/>
      </c>
    </row>
    <row r="559" ht="21" customHeight="1" s="66">
      <c r="A559" s="3">
        <f>IF($AB559="G","ผลรวมทั้งหมด",IF($AB559="R",INDEX($S$8:$S$407,$AA559),""))</f>
        <v/>
      </c>
      <c r="B559" s="3">
        <f>IF($AB559="S",INDEX($Y$8:$Y$407,$AA559),"")</f>
        <v/>
      </c>
      <c r="C559" s="68">
        <f>IF($AB559="D",INDEX($Z$8:$Z$407,$AA559),"")</f>
        <v/>
      </c>
      <c r="D559" s="31">
        <f>IF($AB559="G",SUM($AE$8:$AE$407),IF(OR($AB559="",$AB559="R"),"",IF($AB559="D",INDEX($AE$8:$AE$407,$AA559),SUMIF($T$8:$T$407,INDEX($T$8:$T$407,$AA559),$AE$8:$AE$407))))</f>
        <v/>
      </c>
      <c r="E559" s="32">
        <f>IF(552=$AD$1+3,"ขอแสดงความนับถือ",IF(552=$AD$1+6,"(                 )",IF(552=$AD$1+7,"เจ้าหน้าที่ขนส่ง",IF($AB559="G",SUM($AF$8:$AF$407),IF(OR($AB559="",$AB559="R"),"",IF($AB559="D",INDEX($AF$8:$AF$407,$AA559),SUMIF($T$8:$T$407,INDEX($T$8:$T$407,$AA559),$AF$8:$AF$407)))))))</f>
        <v/>
      </c>
      <c r="F559" s="32">
        <f>IF($AB559="G",SUM($AG$8:$AG$407),IF(OR($AB559="",$AB559="R"),"",IF($AB559="D",INDEX($AG$8:$AG$407,$AA559),SUMIF($T$8:$T$407,INDEX($T$8:$T$407,$AA559),$AG$8:$AG$407))))</f>
        <v/>
      </c>
      <c r="G559" s="32">
        <f>IF(OR($AB559="",$AB559="R"),"",ROUND($E559-$F559,2))</f>
        <v/>
      </c>
      <c r="H559" s="32">
        <f>IF($AB559="G",SUM($AH$8:$AH$407),IF(OR($AB559="",$AB559="R"),"",IF($AB559="D",INDEX($AH$8:$AH$407,$AA559),SUMIF($T$8:$T$407,INDEX($T$8:$T$407,$AA559),$AH$8:$AH$407))))</f>
        <v/>
      </c>
      <c r="AA559">
        <f>IFERROR(MATCH(552,$X$8:$X$407,1),"")</f>
        <v/>
      </c>
      <c r="AB559">
        <f>IF(552=$AD$1+1,"G",IF($AA559="","",IF(INDEX($Q$8:$Q$407,$AA559)="","",IF(552&gt;INDEX($X$8:$X$407,$AA559)+INDEX($V$8:$V$407,$AA559)+INDEX($W$8:$W$407,$AA559),"",IF(552=INDEX($X$8:$X$407,$AA559)+INDEX($V$8:$V$407,$AA559)+INDEX($W$8:$W$407,$AA559),"D",IF(AND(INDEX($W$8:$W$407,$AA559)=1,552=INDEX($X$8:$X$407,$AA559)+INDEX($V$8:$V$407,$AA559)),"S","R"))))))</f>
        <v/>
      </c>
      <c r="AC559">
        <f>IF(OR($AB559="",$AB559="G"),"",IF($AB559="D",INDEX($U$8:$U$407,$AA559),IF($AB559="S",INDEX($T$8:$T$407,$AA559)&amp;"|*",INDEX($S$8:$S$407,$AA559)&amp;"|*")))</f>
        <v/>
      </c>
    </row>
    <row r="560" ht="21" customHeight="1" s="66">
      <c r="A560" s="3">
        <f>IF($AB560="G","ผลรวมทั้งหมด",IF($AB560="R",INDEX($S$8:$S$407,$AA560),""))</f>
        <v/>
      </c>
      <c r="B560" s="3">
        <f>IF($AB560="S",INDEX($Y$8:$Y$407,$AA560),"")</f>
        <v/>
      </c>
      <c r="C560" s="68">
        <f>IF($AB560="D",INDEX($Z$8:$Z$407,$AA560),"")</f>
        <v/>
      </c>
      <c r="D560" s="31">
        <f>IF($AB560="G",SUM($AE$8:$AE$407),IF(OR($AB560="",$AB560="R"),"",IF($AB560="D",INDEX($AE$8:$AE$407,$AA560),SUMIF($T$8:$T$407,INDEX($T$8:$T$407,$AA560),$AE$8:$AE$407))))</f>
        <v/>
      </c>
      <c r="E560" s="32">
        <f>IF(553=$AD$1+3,"ขอแสดงความนับถือ",IF(553=$AD$1+6,"(                 )",IF(553=$AD$1+7,"เจ้าหน้าที่ขนส่ง",IF($AB560="G",SUM($AF$8:$AF$407),IF(OR($AB560="",$AB560="R"),"",IF($AB560="D",INDEX($AF$8:$AF$407,$AA560),SUMIF($T$8:$T$407,INDEX($T$8:$T$407,$AA560),$AF$8:$AF$407)))))))</f>
        <v/>
      </c>
      <c r="F560" s="32">
        <f>IF($AB560="G",SUM($AG$8:$AG$407),IF(OR($AB560="",$AB560="R"),"",IF($AB560="D",INDEX($AG$8:$AG$407,$AA560),SUMIF($T$8:$T$407,INDEX($T$8:$T$407,$AA560),$AG$8:$AG$407))))</f>
        <v/>
      </c>
      <c r="G560" s="32">
        <f>IF(OR($AB560="",$AB560="R"),"",ROUND($E560-$F560,2))</f>
        <v/>
      </c>
      <c r="H560" s="32">
        <f>IF($AB560="G",SUM($AH$8:$AH$407),IF(OR($AB560="",$AB560="R"),"",IF($AB560="D",INDEX($AH$8:$AH$407,$AA560),SUMIF($T$8:$T$407,INDEX($T$8:$T$407,$AA560),$AH$8:$AH$407))))</f>
        <v/>
      </c>
      <c r="AA560">
        <f>IFERROR(MATCH(553,$X$8:$X$407,1),"")</f>
        <v/>
      </c>
      <c r="AB560">
        <f>IF(553=$AD$1+1,"G",IF($AA560="","",IF(INDEX($Q$8:$Q$407,$AA560)="","",IF(553&gt;INDEX($X$8:$X$407,$AA560)+INDEX($V$8:$V$407,$AA560)+INDEX($W$8:$W$407,$AA560),"",IF(553=INDEX($X$8:$X$407,$AA560)+INDEX($V$8:$V$407,$AA560)+INDEX($W$8:$W$407,$AA560),"D",IF(AND(INDEX($W$8:$W$407,$AA560)=1,553=INDEX($X$8:$X$407,$AA560)+INDEX($V$8:$V$407,$AA560)),"S","R"))))))</f>
        <v/>
      </c>
      <c r="AC560">
        <f>IF(OR($AB560="",$AB560="G"),"",IF($AB560="D",INDEX($U$8:$U$407,$AA560),IF($AB560="S",INDEX($T$8:$T$407,$AA560)&amp;"|*",INDEX($S$8:$S$407,$AA560)&amp;"|*")))</f>
        <v/>
      </c>
    </row>
    <row r="561" ht="21" customHeight="1" s="66">
      <c r="A561" s="3">
        <f>IF($AB561="G","ผลรวมทั้งหมด",IF($AB561="R",INDEX($S$8:$S$407,$AA561),""))</f>
        <v/>
      </c>
      <c r="B561" s="3">
        <f>IF($AB561="S",INDEX($Y$8:$Y$407,$AA561),"")</f>
        <v/>
      </c>
      <c r="C561" s="68">
        <f>IF($AB561="D",INDEX($Z$8:$Z$407,$AA561),"")</f>
        <v/>
      </c>
      <c r="D561" s="31">
        <f>IF($AB561="G",SUM($AE$8:$AE$407),IF(OR($AB561="",$AB561="R"),"",IF($AB561="D",INDEX($AE$8:$AE$407,$AA561),SUMIF($T$8:$T$407,INDEX($T$8:$T$407,$AA561),$AE$8:$AE$407))))</f>
        <v/>
      </c>
      <c r="E561" s="32">
        <f>IF(554=$AD$1+3,"ขอแสดงความนับถือ",IF(554=$AD$1+6,"(                 )",IF(554=$AD$1+7,"เจ้าหน้าที่ขนส่ง",IF($AB561="G",SUM($AF$8:$AF$407),IF(OR($AB561="",$AB561="R"),"",IF($AB561="D",INDEX($AF$8:$AF$407,$AA561),SUMIF($T$8:$T$407,INDEX($T$8:$T$407,$AA561),$AF$8:$AF$407)))))))</f>
        <v/>
      </c>
      <c r="F561" s="32">
        <f>IF($AB561="G",SUM($AG$8:$AG$407),IF(OR($AB561="",$AB561="R"),"",IF($AB561="D",INDEX($AG$8:$AG$407,$AA561),SUMIF($T$8:$T$407,INDEX($T$8:$T$407,$AA561),$AG$8:$AG$407))))</f>
        <v/>
      </c>
      <c r="G561" s="32">
        <f>IF(OR($AB561="",$AB561="R"),"",ROUND($E561-$F561,2))</f>
        <v/>
      </c>
      <c r="H561" s="32">
        <f>IF($AB561="G",SUM($AH$8:$AH$407),IF(OR($AB561="",$AB561="R"),"",IF($AB561="D",INDEX($AH$8:$AH$407,$AA561),SUMIF($T$8:$T$407,INDEX($T$8:$T$407,$AA561),$AH$8:$AH$407))))</f>
        <v/>
      </c>
      <c r="AA561">
        <f>IFERROR(MATCH(554,$X$8:$X$407,1),"")</f>
        <v/>
      </c>
      <c r="AB561">
        <f>IF(554=$AD$1+1,"G",IF($AA561="","",IF(INDEX($Q$8:$Q$407,$AA561)="","",IF(554&gt;INDEX($X$8:$X$407,$AA561)+INDEX($V$8:$V$407,$AA561)+INDEX($W$8:$W$407,$AA561),"",IF(554=INDEX($X$8:$X$407,$AA561)+INDEX($V$8:$V$407,$AA561)+INDEX($W$8:$W$407,$AA561),"D",IF(AND(INDEX($W$8:$W$407,$AA561)=1,554=INDEX($X$8:$X$407,$AA561)+INDEX($V$8:$V$407,$AA561)),"S","R"))))))</f>
        <v/>
      </c>
      <c r="AC561">
        <f>IF(OR($AB561="",$AB561="G"),"",IF($AB561="D",INDEX($U$8:$U$407,$AA561),IF($AB561="S",INDEX($T$8:$T$407,$AA561)&amp;"|*",INDEX($S$8:$S$407,$AA561)&amp;"|*")))</f>
        <v/>
      </c>
    </row>
    <row r="562" ht="21" customHeight="1" s="66">
      <c r="A562" s="3">
        <f>IF($AB562="G","ผลรวมทั้งหมด",IF($AB562="R",INDEX($S$8:$S$407,$AA562),""))</f>
        <v/>
      </c>
      <c r="B562" s="3">
        <f>IF($AB562="S",INDEX($Y$8:$Y$407,$AA562),"")</f>
        <v/>
      </c>
      <c r="C562" s="68">
        <f>IF($AB562="D",INDEX($Z$8:$Z$407,$AA562),"")</f>
        <v/>
      </c>
      <c r="D562" s="31">
        <f>IF($AB562="G",SUM($AE$8:$AE$407),IF(OR($AB562="",$AB562="R"),"",IF($AB562="D",INDEX($AE$8:$AE$407,$AA562),SUMIF($T$8:$T$407,INDEX($T$8:$T$407,$AA562),$AE$8:$AE$407))))</f>
        <v/>
      </c>
      <c r="E562" s="32">
        <f>IF(555=$AD$1+3,"ขอแสดงความนับถือ",IF(555=$AD$1+6,"(                 )",IF(555=$AD$1+7,"เจ้าหน้าที่ขนส่ง",IF($AB562="G",SUM($AF$8:$AF$407),IF(OR($AB562="",$AB562="R"),"",IF($AB562="D",INDEX($AF$8:$AF$407,$AA562),SUMIF($T$8:$T$407,INDEX($T$8:$T$407,$AA562),$AF$8:$AF$407)))))))</f>
        <v/>
      </c>
      <c r="F562" s="32">
        <f>IF($AB562="G",SUM($AG$8:$AG$407),IF(OR($AB562="",$AB562="R"),"",IF($AB562="D",INDEX($AG$8:$AG$407,$AA562),SUMIF($T$8:$T$407,INDEX($T$8:$T$407,$AA562),$AG$8:$AG$407))))</f>
        <v/>
      </c>
      <c r="G562" s="32">
        <f>IF(OR($AB562="",$AB562="R"),"",ROUND($E562-$F562,2))</f>
        <v/>
      </c>
      <c r="H562" s="32">
        <f>IF($AB562="G",SUM($AH$8:$AH$407),IF(OR($AB562="",$AB562="R"),"",IF($AB562="D",INDEX($AH$8:$AH$407,$AA562),SUMIF($T$8:$T$407,INDEX($T$8:$T$407,$AA562),$AH$8:$AH$407))))</f>
        <v/>
      </c>
      <c r="AA562">
        <f>IFERROR(MATCH(555,$X$8:$X$407,1),"")</f>
        <v/>
      </c>
      <c r="AB562">
        <f>IF(555=$AD$1+1,"G",IF($AA562="","",IF(INDEX($Q$8:$Q$407,$AA562)="","",IF(555&gt;INDEX($X$8:$X$407,$AA562)+INDEX($V$8:$V$407,$AA562)+INDEX($W$8:$W$407,$AA562),"",IF(555=INDEX($X$8:$X$407,$AA562)+INDEX($V$8:$V$407,$AA562)+INDEX($W$8:$W$407,$AA562),"D",IF(AND(INDEX($W$8:$W$407,$AA562)=1,555=INDEX($X$8:$X$407,$AA562)+INDEX($V$8:$V$407,$AA562)),"S","R"))))))</f>
        <v/>
      </c>
      <c r="AC562">
        <f>IF(OR($AB562="",$AB562="G"),"",IF($AB562="D",INDEX($U$8:$U$407,$AA562),IF($AB562="S",INDEX($T$8:$T$407,$AA562)&amp;"|*",INDEX($S$8:$S$407,$AA562)&amp;"|*")))</f>
        <v/>
      </c>
    </row>
    <row r="563" ht="21" customHeight="1" s="66">
      <c r="A563" s="3">
        <f>IF($AB563="G","ผลรวมทั้งหมด",IF($AB563="R",INDEX($S$8:$S$407,$AA563),""))</f>
        <v/>
      </c>
      <c r="B563" s="3">
        <f>IF($AB563="S",INDEX($Y$8:$Y$407,$AA563),"")</f>
        <v/>
      </c>
      <c r="C563" s="68">
        <f>IF($AB563="D",INDEX($Z$8:$Z$407,$AA563),"")</f>
        <v/>
      </c>
      <c r="D563" s="31">
        <f>IF($AB563="G",SUM($AE$8:$AE$407),IF(OR($AB563="",$AB563="R"),"",IF($AB563="D",INDEX($AE$8:$AE$407,$AA563),SUMIF($T$8:$T$407,INDEX($T$8:$T$407,$AA563),$AE$8:$AE$407))))</f>
        <v/>
      </c>
      <c r="E563" s="32">
        <f>IF(556=$AD$1+3,"ขอแสดงความนับถือ",IF(556=$AD$1+6,"(                 )",IF(556=$AD$1+7,"เจ้าหน้าที่ขนส่ง",IF($AB563="G",SUM($AF$8:$AF$407),IF(OR($AB563="",$AB563="R"),"",IF($AB563="D",INDEX($AF$8:$AF$407,$AA563),SUMIF($T$8:$T$407,INDEX($T$8:$T$407,$AA563),$AF$8:$AF$407)))))))</f>
        <v/>
      </c>
      <c r="F563" s="32">
        <f>IF($AB563="G",SUM($AG$8:$AG$407),IF(OR($AB563="",$AB563="R"),"",IF($AB563="D",INDEX($AG$8:$AG$407,$AA563),SUMIF($T$8:$T$407,INDEX($T$8:$T$407,$AA563),$AG$8:$AG$407))))</f>
        <v/>
      </c>
      <c r="G563" s="32">
        <f>IF(OR($AB563="",$AB563="R"),"",ROUND($E563-$F563,2))</f>
        <v/>
      </c>
      <c r="H563" s="32">
        <f>IF($AB563="G",SUM($AH$8:$AH$407),IF(OR($AB563="",$AB563="R"),"",IF($AB563="D",INDEX($AH$8:$AH$407,$AA563),SUMIF($T$8:$T$407,INDEX($T$8:$T$407,$AA563),$AH$8:$AH$407))))</f>
        <v/>
      </c>
      <c r="AA563">
        <f>IFERROR(MATCH(556,$X$8:$X$407,1),"")</f>
        <v/>
      </c>
      <c r="AB563">
        <f>IF(556=$AD$1+1,"G",IF($AA563="","",IF(INDEX($Q$8:$Q$407,$AA563)="","",IF(556&gt;INDEX($X$8:$X$407,$AA563)+INDEX($V$8:$V$407,$AA563)+INDEX($W$8:$W$407,$AA563),"",IF(556=INDEX($X$8:$X$407,$AA563)+INDEX($V$8:$V$407,$AA563)+INDEX($W$8:$W$407,$AA563),"D",IF(AND(INDEX($W$8:$W$407,$AA563)=1,556=INDEX($X$8:$X$407,$AA563)+INDEX($V$8:$V$407,$AA563)),"S","R"))))))</f>
        <v/>
      </c>
      <c r="AC563">
        <f>IF(OR($AB563="",$AB563="G"),"",IF($AB563="D",INDEX($U$8:$U$407,$AA563),IF($AB563="S",INDEX($T$8:$T$407,$AA563)&amp;"|*",INDEX($S$8:$S$407,$AA563)&amp;"|*")))</f>
        <v/>
      </c>
    </row>
    <row r="564" ht="21" customHeight="1" s="66">
      <c r="A564" s="3">
        <f>IF($AB564="G","ผลรวมทั้งหมด",IF($AB564="R",INDEX($S$8:$S$407,$AA564),""))</f>
        <v/>
      </c>
      <c r="B564" s="3">
        <f>IF($AB564="S",INDEX($Y$8:$Y$407,$AA564),"")</f>
        <v/>
      </c>
      <c r="C564" s="68">
        <f>IF($AB564="D",INDEX($Z$8:$Z$407,$AA564),"")</f>
        <v/>
      </c>
      <c r="D564" s="31">
        <f>IF($AB564="G",SUM($AE$8:$AE$407),IF(OR($AB564="",$AB564="R"),"",IF($AB564="D",INDEX($AE$8:$AE$407,$AA564),SUMIF($T$8:$T$407,INDEX($T$8:$T$407,$AA564),$AE$8:$AE$407))))</f>
        <v/>
      </c>
      <c r="E564" s="32">
        <f>IF(557=$AD$1+3,"ขอแสดงความนับถือ",IF(557=$AD$1+6,"(                 )",IF(557=$AD$1+7,"เจ้าหน้าที่ขนส่ง",IF($AB564="G",SUM($AF$8:$AF$407),IF(OR($AB564="",$AB564="R"),"",IF($AB564="D",INDEX($AF$8:$AF$407,$AA564),SUMIF($T$8:$T$407,INDEX($T$8:$T$407,$AA564),$AF$8:$AF$407)))))))</f>
        <v/>
      </c>
      <c r="F564" s="32">
        <f>IF($AB564="G",SUM($AG$8:$AG$407),IF(OR($AB564="",$AB564="R"),"",IF($AB564="D",INDEX($AG$8:$AG$407,$AA564),SUMIF($T$8:$T$407,INDEX($T$8:$T$407,$AA564),$AG$8:$AG$407))))</f>
        <v/>
      </c>
      <c r="G564" s="32">
        <f>IF(OR($AB564="",$AB564="R"),"",ROUND($E564-$F564,2))</f>
        <v/>
      </c>
      <c r="H564" s="32">
        <f>IF($AB564="G",SUM($AH$8:$AH$407),IF(OR($AB564="",$AB564="R"),"",IF($AB564="D",INDEX($AH$8:$AH$407,$AA564),SUMIF($T$8:$T$407,INDEX($T$8:$T$407,$AA564),$AH$8:$AH$407))))</f>
        <v/>
      </c>
      <c r="AA564">
        <f>IFERROR(MATCH(557,$X$8:$X$407,1),"")</f>
        <v/>
      </c>
      <c r="AB564">
        <f>IF(557=$AD$1+1,"G",IF($AA564="","",IF(INDEX($Q$8:$Q$407,$AA564)="","",IF(557&gt;INDEX($X$8:$X$407,$AA564)+INDEX($V$8:$V$407,$AA564)+INDEX($W$8:$W$407,$AA564),"",IF(557=INDEX($X$8:$X$407,$AA564)+INDEX($V$8:$V$407,$AA564)+INDEX($W$8:$W$407,$AA564),"D",IF(AND(INDEX($W$8:$W$407,$AA564)=1,557=INDEX($X$8:$X$407,$AA564)+INDEX($V$8:$V$407,$AA564)),"S","R"))))))</f>
        <v/>
      </c>
      <c r="AC564">
        <f>IF(OR($AB564="",$AB564="G"),"",IF($AB564="D",INDEX($U$8:$U$407,$AA564),IF($AB564="S",INDEX($T$8:$T$407,$AA564)&amp;"|*",INDEX($S$8:$S$407,$AA564)&amp;"|*")))</f>
        <v/>
      </c>
    </row>
    <row r="565" ht="21" customHeight="1" s="66">
      <c r="A565" s="3">
        <f>IF($AB565="G","ผลรวมทั้งหมด",IF($AB565="R",INDEX($S$8:$S$407,$AA565),""))</f>
        <v/>
      </c>
      <c r="B565" s="3">
        <f>IF($AB565="S",INDEX($Y$8:$Y$407,$AA565),"")</f>
        <v/>
      </c>
      <c r="C565" s="68">
        <f>IF($AB565="D",INDEX($Z$8:$Z$407,$AA565),"")</f>
        <v/>
      </c>
      <c r="D565" s="31">
        <f>IF($AB565="G",SUM($AE$8:$AE$407),IF(OR($AB565="",$AB565="R"),"",IF($AB565="D",INDEX($AE$8:$AE$407,$AA565),SUMIF($T$8:$T$407,INDEX($T$8:$T$407,$AA565),$AE$8:$AE$407))))</f>
        <v/>
      </c>
      <c r="E565" s="32">
        <f>IF(558=$AD$1+3,"ขอแสดงความนับถือ",IF(558=$AD$1+6,"(                 )",IF(558=$AD$1+7,"เจ้าหน้าที่ขนส่ง",IF($AB565="G",SUM($AF$8:$AF$407),IF(OR($AB565="",$AB565="R"),"",IF($AB565="D",INDEX($AF$8:$AF$407,$AA565),SUMIF($T$8:$T$407,INDEX($T$8:$T$407,$AA565),$AF$8:$AF$407)))))))</f>
        <v/>
      </c>
      <c r="F565" s="32">
        <f>IF($AB565="G",SUM($AG$8:$AG$407),IF(OR($AB565="",$AB565="R"),"",IF($AB565="D",INDEX($AG$8:$AG$407,$AA565),SUMIF($T$8:$T$407,INDEX($T$8:$T$407,$AA565),$AG$8:$AG$407))))</f>
        <v/>
      </c>
      <c r="G565" s="32">
        <f>IF(OR($AB565="",$AB565="R"),"",ROUND($E565-$F565,2))</f>
        <v/>
      </c>
      <c r="H565" s="32">
        <f>IF($AB565="G",SUM($AH$8:$AH$407),IF(OR($AB565="",$AB565="R"),"",IF($AB565="D",INDEX($AH$8:$AH$407,$AA565),SUMIF($T$8:$T$407,INDEX($T$8:$T$407,$AA565),$AH$8:$AH$407))))</f>
        <v/>
      </c>
      <c r="AA565">
        <f>IFERROR(MATCH(558,$X$8:$X$407,1),"")</f>
        <v/>
      </c>
      <c r="AB565">
        <f>IF(558=$AD$1+1,"G",IF($AA565="","",IF(INDEX($Q$8:$Q$407,$AA565)="","",IF(558&gt;INDEX($X$8:$X$407,$AA565)+INDEX($V$8:$V$407,$AA565)+INDEX($W$8:$W$407,$AA565),"",IF(558=INDEX($X$8:$X$407,$AA565)+INDEX($V$8:$V$407,$AA565)+INDEX($W$8:$W$407,$AA565),"D",IF(AND(INDEX($W$8:$W$407,$AA565)=1,558=INDEX($X$8:$X$407,$AA565)+INDEX($V$8:$V$407,$AA565)),"S","R"))))))</f>
        <v/>
      </c>
      <c r="AC565">
        <f>IF(OR($AB565="",$AB565="G"),"",IF($AB565="D",INDEX($U$8:$U$407,$AA565),IF($AB565="S",INDEX($T$8:$T$407,$AA565)&amp;"|*",INDEX($S$8:$S$407,$AA565)&amp;"|*")))</f>
        <v/>
      </c>
    </row>
    <row r="566" ht="21" customHeight="1" s="66">
      <c r="A566" s="3">
        <f>IF($AB566="G","ผลรวมทั้งหมด",IF($AB566="R",INDEX($S$8:$S$407,$AA566),""))</f>
        <v/>
      </c>
      <c r="B566" s="3">
        <f>IF($AB566="S",INDEX($Y$8:$Y$407,$AA566),"")</f>
        <v/>
      </c>
      <c r="C566" s="68">
        <f>IF($AB566="D",INDEX($Z$8:$Z$407,$AA566),"")</f>
        <v/>
      </c>
      <c r="D566" s="31">
        <f>IF($AB566="G",SUM($AE$8:$AE$407),IF(OR($AB566="",$AB566="R"),"",IF($AB566="D",INDEX($AE$8:$AE$407,$AA566),SUMIF($T$8:$T$407,INDEX($T$8:$T$407,$AA566),$AE$8:$AE$407))))</f>
        <v/>
      </c>
      <c r="E566" s="32">
        <f>IF(559=$AD$1+3,"ขอแสดงความนับถือ",IF(559=$AD$1+6,"(                 )",IF(559=$AD$1+7,"เจ้าหน้าที่ขนส่ง",IF($AB566="G",SUM($AF$8:$AF$407),IF(OR($AB566="",$AB566="R"),"",IF($AB566="D",INDEX($AF$8:$AF$407,$AA566),SUMIF($T$8:$T$407,INDEX($T$8:$T$407,$AA566),$AF$8:$AF$407)))))))</f>
        <v/>
      </c>
      <c r="F566" s="32">
        <f>IF($AB566="G",SUM($AG$8:$AG$407),IF(OR($AB566="",$AB566="R"),"",IF($AB566="D",INDEX($AG$8:$AG$407,$AA566),SUMIF($T$8:$T$407,INDEX($T$8:$T$407,$AA566),$AG$8:$AG$407))))</f>
        <v/>
      </c>
      <c r="G566" s="32">
        <f>IF(OR($AB566="",$AB566="R"),"",ROUND($E566-$F566,2))</f>
        <v/>
      </c>
      <c r="H566" s="32">
        <f>IF($AB566="G",SUM($AH$8:$AH$407),IF(OR($AB566="",$AB566="R"),"",IF($AB566="D",INDEX($AH$8:$AH$407,$AA566),SUMIF($T$8:$T$407,INDEX($T$8:$T$407,$AA566),$AH$8:$AH$407))))</f>
        <v/>
      </c>
      <c r="AA566">
        <f>IFERROR(MATCH(559,$X$8:$X$407,1),"")</f>
        <v/>
      </c>
      <c r="AB566">
        <f>IF(559=$AD$1+1,"G",IF($AA566="","",IF(INDEX($Q$8:$Q$407,$AA566)="","",IF(559&gt;INDEX($X$8:$X$407,$AA566)+INDEX($V$8:$V$407,$AA566)+INDEX($W$8:$W$407,$AA566),"",IF(559=INDEX($X$8:$X$407,$AA566)+INDEX($V$8:$V$407,$AA566)+INDEX($W$8:$W$407,$AA566),"D",IF(AND(INDEX($W$8:$W$407,$AA566)=1,559=INDEX($X$8:$X$407,$AA566)+INDEX($V$8:$V$407,$AA566)),"S","R"))))))</f>
        <v/>
      </c>
      <c r="AC566">
        <f>IF(OR($AB566="",$AB566="G"),"",IF($AB566="D",INDEX($U$8:$U$407,$AA566),IF($AB566="S",INDEX($T$8:$T$407,$AA566)&amp;"|*",INDEX($S$8:$S$407,$AA566)&amp;"|*")))</f>
        <v/>
      </c>
    </row>
    <row r="567" ht="21" customHeight="1" s="66">
      <c r="A567" s="3">
        <f>IF($AB567="G","ผลรวมทั้งหมด",IF($AB567="R",INDEX($S$8:$S$407,$AA567),""))</f>
        <v/>
      </c>
      <c r="B567" s="3">
        <f>IF($AB567="S",INDEX($Y$8:$Y$407,$AA567),"")</f>
        <v/>
      </c>
      <c r="C567" s="68">
        <f>IF($AB567="D",INDEX($Z$8:$Z$407,$AA567),"")</f>
        <v/>
      </c>
      <c r="D567" s="31">
        <f>IF($AB567="G",SUM($AE$8:$AE$407),IF(OR($AB567="",$AB567="R"),"",IF($AB567="D",INDEX($AE$8:$AE$407,$AA567),SUMIF($T$8:$T$407,INDEX($T$8:$T$407,$AA567),$AE$8:$AE$407))))</f>
        <v/>
      </c>
      <c r="E567" s="32">
        <f>IF(560=$AD$1+3,"ขอแสดงความนับถือ",IF(560=$AD$1+6,"(                 )",IF(560=$AD$1+7,"เจ้าหน้าที่ขนส่ง",IF($AB567="G",SUM($AF$8:$AF$407),IF(OR($AB567="",$AB567="R"),"",IF($AB567="D",INDEX($AF$8:$AF$407,$AA567),SUMIF($T$8:$T$407,INDEX($T$8:$T$407,$AA567),$AF$8:$AF$407)))))))</f>
        <v/>
      </c>
      <c r="F567" s="32">
        <f>IF($AB567="G",SUM($AG$8:$AG$407),IF(OR($AB567="",$AB567="R"),"",IF($AB567="D",INDEX($AG$8:$AG$407,$AA567),SUMIF($T$8:$T$407,INDEX($T$8:$T$407,$AA567),$AG$8:$AG$407))))</f>
        <v/>
      </c>
      <c r="G567" s="32">
        <f>IF(OR($AB567="",$AB567="R"),"",ROUND($E567-$F567,2))</f>
        <v/>
      </c>
      <c r="H567" s="32">
        <f>IF($AB567="G",SUM($AH$8:$AH$407),IF(OR($AB567="",$AB567="R"),"",IF($AB567="D",INDEX($AH$8:$AH$407,$AA567),SUMIF($T$8:$T$407,INDEX($T$8:$T$407,$AA567),$AH$8:$AH$407))))</f>
        <v/>
      </c>
      <c r="AA567">
        <f>IFERROR(MATCH(560,$X$8:$X$407,1),"")</f>
        <v/>
      </c>
      <c r="AB567">
        <f>IF(560=$AD$1+1,"G",IF($AA567="","",IF(INDEX($Q$8:$Q$407,$AA567)="","",IF(560&gt;INDEX($X$8:$X$407,$AA567)+INDEX($V$8:$V$407,$AA567)+INDEX($W$8:$W$407,$AA567),"",IF(560=INDEX($X$8:$X$407,$AA567)+INDEX($V$8:$V$407,$AA567)+INDEX($W$8:$W$407,$AA567),"D",IF(AND(INDEX($W$8:$W$407,$AA567)=1,560=INDEX($X$8:$X$407,$AA567)+INDEX($V$8:$V$407,$AA567)),"S","R"))))))</f>
        <v/>
      </c>
      <c r="AC567">
        <f>IF(OR($AB567="",$AB567="G"),"",IF($AB567="D",INDEX($U$8:$U$407,$AA567),IF($AB567="S",INDEX($T$8:$T$407,$AA567)&amp;"|*",INDEX($S$8:$S$407,$AA567)&amp;"|*")))</f>
        <v/>
      </c>
    </row>
    <row r="568" ht="21" customHeight="1" s="66">
      <c r="A568" s="3">
        <f>IF($AB568="G","ผลรวมทั้งหมด",IF($AB568="R",INDEX($S$8:$S$407,$AA568),""))</f>
        <v/>
      </c>
      <c r="B568" s="3">
        <f>IF($AB568="S",INDEX($Y$8:$Y$407,$AA568),"")</f>
        <v/>
      </c>
      <c r="C568" s="68">
        <f>IF($AB568="D",INDEX($Z$8:$Z$407,$AA568),"")</f>
        <v/>
      </c>
      <c r="D568" s="31">
        <f>IF($AB568="G",SUM($AE$8:$AE$407),IF(OR($AB568="",$AB568="R"),"",IF($AB568="D",INDEX($AE$8:$AE$407,$AA568),SUMIF($T$8:$T$407,INDEX($T$8:$T$407,$AA568),$AE$8:$AE$407))))</f>
        <v/>
      </c>
      <c r="E568" s="32">
        <f>IF(561=$AD$1+3,"ขอแสดงความนับถือ",IF(561=$AD$1+6,"(                 )",IF(561=$AD$1+7,"เจ้าหน้าที่ขนส่ง",IF($AB568="G",SUM($AF$8:$AF$407),IF(OR($AB568="",$AB568="R"),"",IF($AB568="D",INDEX($AF$8:$AF$407,$AA568),SUMIF($T$8:$T$407,INDEX($T$8:$T$407,$AA568),$AF$8:$AF$407)))))))</f>
        <v/>
      </c>
      <c r="F568" s="32">
        <f>IF($AB568="G",SUM($AG$8:$AG$407),IF(OR($AB568="",$AB568="R"),"",IF($AB568="D",INDEX($AG$8:$AG$407,$AA568),SUMIF($T$8:$T$407,INDEX($T$8:$T$407,$AA568),$AG$8:$AG$407))))</f>
        <v/>
      </c>
      <c r="G568" s="32">
        <f>IF(OR($AB568="",$AB568="R"),"",ROUND($E568-$F568,2))</f>
        <v/>
      </c>
      <c r="H568" s="32">
        <f>IF($AB568="G",SUM($AH$8:$AH$407),IF(OR($AB568="",$AB568="R"),"",IF($AB568="D",INDEX($AH$8:$AH$407,$AA568),SUMIF($T$8:$T$407,INDEX($T$8:$T$407,$AA568),$AH$8:$AH$407))))</f>
        <v/>
      </c>
      <c r="AA568">
        <f>IFERROR(MATCH(561,$X$8:$X$407,1),"")</f>
        <v/>
      </c>
      <c r="AB568">
        <f>IF(561=$AD$1+1,"G",IF($AA568="","",IF(INDEX($Q$8:$Q$407,$AA568)="","",IF(561&gt;INDEX($X$8:$X$407,$AA568)+INDEX($V$8:$V$407,$AA568)+INDEX($W$8:$W$407,$AA568),"",IF(561=INDEX($X$8:$X$407,$AA568)+INDEX($V$8:$V$407,$AA568)+INDEX($W$8:$W$407,$AA568),"D",IF(AND(INDEX($W$8:$W$407,$AA568)=1,561=INDEX($X$8:$X$407,$AA568)+INDEX($V$8:$V$407,$AA568)),"S","R"))))))</f>
        <v/>
      </c>
      <c r="AC568">
        <f>IF(OR($AB568="",$AB568="G"),"",IF($AB568="D",INDEX($U$8:$U$407,$AA568),IF($AB568="S",INDEX($T$8:$T$407,$AA568)&amp;"|*",INDEX($S$8:$S$407,$AA568)&amp;"|*")))</f>
        <v/>
      </c>
    </row>
    <row r="569" ht="21" customHeight="1" s="66">
      <c r="A569" s="3">
        <f>IF($AB569="G","ผลรวมทั้งหมด",IF($AB569="R",INDEX($S$8:$S$407,$AA569),""))</f>
        <v/>
      </c>
      <c r="B569" s="3">
        <f>IF($AB569="S",INDEX($Y$8:$Y$407,$AA569),"")</f>
        <v/>
      </c>
      <c r="C569" s="68">
        <f>IF($AB569="D",INDEX($Z$8:$Z$407,$AA569),"")</f>
        <v/>
      </c>
      <c r="D569" s="31">
        <f>IF($AB569="G",SUM($AE$8:$AE$407),IF(OR($AB569="",$AB569="R"),"",IF($AB569="D",INDEX($AE$8:$AE$407,$AA569),SUMIF($T$8:$T$407,INDEX($T$8:$T$407,$AA569),$AE$8:$AE$407))))</f>
        <v/>
      </c>
      <c r="E569" s="32">
        <f>IF(562=$AD$1+3,"ขอแสดงความนับถือ",IF(562=$AD$1+6,"(                 )",IF(562=$AD$1+7,"เจ้าหน้าที่ขนส่ง",IF($AB569="G",SUM($AF$8:$AF$407),IF(OR($AB569="",$AB569="R"),"",IF($AB569="D",INDEX($AF$8:$AF$407,$AA569),SUMIF($T$8:$T$407,INDEX($T$8:$T$407,$AA569),$AF$8:$AF$407)))))))</f>
        <v/>
      </c>
      <c r="F569" s="32">
        <f>IF($AB569="G",SUM($AG$8:$AG$407),IF(OR($AB569="",$AB569="R"),"",IF($AB569="D",INDEX($AG$8:$AG$407,$AA569),SUMIF($T$8:$T$407,INDEX($T$8:$T$407,$AA569),$AG$8:$AG$407))))</f>
        <v/>
      </c>
      <c r="G569" s="32">
        <f>IF(OR($AB569="",$AB569="R"),"",ROUND($E569-$F569,2))</f>
        <v/>
      </c>
      <c r="H569" s="32">
        <f>IF($AB569="G",SUM($AH$8:$AH$407),IF(OR($AB569="",$AB569="R"),"",IF($AB569="D",INDEX($AH$8:$AH$407,$AA569),SUMIF($T$8:$T$407,INDEX($T$8:$T$407,$AA569),$AH$8:$AH$407))))</f>
        <v/>
      </c>
      <c r="AA569">
        <f>IFERROR(MATCH(562,$X$8:$X$407,1),"")</f>
        <v/>
      </c>
      <c r="AB569">
        <f>IF(562=$AD$1+1,"G",IF($AA569="","",IF(INDEX($Q$8:$Q$407,$AA569)="","",IF(562&gt;INDEX($X$8:$X$407,$AA569)+INDEX($V$8:$V$407,$AA569)+INDEX($W$8:$W$407,$AA569),"",IF(562=INDEX($X$8:$X$407,$AA569)+INDEX($V$8:$V$407,$AA569)+INDEX($W$8:$W$407,$AA569),"D",IF(AND(INDEX($W$8:$W$407,$AA569)=1,562=INDEX($X$8:$X$407,$AA569)+INDEX($V$8:$V$407,$AA569)),"S","R"))))))</f>
        <v/>
      </c>
      <c r="AC569">
        <f>IF(OR($AB569="",$AB569="G"),"",IF($AB569="D",INDEX($U$8:$U$407,$AA569),IF($AB569="S",INDEX($T$8:$T$407,$AA569)&amp;"|*",INDEX($S$8:$S$407,$AA569)&amp;"|*")))</f>
        <v/>
      </c>
    </row>
    <row r="570" ht="21" customHeight="1" s="66">
      <c r="A570" s="3">
        <f>IF($AB570="G","ผลรวมทั้งหมด",IF($AB570="R",INDEX($S$8:$S$407,$AA570),""))</f>
        <v/>
      </c>
      <c r="B570" s="3">
        <f>IF($AB570="S",INDEX($Y$8:$Y$407,$AA570),"")</f>
        <v/>
      </c>
      <c r="C570" s="68">
        <f>IF($AB570="D",INDEX($Z$8:$Z$407,$AA570),"")</f>
        <v/>
      </c>
      <c r="D570" s="31">
        <f>IF($AB570="G",SUM($AE$8:$AE$407),IF(OR($AB570="",$AB570="R"),"",IF($AB570="D",INDEX($AE$8:$AE$407,$AA570),SUMIF($T$8:$T$407,INDEX($T$8:$T$407,$AA570),$AE$8:$AE$407))))</f>
        <v/>
      </c>
      <c r="E570" s="32">
        <f>IF(563=$AD$1+3,"ขอแสดงความนับถือ",IF(563=$AD$1+6,"(                 )",IF(563=$AD$1+7,"เจ้าหน้าที่ขนส่ง",IF($AB570="G",SUM($AF$8:$AF$407),IF(OR($AB570="",$AB570="R"),"",IF($AB570="D",INDEX($AF$8:$AF$407,$AA570),SUMIF($T$8:$T$407,INDEX($T$8:$T$407,$AA570),$AF$8:$AF$407)))))))</f>
        <v/>
      </c>
      <c r="F570" s="32">
        <f>IF($AB570="G",SUM($AG$8:$AG$407),IF(OR($AB570="",$AB570="R"),"",IF($AB570="D",INDEX($AG$8:$AG$407,$AA570),SUMIF($T$8:$T$407,INDEX($T$8:$T$407,$AA570),$AG$8:$AG$407))))</f>
        <v/>
      </c>
      <c r="G570" s="32">
        <f>IF(OR($AB570="",$AB570="R"),"",ROUND($E570-$F570,2))</f>
        <v/>
      </c>
      <c r="H570" s="32">
        <f>IF($AB570="G",SUM($AH$8:$AH$407),IF(OR($AB570="",$AB570="R"),"",IF($AB570="D",INDEX($AH$8:$AH$407,$AA570),SUMIF($T$8:$T$407,INDEX($T$8:$T$407,$AA570),$AH$8:$AH$407))))</f>
        <v/>
      </c>
      <c r="AA570">
        <f>IFERROR(MATCH(563,$X$8:$X$407,1),"")</f>
        <v/>
      </c>
      <c r="AB570">
        <f>IF(563=$AD$1+1,"G",IF($AA570="","",IF(INDEX($Q$8:$Q$407,$AA570)="","",IF(563&gt;INDEX($X$8:$X$407,$AA570)+INDEX($V$8:$V$407,$AA570)+INDEX($W$8:$W$407,$AA570),"",IF(563=INDEX($X$8:$X$407,$AA570)+INDEX($V$8:$V$407,$AA570)+INDEX($W$8:$W$407,$AA570),"D",IF(AND(INDEX($W$8:$W$407,$AA570)=1,563=INDEX($X$8:$X$407,$AA570)+INDEX($V$8:$V$407,$AA570)),"S","R"))))))</f>
        <v/>
      </c>
      <c r="AC570">
        <f>IF(OR($AB570="",$AB570="G"),"",IF($AB570="D",INDEX($U$8:$U$407,$AA570),IF($AB570="S",INDEX($T$8:$T$407,$AA570)&amp;"|*",INDEX($S$8:$S$407,$AA570)&amp;"|*")))</f>
        <v/>
      </c>
    </row>
    <row r="571" ht="21" customHeight="1" s="66">
      <c r="A571" s="3">
        <f>IF($AB571="G","ผลรวมทั้งหมด",IF($AB571="R",INDEX($S$8:$S$407,$AA571),""))</f>
        <v/>
      </c>
      <c r="B571" s="3">
        <f>IF($AB571="S",INDEX($Y$8:$Y$407,$AA571),"")</f>
        <v/>
      </c>
      <c r="C571" s="68">
        <f>IF($AB571="D",INDEX($Z$8:$Z$407,$AA571),"")</f>
        <v/>
      </c>
      <c r="D571" s="31">
        <f>IF($AB571="G",SUM($AE$8:$AE$407),IF(OR($AB571="",$AB571="R"),"",IF($AB571="D",INDEX($AE$8:$AE$407,$AA571),SUMIF($T$8:$T$407,INDEX($T$8:$T$407,$AA571),$AE$8:$AE$407))))</f>
        <v/>
      </c>
      <c r="E571" s="32">
        <f>IF(564=$AD$1+3,"ขอแสดงความนับถือ",IF(564=$AD$1+6,"(                 )",IF(564=$AD$1+7,"เจ้าหน้าที่ขนส่ง",IF($AB571="G",SUM($AF$8:$AF$407),IF(OR($AB571="",$AB571="R"),"",IF($AB571="D",INDEX($AF$8:$AF$407,$AA571),SUMIF($T$8:$T$407,INDEX($T$8:$T$407,$AA571),$AF$8:$AF$407)))))))</f>
        <v/>
      </c>
      <c r="F571" s="32">
        <f>IF($AB571="G",SUM($AG$8:$AG$407),IF(OR($AB571="",$AB571="R"),"",IF($AB571="D",INDEX($AG$8:$AG$407,$AA571),SUMIF($T$8:$T$407,INDEX($T$8:$T$407,$AA571),$AG$8:$AG$407))))</f>
        <v/>
      </c>
      <c r="G571" s="32">
        <f>IF(OR($AB571="",$AB571="R"),"",ROUND($E571-$F571,2))</f>
        <v/>
      </c>
      <c r="H571" s="32">
        <f>IF($AB571="G",SUM($AH$8:$AH$407),IF(OR($AB571="",$AB571="R"),"",IF($AB571="D",INDEX($AH$8:$AH$407,$AA571),SUMIF($T$8:$T$407,INDEX($T$8:$T$407,$AA571),$AH$8:$AH$407))))</f>
        <v/>
      </c>
      <c r="AA571">
        <f>IFERROR(MATCH(564,$X$8:$X$407,1),"")</f>
        <v/>
      </c>
      <c r="AB571">
        <f>IF(564=$AD$1+1,"G",IF($AA571="","",IF(INDEX($Q$8:$Q$407,$AA571)="","",IF(564&gt;INDEX($X$8:$X$407,$AA571)+INDEX($V$8:$V$407,$AA571)+INDEX($W$8:$W$407,$AA571),"",IF(564=INDEX($X$8:$X$407,$AA571)+INDEX($V$8:$V$407,$AA571)+INDEX($W$8:$W$407,$AA571),"D",IF(AND(INDEX($W$8:$W$407,$AA571)=1,564=INDEX($X$8:$X$407,$AA571)+INDEX($V$8:$V$407,$AA571)),"S","R"))))))</f>
        <v/>
      </c>
      <c r="AC571">
        <f>IF(OR($AB571="",$AB571="G"),"",IF($AB571="D",INDEX($U$8:$U$407,$AA571),IF($AB571="S",INDEX($T$8:$T$407,$AA571)&amp;"|*",INDEX($S$8:$S$407,$AA571)&amp;"|*")))</f>
        <v/>
      </c>
    </row>
    <row r="572" ht="21" customHeight="1" s="66">
      <c r="A572" s="3">
        <f>IF($AB572="G","ผลรวมทั้งหมด",IF($AB572="R",INDEX($S$8:$S$407,$AA572),""))</f>
        <v/>
      </c>
      <c r="B572" s="3">
        <f>IF($AB572="S",INDEX($Y$8:$Y$407,$AA572),"")</f>
        <v/>
      </c>
      <c r="C572" s="68">
        <f>IF($AB572="D",INDEX($Z$8:$Z$407,$AA572),"")</f>
        <v/>
      </c>
      <c r="D572" s="31">
        <f>IF($AB572="G",SUM($AE$8:$AE$407),IF(OR($AB572="",$AB572="R"),"",IF($AB572="D",INDEX($AE$8:$AE$407,$AA572),SUMIF($T$8:$T$407,INDEX($T$8:$T$407,$AA572),$AE$8:$AE$407))))</f>
        <v/>
      </c>
      <c r="E572" s="32">
        <f>IF(565=$AD$1+3,"ขอแสดงความนับถือ",IF(565=$AD$1+6,"(                 )",IF(565=$AD$1+7,"เจ้าหน้าที่ขนส่ง",IF($AB572="G",SUM($AF$8:$AF$407),IF(OR($AB572="",$AB572="R"),"",IF($AB572="D",INDEX($AF$8:$AF$407,$AA572),SUMIF($T$8:$T$407,INDEX($T$8:$T$407,$AA572),$AF$8:$AF$407)))))))</f>
        <v/>
      </c>
      <c r="F572" s="32">
        <f>IF($AB572="G",SUM($AG$8:$AG$407),IF(OR($AB572="",$AB572="R"),"",IF($AB572="D",INDEX($AG$8:$AG$407,$AA572),SUMIF($T$8:$T$407,INDEX($T$8:$T$407,$AA572),$AG$8:$AG$407))))</f>
        <v/>
      </c>
      <c r="G572" s="32">
        <f>IF(OR($AB572="",$AB572="R"),"",ROUND($E572-$F572,2))</f>
        <v/>
      </c>
      <c r="H572" s="32">
        <f>IF($AB572="G",SUM($AH$8:$AH$407),IF(OR($AB572="",$AB572="R"),"",IF($AB572="D",INDEX($AH$8:$AH$407,$AA572),SUMIF($T$8:$T$407,INDEX($T$8:$T$407,$AA572),$AH$8:$AH$407))))</f>
        <v/>
      </c>
      <c r="AA572">
        <f>IFERROR(MATCH(565,$X$8:$X$407,1),"")</f>
        <v/>
      </c>
      <c r="AB572">
        <f>IF(565=$AD$1+1,"G",IF($AA572="","",IF(INDEX($Q$8:$Q$407,$AA572)="","",IF(565&gt;INDEX($X$8:$X$407,$AA572)+INDEX($V$8:$V$407,$AA572)+INDEX($W$8:$W$407,$AA572),"",IF(565=INDEX($X$8:$X$407,$AA572)+INDEX($V$8:$V$407,$AA572)+INDEX($W$8:$W$407,$AA572),"D",IF(AND(INDEX($W$8:$W$407,$AA572)=1,565=INDEX($X$8:$X$407,$AA572)+INDEX($V$8:$V$407,$AA572)),"S","R"))))))</f>
        <v/>
      </c>
      <c r="AC572">
        <f>IF(OR($AB572="",$AB572="G"),"",IF($AB572="D",INDEX($U$8:$U$407,$AA572),IF($AB572="S",INDEX($T$8:$T$407,$AA572)&amp;"|*",INDEX($S$8:$S$407,$AA572)&amp;"|*")))</f>
        <v/>
      </c>
    </row>
    <row r="573" ht="21" customHeight="1" s="66">
      <c r="A573" s="3">
        <f>IF($AB573="G","ผลรวมทั้งหมด",IF($AB573="R",INDEX($S$8:$S$407,$AA573),""))</f>
        <v/>
      </c>
      <c r="B573" s="3">
        <f>IF($AB573="S",INDEX($Y$8:$Y$407,$AA573),"")</f>
        <v/>
      </c>
      <c r="C573" s="68">
        <f>IF($AB573="D",INDEX($Z$8:$Z$407,$AA573),"")</f>
        <v/>
      </c>
      <c r="D573" s="31">
        <f>IF($AB573="G",SUM($AE$8:$AE$407),IF(OR($AB573="",$AB573="R"),"",IF($AB573="D",INDEX($AE$8:$AE$407,$AA573),SUMIF($T$8:$T$407,INDEX($T$8:$T$407,$AA573),$AE$8:$AE$407))))</f>
        <v/>
      </c>
      <c r="E573" s="32">
        <f>IF(566=$AD$1+3,"ขอแสดงความนับถือ",IF(566=$AD$1+6,"(                 )",IF(566=$AD$1+7,"เจ้าหน้าที่ขนส่ง",IF($AB573="G",SUM($AF$8:$AF$407),IF(OR($AB573="",$AB573="R"),"",IF($AB573="D",INDEX($AF$8:$AF$407,$AA573),SUMIF($T$8:$T$407,INDEX($T$8:$T$407,$AA573),$AF$8:$AF$407)))))))</f>
        <v/>
      </c>
      <c r="F573" s="32">
        <f>IF($AB573="G",SUM($AG$8:$AG$407),IF(OR($AB573="",$AB573="R"),"",IF($AB573="D",INDEX($AG$8:$AG$407,$AA573),SUMIF($T$8:$T$407,INDEX($T$8:$T$407,$AA573),$AG$8:$AG$407))))</f>
        <v/>
      </c>
      <c r="G573" s="32">
        <f>IF(OR($AB573="",$AB573="R"),"",ROUND($E573-$F573,2))</f>
        <v/>
      </c>
      <c r="H573" s="32">
        <f>IF($AB573="G",SUM($AH$8:$AH$407),IF(OR($AB573="",$AB573="R"),"",IF($AB573="D",INDEX($AH$8:$AH$407,$AA573),SUMIF($T$8:$T$407,INDEX($T$8:$T$407,$AA573),$AH$8:$AH$407))))</f>
        <v/>
      </c>
      <c r="AA573">
        <f>IFERROR(MATCH(566,$X$8:$X$407,1),"")</f>
        <v/>
      </c>
      <c r="AB573">
        <f>IF(566=$AD$1+1,"G",IF($AA573="","",IF(INDEX($Q$8:$Q$407,$AA573)="","",IF(566&gt;INDEX($X$8:$X$407,$AA573)+INDEX($V$8:$V$407,$AA573)+INDEX($W$8:$W$407,$AA573),"",IF(566=INDEX($X$8:$X$407,$AA573)+INDEX($V$8:$V$407,$AA573)+INDEX($W$8:$W$407,$AA573),"D",IF(AND(INDEX($W$8:$W$407,$AA573)=1,566=INDEX($X$8:$X$407,$AA573)+INDEX($V$8:$V$407,$AA573)),"S","R"))))))</f>
        <v/>
      </c>
      <c r="AC573">
        <f>IF(OR($AB573="",$AB573="G"),"",IF($AB573="D",INDEX($U$8:$U$407,$AA573),IF($AB573="S",INDEX($T$8:$T$407,$AA573)&amp;"|*",INDEX($S$8:$S$407,$AA573)&amp;"|*")))</f>
        <v/>
      </c>
    </row>
    <row r="574" ht="21" customHeight="1" s="66">
      <c r="A574" s="3">
        <f>IF($AB574="G","ผลรวมทั้งหมด",IF($AB574="R",INDEX($S$8:$S$407,$AA574),""))</f>
        <v/>
      </c>
      <c r="B574" s="3">
        <f>IF($AB574="S",INDEX($Y$8:$Y$407,$AA574),"")</f>
        <v/>
      </c>
      <c r="C574" s="68">
        <f>IF($AB574="D",INDEX($Z$8:$Z$407,$AA574),"")</f>
        <v/>
      </c>
      <c r="D574" s="31">
        <f>IF($AB574="G",SUM($AE$8:$AE$407),IF(OR($AB574="",$AB574="R"),"",IF($AB574="D",INDEX($AE$8:$AE$407,$AA574),SUMIF($T$8:$T$407,INDEX($T$8:$T$407,$AA574),$AE$8:$AE$407))))</f>
        <v/>
      </c>
      <c r="E574" s="32">
        <f>IF(567=$AD$1+3,"ขอแสดงความนับถือ",IF(567=$AD$1+6,"(                 )",IF(567=$AD$1+7,"เจ้าหน้าที่ขนส่ง",IF($AB574="G",SUM($AF$8:$AF$407),IF(OR($AB574="",$AB574="R"),"",IF($AB574="D",INDEX($AF$8:$AF$407,$AA574),SUMIF($T$8:$T$407,INDEX($T$8:$T$407,$AA574),$AF$8:$AF$407)))))))</f>
        <v/>
      </c>
      <c r="F574" s="32">
        <f>IF($AB574="G",SUM($AG$8:$AG$407),IF(OR($AB574="",$AB574="R"),"",IF($AB574="D",INDEX($AG$8:$AG$407,$AA574),SUMIF($T$8:$T$407,INDEX($T$8:$T$407,$AA574),$AG$8:$AG$407))))</f>
        <v/>
      </c>
      <c r="G574" s="32">
        <f>IF(OR($AB574="",$AB574="R"),"",ROUND($E574-$F574,2))</f>
        <v/>
      </c>
      <c r="H574" s="32">
        <f>IF($AB574="G",SUM($AH$8:$AH$407),IF(OR($AB574="",$AB574="R"),"",IF($AB574="D",INDEX($AH$8:$AH$407,$AA574),SUMIF($T$8:$T$407,INDEX($T$8:$T$407,$AA574),$AH$8:$AH$407))))</f>
        <v/>
      </c>
      <c r="AA574">
        <f>IFERROR(MATCH(567,$X$8:$X$407,1),"")</f>
        <v/>
      </c>
      <c r="AB574">
        <f>IF(567=$AD$1+1,"G",IF($AA574="","",IF(INDEX($Q$8:$Q$407,$AA574)="","",IF(567&gt;INDEX($X$8:$X$407,$AA574)+INDEX($V$8:$V$407,$AA574)+INDEX($W$8:$W$407,$AA574),"",IF(567=INDEX($X$8:$X$407,$AA574)+INDEX($V$8:$V$407,$AA574)+INDEX($W$8:$W$407,$AA574),"D",IF(AND(INDEX($W$8:$W$407,$AA574)=1,567=INDEX($X$8:$X$407,$AA574)+INDEX($V$8:$V$407,$AA574)),"S","R"))))))</f>
        <v/>
      </c>
      <c r="AC574">
        <f>IF(OR($AB574="",$AB574="G"),"",IF($AB574="D",INDEX($U$8:$U$407,$AA574),IF($AB574="S",INDEX($T$8:$T$407,$AA574)&amp;"|*",INDEX($S$8:$S$407,$AA574)&amp;"|*")))</f>
        <v/>
      </c>
    </row>
    <row r="575" ht="21" customHeight="1" s="66">
      <c r="A575" s="3">
        <f>IF($AB575="G","ผลรวมทั้งหมด",IF($AB575="R",INDEX($S$8:$S$407,$AA575),""))</f>
        <v/>
      </c>
      <c r="B575" s="3">
        <f>IF($AB575="S",INDEX($Y$8:$Y$407,$AA575),"")</f>
        <v/>
      </c>
      <c r="C575" s="68">
        <f>IF($AB575="D",INDEX($Z$8:$Z$407,$AA575),"")</f>
        <v/>
      </c>
      <c r="D575" s="31">
        <f>IF($AB575="G",SUM($AE$8:$AE$407),IF(OR($AB575="",$AB575="R"),"",IF($AB575="D",INDEX($AE$8:$AE$407,$AA575),SUMIF($T$8:$T$407,INDEX($T$8:$T$407,$AA575),$AE$8:$AE$407))))</f>
        <v/>
      </c>
      <c r="E575" s="32">
        <f>IF(568=$AD$1+3,"ขอแสดงความนับถือ",IF(568=$AD$1+6,"(                 )",IF(568=$AD$1+7,"เจ้าหน้าที่ขนส่ง",IF($AB575="G",SUM($AF$8:$AF$407),IF(OR($AB575="",$AB575="R"),"",IF($AB575="D",INDEX($AF$8:$AF$407,$AA575),SUMIF($T$8:$T$407,INDEX($T$8:$T$407,$AA575),$AF$8:$AF$407)))))))</f>
        <v/>
      </c>
      <c r="F575" s="32">
        <f>IF($AB575="G",SUM($AG$8:$AG$407),IF(OR($AB575="",$AB575="R"),"",IF($AB575="D",INDEX($AG$8:$AG$407,$AA575),SUMIF($T$8:$T$407,INDEX($T$8:$T$407,$AA575),$AG$8:$AG$407))))</f>
        <v/>
      </c>
      <c r="G575" s="32">
        <f>IF(OR($AB575="",$AB575="R"),"",ROUND($E575-$F575,2))</f>
        <v/>
      </c>
      <c r="H575" s="32">
        <f>IF($AB575="G",SUM($AH$8:$AH$407),IF(OR($AB575="",$AB575="R"),"",IF($AB575="D",INDEX($AH$8:$AH$407,$AA575),SUMIF($T$8:$T$407,INDEX($T$8:$T$407,$AA575),$AH$8:$AH$407))))</f>
        <v/>
      </c>
      <c r="AA575">
        <f>IFERROR(MATCH(568,$X$8:$X$407,1),"")</f>
        <v/>
      </c>
      <c r="AB575">
        <f>IF(568=$AD$1+1,"G",IF($AA575="","",IF(INDEX($Q$8:$Q$407,$AA575)="","",IF(568&gt;INDEX($X$8:$X$407,$AA575)+INDEX($V$8:$V$407,$AA575)+INDEX($W$8:$W$407,$AA575),"",IF(568=INDEX($X$8:$X$407,$AA575)+INDEX($V$8:$V$407,$AA575)+INDEX($W$8:$W$407,$AA575),"D",IF(AND(INDEX($W$8:$W$407,$AA575)=1,568=INDEX($X$8:$X$407,$AA575)+INDEX($V$8:$V$407,$AA575)),"S","R"))))))</f>
        <v/>
      </c>
      <c r="AC575">
        <f>IF(OR($AB575="",$AB575="G"),"",IF($AB575="D",INDEX($U$8:$U$407,$AA575),IF($AB575="S",INDEX($T$8:$T$407,$AA575)&amp;"|*",INDEX($S$8:$S$407,$AA575)&amp;"|*")))</f>
        <v/>
      </c>
    </row>
    <row r="576" ht="21" customHeight="1" s="66">
      <c r="A576" s="3">
        <f>IF($AB576="G","ผลรวมทั้งหมด",IF($AB576="R",INDEX($S$8:$S$407,$AA576),""))</f>
        <v/>
      </c>
      <c r="B576" s="3">
        <f>IF($AB576="S",INDEX($Y$8:$Y$407,$AA576),"")</f>
        <v/>
      </c>
      <c r="C576" s="68">
        <f>IF($AB576="D",INDEX($Z$8:$Z$407,$AA576),"")</f>
        <v/>
      </c>
      <c r="D576" s="31">
        <f>IF($AB576="G",SUM($AE$8:$AE$407),IF(OR($AB576="",$AB576="R"),"",IF($AB576="D",INDEX($AE$8:$AE$407,$AA576),SUMIF($T$8:$T$407,INDEX($T$8:$T$407,$AA576),$AE$8:$AE$407))))</f>
        <v/>
      </c>
      <c r="E576" s="32">
        <f>IF(569=$AD$1+3,"ขอแสดงความนับถือ",IF(569=$AD$1+6,"(                 )",IF(569=$AD$1+7,"เจ้าหน้าที่ขนส่ง",IF($AB576="G",SUM($AF$8:$AF$407),IF(OR($AB576="",$AB576="R"),"",IF($AB576="D",INDEX($AF$8:$AF$407,$AA576),SUMIF($T$8:$T$407,INDEX($T$8:$T$407,$AA576),$AF$8:$AF$407)))))))</f>
        <v/>
      </c>
      <c r="F576" s="32">
        <f>IF($AB576="G",SUM($AG$8:$AG$407),IF(OR($AB576="",$AB576="R"),"",IF($AB576="D",INDEX($AG$8:$AG$407,$AA576),SUMIF($T$8:$T$407,INDEX($T$8:$T$407,$AA576),$AG$8:$AG$407))))</f>
        <v/>
      </c>
      <c r="G576" s="32">
        <f>IF(OR($AB576="",$AB576="R"),"",ROUND($E576-$F576,2))</f>
        <v/>
      </c>
      <c r="H576" s="32">
        <f>IF($AB576="G",SUM($AH$8:$AH$407),IF(OR($AB576="",$AB576="R"),"",IF($AB576="D",INDEX($AH$8:$AH$407,$AA576),SUMIF($T$8:$T$407,INDEX($T$8:$T$407,$AA576),$AH$8:$AH$407))))</f>
        <v/>
      </c>
      <c r="AA576">
        <f>IFERROR(MATCH(569,$X$8:$X$407,1),"")</f>
        <v/>
      </c>
      <c r="AB576">
        <f>IF(569=$AD$1+1,"G",IF($AA576="","",IF(INDEX($Q$8:$Q$407,$AA576)="","",IF(569&gt;INDEX($X$8:$X$407,$AA576)+INDEX($V$8:$V$407,$AA576)+INDEX($W$8:$W$407,$AA576),"",IF(569=INDEX($X$8:$X$407,$AA576)+INDEX($V$8:$V$407,$AA576)+INDEX($W$8:$W$407,$AA576),"D",IF(AND(INDEX($W$8:$W$407,$AA576)=1,569=INDEX($X$8:$X$407,$AA576)+INDEX($V$8:$V$407,$AA576)),"S","R"))))))</f>
        <v/>
      </c>
      <c r="AC576">
        <f>IF(OR($AB576="",$AB576="G"),"",IF($AB576="D",INDEX($U$8:$U$407,$AA576),IF($AB576="S",INDEX($T$8:$T$407,$AA576)&amp;"|*",INDEX($S$8:$S$407,$AA576)&amp;"|*")))</f>
        <v/>
      </c>
    </row>
    <row r="577" ht="21" customHeight="1" s="66">
      <c r="A577" s="3">
        <f>IF($AB577="G","ผลรวมทั้งหมด",IF($AB577="R",INDEX($S$8:$S$407,$AA577),""))</f>
        <v/>
      </c>
      <c r="B577" s="3">
        <f>IF($AB577="S",INDEX($Y$8:$Y$407,$AA577),"")</f>
        <v/>
      </c>
      <c r="C577" s="68">
        <f>IF($AB577="D",INDEX($Z$8:$Z$407,$AA577),"")</f>
        <v/>
      </c>
      <c r="D577" s="31">
        <f>IF($AB577="G",SUM($AE$8:$AE$407),IF(OR($AB577="",$AB577="R"),"",IF($AB577="D",INDEX($AE$8:$AE$407,$AA577),SUMIF($T$8:$T$407,INDEX($T$8:$T$407,$AA577),$AE$8:$AE$407))))</f>
        <v/>
      </c>
      <c r="E577" s="32">
        <f>IF(570=$AD$1+3,"ขอแสดงความนับถือ",IF(570=$AD$1+6,"(                 )",IF(570=$AD$1+7,"เจ้าหน้าที่ขนส่ง",IF($AB577="G",SUM($AF$8:$AF$407),IF(OR($AB577="",$AB577="R"),"",IF($AB577="D",INDEX($AF$8:$AF$407,$AA577),SUMIF($T$8:$T$407,INDEX($T$8:$T$407,$AA577),$AF$8:$AF$407)))))))</f>
        <v/>
      </c>
      <c r="F577" s="32">
        <f>IF($AB577="G",SUM($AG$8:$AG$407),IF(OR($AB577="",$AB577="R"),"",IF($AB577="D",INDEX($AG$8:$AG$407,$AA577),SUMIF($T$8:$T$407,INDEX($T$8:$T$407,$AA577),$AG$8:$AG$407))))</f>
        <v/>
      </c>
      <c r="G577" s="32">
        <f>IF(OR($AB577="",$AB577="R"),"",ROUND($E577-$F577,2))</f>
        <v/>
      </c>
      <c r="H577" s="32">
        <f>IF($AB577="G",SUM($AH$8:$AH$407),IF(OR($AB577="",$AB577="R"),"",IF($AB577="D",INDEX($AH$8:$AH$407,$AA577),SUMIF($T$8:$T$407,INDEX($T$8:$T$407,$AA577),$AH$8:$AH$407))))</f>
        <v/>
      </c>
      <c r="AA577">
        <f>IFERROR(MATCH(570,$X$8:$X$407,1),"")</f>
        <v/>
      </c>
      <c r="AB577">
        <f>IF(570=$AD$1+1,"G",IF($AA577="","",IF(INDEX($Q$8:$Q$407,$AA577)="","",IF(570&gt;INDEX($X$8:$X$407,$AA577)+INDEX($V$8:$V$407,$AA577)+INDEX($W$8:$W$407,$AA577),"",IF(570=INDEX($X$8:$X$407,$AA577)+INDEX($V$8:$V$407,$AA577)+INDEX($W$8:$W$407,$AA577),"D",IF(AND(INDEX($W$8:$W$407,$AA577)=1,570=INDEX($X$8:$X$407,$AA577)+INDEX($V$8:$V$407,$AA577)),"S","R"))))))</f>
        <v/>
      </c>
      <c r="AC577">
        <f>IF(OR($AB577="",$AB577="G"),"",IF($AB577="D",INDEX($U$8:$U$407,$AA577),IF($AB577="S",INDEX($T$8:$T$407,$AA577)&amp;"|*",INDEX($S$8:$S$407,$AA577)&amp;"|*")))</f>
        <v/>
      </c>
    </row>
    <row r="578" ht="21" customHeight="1" s="66">
      <c r="A578" s="3">
        <f>IF($AB578="G","ผลรวมทั้งหมด",IF($AB578="R",INDEX($S$8:$S$407,$AA578),""))</f>
        <v/>
      </c>
      <c r="B578" s="3">
        <f>IF($AB578="S",INDEX($Y$8:$Y$407,$AA578),"")</f>
        <v/>
      </c>
      <c r="C578" s="68">
        <f>IF($AB578="D",INDEX($Z$8:$Z$407,$AA578),"")</f>
        <v/>
      </c>
      <c r="D578" s="31">
        <f>IF($AB578="G",SUM($AE$8:$AE$407),IF(OR($AB578="",$AB578="R"),"",IF($AB578="D",INDEX($AE$8:$AE$407,$AA578),SUMIF($T$8:$T$407,INDEX($T$8:$T$407,$AA578),$AE$8:$AE$407))))</f>
        <v/>
      </c>
      <c r="E578" s="32">
        <f>IF(571=$AD$1+3,"ขอแสดงความนับถือ",IF(571=$AD$1+6,"(                 )",IF(571=$AD$1+7,"เจ้าหน้าที่ขนส่ง",IF($AB578="G",SUM($AF$8:$AF$407),IF(OR($AB578="",$AB578="R"),"",IF($AB578="D",INDEX($AF$8:$AF$407,$AA578),SUMIF($T$8:$T$407,INDEX($T$8:$T$407,$AA578),$AF$8:$AF$407)))))))</f>
        <v/>
      </c>
      <c r="F578" s="32">
        <f>IF($AB578="G",SUM($AG$8:$AG$407),IF(OR($AB578="",$AB578="R"),"",IF($AB578="D",INDEX($AG$8:$AG$407,$AA578),SUMIF($T$8:$T$407,INDEX($T$8:$T$407,$AA578),$AG$8:$AG$407))))</f>
        <v/>
      </c>
      <c r="G578" s="32">
        <f>IF(OR($AB578="",$AB578="R"),"",ROUND($E578-$F578,2))</f>
        <v/>
      </c>
      <c r="H578" s="32">
        <f>IF($AB578="G",SUM($AH$8:$AH$407),IF(OR($AB578="",$AB578="R"),"",IF($AB578="D",INDEX($AH$8:$AH$407,$AA578),SUMIF($T$8:$T$407,INDEX($T$8:$T$407,$AA578),$AH$8:$AH$407))))</f>
        <v/>
      </c>
      <c r="AA578">
        <f>IFERROR(MATCH(571,$X$8:$X$407,1),"")</f>
        <v/>
      </c>
      <c r="AB578">
        <f>IF(571=$AD$1+1,"G",IF($AA578="","",IF(INDEX($Q$8:$Q$407,$AA578)="","",IF(571&gt;INDEX($X$8:$X$407,$AA578)+INDEX($V$8:$V$407,$AA578)+INDEX($W$8:$W$407,$AA578),"",IF(571=INDEX($X$8:$X$407,$AA578)+INDEX($V$8:$V$407,$AA578)+INDEX($W$8:$W$407,$AA578),"D",IF(AND(INDEX($W$8:$W$407,$AA578)=1,571=INDEX($X$8:$X$407,$AA578)+INDEX($V$8:$V$407,$AA578)),"S","R"))))))</f>
        <v/>
      </c>
      <c r="AC578">
        <f>IF(OR($AB578="",$AB578="G"),"",IF($AB578="D",INDEX($U$8:$U$407,$AA578),IF($AB578="S",INDEX($T$8:$T$407,$AA578)&amp;"|*",INDEX($S$8:$S$407,$AA578)&amp;"|*")))</f>
        <v/>
      </c>
    </row>
    <row r="579" ht="21" customHeight="1" s="66">
      <c r="A579" s="3">
        <f>IF($AB579="G","ผลรวมทั้งหมด",IF($AB579="R",INDEX($S$8:$S$407,$AA579),""))</f>
        <v/>
      </c>
      <c r="B579" s="3">
        <f>IF($AB579="S",INDEX($Y$8:$Y$407,$AA579),"")</f>
        <v/>
      </c>
      <c r="C579" s="68">
        <f>IF($AB579="D",INDEX($Z$8:$Z$407,$AA579),"")</f>
        <v/>
      </c>
      <c r="D579" s="31">
        <f>IF($AB579="G",SUM($AE$8:$AE$407),IF(OR($AB579="",$AB579="R"),"",IF($AB579="D",INDEX($AE$8:$AE$407,$AA579),SUMIF($T$8:$T$407,INDEX($T$8:$T$407,$AA579),$AE$8:$AE$407))))</f>
        <v/>
      </c>
      <c r="E579" s="32">
        <f>IF(572=$AD$1+3,"ขอแสดงความนับถือ",IF(572=$AD$1+6,"(                 )",IF(572=$AD$1+7,"เจ้าหน้าที่ขนส่ง",IF($AB579="G",SUM($AF$8:$AF$407),IF(OR($AB579="",$AB579="R"),"",IF($AB579="D",INDEX($AF$8:$AF$407,$AA579),SUMIF($T$8:$T$407,INDEX($T$8:$T$407,$AA579),$AF$8:$AF$407)))))))</f>
        <v/>
      </c>
      <c r="F579" s="32">
        <f>IF($AB579="G",SUM($AG$8:$AG$407),IF(OR($AB579="",$AB579="R"),"",IF($AB579="D",INDEX($AG$8:$AG$407,$AA579),SUMIF($T$8:$T$407,INDEX($T$8:$T$407,$AA579),$AG$8:$AG$407))))</f>
        <v/>
      </c>
      <c r="G579" s="32">
        <f>IF(OR($AB579="",$AB579="R"),"",ROUND($E579-$F579,2))</f>
        <v/>
      </c>
      <c r="H579" s="32">
        <f>IF($AB579="G",SUM($AH$8:$AH$407),IF(OR($AB579="",$AB579="R"),"",IF($AB579="D",INDEX($AH$8:$AH$407,$AA579),SUMIF($T$8:$T$407,INDEX($T$8:$T$407,$AA579),$AH$8:$AH$407))))</f>
        <v/>
      </c>
      <c r="AA579">
        <f>IFERROR(MATCH(572,$X$8:$X$407,1),"")</f>
        <v/>
      </c>
      <c r="AB579">
        <f>IF(572=$AD$1+1,"G",IF($AA579="","",IF(INDEX($Q$8:$Q$407,$AA579)="","",IF(572&gt;INDEX($X$8:$X$407,$AA579)+INDEX($V$8:$V$407,$AA579)+INDEX($W$8:$W$407,$AA579),"",IF(572=INDEX($X$8:$X$407,$AA579)+INDEX($V$8:$V$407,$AA579)+INDEX($W$8:$W$407,$AA579),"D",IF(AND(INDEX($W$8:$W$407,$AA579)=1,572=INDEX($X$8:$X$407,$AA579)+INDEX($V$8:$V$407,$AA579)),"S","R"))))))</f>
        <v/>
      </c>
      <c r="AC579">
        <f>IF(OR($AB579="",$AB579="G"),"",IF($AB579="D",INDEX($U$8:$U$407,$AA579),IF($AB579="S",INDEX($T$8:$T$407,$AA579)&amp;"|*",INDEX($S$8:$S$407,$AA579)&amp;"|*")))</f>
        <v/>
      </c>
    </row>
    <row r="580" ht="21" customHeight="1" s="66">
      <c r="A580" s="3">
        <f>IF($AB580="G","ผลรวมทั้งหมด",IF($AB580="R",INDEX($S$8:$S$407,$AA580),""))</f>
        <v/>
      </c>
      <c r="B580" s="3">
        <f>IF($AB580="S",INDEX($Y$8:$Y$407,$AA580),"")</f>
        <v/>
      </c>
      <c r="C580" s="68">
        <f>IF($AB580="D",INDEX($Z$8:$Z$407,$AA580),"")</f>
        <v/>
      </c>
      <c r="D580" s="31">
        <f>IF($AB580="G",SUM($AE$8:$AE$407),IF(OR($AB580="",$AB580="R"),"",IF($AB580="D",INDEX($AE$8:$AE$407,$AA580),SUMIF($T$8:$T$407,INDEX($T$8:$T$407,$AA580),$AE$8:$AE$407))))</f>
        <v/>
      </c>
      <c r="E580" s="32">
        <f>IF(573=$AD$1+3,"ขอแสดงความนับถือ",IF(573=$AD$1+6,"(                 )",IF(573=$AD$1+7,"เจ้าหน้าที่ขนส่ง",IF($AB580="G",SUM($AF$8:$AF$407),IF(OR($AB580="",$AB580="R"),"",IF($AB580="D",INDEX($AF$8:$AF$407,$AA580),SUMIF($T$8:$T$407,INDEX($T$8:$T$407,$AA580),$AF$8:$AF$407)))))))</f>
        <v/>
      </c>
      <c r="F580" s="32">
        <f>IF($AB580="G",SUM($AG$8:$AG$407),IF(OR($AB580="",$AB580="R"),"",IF($AB580="D",INDEX($AG$8:$AG$407,$AA580),SUMIF($T$8:$T$407,INDEX($T$8:$T$407,$AA580),$AG$8:$AG$407))))</f>
        <v/>
      </c>
      <c r="G580" s="32">
        <f>IF(OR($AB580="",$AB580="R"),"",ROUND($E580-$F580,2))</f>
        <v/>
      </c>
      <c r="H580" s="32">
        <f>IF($AB580="G",SUM($AH$8:$AH$407),IF(OR($AB580="",$AB580="R"),"",IF($AB580="D",INDEX($AH$8:$AH$407,$AA580),SUMIF($T$8:$T$407,INDEX($T$8:$T$407,$AA580),$AH$8:$AH$407))))</f>
        <v/>
      </c>
      <c r="AA580">
        <f>IFERROR(MATCH(573,$X$8:$X$407,1),"")</f>
        <v/>
      </c>
      <c r="AB580">
        <f>IF(573=$AD$1+1,"G",IF($AA580="","",IF(INDEX($Q$8:$Q$407,$AA580)="","",IF(573&gt;INDEX($X$8:$X$407,$AA580)+INDEX($V$8:$V$407,$AA580)+INDEX($W$8:$W$407,$AA580),"",IF(573=INDEX($X$8:$X$407,$AA580)+INDEX($V$8:$V$407,$AA580)+INDEX($W$8:$W$407,$AA580),"D",IF(AND(INDEX($W$8:$W$407,$AA580)=1,573=INDEX($X$8:$X$407,$AA580)+INDEX($V$8:$V$407,$AA580)),"S","R"))))))</f>
        <v/>
      </c>
      <c r="AC580">
        <f>IF(OR($AB580="",$AB580="G"),"",IF($AB580="D",INDEX($U$8:$U$407,$AA580),IF($AB580="S",INDEX($T$8:$T$407,$AA580)&amp;"|*",INDEX($S$8:$S$407,$AA580)&amp;"|*")))</f>
        <v/>
      </c>
    </row>
    <row r="581" ht="21" customHeight="1" s="66">
      <c r="A581" s="3">
        <f>IF($AB581="G","ผลรวมทั้งหมด",IF($AB581="R",INDEX($S$8:$S$407,$AA581),""))</f>
        <v/>
      </c>
      <c r="B581" s="3">
        <f>IF($AB581="S",INDEX($Y$8:$Y$407,$AA581),"")</f>
        <v/>
      </c>
      <c r="C581" s="68">
        <f>IF($AB581="D",INDEX($Z$8:$Z$407,$AA581),"")</f>
        <v/>
      </c>
      <c r="D581" s="31">
        <f>IF($AB581="G",SUM($AE$8:$AE$407),IF(OR($AB581="",$AB581="R"),"",IF($AB581="D",INDEX($AE$8:$AE$407,$AA581),SUMIF($T$8:$T$407,INDEX($T$8:$T$407,$AA581),$AE$8:$AE$407))))</f>
        <v/>
      </c>
      <c r="E581" s="32">
        <f>IF(574=$AD$1+3,"ขอแสดงความนับถือ",IF(574=$AD$1+6,"(                 )",IF(574=$AD$1+7,"เจ้าหน้าที่ขนส่ง",IF($AB581="G",SUM($AF$8:$AF$407),IF(OR($AB581="",$AB581="R"),"",IF($AB581="D",INDEX($AF$8:$AF$407,$AA581),SUMIF($T$8:$T$407,INDEX($T$8:$T$407,$AA581),$AF$8:$AF$407)))))))</f>
        <v/>
      </c>
      <c r="F581" s="32">
        <f>IF($AB581="G",SUM($AG$8:$AG$407),IF(OR($AB581="",$AB581="R"),"",IF($AB581="D",INDEX($AG$8:$AG$407,$AA581),SUMIF($T$8:$T$407,INDEX($T$8:$T$407,$AA581),$AG$8:$AG$407))))</f>
        <v/>
      </c>
      <c r="G581" s="32">
        <f>IF(OR($AB581="",$AB581="R"),"",ROUND($E581-$F581,2))</f>
        <v/>
      </c>
      <c r="H581" s="32">
        <f>IF($AB581="G",SUM($AH$8:$AH$407),IF(OR($AB581="",$AB581="R"),"",IF($AB581="D",INDEX($AH$8:$AH$407,$AA581),SUMIF($T$8:$T$407,INDEX($T$8:$T$407,$AA581),$AH$8:$AH$407))))</f>
        <v/>
      </c>
      <c r="AA581">
        <f>IFERROR(MATCH(574,$X$8:$X$407,1),"")</f>
        <v/>
      </c>
      <c r="AB581">
        <f>IF(574=$AD$1+1,"G",IF($AA581="","",IF(INDEX($Q$8:$Q$407,$AA581)="","",IF(574&gt;INDEX($X$8:$X$407,$AA581)+INDEX($V$8:$V$407,$AA581)+INDEX($W$8:$W$407,$AA581),"",IF(574=INDEX($X$8:$X$407,$AA581)+INDEX($V$8:$V$407,$AA581)+INDEX($W$8:$W$407,$AA581),"D",IF(AND(INDEX($W$8:$W$407,$AA581)=1,574=INDEX($X$8:$X$407,$AA581)+INDEX($V$8:$V$407,$AA581)),"S","R"))))))</f>
        <v/>
      </c>
      <c r="AC581">
        <f>IF(OR($AB581="",$AB581="G"),"",IF($AB581="D",INDEX($U$8:$U$407,$AA581),IF($AB581="S",INDEX($T$8:$T$407,$AA581)&amp;"|*",INDEX($S$8:$S$407,$AA581)&amp;"|*")))</f>
        <v/>
      </c>
    </row>
    <row r="582" ht="21" customHeight="1" s="66">
      <c r="A582" s="3">
        <f>IF($AB582="G","ผลรวมทั้งหมด",IF($AB582="R",INDEX($S$8:$S$407,$AA582),""))</f>
        <v/>
      </c>
      <c r="B582" s="3">
        <f>IF($AB582="S",INDEX($Y$8:$Y$407,$AA582),"")</f>
        <v/>
      </c>
      <c r="C582" s="68">
        <f>IF($AB582="D",INDEX($Z$8:$Z$407,$AA582),"")</f>
        <v/>
      </c>
      <c r="D582" s="31">
        <f>IF($AB582="G",SUM($AE$8:$AE$407),IF(OR($AB582="",$AB582="R"),"",IF($AB582="D",INDEX($AE$8:$AE$407,$AA582),SUMIF($T$8:$T$407,INDEX($T$8:$T$407,$AA582),$AE$8:$AE$407))))</f>
        <v/>
      </c>
      <c r="E582" s="32">
        <f>IF(575=$AD$1+3,"ขอแสดงความนับถือ",IF(575=$AD$1+6,"(                 )",IF(575=$AD$1+7,"เจ้าหน้าที่ขนส่ง",IF($AB582="G",SUM($AF$8:$AF$407),IF(OR($AB582="",$AB582="R"),"",IF($AB582="D",INDEX($AF$8:$AF$407,$AA582),SUMIF($T$8:$T$407,INDEX($T$8:$T$407,$AA582),$AF$8:$AF$407)))))))</f>
        <v/>
      </c>
      <c r="F582" s="32">
        <f>IF($AB582="G",SUM($AG$8:$AG$407),IF(OR($AB582="",$AB582="R"),"",IF($AB582="D",INDEX($AG$8:$AG$407,$AA582),SUMIF($T$8:$T$407,INDEX($T$8:$T$407,$AA582),$AG$8:$AG$407))))</f>
        <v/>
      </c>
      <c r="G582" s="32">
        <f>IF(OR($AB582="",$AB582="R"),"",ROUND($E582-$F582,2))</f>
        <v/>
      </c>
      <c r="H582" s="32">
        <f>IF($AB582="G",SUM($AH$8:$AH$407),IF(OR($AB582="",$AB582="R"),"",IF($AB582="D",INDEX($AH$8:$AH$407,$AA582),SUMIF($T$8:$T$407,INDEX($T$8:$T$407,$AA582),$AH$8:$AH$407))))</f>
        <v/>
      </c>
      <c r="AA582">
        <f>IFERROR(MATCH(575,$X$8:$X$407,1),"")</f>
        <v/>
      </c>
      <c r="AB582">
        <f>IF(575=$AD$1+1,"G",IF($AA582="","",IF(INDEX($Q$8:$Q$407,$AA582)="","",IF(575&gt;INDEX($X$8:$X$407,$AA582)+INDEX($V$8:$V$407,$AA582)+INDEX($W$8:$W$407,$AA582),"",IF(575=INDEX($X$8:$X$407,$AA582)+INDEX($V$8:$V$407,$AA582)+INDEX($W$8:$W$407,$AA582),"D",IF(AND(INDEX($W$8:$W$407,$AA582)=1,575=INDEX($X$8:$X$407,$AA582)+INDEX($V$8:$V$407,$AA582)),"S","R"))))))</f>
        <v/>
      </c>
      <c r="AC582">
        <f>IF(OR($AB582="",$AB582="G"),"",IF($AB582="D",INDEX($U$8:$U$407,$AA582),IF($AB582="S",INDEX($T$8:$T$407,$AA582)&amp;"|*",INDEX($S$8:$S$407,$AA582)&amp;"|*")))</f>
        <v/>
      </c>
    </row>
    <row r="583" ht="21" customHeight="1" s="66">
      <c r="A583" s="3">
        <f>IF($AB583="G","ผลรวมทั้งหมด",IF($AB583="R",INDEX($S$8:$S$407,$AA583),""))</f>
        <v/>
      </c>
      <c r="B583" s="3">
        <f>IF($AB583="S",INDEX($Y$8:$Y$407,$AA583),"")</f>
        <v/>
      </c>
      <c r="C583" s="68">
        <f>IF($AB583="D",INDEX($Z$8:$Z$407,$AA583),"")</f>
        <v/>
      </c>
      <c r="D583" s="31">
        <f>IF($AB583="G",SUM($AE$8:$AE$407),IF(OR($AB583="",$AB583="R"),"",IF($AB583="D",INDEX($AE$8:$AE$407,$AA583),SUMIF($T$8:$T$407,INDEX($T$8:$T$407,$AA583),$AE$8:$AE$407))))</f>
        <v/>
      </c>
      <c r="E583" s="32">
        <f>IF(576=$AD$1+3,"ขอแสดงความนับถือ",IF(576=$AD$1+6,"(                 )",IF(576=$AD$1+7,"เจ้าหน้าที่ขนส่ง",IF($AB583="G",SUM($AF$8:$AF$407),IF(OR($AB583="",$AB583="R"),"",IF($AB583="D",INDEX($AF$8:$AF$407,$AA583),SUMIF($T$8:$T$407,INDEX($T$8:$T$407,$AA583),$AF$8:$AF$407)))))))</f>
        <v/>
      </c>
      <c r="F583" s="32">
        <f>IF($AB583="G",SUM($AG$8:$AG$407),IF(OR($AB583="",$AB583="R"),"",IF($AB583="D",INDEX($AG$8:$AG$407,$AA583),SUMIF($T$8:$T$407,INDEX($T$8:$T$407,$AA583),$AG$8:$AG$407))))</f>
        <v/>
      </c>
      <c r="G583" s="32">
        <f>IF(OR($AB583="",$AB583="R"),"",ROUND($E583-$F583,2))</f>
        <v/>
      </c>
      <c r="H583" s="32">
        <f>IF($AB583="G",SUM($AH$8:$AH$407),IF(OR($AB583="",$AB583="R"),"",IF($AB583="D",INDEX($AH$8:$AH$407,$AA583),SUMIF($T$8:$T$407,INDEX($T$8:$T$407,$AA583),$AH$8:$AH$407))))</f>
        <v/>
      </c>
      <c r="AA583">
        <f>IFERROR(MATCH(576,$X$8:$X$407,1),"")</f>
        <v/>
      </c>
      <c r="AB583">
        <f>IF(576=$AD$1+1,"G",IF($AA583="","",IF(INDEX($Q$8:$Q$407,$AA583)="","",IF(576&gt;INDEX($X$8:$X$407,$AA583)+INDEX($V$8:$V$407,$AA583)+INDEX($W$8:$W$407,$AA583),"",IF(576=INDEX($X$8:$X$407,$AA583)+INDEX($V$8:$V$407,$AA583)+INDEX($W$8:$W$407,$AA583),"D",IF(AND(INDEX($W$8:$W$407,$AA583)=1,576=INDEX($X$8:$X$407,$AA583)+INDEX($V$8:$V$407,$AA583)),"S","R"))))))</f>
        <v/>
      </c>
      <c r="AC583">
        <f>IF(OR($AB583="",$AB583="G"),"",IF($AB583="D",INDEX($U$8:$U$407,$AA583),IF($AB583="S",INDEX($T$8:$T$407,$AA583)&amp;"|*",INDEX($S$8:$S$407,$AA583)&amp;"|*")))</f>
        <v/>
      </c>
    </row>
    <row r="584" ht="21" customHeight="1" s="66">
      <c r="A584" s="3">
        <f>IF($AB584="G","ผลรวมทั้งหมด",IF($AB584="R",INDEX($S$8:$S$407,$AA584),""))</f>
        <v/>
      </c>
      <c r="B584" s="3">
        <f>IF($AB584="S",INDEX($Y$8:$Y$407,$AA584),"")</f>
        <v/>
      </c>
      <c r="C584" s="68">
        <f>IF($AB584="D",INDEX($Z$8:$Z$407,$AA584),"")</f>
        <v/>
      </c>
      <c r="D584" s="31">
        <f>IF($AB584="G",SUM($AE$8:$AE$407),IF(OR($AB584="",$AB584="R"),"",IF($AB584="D",INDEX($AE$8:$AE$407,$AA584),SUMIF($T$8:$T$407,INDEX($T$8:$T$407,$AA584),$AE$8:$AE$407))))</f>
        <v/>
      </c>
      <c r="E584" s="32">
        <f>IF(577=$AD$1+3,"ขอแสดงความนับถือ",IF(577=$AD$1+6,"(                 )",IF(577=$AD$1+7,"เจ้าหน้าที่ขนส่ง",IF($AB584="G",SUM($AF$8:$AF$407),IF(OR($AB584="",$AB584="R"),"",IF($AB584="D",INDEX($AF$8:$AF$407,$AA584),SUMIF($T$8:$T$407,INDEX($T$8:$T$407,$AA584),$AF$8:$AF$407)))))))</f>
        <v/>
      </c>
      <c r="F584" s="32">
        <f>IF($AB584="G",SUM($AG$8:$AG$407),IF(OR($AB584="",$AB584="R"),"",IF($AB584="D",INDEX($AG$8:$AG$407,$AA584),SUMIF($T$8:$T$407,INDEX($T$8:$T$407,$AA584),$AG$8:$AG$407))))</f>
        <v/>
      </c>
      <c r="G584" s="32">
        <f>IF(OR($AB584="",$AB584="R"),"",ROUND($E584-$F584,2))</f>
        <v/>
      </c>
      <c r="H584" s="32">
        <f>IF($AB584="G",SUM($AH$8:$AH$407),IF(OR($AB584="",$AB584="R"),"",IF($AB584="D",INDEX($AH$8:$AH$407,$AA584),SUMIF($T$8:$T$407,INDEX($T$8:$T$407,$AA584),$AH$8:$AH$407))))</f>
        <v/>
      </c>
      <c r="AA584">
        <f>IFERROR(MATCH(577,$X$8:$X$407,1),"")</f>
        <v/>
      </c>
      <c r="AB584">
        <f>IF(577=$AD$1+1,"G",IF($AA584="","",IF(INDEX($Q$8:$Q$407,$AA584)="","",IF(577&gt;INDEX($X$8:$X$407,$AA584)+INDEX($V$8:$V$407,$AA584)+INDEX($W$8:$W$407,$AA584),"",IF(577=INDEX($X$8:$X$407,$AA584)+INDEX($V$8:$V$407,$AA584)+INDEX($W$8:$W$407,$AA584),"D",IF(AND(INDEX($W$8:$W$407,$AA584)=1,577=INDEX($X$8:$X$407,$AA584)+INDEX($V$8:$V$407,$AA584)),"S","R"))))))</f>
        <v/>
      </c>
      <c r="AC584">
        <f>IF(OR($AB584="",$AB584="G"),"",IF($AB584="D",INDEX($U$8:$U$407,$AA584),IF($AB584="S",INDEX($T$8:$T$407,$AA584)&amp;"|*",INDEX($S$8:$S$407,$AA584)&amp;"|*")))</f>
        <v/>
      </c>
    </row>
    <row r="585" ht="21" customHeight="1" s="66">
      <c r="A585" s="3">
        <f>IF($AB585="G","ผลรวมทั้งหมด",IF($AB585="R",INDEX($S$8:$S$407,$AA585),""))</f>
        <v/>
      </c>
      <c r="B585" s="3">
        <f>IF($AB585="S",INDEX($Y$8:$Y$407,$AA585),"")</f>
        <v/>
      </c>
      <c r="C585" s="68">
        <f>IF($AB585="D",INDEX($Z$8:$Z$407,$AA585),"")</f>
        <v/>
      </c>
      <c r="D585" s="31">
        <f>IF($AB585="G",SUM($AE$8:$AE$407),IF(OR($AB585="",$AB585="R"),"",IF($AB585="D",INDEX($AE$8:$AE$407,$AA585),SUMIF($T$8:$T$407,INDEX($T$8:$T$407,$AA585),$AE$8:$AE$407))))</f>
        <v/>
      </c>
      <c r="E585" s="32">
        <f>IF(578=$AD$1+3,"ขอแสดงความนับถือ",IF(578=$AD$1+6,"(                 )",IF(578=$AD$1+7,"เจ้าหน้าที่ขนส่ง",IF($AB585="G",SUM($AF$8:$AF$407),IF(OR($AB585="",$AB585="R"),"",IF($AB585="D",INDEX($AF$8:$AF$407,$AA585),SUMIF($T$8:$T$407,INDEX($T$8:$T$407,$AA585),$AF$8:$AF$407)))))))</f>
        <v/>
      </c>
      <c r="F585" s="32">
        <f>IF($AB585="G",SUM($AG$8:$AG$407),IF(OR($AB585="",$AB585="R"),"",IF($AB585="D",INDEX($AG$8:$AG$407,$AA585),SUMIF($T$8:$T$407,INDEX($T$8:$T$407,$AA585),$AG$8:$AG$407))))</f>
        <v/>
      </c>
      <c r="G585" s="32">
        <f>IF(OR($AB585="",$AB585="R"),"",ROUND($E585-$F585,2))</f>
        <v/>
      </c>
      <c r="H585" s="32">
        <f>IF($AB585="G",SUM($AH$8:$AH$407),IF(OR($AB585="",$AB585="R"),"",IF($AB585="D",INDEX($AH$8:$AH$407,$AA585),SUMIF($T$8:$T$407,INDEX($T$8:$T$407,$AA585),$AH$8:$AH$407))))</f>
        <v/>
      </c>
      <c r="AA585">
        <f>IFERROR(MATCH(578,$X$8:$X$407,1),"")</f>
        <v/>
      </c>
      <c r="AB585">
        <f>IF(578=$AD$1+1,"G",IF($AA585="","",IF(INDEX($Q$8:$Q$407,$AA585)="","",IF(578&gt;INDEX($X$8:$X$407,$AA585)+INDEX($V$8:$V$407,$AA585)+INDEX($W$8:$W$407,$AA585),"",IF(578=INDEX($X$8:$X$407,$AA585)+INDEX($V$8:$V$407,$AA585)+INDEX($W$8:$W$407,$AA585),"D",IF(AND(INDEX($W$8:$W$407,$AA585)=1,578=INDEX($X$8:$X$407,$AA585)+INDEX($V$8:$V$407,$AA585)),"S","R"))))))</f>
        <v/>
      </c>
      <c r="AC585">
        <f>IF(OR($AB585="",$AB585="G"),"",IF($AB585="D",INDEX($U$8:$U$407,$AA585),IF($AB585="S",INDEX($T$8:$T$407,$AA585)&amp;"|*",INDEX($S$8:$S$407,$AA585)&amp;"|*")))</f>
        <v/>
      </c>
    </row>
    <row r="586" ht="21" customHeight="1" s="66">
      <c r="A586" s="3">
        <f>IF($AB586="G","ผลรวมทั้งหมด",IF($AB586="R",INDEX($S$8:$S$407,$AA586),""))</f>
        <v/>
      </c>
      <c r="B586" s="3">
        <f>IF($AB586="S",INDEX($Y$8:$Y$407,$AA586),"")</f>
        <v/>
      </c>
      <c r="C586" s="68">
        <f>IF($AB586="D",INDEX($Z$8:$Z$407,$AA586),"")</f>
        <v/>
      </c>
      <c r="D586" s="31">
        <f>IF($AB586="G",SUM($AE$8:$AE$407),IF(OR($AB586="",$AB586="R"),"",IF($AB586="D",INDEX($AE$8:$AE$407,$AA586),SUMIF($T$8:$T$407,INDEX($T$8:$T$407,$AA586),$AE$8:$AE$407))))</f>
        <v/>
      </c>
      <c r="E586" s="32">
        <f>IF(579=$AD$1+3,"ขอแสดงความนับถือ",IF(579=$AD$1+6,"(                 )",IF(579=$AD$1+7,"เจ้าหน้าที่ขนส่ง",IF($AB586="G",SUM($AF$8:$AF$407),IF(OR($AB586="",$AB586="R"),"",IF($AB586="D",INDEX($AF$8:$AF$407,$AA586),SUMIF($T$8:$T$407,INDEX($T$8:$T$407,$AA586),$AF$8:$AF$407)))))))</f>
        <v/>
      </c>
      <c r="F586" s="32">
        <f>IF($AB586="G",SUM($AG$8:$AG$407),IF(OR($AB586="",$AB586="R"),"",IF($AB586="D",INDEX($AG$8:$AG$407,$AA586),SUMIF($T$8:$T$407,INDEX($T$8:$T$407,$AA586),$AG$8:$AG$407))))</f>
        <v/>
      </c>
      <c r="G586" s="32">
        <f>IF(OR($AB586="",$AB586="R"),"",ROUND($E586-$F586,2))</f>
        <v/>
      </c>
      <c r="H586" s="32">
        <f>IF($AB586="G",SUM($AH$8:$AH$407),IF(OR($AB586="",$AB586="R"),"",IF($AB586="D",INDEX($AH$8:$AH$407,$AA586),SUMIF($T$8:$T$407,INDEX($T$8:$T$407,$AA586),$AH$8:$AH$407))))</f>
        <v/>
      </c>
      <c r="AA586">
        <f>IFERROR(MATCH(579,$X$8:$X$407,1),"")</f>
        <v/>
      </c>
      <c r="AB586">
        <f>IF(579=$AD$1+1,"G",IF($AA586="","",IF(INDEX($Q$8:$Q$407,$AA586)="","",IF(579&gt;INDEX($X$8:$X$407,$AA586)+INDEX($V$8:$V$407,$AA586)+INDEX($W$8:$W$407,$AA586),"",IF(579=INDEX($X$8:$X$407,$AA586)+INDEX($V$8:$V$407,$AA586)+INDEX($W$8:$W$407,$AA586),"D",IF(AND(INDEX($W$8:$W$407,$AA586)=1,579=INDEX($X$8:$X$407,$AA586)+INDEX($V$8:$V$407,$AA586)),"S","R"))))))</f>
        <v/>
      </c>
      <c r="AC586">
        <f>IF(OR($AB586="",$AB586="G"),"",IF($AB586="D",INDEX($U$8:$U$407,$AA586),IF($AB586="S",INDEX($T$8:$T$407,$AA586)&amp;"|*",INDEX($S$8:$S$407,$AA586)&amp;"|*")))</f>
        <v/>
      </c>
    </row>
    <row r="587" ht="21" customHeight="1" s="66">
      <c r="A587" s="3">
        <f>IF($AB587="G","ผลรวมทั้งหมด",IF($AB587="R",INDEX($S$8:$S$407,$AA587),""))</f>
        <v/>
      </c>
      <c r="B587" s="3">
        <f>IF($AB587="S",INDEX($Y$8:$Y$407,$AA587),"")</f>
        <v/>
      </c>
      <c r="C587" s="68">
        <f>IF($AB587="D",INDEX($Z$8:$Z$407,$AA587),"")</f>
        <v/>
      </c>
      <c r="D587" s="31">
        <f>IF($AB587="G",SUM($AE$8:$AE$407),IF(OR($AB587="",$AB587="R"),"",IF($AB587="D",INDEX($AE$8:$AE$407,$AA587),SUMIF($T$8:$T$407,INDEX($T$8:$T$407,$AA587),$AE$8:$AE$407))))</f>
        <v/>
      </c>
      <c r="E587" s="32">
        <f>IF(580=$AD$1+3,"ขอแสดงความนับถือ",IF(580=$AD$1+6,"(                 )",IF(580=$AD$1+7,"เจ้าหน้าที่ขนส่ง",IF($AB587="G",SUM($AF$8:$AF$407),IF(OR($AB587="",$AB587="R"),"",IF($AB587="D",INDEX($AF$8:$AF$407,$AA587),SUMIF($T$8:$T$407,INDEX($T$8:$T$407,$AA587),$AF$8:$AF$407)))))))</f>
        <v/>
      </c>
      <c r="F587" s="32">
        <f>IF($AB587="G",SUM($AG$8:$AG$407),IF(OR($AB587="",$AB587="R"),"",IF($AB587="D",INDEX($AG$8:$AG$407,$AA587),SUMIF($T$8:$T$407,INDEX($T$8:$T$407,$AA587),$AG$8:$AG$407))))</f>
        <v/>
      </c>
      <c r="G587" s="32">
        <f>IF(OR($AB587="",$AB587="R"),"",ROUND($E587-$F587,2))</f>
        <v/>
      </c>
      <c r="H587" s="32">
        <f>IF($AB587="G",SUM($AH$8:$AH$407),IF(OR($AB587="",$AB587="R"),"",IF($AB587="D",INDEX($AH$8:$AH$407,$AA587),SUMIF($T$8:$T$407,INDEX($T$8:$T$407,$AA587),$AH$8:$AH$407))))</f>
        <v/>
      </c>
      <c r="AA587">
        <f>IFERROR(MATCH(580,$X$8:$X$407,1),"")</f>
        <v/>
      </c>
      <c r="AB587">
        <f>IF(580=$AD$1+1,"G",IF($AA587="","",IF(INDEX($Q$8:$Q$407,$AA587)="","",IF(580&gt;INDEX($X$8:$X$407,$AA587)+INDEX($V$8:$V$407,$AA587)+INDEX($W$8:$W$407,$AA587),"",IF(580=INDEX($X$8:$X$407,$AA587)+INDEX($V$8:$V$407,$AA587)+INDEX($W$8:$W$407,$AA587),"D",IF(AND(INDEX($W$8:$W$407,$AA587)=1,580=INDEX($X$8:$X$407,$AA587)+INDEX($V$8:$V$407,$AA587)),"S","R"))))))</f>
        <v/>
      </c>
      <c r="AC587">
        <f>IF(OR($AB587="",$AB587="G"),"",IF($AB587="D",INDEX($U$8:$U$407,$AA587),IF($AB587="S",INDEX($T$8:$T$407,$AA587)&amp;"|*",INDEX($S$8:$S$407,$AA587)&amp;"|*")))</f>
        <v/>
      </c>
    </row>
    <row r="588" ht="21" customHeight="1" s="66">
      <c r="A588" s="3">
        <f>IF($AB588="G","ผลรวมทั้งหมด",IF($AB588="R",INDEX($S$8:$S$407,$AA588),""))</f>
        <v/>
      </c>
      <c r="B588" s="3">
        <f>IF($AB588="S",INDEX($Y$8:$Y$407,$AA588),"")</f>
        <v/>
      </c>
      <c r="C588" s="68">
        <f>IF($AB588="D",INDEX($Z$8:$Z$407,$AA588),"")</f>
        <v/>
      </c>
      <c r="D588" s="31">
        <f>IF($AB588="G",SUM($AE$8:$AE$407),IF(OR($AB588="",$AB588="R"),"",IF($AB588="D",INDEX($AE$8:$AE$407,$AA588),SUMIF($T$8:$T$407,INDEX($T$8:$T$407,$AA588),$AE$8:$AE$407))))</f>
        <v/>
      </c>
      <c r="E588" s="32">
        <f>IF(581=$AD$1+3,"ขอแสดงความนับถือ",IF(581=$AD$1+6,"(                 )",IF(581=$AD$1+7,"เจ้าหน้าที่ขนส่ง",IF($AB588="G",SUM($AF$8:$AF$407),IF(OR($AB588="",$AB588="R"),"",IF($AB588="D",INDEX($AF$8:$AF$407,$AA588),SUMIF($T$8:$T$407,INDEX($T$8:$T$407,$AA588),$AF$8:$AF$407)))))))</f>
        <v/>
      </c>
      <c r="F588" s="32">
        <f>IF($AB588="G",SUM($AG$8:$AG$407),IF(OR($AB588="",$AB588="R"),"",IF($AB588="D",INDEX($AG$8:$AG$407,$AA588),SUMIF($T$8:$T$407,INDEX($T$8:$T$407,$AA588),$AG$8:$AG$407))))</f>
        <v/>
      </c>
      <c r="G588" s="32">
        <f>IF(OR($AB588="",$AB588="R"),"",ROUND($E588-$F588,2))</f>
        <v/>
      </c>
      <c r="H588" s="32">
        <f>IF($AB588="G",SUM($AH$8:$AH$407),IF(OR($AB588="",$AB588="R"),"",IF($AB588="D",INDEX($AH$8:$AH$407,$AA588),SUMIF($T$8:$T$407,INDEX($T$8:$T$407,$AA588),$AH$8:$AH$407))))</f>
        <v/>
      </c>
      <c r="AA588">
        <f>IFERROR(MATCH(581,$X$8:$X$407,1),"")</f>
        <v/>
      </c>
      <c r="AB588">
        <f>IF(581=$AD$1+1,"G",IF($AA588="","",IF(INDEX($Q$8:$Q$407,$AA588)="","",IF(581&gt;INDEX($X$8:$X$407,$AA588)+INDEX($V$8:$V$407,$AA588)+INDEX($W$8:$W$407,$AA588),"",IF(581=INDEX($X$8:$X$407,$AA588)+INDEX($V$8:$V$407,$AA588)+INDEX($W$8:$W$407,$AA588),"D",IF(AND(INDEX($W$8:$W$407,$AA588)=1,581=INDEX($X$8:$X$407,$AA588)+INDEX($V$8:$V$407,$AA588)),"S","R"))))))</f>
        <v/>
      </c>
      <c r="AC588">
        <f>IF(OR($AB588="",$AB588="G"),"",IF($AB588="D",INDEX($U$8:$U$407,$AA588),IF($AB588="S",INDEX($T$8:$T$407,$AA588)&amp;"|*",INDEX($S$8:$S$407,$AA588)&amp;"|*")))</f>
        <v/>
      </c>
    </row>
    <row r="589" ht="21" customHeight="1" s="66">
      <c r="A589" s="3">
        <f>IF($AB589="G","ผลรวมทั้งหมด",IF($AB589="R",INDEX($S$8:$S$407,$AA589),""))</f>
        <v/>
      </c>
      <c r="B589" s="3">
        <f>IF($AB589="S",INDEX($Y$8:$Y$407,$AA589),"")</f>
        <v/>
      </c>
      <c r="C589" s="68">
        <f>IF($AB589="D",INDEX($Z$8:$Z$407,$AA589),"")</f>
        <v/>
      </c>
      <c r="D589" s="31">
        <f>IF($AB589="G",SUM($AE$8:$AE$407),IF(OR($AB589="",$AB589="R"),"",IF($AB589="D",INDEX($AE$8:$AE$407,$AA589),SUMIF($T$8:$T$407,INDEX($T$8:$T$407,$AA589),$AE$8:$AE$407))))</f>
        <v/>
      </c>
      <c r="E589" s="32">
        <f>IF(582=$AD$1+3,"ขอแสดงความนับถือ",IF(582=$AD$1+6,"(                 )",IF(582=$AD$1+7,"เจ้าหน้าที่ขนส่ง",IF($AB589="G",SUM($AF$8:$AF$407),IF(OR($AB589="",$AB589="R"),"",IF($AB589="D",INDEX($AF$8:$AF$407,$AA589),SUMIF($T$8:$T$407,INDEX($T$8:$T$407,$AA589),$AF$8:$AF$407)))))))</f>
        <v/>
      </c>
      <c r="F589" s="32">
        <f>IF($AB589="G",SUM($AG$8:$AG$407),IF(OR($AB589="",$AB589="R"),"",IF($AB589="D",INDEX($AG$8:$AG$407,$AA589),SUMIF($T$8:$T$407,INDEX($T$8:$T$407,$AA589),$AG$8:$AG$407))))</f>
        <v/>
      </c>
      <c r="G589" s="32">
        <f>IF(OR($AB589="",$AB589="R"),"",ROUND($E589-$F589,2))</f>
        <v/>
      </c>
      <c r="H589" s="32">
        <f>IF($AB589="G",SUM($AH$8:$AH$407),IF(OR($AB589="",$AB589="R"),"",IF($AB589="D",INDEX($AH$8:$AH$407,$AA589),SUMIF($T$8:$T$407,INDEX($T$8:$T$407,$AA589),$AH$8:$AH$407))))</f>
        <v/>
      </c>
      <c r="AA589">
        <f>IFERROR(MATCH(582,$X$8:$X$407,1),"")</f>
        <v/>
      </c>
      <c r="AB589">
        <f>IF(582=$AD$1+1,"G",IF($AA589="","",IF(INDEX($Q$8:$Q$407,$AA589)="","",IF(582&gt;INDEX($X$8:$X$407,$AA589)+INDEX($V$8:$V$407,$AA589)+INDEX($W$8:$W$407,$AA589),"",IF(582=INDEX($X$8:$X$407,$AA589)+INDEX($V$8:$V$407,$AA589)+INDEX($W$8:$W$407,$AA589),"D",IF(AND(INDEX($W$8:$W$407,$AA589)=1,582=INDEX($X$8:$X$407,$AA589)+INDEX($V$8:$V$407,$AA589)),"S","R"))))))</f>
        <v/>
      </c>
      <c r="AC589">
        <f>IF(OR($AB589="",$AB589="G"),"",IF($AB589="D",INDEX($U$8:$U$407,$AA589),IF($AB589="S",INDEX($T$8:$T$407,$AA589)&amp;"|*",INDEX($S$8:$S$407,$AA589)&amp;"|*")))</f>
        <v/>
      </c>
    </row>
    <row r="590" ht="21" customHeight="1" s="66">
      <c r="A590" s="3">
        <f>IF($AB590="G","ผลรวมทั้งหมด",IF($AB590="R",INDEX($S$8:$S$407,$AA590),""))</f>
        <v/>
      </c>
      <c r="B590" s="3">
        <f>IF($AB590="S",INDEX($Y$8:$Y$407,$AA590),"")</f>
        <v/>
      </c>
      <c r="C590" s="68">
        <f>IF($AB590="D",INDEX($Z$8:$Z$407,$AA590),"")</f>
        <v/>
      </c>
      <c r="D590" s="31">
        <f>IF($AB590="G",SUM($AE$8:$AE$407),IF(OR($AB590="",$AB590="R"),"",IF($AB590="D",INDEX($AE$8:$AE$407,$AA590),SUMIF($T$8:$T$407,INDEX($T$8:$T$407,$AA590),$AE$8:$AE$407))))</f>
        <v/>
      </c>
      <c r="E590" s="32">
        <f>IF(583=$AD$1+3,"ขอแสดงความนับถือ",IF(583=$AD$1+6,"(                 )",IF(583=$AD$1+7,"เจ้าหน้าที่ขนส่ง",IF($AB590="G",SUM($AF$8:$AF$407),IF(OR($AB590="",$AB590="R"),"",IF($AB590="D",INDEX($AF$8:$AF$407,$AA590),SUMIF($T$8:$T$407,INDEX($T$8:$T$407,$AA590),$AF$8:$AF$407)))))))</f>
        <v/>
      </c>
      <c r="F590" s="32">
        <f>IF($AB590="G",SUM($AG$8:$AG$407),IF(OR($AB590="",$AB590="R"),"",IF($AB590="D",INDEX($AG$8:$AG$407,$AA590),SUMIF($T$8:$T$407,INDEX($T$8:$T$407,$AA590),$AG$8:$AG$407))))</f>
        <v/>
      </c>
      <c r="G590" s="32">
        <f>IF(OR($AB590="",$AB590="R"),"",ROUND($E590-$F590,2))</f>
        <v/>
      </c>
      <c r="H590" s="32">
        <f>IF($AB590="G",SUM($AH$8:$AH$407),IF(OR($AB590="",$AB590="R"),"",IF($AB590="D",INDEX($AH$8:$AH$407,$AA590),SUMIF($T$8:$T$407,INDEX($T$8:$T$407,$AA590),$AH$8:$AH$407))))</f>
        <v/>
      </c>
      <c r="AA590">
        <f>IFERROR(MATCH(583,$X$8:$X$407,1),"")</f>
        <v/>
      </c>
      <c r="AB590">
        <f>IF(583=$AD$1+1,"G",IF($AA590="","",IF(INDEX($Q$8:$Q$407,$AA590)="","",IF(583&gt;INDEX($X$8:$X$407,$AA590)+INDEX($V$8:$V$407,$AA590)+INDEX($W$8:$W$407,$AA590),"",IF(583=INDEX($X$8:$X$407,$AA590)+INDEX($V$8:$V$407,$AA590)+INDEX($W$8:$W$407,$AA590),"D",IF(AND(INDEX($W$8:$W$407,$AA590)=1,583=INDEX($X$8:$X$407,$AA590)+INDEX($V$8:$V$407,$AA590)),"S","R"))))))</f>
        <v/>
      </c>
      <c r="AC590">
        <f>IF(OR($AB590="",$AB590="G"),"",IF($AB590="D",INDEX($U$8:$U$407,$AA590),IF($AB590="S",INDEX($T$8:$T$407,$AA590)&amp;"|*",INDEX($S$8:$S$407,$AA590)&amp;"|*")))</f>
        <v/>
      </c>
    </row>
    <row r="591" ht="21" customHeight="1" s="66">
      <c r="A591" s="3">
        <f>IF($AB591="G","ผลรวมทั้งหมด",IF($AB591="R",INDEX($S$8:$S$407,$AA591),""))</f>
        <v/>
      </c>
      <c r="B591" s="3">
        <f>IF($AB591="S",INDEX($Y$8:$Y$407,$AA591),"")</f>
        <v/>
      </c>
      <c r="C591" s="68">
        <f>IF($AB591="D",INDEX($Z$8:$Z$407,$AA591),"")</f>
        <v/>
      </c>
      <c r="D591" s="31">
        <f>IF($AB591="G",SUM($AE$8:$AE$407),IF(OR($AB591="",$AB591="R"),"",IF($AB591="D",INDEX($AE$8:$AE$407,$AA591),SUMIF($T$8:$T$407,INDEX($T$8:$T$407,$AA591),$AE$8:$AE$407))))</f>
        <v/>
      </c>
      <c r="E591" s="32">
        <f>IF(584=$AD$1+3,"ขอแสดงความนับถือ",IF(584=$AD$1+6,"(                 )",IF(584=$AD$1+7,"เจ้าหน้าที่ขนส่ง",IF($AB591="G",SUM($AF$8:$AF$407),IF(OR($AB591="",$AB591="R"),"",IF($AB591="D",INDEX($AF$8:$AF$407,$AA591),SUMIF($T$8:$T$407,INDEX($T$8:$T$407,$AA591),$AF$8:$AF$407)))))))</f>
        <v/>
      </c>
      <c r="F591" s="32">
        <f>IF($AB591="G",SUM($AG$8:$AG$407),IF(OR($AB591="",$AB591="R"),"",IF($AB591="D",INDEX($AG$8:$AG$407,$AA591),SUMIF($T$8:$T$407,INDEX($T$8:$T$407,$AA591),$AG$8:$AG$407))))</f>
        <v/>
      </c>
      <c r="G591" s="32">
        <f>IF(OR($AB591="",$AB591="R"),"",ROUND($E591-$F591,2))</f>
        <v/>
      </c>
      <c r="H591" s="32">
        <f>IF($AB591="G",SUM($AH$8:$AH$407),IF(OR($AB591="",$AB591="R"),"",IF($AB591="D",INDEX($AH$8:$AH$407,$AA591),SUMIF($T$8:$T$407,INDEX($T$8:$T$407,$AA591),$AH$8:$AH$407))))</f>
        <v/>
      </c>
      <c r="AA591">
        <f>IFERROR(MATCH(584,$X$8:$X$407,1),"")</f>
        <v/>
      </c>
      <c r="AB591">
        <f>IF(584=$AD$1+1,"G",IF($AA591="","",IF(INDEX($Q$8:$Q$407,$AA591)="","",IF(584&gt;INDEX($X$8:$X$407,$AA591)+INDEX($V$8:$V$407,$AA591)+INDEX($W$8:$W$407,$AA591),"",IF(584=INDEX($X$8:$X$407,$AA591)+INDEX($V$8:$V$407,$AA591)+INDEX($W$8:$W$407,$AA591),"D",IF(AND(INDEX($W$8:$W$407,$AA591)=1,584=INDEX($X$8:$X$407,$AA591)+INDEX($V$8:$V$407,$AA591)),"S","R"))))))</f>
        <v/>
      </c>
      <c r="AC591">
        <f>IF(OR($AB591="",$AB591="G"),"",IF($AB591="D",INDEX($U$8:$U$407,$AA591),IF($AB591="S",INDEX($T$8:$T$407,$AA591)&amp;"|*",INDEX($S$8:$S$407,$AA591)&amp;"|*")))</f>
        <v/>
      </c>
    </row>
    <row r="592" ht="21" customHeight="1" s="66">
      <c r="A592" s="3">
        <f>IF($AB592="G","ผลรวมทั้งหมด",IF($AB592="R",INDEX($S$8:$S$407,$AA592),""))</f>
        <v/>
      </c>
      <c r="B592" s="3">
        <f>IF($AB592="S",INDEX($Y$8:$Y$407,$AA592),"")</f>
        <v/>
      </c>
      <c r="C592" s="68">
        <f>IF($AB592="D",INDEX($Z$8:$Z$407,$AA592),"")</f>
        <v/>
      </c>
      <c r="D592" s="31">
        <f>IF($AB592="G",SUM($AE$8:$AE$407),IF(OR($AB592="",$AB592="R"),"",IF($AB592="D",INDEX($AE$8:$AE$407,$AA592),SUMIF($T$8:$T$407,INDEX($T$8:$T$407,$AA592),$AE$8:$AE$407))))</f>
        <v/>
      </c>
      <c r="E592" s="32">
        <f>IF(585=$AD$1+3,"ขอแสดงความนับถือ",IF(585=$AD$1+6,"(                 )",IF(585=$AD$1+7,"เจ้าหน้าที่ขนส่ง",IF($AB592="G",SUM($AF$8:$AF$407),IF(OR($AB592="",$AB592="R"),"",IF($AB592="D",INDEX($AF$8:$AF$407,$AA592),SUMIF($T$8:$T$407,INDEX($T$8:$T$407,$AA592),$AF$8:$AF$407)))))))</f>
        <v/>
      </c>
      <c r="F592" s="32">
        <f>IF($AB592="G",SUM($AG$8:$AG$407),IF(OR($AB592="",$AB592="R"),"",IF($AB592="D",INDEX($AG$8:$AG$407,$AA592),SUMIF($T$8:$T$407,INDEX($T$8:$T$407,$AA592),$AG$8:$AG$407))))</f>
        <v/>
      </c>
      <c r="G592" s="32">
        <f>IF(OR($AB592="",$AB592="R"),"",ROUND($E592-$F592,2))</f>
        <v/>
      </c>
      <c r="H592" s="32">
        <f>IF($AB592="G",SUM($AH$8:$AH$407),IF(OR($AB592="",$AB592="R"),"",IF($AB592="D",INDEX($AH$8:$AH$407,$AA592),SUMIF($T$8:$T$407,INDEX($T$8:$T$407,$AA592),$AH$8:$AH$407))))</f>
        <v/>
      </c>
      <c r="AA592">
        <f>IFERROR(MATCH(585,$X$8:$X$407,1),"")</f>
        <v/>
      </c>
      <c r="AB592">
        <f>IF(585=$AD$1+1,"G",IF($AA592="","",IF(INDEX($Q$8:$Q$407,$AA592)="","",IF(585&gt;INDEX($X$8:$X$407,$AA592)+INDEX($V$8:$V$407,$AA592)+INDEX($W$8:$W$407,$AA592),"",IF(585=INDEX($X$8:$X$407,$AA592)+INDEX($V$8:$V$407,$AA592)+INDEX($W$8:$W$407,$AA592),"D",IF(AND(INDEX($W$8:$W$407,$AA592)=1,585=INDEX($X$8:$X$407,$AA592)+INDEX($V$8:$V$407,$AA592)),"S","R"))))))</f>
        <v/>
      </c>
      <c r="AC592">
        <f>IF(OR($AB592="",$AB592="G"),"",IF($AB592="D",INDEX($U$8:$U$407,$AA592),IF($AB592="S",INDEX($T$8:$T$407,$AA592)&amp;"|*",INDEX($S$8:$S$407,$AA592)&amp;"|*")))</f>
        <v/>
      </c>
    </row>
    <row r="593" ht="21" customHeight="1" s="66">
      <c r="A593" s="3">
        <f>IF($AB593="G","ผลรวมทั้งหมด",IF($AB593="R",INDEX($S$8:$S$407,$AA593),""))</f>
        <v/>
      </c>
      <c r="B593" s="3">
        <f>IF($AB593="S",INDEX($Y$8:$Y$407,$AA593),"")</f>
        <v/>
      </c>
      <c r="C593" s="68">
        <f>IF($AB593="D",INDEX($Z$8:$Z$407,$AA593),"")</f>
        <v/>
      </c>
      <c r="D593" s="31">
        <f>IF($AB593="G",SUM($AE$8:$AE$407),IF(OR($AB593="",$AB593="R"),"",IF($AB593="D",INDEX($AE$8:$AE$407,$AA593),SUMIF($T$8:$T$407,INDEX($T$8:$T$407,$AA593),$AE$8:$AE$407))))</f>
        <v/>
      </c>
      <c r="E593" s="32">
        <f>IF(586=$AD$1+3,"ขอแสดงความนับถือ",IF(586=$AD$1+6,"(                 )",IF(586=$AD$1+7,"เจ้าหน้าที่ขนส่ง",IF($AB593="G",SUM($AF$8:$AF$407),IF(OR($AB593="",$AB593="R"),"",IF($AB593="D",INDEX($AF$8:$AF$407,$AA593),SUMIF($T$8:$T$407,INDEX($T$8:$T$407,$AA593),$AF$8:$AF$407)))))))</f>
        <v/>
      </c>
      <c r="F593" s="32">
        <f>IF($AB593="G",SUM($AG$8:$AG$407),IF(OR($AB593="",$AB593="R"),"",IF($AB593="D",INDEX($AG$8:$AG$407,$AA593),SUMIF($T$8:$T$407,INDEX($T$8:$T$407,$AA593),$AG$8:$AG$407))))</f>
        <v/>
      </c>
      <c r="G593" s="32">
        <f>IF(OR($AB593="",$AB593="R"),"",ROUND($E593-$F593,2))</f>
        <v/>
      </c>
      <c r="H593" s="32">
        <f>IF($AB593="G",SUM($AH$8:$AH$407),IF(OR($AB593="",$AB593="R"),"",IF($AB593="D",INDEX($AH$8:$AH$407,$AA593),SUMIF($T$8:$T$407,INDEX($T$8:$T$407,$AA593),$AH$8:$AH$407))))</f>
        <v/>
      </c>
      <c r="AA593">
        <f>IFERROR(MATCH(586,$X$8:$X$407,1),"")</f>
        <v/>
      </c>
      <c r="AB593">
        <f>IF(586=$AD$1+1,"G",IF($AA593="","",IF(INDEX($Q$8:$Q$407,$AA593)="","",IF(586&gt;INDEX($X$8:$X$407,$AA593)+INDEX($V$8:$V$407,$AA593)+INDEX($W$8:$W$407,$AA593),"",IF(586=INDEX($X$8:$X$407,$AA593)+INDEX($V$8:$V$407,$AA593)+INDEX($W$8:$W$407,$AA593),"D",IF(AND(INDEX($W$8:$W$407,$AA593)=1,586=INDEX($X$8:$X$407,$AA593)+INDEX($V$8:$V$407,$AA593)),"S","R"))))))</f>
        <v/>
      </c>
      <c r="AC593">
        <f>IF(OR($AB593="",$AB593="G"),"",IF($AB593="D",INDEX($U$8:$U$407,$AA593),IF($AB593="S",INDEX($T$8:$T$407,$AA593)&amp;"|*",INDEX($S$8:$S$407,$AA593)&amp;"|*")))</f>
        <v/>
      </c>
    </row>
    <row r="594" ht="21" customHeight="1" s="66">
      <c r="A594" s="3">
        <f>IF($AB594="G","ผลรวมทั้งหมด",IF($AB594="R",INDEX($S$8:$S$407,$AA594),""))</f>
        <v/>
      </c>
      <c r="B594" s="3">
        <f>IF($AB594="S",INDEX($Y$8:$Y$407,$AA594),"")</f>
        <v/>
      </c>
      <c r="C594" s="68">
        <f>IF($AB594="D",INDEX($Z$8:$Z$407,$AA594),"")</f>
        <v/>
      </c>
      <c r="D594" s="31">
        <f>IF($AB594="G",SUM($AE$8:$AE$407),IF(OR($AB594="",$AB594="R"),"",IF($AB594="D",INDEX($AE$8:$AE$407,$AA594),SUMIF($T$8:$T$407,INDEX($T$8:$T$407,$AA594),$AE$8:$AE$407))))</f>
        <v/>
      </c>
      <c r="E594" s="32">
        <f>IF(587=$AD$1+3,"ขอแสดงความนับถือ",IF(587=$AD$1+6,"(                 )",IF(587=$AD$1+7,"เจ้าหน้าที่ขนส่ง",IF($AB594="G",SUM($AF$8:$AF$407),IF(OR($AB594="",$AB594="R"),"",IF($AB594="D",INDEX($AF$8:$AF$407,$AA594),SUMIF($T$8:$T$407,INDEX($T$8:$T$407,$AA594),$AF$8:$AF$407)))))))</f>
        <v/>
      </c>
      <c r="F594" s="32">
        <f>IF($AB594="G",SUM($AG$8:$AG$407),IF(OR($AB594="",$AB594="R"),"",IF($AB594="D",INDEX($AG$8:$AG$407,$AA594),SUMIF($T$8:$T$407,INDEX($T$8:$T$407,$AA594),$AG$8:$AG$407))))</f>
        <v/>
      </c>
      <c r="G594" s="32">
        <f>IF(OR($AB594="",$AB594="R"),"",ROUND($E594-$F594,2))</f>
        <v/>
      </c>
      <c r="H594" s="32">
        <f>IF($AB594="G",SUM($AH$8:$AH$407),IF(OR($AB594="",$AB594="R"),"",IF($AB594="D",INDEX($AH$8:$AH$407,$AA594),SUMIF($T$8:$T$407,INDEX($T$8:$T$407,$AA594),$AH$8:$AH$407))))</f>
        <v/>
      </c>
      <c r="AA594">
        <f>IFERROR(MATCH(587,$X$8:$X$407,1),"")</f>
        <v/>
      </c>
      <c r="AB594">
        <f>IF(587=$AD$1+1,"G",IF($AA594="","",IF(INDEX($Q$8:$Q$407,$AA594)="","",IF(587&gt;INDEX($X$8:$X$407,$AA594)+INDEX($V$8:$V$407,$AA594)+INDEX($W$8:$W$407,$AA594),"",IF(587=INDEX($X$8:$X$407,$AA594)+INDEX($V$8:$V$407,$AA594)+INDEX($W$8:$W$407,$AA594),"D",IF(AND(INDEX($W$8:$W$407,$AA594)=1,587=INDEX($X$8:$X$407,$AA594)+INDEX($V$8:$V$407,$AA594)),"S","R"))))))</f>
        <v/>
      </c>
      <c r="AC594">
        <f>IF(OR($AB594="",$AB594="G"),"",IF($AB594="D",INDEX($U$8:$U$407,$AA594),IF($AB594="S",INDEX($T$8:$T$407,$AA594)&amp;"|*",INDEX($S$8:$S$407,$AA594)&amp;"|*")))</f>
        <v/>
      </c>
    </row>
    <row r="595" ht="21" customHeight="1" s="66">
      <c r="A595" s="3">
        <f>IF($AB595="G","ผลรวมทั้งหมด",IF($AB595="R",INDEX($S$8:$S$407,$AA595),""))</f>
        <v/>
      </c>
      <c r="B595" s="3">
        <f>IF($AB595="S",INDEX($Y$8:$Y$407,$AA595),"")</f>
        <v/>
      </c>
      <c r="C595" s="68">
        <f>IF($AB595="D",INDEX($Z$8:$Z$407,$AA595),"")</f>
        <v/>
      </c>
      <c r="D595" s="31">
        <f>IF($AB595="G",SUM($AE$8:$AE$407),IF(OR($AB595="",$AB595="R"),"",IF($AB595="D",INDEX($AE$8:$AE$407,$AA595),SUMIF($T$8:$T$407,INDEX($T$8:$T$407,$AA595),$AE$8:$AE$407))))</f>
        <v/>
      </c>
      <c r="E595" s="32">
        <f>IF(588=$AD$1+3,"ขอแสดงความนับถือ",IF(588=$AD$1+6,"(                 )",IF(588=$AD$1+7,"เจ้าหน้าที่ขนส่ง",IF($AB595="G",SUM($AF$8:$AF$407),IF(OR($AB595="",$AB595="R"),"",IF($AB595="D",INDEX($AF$8:$AF$407,$AA595),SUMIF($T$8:$T$407,INDEX($T$8:$T$407,$AA595),$AF$8:$AF$407)))))))</f>
        <v/>
      </c>
      <c r="F595" s="32">
        <f>IF($AB595="G",SUM($AG$8:$AG$407),IF(OR($AB595="",$AB595="R"),"",IF($AB595="D",INDEX($AG$8:$AG$407,$AA595),SUMIF($T$8:$T$407,INDEX($T$8:$T$407,$AA595),$AG$8:$AG$407))))</f>
        <v/>
      </c>
      <c r="G595" s="32">
        <f>IF(OR($AB595="",$AB595="R"),"",ROUND($E595-$F595,2))</f>
        <v/>
      </c>
      <c r="H595" s="32">
        <f>IF($AB595="G",SUM($AH$8:$AH$407),IF(OR($AB595="",$AB595="R"),"",IF($AB595="D",INDEX($AH$8:$AH$407,$AA595),SUMIF($T$8:$T$407,INDEX($T$8:$T$407,$AA595),$AH$8:$AH$407))))</f>
        <v/>
      </c>
      <c r="AA595">
        <f>IFERROR(MATCH(588,$X$8:$X$407,1),"")</f>
        <v/>
      </c>
      <c r="AB595">
        <f>IF(588=$AD$1+1,"G",IF($AA595="","",IF(INDEX($Q$8:$Q$407,$AA595)="","",IF(588&gt;INDEX($X$8:$X$407,$AA595)+INDEX($V$8:$V$407,$AA595)+INDEX($W$8:$W$407,$AA595),"",IF(588=INDEX($X$8:$X$407,$AA595)+INDEX($V$8:$V$407,$AA595)+INDEX($W$8:$W$407,$AA595),"D",IF(AND(INDEX($W$8:$W$407,$AA595)=1,588=INDEX($X$8:$X$407,$AA595)+INDEX($V$8:$V$407,$AA595)),"S","R"))))))</f>
        <v/>
      </c>
      <c r="AC595">
        <f>IF(OR($AB595="",$AB595="G"),"",IF($AB595="D",INDEX($U$8:$U$407,$AA595),IF($AB595="S",INDEX($T$8:$T$407,$AA595)&amp;"|*",INDEX($S$8:$S$407,$AA595)&amp;"|*")))</f>
        <v/>
      </c>
    </row>
    <row r="596" ht="21" customHeight="1" s="66">
      <c r="A596" s="3">
        <f>IF($AB596="G","ผลรวมทั้งหมด",IF($AB596="R",INDEX($S$8:$S$407,$AA596),""))</f>
        <v/>
      </c>
      <c r="B596" s="3">
        <f>IF($AB596="S",INDEX($Y$8:$Y$407,$AA596),"")</f>
        <v/>
      </c>
      <c r="C596" s="68">
        <f>IF($AB596="D",INDEX($Z$8:$Z$407,$AA596),"")</f>
        <v/>
      </c>
      <c r="D596" s="31">
        <f>IF($AB596="G",SUM($AE$8:$AE$407),IF(OR($AB596="",$AB596="R"),"",IF($AB596="D",INDEX($AE$8:$AE$407,$AA596),SUMIF($T$8:$T$407,INDEX($T$8:$T$407,$AA596),$AE$8:$AE$407))))</f>
        <v/>
      </c>
      <c r="E596" s="32">
        <f>IF(589=$AD$1+3,"ขอแสดงความนับถือ",IF(589=$AD$1+6,"(                 )",IF(589=$AD$1+7,"เจ้าหน้าที่ขนส่ง",IF($AB596="G",SUM($AF$8:$AF$407),IF(OR($AB596="",$AB596="R"),"",IF($AB596="D",INDEX($AF$8:$AF$407,$AA596),SUMIF($T$8:$T$407,INDEX($T$8:$T$407,$AA596),$AF$8:$AF$407)))))))</f>
        <v/>
      </c>
      <c r="F596" s="32">
        <f>IF($AB596="G",SUM($AG$8:$AG$407),IF(OR($AB596="",$AB596="R"),"",IF($AB596="D",INDEX($AG$8:$AG$407,$AA596),SUMIF($T$8:$T$407,INDEX($T$8:$T$407,$AA596),$AG$8:$AG$407))))</f>
        <v/>
      </c>
      <c r="G596" s="32">
        <f>IF(OR($AB596="",$AB596="R"),"",ROUND($E596-$F596,2))</f>
        <v/>
      </c>
      <c r="H596" s="32">
        <f>IF($AB596="G",SUM($AH$8:$AH$407),IF(OR($AB596="",$AB596="R"),"",IF($AB596="D",INDEX($AH$8:$AH$407,$AA596),SUMIF($T$8:$T$407,INDEX($T$8:$T$407,$AA596),$AH$8:$AH$407))))</f>
        <v/>
      </c>
      <c r="AA596">
        <f>IFERROR(MATCH(589,$X$8:$X$407,1),"")</f>
        <v/>
      </c>
      <c r="AB596">
        <f>IF(589=$AD$1+1,"G",IF($AA596="","",IF(INDEX($Q$8:$Q$407,$AA596)="","",IF(589&gt;INDEX($X$8:$X$407,$AA596)+INDEX($V$8:$V$407,$AA596)+INDEX($W$8:$W$407,$AA596),"",IF(589=INDEX($X$8:$X$407,$AA596)+INDEX($V$8:$V$407,$AA596)+INDEX($W$8:$W$407,$AA596),"D",IF(AND(INDEX($W$8:$W$407,$AA596)=1,589=INDEX($X$8:$X$407,$AA596)+INDEX($V$8:$V$407,$AA596)),"S","R"))))))</f>
        <v/>
      </c>
      <c r="AC596">
        <f>IF(OR($AB596="",$AB596="G"),"",IF($AB596="D",INDEX($U$8:$U$407,$AA596),IF($AB596="S",INDEX($T$8:$T$407,$AA596)&amp;"|*",INDEX($S$8:$S$407,$AA596)&amp;"|*")))</f>
        <v/>
      </c>
    </row>
    <row r="597" ht="21" customHeight="1" s="66">
      <c r="A597" s="3">
        <f>IF($AB597="G","ผลรวมทั้งหมด",IF($AB597="R",INDEX($S$8:$S$407,$AA597),""))</f>
        <v/>
      </c>
      <c r="B597" s="3">
        <f>IF($AB597="S",INDEX($Y$8:$Y$407,$AA597),"")</f>
        <v/>
      </c>
      <c r="C597" s="68">
        <f>IF($AB597="D",INDEX($Z$8:$Z$407,$AA597),"")</f>
        <v/>
      </c>
      <c r="D597" s="31">
        <f>IF($AB597="G",SUM($AE$8:$AE$407),IF(OR($AB597="",$AB597="R"),"",IF($AB597="D",INDEX($AE$8:$AE$407,$AA597),SUMIF($T$8:$T$407,INDEX($T$8:$T$407,$AA597),$AE$8:$AE$407))))</f>
        <v/>
      </c>
      <c r="E597" s="32">
        <f>IF(590=$AD$1+3,"ขอแสดงความนับถือ",IF(590=$AD$1+6,"(                 )",IF(590=$AD$1+7,"เจ้าหน้าที่ขนส่ง",IF($AB597="G",SUM($AF$8:$AF$407),IF(OR($AB597="",$AB597="R"),"",IF($AB597="D",INDEX($AF$8:$AF$407,$AA597),SUMIF($T$8:$T$407,INDEX($T$8:$T$407,$AA597),$AF$8:$AF$407)))))))</f>
        <v/>
      </c>
      <c r="F597" s="32">
        <f>IF($AB597="G",SUM($AG$8:$AG$407),IF(OR($AB597="",$AB597="R"),"",IF($AB597="D",INDEX($AG$8:$AG$407,$AA597),SUMIF($T$8:$T$407,INDEX($T$8:$T$407,$AA597),$AG$8:$AG$407))))</f>
        <v/>
      </c>
      <c r="G597" s="32">
        <f>IF(OR($AB597="",$AB597="R"),"",ROUND($E597-$F597,2))</f>
        <v/>
      </c>
      <c r="H597" s="32">
        <f>IF($AB597="G",SUM($AH$8:$AH$407),IF(OR($AB597="",$AB597="R"),"",IF($AB597="D",INDEX($AH$8:$AH$407,$AA597),SUMIF($T$8:$T$407,INDEX($T$8:$T$407,$AA597),$AH$8:$AH$407))))</f>
        <v/>
      </c>
      <c r="AA597">
        <f>IFERROR(MATCH(590,$X$8:$X$407,1),"")</f>
        <v/>
      </c>
      <c r="AB597">
        <f>IF(590=$AD$1+1,"G",IF($AA597="","",IF(INDEX($Q$8:$Q$407,$AA597)="","",IF(590&gt;INDEX($X$8:$X$407,$AA597)+INDEX($V$8:$V$407,$AA597)+INDEX($W$8:$W$407,$AA597),"",IF(590=INDEX($X$8:$X$407,$AA597)+INDEX($V$8:$V$407,$AA597)+INDEX($W$8:$W$407,$AA597),"D",IF(AND(INDEX($W$8:$W$407,$AA597)=1,590=INDEX($X$8:$X$407,$AA597)+INDEX($V$8:$V$407,$AA597)),"S","R"))))))</f>
        <v/>
      </c>
      <c r="AC597">
        <f>IF(OR($AB597="",$AB597="G"),"",IF($AB597="D",INDEX($U$8:$U$407,$AA597),IF($AB597="S",INDEX($T$8:$T$407,$AA597)&amp;"|*",INDEX($S$8:$S$407,$AA597)&amp;"|*")))</f>
        <v/>
      </c>
    </row>
    <row r="598" ht="21" customHeight="1" s="66">
      <c r="A598" s="3">
        <f>IF($AB598="G","ผลรวมทั้งหมด",IF($AB598="R",INDEX($S$8:$S$407,$AA598),""))</f>
        <v/>
      </c>
      <c r="B598" s="3">
        <f>IF($AB598="S",INDEX($Y$8:$Y$407,$AA598),"")</f>
        <v/>
      </c>
      <c r="C598" s="68">
        <f>IF($AB598="D",INDEX($Z$8:$Z$407,$AA598),"")</f>
        <v/>
      </c>
      <c r="D598" s="31">
        <f>IF($AB598="G",SUM($AE$8:$AE$407),IF(OR($AB598="",$AB598="R"),"",IF($AB598="D",INDEX($AE$8:$AE$407,$AA598),SUMIF($T$8:$T$407,INDEX($T$8:$T$407,$AA598),$AE$8:$AE$407))))</f>
        <v/>
      </c>
      <c r="E598" s="32">
        <f>IF(591=$AD$1+3,"ขอแสดงความนับถือ",IF(591=$AD$1+6,"(                 )",IF(591=$AD$1+7,"เจ้าหน้าที่ขนส่ง",IF($AB598="G",SUM($AF$8:$AF$407),IF(OR($AB598="",$AB598="R"),"",IF($AB598="D",INDEX($AF$8:$AF$407,$AA598),SUMIF($T$8:$T$407,INDEX($T$8:$T$407,$AA598),$AF$8:$AF$407)))))))</f>
        <v/>
      </c>
      <c r="F598" s="32">
        <f>IF($AB598="G",SUM($AG$8:$AG$407),IF(OR($AB598="",$AB598="R"),"",IF($AB598="D",INDEX($AG$8:$AG$407,$AA598),SUMIF($T$8:$T$407,INDEX($T$8:$T$407,$AA598),$AG$8:$AG$407))))</f>
        <v/>
      </c>
      <c r="G598" s="32">
        <f>IF(OR($AB598="",$AB598="R"),"",ROUND($E598-$F598,2))</f>
        <v/>
      </c>
      <c r="H598" s="32">
        <f>IF($AB598="G",SUM($AH$8:$AH$407),IF(OR($AB598="",$AB598="R"),"",IF($AB598="D",INDEX($AH$8:$AH$407,$AA598),SUMIF($T$8:$T$407,INDEX($T$8:$T$407,$AA598),$AH$8:$AH$407))))</f>
        <v/>
      </c>
      <c r="AA598">
        <f>IFERROR(MATCH(591,$X$8:$X$407,1),"")</f>
        <v/>
      </c>
      <c r="AB598">
        <f>IF(591=$AD$1+1,"G",IF($AA598="","",IF(INDEX($Q$8:$Q$407,$AA598)="","",IF(591&gt;INDEX($X$8:$X$407,$AA598)+INDEX($V$8:$V$407,$AA598)+INDEX($W$8:$W$407,$AA598),"",IF(591=INDEX($X$8:$X$407,$AA598)+INDEX($V$8:$V$407,$AA598)+INDEX($W$8:$W$407,$AA598),"D",IF(AND(INDEX($W$8:$W$407,$AA598)=1,591=INDEX($X$8:$X$407,$AA598)+INDEX($V$8:$V$407,$AA598)),"S","R"))))))</f>
        <v/>
      </c>
      <c r="AC598">
        <f>IF(OR($AB598="",$AB598="G"),"",IF($AB598="D",INDEX($U$8:$U$407,$AA598),IF($AB598="S",INDEX($T$8:$T$407,$AA598)&amp;"|*",INDEX($S$8:$S$407,$AA598)&amp;"|*")))</f>
        <v/>
      </c>
    </row>
    <row r="599" ht="21" customHeight="1" s="66">
      <c r="A599" s="3">
        <f>IF($AB599="G","ผลรวมทั้งหมด",IF($AB599="R",INDEX($S$8:$S$407,$AA599),""))</f>
        <v/>
      </c>
      <c r="B599" s="3">
        <f>IF($AB599="S",INDEX($Y$8:$Y$407,$AA599),"")</f>
        <v/>
      </c>
      <c r="C599" s="68">
        <f>IF($AB599="D",INDEX($Z$8:$Z$407,$AA599),"")</f>
        <v/>
      </c>
      <c r="D599" s="31">
        <f>IF($AB599="G",SUM($AE$8:$AE$407),IF(OR($AB599="",$AB599="R"),"",IF($AB599="D",INDEX($AE$8:$AE$407,$AA599),SUMIF($T$8:$T$407,INDEX($T$8:$T$407,$AA599),$AE$8:$AE$407))))</f>
        <v/>
      </c>
      <c r="E599" s="32">
        <f>IF(592=$AD$1+3,"ขอแสดงความนับถือ",IF(592=$AD$1+6,"(                 )",IF(592=$AD$1+7,"เจ้าหน้าที่ขนส่ง",IF($AB599="G",SUM($AF$8:$AF$407),IF(OR($AB599="",$AB599="R"),"",IF($AB599="D",INDEX($AF$8:$AF$407,$AA599),SUMIF($T$8:$T$407,INDEX($T$8:$T$407,$AA599),$AF$8:$AF$407)))))))</f>
        <v/>
      </c>
      <c r="F599" s="32">
        <f>IF($AB599="G",SUM($AG$8:$AG$407),IF(OR($AB599="",$AB599="R"),"",IF($AB599="D",INDEX($AG$8:$AG$407,$AA599),SUMIF($T$8:$T$407,INDEX($T$8:$T$407,$AA599),$AG$8:$AG$407))))</f>
        <v/>
      </c>
      <c r="G599" s="32">
        <f>IF(OR($AB599="",$AB599="R"),"",ROUND($E599-$F599,2))</f>
        <v/>
      </c>
      <c r="H599" s="32">
        <f>IF($AB599="G",SUM($AH$8:$AH$407),IF(OR($AB599="",$AB599="R"),"",IF($AB599="D",INDEX($AH$8:$AH$407,$AA599),SUMIF($T$8:$T$407,INDEX($T$8:$T$407,$AA599),$AH$8:$AH$407))))</f>
        <v/>
      </c>
      <c r="AA599">
        <f>IFERROR(MATCH(592,$X$8:$X$407,1),"")</f>
        <v/>
      </c>
      <c r="AB599">
        <f>IF(592=$AD$1+1,"G",IF($AA599="","",IF(INDEX($Q$8:$Q$407,$AA599)="","",IF(592&gt;INDEX($X$8:$X$407,$AA599)+INDEX($V$8:$V$407,$AA599)+INDEX($W$8:$W$407,$AA599),"",IF(592=INDEX($X$8:$X$407,$AA599)+INDEX($V$8:$V$407,$AA599)+INDEX($W$8:$W$407,$AA599),"D",IF(AND(INDEX($W$8:$W$407,$AA599)=1,592=INDEX($X$8:$X$407,$AA599)+INDEX($V$8:$V$407,$AA599)),"S","R"))))))</f>
        <v/>
      </c>
      <c r="AC599">
        <f>IF(OR($AB599="",$AB599="G"),"",IF($AB599="D",INDEX($U$8:$U$407,$AA599),IF($AB599="S",INDEX($T$8:$T$407,$AA599)&amp;"|*",INDEX($S$8:$S$407,$AA599)&amp;"|*")))</f>
        <v/>
      </c>
    </row>
    <row r="600" ht="21" customHeight="1" s="66">
      <c r="A600" s="3">
        <f>IF($AB600="G","ผลรวมทั้งหมด",IF($AB600="R",INDEX($S$8:$S$407,$AA600),""))</f>
        <v/>
      </c>
      <c r="B600" s="3">
        <f>IF($AB600="S",INDEX($Y$8:$Y$407,$AA600),"")</f>
        <v/>
      </c>
      <c r="C600" s="68">
        <f>IF($AB600="D",INDEX($Z$8:$Z$407,$AA600),"")</f>
        <v/>
      </c>
      <c r="D600" s="31">
        <f>IF($AB600="G",SUM($AE$8:$AE$407),IF(OR($AB600="",$AB600="R"),"",IF($AB600="D",INDEX($AE$8:$AE$407,$AA600),SUMIF($T$8:$T$407,INDEX($T$8:$T$407,$AA600),$AE$8:$AE$407))))</f>
        <v/>
      </c>
      <c r="E600" s="32">
        <f>IF(593=$AD$1+3,"ขอแสดงความนับถือ",IF(593=$AD$1+6,"(                 )",IF(593=$AD$1+7,"เจ้าหน้าที่ขนส่ง",IF($AB600="G",SUM($AF$8:$AF$407),IF(OR($AB600="",$AB600="R"),"",IF($AB600="D",INDEX($AF$8:$AF$407,$AA600),SUMIF($T$8:$T$407,INDEX($T$8:$T$407,$AA600),$AF$8:$AF$407)))))))</f>
        <v/>
      </c>
      <c r="F600" s="32">
        <f>IF($AB600="G",SUM($AG$8:$AG$407),IF(OR($AB600="",$AB600="R"),"",IF($AB600="D",INDEX($AG$8:$AG$407,$AA600),SUMIF($T$8:$T$407,INDEX($T$8:$T$407,$AA600),$AG$8:$AG$407))))</f>
        <v/>
      </c>
      <c r="G600" s="32">
        <f>IF(OR($AB600="",$AB600="R"),"",ROUND($E600-$F600,2))</f>
        <v/>
      </c>
      <c r="H600" s="32">
        <f>IF($AB600="G",SUM($AH$8:$AH$407),IF(OR($AB600="",$AB600="R"),"",IF($AB600="D",INDEX($AH$8:$AH$407,$AA600),SUMIF($T$8:$T$407,INDEX($T$8:$T$407,$AA600),$AH$8:$AH$407))))</f>
        <v/>
      </c>
      <c r="AA600">
        <f>IFERROR(MATCH(593,$X$8:$X$407,1),"")</f>
        <v/>
      </c>
      <c r="AB600">
        <f>IF(593=$AD$1+1,"G",IF($AA600="","",IF(INDEX($Q$8:$Q$407,$AA600)="","",IF(593&gt;INDEX($X$8:$X$407,$AA600)+INDEX($V$8:$V$407,$AA600)+INDEX($W$8:$W$407,$AA600),"",IF(593=INDEX($X$8:$X$407,$AA600)+INDEX($V$8:$V$407,$AA600)+INDEX($W$8:$W$407,$AA600),"D",IF(AND(INDEX($W$8:$W$407,$AA600)=1,593=INDEX($X$8:$X$407,$AA600)+INDEX($V$8:$V$407,$AA600)),"S","R"))))))</f>
        <v/>
      </c>
      <c r="AC600">
        <f>IF(OR($AB600="",$AB600="G"),"",IF($AB600="D",INDEX($U$8:$U$407,$AA600),IF($AB600="S",INDEX($T$8:$T$407,$AA600)&amp;"|*",INDEX($S$8:$S$407,$AA600)&amp;"|*")))</f>
        <v/>
      </c>
    </row>
    <row r="601" ht="21" customHeight="1" s="66">
      <c r="A601" s="3">
        <f>IF($AB601="G","ผลรวมทั้งหมด",IF($AB601="R",INDEX($S$8:$S$407,$AA601),""))</f>
        <v/>
      </c>
      <c r="B601" s="3">
        <f>IF($AB601="S",INDEX($Y$8:$Y$407,$AA601),"")</f>
        <v/>
      </c>
      <c r="C601" s="68">
        <f>IF($AB601="D",INDEX($Z$8:$Z$407,$AA601),"")</f>
        <v/>
      </c>
      <c r="D601" s="31">
        <f>IF($AB601="G",SUM($AE$8:$AE$407),IF(OR($AB601="",$AB601="R"),"",IF($AB601="D",INDEX($AE$8:$AE$407,$AA601),SUMIF($T$8:$T$407,INDEX($T$8:$T$407,$AA601),$AE$8:$AE$407))))</f>
        <v/>
      </c>
      <c r="E601" s="32">
        <f>IF(594=$AD$1+3,"ขอแสดงความนับถือ",IF(594=$AD$1+6,"(                 )",IF(594=$AD$1+7,"เจ้าหน้าที่ขนส่ง",IF($AB601="G",SUM($AF$8:$AF$407),IF(OR($AB601="",$AB601="R"),"",IF($AB601="D",INDEX($AF$8:$AF$407,$AA601),SUMIF($T$8:$T$407,INDEX($T$8:$T$407,$AA601),$AF$8:$AF$407)))))))</f>
        <v/>
      </c>
      <c r="F601" s="32">
        <f>IF($AB601="G",SUM($AG$8:$AG$407),IF(OR($AB601="",$AB601="R"),"",IF($AB601="D",INDEX($AG$8:$AG$407,$AA601),SUMIF($T$8:$T$407,INDEX($T$8:$T$407,$AA601),$AG$8:$AG$407))))</f>
        <v/>
      </c>
      <c r="G601" s="32">
        <f>IF(OR($AB601="",$AB601="R"),"",ROUND($E601-$F601,2))</f>
        <v/>
      </c>
      <c r="H601" s="32">
        <f>IF($AB601="G",SUM($AH$8:$AH$407),IF(OR($AB601="",$AB601="R"),"",IF($AB601="D",INDEX($AH$8:$AH$407,$AA601),SUMIF($T$8:$T$407,INDEX($T$8:$T$407,$AA601),$AH$8:$AH$407))))</f>
        <v/>
      </c>
      <c r="AA601">
        <f>IFERROR(MATCH(594,$X$8:$X$407,1),"")</f>
        <v/>
      </c>
      <c r="AB601">
        <f>IF(594=$AD$1+1,"G",IF($AA601="","",IF(INDEX($Q$8:$Q$407,$AA601)="","",IF(594&gt;INDEX($X$8:$X$407,$AA601)+INDEX($V$8:$V$407,$AA601)+INDEX($W$8:$W$407,$AA601),"",IF(594=INDEX($X$8:$X$407,$AA601)+INDEX($V$8:$V$407,$AA601)+INDEX($W$8:$W$407,$AA601),"D",IF(AND(INDEX($W$8:$W$407,$AA601)=1,594=INDEX($X$8:$X$407,$AA601)+INDEX($V$8:$V$407,$AA601)),"S","R"))))))</f>
        <v/>
      </c>
      <c r="AC601">
        <f>IF(OR($AB601="",$AB601="G"),"",IF($AB601="D",INDEX($U$8:$U$407,$AA601),IF($AB601="S",INDEX($T$8:$T$407,$AA601)&amp;"|*",INDEX($S$8:$S$407,$AA601)&amp;"|*")))</f>
        <v/>
      </c>
    </row>
    <row r="602" ht="21" customHeight="1" s="66">
      <c r="A602" s="3">
        <f>IF($AB602="G","ผลรวมทั้งหมด",IF($AB602="R",INDEX($S$8:$S$407,$AA602),""))</f>
        <v/>
      </c>
      <c r="B602" s="3">
        <f>IF($AB602="S",INDEX($Y$8:$Y$407,$AA602),"")</f>
        <v/>
      </c>
      <c r="C602" s="68">
        <f>IF($AB602="D",INDEX($Z$8:$Z$407,$AA602),"")</f>
        <v/>
      </c>
      <c r="D602" s="31">
        <f>IF($AB602="G",SUM($AE$8:$AE$407),IF(OR($AB602="",$AB602="R"),"",IF($AB602="D",INDEX($AE$8:$AE$407,$AA602),SUMIF($T$8:$T$407,INDEX($T$8:$T$407,$AA602),$AE$8:$AE$407))))</f>
        <v/>
      </c>
      <c r="E602" s="32">
        <f>IF(595=$AD$1+3,"ขอแสดงความนับถือ",IF(595=$AD$1+6,"(                 )",IF(595=$AD$1+7,"เจ้าหน้าที่ขนส่ง",IF($AB602="G",SUM($AF$8:$AF$407),IF(OR($AB602="",$AB602="R"),"",IF($AB602="D",INDEX($AF$8:$AF$407,$AA602),SUMIF($T$8:$T$407,INDEX($T$8:$T$407,$AA602),$AF$8:$AF$407)))))))</f>
        <v/>
      </c>
      <c r="F602" s="32">
        <f>IF($AB602="G",SUM($AG$8:$AG$407),IF(OR($AB602="",$AB602="R"),"",IF($AB602="D",INDEX($AG$8:$AG$407,$AA602),SUMIF($T$8:$T$407,INDEX($T$8:$T$407,$AA602),$AG$8:$AG$407))))</f>
        <v/>
      </c>
      <c r="G602" s="32">
        <f>IF(OR($AB602="",$AB602="R"),"",ROUND($E602-$F602,2))</f>
        <v/>
      </c>
      <c r="H602" s="32">
        <f>IF($AB602="G",SUM($AH$8:$AH$407),IF(OR($AB602="",$AB602="R"),"",IF($AB602="D",INDEX($AH$8:$AH$407,$AA602),SUMIF($T$8:$T$407,INDEX($T$8:$T$407,$AA602),$AH$8:$AH$407))))</f>
        <v/>
      </c>
      <c r="AA602">
        <f>IFERROR(MATCH(595,$X$8:$X$407,1),"")</f>
        <v/>
      </c>
      <c r="AB602">
        <f>IF(595=$AD$1+1,"G",IF($AA602="","",IF(INDEX($Q$8:$Q$407,$AA602)="","",IF(595&gt;INDEX($X$8:$X$407,$AA602)+INDEX($V$8:$V$407,$AA602)+INDEX($W$8:$W$407,$AA602),"",IF(595=INDEX($X$8:$X$407,$AA602)+INDEX($V$8:$V$407,$AA602)+INDEX($W$8:$W$407,$AA602),"D",IF(AND(INDEX($W$8:$W$407,$AA602)=1,595=INDEX($X$8:$X$407,$AA602)+INDEX($V$8:$V$407,$AA602)),"S","R"))))))</f>
        <v/>
      </c>
      <c r="AC602">
        <f>IF(OR($AB602="",$AB602="G"),"",IF($AB602="D",INDEX($U$8:$U$407,$AA602),IF($AB602="S",INDEX($T$8:$T$407,$AA602)&amp;"|*",INDEX($S$8:$S$407,$AA602)&amp;"|*")))</f>
        <v/>
      </c>
    </row>
    <row r="603" ht="21" customHeight="1" s="66">
      <c r="A603" s="3">
        <f>IF($AB603="G","ผลรวมทั้งหมด",IF($AB603="R",INDEX($S$8:$S$407,$AA603),""))</f>
        <v/>
      </c>
      <c r="B603" s="3">
        <f>IF($AB603="S",INDEX($Y$8:$Y$407,$AA603),"")</f>
        <v/>
      </c>
      <c r="C603" s="68">
        <f>IF($AB603="D",INDEX($Z$8:$Z$407,$AA603),"")</f>
        <v/>
      </c>
      <c r="D603" s="31">
        <f>IF($AB603="G",SUM($AE$8:$AE$407),IF(OR($AB603="",$AB603="R"),"",IF($AB603="D",INDEX($AE$8:$AE$407,$AA603),SUMIF($T$8:$T$407,INDEX($T$8:$T$407,$AA603),$AE$8:$AE$407))))</f>
        <v/>
      </c>
      <c r="E603" s="32">
        <f>IF(596=$AD$1+3,"ขอแสดงความนับถือ",IF(596=$AD$1+6,"(                 )",IF(596=$AD$1+7,"เจ้าหน้าที่ขนส่ง",IF($AB603="G",SUM($AF$8:$AF$407),IF(OR($AB603="",$AB603="R"),"",IF($AB603="D",INDEX($AF$8:$AF$407,$AA603),SUMIF($T$8:$T$407,INDEX($T$8:$T$407,$AA603),$AF$8:$AF$407)))))))</f>
        <v/>
      </c>
      <c r="F603" s="32">
        <f>IF($AB603="G",SUM($AG$8:$AG$407),IF(OR($AB603="",$AB603="R"),"",IF($AB603="D",INDEX($AG$8:$AG$407,$AA603),SUMIF($T$8:$T$407,INDEX($T$8:$T$407,$AA603),$AG$8:$AG$407))))</f>
        <v/>
      </c>
      <c r="G603" s="32">
        <f>IF(OR($AB603="",$AB603="R"),"",ROUND($E603-$F603,2))</f>
        <v/>
      </c>
      <c r="H603" s="32">
        <f>IF($AB603="G",SUM($AH$8:$AH$407),IF(OR($AB603="",$AB603="R"),"",IF($AB603="D",INDEX($AH$8:$AH$407,$AA603),SUMIF($T$8:$T$407,INDEX($T$8:$T$407,$AA603),$AH$8:$AH$407))))</f>
        <v/>
      </c>
      <c r="AA603">
        <f>IFERROR(MATCH(596,$X$8:$X$407,1),"")</f>
        <v/>
      </c>
      <c r="AB603">
        <f>IF(596=$AD$1+1,"G",IF($AA603="","",IF(INDEX($Q$8:$Q$407,$AA603)="","",IF(596&gt;INDEX($X$8:$X$407,$AA603)+INDEX($V$8:$V$407,$AA603)+INDEX($W$8:$W$407,$AA603),"",IF(596=INDEX($X$8:$X$407,$AA603)+INDEX($V$8:$V$407,$AA603)+INDEX($W$8:$W$407,$AA603),"D",IF(AND(INDEX($W$8:$W$407,$AA603)=1,596=INDEX($X$8:$X$407,$AA603)+INDEX($V$8:$V$407,$AA603)),"S","R"))))))</f>
        <v/>
      </c>
      <c r="AC603">
        <f>IF(OR($AB603="",$AB603="G"),"",IF($AB603="D",INDEX($U$8:$U$407,$AA603),IF($AB603="S",INDEX($T$8:$T$407,$AA603)&amp;"|*",INDEX($S$8:$S$407,$AA603)&amp;"|*")))</f>
        <v/>
      </c>
    </row>
    <row r="604" ht="21" customHeight="1" s="66">
      <c r="A604" s="3">
        <f>IF($AB604="G","ผลรวมทั้งหมด",IF($AB604="R",INDEX($S$8:$S$407,$AA604),""))</f>
        <v/>
      </c>
      <c r="B604" s="3">
        <f>IF($AB604="S",INDEX($Y$8:$Y$407,$AA604),"")</f>
        <v/>
      </c>
      <c r="C604" s="68">
        <f>IF($AB604="D",INDEX($Z$8:$Z$407,$AA604),"")</f>
        <v/>
      </c>
      <c r="D604" s="31">
        <f>IF($AB604="G",SUM($AE$8:$AE$407),IF(OR($AB604="",$AB604="R"),"",IF($AB604="D",INDEX($AE$8:$AE$407,$AA604),SUMIF($T$8:$T$407,INDEX($T$8:$T$407,$AA604),$AE$8:$AE$407))))</f>
        <v/>
      </c>
      <c r="E604" s="32">
        <f>IF(597=$AD$1+3,"ขอแสดงความนับถือ",IF(597=$AD$1+6,"(                 )",IF(597=$AD$1+7,"เจ้าหน้าที่ขนส่ง",IF($AB604="G",SUM($AF$8:$AF$407),IF(OR($AB604="",$AB604="R"),"",IF($AB604="D",INDEX($AF$8:$AF$407,$AA604),SUMIF($T$8:$T$407,INDEX($T$8:$T$407,$AA604),$AF$8:$AF$407)))))))</f>
        <v/>
      </c>
      <c r="F604" s="32">
        <f>IF($AB604="G",SUM($AG$8:$AG$407),IF(OR($AB604="",$AB604="R"),"",IF($AB604="D",INDEX($AG$8:$AG$407,$AA604),SUMIF($T$8:$T$407,INDEX($T$8:$T$407,$AA604),$AG$8:$AG$407))))</f>
        <v/>
      </c>
      <c r="G604" s="32">
        <f>IF(OR($AB604="",$AB604="R"),"",ROUND($E604-$F604,2))</f>
        <v/>
      </c>
      <c r="H604" s="32">
        <f>IF($AB604="G",SUM($AH$8:$AH$407),IF(OR($AB604="",$AB604="R"),"",IF($AB604="D",INDEX($AH$8:$AH$407,$AA604),SUMIF($T$8:$T$407,INDEX($T$8:$T$407,$AA604),$AH$8:$AH$407))))</f>
        <v/>
      </c>
      <c r="AA604">
        <f>IFERROR(MATCH(597,$X$8:$X$407,1),"")</f>
        <v/>
      </c>
      <c r="AB604">
        <f>IF(597=$AD$1+1,"G",IF($AA604="","",IF(INDEX($Q$8:$Q$407,$AA604)="","",IF(597&gt;INDEX($X$8:$X$407,$AA604)+INDEX($V$8:$V$407,$AA604)+INDEX($W$8:$W$407,$AA604),"",IF(597=INDEX($X$8:$X$407,$AA604)+INDEX($V$8:$V$407,$AA604)+INDEX($W$8:$W$407,$AA604),"D",IF(AND(INDEX($W$8:$W$407,$AA604)=1,597=INDEX($X$8:$X$407,$AA604)+INDEX($V$8:$V$407,$AA604)),"S","R"))))))</f>
        <v/>
      </c>
      <c r="AC604">
        <f>IF(OR($AB604="",$AB604="G"),"",IF($AB604="D",INDEX($U$8:$U$407,$AA604),IF($AB604="S",INDEX($T$8:$T$407,$AA604)&amp;"|*",INDEX($S$8:$S$407,$AA604)&amp;"|*")))</f>
        <v/>
      </c>
    </row>
    <row r="605" ht="21" customHeight="1" s="66">
      <c r="A605" s="3">
        <f>IF($AB605="G","ผลรวมทั้งหมด",IF($AB605="R",INDEX($S$8:$S$407,$AA605),""))</f>
        <v/>
      </c>
      <c r="B605" s="3">
        <f>IF($AB605="S",INDEX($Y$8:$Y$407,$AA605),"")</f>
        <v/>
      </c>
      <c r="C605" s="68">
        <f>IF($AB605="D",INDEX($Z$8:$Z$407,$AA605),"")</f>
        <v/>
      </c>
      <c r="D605" s="31">
        <f>IF($AB605="G",SUM($AE$8:$AE$407),IF(OR($AB605="",$AB605="R"),"",IF($AB605="D",INDEX($AE$8:$AE$407,$AA605),SUMIF($T$8:$T$407,INDEX($T$8:$T$407,$AA605),$AE$8:$AE$407))))</f>
        <v/>
      </c>
      <c r="E605" s="32">
        <f>IF(598=$AD$1+3,"ขอแสดงความนับถือ",IF(598=$AD$1+6,"(                 )",IF(598=$AD$1+7,"เจ้าหน้าที่ขนส่ง",IF($AB605="G",SUM($AF$8:$AF$407),IF(OR($AB605="",$AB605="R"),"",IF($AB605="D",INDEX($AF$8:$AF$407,$AA605),SUMIF($T$8:$T$407,INDEX($T$8:$T$407,$AA605),$AF$8:$AF$407)))))))</f>
        <v/>
      </c>
      <c r="F605" s="32">
        <f>IF($AB605="G",SUM($AG$8:$AG$407),IF(OR($AB605="",$AB605="R"),"",IF($AB605="D",INDEX($AG$8:$AG$407,$AA605),SUMIF($T$8:$T$407,INDEX($T$8:$T$407,$AA605),$AG$8:$AG$407))))</f>
        <v/>
      </c>
      <c r="G605" s="32">
        <f>IF(OR($AB605="",$AB605="R"),"",ROUND($E605-$F605,2))</f>
        <v/>
      </c>
      <c r="H605" s="32">
        <f>IF($AB605="G",SUM($AH$8:$AH$407),IF(OR($AB605="",$AB605="R"),"",IF($AB605="D",INDEX($AH$8:$AH$407,$AA605),SUMIF($T$8:$T$407,INDEX($T$8:$T$407,$AA605),$AH$8:$AH$407))))</f>
        <v/>
      </c>
      <c r="AA605">
        <f>IFERROR(MATCH(598,$X$8:$X$407,1),"")</f>
        <v/>
      </c>
      <c r="AB605">
        <f>IF(598=$AD$1+1,"G",IF($AA605="","",IF(INDEX($Q$8:$Q$407,$AA605)="","",IF(598&gt;INDEX($X$8:$X$407,$AA605)+INDEX($V$8:$V$407,$AA605)+INDEX($W$8:$W$407,$AA605),"",IF(598=INDEX($X$8:$X$407,$AA605)+INDEX($V$8:$V$407,$AA605)+INDEX($W$8:$W$407,$AA605),"D",IF(AND(INDEX($W$8:$W$407,$AA605)=1,598=INDEX($X$8:$X$407,$AA605)+INDEX($V$8:$V$407,$AA605)),"S","R"))))))</f>
        <v/>
      </c>
      <c r="AC605">
        <f>IF(OR($AB605="",$AB605="G"),"",IF($AB605="D",INDEX($U$8:$U$407,$AA605),IF($AB605="S",INDEX($T$8:$T$407,$AA605)&amp;"|*",INDEX($S$8:$S$407,$AA605)&amp;"|*")))</f>
        <v/>
      </c>
    </row>
    <row r="606" ht="21" customHeight="1" s="66">
      <c r="A606" s="3">
        <f>IF($AB606="G","ผลรวมทั้งหมด",IF($AB606="R",INDEX($S$8:$S$407,$AA606),""))</f>
        <v/>
      </c>
      <c r="B606" s="3">
        <f>IF($AB606="S",INDEX($Y$8:$Y$407,$AA606),"")</f>
        <v/>
      </c>
      <c r="C606" s="68">
        <f>IF($AB606="D",INDEX($Z$8:$Z$407,$AA606),"")</f>
        <v/>
      </c>
      <c r="D606" s="31">
        <f>IF($AB606="G",SUM($AE$8:$AE$407),IF(OR($AB606="",$AB606="R"),"",IF($AB606="D",INDEX($AE$8:$AE$407,$AA606),SUMIF($T$8:$T$407,INDEX($T$8:$T$407,$AA606),$AE$8:$AE$407))))</f>
        <v/>
      </c>
      <c r="E606" s="32">
        <f>IF(599=$AD$1+3,"ขอแสดงความนับถือ",IF(599=$AD$1+6,"(                 )",IF(599=$AD$1+7,"เจ้าหน้าที่ขนส่ง",IF($AB606="G",SUM($AF$8:$AF$407),IF(OR($AB606="",$AB606="R"),"",IF($AB606="D",INDEX($AF$8:$AF$407,$AA606),SUMIF($T$8:$T$407,INDEX($T$8:$T$407,$AA606),$AF$8:$AF$407)))))))</f>
        <v/>
      </c>
      <c r="F606" s="32">
        <f>IF($AB606="G",SUM($AG$8:$AG$407),IF(OR($AB606="",$AB606="R"),"",IF($AB606="D",INDEX($AG$8:$AG$407,$AA606),SUMIF($T$8:$T$407,INDEX($T$8:$T$407,$AA606),$AG$8:$AG$407))))</f>
        <v/>
      </c>
      <c r="G606" s="32">
        <f>IF(OR($AB606="",$AB606="R"),"",ROUND($E606-$F606,2))</f>
        <v/>
      </c>
      <c r="H606" s="32">
        <f>IF($AB606="G",SUM($AH$8:$AH$407),IF(OR($AB606="",$AB606="R"),"",IF($AB606="D",INDEX($AH$8:$AH$407,$AA606),SUMIF($T$8:$T$407,INDEX($T$8:$T$407,$AA606),$AH$8:$AH$407))))</f>
        <v/>
      </c>
      <c r="AA606">
        <f>IFERROR(MATCH(599,$X$8:$X$407,1),"")</f>
        <v/>
      </c>
      <c r="AB606">
        <f>IF(599=$AD$1+1,"G",IF($AA606="","",IF(INDEX($Q$8:$Q$407,$AA606)="","",IF(599&gt;INDEX($X$8:$X$407,$AA606)+INDEX($V$8:$V$407,$AA606)+INDEX($W$8:$W$407,$AA606),"",IF(599=INDEX($X$8:$X$407,$AA606)+INDEX($V$8:$V$407,$AA606)+INDEX($W$8:$W$407,$AA606),"D",IF(AND(INDEX($W$8:$W$407,$AA606)=1,599=INDEX($X$8:$X$407,$AA606)+INDEX($V$8:$V$407,$AA606)),"S","R"))))))</f>
        <v/>
      </c>
      <c r="AC606">
        <f>IF(OR($AB606="",$AB606="G"),"",IF($AB606="D",INDEX($U$8:$U$407,$AA606),IF($AB606="S",INDEX($T$8:$T$407,$AA606)&amp;"|*",INDEX($S$8:$S$407,$AA606)&amp;"|*")))</f>
        <v/>
      </c>
    </row>
    <row r="607" ht="21" customHeight="1" s="66">
      <c r="A607" s="3">
        <f>IF($AB607="G","ผลรวมทั้งหมด",IF($AB607="R",INDEX($S$8:$S$407,$AA607),""))</f>
        <v/>
      </c>
      <c r="B607" s="3">
        <f>IF($AB607="S",INDEX($Y$8:$Y$407,$AA607),"")</f>
        <v/>
      </c>
      <c r="C607" s="68">
        <f>IF($AB607="D",INDEX($Z$8:$Z$407,$AA607),"")</f>
        <v/>
      </c>
      <c r="D607" s="31">
        <f>IF($AB607="G",SUM($AE$8:$AE$407),IF(OR($AB607="",$AB607="R"),"",IF($AB607="D",INDEX($AE$8:$AE$407,$AA607),SUMIF($T$8:$T$407,INDEX($T$8:$T$407,$AA607),$AE$8:$AE$407))))</f>
        <v/>
      </c>
      <c r="E607" s="32">
        <f>IF(600=$AD$1+3,"ขอแสดงความนับถือ",IF(600=$AD$1+6,"(                 )",IF(600=$AD$1+7,"เจ้าหน้าที่ขนส่ง",IF($AB607="G",SUM($AF$8:$AF$407),IF(OR($AB607="",$AB607="R"),"",IF($AB607="D",INDEX($AF$8:$AF$407,$AA607),SUMIF($T$8:$T$407,INDEX($T$8:$T$407,$AA607),$AF$8:$AF$407)))))))</f>
        <v/>
      </c>
      <c r="F607" s="32">
        <f>IF($AB607="G",SUM($AG$8:$AG$407),IF(OR($AB607="",$AB607="R"),"",IF($AB607="D",INDEX($AG$8:$AG$407,$AA607),SUMIF($T$8:$T$407,INDEX($T$8:$T$407,$AA607),$AG$8:$AG$407))))</f>
        <v/>
      </c>
      <c r="G607" s="32">
        <f>IF(OR($AB607="",$AB607="R"),"",ROUND($E607-$F607,2))</f>
        <v/>
      </c>
      <c r="H607" s="32">
        <f>IF($AB607="G",SUM($AH$8:$AH$407),IF(OR($AB607="",$AB607="R"),"",IF($AB607="D",INDEX($AH$8:$AH$407,$AA607),SUMIF($T$8:$T$407,INDEX($T$8:$T$407,$AA607),$AH$8:$AH$407))))</f>
        <v/>
      </c>
      <c r="AA607">
        <f>IFERROR(MATCH(600,$X$8:$X$407,1),"")</f>
        <v/>
      </c>
      <c r="AB607">
        <f>IF(600=$AD$1+1,"G",IF($AA607="","",IF(INDEX($Q$8:$Q$407,$AA607)="","",IF(600&gt;INDEX($X$8:$X$407,$AA607)+INDEX($V$8:$V$407,$AA607)+INDEX($W$8:$W$407,$AA607),"",IF(600=INDEX($X$8:$X$407,$AA607)+INDEX($V$8:$V$407,$AA607)+INDEX($W$8:$W$407,$AA607),"D",IF(AND(INDEX($W$8:$W$407,$AA607)=1,600=INDEX($X$8:$X$407,$AA607)+INDEX($V$8:$V$407,$AA607)),"S","R"))))))</f>
        <v/>
      </c>
      <c r="AC607">
        <f>IF(OR($AB607="",$AB607="G"),"",IF($AB607="D",INDEX($U$8:$U$407,$AA607),IF($AB607="S",INDEX($T$8:$T$407,$AA607)&amp;"|*",INDEX($S$8:$S$407,$AA607)&amp;"|*")))</f>
        <v/>
      </c>
    </row>
    <row r="608" ht="21" customHeight="1" s="66">
      <c r="A608" s="3">
        <f>IF($AB608="G","ผลรวมทั้งหมด",IF($AB608="R",INDEX($S$8:$S$407,$AA608),""))</f>
        <v/>
      </c>
      <c r="B608" s="3">
        <f>IF($AB608="S",INDEX($Y$8:$Y$407,$AA608),"")</f>
        <v/>
      </c>
      <c r="C608" s="68">
        <f>IF($AB608="D",INDEX($Z$8:$Z$407,$AA608),"")</f>
        <v/>
      </c>
      <c r="D608" s="31">
        <f>IF($AB608="G",SUM($AE$8:$AE$407),IF(OR($AB608="",$AB608="R"),"",IF($AB608="D",INDEX($AE$8:$AE$407,$AA608),SUMIF($T$8:$T$407,INDEX($T$8:$T$407,$AA608),$AE$8:$AE$407))))</f>
        <v/>
      </c>
      <c r="E608" s="32">
        <f>IF(601=$AD$1+3,"ขอแสดงความนับถือ",IF(601=$AD$1+6,"(                 )",IF(601=$AD$1+7,"เจ้าหน้าที่ขนส่ง",IF($AB608="G",SUM($AF$8:$AF$407),IF(OR($AB608="",$AB608="R"),"",IF($AB608="D",INDEX($AF$8:$AF$407,$AA608),SUMIF($T$8:$T$407,INDEX($T$8:$T$407,$AA608),$AF$8:$AF$407)))))))</f>
        <v/>
      </c>
      <c r="F608" s="32">
        <f>IF($AB608="G",SUM($AG$8:$AG$407),IF(OR($AB608="",$AB608="R"),"",IF($AB608="D",INDEX($AG$8:$AG$407,$AA608),SUMIF($T$8:$T$407,INDEX($T$8:$T$407,$AA608),$AG$8:$AG$407))))</f>
        <v/>
      </c>
      <c r="G608" s="32">
        <f>IF(OR($AB608="",$AB608="R"),"",ROUND($E608-$F608,2))</f>
        <v/>
      </c>
      <c r="H608" s="32">
        <f>IF($AB608="G",SUM($AH$8:$AH$407),IF(OR($AB608="",$AB608="R"),"",IF($AB608="D",INDEX($AH$8:$AH$407,$AA608),SUMIF($T$8:$T$407,INDEX($T$8:$T$407,$AA608),$AH$8:$AH$407))))</f>
        <v/>
      </c>
      <c r="AA608">
        <f>IFERROR(MATCH(601,$X$8:$X$407,1),"")</f>
        <v/>
      </c>
      <c r="AB608">
        <f>IF(601=$AD$1+1,"G",IF($AA608="","",IF(INDEX($Q$8:$Q$407,$AA608)="","",IF(601&gt;INDEX($X$8:$X$407,$AA608)+INDEX($V$8:$V$407,$AA608)+INDEX($W$8:$W$407,$AA608),"",IF(601=INDEX($X$8:$X$407,$AA608)+INDEX($V$8:$V$407,$AA608)+INDEX($W$8:$W$407,$AA608),"D",IF(AND(INDEX($W$8:$W$407,$AA608)=1,601=INDEX($X$8:$X$407,$AA608)+INDEX($V$8:$V$407,$AA608)),"S","R"))))))</f>
        <v/>
      </c>
      <c r="AC608">
        <f>IF(OR($AB608="",$AB608="G"),"",IF($AB608="D",INDEX($U$8:$U$407,$AA608),IF($AB608="S",INDEX($T$8:$T$407,$AA608)&amp;"|*",INDEX($S$8:$S$407,$AA608)&amp;"|*")))</f>
        <v/>
      </c>
    </row>
    <row r="609" ht="21" customHeight="1" s="66">
      <c r="A609" s="3">
        <f>IF($AB609="G","ผลรวมทั้งหมด",IF($AB609="R",INDEX($S$8:$S$407,$AA609),""))</f>
        <v/>
      </c>
      <c r="B609" s="3">
        <f>IF($AB609="S",INDEX($Y$8:$Y$407,$AA609),"")</f>
        <v/>
      </c>
      <c r="C609" s="68">
        <f>IF($AB609="D",INDEX($Z$8:$Z$407,$AA609),"")</f>
        <v/>
      </c>
      <c r="D609" s="31">
        <f>IF($AB609="G",SUM($AE$8:$AE$407),IF(OR($AB609="",$AB609="R"),"",IF($AB609="D",INDEX($AE$8:$AE$407,$AA609),SUMIF($T$8:$T$407,INDEX($T$8:$T$407,$AA609),$AE$8:$AE$407))))</f>
        <v/>
      </c>
      <c r="E609" s="32">
        <f>IF(602=$AD$1+3,"ขอแสดงความนับถือ",IF(602=$AD$1+6,"(                 )",IF(602=$AD$1+7,"เจ้าหน้าที่ขนส่ง",IF($AB609="G",SUM($AF$8:$AF$407),IF(OR($AB609="",$AB609="R"),"",IF($AB609="D",INDEX($AF$8:$AF$407,$AA609),SUMIF($T$8:$T$407,INDEX($T$8:$T$407,$AA609),$AF$8:$AF$407)))))))</f>
        <v/>
      </c>
      <c r="F609" s="32">
        <f>IF($AB609="G",SUM($AG$8:$AG$407),IF(OR($AB609="",$AB609="R"),"",IF($AB609="D",INDEX($AG$8:$AG$407,$AA609),SUMIF($T$8:$T$407,INDEX($T$8:$T$407,$AA609),$AG$8:$AG$407))))</f>
        <v/>
      </c>
      <c r="G609" s="32">
        <f>IF(OR($AB609="",$AB609="R"),"",ROUND($E609-$F609,2))</f>
        <v/>
      </c>
      <c r="H609" s="32">
        <f>IF($AB609="G",SUM($AH$8:$AH$407),IF(OR($AB609="",$AB609="R"),"",IF($AB609="D",INDEX($AH$8:$AH$407,$AA609),SUMIF($T$8:$T$407,INDEX($T$8:$T$407,$AA609),$AH$8:$AH$407))))</f>
        <v/>
      </c>
      <c r="AA609">
        <f>IFERROR(MATCH(602,$X$8:$X$407,1),"")</f>
        <v/>
      </c>
      <c r="AB609">
        <f>IF(602=$AD$1+1,"G",IF($AA609="","",IF(INDEX($Q$8:$Q$407,$AA609)="","",IF(602&gt;INDEX($X$8:$X$407,$AA609)+INDEX($V$8:$V$407,$AA609)+INDEX($W$8:$W$407,$AA609),"",IF(602=INDEX($X$8:$X$407,$AA609)+INDEX($V$8:$V$407,$AA609)+INDEX($W$8:$W$407,$AA609),"D",IF(AND(INDEX($W$8:$W$407,$AA609)=1,602=INDEX($X$8:$X$407,$AA609)+INDEX($V$8:$V$407,$AA609)),"S","R"))))))</f>
        <v/>
      </c>
      <c r="AC609">
        <f>IF(OR($AB609="",$AB609="G"),"",IF($AB609="D",INDEX($U$8:$U$407,$AA609),IF($AB609="S",INDEX($T$8:$T$407,$AA609)&amp;"|*",INDEX($S$8:$S$407,$AA609)&amp;"|*")))</f>
        <v/>
      </c>
    </row>
    <row r="610" ht="21" customHeight="1" s="66">
      <c r="A610" s="3">
        <f>IF($AB610="G","ผลรวมทั้งหมด",IF($AB610="R",INDEX($S$8:$S$407,$AA610),""))</f>
        <v/>
      </c>
      <c r="B610" s="3">
        <f>IF($AB610="S",INDEX($Y$8:$Y$407,$AA610),"")</f>
        <v/>
      </c>
      <c r="C610" s="68">
        <f>IF($AB610="D",INDEX($Z$8:$Z$407,$AA610),"")</f>
        <v/>
      </c>
      <c r="D610" s="31">
        <f>IF($AB610="G",SUM($AE$8:$AE$407),IF(OR($AB610="",$AB610="R"),"",IF($AB610="D",INDEX($AE$8:$AE$407,$AA610),SUMIF($T$8:$T$407,INDEX($T$8:$T$407,$AA610),$AE$8:$AE$407))))</f>
        <v/>
      </c>
      <c r="E610" s="32">
        <f>IF(603=$AD$1+3,"ขอแสดงความนับถือ",IF(603=$AD$1+6,"(                 )",IF(603=$AD$1+7,"เจ้าหน้าที่ขนส่ง",IF($AB610="G",SUM($AF$8:$AF$407),IF(OR($AB610="",$AB610="R"),"",IF($AB610="D",INDEX($AF$8:$AF$407,$AA610),SUMIF($T$8:$T$407,INDEX($T$8:$T$407,$AA610),$AF$8:$AF$407)))))))</f>
        <v/>
      </c>
      <c r="F610" s="32">
        <f>IF($AB610="G",SUM($AG$8:$AG$407),IF(OR($AB610="",$AB610="R"),"",IF($AB610="D",INDEX($AG$8:$AG$407,$AA610),SUMIF($T$8:$T$407,INDEX($T$8:$T$407,$AA610),$AG$8:$AG$407))))</f>
        <v/>
      </c>
      <c r="G610" s="32">
        <f>IF(OR($AB610="",$AB610="R"),"",ROUND($E610-$F610,2))</f>
        <v/>
      </c>
      <c r="H610" s="32">
        <f>IF($AB610="G",SUM($AH$8:$AH$407),IF(OR($AB610="",$AB610="R"),"",IF($AB610="D",INDEX($AH$8:$AH$407,$AA610),SUMIF($T$8:$T$407,INDEX($T$8:$T$407,$AA610),$AH$8:$AH$407))))</f>
        <v/>
      </c>
      <c r="AA610">
        <f>IFERROR(MATCH(603,$X$8:$X$407,1),"")</f>
        <v/>
      </c>
      <c r="AB610">
        <f>IF(603=$AD$1+1,"G",IF($AA610="","",IF(INDEX($Q$8:$Q$407,$AA610)="","",IF(603&gt;INDEX($X$8:$X$407,$AA610)+INDEX($V$8:$V$407,$AA610)+INDEX($W$8:$W$407,$AA610),"",IF(603=INDEX($X$8:$X$407,$AA610)+INDEX($V$8:$V$407,$AA610)+INDEX($W$8:$W$407,$AA610),"D",IF(AND(INDEX($W$8:$W$407,$AA610)=1,603=INDEX($X$8:$X$407,$AA610)+INDEX($V$8:$V$407,$AA610)),"S","R"))))))</f>
        <v/>
      </c>
      <c r="AC610">
        <f>IF(OR($AB610="",$AB610="G"),"",IF($AB610="D",INDEX($U$8:$U$407,$AA610),IF($AB610="S",INDEX($T$8:$T$407,$AA610)&amp;"|*",INDEX($S$8:$S$407,$AA610)&amp;"|*")))</f>
        <v/>
      </c>
    </row>
    <row r="611" ht="21" customHeight="1" s="66">
      <c r="A611" s="3">
        <f>IF($AB611="G","ผลรวมทั้งหมด",IF($AB611="R",INDEX($S$8:$S$407,$AA611),""))</f>
        <v/>
      </c>
      <c r="B611" s="3">
        <f>IF($AB611="S",INDEX($Y$8:$Y$407,$AA611),"")</f>
        <v/>
      </c>
      <c r="C611" s="68">
        <f>IF($AB611="D",INDEX($Z$8:$Z$407,$AA611),"")</f>
        <v/>
      </c>
      <c r="D611" s="31">
        <f>IF($AB611="G",SUM($AE$8:$AE$407),IF(OR($AB611="",$AB611="R"),"",IF($AB611="D",INDEX($AE$8:$AE$407,$AA611),SUMIF($T$8:$T$407,INDEX($T$8:$T$407,$AA611),$AE$8:$AE$407))))</f>
        <v/>
      </c>
      <c r="E611" s="32">
        <f>IF(604=$AD$1+3,"ขอแสดงความนับถือ",IF(604=$AD$1+6,"(                 )",IF(604=$AD$1+7,"เจ้าหน้าที่ขนส่ง",IF($AB611="G",SUM($AF$8:$AF$407),IF(OR($AB611="",$AB611="R"),"",IF($AB611="D",INDEX($AF$8:$AF$407,$AA611),SUMIF($T$8:$T$407,INDEX($T$8:$T$407,$AA611),$AF$8:$AF$407)))))))</f>
        <v/>
      </c>
      <c r="F611" s="32">
        <f>IF($AB611="G",SUM($AG$8:$AG$407),IF(OR($AB611="",$AB611="R"),"",IF($AB611="D",INDEX($AG$8:$AG$407,$AA611),SUMIF($T$8:$T$407,INDEX($T$8:$T$407,$AA611),$AG$8:$AG$407))))</f>
        <v/>
      </c>
      <c r="G611" s="32">
        <f>IF(OR($AB611="",$AB611="R"),"",ROUND($E611-$F611,2))</f>
        <v/>
      </c>
      <c r="H611" s="32">
        <f>IF($AB611="G",SUM($AH$8:$AH$407),IF(OR($AB611="",$AB611="R"),"",IF($AB611="D",INDEX($AH$8:$AH$407,$AA611),SUMIF($T$8:$T$407,INDEX($T$8:$T$407,$AA611),$AH$8:$AH$407))))</f>
        <v/>
      </c>
      <c r="AA611">
        <f>IFERROR(MATCH(604,$X$8:$X$407,1),"")</f>
        <v/>
      </c>
      <c r="AB611">
        <f>IF(604=$AD$1+1,"G",IF($AA611="","",IF(INDEX($Q$8:$Q$407,$AA611)="","",IF(604&gt;INDEX($X$8:$X$407,$AA611)+INDEX($V$8:$V$407,$AA611)+INDEX($W$8:$W$407,$AA611),"",IF(604=INDEX($X$8:$X$407,$AA611)+INDEX($V$8:$V$407,$AA611)+INDEX($W$8:$W$407,$AA611),"D",IF(AND(INDEX($W$8:$W$407,$AA611)=1,604=INDEX($X$8:$X$407,$AA611)+INDEX($V$8:$V$407,$AA611)),"S","R"))))))</f>
        <v/>
      </c>
      <c r="AC611">
        <f>IF(OR($AB611="",$AB611="G"),"",IF($AB611="D",INDEX($U$8:$U$407,$AA611),IF($AB611="S",INDEX($T$8:$T$407,$AA611)&amp;"|*",INDEX($S$8:$S$407,$AA611)&amp;"|*")))</f>
        <v/>
      </c>
    </row>
    <row r="612" ht="21" customHeight="1" s="66">
      <c r="A612" s="3">
        <f>IF($AB612="G","ผลรวมทั้งหมด",IF($AB612="R",INDEX($S$8:$S$407,$AA612),""))</f>
        <v/>
      </c>
      <c r="B612" s="3">
        <f>IF($AB612="S",INDEX($Y$8:$Y$407,$AA612),"")</f>
        <v/>
      </c>
      <c r="C612" s="68">
        <f>IF($AB612="D",INDEX($Z$8:$Z$407,$AA612),"")</f>
        <v/>
      </c>
      <c r="D612" s="31">
        <f>IF($AB612="G",SUM($AE$8:$AE$407),IF(OR($AB612="",$AB612="R"),"",IF($AB612="D",INDEX($AE$8:$AE$407,$AA612),SUMIF($T$8:$T$407,INDEX($T$8:$T$407,$AA612),$AE$8:$AE$407))))</f>
        <v/>
      </c>
      <c r="E612" s="32">
        <f>IF(605=$AD$1+3,"ขอแสดงความนับถือ",IF(605=$AD$1+6,"(                 )",IF(605=$AD$1+7,"เจ้าหน้าที่ขนส่ง",IF($AB612="G",SUM($AF$8:$AF$407),IF(OR($AB612="",$AB612="R"),"",IF($AB612="D",INDEX($AF$8:$AF$407,$AA612),SUMIF($T$8:$T$407,INDEX($T$8:$T$407,$AA612),$AF$8:$AF$407)))))))</f>
        <v/>
      </c>
      <c r="F612" s="32">
        <f>IF($AB612="G",SUM($AG$8:$AG$407),IF(OR($AB612="",$AB612="R"),"",IF($AB612="D",INDEX($AG$8:$AG$407,$AA612),SUMIF($T$8:$T$407,INDEX($T$8:$T$407,$AA612),$AG$8:$AG$407))))</f>
        <v/>
      </c>
      <c r="G612" s="32">
        <f>IF(OR($AB612="",$AB612="R"),"",ROUND($E612-$F612,2))</f>
        <v/>
      </c>
      <c r="H612" s="32">
        <f>IF($AB612="G",SUM($AH$8:$AH$407),IF(OR($AB612="",$AB612="R"),"",IF($AB612="D",INDEX($AH$8:$AH$407,$AA612),SUMIF($T$8:$T$407,INDEX($T$8:$T$407,$AA612),$AH$8:$AH$407))))</f>
        <v/>
      </c>
      <c r="AA612">
        <f>IFERROR(MATCH(605,$X$8:$X$407,1),"")</f>
        <v/>
      </c>
      <c r="AB612">
        <f>IF(605=$AD$1+1,"G",IF($AA612="","",IF(INDEX($Q$8:$Q$407,$AA612)="","",IF(605&gt;INDEX($X$8:$X$407,$AA612)+INDEX($V$8:$V$407,$AA612)+INDEX($W$8:$W$407,$AA612),"",IF(605=INDEX($X$8:$X$407,$AA612)+INDEX($V$8:$V$407,$AA612)+INDEX($W$8:$W$407,$AA612),"D",IF(AND(INDEX($W$8:$W$407,$AA612)=1,605=INDEX($X$8:$X$407,$AA612)+INDEX($V$8:$V$407,$AA612)),"S","R"))))))</f>
        <v/>
      </c>
      <c r="AC612">
        <f>IF(OR($AB612="",$AB612="G"),"",IF($AB612="D",INDEX($U$8:$U$407,$AA612),IF($AB612="S",INDEX($T$8:$T$407,$AA612)&amp;"|*",INDEX($S$8:$S$407,$AA612)&amp;"|*")))</f>
        <v/>
      </c>
    </row>
    <row r="613" ht="21" customHeight="1" s="66">
      <c r="A613" s="3">
        <f>IF($AB613="G","ผลรวมทั้งหมด",IF($AB613="R",INDEX($S$8:$S$407,$AA613),""))</f>
        <v/>
      </c>
      <c r="B613" s="3">
        <f>IF($AB613="S",INDEX($Y$8:$Y$407,$AA613),"")</f>
        <v/>
      </c>
      <c r="C613" s="68">
        <f>IF($AB613="D",INDEX($Z$8:$Z$407,$AA613),"")</f>
        <v/>
      </c>
      <c r="D613" s="31">
        <f>IF($AB613="G",SUM($AE$8:$AE$407),IF(OR($AB613="",$AB613="R"),"",IF($AB613="D",INDEX($AE$8:$AE$407,$AA613),SUMIF($T$8:$T$407,INDEX($T$8:$T$407,$AA613),$AE$8:$AE$407))))</f>
        <v/>
      </c>
      <c r="E613" s="32">
        <f>IF(606=$AD$1+3,"ขอแสดงความนับถือ",IF(606=$AD$1+6,"(                 )",IF(606=$AD$1+7,"เจ้าหน้าที่ขนส่ง",IF($AB613="G",SUM($AF$8:$AF$407),IF(OR($AB613="",$AB613="R"),"",IF($AB613="D",INDEX($AF$8:$AF$407,$AA613),SUMIF($T$8:$T$407,INDEX($T$8:$T$407,$AA613),$AF$8:$AF$407)))))))</f>
        <v/>
      </c>
      <c r="F613" s="32">
        <f>IF($AB613="G",SUM($AG$8:$AG$407),IF(OR($AB613="",$AB613="R"),"",IF($AB613="D",INDEX($AG$8:$AG$407,$AA613),SUMIF($T$8:$T$407,INDEX($T$8:$T$407,$AA613),$AG$8:$AG$407))))</f>
        <v/>
      </c>
      <c r="G613" s="32">
        <f>IF(OR($AB613="",$AB613="R"),"",ROUND($E613-$F613,2))</f>
        <v/>
      </c>
      <c r="H613" s="32">
        <f>IF($AB613="G",SUM($AH$8:$AH$407),IF(OR($AB613="",$AB613="R"),"",IF($AB613="D",INDEX($AH$8:$AH$407,$AA613),SUMIF($T$8:$T$407,INDEX($T$8:$T$407,$AA613),$AH$8:$AH$407))))</f>
        <v/>
      </c>
      <c r="AA613">
        <f>IFERROR(MATCH(606,$X$8:$X$407,1),"")</f>
        <v/>
      </c>
      <c r="AB613">
        <f>IF(606=$AD$1+1,"G",IF($AA613="","",IF(INDEX($Q$8:$Q$407,$AA613)="","",IF(606&gt;INDEX($X$8:$X$407,$AA613)+INDEX($V$8:$V$407,$AA613)+INDEX($W$8:$W$407,$AA613),"",IF(606=INDEX($X$8:$X$407,$AA613)+INDEX($V$8:$V$407,$AA613)+INDEX($W$8:$W$407,$AA613),"D",IF(AND(INDEX($W$8:$W$407,$AA613)=1,606=INDEX($X$8:$X$407,$AA613)+INDEX($V$8:$V$407,$AA613)),"S","R"))))))</f>
        <v/>
      </c>
      <c r="AC613">
        <f>IF(OR($AB613="",$AB613="G"),"",IF($AB613="D",INDEX($U$8:$U$407,$AA613),IF($AB613="S",INDEX($T$8:$T$407,$AA613)&amp;"|*",INDEX($S$8:$S$407,$AA613)&amp;"|*")))</f>
        <v/>
      </c>
    </row>
    <row r="614" ht="21" customHeight="1" s="66">
      <c r="A614" s="3">
        <f>IF($AB614="G","ผลรวมทั้งหมด",IF($AB614="R",INDEX($S$8:$S$407,$AA614),""))</f>
        <v/>
      </c>
      <c r="B614" s="3">
        <f>IF($AB614="S",INDEX($Y$8:$Y$407,$AA614),"")</f>
        <v/>
      </c>
      <c r="C614" s="68">
        <f>IF($AB614="D",INDEX($Z$8:$Z$407,$AA614),"")</f>
        <v/>
      </c>
      <c r="D614" s="31">
        <f>IF($AB614="G",SUM($AE$8:$AE$407),IF(OR($AB614="",$AB614="R"),"",IF($AB614="D",INDEX($AE$8:$AE$407,$AA614),SUMIF($T$8:$T$407,INDEX($T$8:$T$407,$AA614),$AE$8:$AE$407))))</f>
        <v/>
      </c>
      <c r="E614" s="32">
        <f>IF(607=$AD$1+3,"ขอแสดงความนับถือ",IF(607=$AD$1+6,"(                 )",IF(607=$AD$1+7,"เจ้าหน้าที่ขนส่ง",IF($AB614="G",SUM($AF$8:$AF$407),IF(OR($AB614="",$AB614="R"),"",IF($AB614="D",INDEX($AF$8:$AF$407,$AA614),SUMIF($T$8:$T$407,INDEX($T$8:$T$407,$AA614),$AF$8:$AF$407)))))))</f>
        <v/>
      </c>
      <c r="F614" s="32">
        <f>IF($AB614="G",SUM($AG$8:$AG$407),IF(OR($AB614="",$AB614="R"),"",IF($AB614="D",INDEX($AG$8:$AG$407,$AA614),SUMIF($T$8:$T$407,INDEX($T$8:$T$407,$AA614),$AG$8:$AG$407))))</f>
        <v/>
      </c>
      <c r="G614" s="32">
        <f>IF(OR($AB614="",$AB614="R"),"",ROUND($E614-$F614,2))</f>
        <v/>
      </c>
      <c r="H614" s="32">
        <f>IF($AB614="G",SUM($AH$8:$AH$407),IF(OR($AB614="",$AB614="R"),"",IF($AB614="D",INDEX($AH$8:$AH$407,$AA614),SUMIF($T$8:$T$407,INDEX($T$8:$T$407,$AA614),$AH$8:$AH$407))))</f>
        <v/>
      </c>
      <c r="AA614">
        <f>IFERROR(MATCH(607,$X$8:$X$407,1),"")</f>
        <v/>
      </c>
      <c r="AB614">
        <f>IF(607=$AD$1+1,"G",IF($AA614="","",IF(INDEX($Q$8:$Q$407,$AA614)="","",IF(607&gt;INDEX($X$8:$X$407,$AA614)+INDEX($V$8:$V$407,$AA614)+INDEX($W$8:$W$407,$AA614),"",IF(607=INDEX($X$8:$X$407,$AA614)+INDEX($V$8:$V$407,$AA614)+INDEX($W$8:$W$407,$AA614),"D",IF(AND(INDEX($W$8:$W$407,$AA614)=1,607=INDEX($X$8:$X$407,$AA614)+INDEX($V$8:$V$407,$AA614)),"S","R"))))))</f>
        <v/>
      </c>
      <c r="AC614">
        <f>IF(OR($AB614="",$AB614="G"),"",IF($AB614="D",INDEX($U$8:$U$407,$AA614),IF($AB614="S",INDEX($T$8:$T$407,$AA614)&amp;"|*",INDEX($S$8:$S$407,$AA614)&amp;"|*")))</f>
        <v/>
      </c>
    </row>
    <row r="615" ht="21" customHeight="1" s="66">
      <c r="A615" s="3">
        <f>IF($AB615="G","ผลรวมทั้งหมด",IF($AB615="R",INDEX($S$8:$S$407,$AA615),""))</f>
        <v/>
      </c>
      <c r="B615" s="3">
        <f>IF($AB615="S",INDEX($Y$8:$Y$407,$AA615),"")</f>
        <v/>
      </c>
      <c r="C615" s="68">
        <f>IF($AB615="D",INDEX($Z$8:$Z$407,$AA615),"")</f>
        <v/>
      </c>
      <c r="D615" s="31">
        <f>IF($AB615="G",SUM($AE$8:$AE$407),IF(OR($AB615="",$AB615="R"),"",IF($AB615="D",INDEX($AE$8:$AE$407,$AA615),SUMIF($T$8:$T$407,INDEX($T$8:$T$407,$AA615),$AE$8:$AE$407))))</f>
        <v/>
      </c>
      <c r="E615" s="32">
        <f>IF(608=$AD$1+3,"ขอแสดงความนับถือ",IF(608=$AD$1+6,"(                 )",IF(608=$AD$1+7,"เจ้าหน้าที่ขนส่ง",IF($AB615="G",SUM($AF$8:$AF$407),IF(OR($AB615="",$AB615="R"),"",IF($AB615="D",INDEX($AF$8:$AF$407,$AA615),SUMIF($T$8:$T$407,INDEX($T$8:$T$407,$AA615),$AF$8:$AF$407)))))))</f>
        <v/>
      </c>
      <c r="F615" s="32">
        <f>IF($AB615="G",SUM($AG$8:$AG$407),IF(OR($AB615="",$AB615="R"),"",IF($AB615="D",INDEX($AG$8:$AG$407,$AA615),SUMIF($T$8:$T$407,INDEX($T$8:$T$407,$AA615),$AG$8:$AG$407))))</f>
        <v/>
      </c>
      <c r="G615" s="32">
        <f>IF(OR($AB615="",$AB615="R"),"",ROUND($E615-$F615,2))</f>
        <v/>
      </c>
      <c r="H615" s="32">
        <f>IF($AB615="G",SUM($AH$8:$AH$407),IF(OR($AB615="",$AB615="R"),"",IF($AB615="D",INDEX($AH$8:$AH$407,$AA615),SUMIF($T$8:$T$407,INDEX($T$8:$T$407,$AA615),$AH$8:$AH$407))))</f>
        <v/>
      </c>
      <c r="AA615">
        <f>IFERROR(MATCH(608,$X$8:$X$407,1),"")</f>
        <v/>
      </c>
      <c r="AB615">
        <f>IF(608=$AD$1+1,"G",IF($AA615="","",IF(INDEX($Q$8:$Q$407,$AA615)="","",IF(608&gt;INDEX($X$8:$X$407,$AA615)+INDEX($V$8:$V$407,$AA615)+INDEX($W$8:$W$407,$AA615),"",IF(608=INDEX($X$8:$X$407,$AA615)+INDEX($V$8:$V$407,$AA615)+INDEX($W$8:$W$407,$AA615),"D",IF(AND(INDEX($W$8:$W$407,$AA615)=1,608=INDEX($X$8:$X$407,$AA615)+INDEX($V$8:$V$407,$AA615)),"S","R"))))))</f>
        <v/>
      </c>
      <c r="AC615">
        <f>IF(OR($AB615="",$AB615="G"),"",IF($AB615="D",INDEX($U$8:$U$407,$AA615),IF($AB615="S",INDEX($T$8:$T$407,$AA615)&amp;"|*",INDEX($S$8:$S$407,$AA615)&amp;"|*")))</f>
        <v/>
      </c>
    </row>
    <row r="616" ht="21" customHeight="1" s="66">
      <c r="A616" s="3">
        <f>IF($AB616="G","ผลรวมทั้งหมด",IF($AB616="R",INDEX($S$8:$S$407,$AA616),""))</f>
        <v/>
      </c>
      <c r="B616" s="3">
        <f>IF($AB616="S",INDEX($Y$8:$Y$407,$AA616),"")</f>
        <v/>
      </c>
      <c r="C616" s="68">
        <f>IF($AB616="D",INDEX($Z$8:$Z$407,$AA616),"")</f>
        <v/>
      </c>
      <c r="D616" s="31">
        <f>IF($AB616="G",SUM($AE$8:$AE$407),IF(OR($AB616="",$AB616="R"),"",IF($AB616="D",INDEX($AE$8:$AE$407,$AA616),SUMIF($T$8:$T$407,INDEX($T$8:$T$407,$AA616),$AE$8:$AE$407))))</f>
        <v/>
      </c>
      <c r="E616" s="32">
        <f>IF(609=$AD$1+3,"ขอแสดงความนับถือ",IF(609=$AD$1+6,"(                 )",IF(609=$AD$1+7,"เจ้าหน้าที่ขนส่ง",IF($AB616="G",SUM($AF$8:$AF$407),IF(OR($AB616="",$AB616="R"),"",IF($AB616="D",INDEX($AF$8:$AF$407,$AA616),SUMIF($T$8:$T$407,INDEX($T$8:$T$407,$AA616),$AF$8:$AF$407)))))))</f>
        <v/>
      </c>
      <c r="F616" s="32">
        <f>IF($AB616="G",SUM($AG$8:$AG$407),IF(OR($AB616="",$AB616="R"),"",IF($AB616="D",INDEX($AG$8:$AG$407,$AA616),SUMIF($T$8:$T$407,INDEX($T$8:$T$407,$AA616),$AG$8:$AG$407))))</f>
        <v/>
      </c>
      <c r="G616" s="32">
        <f>IF(OR($AB616="",$AB616="R"),"",ROUND($E616-$F616,2))</f>
        <v/>
      </c>
      <c r="H616" s="32">
        <f>IF($AB616="G",SUM($AH$8:$AH$407),IF(OR($AB616="",$AB616="R"),"",IF($AB616="D",INDEX($AH$8:$AH$407,$AA616),SUMIF($T$8:$T$407,INDEX($T$8:$T$407,$AA616),$AH$8:$AH$407))))</f>
        <v/>
      </c>
      <c r="AA616">
        <f>IFERROR(MATCH(609,$X$8:$X$407,1),"")</f>
        <v/>
      </c>
      <c r="AB616">
        <f>IF(609=$AD$1+1,"G",IF($AA616="","",IF(INDEX($Q$8:$Q$407,$AA616)="","",IF(609&gt;INDEX($X$8:$X$407,$AA616)+INDEX($V$8:$V$407,$AA616)+INDEX($W$8:$W$407,$AA616),"",IF(609=INDEX($X$8:$X$407,$AA616)+INDEX($V$8:$V$407,$AA616)+INDEX($W$8:$W$407,$AA616),"D",IF(AND(INDEX($W$8:$W$407,$AA616)=1,609=INDEX($X$8:$X$407,$AA616)+INDEX($V$8:$V$407,$AA616)),"S","R"))))))</f>
        <v/>
      </c>
      <c r="AC616">
        <f>IF(OR($AB616="",$AB616="G"),"",IF($AB616="D",INDEX($U$8:$U$407,$AA616),IF($AB616="S",INDEX($T$8:$T$407,$AA616)&amp;"|*",INDEX($S$8:$S$407,$AA616)&amp;"|*")))</f>
        <v/>
      </c>
    </row>
    <row r="617" ht="21" customHeight="1" s="66">
      <c r="A617" s="3">
        <f>IF($AB617="G","ผลรวมทั้งหมด",IF($AB617="R",INDEX($S$8:$S$407,$AA617),""))</f>
        <v/>
      </c>
      <c r="B617" s="3">
        <f>IF($AB617="S",INDEX($Y$8:$Y$407,$AA617),"")</f>
        <v/>
      </c>
      <c r="C617" s="68">
        <f>IF($AB617="D",INDEX($Z$8:$Z$407,$AA617),"")</f>
        <v/>
      </c>
      <c r="D617" s="31">
        <f>IF($AB617="G",SUM($AE$8:$AE$407),IF(OR($AB617="",$AB617="R"),"",IF($AB617="D",INDEX($AE$8:$AE$407,$AA617),SUMIF($T$8:$T$407,INDEX($T$8:$T$407,$AA617),$AE$8:$AE$407))))</f>
        <v/>
      </c>
      <c r="E617" s="32">
        <f>IF(610=$AD$1+3,"ขอแสดงความนับถือ",IF(610=$AD$1+6,"(                 )",IF(610=$AD$1+7,"เจ้าหน้าที่ขนส่ง",IF($AB617="G",SUM($AF$8:$AF$407),IF(OR($AB617="",$AB617="R"),"",IF($AB617="D",INDEX($AF$8:$AF$407,$AA617),SUMIF($T$8:$T$407,INDEX($T$8:$T$407,$AA617),$AF$8:$AF$407)))))))</f>
        <v/>
      </c>
      <c r="F617" s="32">
        <f>IF($AB617="G",SUM($AG$8:$AG$407),IF(OR($AB617="",$AB617="R"),"",IF($AB617="D",INDEX($AG$8:$AG$407,$AA617),SUMIF($T$8:$T$407,INDEX($T$8:$T$407,$AA617),$AG$8:$AG$407))))</f>
        <v/>
      </c>
      <c r="G617" s="32">
        <f>IF(OR($AB617="",$AB617="R"),"",ROUND($E617-$F617,2))</f>
        <v/>
      </c>
      <c r="H617" s="32">
        <f>IF($AB617="G",SUM($AH$8:$AH$407),IF(OR($AB617="",$AB617="R"),"",IF($AB617="D",INDEX($AH$8:$AH$407,$AA617),SUMIF($T$8:$T$407,INDEX($T$8:$T$407,$AA617),$AH$8:$AH$407))))</f>
        <v/>
      </c>
      <c r="AA617">
        <f>IFERROR(MATCH(610,$X$8:$X$407,1),"")</f>
        <v/>
      </c>
      <c r="AB617">
        <f>IF(610=$AD$1+1,"G",IF($AA617="","",IF(INDEX($Q$8:$Q$407,$AA617)="","",IF(610&gt;INDEX($X$8:$X$407,$AA617)+INDEX($V$8:$V$407,$AA617)+INDEX($W$8:$W$407,$AA617),"",IF(610=INDEX($X$8:$X$407,$AA617)+INDEX($V$8:$V$407,$AA617)+INDEX($W$8:$W$407,$AA617),"D",IF(AND(INDEX($W$8:$W$407,$AA617)=1,610=INDEX($X$8:$X$407,$AA617)+INDEX($V$8:$V$407,$AA617)),"S","R"))))))</f>
        <v/>
      </c>
      <c r="AC617">
        <f>IF(OR($AB617="",$AB617="G"),"",IF($AB617="D",INDEX($U$8:$U$407,$AA617),IF($AB617="S",INDEX($T$8:$T$407,$AA617)&amp;"|*",INDEX($S$8:$S$407,$AA617)&amp;"|*")))</f>
        <v/>
      </c>
    </row>
    <row r="618" ht="21" customHeight="1" s="66">
      <c r="A618" s="3">
        <f>IF($AB618="G","ผลรวมทั้งหมด",IF($AB618="R",INDEX($S$8:$S$407,$AA618),""))</f>
        <v/>
      </c>
      <c r="B618" s="3">
        <f>IF($AB618="S",INDEX($Y$8:$Y$407,$AA618),"")</f>
        <v/>
      </c>
      <c r="C618" s="68">
        <f>IF($AB618="D",INDEX($Z$8:$Z$407,$AA618),"")</f>
        <v/>
      </c>
      <c r="D618" s="31">
        <f>IF($AB618="G",SUM($AE$8:$AE$407),IF(OR($AB618="",$AB618="R"),"",IF($AB618="D",INDEX($AE$8:$AE$407,$AA618),SUMIF($T$8:$T$407,INDEX($T$8:$T$407,$AA618),$AE$8:$AE$407))))</f>
        <v/>
      </c>
      <c r="E618" s="32">
        <f>IF(611=$AD$1+3,"ขอแสดงความนับถือ",IF(611=$AD$1+6,"(                 )",IF(611=$AD$1+7,"เจ้าหน้าที่ขนส่ง",IF($AB618="G",SUM($AF$8:$AF$407),IF(OR($AB618="",$AB618="R"),"",IF($AB618="D",INDEX($AF$8:$AF$407,$AA618),SUMIF($T$8:$T$407,INDEX($T$8:$T$407,$AA618),$AF$8:$AF$407)))))))</f>
        <v/>
      </c>
      <c r="F618" s="32">
        <f>IF($AB618="G",SUM($AG$8:$AG$407),IF(OR($AB618="",$AB618="R"),"",IF($AB618="D",INDEX($AG$8:$AG$407,$AA618),SUMIF($T$8:$T$407,INDEX($T$8:$T$407,$AA618),$AG$8:$AG$407))))</f>
        <v/>
      </c>
      <c r="G618" s="32">
        <f>IF(OR($AB618="",$AB618="R"),"",ROUND($E618-$F618,2))</f>
        <v/>
      </c>
      <c r="H618" s="32">
        <f>IF($AB618="G",SUM($AH$8:$AH$407),IF(OR($AB618="",$AB618="R"),"",IF($AB618="D",INDEX($AH$8:$AH$407,$AA618),SUMIF($T$8:$T$407,INDEX($T$8:$T$407,$AA618),$AH$8:$AH$407))))</f>
        <v/>
      </c>
      <c r="AA618">
        <f>IFERROR(MATCH(611,$X$8:$X$407,1),"")</f>
        <v/>
      </c>
      <c r="AB618">
        <f>IF(611=$AD$1+1,"G",IF($AA618="","",IF(INDEX($Q$8:$Q$407,$AA618)="","",IF(611&gt;INDEX($X$8:$X$407,$AA618)+INDEX($V$8:$V$407,$AA618)+INDEX($W$8:$W$407,$AA618),"",IF(611=INDEX($X$8:$X$407,$AA618)+INDEX($V$8:$V$407,$AA618)+INDEX($W$8:$W$407,$AA618),"D",IF(AND(INDEX($W$8:$W$407,$AA618)=1,611=INDEX($X$8:$X$407,$AA618)+INDEX($V$8:$V$407,$AA618)),"S","R"))))))</f>
        <v/>
      </c>
      <c r="AC618">
        <f>IF(OR($AB618="",$AB618="G"),"",IF($AB618="D",INDEX($U$8:$U$407,$AA618),IF($AB618="S",INDEX($T$8:$T$407,$AA618)&amp;"|*",INDEX($S$8:$S$407,$AA618)&amp;"|*")))</f>
        <v/>
      </c>
    </row>
    <row r="619" ht="21" customHeight="1" s="66">
      <c r="A619" s="3">
        <f>IF($AB619="G","ผลรวมทั้งหมด",IF($AB619="R",INDEX($S$8:$S$407,$AA619),""))</f>
        <v/>
      </c>
      <c r="B619" s="3">
        <f>IF($AB619="S",INDEX($Y$8:$Y$407,$AA619),"")</f>
        <v/>
      </c>
      <c r="C619" s="68">
        <f>IF($AB619="D",INDEX($Z$8:$Z$407,$AA619),"")</f>
        <v/>
      </c>
      <c r="D619" s="31">
        <f>IF($AB619="G",SUM($AE$8:$AE$407),IF(OR($AB619="",$AB619="R"),"",IF($AB619="D",INDEX($AE$8:$AE$407,$AA619),SUMIF($T$8:$T$407,INDEX($T$8:$T$407,$AA619),$AE$8:$AE$407))))</f>
        <v/>
      </c>
      <c r="E619" s="32">
        <f>IF(612=$AD$1+3,"ขอแสดงความนับถือ",IF(612=$AD$1+6,"(                 )",IF(612=$AD$1+7,"เจ้าหน้าที่ขนส่ง",IF($AB619="G",SUM($AF$8:$AF$407),IF(OR($AB619="",$AB619="R"),"",IF($AB619="D",INDEX($AF$8:$AF$407,$AA619),SUMIF($T$8:$T$407,INDEX($T$8:$T$407,$AA619),$AF$8:$AF$407)))))))</f>
        <v/>
      </c>
      <c r="F619" s="32">
        <f>IF($AB619="G",SUM($AG$8:$AG$407),IF(OR($AB619="",$AB619="R"),"",IF($AB619="D",INDEX($AG$8:$AG$407,$AA619),SUMIF($T$8:$T$407,INDEX($T$8:$T$407,$AA619),$AG$8:$AG$407))))</f>
        <v/>
      </c>
      <c r="G619" s="32">
        <f>IF(OR($AB619="",$AB619="R"),"",ROUND($E619-$F619,2))</f>
        <v/>
      </c>
      <c r="H619" s="32">
        <f>IF($AB619="G",SUM($AH$8:$AH$407),IF(OR($AB619="",$AB619="R"),"",IF($AB619="D",INDEX($AH$8:$AH$407,$AA619),SUMIF($T$8:$T$407,INDEX($T$8:$T$407,$AA619),$AH$8:$AH$407))))</f>
        <v/>
      </c>
      <c r="AA619">
        <f>IFERROR(MATCH(612,$X$8:$X$407,1),"")</f>
        <v/>
      </c>
      <c r="AB619">
        <f>IF(612=$AD$1+1,"G",IF($AA619="","",IF(INDEX($Q$8:$Q$407,$AA619)="","",IF(612&gt;INDEX($X$8:$X$407,$AA619)+INDEX($V$8:$V$407,$AA619)+INDEX($W$8:$W$407,$AA619),"",IF(612=INDEX($X$8:$X$407,$AA619)+INDEX($V$8:$V$407,$AA619)+INDEX($W$8:$W$407,$AA619),"D",IF(AND(INDEX($W$8:$W$407,$AA619)=1,612=INDEX($X$8:$X$407,$AA619)+INDEX($V$8:$V$407,$AA619)),"S","R"))))))</f>
        <v/>
      </c>
      <c r="AC619">
        <f>IF(OR($AB619="",$AB619="G"),"",IF($AB619="D",INDEX($U$8:$U$407,$AA619),IF($AB619="S",INDEX($T$8:$T$407,$AA619)&amp;"|*",INDEX($S$8:$S$407,$AA619)&amp;"|*")))</f>
        <v/>
      </c>
    </row>
    <row r="620" ht="21" customHeight="1" s="66">
      <c r="A620" s="3">
        <f>IF($AB620="G","ผลรวมทั้งหมด",IF($AB620="R",INDEX($S$8:$S$407,$AA620),""))</f>
        <v/>
      </c>
      <c r="B620" s="3">
        <f>IF($AB620="S",INDEX($Y$8:$Y$407,$AA620),"")</f>
        <v/>
      </c>
      <c r="C620" s="68">
        <f>IF($AB620="D",INDEX($Z$8:$Z$407,$AA620),"")</f>
        <v/>
      </c>
      <c r="D620" s="31">
        <f>IF($AB620="G",SUM($AE$8:$AE$407),IF(OR($AB620="",$AB620="R"),"",IF($AB620="D",INDEX($AE$8:$AE$407,$AA620),SUMIF($T$8:$T$407,INDEX($T$8:$T$407,$AA620),$AE$8:$AE$407))))</f>
        <v/>
      </c>
      <c r="E620" s="32">
        <f>IF(613=$AD$1+3,"ขอแสดงความนับถือ",IF(613=$AD$1+6,"(                 )",IF(613=$AD$1+7,"เจ้าหน้าที่ขนส่ง",IF($AB620="G",SUM($AF$8:$AF$407),IF(OR($AB620="",$AB620="R"),"",IF($AB620="D",INDEX($AF$8:$AF$407,$AA620),SUMIF($T$8:$T$407,INDEX($T$8:$T$407,$AA620),$AF$8:$AF$407)))))))</f>
        <v/>
      </c>
      <c r="F620" s="32">
        <f>IF($AB620="G",SUM($AG$8:$AG$407),IF(OR($AB620="",$AB620="R"),"",IF($AB620="D",INDEX($AG$8:$AG$407,$AA620),SUMIF($T$8:$T$407,INDEX($T$8:$T$407,$AA620),$AG$8:$AG$407))))</f>
        <v/>
      </c>
      <c r="G620" s="32">
        <f>IF(OR($AB620="",$AB620="R"),"",ROUND($E620-$F620,2))</f>
        <v/>
      </c>
      <c r="H620" s="32">
        <f>IF($AB620="G",SUM($AH$8:$AH$407),IF(OR($AB620="",$AB620="R"),"",IF($AB620="D",INDEX($AH$8:$AH$407,$AA620),SUMIF($T$8:$T$407,INDEX($T$8:$T$407,$AA620),$AH$8:$AH$407))))</f>
        <v/>
      </c>
      <c r="AA620">
        <f>IFERROR(MATCH(613,$X$8:$X$407,1),"")</f>
        <v/>
      </c>
      <c r="AB620">
        <f>IF(613=$AD$1+1,"G",IF($AA620="","",IF(INDEX($Q$8:$Q$407,$AA620)="","",IF(613&gt;INDEX($X$8:$X$407,$AA620)+INDEX($V$8:$V$407,$AA620)+INDEX($W$8:$W$407,$AA620),"",IF(613=INDEX($X$8:$X$407,$AA620)+INDEX($V$8:$V$407,$AA620)+INDEX($W$8:$W$407,$AA620),"D",IF(AND(INDEX($W$8:$W$407,$AA620)=1,613=INDEX($X$8:$X$407,$AA620)+INDEX($V$8:$V$407,$AA620)),"S","R"))))))</f>
        <v/>
      </c>
      <c r="AC620">
        <f>IF(OR($AB620="",$AB620="G"),"",IF($AB620="D",INDEX($U$8:$U$407,$AA620),IF($AB620="S",INDEX($T$8:$T$407,$AA620)&amp;"|*",INDEX($S$8:$S$407,$AA620)&amp;"|*")))</f>
        <v/>
      </c>
    </row>
    <row r="621" ht="21" customHeight="1" s="66">
      <c r="A621" s="3">
        <f>IF($AB621="G","ผลรวมทั้งหมด",IF($AB621="R",INDEX($S$8:$S$407,$AA621),""))</f>
        <v/>
      </c>
      <c r="B621" s="3">
        <f>IF($AB621="S",INDEX($Y$8:$Y$407,$AA621),"")</f>
        <v/>
      </c>
      <c r="C621" s="68">
        <f>IF($AB621="D",INDEX($Z$8:$Z$407,$AA621),"")</f>
        <v/>
      </c>
      <c r="D621" s="31">
        <f>IF($AB621="G",SUM($AE$8:$AE$407),IF(OR($AB621="",$AB621="R"),"",IF($AB621="D",INDEX($AE$8:$AE$407,$AA621),SUMIF($T$8:$T$407,INDEX($T$8:$T$407,$AA621),$AE$8:$AE$407))))</f>
        <v/>
      </c>
      <c r="E621" s="32">
        <f>IF(614=$AD$1+3,"ขอแสดงความนับถือ",IF(614=$AD$1+6,"(                 )",IF(614=$AD$1+7,"เจ้าหน้าที่ขนส่ง",IF($AB621="G",SUM($AF$8:$AF$407),IF(OR($AB621="",$AB621="R"),"",IF($AB621="D",INDEX($AF$8:$AF$407,$AA621),SUMIF($T$8:$T$407,INDEX($T$8:$T$407,$AA621),$AF$8:$AF$407)))))))</f>
        <v/>
      </c>
      <c r="F621" s="32">
        <f>IF($AB621="G",SUM($AG$8:$AG$407),IF(OR($AB621="",$AB621="R"),"",IF($AB621="D",INDEX($AG$8:$AG$407,$AA621),SUMIF($T$8:$T$407,INDEX($T$8:$T$407,$AA621),$AG$8:$AG$407))))</f>
        <v/>
      </c>
      <c r="G621" s="32">
        <f>IF(OR($AB621="",$AB621="R"),"",ROUND($E621-$F621,2))</f>
        <v/>
      </c>
      <c r="H621" s="32">
        <f>IF($AB621="G",SUM($AH$8:$AH$407),IF(OR($AB621="",$AB621="R"),"",IF($AB621="D",INDEX($AH$8:$AH$407,$AA621),SUMIF($T$8:$T$407,INDEX($T$8:$T$407,$AA621),$AH$8:$AH$407))))</f>
        <v/>
      </c>
      <c r="AA621">
        <f>IFERROR(MATCH(614,$X$8:$X$407,1),"")</f>
        <v/>
      </c>
      <c r="AB621">
        <f>IF(614=$AD$1+1,"G",IF($AA621="","",IF(INDEX($Q$8:$Q$407,$AA621)="","",IF(614&gt;INDEX($X$8:$X$407,$AA621)+INDEX($V$8:$V$407,$AA621)+INDEX($W$8:$W$407,$AA621),"",IF(614=INDEX($X$8:$X$407,$AA621)+INDEX($V$8:$V$407,$AA621)+INDEX($W$8:$W$407,$AA621),"D",IF(AND(INDEX($W$8:$W$407,$AA621)=1,614=INDEX($X$8:$X$407,$AA621)+INDEX($V$8:$V$407,$AA621)),"S","R"))))))</f>
        <v/>
      </c>
      <c r="AC621">
        <f>IF(OR($AB621="",$AB621="G"),"",IF($AB621="D",INDEX($U$8:$U$407,$AA621),IF($AB621="S",INDEX($T$8:$T$407,$AA621)&amp;"|*",INDEX($S$8:$S$407,$AA621)&amp;"|*")))</f>
        <v/>
      </c>
    </row>
    <row r="622" ht="21" customHeight="1" s="66">
      <c r="A622" s="3">
        <f>IF($AB622="G","ผลรวมทั้งหมด",IF($AB622="R",INDEX($S$8:$S$407,$AA622),""))</f>
        <v/>
      </c>
      <c r="B622" s="3">
        <f>IF($AB622="S",INDEX($Y$8:$Y$407,$AA622),"")</f>
        <v/>
      </c>
      <c r="C622" s="68">
        <f>IF($AB622="D",INDEX($Z$8:$Z$407,$AA622),"")</f>
        <v/>
      </c>
      <c r="D622" s="31">
        <f>IF($AB622="G",SUM($AE$8:$AE$407),IF(OR($AB622="",$AB622="R"),"",IF($AB622="D",INDEX($AE$8:$AE$407,$AA622),SUMIF($T$8:$T$407,INDEX($T$8:$T$407,$AA622),$AE$8:$AE$407))))</f>
        <v/>
      </c>
      <c r="E622" s="32">
        <f>IF(615=$AD$1+3,"ขอแสดงความนับถือ",IF(615=$AD$1+6,"(                 )",IF(615=$AD$1+7,"เจ้าหน้าที่ขนส่ง",IF($AB622="G",SUM($AF$8:$AF$407),IF(OR($AB622="",$AB622="R"),"",IF($AB622="D",INDEX($AF$8:$AF$407,$AA622),SUMIF($T$8:$T$407,INDEX($T$8:$T$407,$AA622),$AF$8:$AF$407)))))))</f>
        <v/>
      </c>
      <c r="F622" s="32">
        <f>IF($AB622="G",SUM($AG$8:$AG$407),IF(OR($AB622="",$AB622="R"),"",IF($AB622="D",INDEX($AG$8:$AG$407,$AA622),SUMIF($T$8:$T$407,INDEX($T$8:$T$407,$AA622),$AG$8:$AG$407))))</f>
        <v/>
      </c>
      <c r="G622" s="32">
        <f>IF(OR($AB622="",$AB622="R"),"",ROUND($E622-$F622,2))</f>
        <v/>
      </c>
      <c r="H622" s="32">
        <f>IF($AB622="G",SUM($AH$8:$AH$407),IF(OR($AB622="",$AB622="R"),"",IF($AB622="D",INDEX($AH$8:$AH$407,$AA622),SUMIF($T$8:$T$407,INDEX($T$8:$T$407,$AA622),$AH$8:$AH$407))))</f>
        <v/>
      </c>
      <c r="AA622">
        <f>IFERROR(MATCH(615,$X$8:$X$407,1),"")</f>
        <v/>
      </c>
      <c r="AB622">
        <f>IF(615=$AD$1+1,"G",IF($AA622="","",IF(INDEX($Q$8:$Q$407,$AA622)="","",IF(615&gt;INDEX($X$8:$X$407,$AA622)+INDEX($V$8:$V$407,$AA622)+INDEX($W$8:$W$407,$AA622),"",IF(615=INDEX($X$8:$X$407,$AA622)+INDEX($V$8:$V$407,$AA622)+INDEX($W$8:$W$407,$AA622),"D",IF(AND(INDEX($W$8:$W$407,$AA622)=1,615=INDEX($X$8:$X$407,$AA622)+INDEX($V$8:$V$407,$AA622)),"S","R"))))))</f>
        <v/>
      </c>
      <c r="AC622">
        <f>IF(OR($AB622="",$AB622="G"),"",IF($AB622="D",INDEX($U$8:$U$407,$AA622),IF($AB622="S",INDEX($T$8:$T$407,$AA622)&amp;"|*",INDEX($S$8:$S$407,$AA622)&amp;"|*")))</f>
        <v/>
      </c>
    </row>
    <row r="623" ht="21" customHeight="1" s="66">
      <c r="A623" s="3">
        <f>IF($AB623="G","ผลรวมทั้งหมด",IF($AB623="R",INDEX($S$8:$S$407,$AA623),""))</f>
        <v/>
      </c>
      <c r="B623" s="3">
        <f>IF($AB623="S",INDEX($Y$8:$Y$407,$AA623),"")</f>
        <v/>
      </c>
      <c r="C623" s="68">
        <f>IF($AB623="D",INDEX($Z$8:$Z$407,$AA623),"")</f>
        <v/>
      </c>
      <c r="D623" s="31">
        <f>IF($AB623="G",SUM($AE$8:$AE$407),IF(OR($AB623="",$AB623="R"),"",IF($AB623="D",INDEX($AE$8:$AE$407,$AA623),SUMIF($T$8:$T$407,INDEX($T$8:$T$407,$AA623),$AE$8:$AE$407))))</f>
        <v/>
      </c>
      <c r="E623" s="32">
        <f>IF(616=$AD$1+3,"ขอแสดงความนับถือ",IF(616=$AD$1+6,"(                 )",IF(616=$AD$1+7,"เจ้าหน้าที่ขนส่ง",IF($AB623="G",SUM($AF$8:$AF$407),IF(OR($AB623="",$AB623="R"),"",IF($AB623="D",INDEX($AF$8:$AF$407,$AA623),SUMIF($T$8:$T$407,INDEX($T$8:$T$407,$AA623),$AF$8:$AF$407)))))))</f>
        <v/>
      </c>
      <c r="F623" s="32">
        <f>IF($AB623="G",SUM($AG$8:$AG$407),IF(OR($AB623="",$AB623="R"),"",IF($AB623="D",INDEX($AG$8:$AG$407,$AA623),SUMIF($T$8:$T$407,INDEX($T$8:$T$407,$AA623),$AG$8:$AG$407))))</f>
        <v/>
      </c>
      <c r="G623" s="32">
        <f>IF(OR($AB623="",$AB623="R"),"",ROUND($E623-$F623,2))</f>
        <v/>
      </c>
      <c r="H623" s="32">
        <f>IF($AB623="G",SUM($AH$8:$AH$407),IF(OR($AB623="",$AB623="R"),"",IF($AB623="D",INDEX($AH$8:$AH$407,$AA623),SUMIF($T$8:$T$407,INDEX($T$8:$T$407,$AA623),$AH$8:$AH$407))))</f>
        <v/>
      </c>
      <c r="AA623">
        <f>IFERROR(MATCH(616,$X$8:$X$407,1),"")</f>
        <v/>
      </c>
      <c r="AB623">
        <f>IF(616=$AD$1+1,"G",IF($AA623="","",IF(INDEX($Q$8:$Q$407,$AA623)="","",IF(616&gt;INDEX($X$8:$X$407,$AA623)+INDEX($V$8:$V$407,$AA623)+INDEX($W$8:$W$407,$AA623),"",IF(616=INDEX($X$8:$X$407,$AA623)+INDEX($V$8:$V$407,$AA623)+INDEX($W$8:$W$407,$AA623),"D",IF(AND(INDEX($W$8:$W$407,$AA623)=1,616=INDEX($X$8:$X$407,$AA623)+INDEX($V$8:$V$407,$AA623)),"S","R"))))))</f>
        <v/>
      </c>
      <c r="AC623">
        <f>IF(OR($AB623="",$AB623="G"),"",IF($AB623="D",INDEX($U$8:$U$407,$AA623),IF($AB623="S",INDEX($T$8:$T$407,$AA623)&amp;"|*",INDEX($S$8:$S$407,$AA623)&amp;"|*")))</f>
        <v/>
      </c>
    </row>
    <row r="624" ht="21" customHeight="1" s="66">
      <c r="A624" s="3">
        <f>IF($AB624="G","ผลรวมทั้งหมด",IF($AB624="R",INDEX($S$8:$S$407,$AA624),""))</f>
        <v/>
      </c>
      <c r="B624" s="3">
        <f>IF($AB624="S",INDEX($Y$8:$Y$407,$AA624),"")</f>
        <v/>
      </c>
      <c r="C624" s="68">
        <f>IF($AB624="D",INDEX($Z$8:$Z$407,$AA624),"")</f>
        <v/>
      </c>
      <c r="D624" s="31">
        <f>IF($AB624="G",SUM($AE$8:$AE$407),IF(OR($AB624="",$AB624="R"),"",IF($AB624="D",INDEX($AE$8:$AE$407,$AA624),SUMIF($T$8:$T$407,INDEX($T$8:$T$407,$AA624),$AE$8:$AE$407))))</f>
        <v/>
      </c>
      <c r="E624" s="32">
        <f>IF(617=$AD$1+3,"ขอแสดงความนับถือ",IF(617=$AD$1+6,"(                 )",IF(617=$AD$1+7,"เจ้าหน้าที่ขนส่ง",IF($AB624="G",SUM($AF$8:$AF$407),IF(OR($AB624="",$AB624="R"),"",IF($AB624="D",INDEX($AF$8:$AF$407,$AA624),SUMIF($T$8:$T$407,INDEX($T$8:$T$407,$AA624),$AF$8:$AF$407)))))))</f>
        <v/>
      </c>
      <c r="F624" s="32">
        <f>IF($AB624="G",SUM($AG$8:$AG$407),IF(OR($AB624="",$AB624="R"),"",IF($AB624="D",INDEX($AG$8:$AG$407,$AA624),SUMIF($T$8:$T$407,INDEX($T$8:$T$407,$AA624),$AG$8:$AG$407))))</f>
        <v/>
      </c>
      <c r="G624" s="32">
        <f>IF(OR($AB624="",$AB624="R"),"",ROUND($E624-$F624,2))</f>
        <v/>
      </c>
      <c r="H624" s="32">
        <f>IF($AB624="G",SUM($AH$8:$AH$407),IF(OR($AB624="",$AB624="R"),"",IF($AB624="D",INDEX($AH$8:$AH$407,$AA624),SUMIF($T$8:$T$407,INDEX($T$8:$T$407,$AA624),$AH$8:$AH$407))))</f>
        <v/>
      </c>
      <c r="AA624">
        <f>IFERROR(MATCH(617,$X$8:$X$407,1),"")</f>
        <v/>
      </c>
      <c r="AB624">
        <f>IF(617=$AD$1+1,"G",IF($AA624="","",IF(INDEX($Q$8:$Q$407,$AA624)="","",IF(617&gt;INDEX($X$8:$X$407,$AA624)+INDEX($V$8:$V$407,$AA624)+INDEX($W$8:$W$407,$AA624),"",IF(617=INDEX($X$8:$X$407,$AA624)+INDEX($V$8:$V$407,$AA624)+INDEX($W$8:$W$407,$AA624),"D",IF(AND(INDEX($W$8:$W$407,$AA624)=1,617=INDEX($X$8:$X$407,$AA624)+INDEX($V$8:$V$407,$AA624)),"S","R"))))))</f>
        <v/>
      </c>
      <c r="AC624">
        <f>IF(OR($AB624="",$AB624="G"),"",IF($AB624="D",INDEX($U$8:$U$407,$AA624),IF($AB624="S",INDEX($T$8:$T$407,$AA624)&amp;"|*",INDEX($S$8:$S$407,$AA624)&amp;"|*")))</f>
        <v/>
      </c>
    </row>
    <row r="625" ht="21" customHeight="1" s="66">
      <c r="A625" s="3">
        <f>IF($AB625="G","ผลรวมทั้งหมด",IF($AB625="R",INDEX($S$8:$S$407,$AA625),""))</f>
        <v/>
      </c>
      <c r="B625" s="3">
        <f>IF($AB625="S",INDEX($Y$8:$Y$407,$AA625),"")</f>
        <v/>
      </c>
      <c r="C625" s="68">
        <f>IF($AB625="D",INDEX($Z$8:$Z$407,$AA625),"")</f>
        <v/>
      </c>
      <c r="D625" s="31">
        <f>IF($AB625="G",SUM($AE$8:$AE$407),IF(OR($AB625="",$AB625="R"),"",IF($AB625="D",INDEX($AE$8:$AE$407,$AA625),SUMIF($T$8:$T$407,INDEX($T$8:$T$407,$AA625),$AE$8:$AE$407))))</f>
        <v/>
      </c>
      <c r="E625" s="32">
        <f>IF(618=$AD$1+3,"ขอแสดงความนับถือ",IF(618=$AD$1+6,"(                 )",IF(618=$AD$1+7,"เจ้าหน้าที่ขนส่ง",IF($AB625="G",SUM($AF$8:$AF$407),IF(OR($AB625="",$AB625="R"),"",IF($AB625="D",INDEX($AF$8:$AF$407,$AA625),SUMIF($T$8:$T$407,INDEX($T$8:$T$407,$AA625),$AF$8:$AF$407)))))))</f>
        <v/>
      </c>
      <c r="F625" s="32">
        <f>IF($AB625="G",SUM($AG$8:$AG$407),IF(OR($AB625="",$AB625="R"),"",IF($AB625="D",INDEX($AG$8:$AG$407,$AA625),SUMIF($T$8:$T$407,INDEX($T$8:$T$407,$AA625),$AG$8:$AG$407))))</f>
        <v/>
      </c>
      <c r="G625" s="32">
        <f>IF(OR($AB625="",$AB625="R"),"",ROUND($E625-$F625,2))</f>
        <v/>
      </c>
      <c r="H625" s="32">
        <f>IF($AB625="G",SUM($AH$8:$AH$407),IF(OR($AB625="",$AB625="R"),"",IF($AB625="D",INDEX($AH$8:$AH$407,$AA625),SUMIF($T$8:$T$407,INDEX($T$8:$T$407,$AA625),$AH$8:$AH$407))))</f>
        <v/>
      </c>
      <c r="AA625">
        <f>IFERROR(MATCH(618,$X$8:$X$407,1),"")</f>
        <v/>
      </c>
      <c r="AB625">
        <f>IF(618=$AD$1+1,"G",IF($AA625="","",IF(INDEX($Q$8:$Q$407,$AA625)="","",IF(618&gt;INDEX($X$8:$X$407,$AA625)+INDEX($V$8:$V$407,$AA625)+INDEX($W$8:$W$407,$AA625),"",IF(618=INDEX($X$8:$X$407,$AA625)+INDEX($V$8:$V$407,$AA625)+INDEX($W$8:$W$407,$AA625),"D",IF(AND(INDEX($W$8:$W$407,$AA625)=1,618=INDEX($X$8:$X$407,$AA625)+INDEX($V$8:$V$407,$AA625)),"S","R"))))))</f>
        <v/>
      </c>
      <c r="AC625">
        <f>IF(OR($AB625="",$AB625="G"),"",IF($AB625="D",INDEX($U$8:$U$407,$AA625),IF($AB625="S",INDEX($T$8:$T$407,$AA625)&amp;"|*",INDEX($S$8:$S$407,$AA625)&amp;"|*")))</f>
        <v/>
      </c>
    </row>
    <row r="626" ht="21" customHeight="1" s="66">
      <c r="A626" s="3">
        <f>IF($AB626="G","ผลรวมทั้งหมด",IF($AB626="R",INDEX($S$8:$S$407,$AA626),""))</f>
        <v/>
      </c>
      <c r="B626" s="3">
        <f>IF($AB626="S",INDEX($Y$8:$Y$407,$AA626),"")</f>
        <v/>
      </c>
      <c r="C626" s="68">
        <f>IF($AB626="D",INDEX($Z$8:$Z$407,$AA626),"")</f>
        <v/>
      </c>
      <c r="D626" s="31">
        <f>IF($AB626="G",SUM($AE$8:$AE$407),IF(OR($AB626="",$AB626="R"),"",IF($AB626="D",INDEX($AE$8:$AE$407,$AA626),SUMIF($T$8:$T$407,INDEX($T$8:$T$407,$AA626),$AE$8:$AE$407))))</f>
        <v/>
      </c>
      <c r="E626" s="32">
        <f>IF(619=$AD$1+3,"ขอแสดงความนับถือ",IF(619=$AD$1+6,"(                 )",IF(619=$AD$1+7,"เจ้าหน้าที่ขนส่ง",IF($AB626="G",SUM($AF$8:$AF$407),IF(OR($AB626="",$AB626="R"),"",IF($AB626="D",INDEX($AF$8:$AF$407,$AA626),SUMIF($T$8:$T$407,INDEX($T$8:$T$407,$AA626),$AF$8:$AF$407)))))))</f>
        <v/>
      </c>
      <c r="F626" s="32">
        <f>IF($AB626="G",SUM($AG$8:$AG$407),IF(OR($AB626="",$AB626="R"),"",IF($AB626="D",INDEX($AG$8:$AG$407,$AA626),SUMIF($T$8:$T$407,INDEX($T$8:$T$407,$AA626),$AG$8:$AG$407))))</f>
        <v/>
      </c>
      <c r="G626" s="32">
        <f>IF(OR($AB626="",$AB626="R"),"",ROUND($E626-$F626,2))</f>
        <v/>
      </c>
      <c r="H626" s="32">
        <f>IF($AB626="G",SUM($AH$8:$AH$407),IF(OR($AB626="",$AB626="R"),"",IF($AB626="D",INDEX($AH$8:$AH$407,$AA626),SUMIF($T$8:$T$407,INDEX($T$8:$T$407,$AA626),$AH$8:$AH$407))))</f>
        <v/>
      </c>
      <c r="AA626">
        <f>IFERROR(MATCH(619,$X$8:$X$407,1),"")</f>
        <v/>
      </c>
      <c r="AB626">
        <f>IF(619=$AD$1+1,"G",IF($AA626="","",IF(INDEX($Q$8:$Q$407,$AA626)="","",IF(619&gt;INDEX($X$8:$X$407,$AA626)+INDEX($V$8:$V$407,$AA626)+INDEX($W$8:$W$407,$AA626),"",IF(619=INDEX($X$8:$X$407,$AA626)+INDEX($V$8:$V$407,$AA626)+INDEX($W$8:$W$407,$AA626),"D",IF(AND(INDEX($W$8:$W$407,$AA626)=1,619=INDEX($X$8:$X$407,$AA626)+INDEX($V$8:$V$407,$AA626)),"S","R"))))))</f>
        <v/>
      </c>
      <c r="AC626">
        <f>IF(OR($AB626="",$AB626="G"),"",IF($AB626="D",INDEX($U$8:$U$407,$AA626),IF($AB626="S",INDEX($T$8:$T$407,$AA626)&amp;"|*",INDEX($S$8:$S$407,$AA626)&amp;"|*")))</f>
        <v/>
      </c>
    </row>
    <row r="627" ht="21" customHeight="1" s="66">
      <c r="A627" s="3">
        <f>IF($AB627="G","ผลรวมทั้งหมด",IF($AB627="R",INDEX($S$8:$S$407,$AA627),""))</f>
        <v/>
      </c>
      <c r="B627" s="3">
        <f>IF($AB627="S",INDEX($Y$8:$Y$407,$AA627),"")</f>
        <v/>
      </c>
      <c r="C627" s="68">
        <f>IF($AB627="D",INDEX($Z$8:$Z$407,$AA627),"")</f>
        <v/>
      </c>
      <c r="D627" s="31">
        <f>IF($AB627="G",SUM($AE$8:$AE$407),IF(OR($AB627="",$AB627="R"),"",IF($AB627="D",INDEX($AE$8:$AE$407,$AA627),SUMIF($T$8:$T$407,INDEX($T$8:$T$407,$AA627),$AE$8:$AE$407))))</f>
        <v/>
      </c>
      <c r="E627" s="32">
        <f>IF(620=$AD$1+3,"ขอแสดงความนับถือ",IF(620=$AD$1+6,"(                 )",IF(620=$AD$1+7,"เจ้าหน้าที่ขนส่ง",IF($AB627="G",SUM($AF$8:$AF$407),IF(OR($AB627="",$AB627="R"),"",IF($AB627="D",INDEX($AF$8:$AF$407,$AA627),SUMIF($T$8:$T$407,INDEX($T$8:$T$407,$AA627),$AF$8:$AF$407)))))))</f>
        <v/>
      </c>
      <c r="F627" s="32">
        <f>IF($AB627="G",SUM($AG$8:$AG$407),IF(OR($AB627="",$AB627="R"),"",IF($AB627="D",INDEX($AG$8:$AG$407,$AA627),SUMIF($T$8:$T$407,INDEX($T$8:$T$407,$AA627),$AG$8:$AG$407))))</f>
        <v/>
      </c>
      <c r="G627" s="32">
        <f>IF(OR($AB627="",$AB627="R"),"",ROUND($E627-$F627,2))</f>
        <v/>
      </c>
      <c r="H627" s="32">
        <f>IF($AB627="G",SUM($AH$8:$AH$407),IF(OR($AB627="",$AB627="R"),"",IF($AB627="D",INDEX($AH$8:$AH$407,$AA627),SUMIF($T$8:$T$407,INDEX($T$8:$T$407,$AA627),$AH$8:$AH$407))))</f>
        <v/>
      </c>
      <c r="AA627">
        <f>IFERROR(MATCH(620,$X$8:$X$407,1),"")</f>
        <v/>
      </c>
      <c r="AB627">
        <f>IF(620=$AD$1+1,"G",IF($AA627="","",IF(INDEX($Q$8:$Q$407,$AA627)="","",IF(620&gt;INDEX($X$8:$X$407,$AA627)+INDEX($V$8:$V$407,$AA627)+INDEX($W$8:$W$407,$AA627),"",IF(620=INDEX($X$8:$X$407,$AA627)+INDEX($V$8:$V$407,$AA627)+INDEX($W$8:$W$407,$AA627),"D",IF(AND(INDEX($W$8:$W$407,$AA627)=1,620=INDEX($X$8:$X$407,$AA627)+INDEX($V$8:$V$407,$AA627)),"S","R"))))))</f>
        <v/>
      </c>
      <c r="AC627">
        <f>IF(OR($AB627="",$AB627="G"),"",IF($AB627="D",INDEX($U$8:$U$407,$AA627),IF($AB627="S",INDEX($T$8:$T$407,$AA627)&amp;"|*",INDEX($S$8:$S$407,$AA627)&amp;"|*")))</f>
        <v/>
      </c>
    </row>
    <row r="628" ht="21" customHeight="1" s="66">
      <c r="A628" s="3">
        <f>IF($AB628="G","ผลรวมทั้งหมด",IF($AB628="R",INDEX($S$8:$S$407,$AA628),""))</f>
        <v/>
      </c>
      <c r="B628" s="3">
        <f>IF($AB628="S",INDEX($Y$8:$Y$407,$AA628),"")</f>
        <v/>
      </c>
      <c r="C628" s="68">
        <f>IF($AB628="D",INDEX($Z$8:$Z$407,$AA628),"")</f>
        <v/>
      </c>
      <c r="D628" s="31">
        <f>IF($AB628="G",SUM($AE$8:$AE$407),IF(OR($AB628="",$AB628="R"),"",IF($AB628="D",INDEX($AE$8:$AE$407,$AA628),SUMIF($T$8:$T$407,INDEX($T$8:$T$407,$AA628),$AE$8:$AE$407))))</f>
        <v/>
      </c>
      <c r="E628" s="32">
        <f>IF(621=$AD$1+3,"ขอแสดงความนับถือ",IF(621=$AD$1+6,"(                 )",IF(621=$AD$1+7,"เจ้าหน้าที่ขนส่ง",IF($AB628="G",SUM($AF$8:$AF$407),IF(OR($AB628="",$AB628="R"),"",IF($AB628="D",INDEX($AF$8:$AF$407,$AA628),SUMIF($T$8:$T$407,INDEX($T$8:$T$407,$AA628),$AF$8:$AF$407)))))))</f>
        <v/>
      </c>
      <c r="F628" s="32">
        <f>IF($AB628="G",SUM($AG$8:$AG$407),IF(OR($AB628="",$AB628="R"),"",IF($AB628="D",INDEX($AG$8:$AG$407,$AA628),SUMIF($T$8:$T$407,INDEX($T$8:$T$407,$AA628),$AG$8:$AG$407))))</f>
        <v/>
      </c>
      <c r="G628" s="32">
        <f>IF(OR($AB628="",$AB628="R"),"",ROUND($E628-$F628,2))</f>
        <v/>
      </c>
      <c r="H628" s="32">
        <f>IF($AB628="G",SUM($AH$8:$AH$407),IF(OR($AB628="",$AB628="R"),"",IF($AB628="D",INDEX($AH$8:$AH$407,$AA628),SUMIF($T$8:$T$407,INDEX($T$8:$T$407,$AA628),$AH$8:$AH$407))))</f>
        <v/>
      </c>
      <c r="AA628">
        <f>IFERROR(MATCH(621,$X$8:$X$407,1),"")</f>
        <v/>
      </c>
      <c r="AB628">
        <f>IF(621=$AD$1+1,"G",IF($AA628="","",IF(INDEX($Q$8:$Q$407,$AA628)="","",IF(621&gt;INDEX($X$8:$X$407,$AA628)+INDEX($V$8:$V$407,$AA628)+INDEX($W$8:$W$407,$AA628),"",IF(621=INDEX($X$8:$X$407,$AA628)+INDEX($V$8:$V$407,$AA628)+INDEX($W$8:$W$407,$AA628),"D",IF(AND(INDEX($W$8:$W$407,$AA628)=1,621=INDEX($X$8:$X$407,$AA628)+INDEX($V$8:$V$407,$AA628)),"S","R"))))))</f>
        <v/>
      </c>
      <c r="AC628">
        <f>IF(OR($AB628="",$AB628="G"),"",IF($AB628="D",INDEX($U$8:$U$407,$AA628),IF($AB628="S",INDEX($T$8:$T$407,$AA628)&amp;"|*",INDEX($S$8:$S$407,$AA628)&amp;"|*")))</f>
        <v/>
      </c>
    </row>
    <row r="629" ht="21" customHeight="1" s="66">
      <c r="A629" s="3">
        <f>IF($AB629="G","ผลรวมทั้งหมด",IF($AB629="R",INDEX($S$8:$S$407,$AA629),""))</f>
        <v/>
      </c>
      <c r="B629" s="3">
        <f>IF($AB629="S",INDEX($Y$8:$Y$407,$AA629),"")</f>
        <v/>
      </c>
      <c r="C629" s="68">
        <f>IF($AB629="D",INDEX($Z$8:$Z$407,$AA629),"")</f>
        <v/>
      </c>
      <c r="D629" s="31">
        <f>IF($AB629="G",SUM($AE$8:$AE$407),IF(OR($AB629="",$AB629="R"),"",IF($AB629="D",INDEX($AE$8:$AE$407,$AA629),SUMIF($T$8:$T$407,INDEX($T$8:$T$407,$AA629),$AE$8:$AE$407))))</f>
        <v/>
      </c>
      <c r="E629" s="32">
        <f>IF(622=$AD$1+3,"ขอแสดงความนับถือ",IF(622=$AD$1+6,"(                 )",IF(622=$AD$1+7,"เจ้าหน้าที่ขนส่ง",IF($AB629="G",SUM($AF$8:$AF$407),IF(OR($AB629="",$AB629="R"),"",IF($AB629="D",INDEX($AF$8:$AF$407,$AA629),SUMIF($T$8:$T$407,INDEX($T$8:$T$407,$AA629),$AF$8:$AF$407)))))))</f>
        <v/>
      </c>
      <c r="F629" s="32">
        <f>IF($AB629="G",SUM($AG$8:$AG$407),IF(OR($AB629="",$AB629="R"),"",IF($AB629="D",INDEX($AG$8:$AG$407,$AA629),SUMIF($T$8:$T$407,INDEX($T$8:$T$407,$AA629),$AG$8:$AG$407))))</f>
        <v/>
      </c>
      <c r="G629" s="32">
        <f>IF(OR($AB629="",$AB629="R"),"",ROUND($E629-$F629,2))</f>
        <v/>
      </c>
      <c r="H629" s="32">
        <f>IF($AB629="G",SUM($AH$8:$AH$407),IF(OR($AB629="",$AB629="R"),"",IF($AB629="D",INDEX($AH$8:$AH$407,$AA629),SUMIF($T$8:$T$407,INDEX($T$8:$T$407,$AA629),$AH$8:$AH$407))))</f>
        <v/>
      </c>
      <c r="AA629">
        <f>IFERROR(MATCH(622,$X$8:$X$407,1),"")</f>
        <v/>
      </c>
      <c r="AB629">
        <f>IF(622=$AD$1+1,"G",IF($AA629="","",IF(INDEX($Q$8:$Q$407,$AA629)="","",IF(622&gt;INDEX($X$8:$X$407,$AA629)+INDEX($V$8:$V$407,$AA629)+INDEX($W$8:$W$407,$AA629),"",IF(622=INDEX($X$8:$X$407,$AA629)+INDEX($V$8:$V$407,$AA629)+INDEX($W$8:$W$407,$AA629),"D",IF(AND(INDEX($W$8:$W$407,$AA629)=1,622=INDEX($X$8:$X$407,$AA629)+INDEX($V$8:$V$407,$AA629)),"S","R"))))))</f>
        <v/>
      </c>
      <c r="AC629">
        <f>IF(OR($AB629="",$AB629="G"),"",IF($AB629="D",INDEX($U$8:$U$407,$AA629),IF($AB629="S",INDEX($T$8:$T$407,$AA629)&amp;"|*",INDEX($S$8:$S$407,$AA629)&amp;"|*")))</f>
        <v/>
      </c>
    </row>
    <row r="630" ht="21" customHeight="1" s="66">
      <c r="A630" s="3">
        <f>IF($AB630="G","ผลรวมทั้งหมด",IF($AB630="R",INDEX($S$8:$S$407,$AA630),""))</f>
        <v/>
      </c>
      <c r="B630" s="3">
        <f>IF($AB630="S",INDEX($Y$8:$Y$407,$AA630),"")</f>
        <v/>
      </c>
      <c r="C630" s="68">
        <f>IF($AB630="D",INDEX($Z$8:$Z$407,$AA630),"")</f>
        <v/>
      </c>
      <c r="D630" s="31">
        <f>IF($AB630="G",SUM($AE$8:$AE$407),IF(OR($AB630="",$AB630="R"),"",IF($AB630="D",INDEX($AE$8:$AE$407,$AA630),SUMIF($T$8:$T$407,INDEX($T$8:$T$407,$AA630),$AE$8:$AE$407))))</f>
        <v/>
      </c>
      <c r="E630" s="32">
        <f>IF(623=$AD$1+3,"ขอแสดงความนับถือ",IF(623=$AD$1+6,"(                 )",IF(623=$AD$1+7,"เจ้าหน้าที่ขนส่ง",IF($AB630="G",SUM($AF$8:$AF$407),IF(OR($AB630="",$AB630="R"),"",IF($AB630="D",INDEX($AF$8:$AF$407,$AA630),SUMIF($T$8:$T$407,INDEX($T$8:$T$407,$AA630),$AF$8:$AF$407)))))))</f>
        <v/>
      </c>
      <c r="F630" s="32">
        <f>IF($AB630="G",SUM($AG$8:$AG$407),IF(OR($AB630="",$AB630="R"),"",IF($AB630="D",INDEX($AG$8:$AG$407,$AA630),SUMIF($T$8:$T$407,INDEX($T$8:$T$407,$AA630),$AG$8:$AG$407))))</f>
        <v/>
      </c>
      <c r="G630" s="32">
        <f>IF(OR($AB630="",$AB630="R"),"",ROUND($E630-$F630,2))</f>
        <v/>
      </c>
      <c r="H630" s="32">
        <f>IF($AB630="G",SUM($AH$8:$AH$407),IF(OR($AB630="",$AB630="R"),"",IF($AB630="D",INDEX($AH$8:$AH$407,$AA630),SUMIF($T$8:$T$407,INDEX($T$8:$T$407,$AA630),$AH$8:$AH$407))))</f>
        <v/>
      </c>
      <c r="AA630">
        <f>IFERROR(MATCH(623,$X$8:$X$407,1),"")</f>
        <v/>
      </c>
      <c r="AB630">
        <f>IF(623=$AD$1+1,"G",IF($AA630="","",IF(INDEX($Q$8:$Q$407,$AA630)="","",IF(623&gt;INDEX($X$8:$X$407,$AA630)+INDEX($V$8:$V$407,$AA630)+INDEX($W$8:$W$407,$AA630),"",IF(623=INDEX($X$8:$X$407,$AA630)+INDEX($V$8:$V$407,$AA630)+INDEX($W$8:$W$407,$AA630),"D",IF(AND(INDEX($W$8:$W$407,$AA630)=1,623=INDEX($X$8:$X$407,$AA630)+INDEX($V$8:$V$407,$AA630)),"S","R"))))))</f>
        <v/>
      </c>
      <c r="AC630">
        <f>IF(OR($AB630="",$AB630="G"),"",IF($AB630="D",INDEX($U$8:$U$407,$AA630),IF($AB630="S",INDEX($T$8:$T$407,$AA630)&amp;"|*",INDEX($S$8:$S$407,$AA630)&amp;"|*")))</f>
        <v/>
      </c>
    </row>
    <row r="631" ht="21" customHeight="1" s="66">
      <c r="A631" s="3">
        <f>IF($AB631="G","ผลรวมทั้งหมด",IF($AB631="R",INDEX($S$8:$S$407,$AA631),""))</f>
        <v/>
      </c>
      <c r="B631" s="3">
        <f>IF($AB631="S",INDEX($Y$8:$Y$407,$AA631),"")</f>
        <v/>
      </c>
      <c r="C631" s="68">
        <f>IF($AB631="D",INDEX($Z$8:$Z$407,$AA631),"")</f>
        <v/>
      </c>
      <c r="D631" s="31">
        <f>IF($AB631="G",SUM($AE$8:$AE$407),IF(OR($AB631="",$AB631="R"),"",IF($AB631="D",INDEX($AE$8:$AE$407,$AA631),SUMIF($T$8:$T$407,INDEX($T$8:$T$407,$AA631),$AE$8:$AE$407))))</f>
        <v/>
      </c>
      <c r="E631" s="32">
        <f>IF(624=$AD$1+3,"ขอแสดงความนับถือ",IF(624=$AD$1+6,"(                 )",IF(624=$AD$1+7,"เจ้าหน้าที่ขนส่ง",IF($AB631="G",SUM($AF$8:$AF$407),IF(OR($AB631="",$AB631="R"),"",IF($AB631="D",INDEX($AF$8:$AF$407,$AA631),SUMIF($T$8:$T$407,INDEX($T$8:$T$407,$AA631),$AF$8:$AF$407)))))))</f>
        <v/>
      </c>
      <c r="F631" s="32">
        <f>IF($AB631="G",SUM($AG$8:$AG$407),IF(OR($AB631="",$AB631="R"),"",IF($AB631="D",INDEX($AG$8:$AG$407,$AA631),SUMIF($T$8:$T$407,INDEX($T$8:$T$407,$AA631),$AG$8:$AG$407))))</f>
        <v/>
      </c>
      <c r="G631" s="32">
        <f>IF(OR($AB631="",$AB631="R"),"",ROUND($E631-$F631,2))</f>
        <v/>
      </c>
      <c r="H631" s="32">
        <f>IF($AB631="G",SUM($AH$8:$AH$407),IF(OR($AB631="",$AB631="R"),"",IF($AB631="D",INDEX($AH$8:$AH$407,$AA631),SUMIF($T$8:$T$407,INDEX($T$8:$T$407,$AA631),$AH$8:$AH$407))))</f>
        <v/>
      </c>
      <c r="AA631">
        <f>IFERROR(MATCH(624,$X$8:$X$407,1),"")</f>
        <v/>
      </c>
      <c r="AB631">
        <f>IF(624=$AD$1+1,"G",IF($AA631="","",IF(INDEX($Q$8:$Q$407,$AA631)="","",IF(624&gt;INDEX($X$8:$X$407,$AA631)+INDEX($V$8:$V$407,$AA631)+INDEX($W$8:$W$407,$AA631),"",IF(624=INDEX($X$8:$X$407,$AA631)+INDEX($V$8:$V$407,$AA631)+INDEX($W$8:$W$407,$AA631),"D",IF(AND(INDEX($W$8:$W$407,$AA631)=1,624=INDEX($X$8:$X$407,$AA631)+INDEX($V$8:$V$407,$AA631)),"S","R"))))))</f>
        <v/>
      </c>
      <c r="AC631">
        <f>IF(OR($AB631="",$AB631="G"),"",IF($AB631="D",INDEX($U$8:$U$407,$AA631),IF($AB631="S",INDEX($T$8:$T$407,$AA631)&amp;"|*",INDEX($S$8:$S$407,$AA631)&amp;"|*")))</f>
        <v/>
      </c>
    </row>
    <row r="632" ht="21" customHeight="1" s="66">
      <c r="A632" s="3">
        <f>IF($AB632="G","ผลรวมทั้งหมด",IF($AB632="R",INDEX($S$8:$S$407,$AA632),""))</f>
        <v/>
      </c>
      <c r="B632" s="3">
        <f>IF($AB632="S",INDEX($Y$8:$Y$407,$AA632),"")</f>
        <v/>
      </c>
      <c r="C632" s="68">
        <f>IF($AB632="D",INDEX($Z$8:$Z$407,$AA632),"")</f>
        <v/>
      </c>
      <c r="D632" s="31">
        <f>IF($AB632="G",SUM($AE$8:$AE$407),IF(OR($AB632="",$AB632="R"),"",IF($AB632="D",INDEX($AE$8:$AE$407,$AA632),SUMIF($T$8:$T$407,INDEX($T$8:$T$407,$AA632),$AE$8:$AE$407))))</f>
        <v/>
      </c>
      <c r="E632" s="32">
        <f>IF(625=$AD$1+3,"ขอแสดงความนับถือ",IF(625=$AD$1+6,"(                 )",IF(625=$AD$1+7,"เจ้าหน้าที่ขนส่ง",IF($AB632="G",SUM($AF$8:$AF$407),IF(OR($AB632="",$AB632="R"),"",IF($AB632="D",INDEX($AF$8:$AF$407,$AA632),SUMIF($T$8:$T$407,INDEX($T$8:$T$407,$AA632),$AF$8:$AF$407)))))))</f>
        <v/>
      </c>
      <c r="F632" s="32">
        <f>IF($AB632="G",SUM($AG$8:$AG$407),IF(OR($AB632="",$AB632="R"),"",IF($AB632="D",INDEX($AG$8:$AG$407,$AA632),SUMIF($T$8:$T$407,INDEX($T$8:$T$407,$AA632),$AG$8:$AG$407))))</f>
        <v/>
      </c>
      <c r="G632" s="32">
        <f>IF(OR($AB632="",$AB632="R"),"",ROUND($E632-$F632,2))</f>
        <v/>
      </c>
      <c r="H632" s="32">
        <f>IF($AB632="G",SUM($AH$8:$AH$407),IF(OR($AB632="",$AB632="R"),"",IF($AB632="D",INDEX($AH$8:$AH$407,$AA632),SUMIF($T$8:$T$407,INDEX($T$8:$T$407,$AA632),$AH$8:$AH$407))))</f>
        <v/>
      </c>
      <c r="AA632">
        <f>IFERROR(MATCH(625,$X$8:$X$407,1),"")</f>
        <v/>
      </c>
      <c r="AB632">
        <f>IF(625=$AD$1+1,"G",IF($AA632="","",IF(INDEX($Q$8:$Q$407,$AA632)="","",IF(625&gt;INDEX($X$8:$X$407,$AA632)+INDEX($V$8:$V$407,$AA632)+INDEX($W$8:$W$407,$AA632),"",IF(625=INDEX($X$8:$X$407,$AA632)+INDEX($V$8:$V$407,$AA632)+INDEX($W$8:$W$407,$AA632),"D",IF(AND(INDEX($W$8:$W$407,$AA632)=1,625=INDEX($X$8:$X$407,$AA632)+INDEX($V$8:$V$407,$AA632)),"S","R"))))))</f>
        <v/>
      </c>
      <c r="AC632">
        <f>IF(OR($AB632="",$AB632="G"),"",IF($AB632="D",INDEX($U$8:$U$407,$AA632),IF($AB632="S",INDEX($T$8:$T$407,$AA632)&amp;"|*",INDEX($S$8:$S$407,$AA632)&amp;"|*")))</f>
        <v/>
      </c>
    </row>
    <row r="633" ht="21" customHeight="1" s="66">
      <c r="A633" s="3">
        <f>IF($AB633="G","ผลรวมทั้งหมด",IF($AB633="R",INDEX($S$8:$S$407,$AA633),""))</f>
        <v/>
      </c>
      <c r="B633" s="3">
        <f>IF($AB633="S",INDEX($Y$8:$Y$407,$AA633),"")</f>
        <v/>
      </c>
      <c r="C633" s="68">
        <f>IF($AB633="D",INDEX($Z$8:$Z$407,$AA633),"")</f>
        <v/>
      </c>
      <c r="D633" s="31">
        <f>IF($AB633="G",SUM($AE$8:$AE$407),IF(OR($AB633="",$AB633="R"),"",IF($AB633="D",INDEX($AE$8:$AE$407,$AA633),SUMIF($T$8:$T$407,INDEX($T$8:$T$407,$AA633),$AE$8:$AE$407))))</f>
        <v/>
      </c>
      <c r="E633" s="32">
        <f>IF(626=$AD$1+3,"ขอแสดงความนับถือ",IF(626=$AD$1+6,"(                 )",IF(626=$AD$1+7,"เจ้าหน้าที่ขนส่ง",IF($AB633="G",SUM($AF$8:$AF$407),IF(OR($AB633="",$AB633="R"),"",IF($AB633="D",INDEX($AF$8:$AF$407,$AA633),SUMIF($T$8:$T$407,INDEX($T$8:$T$407,$AA633),$AF$8:$AF$407)))))))</f>
        <v/>
      </c>
      <c r="F633" s="32">
        <f>IF($AB633="G",SUM($AG$8:$AG$407),IF(OR($AB633="",$AB633="R"),"",IF($AB633="D",INDEX($AG$8:$AG$407,$AA633),SUMIF($T$8:$T$407,INDEX($T$8:$T$407,$AA633),$AG$8:$AG$407))))</f>
        <v/>
      </c>
      <c r="G633" s="32">
        <f>IF(OR($AB633="",$AB633="R"),"",ROUND($E633-$F633,2))</f>
        <v/>
      </c>
      <c r="H633" s="32">
        <f>IF($AB633="G",SUM($AH$8:$AH$407),IF(OR($AB633="",$AB633="R"),"",IF($AB633="D",INDEX($AH$8:$AH$407,$AA633),SUMIF($T$8:$T$407,INDEX($T$8:$T$407,$AA633),$AH$8:$AH$407))))</f>
        <v/>
      </c>
      <c r="AA633">
        <f>IFERROR(MATCH(626,$X$8:$X$407,1),"")</f>
        <v/>
      </c>
      <c r="AB633">
        <f>IF(626=$AD$1+1,"G",IF($AA633="","",IF(INDEX($Q$8:$Q$407,$AA633)="","",IF(626&gt;INDEX($X$8:$X$407,$AA633)+INDEX($V$8:$V$407,$AA633)+INDEX($W$8:$W$407,$AA633),"",IF(626=INDEX($X$8:$X$407,$AA633)+INDEX($V$8:$V$407,$AA633)+INDEX($W$8:$W$407,$AA633),"D",IF(AND(INDEX($W$8:$W$407,$AA633)=1,626=INDEX($X$8:$X$407,$AA633)+INDEX($V$8:$V$407,$AA633)),"S","R"))))))</f>
        <v/>
      </c>
      <c r="AC633">
        <f>IF(OR($AB633="",$AB633="G"),"",IF($AB633="D",INDEX($U$8:$U$407,$AA633),IF($AB633="S",INDEX($T$8:$T$407,$AA633)&amp;"|*",INDEX($S$8:$S$407,$AA633)&amp;"|*")))</f>
        <v/>
      </c>
    </row>
    <row r="634" ht="21" customHeight="1" s="66">
      <c r="A634" s="3">
        <f>IF($AB634="G","ผลรวมทั้งหมด",IF($AB634="R",INDEX($S$8:$S$407,$AA634),""))</f>
        <v/>
      </c>
      <c r="B634" s="3">
        <f>IF($AB634="S",INDEX($Y$8:$Y$407,$AA634),"")</f>
        <v/>
      </c>
      <c r="C634" s="68">
        <f>IF($AB634="D",INDEX($Z$8:$Z$407,$AA634),"")</f>
        <v/>
      </c>
      <c r="D634" s="31">
        <f>IF($AB634="G",SUM($AE$8:$AE$407),IF(OR($AB634="",$AB634="R"),"",IF($AB634="D",INDEX($AE$8:$AE$407,$AA634),SUMIF($T$8:$T$407,INDEX($T$8:$T$407,$AA634),$AE$8:$AE$407))))</f>
        <v/>
      </c>
      <c r="E634" s="32">
        <f>IF(627=$AD$1+3,"ขอแสดงความนับถือ",IF(627=$AD$1+6,"(                 )",IF(627=$AD$1+7,"เจ้าหน้าที่ขนส่ง",IF($AB634="G",SUM($AF$8:$AF$407),IF(OR($AB634="",$AB634="R"),"",IF($AB634="D",INDEX($AF$8:$AF$407,$AA634),SUMIF($T$8:$T$407,INDEX($T$8:$T$407,$AA634),$AF$8:$AF$407)))))))</f>
        <v/>
      </c>
      <c r="F634" s="32">
        <f>IF($AB634="G",SUM($AG$8:$AG$407),IF(OR($AB634="",$AB634="R"),"",IF($AB634="D",INDEX($AG$8:$AG$407,$AA634),SUMIF($T$8:$T$407,INDEX($T$8:$T$407,$AA634),$AG$8:$AG$407))))</f>
        <v/>
      </c>
      <c r="G634" s="32">
        <f>IF(OR($AB634="",$AB634="R"),"",ROUND($E634-$F634,2))</f>
        <v/>
      </c>
      <c r="H634" s="32">
        <f>IF($AB634="G",SUM($AH$8:$AH$407),IF(OR($AB634="",$AB634="R"),"",IF($AB634="D",INDEX($AH$8:$AH$407,$AA634),SUMIF($T$8:$T$407,INDEX($T$8:$T$407,$AA634),$AH$8:$AH$407))))</f>
        <v/>
      </c>
      <c r="AA634">
        <f>IFERROR(MATCH(627,$X$8:$X$407,1),"")</f>
        <v/>
      </c>
      <c r="AB634">
        <f>IF(627=$AD$1+1,"G",IF($AA634="","",IF(INDEX($Q$8:$Q$407,$AA634)="","",IF(627&gt;INDEX($X$8:$X$407,$AA634)+INDEX($V$8:$V$407,$AA634)+INDEX($W$8:$W$407,$AA634),"",IF(627=INDEX($X$8:$X$407,$AA634)+INDEX($V$8:$V$407,$AA634)+INDEX($W$8:$W$407,$AA634),"D",IF(AND(INDEX($W$8:$W$407,$AA634)=1,627=INDEX($X$8:$X$407,$AA634)+INDEX($V$8:$V$407,$AA634)),"S","R"))))))</f>
        <v/>
      </c>
      <c r="AC634">
        <f>IF(OR($AB634="",$AB634="G"),"",IF($AB634="D",INDEX($U$8:$U$407,$AA634),IF($AB634="S",INDEX($T$8:$T$407,$AA634)&amp;"|*",INDEX($S$8:$S$407,$AA634)&amp;"|*")))</f>
        <v/>
      </c>
    </row>
    <row r="635" ht="21" customHeight="1" s="66">
      <c r="A635" s="3">
        <f>IF($AB635="G","ผลรวมทั้งหมด",IF($AB635="R",INDEX($S$8:$S$407,$AA635),""))</f>
        <v/>
      </c>
      <c r="B635" s="3">
        <f>IF($AB635="S",INDEX($Y$8:$Y$407,$AA635),"")</f>
        <v/>
      </c>
      <c r="C635" s="68">
        <f>IF($AB635="D",INDEX($Z$8:$Z$407,$AA635),"")</f>
        <v/>
      </c>
      <c r="D635" s="31">
        <f>IF($AB635="G",SUM($AE$8:$AE$407),IF(OR($AB635="",$AB635="R"),"",IF($AB635="D",INDEX($AE$8:$AE$407,$AA635),SUMIF($T$8:$T$407,INDEX($T$8:$T$407,$AA635),$AE$8:$AE$407))))</f>
        <v/>
      </c>
      <c r="E635" s="32">
        <f>IF(628=$AD$1+3,"ขอแสดงความนับถือ",IF(628=$AD$1+6,"(                 )",IF(628=$AD$1+7,"เจ้าหน้าที่ขนส่ง",IF($AB635="G",SUM($AF$8:$AF$407),IF(OR($AB635="",$AB635="R"),"",IF($AB635="D",INDEX($AF$8:$AF$407,$AA635),SUMIF($T$8:$T$407,INDEX($T$8:$T$407,$AA635),$AF$8:$AF$407)))))))</f>
        <v/>
      </c>
      <c r="F635" s="32">
        <f>IF($AB635="G",SUM($AG$8:$AG$407),IF(OR($AB635="",$AB635="R"),"",IF($AB635="D",INDEX($AG$8:$AG$407,$AA635),SUMIF($T$8:$T$407,INDEX($T$8:$T$407,$AA635),$AG$8:$AG$407))))</f>
        <v/>
      </c>
      <c r="G635" s="32">
        <f>IF(OR($AB635="",$AB635="R"),"",ROUND($E635-$F635,2))</f>
        <v/>
      </c>
      <c r="H635" s="32">
        <f>IF($AB635="G",SUM($AH$8:$AH$407),IF(OR($AB635="",$AB635="R"),"",IF($AB635="D",INDEX($AH$8:$AH$407,$AA635),SUMIF($T$8:$T$407,INDEX($T$8:$T$407,$AA635),$AH$8:$AH$407))))</f>
        <v/>
      </c>
      <c r="AA635">
        <f>IFERROR(MATCH(628,$X$8:$X$407,1),"")</f>
        <v/>
      </c>
      <c r="AB635">
        <f>IF(628=$AD$1+1,"G",IF($AA635="","",IF(INDEX($Q$8:$Q$407,$AA635)="","",IF(628&gt;INDEX($X$8:$X$407,$AA635)+INDEX($V$8:$V$407,$AA635)+INDEX($W$8:$W$407,$AA635),"",IF(628=INDEX($X$8:$X$407,$AA635)+INDEX($V$8:$V$407,$AA635)+INDEX($W$8:$W$407,$AA635),"D",IF(AND(INDEX($W$8:$W$407,$AA635)=1,628=INDEX($X$8:$X$407,$AA635)+INDEX($V$8:$V$407,$AA635)),"S","R"))))))</f>
        <v/>
      </c>
      <c r="AC635">
        <f>IF(OR($AB635="",$AB635="G"),"",IF($AB635="D",INDEX($U$8:$U$407,$AA635),IF($AB635="S",INDEX($T$8:$T$407,$AA635)&amp;"|*",INDEX($S$8:$S$407,$AA635)&amp;"|*")))</f>
        <v/>
      </c>
    </row>
    <row r="636" ht="21" customHeight="1" s="66">
      <c r="A636" s="3">
        <f>IF($AB636="G","ผลรวมทั้งหมด",IF($AB636="R",INDEX($S$8:$S$407,$AA636),""))</f>
        <v/>
      </c>
      <c r="B636" s="3">
        <f>IF($AB636="S",INDEX($Y$8:$Y$407,$AA636),"")</f>
        <v/>
      </c>
      <c r="C636" s="68">
        <f>IF($AB636="D",INDEX($Z$8:$Z$407,$AA636),"")</f>
        <v/>
      </c>
      <c r="D636" s="31">
        <f>IF($AB636="G",SUM($AE$8:$AE$407),IF(OR($AB636="",$AB636="R"),"",IF($AB636="D",INDEX($AE$8:$AE$407,$AA636),SUMIF($T$8:$T$407,INDEX($T$8:$T$407,$AA636),$AE$8:$AE$407))))</f>
        <v/>
      </c>
      <c r="E636" s="32">
        <f>IF(629=$AD$1+3,"ขอแสดงความนับถือ",IF(629=$AD$1+6,"(                 )",IF(629=$AD$1+7,"เจ้าหน้าที่ขนส่ง",IF($AB636="G",SUM($AF$8:$AF$407),IF(OR($AB636="",$AB636="R"),"",IF($AB636="D",INDEX($AF$8:$AF$407,$AA636),SUMIF($T$8:$T$407,INDEX($T$8:$T$407,$AA636),$AF$8:$AF$407)))))))</f>
        <v/>
      </c>
      <c r="F636" s="32">
        <f>IF($AB636="G",SUM($AG$8:$AG$407),IF(OR($AB636="",$AB636="R"),"",IF($AB636="D",INDEX($AG$8:$AG$407,$AA636),SUMIF($T$8:$T$407,INDEX($T$8:$T$407,$AA636),$AG$8:$AG$407))))</f>
        <v/>
      </c>
      <c r="G636" s="32">
        <f>IF(OR($AB636="",$AB636="R"),"",ROUND($E636-$F636,2))</f>
        <v/>
      </c>
      <c r="H636" s="32">
        <f>IF($AB636="G",SUM($AH$8:$AH$407),IF(OR($AB636="",$AB636="R"),"",IF($AB636="D",INDEX($AH$8:$AH$407,$AA636),SUMIF($T$8:$T$407,INDEX($T$8:$T$407,$AA636),$AH$8:$AH$407))))</f>
        <v/>
      </c>
      <c r="AA636">
        <f>IFERROR(MATCH(629,$X$8:$X$407,1),"")</f>
        <v/>
      </c>
      <c r="AB636">
        <f>IF(629=$AD$1+1,"G",IF($AA636="","",IF(INDEX($Q$8:$Q$407,$AA636)="","",IF(629&gt;INDEX($X$8:$X$407,$AA636)+INDEX($V$8:$V$407,$AA636)+INDEX($W$8:$W$407,$AA636),"",IF(629=INDEX($X$8:$X$407,$AA636)+INDEX($V$8:$V$407,$AA636)+INDEX($W$8:$W$407,$AA636),"D",IF(AND(INDEX($W$8:$W$407,$AA636)=1,629=INDEX($X$8:$X$407,$AA636)+INDEX($V$8:$V$407,$AA636)),"S","R"))))))</f>
        <v/>
      </c>
      <c r="AC636">
        <f>IF(OR($AB636="",$AB636="G"),"",IF($AB636="D",INDEX($U$8:$U$407,$AA636),IF($AB636="S",INDEX($T$8:$T$407,$AA636)&amp;"|*",INDEX($S$8:$S$407,$AA636)&amp;"|*")))</f>
        <v/>
      </c>
    </row>
    <row r="637" ht="21" customHeight="1" s="66">
      <c r="A637" s="3">
        <f>IF($AB637="G","ผลรวมทั้งหมด",IF($AB637="R",INDEX($S$8:$S$407,$AA637),""))</f>
        <v/>
      </c>
      <c r="B637" s="3">
        <f>IF($AB637="S",INDEX($Y$8:$Y$407,$AA637),"")</f>
        <v/>
      </c>
      <c r="C637" s="68">
        <f>IF($AB637="D",INDEX($Z$8:$Z$407,$AA637),"")</f>
        <v/>
      </c>
      <c r="D637" s="31">
        <f>IF($AB637="G",SUM($AE$8:$AE$407),IF(OR($AB637="",$AB637="R"),"",IF($AB637="D",INDEX($AE$8:$AE$407,$AA637),SUMIF($T$8:$T$407,INDEX($T$8:$T$407,$AA637),$AE$8:$AE$407))))</f>
        <v/>
      </c>
      <c r="E637" s="32">
        <f>IF(630=$AD$1+3,"ขอแสดงความนับถือ",IF(630=$AD$1+6,"(                 )",IF(630=$AD$1+7,"เจ้าหน้าที่ขนส่ง",IF($AB637="G",SUM($AF$8:$AF$407),IF(OR($AB637="",$AB637="R"),"",IF($AB637="D",INDEX($AF$8:$AF$407,$AA637),SUMIF($T$8:$T$407,INDEX($T$8:$T$407,$AA637),$AF$8:$AF$407)))))))</f>
        <v/>
      </c>
      <c r="F637" s="32">
        <f>IF($AB637="G",SUM($AG$8:$AG$407),IF(OR($AB637="",$AB637="R"),"",IF($AB637="D",INDEX($AG$8:$AG$407,$AA637),SUMIF($T$8:$T$407,INDEX($T$8:$T$407,$AA637),$AG$8:$AG$407))))</f>
        <v/>
      </c>
      <c r="G637" s="32">
        <f>IF(OR($AB637="",$AB637="R"),"",ROUND($E637-$F637,2))</f>
        <v/>
      </c>
      <c r="H637" s="32">
        <f>IF($AB637="G",SUM($AH$8:$AH$407),IF(OR($AB637="",$AB637="R"),"",IF($AB637="D",INDEX($AH$8:$AH$407,$AA637),SUMIF($T$8:$T$407,INDEX($T$8:$T$407,$AA637),$AH$8:$AH$407))))</f>
        <v/>
      </c>
      <c r="AA637">
        <f>IFERROR(MATCH(630,$X$8:$X$407,1),"")</f>
        <v/>
      </c>
      <c r="AB637">
        <f>IF(630=$AD$1+1,"G",IF($AA637="","",IF(INDEX($Q$8:$Q$407,$AA637)="","",IF(630&gt;INDEX($X$8:$X$407,$AA637)+INDEX($V$8:$V$407,$AA637)+INDEX($W$8:$W$407,$AA637),"",IF(630=INDEX($X$8:$X$407,$AA637)+INDEX($V$8:$V$407,$AA637)+INDEX($W$8:$W$407,$AA637),"D",IF(AND(INDEX($W$8:$W$407,$AA637)=1,630=INDEX($X$8:$X$407,$AA637)+INDEX($V$8:$V$407,$AA637)),"S","R"))))))</f>
        <v/>
      </c>
      <c r="AC637">
        <f>IF(OR($AB637="",$AB637="G"),"",IF($AB637="D",INDEX($U$8:$U$407,$AA637),IF($AB637="S",INDEX($T$8:$T$407,$AA637)&amp;"|*",INDEX($S$8:$S$407,$AA637)&amp;"|*")))</f>
        <v/>
      </c>
    </row>
    <row r="638" ht="21" customHeight="1" s="66">
      <c r="A638" s="3">
        <f>IF($AB638="G","ผลรวมทั้งหมด",IF($AB638="R",INDEX($S$8:$S$407,$AA638),""))</f>
        <v/>
      </c>
      <c r="B638" s="3">
        <f>IF($AB638="S",INDEX($Y$8:$Y$407,$AA638),"")</f>
        <v/>
      </c>
      <c r="C638" s="68">
        <f>IF($AB638="D",INDEX($Z$8:$Z$407,$AA638),"")</f>
        <v/>
      </c>
      <c r="D638" s="31">
        <f>IF($AB638="G",SUM($AE$8:$AE$407),IF(OR($AB638="",$AB638="R"),"",IF($AB638="D",INDEX($AE$8:$AE$407,$AA638),SUMIF($T$8:$T$407,INDEX($T$8:$T$407,$AA638),$AE$8:$AE$407))))</f>
        <v/>
      </c>
      <c r="E638" s="32">
        <f>IF(631=$AD$1+3,"ขอแสดงความนับถือ",IF(631=$AD$1+6,"(                 )",IF(631=$AD$1+7,"เจ้าหน้าที่ขนส่ง",IF($AB638="G",SUM($AF$8:$AF$407),IF(OR($AB638="",$AB638="R"),"",IF($AB638="D",INDEX($AF$8:$AF$407,$AA638),SUMIF($T$8:$T$407,INDEX($T$8:$T$407,$AA638),$AF$8:$AF$407)))))))</f>
        <v/>
      </c>
      <c r="F638" s="32">
        <f>IF($AB638="G",SUM($AG$8:$AG$407),IF(OR($AB638="",$AB638="R"),"",IF($AB638="D",INDEX($AG$8:$AG$407,$AA638),SUMIF($T$8:$T$407,INDEX($T$8:$T$407,$AA638),$AG$8:$AG$407))))</f>
        <v/>
      </c>
      <c r="G638" s="32">
        <f>IF(OR($AB638="",$AB638="R"),"",ROUND($E638-$F638,2))</f>
        <v/>
      </c>
      <c r="H638" s="32">
        <f>IF($AB638="G",SUM($AH$8:$AH$407),IF(OR($AB638="",$AB638="R"),"",IF($AB638="D",INDEX($AH$8:$AH$407,$AA638),SUMIF($T$8:$T$407,INDEX($T$8:$T$407,$AA638),$AH$8:$AH$407))))</f>
        <v/>
      </c>
      <c r="AA638">
        <f>IFERROR(MATCH(631,$X$8:$X$407,1),"")</f>
        <v/>
      </c>
      <c r="AB638">
        <f>IF(631=$AD$1+1,"G",IF($AA638="","",IF(INDEX($Q$8:$Q$407,$AA638)="","",IF(631&gt;INDEX($X$8:$X$407,$AA638)+INDEX($V$8:$V$407,$AA638)+INDEX($W$8:$W$407,$AA638),"",IF(631=INDEX($X$8:$X$407,$AA638)+INDEX($V$8:$V$407,$AA638)+INDEX($W$8:$W$407,$AA638),"D",IF(AND(INDEX($W$8:$W$407,$AA638)=1,631=INDEX($X$8:$X$407,$AA638)+INDEX($V$8:$V$407,$AA638)),"S","R"))))))</f>
        <v/>
      </c>
      <c r="AC638">
        <f>IF(OR($AB638="",$AB638="G"),"",IF($AB638="D",INDEX($U$8:$U$407,$AA638),IF($AB638="S",INDEX($T$8:$T$407,$AA638)&amp;"|*",INDEX($S$8:$S$407,$AA638)&amp;"|*")))</f>
        <v/>
      </c>
    </row>
    <row r="639" ht="21" customHeight="1" s="66">
      <c r="A639" s="3">
        <f>IF($AB639="G","ผลรวมทั้งหมด",IF($AB639="R",INDEX($S$8:$S$407,$AA639),""))</f>
        <v/>
      </c>
      <c r="B639" s="3">
        <f>IF($AB639="S",INDEX($Y$8:$Y$407,$AA639),"")</f>
        <v/>
      </c>
      <c r="C639" s="68">
        <f>IF($AB639="D",INDEX($Z$8:$Z$407,$AA639),"")</f>
        <v/>
      </c>
      <c r="D639" s="31">
        <f>IF($AB639="G",SUM($AE$8:$AE$407),IF(OR($AB639="",$AB639="R"),"",IF($AB639="D",INDEX($AE$8:$AE$407,$AA639),SUMIF($T$8:$T$407,INDEX($T$8:$T$407,$AA639),$AE$8:$AE$407))))</f>
        <v/>
      </c>
      <c r="E639" s="32">
        <f>IF(632=$AD$1+3,"ขอแสดงความนับถือ",IF(632=$AD$1+6,"(                 )",IF(632=$AD$1+7,"เจ้าหน้าที่ขนส่ง",IF($AB639="G",SUM($AF$8:$AF$407),IF(OR($AB639="",$AB639="R"),"",IF($AB639="D",INDEX($AF$8:$AF$407,$AA639),SUMIF($T$8:$T$407,INDEX($T$8:$T$407,$AA639),$AF$8:$AF$407)))))))</f>
        <v/>
      </c>
      <c r="F639" s="32">
        <f>IF($AB639="G",SUM($AG$8:$AG$407),IF(OR($AB639="",$AB639="R"),"",IF($AB639="D",INDEX($AG$8:$AG$407,$AA639),SUMIF($T$8:$T$407,INDEX($T$8:$T$407,$AA639),$AG$8:$AG$407))))</f>
        <v/>
      </c>
      <c r="G639" s="32">
        <f>IF(OR($AB639="",$AB639="R"),"",ROUND($E639-$F639,2))</f>
        <v/>
      </c>
      <c r="H639" s="32">
        <f>IF($AB639="G",SUM($AH$8:$AH$407),IF(OR($AB639="",$AB639="R"),"",IF($AB639="D",INDEX($AH$8:$AH$407,$AA639),SUMIF($T$8:$T$407,INDEX($T$8:$T$407,$AA639),$AH$8:$AH$407))))</f>
        <v/>
      </c>
      <c r="AA639">
        <f>IFERROR(MATCH(632,$X$8:$X$407,1),"")</f>
        <v/>
      </c>
      <c r="AB639">
        <f>IF(632=$AD$1+1,"G",IF($AA639="","",IF(INDEX($Q$8:$Q$407,$AA639)="","",IF(632&gt;INDEX($X$8:$X$407,$AA639)+INDEX($V$8:$V$407,$AA639)+INDEX($W$8:$W$407,$AA639),"",IF(632=INDEX($X$8:$X$407,$AA639)+INDEX($V$8:$V$407,$AA639)+INDEX($W$8:$W$407,$AA639),"D",IF(AND(INDEX($W$8:$W$407,$AA639)=1,632=INDEX($X$8:$X$407,$AA639)+INDEX($V$8:$V$407,$AA639)),"S","R"))))))</f>
        <v/>
      </c>
      <c r="AC639">
        <f>IF(OR($AB639="",$AB639="G"),"",IF($AB639="D",INDEX($U$8:$U$407,$AA639),IF($AB639="S",INDEX($T$8:$T$407,$AA639)&amp;"|*",INDEX($S$8:$S$407,$AA639)&amp;"|*")))</f>
        <v/>
      </c>
    </row>
    <row r="640" ht="21" customHeight="1" s="66">
      <c r="A640" s="3">
        <f>IF($AB640="G","ผลรวมทั้งหมด",IF($AB640="R",INDEX($S$8:$S$407,$AA640),""))</f>
        <v/>
      </c>
      <c r="B640" s="3">
        <f>IF($AB640="S",INDEX($Y$8:$Y$407,$AA640),"")</f>
        <v/>
      </c>
      <c r="C640" s="68">
        <f>IF($AB640="D",INDEX($Z$8:$Z$407,$AA640),"")</f>
        <v/>
      </c>
      <c r="D640" s="31">
        <f>IF($AB640="G",SUM($AE$8:$AE$407),IF(OR($AB640="",$AB640="R"),"",IF($AB640="D",INDEX($AE$8:$AE$407,$AA640),SUMIF($T$8:$T$407,INDEX($T$8:$T$407,$AA640),$AE$8:$AE$407))))</f>
        <v/>
      </c>
      <c r="E640" s="32">
        <f>IF(633=$AD$1+3,"ขอแสดงความนับถือ",IF(633=$AD$1+6,"(                 )",IF(633=$AD$1+7,"เจ้าหน้าที่ขนส่ง",IF($AB640="G",SUM($AF$8:$AF$407),IF(OR($AB640="",$AB640="R"),"",IF($AB640="D",INDEX($AF$8:$AF$407,$AA640),SUMIF($T$8:$T$407,INDEX($T$8:$T$407,$AA640),$AF$8:$AF$407)))))))</f>
        <v/>
      </c>
      <c r="F640" s="32">
        <f>IF($AB640="G",SUM($AG$8:$AG$407),IF(OR($AB640="",$AB640="R"),"",IF($AB640="D",INDEX($AG$8:$AG$407,$AA640),SUMIF($T$8:$T$407,INDEX($T$8:$T$407,$AA640),$AG$8:$AG$407))))</f>
        <v/>
      </c>
      <c r="G640" s="32">
        <f>IF(OR($AB640="",$AB640="R"),"",ROUND($E640-$F640,2))</f>
        <v/>
      </c>
      <c r="H640" s="32">
        <f>IF($AB640="G",SUM($AH$8:$AH$407),IF(OR($AB640="",$AB640="R"),"",IF($AB640="D",INDEX($AH$8:$AH$407,$AA640),SUMIF($T$8:$T$407,INDEX($T$8:$T$407,$AA640),$AH$8:$AH$407))))</f>
        <v/>
      </c>
      <c r="AA640">
        <f>IFERROR(MATCH(633,$X$8:$X$407,1),"")</f>
        <v/>
      </c>
      <c r="AB640">
        <f>IF(633=$AD$1+1,"G",IF($AA640="","",IF(INDEX($Q$8:$Q$407,$AA640)="","",IF(633&gt;INDEX($X$8:$X$407,$AA640)+INDEX($V$8:$V$407,$AA640)+INDEX($W$8:$W$407,$AA640),"",IF(633=INDEX($X$8:$X$407,$AA640)+INDEX($V$8:$V$407,$AA640)+INDEX($W$8:$W$407,$AA640),"D",IF(AND(INDEX($W$8:$W$407,$AA640)=1,633=INDEX($X$8:$X$407,$AA640)+INDEX($V$8:$V$407,$AA640)),"S","R"))))))</f>
        <v/>
      </c>
      <c r="AC640">
        <f>IF(OR($AB640="",$AB640="G"),"",IF($AB640="D",INDEX($U$8:$U$407,$AA640),IF($AB640="S",INDEX($T$8:$T$407,$AA640)&amp;"|*",INDEX($S$8:$S$407,$AA640)&amp;"|*")))</f>
        <v/>
      </c>
    </row>
    <row r="641" ht="21" customHeight="1" s="66">
      <c r="A641" s="3">
        <f>IF($AB641="G","ผลรวมทั้งหมด",IF($AB641="R",INDEX($S$8:$S$407,$AA641),""))</f>
        <v/>
      </c>
      <c r="B641" s="3">
        <f>IF($AB641="S",INDEX($Y$8:$Y$407,$AA641),"")</f>
        <v/>
      </c>
      <c r="C641" s="68">
        <f>IF($AB641="D",INDEX($Z$8:$Z$407,$AA641),"")</f>
        <v/>
      </c>
      <c r="D641" s="31">
        <f>IF($AB641="G",SUM($AE$8:$AE$407),IF(OR($AB641="",$AB641="R"),"",IF($AB641="D",INDEX($AE$8:$AE$407,$AA641),SUMIF($T$8:$T$407,INDEX($T$8:$T$407,$AA641),$AE$8:$AE$407))))</f>
        <v/>
      </c>
      <c r="E641" s="32">
        <f>IF(634=$AD$1+3,"ขอแสดงความนับถือ",IF(634=$AD$1+6,"(                 )",IF(634=$AD$1+7,"เจ้าหน้าที่ขนส่ง",IF($AB641="G",SUM($AF$8:$AF$407),IF(OR($AB641="",$AB641="R"),"",IF($AB641="D",INDEX($AF$8:$AF$407,$AA641),SUMIF($T$8:$T$407,INDEX($T$8:$T$407,$AA641),$AF$8:$AF$407)))))))</f>
        <v/>
      </c>
      <c r="F641" s="32">
        <f>IF($AB641="G",SUM($AG$8:$AG$407),IF(OR($AB641="",$AB641="R"),"",IF($AB641="D",INDEX($AG$8:$AG$407,$AA641),SUMIF($T$8:$T$407,INDEX($T$8:$T$407,$AA641),$AG$8:$AG$407))))</f>
        <v/>
      </c>
      <c r="G641" s="32">
        <f>IF(OR($AB641="",$AB641="R"),"",ROUND($E641-$F641,2))</f>
        <v/>
      </c>
      <c r="H641" s="32">
        <f>IF($AB641="G",SUM($AH$8:$AH$407),IF(OR($AB641="",$AB641="R"),"",IF($AB641="D",INDEX($AH$8:$AH$407,$AA641),SUMIF($T$8:$T$407,INDEX($T$8:$T$407,$AA641),$AH$8:$AH$407))))</f>
        <v/>
      </c>
      <c r="AA641">
        <f>IFERROR(MATCH(634,$X$8:$X$407,1),"")</f>
        <v/>
      </c>
      <c r="AB641">
        <f>IF(634=$AD$1+1,"G",IF($AA641="","",IF(INDEX($Q$8:$Q$407,$AA641)="","",IF(634&gt;INDEX($X$8:$X$407,$AA641)+INDEX($V$8:$V$407,$AA641)+INDEX($W$8:$W$407,$AA641),"",IF(634=INDEX($X$8:$X$407,$AA641)+INDEX($V$8:$V$407,$AA641)+INDEX($W$8:$W$407,$AA641),"D",IF(AND(INDEX($W$8:$W$407,$AA641)=1,634=INDEX($X$8:$X$407,$AA641)+INDEX($V$8:$V$407,$AA641)),"S","R"))))))</f>
        <v/>
      </c>
      <c r="AC641">
        <f>IF(OR($AB641="",$AB641="G"),"",IF($AB641="D",INDEX($U$8:$U$407,$AA641),IF($AB641="S",INDEX($T$8:$T$407,$AA641)&amp;"|*",INDEX($S$8:$S$407,$AA641)&amp;"|*")))</f>
        <v/>
      </c>
    </row>
    <row r="642" ht="21" customHeight="1" s="66">
      <c r="A642" s="3">
        <f>IF($AB642="G","ผลรวมทั้งหมด",IF($AB642="R",INDEX($S$8:$S$407,$AA642),""))</f>
        <v/>
      </c>
      <c r="B642" s="3">
        <f>IF($AB642="S",INDEX($Y$8:$Y$407,$AA642),"")</f>
        <v/>
      </c>
      <c r="C642" s="68">
        <f>IF($AB642="D",INDEX($Z$8:$Z$407,$AA642),"")</f>
        <v/>
      </c>
      <c r="D642" s="31">
        <f>IF($AB642="G",SUM($AE$8:$AE$407),IF(OR($AB642="",$AB642="R"),"",IF($AB642="D",INDEX($AE$8:$AE$407,$AA642),SUMIF($T$8:$T$407,INDEX($T$8:$T$407,$AA642),$AE$8:$AE$407))))</f>
        <v/>
      </c>
      <c r="E642" s="32">
        <f>IF(635=$AD$1+3,"ขอแสดงความนับถือ",IF(635=$AD$1+6,"(                 )",IF(635=$AD$1+7,"เจ้าหน้าที่ขนส่ง",IF($AB642="G",SUM($AF$8:$AF$407),IF(OR($AB642="",$AB642="R"),"",IF($AB642="D",INDEX($AF$8:$AF$407,$AA642),SUMIF($T$8:$T$407,INDEX($T$8:$T$407,$AA642),$AF$8:$AF$407)))))))</f>
        <v/>
      </c>
      <c r="F642" s="32">
        <f>IF($AB642="G",SUM($AG$8:$AG$407),IF(OR($AB642="",$AB642="R"),"",IF($AB642="D",INDEX($AG$8:$AG$407,$AA642),SUMIF($T$8:$T$407,INDEX($T$8:$T$407,$AA642),$AG$8:$AG$407))))</f>
        <v/>
      </c>
      <c r="G642" s="32">
        <f>IF(OR($AB642="",$AB642="R"),"",ROUND($E642-$F642,2))</f>
        <v/>
      </c>
      <c r="H642" s="32">
        <f>IF($AB642="G",SUM($AH$8:$AH$407),IF(OR($AB642="",$AB642="R"),"",IF($AB642="D",INDEX($AH$8:$AH$407,$AA642),SUMIF($T$8:$T$407,INDEX($T$8:$T$407,$AA642),$AH$8:$AH$407))))</f>
        <v/>
      </c>
      <c r="AA642">
        <f>IFERROR(MATCH(635,$X$8:$X$407,1),"")</f>
        <v/>
      </c>
      <c r="AB642">
        <f>IF(635=$AD$1+1,"G",IF($AA642="","",IF(INDEX($Q$8:$Q$407,$AA642)="","",IF(635&gt;INDEX($X$8:$X$407,$AA642)+INDEX($V$8:$V$407,$AA642)+INDEX($W$8:$W$407,$AA642),"",IF(635=INDEX($X$8:$X$407,$AA642)+INDEX($V$8:$V$407,$AA642)+INDEX($W$8:$W$407,$AA642),"D",IF(AND(INDEX($W$8:$W$407,$AA642)=1,635=INDEX($X$8:$X$407,$AA642)+INDEX($V$8:$V$407,$AA642)),"S","R"))))))</f>
        <v/>
      </c>
      <c r="AC642">
        <f>IF(OR($AB642="",$AB642="G"),"",IF($AB642="D",INDEX($U$8:$U$407,$AA642),IF($AB642="S",INDEX($T$8:$T$407,$AA642)&amp;"|*",INDEX($S$8:$S$407,$AA642)&amp;"|*")))</f>
        <v/>
      </c>
    </row>
    <row r="643" ht="21" customHeight="1" s="66">
      <c r="A643" s="3">
        <f>IF($AB643="G","ผลรวมทั้งหมด",IF($AB643="R",INDEX($S$8:$S$407,$AA643),""))</f>
        <v/>
      </c>
      <c r="B643" s="3">
        <f>IF($AB643="S",INDEX($Y$8:$Y$407,$AA643),"")</f>
        <v/>
      </c>
      <c r="C643" s="68">
        <f>IF($AB643="D",INDEX($Z$8:$Z$407,$AA643),"")</f>
        <v/>
      </c>
      <c r="D643" s="31">
        <f>IF($AB643="G",SUM($AE$8:$AE$407),IF(OR($AB643="",$AB643="R"),"",IF($AB643="D",INDEX($AE$8:$AE$407,$AA643),SUMIF($T$8:$T$407,INDEX($T$8:$T$407,$AA643),$AE$8:$AE$407))))</f>
        <v/>
      </c>
      <c r="E643" s="32">
        <f>IF(636=$AD$1+3,"ขอแสดงความนับถือ",IF(636=$AD$1+6,"(                 )",IF(636=$AD$1+7,"เจ้าหน้าที่ขนส่ง",IF($AB643="G",SUM($AF$8:$AF$407),IF(OR($AB643="",$AB643="R"),"",IF($AB643="D",INDEX($AF$8:$AF$407,$AA643),SUMIF($T$8:$T$407,INDEX($T$8:$T$407,$AA643),$AF$8:$AF$407)))))))</f>
        <v/>
      </c>
      <c r="F643" s="32">
        <f>IF($AB643="G",SUM($AG$8:$AG$407),IF(OR($AB643="",$AB643="R"),"",IF($AB643="D",INDEX($AG$8:$AG$407,$AA643),SUMIF($T$8:$T$407,INDEX($T$8:$T$407,$AA643),$AG$8:$AG$407))))</f>
        <v/>
      </c>
      <c r="G643" s="32">
        <f>IF(OR($AB643="",$AB643="R"),"",ROUND($E643-$F643,2))</f>
        <v/>
      </c>
      <c r="H643" s="32">
        <f>IF($AB643="G",SUM($AH$8:$AH$407),IF(OR($AB643="",$AB643="R"),"",IF($AB643="D",INDEX($AH$8:$AH$407,$AA643),SUMIF($T$8:$T$407,INDEX($T$8:$T$407,$AA643),$AH$8:$AH$407))))</f>
        <v/>
      </c>
      <c r="AA643">
        <f>IFERROR(MATCH(636,$X$8:$X$407,1),"")</f>
        <v/>
      </c>
      <c r="AB643">
        <f>IF(636=$AD$1+1,"G",IF($AA643="","",IF(INDEX($Q$8:$Q$407,$AA643)="","",IF(636&gt;INDEX($X$8:$X$407,$AA643)+INDEX($V$8:$V$407,$AA643)+INDEX($W$8:$W$407,$AA643),"",IF(636=INDEX($X$8:$X$407,$AA643)+INDEX($V$8:$V$407,$AA643)+INDEX($W$8:$W$407,$AA643),"D",IF(AND(INDEX($W$8:$W$407,$AA643)=1,636=INDEX($X$8:$X$407,$AA643)+INDEX($V$8:$V$407,$AA643)),"S","R"))))))</f>
        <v/>
      </c>
      <c r="AC643">
        <f>IF(OR($AB643="",$AB643="G"),"",IF($AB643="D",INDEX($U$8:$U$407,$AA643),IF($AB643="S",INDEX($T$8:$T$407,$AA643)&amp;"|*",INDEX($S$8:$S$407,$AA643)&amp;"|*")))</f>
        <v/>
      </c>
    </row>
    <row r="644" ht="21" customHeight="1" s="66">
      <c r="A644" s="3">
        <f>IF($AB644="G","ผลรวมทั้งหมด",IF($AB644="R",INDEX($S$8:$S$407,$AA644),""))</f>
        <v/>
      </c>
      <c r="B644" s="3">
        <f>IF($AB644="S",INDEX($Y$8:$Y$407,$AA644),"")</f>
        <v/>
      </c>
      <c r="C644" s="68">
        <f>IF($AB644="D",INDEX($Z$8:$Z$407,$AA644),"")</f>
        <v/>
      </c>
      <c r="D644" s="31">
        <f>IF($AB644="G",SUM($AE$8:$AE$407),IF(OR($AB644="",$AB644="R"),"",IF($AB644="D",INDEX($AE$8:$AE$407,$AA644),SUMIF($T$8:$T$407,INDEX($T$8:$T$407,$AA644),$AE$8:$AE$407))))</f>
        <v/>
      </c>
      <c r="E644" s="32">
        <f>IF(637=$AD$1+3,"ขอแสดงความนับถือ",IF(637=$AD$1+6,"(                 )",IF(637=$AD$1+7,"เจ้าหน้าที่ขนส่ง",IF($AB644="G",SUM($AF$8:$AF$407),IF(OR($AB644="",$AB644="R"),"",IF($AB644="D",INDEX($AF$8:$AF$407,$AA644),SUMIF($T$8:$T$407,INDEX($T$8:$T$407,$AA644),$AF$8:$AF$407)))))))</f>
        <v/>
      </c>
      <c r="F644" s="32">
        <f>IF($AB644="G",SUM($AG$8:$AG$407),IF(OR($AB644="",$AB644="R"),"",IF($AB644="D",INDEX($AG$8:$AG$407,$AA644),SUMIF($T$8:$T$407,INDEX($T$8:$T$407,$AA644),$AG$8:$AG$407))))</f>
        <v/>
      </c>
      <c r="G644" s="32">
        <f>IF(OR($AB644="",$AB644="R"),"",ROUND($E644-$F644,2))</f>
        <v/>
      </c>
      <c r="H644" s="32">
        <f>IF($AB644="G",SUM($AH$8:$AH$407),IF(OR($AB644="",$AB644="R"),"",IF($AB644="D",INDEX($AH$8:$AH$407,$AA644),SUMIF($T$8:$T$407,INDEX($T$8:$T$407,$AA644),$AH$8:$AH$407))))</f>
        <v/>
      </c>
      <c r="AA644">
        <f>IFERROR(MATCH(637,$X$8:$X$407,1),"")</f>
        <v/>
      </c>
      <c r="AB644">
        <f>IF(637=$AD$1+1,"G",IF($AA644="","",IF(INDEX($Q$8:$Q$407,$AA644)="","",IF(637&gt;INDEX($X$8:$X$407,$AA644)+INDEX($V$8:$V$407,$AA644)+INDEX($W$8:$W$407,$AA644),"",IF(637=INDEX($X$8:$X$407,$AA644)+INDEX($V$8:$V$407,$AA644)+INDEX($W$8:$W$407,$AA644),"D",IF(AND(INDEX($W$8:$W$407,$AA644)=1,637=INDEX($X$8:$X$407,$AA644)+INDEX($V$8:$V$407,$AA644)),"S","R"))))))</f>
        <v/>
      </c>
      <c r="AC644">
        <f>IF(OR($AB644="",$AB644="G"),"",IF($AB644="D",INDEX($U$8:$U$407,$AA644),IF($AB644="S",INDEX($T$8:$T$407,$AA644)&amp;"|*",INDEX($S$8:$S$407,$AA644)&amp;"|*")))</f>
        <v/>
      </c>
    </row>
    <row r="645" ht="21" customHeight="1" s="66">
      <c r="A645" s="3">
        <f>IF($AB645="G","ผลรวมทั้งหมด",IF($AB645="R",INDEX($S$8:$S$407,$AA645),""))</f>
        <v/>
      </c>
      <c r="B645" s="3">
        <f>IF($AB645="S",INDEX($Y$8:$Y$407,$AA645),"")</f>
        <v/>
      </c>
      <c r="C645" s="68">
        <f>IF($AB645="D",INDEX($Z$8:$Z$407,$AA645),"")</f>
        <v/>
      </c>
      <c r="D645" s="31">
        <f>IF($AB645="G",SUM($AE$8:$AE$407),IF(OR($AB645="",$AB645="R"),"",IF($AB645="D",INDEX($AE$8:$AE$407,$AA645),SUMIF($T$8:$T$407,INDEX($T$8:$T$407,$AA645),$AE$8:$AE$407))))</f>
        <v/>
      </c>
      <c r="E645" s="32">
        <f>IF(638=$AD$1+3,"ขอแสดงความนับถือ",IF(638=$AD$1+6,"(                 )",IF(638=$AD$1+7,"เจ้าหน้าที่ขนส่ง",IF($AB645="G",SUM($AF$8:$AF$407),IF(OR($AB645="",$AB645="R"),"",IF($AB645="D",INDEX($AF$8:$AF$407,$AA645),SUMIF($T$8:$T$407,INDEX($T$8:$T$407,$AA645),$AF$8:$AF$407)))))))</f>
        <v/>
      </c>
      <c r="F645" s="32">
        <f>IF($AB645="G",SUM($AG$8:$AG$407),IF(OR($AB645="",$AB645="R"),"",IF($AB645="D",INDEX($AG$8:$AG$407,$AA645),SUMIF($T$8:$T$407,INDEX($T$8:$T$407,$AA645),$AG$8:$AG$407))))</f>
        <v/>
      </c>
      <c r="G645" s="32">
        <f>IF(OR($AB645="",$AB645="R"),"",ROUND($E645-$F645,2))</f>
        <v/>
      </c>
      <c r="H645" s="32">
        <f>IF($AB645="G",SUM($AH$8:$AH$407),IF(OR($AB645="",$AB645="R"),"",IF($AB645="D",INDEX($AH$8:$AH$407,$AA645),SUMIF($T$8:$T$407,INDEX($T$8:$T$407,$AA645),$AH$8:$AH$407))))</f>
        <v/>
      </c>
      <c r="AA645">
        <f>IFERROR(MATCH(638,$X$8:$X$407,1),"")</f>
        <v/>
      </c>
      <c r="AB645">
        <f>IF(638=$AD$1+1,"G",IF($AA645="","",IF(INDEX($Q$8:$Q$407,$AA645)="","",IF(638&gt;INDEX($X$8:$X$407,$AA645)+INDEX($V$8:$V$407,$AA645)+INDEX($W$8:$W$407,$AA645),"",IF(638=INDEX($X$8:$X$407,$AA645)+INDEX($V$8:$V$407,$AA645)+INDEX($W$8:$W$407,$AA645),"D",IF(AND(INDEX($W$8:$W$407,$AA645)=1,638=INDEX($X$8:$X$407,$AA645)+INDEX($V$8:$V$407,$AA645)),"S","R"))))))</f>
        <v/>
      </c>
      <c r="AC645">
        <f>IF(OR($AB645="",$AB645="G"),"",IF($AB645="D",INDEX($U$8:$U$407,$AA645),IF($AB645="S",INDEX($T$8:$T$407,$AA645)&amp;"|*",INDEX($S$8:$S$407,$AA645)&amp;"|*")))</f>
        <v/>
      </c>
    </row>
    <row r="646" ht="21" customHeight="1" s="66">
      <c r="A646" s="3">
        <f>IF($AB646="G","ผลรวมทั้งหมด",IF($AB646="R",INDEX($S$8:$S$407,$AA646),""))</f>
        <v/>
      </c>
      <c r="B646" s="3">
        <f>IF($AB646="S",INDEX($Y$8:$Y$407,$AA646),"")</f>
        <v/>
      </c>
      <c r="C646" s="68">
        <f>IF($AB646="D",INDEX($Z$8:$Z$407,$AA646),"")</f>
        <v/>
      </c>
      <c r="D646" s="31">
        <f>IF($AB646="G",SUM($AE$8:$AE$407),IF(OR($AB646="",$AB646="R"),"",IF($AB646="D",INDEX($AE$8:$AE$407,$AA646),SUMIF($T$8:$T$407,INDEX($T$8:$T$407,$AA646),$AE$8:$AE$407))))</f>
        <v/>
      </c>
      <c r="E646" s="32">
        <f>IF(639=$AD$1+3,"ขอแสดงความนับถือ",IF(639=$AD$1+6,"(                 )",IF(639=$AD$1+7,"เจ้าหน้าที่ขนส่ง",IF($AB646="G",SUM($AF$8:$AF$407),IF(OR($AB646="",$AB646="R"),"",IF($AB646="D",INDEX($AF$8:$AF$407,$AA646),SUMIF($T$8:$T$407,INDEX($T$8:$T$407,$AA646),$AF$8:$AF$407)))))))</f>
        <v/>
      </c>
      <c r="F646" s="32">
        <f>IF($AB646="G",SUM($AG$8:$AG$407),IF(OR($AB646="",$AB646="R"),"",IF($AB646="D",INDEX($AG$8:$AG$407,$AA646),SUMIF($T$8:$T$407,INDEX($T$8:$T$407,$AA646),$AG$8:$AG$407))))</f>
        <v/>
      </c>
      <c r="G646" s="32">
        <f>IF(OR($AB646="",$AB646="R"),"",ROUND($E646-$F646,2))</f>
        <v/>
      </c>
      <c r="H646" s="32">
        <f>IF($AB646="G",SUM($AH$8:$AH$407),IF(OR($AB646="",$AB646="R"),"",IF($AB646="D",INDEX($AH$8:$AH$407,$AA646),SUMIF($T$8:$T$407,INDEX($T$8:$T$407,$AA646),$AH$8:$AH$407))))</f>
        <v/>
      </c>
      <c r="AA646">
        <f>IFERROR(MATCH(639,$X$8:$X$407,1),"")</f>
        <v/>
      </c>
      <c r="AB646">
        <f>IF(639=$AD$1+1,"G",IF($AA646="","",IF(INDEX($Q$8:$Q$407,$AA646)="","",IF(639&gt;INDEX($X$8:$X$407,$AA646)+INDEX($V$8:$V$407,$AA646)+INDEX($W$8:$W$407,$AA646),"",IF(639=INDEX($X$8:$X$407,$AA646)+INDEX($V$8:$V$407,$AA646)+INDEX($W$8:$W$407,$AA646),"D",IF(AND(INDEX($W$8:$W$407,$AA646)=1,639=INDEX($X$8:$X$407,$AA646)+INDEX($V$8:$V$407,$AA646)),"S","R"))))))</f>
        <v/>
      </c>
      <c r="AC646">
        <f>IF(OR($AB646="",$AB646="G"),"",IF($AB646="D",INDEX($U$8:$U$407,$AA646),IF($AB646="S",INDEX($T$8:$T$407,$AA646)&amp;"|*",INDEX($S$8:$S$407,$AA646)&amp;"|*")))</f>
        <v/>
      </c>
    </row>
    <row r="647" ht="21" customHeight="1" s="66">
      <c r="A647" s="3">
        <f>IF($AB647="G","ผลรวมทั้งหมด",IF($AB647="R",INDEX($S$8:$S$407,$AA647),""))</f>
        <v/>
      </c>
      <c r="B647" s="3">
        <f>IF($AB647="S",INDEX($Y$8:$Y$407,$AA647),"")</f>
        <v/>
      </c>
      <c r="C647" s="68">
        <f>IF($AB647="D",INDEX($Z$8:$Z$407,$AA647),"")</f>
        <v/>
      </c>
      <c r="D647" s="31">
        <f>IF($AB647="G",SUM($AE$8:$AE$407),IF(OR($AB647="",$AB647="R"),"",IF($AB647="D",INDEX($AE$8:$AE$407,$AA647),SUMIF($T$8:$T$407,INDEX($T$8:$T$407,$AA647),$AE$8:$AE$407))))</f>
        <v/>
      </c>
      <c r="E647" s="32">
        <f>IF(640=$AD$1+3,"ขอแสดงความนับถือ",IF(640=$AD$1+6,"(                 )",IF(640=$AD$1+7,"เจ้าหน้าที่ขนส่ง",IF($AB647="G",SUM($AF$8:$AF$407),IF(OR($AB647="",$AB647="R"),"",IF($AB647="D",INDEX($AF$8:$AF$407,$AA647),SUMIF($T$8:$T$407,INDEX($T$8:$T$407,$AA647),$AF$8:$AF$407)))))))</f>
        <v/>
      </c>
      <c r="F647" s="32">
        <f>IF($AB647="G",SUM($AG$8:$AG$407),IF(OR($AB647="",$AB647="R"),"",IF($AB647="D",INDEX($AG$8:$AG$407,$AA647),SUMIF($T$8:$T$407,INDEX($T$8:$T$407,$AA647),$AG$8:$AG$407))))</f>
        <v/>
      </c>
      <c r="G647" s="32">
        <f>IF(OR($AB647="",$AB647="R"),"",ROUND($E647-$F647,2))</f>
        <v/>
      </c>
      <c r="H647" s="32">
        <f>IF($AB647="G",SUM($AH$8:$AH$407),IF(OR($AB647="",$AB647="R"),"",IF($AB647="D",INDEX($AH$8:$AH$407,$AA647),SUMIF($T$8:$T$407,INDEX($T$8:$T$407,$AA647),$AH$8:$AH$407))))</f>
        <v/>
      </c>
      <c r="AA647">
        <f>IFERROR(MATCH(640,$X$8:$X$407,1),"")</f>
        <v/>
      </c>
      <c r="AB647">
        <f>IF(640=$AD$1+1,"G",IF($AA647="","",IF(INDEX($Q$8:$Q$407,$AA647)="","",IF(640&gt;INDEX($X$8:$X$407,$AA647)+INDEX($V$8:$V$407,$AA647)+INDEX($W$8:$W$407,$AA647),"",IF(640=INDEX($X$8:$X$407,$AA647)+INDEX($V$8:$V$407,$AA647)+INDEX($W$8:$W$407,$AA647),"D",IF(AND(INDEX($W$8:$W$407,$AA647)=1,640=INDEX($X$8:$X$407,$AA647)+INDEX($V$8:$V$407,$AA647)),"S","R"))))))</f>
        <v/>
      </c>
      <c r="AC647">
        <f>IF(OR($AB647="",$AB647="G"),"",IF($AB647="D",INDEX($U$8:$U$407,$AA647),IF($AB647="S",INDEX($T$8:$T$407,$AA647)&amp;"|*",INDEX($S$8:$S$407,$AA647)&amp;"|*")))</f>
        <v/>
      </c>
    </row>
    <row r="648" ht="21" customHeight="1" s="66">
      <c r="A648" s="3">
        <f>IF($AB648="G","ผลรวมทั้งหมด",IF($AB648="R",INDEX($S$8:$S$407,$AA648),""))</f>
        <v/>
      </c>
      <c r="B648" s="3">
        <f>IF($AB648="S",INDEX($Y$8:$Y$407,$AA648),"")</f>
        <v/>
      </c>
      <c r="C648" s="68">
        <f>IF($AB648="D",INDEX($Z$8:$Z$407,$AA648),"")</f>
        <v/>
      </c>
      <c r="D648" s="31">
        <f>IF($AB648="G",SUM($AE$8:$AE$407),IF(OR($AB648="",$AB648="R"),"",IF($AB648="D",INDEX($AE$8:$AE$407,$AA648),SUMIF($T$8:$T$407,INDEX($T$8:$T$407,$AA648),$AE$8:$AE$407))))</f>
        <v/>
      </c>
      <c r="E648" s="32">
        <f>IF(641=$AD$1+3,"ขอแสดงความนับถือ",IF(641=$AD$1+6,"(                 )",IF(641=$AD$1+7,"เจ้าหน้าที่ขนส่ง",IF($AB648="G",SUM($AF$8:$AF$407),IF(OR($AB648="",$AB648="R"),"",IF($AB648="D",INDEX($AF$8:$AF$407,$AA648),SUMIF($T$8:$T$407,INDEX($T$8:$T$407,$AA648),$AF$8:$AF$407)))))))</f>
        <v/>
      </c>
      <c r="F648" s="32">
        <f>IF($AB648="G",SUM($AG$8:$AG$407),IF(OR($AB648="",$AB648="R"),"",IF($AB648="D",INDEX($AG$8:$AG$407,$AA648),SUMIF($T$8:$T$407,INDEX($T$8:$T$407,$AA648),$AG$8:$AG$407))))</f>
        <v/>
      </c>
      <c r="G648" s="32">
        <f>IF(OR($AB648="",$AB648="R"),"",ROUND($E648-$F648,2))</f>
        <v/>
      </c>
      <c r="H648" s="32">
        <f>IF($AB648="G",SUM($AH$8:$AH$407),IF(OR($AB648="",$AB648="R"),"",IF($AB648="D",INDEX($AH$8:$AH$407,$AA648),SUMIF($T$8:$T$407,INDEX($T$8:$T$407,$AA648),$AH$8:$AH$407))))</f>
        <v/>
      </c>
      <c r="AA648">
        <f>IFERROR(MATCH(641,$X$8:$X$407,1),"")</f>
        <v/>
      </c>
      <c r="AB648">
        <f>IF(641=$AD$1+1,"G",IF($AA648="","",IF(INDEX($Q$8:$Q$407,$AA648)="","",IF(641&gt;INDEX($X$8:$X$407,$AA648)+INDEX($V$8:$V$407,$AA648)+INDEX($W$8:$W$407,$AA648),"",IF(641=INDEX($X$8:$X$407,$AA648)+INDEX($V$8:$V$407,$AA648)+INDEX($W$8:$W$407,$AA648),"D",IF(AND(INDEX($W$8:$W$407,$AA648)=1,641=INDEX($X$8:$X$407,$AA648)+INDEX($V$8:$V$407,$AA648)),"S","R"))))))</f>
        <v/>
      </c>
      <c r="AC648">
        <f>IF(OR($AB648="",$AB648="G"),"",IF($AB648="D",INDEX($U$8:$U$407,$AA648),IF($AB648="S",INDEX($T$8:$T$407,$AA648)&amp;"|*",INDEX($S$8:$S$407,$AA648)&amp;"|*")))</f>
        <v/>
      </c>
    </row>
    <row r="649" ht="21" customHeight="1" s="66">
      <c r="A649" s="3">
        <f>IF($AB649="G","ผลรวมทั้งหมด",IF($AB649="R",INDEX($S$8:$S$407,$AA649),""))</f>
        <v/>
      </c>
      <c r="B649" s="3">
        <f>IF($AB649="S",INDEX($Y$8:$Y$407,$AA649),"")</f>
        <v/>
      </c>
      <c r="C649" s="68">
        <f>IF($AB649="D",INDEX($Z$8:$Z$407,$AA649),"")</f>
        <v/>
      </c>
      <c r="D649" s="31">
        <f>IF($AB649="G",SUM($AE$8:$AE$407),IF(OR($AB649="",$AB649="R"),"",IF($AB649="D",INDEX($AE$8:$AE$407,$AA649),SUMIF($T$8:$T$407,INDEX($T$8:$T$407,$AA649),$AE$8:$AE$407))))</f>
        <v/>
      </c>
      <c r="E649" s="32">
        <f>IF(642=$AD$1+3,"ขอแสดงความนับถือ",IF(642=$AD$1+6,"(                 )",IF(642=$AD$1+7,"เจ้าหน้าที่ขนส่ง",IF($AB649="G",SUM($AF$8:$AF$407),IF(OR($AB649="",$AB649="R"),"",IF($AB649="D",INDEX($AF$8:$AF$407,$AA649),SUMIF($T$8:$T$407,INDEX($T$8:$T$407,$AA649),$AF$8:$AF$407)))))))</f>
        <v/>
      </c>
      <c r="F649" s="32">
        <f>IF($AB649="G",SUM($AG$8:$AG$407),IF(OR($AB649="",$AB649="R"),"",IF($AB649="D",INDEX($AG$8:$AG$407,$AA649),SUMIF($T$8:$T$407,INDEX($T$8:$T$407,$AA649),$AG$8:$AG$407))))</f>
        <v/>
      </c>
      <c r="G649" s="32">
        <f>IF(OR($AB649="",$AB649="R"),"",ROUND($E649-$F649,2))</f>
        <v/>
      </c>
      <c r="H649" s="32">
        <f>IF($AB649="G",SUM($AH$8:$AH$407),IF(OR($AB649="",$AB649="R"),"",IF($AB649="D",INDEX($AH$8:$AH$407,$AA649),SUMIF($T$8:$T$407,INDEX($T$8:$T$407,$AA649),$AH$8:$AH$407))))</f>
        <v/>
      </c>
      <c r="AA649">
        <f>IFERROR(MATCH(642,$X$8:$X$407,1),"")</f>
        <v/>
      </c>
      <c r="AB649">
        <f>IF(642=$AD$1+1,"G",IF($AA649="","",IF(INDEX($Q$8:$Q$407,$AA649)="","",IF(642&gt;INDEX($X$8:$X$407,$AA649)+INDEX($V$8:$V$407,$AA649)+INDEX($W$8:$W$407,$AA649),"",IF(642=INDEX($X$8:$X$407,$AA649)+INDEX($V$8:$V$407,$AA649)+INDEX($W$8:$W$407,$AA649),"D",IF(AND(INDEX($W$8:$W$407,$AA649)=1,642=INDEX($X$8:$X$407,$AA649)+INDEX($V$8:$V$407,$AA649)),"S","R"))))))</f>
        <v/>
      </c>
      <c r="AC649">
        <f>IF(OR($AB649="",$AB649="G"),"",IF($AB649="D",INDEX($U$8:$U$407,$AA649),IF($AB649="S",INDEX($T$8:$T$407,$AA649)&amp;"|*",INDEX($S$8:$S$407,$AA649)&amp;"|*")))</f>
        <v/>
      </c>
    </row>
    <row r="650" ht="21" customHeight="1" s="66">
      <c r="A650" s="3">
        <f>IF($AB650="G","ผลรวมทั้งหมด",IF($AB650="R",INDEX($S$8:$S$407,$AA650),""))</f>
        <v/>
      </c>
      <c r="B650" s="3">
        <f>IF($AB650="S",INDEX($Y$8:$Y$407,$AA650),"")</f>
        <v/>
      </c>
      <c r="C650" s="68">
        <f>IF($AB650="D",INDEX($Z$8:$Z$407,$AA650),"")</f>
        <v/>
      </c>
      <c r="D650" s="31">
        <f>IF($AB650="G",SUM($AE$8:$AE$407),IF(OR($AB650="",$AB650="R"),"",IF($AB650="D",INDEX($AE$8:$AE$407,$AA650),SUMIF($T$8:$T$407,INDEX($T$8:$T$407,$AA650),$AE$8:$AE$407))))</f>
        <v/>
      </c>
      <c r="E650" s="32">
        <f>IF(643=$AD$1+3,"ขอแสดงความนับถือ",IF(643=$AD$1+6,"(                 )",IF(643=$AD$1+7,"เจ้าหน้าที่ขนส่ง",IF($AB650="G",SUM($AF$8:$AF$407),IF(OR($AB650="",$AB650="R"),"",IF($AB650="D",INDEX($AF$8:$AF$407,$AA650),SUMIF($T$8:$T$407,INDEX($T$8:$T$407,$AA650),$AF$8:$AF$407)))))))</f>
        <v/>
      </c>
      <c r="F650" s="32">
        <f>IF($AB650="G",SUM($AG$8:$AG$407),IF(OR($AB650="",$AB650="R"),"",IF($AB650="D",INDEX($AG$8:$AG$407,$AA650),SUMIF($T$8:$T$407,INDEX($T$8:$T$407,$AA650),$AG$8:$AG$407))))</f>
        <v/>
      </c>
      <c r="G650" s="32">
        <f>IF(OR($AB650="",$AB650="R"),"",ROUND($E650-$F650,2))</f>
        <v/>
      </c>
      <c r="H650" s="32">
        <f>IF($AB650="G",SUM($AH$8:$AH$407),IF(OR($AB650="",$AB650="R"),"",IF($AB650="D",INDEX($AH$8:$AH$407,$AA650),SUMIF($T$8:$T$407,INDEX($T$8:$T$407,$AA650),$AH$8:$AH$407))))</f>
        <v/>
      </c>
      <c r="AA650">
        <f>IFERROR(MATCH(643,$X$8:$X$407,1),"")</f>
        <v/>
      </c>
      <c r="AB650">
        <f>IF(643=$AD$1+1,"G",IF($AA650="","",IF(INDEX($Q$8:$Q$407,$AA650)="","",IF(643&gt;INDEX($X$8:$X$407,$AA650)+INDEX($V$8:$V$407,$AA650)+INDEX($W$8:$W$407,$AA650),"",IF(643=INDEX($X$8:$X$407,$AA650)+INDEX($V$8:$V$407,$AA650)+INDEX($W$8:$W$407,$AA650),"D",IF(AND(INDEX($W$8:$W$407,$AA650)=1,643=INDEX($X$8:$X$407,$AA650)+INDEX($V$8:$V$407,$AA650)),"S","R"))))))</f>
        <v/>
      </c>
      <c r="AC650">
        <f>IF(OR($AB650="",$AB650="G"),"",IF($AB650="D",INDEX($U$8:$U$407,$AA650),IF($AB650="S",INDEX($T$8:$T$407,$AA650)&amp;"|*",INDEX($S$8:$S$407,$AA650)&amp;"|*")))</f>
        <v/>
      </c>
    </row>
    <row r="651" ht="21" customHeight="1" s="66">
      <c r="A651" s="3">
        <f>IF($AB651="G","ผลรวมทั้งหมด",IF($AB651="R",INDEX($S$8:$S$407,$AA651),""))</f>
        <v/>
      </c>
      <c r="B651" s="3">
        <f>IF($AB651="S",INDEX($Y$8:$Y$407,$AA651),"")</f>
        <v/>
      </c>
      <c r="C651" s="68">
        <f>IF($AB651="D",INDEX($Z$8:$Z$407,$AA651),"")</f>
        <v/>
      </c>
      <c r="D651" s="31">
        <f>IF($AB651="G",SUM($AE$8:$AE$407),IF(OR($AB651="",$AB651="R"),"",IF($AB651="D",INDEX($AE$8:$AE$407,$AA651),SUMIF($T$8:$T$407,INDEX($T$8:$T$407,$AA651),$AE$8:$AE$407))))</f>
        <v/>
      </c>
      <c r="E651" s="32">
        <f>IF(644=$AD$1+3,"ขอแสดงความนับถือ",IF(644=$AD$1+6,"(                 )",IF(644=$AD$1+7,"เจ้าหน้าที่ขนส่ง",IF($AB651="G",SUM($AF$8:$AF$407),IF(OR($AB651="",$AB651="R"),"",IF($AB651="D",INDEX($AF$8:$AF$407,$AA651),SUMIF($T$8:$T$407,INDEX($T$8:$T$407,$AA651),$AF$8:$AF$407)))))))</f>
        <v/>
      </c>
      <c r="F651" s="32">
        <f>IF($AB651="G",SUM($AG$8:$AG$407),IF(OR($AB651="",$AB651="R"),"",IF($AB651="D",INDEX($AG$8:$AG$407,$AA651),SUMIF($T$8:$T$407,INDEX($T$8:$T$407,$AA651),$AG$8:$AG$407))))</f>
        <v/>
      </c>
      <c r="G651" s="32">
        <f>IF(OR($AB651="",$AB651="R"),"",ROUND($E651-$F651,2))</f>
        <v/>
      </c>
      <c r="H651" s="32">
        <f>IF($AB651="G",SUM($AH$8:$AH$407),IF(OR($AB651="",$AB651="R"),"",IF($AB651="D",INDEX($AH$8:$AH$407,$AA651),SUMIF($T$8:$T$407,INDEX($T$8:$T$407,$AA651),$AH$8:$AH$407))))</f>
        <v/>
      </c>
      <c r="AA651">
        <f>IFERROR(MATCH(644,$X$8:$X$407,1),"")</f>
        <v/>
      </c>
      <c r="AB651">
        <f>IF(644=$AD$1+1,"G",IF($AA651="","",IF(INDEX($Q$8:$Q$407,$AA651)="","",IF(644&gt;INDEX($X$8:$X$407,$AA651)+INDEX($V$8:$V$407,$AA651)+INDEX($W$8:$W$407,$AA651),"",IF(644=INDEX($X$8:$X$407,$AA651)+INDEX($V$8:$V$407,$AA651)+INDEX($W$8:$W$407,$AA651),"D",IF(AND(INDEX($W$8:$W$407,$AA651)=1,644=INDEX($X$8:$X$407,$AA651)+INDEX($V$8:$V$407,$AA651)),"S","R"))))))</f>
        <v/>
      </c>
      <c r="AC651">
        <f>IF(OR($AB651="",$AB651="G"),"",IF($AB651="D",INDEX($U$8:$U$407,$AA651),IF($AB651="S",INDEX($T$8:$T$407,$AA651)&amp;"|*",INDEX($S$8:$S$407,$AA651)&amp;"|*")))</f>
        <v/>
      </c>
    </row>
    <row r="652" ht="21" customHeight="1" s="66">
      <c r="A652" s="3">
        <f>IF($AB652="G","ผลรวมทั้งหมด",IF($AB652="R",INDEX($S$8:$S$407,$AA652),""))</f>
        <v/>
      </c>
      <c r="B652" s="3">
        <f>IF($AB652="S",INDEX($Y$8:$Y$407,$AA652),"")</f>
        <v/>
      </c>
      <c r="C652" s="68">
        <f>IF($AB652="D",INDEX($Z$8:$Z$407,$AA652),"")</f>
        <v/>
      </c>
      <c r="D652" s="31">
        <f>IF($AB652="G",SUM($AE$8:$AE$407),IF(OR($AB652="",$AB652="R"),"",IF($AB652="D",INDEX($AE$8:$AE$407,$AA652),SUMIF($T$8:$T$407,INDEX($T$8:$T$407,$AA652),$AE$8:$AE$407))))</f>
        <v/>
      </c>
      <c r="E652" s="32">
        <f>IF(645=$AD$1+3,"ขอแสดงความนับถือ",IF(645=$AD$1+6,"(                 )",IF(645=$AD$1+7,"เจ้าหน้าที่ขนส่ง",IF($AB652="G",SUM($AF$8:$AF$407),IF(OR($AB652="",$AB652="R"),"",IF($AB652="D",INDEX($AF$8:$AF$407,$AA652),SUMIF($T$8:$T$407,INDEX($T$8:$T$407,$AA652),$AF$8:$AF$407)))))))</f>
        <v/>
      </c>
      <c r="F652" s="32">
        <f>IF($AB652="G",SUM($AG$8:$AG$407),IF(OR($AB652="",$AB652="R"),"",IF($AB652="D",INDEX($AG$8:$AG$407,$AA652),SUMIF($T$8:$T$407,INDEX($T$8:$T$407,$AA652),$AG$8:$AG$407))))</f>
        <v/>
      </c>
      <c r="G652" s="32">
        <f>IF(OR($AB652="",$AB652="R"),"",ROUND($E652-$F652,2))</f>
        <v/>
      </c>
      <c r="H652" s="32">
        <f>IF($AB652="G",SUM($AH$8:$AH$407),IF(OR($AB652="",$AB652="R"),"",IF($AB652="D",INDEX($AH$8:$AH$407,$AA652),SUMIF($T$8:$T$407,INDEX($T$8:$T$407,$AA652),$AH$8:$AH$407))))</f>
        <v/>
      </c>
      <c r="AA652">
        <f>IFERROR(MATCH(645,$X$8:$X$407,1),"")</f>
        <v/>
      </c>
      <c r="AB652">
        <f>IF(645=$AD$1+1,"G",IF($AA652="","",IF(INDEX($Q$8:$Q$407,$AA652)="","",IF(645&gt;INDEX($X$8:$X$407,$AA652)+INDEX($V$8:$V$407,$AA652)+INDEX($W$8:$W$407,$AA652),"",IF(645=INDEX($X$8:$X$407,$AA652)+INDEX($V$8:$V$407,$AA652)+INDEX($W$8:$W$407,$AA652),"D",IF(AND(INDEX($W$8:$W$407,$AA652)=1,645=INDEX($X$8:$X$407,$AA652)+INDEX($V$8:$V$407,$AA652)),"S","R"))))))</f>
        <v/>
      </c>
      <c r="AC652">
        <f>IF(OR($AB652="",$AB652="G"),"",IF($AB652="D",INDEX($U$8:$U$407,$AA652),IF($AB652="S",INDEX($T$8:$T$407,$AA652)&amp;"|*",INDEX($S$8:$S$407,$AA652)&amp;"|*")))</f>
        <v/>
      </c>
    </row>
    <row r="653" ht="21" customHeight="1" s="66">
      <c r="A653" s="3">
        <f>IF($AB653="G","ผลรวมทั้งหมด",IF($AB653="R",INDEX($S$8:$S$407,$AA653),""))</f>
        <v/>
      </c>
      <c r="B653" s="3">
        <f>IF($AB653="S",INDEX($Y$8:$Y$407,$AA653),"")</f>
        <v/>
      </c>
      <c r="C653" s="68">
        <f>IF($AB653="D",INDEX($Z$8:$Z$407,$AA653),"")</f>
        <v/>
      </c>
      <c r="D653" s="31">
        <f>IF($AB653="G",SUM($AE$8:$AE$407),IF(OR($AB653="",$AB653="R"),"",IF($AB653="D",INDEX($AE$8:$AE$407,$AA653),SUMIF($T$8:$T$407,INDEX($T$8:$T$407,$AA653),$AE$8:$AE$407))))</f>
        <v/>
      </c>
      <c r="E653" s="32">
        <f>IF(646=$AD$1+3,"ขอแสดงความนับถือ",IF(646=$AD$1+6,"(                 )",IF(646=$AD$1+7,"เจ้าหน้าที่ขนส่ง",IF($AB653="G",SUM($AF$8:$AF$407),IF(OR($AB653="",$AB653="R"),"",IF($AB653="D",INDEX($AF$8:$AF$407,$AA653),SUMIF($T$8:$T$407,INDEX($T$8:$T$407,$AA653),$AF$8:$AF$407)))))))</f>
        <v/>
      </c>
      <c r="F653" s="32">
        <f>IF($AB653="G",SUM($AG$8:$AG$407),IF(OR($AB653="",$AB653="R"),"",IF($AB653="D",INDEX($AG$8:$AG$407,$AA653),SUMIF($T$8:$T$407,INDEX($T$8:$T$407,$AA653),$AG$8:$AG$407))))</f>
        <v/>
      </c>
      <c r="G653" s="32">
        <f>IF(OR($AB653="",$AB653="R"),"",ROUND($E653-$F653,2))</f>
        <v/>
      </c>
      <c r="H653" s="32">
        <f>IF($AB653="G",SUM($AH$8:$AH$407),IF(OR($AB653="",$AB653="R"),"",IF($AB653="D",INDEX($AH$8:$AH$407,$AA653),SUMIF($T$8:$T$407,INDEX($T$8:$T$407,$AA653),$AH$8:$AH$407))))</f>
        <v/>
      </c>
      <c r="AA653">
        <f>IFERROR(MATCH(646,$X$8:$X$407,1),"")</f>
        <v/>
      </c>
      <c r="AB653">
        <f>IF(646=$AD$1+1,"G",IF($AA653="","",IF(INDEX($Q$8:$Q$407,$AA653)="","",IF(646&gt;INDEX($X$8:$X$407,$AA653)+INDEX($V$8:$V$407,$AA653)+INDEX($W$8:$W$407,$AA653),"",IF(646=INDEX($X$8:$X$407,$AA653)+INDEX($V$8:$V$407,$AA653)+INDEX($W$8:$W$407,$AA653),"D",IF(AND(INDEX($W$8:$W$407,$AA653)=1,646=INDEX($X$8:$X$407,$AA653)+INDEX($V$8:$V$407,$AA653)),"S","R"))))))</f>
        <v/>
      </c>
      <c r="AC653">
        <f>IF(OR($AB653="",$AB653="G"),"",IF($AB653="D",INDEX($U$8:$U$407,$AA653),IF($AB653="S",INDEX($T$8:$T$407,$AA653)&amp;"|*",INDEX($S$8:$S$407,$AA653)&amp;"|*")))</f>
        <v/>
      </c>
    </row>
    <row r="654" ht="21" customHeight="1" s="66">
      <c r="A654" s="3">
        <f>IF($AB654="G","ผลรวมทั้งหมด",IF($AB654="R",INDEX($S$8:$S$407,$AA654),""))</f>
        <v/>
      </c>
      <c r="B654" s="3">
        <f>IF($AB654="S",INDEX($Y$8:$Y$407,$AA654),"")</f>
        <v/>
      </c>
      <c r="C654" s="68">
        <f>IF($AB654="D",INDEX($Z$8:$Z$407,$AA654),"")</f>
        <v/>
      </c>
      <c r="D654" s="31">
        <f>IF($AB654="G",SUM($AE$8:$AE$407),IF(OR($AB654="",$AB654="R"),"",IF($AB654="D",INDEX($AE$8:$AE$407,$AA654),SUMIF($T$8:$T$407,INDEX($T$8:$T$407,$AA654),$AE$8:$AE$407))))</f>
        <v/>
      </c>
      <c r="E654" s="32">
        <f>IF(647=$AD$1+3,"ขอแสดงความนับถือ",IF(647=$AD$1+6,"(                 )",IF(647=$AD$1+7,"เจ้าหน้าที่ขนส่ง",IF($AB654="G",SUM($AF$8:$AF$407),IF(OR($AB654="",$AB654="R"),"",IF($AB654="D",INDEX($AF$8:$AF$407,$AA654),SUMIF($T$8:$T$407,INDEX($T$8:$T$407,$AA654),$AF$8:$AF$407)))))))</f>
        <v/>
      </c>
      <c r="F654" s="32">
        <f>IF($AB654="G",SUM($AG$8:$AG$407),IF(OR($AB654="",$AB654="R"),"",IF($AB654="D",INDEX($AG$8:$AG$407,$AA654),SUMIF($T$8:$T$407,INDEX($T$8:$T$407,$AA654),$AG$8:$AG$407))))</f>
        <v/>
      </c>
      <c r="G654" s="32">
        <f>IF(OR($AB654="",$AB654="R"),"",ROUND($E654-$F654,2))</f>
        <v/>
      </c>
      <c r="H654" s="32">
        <f>IF($AB654="G",SUM($AH$8:$AH$407),IF(OR($AB654="",$AB654="R"),"",IF($AB654="D",INDEX($AH$8:$AH$407,$AA654),SUMIF($T$8:$T$407,INDEX($T$8:$T$407,$AA654),$AH$8:$AH$407))))</f>
        <v/>
      </c>
      <c r="AA654">
        <f>IFERROR(MATCH(647,$X$8:$X$407,1),"")</f>
        <v/>
      </c>
      <c r="AB654">
        <f>IF(647=$AD$1+1,"G",IF($AA654="","",IF(INDEX($Q$8:$Q$407,$AA654)="","",IF(647&gt;INDEX($X$8:$X$407,$AA654)+INDEX($V$8:$V$407,$AA654)+INDEX($W$8:$W$407,$AA654),"",IF(647=INDEX($X$8:$X$407,$AA654)+INDEX($V$8:$V$407,$AA654)+INDEX($W$8:$W$407,$AA654),"D",IF(AND(INDEX($W$8:$W$407,$AA654)=1,647=INDEX($X$8:$X$407,$AA654)+INDEX($V$8:$V$407,$AA654)),"S","R"))))))</f>
        <v/>
      </c>
      <c r="AC654">
        <f>IF(OR($AB654="",$AB654="G"),"",IF($AB654="D",INDEX($U$8:$U$407,$AA654),IF($AB654="S",INDEX($T$8:$T$407,$AA654)&amp;"|*",INDEX($S$8:$S$407,$AA654)&amp;"|*")))</f>
        <v/>
      </c>
    </row>
    <row r="655" ht="21" customHeight="1" s="66">
      <c r="A655" s="3">
        <f>IF($AB655="G","ผลรวมทั้งหมด",IF($AB655="R",INDEX($S$8:$S$407,$AA655),""))</f>
        <v/>
      </c>
      <c r="B655" s="3">
        <f>IF($AB655="S",INDEX($Y$8:$Y$407,$AA655),"")</f>
        <v/>
      </c>
      <c r="C655" s="68">
        <f>IF($AB655="D",INDEX($Z$8:$Z$407,$AA655),"")</f>
        <v/>
      </c>
      <c r="D655" s="31">
        <f>IF($AB655="G",SUM($AE$8:$AE$407),IF(OR($AB655="",$AB655="R"),"",IF($AB655="D",INDEX($AE$8:$AE$407,$AA655),SUMIF($T$8:$T$407,INDEX($T$8:$T$407,$AA655),$AE$8:$AE$407))))</f>
        <v/>
      </c>
      <c r="E655" s="32">
        <f>IF(648=$AD$1+3,"ขอแสดงความนับถือ",IF(648=$AD$1+6,"(                 )",IF(648=$AD$1+7,"เจ้าหน้าที่ขนส่ง",IF($AB655="G",SUM($AF$8:$AF$407),IF(OR($AB655="",$AB655="R"),"",IF($AB655="D",INDEX($AF$8:$AF$407,$AA655),SUMIF($T$8:$T$407,INDEX($T$8:$T$407,$AA655),$AF$8:$AF$407)))))))</f>
        <v/>
      </c>
      <c r="F655" s="32">
        <f>IF($AB655="G",SUM($AG$8:$AG$407),IF(OR($AB655="",$AB655="R"),"",IF($AB655="D",INDEX($AG$8:$AG$407,$AA655),SUMIF($T$8:$T$407,INDEX($T$8:$T$407,$AA655),$AG$8:$AG$407))))</f>
        <v/>
      </c>
      <c r="G655" s="32">
        <f>IF(OR($AB655="",$AB655="R"),"",ROUND($E655-$F655,2))</f>
        <v/>
      </c>
      <c r="H655" s="32">
        <f>IF($AB655="G",SUM($AH$8:$AH$407),IF(OR($AB655="",$AB655="R"),"",IF($AB655="D",INDEX($AH$8:$AH$407,$AA655),SUMIF($T$8:$T$407,INDEX($T$8:$T$407,$AA655),$AH$8:$AH$407))))</f>
        <v/>
      </c>
      <c r="AA655">
        <f>IFERROR(MATCH(648,$X$8:$X$407,1),"")</f>
        <v/>
      </c>
      <c r="AB655">
        <f>IF(648=$AD$1+1,"G",IF($AA655="","",IF(INDEX($Q$8:$Q$407,$AA655)="","",IF(648&gt;INDEX($X$8:$X$407,$AA655)+INDEX($V$8:$V$407,$AA655)+INDEX($W$8:$W$407,$AA655),"",IF(648=INDEX($X$8:$X$407,$AA655)+INDEX($V$8:$V$407,$AA655)+INDEX($W$8:$W$407,$AA655),"D",IF(AND(INDEX($W$8:$W$407,$AA655)=1,648=INDEX($X$8:$X$407,$AA655)+INDEX($V$8:$V$407,$AA655)),"S","R"))))))</f>
        <v/>
      </c>
      <c r="AC655">
        <f>IF(OR($AB655="",$AB655="G"),"",IF($AB655="D",INDEX($U$8:$U$407,$AA655),IF($AB655="S",INDEX($T$8:$T$407,$AA655)&amp;"|*",INDEX($S$8:$S$407,$AA655)&amp;"|*")))</f>
        <v/>
      </c>
    </row>
    <row r="656" ht="21" customHeight="1" s="66">
      <c r="A656" s="3">
        <f>IF($AB656="G","ผลรวมทั้งหมด",IF($AB656="R",INDEX($S$8:$S$407,$AA656),""))</f>
        <v/>
      </c>
      <c r="B656" s="3">
        <f>IF($AB656="S",INDEX($Y$8:$Y$407,$AA656),"")</f>
        <v/>
      </c>
      <c r="C656" s="68">
        <f>IF($AB656="D",INDEX($Z$8:$Z$407,$AA656),"")</f>
        <v/>
      </c>
      <c r="D656" s="31">
        <f>IF($AB656="G",SUM($AE$8:$AE$407),IF(OR($AB656="",$AB656="R"),"",IF($AB656="D",INDEX($AE$8:$AE$407,$AA656),SUMIF($T$8:$T$407,INDEX($T$8:$T$407,$AA656),$AE$8:$AE$407))))</f>
        <v/>
      </c>
      <c r="E656" s="32">
        <f>IF(649=$AD$1+3,"ขอแสดงความนับถือ",IF(649=$AD$1+6,"(                 )",IF(649=$AD$1+7,"เจ้าหน้าที่ขนส่ง",IF($AB656="G",SUM($AF$8:$AF$407),IF(OR($AB656="",$AB656="R"),"",IF($AB656="D",INDEX($AF$8:$AF$407,$AA656),SUMIF($T$8:$T$407,INDEX($T$8:$T$407,$AA656),$AF$8:$AF$407)))))))</f>
        <v/>
      </c>
      <c r="F656" s="32">
        <f>IF($AB656="G",SUM($AG$8:$AG$407),IF(OR($AB656="",$AB656="R"),"",IF($AB656="D",INDEX($AG$8:$AG$407,$AA656),SUMIF($T$8:$T$407,INDEX($T$8:$T$407,$AA656),$AG$8:$AG$407))))</f>
        <v/>
      </c>
      <c r="G656" s="32">
        <f>IF(OR($AB656="",$AB656="R"),"",ROUND($E656-$F656,2))</f>
        <v/>
      </c>
      <c r="H656" s="32">
        <f>IF($AB656="G",SUM($AH$8:$AH$407),IF(OR($AB656="",$AB656="R"),"",IF($AB656="D",INDEX($AH$8:$AH$407,$AA656),SUMIF($T$8:$T$407,INDEX($T$8:$T$407,$AA656),$AH$8:$AH$407))))</f>
        <v/>
      </c>
      <c r="AA656">
        <f>IFERROR(MATCH(649,$X$8:$X$407,1),"")</f>
        <v/>
      </c>
      <c r="AB656">
        <f>IF(649=$AD$1+1,"G",IF($AA656="","",IF(INDEX($Q$8:$Q$407,$AA656)="","",IF(649&gt;INDEX($X$8:$X$407,$AA656)+INDEX($V$8:$V$407,$AA656)+INDEX($W$8:$W$407,$AA656),"",IF(649=INDEX($X$8:$X$407,$AA656)+INDEX($V$8:$V$407,$AA656)+INDEX($W$8:$W$407,$AA656),"D",IF(AND(INDEX($W$8:$W$407,$AA656)=1,649=INDEX($X$8:$X$407,$AA656)+INDEX($V$8:$V$407,$AA656)),"S","R"))))))</f>
        <v/>
      </c>
      <c r="AC656">
        <f>IF(OR($AB656="",$AB656="G"),"",IF($AB656="D",INDEX($U$8:$U$407,$AA656),IF($AB656="S",INDEX($T$8:$T$407,$AA656)&amp;"|*",INDEX($S$8:$S$407,$AA656)&amp;"|*")))</f>
        <v/>
      </c>
    </row>
    <row r="657" ht="21" customHeight="1" s="66">
      <c r="A657" s="3">
        <f>IF($AB657="G","ผลรวมทั้งหมด",IF($AB657="R",INDEX($S$8:$S$407,$AA657),""))</f>
        <v/>
      </c>
      <c r="B657" s="3">
        <f>IF($AB657="S",INDEX($Y$8:$Y$407,$AA657),"")</f>
        <v/>
      </c>
      <c r="C657" s="68">
        <f>IF($AB657="D",INDEX($Z$8:$Z$407,$AA657),"")</f>
        <v/>
      </c>
      <c r="D657" s="31">
        <f>IF($AB657="G",SUM($AE$8:$AE$407),IF(OR($AB657="",$AB657="R"),"",IF($AB657="D",INDEX($AE$8:$AE$407,$AA657),SUMIF($T$8:$T$407,INDEX($T$8:$T$407,$AA657),$AE$8:$AE$407))))</f>
        <v/>
      </c>
      <c r="E657" s="32">
        <f>IF(650=$AD$1+3,"ขอแสดงความนับถือ",IF(650=$AD$1+6,"(                 )",IF(650=$AD$1+7,"เจ้าหน้าที่ขนส่ง",IF($AB657="G",SUM($AF$8:$AF$407),IF(OR($AB657="",$AB657="R"),"",IF($AB657="D",INDEX($AF$8:$AF$407,$AA657),SUMIF($T$8:$T$407,INDEX($T$8:$T$407,$AA657),$AF$8:$AF$407)))))))</f>
        <v/>
      </c>
      <c r="F657" s="32">
        <f>IF($AB657="G",SUM($AG$8:$AG$407),IF(OR($AB657="",$AB657="R"),"",IF($AB657="D",INDEX($AG$8:$AG$407,$AA657),SUMIF($T$8:$T$407,INDEX($T$8:$T$407,$AA657),$AG$8:$AG$407))))</f>
        <v/>
      </c>
      <c r="G657" s="32">
        <f>IF(OR($AB657="",$AB657="R"),"",ROUND($E657-$F657,2))</f>
        <v/>
      </c>
      <c r="H657" s="32">
        <f>IF($AB657="G",SUM($AH$8:$AH$407),IF(OR($AB657="",$AB657="R"),"",IF($AB657="D",INDEX($AH$8:$AH$407,$AA657),SUMIF($T$8:$T$407,INDEX($T$8:$T$407,$AA657),$AH$8:$AH$407))))</f>
        <v/>
      </c>
      <c r="AA657">
        <f>IFERROR(MATCH(650,$X$8:$X$407,1),"")</f>
        <v/>
      </c>
      <c r="AB657">
        <f>IF(650=$AD$1+1,"G",IF($AA657="","",IF(INDEX($Q$8:$Q$407,$AA657)="","",IF(650&gt;INDEX($X$8:$X$407,$AA657)+INDEX($V$8:$V$407,$AA657)+INDEX($W$8:$W$407,$AA657),"",IF(650=INDEX($X$8:$X$407,$AA657)+INDEX($V$8:$V$407,$AA657)+INDEX($W$8:$W$407,$AA657),"D",IF(AND(INDEX($W$8:$W$407,$AA657)=1,650=INDEX($X$8:$X$407,$AA657)+INDEX($V$8:$V$407,$AA657)),"S","R"))))))</f>
        <v/>
      </c>
      <c r="AC657">
        <f>IF(OR($AB657="",$AB657="G"),"",IF($AB657="D",INDEX($U$8:$U$407,$AA657),IF($AB657="S",INDEX($T$8:$T$407,$AA657)&amp;"|*",INDEX($S$8:$S$407,$AA657)&amp;"|*")))</f>
        <v/>
      </c>
    </row>
    <row r="658" ht="21" customHeight="1" s="66">
      <c r="A658" s="3">
        <f>IF($AB658="G","ผลรวมทั้งหมด",IF($AB658="R",INDEX($S$8:$S$407,$AA658),""))</f>
        <v/>
      </c>
      <c r="B658" s="3">
        <f>IF($AB658="S",INDEX($Y$8:$Y$407,$AA658),"")</f>
        <v/>
      </c>
      <c r="C658" s="68">
        <f>IF($AB658="D",INDEX($Z$8:$Z$407,$AA658),"")</f>
        <v/>
      </c>
      <c r="D658" s="31">
        <f>IF($AB658="G",SUM($AE$8:$AE$407),IF(OR($AB658="",$AB658="R"),"",IF($AB658="D",INDEX($AE$8:$AE$407,$AA658),SUMIF($T$8:$T$407,INDEX($T$8:$T$407,$AA658),$AE$8:$AE$407))))</f>
        <v/>
      </c>
      <c r="E658" s="32">
        <f>IF(651=$AD$1+3,"ขอแสดงความนับถือ",IF(651=$AD$1+6,"(                 )",IF(651=$AD$1+7,"เจ้าหน้าที่ขนส่ง",IF($AB658="G",SUM($AF$8:$AF$407),IF(OR($AB658="",$AB658="R"),"",IF($AB658="D",INDEX($AF$8:$AF$407,$AA658),SUMIF($T$8:$T$407,INDEX($T$8:$T$407,$AA658),$AF$8:$AF$407)))))))</f>
        <v/>
      </c>
      <c r="F658" s="32">
        <f>IF($AB658="G",SUM($AG$8:$AG$407),IF(OR($AB658="",$AB658="R"),"",IF($AB658="D",INDEX($AG$8:$AG$407,$AA658),SUMIF($T$8:$T$407,INDEX($T$8:$T$407,$AA658),$AG$8:$AG$407))))</f>
        <v/>
      </c>
      <c r="G658" s="32">
        <f>IF(OR($AB658="",$AB658="R"),"",ROUND($E658-$F658,2))</f>
        <v/>
      </c>
      <c r="H658" s="32">
        <f>IF($AB658="G",SUM($AH$8:$AH$407),IF(OR($AB658="",$AB658="R"),"",IF($AB658="D",INDEX($AH$8:$AH$407,$AA658),SUMIF($T$8:$T$407,INDEX($T$8:$T$407,$AA658),$AH$8:$AH$407))))</f>
        <v/>
      </c>
      <c r="AA658">
        <f>IFERROR(MATCH(651,$X$8:$X$407,1),"")</f>
        <v/>
      </c>
      <c r="AB658">
        <f>IF(651=$AD$1+1,"G",IF($AA658="","",IF(INDEX($Q$8:$Q$407,$AA658)="","",IF(651&gt;INDEX($X$8:$X$407,$AA658)+INDEX($V$8:$V$407,$AA658)+INDEX($W$8:$W$407,$AA658),"",IF(651=INDEX($X$8:$X$407,$AA658)+INDEX($V$8:$V$407,$AA658)+INDEX($W$8:$W$407,$AA658),"D",IF(AND(INDEX($W$8:$W$407,$AA658)=1,651=INDEX($X$8:$X$407,$AA658)+INDEX($V$8:$V$407,$AA658)),"S","R"))))))</f>
        <v/>
      </c>
      <c r="AC658">
        <f>IF(OR($AB658="",$AB658="G"),"",IF($AB658="D",INDEX($U$8:$U$407,$AA658),IF($AB658="S",INDEX($T$8:$T$407,$AA658)&amp;"|*",INDEX($S$8:$S$407,$AA658)&amp;"|*")))</f>
        <v/>
      </c>
    </row>
    <row r="659" ht="21" customHeight="1" s="66">
      <c r="A659" s="3">
        <f>IF($AB659="G","ผลรวมทั้งหมด",IF($AB659="R",INDEX($S$8:$S$407,$AA659),""))</f>
        <v/>
      </c>
      <c r="B659" s="3">
        <f>IF($AB659="S",INDEX($Y$8:$Y$407,$AA659),"")</f>
        <v/>
      </c>
      <c r="C659" s="68">
        <f>IF($AB659="D",INDEX($Z$8:$Z$407,$AA659),"")</f>
        <v/>
      </c>
      <c r="D659" s="31">
        <f>IF($AB659="G",SUM($AE$8:$AE$407),IF(OR($AB659="",$AB659="R"),"",IF($AB659="D",INDEX($AE$8:$AE$407,$AA659),SUMIF($T$8:$T$407,INDEX($T$8:$T$407,$AA659),$AE$8:$AE$407))))</f>
        <v/>
      </c>
      <c r="E659" s="32">
        <f>IF(652=$AD$1+3,"ขอแสดงความนับถือ",IF(652=$AD$1+6,"(                 )",IF(652=$AD$1+7,"เจ้าหน้าที่ขนส่ง",IF($AB659="G",SUM($AF$8:$AF$407),IF(OR($AB659="",$AB659="R"),"",IF($AB659="D",INDEX($AF$8:$AF$407,$AA659),SUMIF($T$8:$T$407,INDEX($T$8:$T$407,$AA659),$AF$8:$AF$407)))))))</f>
        <v/>
      </c>
      <c r="F659" s="32">
        <f>IF($AB659="G",SUM($AG$8:$AG$407),IF(OR($AB659="",$AB659="R"),"",IF($AB659="D",INDEX($AG$8:$AG$407,$AA659),SUMIF($T$8:$T$407,INDEX($T$8:$T$407,$AA659),$AG$8:$AG$407))))</f>
        <v/>
      </c>
      <c r="G659" s="32">
        <f>IF(OR($AB659="",$AB659="R"),"",ROUND($E659-$F659,2))</f>
        <v/>
      </c>
      <c r="H659" s="32">
        <f>IF($AB659="G",SUM($AH$8:$AH$407),IF(OR($AB659="",$AB659="R"),"",IF($AB659="D",INDEX($AH$8:$AH$407,$AA659),SUMIF($T$8:$T$407,INDEX($T$8:$T$407,$AA659),$AH$8:$AH$407))))</f>
        <v/>
      </c>
      <c r="AA659">
        <f>IFERROR(MATCH(652,$X$8:$X$407,1),"")</f>
        <v/>
      </c>
      <c r="AB659">
        <f>IF(652=$AD$1+1,"G",IF($AA659="","",IF(INDEX($Q$8:$Q$407,$AA659)="","",IF(652&gt;INDEX($X$8:$X$407,$AA659)+INDEX($V$8:$V$407,$AA659)+INDEX($W$8:$W$407,$AA659),"",IF(652=INDEX($X$8:$X$407,$AA659)+INDEX($V$8:$V$407,$AA659)+INDEX($W$8:$W$407,$AA659),"D",IF(AND(INDEX($W$8:$W$407,$AA659)=1,652=INDEX($X$8:$X$407,$AA659)+INDEX($V$8:$V$407,$AA659)),"S","R"))))))</f>
        <v/>
      </c>
      <c r="AC659">
        <f>IF(OR($AB659="",$AB659="G"),"",IF($AB659="D",INDEX($U$8:$U$407,$AA659),IF($AB659="S",INDEX($T$8:$T$407,$AA659)&amp;"|*",INDEX($S$8:$S$407,$AA659)&amp;"|*")))</f>
        <v/>
      </c>
    </row>
    <row r="660" ht="21" customHeight="1" s="66">
      <c r="A660" s="3">
        <f>IF($AB660="G","ผลรวมทั้งหมด",IF($AB660="R",INDEX($S$8:$S$407,$AA660),""))</f>
        <v/>
      </c>
      <c r="B660" s="3">
        <f>IF($AB660="S",INDEX($Y$8:$Y$407,$AA660),"")</f>
        <v/>
      </c>
      <c r="C660" s="68">
        <f>IF($AB660="D",INDEX($Z$8:$Z$407,$AA660),"")</f>
        <v/>
      </c>
      <c r="D660" s="31">
        <f>IF($AB660="G",SUM($AE$8:$AE$407),IF(OR($AB660="",$AB660="R"),"",IF($AB660="D",INDEX($AE$8:$AE$407,$AA660),SUMIF($T$8:$T$407,INDEX($T$8:$T$407,$AA660),$AE$8:$AE$407))))</f>
        <v/>
      </c>
      <c r="E660" s="32">
        <f>IF(653=$AD$1+3,"ขอแสดงความนับถือ",IF(653=$AD$1+6,"(                 )",IF(653=$AD$1+7,"เจ้าหน้าที่ขนส่ง",IF($AB660="G",SUM($AF$8:$AF$407),IF(OR($AB660="",$AB660="R"),"",IF($AB660="D",INDEX($AF$8:$AF$407,$AA660),SUMIF($T$8:$T$407,INDEX($T$8:$T$407,$AA660),$AF$8:$AF$407)))))))</f>
        <v/>
      </c>
      <c r="F660" s="32">
        <f>IF($AB660="G",SUM($AG$8:$AG$407),IF(OR($AB660="",$AB660="R"),"",IF($AB660="D",INDEX($AG$8:$AG$407,$AA660),SUMIF($T$8:$T$407,INDEX($T$8:$T$407,$AA660),$AG$8:$AG$407))))</f>
        <v/>
      </c>
      <c r="G660" s="32">
        <f>IF(OR($AB660="",$AB660="R"),"",ROUND($E660-$F660,2))</f>
        <v/>
      </c>
      <c r="H660" s="32">
        <f>IF($AB660="G",SUM($AH$8:$AH$407),IF(OR($AB660="",$AB660="R"),"",IF($AB660="D",INDEX($AH$8:$AH$407,$AA660),SUMIF($T$8:$T$407,INDEX($T$8:$T$407,$AA660),$AH$8:$AH$407))))</f>
        <v/>
      </c>
      <c r="AA660">
        <f>IFERROR(MATCH(653,$X$8:$X$407,1),"")</f>
        <v/>
      </c>
      <c r="AB660">
        <f>IF(653=$AD$1+1,"G",IF($AA660="","",IF(INDEX($Q$8:$Q$407,$AA660)="","",IF(653&gt;INDEX($X$8:$X$407,$AA660)+INDEX($V$8:$V$407,$AA660)+INDEX($W$8:$W$407,$AA660),"",IF(653=INDEX($X$8:$X$407,$AA660)+INDEX($V$8:$V$407,$AA660)+INDEX($W$8:$W$407,$AA660),"D",IF(AND(INDEX($W$8:$W$407,$AA660)=1,653=INDEX($X$8:$X$407,$AA660)+INDEX($V$8:$V$407,$AA660)),"S","R"))))))</f>
        <v/>
      </c>
      <c r="AC660">
        <f>IF(OR($AB660="",$AB660="G"),"",IF($AB660="D",INDEX($U$8:$U$407,$AA660),IF($AB660="S",INDEX($T$8:$T$407,$AA660)&amp;"|*",INDEX($S$8:$S$407,$AA660)&amp;"|*")))</f>
        <v/>
      </c>
    </row>
    <row r="661" ht="21" customHeight="1" s="66">
      <c r="A661" s="3">
        <f>IF($AB661="G","ผลรวมทั้งหมด",IF($AB661="R",INDEX($S$8:$S$407,$AA661),""))</f>
        <v/>
      </c>
      <c r="B661" s="3">
        <f>IF($AB661="S",INDEX($Y$8:$Y$407,$AA661),"")</f>
        <v/>
      </c>
      <c r="C661" s="68">
        <f>IF($AB661="D",INDEX($Z$8:$Z$407,$AA661),"")</f>
        <v/>
      </c>
      <c r="D661" s="31">
        <f>IF($AB661="G",SUM($AE$8:$AE$407),IF(OR($AB661="",$AB661="R"),"",IF($AB661="D",INDEX($AE$8:$AE$407,$AA661),SUMIF($T$8:$T$407,INDEX($T$8:$T$407,$AA661),$AE$8:$AE$407))))</f>
        <v/>
      </c>
      <c r="E661" s="32">
        <f>IF(654=$AD$1+3,"ขอแสดงความนับถือ",IF(654=$AD$1+6,"(                 )",IF(654=$AD$1+7,"เจ้าหน้าที่ขนส่ง",IF($AB661="G",SUM($AF$8:$AF$407),IF(OR($AB661="",$AB661="R"),"",IF($AB661="D",INDEX($AF$8:$AF$407,$AA661),SUMIF($T$8:$T$407,INDEX($T$8:$T$407,$AA661),$AF$8:$AF$407)))))))</f>
        <v/>
      </c>
      <c r="F661" s="32">
        <f>IF($AB661="G",SUM($AG$8:$AG$407),IF(OR($AB661="",$AB661="R"),"",IF($AB661="D",INDEX($AG$8:$AG$407,$AA661),SUMIF($T$8:$T$407,INDEX($T$8:$T$407,$AA661),$AG$8:$AG$407))))</f>
        <v/>
      </c>
      <c r="G661" s="32">
        <f>IF(OR($AB661="",$AB661="R"),"",ROUND($E661-$F661,2))</f>
        <v/>
      </c>
      <c r="H661" s="32">
        <f>IF($AB661="G",SUM($AH$8:$AH$407),IF(OR($AB661="",$AB661="R"),"",IF($AB661="D",INDEX($AH$8:$AH$407,$AA661),SUMIF($T$8:$T$407,INDEX($T$8:$T$407,$AA661),$AH$8:$AH$407))))</f>
        <v/>
      </c>
      <c r="AA661">
        <f>IFERROR(MATCH(654,$X$8:$X$407,1),"")</f>
        <v/>
      </c>
      <c r="AB661">
        <f>IF(654=$AD$1+1,"G",IF($AA661="","",IF(INDEX($Q$8:$Q$407,$AA661)="","",IF(654&gt;INDEX($X$8:$X$407,$AA661)+INDEX($V$8:$V$407,$AA661)+INDEX($W$8:$W$407,$AA661),"",IF(654=INDEX($X$8:$X$407,$AA661)+INDEX($V$8:$V$407,$AA661)+INDEX($W$8:$W$407,$AA661),"D",IF(AND(INDEX($W$8:$W$407,$AA661)=1,654=INDEX($X$8:$X$407,$AA661)+INDEX($V$8:$V$407,$AA661)),"S","R"))))))</f>
        <v/>
      </c>
      <c r="AC661">
        <f>IF(OR($AB661="",$AB661="G"),"",IF($AB661="D",INDEX($U$8:$U$407,$AA661),IF($AB661="S",INDEX($T$8:$T$407,$AA661)&amp;"|*",INDEX($S$8:$S$407,$AA661)&amp;"|*")))</f>
        <v/>
      </c>
    </row>
    <row r="662" ht="21" customHeight="1" s="66">
      <c r="A662" s="3">
        <f>IF($AB662="G","ผลรวมทั้งหมด",IF($AB662="R",INDEX($S$8:$S$407,$AA662),""))</f>
        <v/>
      </c>
      <c r="B662" s="3">
        <f>IF($AB662="S",INDEX($Y$8:$Y$407,$AA662),"")</f>
        <v/>
      </c>
      <c r="C662" s="68">
        <f>IF($AB662="D",INDEX($Z$8:$Z$407,$AA662),"")</f>
        <v/>
      </c>
      <c r="D662" s="31">
        <f>IF($AB662="G",SUM($AE$8:$AE$407),IF(OR($AB662="",$AB662="R"),"",IF($AB662="D",INDEX($AE$8:$AE$407,$AA662),SUMIF($T$8:$T$407,INDEX($T$8:$T$407,$AA662),$AE$8:$AE$407))))</f>
        <v/>
      </c>
      <c r="E662" s="32">
        <f>IF(655=$AD$1+3,"ขอแสดงความนับถือ",IF(655=$AD$1+6,"(                 )",IF(655=$AD$1+7,"เจ้าหน้าที่ขนส่ง",IF($AB662="G",SUM($AF$8:$AF$407),IF(OR($AB662="",$AB662="R"),"",IF($AB662="D",INDEX($AF$8:$AF$407,$AA662),SUMIF($T$8:$T$407,INDEX($T$8:$T$407,$AA662),$AF$8:$AF$407)))))))</f>
        <v/>
      </c>
      <c r="F662" s="32">
        <f>IF($AB662="G",SUM($AG$8:$AG$407),IF(OR($AB662="",$AB662="R"),"",IF($AB662="D",INDEX($AG$8:$AG$407,$AA662),SUMIF($T$8:$T$407,INDEX($T$8:$T$407,$AA662),$AG$8:$AG$407))))</f>
        <v/>
      </c>
      <c r="G662" s="32">
        <f>IF(OR($AB662="",$AB662="R"),"",ROUND($E662-$F662,2))</f>
        <v/>
      </c>
      <c r="H662" s="32">
        <f>IF($AB662="G",SUM($AH$8:$AH$407),IF(OR($AB662="",$AB662="R"),"",IF($AB662="D",INDEX($AH$8:$AH$407,$AA662),SUMIF($T$8:$T$407,INDEX($T$8:$T$407,$AA662),$AH$8:$AH$407))))</f>
        <v/>
      </c>
      <c r="AA662">
        <f>IFERROR(MATCH(655,$X$8:$X$407,1),"")</f>
        <v/>
      </c>
      <c r="AB662">
        <f>IF(655=$AD$1+1,"G",IF($AA662="","",IF(INDEX($Q$8:$Q$407,$AA662)="","",IF(655&gt;INDEX($X$8:$X$407,$AA662)+INDEX($V$8:$V$407,$AA662)+INDEX($W$8:$W$407,$AA662),"",IF(655=INDEX($X$8:$X$407,$AA662)+INDEX($V$8:$V$407,$AA662)+INDEX($W$8:$W$407,$AA662),"D",IF(AND(INDEX($W$8:$W$407,$AA662)=1,655=INDEX($X$8:$X$407,$AA662)+INDEX($V$8:$V$407,$AA662)),"S","R"))))))</f>
        <v/>
      </c>
      <c r="AC662">
        <f>IF(OR($AB662="",$AB662="G"),"",IF($AB662="D",INDEX($U$8:$U$407,$AA662),IF($AB662="S",INDEX($T$8:$T$407,$AA662)&amp;"|*",INDEX($S$8:$S$407,$AA662)&amp;"|*")))</f>
        <v/>
      </c>
    </row>
    <row r="663" ht="21" customHeight="1" s="66">
      <c r="A663" s="3">
        <f>IF($AB663="G","ผลรวมทั้งหมด",IF($AB663="R",INDEX($S$8:$S$407,$AA663),""))</f>
        <v/>
      </c>
      <c r="B663" s="3">
        <f>IF($AB663="S",INDEX($Y$8:$Y$407,$AA663),"")</f>
        <v/>
      </c>
      <c r="C663" s="68">
        <f>IF($AB663="D",INDEX($Z$8:$Z$407,$AA663),"")</f>
        <v/>
      </c>
      <c r="D663" s="31">
        <f>IF($AB663="G",SUM($AE$8:$AE$407),IF(OR($AB663="",$AB663="R"),"",IF($AB663="D",INDEX($AE$8:$AE$407,$AA663),SUMIF($T$8:$T$407,INDEX($T$8:$T$407,$AA663),$AE$8:$AE$407))))</f>
        <v/>
      </c>
      <c r="E663" s="32">
        <f>IF(656=$AD$1+3,"ขอแสดงความนับถือ",IF(656=$AD$1+6,"(                 )",IF(656=$AD$1+7,"เจ้าหน้าที่ขนส่ง",IF($AB663="G",SUM($AF$8:$AF$407),IF(OR($AB663="",$AB663="R"),"",IF($AB663="D",INDEX($AF$8:$AF$407,$AA663),SUMIF($T$8:$T$407,INDEX($T$8:$T$407,$AA663),$AF$8:$AF$407)))))))</f>
        <v/>
      </c>
      <c r="F663" s="32">
        <f>IF($AB663="G",SUM($AG$8:$AG$407),IF(OR($AB663="",$AB663="R"),"",IF($AB663="D",INDEX($AG$8:$AG$407,$AA663),SUMIF($T$8:$T$407,INDEX($T$8:$T$407,$AA663),$AG$8:$AG$407))))</f>
        <v/>
      </c>
      <c r="G663" s="32">
        <f>IF(OR($AB663="",$AB663="R"),"",ROUND($E663-$F663,2))</f>
        <v/>
      </c>
      <c r="H663" s="32">
        <f>IF($AB663="G",SUM($AH$8:$AH$407),IF(OR($AB663="",$AB663="R"),"",IF($AB663="D",INDEX($AH$8:$AH$407,$AA663),SUMIF($T$8:$T$407,INDEX($T$8:$T$407,$AA663),$AH$8:$AH$407))))</f>
        <v/>
      </c>
      <c r="AA663">
        <f>IFERROR(MATCH(656,$X$8:$X$407,1),"")</f>
        <v/>
      </c>
      <c r="AB663">
        <f>IF(656=$AD$1+1,"G",IF($AA663="","",IF(INDEX($Q$8:$Q$407,$AA663)="","",IF(656&gt;INDEX($X$8:$X$407,$AA663)+INDEX($V$8:$V$407,$AA663)+INDEX($W$8:$W$407,$AA663),"",IF(656=INDEX($X$8:$X$407,$AA663)+INDEX($V$8:$V$407,$AA663)+INDEX($W$8:$W$407,$AA663),"D",IF(AND(INDEX($W$8:$W$407,$AA663)=1,656=INDEX($X$8:$X$407,$AA663)+INDEX($V$8:$V$407,$AA663)),"S","R"))))))</f>
        <v/>
      </c>
      <c r="AC663">
        <f>IF(OR($AB663="",$AB663="G"),"",IF($AB663="D",INDEX($U$8:$U$407,$AA663),IF($AB663="S",INDEX($T$8:$T$407,$AA663)&amp;"|*",INDEX($S$8:$S$407,$AA663)&amp;"|*")))</f>
        <v/>
      </c>
    </row>
    <row r="664" ht="21" customHeight="1" s="66">
      <c r="A664" s="3">
        <f>IF($AB664="G","ผลรวมทั้งหมด",IF($AB664="R",INDEX($S$8:$S$407,$AA664),""))</f>
        <v/>
      </c>
      <c r="B664" s="3">
        <f>IF($AB664="S",INDEX($Y$8:$Y$407,$AA664),"")</f>
        <v/>
      </c>
      <c r="C664" s="68">
        <f>IF($AB664="D",INDEX($Z$8:$Z$407,$AA664),"")</f>
        <v/>
      </c>
      <c r="D664" s="31">
        <f>IF($AB664="G",SUM($AE$8:$AE$407),IF(OR($AB664="",$AB664="R"),"",IF($AB664="D",INDEX($AE$8:$AE$407,$AA664),SUMIF($T$8:$T$407,INDEX($T$8:$T$407,$AA664),$AE$8:$AE$407))))</f>
        <v/>
      </c>
      <c r="E664" s="32">
        <f>IF(657=$AD$1+3,"ขอแสดงความนับถือ",IF(657=$AD$1+6,"(                 )",IF(657=$AD$1+7,"เจ้าหน้าที่ขนส่ง",IF($AB664="G",SUM($AF$8:$AF$407),IF(OR($AB664="",$AB664="R"),"",IF($AB664="D",INDEX($AF$8:$AF$407,$AA664),SUMIF($T$8:$T$407,INDEX($T$8:$T$407,$AA664),$AF$8:$AF$407)))))))</f>
        <v/>
      </c>
      <c r="F664" s="32">
        <f>IF($AB664="G",SUM($AG$8:$AG$407),IF(OR($AB664="",$AB664="R"),"",IF($AB664="D",INDEX($AG$8:$AG$407,$AA664),SUMIF($T$8:$T$407,INDEX($T$8:$T$407,$AA664),$AG$8:$AG$407))))</f>
        <v/>
      </c>
      <c r="G664" s="32">
        <f>IF(OR($AB664="",$AB664="R"),"",ROUND($E664-$F664,2))</f>
        <v/>
      </c>
      <c r="H664" s="32">
        <f>IF($AB664="G",SUM($AH$8:$AH$407),IF(OR($AB664="",$AB664="R"),"",IF($AB664="D",INDEX($AH$8:$AH$407,$AA664),SUMIF($T$8:$T$407,INDEX($T$8:$T$407,$AA664),$AH$8:$AH$407))))</f>
        <v/>
      </c>
      <c r="AA664">
        <f>IFERROR(MATCH(657,$X$8:$X$407,1),"")</f>
        <v/>
      </c>
      <c r="AB664">
        <f>IF(657=$AD$1+1,"G",IF($AA664="","",IF(INDEX($Q$8:$Q$407,$AA664)="","",IF(657&gt;INDEX($X$8:$X$407,$AA664)+INDEX($V$8:$V$407,$AA664)+INDEX($W$8:$W$407,$AA664),"",IF(657=INDEX($X$8:$X$407,$AA664)+INDEX($V$8:$V$407,$AA664)+INDEX($W$8:$W$407,$AA664),"D",IF(AND(INDEX($W$8:$W$407,$AA664)=1,657=INDEX($X$8:$X$407,$AA664)+INDEX($V$8:$V$407,$AA664)),"S","R"))))))</f>
        <v/>
      </c>
      <c r="AC664">
        <f>IF(OR($AB664="",$AB664="G"),"",IF($AB664="D",INDEX($U$8:$U$407,$AA664),IF($AB664="S",INDEX($T$8:$T$407,$AA664)&amp;"|*",INDEX($S$8:$S$407,$AA664)&amp;"|*")))</f>
        <v/>
      </c>
    </row>
    <row r="665" ht="21" customHeight="1" s="66">
      <c r="A665" s="3">
        <f>IF($AB665="G","ผลรวมทั้งหมด",IF($AB665="R",INDEX($S$8:$S$407,$AA665),""))</f>
        <v/>
      </c>
      <c r="B665" s="3">
        <f>IF($AB665="S",INDEX($Y$8:$Y$407,$AA665),"")</f>
        <v/>
      </c>
      <c r="C665" s="68">
        <f>IF($AB665="D",INDEX($Z$8:$Z$407,$AA665),"")</f>
        <v/>
      </c>
      <c r="D665" s="31">
        <f>IF($AB665="G",SUM($AE$8:$AE$407),IF(OR($AB665="",$AB665="R"),"",IF($AB665="D",INDEX($AE$8:$AE$407,$AA665),SUMIF($T$8:$T$407,INDEX($T$8:$T$407,$AA665),$AE$8:$AE$407))))</f>
        <v/>
      </c>
      <c r="E665" s="32">
        <f>IF(658=$AD$1+3,"ขอแสดงความนับถือ",IF(658=$AD$1+6,"(                 )",IF(658=$AD$1+7,"เจ้าหน้าที่ขนส่ง",IF($AB665="G",SUM($AF$8:$AF$407),IF(OR($AB665="",$AB665="R"),"",IF($AB665="D",INDEX($AF$8:$AF$407,$AA665),SUMIF($T$8:$T$407,INDEX($T$8:$T$407,$AA665),$AF$8:$AF$407)))))))</f>
        <v/>
      </c>
      <c r="F665" s="32">
        <f>IF($AB665="G",SUM($AG$8:$AG$407),IF(OR($AB665="",$AB665="R"),"",IF($AB665="D",INDEX($AG$8:$AG$407,$AA665),SUMIF($T$8:$T$407,INDEX($T$8:$T$407,$AA665),$AG$8:$AG$407))))</f>
        <v/>
      </c>
      <c r="G665" s="32">
        <f>IF(OR($AB665="",$AB665="R"),"",ROUND($E665-$F665,2))</f>
        <v/>
      </c>
      <c r="H665" s="32">
        <f>IF($AB665="G",SUM($AH$8:$AH$407),IF(OR($AB665="",$AB665="R"),"",IF($AB665="D",INDEX($AH$8:$AH$407,$AA665),SUMIF($T$8:$T$407,INDEX($T$8:$T$407,$AA665),$AH$8:$AH$407))))</f>
        <v/>
      </c>
      <c r="AA665">
        <f>IFERROR(MATCH(658,$X$8:$X$407,1),"")</f>
        <v/>
      </c>
      <c r="AB665">
        <f>IF(658=$AD$1+1,"G",IF($AA665="","",IF(INDEX($Q$8:$Q$407,$AA665)="","",IF(658&gt;INDEX($X$8:$X$407,$AA665)+INDEX($V$8:$V$407,$AA665)+INDEX($W$8:$W$407,$AA665),"",IF(658=INDEX($X$8:$X$407,$AA665)+INDEX($V$8:$V$407,$AA665)+INDEX($W$8:$W$407,$AA665),"D",IF(AND(INDEX($W$8:$W$407,$AA665)=1,658=INDEX($X$8:$X$407,$AA665)+INDEX($V$8:$V$407,$AA665)),"S","R"))))))</f>
        <v/>
      </c>
      <c r="AC665">
        <f>IF(OR($AB665="",$AB665="G"),"",IF($AB665="D",INDEX($U$8:$U$407,$AA665),IF($AB665="S",INDEX($T$8:$T$407,$AA665)&amp;"|*",INDEX($S$8:$S$407,$AA665)&amp;"|*")))</f>
        <v/>
      </c>
    </row>
    <row r="666" ht="21" customHeight="1" s="66">
      <c r="A666" s="3">
        <f>IF($AB666="G","ผลรวมทั้งหมด",IF($AB666="R",INDEX($S$8:$S$407,$AA666),""))</f>
        <v/>
      </c>
      <c r="B666" s="3">
        <f>IF($AB666="S",INDEX($Y$8:$Y$407,$AA666),"")</f>
        <v/>
      </c>
      <c r="C666" s="68">
        <f>IF($AB666="D",INDEX($Z$8:$Z$407,$AA666),"")</f>
        <v/>
      </c>
      <c r="D666" s="31">
        <f>IF($AB666="G",SUM($AE$8:$AE$407),IF(OR($AB666="",$AB666="R"),"",IF($AB666="D",INDEX($AE$8:$AE$407,$AA666),SUMIF($T$8:$T$407,INDEX($T$8:$T$407,$AA666),$AE$8:$AE$407))))</f>
        <v/>
      </c>
      <c r="E666" s="32">
        <f>IF(659=$AD$1+3,"ขอแสดงความนับถือ",IF(659=$AD$1+6,"(                 )",IF(659=$AD$1+7,"เจ้าหน้าที่ขนส่ง",IF($AB666="G",SUM($AF$8:$AF$407),IF(OR($AB666="",$AB666="R"),"",IF($AB666="D",INDEX($AF$8:$AF$407,$AA666),SUMIF($T$8:$T$407,INDEX($T$8:$T$407,$AA666),$AF$8:$AF$407)))))))</f>
        <v/>
      </c>
      <c r="F666" s="32">
        <f>IF($AB666="G",SUM($AG$8:$AG$407),IF(OR($AB666="",$AB666="R"),"",IF($AB666="D",INDEX($AG$8:$AG$407,$AA666),SUMIF($T$8:$T$407,INDEX($T$8:$T$407,$AA666),$AG$8:$AG$407))))</f>
        <v/>
      </c>
      <c r="G666" s="32">
        <f>IF(OR($AB666="",$AB666="R"),"",ROUND($E666-$F666,2))</f>
        <v/>
      </c>
      <c r="H666" s="32">
        <f>IF($AB666="G",SUM($AH$8:$AH$407),IF(OR($AB666="",$AB666="R"),"",IF($AB666="D",INDEX($AH$8:$AH$407,$AA666),SUMIF($T$8:$T$407,INDEX($T$8:$T$407,$AA666),$AH$8:$AH$407))))</f>
        <v/>
      </c>
      <c r="AA666">
        <f>IFERROR(MATCH(659,$X$8:$X$407,1),"")</f>
        <v/>
      </c>
      <c r="AB666">
        <f>IF(659=$AD$1+1,"G",IF($AA666="","",IF(INDEX($Q$8:$Q$407,$AA666)="","",IF(659&gt;INDEX($X$8:$X$407,$AA666)+INDEX($V$8:$V$407,$AA666)+INDEX($W$8:$W$407,$AA666),"",IF(659=INDEX($X$8:$X$407,$AA666)+INDEX($V$8:$V$407,$AA666)+INDEX($W$8:$W$407,$AA666),"D",IF(AND(INDEX($W$8:$W$407,$AA666)=1,659=INDEX($X$8:$X$407,$AA666)+INDEX($V$8:$V$407,$AA666)),"S","R"))))))</f>
        <v/>
      </c>
      <c r="AC666">
        <f>IF(OR($AB666="",$AB666="G"),"",IF($AB666="D",INDEX($U$8:$U$407,$AA666),IF($AB666="S",INDEX($T$8:$T$407,$AA666)&amp;"|*",INDEX($S$8:$S$407,$AA666)&amp;"|*")))</f>
        <v/>
      </c>
    </row>
    <row r="667" ht="21" customHeight="1" s="66">
      <c r="A667" s="3">
        <f>IF($AB667="G","ผลรวมทั้งหมด",IF($AB667="R",INDEX($S$8:$S$407,$AA667),""))</f>
        <v/>
      </c>
      <c r="B667" s="3">
        <f>IF($AB667="S",INDEX($Y$8:$Y$407,$AA667),"")</f>
        <v/>
      </c>
      <c r="C667" s="68">
        <f>IF($AB667="D",INDEX($Z$8:$Z$407,$AA667),"")</f>
        <v/>
      </c>
      <c r="D667" s="31">
        <f>IF($AB667="G",SUM($AE$8:$AE$407),IF(OR($AB667="",$AB667="R"),"",IF($AB667="D",INDEX($AE$8:$AE$407,$AA667),SUMIF($T$8:$T$407,INDEX($T$8:$T$407,$AA667),$AE$8:$AE$407))))</f>
        <v/>
      </c>
      <c r="E667" s="32">
        <f>IF(660=$AD$1+3,"ขอแสดงความนับถือ",IF(660=$AD$1+6,"(                 )",IF(660=$AD$1+7,"เจ้าหน้าที่ขนส่ง",IF($AB667="G",SUM($AF$8:$AF$407),IF(OR($AB667="",$AB667="R"),"",IF($AB667="D",INDEX($AF$8:$AF$407,$AA667),SUMIF($T$8:$T$407,INDEX($T$8:$T$407,$AA667),$AF$8:$AF$407)))))))</f>
        <v/>
      </c>
      <c r="F667" s="32">
        <f>IF($AB667="G",SUM($AG$8:$AG$407),IF(OR($AB667="",$AB667="R"),"",IF($AB667="D",INDEX($AG$8:$AG$407,$AA667),SUMIF($T$8:$T$407,INDEX($T$8:$T$407,$AA667),$AG$8:$AG$407))))</f>
        <v/>
      </c>
      <c r="G667" s="32">
        <f>IF(OR($AB667="",$AB667="R"),"",ROUND($E667-$F667,2))</f>
        <v/>
      </c>
      <c r="H667" s="32">
        <f>IF($AB667="G",SUM($AH$8:$AH$407),IF(OR($AB667="",$AB667="R"),"",IF($AB667="D",INDEX($AH$8:$AH$407,$AA667),SUMIF($T$8:$T$407,INDEX($T$8:$T$407,$AA667),$AH$8:$AH$407))))</f>
        <v/>
      </c>
      <c r="AA667">
        <f>IFERROR(MATCH(660,$X$8:$X$407,1),"")</f>
        <v/>
      </c>
      <c r="AB667">
        <f>IF(660=$AD$1+1,"G",IF($AA667="","",IF(INDEX($Q$8:$Q$407,$AA667)="","",IF(660&gt;INDEX($X$8:$X$407,$AA667)+INDEX($V$8:$V$407,$AA667)+INDEX($W$8:$W$407,$AA667),"",IF(660=INDEX($X$8:$X$407,$AA667)+INDEX($V$8:$V$407,$AA667)+INDEX($W$8:$W$407,$AA667),"D",IF(AND(INDEX($W$8:$W$407,$AA667)=1,660=INDEX($X$8:$X$407,$AA667)+INDEX($V$8:$V$407,$AA667)),"S","R"))))))</f>
        <v/>
      </c>
      <c r="AC667">
        <f>IF(OR($AB667="",$AB667="G"),"",IF($AB667="D",INDEX($U$8:$U$407,$AA667),IF($AB667="S",INDEX($T$8:$T$407,$AA667)&amp;"|*",INDEX($S$8:$S$407,$AA667)&amp;"|*")))</f>
        <v/>
      </c>
    </row>
    <row r="668" ht="21" customHeight="1" s="66">
      <c r="A668" s="3">
        <f>IF($AB668="G","ผลรวมทั้งหมด",IF($AB668="R",INDEX($S$8:$S$407,$AA668),""))</f>
        <v/>
      </c>
      <c r="B668" s="3">
        <f>IF($AB668="S",INDEX($Y$8:$Y$407,$AA668),"")</f>
        <v/>
      </c>
      <c r="C668" s="68">
        <f>IF($AB668="D",INDEX($Z$8:$Z$407,$AA668),"")</f>
        <v/>
      </c>
      <c r="D668" s="31">
        <f>IF($AB668="G",SUM($AE$8:$AE$407),IF(OR($AB668="",$AB668="R"),"",IF($AB668="D",INDEX($AE$8:$AE$407,$AA668),SUMIF($T$8:$T$407,INDEX($T$8:$T$407,$AA668),$AE$8:$AE$407))))</f>
        <v/>
      </c>
      <c r="E668" s="32">
        <f>IF(661=$AD$1+3,"ขอแสดงความนับถือ",IF(661=$AD$1+6,"(                 )",IF(661=$AD$1+7,"เจ้าหน้าที่ขนส่ง",IF($AB668="G",SUM($AF$8:$AF$407),IF(OR($AB668="",$AB668="R"),"",IF($AB668="D",INDEX($AF$8:$AF$407,$AA668),SUMIF($T$8:$T$407,INDEX($T$8:$T$407,$AA668),$AF$8:$AF$407)))))))</f>
        <v/>
      </c>
      <c r="F668" s="32">
        <f>IF($AB668="G",SUM($AG$8:$AG$407),IF(OR($AB668="",$AB668="R"),"",IF($AB668="D",INDEX($AG$8:$AG$407,$AA668),SUMIF($T$8:$T$407,INDEX($T$8:$T$407,$AA668),$AG$8:$AG$407))))</f>
        <v/>
      </c>
      <c r="G668" s="32">
        <f>IF(OR($AB668="",$AB668="R"),"",ROUND($E668-$F668,2))</f>
        <v/>
      </c>
      <c r="H668" s="32">
        <f>IF($AB668="G",SUM($AH$8:$AH$407),IF(OR($AB668="",$AB668="R"),"",IF($AB668="D",INDEX($AH$8:$AH$407,$AA668),SUMIF($T$8:$T$407,INDEX($T$8:$T$407,$AA668),$AH$8:$AH$407))))</f>
        <v/>
      </c>
      <c r="AA668">
        <f>IFERROR(MATCH(661,$X$8:$X$407,1),"")</f>
        <v/>
      </c>
      <c r="AB668">
        <f>IF(661=$AD$1+1,"G",IF($AA668="","",IF(INDEX($Q$8:$Q$407,$AA668)="","",IF(661&gt;INDEX($X$8:$X$407,$AA668)+INDEX($V$8:$V$407,$AA668)+INDEX($W$8:$W$407,$AA668),"",IF(661=INDEX($X$8:$X$407,$AA668)+INDEX($V$8:$V$407,$AA668)+INDEX($W$8:$W$407,$AA668),"D",IF(AND(INDEX($W$8:$W$407,$AA668)=1,661=INDEX($X$8:$X$407,$AA668)+INDEX($V$8:$V$407,$AA668)),"S","R"))))))</f>
        <v/>
      </c>
      <c r="AC668">
        <f>IF(OR($AB668="",$AB668="G"),"",IF($AB668="D",INDEX($U$8:$U$407,$AA668),IF($AB668="S",INDEX($T$8:$T$407,$AA668)&amp;"|*",INDEX($S$8:$S$407,$AA668)&amp;"|*")))</f>
        <v/>
      </c>
    </row>
    <row r="669" ht="21" customHeight="1" s="66">
      <c r="A669" s="3">
        <f>IF($AB669="G","ผลรวมทั้งหมด",IF($AB669="R",INDEX($S$8:$S$407,$AA669),""))</f>
        <v/>
      </c>
      <c r="B669" s="3">
        <f>IF($AB669="S",INDEX($Y$8:$Y$407,$AA669),"")</f>
        <v/>
      </c>
      <c r="C669" s="68">
        <f>IF($AB669="D",INDEX($Z$8:$Z$407,$AA669),"")</f>
        <v/>
      </c>
      <c r="D669" s="31">
        <f>IF($AB669="G",SUM($AE$8:$AE$407),IF(OR($AB669="",$AB669="R"),"",IF($AB669="D",INDEX($AE$8:$AE$407,$AA669),SUMIF($T$8:$T$407,INDEX($T$8:$T$407,$AA669),$AE$8:$AE$407))))</f>
        <v/>
      </c>
      <c r="E669" s="32">
        <f>IF(662=$AD$1+3,"ขอแสดงความนับถือ",IF(662=$AD$1+6,"(                 )",IF(662=$AD$1+7,"เจ้าหน้าที่ขนส่ง",IF($AB669="G",SUM($AF$8:$AF$407),IF(OR($AB669="",$AB669="R"),"",IF($AB669="D",INDEX($AF$8:$AF$407,$AA669),SUMIF($T$8:$T$407,INDEX($T$8:$T$407,$AA669),$AF$8:$AF$407)))))))</f>
        <v/>
      </c>
      <c r="F669" s="32">
        <f>IF($AB669="G",SUM($AG$8:$AG$407),IF(OR($AB669="",$AB669="R"),"",IF($AB669="D",INDEX($AG$8:$AG$407,$AA669),SUMIF($T$8:$T$407,INDEX($T$8:$T$407,$AA669),$AG$8:$AG$407))))</f>
        <v/>
      </c>
      <c r="G669" s="32">
        <f>IF(OR($AB669="",$AB669="R"),"",ROUND($E669-$F669,2))</f>
        <v/>
      </c>
      <c r="H669" s="32">
        <f>IF($AB669="G",SUM($AH$8:$AH$407),IF(OR($AB669="",$AB669="R"),"",IF($AB669="D",INDEX($AH$8:$AH$407,$AA669),SUMIF($T$8:$T$407,INDEX($T$8:$T$407,$AA669),$AH$8:$AH$407))))</f>
        <v/>
      </c>
      <c r="AA669">
        <f>IFERROR(MATCH(662,$X$8:$X$407,1),"")</f>
        <v/>
      </c>
      <c r="AB669">
        <f>IF(662=$AD$1+1,"G",IF($AA669="","",IF(INDEX($Q$8:$Q$407,$AA669)="","",IF(662&gt;INDEX($X$8:$X$407,$AA669)+INDEX($V$8:$V$407,$AA669)+INDEX($W$8:$W$407,$AA669),"",IF(662=INDEX($X$8:$X$407,$AA669)+INDEX($V$8:$V$407,$AA669)+INDEX($W$8:$W$407,$AA669),"D",IF(AND(INDEX($W$8:$W$407,$AA669)=1,662=INDEX($X$8:$X$407,$AA669)+INDEX($V$8:$V$407,$AA669)),"S","R"))))))</f>
        <v/>
      </c>
      <c r="AC669">
        <f>IF(OR($AB669="",$AB669="G"),"",IF($AB669="D",INDEX($U$8:$U$407,$AA669),IF($AB669="S",INDEX($T$8:$T$407,$AA669)&amp;"|*",INDEX($S$8:$S$407,$AA669)&amp;"|*")))</f>
        <v/>
      </c>
    </row>
    <row r="670" ht="21" customHeight="1" s="66">
      <c r="A670" s="3">
        <f>IF($AB670="G","ผลรวมทั้งหมด",IF($AB670="R",INDEX($S$8:$S$407,$AA670),""))</f>
        <v/>
      </c>
      <c r="B670" s="3">
        <f>IF($AB670="S",INDEX($Y$8:$Y$407,$AA670),"")</f>
        <v/>
      </c>
      <c r="C670" s="68">
        <f>IF($AB670="D",INDEX($Z$8:$Z$407,$AA670),"")</f>
        <v/>
      </c>
      <c r="D670" s="31">
        <f>IF($AB670="G",SUM($AE$8:$AE$407),IF(OR($AB670="",$AB670="R"),"",IF($AB670="D",INDEX($AE$8:$AE$407,$AA670),SUMIF($T$8:$T$407,INDEX($T$8:$T$407,$AA670),$AE$8:$AE$407))))</f>
        <v/>
      </c>
      <c r="E670" s="32">
        <f>IF(663=$AD$1+3,"ขอแสดงความนับถือ",IF(663=$AD$1+6,"(                 )",IF(663=$AD$1+7,"เจ้าหน้าที่ขนส่ง",IF($AB670="G",SUM($AF$8:$AF$407),IF(OR($AB670="",$AB670="R"),"",IF($AB670="D",INDEX($AF$8:$AF$407,$AA670),SUMIF($T$8:$T$407,INDEX($T$8:$T$407,$AA670),$AF$8:$AF$407)))))))</f>
        <v/>
      </c>
      <c r="F670" s="32">
        <f>IF($AB670="G",SUM($AG$8:$AG$407),IF(OR($AB670="",$AB670="R"),"",IF($AB670="D",INDEX($AG$8:$AG$407,$AA670),SUMIF($T$8:$T$407,INDEX($T$8:$T$407,$AA670),$AG$8:$AG$407))))</f>
        <v/>
      </c>
      <c r="G670" s="32">
        <f>IF(OR($AB670="",$AB670="R"),"",ROUND($E670-$F670,2))</f>
        <v/>
      </c>
      <c r="H670" s="32">
        <f>IF($AB670="G",SUM($AH$8:$AH$407),IF(OR($AB670="",$AB670="R"),"",IF($AB670="D",INDEX($AH$8:$AH$407,$AA670),SUMIF($T$8:$T$407,INDEX($T$8:$T$407,$AA670),$AH$8:$AH$407))))</f>
        <v/>
      </c>
      <c r="AA670">
        <f>IFERROR(MATCH(663,$X$8:$X$407,1),"")</f>
        <v/>
      </c>
      <c r="AB670">
        <f>IF(663=$AD$1+1,"G",IF($AA670="","",IF(INDEX($Q$8:$Q$407,$AA670)="","",IF(663&gt;INDEX($X$8:$X$407,$AA670)+INDEX($V$8:$V$407,$AA670)+INDEX($W$8:$W$407,$AA670),"",IF(663=INDEX($X$8:$X$407,$AA670)+INDEX($V$8:$V$407,$AA670)+INDEX($W$8:$W$407,$AA670),"D",IF(AND(INDEX($W$8:$W$407,$AA670)=1,663=INDEX($X$8:$X$407,$AA670)+INDEX($V$8:$V$407,$AA670)),"S","R"))))))</f>
        <v/>
      </c>
      <c r="AC670">
        <f>IF(OR($AB670="",$AB670="G"),"",IF($AB670="D",INDEX($U$8:$U$407,$AA670),IF($AB670="S",INDEX($T$8:$T$407,$AA670)&amp;"|*",INDEX($S$8:$S$407,$AA670)&amp;"|*")))</f>
        <v/>
      </c>
    </row>
    <row r="671" ht="21" customHeight="1" s="66">
      <c r="A671" s="3">
        <f>IF($AB671="G","ผลรวมทั้งหมด",IF($AB671="R",INDEX($S$8:$S$407,$AA671),""))</f>
        <v/>
      </c>
      <c r="B671" s="3">
        <f>IF($AB671="S",INDEX($Y$8:$Y$407,$AA671),"")</f>
        <v/>
      </c>
      <c r="C671" s="68">
        <f>IF($AB671="D",INDEX($Z$8:$Z$407,$AA671),"")</f>
        <v/>
      </c>
      <c r="D671" s="31">
        <f>IF($AB671="G",SUM($AE$8:$AE$407),IF(OR($AB671="",$AB671="R"),"",IF($AB671="D",INDEX($AE$8:$AE$407,$AA671),SUMIF($T$8:$T$407,INDEX($T$8:$T$407,$AA671),$AE$8:$AE$407))))</f>
        <v/>
      </c>
      <c r="E671" s="32">
        <f>IF(664=$AD$1+3,"ขอแสดงความนับถือ",IF(664=$AD$1+6,"(                 )",IF(664=$AD$1+7,"เจ้าหน้าที่ขนส่ง",IF($AB671="G",SUM($AF$8:$AF$407),IF(OR($AB671="",$AB671="R"),"",IF($AB671="D",INDEX($AF$8:$AF$407,$AA671),SUMIF($T$8:$T$407,INDEX($T$8:$T$407,$AA671),$AF$8:$AF$407)))))))</f>
        <v/>
      </c>
      <c r="F671" s="32">
        <f>IF($AB671="G",SUM($AG$8:$AG$407),IF(OR($AB671="",$AB671="R"),"",IF($AB671="D",INDEX($AG$8:$AG$407,$AA671),SUMIF($T$8:$T$407,INDEX($T$8:$T$407,$AA671),$AG$8:$AG$407))))</f>
        <v/>
      </c>
      <c r="G671" s="32">
        <f>IF(OR($AB671="",$AB671="R"),"",ROUND($E671-$F671,2))</f>
        <v/>
      </c>
      <c r="H671" s="32">
        <f>IF($AB671="G",SUM($AH$8:$AH$407),IF(OR($AB671="",$AB671="R"),"",IF($AB671="D",INDEX($AH$8:$AH$407,$AA671),SUMIF($T$8:$T$407,INDEX($T$8:$T$407,$AA671),$AH$8:$AH$407))))</f>
        <v/>
      </c>
      <c r="AA671">
        <f>IFERROR(MATCH(664,$X$8:$X$407,1),"")</f>
        <v/>
      </c>
      <c r="AB671">
        <f>IF(664=$AD$1+1,"G",IF($AA671="","",IF(INDEX($Q$8:$Q$407,$AA671)="","",IF(664&gt;INDEX($X$8:$X$407,$AA671)+INDEX($V$8:$V$407,$AA671)+INDEX($W$8:$W$407,$AA671),"",IF(664=INDEX($X$8:$X$407,$AA671)+INDEX($V$8:$V$407,$AA671)+INDEX($W$8:$W$407,$AA671),"D",IF(AND(INDEX($W$8:$W$407,$AA671)=1,664=INDEX($X$8:$X$407,$AA671)+INDEX($V$8:$V$407,$AA671)),"S","R"))))))</f>
        <v/>
      </c>
      <c r="AC671">
        <f>IF(OR($AB671="",$AB671="G"),"",IF($AB671="D",INDEX($U$8:$U$407,$AA671),IF($AB671="S",INDEX($T$8:$T$407,$AA671)&amp;"|*",INDEX($S$8:$S$407,$AA671)&amp;"|*")))</f>
        <v/>
      </c>
    </row>
    <row r="672" ht="21" customHeight="1" s="66">
      <c r="A672" s="3">
        <f>IF($AB672="G","ผลรวมทั้งหมด",IF($AB672="R",INDEX($S$8:$S$407,$AA672),""))</f>
        <v/>
      </c>
      <c r="B672" s="3">
        <f>IF($AB672="S",INDEX($Y$8:$Y$407,$AA672),"")</f>
        <v/>
      </c>
      <c r="C672" s="68">
        <f>IF($AB672="D",INDEX($Z$8:$Z$407,$AA672),"")</f>
        <v/>
      </c>
      <c r="D672" s="31">
        <f>IF($AB672="G",SUM($AE$8:$AE$407),IF(OR($AB672="",$AB672="R"),"",IF($AB672="D",INDEX($AE$8:$AE$407,$AA672),SUMIF($T$8:$T$407,INDEX($T$8:$T$407,$AA672),$AE$8:$AE$407))))</f>
        <v/>
      </c>
      <c r="E672" s="32">
        <f>IF(665=$AD$1+3,"ขอแสดงความนับถือ",IF(665=$AD$1+6,"(                 )",IF(665=$AD$1+7,"เจ้าหน้าที่ขนส่ง",IF($AB672="G",SUM($AF$8:$AF$407),IF(OR($AB672="",$AB672="R"),"",IF($AB672="D",INDEX($AF$8:$AF$407,$AA672),SUMIF($T$8:$T$407,INDEX($T$8:$T$407,$AA672),$AF$8:$AF$407)))))))</f>
        <v/>
      </c>
      <c r="F672" s="32">
        <f>IF($AB672="G",SUM($AG$8:$AG$407),IF(OR($AB672="",$AB672="R"),"",IF($AB672="D",INDEX($AG$8:$AG$407,$AA672),SUMIF($T$8:$T$407,INDEX($T$8:$T$407,$AA672),$AG$8:$AG$407))))</f>
        <v/>
      </c>
      <c r="G672" s="32">
        <f>IF(OR($AB672="",$AB672="R"),"",ROUND($E672-$F672,2))</f>
        <v/>
      </c>
      <c r="H672" s="32">
        <f>IF($AB672="G",SUM($AH$8:$AH$407),IF(OR($AB672="",$AB672="R"),"",IF($AB672="D",INDEX($AH$8:$AH$407,$AA672),SUMIF($T$8:$T$407,INDEX($T$8:$T$407,$AA672),$AH$8:$AH$407))))</f>
        <v/>
      </c>
      <c r="AA672">
        <f>IFERROR(MATCH(665,$X$8:$X$407,1),"")</f>
        <v/>
      </c>
      <c r="AB672">
        <f>IF(665=$AD$1+1,"G",IF($AA672="","",IF(INDEX($Q$8:$Q$407,$AA672)="","",IF(665&gt;INDEX($X$8:$X$407,$AA672)+INDEX($V$8:$V$407,$AA672)+INDEX($W$8:$W$407,$AA672),"",IF(665=INDEX($X$8:$X$407,$AA672)+INDEX($V$8:$V$407,$AA672)+INDEX($W$8:$W$407,$AA672),"D",IF(AND(INDEX($W$8:$W$407,$AA672)=1,665=INDEX($X$8:$X$407,$AA672)+INDEX($V$8:$V$407,$AA672)),"S","R"))))))</f>
        <v/>
      </c>
      <c r="AC672">
        <f>IF(OR($AB672="",$AB672="G"),"",IF($AB672="D",INDEX($U$8:$U$407,$AA672),IF($AB672="S",INDEX($T$8:$T$407,$AA672)&amp;"|*",INDEX($S$8:$S$407,$AA672)&amp;"|*")))</f>
        <v/>
      </c>
    </row>
    <row r="673" ht="21" customHeight="1" s="66">
      <c r="A673" s="3">
        <f>IF($AB673="G","ผลรวมทั้งหมด",IF($AB673="R",INDEX($S$8:$S$407,$AA673),""))</f>
        <v/>
      </c>
      <c r="B673" s="3">
        <f>IF($AB673="S",INDEX($Y$8:$Y$407,$AA673),"")</f>
        <v/>
      </c>
      <c r="C673" s="68">
        <f>IF($AB673="D",INDEX($Z$8:$Z$407,$AA673),"")</f>
        <v/>
      </c>
      <c r="D673" s="31">
        <f>IF($AB673="G",SUM($AE$8:$AE$407),IF(OR($AB673="",$AB673="R"),"",IF($AB673="D",INDEX($AE$8:$AE$407,$AA673),SUMIF($T$8:$T$407,INDEX($T$8:$T$407,$AA673),$AE$8:$AE$407))))</f>
        <v/>
      </c>
      <c r="E673" s="32">
        <f>IF(666=$AD$1+3,"ขอแสดงความนับถือ",IF(666=$AD$1+6,"(                 )",IF(666=$AD$1+7,"เจ้าหน้าที่ขนส่ง",IF($AB673="G",SUM($AF$8:$AF$407),IF(OR($AB673="",$AB673="R"),"",IF($AB673="D",INDEX($AF$8:$AF$407,$AA673),SUMIF($T$8:$T$407,INDEX($T$8:$T$407,$AA673),$AF$8:$AF$407)))))))</f>
        <v/>
      </c>
      <c r="F673" s="32">
        <f>IF($AB673="G",SUM($AG$8:$AG$407),IF(OR($AB673="",$AB673="R"),"",IF($AB673="D",INDEX($AG$8:$AG$407,$AA673),SUMIF($T$8:$T$407,INDEX($T$8:$T$407,$AA673),$AG$8:$AG$407))))</f>
        <v/>
      </c>
      <c r="G673" s="32">
        <f>IF(OR($AB673="",$AB673="R"),"",ROUND($E673-$F673,2))</f>
        <v/>
      </c>
      <c r="H673" s="32">
        <f>IF($AB673="G",SUM($AH$8:$AH$407),IF(OR($AB673="",$AB673="R"),"",IF($AB673="D",INDEX($AH$8:$AH$407,$AA673),SUMIF($T$8:$T$407,INDEX($T$8:$T$407,$AA673),$AH$8:$AH$407))))</f>
        <v/>
      </c>
      <c r="AA673">
        <f>IFERROR(MATCH(666,$X$8:$X$407,1),"")</f>
        <v/>
      </c>
      <c r="AB673">
        <f>IF(666=$AD$1+1,"G",IF($AA673="","",IF(INDEX($Q$8:$Q$407,$AA673)="","",IF(666&gt;INDEX($X$8:$X$407,$AA673)+INDEX($V$8:$V$407,$AA673)+INDEX($W$8:$W$407,$AA673),"",IF(666=INDEX($X$8:$X$407,$AA673)+INDEX($V$8:$V$407,$AA673)+INDEX($W$8:$W$407,$AA673),"D",IF(AND(INDEX($W$8:$W$407,$AA673)=1,666=INDEX($X$8:$X$407,$AA673)+INDEX($V$8:$V$407,$AA673)),"S","R"))))))</f>
        <v/>
      </c>
      <c r="AC673">
        <f>IF(OR($AB673="",$AB673="G"),"",IF($AB673="D",INDEX($U$8:$U$407,$AA673),IF($AB673="S",INDEX($T$8:$T$407,$AA673)&amp;"|*",INDEX($S$8:$S$407,$AA673)&amp;"|*")))</f>
        <v/>
      </c>
    </row>
    <row r="674" ht="21" customHeight="1" s="66">
      <c r="A674" s="3">
        <f>IF($AB674="G","ผลรวมทั้งหมด",IF($AB674="R",INDEX($S$8:$S$407,$AA674),""))</f>
        <v/>
      </c>
      <c r="B674" s="3">
        <f>IF($AB674="S",INDEX($Y$8:$Y$407,$AA674),"")</f>
        <v/>
      </c>
      <c r="C674" s="68">
        <f>IF($AB674="D",INDEX($Z$8:$Z$407,$AA674),"")</f>
        <v/>
      </c>
      <c r="D674" s="31">
        <f>IF($AB674="G",SUM($AE$8:$AE$407),IF(OR($AB674="",$AB674="R"),"",IF($AB674="D",INDEX($AE$8:$AE$407,$AA674),SUMIF($T$8:$T$407,INDEX($T$8:$T$407,$AA674),$AE$8:$AE$407))))</f>
        <v/>
      </c>
      <c r="E674" s="32">
        <f>IF(667=$AD$1+3,"ขอแสดงความนับถือ",IF(667=$AD$1+6,"(                 )",IF(667=$AD$1+7,"เจ้าหน้าที่ขนส่ง",IF($AB674="G",SUM($AF$8:$AF$407),IF(OR($AB674="",$AB674="R"),"",IF($AB674="D",INDEX($AF$8:$AF$407,$AA674),SUMIF($T$8:$T$407,INDEX($T$8:$T$407,$AA674),$AF$8:$AF$407)))))))</f>
        <v/>
      </c>
      <c r="F674" s="32">
        <f>IF($AB674="G",SUM($AG$8:$AG$407),IF(OR($AB674="",$AB674="R"),"",IF($AB674="D",INDEX($AG$8:$AG$407,$AA674),SUMIF($T$8:$T$407,INDEX($T$8:$T$407,$AA674),$AG$8:$AG$407))))</f>
        <v/>
      </c>
      <c r="G674" s="32">
        <f>IF(OR($AB674="",$AB674="R"),"",ROUND($E674-$F674,2))</f>
        <v/>
      </c>
      <c r="H674" s="32">
        <f>IF($AB674="G",SUM($AH$8:$AH$407),IF(OR($AB674="",$AB674="R"),"",IF($AB674="D",INDEX($AH$8:$AH$407,$AA674),SUMIF($T$8:$T$407,INDEX($T$8:$T$407,$AA674),$AH$8:$AH$407))))</f>
        <v/>
      </c>
      <c r="AA674">
        <f>IFERROR(MATCH(667,$X$8:$X$407,1),"")</f>
        <v/>
      </c>
      <c r="AB674">
        <f>IF(667=$AD$1+1,"G",IF($AA674="","",IF(INDEX($Q$8:$Q$407,$AA674)="","",IF(667&gt;INDEX($X$8:$X$407,$AA674)+INDEX($V$8:$V$407,$AA674)+INDEX($W$8:$W$407,$AA674),"",IF(667=INDEX($X$8:$X$407,$AA674)+INDEX($V$8:$V$407,$AA674)+INDEX($W$8:$W$407,$AA674),"D",IF(AND(INDEX($W$8:$W$407,$AA674)=1,667=INDEX($X$8:$X$407,$AA674)+INDEX($V$8:$V$407,$AA674)),"S","R"))))))</f>
        <v/>
      </c>
      <c r="AC674">
        <f>IF(OR($AB674="",$AB674="G"),"",IF($AB674="D",INDEX($U$8:$U$407,$AA674),IF($AB674="S",INDEX($T$8:$T$407,$AA674)&amp;"|*",INDEX($S$8:$S$407,$AA674)&amp;"|*")))</f>
        <v/>
      </c>
    </row>
    <row r="675" ht="21" customHeight="1" s="66">
      <c r="A675" s="3">
        <f>IF($AB675="G","ผลรวมทั้งหมด",IF($AB675="R",INDEX($S$8:$S$407,$AA675),""))</f>
        <v/>
      </c>
      <c r="B675" s="3">
        <f>IF($AB675="S",INDEX($Y$8:$Y$407,$AA675),"")</f>
        <v/>
      </c>
      <c r="C675" s="68">
        <f>IF($AB675="D",INDEX($Z$8:$Z$407,$AA675),"")</f>
        <v/>
      </c>
      <c r="D675" s="31">
        <f>IF($AB675="G",SUM($AE$8:$AE$407),IF(OR($AB675="",$AB675="R"),"",IF($AB675="D",INDEX($AE$8:$AE$407,$AA675),SUMIF($T$8:$T$407,INDEX($T$8:$T$407,$AA675),$AE$8:$AE$407))))</f>
        <v/>
      </c>
      <c r="E675" s="32">
        <f>IF(668=$AD$1+3,"ขอแสดงความนับถือ",IF(668=$AD$1+6,"(                 )",IF(668=$AD$1+7,"เจ้าหน้าที่ขนส่ง",IF($AB675="G",SUM($AF$8:$AF$407),IF(OR($AB675="",$AB675="R"),"",IF($AB675="D",INDEX($AF$8:$AF$407,$AA675),SUMIF($T$8:$T$407,INDEX($T$8:$T$407,$AA675),$AF$8:$AF$407)))))))</f>
        <v/>
      </c>
      <c r="F675" s="32">
        <f>IF($AB675="G",SUM($AG$8:$AG$407),IF(OR($AB675="",$AB675="R"),"",IF($AB675="D",INDEX($AG$8:$AG$407,$AA675),SUMIF($T$8:$T$407,INDEX($T$8:$T$407,$AA675),$AG$8:$AG$407))))</f>
        <v/>
      </c>
      <c r="G675" s="32">
        <f>IF(OR($AB675="",$AB675="R"),"",ROUND($E675-$F675,2))</f>
        <v/>
      </c>
      <c r="H675" s="32">
        <f>IF($AB675="G",SUM($AH$8:$AH$407),IF(OR($AB675="",$AB675="R"),"",IF($AB675="D",INDEX($AH$8:$AH$407,$AA675),SUMIF($T$8:$T$407,INDEX($T$8:$T$407,$AA675),$AH$8:$AH$407))))</f>
        <v/>
      </c>
      <c r="AA675">
        <f>IFERROR(MATCH(668,$X$8:$X$407,1),"")</f>
        <v/>
      </c>
      <c r="AB675">
        <f>IF(668=$AD$1+1,"G",IF($AA675="","",IF(INDEX($Q$8:$Q$407,$AA675)="","",IF(668&gt;INDEX($X$8:$X$407,$AA675)+INDEX($V$8:$V$407,$AA675)+INDEX($W$8:$W$407,$AA675),"",IF(668=INDEX($X$8:$X$407,$AA675)+INDEX($V$8:$V$407,$AA675)+INDEX($W$8:$W$407,$AA675),"D",IF(AND(INDEX($W$8:$W$407,$AA675)=1,668=INDEX($X$8:$X$407,$AA675)+INDEX($V$8:$V$407,$AA675)),"S","R"))))))</f>
        <v/>
      </c>
      <c r="AC675">
        <f>IF(OR($AB675="",$AB675="G"),"",IF($AB675="D",INDEX($U$8:$U$407,$AA675),IF($AB675="S",INDEX($T$8:$T$407,$AA675)&amp;"|*",INDEX($S$8:$S$407,$AA675)&amp;"|*")))</f>
        <v/>
      </c>
    </row>
    <row r="676" ht="21" customHeight="1" s="66">
      <c r="A676" s="3">
        <f>IF($AB676="G","ผลรวมทั้งหมด",IF($AB676="R",INDEX($S$8:$S$407,$AA676),""))</f>
        <v/>
      </c>
      <c r="B676" s="3">
        <f>IF($AB676="S",INDEX($Y$8:$Y$407,$AA676),"")</f>
        <v/>
      </c>
      <c r="C676" s="68">
        <f>IF($AB676="D",INDEX($Z$8:$Z$407,$AA676),"")</f>
        <v/>
      </c>
      <c r="D676" s="31">
        <f>IF($AB676="G",SUM($AE$8:$AE$407),IF(OR($AB676="",$AB676="R"),"",IF($AB676="D",INDEX($AE$8:$AE$407,$AA676),SUMIF($T$8:$T$407,INDEX($T$8:$T$407,$AA676),$AE$8:$AE$407))))</f>
        <v/>
      </c>
      <c r="E676" s="32">
        <f>IF(669=$AD$1+3,"ขอแสดงความนับถือ",IF(669=$AD$1+6,"(                 )",IF(669=$AD$1+7,"เจ้าหน้าที่ขนส่ง",IF($AB676="G",SUM($AF$8:$AF$407),IF(OR($AB676="",$AB676="R"),"",IF($AB676="D",INDEX($AF$8:$AF$407,$AA676),SUMIF($T$8:$T$407,INDEX($T$8:$T$407,$AA676),$AF$8:$AF$407)))))))</f>
        <v/>
      </c>
      <c r="F676" s="32">
        <f>IF($AB676="G",SUM($AG$8:$AG$407),IF(OR($AB676="",$AB676="R"),"",IF($AB676="D",INDEX($AG$8:$AG$407,$AA676),SUMIF($T$8:$T$407,INDEX($T$8:$T$407,$AA676),$AG$8:$AG$407))))</f>
        <v/>
      </c>
      <c r="G676" s="32">
        <f>IF(OR($AB676="",$AB676="R"),"",ROUND($E676-$F676,2))</f>
        <v/>
      </c>
      <c r="H676" s="32">
        <f>IF($AB676="G",SUM($AH$8:$AH$407),IF(OR($AB676="",$AB676="R"),"",IF($AB676="D",INDEX($AH$8:$AH$407,$AA676),SUMIF($T$8:$T$407,INDEX($T$8:$T$407,$AA676),$AH$8:$AH$407))))</f>
        <v/>
      </c>
      <c r="AA676">
        <f>IFERROR(MATCH(669,$X$8:$X$407,1),"")</f>
        <v/>
      </c>
      <c r="AB676">
        <f>IF(669=$AD$1+1,"G",IF($AA676="","",IF(INDEX($Q$8:$Q$407,$AA676)="","",IF(669&gt;INDEX($X$8:$X$407,$AA676)+INDEX($V$8:$V$407,$AA676)+INDEX($W$8:$W$407,$AA676),"",IF(669=INDEX($X$8:$X$407,$AA676)+INDEX($V$8:$V$407,$AA676)+INDEX($W$8:$W$407,$AA676),"D",IF(AND(INDEX($W$8:$W$407,$AA676)=1,669=INDEX($X$8:$X$407,$AA676)+INDEX($V$8:$V$407,$AA676)),"S","R"))))))</f>
        <v/>
      </c>
      <c r="AC676">
        <f>IF(OR($AB676="",$AB676="G"),"",IF($AB676="D",INDEX($U$8:$U$407,$AA676),IF($AB676="S",INDEX($T$8:$T$407,$AA676)&amp;"|*",INDEX($S$8:$S$407,$AA676)&amp;"|*")))</f>
        <v/>
      </c>
    </row>
    <row r="677" ht="21" customHeight="1" s="66">
      <c r="A677" s="3">
        <f>IF($AB677="G","ผลรวมทั้งหมด",IF($AB677="R",INDEX($S$8:$S$407,$AA677),""))</f>
        <v/>
      </c>
      <c r="B677" s="3">
        <f>IF($AB677="S",INDEX($Y$8:$Y$407,$AA677),"")</f>
        <v/>
      </c>
      <c r="C677" s="68">
        <f>IF($AB677="D",INDEX($Z$8:$Z$407,$AA677),"")</f>
        <v/>
      </c>
      <c r="D677" s="31">
        <f>IF($AB677="G",SUM($AE$8:$AE$407),IF(OR($AB677="",$AB677="R"),"",IF($AB677="D",INDEX($AE$8:$AE$407,$AA677),SUMIF($T$8:$T$407,INDEX($T$8:$T$407,$AA677),$AE$8:$AE$407))))</f>
        <v/>
      </c>
      <c r="E677" s="32">
        <f>IF(670=$AD$1+3,"ขอแสดงความนับถือ",IF(670=$AD$1+6,"(                 )",IF(670=$AD$1+7,"เจ้าหน้าที่ขนส่ง",IF($AB677="G",SUM($AF$8:$AF$407),IF(OR($AB677="",$AB677="R"),"",IF($AB677="D",INDEX($AF$8:$AF$407,$AA677),SUMIF($T$8:$T$407,INDEX($T$8:$T$407,$AA677),$AF$8:$AF$407)))))))</f>
        <v/>
      </c>
      <c r="F677" s="32">
        <f>IF($AB677="G",SUM($AG$8:$AG$407),IF(OR($AB677="",$AB677="R"),"",IF($AB677="D",INDEX($AG$8:$AG$407,$AA677),SUMIF($T$8:$T$407,INDEX($T$8:$T$407,$AA677),$AG$8:$AG$407))))</f>
        <v/>
      </c>
      <c r="G677" s="32">
        <f>IF(OR($AB677="",$AB677="R"),"",ROUND($E677-$F677,2))</f>
        <v/>
      </c>
      <c r="H677" s="32">
        <f>IF($AB677="G",SUM($AH$8:$AH$407),IF(OR($AB677="",$AB677="R"),"",IF($AB677="D",INDEX($AH$8:$AH$407,$AA677),SUMIF($T$8:$T$407,INDEX($T$8:$T$407,$AA677),$AH$8:$AH$407))))</f>
        <v/>
      </c>
      <c r="AA677">
        <f>IFERROR(MATCH(670,$X$8:$X$407,1),"")</f>
        <v/>
      </c>
      <c r="AB677">
        <f>IF(670=$AD$1+1,"G",IF($AA677="","",IF(INDEX($Q$8:$Q$407,$AA677)="","",IF(670&gt;INDEX($X$8:$X$407,$AA677)+INDEX($V$8:$V$407,$AA677)+INDEX($W$8:$W$407,$AA677),"",IF(670=INDEX($X$8:$X$407,$AA677)+INDEX($V$8:$V$407,$AA677)+INDEX($W$8:$W$407,$AA677),"D",IF(AND(INDEX($W$8:$W$407,$AA677)=1,670=INDEX($X$8:$X$407,$AA677)+INDEX($V$8:$V$407,$AA677)),"S","R"))))))</f>
        <v/>
      </c>
      <c r="AC677">
        <f>IF(OR($AB677="",$AB677="G"),"",IF($AB677="D",INDEX($U$8:$U$407,$AA677),IF($AB677="S",INDEX($T$8:$T$407,$AA677)&amp;"|*",INDEX($S$8:$S$407,$AA677)&amp;"|*")))</f>
        <v/>
      </c>
    </row>
    <row r="678" ht="21" customHeight="1" s="66">
      <c r="A678" s="3">
        <f>IF($AB678="G","ผลรวมทั้งหมด",IF($AB678="R",INDEX($S$8:$S$407,$AA678),""))</f>
        <v/>
      </c>
      <c r="B678" s="3">
        <f>IF($AB678="S",INDEX($Y$8:$Y$407,$AA678),"")</f>
        <v/>
      </c>
      <c r="C678" s="68">
        <f>IF($AB678="D",INDEX($Z$8:$Z$407,$AA678),"")</f>
        <v/>
      </c>
      <c r="D678" s="31">
        <f>IF($AB678="G",SUM($AE$8:$AE$407),IF(OR($AB678="",$AB678="R"),"",IF($AB678="D",INDEX($AE$8:$AE$407,$AA678),SUMIF($T$8:$T$407,INDEX($T$8:$T$407,$AA678),$AE$8:$AE$407))))</f>
        <v/>
      </c>
      <c r="E678" s="32">
        <f>IF(671=$AD$1+3,"ขอแสดงความนับถือ",IF(671=$AD$1+6,"(                 )",IF(671=$AD$1+7,"เจ้าหน้าที่ขนส่ง",IF($AB678="G",SUM($AF$8:$AF$407),IF(OR($AB678="",$AB678="R"),"",IF($AB678="D",INDEX($AF$8:$AF$407,$AA678),SUMIF($T$8:$T$407,INDEX($T$8:$T$407,$AA678),$AF$8:$AF$407)))))))</f>
        <v/>
      </c>
      <c r="F678" s="32">
        <f>IF($AB678="G",SUM($AG$8:$AG$407),IF(OR($AB678="",$AB678="R"),"",IF($AB678="D",INDEX($AG$8:$AG$407,$AA678),SUMIF($T$8:$T$407,INDEX($T$8:$T$407,$AA678),$AG$8:$AG$407))))</f>
        <v/>
      </c>
      <c r="G678" s="32">
        <f>IF(OR($AB678="",$AB678="R"),"",ROUND($E678-$F678,2))</f>
        <v/>
      </c>
      <c r="H678" s="32">
        <f>IF($AB678="G",SUM($AH$8:$AH$407),IF(OR($AB678="",$AB678="R"),"",IF($AB678="D",INDEX($AH$8:$AH$407,$AA678),SUMIF($T$8:$T$407,INDEX($T$8:$T$407,$AA678),$AH$8:$AH$407))))</f>
        <v/>
      </c>
      <c r="AA678">
        <f>IFERROR(MATCH(671,$X$8:$X$407,1),"")</f>
        <v/>
      </c>
      <c r="AB678">
        <f>IF(671=$AD$1+1,"G",IF($AA678="","",IF(INDEX($Q$8:$Q$407,$AA678)="","",IF(671&gt;INDEX($X$8:$X$407,$AA678)+INDEX($V$8:$V$407,$AA678)+INDEX($W$8:$W$407,$AA678),"",IF(671=INDEX($X$8:$X$407,$AA678)+INDEX($V$8:$V$407,$AA678)+INDEX($W$8:$W$407,$AA678),"D",IF(AND(INDEX($W$8:$W$407,$AA678)=1,671=INDEX($X$8:$X$407,$AA678)+INDEX($V$8:$V$407,$AA678)),"S","R"))))))</f>
        <v/>
      </c>
      <c r="AC678">
        <f>IF(OR($AB678="",$AB678="G"),"",IF($AB678="D",INDEX($U$8:$U$407,$AA678),IF($AB678="S",INDEX($T$8:$T$407,$AA678)&amp;"|*",INDEX($S$8:$S$407,$AA678)&amp;"|*")))</f>
        <v/>
      </c>
    </row>
    <row r="679" ht="21" customHeight="1" s="66">
      <c r="A679" s="3">
        <f>IF($AB679="G","ผลรวมทั้งหมด",IF($AB679="R",INDEX($S$8:$S$407,$AA679),""))</f>
        <v/>
      </c>
      <c r="B679" s="3">
        <f>IF($AB679="S",INDEX($Y$8:$Y$407,$AA679),"")</f>
        <v/>
      </c>
      <c r="C679" s="68">
        <f>IF($AB679="D",INDEX($Z$8:$Z$407,$AA679),"")</f>
        <v/>
      </c>
      <c r="D679" s="31">
        <f>IF($AB679="G",SUM($AE$8:$AE$407),IF(OR($AB679="",$AB679="R"),"",IF($AB679="D",INDEX($AE$8:$AE$407,$AA679),SUMIF($T$8:$T$407,INDEX($T$8:$T$407,$AA679),$AE$8:$AE$407))))</f>
        <v/>
      </c>
      <c r="E679" s="32">
        <f>IF(672=$AD$1+3,"ขอแสดงความนับถือ",IF(672=$AD$1+6,"(                 )",IF(672=$AD$1+7,"เจ้าหน้าที่ขนส่ง",IF($AB679="G",SUM($AF$8:$AF$407),IF(OR($AB679="",$AB679="R"),"",IF($AB679="D",INDEX($AF$8:$AF$407,$AA679),SUMIF($T$8:$T$407,INDEX($T$8:$T$407,$AA679),$AF$8:$AF$407)))))))</f>
        <v/>
      </c>
      <c r="F679" s="32">
        <f>IF($AB679="G",SUM($AG$8:$AG$407),IF(OR($AB679="",$AB679="R"),"",IF($AB679="D",INDEX($AG$8:$AG$407,$AA679),SUMIF($T$8:$T$407,INDEX($T$8:$T$407,$AA679),$AG$8:$AG$407))))</f>
        <v/>
      </c>
      <c r="G679" s="32">
        <f>IF(OR($AB679="",$AB679="R"),"",ROUND($E679-$F679,2))</f>
        <v/>
      </c>
      <c r="H679" s="32">
        <f>IF($AB679="G",SUM($AH$8:$AH$407),IF(OR($AB679="",$AB679="R"),"",IF($AB679="D",INDEX($AH$8:$AH$407,$AA679),SUMIF($T$8:$T$407,INDEX($T$8:$T$407,$AA679),$AH$8:$AH$407))))</f>
        <v/>
      </c>
      <c r="AA679">
        <f>IFERROR(MATCH(672,$X$8:$X$407,1),"")</f>
        <v/>
      </c>
      <c r="AB679">
        <f>IF(672=$AD$1+1,"G",IF($AA679="","",IF(INDEX($Q$8:$Q$407,$AA679)="","",IF(672&gt;INDEX($X$8:$X$407,$AA679)+INDEX($V$8:$V$407,$AA679)+INDEX($W$8:$W$407,$AA679),"",IF(672=INDEX($X$8:$X$407,$AA679)+INDEX($V$8:$V$407,$AA679)+INDEX($W$8:$W$407,$AA679),"D",IF(AND(INDEX($W$8:$W$407,$AA679)=1,672=INDEX($X$8:$X$407,$AA679)+INDEX($V$8:$V$407,$AA679)),"S","R"))))))</f>
        <v/>
      </c>
      <c r="AC679">
        <f>IF(OR($AB679="",$AB679="G"),"",IF($AB679="D",INDEX($U$8:$U$407,$AA679),IF($AB679="S",INDEX($T$8:$T$407,$AA679)&amp;"|*",INDEX($S$8:$S$407,$AA679)&amp;"|*")))</f>
        <v/>
      </c>
    </row>
    <row r="680" ht="21" customHeight="1" s="66">
      <c r="A680" s="3">
        <f>IF($AB680="G","ผลรวมทั้งหมด",IF($AB680="R",INDEX($S$8:$S$407,$AA680),""))</f>
        <v/>
      </c>
      <c r="B680" s="3">
        <f>IF($AB680="S",INDEX($Y$8:$Y$407,$AA680),"")</f>
        <v/>
      </c>
      <c r="C680" s="68">
        <f>IF($AB680="D",INDEX($Z$8:$Z$407,$AA680),"")</f>
        <v/>
      </c>
      <c r="D680" s="31">
        <f>IF($AB680="G",SUM($AE$8:$AE$407),IF(OR($AB680="",$AB680="R"),"",IF($AB680="D",INDEX($AE$8:$AE$407,$AA680),SUMIF($T$8:$T$407,INDEX($T$8:$T$407,$AA680),$AE$8:$AE$407))))</f>
        <v/>
      </c>
      <c r="E680" s="32">
        <f>IF(673=$AD$1+3,"ขอแสดงความนับถือ",IF(673=$AD$1+6,"(                 )",IF(673=$AD$1+7,"เจ้าหน้าที่ขนส่ง",IF($AB680="G",SUM($AF$8:$AF$407),IF(OR($AB680="",$AB680="R"),"",IF($AB680="D",INDEX($AF$8:$AF$407,$AA680),SUMIF($T$8:$T$407,INDEX($T$8:$T$407,$AA680),$AF$8:$AF$407)))))))</f>
        <v/>
      </c>
      <c r="F680" s="32">
        <f>IF($AB680="G",SUM($AG$8:$AG$407),IF(OR($AB680="",$AB680="R"),"",IF($AB680="D",INDEX($AG$8:$AG$407,$AA680),SUMIF($T$8:$T$407,INDEX($T$8:$T$407,$AA680),$AG$8:$AG$407))))</f>
        <v/>
      </c>
      <c r="G680" s="32">
        <f>IF(OR($AB680="",$AB680="R"),"",ROUND($E680-$F680,2))</f>
        <v/>
      </c>
      <c r="H680" s="32">
        <f>IF($AB680="G",SUM($AH$8:$AH$407),IF(OR($AB680="",$AB680="R"),"",IF($AB680="D",INDEX($AH$8:$AH$407,$AA680),SUMIF($T$8:$T$407,INDEX($T$8:$T$407,$AA680),$AH$8:$AH$407))))</f>
        <v/>
      </c>
      <c r="AA680">
        <f>IFERROR(MATCH(673,$X$8:$X$407,1),"")</f>
        <v/>
      </c>
      <c r="AB680">
        <f>IF(673=$AD$1+1,"G",IF($AA680="","",IF(INDEX($Q$8:$Q$407,$AA680)="","",IF(673&gt;INDEX($X$8:$X$407,$AA680)+INDEX($V$8:$V$407,$AA680)+INDEX($W$8:$W$407,$AA680),"",IF(673=INDEX($X$8:$X$407,$AA680)+INDEX($V$8:$V$407,$AA680)+INDEX($W$8:$W$407,$AA680),"D",IF(AND(INDEX($W$8:$W$407,$AA680)=1,673=INDEX($X$8:$X$407,$AA680)+INDEX($V$8:$V$407,$AA680)),"S","R"))))))</f>
        <v/>
      </c>
      <c r="AC680">
        <f>IF(OR($AB680="",$AB680="G"),"",IF($AB680="D",INDEX($U$8:$U$407,$AA680),IF($AB680="S",INDEX($T$8:$T$407,$AA680)&amp;"|*",INDEX($S$8:$S$407,$AA680)&amp;"|*")))</f>
        <v/>
      </c>
    </row>
    <row r="681" ht="21" customHeight="1" s="66">
      <c r="A681" s="3">
        <f>IF($AB681="G","ผลรวมทั้งหมด",IF($AB681="R",INDEX($S$8:$S$407,$AA681),""))</f>
        <v/>
      </c>
      <c r="B681" s="3">
        <f>IF($AB681="S",INDEX($Y$8:$Y$407,$AA681),"")</f>
        <v/>
      </c>
      <c r="C681" s="68">
        <f>IF($AB681="D",INDEX($Z$8:$Z$407,$AA681),"")</f>
        <v/>
      </c>
      <c r="D681" s="31">
        <f>IF($AB681="G",SUM($AE$8:$AE$407),IF(OR($AB681="",$AB681="R"),"",IF($AB681="D",INDEX($AE$8:$AE$407,$AA681),SUMIF($T$8:$T$407,INDEX($T$8:$T$407,$AA681),$AE$8:$AE$407))))</f>
        <v/>
      </c>
      <c r="E681" s="32">
        <f>IF(674=$AD$1+3,"ขอแสดงความนับถือ",IF(674=$AD$1+6,"(                 )",IF(674=$AD$1+7,"เจ้าหน้าที่ขนส่ง",IF($AB681="G",SUM($AF$8:$AF$407),IF(OR($AB681="",$AB681="R"),"",IF($AB681="D",INDEX($AF$8:$AF$407,$AA681),SUMIF($T$8:$T$407,INDEX($T$8:$T$407,$AA681),$AF$8:$AF$407)))))))</f>
        <v/>
      </c>
      <c r="F681" s="32">
        <f>IF($AB681="G",SUM($AG$8:$AG$407),IF(OR($AB681="",$AB681="R"),"",IF($AB681="D",INDEX($AG$8:$AG$407,$AA681),SUMIF($T$8:$T$407,INDEX($T$8:$T$407,$AA681),$AG$8:$AG$407))))</f>
        <v/>
      </c>
      <c r="G681" s="32">
        <f>IF(OR($AB681="",$AB681="R"),"",ROUND($E681-$F681,2))</f>
        <v/>
      </c>
      <c r="H681" s="32">
        <f>IF($AB681="G",SUM($AH$8:$AH$407),IF(OR($AB681="",$AB681="R"),"",IF($AB681="D",INDEX($AH$8:$AH$407,$AA681),SUMIF($T$8:$T$407,INDEX($T$8:$T$407,$AA681),$AH$8:$AH$407))))</f>
        <v/>
      </c>
      <c r="AA681">
        <f>IFERROR(MATCH(674,$X$8:$X$407,1),"")</f>
        <v/>
      </c>
      <c r="AB681">
        <f>IF(674=$AD$1+1,"G",IF($AA681="","",IF(INDEX($Q$8:$Q$407,$AA681)="","",IF(674&gt;INDEX($X$8:$X$407,$AA681)+INDEX($V$8:$V$407,$AA681)+INDEX($W$8:$W$407,$AA681),"",IF(674=INDEX($X$8:$X$407,$AA681)+INDEX($V$8:$V$407,$AA681)+INDEX($W$8:$W$407,$AA681),"D",IF(AND(INDEX($W$8:$W$407,$AA681)=1,674=INDEX($X$8:$X$407,$AA681)+INDEX($V$8:$V$407,$AA681)),"S","R"))))))</f>
        <v/>
      </c>
      <c r="AC681">
        <f>IF(OR($AB681="",$AB681="G"),"",IF($AB681="D",INDEX($U$8:$U$407,$AA681),IF($AB681="S",INDEX($T$8:$T$407,$AA681)&amp;"|*",INDEX($S$8:$S$407,$AA681)&amp;"|*")))</f>
        <v/>
      </c>
    </row>
    <row r="682" ht="21" customHeight="1" s="66">
      <c r="A682" s="3">
        <f>IF($AB682="G","ผลรวมทั้งหมด",IF($AB682="R",INDEX($S$8:$S$407,$AA682),""))</f>
        <v/>
      </c>
      <c r="B682" s="3">
        <f>IF($AB682="S",INDEX($Y$8:$Y$407,$AA682),"")</f>
        <v/>
      </c>
      <c r="C682" s="68">
        <f>IF($AB682="D",INDEX($Z$8:$Z$407,$AA682),"")</f>
        <v/>
      </c>
      <c r="D682" s="31">
        <f>IF($AB682="G",SUM($AE$8:$AE$407),IF(OR($AB682="",$AB682="R"),"",IF($AB682="D",INDEX($AE$8:$AE$407,$AA682),SUMIF($T$8:$T$407,INDEX($T$8:$T$407,$AA682),$AE$8:$AE$407))))</f>
        <v/>
      </c>
      <c r="E682" s="32">
        <f>IF(675=$AD$1+3,"ขอแสดงความนับถือ",IF(675=$AD$1+6,"(                 )",IF(675=$AD$1+7,"เจ้าหน้าที่ขนส่ง",IF($AB682="G",SUM($AF$8:$AF$407),IF(OR($AB682="",$AB682="R"),"",IF($AB682="D",INDEX($AF$8:$AF$407,$AA682),SUMIF($T$8:$T$407,INDEX($T$8:$T$407,$AA682),$AF$8:$AF$407)))))))</f>
        <v/>
      </c>
      <c r="F682" s="32">
        <f>IF($AB682="G",SUM($AG$8:$AG$407),IF(OR($AB682="",$AB682="R"),"",IF($AB682="D",INDEX($AG$8:$AG$407,$AA682),SUMIF($T$8:$T$407,INDEX($T$8:$T$407,$AA682),$AG$8:$AG$407))))</f>
        <v/>
      </c>
      <c r="G682" s="32">
        <f>IF(OR($AB682="",$AB682="R"),"",ROUND($E682-$F682,2))</f>
        <v/>
      </c>
      <c r="H682" s="32">
        <f>IF($AB682="G",SUM($AH$8:$AH$407),IF(OR($AB682="",$AB682="R"),"",IF($AB682="D",INDEX($AH$8:$AH$407,$AA682),SUMIF($T$8:$T$407,INDEX($T$8:$T$407,$AA682),$AH$8:$AH$407))))</f>
        <v/>
      </c>
      <c r="AA682">
        <f>IFERROR(MATCH(675,$X$8:$X$407,1),"")</f>
        <v/>
      </c>
      <c r="AB682">
        <f>IF(675=$AD$1+1,"G",IF($AA682="","",IF(INDEX($Q$8:$Q$407,$AA682)="","",IF(675&gt;INDEX($X$8:$X$407,$AA682)+INDEX($V$8:$V$407,$AA682)+INDEX($W$8:$W$407,$AA682),"",IF(675=INDEX($X$8:$X$407,$AA682)+INDEX($V$8:$V$407,$AA682)+INDEX($W$8:$W$407,$AA682),"D",IF(AND(INDEX($W$8:$W$407,$AA682)=1,675=INDEX($X$8:$X$407,$AA682)+INDEX($V$8:$V$407,$AA682)),"S","R"))))))</f>
        <v/>
      </c>
      <c r="AC682">
        <f>IF(OR($AB682="",$AB682="G"),"",IF($AB682="D",INDEX($U$8:$U$407,$AA682),IF($AB682="S",INDEX($T$8:$T$407,$AA682)&amp;"|*",INDEX($S$8:$S$407,$AA682)&amp;"|*")))</f>
        <v/>
      </c>
    </row>
    <row r="683" ht="21" customHeight="1" s="66">
      <c r="A683" s="3">
        <f>IF($AB683="G","ผลรวมทั้งหมด",IF($AB683="R",INDEX($S$8:$S$407,$AA683),""))</f>
        <v/>
      </c>
      <c r="B683" s="3">
        <f>IF($AB683="S",INDEX($Y$8:$Y$407,$AA683),"")</f>
        <v/>
      </c>
      <c r="C683" s="68">
        <f>IF($AB683="D",INDEX($Z$8:$Z$407,$AA683),"")</f>
        <v/>
      </c>
      <c r="D683" s="31">
        <f>IF($AB683="G",SUM($AE$8:$AE$407),IF(OR($AB683="",$AB683="R"),"",IF($AB683="D",INDEX($AE$8:$AE$407,$AA683),SUMIF($T$8:$T$407,INDEX($T$8:$T$407,$AA683),$AE$8:$AE$407))))</f>
        <v/>
      </c>
      <c r="E683" s="32">
        <f>IF(676=$AD$1+3,"ขอแสดงความนับถือ",IF(676=$AD$1+6,"(                 )",IF(676=$AD$1+7,"เจ้าหน้าที่ขนส่ง",IF($AB683="G",SUM($AF$8:$AF$407),IF(OR($AB683="",$AB683="R"),"",IF($AB683="D",INDEX($AF$8:$AF$407,$AA683),SUMIF($T$8:$T$407,INDEX($T$8:$T$407,$AA683),$AF$8:$AF$407)))))))</f>
        <v/>
      </c>
      <c r="F683" s="32">
        <f>IF($AB683="G",SUM($AG$8:$AG$407),IF(OR($AB683="",$AB683="R"),"",IF($AB683="D",INDEX($AG$8:$AG$407,$AA683),SUMIF($T$8:$T$407,INDEX($T$8:$T$407,$AA683),$AG$8:$AG$407))))</f>
        <v/>
      </c>
      <c r="G683" s="32">
        <f>IF(OR($AB683="",$AB683="R"),"",ROUND($E683-$F683,2))</f>
        <v/>
      </c>
      <c r="H683" s="32">
        <f>IF($AB683="G",SUM($AH$8:$AH$407),IF(OR($AB683="",$AB683="R"),"",IF($AB683="D",INDEX($AH$8:$AH$407,$AA683),SUMIF($T$8:$T$407,INDEX($T$8:$T$407,$AA683),$AH$8:$AH$407))))</f>
        <v/>
      </c>
      <c r="AA683">
        <f>IFERROR(MATCH(676,$X$8:$X$407,1),"")</f>
        <v/>
      </c>
      <c r="AB683">
        <f>IF(676=$AD$1+1,"G",IF($AA683="","",IF(INDEX($Q$8:$Q$407,$AA683)="","",IF(676&gt;INDEX($X$8:$X$407,$AA683)+INDEX($V$8:$V$407,$AA683)+INDEX($W$8:$W$407,$AA683),"",IF(676=INDEX($X$8:$X$407,$AA683)+INDEX($V$8:$V$407,$AA683)+INDEX($W$8:$W$407,$AA683),"D",IF(AND(INDEX($W$8:$W$407,$AA683)=1,676=INDEX($X$8:$X$407,$AA683)+INDEX($V$8:$V$407,$AA683)),"S","R"))))))</f>
        <v/>
      </c>
      <c r="AC683">
        <f>IF(OR($AB683="",$AB683="G"),"",IF($AB683="D",INDEX($U$8:$U$407,$AA683),IF($AB683="S",INDEX($T$8:$T$407,$AA683)&amp;"|*",INDEX($S$8:$S$407,$AA683)&amp;"|*")))</f>
        <v/>
      </c>
    </row>
    <row r="684" ht="21" customHeight="1" s="66">
      <c r="A684" s="3">
        <f>IF($AB684="G","ผลรวมทั้งหมด",IF($AB684="R",INDEX($S$8:$S$407,$AA684),""))</f>
        <v/>
      </c>
      <c r="B684" s="3">
        <f>IF($AB684="S",INDEX($Y$8:$Y$407,$AA684),"")</f>
        <v/>
      </c>
      <c r="C684" s="68">
        <f>IF($AB684="D",INDEX($Z$8:$Z$407,$AA684),"")</f>
        <v/>
      </c>
      <c r="D684" s="31">
        <f>IF($AB684="G",SUM($AE$8:$AE$407),IF(OR($AB684="",$AB684="R"),"",IF($AB684="D",INDEX($AE$8:$AE$407,$AA684),SUMIF($T$8:$T$407,INDEX($T$8:$T$407,$AA684),$AE$8:$AE$407))))</f>
        <v/>
      </c>
      <c r="E684" s="32">
        <f>IF(677=$AD$1+3,"ขอแสดงความนับถือ",IF(677=$AD$1+6,"(                 )",IF(677=$AD$1+7,"เจ้าหน้าที่ขนส่ง",IF($AB684="G",SUM($AF$8:$AF$407),IF(OR($AB684="",$AB684="R"),"",IF($AB684="D",INDEX($AF$8:$AF$407,$AA684),SUMIF($T$8:$T$407,INDEX($T$8:$T$407,$AA684),$AF$8:$AF$407)))))))</f>
        <v/>
      </c>
      <c r="F684" s="32">
        <f>IF($AB684="G",SUM($AG$8:$AG$407),IF(OR($AB684="",$AB684="R"),"",IF($AB684="D",INDEX($AG$8:$AG$407,$AA684),SUMIF($T$8:$T$407,INDEX($T$8:$T$407,$AA684),$AG$8:$AG$407))))</f>
        <v/>
      </c>
      <c r="G684" s="32">
        <f>IF(OR($AB684="",$AB684="R"),"",ROUND($E684-$F684,2))</f>
        <v/>
      </c>
      <c r="H684" s="32">
        <f>IF($AB684="G",SUM($AH$8:$AH$407),IF(OR($AB684="",$AB684="R"),"",IF($AB684="D",INDEX($AH$8:$AH$407,$AA684),SUMIF($T$8:$T$407,INDEX($T$8:$T$407,$AA684),$AH$8:$AH$407))))</f>
        <v/>
      </c>
      <c r="AA684">
        <f>IFERROR(MATCH(677,$X$8:$X$407,1),"")</f>
        <v/>
      </c>
      <c r="AB684">
        <f>IF(677=$AD$1+1,"G",IF($AA684="","",IF(INDEX($Q$8:$Q$407,$AA684)="","",IF(677&gt;INDEX($X$8:$X$407,$AA684)+INDEX($V$8:$V$407,$AA684)+INDEX($W$8:$W$407,$AA684),"",IF(677=INDEX($X$8:$X$407,$AA684)+INDEX($V$8:$V$407,$AA684)+INDEX($W$8:$W$407,$AA684),"D",IF(AND(INDEX($W$8:$W$407,$AA684)=1,677=INDEX($X$8:$X$407,$AA684)+INDEX($V$8:$V$407,$AA684)),"S","R"))))))</f>
        <v/>
      </c>
      <c r="AC684">
        <f>IF(OR($AB684="",$AB684="G"),"",IF($AB684="D",INDEX($U$8:$U$407,$AA684),IF($AB684="S",INDEX($T$8:$T$407,$AA684)&amp;"|*",INDEX($S$8:$S$407,$AA684)&amp;"|*")))</f>
        <v/>
      </c>
    </row>
    <row r="685" ht="21" customHeight="1" s="66">
      <c r="A685" s="3">
        <f>IF($AB685="G","ผลรวมทั้งหมด",IF($AB685="R",INDEX($S$8:$S$407,$AA685),""))</f>
        <v/>
      </c>
      <c r="B685" s="3">
        <f>IF($AB685="S",INDEX($Y$8:$Y$407,$AA685),"")</f>
        <v/>
      </c>
      <c r="C685" s="68">
        <f>IF($AB685="D",INDEX($Z$8:$Z$407,$AA685),"")</f>
        <v/>
      </c>
      <c r="D685" s="31">
        <f>IF($AB685="G",SUM($AE$8:$AE$407),IF(OR($AB685="",$AB685="R"),"",IF($AB685="D",INDEX($AE$8:$AE$407,$AA685),SUMIF($T$8:$T$407,INDEX($T$8:$T$407,$AA685),$AE$8:$AE$407))))</f>
        <v/>
      </c>
      <c r="E685" s="32">
        <f>IF(678=$AD$1+3,"ขอแสดงความนับถือ",IF(678=$AD$1+6,"(                 )",IF(678=$AD$1+7,"เจ้าหน้าที่ขนส่ง",IF($AB685="G",SUM($AF$8:$AF$407),IF(OR($AB685="",$AB685="R"),"",IF($AB685="D",INDEX($AF$8:$AF$407,$AA685),SUMIF($T$8:$T$407,INDEX($T$8:$T$407,$AA685),$AF$8:$AF$407)))))))</f>
        <v/>
      </c>
      <c r="F685" s="32">
        <f>IF($AB685="G",SUM($AG$8:$AG$407),IF(OR($AB685="",$AB685="R"),"",IF($AB685="D",INDEX($AG$8:$AG$407,$AA685),SUMIF($T$8:$T$407,INDEX($T$8:$T$407,$AA685),$AG$8:$AG$407))))</f>
        <v/>
      </c>
      <c r="G685" s="32">
        <f>IF(OR($AB685="",$AB685="R"),"",ROUND($E685-$F685,2))</f>
        <v/>
      </c>
      <c r="H685" s="32">
        <f>IF($AB685="G",SUM($AH$8:$AH$407),IF(OR($AB685="",$AB685="R"),"",IF($AB685="D",INDEX($AH$8:$AH$407,$AA685),SUMIF($T$8:$T$407,INDEX($T$8:$T$407,$AA685),$AH$8:$AH$407))))</f>
        <v/>
      </c>
      <c r="AA685">
        <f>IFERROR(MATCH(678,$X$8:$X$407,1),"")</f>
        <v/>
      </c>
      <c r="AB685">
        <f>IF(678=$AD$1+1,"G",IF($AA685="","",IF(INDEX($Q$8:$Q$407,$AA685)="","",IF(678&gt;INDEX($X$8:$X$407,$AA685)+INDEX($V$8:$V$407,$AA685)+INDEX($W$8:$W$407,$AA685),"",IF(678=INDEX($X$8:$X$407,$AA685)+INDEX($V$8:$V$407,$AA685)+INDEX($W$8:$W$407,$AA685),"D",IF(AND(INDEX($W$8:$W$407,$AA685)=1,678=INDEX($X$8:$X$407,$AA685)+INDEX($V$8:$V$407,$AA685)),"S","R"))))))</f>
        <v/>
      </c>
      <c r="AC685">
        <f>IF(OR($AB685="",$AB685="G"),"",IF($AB685="D",INDEX($U$8:$U$407,$AA685),IF($AB685="S",INDEX($T$8:$T$407,$AA685)&amp;"|*",INDEX($S$8:$S$407,$AA685)&amp;"|*")))</f>
        <v/>
      </c>
    </row>
    <row r="686" ht="21" customHeight="1" s="66">
      <c r="A686" s="3">
        <f>IF($AB686="G","ผลรวมทั้งหมด",IF($AB686="R",INDEX($S$8:$S$407,$AA686),""))</f>
        <v/>
      </c>
      <c r="B686" s="3">
        <f>IF($AB686="S",INDEX($Y$8:$Y$407,$AA686),"")</f>
        <v/>
      </c>
      <c r="C686" s="68">
        <f>IF($AB686="D",INDEX($Z$8:$Z$407,$AA686),"")</f>
        <v/>
      </c>
      <c r="D686" s="31">
        <f>IF($AB686="G",SUM($AE$8:$AE$407),IF(OR($AB686="",$AB686="R"),"",IF($AB686="D",INDEX($AE$8:$AE$407,$AA686),SUMIF($T$8:$T$407,INDEX($T$8:$T$407,$AA686),$AE$8:$AE$407))))</f>
        <v/>
      </c>
      <c r="E686" s="32">
        <f>IF(679=$AD$1+3,"ขอแสดงความนับถือ",IF(679=$AD$1+6,"(                 )",IF(679=$AD$1+7,"เจ้าหน้าที่ขนส่ง",IF($AB686="G",SUM($AF$8:$AF$407),IF(OR($AB686="",$AB686="R"),"",IF($AB686="D",INDEX($AF$8:$AF$407,$AA686),SUMIF($T$8:$T$407,INDEX($T$8:$T$407,$AA686),$AF$8:$AF$407)))))))</f>
        <v/>
      </c>
      <c r="F686" s="32">
        <f>IF($AB686="G",SUM($AG$8:$AG$407),IF(OR($AB686="",$AB686="R"),"",IF($AB686="D",INDEX($AG$8:$AG$407,$AA686),SUMIF($T$8:$T$407,INDEX($T$8:$T$407,$AA686),$AG$8:$AG$407))))</f>
        <v/>
      </c>
      <c r="G686" s="32">
        <f>IF(OR($AB686="",$AB686="R"),"",ROUND($E686-$F686,2))</f>
        <v/>
      </c>
      <c r="H686" s="32">
        <f>IF($AB686="G",SUM($AH$8:$AH$407),IF(OR($AB686="",$AB686="R"),"",IF($AB686="D",INDEX($AH$8:$AH$407,$AA686),SUMIF($T$8:$T$407,INDEX($T$8:$T$407,$AA686),$AH$8:$AH$407))))</f>
        <v/>
      </c>
      <c r="AA686">
        <f>IFERROR(MATCH(679,$X$8:$X$407,1),"")</f>
        <v/>
      </c>
      <c r="AB686">
        <f>IF(679=$AD$1+1,"G",IF($AA686="","",IF(INDEX($Q$8:$Q$407,$AA686)="","",IF(679&gt;INDEX($X$8:$X$407,$AA686)+INDEX($V$8:$V$407,$AA686)+INDEX($W$8:$W$407,$AA686),"",IF(679=INDEX($X$8:$X$407,$AA686)+INDEX($V$8:$V$407,$AA686)+INDEX($W$8:$W$407,$AA686),"D",IF(AND(INDEX($W$8:$W$407,$AA686)=1,679=INDEX($X$8:$X$407,$AA686)+INDEX($V$8:$V$407,$AA686)),"S","R"))))))</f>
        <v/>
      </c>
      <c r="AC686">
        <f>IF(OR($AB686="",$AB686="G"),"",IF($AB686="D",INDEX($U$8:$U$407,$AA686),IF($AB686="S",INDEX($T$8:$T$407,$AA686)&amp;"|*",INDEX($S$8:$S$407,$AA686)&amp;"|*")))</f>
        <v/>
      </c>
    </row>
    <row r="687" ht="21" customHeight="1" s="66">
      <c r="A687" s="3">
        <f>IF($AB687="G","ผลรวมทั้งหมด",IF($AB687="R",INDEX($S$8:$S$407,$AA687),""))</f>
        <v/>
      </c>
      <c r="B687" s="3">
        <f>IF($AB687="S",INDEX($Y$8:$Y$407,$AA687),"")</f>
        <v/>
      </c>
      <c r="C687" s="68">
        <f>IF($AB687="D",INDEX($Z$8:$Z$407,$AA687),"")</f>
        <v/>
      </c>
      <c r="D687" s="31">
        <f>IF($AB687="G",SUM($AE$8:$AE$407),IF(OR($AB687="",$AB687="R"),"",IF($AB687="D",INDEX($AE$8:$AE$407,$AA687),SUMIF($T$8:$T$407,INDEX($T$8:$T$407,$AA687),$AE$8:$AE$407))))</f>
        <v/>
      </c>
      <c r="E687" s="32">
        <f>IF(680=$AD$1+3,"ขอแสดงความนับถือ",IF(680=$AD$1+6,"(                 )",IF(680=$AD$1+7,"เจ้าหน้าที่ขนส่ง",IF($AB687="G",SUM($AF$8:$AF$407),IF(OR($AB687="",$AB687="R"),"",IF($AB687="D",INDEX($AF$8:$AF$407,$AA687),SUMIF($T$8:$T$407,INDEX($T$8:$T$407,$AA687),$AF$8:$AF$407)))))))</f>
        <v/>
      </c>
      <c r="F687" s="32">
        <f>IF($AB687="G",SUM($AG$8:$AG$407),IF(OR($AB687="",$AB687="R"),"",IF($AB687="D",INDEX($AG$8:$AG$407,$AA687),SUMIF($T$8:$T$407,INDEX($T$8:$T$407,$AA687),$AG$8:$AG$407))))</f>
        <v/>
      </c>
      <c r="G687" s="32">
        <f>IF(OR($AB687="",$AB687="R"),"",ROUND($E687-$F687,2))</f>
        <v/>
      </c>
      <c r="H687" s="32">
        <f>IF($AB687="G",SUM($AH$8:$AH$407),IF(OR($AB687="",$AB687="R"),"",IF($AB687="D",INDEX($AH$8:$AH$407,$AA687),SUMIF($T$8:$T$407,INDEX($T$8:$T$407,$AA687),$AH$8:$AH$407))))</f>
        <v/>
      </c>
      <c r="AA687">
        <f>IFERROR(MATCH(680,$X$8:$X$407,1),"")</f>
        <v/>
      </c>
      <c r="AB687">
        <f>IF(680=$AD$1+1,"G",IF($AA687="","",IF(INDEX($Q$8:$Q$407,$AA687)="","",IF(680&gt;INDEX($X$8:$X$407,$AA687)+INDEX($V$8:$V$407,$AA687)+INDEX($W$8:$W$407,$AA687),"",IF(680=INDEX($X$8:$X$407,$AA687)+INDEX($V$8:$V$407,$AA687)+INDEX($W$8:$W$407,$AA687),"D",IF(AND(INDEX($W$8:$W$407,$AA687)=1,680=INDEX($X$8:$X$407,$AA687)+INDEX($V$8:$V$407,$AA687)),"S","R"))))))</f>
        <v/>
      </c>
      <c r="AC687">
        <f>IF(OR($AB687="",$AB687="G"),"",IF($AB687="D",INDEX($U$8:$U$407,$AA687),IF($AB687="S",INDEX($T$8:$T$407,$AA687)&amp;"|*",INDEX($S$8:$S$407,$AA687)&amp;"|*")))</f>
        <v/>
      </c>
    </row>
    <row r="688" ht="21" customHeight="1" s="66">
      <c r="A688" s="3">
        <f>IF($AB688="G","ผลรวมทั้งหมด",IF($AB688="R",INDEX($S$8:$S$407,$AA688),""))</f>
        <v/>
      </c>
      <c r="B688" s="3">
        <f>IF($AB688="S",INDEX($Y$8:$Y$407,$AA688),"")</f>
        <v/>
      </c>
      <c r="C688" s="68">
        <f>IF($AB688="D",INDEX($Z$8:$Z$407,$AA688),"")</f>
        <v/>
      </c>
      <c r="D688" s="31">
        <f>IF($AB688="G",SUM($AE$8:$AE$407),IF(OR($AB688="",$AB688="R"),"",IF($AB688="D",INDEX($AE$8:$AE$407,$AA688),SUMIF($T$8:$T$407,INDEX($T$8:$T$407,$AA688),$AE$8:$AE$407))))</f>
        <v/>
      </c>
      <c r="E688" s="32">
        <f>IF(681=$AD$1+3,"ขอแสดงความนับถือ",IF(681=$AD$1+6,"(                 )",IF(681=$AD$1+7,"เจ้าหน้าที่ขนส่ง",IF($AB688="G",SUM($AF$8:$AF$407),IF(OR($AB688="",$AB688="R"),"",IF($AB688="D",INDEX($AF$8:$AF$407,$AA688),SUMIF($T$8:$T$407,INDEX($T$8:$T$407,$AA688),$AF$8:$AF$407)))))))</f>
        <v/>
      </c>
      <c r="F688" s="32">
        <f>IF($AB688="G",SUM($AG$8:$AG$407),IF(OR($AB688="",$AB688="R"),"",IF($AB688="D",INDEX($AG$8:$AG$407,$AA688),SUMIF($T$8:$T$407,INDEX($T$8:$T$407,$AA688),$AG$8:$AG$407))))</f>
        <v/>
      </c>
      <c r="G688" s="32">
        <f>IF(OR($AB688="",$AB688="R"),"",ROUND($E688-$F688,2))</f>
        <v/>
      </c>
      <c r="H688" s="32">
        <f>IF($AB688="G",SUM($AH$8:$AH$407),IF(OR($AB688="",$AB688="R"),"",IF($AB688="D",INDEX($AH$8:$AH$407,$AA688),SUMIF($T$8:$T$407,INDEX($T$8:$T$407,$AA688),$AH$8:$AH$407))))</f>
        <v/>
      </c>
      <c r="AA688">
        <f>IFERROR(MATCH(681,$X$8:$X$407,1),"")</f>
        <v/>
      </c>
      <c r="AB688">
        <f>IF(681=$AD$1+1,"G",IF($AA688="","",IF(INDEX($Q$8:$Q$407,$AA688)="","",IF(681&gt;INDEX($X$8:$X$407,$AA688)+INDEX($V$8:$V$407,$AA688)+INDEX($W$8:$W$407,$AA688),"",IF(681=INDEX($X$8:$X$407,$AA688)+INDEX($V$8:$V$407,$AA688)+INDEX($W$8:$W$407,$AA688),"D",IF(AND(INDEX($W$8:$W$407,$AA688)=1,681=INDEX($X$8:$X$407,$AA688)+INDEX($V$8:$V$407,$AA688)),"S","R"))))))</f>
        <v/>
      </c>
      <c r="AC688">
        <f>IF(OR($AB688="",$AB688="G"),"",IF($AB688="D",INDEX($U$8:$U$407,$AA688),IF($AB688="S",INDEX($T$8:$T$407,$AA688)&amp;"|*",INDEX($S$8:$S$407,$AA688)&amp;"|*")))</f>
        <v/>
      </c>
    </row>
    <row r="689" ht="21" customHeight="1" s="66">
      <c r="A689" s="3">
        <f>IF($AB689="G","ผลรวมทั้งหมด",IF($AB689="R",INDEX($S$8:$S$407,$AA689),""))</f>
        <v/>
      </c>
      <c r="B689" s="3">
        <f>IF($AB689="S",INDEX($Y$8:$Y$407,$AA689),"")</f>
        <v/>
      </c>
      <c r="C689" s="68">
        <f>IF($AB689="D",INDEX($Z$8:$Z$407,$AA689),"")</f>
        <v/>
      </c>
      <c r="D689" s="31">
        <f>IF($AB689="G",SUM($AE$8:$AE$407),IF(OR($AB689="",$AB689="R"),"",IF($AB689="D",INDEX($AE$8:$AE$407,$AA689),SUMIF($T$8:$T$407,INDEX($T$8:$T$407,$AA689),$AE$8:$AE$407))))</f>
        <v/>
      </c>
      <c r="E689" s="32">
        <f>IF(682=$AD$1+3,"ขอแสดงความนับถือ",IF(682=$AD$1+6,"(                 )",IF(682=$AD$1+7,"เจ้าหน้าที่ขนส่ง",IF($AB689="G",SUM($AF$8:$AF$407),IF(OR($AB689="",$AB689="R"),"",IF($AB689="D",INDEX($AF$8:$AF$407,$AA689),SUMIF($T$8:$T$407,INDEX($T$8:$T$407,$AA689),$AF$8:$AF$407)))))))</f>
        <v/>
      </c>
      <c r="F689" s="32">
        <f>IF($AB689="G",SUM($AG$8:$AG$407),IF(OR($AB689="",$AB689="R"),"",IF($AB689="D",INDEX($AG$8:$AG$407,$AA689),SUMIF($T$8:$T$407,INDEX($T$8:$T$407,$AA689),$AG$8:$AG$407))))</f>
        <v/>
      </c>
      <c r="G689" s="32">
        <f>IF(OR($AB689="",$AB689="R"),"",ROUND($E689-$F689,2))</f>
        <v/>
      </c>
      <c r="H689" s="32">
        <f>IF($AB689="G",SUM($AH$8:$AH$407),IF(OR($AB689="",$AB689="R"),"",IF($AB689="D",INDEX($AH$8:$AH$407,$AA689),SUMIF($T$8:$T$407,INDEX($T$8:$T$407,$AA689),$AH$8:$AH$407))))</f>
        <v/>
      </c>
      <c r="AA689">
        <f>IFERROR(MATCH(682,$X$8:$X$407,1),"")</f>
        <v/>
      </c>
      <c r="AB689">
        <f>IF(682=$AD$1+1,"G",IF($AA689="","",IF(INDEX($Q$8:$Q$407,$AA689)="","",IF(682&gt;INDEX($X$8:$X$407,$AA689)+INDEX($V$8:$V$407,$AA689)+INDEX($W$8:$W$407,$AA689),"",IF(682=INDEX($X$8:$X$407,$AA689)+INDEX($V$8:$V$407,$AA689)+INDEX($W$8:$W$407,$AA689),"D",IF(AND(INDEX($W$8:$W$407,$AA689)=1,682=INDEX($X$8:$X$407,$AA689)+INDEX($V$8:$V$407,$AA689)),"S","R"))))))</f>
        <v/>
      </c>
      <c r="AC689">
        <f>IF(OR($AB689="",$AB689="G"),"",IF($AB689="D",INDEX($U$8:$U$407,$AA689),IF($AB689="S",INDEX($T$8:$T$407,$AA689)&amp;"|*",INDEX($S$8:$S$407,$AA689)&amp;"|*")))</f>
        <v/>
      </c>
    </row>
    <row r="690" ht="21" customHeight="1" s="66">
      <c r="A690" s="3">
        <f>IF($AB690="G","ผลรวมทั้งหมด",IF($AB690="R",INDEX($S$8:$S$407,$AA690),""))</f>
        <v/>
      </c>
      <c r="B690" s="3">
        <f>IF($AB690="S",INDEX($Y$8:$Y$407,$AA690),"")</f>
        <v/>
      </c>
      <c r="C690" s="68">
        <f>IF($AB690="D",INDEX($Z$8:$Z$407,$AA690),"")</f>
        <v/>
      </c>
      <c r="D690" s="31">
        <f>IF($AB690="G",SUM($AE$8:$AE$407),IF(OR($AB690="",$AB690="R"),"",IF($AB690="D",INDEX($AE$8:$AE$407,$AA690),SUMIF($T$8:$T$407,INDEX($T$8:$T$407,$AA690),$AE$8:$AE$407))))</f>
        <v/>
      </c>
      <c r="E690" s="32">
        <f>IF(683=$AD$1+3,"ขอแสดงความนับถือ",IF(683=$AD$1+6,"(                 )",IF(683=$AD$1+7,"เจ้าหน้าที่ขนส่ง",IF($AB690="G",SUM($AF$8:$AF$407),IF(OR($AB690="",$AB690="R"),"",IF($AB690="D",INDEX($AF$8:$AF$407,$AA690),SUMIF($T$8:$T$407,INDEX($T$8:$T$407,$AA690),$AF$8:$AF$407)))))))</f>
        <v/>
      </c>
      <c r="F690" s="32">
        <f>IF($AB690="G",SUM($AG$8:$AG$407),IF(OR($AB690="",$AB690="R"),"",IF($AB690="D",INDEX($AG$8:$AG$407,$AA690),SUMIF($T$8:$T$407,INDEX($T$8:$T$407,$AA690),$AG$8:$AG$407))))</f>
        <v/>
      </c>
      <c r="G690" s="32">
        <f>IF(OR($AB690="",$AB690="R"),"",ROUND($E690-$F690,2))</f>
        <v/>
      </c>
      <c r="H690" s="32">
        <f>IF($AB690="G",SUM($AH$8:$AH$407),IF(OR($AB690="",$AB690="R"),"",IF($AB690="D",INDEX($AH$8:$AH$407,$AA690),SUMIF($T$8:$T$407,INDEX($T$8:$T$407,$AA690),$AH$8:$AH$407))))</f>
        <v/>
      </c>
      <c r="AA690">
        <f>IFERROR(MATCH(683,$X$8:$X$407,1),"")</f>
        <v/>
      </c>
      <c r="AB690">
        <f>IF(683=$AD$1+1,"G",IF($AA690="","",IF(INDEX($Q$8:$Q$407,$AA690)="","",IF(683&gt;INDEX($X$8:$X$407,$AA690)+INDEX($V$8:$V$407,$AA690)+INDEX($W$8:$W$407,$AA690),"",IF(683=INDEX($X$8:$X$407,$AA690)+INDEX($V$8:$V$407,$AA690)+INDEX($W$8:$W$407,$AA690),"D",IF(AND(INDEX($W$8:$W$407,$AA690)=1,683=INDEX($X$8:$X$407,$AA690)+INDEX($V$8:$V$407,$AA690)),"S","R"))))))</f>
        <v/>
      </c>
      <c r="AC690">
        <f>IF(OR($AB690="",$AB690="G"),"",IF($AB690="D",INDEX($U$8:$U$407,$AA690),IF($AB690="S",INDEX($T$8:$T$407,$AA690)&amp;"|*",INDEX($S$8:$S$407,$AA690)&amp;"|*")))</f>
        <v/>
      </c>
    </row>
    <row r="691" ht="21" customHeight="1" s="66">
      <c r="A691" s="3">
        <f>IF($AB691="G","ผลรวมทั้งหมด",IF($AB691="R",INDEX($S$8:$S$407,$AA691),""))</f>
        <v/>
      </c>
      <c r="B691" s="3">
        <f>IF($AB691="S",INDEX($Y$8:$Y$407,$AA691),"")</f>
        <v/>
      </c>
      <c r="C691" s="68">
        <f>IF($AB691="D",INDEX($Z$8:$Z$407,$AA691),"")</f>
        <v/>
      </c>
      <c r="D691" s="31">
        <f>IF($AB691="G",SUM($AE$8:$AE$407),IF(OR($AB691="",$AB691="R"),"",IF($AB691="D",INDEX($AE$8:$AE$407,$AA691),SUMIF($T$8:$T$407,INDEX($T$8:$T$407,$AA691),$AE$8:$AE$407))))</f>
        <v/>
      </c>
      <c r="E691" s="32">
        <f>IF(684=$AD$1+3,"ขอแสดงความนับถือ",IF(684=$AD$1+6,"(                 )",IF(684=$AD$1+7,"เจ้าหน้าที่ขนส่ง",IF($AB691="G",SUM($AF$8:$AF$407),IF(OR($AB691="",$AB691="R"),"",IF($AB691="D",INDEX($AF$8:$AF$407,$AA691),SUMIF($T$8:$T$407,INDEX($T$8:$T$407,$AA691),$AF$8:$AF$407)))))))</f>
        <v/>
      </c>
      <c r="F691" s="32">
        <f>IF($AB691="G",SUM($AG$8:$AG$407),IF(OR($AB691="",$AB691="R"),"",IF($AB691="D",INDEX($AG$8:$AG$407,$AA691),SUMIF($T$8:$T$407,INDEX($T$8:$T$407,$AA691),$AG$8:$AG$407))))</f>
        <v/>
      </c>
      <c r="G691" s="32">
        <f>IF(OR($AB691="",$AB691="R"),"",ROUND($E691-$F691,2))</f>
        <v/>
      </c>
      <c r="H691" s="32">
        <f>IF($AB691="G",SUM($AH$8:$AH$407),IF(OR($AB691="",$AB691="R"),"",IF($AB691="D",INDEX($AH$8:$AH$407,$AA691),SUMIF($T$8:$T$407,INDEX($T$8:$T$407,$AA691),$AH$8:$AH$407))))</f>
        <v/>
      </c>
      <c r="AA691">
        <f>IFERROR(MATCH(684,$X$8:$X$407,1),"")</f>
        <v/>
      </c>
      <c r="AB691">
        <f>IF(684=$AD$1+1,"G",IF($AA691="","",IF(INDEX($Q$8:$Q$407,$AA691)="","",IF(684&gt;INDEX($X$8:$X$407,$AA691)+INDEX($V$8:$V$407,$AA691)+INDEX($W$8:$W$407,$AA691),"",IF(684=INDEX($X$8:$X$407,$AA691)+INDEX($V$8:$V$407,$AA691)+INDEX($W$8:$W$407,$AA691),"D",IF(AND(INDEX($W$8:$W$407,$AA691)=1,684=INDEX($X$8:$X$407,$AA691)+INDEX($V$8:$V$407,$AA691)),"S","R"))))))</f>
        <v/>
      </c>
      <c r="AC691">
        <f>IF(OR($AB691="",$AB691="G"),"",IF($AB691="D",INDEX($U$8:$U$407,$AA691),IF($AB691="S",INDEX($T$8:$T$407,$AA691)&amp;"|*",INDEX($S$8:$S$407,$AA691)&amp;"|*")))</f>
        <v/>
      </c>
    </row>
    <row r="692" ht="21" customHeight="1" s="66">
      <c r="A692" s="3">
        <f>IF($AB692="G","ผลรวมทั้งหมด",IF($AB692="R",INDEX($S$8:$S$407,$AA692),""))</f>
        <v/>
      </c>
      <c r="B692" s="3">
        <f>IF($AB692="S",INDEX($Y$8:$Y$407,$AA692),"")</f>
        <v/>
      </c>
      <c r="C692" s="68">
        <f>IF($AB692="D",INDEX($Z$8:$Z$407,$AA692),"")</f>
        <v/>
      </c>
      <c r="D692" s="31">
        <f>IF($AB692="G",SUM($AE$8:$AE$407),IF(OR($AB692="",$AB692="R"),"",IF($AB692="D",INDEX($AE$8:$AE$407,$AA692),SUMIF($T$8:$T$407,INDEX($T$8:$T$407,$AA692),$AE$8:$AE$407))))</f>
        <v/>
      </c>
      <c r="E692" s="32">
        <f>IF(685=$AD$1+3,"ขอแสดงความนับถือ",IF(685=$AD$1+6,"(                 )",IF(685=$AD$1+7,"เจ้าหน้าที่ขนส่ง",IF($AB692="G",SUM($AF$8:$AF$407),IF(OR($AB692="",$AB692="R"),"",IF($AB692="D",INDEX($AF$8:$AF$407,$AA692),SUMIF($T$8:$T$407,INDEX($T$8:$T$407,$AA692),$AF$8:$AF$407)))))))</f>
        <v/>
      </c>
      <c r="F692" s="32">
        <f>IF($AB692="G",SUM($AG$8:$AG$407),IF(OR($AB692="",$AB692="R"),"",IF($AB692="D",INDEX($AG$8:$AG$407,$AA692),SUMIF($T$8:$T$407,INDEX($T$8:$T$407,$AA692),$AG$8:$AG$407))))</f>
        <v/>
      </c>
      <c r="G692" s="32">
        <f>IF(OR($AB692="",$AB692="R"),"",ROUND($E692-$F692,2))</f>
        <v/>
      </c>
      <c r="H692" s="32">
        <f>IF($AB692="G",SUM($AH$8:$AH$407),IF(OR($AB692="",$AB692="R"),"",IF($AB692="D",INDEX($AH$8:$AH$407,$AA692),SUMIF($T$8:$T$407,INDEX($T$8:$T$407,$AA692),$AH$8:$AH$407))))</f>
        <v/>
      </c>
      <c r="AA692">
        <f>IFERROR(MATCH(685,$X$8:$X$407,1),"")</f>
        <v/>
      </c>
      <c r="AB692">
        <f>IF(685=$AD$1+1,"G",IF($AA692="","",IF(INDEX($Q$8:$Q$407,$AA692)="","",IF(685&gt;INDEX($X$8:$X$407,$AA692)+INDEX($V$8:$V$407,$AA692)+INDEX($W$8:$W$407,$AA692),"",IF(685=INDEX($X$8:$X$407,$AA692)+INDEX($V$8:$V$407,$AA692)+INDEX($W$8:$W$407,$AA692),"D",IF(AND(INDEX($W$8:$W$407,$AA692)=1,685=INDEX($X$8:$X$407,$AA692)+INDEX($V$8:$V$407,$AA692)),"S","R"))))))</f>
        <v/>
      </c>
      <c r="AC692">
        <f>IF(OR($AB692="",$AB692="G"),"",IF($AB692="D",INDEX($U$8:$U$407,$AA692),IF($AB692="S",INDEX($T$8:$T$407,$AA692)&amp;"|*",INDEX($S$8:$S$407,$AA692)&amp;"|*")))</f>
        <v/>
      </c>
    </row>
    <row r="693" ht="21" customHeight="1" s="66">
      <c r="A693" s="3">
        <f>IF($AB693="G","ผลรวมทั้งหมด",IF($AB693="R",INDEX($S$8:$S$407,$AA693),""))</f>
        <v/>
      </c>
      <c r="B693" s="3">
        <f>IF($AB693="S",INDEX($Y$8:$Y$407,$AA693),"")</f>
        <v/>
      </c>
      <c r="C693" s="68">
        <f>IF($AB693="D",INDEX($Z$8:$Z$407,$AA693),"")</f>
        <v/>
      </c>
      <c r="D693" s="31">
        <f>IF($AB693="G",SUM($AE$8:$AE$407),IF(OR($AB693="",$AB693="R"),"",IF($AB693="D",INDEX($AE$8:$AE$407,$AA693),SUMIF($T$8:$T$407,INDEX($T$8:$T$407,$AA693),$AE$8:$AE$407))))</f>
        <v/>
      </c>
      <c r="E693" s="32">
        <f>IF(686=$AD$1+3,"ขอแสดงความนับถือ",IF(686=$AD$1+6,"(                 )",IF(686=$AD$1+7,"เจ้าหน้าที่ขนส่ง",IF($AB693="G",SUM($AF$8:$AF$407),IF(OR($AB693="",$AB693="R"),"",IF($AB693="D",INDEX($AF$8:$AF$407,$AA693),SUMIF($T$8:$T$407,INDEX($T$8:$T$407,$AA693),$AF$8:$AF$407)))))))</f>
        <v/>
      </c>
      <c r="F693" s="32">
        <f>IF($AB693="G",SUM($AG$8:$AG$407),IF(OR($AB693="",$AB693="R"),"",IF($AB693="D",INDEX($AG$8:$AG$407,$AA693),SUMIF($T$8:$T$407,INDEX($T$8:$T$407,$AA693),$AG$8:$AG$407))))</f>
        <v/>
      </c>
      <c r="G693" s="32">
        <f>IF(OR($AB693="",$AB693="R"),"",ROUND($E693-$F693,2))</f>
        <v/>
      </c>
      <c r="H693" s="32">
        <f>IF($AB693="G",SUM($AH$8:$AH$407),IF(OR($AB693="",$AB693="R"),"",IF($AB693="D",INDEX($AH$8:$AH$407,$AA693),SUMIF($T$8:$T$407,INDEX($T$8:$T$407,$AA693),$AH$8:$AH$407))))</f>
        <v/>
      </c>
      <c r="AA693">
        <f>IFERROR(MATCH(686,$X$8:$X$407,1),"")</f>
        <v/>
      </c>
      <c r="AB693">
        <f>IF(686=$AD$1+1,"G",IF($AA693="","",IF(INDEX($Q$8:$Q$407,$AA693)="","",IF(686&gt;INDEX($X$8:$X$407,$AA693)+INDEX($V$8:$V$407,$AA693)+INDEX($W$8:$W$407,$AA693),"",IF(686=INDEX($X$8:$X$407,$AA693)+INDEX($V$8:$V$407,$AA693)+INDEX($W$8:$W$407,$AA693),"D",IF(AND(INDEX($W$8:$W$407,$AA693)=1,686=INDEX($X$8:$X$407,$AA693)+INDEX($V$8:$V$407,$AA693)),"S","R"))))))</f>
        <v/>
      </c>
      <c r="AC693">
        <f>IF(OR($AB693="",$AB693="G"),"",IF($AB693="D",INDEX($U$8:$U$407,$AA693),IF($AB693="S",INDEX($T$8:$T$407,$AA693)&amp;"|*",INDEX($S$8:$S$407,$AA693)&amp;"|*")))</f>
        <v/>
      </c>
    </row>
    <row r="694" ht="21" customHeight="1" s="66">
      <c r="A694" s="3">
        <f>IF($AB694="G","ผลรวมทั้งหมด",IF($AB694="R",INDEX($S$8:$S$407,$AA694),""))</f>
        <v/>
      </c>
      <c r="B694" s="3">
        <f>IF($AB694="S",INDEX($Y$8:$Y$407,$AA694),"")</f>
        <v/>
      </c>
      <c r="C694" s="68">
        <f>IF($AB694="D",INDEX($Z$8:$Z$407,$AA694),"")</f>
        <v/>
      </c>
      <c r="D694" s="31">
        <f>IF($AB694="G",SUM($AE$8:$AE$407),IF(OR($AB694="",$AB694="R"),"",IF($AB694="D",INDEX($AE$8:$AE$407,$AA694),SUMIF($T$8:$T$407,INDEX($T$8:$T$407,$AA694),$AE$8:$AE$407))))</f>
        <v/>
      </c>
      <c r="E694" s="32">
        <f>IF(687=$AD$1+3,"ขอแสดงความนับถือ",IF(687=$AD$1+6,"(                 )",IF(687=$AD$1+7,"เจ้าหน้าที่ขนส่ง",IF($AB694="G",SUM($AF$8:$AF$407),IF(OR($AB694="",$AB694="R"),"",IF($AB694="D",INDEX($AF$8:$AF$407,$AA694),SUMIF($T$8:$T$407,INDEX($T$8:$T$407,$AA694),$AF$8:$AF$407)))))))</f>
        <v/>
      </c>
      <c r="F694" s="32">
        <f>IF($AB694="G",SUM($AG$8:$AG$407),IF(OR($AB694="",$AB694="R"),"",IF($AB694="D",INDEX($AG$8:$AG$407,$AA694),SUMIF($T$8:$T$407,INDEX($T$8:$T$407,$AA694),$AG$8:$AG$407))))</f>
        <v/>
      </c>
      <c r="G694" s="32">
        <f>IF(OR($AB694="",$AB694="R"),"",ROUND($E694-$F694,2))</f>
        <v/>
      </c>
      <c r="H694" s="32">
        <f>IF($AB694="G",SUM($AH$8:$AH$407),IF(OR($AB694="",$AB694="R"),"",IF($AB694="D",INDEX($AH$8:$AH$407,$AA694),SUMIF($T$8:$T$407,INDEX($T$8:$T$407,$AA694),$AH$8:$AH$407))))</f>
        <v/>
      </c>
      <c r="AA694">
        <f>IFERROR(MATCH(687,$X$8:$X$407,1),"")</f>
        <v/>
      </c>
      <c r="AB694">
        <f>IF(687=$AD$1+1,"G",IF($AA694="","",IF(INDEX($Q$8:$Q$407,$AA694)="","",IF(687&gt;INDEX($X$8:$X$407,$AA694)+INDEX($V$8:$V$407,$AA694)+INDEX($W$8:$W$407,$AA694),"",IF(687=INDEX($X$8:$X$407,$AA694)+INDEX($V$8:$V$407,$AA694)+INDEX($W$8:$W$407,$AA694),"D",IF(AND(INDEX($W$8:$W$407,$AA694)=1,687=INDEX($X$8:$X$407,$AA694)+INDEX($V$8:$V$407,$AA694)),"S","R"))))))</f>
        <v/>
      </c>
      <c r="AC694">
        <f>IF(OR($AB694="",$AB694="G"),"",IF($AB694="D",INDEX($U$8:$U$407,$AA694),IF($AB694="S",INDEX($T$8:$T$407,$AA694)&amp;"|*",INDEX($S$8:$S$407,$AA694)&amp;"|*")))</f>
        <v/>
      </c>
    </row>
    <row r="695" ht="21" customHeight="1" s="66">
      <c r="A695" s="3">
        <f>IF($AB695="G","ผลรวมทั้งหมด",IF($AB695="R",INDEX($S$8:$S$407,$AA695),""))</f>
        <v/>
      </c>
      <c r="B695" s="3">
        <f>IF($AB695="S",INDEX($Y$8:$Y$407,$AA695),"")</f>
        <v/>
      </c>
      <c r="C695" s="68">
        <f>IF($AB695="D",INDEX($Z$8:$Z$407,$AA695),"")</f>
        <v/>
      </c>
      <c r="D695" s="31">
        <f>IF($AB695="G",SUM($AE$8:$AE$407),IF(OR($AB695="",$AB695="R"),"",IF($AB695="D",INDEX($AE$8:$AE$407,$AA695),SUMIF($T$8:$T$407,INDEX($T$8:$T$407,$AA695),$AE$8:$AE$407))))</f>
        <v/>
      </c>
      <c r="E695" s="32">
        <f>IF(688=$AD$1+3,"ขอแสดงความนับถือ",IF(688=$AD$1+6,"(                 )",IF(688=$AD$1+7,"เจ้าหน้าที่ขนส่ง",IF($AB695="G",SUM($AF$8:$AF$407),IF(OR($AB695="",$AB695="R"),"",IF($AB695="D",INDEX($AF$8:$AF$407,$AA695),SUMIF($T$8:$T$407,INDEX($T$8:$T$407,$AA695),$AF$8:$AF$407)))))))</f>
        <v/>
      </c>
      <c r="F695" s="32">
        <f>IF($AB695="G",SUM($AG$8:$AG$407),IF(OR($AB695="",$AB695="R"),"",IF($AB695="D",INDEX($AG$8:$AG$407,$AA695),SUMIF($T$8:$T$407,INDEX($T$8:$T$407,$AA695),$AG$8:$AG$407))))</f>
        <v/>
      </c>
      <c r="G695" s="32">
        <f>IF(OR($AB695="",$AB695="R"),"",ROUND($E695-$F695,2))</f>
        <v/>
      </c>
      <c r="H695" s="32">
        <f>IF($AB695="G",SUM($AH$8:$AH$407),IF(OR($AB695="",$AB695="R"),"",IF($AB695="D",INDEX($AH$8:$AH$407,$AA695),SUMIF($T$8:$T$407,INDEX($T$8:$T$407,$AA695),$AH$8:$AH$407))))</f>
        <v/>
      </c>
      <c r="AA695">
        <f>IFERROR(MATCH(688,$X$8:$X$407,1),"")</f>
        <v/>
      </c>
      <c r="AB695">
        <f>IF(688=$AD$1+1,"G",IF($AA695="","",IF(INDEX($Q$8:$Q$407,$AA695)="","",IF(688&gt;INDEX($X$8:$X$407,$AA695)+INDEX($V$8:$V$407,$AA695)+INDEX($W$8:$W$407,$AA695),"",IF(688=INDEX($X$8:$X$407,$AA695)+INDEX($V$8:$V$407,$AA695)+INDEX($W$8:$W$407,$AA695),"D",IF(AND(INDEX($W$8:$W$407,$AA695)=1,688=INDEX($X$8:$X$407,$AA695)+INDEX($V$8:$V$407,$AA695)),"S","R"))))))</f>
        <v/>
      </c>
      <c r="AC695">
        <f>IF(OR($AB695="",$AB695="G"),"",IF($AB695="D",INDEX($U$8:$U$407,$AA695),IF($AB695="S",INDEX($T$8:$T$407,$AA695)&amp;"|*",INDEX($S$8:$S$407,$AA695)&amp;"|*")))</f>
        <v/>
      </c>
    </row>
    <row r="696" ht="21" customHeight="1" s="66">
      <c r="A696" s="3">
        <f>IF($AB696="G","ผลรวมทั้งหมด",IF($AB696="R",INDEX($S$8:$S$407,$AA696),""))</f>
        <v/>
      </c>
      <c r="B696" s="3">
        <f>IF($AB696="S",INDEX($Y$8:$Y$407,$AA696),"")</f>
        <v/>
      </c>
      <c r="C696" s="68">
        <f>IF($AB696="D",INDEX($Z$8:$Z$407,$AA696),"")</f>
        <v/>
      </c>
      <c r="D696" s="31">
        <f>IF($AB696="G",SUM($AE$8:$AE$407),IF(OR($AB696="",$AB696="R"),"",IF($AB696="D",INDEX($AE$8:$AE$407,$AA696),SUMIF($T$8:$T$407,INDEX($T$8:$T$407,$AA696),$AE$8:$AE$407))))</f>
        <v/>
      </c>
      <c r="E696" s="32">
        <f>IF(689=$AD$1+3,"ขอแสดงความนับถือ",IF(689=$AD$1+6,"(                 )",IF(689=$AD$1+7,"เจ้าหน้าที่ขนส่ง",IF($AB696="G",SUM($AF$8:$AF$407),IF(OR($AB696="",$AB696="R"),"",IF($AB696="D",INDEX($AF$8:$AF$407,$AA696),SUMIF($T$8:$T$407,INDEX($T$8:$T$407,$AA696),$AF$8:$AF$407)))))))</f>
        <v/>
      </c>
      <c r="F696" s="32">
        <f>IF($AB696="G",SUM($AG$8:$AG$407),IF(OR($AB696="",$AB696="R"),"",IF($AB696="D",INDEX($AG$8:$AG$407,$AA696),SUMIF($T$8:$T$407,INDEX($T$8:$T$407,$AA696),$AG$8:$AG$407))))</f>
        <v/>
      </c>
      <c r="G696" s="32">
        <f>IF(OR($AB696="",$AB696="R"),"",ROUND($E696-$F696,2))</f>
        <v/>
      </c>
      <c r="H696" s="32">
        <f>IF($AB696="G",SUM($AH$8:$AH$407),IF(OR($AB696="",$AB696="R"),"",IF($AB696="D",INDEX($AH$8:$AH$407,$AA696),SUMIF($T$8:$T$407,INDEX($T$8:$T$407,$AA696),$AH$8:$AH$407))))</f>
        <v/>
      </c>
      <c r="AA696">
        <f>IFERROR(MATCH(689,$X$8:$X$407,1),"")</f>
        <v/>
      </c>
      <c r="AB696">
        <f>IF(689=$AD$1+1,"G",IF($AA696="","",IF(INDEX($Q$8:$Q$407,$AA696)="","",IF(689&gt;INDEX($X$8:$X$407,$AA696)+INDEX($V$8:$V$407,$AA696)+INDEX($W$8:$W$407,$AA696),"",IF(689=INDEX($X$8:$X$407,$AA696)+INDEX($V$8:$V$407,$AA696)+INDEX($W$8:$W$407,$AA696),"D",IF(AND(INDEX($W$8:$W$407,$AA696)=1,689=INDEX($X$8:$X$407,$AA696)+INDEX($V$8:$V$407,$AA696)),"S","R"))))))</f>
        <v/>
      </c>
      <c r="AC696">
        <f>IF(OR($AB696="",$AB696="G"),"",IF($AB696="D",INDEX($U$8:$U$407,$AA696),IF($AB696="S",INDEX($T$8:$T$407,$AA696)&amp;"|*",INDEX($S$8:$S$407,$AA696)&amp;"|*")))</f>
        <v/>
      </c>
    </row>
    <row r="697" ht="21" customHeight="1" s="66">
      <c r="A697" s="3">
        <f>IF($AB697="G","ผลรวมทั้งหมด",IF($AB697="R",INDEX($S$8:$S$407,$AA697),""))</f>
        <v/>
      </c>
      <c r="B697" s="3">
        <f>IF($AB697="S",INDEX($Y$8:$Y$407,$AA697),"")</f>
        <v/>
      </c>
      <c r="C697" s="68">
        <f>IF($AB697="D",INDEX($Z$8:$Z$407,$AA697),"")</f>
        <v/>
      </c>
      <c r="D697" s="31">
        <f>IF($AB697="G",SUM($AE$8:$AE$407),IF(OR($AB697="",$AB697="R"),"",IF($AB697="D",INDEX($AE$8:$AE$407,$AA697),SUMIF($T$8:$T$407,INDEX($T$8:$T$407,$AA697),$AE$8:$AE$407))))</f>
        <v/>
      </c>
      <c r="E697" s="32">
        <f>IF(690=$AD$1+3,"ขอแสดงความนับถือ",IF(690=$AD$1+6,"(                 )",IF(690=$AD$1+7,"เจ้าหน้าที่ขนส่ง",IF($AB697="G",SUM($AF$8:$AF$407),IF(OR($AB697="",$AB697="R"),"",IF($AB697="D",INDEX($AF$8:$AF$407,$AA697),SUMIF($T$8:$T$407,INDEX($T$8:$T$407,$AA697),$AF$8:$AF$407)))))))</f>
        <v/>
      </c>
      <c r="F697" s="32">
        <f>IF($AB697="G",SUM($AG$8:$AG$407),IF(OR($AB697="",$AB697="R"),"",IF($AB697="D",INDEX($AG$8:$AG$407,$AA697),SUMIF($T$8:$T$407,INDEX($T$8:$T$407,$AA697),$AG$8:$AG$407))))</f>
        <v/>
      </c>
      <c r="G697" s="32">
        <f>IF(OR($AB697="",$AB697="R"),"",ROUND($E697-$F697,2))</f>
        <v/>
      </c>
      <c r="H697" s="32">
        <f>IF($AB697="G",SUM($AH$8:$AH$407),IF(OR($AB697="",$AB697="R"),"",IF($AB697="D",INDEX($AH$8:$AH$407,$AA697),SUMIF($T$8:$T$407,INDEX($T$8:$T$407,$AA697),$AH$8:$AH$407))))</f>
        <v/>
      </c>
      <c r="AA697">
        <f>IFERROR(MATCH(690,$X$8:$X$407,1),"")</f>
        <v/>
      </c>
      <c r="AB697">
        <f>IF(690=$AD$1+1,"G",IF($AA697="","",IF(INDEX($Q$8:$Q$407,$AA697)="","",IF(690&gt;INDEX($X$8:$X$407,$AA697)+INDEX($V$8:$V$407,$AA697)+INDEX($W$8:$W$407,$AA697),"",IF(690=INDEX($X$8:$X$407,$AA697)+INDEX($V$8:$V$407,$AA697)+INDEX($W$8:$W$407,$AA697),"D",IF(AND(INDEX($W$8:$W$407,$AA697)=1,690=INDEX($X$8:$X$407,$AA697)+INDEX($V$8:$V$407,$AA697)),"S","R"))))))</f>
        <v/>
      </c>
      <c r="AC697">
        <f>IF(OR($AB697="",$AB697="G"),"",IF($AB697="D",INDEX($U$8:$U$407,$AA697),IF($AB697="S",INDEX($T$8:$T$407,$AA697)&amp;"|*",INDEX($S$8:$S$407,$AA697)&amp;"|*")))</f>
        <v/>
      </c>
    </row>
    <row r="698" ht="21" customHeight="1" s="66">
      <c r="A698" s="3">
        <f>IF($AB698="G","ผลรวมทั้งหมด",IF($AB698="R",INDEX($S$8:$S$407,$AA698),""))</f>
        <v/>
      </c>
      <c r="B698" s="3">
        <f>IF($AB698="S",INDEX($Y$8:$Y$407,$AA698),"")</f>
        <v/>
      </c>
      <c r="C698" s="68">
        <f>IF($AB698="D",INDEX($Z$8:$Z$407,$AA698),"")</f>
        <v/>
      </c>
      <c r="D698" s="31">
        <f>IF($AB698="G",SUM($AE$8:$AE$407),IF(OR($AB698="",$AB698="R"),"",IF($AB698="D",INDEX($AE$8:$AE$407,$AA698),SUMIF($T$8:$T$407,INDEX($T$8:$T$407,$AA698),$AE$8:$AE$407))))</f>
        <v/>
      </c>
      <c r="E698" s="32">
        <f>IF(691=$AD$1+3,"ขอแสดงความนับถือ",IF(691=$AD$1+6,"(                 )",IF(691=$AD$1+7,"เจ้าหน้าที่ขนส่ง",IF($AB698="G",SUM($AF$8:$AF$407),IF(OR($AB698="",$AB698="R"),"",IF($AB698="D",INDEX($AF$8:$AF$407,$AA698),SUMIF($T$8:$T$407,INDEX($T$8:$T$407,$AA698),$AF$8:$AF$407)))))))</f>
        <v/>
      </c>
      <c r="F698" s="32">
        <f>IF($AB698="G",SUM($AG$8:$AG$407),IF(OR($AB698="",$AB698="R"),"",IF($AB698="D",INDEX($AG$8:$AG$407,$AA698),SUMIF($T$8:$T$407,INDEX($T$8:$T$407,$AA698),$AG$8:$AG$407))))</f>
        <v/>
      </c>
      <c r="G698" s="32">
        <f>IF(OR($AB698="",$AB698="R"),"",ROUND($E698-$F698,2))</f>
        <v/>
      </c>
      <c r="H698" s="32">
        <f>IF($AB698="G",SUM($AH$8:$AH$407),IF(OR($AB698="",$AB698="R"),"",IF($AB698="D",INDEX($AH$8:$AH$407,$AA698),SUMIF($T$8:$T$407,INDEX($T$8:$T$407,$AA698),$AH$8:$AH$407))))</f>
        <v/>
      </c>
      <c r="AA698">
        <f>IFERROR(MATCH(691,$X$8:$X$407,1),"")</f>
        <v/>
      </c>
      <c r="AB698">
        <f>IF(691=$AD$1+1,"G",IF($AA698="","",IF(INDEX($Q$8:$Q$407,$AA698)="","",IF(691&gt;INDEX($X$8:$X$407,$AA698)+INDEX($V$8:$V$407,$AA698)+INDEX($W$8:$W$407,$AA698),"",IF(691=INDEX($X$8:$X$407,$AA698)+INDEX($V$8:$V$407,$AA698)+INDEX($W$8:$W$407,$AA698),"D",IF(AND(INDEX($W$8:$W$407,$AA698)=1,691=INDEX($X$8:$X$407,$AA698)+INDEX($V$8:$V$407,$AA698)),"S","R"))))))</f>
        <v/>
      </c>
      <c r="AC698">
        <f>IF(OR($AB698="",$AB698="G"),"",IF($AB698="D",INDEX($U$8:$U$407,$AA698),IF($AB698="S",INDEX($T$8:$T$407,$AA698)&amp;"|*",INDEX($S$8:$S$407,$AA698)&amp;"|*")))</f>
        <v/>
      </c>
    </row>
    <row r="699" ht="21" customHeight="1" s="66">
      <c r="A699" s="3">
        <f>IF($AB699="G","ผลรวมทั้งหมด",IF($AB699="R",INDEX($S$8:$S$407,$AA699),""))</f>
        <v/>
      </c>
      <c r="B699" s="3">
        <f>IF($AB699="S",INDEX($Y$8:$Y$407,$AA699),"")</f>
        <v/>
      </c>
      <c r="C699" s="68">
        <f>IF($AB699="D",INDEX($Z$8:$Z$407,$AA699),"")</f>
        <v/>
      </c>
      <c r="D699" s="31">
        <f>IF($AB699="G",SUM($AE$8:$AE$407),IF(OR($AB699="",$AB699="R"),"",IF($AB699="D",INDEX($AE$8:$AE$407,$AA699),SUMIF($T$8:$T$407,INDEX($T$8:$T$407,$AA699),$AE$8:$AE$407))))</f>
        <v/>
      </c>
      <c r="E699" s="32">
        <f>IF(692=$AD$1+3,"ขอแสดงความนับถือ",IF(692=$AD$1+6,"(                 )",IF(692=$AD$1+7,"เจ้าหน้าที่ขนส่ง",IF($AB699="G",SUM($AF$8:$AF$407),IF(OR($AB699="",$AB699="R"),"",IF($AB699="D",INDEX($AF$8:$AF$407,$AA699),SUMIF($T$8:$T$407,INDEX($T$8:$T$407,$AA699),$AF$8:$AF$407)))))))</f>
        <v/>
      </c>
      <c r="F699" s="32">
        <f>IF($AB699="G",SUM($AG$8:$AG$407),IF(OR($AB699="",$AB699="R"),"",IF($AB699="D",INDEX($AG$8:$AG$407,$AA699),SUMIF($T$8:$T$407,INDEX($T$8:$T$407,$AA699),$AG$8:$AG$407))))</f>
        <v/>
      </c>
      <c r="G699" s="32">
        <f>IF(OR($AB699="",$AB699="R"),"",ROUND($E699-$F699,2))</f>
        <v/>
      </c>
      <c r="H699" s="32">
        <f>IF($AB699="G",SUM($AH$8:$AH$407),IF(OR($AB699="",$AB699="R"),"",IF($AB699="D",INDEX($AH$8:$AH$407,$AA699),SUMIF($T$8:$T$407,INDEX($T$8:$T$407,$AA699),$AH$8:$AH$407))))</f>
        <v/>
      </c>
      <c r="AA699">
        <f>IFERROR(MATCH(692,$X$8:$X$407,1),"")</f>
        <v/>
      </c>
      <c r="AB699">
        <f>IF(692=$AD$1+1,"G",IF($AA699="","",IF(INDEX($Q$8:$Q$407,$AA699)="","",IF(692&gt;INDEX($X$8:$X$407,$AA699)+INDEX($V$8:$V$407,$AA699)+INDEX($W$8:$W$407,$AA699),"",IF(692=INDEX($X$8:$X$407,$AA699)+INDEX($V$8:$V$407,$AA699)+INDEX($W$8:$W$407,$AA699),"D",IF(AND(INDEX($W$8:$W$407,$AA699)=1,692=INDEX($X$8:$X$407,$AA699)+INDEX($V$8:$V$407,$AA699)),"S","R"))))))</f>
        <v/>
      </c>
      <c r="AC699">
        <f>IF(OR($AB699="",$AB699="G"),"",IF($AB699="D",INDEX($U$8:$U$407,$AA699),IF($AB699="S",INDEX($T$8:$T$407,$AA699)&amp;"|*",INDEX($S$8:$S$407,$AA699)&amp;"|*")))</f>
        <v/>
      </c>
    </row>
    <row r="700" ht="21" customHeight="1" s="66">
      <c r="A700" s="3">
        <f>IF($AB700="G","ผลรวมทั้งหมด",IF($AB700="R",INDEX($S$8:$S$407,$AA700),""))</f>
        <v/>
      </c>
      <c r="B700" s="3">
        <f>IF($AB700="S",INDEX($Y$8:$Y$407,$AA700),"")</f>
        <v/>
      </c>
      <c r="C700" s="68">
        <f>IF($AB700="D",INDEX($Z$8:$Z$407,$AA700),"")</f>
        <v/>
      </c>
      <c r="D700" s="31">
        <f>IF($AB700="G",SUM($AE$8:$AE$407),IF(OR($AB700="",$AB700="R"),"",IF($AB700="D",INDEX($AE$8:$AE$407,$AA700),SUMIF($T$8:$T$407,INDEX($T$8:$T$407,$AA700),$AE$8:$AE$407))))</f>
        <v/>
      </c>
      <c r="E700" s="32">
        <f>IF(693=$AD$1+3,"ขอแสดงความนับถือ",IF(693=$AD$1+6,"(                 )",IF(693=$AD$1+7,"เจ้าหน้าที่ขนส่ง",IF($AB700="G",SUM($AF$8:$AF$407),IF(OR($AB700="",$AB700="R"),"",IF($AB700="D",INDEX($AF$8:$AF$407,$AA700),SUMIF($T$8:$T$407,INDEX($T$8:$T$407,$AA700),$AF$8:$AF$407)))))))</f>
        <v/>
      </c>
      <c r="F700" s="32">
        <f>IF($AB700="G",SUM($AG$8:$AG$407),IF(OR($AB700="",$AB700="R"),"",IF($AB700="D",INDEX($AG$8:$AG$407,$AA700),SUMIF($T$8:$T$407,INDEX($T$8:$T$407,$AA700),$AG$8:$AG$407))))</f>
        <v/>
      </c>
      <c r="G700" s="32">
        <f>IF(OR($AB700="",$AB700="R"),"",ROUND($E700-$F700,2))</f>
        <v/>
      </c>
      <c r="H700" s="32">
        <f>IF($AB700="G",SUM($AH$8:$AH$407),IF(OR($AB700="",$AB700="R"),"",IF($AB700="D",INDEX($AH$8:$AH$407,$AA700),SUMIF($T$8:$T$407,INDEX($T$8:$T$407,$AA700),$AH$8:$AH$407))))</f>
        <v/>
      </c>
      <c r="AA700">
        <f>IFERROR(MATCH(693,$X$8:$X$407,1),"")</f>
        <v/>
      </c>
      <c r="AB700">
        <f>IF(693=$AD$1+1,"G",IF($AA700="","",IF(INDEX($Q$8:$Q$407,$AA700)="","",IF(693&gt;INDEX($X$8:$X$407,$AA700)+INDEX($V$8:$V$407,$AA700)+INDEX($W$8:$W$407,$AA700),"",IF(693=INDEX($X$8:$X$407,$AA700)+INDEX($V$8:$V$407,$AA700)+INDEX($W$8:$W$407,$AA700),"D",IF(AND(INDEX($W$8:$W$407,$AA700)=1,693=INDEX($X$8:$X$407,$AA700)+INDEX($V$8:$V$407,$AA700)),"S","R"))))))</f>
        <v/>
      </c>
      <c r="AC700">
        <f>IF(OR($AB700="",$AB700="G"),"",IF($AB700="D",INDEX($U$8:$U$407,$AA700),IF($AB700="S",INDEX($T$8:$T$407,$AA700)&amp;"|*",INDEX($S$8:$S$407,$AA700)&amp;"|*")))</f>
        <v/>
      </c>
    </row>
    <row r="701" ht="21" customHeight="1" s="66">
      <c r="A701" s="3">
        <f>IF($AB701="G","ผลรวมทั้งหมด",IF($AB701="R",INDEX($S$8:$S$407,$AA701),""))</f>
        <v/>
      </c>
      <c r="B701" s="3">
        <f>IF($AB701="S",INDEX($Y$8:$Y$407,$AA701),"")</f>
        <v/>
      </c>
      <c r="C701" s="68">
        <f>IF($AB701="D",INDEX($Z$8:$Z$407,$AA701),"")</f>
        <v/>
      </c>
      <c r="D701" s="31">
        <f>IF($AB701="G",SUM($AE$8:$AE$407),IF(OR($AB701="",$AB701="R"),"",IF($AB701="D",INDEX($AE$8:$AE$407,$AA701),SUMIF($T$8:$T$407,INDEX($T$8:$T$407,$AA701),$AE$8:$AE$407))))</f>
        <v/>
      </c>
      <c r="E701" s="32">
        <f>IF(694=$AD$1+3,"ขอแสดงความนับถือ",IF(694=$AD$1+6,"(                 )",IF(694=$AD$1+7,"เจ้าหน้าที่ขนส่ง",IF($AB701="G",SUM($AF$8:$AF$407),IF(OR($AB701="",$AB701="R"),"",IF($AB701="D",INDEX($AF$8:$AF$407,$AA701),SUMIF($T$8:$T$407,INDEX($T$8:$T$407,$AA701),$AF$8:$AF$407)))))))</f>
        <v/>
      </c>
      <c r="F701" s="32">
        <f>IF($AB701="G",SUM($AG$8:$AG$407),IF(OR($AB701="",$AB701="R"),"",IF($AB701="D",INDEX($AG$8:$AG$407,$AA701),SUMIF($T$8:$T$407,INDEX($T$8:$T$407,$AA701),$AG$8:$AG$407))))</f>
        <v/>
      </c>
      <c r="G701" s="32">
        <f>IF(OR($AB701="",$AB701="R"),"",ROUND($E701-$F701,2))</f>
        <v/>
      </c>
      <c r="H701" s="32">
        <f>IF($AB701="G",SUM($AH$8:$AH$407),IF(OR($AB701="",$AB701="R"),"",IF($AB701="D",INDEX($AH$8:$AH$407,$AA701),SUMIF($T$8:$T$407,INDEX($T$8:$T$407,$AA701),$AH$8:$AH$407))))</f>
        <v/>
      </c>
      <c r="AA701">
        <f>IFERROR(MATCH(694,$X$8:$X$407,1),"")</f>
        <v/>
      </c>
      <c r="AB701">
        <f>IF(694=$AD$1+1,"G",IF($AA701="","",IF(INDEX($Q$8:$Q$407,$AA701)="","",IF(694&gt;INDEX($X$8:$X$407,$AA701)+INDEX($V$8:$V$407,$AA701)+INDEX($W$8:$W$407,$AA701),"",IF(694=INDEX($X$8:$X$407,$AA701)+INDEX($V$8:$V$407,$AA701)+INDEX($W$8:$W$407,$AA701),"D",IF(AND(INDEX($W$8:$W$407,$AA701)=1,694=INDEX($X$8:$X$407,$AA701)+INDEX($V$8:$V$407,$AA701)),"S","R"))))))</f>
        <v/>
      </c>
      <c r="AC701">
        <f>IF(OR($AB701="",$AB701="G"),"",IF($AB701="D",INDEX($U$8:$U$407,$AA701),IF($AB701="S",INDEX($T$8:$T$407,$AA701)&amp;"|*",INDEX($S$8:$S$407,$AA701)&amp;"|*")))</f>
        <v/>
      </c>
    </row>
    <row r="702" ht="21" customHeight="1" s="66">
      <c r="A702" s="3">
        <f>IF($AB702="G","ผลรวมทั้งหมด",IF($AB702="R",INDEX($S$8:$S$407,$AA702),""))</f>
        <v/>
      </c>
      <c r="B702" s="3">
        <f>IF($AB702="S",INDEX($Y$8:$Y$407,$AA702),"")</f>
        <v/>
      </c>
      <c r="C702" s="68">
        <f>IF($AB702="D",INDEX($Z$8:$Z$407,$AA702),"")</f>
        <v/>
      </c>
      <c r="D702" s="31">
        <f>IF($AB702="G",SUM($AE$8:$AE$407),IF(OR($AB702="",$AB702="R"),"",IF($AB702="D",INDEX($AE$8:$AE$407,$AA702),SUMIF($T$8:$T$407,INDEX($T$8:$T$407,$AA702),$AE$8:$AE$407))))</f>
        <v/>
      </c>
      <c r="E702" s="32">
        <f>IF(695=$AD$1+3,"ขอแสดงความนับถือ",IF(695=$AD$1+6,"(                 )",IF(695=$AD$1+7,"เจ้าหน้าที่ขนส่ง",IF($AB702="G",SUM($AF$8:$AF$407),IF(OR($AB702="",$AB702="R"),"",IF($AB702="D",INDEX($AF$8:$AF$407,$AA702),SUMIF($T$8:$T$407,INDEX($T$8:$T$407,$AA702),$AF$8:$AF$407)))))))</f>
        <v/>
      </c>
      <c r="F702" s="32">
        <f>IF($AB702="G",SUM($AG$8:$AG$407),IF(OR($AB702="",$AB702="R"),"",IF($AB702="D",INDEX($AG$8:$AG$407,$AA702),SUMIF($T$8:$T$407,INDEX($T$8:$T$407,$AA702),$AG$8:$AG$407))))</f>
        <v/>
      </c>
      <c r="G702" s="32">
        <f>IF(OR($AB702="",$AB702="R"),"",ROUND($E702-$F702,2))</f>
        <v/>
      </c>
      <c r="H702" s="32">
        <f>IF($AB702="G",SUM($AH$8:$AH$407),IF(OR($AB702="",$AB702="R"),"",IF($AB702="D",INDEX($AH$8:$AH$407,$AA702),SUMIF($T$8:$T$407,INDEX($T$8:$T$407,$AA702),$AH$8:$AH$407))))</f>
        <v/>
      </c>
      <c r="AA702">
        <f>IFERROR(MATCH(695,$X$8:$X$407,1),"")</f>
        <v/>
      </c>
      <c r="AB702">
        <f>IF(695=$AD$1+1,"G",IF($AA702="","",IF(INDEX($Q$8:$Q$407,$AA702)="","",IF(695&gt;INDEX($X$8:$X$407,$AA702)+INDEX($V$8:$V$407,$AA702)+INDEX($W$8:$W$407,$AA702),"",IF(695=INDEX($X$8:$X$407,$AA702)+INDEX($V$8:$V$407,$AA702)+INDEX($W$8:$W$407,$AA702),"D",IF(AND(INDEX($W$8:$W$407,$AA702)=1,695=INDEX($X$8:$X$407,$AA702)+INDEX($V$8:$V$407,$AA702)),"S","R"))))))</f>
        <v/>
      </c>
      <c r="AC702">
        <f>IF(OR($AB702="",$AB702="G"),"",IF($AB702="D",INDEX($U$8:$U$407,$AA702),IF($AB702="S",INDEX($T$8:$T$407,$AA702)&amp;"|*",INDEX($S$8:$S$407,$AA702)&amp;"|*")))</f>
        <v/>
      </c>
    </row>
    <row r="703" ht="21" customHeight="1" s="66">
      <c r="A703" s="3">
        <f>IF($AB703="G","ผลรวมทั้งหมด",IF($AB703="R",INDEX($S$8:$S$407,$AA703),""))</f>
        <v/>
      </c>
      <c r="B703" s="3">
        <f>IF($AB703="S",INDEX($Y$8:$Y$407,$AA703),"")</f>
        <v/>
      </c>
      <c r="C703" s="68">
        <f>IF($AB703="D",INDEX($Z$8:$Z$407,$AA703),"")</f>
        <v/>
      </c>
      <c r="D703" s="31">
        <f>IF($AB703="G",SUM($AE$8:$AE$407),IF(OR($AB703="",$AB703="R"),"",IF($AB703="D",INDEX($AE$8:$AE$407,$AA703),SUMIF($T$8:$T$407,INDEX($T$8:$T$407,$AA703),$AE$8:$AE$407))))</f>
        <v/>
      </c>
      <c r="E703" s="32">
        <f>IF(696=$AD$1+3,"ขอแสดงความนับถือ",IF(696=$AD$1+6,"(                 )",IF(696=$AD$1+7,"เจ้าหน้าที่ขนส่ง",IF($AB703="G",SUM($AF$8:$AF$407),IF(OR($AB703="",$AB703="R"),"",IF($AB703="D",INDEX($AF$8:$AF$407,$AA703),SUMIF($T$8:$T$407,INDEX($T$8:$T$407,$AA703),$AF$8:$AF$407)))))))</f>
        <v/>
      </c>
      <c r="F703" s="32">
        <f>IF($AB703="G",SUM($AG$8:$AG$407),IF(OR($AB703="",$AB703="R"),"",IF($AB703="D",INDEX($AG$8:$AG$407,$AA703),SUMIF($T$8:$T$407,INDEX($T$8:$T$407,$AA703),$AG$8:$AG$407))))</f>
        <v/>
      </c>
      <c r="G703" s="32">
        <f>IF(OR($AB703="",$AB703="R"),"",ROUND($E703-$F703,2))</f>
        <v/>
      </c>
      <c r="H703" s="32">
        <f>IF($AB703="G",SUM($AH$8:$AH$407),IF(OR($AB703="",$AB703="R"),"",IF($AB703="D",INDEX($AH$8:$AH$407,$AA703),SUMIF($T$8:$T$407,INDEX($T$8:$T$407,$AA703),$AH$8:$AH$407))))</f>
        <v/>
      </c>
      <c r="AA703">
        <f>IFERROR(MATCH(696,$X$8:$X$407,1),"")</f>
        <v/>
      </c>
      <c r="AB703">
        <f>IF(696=$AD$1+1,"G",IF($AA703="","",IF(INDEX($Q$8:$Q$407,$AA703)="","",IF(696&gt;INDEX($X$8:$X$407,$AA703)+INDEX($V$8:$V$407,$AA703)+INDEX($W$8:$W$407,$AA703),"",IF(696=INDEX($X$8:$X$407,$AA703)+INDEX($V$8:$V$407,$AA703)+INDEX($W$8:$W$407,$AA703),"D",IF(AND(INDEX($W$8:$W$407,$AA703)=1,696=INDEX($X$8:$X$407,$AA703)+INDEX($V$8:$V$407,$AA703)),"S","R"))))))</f>
        <v/>
      </c>
      <c r="AC703">
        <f>IF(OR($AB703="",$AB703="G"),"",IF($AB703="D",INDEX($U$8:$U$407,$AA703),IF($AB703="S",INDEX($T$8:$T$407,$AA703)&amp;"|*",INDEX($S$8:$S$407,$AA703)&amp;"|*")))</f>
        <v/>
      </c>
    </row>
    <row r="704" ht="21" customHeight="1" s="66">
      <c r="A704" s="3">
        <f>IF($AB704="G","ผลรวมทั้งหมด",IF($AB704="R",INDEX($S$8:$S$407,$AA704),""))</f>
        <v/>
      </c>
      <c r="B704" s="3">
        <f>IF($AB704="S",INDEX($Y$8:$Y$407,$AA704),"")</f>
        <v/>
      </c>
      <c r="C704" s="68">
        <f>IF($AB704="D",INDEX($Z$8:$Z$407,$AA704),"")</f>
        <v/>
      </c>
      <c r="D704" s="31">
        <f>IF($AB704="G",SUM($AE$8:$AE$407),IF(OR($AB704="",$AB704="R"),"",IF($AB704="D",INDEX($AE$8:$AE$407,$AA704),SUMIF($T$8:$T$407,INDEX($T$8:$T$407,$AA704),$AE$8:$AE$407))))</f>
        <v/>
      </c>
      <c r="E704" s="32">
        <f>IF(697=$AD$1+3,"ขอแสดงความนับถือ",IF(697=$AD$1+6,"(                 )",IF(697=$AD$1+7,"เจ้าหน้าที่ขนส่ง",IF($AB704="G",SUM($AF$8:$AF$407),IF(OR($AB704="",$AB704="R"),"",IF($AB704="D",INDEX($AF$8:$AF$407,$AA704),SUMIF($T$8:$T$407,INDEX($T$8:$T$407,$AA704),$AF$8:$AF$407)))))))</f>
        <v/>
      </c>
      <c r="F704" s="32">
        <f>IF($AB704="G",SUM($AG$8:$AG$407),IF(OR($AB704="",$AB704="R"),"",IF($AB704="D",INDEX($AG$8:$AG$407,$AA704),SUMIF($T$8:$T$407,INDEX($T$8:$T$407,$AA704),$AG$8:$AG$407))))</f>
        <v/>
      </c>
      <c r="G704" s="32">
        <f>IF(OR($AB704="",$AB704="R"),"",ROUND($E704-$F704,2))</f>
        <v/>
      </c>
      <c r="H704" s="32">
        <f>IF($AB704="G",SUM($AH$8:$AH$407),IF(OR($AB704="",$AB704="R"),"",IF($AB704="D",INDEX($AH$8:$AH$407,$AA704),SUMIF($T$8:$T$407,INDEX($T$8:$T$407,$AA704),$AH$8:$AH$407))))</f>
        <v/>
      </c>
      <c r="AA704">
        <f>IFERROR(MATCH(697,$X$8:$X$407,1),"")</f>
        <v/>
      </c>
      <c r="AB704">
        <f>IF(697=$AD$1+1,"G",IF($AA704="","",IF(INDEX($Q$8:$Q$407,$AA704)="","",IF(697&gt;INDEX($X$8:$X$407,$AA704)+INDEX($V$8:$V$407,$AA704)+INDEX($W$8:$W$407,$AA704),"",IF(697=INDEX($X$8:$X$407,$AA704)+INDEX($V$8:$V$407,$AA704)+INDEX($W$8:$W$407,$AA704),"D",IF(AND(INDEX($W$8:$W$407,$AA704)=1,697=INDEX($X$8:$X$407,$AA704)+INDEX($V$8:$V$407,$AA704)),"S","R"))))))</f>
        <v/>
      </c>
      <c r="AC704">
        <f>IF(OR($AB704="",$AB704="G"),"",IF($AB704="D",INDEX($U$8:$U$407,$AA704),IF($AB704="S",INDEX($T$8:$T$407,$AA704)&amp;"|*",INDEX($S$8:$S$407,$AA704)&amp;"|*")))</f>
        <v/>
      </c>
    </row>
    <row r="705" ht="21" customHeight="1" s="66">
      <c r="A705" s="3">
        <f>IF($AB705="G","ผลรวมทั้งหมด",IF($AB705="R",INDEX($S$8:$S$407,$AA705),""))</f>
        <v/>
      </c>
      <c r="B705" s="3">
        <f>IF($AB705="S",INDEX($Y$8:$Y$407,$AA705),"")</f>
        <v/>
      </c>
      <c r="C705" s="68">
        <f>IF($AB705="D",INDEX($Z$8:$Z$407,$AA705),"")</f>
        <v/>
      </c>
      <c r="D705" s="31">
        <f>IF($AB705="G",SUM($AE$8:$AE$407),IF(OR($AB705="",$AB705="R"),"",IF($AB705="D",INDEX($AE$8:$AE$407,$AA705),SUMIF($T$8:$T$407,INDEX($T$8:$T$407,$AA705),$AE$8:$AE$407))))</f>
        <v/>
      </c>
      <c r="E705" s="32">
        <f>IF(698=$AD$1+3,"ขอแสดงความนับถือ",IF(698=$AD$1+6,"(                 )",IF(698=$AD$1+7,"เจ้าหน้าที่ขนส่ง",IF($AB705="G",SUM($AF$8:$AF$407),IF(OR($AB705="",$AB705="R"),"",IF($AB705="D",INDEX($AF$8:$AF$407,$AA705),SUMIF($T$8:$T$407,INDEX($T$8:$T$407,$AA705),$AF$8:$AF$407)))))))</f>
        <v/>
      </c>
      <c r="F705" s="32">
        <f>IF($AB705="G",SUM($AG$8:$AG$407),IF(OR($AB705="",$AB705="R"),"",IF($AB705="D",INDEX($AG$8:$AG$407,$AA705),SUMIF($T$8:$T$407,INDEX($T$8:$T$407,$AA705),$AG$8:$AG$407))))</f>
        <v/>
      </c>
      <c r="G705" s="32">
        <f>IF(OR($AB705="",$AB705="R"),"",ROUND($E705-$F705,2))</f>
        <v/>
      </c>
      <c r="H705" s="32">
        <f>IF($AB705="G",SUM($AH$8:$AH$407),IF(OR($AB705="",$AB705="R"),"",IF($AB705="D",INDEX($AH$8:$AH$407,$AA705),SUMIF($T$8:$T$407,INDEX($T$8:$T$407,$AA705),$AH$8:$AH$407))))</f>
        <v/>
      </c>
      <c r="AA705">
        <f>IFERROR(MATCH(698,$X$8:$X$407,1),"")</f>
        <v/>
      </c>
      <c r="AB705">
        <f>IF(698=$AD$1+1,"G",IF($AA705="","",IF(INDEX($Q$8:$Q$407,$AA705)="","",IF(698&gt;INDEX($X$8:$X$407,$AA705)+INDEX($V$8:$V$407,$AA705)+INDEX($W$8:$W$407,$AA705),"",IF(698=INDEX($X$8:$X$407,$AA705)+INDEX($V$8:$V$407,$AA705)+INDEX($W$8:$W$407,$AA705),"D",IF(AND(INDEX($W$8:$W$407,$AA705)=1,698=INDEX($X$8:$X$407,$AA705)+INDEX($V$8:$V$407,$AA705)),"S","R"))))))</f>
        <v/>
      </c>
      <c r="AC705">
        <f>IF(OR($AB705="",$AB705="G"),"",IF($AB705="D",INDEX($U$8:$U$407,$AA705),IF($AB705="S",INDEX($T$8:$T$407,$AA705)&amp;"|*",INDEX($S$8:$S$407,$AA705)&amp;"|*")))</f>
        <v/>
      </c>
    </row>
    <row r="706" ht="21" customHeight="1" s="66">
      <c r="A706" s="3">
        <f>IF($AB706="G","ผลรวมทั้งหมด",IF($AB706="R",INDEX($S$8:$S$407,$AA706),""))</f>
        <v/>
      </c>
      <c r="B706" s="3">
        <f>IF($AB706="S",INDEX($Y$8:$Y$407,$AA706),"")</f>
        <v/>
      </c>
      <c r="C706" s="68">
        <f>IF($AB706="D",INDEX($Z$8:$Z$407,$AA706),"")</f>
        <v/>
      </c>
      <c r="D706" s="31">
        <f>IF($AB706="G",SUM($AE$8:$AE$407),IF(OR($AB706="",$AB706="R"),"",IF($AB706="D",INDEX($AE$8:$AE$407,$AA706),SUMIF($T$8:$T$407,INDEX($T$8:$T$407,$AA706),$AE$8:$AE$407))))</f>
        <v/>
      </c>
      <c r="E706" s="32">
        <f>IF(699=$AD$1+3,"ขอแสดงความนับถือ",IF(699=$AD$1+6,"(                 )",IF(699=$AD$1+7,"เจ้าหน้าที่ขนส่ง",IF($AB706="G",SUM($AF$8:$AF$407),IF(OR($AB706="",$AB706="R"),"",IF($AB706="D",INDEX($AF$8:$AF$407,$AA706),SUMIF($T$8:$T$407,INDEX($T$8:$T$407,$AA706),$AF$8:$AF$407)))))))</f>
        <v/>
      </c>
      <c r="F706" s="32">
        <f>IF($AB706="G",SUM($AG$8:$AG$407),IF(OR($AB706="",$AB706="R"),"",IF($AB706="D",INDEX($AG$8:$AG$407,$AA706),SUMIF($T$8:$T$407,INDEX($T$8:$T$407,$AA706),$AG$8:$AG$407))))</f>
        <v/>
      </c>
      <c r="G706" s="32">
        <f>IF(OR($AB706="",$AB706="R"),"",ROUND($E706-$F706,2))</f>
        <v/>
      </c>
      <c r="H706" s="32">
        <f>IF($AB706="G",SUM($AH$8:$AH$407),IF(OR($AB706="",$AB706="R"),"",IF($AB706="D",INDEX($AH$8:$AH$407,$AA706),SUMIF($T$8:$T$407,INDEX($T$8:$T$407,$AA706),$AH$8:$AH$407))))</f>
        <v/>
      </c>
      <c r="AA706">
        <f>IFERROR(MATCH(699,$X$8:$X$407,1),"")</f>
        <v/>
      </c>
      <c r="AB706">
        <f>IF(699=$AD$1+1,"G",IF($AA706="","",IF(INDEX($Q$8:$Q$407,$AA706)="","",IF(699&gt;INDEX($X$8:$X$407,$AA706)+INDEX($V$8:$V$407,$AA706)+INDEX($W$8:$W$407,$AA706),"",IF(699=INDEX($X$8:$X$407,$AA706)+INDEX($V$8:$V$407,$AA706)+INDEX($W$8:$W$407,$AA706),"D",IF(AND(INDEX($W$8:$W$407,$AA706)=1,699=INDEX($X$8:$X$407,$AA706)+INDEX($V$8:$V$407,$AA706)),"S","R"))))))</f>
        <v/>
      </c>
      <c r="AC706">
        <f>IF(OR($AB706="",$AB706="G"),"",IF($AB706="D",INDEX($U$8:$U$407,$AA706),IF($AB706="S",INDEX($T$8:$T$407,$AA706)&amp;"|*",INDEX($S$8:$S$407,$AA706)&amp;"|*")))</f>
        <v/>
      </c>
    </row>
    <row r="707" ht="21" customHeight="1" s="66">
      <c r="A707" s="3">
        <f>IF($AB707="G","ผลรวมทั้งหมด",IF($AB707="R",INDEX($S$8:$S$407,$AA707),""))</f>
        <v/>
      </c>
      <c r="B707" s="3">
        <f>IF($AB707="S",INDEX($Y$8:$Y$407,$AA707),"")</f>
        <v/>
      </c>
      <c r="C707" s="68">
        <f>IF($AB707="D",INDEX($Z$8:$Z$407,$AA707),"")</f>
        <v/>
      </c>
      <c r="D707" s="31">
        <f>IF($AB707="G",SUM($AE$8:$AE$407),IF(OR($AB707="",$AB707="R"),"",IF($AB707="D",INDEX($AE$8:$AE$407,$AA707),SUMIF($T$8:$T$407,INDEX($T$8:$T$407,$AA707),$AE$8:$AE$407))))</f>
        <v/>
      </c>
      <c r="E707" s="32">
        <f>IF(700=$AD$1+3,"ขอแสดงความนับถือ",IF(700=$AD$1+6,"(                 )",IF(700=$AD$1+7,"เจ้าหน้าที่ขนส่ง",IF($AB707="G",SUM($AF$8:$AF$407),IF(OR($AB707="",$AB707="R"),"",IF($AB707="D",INDEX($AF$8:$AF$407,$AA707),SUMIF($T$8:$T$407,INDEX($T$8:$T$407,$AA707),$AF$8:$AF$407)))))))</f>
        <v/>
      </c>
      <c r="F707" s="32">
        <f>IF($AB707="G",SUM($AG$8:$AG$407),IF(OR($AB707="",$AB707="R"),"",IF($AB707="D",INDEX($AG$8:$AG$407,$AA707),SUMIF($T$8:$T$407,INDEX($T$8:$T$407,$AA707),$AG$8:$AG$407))))</f>
        <v/>
      </c>
      <c r="G707" s="32">
        <f>IF(OR($AB707="",$AB707="R"),"",ROUND($E707-$F707,2))</f>
        <v/>
      </c>
      <c r="H707" s="32">
        <f>IF($AB707="G",SUM($AH$8:$AH$407),IF(OR($AB707="",$AB707="R"),"",IF($AB707="D",INDEX($AH$8:$AH$407,$AA707),SUMIF($T$8:$T$407,INDEX($T$8:$T$407,$AA707),$AH$8:$AH$407))))</f>
        <v/>
      </c>
      <c r="AA707">
        <f>IFERROR(MATCH(700,$X$8:$X$407,1),"")</f>
        <v/>
      </c>
      <c r="AB707">
        <f>IF(700=$AD$1+1,"G",IF($AA707="","",IF(INDEX($Q$8:$Q$407,$AA707)="","",IF(700&gt;INDEX($X$8:$X$407,$AA707)+INDEX($V$8:$V$407,$AA707)+INDEX($W$8:$W$407,$AA707),"",IF(700=INDEX($X$8:$X$407,$AA707)+INDEX($V$8:$V$407,$AA707)+INDEX($W$8:$W$407,$AA707),"D",IF(AND(INDEX($W$8:$W$407,$AA707)=1,700=INDEX($X$8:$X$407,$AA707)+INDEX($V$8:$V$407,$AA707)),"S","R"))))))</f>
        <v/>
      </c>
      <c r="AC707">
        <f>IF(OR($AB707="",$AB707="G"),"",IF($AB707="D",INDEX($U$8:$U$407,$AA707),IF($AB707="S",INDEX($T$8:$T$407,$AA707)&amp;"|*",INDEX($S$8:$S$407,$AA707)&amp;"|*")))</f>
        <v/>
      </c>
    </row>
  </sheetData>
  <mergeCells count="2">
    <mergeCell ref="A6:H6"/>
    <mergeCell ref="A5:H5"/>
  </mergeCells>
  <conditionalFormatting sqref="A8:H707">
    <cfRule type="expression" priority="1" dxfId="3">
      <formula>$AB8="G"</formula>
    </cfRule>
    <cfRule type="expression" priority="2" dxfId="2">
      <formula>$AB8="R"</formula>
    </cfRule>
    <cfRule type="expression" priority="3" dxfId="1">
      <formula>$AB8="S"</formula>
    </cfRule>
    <cfRule type="expression" priority="4" dxfId="0">
      <formula>$AB8&lt;&gt;""</formula>
    </cfRule>
  </conditionalFormatting>
  <pageMargins left="0.75" right="0.75" top="1" bottom="1" header="0.5" footer="0.5"/>
  <pageSetup orientation="landscape" paperSize="9" fitToHeight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showInputMessage="1" showErrorMessage="1" errorTitle="ค่ากรองไม่ถูกต้อง" error="ต้องเลือกจากรายการเท่านั้น" promptTitle="เลือกจากรายการ" prompt="เลือกเพื่อกรองรายงาน">
          <x14:formula1>
            <xm:f>รายการมาตรฐาน!$L$2:$L$302</xm:f>
          </x14:formula1>
          <xm:sqref>I3</xm:sqref>
        </x14:dataValidation>
        <x14:dataValidation type="list" errorStyle="warning" showInputMessage="1" showErrorMessage="1" errorTitle="ค่ากรองไม่ถูกต้อง" error="ต้องเลือกจากรายการเท่านั้น" promptTitle="เลือกจากรายการ" prompt="เลือกเพื่อกรองรายงาน">
          <x14:formula1>
            <xm:f>รายการมาตรฐาน!$M$2:$M$302</xm:f>
          </x14:formula1>
          <xm:sqref>I5</xm:sqref>
        </x14:dataValidation>
        <x14:dataValidation type="list" errorStyle="warning" showInputMessage="1" showErrorMessage="1" errorTitle="ค่ากรองไม่ถูกต้อง" error="ต้องเลือกจากรายการเท่านั้น" promptTitle="เลือกจากรายการ" prompt="เลือกเพื่อกรองรายงาน">
          <x14:formula1>
            <xm:f>รายการมาตรฐาน!$N$2:$N$302</xm:f>
          </x14:formula1>
          <xm:sqref>I7</xm:sqref>
        </x14:dataValidation>
      </x14:dataValidations>
    </ext>
  </extLst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M75"/>
  <sheetViews>
    <sheetView workbookViewId="0">
      <selection activeCell="A1" sqref="A1"/>
    </sheetView>
  </sheetViews>
  <sheetFormatPr baseColWidth="8" defaultRowHeight="14.25"/>
  <cols>
    <col width="12" customWidth="1" style="66" min="1" max="1"/>
    <col width="27" customWidth="1" style="66" min="2" max="2"/>
    <col width="8" customWidth="1" style="66" min="3" max="3"/>
    <col width="11" customWidth="1" style="66" min="4" max="4"/>
    <col width="15" customWidth="1" style="66" min="5" max="5"/>
    <col width="13" customWidth="1" style="66" min="6" max="6"/>
    <col width="14" customWidth="1" style="66" min="7" max="7"/>
    <col width="15" customWidth="1" style="66" min="8" max="8"/>
    <col width="30" customWidth="1" style="66" min="10" max="10"/>
    <col width="46" customWidth="1" style="66" min="11" max="11"/>
    <col hidden="1" width="13" customWidth="1" style="66" min="13" max="14"/>
  </cols>
  <sheetData>
    <row r="1" ht="19.9" customHeight="1" s="66">
      <c r="J1" s="18" t="inlineStr">
        <is>
          <t>▍ ช่องกรอก — เดือนละครั้ง (ไม่ติดไปเวลาพิมพ์)</t>
        </is>
      </c>
    </row>
    <row r="2" ht="21" customHeight="1" s="66">
      <c r="J2" s="68" t="inlineStr">
        <is>
          <t>เลขที่หนังสือ</t>
        </is>
      </c>
      <c r="K2" s="4" t="inlineStr">
        <is>
          <t>ACC.SURAT.115/2569</t>
        </is>
      </c>
      <c r="M2">
        <f>MAX(สรุปจ่ายรถร่วม!$AZ$5:$AZ$704)</f>
        <v/>
      </c>
    </row>
    <row r="3" ht="21" customHeight="1" s="66">
      <c r="J3" s="68" t="inlineStr">
        <is>
          <t>วันที่</t>
        </is>
      </c>
      <c r="K3" s="4" t="inlineStr">
        <is>
          <t>3 กรกฏาคม 2569</t>
        </is>
      </c>
    </row>
    <row r="4" ht="21" customHeight="1" s="66">
      <c r="J4" s="68" t="inlineStr">
        <is>
          <t>ข้อความนำหน้า "เรื่อง"</t>
        </is>
      </c>
      <c r="K4" s="4" t="inlineStr">
        <is>
          <t>จ่ายค่าบรรทุกรถร่วมทีมปกติ ส่งออกนาม</t>
        </is>
      </c>
    </row>
    <row r="5" ht="21" customHeight="1" s="66">
      <c r="A5" s="68">
        <f>"ที่ "&amp;$K$2</f>
        <v/>
      </c>
      <c r="J5" s="68" t="inlineStr">
        <is>
          <t>เรียน</t>
        </is>
      </c>
      <c r="K5" s="4" t="inlineStr">
        <is>
          <t>พันตำรวจเอกพร้อม  ปริยวาที กรรมการผู้จัดการ</t>
        </is>
      </c>
      <c r="M5">
        <f>SUMIF(สรุปจ่ายรถร่วม!$AN$5:$AN$404,1,สรุปจ่ายรถร่วม!$AR$5:$AR$404)</f>
        <v/>
      </c>
    </row>
    <row r="6" ht="21" customHeight="1" s="66">
      <c r="D6" s="68">
        <f>"วันที่  "&amp;$K$3</f>
        <v/>
      </c>
      <c r="J6" s="68" t="inlineStr">
        <is>
          <t>เครดิต (วัน)</t>
        </is>
      </c>
      <c r="K6" s="4" t="n">
        <v>90</v>
      </c>
      <c r="M6">
        <f>ROUND(SUMIF(สรุปจ่ายรถร่วม!$AN$5:$AN$404,1,สรุปจ่ายรถร่วม!$AS$5:$AS$404),2)</f>
        <v/>
      </c>
    </row>
    <row r="7" ht="21" customHeight="1" s="66">
      <c r="J7" s="68" t="inlineStr">
        <is>
          <t>ครบกำหนดในวันที่</t>
        </is>
      </c>
      <c r="K7" s="4" t="inlineStr">
        <is>
          <t>30 กรกฏาคม 2569</t>
        </is>
      </c>
      <c r="M7">
        <f>ROUND(SUMIF(สรุปจ่ายรถร่วม!$AN$5:$AN$404,1,สรุปจ่ายรถร่วม!$AU$5:$AU$404),2)</f>
        <v/>
      </c>
    </row>
    <row r="8" ht="21" customHeight="1" s="66">
      <c r="A8" s="3" t="inlineStr">
        <is>
          <t>เรื่อง</t>
        </is>
      </c>
      <c r="B8" s="69">
        <f>$K$4&amp;บันทึกรายเที่ยว!$F$3&amp;"  ประจำเดือน  "&amp;บันทึกรายเที่ยว!$B$3</f>
        <v/>
      </c>
      <c r="J8" s="68" t="inlineStr">
        <is>
          <t>ชื่อผู้ลงนาม</t>
        </is>
      </c>
      <c r="K8" s="4" t="inlineStr">
        <is>
          <t>นางสาวกิตติมา  เพิ่มพูล</t>
        </is>
      </c>
      <c r="M8">
        <f>ROUND(SUMIF(สรุปจ่ายรถร่วม!$AN$5:$AN$404,1,สรุปจ่ายรถร่วม!$AV$5:$AV$404),2)</f>
        <v/>
      </c>
    </row>
    <row r="9" ht="21" customHeight="1" s="66">
      <c r="A9" s="3" t="inlineStr">
        <is>
          <t>เรียน</t>
        </is>
      </c>
      <c r="B9" s="69">
        <f>$K$5</f>
        <v/>
      </c>
      <c r="J9" s="68" t="inlineStr">
        <is>
          <t>ตำแหน่งผู้ลงนาม</t>
        </is>
      </c>
      <c r="K9" s="4" t="inlineStr">
        <is>
          <t>เจ้าหน้าที่บัญชี</t>
        </is>
      </c>
      <c r="M9">
        <f>ROUND(SUMIF(สรุปจ่ายรถร่วม!$AQ$5:$AQ$704,1,สรุปจ่ายรถร่วม!$AJ$5:$AJ$704),2)</f>
        <v/>
      </c>
    </row>
    <row r="10" ht="21" customHeight="1" s="66">
      <c r="A10" s="3" t="inlineStr">
        <is>
          <t>สิ่งที่ส่งมาด้วย</t>
        </is>
      </c>
      <c r="B10" s="69">
        <f>IF($K$19="","",1&amp;"."&amp;$K$19)</f>
        <v/>
      </c>
      <c r="E10" s="69">
        <f>IF($K$20="","",2&amp;"."&amp;$K$20)</f>
        <v/>
      </c>
      <c r="J10" s="68" t="inlineStr">
        <is>
          <t>สำเนาเรียน 1</t>
        </is>
      </c>
      <c r="K10" s="4" t="inlineStr">
        <is>
          <t>ประธานกรรมการบริหาร</t>
        </is>
      </c>
      <c r="M10">
        <f>ROUND($M$7-$M$8-$M$9,2)</f>
        <v/>
      </c>
    </row>
    <row r="11" ht="21" customHeight="1" s="66">
      <c r="B11" s="69">
        <f>IF($K$21="","",3&amp;"."&amp;$K$21)</f>
        <v/>
      </c>
      <c r="E11" s="69">
        <f>IF($K$22="","",4&amp;"."&amp;$K$22)</f>
        <v/>
      </c>
      <c r="J11" s="68" t="inlineStr">
        <is>
          <t>สำเนาเรียน 2</t>
        </is>
      </c>
      <c r="K11" s="4" t="inlineStr">
        <is>
          <t>รองประธานกรรมการอาวุโสฝ่ายบริหารฯ</t>
        </is>
      </c>
    </row>
    <row r="12" ht="21" customHeight="1" s="66">
      <c r="B12" s="69">
        <f>IF($K$23="","",5&amp;"."&amp;$K$23)</f>
        <v/>
      </c>
      <c r="E12" s="69">
        <f>IF($K$24="","",6&amp;"."&amp;$K$24)</f>
        <v/>
      </c>
      <c r="J12" s="68" t="inlineStr">
        <is>
          <t>สำเนาเรียน 3</t>
        </is>
      </c>
      <c r="K12" s="4" t="inlineStr">
        <is>
          <t>บัญชี/การเงิน กทม.</t>
        </is>
      </c>
    </row>
    <row r="13" ht="21" customHeight="1" s="66">
      <c r="B13" s="69">
        <f>IF($K$25="","",7&amp;"."&amp;$K$25)</f>
        <v/>
      </c>
      <c r="E13" s="69">
        <f>IF($K$26="","",8&amp;"."&amp;$K$26)</f>
        <v/>
      </c>
      <c r="J13" s="68" t="inlineStr">
        <is>
          <t>หมายเหตุสำเนา 1</t>
        </is>
      </c>
      <c r="K13" s="4" t="inlineStr">
        <is>
          <t>เพื่อโปรดทราบ</t>
        </is>
      </c>
    </row>
    <row r="14" ht="21" customHeight="1" s="66">
      <c r="B14" s="69">
        <f>IF($K$27="","",9&amp;"."&amp;$K$27)</f>
        <v/>
      </c>
      <c r="E14" s="69">
        <f>IF($K$28="","",10&amp;"."&amp;$K$28)</f>
        <v/>
      </c>
      <c r="J14" s="68" t="inlineStr">
        <is>
          <t>หมายเหตุสำเนา 2</t>
        </is>
      </c>
      <c r="K14" s="4" t="inlineStr">
        <is>
          <t>เพื่อโปรดทราบ</t>
        </is>
      </c>
    </row>
    <row r="15" ht="21" customHeight="1" s="66">
      <c r="B15" s="69">
        <f>IF($K$29="","",11&amp;"."&amp;$K$29)</f>
        <v/>
      </c>
      <c r="E15" s="69">
        <f>IF($K$30="","",12&amp;"."&amp;$K$30)</f>
        <v/>
      </c>
      <c r="J15" s="68" t="inlineStr">
        <is>
          <t>หมายเหตุสำเนา 3</t>
        </is>
      </c>
      <c r="K15" s="4" t="inlineStr">
        <is>
          <t>เพื่อดำเนินการ</t>
        </is>
      </c>
    </row>
    <row r="16" ht="21" customHeight="1" s="66">
      <c r="B16" s="71">
        <f>"สรุปค่าบรรทุก ประจำเดือน  "&amp;บันทึกรายเที่ยว!$B$3</f>
        <v/>
      </c>
      <c r="J16" s="68" t="inlineStr">
        <is>
          <t>ข้อความปิดท้าย</t>
        </is>
      </c>
      <c r="K16" s="4" t="inlineStr">
        <is>
          <t>โดยให้โอนเงินจำนวนดังกล่าวเข้าบัญชีรถร่วมโดยตรง ตามรายละเอียดที่แจ้งไว้ก่อนหน้านี้</t>
        </is>
      </c>
    </row>
    <row r="17" ht="21" customHeight="1" s="66">
      <c r="A17" s="69">
        <f>"เครดิต "&amp;$K$6&amp;" วัน ครบกำหนดในวันที่  "&amp;$K$7&amp;"  ซึ่งมีรายละเอียดดังต่อไปนี้"</f>
        <v/>
      </c>
      <c r="J17" s="68" t="inlineStr">
        <is>
          <t>จำนวนเงินเป็นตัวหนังสือ (เว้นว่างไว้ = ให้ Excel เขียนเอง)</t>
        </is>
      </c>
      <c r="K17" s="4" t="n"/>
    </row>
    <row r="18" ht="30" customHeight="1" s="66">
      <c r="A18" s="60" t="inlineStr">
        <is>
          <t>ลำดับที่</t>
        </is>
      </c>
      <c r="B18" s="60" t="inlineStr">
        <is>
          <t>ทีมรถร่วม</t>
        </is>
      </c>
      <c r="C18" s="60" t="inlineStr">
        <is>
          <t>เที่ยว</t>
        </is>
      </c>
      <c r="D18" s="60" t="inlineStr">
        <is>
          <t>ตัน</t>
        </is>
      </c>
      <c r="E18" s="60" t="inlineStr">
        <is>
          <t>รายได้ก่อนหักภาษี</t>
        </is>
      </c>
      <c r="F18" s="60" t="inlineStr">
        <is>
          <t>หัก ณ ที่จ่าย 1%</t>
        </is>
      </c>
      <c r="G18" s="60" t="inlineStr">
        <is>
          <t>ค่าน้ำมัน</t>
        </is>
      </c>
      <c r="H18" s="60" t="inlineStr">
        <is>
          <t>คงเหลือจ่าย</t>
        </is>
      </c>
      <c r="J18" s="3" t="inlineStr">
        <is>
          <t>สิ่งที่ส่งมาด้วย 1-12 (เว้นว่างได้)</t>
        </is>
      </c>
    </row>
    <row r="19" ht="21" customHeight="1" s="66">
      <c r="A19" s="61" t="n"/>
      <c r="B19" s="61" t="n"/>
      <c r="C19" s="61" t="n"/>
      <c r="D19" s="61" t="n"/>
      <c r="E19" s="61" t="n"/>
      <c r="F19" s="61" t="n"/>
      <c r="G19" s="61" t="n"/>
      <c r="H19" s="60" t="inlineStr">
        <is>
          <t>บาท</t>
        </is>
      </c>
      <c r="J19" s="68" t="inlineStr">
        <is>
          <t xml:space="preserve">  รายการที่ 1</t>
        </is>
      </c>
      <c r="K19" s="4" t="n"/>
    </row>
    <row r="20" ht="21" customHeight="1" s="66">
      <c r="A20" s="70">
        <f>IF($M20="","",1)</f>
        <v/>
      </c>
      <c r="B20" s="69">
        <f>IF($M20="","",INDEX(สรุปจ่ายรถร่วม!$AF$5:$AF$704,$M20))</f>
        <v/>
      </c>
      <c r="C20" s="38">
        <f>IF($M20="","",N(INDEX(สรุปจ่ายรถร่วม!$E$5:$E$704,$M20)))</f>
        <v/>
      </c>
      <c r="D20" s="39">
        <f>IF($M20="","",N(INDEX(สรุปจ่ายรถร่วม!$F$5:$F$704,$M20)))</f>
        <v/>
      </c>
      <c r="E20" s="39">
        <f>IF($M20="","",N(INDEX(สรุปจ่ายรถร่วม!$K$5:$K$704,$M20)))</f>
        <v/>
      </c>
      <c r="F20" s="39">
        <f>IF($M20="","",N(INDEX(สรุปจ่ายรถร่วม!$L$5:$L$704,$M20)))</f>
        <v/>
      </c>
      <c r="G20" s="39">
        <f>IF($M20="","",N(INDEX(สรุปจ่ายรถร่วม!$M$5:$M$704,$M20)))</f>
        <v/>
      </c>
      <c r="H20" s="39">
        <f>IF($M20="","",N(INDEX(สรุปจ่ายรถร่วม!$N$5:$N$704,$M20)))</f>
        <v/>
      </c>
      <c r="J20" s="68" t="inlineStr">
        <is>
          <t xml:space="preserve">  รายการที่ 2</t>
        </is>
      </c>
      <c r="K20" s="4" t="n"/>
      <c r="M20">
        <f>IFERROR(MATCH(1,สรุปจ่ายรถร่วม!$AZ$5:$AZ$704,0),"")</f>
        <v/>
      </c>
    </row>
    <row r="21" ht="21" customHeight="1" s="66">
      <c r="A21" s="70">
        <f>IF($M21="","",2)</f>
        <v/>
      </c>
      <c r="B21" s="69">
        <f>IF($M21="","",INDEX(สรุปจ่ายรถร่วม!$AF$5:$AF$704,$M21))</f>
        <v/>
      </c>
      <c r="C21" s="38">
        <f>IF($M21="","",N(INDEX(สรุปจ่ายรถร่วม!$E$5:$E$704,$M21)))</f>
        <v/>
      </c>
      <c r="D21" s="39">
        <f>IF($M21="","",N(INDEX(สรุปจ่ายรถร่วม!$F$5:$F$704,$M21)))</f>
        <v/>
      </c>
      <c r="E21" s="39">
        <f>IF($M21="","",N(INDEX(สรุปจ่ายรถร่วม!$K$5:$K$704,$M21)))</f>
        <v/>
      </c>
      <c r="F21" s="39">
        <f>IF($M21="","",N(INDEX(สรุปจ่ายรถร่วม!$L$5:$L$704,$M21)))</f>
        <v/>
      </c>
      <c r="G21" s="39">
        <f>IF($M21="","",N(INDEX(สรุปจ่ายรถร่วม!$M$5:$M$704,$M21)))</f>
        <v/>
      </c>
      <c r="H21" s="39">
        <f>IF($M21="","",N(INDEX(สรุปจ่ายรถร่วม!$N$5:$N$704,$M21)))</f>
        <v/>
      </c>
      <c r="J21" s="68" t="inlineStr">
        <is>
          <t xml:space="preserve">  รายการที่ 3</t>
        </is>
      </c>
      <c r="K21" s="4" t="n"/>
      <c r="M21">
        <f>IFERROR(MATCH(2,สรุปจ่ายรถร่วม!$AZ$5:$AZ$704,0),"")</f>
        <v/>
      </c>
    </row>
    <row r="22" ht="21" customHeight="1" s="66">
      <c r="A22" s="70">
        <f>IF($M22="","",3)</f>
        <v/>
      </c>
      <c r="B22" s="69">
        <f>IF($M22="","",INDEX(สรุปจ่ายรถร่วม!$AF$5:$AF$704,$M22))</f>
        <v/>
      </c>
      <c r="C22" s="38">
        <f>IF($M22="","",N(INDEX(สรุปจ่ายรถร่วม!$E$5:$E$704,$M22)))</f>
        <v/>
      </c>
      <c r="D22" s="39">
        <f>IF($M22="","",N(INDEX(สรุปจ่ายรถร่วม!$F$5:$F$704,$M22)))</f>
        <v/>
      </c>
      <c r="E22" s="39">
        <f>IF($M22="","",N(INDEX(สรุปจ่ายรถร่วม!$K$5:$K$704,$M22)))</f>
        <v/>
      </c>
      <c r="F22" s="39">
        <f>IF($M22="","",N(INDEX(สรุปจ่ายรถร่วม!$L$5:$L$704,$M22)))</f>
        <v/>
      </c>
      <c r="G22" s="39">
        <f>IF($M22="","",N(INDEX(สรุปจ่ายรถร่วม!$M$5:$M$704,$M22)))</f>
        <v/>
      </c>
      <c r="H22" s="39">
        <f>IF($M22="","",N(INDEX(สรุปจ่ายรถร่วม!$N$5:$N$704,$M22)))</f>
        <v/>
      </c>
      <c r="J22" s="68" t="inlineStr">
        <is>
          <t xml:space="preserve">  รายการที่ 4</t>
        </is>
      </c>
      <c r="K22" s="4" t="n"/>
      <c r="M22">
        <f>IFERROR(MATCH(3,สรุปจ่ายรถร่วม!$AZ$5:$AZ$704,0),"")</f>
        <v/>
      </c>
    </row>
    <row r="23" ht="21" customHeight="1" s="66">
      <c r="A23" s="70">
        <f>IF($M23="","",4)</f>
        <v/>
      </c>
      <c r="B23" s="69">
        <f>IF($M23="","",INDEX(สรุปจ่ายรถร่วม!$AF$5:$AF$704,$M23))</f>
        <v/>
      </c>
      <c r="C23" s="38">
        <f>IF($M23="","",N(INDEX(สรุปจ่ายรถร่วม!$E$5:$E$704,$M23)))</f>
        <v/>
      </c>
      <c r="D23" s="39">
        <f>IF($M23="","",N(INDEX(สรุปจ่ายรถร่วม!$F$5:$F$704,$M23)))</f>
        <v/>
      </c>
      <c r="E23" s="39">
        <f>IF($M23="","",N(INDEX(สรุปจ่ายรถร่วม!$K$5:$K$704,$M23)))</f>
        <v/>
      </c>
      <c r="F23" s="39">
        <f>IF($M23="","",N(INDEX(สรุปจ่ายรถร่วม!$L$5:$L$704,$M23)))</f>
        <v/>
      </c>
      <c r="G23" s="39">
        <f>IF($M23="","",N(INDEX(สรุปจ่ายรถร่วม!$M$5:$M$704,$M23)))</f>
        <v/>
      </c>
      <c r="H23" s="39">
        <f>IF($M23="","",N(INDEX(สรุปจ่ายรถร่วม!$N$5:$N$704,$M23)))</f>
        <v/>
      </c>
      <c r="J23" s="68" t="inlineStr">
        <is>
          <t xml:space="preserve">  รายการที่ 5</t>
        </is>
      </c>
      <c r="K23" s="4" t="n"/>
      <c r="M23">
        <f>IFERROR(MATCH(4,สรุปจ่ายรถร่วม!$AZ$5:$AZ$704,0),"")</f>
        <v/>
      </c>
    </row>
    <row r="24" ht="21" customHeight="1" s="66">
      <c r="A24" s="70">
        <f>IF($M24="","",5)</f>
        <v/>
      </c>
      <c r="B24" s="69">
        <f>IF($M24="","",INDEX(สรุปจ่ายรถร่วม!$AF$5:$AF$704,$M24))</f>
        <v/>
      </c>
      <c r="C24" s="38">
        <f>IF($M24="","",N(INDEX(สรุปจ่ายรถร่วม!$E$5:$E$704,$M24)))</f>
        <v/>
      </c>
      <c r="D24" s="39">
        <f>IF($M24="","",N(INDEX(สรุปจ่ายรถร่วม!$F$5:$F$704,$M24)))</f>
        <v/>
      </c>
      <c r="E24" s="39">
        <f>IF($M24="","",N(INDEX(สรุปจ่ายรถร่วม!$K$5:$K$704,$M24)))</f>
        <v/>
      </c>
      <c r="F24" s="39">
        <f>IF($M24="","",N(INDEX(สรุปจ่ายรถร่วม!$L$5:$L$704,$M24)))</f>
        <v/>
      </c>
      <c r="G24" s="39">
        <f>IF($M24="","",N(INDEX(สรุปจ่ายรถร่วม!$M$5:$M$704,$M24)))</f>
        <v/>
      </c>
      <c r="H24" s="39">
        <f>IF($M24="","",N(INDEX(สรุปจ่ายรถร่วม!$N$5:$N$704,$M24)))</f>
        <v/>
      </c>
      <c r="J24" s="68" t="inlineStr">
        <is>
          <t xml:space="preserve">  รายการที่ 6</t>
        </is>
      </c>
      <c r="K24" s="4" t="n"/>
      <c r="M24">
        <f>IFERROR(MATCH(5,สรุปจ่ายรถร่วม!$AZ$5:$AZ$704,0),"")</f>
        <v/>
      </c>
    </row>
    <row r="25" ht="21" customHeight="1" s="66">
      <c r="A25" s="70">
        <f>IF($M25="","",6)</f>
        <v/>
      </c>
      <c r="B25" s="69">
        <f>IF($M25="","",INDEX(สรุปจ่ายรถร่วม!$AF$5:$AF$704,$M25))</f>
        <v/>
      </c>
      <c r="C25" s="38">
        <f>IF($M25="","",N(INDEX(สรุปจ่ายรถร่วม!$E$5:$E$704,$M25)))</f>
        <v/>
      </c>
      <c r="D25" s="39">
        <f>IF($M25="","",N(INDEX(สรุปจ่ายรถร่วม!$F$5:$F$704,$M25)))</f>
        <v/>
      </c>
      <c r="E25" s="39">
        <f>IF($M25="","",N(INDEX(สรุปจ่ายรถร่วม!$K$5:$K$704,$M25)))</f>
        <v/>
      </c>
      <c r="F25" s="39">
        <f>IF($M25="","",N(INDEX(สรุปจ่ายรถร่วม!$L$5:$L$704,$M25)))</f>
        <v/>
      </c>
      <c r="G25" s="39">
        <f>IF($M25="","",N(INDEX(สรุปจ่ายรถร่วม!$M$5:$M$704,$M25)))</f>
        <v/>
      </c>
      <c r="H25" s="39">
        <f>IF($M25="","",N(INDEX(สรุปจ่ายรถร่วม!$N$5:$N$704,$M25)))</f>
        <v/>
      </c>
      <c r="J25" s="68" t="inlineStr">
        <is>
          <t xml:space="preserve">  รายการที่ 7</t>
        </is>
      </c>
      <c r="K25" s="4" t="n"/>
      <c r="M25">
        <f>IFERROR(MATCH(6,สรุปจ่ายรถร่วม!$AZ$5:$AZ$704,0),"")</f>
        <v/>
      </c>
    </row>
    <row r="26" ht="21" customHeight="1" s="66">
      <c r="A26" s="70">
        <f>IF($M26="","",7)</f>
        <v/>
      </c>
      <c r="B26" s="69">
        <f>IF($M26="","",INDEX(สรุปจ่ายรถร่วม!$AF$5:$AF$704,$M26))</f>
        <v/>
      </c>
      <c r="C26" s="38">
        <f>IF($M26="","",N(INDEX(สรุปจ่ายรถร่วม!$E$5:$E$704,$M26)))</f>
        <v/>
      </c>
      <c r="D26" s="39">
        <f>IF($M26="","",N(INDEX(สรุปจ่ายรถร่วม!$F$5:$F$704,$M26)))</f>
        <v/>
      </c>
      <c r="E26" s="39">
        <f>IF($M26="","",N(INDEX(สรุปจ่ายรถร่วม!$K$5:$K$704,$M26)))</f>
        <v/>
      </c>
      <c r="F26" s="39">
        <f>IF($M26="","",N(INDEX(สรุปจ่ายรถร่วม!$L$5:$L$704,$M26)))</f>
        <v/>
      </c>
      <c r="G26" s="39">
        <f>IF($M26="","",N(INDEX(สรุปจ่ายรถร่วม!$M$5:$M$704,$M26)))</f>
        <v/>
      </c>
      <c r="H26" s="39">
        <f>IF($M26="","",N(INDEX(สรุปจ่ายรถร่วม!$N$5:$N$704,$M26)))</f>
        <v/>
      </c>
      <c r="J26" s="68" t="inlineStr">
        <is>
          <t xml:space="preserve">  รายการที่ 8</t>
        </is>
      </c>
      <c r="K26" s="4" t="n"/>
      <c r="M26">
        <f>IFERROR(MATCH(7,สรุปจ่ายรถร่วม!$AZ$5:$AZ$704,0),"")</f>
        <v/>
      </c>
    </row>
    <row r="27" ht="21" customHeight="1" s="66">
      <c r="A27" s="70">
        <f>IF($M27="","",8)</f>
        <v/>
      </c>
      <c r="B27" s="69">
        <f>IF($M27="","",INDEX(สรุปจ่ายรถร่วม!$AF$5:$AF$704,$M27))</f>
        <v/>
      </c>
      <c r="C27" s="38">
        <f>IF($M27="","",N(INDEX(สรุปจ่ายรถร่วม!$E$5:$E$704,$M27)))</f>
        <v/>
      </c>
      <c r="D27" s="39">
        <f>IF($M27="","",N(INDEX(สรุปจ่ายรถร่วม!$F$5:$F$704,$M27)))</f>
        <v/>
      </c>
      <c r="E27" s="39">
        <f>IF($M27="","",N(INDEX(สรุปจ่ายรถร่วม!$K$5:$K$704,$M27)))</f>
        <v/>
      </c>
      <c r="F27" s="39">
        <f>IF($M27="","",N(INDEX(สรุปจ่ายรถร่วม!$L$5:$L$704,$M27)))</f>
        <v/>
      </c>
      <c r="G27" s="39">
        <f>IF($M27="","",N(INDEX(สรุปจ่ายรถร่วม!$M$5:$M$704,$M27)))</f>
        <v/>
      </c>
      <c r="H27" s="39">
        <f>IF($M27="","",N(INDEX(สรุปจ่ายรถร่วม!$N$5:$N$704,$M27)))</f>
        <v/>
      </c>
      <c r="J27" s="68" t="inlineStr">
        <is>
          <t xml:space="preserve">  รายการที่ 9</t>
        </is>
      </c>
      <c r="K27" s="4" t="n"/>
      <c r="M27">
        <f>IFERROR(MATCH(8,สรุปจ่ายรถร่วม!$AZ$5:$AZ$704,0),"")</f>
        <v/>
      </c>
    </row>
    <row r="28" ht="21" customHeight="1" s="66">
      <c r="A28" s="70">
        <f>IF($M28="","",9)</f>
        <v/>
      </c>
      <c r="B28" s="69">
        <f>IF($M28="","",INDEX(สรุปจ่ายรถร่วม!$AF$5:$AF$704,$M28))</f>
        <v/>
      </c>
      <c r="C28" s="38">
        <f>IF($M28="","",N(INDEX(สรุปจ่ายรถร่วม!$E$5:$E$704,$M28)))</f>
        <v/>
      </c>
      <c r="D28" s="39">
        <f>IF($M28="","",N(INDEX(สรุปจ่ายรถร่วม!$F$5:$F$704,$M28)))</f>
        <v/>
      </c>
      <c r="E28" s="39">
        <f>IF($M28="","",N(INDEX(สรุปจ่ายรถร่วม!$K$5:$K$704,$M28)))</f>
        <v/>
      </c>
      <c r="F28" s="39">
        <f>IF($M28="","",N(INDEX(สรุปจ่ายรถร่วม!$L$5:$L$704,$M28)))</f>
        <v/>
      </c>
      <c r="G28" s="39">
        <f>IF($M28="","",N(INDEX(สรุปจ่ายรถร่วม!$M$5:$M$704,$M28)))</f>
        <v/>
      </c>
      <c r="H28" s="39">
        <f>IF($M28="","",N(INDEX(สรุปจ่ายรถร่วม!$N$5:$N$704,$M28)))</f>
        <v/>
      </c>
      <c r="J28" s="68" t="inlineStr">
        <is>
          <t xml:space="preserve">  รายการที่ 10</t>
        </is>
      </c>
      <c r="K28" s="4" t="n"/>
      <c r="M28">
        <f>IFERROR(MATCH(9,สรุปจ่ายรถร่วม!$AZ$5:$AZ$704,0),"")</f>
        <v/>
      </c>
    </row>
    <row r="29" ht="21" customHeight="1" s="66">
      <c r="A29" s="70">
        <f>IF($M29="","",10)</f>
        <v/>
      </c>
      <c r="B29" s="69">
        <f>IF($M29="","",INDEX(สรุปจ่ายรถร่วม!$AF$5:$AF$704,$M29))</f>
        <v/>
      </c>
      <c r="C29" s="38">
        <f>IF($M29="","",N(INDEX(สรุปจ่ายรถร่วม!$E$5:$E$704,$M29)))</f>
        <v/>
      </c>
      <c r="D29" s="39">
        <f>IF($M29="","",N(INDEX(สรุปจ่ายรถร่วม!$F$5:$F$704,$M29)))</f>
        <v/>
      </c>
      <c r="E29" s="39">
        <f>IF($M29="","",N(INDEX(สรุปจ่ายรถร่วม!$K$5:$K$704,$M29)))</f>
        <v/>
      </c>
      <c r="F29" s="39">
        <f>IF($M29="","",N(INDEX(สรุปจ่ายรถร่วม!$L$5:$L$704,$M29)))</f>
        <v/>
      </c>
      <c r="G29" s="39">
        <f>IF($M29="","",N(INDEX(สรุปจ่ายรถร่วม!$M$5:$M$704,$M29)))</f>
        <v/>
      </c>
      <c r="H29" s="39">
        <f>IF($M29="","",N(INDEX(สรุปจ่ายรถร่วม!$N$5:$N$704,$M29)))</f>
        <v/>
      </c>
      <c r="J29" s="68" t="inlineStr">
        <is>
          <t xml:space="preserve">  รายการที่ 11</t>
        </is>
      </c>
      <c r="K29" s="4" t="n"/>
      <c r="M29">
        <f>IFERROR(MATCH(10,สรุปจ่ายรถร่วม!$AZ$5:$AZ$704,0),"")</f>
        <v/>
      </c>
    </row>
    <row r="30" ht="21" customHeight="1" s="66">
      <c r="A30" s="70">
        <f>IF($M30="","",11)</f>
        <v/>
      </c>
      <c r="B30" s="69">
        <f>IF($M30="","",INDEX(สรุปจ่ายรถร่วม!$AF$5:$AF$704,$M30))</f>
        <v/>
      </c>
      <c r="C30" s="38">
        <f>IF($M30="","",N(INDEX(สรุปจ่ายรถร่วม!$E$5:$E$704,$M30)))</f>
        <v/>
      </c>
      <c r="D30" s="39">
        <f>IF($M30="","",N(INDEX(สรุปจ่ายรถร่วม!$F$5:$F$704,$M30)))</f>
        <v/>
      </c>
      <c r="E30" s="39">
        <f>IF($M30="","",N(INDEX(สรุปจ่ายรถร่วม!$K$5:$K$704,$M30)))</f>
        <v/>
      </c>
      <c r="F30" s="39">
        <f>IF($M30="","",N(INDEX(สรุปจ่ายรถร่วม!$L$5:$L$704,$M30)))</f>
        <v/>
      </c>
      <c r="G30" s="39">
        <f>IF($M30="","",N(INDEX(สรุปจ่ายรถร่วม!$M$5:$M$704,$M30)))</f>
        <v/>
      </c>
      <c r="H30" s="39">
        <f>IF($M30="","",N(INDEX(สรุปจ่ายรถร่วม!$N$5:$N$704,$M30)))</f>
        <v/>
      </c>
      <c r="J30" s="68" t="inlineStr">
        <is>
          <t xml:space="preserve">  รายการที่ 12</t>
        </is>
      </c>
      <c r="K30" s="4" t="n"/>
      <c r="M30">
        <f>IFERROR(MATCH(11,สรุปจ่ายรถร่วม!$AZ$5:$AZ$704,0),"")</f>
        <v/>
      </c>
    </row>
    <row r="31" ht="21" customHeight="1" s="66">
      <c r="A31" s="70">
        <f>IF($M31="","",12)</f>
        <v/>
      </c>
      <c r="B31" s="69">
        <f>IF($M31="","",INDEX(สรุปจ่ายรถร่วม!$AF$5:$AF$704,$M31))</f>
        <v/>
      </c>
      <c r="C31" s="38">
        <f>IF($M31="","",N(INDEX(สรุปจ่ายรถร่วม!$E$5:$E$704,$M31)))</f>
        <v/>
      </c>
      <c r="D31" s="39">
        <f>IF($M31="","",N(INDEX(สรุปจ่ายรถร่วม!$F$5:$F$704,$M31)))</f>
        <v/>
      </c>
      <c r="E31" s="39">
        <f>IF($M31="","",N(INDEX(สรุปจ่ายรถร่วม!$K$5:$K$704,$M31)))</f>
        <v/>
      </c>
      <c r="F31" s="39">
        <f>IF($M31="","",N(INDEX(สรุปจ่ายรถร่วม!$L$5:$L$704,$M31)))</f>
        <v/>
      </c>
      <c r="G31" s="39">
        <f>IF($M31="","",N(INDEX(สรุปจ่ายรถร่วม!$M$5:$M$704,$M31)))</f>
        <v/>
      </c>
      <c r="H31" s="39">
        <f>IF($M31="","",N(INDEX(สรุปจ่ายรถร่วม!$N$5:$N$704,$M31)))</f>
        <v/>
      </c>
      <c r="M31">
        <f>IFERROR(MATCH(12,สรุปจ่ายรถร่วม!$AZ$5:$AZ$704,0),"")</f>
        <v/>
      </c>
    </row>
    <row r="32" ht="21" customHeight="1" s="66">
      <c r="A32" s="70">
        <f>IF($M32="","",13)</f>
        <v/>
      </c>
      <c r="B32" s="69">
        <f>IF($M32="","",INDEX(สรุปจ่ายรถร่วม!$AF$5:$AF$704,$M32))</f>
        <v/>
      </c>
      <c r="C32" s="38">
        <f>IF($M32="","",N(INDEX(สรุปจ่ายรถร่วม!$E$5:$E$704,$M32)))</f>
        <v/>
      </c>
      <c r="D32" s="39">
        <f>IF($M32="","",N(INDEX(สรุปจ่ายรถร่วม!$F$5:$F$704,$M32)))</f>
        <v/>
      </c>
      <c r="E32" s="39">
        <f>IF($M32="","",N(INDEX(สรุปจ่ายรถร่วม!$K$5:$K$704,$M32)))</f>
        <v/>
      </c>
      <c r="F32" s="39">
        <f>IF($M32="","",N(INDEX(สรุปจ่ายรถร่วม!$L$5:$L$704,$M32)))</f>
        <v/>
      </c>
      <c r="G32" s="39">
        <f>IF($M32="","",N(INDEX(สรุปจ่ายรถร่วม!$M$5:$M$704,$M32)))</f>
        <v/>
      </c>
      <c r="H32" s="39">
        <f>IF($M32="","",N(INDEX(สรุปจ่ายรถร่วม!$N$5:$N$704,$M32)))</f>
        <v/>
      </c>
      <c r="M32">
        <f>IFERROR(MATCH(13,สรุปจ่ายรถร่วม!$AZ$5:$AZ$704,0),"")</f>
        <v/>
      </c>
    </row>
    <row r="33" ht="21" customHeight="1" s="66">
      <c r="A33" s="70">
        <f>IF($M33="","",14)</f>
        <v/>
      </c>
      <c r="B33" s="69">
        <f>IF($M33="","",INDEX(สรุปจ่ายรถร่วม!$AF$5:$AF$704,$M33))</f>
        <v/>
      </c>
      <c r="C33" s="38">
        <f>IF($M33="","",N(INDEX(สรุปจ่ายรถร่วม!$E$5:$E$704,$M33)))</f>
        <v/>
      </c>
      <c r="D33" s="39">
        <f>IF($M33="","",N(INDEX(สรุปจ่ายรถร่วม!$F$5:$F$704,$M33)))</f>
        <v/>
      </c>
      <c r="E33" s="39">
        <f>IF($M33="","",N(INDEX(สรุปจ่ายรถร่วม!$K$5:$K$704,$M33)))</f>
        <v/>
      </c>
      <c r="F33" s="39">
        <f>IF($M33="","",N(INDEX(สรุปจ่ายรถร่วม!$L$5:$L$704,$M33)))</f>
        <v/>
      </c>
      <c r="G33" s="39">
        <f>IF($M33="","",N(INDEX(สรุปจ่ายรถร่วม!$M$5:$M$704,$M33)))</f>
        <v/>
      </c>
      <c r="H33" s="39">
        <f>IF($M33="","",N(INDEX(สรุปจ่ายรถร่วม!$N$5:$N$704,$M33)))</f>
        <v/>
      </c>
      <c r="M33">
        <f>IFERROR(MATCH(14,สรุปจ่ายรถร่วม!$AZ$5:$AZ$704,0),"")</f>
        <v/>
      </c>
    </row>
    <row r="34" ht="21" customHeight="1" s="66">
      <c r="A34" s="70">
        <f>IF($M34="","",15)</f>
        <v/>
      </c>
      <c r="B34" s="69">
        <f>IF($M34="","",INDEX(สรุปจ่ายรถร่วม!$AF$5:$AF$704,$M34))</f>
        <v/>
      </c>
      <c r="C34" s="38">
        <f>IF($M34="","",N(INDEX(สรุปจ่ายรถร่วม!$E$5:$E$704,$M34)))</f>
        <v/>
      </c>
      <c r="D34" s="39">
        <f>IF($M34="","",N(INDEX(สรุปจ่ายรถร่วม!$F$5:$F$704,$M34)))</f>
        <v/>
      </c>
      <c r="E34" s="39">
        <f>IF($M34="","",N(INDEX(สรุปจ่ายรถร่วม!$K$5:$K$704,$M34)))</f>
        <v/>
      </c>
      <c r="F34" s="39">
        <f>IF($M34="","",N(INDEX(สรุปจ่ายรถร่วม!$L$5:$L$704,$M34)))</f>
        <v/>
      </c>
      <c r="G34" s="39">
        <f>IF($M34="","",N(INDEX(สรุปจ่ายรถร่วม!$M$5:$M$704,$M34)))</f>
        <v/>
      </c>
      <c r="H34" s="39">
        <f>IF($M34="","",N(INDEX(สรุปจ่ายรถร่วม!$N$5:$N$704,$M34)))</f>
        <v/>
      </c>
      <c r="M34">
        <f>IFERROR(MATCH(15,สรุปจ่ายรถร่วม!$AZ$5:$AZ$704,0),"")</f>
        <v/>
      </c>
    </row>
    <row r="35" ht="21" customHeight="1" s="66">
      <c r="A35" s="70">
        <f>IF($M35="","",16)</f>
        <v/>
      </c>
      <c r="B35" s="69">
        <f>IF($M35="","",INDEX(สรุปจ่ายรถร่วม!$AF$5:$AF$704,$M35))</f>
        <v/>
      </c>
      <c r="C35" s="38">
        <f>IF($M35="","",N(INDEX(สรุปจ่ายรถร่วม!$E$5:$E$704,$M35)))</f>
        <v/>
      </c>
      <c r="D35" s="39">
        <f>IF($M35="","",N(INDEX(สรุปจ่ายรถร่วม!$F$5:$F$704,$M35)))</f>
        <v/>
      </c>
      <c r="E35" s="39">
        <f>IF($M35="","",N(INDEX(สรุปจ่ายรถร่วม!$K$5:$K$704,$M35)))</f>
        <v/>
      </c>
      <c r="F35" s="39">
        <f>IF($M35="","",N(INDEX(สรุปจ่ายรถร่วม!$L$5:$L$704,$M35)))</f>
        <v/>
      </c>
      <c r="G35" s="39">
        <f>IF($M35="","",N(INDEX(สรุปจ่ายรถร่วม!$M$5:$M$704,$M35)))</f>
        <v/>
      </c>
      <c r="H35" s="39">
        <f>IF($M35="","",N(INDEX(สรุปจ่ายรถร่วม!$N$5:$N$704,$M35)))</f>
        <v/>
      </c>
      <c r="J35" s="33" t="inlineStr">
        <is>
          <t>▍ ช่องตรวจสอบ</t>
        </is>
      </c>
      <c r="M35">
        <f>IFERROR(MATCH(16,สรุปจ่ายรถร่วม!$AZ$5:$AZ$704,0),"")</f>
        <v/>
      </c>
    </row>
    <row r="36" ht="21" customHeight="1" s="66">
      <c r="A36" s="70">
        <f>IF($M36="","",17)</f>
        <v/>
      </c>
      <c r="B36" s="69">
        <f>IF($M36="","",INDEX(สรุปจ่ายรถร่วม!$AF$5:$AF$704,$M36))</f>
        <v/>
      </c>
      <c r="C36" s="38">
        <f>IF($M36="","",N(INDEX(สรุปจ่ายรถร่วม!$E$5:$E$704,$M36)))</f>
        <v/>
      </c>
      <c r="D36" s="39">
        <f>IF($M36="","",N(INDEX(สรุปจ่ายรถร่วม!$F$5:$F$704,$M36)))</f>
        <v/>
      </c>
      <c r="E36" s="39">
        <f>IF($M36="","",N(INDEX(สรุปจ่ายรถร่วม!$K$5:$K$704,$M36)))</f>
        <v/>
      </c>
      <c r="F36" s="39">
        <f>IF($M36="","",N(INDEX(สรุปจ่ายรถร่วม!$L$5:$L$704,$M36)))</f>
        <v/>
      </c>
      <c r="G36" s="39">
        <f>IF($M36="","",N(INDEX(สรุปจ่ายรถร่วม!$M$5:$M$704,$M36)))</f>
        <v/>
      </c>
      <c r="H36" s="39">
        <f>IF($M36="","",N(INDEX(สรุปจ่ายรถร่วม!$N$5:$N$704,$M36)))</f>
        <v/>
      </c>
      <c r="J36" s="68" t="inlineStr">
        <is>
          <t>ก่อนพิมพ์</t>
        </is>
      </c>
      <c r="K36" s="40">
        <f>IF($M$2&gt;=40,"ไม่ต้องซ่อนแถว","ซ่อนแถว "&amp;(20+$M$2)&amp;":59 ก่อนพิมพ์")</f>
        <v/>
      </c>
      <c r="M36">
        <f>IFERROR(MATCH(17,สรุปจ่ายรถร่วม!$AZ$5:$AZ$704,0),"")</f>
        <v/>
      </c>
    </row>
    <row r="37" ht="21" customHeight="1" s="66">
      <c r="A37" s="70">
        <f>IF($M37="","",18)</f>
        <v/>
      </c>
      <c r="B37" s="69">
        <f>IF($M37="","",INDEX(สรุปจ่ายรถร่วม!$AF$5:$AF$704,$M37))</f>
        <v/>
      </c>
      <c r="C37" s="38">
        <f>IF($M37="","",N(INDEX(สรุปจ่ายรถร่วม!$E$5:$E$704,$M37)))</f>
        <v/>
      </c>
      <c r="D37" s="39">
        <f>IF($M37="","",N(INDEX(สรุปจ่ายรถร่วม!$F$5:$F$704,$M37)))</f>
        <v/>
      </c>
      <c r="E37" s="39">
        <f>IF($M37="","",N(INDEX(สรุปจ่ายรถร่วม!$K$5:$K$704,$M37)))</f>
        <v/>
      </c>
      <c r="F37" s="39">
        <f>IF($M37="","",N(INDEX(สรุปจ่ายรถร่วม!$L$5:$L$704,$M37)))</f>
        <v/>
      </c>
      <c r="G37" s="39">
        <f>IF($M37="","",N(INDEX(สรุปจ่ายรถร่วม!$M$5:$M$704,$M37)))</f>
        <v/>
      </c>
      <c r="H37" s="39">
        <f>IF($M37="","",N(INDEX(สรุปจ่ายรถร่วม!$N$5:$N$704,$M37)))</f>
        <v/>
      </c>
      <c r="J37" s="68" t="inlineStr">
        <is>
          <t>จำนวนทีม (กลุ่มปกติ)</t>
        </is>
      </c>
      <c r="K37" s="17">
        <f>IF($M$2&gt;40,"*** ทีมเกิน 40 — เพิ่มแถวสำรอง ***",$M$2)</f>
        <v/>
      </c>
      <c r="M37">
        <f>IFERROR(MATCH(18,สรุปจ่ายรถร่วม!$AZ$5:$AZ$704,0),"")</f>
        <v/>
      </c>
    </row>
    <row r="38" ht="21" customHeight="1" s="66">
      <c r="A38" s="70">
        <f>IF($M38="","",19)</f>
        <v/>
      </c>
      <c r="B38" s="69">
        <f>IF($M38="","",INDEX(สรุปจ่ายรถร่วม!$AF$5:$AF$704,$M38))</f>
        <v/>
      </c>
      <c r="C38" s="38">
        <f>IF($M38="","",N(INDEX(สรุปจ่ายรถร่วม!$E$5:$E$704,$M38)))</f>
        <v/>
      </c>
      <c r="D38" s="39">
        <f>IF($M38="","",N(INDEX(สรุปจ่ายรถร่วม!$F$5:$F$704,$M38)))</f>
        <v/>
      </c>
      <c r="E38" s="39">
        <f>IF($M38="","",N(INDEX(สรุปจ่ายรถร่วม!$K$5:$K$704,$M38)))</f>
        <v/>
      </c>
      <c r="F38" s="39">
        <f>IF($M38="","",N(INDEX(สรุปจ่ายรถร่วม!$L$5:$L$704,$M38)))</f>
        <v/>
      </c>
      <c r="G38" s="39">
        <f>IF($M38="","",N(INDEX(สรุปจ่ายรถร่วม!$M$5:$M$704,$M38)))</f>
        <v/>
      </c>
      <c r="H38" s="39">
        <f>IF($M38="","",N(INDEX(สรุปจ่ายรถร่วม!$N$5:$N$704,$M38)))</f>
        <v/>
      </c>
      <c r="J38" s="68" t="inlineStr">
        <is>
          <t>ตรวจยอด</t>
        </is>
      </c>
      <c r="K38" s="17">
        <f>IF(AND(ROUND(SUM($D$20:$D$59),2)=ROUND($M$6,2),SUM($C$20:$C$59)=$M$5),"ยอดตรงกับสรุปจ่ายรถร่วม","*** ยอดไม่ตรง ***")</f>
        <v/>
      </c>
      <c r="M38">
        <f>IFERROR(MATCH(19,สรุปจ่ายรถร่วม!$AZ$5:$AZ$704,0),"")</f>
        <v/>
      </c>
    </row>
    <row r="39" ht="21" customHeight="1" s="66">
      <c r="A39" s="70">
        <f>IF($M39="","",20)</f>
        <v/>
      </c>
      <c r="B39" s="69">
        <f>IF($M39="","",INDEX(สรุปจ่ายรถร่วม!$AF$5:$AF$704,$M39))</f>
        <v/>
      </c>
      <c r="C39" s="38">
        <f>IF($M39="","",N(INDEX(สรุปจ่ายรถร่วม!$E$5:$E$704,$M39)))</f>
        <v/>
      </c>
      <c r="D39" s="39">
        <f>IF($M39="","",N(INDEX(สรุปจ่ายรถร่วม!$F$5:$F$704,$M39)))</f>
        <v/>
      </c>
      <c r="E39" s="39">
        <f>IF($M39="","",N(INDEX(สรุปจ่ายรถร่วม!$K$5:$K$704,$M39)))</f>
        <v/>
      </c>
      <c r="F39" s="39">
        <f>IF($M39="","",N(INDEX(สรุปจ่ายรถร่วม!$L$5:$L$704,$M39)))</f>
        <v/>
      </c>
      <c r="G39" s="39">
        <f>IF($M39="","",N(INDEX(สรุปจ่ายรถร่วม!$M$5:$M$704,$M39)))</f>
        <v/>
      </c>
      <c r="H39" s="39">
        <f>IF($M39="","",N(INDEX(สรุปจ่ายรถร่วม!$N$5:$N$704,$M39)))</f>
        <v/>
      </c>
      <c r="M39">
        <f>IFERROR(MATCH(20,สรุปจ่ายรถร่วม!$AZ$5:$AZ$704,0),"")</f>
        <v/>
      </c>
    </row>
    <row r="40" ht="21" customHeight="1" s="66">
      <c r="A40" s="70">
        <f>IF($M40="","",21)</f>
        <v/>
      </c>
      <c r="B40" s="69">
        <f>IF($M40="","",INDEX(สรุปจ่ายรถร่วม!$AF$5:$AF$704,$M40))</f>
        <v/>
      </c>
      <c r="C40" s="38">
        <f>IF($M40="","",N(INDEX(สรุปจ่ายรถร่วม!$E$5:$E$704,$M40)))</f>
        <v/>
      </c>
      <c r="D40" s="39">
        <f>IF($M40="","",N(INDEX(สรุปจ่ายรถร่วม!$F$5:$F$704,$M40)))</f>
        <v/>
      </c>
      <c r="E40" s="39">
        <f>IF($M40="","",N(INDEX(สรุปจ่ายรถร่วม!$K$5:$K$704,$M40)))</f>
        <v/>
      </c>
      <c r="F40" s="39">
        <f>IF($M40="","",N(INDEX(สรุปจ่ายรถร่วม!$L$5:$L$704,$M40)))</f>
        <v/>
      </c>
      <c r="G40" s="39">
        <f>IF($M40="","",N(INDEX(สรุปจ่ายรถร่วม!$M$5:$M$704,$M40)))</f>
        <v/>
      </c>
      <c r="H40" s="39">
        <f>IF($M40="","",N(INDEX(สรุปจ่ายรถร่วม!$N$5:$N$704,$M40)))</f>
        <v/>
      </c>
      <c r="M40">
        <f>IFERROR(MATCH(21,สรุปจ่ายรถร่วม!$AZ$5:$AZ$704,0),"")</f>
        <v/>
      </c>
    </row>
    <row r="41" ht="21" customHeight="1" s="66">
      <c r="A41" s="70">
        <f>IF($M41="","",22)</f>
        <v/>
      </c>
      <c r="B41" s="69">
        <f>IF($M41="","",INDEX(สรุปจ่ายรถร่วม!$AF$5:$AF$704,$M41))</f>
        <v/>
      </c>
      <c r="C41" s="38">
        <f>IF($M41="","",N(INDEX(สรุปจ่ายรถร่วม!$E$5:$E$704,$M41)))</f>
        <v/>
      </c>
      <c r="D41" s="39">
        <f>IF($M41="","",N(INDEX(สรุปจ่ายรถร่วม!$F$5:$F$704,$M41)))</f>
        <v/>
      </c>
      <c r="E41" s="39">
        <f>IF($M41="","",N(INDEX(สรุปจ่ายรถร่วม!$K$5:$K$704,$M41)))</f>
        <v/>
      </c>
      <c r="F41" s="39">
        <f>IF($M41="","",N(INDEX(สรุปจ่ายรถร่วม!$L$5:$L$704,$M41)))</f>
        <v/>
      </c>
      <c r="G41" s="39">
        <f>IF($M41="","",N(INDEX(สรุปจ่ายรถร่วม!$M$5:$M$704,$M41)))</f>
        <v/>
      </c>
      <c r="H41" s="39">
        <f>IF($M41="","",N(INDEX(สรุปจ่ายรถร่วม!$N$5:$N$704,$M41)))</f>
        <v/>
      </c>
      <c r="M41">
        <f>IFERROR(MATCH(22,สรุปจ่ายรถร่วม!$AZ$5:$AZ$704,0),"")</f>
        <v/>
      </c>
    </row>
    <row r="42" ht="21" customHeight="1" s="66">
      <c r="A42" s="70">
        <f>IF($M42="","",23)</f>
        <v/>
      </c>
      <c r="B42" s="69">
        <f>IF($M42="","",INDEX(สรุปจ่ายรถร่วม!$AF$5:$AF$704,$M42))</f>
        <v/>
      </c>
      <c r="C42" s="38">
        <f>IF($M42="","",N(INDEX(สรุปจ่ายรถร่วม!$E$5:$E$704,$M42)))</f>
        <v/>
      </c>
      <c r="D42" s="39">
        <f>IF($M42="","",N(INDEX(สรุปจ่ายรถร่วม!$F$5:$F$704,$M42)))</f>
        <v/>
      </c>
      <c r="E42" s="39">
        <f>IF($M42="","",N(INDEX(สรุปจ่ายรถร่วม!$K$5:$K$704,$M42)))</f>
        <v/>
      </c>
      <c r="F42" s="39">
        <f>IF($M42="","",N(INDEX(สรุปจ่ายรถร่วม!$L$5:$L$704,$M42)))</f>
        <v/>
      </c>
      <c r="G42" s="39">
        <f>IF($M42="","",N(INDEX(สรุปจ่ายรถร่วม!$M$5:$M$704,$M42)))</f>
        <v/>
      </c>
      <c r="H42" s="39">
        <f>IF($M42="","",N(INDEX(สรุปจ่ายรถร่วม!$N$5:$N$704,$M42)))</f>
        <v/>
      </c>
      <c r="M42">
        <f>IFERROR(MATCH(23,สรุปจ่ายรถร่วม!$AZ$5:$AZ$704,0),"")</f>
        <v/>
      </c>
    </row>
    <row r="43" ht="21" customHeight="1" s="66">
      <c r="A43" s="70">
        <f>IF($M43="","",24)</f>
        <v/>
      </c>
      <c r="B43" s="69">
        <f>IF($M43="","",INDEX(สรุปจ่ายรถร่วม!$AF$5:$AF$704,$M43))</f>
        <v/>
      </c>
      <c r="C43" s="38">
        <f>IF($M43="","",N(INDEX(สรุปจ่ายรถร่วม!$E$5:$E$704,$M43)))</f>
        <v/>
      </c>
      <c r="D43" s="39">
        <f>IF($M43="","",N(INDEX(สรุปจ่ายรถร่วม!$F$5:$F$704,$M43)))</f>
        <v/>
      </c>
      <c r="E43" s="39">
        <f>IF($M43="","",N(INDEX(สรุปจ่ายรถร่วม!$K$5:$K$704,$M43)))</f>
        <v/>
      </c>
      <c r="F43" s="39">
        <f>IF($M43="","",N(INDEX(สรุปจ่ายรถร่วม!$L$5:$L$704,$M43)))</f>
        <v/>
      </c>
      <c r="G43" s="39">
        <f>IF($M43="","",N(INDEX(สรุปจ่ายรถร่วม!$M$5:$M$704,$M43)))</f>
        <v/>
      </c>
      <c r="H43" s="39">
        <f>IF($M43="","",N(INDEX(สรุปจ่ายรถร่วม!$N$5:$N$704,$M43)))</f>
        <v/>
      </c>
      <c r="M43">
        <f>IFERROR(MATCH(24,สรุปจ่ายรถร่วม!$AZ$5:$AZ$704,0),"")</f>
        <v/>
      </c>
    </row>
    <row r="44" ht="21" customHeight="1" s="66">
      <c r="A44" s="70">
        <f>IF($M44="","",25)</f>
        <v/>
      </c>
      <c r="B44" s="69">
        <f>IF($M44="","",INDEX(สรุปจ่ายรถร่วม!$AF$5:$AF$704,$M44))</f>
        <v/>
      </c>
      <c r="C44" s="38">
        <f>IF($M44="","",N(INDEX(สรุปจ่ายรถร่วม!$E$5:$E$704,$M44)))</f>
        <v/>
      </c>
      <c r="D44" s="39">
        <f>IF($M44="","",N(INDEX(สรุปจ่ายรถร่วม!$F$5:$F$704,$M44)))</f>
        <v/>
      </c>
      <c r="E44" s="39">
        <f>IF($M44="","",N(INDEX(สรุปจ่ายรถร่วม!$K$5:$K$704,$M44)))</f>
        <v/>
      </c>
      <c r="F44" s="39">
        <f>IF($M44="","",N(INDEX(สรุปจ่ายรถร่วม!$L$5:$L$704,$M44)))</f>
        <v/>
      </c>
      <c r="G44" s="39">
        <f>IF($M44="","",N(INDEX(สรุปจ่ายรถร่วม!$M$5:$M$704,$M44)))</f>
        <v/>
      </c>
      <c r="H44" s="39">
        <f>IF($M44="","",N(INDEX(สรุปจ่ายรถร่วม!$N$5:$N$704,$M44)))</f>
        <v/>
      </c>
      <c r="M44">
        <f>IFERROR(MATCH(25,สรุปจ่ายรถร่วม!$AZ$5:$AZ$704,0),"")</f>
        <v/>
      </c>
    </row>
    <row r="45" ht="21" customHeight="1" s="66">
      <c r="A45" s="70">
        <f>IF($M45="","",26)</f>
        <v/>
      </c>
      <c r="B45" s="69">
        <f>IF($M45="","",INDEX(สรุปจ่ายรถร่วม!$AF$5:$AF$704,$M45))</f>
        <v/>
      </c>
      <c r="C45" s="38">
        <f>IF($M45="","",N(INDEX(สรุปจ่ายรถร่วม!$E$5:$E$704,$M45)))</f>
        <v/>
      </c>
      <c r="D45" s="39">
        <f>IF($M45="","",N(INDEX(สรุปจ่ายรถร่วม!$F$5:$F$704,$M45)))</f>
        <v/>
      </c>
      <c r="E45" s="39">
        <f>IF($M45="","",N(INDEX(สรุปจ่ายรถร่วม!$K$5:$K$704,$M45)))</f>
        <v/>
      </c>
      <c r="F45" s="39">
        <f>IF($M45="","",N(INDEX(สรุปจ่ายรถร่วม!$L$5:$L$704,$M45)))</f>
        <v/>
      </c>
      <c r="G45" s="39">
        <f>IF($M45="","",N(INDEX(สรุปจ่ายรถร่วม!$M$5:$M$704,$M45)))</f>
        <v/>
      </c>
      <c r="H45" s="39">
        <f>IF($M45="","",N(INDEX(สรุปจ่ายรถร่วม!$N$5:$N$704,$M45)))</f>
        <v/>
      </c>
      <c r="M45">
        <f>IFERROR(MATCH(26,สรุปจ่ายรถร่วม!$AZ$5:$AZ$704,0),"")</f>
        <v/>
      </c>
    </row>
    <row r="46" ht="21" customHeight="1" s="66">
      <c r="A46" s="70">
        <f>IF($M46="","",27)</f>
        <v/>
      </c>
      <c r="B46" s="69">
        <f>IF($M46="","",INDEX(สรุปจ่ายรถร่วม!$AF$5:$AF$704,$M46))</f>
        <v/>
      </c>
      <c r="C46" s="38">
        <f>IF($M46="","",N(INDEX(สรุปจ่ายรถร่วม!$E$5:$E$704,$M46)))</f>
        <v/>
      </c>
      <c r="D46" s="39">
        <f>IF($M46="","",N(INDEX(สรุปจ่ายรถร่วม!$F$5:$F$704,$M46)))</f>
        <v/>
      </c>
      <c r="E46" s="39">
        <f>IF($M46="","",N(INDEX(สรุปจ่ายรถร่วม!$K$5:$K$704,$M46)))</f>
        <v/>
      </c>
      <c r="F46" s="39">
        <f>IF($M46="","",N(INDEX(สรุปจ่ายรถร่วม!$L$5:$L$704,$M46)))</f>
        <v/>
      </c>
      <c r="G46" s="39">
        <f>IF($M46="","",N(INDEX(สรุปจ่ายรถร่วม!$M$5:$M$704,$M46)))</f>
        <v/>
      </c>
      <c r="H46" s="39">
        <f>IF($M46="","",N(INDEX(สรุปจ่ายรถร่วม!$N$5:$N$704,$M46)))</f>
        <v/>
      </c>
      <c r="M46">
        <f>IFERROR(MATCH(27,สรุปจ่ายรถร่วม!$AZ$5:$AZ$704,0),"")</f>
        <v/>
      </c>
    </row>
    <row r="47" ht="21" customHeight="1" s="66">
      <c r="A47" s="70">
        <f>IF($M47="","",28)</f>
        <v/>
      </c>
      <c r="B47" s="69">
        <f>IF($M47="","",INDEX(สรุปจ่ายรถร่วม!$AF$5:$AF$704,$M47))</f>
        <v/>
      </c>
      <c r="C47" s="38">
        <f>IF($M47="","",N(INDEX(สรุปจ่ายรถร่วม!$E$5:$E$704,$M47)))</f>
        <v/>
      </c>
      <c r="D47" s="39">
        <f>IF($M47="","",N(INDEX(สรุปจ่ายรถร่วม!$F$5:$F$704,$M47)))</f>
        <v/>
      </c>
      <c r="E47" s="39">
        <f>IF($M47="","",N(INDEX(สรุปจ่ายรถร่วม!$K$5:$K$704,$M47)))</f>
        <v/>
      </c>
      <c r="F47" s="39">
        <f>IF($M47="","",N(INDEX(สรุปจ่ายรถร่วม!$L$5:$L$704,$M47)))</f>
        <v/>
      </c>
      <c r="G47" s="39">
        <f>IF($M47="","",N(INDEX(สรุปจ่ายรถร่วม!$M$5:$M$704,$M47)))</f>
        <v/>
      </c>
      <c r="H47" s="39">
        <f>IF($M47="","",N(INDEX(สรุปจ่ายรถร่วม!$N$5:$N$704,$M47)))</f>
        <v/>
      </c>
      <c r="M47">
        <f>IFERROR(MATCH(28,สรุปจ่ายรถร่วม!$AZ$5:$AZ$704,0),"")</f>
        <v/>
      </c>
    </row>
    <row r="48" ht="21" customHeight="1" s="66">
      <c r="A48" s="70">
        <f>IF($M48="","",29)</f>
        <v/>
      </c>
      <c r="B48" s="69">
        <f>IF($M48="","",INDEX(สรุปจ่ายรถร่วม!$AF$5:$AF$704,$M48))</f>
        <v/>
      </c>
      <c r="C48" s="38">
        <f>IF($M48="","",N(INDEX(สรุปจ่ายรถร่วม!$E$5:$E$704,$M48)))</f>
        <v/>
      </c>
      <c r="D48" s="39">
        <f>IF($M48="","",N(INDEX(สรุปจ่ายรถร่วม!$F$5:$F$704,$M48)))</f>
        <v/>
      </c>
      <c r="E48" s="39">
        <f>IF($M48="","",N(INDEX(สรุปจ่ายรถร่วม!$K$5:$K$704,$M48)))</f>
        <v/>
      </c>
      <c r="F48" s="39">
        <f>IF($M48="","",N(INDEX(สรุปจ่ายรถร่วม!$L$5:$L$704,$M48)))</f>
        <v/>
      </c>
      <c r="G48" s="39">
        <f>IF($M48="","",N(INDEX(สรุปจ่ายรถร่วม!$M$5:$M$704,$M48)))</f>
        <v/>
      </c>
      <c r="H48" s="39">
        <f>IF($M48="","",N(INDEX(สรุปจ่ายรถร่วม!$N$5:$N$704,$M48)))</f>
        <v/>
      </c>
      <c r="M48">
        <f>IFERROR(MATCH(29,สรุปจ่ายรถร่วม!$AZ$5:$AZ$704,0),"")</f>
        <v/>
      </c>
    </row>
    <row r="49" ht="21" customHeight="1" s="66">
      <c r="A49" s="70">
        <f>IF($M49="","",30)</f>
        <v/>
      </c>
      <c r="B49" s="69">
        <f>IF($M49="","",INDEX(สรุปจ่ายรถร่วม!$AF$5:$AF$704,$M49))</f>
        <v/>
      </c>
      <c r="C49" s="38">
        <f>IF($M49="","",N(INDEX(สรุปจ่ายรถร่วม!$E$5:$E$704,$M49)))</f>
        <v/>
      </c>
      <c r="D49" s="39">
        <f>IF($M49="","",N(INDEX(สรุปจ่ายรถร่วม!$F$5:$F$704,$M49)))</f>
        <v/>
      </c>
      <c r="E49" s="39">
        <f>IF($M49="","",N(INDEX(สรุปจ่ายรถร่วม!$K$5:$K$704,$M49)))</f>
        <v/>
      </c>
      <c r="F49" s="39">
        <f>IF($M49="","",N(INDEX(สรุปจ่ายรถร่วม!$L$5:$L$704,$M49)))</f>
        <v/>
      </c>
      <c r="G49" s="39">
        <f>IF($M49="","",N(INDEX(สรุปจ่ายรถร่วม!$M$5:$M$704,$M49)))</f>
        <v/>
      </c>
      <c r="H49" s="39">
        <f>IF($M49="","",N(INDEX(สรุปจ่ายรถร่วม!$N$5:$N$704,$M49)))</f>
        <v/>
      </c>
      <c r="M49">
        <f>IFERROR(MATCH(30,สรุปจ่ายรถร่วม!$AZ$5:$AZ$704,0),"")</f>
        <v/>
      </c>
    </row>
    <row r="50" ht="21" customHeight="1" s="66">
      <c r="A50" s="70">
        <f>IF($M50="","",31)</f>
        <v/>
      </c>
      <c r="B50" s="69">
        <f>IF($M50="","",INDEX(สรุปจ่ายรถร่วม!$AF$5:$AF$704,$M50))</f>
        <v/>
      </c>
      <c r="C50" s="38">
        <f>IF($M50="","",N(INDEX(สรุปจ่ายรถร่วม!$E$5:$E$704,$M50)))</f>
        <v/>
      </c>
      <c r="D50" s="39">
        <f>IF($M50="","",N(INDEX(สรุปจ่ายรถร่วม!$F$5:$F$704,$M50)))</f>
        <v/>
      </c>
      <c r="E50" s="39">
        <f>IF($M50="","",N(INDEX(สรุปจ่ายรถร่วม!$K$5:$K$704,$M50)))</f>
        <v/>
      </c>
      <c r="F50" s="39">
        <f>IF($M50="","",N(INDEX(สรุปจ่ายรถร่วม!$L$5:$L$704,$M50)))</f>
        <v/>
      </c>
      <c r="G50" s="39">
        <f>IF($M50="","",N(INDEX(สรุปจ่ายรถร่วม!$M$5:$M$704,$M50)))</f>
        <v/>
      </c>
      <c r="H50" s="39">
        <f>IF($M50="","",N(INDEX(สรุปจ่ายรถร่วม!$N$5:$N$704,$M50)))</f>
        <v/>
      </c>
      <c r="M50">
        <f>IFERROR(MATCH(31,สรุปจ่ายรถร่วม!$AZ$5:$AZ$704,0),"")</f>
        <v/>
      </c>
    </row>
    <row r="51" ht="21" customHeight="1" s="66">
      <c r="A51" s="70">
        <f>IF($M51="","",32)</f>
        <v/>
      </c>
      <c r="B51" s="69">
        <f>IF($M51="","",INDEX(สรุปจ่ายรถร่วม!$AF$5:$AF$704,$M51))</f>
        <v/>
      </c>
      <c r="C51" s="38">
        <f>IF($M51="","",N(INDEX(สรุปจ่ายรถร่วม!$E$5:$E$704,$M51)))</f>
        <v/>
      </c>
      <c r="D51" s="39">
        <f>IF($M51="","",N(INDEX(สรุปจ่ายรถร่วม!$F$5:$F$704,$M51)))</f>
        <v/>
      </c>
      <c r="E51" s="39">
        <f>IF($M51="","",N(INDEX(สรุปจ่ายรถร่วม!$K$5:$K$704,$M51)))</f>
        <v/>
      </c>
      <c r="F51" s="39">
        <f>IF($M51="","",N(INDEX(สรุปจ่ายรถร่วม!$L$5:$L$704,$M51)))</f>
        <v/>
      </c>
      <c r="G51" s="39">
        <f>IF($M51="","",N(INDEX(สรุปจ่ายรถร่วม!$M$5:$M$704,$M51)))</f>
        <v/>
      </c>
      <c r="H51" s="39">
        <f>IF($M51="","",N(INDEX(สรุปจ่ายรถร่วม!$N$5:$N$704,$M51)))</f>
        <v/>
      </c>
      <c r="M51">
        <f>IFERROR(MATCH(32,สรุปจ่ายรถร่วม!$AZ$5:$AZ$704,0),"")</f>
        <v/>
      </c>
    </row>
    <row r="52" ht="21" customHeight="1" s="66">
      <c r="A52" s="70">
        <f>IF($M52="","",33)</f>
        <v/>
      </c>
      <c r="B52" s="69">
        <f>IF($M52="","",INDEX(สรุปจ่ายรถร่วม!$AF$5:$AF$704,$M52))</f>
        <v/>
      </c>
      <c r="C52" s="38">
        <f>IF($M52="","",N(INDEX(สรุปจ่ายรถร่วม!$E$5:$E$704,$M52)))</f>
        <v/>
      </c>
      <c r="D52" s="39">
        <f>IF($M52="","",N(INDEX(สรุปจ่ายรถร่วม!$F$5:$F$704,$M52)))</f>
        <v/>
      </c>
      <c r="E52" s="39">
        <f>IF($M52="","",N(INDEX(สรุปจ่ายรถร่วม!$K$5:$K$704,$M52)))</f>
        <v/>
      </c>
      <c r="F52" s="39">
        <f>IF($M52="","",N(INDEX(สรุปจ่ายรถร่วม!$L$5:$L$704,$M52)))</f>
        <v/>
      </c>
      <c r="G52" s="39">
        <f>IF($M52="","",N(INDEX(สรุปจ่ายรถร่วม!$M$5:$M$704,$M52)))</f>
        <v/>
      </c>
      <c r="H52" s="39">
        <f>IF($M52="","",N(INDEX(สรุปจ่ายรถร่วม!$N$5:$N$704,$M52)))</f>
        <v/>
      </c>
      <c r="M52">
        <f>IFERROR(MATCH(33,สรุปจ่ายรถร่วม!$AZ$5:$AZ$704,0),"")</f>
        <v/>
      </c>
    </row>
    <row r="53" ht="21" customHeight="1" s="66">
      <c r="A53" s="70">
        <f>IF($M53="","",34)</f>
        <v/>
      </c>
      <c r="B53" s="69">
        <f>IF($M53="","",INDEX(สรุปจ่ายรถร่วม!$AF$5:$AF$704,$M53))</f>
        <v/>
      </c>
      <c r="C53" s="38">
        <f>IF($M53="","",N(INDEX(สรุปจ่ายรถร่วม!$E$5:$E$704,$M53)))</f>
        <v/>
      </c>
      <c r="D53" s="39">
        <f>IF($M53="","",N(INDEX(สรุปจ่ายรถร่วม!$F$5:$F$704,$M53)))</f>
        <v/>
      </c>
      <c r="E53" s="39">
        <f>IF($M53="","",N(INDEX(สรุปจ่ายรถร่วม!$K$5:$K$704,$M53)))</f>
        <v/>
      </c>
      <c r="F53" s="39">
        <f>IF($M53="","",N(INDEX(สรุปจ่ายรถร่วม!$L$5:$L$704,$M53)))</f>
        <v/>
      </c>
      <c r="G53" s="39">
        <f>IF($M53="","",N(INDEX(สรุปจ่ายรถร่วม!$M$5:$M$704,$M53)))</f>
        <v/>
      </c>
      <c r="H53" s="39">
        <f>IF($M53="","",N(INDEX(สรุปจ่ายรถร่วม!$N$5:$N$704,$M53)))</f>
        <v/>
      </c>
      <c r="M53">
        <f>IFERROR(MATCH(34,สรุปจ่ายรถร่วม!$AZ$5:$AZ$704,0),"")</f>
        <v/>
      </c>
    </row>
    <row r="54" ht="21" customHeight="1" s="66">
      <c r="A54" s="70">
        <f>IF($M54="","",35)</f>
        <v/>
      </c>
      <c r="B54" s="69">
        <f>IF($M54="","",INDEX(สรุปจ่ายรถร่วม!$AF$5:$AF$704,$M54))</f>
        <v/>
      </c>
      <c r="C54" s="38">
        <f>IF($M54="","",N(INDEX(สรุปจ่ายรถร่วม!$E$5:$E$704,$M54)))</f>
        <v/>
      </c>
      <c r="D54" s="39">
        <f>IF($M54="","",N(INDEX(สรุปจ่ายรถร่วม!$F$5:$F$704,$M54)))</f>
        <v/>
      </c>
      <c r="E54" s="39">
        <f>IF($M54="","",N(INDEX(สรุปจ่ายรถร่วม!$K$5:$K$704,$M54)))</f>
        <v/>
      </c>
      <c r="F54" s="39">
        <f>IF($M54="","",N(INDEX(สรุปจ่ายรถร่วม!$L$5:$L$704,$M54)))</f>
        <v/>
      </c>
      <c r="G54" s="39">
        <f>IF($M54="","",N(INDEX(สรุปจ่ายรถร่วม!$M$5:$M$704,$M54)))</f>
        <v/>
      </c>
      <c r="H54" s="39">
        <f>IF($M54="","",N(INDEX(สรุปจ่ายรถร่วม!$N$5:$N$704,$M54)))</f>
        <v/>
      </c>
      <c r="M54">
        <f>IFERROR(MATCH(35,สรุปจ่ายรถร่วม!$AZ$5:$AZ$704,0),"")</f>
        <v/>
      </c>
    </row>
    <row r="55" ht="21" customHeight="1" s="66">
      <c r="A55" s="70">
        <f>IF($M55="","",36)</f>
        <v/>
      </c>
      <c r="B55" s="69">
        <f>IF($M55="","",INDEX(สรุปจ่ายรถร่วม!$AF$5:$AF$704,$M55))</f>
        <v/>
      </c>
      <c r="C55" s="38">
        <f>IF($M55="","",N(INDEX(สรุปจ่ายรถร่วม!$E$5:$E$704,$M55)))</f>
        <v/>
      </c>
      <c r="D55" s="39">
        <f>IF($M55="","",N(INDEX(สรุปจ่ายรถร่วม!$F$5:$F$704,$M55)))</f>
        <v/>
      </c>
      <c r="E55" s="39">
        <f>IF($M55="","",N(INDEX(สรุปจ่ายรถร่วม!$K$5:$K$704,$M55)))</f>
        <v/>
      </c>
      <c r="F55" s="39">
        <f>IF($M55="","",N(INDEX(สรุปจ่ายรถร่วม!$L$5:$L$704,$M55)))</f>
        <v/>
      </c>
      <c r="G55" s="39">
        <f>IF($M55="","",N(INDEX(สรุปจ่ายรถร่วม!$M$5:$M$704,$M55)))</f>
        <v/>
      </c>
      <c r="H55" s="39">
        <f>IF($M55="","",N(INDEX(สรุปจ่ายรถร่วม!$N$5:$N$704,$M55)))</f>
        <v/>
      </c>
      <c r="M55">
        <f>IFERROR(MATCH(36,สรุปจ่ายรถร่วม!$AZ$5:$AZ$704,0),"")</f>
        <v/>
      </c>
    </row>
    <row r="56" ht="21" customHeight="1" s="66">
      <c r="A56" s="70">
        <f>IF($M56="","",37)</f>
        <v/>
      </c>
      <c r="B56" s="69">
        <f>IF($M56="","",INDEX(สรุปจ่ายรถร่วม!$AF$5:$AF$704,$M56))</f>
        <v/>
      </c>
      <c r="C56" s="38">
        <f>IF($M56="","",N(INDEX(สรุปจ่ายรถร่วม!$E$5:$E$704,$M56)))</f>
        <v/>
      </c>
      <c r="D56" s="39">
        <f>IF($M56="","",N(INDEX(สรุปจ่ายรถร่วม!$F$5:$F$704,$M56)))</f>
        <v/>
      </c>
      <c r="E56" s="39">
        <f>IF($M56="","",N(INDEX(สรุปจ่ายรถร่วม!$K$5:$K$704,$M56)))</f>
        <v/>
      </c>
      <c r="F56" s="39">
        <f>IF($M56="","",N(INDEX(สรุปจ่ายรถร่วม!$L$5:$L$704,$M56)))</f>
        <v/>
      </c>
      <c r="G56" s="39">
        <f>IF($M56="","",N(INDEX(สรุปจ่ายรถร่วม!$M$5:$M$704,$M56)))</f>
        <v/>
      </c>
      <c r="H56" s="39">
        <f>IF($M56="","",N(INDEX(สรุปจ่ายรถร่วม!$N$5:$N$704,$M56)))</f>
        <v/>
      </c>
      <c r="M56">
        <f>IFERROR(MATCH(37,สรุปจ่ายรถร่วม!$AZ$5:$AZ$704,0),"")</f>
        <v/>
      </c>
    </row>
    <row r="57" ht="21" customHeight="1" s="66">
      <c r="A57" s="70">
        <f>IF($M57="","",38)</f>
        <v/>
      </c>
      <c r="B57" s="69">
        <f>IF($M57="","",INDEX(สรุปจ่ายรถร่วม!$AF$5:$AF$704,$M57))</f>
        <v/>
      </c>
      <c r="C57" s="38">
        <f>IF($M57="","",N(INDEX(สรุปจ่ายรถร่วม!$E$5:$E$704,$M57)))</f>
        <v/>
      </c>
      <c r="D57" s="39">
        <f>IF($M57="","",N(INDEX(สรุปจ่ายรถร่วม!$F$5:$F$704,$M57)))</f>
        <v/>
      </c>
      <c r="E57" s="39">
        <f>IF($M57="","",N(INDEX(สรุปจ่ายรถร่วม!$K$5:$K$704,$M57)))</f>
        <v/>
      </c>
      <c r="F57" s="39">
        <f>IF($M57="","",N(INDEX(สรุปจ่ายรถร่วม!$L$5:$L$704,$M57)))</f>
        <v/>
      </c>
      <c r="G57" s="39">
        <f>IF($M57="","",N(INDEX(สรุปจ่ายรถร่วม!$M$5:$M$704,$M57)))</f>
        <v/>
      </c>
      <c r="H57" s="39">
        <f>IF($M57="","",N(INDEX(สรุปจ่ายรถร่วม!$N$5:$N$704,$M57)))</f>
        <v/>
      </c>
      <c r="M57">
        <f>IFERROR(MATCH(38,สรุปจ่ายรถร่วม!$AZ$5:$AZ$704,0),"")</f>
        <v/>
      </c>
    </row>
    <row r="58" ht="21" customHeight="1" s="66">
      <c r="A58" s="70">
        <f>IF($M58="","",39)</f>
        <v/>
      </c>
      <c r="B58" s="69">
        <f>IF($M58="","",INDEX(สรุปจ่ายรถร่วม!$AF$5:$AF$704,$M58))</f>
        <v/>
      </c>
      <c r="C58" s="38">
        <f>IF($M58="","",N(INDEX(สรุปจ่ายรถร่วม!$E$5:$E$704,$M58)))</f>
        <v/>
      </c>
      <c r="D58" s="39">
        <f>IF($M58="","",N(INDEX(สรุปจ่ายรถร่วม!$F$5:$F$704,$M58)))</f>
        <v/>
      </c>
      <c r="E58" s="39">
        <f>IF($M58="","",N(INDEX(สรุปจ่ายรถร่วม!$K$5:$K$704,$M58)))</f>
        <v/>
      </c>
      <c r="F58" s="39">
        <f>IF($M58="","",N(INDEX(สรุปจ่ายรถร่วม!$L$5:$L$704,$M58)))</f>
        <v/>
      </c>
      <c r="G58" s="39">
        <f>IF($M58="","",N(INDEX(สรุปจ่ายรถร่วม!$M$5:$M$704,$M58)))</f>
        <v/>
      </c>
      <c r="H58" s="39">
        <f>IF($M58="","",N(INDEX(สรุปจ่ายรถร่วม!$N$5:$N$704,$M58)))</f>
        <v/>
      </c>
      <c r="M58">
        <f>IFERROR(MATCH(39,สรุปจ่ายรถร่วม!$AZ$5:$AZ$704,0),"")</f>
        <v/>
      </c>
    </row>
    <row r="59" ht="21" customHeight="1" s="66">
      <c r="A59" s="70">
        <f>IF($M59="","",40)</f>
        <v/>
      </c>
      <c r="B59" s="69">
        <f>IF($M59="","",INDEX(สรุปจ่ายรถร่วม!$AF$5:$AF$704,$M59))</f>
        <v/>
      </c>
      <c r="C59" s="38">
        <f>IF($M59="","",N(INDEX(สรุปจ่ายรถร่วม!$E$5:$E$704,$M59)))</f>
        <v/>
      </c>
      <c r="D59" s="39">
        <f>IF($M59="","",N(INDEX(สรุปจ่ายรถร่วม!$F$5:$F$704,$M59)))</f>
        <v/>
      </c>
      <c r="E59" s="39">
        <f>IF($M59="","",N(INDEX(สรุปจ่ายรถร่วม!$K$5:$K$704,$M59)))</f>
        <v/>
      </c>
      <c r="F59" s="39">
        <f>IF($M59="","",N(INDEX(สรุปจ่ายรถร่วม!$L$5:$L$704,$M59)))</f>
        <v/>
      </c>
      <c r="G59" s="39">
        <f>IF($M59="","",N(INDEX(สรุปจ่ายรถร่วม!$M$5:$M$704,$M59)))</f>
        <v/>
      </c>
      <c r="H59" s="39">
        <f>IF($M59="","",N(INDEX(สรุปจ่ายรถร่วม!$N$5:$N$704,$M59)))</f>
        <v/>
      </c>
      <c r="M59">
        <f>IFERROR(MATCH(40,สรุปจ่ายรถร่วม!$AZ$5:$AZ$704,0),"")</f>
        <v/>
      </c>
    </row>
    <row r="60" ht="19.9" customHeight="1" s="66">
      <c r="A60" s="41" t="n"/>
      <c r="B60" s="42" t="inlineStr">
        <is>
          <t>รวมทั้งสิ้น</t>
        </is>
      </c>
      <c r="C60" s="43">
        <f>$M$5</f>
        <v/>
      </c>
      <c r="D60" s="25">
        <f>$M$6</f>
        <v/>
      </c>
      <c r="E60" s="25">
        <f>$M$7</f>
        <v/>
      </c>
      <c r="F60" s="25">
        <f>$M$8</f>
        <v/>
      </c>
      <c r="G60" s="25">
        <f>$M$9</f>
        <v/>
      </c>
      <c r="H60" s="25">
        <f>$M$10</f>
        <v/>
      </c>
    </row>
    <row r="61">
      <c r="A61" s="72">
        <f>IF($K$17&lt;&gt;"","( "&amp;$K$17&amp;" )","( ...พิมพ์จำนวนเงินเป็นตัวหนังสือที่ช่อง K17... )")</f>
        <v/>
      </c>
    </row>
    <row r="63" ht="21" customHeight="1" s="66">
      <c r="A63" s="69">
        <f>$K$16</f>
        <v/>
      </c>
    </row>
    <row r="65">
      <c r="C65" s="70">
        <f>"จึงเรียนมาเพื่อโปรดดำเนินการ"</f>
        <v/>
      </c>
    </row>
    <row r="67">
      <c r="D67" s="70">
        <f>"ขอแสดงความนับถือ"</f>
        <v/>
      </c>
    </row>
    <row r="70">
      <c r="D70" s="70">
        <f>"("&amp;$K$8&amp;")"</f>
        <v/>
      </c>
    </row>
    <row r="71">
      <c r="D71" s="70">
        <f>$K$9</f>
        <v/>
      </c>
    </row>
    <row r="73" ht="21" customHeight="1" s="66">
      <c r="A73" s="68" t="inlineStr">
        <is>
          <t>สำเนาเรียน</t>
        </is>
      </c>
      <c r="B73" s="69">
        <f>$K$10</f>
        <v/>
      </c>
      <c r="G73" s="69">
        <f>$K$13</f>
        <v/>
      </c>
    </row>
    <row r="74" ht="21" customHeight="1" s="66">
      <c r="B74" s="69">
        <f>$K$11</f>
        <v/>
      </c>
      <c r="G74" s="69">
        <f>$K$14</f>
        <v/>
      </c>
    </row>
    <row r="75" ht="21" customHeight="1" s="66">
      <c r="B75" s="69">
        <f>$K$12</f>
        <v/>
      </c>
      <c r="G75" s="69">
        <f>$K$15</f>
        <v/>
      </c>
    </row>
  </sheetData>
  <mergeCells count="36">
    <mergeCell ref="B74:E74"/>
    <mergeCell ref="D70:F70"/>
    <mergeCell ref="B13:D13"/>
    <mergeCell ref="A61:H61"/>
    <mergeCell ref="F18:F19"/>
    <mergeCell ref="A18:A19"/>
    <mergeCell ref="B75:E75"/>
    <mergeCell ref="D71:F71"/>
    <mergeCell ref="E12:H12"/>
    <mergeCell ref="B16:H16"/>
    <mergeCell ref="B15:D15"/>
    <mergeCell ref="G18:G19"/>
    <mergeCell ref="G74:H74"/>
    <mergeCell ref="E14:H14"/>
    <mergeCell ref="D67:F67"/>
    <mergeCell ref="D18:D19"/>
    <mergeCell ref="C18:C19"/>
    <mergeCell ref="C65:F65"/>
    <mergeCell ref="A17:H17"/>
    <mergeCell ref="E13:H13"/>
    <mergeCell ref="G73:H73"/>
    <mergeCell ref="G75:H75"/>
    <mergeCell ref="D6:F6"/>
    <mergeCell ref="B8:H8"/>
    <mergeCell ref="B73:E73"/>
    <mergeCell ref="E18:E19"/>
    <mergeCell ref="A63:H63"/>
    <mergeCell ref="E15:H15"/>
    <mergeCell ref="B12:D12"/>
    <mergeCell ref="E11:H11"/>
    <mergeCell ref="B11:D11"/>
    <mergeCell ref="B14:D14"/>
    <mergeCell ref="B9:H9"/>
    <mergeCell ref="B18:B19"/>
    <mergeCell ref="B10:D10"/>
    <mergeCell ref="E10:H10"/>
  </mergeCells>
  <conditionalFormatting sqref="A20:H59">
    <cfRule type="expression" priority="1" dxfId="0">
      <formula>$M20&lt;&gt;""</formula>
    </cfRule>
  </conditionalFormatting>
  <pageMargins left="0.75" right="0.75" top="1" bottom="1" header="0.5" footer="0.5"/>
  <pageSetup orientation="portrait" paperSize="9" fitToHeight="0"/>
</worksheet>
</file>

<file path=xl/worksheets/sheet5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BF7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25"/>
  <cols>
    <col width="42" customWidth="1" style="66" min="1" max="1"/>
    <col width="8" customWidth="1" style="66" min="2" max="2"/>
    <col width="22" customWidth="1" style="66" min="3" max="3"/>
    <col width="26" customWidth="1" style="66" min="4" max="4"/>
    <col width="9" customWidth="1" style="66" min="5" max="5"/>
    <col width="15" customWidth="1" style="66" min="6" max="6"/>
    <col width="12" customWidth="1" style="66" min="7" max="7"/>
    <col width="11" customWidth="1" style="66" min="8" max="8"/>
    <col width="12" customWidth="1" style="66" min="9" max="9"/>
    <col width="11" customWidth="1" style="66" min="10" max="10"/>
    <col width="18" customWidth="1" style="66" min="11" max="11"/>
    <col width="14" customWidth="1" style="66" min="12" max="12"/>
    <col width="16" customWidth="1" style="66" min="13" max="13"/>
    <col width="18" customWidth="1" style="66" min="14" max="14"/>
    <col width="12" customWidth="1" style="66" min="15" max="15"/>
    <col hidden="1" width="13" customWidth="1" style="66" min="16" max="57"/>
    <col width="30" customWidth="1" style="66" min="58" max="58"/>
  </cols>
  <sheetData>
    <row r="1" ht="19.9" customHeight="1" s="66">
      <c r="A1" s="74">
        <f>"สรุปการจ่ายค่าบรรทุกส่งออก นาม "&amp;บันทึกรายเที่ยว!$F$3&amp;"  ประจำเดือน "&amp;บันทึกรายเที่ยว!$B$3&amp;IF($AF$1+1&gt;230,"   *** ยาวเกินพื้นที่พิมพ์ — ตั้ง Print Area ใหม่เป็น A1:O"&amp;(5-1+$AI$1+1)&amp;" ***","")</f>
        <v/>
      </c>
      <c r="AI1">
        <f>COUNT($V$5:$V$404)+SUM($Z$5:$Z$404)+SUM($AA$5:$AA$404)+SUM($AO$5:$AO$404)</f>
        <v/>
      </c>
      <c r="BF1" s="3" t="inlineStr">
        <is>
          <t>ภาษีหัก ณ ที่จ่าย (%)</t>
        </is>
      </c>
    </row>
    <row r="2" ht="20" customHeight="1" s="66">
      <c r="A2" s="60" t="inlineStr">
        <is>
          <t>ต้นทาง-ปลายทาง</t>
        </is>
      </c>
      <c r="B2" s="60" t="inlineStr">
        <is>
          <t>ระยะ</t>
        </is>
      </c>
      <c r="C2" s="60" t="inlineStr">
        <is>
          <t>ชนิด</t>
        </is>
      </c>
      <c r="D2" s="60" t="inlineStr">
        <is>
          <t>แบก</t>
        </is>
      </c>
      <c r="E2" s="60" t="inlineStr">
        <is>
          <t>จำนวน</t>
        </is>
      </c>
      <c r="F2" s="60" t="inlineStr">
        <is>
          <t>จำนวน</t>
        </is>
      </c>
      <c r="G2" s="60" t="inlineStr">
        <is>
          <t>อัตรา</t>
        </is>
      </c>
      <c r="H2" s="60" t="inlineStr">
        <is>
          <t>ส่วนปรับ</t>
        </is>
      </c>
      <c r="I2" s="60" t="inlineStr">
        <is>
          <t>อัตราสุทธิ</t>
        </is>
      </c>
      <c r="J2" s="60" t="inlineStr">
        <is>
          <t>อัตรา</t>
        </is>
      </c>
      <c r="K2" s="60" t="inlineStr">
        <is>
          <t>รายได้</t>
        </is>
      </c>
      <c r="L2" s="60" t="inlineStr">
        <is>
          <t>ภาษี</t>
        </is>
      </c>
      <c r="M2" s="60" t="inlineStr">
        <is>
          <t>หัก</t>
        </is>
      </c>
      <c r="N2" s="60" t="inlineStr">
        <is>
          <t>คงเหลือจ่าย</t>
        </is>
      </c>
      <c r="O2" s="60" t="inlineStr">
        <is>
          <t>น้ำหนัก</t>
        </is>
      </c>
      <c r="AI2">
        <f>SUM($AP$5:$AP$404)</f>
        <v/>
      </c>
      <c r="BF2" s="44" t="n">
        <v>1</v>
      </c>
    </row>
    <row r="3" ht="20" customHeight="1" s="66">
      <c r="A3" s="73" t="n"/>
      <c r="B3" s="60" t="inlineStr">
        <is>
          <t>ทาง</t>
        </is>
      </c>
      <c r="C3" s="60" t="inlineStr">
        <is>
          <t>หิน</t>
        </is>
      </c>
      <c r="D3" s="60" t="inlineStr">
        <is>
          <t>นน.</t>
        </is>
      </c>
      <c r="E3" s="60" t="n"/>
      <c r="F3" s="60" t="inlineStr">
        <is>
          <t>น้ำหนัก</t>
        </is>
      </c>
      <c r="G3" s="60" t="inlineStr">
        <is>
          <t>ตามสัญญา</t>
        </is>
      </c>
      <c r="H3" s="60" t="inlineStr">
        <is>
          <t>น้ำมัน</t>
        </is>
      </c>
      <c r="I3" s="60" t="inlineStr">
        <is>
          <t>ที่ใช้จริง</t>
        </is>
      </c>
      <c r="J3" s="60" t="inlineStr">
        <is>
          <t>ค่าขนส่ง</t>
        </is>
      </c>
      <c r="K3" s="73" t="n"/>
      <c r="L3" s="60" t="inlineStr">
        <is>
          <t>หัก ณ ที่จ่าย</t>
        </is>
      </c>
      <c r="M3" s="60" t="inlineStr">
        <is>
          <t>ค่าใช้จ่าย</t>
        </is>
      </c>
      <c r="N3" s="73" t="n"/>
      <c r="O3" s="60" t="inlineStr">
        <is>
          <t>เฉลี่ย</t>
        </is>
      </c>
      <c r="BF3" s="3" t="inlineStr">
        <is>
          <t>อัตราที่ยังไม่ได้กรอก</t>
        </is>
      </c>
    </row>
    <row r="4" ht="34.05" customHeight="1" s="66">
      <c r="A4" s="61" t="n"/>
      <c r="B4" s="60" t="inlineStr">
        <is>
          <t>กม.</t>
        </is>
      </c>
      <c r="C4" s="61" t="n"/>
      <c r="D4" s="61" t="n"/>
      <c r="E4" s="60" t="inlineStr">
        <is>
          <t>เที่ยว</t>
        </is>
      </c>
      <c r="F4" s="60" t="inlineStr">
        <is>
          <t>ตัน</t>
        </is>
      </c>
      <c r="G4" s="60" t="inlineStr">
        <is>
          <t>(บาท/ตัน)</t>
        </is>
      </c>
      <c r="H4" s="60" t="inlineStr">
        <is>
          <t>(บาท/ตัน)</t>
        </is>
      </c>
      <c r="I4" s="60" t="inlineStr">
        <is>
          <t>(บาท/ตัน)</t>
        </is>
      </c>
      <c r="J4" s="60" t="inlineStr">
        <is>
          <t>(บาท/กม.)</t>
        </is>
      </c>
      <c r="K4" s="61" t="n"/>
      <c r="L4" s="60" t="n"/>
      <c r="M4" s="60" t="n"/>
      <c r="N4" s="61" t="n"/>
      <c r="O4" s="60" t="inlineStr">
        <is>
          <t>(ตัน/เที่ยว)</t>
        </is>
      </c>
      <c r="AZ4" t="n">
        <v>0</v>
      </c>
      <c r="BF4" s="45">
        <f>SUMPRODUCT(--($AD$5:$AD$704="D"),--($G$5:$G$704=0))</f>
        <v/>
      </c>
    </row>
    <row r="5" ht="21" customHeight="1" s="66">
      <c r="A5" s="69">
        <f>IF($AD5="","",IF($AD5="Z","รวมจ่ายทั้งสิ้น",IF($AD5="H",INDEX($X$5:$X$404,$AC5),IF($AD5="T","รวม",IF($AD5="B",IFERROR(INDEX(อัตราค่าขนส่ง!$S$5:$S$14,MATCH(INDEX($AM$5:$AM$404,$AC5),อัตราค่าขนส่ง!$R$5:$R$14,0)),"รวมกลุ่ม "&amp;INDEX($AM$5:$AM$404,$AC5)),INDEX($AY$5:$AY$404,$AC5))))))</f>
        <v/>
      </c>
      <c r="B5" s="31">
        <f>IF($AD5&lt;&gt;"D","",INDEX($AW$5:$AW$404,$AC5))</f>
        <v/>
      </c>
      <c r="C5" s="68">
        <f>IF($AD5&lt;&gt;"D","",INDEX($AX$5:$AX$404,$AC5))</f>
        <v/>
      </c>
      <c r="D5" s="70">
        <f>IF($AD5&lt;&gt;"D","",INDEX($BA$5:$BA$404,$AC5))</f>
        <v/>
      </c>
      <c r="E5" s="31">
        <f>IF($AD5="Z",SUM($AR$5:$AR$404),IF($AD5="D",INDEX($AR$5:$AR$404,$AC5),IF($AD5="T",SUMIF($X$5:$X$404,$AF5,$AR$5:$AR$404),IF($AD5="B",SUMIF($AN$5:$AN$404,$AQ5,$AR$5:$AR$404),""))))</f>
        <v/>
      </c>
      <c r="F5" s="32">
        <f>IF($AD5="Z",ROUND(SUM($AS$5:$AS$404),2),IF($AD5="D",INDEX($AS$5:$AS$404,$AC5),IF($AD5="T",ROUND(SUMIF($X$5:$X$404,$AF5,$AS$5:$AS$404),2),IF($AD5="B",ROUND(SUMIF($AN$5:$AN$404,$AQ5,$AS$5:$AS$404),2),""))))</f>
        <v/>
      </c>
      <c r="G5" s="32">
        <f>IF($AD5&lt;&gt;"D","",INDEX($AT$5:$AT$404,$AC5))</f>
        <v/>
      </c>
      <c r="H5" s="32">
        <f>IF($AD5&lt;&gt;"D","",INDEX($BC$5:$BC$404,$AC5))</f>
        <v/>
      </c>
      <c r="I5" s="32">
        <f>IF($AD5&lt;&gt;"D","",INDEX($BD$5:$BD$404,$AC5))</f>
        <v/>
      </c>
      <c r="J5" s="46">
        <f>IF($AD5&lt;&gt;"D","",IF(N($B5)=0,"",ROUND($I5/$B5,4)))</f>
        <v/>
      </c>
      <c r="K5" s="32">
        <f>IF($AD5="Z",ROUND(SUM($AU$5:$AU$404),2),IF($AD5="D",INDEX($AU$5:$AU$404,$AC5),IF($AD5="T",ROUND(SUMIF($X$5:$X$404,$AF5,$AU$5:$AU$404),2),IF($AD5="B",ROUND(SUMIF($AN$5:$AN$404,$AQ5,$AU$5:$AU$404),2),""))))</f>
        <v/>
      </c>
      <c r="L5" s="32">
        <f>IF($AD5="Z",ROUND(SUM($AV$5:$AV$404),2),IF($AD5="D",INDEX($AV$5:$AV$404,$AC5),IF($AD5="T",ROUND(SUMIF($X$5:$X$404,$AF5,$AV$5:$AV$404),2),IF($AD5="B",ROUND(SUMIF($AN$5:$AN$404,$AQ5,$AV$5:$AV$404),2),""))))</f>
        <v/>
      </c>
      <c r="M5" s="32">
        <f>IF($AD5="Z",ROUND(SUM($AJ$5:$AJ$704),2),IF($AD5="B",ROUND(SUMIF($AQ$5:$AQ$704,$AQ5,$AJ$5:$AJ$704),2),IF($AD5&lt;&gt;"T","",$AJ5)))</f>
        <v/>
      </c>
      <c r="N5" s="32">
        <f>IF(OR($AD5="D",$AD5="T",$AD5="B",$AD5="Z"),ROUND(N($K5)-N($L5)-N($M5),2),"")</f>
        <v/>
      </c>
      <c r="O5" s="32">
        <f>IF(OR($AD5="D",$AD5="T",$AD5="B",$AD5="Z"),IF(N($E5)=0,"",ROUND($F5/$E5,2)),"")</f>
        <v/>
      </c>
      <c r="Q5">
        <f>IFERROR(MATCH(1,บันทึกรายเที่ยว!$Z$6:$Z$6005,0),"")</f>
        <v/>
      </c>
      <c r="R5">
        <f>IF($Q5="","",INDEX(บันทึกรายเที่ยว!$V$6:$V$6005,$Q5))</f>
        <v/>
      </c>
      <c r="S5">
        <f>IF($Q5="","",INDEX(บันทึกรายเที่ยว!$F$6:$F$6005,$Q5))</f>
        <v/>
      </c>
      <c r="T5">
        <f>IF($Q5="","",MATCH($S5,บันทึกรายเที่ยว!$F$6:$F$6005,0))</f>
        <v/>
      </c>
      <c r="U5">
        <f>IF($Q5="","",$AL5*10000000+$T5*1000+1)</f>
        <v/>
      </c>
      <c r="V5">
        <f>IFERROR(MATCH(SMALL($U$5:$U$404,1),$U$5:$U$404,0),"")</f>
        <v/>
      </c>
      <c r="W5">
        <f>IF($V5="","",INDEX($Q$5:$Q$404,$V5))</f>
        <v/>
      </c>
      <c r="X5">
        <f>IF($V5="","",INDEX($S$5:$S$404,$V5))</f>
        <v/>
      </c>
      <c r="Y5">
        <f>IF($V5="","",INDEX($R$5:$R$404,$V5))</f>
        <v/>
      </c>
      <c r="Z5">
        <f>IF($V5="",0,1)</f>
        <v/>
      </c>
      <c r="AA5">
        <f>IF($V5="",0,IF($V6="",1,IF($X6&lt;&gt;$X5,1,0)))</f>
        <v/>
      </c>
      <c r="AB5">
        <f>IF($V5="",99999,1)</f>
        <v/>
      </c>
      <c r="AC5">
        <f>IFERROR(MATCH(1,$AB$5:$AB$404,1),"")</f>
        <v/>
      </c>
      <c r="AD5">
        <f>IF(1=$AI$1+1,"Z",IF($AC5="","",IF(INDEX($V$5:$V$404,$AC5)="","",IF(1&gt;INDEX($AB$5:$AB$404,$AC5)+INDEX($Z$5:$Z$404,$AC5)+INDEX($AA$5:$AA$404,$AC5)+INDEX($AO$5:$AO$404,$AC5),"",IF(1=INDEX($AB$5:$AB$404,$AC5)+INDEX($Z$5:$Z$404,$AC5),"D",IF(AND(INDEX($Z$5:$Z$404,$AC5)=1,1=INDEX($AB$5:$AB$404,$AC5)),"H",IF(AND(INDEX($AO$5:$AO$404,$AC5)=1,1=INDEX($AB$5:$AB$404,$AC5)+INDEX($Z$5:$Z$404,$AC5)+INDEX($AA$5:$AA$404,$AC5)+INDEX($AO$5:$AO$404,$AC5)),"B","T")))))))</f>
        <v/>
      </c>
      <c r="AF5">
        <f>IF(OR($AD5="",$AD5="Z",$AD5="B"),"",INDEX($X$5:$X$404,$AC5))</f>
        <v/>
      </c>
      <c r="AJ5">
        <f>IF($AD5&lt;&gt;"T",0,ROUND(SUMIF(oil!$B$4:$B$63,$AF5,oil!$AE$4:$AE$63),2))</f>
        <v/>
      </c>
      <c r="AK5">
        <f>IF($S5="","",IFERROR(INDEX(อัตราค่าขนส่ง!$P$5:$P$54,MATCH($S5,อัตราค่าขนส่ง!$O$5:$O$54,0)),INDEX(รายการมาตรฐาน!$G$2:$G$3,1)))</f>
        <v/>
      </c>
      <c r="AL5">
        <f>IF($S5="","",IFERROR(MATCH($AK5,รายการมาตรฐาน!$G$2:$G$3,0),1))</f>
        <v/>
      </c>
      <c r="AM5">
        <f>IF($V5="","",INDEX($AK$5:$AK$404,$V5))</f>
        <v/>
      </c>
      <c r="AN5">
        <f>IF($V5="","",INDEX($AL$5:$AL$404,$V5))</f>
        <v/>
      </c>
      <c r="AO5">
        <f>IF(OR($V5="",$AI$2&lt;=1),0,IF($V6="",1,IF($AN6&lt;&gt;$AN5,1,0)))</f>
        <v/>
      </c>
      <c r="AP5">
        <f>IF($V5="",0,1)</f>
        <v/>
      </c>
      <c r="AQ5">
        <f>IF(OR($AD5="",$AD5="Z"),"",INDEX($AN$5:$AN$404,$AC5))</f>
        <v/>
      </c>
      <c r="AR5">
        <f>IF($Y5="",0,COUNTIF(บันทึกรายเที่ยว!$V$6:$V$6005,$Y5))</f>
        <v/>
      </c>
      <c r="AS5">
        <f>IF($Y5="",0,ROUND(SUMIF(บันทึกรายเที่ยว!$V$6:$V$6005,$Y5,บันทึกรายเที่ยว!$M$6:$M$6005),2))</f>
        <v/>
      </c>
      <c r="AT5">
        <f>IF($Y5="",0,IFERROR(INDEX(อัตราค่าขนส่ง!$G$5:$G$204,MATCH($Y5,อัตราค่าขนส่ง!$M$5:$M$204,0)),0))</f>
        <v/>
      </c>
      <c r="AU5">
        <f>ROUND($AS5*$BD5,2)</f>
        <v/>
      </c>
      <c r="AV5">
        <f>ROUND($AU5*$BF$2/100,2)</f>
        <v/>
      </c>
      <c r="AW5">
        <f>IF($Y5="","",IFERROR(INDEX(อัตราค่าขนส่ง!$F$5:$F$204,MATCH($Y5,อัตราค่าขนส่ง!$M$5:$M$204,0)),""))</f>
        <v/>
      </c>
      <c r="AX5">
        <f>IF($W5="","",INDEX(บันทึกรายเที่ยว!$D$6:$D$6005,$W5))</f>
        <v/>
      </c>
      <c r="AY5">
        <f>IF($W5="","",INDEX(บันทึกรายเที่ยว!$R$6:$R$6005,$W5))</f>
        <v/>
      </c>
      <c r="AZ5">
        <f>IF(AND($AD5="T",$AQ5=1),N($AZ4)+1,N($AZ4))</f>
        <v/>
      </c>
      <c r="BA5">
        <f>IF($W5="","",INDEX(บันทึกรายเที่ยว!$E$6:$E$6005,$W5))</f>
        <v/>
      </c>
      <c r="BC5">
        <f>IF($Y5="",0,IFERROR(INDEX(อัตราค่าขนส่ง!$K$5:$K$204,MATCH($Y5,อัตราค่าขนส่ง!$M$5:$M$204,0)),0))</f>
        <v/>
      </c>
      <c r="BD5">
        <f>IF($Y5="",0,IFERROR(INDEX(อัตราค่าขนส่ง!$L$5:$L$204,MATCH($Y5,อัตราค่าขนส่ง!$M$5:$M$204,0)),0))</f>
        <v/>
      </c>
      <c r="BF5" s="3" t="inlineStr">
        <is>
          <t>พื้นที่ตาราง</t>
        </is>
      </c>
    </row>
    <row r="6" ht="21" customHeight="1" s="66">
      <c r="A6" s="69">
        <f>IF($AD6="","",IF($AD6="Z","รวมจ่ายทั้งสิ้น",IF($AD6="H",INDEX($X$5:$X$404,$AC6),IF($AD6="T","รวม",IF($AD6="B",IFERROR(INDEX(อัตราค่าขนส่ง!$S$5:$S$14,MATCH(INDEX($AM$5:$AM$404,$AC6),อัตราค่าขนส่ง!$R$5:$R$14,0)),"รวมกลุ่ม "&amp;INDEX($AM$5:$AM$404,$AC6)),INDEX($AY$5:$AY$404,$AC6))))))</f>
        <v/>
      </c>
      <c r="B6" s="31">
        <f>IF($AD6&lt;&gt;"D","",INDEX($AW$5:$AW$404,$AC6))</f>
        <v/>
      </c>
      <c r="C6" s="68">
        <f>IF($AD6&lt;&gt;"D","",INDEX($AX$5:$AX$404,$AC6))</f>
        <v/>
      </c>
      <c r="D6" s="70">
        <f>IF($AD6&lt;&gt;"D","",INDEX($BA$5:$BA$404,$AC6))</f>
        <v/>
      </c>
      <c r="E6" s="31">
        <f>IF($AD6="Z",SUM($AR$5:$AR$404),IF($AD6="D",INDEX($AR$5:$AR$404,$AC6),IF($AD6="T",SUMIF($X$5:$X$404,$AF6,$AR$5:$AR$404),IF($AD6="B",SUMIF($AN$5:$AN$404,$AQ6,$AR$5:$AR$404),""))))</f>
        <v/>
      </c>
      <c r="F6" s="32">
        <f>IF($AD6="Z",ROUND(SUM($AS$5:$AS$404),2),IF($AD6="D",INDEX($AS$5:$AS$404,$AC6),IF($AD6="T",ROUND(SUMIF($X$5:$X$404,$AF6,$AS$5:$AS$404),2),IF($AD6="B",ROUND(SUMIF($AN$5:$AN$404,$AQ6,$AS$5:$AS$404),2),""))))</f>
        <v/>
      </c>
      <c r="G6" s="32">
        <f>IF($AD6&lt;&gt;"D","",INDEX($AT$5:$AT$404,$AC6))</f>
        <v/>
      </c>
      <c r="H6" s="32">
        <f>IF($AD6&lt;&gt;"D","",INDEX($BC$5:$BC$404,$AC6))</f>
        <v/>
      </c>
      <c r="I6" s="32">
        <f>IF($AD6&lt;&gt;"D","",INDEX($BD$5:$BD$404,$AC6))</f>
        <v/>
      </c>
      <c r="J6" s="46">
        <f>IF($AD6&lt;&gt;"D","",IF(N($B6)=0,"",ROUND($I6/$B6,4)))</f>
        <v/>
      </c>
      <c r="K6" s="32">
        <f>IF($AD6="Z",ROUND(SUM($AU$5:$AU$404),2),IF($AD6="D",INDEX($AU$5:$AU$404,$AC6),IF($AD6="T",ROUND(SUMIF($X$5:$X$404,$AF6,$AU$5:$AU$404),2),IF($AD6="B",ROUND(SUMIF($AN$5:$AN$404,$AQ6,$AU$5:$AU$404),2),""))))</f>
        <v/>
      </c>
      <c r="L6" s="32">
        <f>IF($AD6="Z",ROUND(SUM($AV$5:$AV$404),2),IF($AD6="D",INDEX($AV$5:$AV$404,$AC6),IF($AD6="T",ROUND(SUMIF($X$5:$X$404,$AF6,$AV$5:$AV$404),2),IF($AD6="B",ROUND(SUMIF($AN$5:$AN$404,$AQ6,$AV$5:$AV$404),2),""))))</f>
        <v/>
      </c>
      <c r="M6" s="32">
        <f>IF($AD6="Z",ROUND(SUM($AJ$5:$AJ$704),2),IF($AD6="B",ROUND(SUMIF($AQ$5:$AQ$704,$AQ6,$AJ$5:$AJ$704),2),IF($AD6&lt;&gt;"T","",$AJ6)))</f>
        <v/>
      </c>
      <c r="N6" s="32">
        <f>IF(OR($AD6="D",$AD6="T",$AD6="B",$AD6="Z"),ROUND(N($K6)-N($L6)-N($M6),2),"")</f>
        <v/>
      </c>
      <c r="O6" s="32">
        <f>IF(OR($AD6="D",$AD6="T",$AD6="B",$AD6="Z"),IF(N($E6)=0,"",ROUND($F6/$E6,2)),"")</f>
        <v/>
      </c>
      <c r="Q6">
        <f>IFERROR(MATCH(2,บันทึกรายเที่ยว!$Z$6:$Z$6005,0),"")</f>
        <v/>
      </c>
      <c r="R6">
        <f>IF($Q6="","",INDEX(บันทึกรายเที่ยว!$V$6:$V$6005,$Q6))</f>
        <v/>
      </c>
      <c r="S6">
        <f>IF($Q6="","",INDEX(บันทึกรายเที่ยว!$F$6:$F$6005,$Q6))</f>
        <v/>
      </c>
      <c r="T6">
        <f>IF($Q6="","",MATCH($S6,บันทึกรายเที่ยว!$F$6:$F$6005,0))</f>
        <v/>
      </c>
      <c r="U6">
        <f>IF($Q6="","",$AL6*10000000+$T6*1000+2)</f>
        <v/>
      </c>
      <c r="V6">
        <f>IFERROR(MATCH(SMALL($U$5:$U$404,2),$U$5:$U$404,0),"")</f>
        <v/>
      </c>
      <c r="W6">
        <f>IF($V6="","",INDEX($Q$5:$Q$404,$V6))</f>
        <v/>
      </c>
      <c r="X6">
        <f>IF($V6="","",INDEX($S$5:$S$404,$V6))</f>
        <v/>
      </c>
      <c r="Y6">
        <f>IF($V6="","",INDEX($R$5:$R$404,$V6))</f>
        <v/>
      </c>
      <c r="Z6">
        <f>IF($V6="",0,IF($X6&lt;&gt;$X5,1,0))</f>
        <v/>
      </c>
      <c r="AA6">
        <f>IF($V6="",0,IF($V7="",1,IF($X7&lt;&gt;$X6,1,0)))</f>
        <v/>
      </c>
      <c r="AB6">
        <f>IF($V6="",99999+2,$AB5+1+$Z5+$AA5+$AO5)</f>
        <v/>
      </c>
      <c r="AC6">
        <f>IFERROR(MATCH(2,$AB$5:$AB$404,1),"")</f>
        <v/>
      </c>
      <c r="AD6">
        <f>IF(2=$AI$1+1,"Z",IF($AC6="","",IF(INDEX($V$5:$V$404,$AC6)="","",IF(2&gt;INDEX($AB$5:$AB$404,$AC6)+INDEX($Z$5:$Z$404,$AC6)+INDEX($AA$5:$AA$404,$AC6)+INDEX($AO$5:$AO$404,$AC6),"",IF(2=INDEX($AB$5:$AB$404,$AC6)+INDEX($Z$5:$Z$404,$AC6),"D",IF(AND(INDEX($Z$5:$Z$404,$AC6)=1,2=INDEX($AB$5:$AB$404,$AC6)),"H",IF(AND(INDEX($AO$5:$AO$404,$AC6)=1,2=INDEX($AB$5:$AB$404,$AC6)+INDEX($Z$5:$Z$404,$AC6)+INDEX($AA$5:$AA$404,$AC6)+INDEX($AO$5:$AO$404,$AC6)),"B","T")))))))</f>
        <v/>
      </c>
      <c r="AF6">
        <f>IF(OR($AD6="",$AD6="Z",$AD6="B"),"",INDEX($X$5:$X$404,$AC6))</f>
        <v/>
      </c>
      <c r="AJ6">
        <f>IF($AD6&lt;&gt;"T",0,ROUND(SUMIF(oil!$B$4:$B$63,$AF6,oil!$AE$4:$AE$63),2))</f>
        <v/>
      </c>
      <c r="AK6">
        <f>IF($S6="","",IFERROR(INDEX(อัตราค่าขนส่ง!$P$5:$P$54,MATCH($S6,อัตราค่าขนส่ง!$O$5:$O$54,0)),INDEX(รายการมาตรฐาน!$G$2:$G$3,1)))</f>
        <v/>
      </c>
      <c r="AL6">
        <f>IF($S6="","",IFERROR(MATCH($AK6,รายการมาตรฐาน!$G$2:$G$3,0),1))</f>
        <v/>
      </c>
      <c r="AM6">
        <f>IF($V6="","",INDEX($AK$5:$AK$404,$V6))</f>
        <v/>
      </c>
      <c r="AN6">
        <f>IF($V6="","",INDEX($AL$5:$AL$404,$V6))</f>
        <v/>
      </c>
      <c r="AO6">
        <f>IF(OR($V6="",$AI$2&lt;=1),0,IF($V7="",1,IF($AN7&lt;&gt;$AN6,1,0)))</f>
        <v/>
      </c>
      <c r="AP6">
        <f>IF($V6="",0,IF($AN6&lt;&gt;$AN5,1,0))</f>
        <v/>
      </c>
      <c r="AQ6">
        <f>IF(OR($AD6="",$AD6="Z"),"",INDEX($AN$5:$AN$404,$AC6))</f>
        <v/>
      </c>
      <c r="AR6">
        <f>IF($Y6="",0,COUNTIF(บันทึกรายเที่ยว!$V$6:$V$6005,$Y6))</f>
        <v/>
      </c>
      <c r="AS6">
        <f>IF($Y6="",0,ROUND(SUMIF(บันทึกรายเที่ยว!$V$6:$V$6005,$Y6,บันทึกรายเที่ยว!$M$6:$M$6005),2))</f>
        <v/>
      </c>
      <c r="AT6">
        <f>IF($Y6="",0,IFERROR(INDEX(อัตราค่าขนส่ง!$G$5:$G$204,MATCH($Y6,อัตราค่าขนส่ง!$M$5:$M$204,0)),0))</f>
        <v/>
      </c>
      <c r="AU6">
        <f>ROUND($AS6*$BD6,2)</f>
        <v/>
      </c>
      <c r="AV6">
        <f>ROUND($AU6*$BF$2/100,2)</f>
        <v/>
      </c>
      <c r="AW6">
        <f>IF($Y6="","",IFERROR(INDEX(อัตราค่าขนส่ง!$F$5:$F$204,MATCH($Y6,อัตราค่าขนส่ง!$M$5:$M$204,0)),""))</f>
        <v/>
      </c>
      <c r="AX6">
        <f>IF($W6="","",INDEX(บันทึกรายเที่ยว!$D$6:$D$6005,$W6))</f>
        <v/>
      </c>
      <c r="AY6">
        <f>IF($W6="","",INDEX(บันทึกรายเที่ยว!$R$6:$R$6005,$W6))</f>
        <v/>
      </c>
      <c r="AZ6">
        <f>IF(AND($AD6="T",$AQ6=1),N($AZ5)+1,N($AZ5))</f>
        <v/>
      </c>
      <c r="BA6">
        <f>IF($W6="","",INDEX(บันทึกรายเที่ยว!$E$6:$E$6005,$W6))</f>
        <v/>
      </c>
      <c r="BC6">
        <f>IF($Y6="",0,IFERROR(INDEX(อัตราค่าขนส่ง!$K$5:$K$204,MATCH($Y6,อัตราค่าขนส่ง!$M$5:$M$204,0)),0))</f>
        <v/>
      </c>
      <c r="BD6">
        <f>IF($Y6="",0,IFERROR(INDEX(อัตราค่าขนส่ง!$L$5:$L$204,MATCH($Y6,อัตราค่าขนส่ง!$M$5:$M$204,0)),0))</f>
        <v/>
      </c>
      <c r="BF6" s="17">
        <f>IF($AD$704&lt;&gt;"","*** บรรทัดไม่พอ ***",IF($AI$1+1&gt;230,"*** ยาวกว่าพื้นที่พิมพ์ ตั้ง Print Area ใหม่ ***","เพียงพอ"))</f>
        <v/>
      </c>
    </row>
    <row r="7" ht="21" customHeight="1" s="66">
      <c r="A7" s="69">
        <f>IF($AD7="","",IF($AD7="Z","รวมจ่ายทั้งสิ้น",IF($AD7="H",INDEX($X$5:$X$404,$AC7),IF($AD7="T","รวม",IF($AD7="B",IFERROR(INDEX(อัตราค่าขนส่ง!$S$5:$S$14,MATCH(INDEX($AM$5:$AM$404,$AC7),อัตราค่าขนส่ง!$R$5:$R$14,0)),"รวมกลุ่ม "&amp;INDEX($AM$5:$AM$404,$AC7)),INDEX($AY$5:$AY$404,$AC7))))))</f>
        <v/>
      </c>
      <c r="B7" s="31">
        <f>IF($AD7&lt;&gt;"D","",INDEX($AW$5:$AW$404,$AC7))</f>
        <v/>
      </c>
      <c r="C7" s="68">
        <f>IF($AD7&lt;&gt;"D","",INDEX($AX$5:$AX$404,$AC7))</f>
        <v/>
      </c>
      <c r="D7" s="70">
        <f>IF($AD7&lt;&gt;"D","",INDEX($BA$5:$BA$404,$AC7))</f>
        <v/>
      </c>
      <c r="E7" s="31">
        <f>IF($AD7="Z",SUM($AR$5:$AR$404),IF($AD7="D",INDEX($AR$5:$AR$404,$AC7),IF($AD7="T",SUMIF($X$5:$X$404,$AF7,$AR$5:$AR$404),IF($AD7="B",SUMIF($AN$5:$AN$404,$AQ7,$AR$5:$AR$404),""))))</f>
        <v/>
      </c>
      <c r="F7" s="32">
        <f>IF($AD7="Z",ROUND(SUM($AS$5:$AS$404),2),IF($AD7="D",INDEX($AS$5:$AS$404,$AC7),IF($AD7="T",ROUND(SUMIF($X$5:$X$404,$AF7,$AS$5:$AS$404),2),IF($AD7="B",ROUND(SUMIF($AN$5:$AN$404,$AQ7,$AS$5:$AS$404),2),""))))</f>
        <v/>
      </c>
      <c r="G7" s="32">
        <f>IF($AD7&lt;&gt;"D","",INDEX($AT$5:$AT$404,$AC7))</f>
        <v/>
      </c>
      <c r="H7" s="32">
        <f>IF($AD7&lt;&gt;"D","",INDEX($BC$5:$BC$404,$AC7))</f>
        <v/>
      </c>
      <c r="I7" s="32">
        <f>IF($AD7&lt;&gt;"D","",INDEX($BD$5:$BD$404,$AC7))</f>
        <v/>
      </c>
      <c r="J7" s="46">
        <f>IF($AD7&lt;&gt;"D","",IF(N($B7)=0,"",ROUND($I7/$B7,4)))</f>
        <v/>
      </c>
      <c r="K7" s="32">
        <f>IF($AD7="Z",ROUND(SUM($AU$5:$AU$404),2),IF($AD7="D",INDEX($AU$5:$AU$404,$AC7),IF($AD7="T",ROUND(SUMIF($X$5:$X$404,$AF7,$AU$5:$AU$404),2),IF($AD7="B",ROUND(SUMIF($AN$5:$AN$404,$AQ7,$AU$5:$AU$404),2),""))))</f>
        <v/>
      </c>
      <c r="L7" s="32">
        <f>IF($AD7="Z",ROUND(SUM($AV$5:$AV$404),2),IF($AD7="D",INDEX($AV$5:$AV$404,$AC7),IF($AD7="T",ROUND(SUMIF($X$5:$X$404,$AF7,$AV$5:$AV$404),2),IF($AD7="B",ROUND(SUMIF($AN$5:$AN$404,$AQ7,$AV$5:$AV$404),2),""))))</f>
        <v/>
      </c>
      <c r="M7" s="32">
        <f>IF($AD7="Z",ROUND(SUM($AJ$5:$AJ$704),2),IF($AD7="B",ROUND(SUMIF($AQ$5:$AQ$704,$AQ7,$AJ$5:$AJ$704),2),IF($AD7&lt;&gt;"T","",$AJ7)))</f>
        <v/>
      </c>
      <c r="N7" s="32">
        <f>IF(OR($AD7="D",$AD7="T",$AD7="B",$AD7="Z"),ROUND(N($K7)-N($L7)-N($M7),2),"")</f>
        <v/>
      </c>
      <c r="O7" s="32">
        <f>IF(OR($AD7="D",$AD7="T",$AD7="B",$AD7="Z"),IF(N($E7)=0,"",ROUND($F7/$E7,2)),"")</f>
        <v/>
      </c>
      <c r="Q7">
        <f>IFERROR(MATCH(3,บันทึกรายเที่ยว!$Z$6:$Z$6005,0),"")</f>
        <v/>
      </c>
      <c r="R7">
        <f>IF($Q7="","",INDEX(บันทึกรายเที่ยว!$V$6:$V$6005,$Q7))</f>
        <v/>
      </c>
      <c r="S7">
        <f>IF($Q7="","",INDEX(บันทึกรายเที่ยว!$F$6:$F$6005,$Q7))</f>
        <v/>
      </c>
      <c r="T7">
        <f>IF($Q7="","",MATCH($S7,บันทึกรายเที่ยว!$F$6:$F$6005,0))</f>
        <v/>
      </c>
      <c r="U7">
        <f>IF($Q7="","",$AL7*10000000+$T7*1000+3)</f>
        <v/>
      </c>
      <c r="V7">
        <f>IFERROR(MATCH(SMALL($U$5:$U$404,3),$U$5:$U$404,0),"")</f>
        <v/>
      </c>
      <c r="W7">
        <f>IF($V7="","",INDEX($Q$5:$Q$404,$V7))</f>
        <v/>
      </c>
      <c r="X7">
        <f>IF($V7="","",INDEX($S$5:$S$404,$V7))</f>
        <v/>
      </c>
      <c r="Y7">
        <f>IF($V7="","",INDEX($R$5:$R$404,$V7))</f>
        <v/>
      </c>
      <c r="Z7">
        <f>IF($V7="",0,IF($X7&lt;&gt;$X6,1,0))</f>
        <v/>
      </c>
      <c r="AA7">
        <f>IF($V7="",0,IF($V8="",1,IF($X8&lt;&gt;$X7,1,0)))</f>
        <v/>
      </c>
      <c r="AB7">
        <f>IF($V7="",99999+3,$AB6+1+$Z6+$AA6+$AO6)</f>
        <v/>
      </c>
      <c r="AC7">
        <f>IFERROR(MATCH(3,$AB$5:$AB$404,1),"")</f>
        <v/>
      </c>
      <c r="AD7">
        <f>IF(3=$AI$1+1,"Z",IF($AC7="","",IF(INDEX($V$5:$V$404,$AC7)="","",IF(3&gt;INDEX($AB$5:$AB$404,$AC7)+INDEX($Z$5:$Z$404,$AC7)+INDEX($AA$5:$AA$404,$AC7)+INDEX($AO$5:$AO$404,$AC7),"",IF(3=INDEX($AB$5:$AB$404,$AC7)+INDEX($Z$5:$Z$404,$AC7),"D",IF(AND(INDEX($Z$5:$Z$404,$AC7)=1,3=INDEX($AB$5:$AB$404,$AC7)),"H",IF(AND(INDEX($AO$5:$AO$404,$AC7)=1,3=INDEX($AB$5:$AB$404,$AC7)+INDEX($Z$5:$Z$404,$AC7)+INDEX($AA$5:$AA$404,$AC7)+INDEX($AO$5:$AO$404,$AC7)),"B","T")))))))</f>
        <v/>
      </c>
      <c r="AF7">
        <f>IF(OR($AD7="",$AD7="Z",$AD7="B"),"",INDEX($X$5:$X$404,$AC7))</f>
        <v/>
      </c>
      <c r="AJ7">
        <f>IF($AD7&lt;&gt;"T",0,ROUND(SUMIF(oil!$B$4:$B$63,$AF7,oil!$AE$4:$AE$63),2))</f>
        <v/>
      </c>
      <c r="AK7">
        <f>IF($S7="","",IFERROR(INDEX(อัตราค่าขนส่ง!$P$5:$P$54,MATCH($S7,อัตราค่าขนส่ง!$O$5:$O$54,0)),INDEX(รายการมาตรฐาน!$G$2:$G$3,1)))</f>
        <v/>
      </c>
      <c r="AL7">
        <f>IF($S7="","",IFERROR(MATCH($AK7,รายการมาตรฐาน!$G$2:$G$3,0),1))</f>
        <v/>
      </c>
      <c r="AM7">
        <f>IF($V7="","",INDEX($AK$5:$AK$404,$V7))</f>
        <v/>
      </c>
      <c r="AN7">
        <f>IF($V7="","",INDEX($AL$5:$AL$404,$V7))</f>
        <v/>
      </c>
      <c r="AO7">
        <f>IF(OR($V7="",$AI$2&lt;=1),0,IF($V8="",1,IF($AN8&lt;&gt;$AN7,1,0)))</f>
        <v/>
      </c>
      <c r="AP7">
        <f>IF($V7="",0,IF($AN7&lt;&gt;$AN6,1,0))</f>
        <v/>
      </c>
      <c r="AQ7">
        <f>IF(OR($AD7="",$AD7="Z"),"",INDEX($AN$5:$AN$404,$AC7))</f>
        <v/>
      </c>
      <c r="AR7">
        <f>IF($Y7="",0,COUNTIF(บันทึกรายเที่ยว!$V$6:$V$6005,$Y7))</f>
        <v/>
      </c>
      <c r="AS7">
        <f>IF($Y7="",0,ROUND(SUMIF(บันทึกรายเที่ยว!$V$6:$V$6005,$Y7,บันทึกรายเที่ยว!$M$6:$M$6005),2))</f>
        <v/>
      </c>
      <c r="AT7">
        <f>IF($Y7="",0,IFERROR(INDEX(อัตราค่าขนส่ง!$G$5:$G$204,MATCH($Y7,อัตราค่าขนส่ง!$M$5:$M$204,0)),0))</f>
        <v/>
      </c>
      <c r="AU7">
        <f>ROUND($AS7*$BD7,2)</f>
        <v/>
      </c>
      <c r="AV7">
        <f>ROUND($AU7*$BF$2/100,2)</f>
        <v/>
      </c>
      <c r="AW7">
        <f>IF($Y7="","",IFERROR(INDEX(อัตราค่าขนส่ง!$F$5:$F$204,MATCH($Y7,อัตราค่าขนส่ง!$M$5:$M$204,0)),""))</f>
        <v/>
      </c>
      <c r="AX7">
        <f>IF($W7="","",INDEX(บันทึกรายเที่ยว!$D$6:$D$6005,$W7))</f>
        <v/>
      </c>
      <c r="AY7">
        <f>IF($W7="","",INDEX(บันทึกรายเที่ยว!$R$6:$R$6005,$W7))</f>
        <v/>
      </c>
      <c r="AZ7">
        <f>IF(AND($AD7="T",$AQ7=1),N($AZ6)+1,N($AZ6))</f>
        <v/>
      </c>
      <c r="BA7">
        <f>IF($W7="","",INDEX(บันทึกรายเที่ยว!$E$6:$E$6005,$W7))</f>
        <v/>
      </c>
      <c r="BC7">
        <f>IF($Y7="",0,IFERROR(INDEX(อัตราค่าขนส่ง!$K$5:$K$204,MATCH($Y7,อัตราค่าขนส่ง!$M$5:$M$204,0)),0))</f>
        <v/>
      </c>
      <c r="BD7">
        <f>IF($Y7="",0,IFERROR(INDEX(อัตราค่าขนส่ง!$L$5:$L$204,MATCH($Y7,อัตราค่าขนส่ง!$M$5:$M$204,0)),0))</f>
        <v/>
      </c>
      <c r="BF7" s="3" t="inlineStr">
        <is>
          <t>ตรวจสอบ</t>
        </is>
      </c>
    </row>
    <row r="8" ht="21" customHeight="1" s="66">
      <c r="A8" s="69">
        <f>IF($AD8="","",IF($AD8="Z","รวมจ่ายทั้งสิ้น",IF($AD8="H",INDEX($X$5:$X$404,$AC8),IF($AD8="T","รวม",IF($AD8="B",IFERROR(INDEX(อัตราค่าขนส่ง!$S$5:$S$14,MATCH(INDEX($AM$5:$AM$404,$AC8),อัตราค่าขนส่ง!$R$5:$R$14,0)),"รวมกลุ่ม "&amp;INDEX($AM$5:$AM$404,$AC8)),INDEX($AY$5:$AY$404,$AC8))))))</f>
        <v/>
      </c>
      <c r="B8" s="31">
        <f>IF($AD8&lt;&gt;"D","",INDEX($AW$5:$AW$404,$AC8))</f>
        <v/>
      </c>
      <c r="C8" s="68">
        <f>IF($AD8&lt;&gt;"D","",INDEX($AX$5:$AX$404,$AC8))</f>
        <v/>
      </c>
      <c r="D8" s="70">
        <f>IF($AD8&lt;&gt;"D","",INDEX($BA$5:$BA$404,$AC8))</f>
        <v/>
      </c>
      <c r="E8" s="31">
        <f>IF($AD8="Z",SUM($AR$5:$AR$404),IF($AD8="D",INDEX($AR$5:$AR$404,$AC8),IF($AD8="T",SUMIF($X$5:$X$404,$AF8,$AR$5:$AR$404),IF($AD8="B",SUMIF($AN$5:$AN$404,$AQ8,$AR$5:$AR$404),""))))</f>
        <v/>
      </c>
      <c r="F8" s="32">
        <f>IF($AD8="Z",ROUND(SUM($AS$5:$AS$404),2),IF($AD8="D",INDEX($AS$5:$AS$404,$AC8),IF($AD8="T",ROUND(SUMIF($X$5:$X$404,$AF8,$AS$5:$AS$404),2),IF($AD8="B",ROUND(SUMIF($AN$5:$AN$404,$AQ8,$AS$5:$AS$404),2),""))))</f>
        <v/>
      </c>
      <c r="G8" s="32">
        <f>IF($AD8&lt;&gt;"D","",INDEX($AT$5:$AT$404,$AC8))</f>
        <v/>
      </c>
      <c r="H8" s="32">
        <f>IF($AD8&lt;&gt;"D","",INDEX($BC$5:$BC$404,$AC8))</f>
        <v/>
      </c>
      <c r="I8" s="32">
        <f>IF($AD8&lt;&gt;"D","",INDEX($BD$5:$BD$404,$AC8))</f>
        <v/>
      </c>
      <c r="J8" s="46">
        <f>IF($AD8&lt;&gt;"D","",IF(N($B8)=0,"",ROUND($I8/$B8,4)))</f>
        <v/>
      </c>
      <c r="K8" s="32">
        <f>IF($AD8="Z",ROUND(SUM($AU$5:$AU$404),2),IF($AD8="D",INDEX($AU$5:$AU$404,$AC8),IF($AD8="T",ROUND(SUMIF($X$5:$X$404,$AF8,$AU$5:$AU$404),2),IF($AD8="B",ROUND(SUMIF($AN$5:$AN$404,$AQ8,$AU$5:$AU$404),2),""))))</f>
        <v/>
      </c>
      <c r="L8" s="32">
        <f>IF($AD8="Z",ROUND(SUM($AV$5:$AV$404),2),IF($AD8="D",INDEX($AV$5:$AV$404,$AC8),IF($AD8="T",ROUND(SUMIF($X$5:$X$404,$AF8,$AV$5:$AV$404),2),IF($AD8="B",ROUND(SUMIF($AN$5:$AN$404,$AQ8,$AV$5:$AV$404),2),""))))</f>
        <v/>
      </c>
      <c r="M8" s="32">
        <f>IF($AD8="Z",ROUND(SUM($AJ$5:$AJ$704),2),IF($AD8="B",ROUND(SUMIF($AQ$5:$AQ$704,$AQ8,$AJ$5:$AJ$704),2),IF($AD8&lt;&gt;"T","",$AJ8)))</f>
        <v/>
      </c>
      <c r="N8" s="32">
        <f>IF(OR($AD8="D",$AD8="T",$AD8="B",$AD8="Z"),ROUND(N($K8)-N($L8)-N($M8),2),"")</f>
        <v/>
      </c>
      <c r="O8" s="32">
        <f>IF(OR($AD8="D",$AD8="T",$AD8="B",$AD8="Z"),IF(N($E8)=0,"",ROUND($F8/$E8,2)),"")</f>
        <v/>
      </c>
      <c r="Q8">
        <f>IFERROR(MATCH(4,บันทึกรายเที่ยว!$Z$6:$Z$6005,0),"")</f>
        <v/>
      </c>
      <c r="R8">
        <f>IF($Q8="","",INDEX(บันทึกรายเที่ยว!$V$6:$V$6005,$Q8))</f>
        <v/>
      </c>
      <c r="S8">
        <f>IF($Q8="","",INDEX(บันทึกรายเที่ยว!$F$6:$F$6005,$Q8))</f>
        <v/>
      </c>
      <c r="T8">
        <f>IF($Q8="","",MATCH($S8,บันทึกรายเที่ยว!$F$6:$F$6005,0))</f>
        <v/>
      </c>
      <c r="U8">
        <f>IF($Q8="","",$AL8*10000000+$T8*1000+4)</f>
        <v/>
      </c>
      <c r="V8">
        <f>IFERROR(MATCH(SMALL($U$5:$U$404,4),$U$5:$U$404,0),"")</f>
        <v/>
      </c>
      <c r="W8">
        <f>IF($V8="","",INDEX($Q$5:$Q$404,$V8))</f>
        <v/>
      </c>
      <c r="X8">
        <f>IF($V8="","",INDEX($S$5:$S$404,$V8))</f>
        <v/>
      </c>
      <c r="Y8">
        <f>IF($V8="","",INDEX($R$5:$R$404,$V8))</f>
        <v/>
      </c>
      <c r="Z8">
        <f>IF($V8="",0,IF($X8&lt;&gt;$X7,1,0))</f>
        <v/>
      </c>
      <c r="AA8">
        <f>IF($V8="",0,IF($V9="",1,IF($X9&lt;&gt;$X8,1,0)))</f>
        <v/>
      </c>
      <c r="AB8">
        <f>IF($V8="",99999+4,$AB7+1+$Z7+$AA7+$AO7)</f>
        <v/>
      </c>
      <c r="AC8">
        <f>IFERROR(MATCH(4,$AB$5:$AB$404,1),"")</f>
        <v/>
      </c>
      <c r="AD8">
        <f>IF(4=$AI$1+1,"Z",IF($AC8="","",IF(INDEX($V$5:$V$404,$AC8)="","",IF(4&gt;INDEX($AB$5:$AB$404,$AC8)+INDEX($Z$5:$Z$404,$AC8)+INDEX($AA$5:$AA$404,$AC8)+INDEX($AO$5:$AO$404,$AC8),"",IF(4=INDEX($AB$5:$AB$404,$AC8)+INDEX($Z$5:$Z$404,$AC8),"D",IF(AND(INDEX($Z$5:$Z$404,$AC8)=1,4=INDEX($AB$5:$AB$404,$AC8)),"H",IF(AND(INDEX($AO$5:$AO$404,$AC8)=1,4=INDEX($AB$5:$AB$404,$AC8)+INDEX($Z$5:$Z$404,$AC8)+INDEX($AA$5:$AA$404,$AC8)+INDEX($AO$5:$AO$404,$AC8)),"B","T")))))))</f>
        <v/>
      </c>
      <c r="AF8">
        <f>IF(OR($AD8="",$AD8="Z",$AD8="B"),"",INDEX($X$5:$X$404,$AC8))</f>
        <v/>
      </c>
      <c r="AJ8">
        <f>IF($AD8&lt;&gt;"T",0,ROUND(SUMIF(oil!$B$4:$B$63,$AF8,oil!$AE$4:$AE$63),2))</f>
        <v/>
      </c>
      <c r="AK8">
        <f>IF($S8="","",IFERROR(INDEX(อัตราค่าขนส่ง!$P$5:$P$54,MATCH($S8,อัตราค่าขนส่ง!$O$5:$O$54,0)),INDEX(รายการมาตรฐาน!$G$2:$G$3,1)))</f>
        <v/>
      </c>
      <c r="AL8">
        <f>IF($S8="","",IFERROR(MATCH($AK8,รายการมาตรฐาน!$G$2:$G$3,0),1))</f>
        <v/>
      </c>
      <c r="AM8">
        <f>IF($V8="","",INDEX($AK$5:$AK$404,$V8))</f>
        <v/>
      </c>
      <c r="AN8">
        <f>IF($V8="","",INDEX($AL$5:$AL$404,$V8))</f>
        <v/>
      </c>
      <c r="AO8">
        <f>IF(OR($V8="",$AI$2&lt;=1),0,IF($V9="",1,IF($AN9&lt;&gt;$AN8,1,0)))</f>
        <v/>
      </c>
      <c r="AP8">
        <f>IF($V8="",0,IF($AN8&lt;&gt;$AN7,1,0))</f>
        <v/>
      </c>
      <c r="AQ8">
        <f>IF(OR($AD8="",$AD8="Z"),"",INDEX($AN$5:$AN$404,$AC8))</f>
        <v/>
      </c>
      <c r="AR8">
        <f>IF($Y8="",0,COUNTIF(บันทึกรายเที่ยว!$V$6:$V$6005,$Y8))</f>
        <v/>
      </c>
      <c r="AS8">
        <f>IF($Y8="",0,ROUND(SUMIF(บันทึกรายเที่ยว!$V$6:$V$6005,$Y8,บันทึกรายเที่ยว!$M$6:$M$6005),2))</f>
        <v/>
      </c>
      <c r="AT8">
        <f>IF($Y8="",0,IFERROR(INDEX(อัตราค่าขนส่ง!$G$5:$G$204,MATCH($Y8,อัตราค่าขนส่ง!$M$5:$M$204,0)),0))</f>
        <v/>
      </c>
      <c r="AU8">
        <f>ROUND($AS8*$BD8,2)</f>
        <v/>
      </c>
      <c r="AV8">
        <f>ROUND($AU8*$BF$2/100,2)</f>
        <v/>
      </c>
      <c r="AW8">
        <f>IF($Y8="","",IFERROR(INDEX(อัตราค่าขนส่ง!$F$5:$F$204,MATCH($Y8,อัตราค่าขนส่ง!$M$5:$M$204,0)),""))</f>
        <v/>
      </c>
      <c r="AX8">
        <f>IF($W8="","",INDEX(บันทึกรายเที่ยว!$D$6:$D$6005,$W8))</f>
        <v/>
      </c>
      <c r="AY8">
        <f>IF($W8="","",INDEX(บันทึกรายเที่ยว!$R$6:$R$6005,$W8))</f>
        <v/>
      </c>
      <c r="AZ8">
        <f>IF(AND($AD8="T",$AQ8=1),N($AZ7)+1,N($AZ7))</f>
        <v/>
      </c>
      <c r="BA8">
        <f>IF($W8="","",INDEX(บันทึกรายเที่ยว!$E$6:$E$6005,$W8))</f>
        <v/>
      </c>
      <c r="BC8">
        <f>IF($Y8="",0,IFERROR(INDEX(อัตราค่าขนส่ง!$K$5:$K$204,MATCH($Y8,อัตราค่าขนส่ง!$M$5:$M$204,0)),0))</f>
        <v/>
      </c>
      <c r="BD8">
        <f>IF($Y8="",0,IFERROR(INDEX(อัตราค่าขนส่ง!$L$5:$L$204,MATCH($Y8,อัตราค่าขนส่ง!$M$5:$M$204,0)),0))</f>
        <v/>
      </c>
      <c r="BF8" s="17">
        <f>IF(ROUND(SUMIF($AD$5:$AD$704,"D",$F$5:$F$704),2)=ROUND(SUM(บันทึกรายเที่ยว!$M$6:$M$6005),2),"ยอดตันตรงกับรายเที่ยว","*** ยอดไม่ตรง ***")</f>
        <v/>
      </c>
    </row>
    <row r="9" ht="21" customHeight="1" s="66">
      <c r="A9" s="69">
        <f>IF($AD9="","",IF($AD9="Z","รวมจ่ายทั้งสิ้น",IF($AD9="H",INDEX($X$5:$X$404,$AC9),IF($AD9="T","รวม",IF($AD9="B",IFERROR(INDEX(อัตราค่าขนส่ง!$S$5:$S$14,MATCH(INDEX($AM$5:$AM$404,$AC9),อัตราค่าขนส่ง!$R$5:$R$14,0)),"รวมกลุ่ม "&amp;INDEX($AM$5:$AM$404,$AC9)),INDEX($AY$5:$AY$404,$AC9))))))</f>
        <v/>
      </c>
      <c r="B9" s="31">
        <f>IF($AD9&lt;&gt;"D","",INDEX($AW$5:$AW$404,$AC9))</f>
        <v/>
      </c>
      <c r="C9" s="68">
        <f>IF($AD9&lt;&gt;"D","",INDEX($AX$5:$AX$404,$AC9))</f>
        <v/>
      </c>
      <c r="D9" s="70">
        <f>IF($AD9&lt;&gt;"D","",INDEX($BA$5:$BA$404,$AC9))</f>
        <v/>
      </c>
      <c r="E9" s="31">
        <f>IF($AD9="Z",SUM($AR$5:$AR$404),IF($AD9="D",INDEX($AR$5:$AR$404,$AC9),IF($AD9="T",SUMIF($X$5:$X$404,$AF9,$AR$5:$AR$404),IF($AD9="B",SUMIF($AN$5:$AN$404,$AQ9,$AR$5:$AR$404),""))))</f>
        <v/>
      </c>
      <c r="F9" s="32">
        <f>IF($AD9="Z",ROUND(SUM($AS$5:$AS$404),2),IF($AD9="D",INDEX($AS$5:$AS$404,$AC9),IF($AD9="T",ROUND(SUMIF($X$5:$X$404,$AF9,$AS$5:$AS$404),2),IF($AD9="B",ROUND(SUMIF($AN$5:$AN$404,$AQ9,$AS$5:$AS$404),2),""))))</f>
        <v/>
      </c>
      <c r="G9" s="32">
        <f>IF($AD9&lt;&gt;"D","",INDEX($AT$5:$AT$404,$AC9))</f>
        <v/>
      </c>
      <c r="H9" s="32">
        <f>IF($AD9&lt;&gt;"D","",INDEX($BC$5:$BC$404,$AC9))</f>
        <v/>
      </c>
      <c r="I9" s="32">
        <f>IF($AD9&lt;&gt;"D","",INDEX($BD$5:$BD$404,$AC9))</f>
        <v/>
      </c>
      <c r="J9" s="46">
        <f>IF($AD9&lt;&gt;"D","",IF(N($B9)=0,"",ROUND($I9/$B9,4)))</f>
        <v/>
      </c>
      <c r="K9" s="32">
        <f>IF($AD9="Z",ROUND(SUM($AU$5:$AU$404),2),IF($AD9="D",INDEX($AU$5:$AU$404,$AC9),IF($AD9="T",ROUND(SUMIF($X$5:$X$404,$AF9,$AU$5:$AU$404),2),IF($AD9="B",ROUND(SUMIF($AN$5:$AN$404,$AQ9,$AU$5:$AU$404),2),""))))</f>
        <v/>
      </c>
      <c r="L9" s="32">
        <f>IF($AD9="Z",ROUND(SUM($AV$5:$AV$404),2),IF($AD9="D",INDEX($AV$5:$AV$404,$AC9),IF($AD9="T",ROUND(SUMIF($X$5:$X$404,$AF9,$AV$5:$AV$404),2),IF($AD9="B",ROUND(SUMIF($AN$5:$AN$404,$AQ9,$AV$5:$AV$404),2),""))))</f>
        <v/>
      </c>
      <c r="M9" s="32">
        <f>IF($AD9="Z",ROUND(SUM($AJ$5:$AJ$704),2),IF($AD9="B",ROUND(SUMIF($AQ$5:$AQ$704,$AQ9,$AJ$5:$AJ$704),2),IF($AD9&lt;&gt;"T","",$AJ9)))</f>
        <v/>
      </c>
      <c r="N9" s="32">
        <f>IF(OR($AD9="D",$AD9="T",$AD9="B",$AD9="Z"),ROUND(N($K9)-N($L9)-N($M9),2),"")</f>
        <v/>
      </c>
      <c r="O9" s="32">
        <f>IF(OR($AD9="D",$AD9="T",$AD9="B",$AD9="Z"),IF(N($E9)=0,"",ROUND($F9/$E9,2)),"")</f>
        <v/>
      </c>
      <c r="Q9">
        <f>IFERROR(MATCH(5,บันทึกรายเที่ยว!$Z$6:$Z$6005,0),"")</f>
        <v/>
      </c>
      <c r="R9">
        <f>IF($Q9="","",INDEX(บันทึกรายเที่ยว!$V$6:$V$6005,$Q9))</f>
        <v/>
      </c>
      <c r="S9">
        <f>IF($Q9="","",INDEX(บันทึกรายเที่ยว!$F$6:$F$6005,$Q9))</f>
        <v/>
      </c>
      <c r="T9">
        <f>IF($Q9="","",MATCH($S9,บันทึกรายเที่ยว!$F$6:$F$6005,0))</f>
        <v/>
      </c>
      <c r="U9">
        <f>IF($Q9="","",$AL9*10000000+$T9*1000+5)</f>
        <v/>
      </c>
      <c r="V9">
        <f>IFERROR(MATCH(SMALL($U$5:$U$404,5),$U$5:$U$404,0),"")</f>
        <v/>
      </c>
      <c r="W9">
        <f>IF($V9="","",INDEX($Q$5:$Q$404,$V9))</f>
        <v/>
      </c>
      <c r="X9">
        <f>IF($V9="","",INDEX($S$5:$S$404,$V9))</f>
        <v/>
      </c>
      <c r="Y9">
        <f>IF($V9="","",INDEX($R$5:$R$404,$V9))</f>
        <v/>
      </c>
      <c r="Z9">
        <f>IF($V9="",0,IF($X9&lt;&gt;$X8,1,0))</f>
        <v/>
      </c>
      <c r="AA9">
        <f>IF($V9="",0,IF($V10="",1,IF($X10&lt;&gt;$X9,1,0)))</f>
        <v/>
      </c>
      <c r="AB9">
        <f>IF($V9="",99999+5,$AB8+1+$Z8+$AA8+$AO8)</f>
        <v/>
      </c>
      <c r="AC9">
        <f>IFERROR(MATCH(5,$AB$5:$AB$404,1),"")</f>
        <v/>
      </c>
      <c r="AD9">
        <f>IF(5=$AI$1+1,"Z",IF($AC9="","",IF(INDEX($V$5:$V$404,$AC9)="","",IF(5&gt;INDEX($AB$5:$AB$404,$AC9)+INDEX($Z$5:$Z$404,$AC9)+INDEX($AA$5:$AA$404,$AC9)+INDEX($AO$5:$AO$404,$AC9),"",IF(5=INDEX($AB$5:$AB$404,$AC9)+INDEX($Z$5:$Z$404,$AC9),"D",IF(AND(INDEX($Z$5:$Z$404,$AC9)=1,5=INDEX($AB$5:$AB$404,$AC9)),"H",IF(AND(INDEX($AO$5:$AO$404,$AC9)=1,5=INDEX($AB$5:$AB$404,$AC9)+INDEX($Z$5:$Z$404,$AC9)+INDEX($AA$5:$AA$404,$AC9)+INDEX($AO$5:$AO$404,$AC9)),"B","T")))))))</f>
        <v/>
      </c>
      <c r="AF9">
        <f>IF(OR($AD9="",$AD9="Z",$AD9="B"),"",INDEX($X$5:$X$404,$AC9))</f>
        <v/>
      </c>
      <c r="AJ9">
        <f>IF($AD9&lt;&gt;"T",0,ROUND(SUMIF(oil!$B$4:$B$63,$AF9,oil!$AE$4:$AE$63),2))</f>
        <v/>
      </c>
      <c r="AK9">
        <f>IF($S9="","",IFERROR(INDEX(อัตราค่าขนส่ง!$P$5:$P$54,MATCH($S9,อัตราค่าขนส่ง!$O$5:$O$54,0)),INDEX(รายการมาตรฐาน!$G$2:$G$3,1)))</f>
        <v/>
      </c>
      <c r="AL9">
        <f>IF($S9="","",IFERROR(MATCH($AK9,รายการมาตรฐาน!$G$2:$G$3,0),1))</f>
        <v/>
      </c>
      <c r="AM9">
        <f>IF($V9="","",INDEX($AK$5:$AK$404,$V9))</f>
        <v/>
      </c>
      <c r="AN9">
        <f>IF($V9="","",INDEX($AL$5:$AL$404,$V9))</f>
        <v/>
      </c>
      <c r="AO9">
        <f>IF(OR($V9="",$AI$2&lt;=1),0,IF($V10="",1,IF($AN10&lt;&gt;$AN9,1,0)))</f>
        <v/>
      </c>
      <c r="AP9">
        <f>IF($V9="",0,IF($AN9&lt;&gt;$AN8,1,0))</f>
        <v/>
      </c>
      <c r="AQ9">
        <f>IF(OR($AD9="",$AD9="Z"),"",INDEX($AN$5:$AN$404,$AC9))</f>
        <v/>
      </c>
      <c r="AR9">
        <f>IF($Y9="",0,COUNTIF(บันทึกรายเที่ยว!$V$6:$V$6005,$Y9))</f>
        <v/>
      </c>
      <c r="AS9">
        <f>IF($Y9="",0,ROUND(SUMIF(บันทึกรายเที่ยว!$V$6:$V$6005,$Y9,บันทึกรายเที่ยว!$M$6:$M$6005),2))</f>
        <v/>
      </c>
      <c r="AT9">
        <f>IF($Y9="",0,IFERROR(INDEX(อัตราค่าขนส่ง!$G$5:$G$204,MATCH($Y9,อัตราค่าขนส่ง!$M$5:$M$204,0)),0))</f>
        <v/>
      </c>
      <c r="AU9">
        <f>ROUND($AS9*$BD9,2)</f>
        <v/>
      </c>
      <c r="AV9">
        <f>ROUND($AU9*$BF$2/100,2)</f>
        <v/>
      </c>
      <c r="AW9">
        <f>IF($Y9="","",IFERROR(INDEX(อัตราค่าขนส่ง!$F$5:$F$204,MATCH($Y9,อัตราค่าขนส่ง!$M$5:$M$204,0)),""))</f>
        <v/>
      </c>
      <c r="AX9">
        <f>IF($W9="","",INDEX(บันทึกรายเที่ยว!$D$6:$D$6005,$W9))</f>
        <v/>
      </c>
      <c r="AY9">
        <f>IF($W9="","",INDEX(บันทึกรายเที่ยว!$R$6:$R$6005,$W9))</f>
        <v/>
      </c>
      <c r="AZ9">
        <f>IF(AND($AD9="T",$AQ9=1),N($AZ8)+1,N($AZ8))</f>
        <v/>
      </c>
      <c r="BA9">
        <f>IF($W9="","",INDEX(บันทึกรายเที่ยว!$E$6:$E$6005,$W9))</f>
        <v/>
      </c>
      <c r="BC9">
        <f>IF($Y9="",0,IFERROR(INDEX(อัตราค่าขนส่ง!$K$5:$K$204,MATCH($Y9,อัตราค่าขนส่ง!$M$5:$M$204,0)),0))</f>
        <v/>
      </c>
      <c r="BD9">
        <f>IF($Y9="",0,IFERROR(INDEX(อัตราค่าขนส่ง!$L$5:$L$204,MATCH($Y9,อัตราค่าขนส่ง!$M$5:$M$204,0)),0))</f>
        <v/>
      </c>
      <c r="BF9" s="3" t="inlineStr">
        <is>
          <t>ช่วงพิมพ์</t>
        </is>
      </c>
    </row>
    <row r="10" ht="21" customHeight="1" s="66">
      <c r="A10" s="69">
        <f>IF($AD10="","",IF($AD10="Z","รวมจ่ายทั้งสิ้น",IF($AD10="H",INDEX($X$5:$X$404,$AC10),IF($AD10="T","รวม",IF($AD10="B",IFERROR(INDEX(อัตราค่าขนส่ง!$S$5:$S$14,MATCH(INDEX($AM$5:$AM$404,$AC10),อัตราค่าขนส่ง!$R$5:$R$14,0)),"รวมกลุ่ม "&amp;INDEX($AM$5:$AM$404,$AC10)),INDEX($AY$5:$AY$404,$AC10))))))</f>
        <v/>
      </c>
      <c r="B10" s="31">
        <f>IF($AD10&lt;&gt;"D","",INDEX($AW$5:$AW$404,$AC10))</f>
        <v/>
      </c>
      <c r="C10" s="68">
        <f>IF($AD10&lt;&gt;"D","",INDEX($AX$5:$AX$404,$AC10))</f>
        <v/>
      </c>
      <c r="D10" s="70">
        <f>IF($AD10&lt;&gt;"D","",INDEX($BA$5:$BA$404,$AC10))</f>
        <v/>
      </c>
      <c r="E10" s="31">
        <f>IF($AD10="Z",SUM($AR$5:$AR$404),IF($AD10="D",INDEX($AR$5:$AR$404,$AC10),IF($AD10="T",SUMIF($X$5:$X$404,$AF10,$AR$5:$AR$404),IF($AD10="B",SUMIF($AN$5:$AN$404,$AQ10,$AR$5:$AR$404),""))))</f>
        <v/>
      </c>
      <c r="F10" s="32">
        <f>IF($AD10="Z",ROUND(SUM($AS$5:$AS$404),2),IF($AD10="D",INDEX($AS$5:$AS$404,$AC10),IF($AD10="T",ROUND(SUMIF($X$5:$X$404,$AF10,$AS$5:$AS$404),2),IF($AD10="B",ROUND(SUMIF($AN$5:$AN$404,$AQ10,$AS$5:$AS$404),2),""))))</f>
        <v/>
      </c>
      <c r="G10" s="32">
        <f>IF($AD10&lt;&gt;"D","",INDEX($AT$5:$AT$404,$AC10))</f>
        <v/>
      </c>
      <c r="H10" s="32">
        <f>IF($AD10&lt;&gt;"D","",INDEX($BC$5:$BC$404,$AC10))</f>
        <v/>
      </c>
      <c r="I10" s="32">
        <f>IF($AD10&lt;&gt;"D","",INDEX($BD$5:$BD$404,$AC10))</f>
        <v/>
      </c>
      <c r="J10" s="46">
        <f>IF($AD10&lt;&gt;"D","",IF(N($B10)=0,"",ROUND($I10/$B10,4)))</f>
        <v/>
      </c>
      <c r="K10" s="32">
        <f>IF($AD10="Z",ROUND(SUM($AU$5:$AU$404),2),IF($AD10="D",INDEX($AU$5:$AU$404,$AC10),IF($AD10="T",ROUND(SUMIF($X$5:$X$404,$AF10,$AU$5:$AU$404),2),IF($AD10="B",ROUND(SUMIF($AN$5:$AN$404,$AQ10,$AU$5:$AU$404),2),""))))</f>
        <v/>
      </c>
      <c r="L10" s="32">
        <f>IF($AD10="Z",ROUND(SUM($AV$5:$AV$404),2),IF($AD10="D",INDEX($AV$5:$AV$404,$AC10),IF($AD10="T",ROUND(SUMIF($X$5:$X$404,$AF10,$AV$5:$AV$404),2),IF($AD10="B",ROUND(SUMIF($AN$5:$AN$404,$AQ10,$AV$5:$AV$404),2),""))))</f>
        <v/>
      </c>
      <c r="M10" s="32">
        <f>IF($AD10="Z",ROUND(SUM($AJ$5:$AJ$704),2),IF($AD10="B",ROUND(SUMIF($AQ$5:$AQ$704,$AQ10,$AJ$5:$AJ$704),2),IF($AD10&lt;&gt;"T","",$AJ10)))</f>
        <v/>
      </c>
      <c r="N10" s="32">
        <f>IF(OR($AD10="D",$AD10="T",$AD10="B",$AD10="Z"),ROUND(N($K10)-N($L10)-N($M10),2),"")</f>
        <v/>
      </c>
      <c r="O10" s="32">
        <f>IF(OR($AD10="D",$AD10="T",$AD10="B",$AD10="Z"),IF(N($E10)=0,"",ROUND($F10/$E10,2)),"")</f>
        <v/>
      </c>
      <c r="Q10">
        <f>IFERROR(MATCH(6,บันทึกรายเที่ยว!$Z$6:$Z$6005,0),"")</f>
        <v/>
      </c>
      <c r="R10">
        <f>IF($Q10="","",INDEX(บันทึกรายเที่ยว!$V$6:$V$6005,$Q10))</f>
        <v/>
      </c>
      <c r="S10">
        <f>IF($Q10="","",INDEX(บันทึกรายเที่ยว!$F$6:$F$6005,$Q10))</f>
        <v/>
      </c>
      <c r="T10">
        <f>IF($Q10="","",MATCH($S10,บันทึกรายเที่ยว!$F$6:$F$6005,0))</f>
        <v/>
      </c>
      <c r="U10">
        <f>IF($Q10="","",$AL10*10000000+$T10*1000+6)</f>
        <v/>
      </c>
      <c r="V10">
        <f>IFERROR(MATCH(SMALL($U$5:$U$404,6),$U$5:$U$404,0),"")</f>
        <v/>
      </c>
      <c r="W10">
        <f>IF($V10="","",INDEX($Q$5:$Q$404,$V10))</f>
        <v/>
      </c>
      <c r="X10">
        <f>IF($V10="","",INDEX($S$5:$S$404,$V10))</f>
        <v/>
      </c>
      <c r="Y10">
        <f>IF($V10="","",INDEX($R$5:$R$404,$V10))</f>
        <v/>
      </c>
      <c r="Z10">
        <f>IF($V10="",0,IF($X10&lt;&gt;$X9,1,0))</f>
        <v/>
      </c>
      <c r="AA10">
        <f>IF($V10="",0,IF($V11="",1,IF($X11&lt;&gt;$X10,1,0)))</f>
        <v/>
      </c>
      <c r="AB10">
        <f>IF($V10="",99999+6,$AB9+1+$Z9+$AA9+$AO9)</f>
        <v/>
      </c>
      <c r="AC10">
        <f>IFERROR(MATCH(6,$AB$5:$AB$404,1),"")</f>
        <v/>
      </c>
      <c r="AD10">
        <f>IF(6=$AI$1+1,"Z",IF($AC10="","",IF(INDEX($V$5:$V$404,$AC10)="","",IF(6&gt;INDEX($AB$5:$AB$404,$AC10)+INDEX($Z$5:$Z$404,$AC10)+INDEX($AA$5:$AA$404,$AC10)+INDEX($AO$5:$AO$404,$AC10),"",IF(6=INDEX($AB$5:$AB$404,$AC10)+INDEX($Z$5:$Z$404,$AC10),"D",IF(AND(INDEX($Z$5:$Z$404,$AC10)=1,6=INDEX($AB$5:$AB$404,$AC10)),"H",IF(AND(INDEX($AO$5:$AO$404,$AC10)=1,6=INDEX($AB$5:$AB$404,$AC10)+INDEX($Z$5:$Z$404,$AC10)+INDEX($AA$5:$AA$404,$AC10)+INDEX($AO$5:$AO$404,$AC10)),"B","T")))))))</f>
        <v/>
      </c>
      <c r="AF10">
        <f>IF(OR($AD10="",$AD10="Z",$AD10="B"),"",INDEX($X$5:$X$404,$AC10))</f>
        <v/>
      </c>
      <c r="AJ10">
        <f>IF($AD10&lt;&gt;"T",0,ROUND(SUMIF(oil!$B$4:$B$63,$AF10,oil!$AE$4:$AE$63),2))</f>
        <v/>
      </c>
      <c r="AK10">
        <f>IF($S10="","",IFERROR(INDEX(อัตราค่าขนส่ง!$P$5:$P$54,MATCH($S10,อัตราค่าขนส่ง!$O$5:$O$54,0)),INDEX(รายการมาตรฐาน!$G$2:$G$3,1)))</f>
        <v/>
      </c>
      <c r="AL10">
        <f>IF($S10="","",IFERROR(MATCH($AK10,รายการมาตรฐาน!$G$2:$G$3,0),1))</f>
        <v/>
      </c>
      <c r="AM10">
        <f>IF($V10="","",INDEX($AK$5:$AK$404,$V10))</f>
        <v/>
      </c>
      <c r="AN10">
        <f>IF($V10="","",INDEX($AL$5:$AL$404,$V10))</f>
        <v/>
      </c>
      <c r="AO10">
        <f>IF(OR($V10="",$AI$2&lt;=1),0,IF($V11="",1,IF($AN11&lt;&gt;$AN10,1,0)))</f>
        <v/>
      </c>
      <c r="AP10">
        <f>IF($V10="",0,IF($AN10&lt;&gt;$AN9,1,0))</f>
        <v/>
      </c>
      <c r="AQ10">
        <f>IF(OR($AD10="",$AD10="Z"),"",INDEX($AN$5:$AN$404,$AC10))</f>
        <v/>
      </c>
      <c r="AR10">
        <f>IF($Y10="",0,COUNTIF(บันทึกรายเที่ยว!$V$6:$V$6005,$Y10))</f>
        <v/>
      </c>
      <c r="AS10">
        <f>IF($Y10="",0,ROUND(SUMIF(บันทึกรายเที่ยว!$V$6:$V$6005,$Y10,บันทึกรายเที่ยว!$M$6:$M$6005),2))</f>
        <v/>
      </c>
      <c r="AT10">
        <f>IF($Y10="",0,IFERROR(INDEX(อัตราค่าขนส่ง!$G$5:$G$204,MATCH($Y10,อัตราค่าขนส่ง!$M$5:$M$204,0)),0))</f>
        <v/>
      </c>
      <c r="AU10">
        <f>ROUND($AS10*$BD10,2)</f>
        <v/>
      </c>
      <c r="AV10">
        <f>ROUND($AU10*$BF$2/100,2)</f>
        <v/>
      </c>
      <c r="AW10">
        <f>IF($Y10="","",IFERROR(INDEX(อัตราค่าขนส่ง!$F$5:$F$204,MATCH($Y10,อัตราค่าขนส่ง!$M$5:$M$204,0)),""))</f>
        <v/>
      </c>
      <c r="AX10">
        <f>IF($W10="","",INDEX(บันทึกรายเที่ยว!$D$6:$D$6005,$W10))</f>
        <v/>
      </c>
      <c r="AY10">
        <f>IF($W10="","",INDEX(บันทึกรายเที่ยว!$R$6:$R$6005,$W10))</f>
        <v/>
      </c>
      <c r="AZ10">
        <f>IF(AND($AD10="T",$AQ10=1),N($AZ9)+1,N($AZ9))</f>
        <v/>
      </c>
      <c r="BA10">
        <f>IF($W10="","",INDEX(บันทึกรายเที่ยว!$E$6:$E$6005,$W10))</f>
        <v/>
      </c>
      <c r="BC10">
        <f>IF($Y10="",0,IFERROR(INDEX(อัตราค่าขนส่ง!$K$5:$K$204,MATCH($Y10,อัตราค่าขนส่ง!$M$5:$M$204,0)),0))</f>
        <v/>
      </c>
      <c r="BD10">
        <f>IF($Y10="",0,IFERROR(INDEX(อัตราค่าขนส่ง!$L$5:$L$204,MATCH($Y10,อัตราค่าขนส่ง!$M$5:$M$204,0)),0))</f>
        <v/>
      </c>
      <c r="BF10" s="40">
        <f>"A1:O"&amp;(5-1+$AI$1+1)</f>
        <v/>
      </c>
    </row>
    <row r="11" ht="21" customHeight="1" s="66">
      <c r="A11" s="69">
        <f>IF($AD11="","",IF($AD11="Z","รวมจ่ายทั้งสิ้น",IF($AD11="H",INDEX($X$5:$X$404,$AC11),IF($AD11="T","รวม",IF($AD11="B",IFERROR(INDEX(อัตราค่าขนส่ง!$S$5:$S$14,MATCH(INDEX($AM$5:$AM$404,$AC11),อัตราค่าขนส่ง!$R$5:$R$14,0)),"รวมกลุ่ม "&amp;INDEX($AM$5:$AM$404,$AC11)),INDEX($AY$5:$AY$404,$AC11))))))</f>
        <v/>
      </c>
      <c r="B11" s="31">
        <f>IF($AD11&lt;&gt;"D","",INDEX($AW$5:$AW$404,$AC11))</f>
        <v/>
      </c>
      <c r="C11" s="68">
        <f>IF($AD11&lt;&gt;"D","",INDEX($AX$5:$AX$404,$AC11))</f>
        <v/>
      </c>
      <c r="D11" s="70">
        <f>IF($AD11&lt;&gt;"D","",INDEX($BA$5:$BA$404,$AC11))</f>
        <v/>
      </c>
      <c r="E11" s="31">
        <f>IF($AD11="Z",SUM($AR$5:$AR$404),IF($AD11="D",INDEX($AR$5:$AR$404,$AC11),IF($AD11="T",SUMIF($X$5:$X$404,$AF11,$AR$5:$AR$404),IF($AD11="B",SUMIF($AN$5:$AN$404,$AQ11,$AR$5:$AR$404),""))))</f>
        <v/>
      </c>
      <c r="F11" s="32">
        <f>IF($AD11="Z",ROUND(SUM($AS$5:$AS$404),2),IF($AD11="D",INDEX($AS$5:$AS$404,$AC11),IF($AD11="T",ROUND(SUMIF($X$5:$X$404,$AF11,$AS$5:$AS$404),2),IF($AD11="B",ROUND(SUMIF($AN$5:$AN$404,$AQ11,$AS$5:$AS$404),2),""))))</f>
        <v/>
      </c>
      <c r="G11" s="32">
        <f>IF($AD11&lt;&gt;"D","",INDEX($AT$5:$AT$404,$AC11))</f>
        <v/>
      </c>
      <c r="H11" s="32">
        <f>IF($AD11&lt;&gt;"D","",INDEX($BC$5:$BC$404,$AC11))</f>
        <v/>
      </c>
      <c r="I11" s="32">
        <f>IF($AD11&lt;&gt;"D","",INDEX($BD$5:$BD$404,$AC11))</f>
        <v/>
      </c>
      <c r="J11" s="46">
        <f>IF($AD11&lt;&gt;"D","",IF(N($B11)=0,"",ROUND($I11/$B11,4)))</f>
        <v/>
      </c>
      <c r="K11" s="32">
        <f>IF($AD11="Z",ROUND(SUM($AU$5:$AU$404),2),IF($AD11="D",INDEX($AU$5:$AU$404,$AC11),IF($AD11="T",ROUND(SUMIF($X$5:$X$404,$AF11,$AU$5:$AU$404),2),IF($AD11="B",ROUND(SUMIF($AN$5:$AN$404,$AQ11,$AU$5:$AU$404),2),""))))</f>
        <v/>
      </c>
      <c r="L11" s="32">
        <f>IF($AD11="Z",ROUND(SUM($AV$5:$AV$404),2),IF($AD11="D",INDEX($AV$5:$AV$404,$AC11),IF($AD11="T",ROUND(SUMIF($X$5:$X$404,$AF11,$AV$5:$AV$404),2),IF($AD11="B",ROUND(SUMIF($AN$5:$AN$404,$AQ11,$AV$5:$AV$404),2),""))))</f>
        <v/>
      </c>
      <c r="M11" s="32">
        <f>IF($AD11="Z",ROUND(SUM($AJ$5:$AJ$704),2),IF($AD11="B",ROUND(SUMIF($AQ$5:$AQ$704,$AQ11,$AJ$5:$AJ$704),2),IF($AD11&lt;&gt;"T","",$AJ11)))</f>
        <v/>
      </c>
      <c r="N11" s="32">
        <f>IF(OR($AD11="D",$AD11="T",$AD11="B",$AD11="Z"),ROUND(N($K11)-N($L11)-N($M11),2),"")</f>
        <v/>
      </c>
      <c r="O11" s="32">
        <f>IF(OR($AD11="D",$AD11="T",$AD11="B",$AD11="Z"),IF(N($E11)=0,"",ROUND($F11/$E11,2)),"")</f>
        <v/>
      </c>
      <c r="Q11">
        <f>IFERROR(MATCH(7,บันทึกรายเที่ยว!$Z$6:$Z$6005,0),"")</f>
        <v/>
      </c>
      <c r="R11">
        <f>IF($Q11="","",INDEX(บันทึกรายเที่ยว!$V$6:$V$6005,$Q11))</f>
        <v/>
      </c>
      <c r="S11">
        <f>IF($Q11="","",INDEX(บันทึกรายเที่ยว!$F$6:$F$6005,$Q11))</f>
        <v/>
      </c>
      <c r="T11">
        <f>IF($Q11="","",MATCH($S11,บันทึกรายเที่ยว!$F$6:$F$6005,0))</f>
        <v/>
      </c>
      <c r="U11">
        <f>IF($Q11="","",$AL11*10000000+$T11*1000+7)</f>
        <v/>
      </c>
      <c r="V11">
        <f>IFERROR(MATCH(SMALL($U$5:$U$404,7),$U$5:$U$404,0),"")</f>
        <v/>
      </c>
      <c r="W11">
        <f>IF($V11="","",INDEX($Q$5:$Q$404,$V11))</f>
        <v/>
      </c>
      <c r="X11">
        <f>IF($V11="","",INDEX($S$5:$S$404,$V11))</f>
        <v/>
      </c>
      <c r="Y11">
        <f>IF($V11="","",INDEX($R$5:$R$404,$V11))</f>
        <v/>
      </c>
      <c r="Z11">
        <f>IF($V11="",0,IF($X11&lt;&gt;$X10,1,0))</f>
        <v/>
      </c>
      <c r="AA11">
        <f>IF($V11="",0,IF($V12="",1,IF($X12&lt;&gt;$X11,1,0)))</f>
        <v/>
      </c>
      <c r="AB11">
        <f>IF($V11="",99999+7,$AB10+1+$Z10+$AA10+$AO10)</f>
        <v/>
      </c>
      <c r="AC11">
        <f>IFERROR(MATCH(7,$AB$5:$AB$404,1),"")</f>
        <v/>
      </c>
      <c r="AD11">
        <f>IF(7=$AI$1+1,"Z",IF($AC11="","",IF(INDEX($V$5:$V$404,$AC11)="","",IF(7&gt;INDEX($AB$5:$AB$404,$AC11)+INDEX($Z$5:$Z$404,$AC11)+INDEX($AA$5:$AA$404,$AC11)+INDEX($AO$5:$AO$404,$AC11),"",IF(7=INDEX($AB$5:$AB$404,$AC11)+INDEX($Z$5:$Z$404,$AC11),"D",IF(AND(INDEX($Z$5:$Z$404,$AC11)=1,7=INDEX($AB$5:$AB$404,$AC11)),"H",IF(AND(INDEX($AO$5:$AO$404,$AC11)=1,7=INDEX($AB$5:$AB$404,$AC11)+INDEX($Z$5:$Z$404,$AC11)+INDEX($AA$5:$AA$404,$AC11)+INDEX($AO$5:$AO$404,$AC11)),"B","T")))))))</f>
        <v/>
      </c>
      <c r="AF11">
        <f>IF(OR($AD11="",$AD11="Z",$AD11="B"),"",INDEX($X$5:$X$404,$AC11))</f>
        <v/>
      </c>
      <c r="AJ11">
        <f>IF($AD11&lt;&gt;"T",0,ROUND(SUMIF(oil!$B$4:$B$63,$AF11,oil!$AE$4:$AE$63),2))</f>
        <v/>
      </c>
      <c r="AK11">
        <f>IF($S11="","",IFERROR(INDEX(อัตราค่าขนส่ง!$P$5:$P$54,MATCH($S11,อัตราค่าขนส่ง!$O$5:$O$54,0)),INDEX(รายการมาตรฐาน!$G$2:$G$3,1)))</f>
        <v/>
      </c>
      <c r="AL11">
        <f>IF($S11="","",IFERROR(MATCH($AK11,รายการมาตรฐาน!$G$2:$G$3,0),1))</f>
        <v/>
      </c>
      <c r="AM11">
        <f>IF($V11="","",INDEX($AK$5:$AK$404,$V11))</f>
        <v/>
      </c>
      <c r="AN11">
        <f>IF($V11="","",INDEX($AL$5:$AL$404,$V11))</f>
        <v/>
      </c>
      <c r="AO11">
        <f>IF(OR($V11="",$AI$2&lt;=1),0,IF($V12="",1,IF($AN12&lt;&gt;$AN11,1,0)))</f>
        <v/>
      </c>
      <c r="AP11">
        <f>IF($V11="",0,IF($AN11&lt;&gt;$AN10,1,0))</f>
        <v/>
      </c>
      <c r="AQ11">
        <f>IF(OR($AD11="",$AD11="Z"),"",INDEX($AN$5:$AN$404,$AC11))</f>
        <v/>
      </c>
      <c r="AR11">
        <f>IF($Y11="",0,COUNTIF(บันทึกรายเที่ยว!$V$6:$V$6005,$Y11))</f>
        <v/>
      </c>
      <c r="AS11">
        <f>IF($Y11="",0,ROUND(SUMIF(บันทึกรายเที่ยว!$V$6:$V$6005,$Y11,บันทึกรายเที่ยว!$M$6:$M$6005),2))</f>
        <v/>
      </c>
      <c r="AT11">
        <f>IF($Y11="",0,IFERROR(INDEX(อัตราค่าขนส่ง!$G$5:$G$204,MATCH($Y11,อัตราค่าขนส่ง!$M$5:$M$204,0)),0))</f>
        <v/>
      </c>
      <c r="AU11">
        <f>ROUND($AS11*$BD11,2)</f>
        <v/>
      </c>
      <c r="AV11">
        <f>ROUND($AU11*$BF$2/100,2)</f>
        <v/>
      </c>
      <c r="AW11">
        <f>IF($Y11="","",IFERROR(INDEX(อัตราค่าขนส่ง!$F$5:$F$204,MATCH($Y11,อัตราค่าขนส่ง!$M$5:$M$204,0)),""))</f>
        <v/>
      </c>
      <c r="AX11">
        <f>IF($W11="","",INDEX(บันทึกรายเที่ยว!$D$6:$D$6005,$W11))</f>
        <v/>
      </c>
      <c r="AY11">
        <f>IF($W11="","",INDEX(บันทึกรายเที่ยว!$R$6:$R$6005,$W11))</f>
        <v/>
      </c>
      <c r="AZ11">
        <f>IF(AND($AD11="T",$AQ11=1),N($AZ10)+1,N($AZ10))</f>
        <v/>
      </c>
      <c r="BA11">
        <f>IF($W11="","",INDEX(บันทึกรายเที่ยว!$E$6:$E$6005,$W11))</f>
        <v/>
      </c>
      <c r="BC11">
        <f>IF($Y11="",0,IFERROR(INDEX(อัตราค่าขนส่ง!$K$5:$K$204,MATCH($Y11,อัตราค่าขนส่ง!$M$5:$M$204,0)),0))</f>
        <v/>
      </c>
      <c r="BD11">
        <f>IF($Y11="",0,IFERROR(INDEX(อัตราค่าขนส่ง!$L$5:$L$204,MATCH($Y11,อัตราค่าขนส่ง!$M$5:$M$204,0)),0))</f>
        <v/>
      </c>
      <c r="BF11" s="3" t="inlineStr">
        <is>
          <t>กลุ่มจ่ายที่มีเดือนนี้</t>
        </is>
      </c>
    </row>
    <row r="12" ht="21" customHeight="1" s="66">
      <c r="A12" s="69">
        <f>IF($AD12="","",IF($AD12="Z","รวมจ่ายทั้งสิ้น",IF($AD12="H",INDEX($X$5:$X$404,$AC12),IF($AD12="T","รวม",IF($AD12="B",IFERROR(INDEX(อัตราค่าขนส่ง!$S$5:$S$14,MATCH(INDEX($AM$5:$AM$404,$AC12),อัตราค่าขนส่ง!$R$5:$R$14,0)),"รวมกลุ่ม "&amp;INDEX($AM$5:$AM$404,$AC12)),INDEX($AY$5:$AY$404,$AC12))))))</f>
        <v/>
      </c>
      <c r="B12" s="31">
        <f>IF($AD12&lt;&gt;"D","",INDEX($AW$5:$AW$404,$AC12))</f>
        <v/>
      </c>
      <c r="C12" s="68">
        <f>IF($AD12&lt;&gt;"D","",INDEX($AX$5:$AX$404,$AC12))</f>
        <v/>
      </c>
      <c r="D12" s="70">
        <f>IF($AD12&lt;&gt;"D","",INDEX($BA$5:$BA$404,$AC12))</f>
        <v/>
      </c>
      <c r="E12" s="31">
        <f>IF($AD12="Z",SUM($AR$5:$AR$404),IF($AD12="D",INDEX($AR$5:$AR$404,$AC12),IF($AD12="T",SUMIF($X$5:$X$404,$AF12,$AR$5:$AR$404),IF($AD12="B",SUMIF($AN$5:$AN$404,$AQ12,$AR$5:$AR$404),""))))</f>
        <v/>
      </c>
      <c r="F12" s="32">
        <f>IF($AD12="Z",ROUND(SUM($AS$5:$AS$404),2),IF($AD12="D",INDEX($AS$5:$AS$404,$AC12),IF($AD12="T",ROUND(SUMIF($X$5:$X$404,$AF12,$AS$5:$AS$404),2),IF($AD12="B",ROUND(SUMIF($AN$5:$AN$404,$AQ12,$AS$5:$AS$404),2),""))))</f>
        <v/>
      </c>
      <c r="G12" s="32">
        <f>IF($AD12&lt;&gt;"D","",INDEX($AT$5:$AT$404,$AC12))</f>
        <v/>
      </c>
      <c r="H12" s="32">
        <f>IF($AD12&lt;&gt;"D","",INDEX($BC$5:$BC$404,$AC12))</f>
        <v/>
      </c>
      <c r="I12" s="32">
        <f>IF($AD12&lt;&gt;"D","",INDEX($BD$5:$BD$404,$AC12))</f>
        <v/>
      </c>
      <c r="J12" s="46">
        <f>IF($AD12&lt;&gt;"D","",IF(N($B12)=0,"",ROUND($I12/$B12,4)))</f>
        <v/>
      </c>
      <c r="K12" s="32">
        <f>IF($AD12="Z",ROUND(SUM($AU$5:$AU$404),2),IF($AD12="D",INDEX($AU$5:$AU$404,$AC12),IF($AD12="T",ROUND(SUMIF($X$5:$X$404,$AF12,$AU$5:$AU$404),2),IF($AD12="B",ROUND(SUMIF($AN$5:$AN$404,$AQ12,$AU$5:$AU$404),2),""))))</f>
        <v/>
      </c>
      <c r="L12" s="32">
        <f>IF($AD12="Z",ROUND(SUM($AV$5:$AV$404),2),IF($AD12="D",INDEX($AV$5:$AV$404,$AC12),IF($AD12="T",ROUND(SUMIF($X$5:$X$404,$AF12,$AV$5:$AV$404),2),IF($AD12="B",ROUND(SUMIF($AN$5:$AN$404,$AQ12,$AV$5:$AV$404),2),""))))</f>
        <v/>
      </c>
      <c r="M12" s="32">
        <f>IF($AD12="Z",ROUND(SUM($AJ$5:$AJ$704),2),IF($AD12="B",ROUND(SUMIF($AQ$5:$AQ$704,$AQ12,$AJ$5:$AJ$704),2),IF($AD12&lt;&gt;"T","",$AJ12)))</f>
        <v/>
      </c>
      <c r="N12" s="32">
        <f>IF(OR($AD12="D",$AD12="T",$AD12="B",$AD12="Z"),ROUND(N($K12)-N($L12)-N($M12),2),"")</f>
        <v/>
      </c>
      <c r="O12" s="32">
        <f>IF(OR($AD12="D",$AD12="T",$AD12="B",$AD12="Z"),IF(N($E12)=0,"",ROUND($F12/$E12,2)),"")</f>
        <v/>
      </c>
      <c r="Q12">
        <f>IFERROR(MATCH(8,บันทึกรายเที่ยว!$Z$6:$Z$6005,0),"")</f>
        <v/>
      </c>
      <c r="R12">
        <f>IF($Q12="","",INDEX(บันทึกรายเที่ยว!$V$6:$V$6005,$Q12))</f>
        <v/>
      </c>
      <c r="S12">
        <f>IF($Q12="","",INDEX(บันทึกรายเที่ยว!$F$6:$F$6005,$Q12))</f>
        <v/>
      </c>
      <c r="T12">
        <f>IF($Q12="","",MATCH($S12,บันทึกรายเที่ยว!$F$6:$F$6005,0))</f>
        <v/>
      </c>
      <c r="U12">
        <f>IF($Q12="","",$AL12*10000000+$T12*1000+8)</f>
        <v/>
      </c>
      <c r="V12">
        <f>IFERROR(MATCH(SMALL($U$5:$U$404,8),$U$5:$U$404,0),"")</f>
        <v/>
      </c>
      <c r="W12">
        <f>IF($V12="","",INDEX($Q$5:$Q$404,$V12))</f>
        <v/>
      </c>
      <c r="X12">
        <f>IF($V12="","",INDEX($S$5:$S$404,$V12))</f>
        <v/>
      </c>
      <c r="Y12">
        <f>IF($V12="","",INDEX($R$5:$R$404,$V12))</f>
        <v/>
      </c>
      <c r="Z12">
        <f>IF($V12="",0,IF($X12&lt;&gt;$X11,1,0))</f>
        <v/>
      </c>
      <c r="AA12">
        <f>IF($V12="",0,IF($V13="",1,IF($X13&lt;&gt;$X12,1,0)))</f>
        <v/>
      </c>
      <c r="AB12">
        <f>IF($V12="",99999+8,$AB11+1+$Z11+$AA11+$AO11)</f>
        <v/>
      </c>
      <c r="AC12">
        <f>IFERROR(MATCH(8,$AB$5:$AB$404,1),"")</f>
        <v/>
      </c>
      <c r="AD12">
        <f>IF(8=$AI$1+1,"Z",IF($AC12="","",IF(INDEX($V$5:$V$404,$AC12)="","",IF(8&gt;INDEX($AB$5:$AB$404,$AC12)+INDEX($Z$5:$Z$404,$AC12)+INDEX($AA$5:$AA$404,$AC12)+INDEX($AO$5:$AO$404,$AC12),"",IF(8=INDEX($AB$5:$AB$404,$AC12)+INDEX($Z$5:$Z$404,$AC12),"D",IF(AND(INDEX($Z$5:$Z$404,$AC12)=1,8=INDEX($AB$5:$AB$404,$AC12)),"H",IF(AND(INDEX($AO$5:$AO$404,$AC12)=1,8=INDEX($AB$5:$AB$404,$AC12)+INDEX($Z$5:$Z$404,$AC12)+INDEX($AA$5:$AA$404,$AC12)+INDEX($AO$5:$AO$404,$AC12)),"B","T")))))))</f>
        <v/>
      </c>
      <c r="AF12">
        <f>IF(OR($AD12="",$AD12="Z",$AD12="B"),"",INDEX($X$5:$X$404,$AC12))</f>
        <v/>
      </c>
      <c r="AJ12">
        <f>IF($AD12&lt;&gt;"T",0,ROUND(SUMIF(oil!$B$4:$B$63,$AF12,oil!$AE$4:$AE$63),2))</f>
        <v/>
      </c>
      <c r="AK12">
        <f>IF($S12="","",IFERROR(INDEX(อัตราค่าขนส่ง!$P$5:$P$54,MATCH($S12,อัตราค่าขนส่ง!$O$5:$O$54,0)),INDEX(รายการมาตรฐาน!$G$2:$G$3,1)))</f>
        <v/>
      </c>
      <c r="AL12">
        <f>IF($S12="","",IFERROR(MATCH($AK12,รายการมาตรฐาน!$G$2:$G$3,0),1))</f>
        <v/>
      </c>
      <c r="AM12">
        <f>IF($V12="","",INDEX($AK$5:$AK$404,$V12))</f>
        <v/>
      </c>
      <c r="AN12">
        <f>IF($V12="","",INDEX($AL$5:$AL$404,$V12))</f>
        <v/>
      </c>
      <c r="AO12">
        <f>IF(OR($V12="",$AI$2&lt;=1),0,IF($V13="",1,IF($AN13&lt;&gt;$AN12,1,0)))</f>
        <v/>
      </c>
      <c r="AP12">
        <f>IF($V12="",0,IF($AN12&lt;&gt;$AN11,1,0))</f>
        <v/>
      </c>
      <c r="AQ12">
        <f>IF(OR($AD12="",$AD12="Z"),"",INDEX($AN$5:$AN$404,$AC12))</f>
        <v/>
      </c>
      <c r="AR12">
        <f>IF($Y12="",0,COUNTIF(บันทึกรายเที่ยว!$V$6:$V$6005,$Y12))</f>
        <v/>
      </c>
      <c r="AS12">
        <f>IF($Y12="",0,ROUND(SUMIF(บันทึกรายเที่ยว!$V$6:$V$6005,$Y12,บันทึกรายเที่ยว!$M$6:$M$6005),2))</f>
        <v/>
      </c>
      <c r="AT12">
        <f>IF($Y12="",0,IFERROR(INDEX(อัตราค่าขนส่ง!$G$5:$G$204,MATCH($Y12,อัตราค่าขนส่ง!$M$5:$M$204,0)),0))</f>
        <v/>
      </c>
      <c r="AU12">
        <f>ROUND($AS12*$BD12,2)</f>
        <v/>
      </c>
      <c r="AV12">
        <f>ROUND($AU12*$BF$2/100,2)</f>
        <v/>
      </c>
      <c r="AW12">
        <f>IF($Y12="","",IFERROR(INDEX(อัตราค่าขนส่ง!$F$5:$F$204,MATCH($Y12,อัตราค่าขนส่ง!$M$5:$M$204,0)),""))</f>
        <v/>
      </c>
      <c r="AX12">
        <f>IF($W12="","",INDEX(บันทึกรายเที่ยว!$D$6:$D$6005,$W12))</f>
        <v/>
      </c>
      <c r="AY12">
        <f>IF($W12="","",INDEX(บันทึกรายเที่ยว!$R$6:$R$6005,$W12))</f>
        <v/>
      </c>
      <c r="AZ12">
        <f>IF(AND($AD12="T",$AQ12=1),N($AZ11)+1,N($AZ11))</f>
        <v/>
      </c>
      <c r="BA12">
        <f>IF($W12="","",INDEX(บันทึกรายเที่ยว!$E$6:$E$6005,$W12))</f>
        <v/>
      </c>
      <c r="BC12">
        <f>IF($Y12="",0,IFERROR(INDEX(อัตราค่าขนส่ง!$K$5:$K$204,MATCH($Y12,อัตราค่าขนส่ง!$M$5:$M$204,0)),0))</f>
        <v/>
      </c>
      <c r="BD12">
        <f>IF($Y12="",0,IFERROR(INDEX(อัตราค่าขนส่ง!$L$5:$L$204,MATCH($Y12,อัตราค่าขนส่ง!$M$5:$M$204,0)),0))</f>
        <v/>
      </c>
      <c r="BF12" s="40">
        <f>$AI$2</f>
        <v/>
      </c>
    </row>
    <row r="13" ht="21" customHeight="1" s="66">
      <c r="A13" s="69">
        <f>IF($AD13="","",IF($AD13="Z","รวมจ่ายทั้งสิ้น",IF($AD13="H",INDEX($X$5:$X$404,$AC13),IF($AD13="T","รวม",IF($AD13="B",IFERROR(INDEX(อัตราค่าขนส่ง!$S$5:$S$14,MATCH(INDEX($AM$5:$AM$404,$AC13),อัตราค่าขนส่ง!$R$5:$R$14,0)),"รวมกลุ่ม "&amp;INDEX($AM$5:$AM$404,$AC13)),INDEX($AY$5:$AY$404,$AC13))))))</f>
        <v/>
      </c>
      <c r="B13" s="31">
        <f>IF($AD13&lt;&gt;"D","",INDEX($AW$5:$AW$404,$AC13))</f>
        <v/>
      </c>
      <c r="C13" s="68">
        <f>IF($AD13&lt;&gt;"D","",INDEX($AX$5:$AX$404,$AC13))</f>
        <v/>
      </c>
      <c r="D13" s="70">
        <f>IF($AD13&lt;&gt;"D","",INDEX($BA$5:$BA$404,$AC13))</f>
        <v/>
      </c>
      <c r="E13" s="31">
        <f>IF($AD13="Z",SUM($AR$5:$AR$404),IF($AD13="D",INDEX($AR$5:$AR$404,$AC13),IF($AD13="T",SUMIF($X$5:$X$404,$AF13,$AR$5:$AR$404),IF($AD13="B",SUMIF($AN$5:$AN$404,$AQ13,$AR$5:$AR$404),""))))</f>
        <v/>
      </c>
      <c r="F13" s="32">
        <f>IF($AD13="Z",ROUND(SUM($AS$5:$AS$404),2),IF($AD13="D",INDEX($AS$5:$AS$404,$AC13),IF($AD13="T",ROUND(SUMIF($X$5:$X$404,$AF13,$AS$5:$AS$404),2),IF($AD13="B",ROUND(SUMIF($AN$5:$AN$404,$AQ13,$AS$5:$AS$404),2),""))))</f>
        <v/>
      </c>
      <c r="G13" s="32">
        <f>IF($AD13&lt;&gt;"D","",INDEX($AT$5:$AT$404,$AC13))</f>
        <v/>
      </c>
      <c r="H13" s="32">
        <f>IF($AD13&lt;&gt;"D","",INDEX($BC$5:$BC$404,$AC13))</f>
        <v/>
      </c>
      <c r="I13" s="32">
        <f>IF($AD13&lt;&gt;"D","",INDEX($BD$5:$BD$404,$AC13))</f>
        <v/>
      </c>
      <c r="J13" s="46">
        <f>IF($AD13&lt;&gt;"D","",IF(N($B13)=0,"",ROUND($I13/$B13,4)))</f>
        <v/>
      </c>
      <c r="K13" s="32">
        <f>IF($AD13="Z",ROUND(SUM($AU$5:$AU$404),2),IF($AD13="D",INDEX($AU$5:$AU$404,$AC13),IF($AD13="T",ROUND(SUMIF($X$5:$X$404,$AF13,$AU$5:$AU$404),2),IF($AD13="B",ROUND(SUMIF($AN$5:$AN$404,$AQ13,$AU$5:$AU$404),2),""))))</f>
        <v/>
      </c>
      <c r="L13" s="32">
        <f>IF($AD13="Z",ROUND(SUM($AV$5:$AV$404),2),IF($AD13="D",INDEX($AV$5:$AV$404,$AC13),IF($AD13="T",ROUND(SUMIF($X$5:$X$404,$AF13,$AV$5:$AV$404),2),IF($AD13="B",ROUND(SUMIF($AN$5:$AN$404,$AQ13,$AV$5:$AV$404),2),""))))</f>
        <v/>
      </c>
      <c r="M13" s="32">
        <f>IF($AD13="Z",ROUND(SUM($AJ$5:$AJ$704),2),IF($AD13="B",ROUND(SUMIF($AQ$5:$AQ$704,$AQ13,$AJ$5:$AJ$704),2),IF($AD13&lt;&gt;"T","",$AJ13)))</f>
        <v/>
      </c>
      <c r="N13" s="32">
        <f>IF(OR($AD13="D",$AD13="T",$AD13="B",$AD13="Z"),ROUND(N($K13)-N($L13)-N($M13),2),"")</f>
        <v/>
      </c>
      <c r="O13" s="32">
        <f>IF(OR($AD13="D",$AD13="T",$AD13="B",$AD13="Z"),IF(N($E13)=0,"",ROUND($F13/$E13,2)),"")</f>
        <v/>
      </c>
      <c r="Q13">
        <f>IFERROR(MATCH(9,บันทึกรายเที่ยว!$Z$6:$Z$6005,0),"")</f>
        <v/>
      </c>
      <c r="R13">
        <f>IF($Q13="","",INDEX(บันทึกรายเที่ยว!$V$6:$V$6005,$Q13))</f>
        <v/>
      </c>
      <c r="S13">
        <f>IF($Q13="","",INDEX(บันทึกรายเที่ยว!$F$6:$F$6005,$Q13))</f>
        <v/>
      </c>
      <c r="T13">
        <f>IF($Q13="","",MATCH($S13,บันทึกรายเที่ยว!$F$6:$F$6005,0))</f>
        <v/>
      </c>
      <c r="U13">
        <f>IF($Q13="","",$AL13*10000000+$T13*1000+9)</f>
        <v/>
      </c>
      <c r="V13">
        <f>IFERROR(MATCH(SMALL($U$5:$U$404,9),$U$5:$U$404,0),"")</f>
        <v/>
      </c>
      <c r="W13">
        <f>IF($V13="","",INDEX($Q$5:$Q$404,$V13))</f>
        <v/>
      </c>
      <c r="X13">
        <f>IF($V13="","",INDEX($S$5:$S$404,$V13))</f>
        <v/>
      </c>
      <c r="Y13">
        <f>IF($V13="","",INDEX($R$5:$R$404,$V13))</f>
        <v/>
      </c>
      <c r="Z13">
        <f>IF($V13="",0,IF($X13&lt;&gt;$X12,1,0))</f>
        <v/>
      </c>
      <c r="AA13">
        <f>IF($V13="",0,IF($V14="",1,IF($X14&lt;&gt;$X13,1,0)))</f>
        <v/>
      </c>
      <c r="AB13">
        <f>IF($V13="",99999+9,$AB12+1+$Z12+$AA12+$AO12)</f>
        <v/>
      </c>
      <c r="AC13">
        <f>IFERROR(MATCH(9,$AB$5:$AB$404,1),"")</f>
        <v/>
      </c>
      <c r="AD13">
        <f>IF(9=$AI$1+1,"Z",IF($AC13="","",IF(INDEX($V$5:$V$404,$AC13)="","",IF(9&gt;INDEX($AB$5:$AB$404,$AC13)+INDEX($Z$5:$Z$404,$AC13)+INDEX($AA$5:$AA$404,$AC13)+INDEX($AO$5:$AO$404,$AC13),"",IF(9=INDEX($AB$5:$AB$404,$AC13)+INDEX($Z$5:$Z$404,$AC13),"D",IF(AND(INDEX($Z$5:$Z$404,$AC13)=1,9=INDEX($AB$5:$AB$404,$AC13)),"H",IF(AND(INDEX($AO$5:$AO$404,$AC13)=1,9=INDEX($AB$5:$AB$404,$AC13)+INDEX($Z$5:$Z$404,$AC13)+INDEX($AA$5:$AA$404,$AC13)+INDEX($AO$5:$AO$404,$AC13)),"B","T")))))))</f>
        <v/>
      </c>
      <c r="AF13">
        <f>IF(OR($AD13="",$AD13="Z",$AD13="B"),"",INDEX($X$5:$X$404,$AC13))</f>
        <v/>
      </c>
      <c r="AJ13">
        <f>IF($AD13&lt;&gt;"T",0,ROUND(SUMIF(oil!$B$4:$B$63,$AF13,oil!$AE$4:$AE$63),2))</f>
        <v/>
      </c>
      <c r="AK13">
        <f>IF($S13="","",IFERROR(INDEX(อัตราค่าขนส่ง!$P$5:$P$54,MATCH($S13,อัตราค่าขนส่ง!$O$5:$O$54,0)),INDEX(รายการมาตรฐาน!$G$2:$G$3,1)))</f>
        <v/>
      </c>
      <c r="AL13">
        <f>IF($S13="","",IFERROR(MATCH($AK13,รายการมาตรฐาน!$G$2:$G$3,0),1))</f>
        <v/>
      </c>
      <c r="AM13">
        <f>IF($V13="","",INDEX($AK$5:$AK$404,$V13))</f>
        <v/>
      </c>
      <c r="AN13">
        <f>IF($V13="","",INDEX($AL$5:$AL$404,$V13))</f>
        <v/>
      </c>
      <c r="AO13">
        <f>IF(OR($V13="",$AI$2&lt;=1),0,IF($V14="",1,IF($AN14&lt;&gt;$AN13,1,0)))</f>
        <v/>
      </c>
      <c r="AP13">
        <f>IF($V13="",0,IF($AN13&lt;&gt;$AN12,1,0))</f>
        <v/>
      </c>
      <c r="AQ13">
        <f>IF(OR($AD13="",$AD13="Z"),"",INDEX($AN$5:$AN$404,$AC13))</f>
        <v/>
      </c>
      <c r="AR13">
        <f>IF($Y13="",0,COUNTIF(บันทึกรายเที่ยว!$V$6:$V$6005,$Y13))</f>
        <v/>
      </c>
      <c r="AS13">
        <f>IF($Y13="",0,ROUND(SUMIF(บันทึกรายเที่ยว!$V$6:$V$6005,$Y13,บันทึกรายเที่ยว!$M$6:$M$6005),2))</f>
        <v/>
      </c>
      <c r="AT13">
        <f>IF($Y13="",0,IFERROR(INDEX(อัตราค่าขนส่ง!$G$5:$G$204,MATCH($Y13,อัตราค่าขนส่ง!$M$5:$M$204,0)),0))</f>
        <v/>
      </c>
      <c r="AU13">
        <f>ROUND($AS13*$BD13,2)</f>
        <v/>
      </c>
      <c r="AV13">
        <f>ROUND($AU13*$BF$2/100,2)</f>
        <v/>
      </c>
      <c r="AW13">
        <f>IF($Y13="","",IFERROR(INDEX(อัตราค่าขนส่ง!$F$5:$F$204,MATCH($Y13,อัตราค่าขนส่ง!$M$5:$M$204,0)),""))</f>
        <v/>
      </c>
      <c r="AX13">
        <f>IF($W13="","",INDEX(บันทึกรายเที่ยว!$D$6:$D$6005,$W13))</f>
        <v/>
      </c>
      <c r="AY13">
        <f>IF($W13="","",INDEX(บันทึกรายเที่ยว!$R$6:$R$6005,$W13))</f>
        <v/>
      </c>
      <c r="AZ13">
        <f>IF(AND($AD13="T",$AQ13=1),N($AZ12)+1,N($AZ12))</f>
        <v/>
      </c>
      <c r="BA13">
        <f>IF($W13="","",INDEX(บันทึกรายเที่ยว!$E$6:$E$6005,$W13))</f>
        <v/>
      </c>
      <c r="BC13">
        <f>IF($Y13="",0,IFERROR(INDEX(อัตราค่าขนส่ง!$K$5:$K$204,MATCH($Y13,อัตราค่าขนส่ง!$M$5:$M$204,0)),0))</f>
        <v/>
      </c>
      <c r="BD13">
        <f>IF($Y13="",0,IFERROR(INDEX(อัตราค่าขนส่ง!$L$5:$L$204,MATCH($Y13,อัตราค่าขนส่ง!$M$5:$M$204,0)),0))</f>
        <v/>
      </c>
    </row>
    <row r="14" ht="21" customHeight="1" s="66">
      <c r="A14" s="69">
        <f>IF($AD14="","",IF($AD14="Z","รวมจ่ายทั้งสิ้น",IF($AD14="H",INDEX($X$5:$X$404,$AC14),IF($AD14="T","รวม",IF($AD14="B",IFERROR(INDEX(อัตราค่าขนส่ง!$S$5:$S$14,MATCH(INDEX($AM$5:$AM$404,$AC14),อัตราค่าขนส่ง!$R$5:$R$14,0)),"รวมกลุ่ม "&amp;INDEX($AM$5:$AM$404,$AC14)),INDEX($AY$5:$AY$404,$AC14))))))</f>
        <v/>
      </c>
      <c r="B14" s="31">
        <f>IF($AD14&lt;&gt;"D","",INDEX($AW$5:$AW$404,$AC14))</f>
        <v/>
      </c>
      <c r="C14" s="68">
        <f>IF($AD14&lt;&gt;"D","",INDEX($AX$5:$AX$404,$AC14))</f>
        <v/>
      </c>
      <c r="D14" s="70">
        <f>IF($AD14&lt;&gt;"D","",INDEX($BA$5:$BA$404,$AC14))</f>
        <v/>
      </c>
      <c r="E14" s="31">
        <f>IF($AD14="Z",SUM($AR$5:$AR$404),IF($AD14="D",INDEX($AR$5:$AR$404,$AC14),IF($AD14="T",SUMIF($X$5:$X$404,$AF14,$AR$5:$AR$404),IF($AD14="B",SUMIF($AN$5:$AN$404,$AQ14,$AR$5:$AR$404),""))))</f>
        <v/>
      </c>
      <c r="F14" s="32">
        <f>IF($AD14="Z",ROUND(SUM($AS$5:$AS$404),2),IF($AD14="D",INDEX($AS$5:$AS$404,$AC14),IF($AD14="T",ROUND(SUMIF($X$5:$X$404,$AF14,$AS$5:$AS$404),2),IF($AD14="B",ROUND(SUMIF($AN$5:$AN$404,$AQ14,$AS$5:$AS$404),2),""))))</f>
        <v/>
      </c>
      <c r="G14" s="32">
        <f>IF($AD14&lt;&gt;"D","",INDEX($AT$5:$AT$404,$AC14))</f>
        <v/>
      </c>
      <c r="H14" s="32">
        <f>IF($AD14&lt;&gt;"D","",INDEX($BC$5:$BC$404,$AC14))</f>
        <v/>
      </c>
      <c r="I14" s="32">
        <f>IF($AD14&lt;&gt;"D","",INDEX($BD$5:$BD$404,$AC14))</f>
        <v/>
      </c>
      <c r="J14" s="46">
        <f>IF($AD14&lt;&gt;"D","",IF(N($B14)=0,"",ROUND($I14/$B14,4)))</f>
        <v/>
      </c>
      <c r="K14" s="32">
        <f>IF($AD14="Z",ROUND(SUM($AU$5:$AU$404),2),IF($AD14="D",INDEX($AU$5:$AU$404,$AC14),IF($AD14="T",ROUND(SUMIF($X$5:$X$404,$AF14,$AU$5:$AU$404),2),IF($AD14="B",ROUND(SUMIF($AN$5:$AN$404,$AQ14,$AU$5:$AU$404),2),""))))</f>
        <v/>
      </c>
      <c r="L14" s="32">
        <f>IF($AD14="Z",ROUND(SUM($AV$5:$AV$404),2),IF($AD14="D",INDEX($AV$5:$AV$404,$AC14),IF($AD14="T",ROUND(SUMIF($X$5:$X$404,$AF14,$AV$5:$AV$404),2),IF($AD14="B",ROUND(SUMIF($AN$5:$AN$404,$AQ14,$AV$5:$AV$404),2),""))))</f>
        <v/>
      </c>
      <c r="M14" s="32">
        <f>IF($AD14="Z",ROUND(SUM($AJ$5:$AJ$704),2),IF($AD14="B",ROUND(SUMIF($AQ$5:$AQ$704,$AQ14,$AJ$5:$AJ$704),2),IF($AD14&lt;&gt;"T","",$AJ14)))</f>
        <v/>
      </c>
      <c r="N14" s="32">
        <f>IF(OR($AD14="D",$AD14="T",$AD14="B",$AD14="Z"),ROUND(N($K14)-N($L14)-N($M14),2),"")</f>
        <v/>
      </c>
      <c r="O14" s="32">
        <f>IF(OR($AD14="D",$AD14="T",$AD14="B",$AD14="Z"),IF(N($E14)=0,"",ROUND($F14/$E14,2)),"")</f>
        <v/>
      </c>
      <c r="Q14">
        <f>IFERROR(MATCH(10,บันทึกรายเที่ยว!$Z$6:$Z$6005,0),"")</f>
        <v/>
      </c>
      <c r="R14">
        <f>IF($Q14="","",INDEX(บันทึกรายเที่ยว!$V$6:$V$6005,$Q14))</f>
        <v/>
      </c>
      <c r="S14">
        <f>IF($Q14="","",INDEX(บันทึกรายเที่ยว!$F$6:$F$6005,$Q14))</f>
        <v/>
      </c>
      <c r="T14">
        <f>IF($Q14="","",MATCH($S14,บันทึกรายเที่ยว!$F$6:$F$6005,0))</f>
        <v/>
      </c>
      <c r="U14">
        <f>IF($Q14="","",$AL14*10000000+$T14*1000+10)</f>
        <v/>
      </c>
      <c r="V14">
        <f>IFERROR(MATCH(SMALL($U$5:$U$404,10),$U$5:$U$404,0),"")</f>
        <v/>
      </c>
      <c r="W14">
        <f>IF($V14="","",INDEX($Q$5:$Q$404,$V14))</f>
        <v/>
      </c>
      <c r="X14">
        <f>IF($V14="","",INDEX($S$5:$S$404,$V14))</f>
        <v/>
      </c>
      <c r="Y14">
        <f>IF($V14="","",INDEX($R$5:$R$404,$V14))</f>
        <v/>
      </c>
      <c r="Z14">
        <f>IF($V14="",0,IF($X14&lt;&gt;$X13,1,0))</f>
        <v/>
      </c>
      <c r="AA14">
        <f>IF($V14="",0,IF($V15="",1,IF($X15&lt;&gt;$X14,1,0)))</f>
        <v/>
      </c>
      <c r="AB14">
        <f>IF($V14="",99999+10,$AB13+1+$Z13+$AA13+$AO13)</f>
        <v/>
      </c>
      <c r="AC14">
        <f>IFERROR(MATCH(10,$AB$5:$AB$404,1),"")</f>
        <v/>
      </c>
      <c r="AD14">
        <f>IF(10=$AI$1+1,"Z",IF($AC14="","",IF(INDEX($V$5:$V$404,$AC14)="","",IF(10&gt;INDEX($AB$5:$AB$404,$AC14)+INDEX($Z$5:$Z$404,$AC14)+INDEX($AA$5:$AA$404,$AC14)+INDEX($AO$5:$AO$404,$AC14),"",IF(10=INDEX($AB$5:$AB$404,$AC14)+INDEX($Z$5:$Z$404,$AC14),"D",IF(AND(INDEX($Z$5:$Z$404,$AC14)=1,10=INDEX($AB$5:$AB$404,$AC14)),"H",IF(AND(INDEX($AO$5:$AO$404,$AC14)=1,10=INDEX($AB$5:$AB$404,$AC14)+INDEX($Z$5:$Z$404,$AC14)+INDEX($AA$5:$AA$404,$AC14)+INDEX($AO$5:$AO$404,$AC14)),"B","T")))))))</f>
        <v/>
      </c>
      <c r="AF14">
        <f>IF(OR($AD14="",$AD14="Z",$AD14="B"),"",INDEX($X$5:$X$404,$AC14))</f>
        <v/>
      </c>
      <c r="AJ14">
        <f>IF($AD14&lt;&gt;"T",0,ROUND(SUMIF(oil!$B$4:$B$63,$AF14,oil!$AE$4:$AE$63),2))</f>
        <v/>
      </c>
      <c r="AK14">
        <f>IF($S14="","",IFERROR(INDEX(อัตราค่าขนส่ง!$P$5:$P$54,MATCH($S14,อัตราค่าขนส่ง!$O$5:$O$54,0)),INDEX(รายการมาตรฐาน!$G$2:$G$3,1)))</f>
        <v/>
      </c>
      <c r="AL14">
        <f>IF($S14="","",IFERROR(MATCH($AK14,รายการมาตรฐาน!$G$2:$G$3,0),1))</f>
        <v/>
      </c>
      <c r="AM14">
        <f>IF($V14="","",INDEX($AK$5:$AK$404,$V14))</f>
        <v/>
      </c>
      <c r="AN14">
        <f>IF($V14="","",INDEX($AL$5:$AL$404,$V14))</f>
        <v/>
      </c>
      <c r="AO14">
        <f>IF(OR($V14="",$AI$2&lt;=1),0,IF($V15="",1,IF($AN15&lt;&gt;$AN14,1,0)))</f>
        <v/>
      </c>
      <c r="AP14">
        <f>IF($V14="",0,IF($AN14&lt;&gt;$AN13,1,0))</f>
        <v/>
      </c>
      <c r="AQ14">
        <f>IF(OR($AD14="",$AD14="Z"),"",INDEX($AN$5:$AN$404,$AC14))</f>
        <v/>
      </c>
      <c r="AR14">
        <f>IF($Y14="",0,COUNTIF(บันทึกรายเที่ยว!$V$6:$V$6005,$Y14))</f>
        <v/>
      </c>
      <c r="AS14">
        <f>IF($Y14="",0,ROUND(SUMIF(บันทึกรายเที่ยว!$V$6:$V$6005,$Y14,บันทึกรายเที่ยว!$M$6:$M$6005),2))</f>
        <v/>
      </c>
      <c r="AT14">
        <f>IF($Y14="",0,IFERROR(INDEX(อัตราค่าขนส่ง!$G$5:$G$204,MATCH($Y14,อัตราค่าขนส่ง!$M$5:$M$204,0)),0))</f>
        <v/>
      </c>
      <c r="AU14">
        <f>ROUND($AS14*$BD14,2)</f>
        <v/>
      </c>
      <c r="AV14">
        <f>ROUND($AU14*$BF$2/100,2)</f>
        <v/>
      </c>
      <c r="AW14">
        <f>IF($Y14="","",IFERROR(INDEX(อัตราค่าขนส่ง!$F$5:$F$204,MATCH($Y14,อัตราค่าขนส่ง!$M$5:$M$204,0)),""))</f>
        <v/>
      </c>
      <c r="AX14">
        <f>IF($W14="","",INDEX(บันทึกรายเที่ยว!$D$6:$D$6005,$W14))</f>
        <v/>
      </c>
      <c r="AY14">
        <f>IF($W14="","",INDEX(บันทึกรายเที่ยว!$R$6:$R$6005,$W14))</f>
        <v/>
      </c>
      <c r="AZ14">
        <f>IF(AND($AD14="T",$AQ14=1),N($AZ13)+1,N($AZ13))</f>
        <v/>
      </c>
      <c r="BA14">
        <f>IF($W14="","",INDEX(บันทึกรายเที่ยว!$E$6:$E$6005,$W14))</f>
        <v/>
      </c>
      <c r="BC14">
        <f>IF($Y14="",0,IFERROR(INDEX(อัตราค่าขนส่ง!$K$5:$K$204,MATCH($Y14,อัตราค่าขนส่ง!$M$5:$M$204,0)),0))</f>
        <v/>
      </c>
      <c r="BD14">
        <f>IF($Y14="",0,IFERROR(INDEX(อัตราค่าขนส่ง!$L$5:$L$204,MATCH($Y14,อัตราค่าขนส่ง!$M$5:$M$204,0)),0))</f>
        <v/>
      </c>
      <c r="BF14" s="23" t="inlineStr">
        <is>
          <t>ขั้นตอนของฝ่ายบัญชี</t>
        </is>
      </c>
    </row>
    <row r="15" ht="21" customHeight="1" s="66">
      <c r="A15" s="69">
        <f>IF($AD15="","",IF($AD15="Z","รวมจ่ายทั้งสิ้น",IF($AD15="H",INDEX($X$5:$X$404,$AC15),IF($AD15="T","รวม",IF($AD15="B",IFERROR(INDEX(อัตราค่าขนส่ง!$S$5:$S$14,MATCH(INDEX($AM$5:$AM$404,$AC15),อัตราค่าขนส่ง!$R$5:$R$14,0)),"รวมกลุ่ม "&amp;INDEX($AM$5:$AM$404,$AC15)),INDEX($AY$5:$AY$404,$AC15))))))</f>
        <v/>
      </c>
      <c r="B15" s="31">
        <f>IF($AD15&lt;&gt;"D","",INDEX($AW$5:$AW$404,$AC15))</f>
        <v/>
      </c>
      <c r="C15" s="68">
        <f>IF($AD15&lt;&gt;"D","",INDEX($AX$5:$AX$404,$AC15))</f>
        <v/>
      </c>
      <c r="D15" s="70">
        <f>IF($AD15&lt;&gt;"D","",INDEX($BA$5:$BA$404,$AC15))</f>
        <v/>
      </c>
      <c r="E15" s="31">
        <f>IF($AD15="Z",SUM($AR$5:$AR$404),IF($AD15="D",INDEX($AR$5:$AR$404,$AC15),IF($AD15="T",SUMIF($X$5:$X$404,$AF15,$AR$5:$AR$404),IF($AD15="B",SUMIF($AN$5:$AN$404,$AQ15,$AR$5:$AR$404),""))))</f>
        <v/>
      </c>
      <c r="F15" s="32">
        <f>IF($AD15="Z",ROUND(SUM($AS$5:$AS$404),2),IF($AD15="D",INDEX($AS$5:$AS$404,$AC15),IF($AD15="T",ROUND(SUMIF($X$5:$X$404,$AF15,$AS$5:$AS$404),2),IF($AD15="B",ROUND(SUMIF($AN$5:$AN$404,$AQ15,$AS$5:$AS$404),2),""))))</f>
        <v/>
      </c>
      <c r="G15" s="32">
        <f>IF($AD15&lt;&gt;"D","",INDEX($AT$5:$AT$404,$AC15))</f>
        <v/>
      </c>
      <c r="H15" s="32">
        <f>IF($AD15&lt;&gt;"D","",INDEX($BC$5:$BC$404,$AC15))</f>
        <v/>
      </c>
      <c r="I15" s="32">
        <f>IF($AD15&lt;&gt;"D","",INDEX($BD$5:$BD$404,$AC15))</f>
        <v/>
      </c>
      <c r="J15" s="46">
        <f>IF($AD15&lt;&gt;"D","",IF(N($B15)=0,"",ROUND($I15/$B15,4)))</f>
        <v/>
      </c>
      <c r="K15" s="32">
        <f>IF($AD15="Z",ROUND(SUM($AU$5:$AU$404),2),IF($AD15="D",INDEX($AU$5:$AU$404,$AC15),IF($AD15="T",ROUND(SUMIF($X$5:$X$404,$AF15,$AU$5:$AU$404),2),IF($AD15="B",ROUND(SUMIF($AN$5:$AN$404,$AQ15,$AU$5:$AU$404),2),""))))</f>
        <v/>
      </c>
      <c r="L15" s="32">
        <f>IF($AD15="Z",ROUND(SUM($AV$5:$AV$404),2),IF($AD15="D",INDEX($AV$5:$AV$404,$AC15),IF($AD15="T",ROUND(SUMIF($X$5:$X$404,$AF15,$AV$5:$AV$404),2),IF($AD15="B",ROUND(SUMIF($AN$5:$AN$404,$AQ15,$AV$5:$AV$404),2),""))))</f>
        <v/>
      </c>
      <c r="M15" s="32">
        <f>IF($AD15="Z",ROUND(SUM($AJ$5:$AJ$704),2),IF($AD15="B",ROUND(SUMIF($AQ$5:$AQ$704,$AQ15,$AJ$5:$AJ$704),2),IF($AD15&lt;&gt;"T","",$AJ15)))</f>
        <v/>
      </c>
      <c r="N15" s="32">
        <f>IF(OR($AD15="D",$AD15="T",$AD15="B",$AD15="Z"),ROUND(N($K15)-N($L15)-N($M15),2),"")</f>
        <v/>
      </c>
      <c r="O15" s="32">
        <f>IF(OR($AD15="D",$AD15="T",$AD15="B",$AD15="Z"),IF(N($E15)=0,"",ROUND($F15/$E15,2)),"")</f>
        <v/>
      </c>
      <c r="Q15">
        <f>IFERROR(MATCH(11,บันทึกรายเที่ยว!$Z$6:$Z$6005,0),"")</f>
        <v/>
      </c>
      <c r="R15">
        <f>IF($Q15="","",INDEX(บันทึกรายเที่ยว!$V$6:$V$6005,$Q15))</f>
        <v/>
      </c>
      <c r="S15">
        <f>IF($Q15="","",INDEX(บันทึกรายเที่ยว!$F$6:$F$6005,$Q15))</f>
        <v/>
      </c>
      <c r="T15">
        <f>IF($Q15="","",MATCH($S15,บันทึกรายเที่ยว!$F$6:$F$6005,0))</f>
        <v/>
      </c>
      <c r="U15">
        <f>IF($Q15="","",$AL15*10000000+$T15*1000+11)</f>
        <v/>
      </c>
      <c r="V15">
        <f>IFERROR(MATCH(SMALL($U$5:$U$404,11),$U$5:$U$404,0),"")</f>
        <v/>
      </c>
      <c r="W15">
        <f>IF($V15="","",INDEX($Q$5:$Q$404,$V15))</f>
        <v/>
      </c>
      <c r="X15">
        <f>IF($V15="","",INDEX($S$5:$S$404,$V15))</f>
        <v/>
      </c>
      <c r="Y15">
        <f>IF($V15="","",INDEX($R$5:$R$404,$V15))</f>
        <v/>
      </c>
      <c r="Z15">
        <f>IF($V15="",0,IF($X15&lt;&gt;$X14,1,0))</f>
        <v/>
      </c>
      <c r="AA15">
        <f>IF($V15="",0,IF($V16="",1,IF($X16&lt;&gt;$X15,1,0)))</f>
        <v/>
      </c>
      <c r="AB15">
        <f>IF($V15="",99999+11,$AB14+1+$Z14+$AA14+$AO14)</f>
        <v/>
      </c>
      <c r="AC15">
        <f>IFERROR(MATCH(11,$AB$5:$AB$404,1),"")</f>
        <v/>
      </c>
      <c r="AD15">
        <f>IF(11=$AI$1+1,"Z",IF($AC15="","",IF(INDEX($V$5:$V$404,$AC15)="","",IF(11&gt;INDEX($AB$5:$AB$404,$AC15)+INDEX($Z$5:$Z$404,$AC15)+INDEX($AA$5:$AA$404,$AC15)+INDEX($AO$5:$AO$404,$AC15),"",IF(11=INDEX($AB$5:$AB$404,$AC15)+INDEX($Z$5:$Z$404,$AC15),"D",IF(AND(INDEX($Z$5:$Z$404,$AC15)=1,11=INDEX($AB$5:$AB$404,$AC15)),"H",IF(AND(INDEX($AO$5:$AO$404,$AC15)=1,11=INDEX($AB$5:$AB$404,$AC15)+INDEX($Z$5:$Z$404,$AC15)+INDEX($AA$5:$AA$404,$AC15)+INDEX($AO$5:$AO$404,$AC15)),"B","T")))))))</f>
        <v/>
      </c>
      <c r="AF15">
        <f>IF(OR($AD15="",$AD15="Z",$AD15="B"),"",INDEX($X$5:$X$404,$AC15))</f>
        <v/>
      </c>
      <c r="AJ15">
        <f>IF($AD15&lt;&gt;"T",0,ROUND(SUMIF(oil!$B$4:$B$63,$AF15,oil!$AE$4:$AE$63),2))</f>
        <v/>
      </c>
      <c r="AK15">
        <f>IF($S15="","",IFERROR(INDEX(อัตราค่าขนส่ง!$P$5:$P$54,MATCH($S15,อัตราค่าขนส่ง!$O$5:$O$54,0)),INDEX(รายการมาตรฐาน!$G$2:$G$3,1)))</f>
        <v/>
      </c>
      <c r="AL15">
        <f>IF($S15="","",IFERROR(MATCH($AK15,รายการมาตรฐาน!$G$2:$G$3,0),1))</f>
        <v/>
      </c>
      <c r="AM15">
        <f>IF($V15="","",INDEX($AK$5:$AK$404,$V15))</f>
        <v/>
      </c>
      <c r="AN15">
        <f>IF($V15="","",INDEX($AL$5:$AL$404,$V15))</f>
        <v/>
      </c>
      <c r="AO15">
        <f>IF(OR($V15="",$AI$2&lt;=1),0,IF($V16="",1,IF($AN16&lt;&gt;$AN15,1,0)))</f>
        <v/>
      </c>
      <c r="AP15">
        <f>IF($V15="",0,IF($AN15&lt;&gt;$AN14,1,0))</f>
        <v/>
      </c>
      <c r="AQ15">
        <f>IF(OR($AD15="",$AD15="Z"),"",INDEX($AN$5:$AN$404,$AC15))</f>
        <v/>
      </c>
      <c r="AR15">
        <f>IF($Y15="",0,COUNTIF(บันทึกรายเที่ยว!$V$6:$V$6005,$Y15))</f>
        <v/>
      </c>
      <c r="AS15">
        <f>IF($Y15="",0,ROUND(SUMIF(บันทึกรายเที่ยว!$V$6:$V$6005,$Y15,บันทึกรายเที่ยว!$M$6:$M$6005),2))</f>
        <v/>
      </c>
      <c r="AT15">
        <f>IF($Y15="",0,IFERROR(INDEX(อัตราค่าขนส่ง!$G$5:$G$204,MATCH($Y15,อัตราค่าขนส่ง!$M$5:$M$204,0)),0))</f>
        <v/>
      </c>
      <c r="AU15">
        <f>ROUND($AS15*$BD15,2)</f>
        <v/>
      </c>
      <c r="AV15">
        <f>ROUND($AU15*$BF$2/100,2)</f>
        <v/>
      </c>
      <c r="AW15">
        <f>IF($Y15="","",IFERROR(INDEX(อัตราค่าขนส่ง!$F$5:$F$204,MATCH($Y15,อัตราค่าขนส่ง!$M$5:$M$204,0)),""))</f>
        <v/>
      </c>
      <c r="AX15">
        <f>IF($W15="","",INDEX(บันทึกรายเที่ยว!$D$6:$D$6005,$W15))</f>
        <v/>
      </c>
      <c r="AY15">
        <f>IF($W15="","",INDEX(บันทึกรายเที่ยว!$R$6:$R$6005,$W15))</f>
        <v/>
      </c>
      <c r="AZ15">
        <f>IF(AND($AD15="T",$AQ15=1),N($AZ14)+1,N($AZ14))</f>
        <v/>
      </c>
      <c r="BA15">
        <f>IF($W15="","",INDEX(บันทึกรายเที่ยว!$E$6:$E$6005,$W15))</f>
        <v/>
      </c>
      <c r="BC15">
        <f>IF($Y15="",0,IFERROR(INDEX(อัตราค่าขนส่ง!$K$5:$K$204,MATCH($Y15,อัตราค่าขนส่ง!$M$5:$M$204,0)),0))</f>
        <v/>
      </c>
      <c r="BD15">
        <f>IF($Y15="",0,IFERROR(INDEX(อัตราค่าขนส่ง!$L$5:$L$204,MATCH($Y15,อัตราค่าขนส่ง!$M$5:$M$204,0)),0))</f>
        <v/>
      </c>
      <c r="BF15" s="47" t="inlineStr">
        <is>
          <t>1. เหมืองกรอกบันทึกรายเที่ยว และตรวจหน้าสรุปเหมืองมาแล้ว</t>
        </is>
      </c>
    </row>
    <row r="16" ht="21" customHeight="1" s="66">
      <c r="A16" s="69">
        <f>IF($AD16="","",IF($AD16="Z","รวมจ่ายทั้งสิ้น",IF($AD16="H",INDEX($X$5:$X$404,$AC16),IF($AD16="T","รวม",IF($AD16="B",IFERROR(INDEX(อัตราค่าขนส่ง!$S$5:$S$14,MATCH(INDEX($AM$5:$AM$404,$AC16),อัตราค่าขนส่ง!$R$5:$R$14,0)),"รวมกลุ่ม "&amp;INDEX($AM$5:$AM$404,$AC16)),INDEX($AY$5:$AY$404,$AC16))))))</f>
        <v/>
      </c>
      <c r="B16" s="31">
        <f>IF($AD16&lt;&gt;"D","",INDEX($AW$5:$AW$404,$AC16))</f>
        <v/>
      </c>
      <c r="C16" s="68">
        <f>IF($AD16&lt;&gt;"D","",INDEX($AX$5:$AX$404,$AC16))</f>
        <v/>
      </c>
      <c r="D16" s="70">
        <f>IF($AD16&lt;&gt;"D","",INDEX($BA$5:$BA$404,$AC16))</f>
        <v/>
      </c>
      <c r="E16" s="31">
        <f>IF($AD16="Z",SUM($AR$5:$AR$404),IF($AD16="D",INDEX($AR$5:$AR$404,$AC16),IF($AD16="T",SUMIF($X$5:$X$404,$AF16,$AR$5:$AR$404),IF($AD16="B",SUMIF($AN$5:$AN$404,$AQ16,$AR$5:$AR$404),""))))</f>
        <v/>
      </c>
      <c r="F16" s="32">
        <f>IF($AD16="Z",ROUND(SUM($AS$5:$AS$404),2),IF($AD16="D",INDEX($AS$5:$AS$404,$AC16),IF($AD16="T",ROUND(SUMIF($X$5:$X$404,$AF16,$AS$5:$AS$404),2),IF($AD16="B",ROUND(SUMIF($AN$5:$AN$404,$AQ16,$AS$5:$AS$404),2),""))))</f>
        <v/>
      </c>
      <c r="G16" s="32">
        <f>IF($AD16&lt;&gt;"D","",INDEX($AT$5:$AT$404,$AC16))</f>
        <v/>
      </c>
      <c r="H16" s="32">
        <f>IF($AD16&lt;&gt;"D","",INDEX($BC$5:$BC$404,$AC16))</f>
        <v/>
      </c>
      <c r="I16" s="32">
        <f>IF($AD16&lt;&gt;"D","",INDEX($BD$5:$BD$404,$AC16))</f>
        <v/>
      </c>
      <c r="J16" s="46">
        <f>IF($AD16&lt;&gt;"D","",IF(N($B16)=0,"",ROUND($I16/$B16,4)))</f>
        <v/>
      </c>
      <c r="K16" s="32">
        <f>IF($AD16="Z",ROUND(SUM($AU$5:$AU$404),2),IF($AD16="D",INDEX($AU$5:$AU$404,$AC16),IF($AD16="T",ROUND(SUMIF($X$5:$X$404,$AF16,$AU$5:$AU$404),2),IF($AD16="B",ROUND(SUMIF($AN$5:$AN$404,$AQ16,$AU$5:$AU$404),2),""))))</f>
        <v/>
      </c>
      <c r="L16" s="32">
        <f>IF($AD16="Z",ROUND(SUM($AV$5:$AV$404),2),IF($AD16="D",INDEX($AV$5:$AV$404,$AC16),IF($AD16="T",ROUND(SUMIF($X$5:$X$404,$AF16,$AV$5:$AV$404),2),IF($AD16="B",ROUND(SUMIF($AN$5:$AN$404,$AQ16,$AV$5:$AV$404),2),""))))</f>
        <v/>
      </c>
      <c r="M16" s="32">
        <f>IF($AD16="Z",ROUND(SUM($AJ$5:$AJ$704),2),IF($AD16="B",ROUND(SUMIF($AQ$5:$AQ$704,$AQ16,$AJ$5:$AJ$704),2),IF($AD16&lt;&gt;"T","",$AJ16)))</f>
        <v/>
      </c>
      <c r="N16" s="32">
        <f>IF(OR($AD16="D",$AD16="T",$AD16="B",$AD16="Z"),ROUND(N($K16)-N($L16)-N($M16),2),"")</f>
        <v/>
      </c>
      <c r="O16" s="32">
        <f>IF(OR($AD16="D",$AD16="T",$AD16="B",$AD16="Z"),IF(N($E16)=0,"",ROUND($F16/$E16,2)),"")</f>
        <v/>
      </c>
      <c r="Q16">
        <f>IFERROR(MATCH(12,บันทึกรายเที่ยว!$Z$6:$Z$6005,0),"")</f>
        <v/>
      </c>
      <c r="R16">
        <f>IF($Q16="","",INDEX(บันทึกรายเที่ยว!$V$6:$V$6005,$Q16))</f>
        <v/>
      </c>
      <c r="S16">
        <f>IF($Q16="","",INDEX(บันทึกรายเที่ยว!$F$6:$F$6005,$Q16))</f>
        <v/>
      </c>
      <c r="T16">
        <f>IF($Q16="","",MATCH($S16,บันทึกรายเที่ยว!$F$6:$F$6005,0))</f>
        <v/>
      </c>
      <c r="U16">
        <f>IF($Q16="","",$AL16*10000000+$T16*1000+12)</f>
        <v/>
      </c>
      <c r="V16">
        <f>IFERROR(MATCH(SMALL($U$5:$U$404,12),$U$5:$U$404,0),"")</f>
        <v/>
      </c>
      <c r="W16">
        <f>IF($V16="","",INDEX($Q$5:$Q$404,$V16))</f>
        <v/>
      </c>
      <c r="X16">
        <f>IF($V16="","",INDEX($S$5:$S$404,$V16))</f>
        <v/>
      </c>
      <c r="Y16">
        <f>IF($V16="","",INDEX($R$5:$R$404,$V16))</f>
        <v/>
      </c>
      <c r="Z16">
        <f>IF($V16="",0,IF($X16&lt;&gt;$X15,1,0))</f>
        <v/>
      </c>
      <c r="AA16">
        <f>IF($V16="",0,IF($V17="",1,IF($X17&lt;&gt;$X16,1,0)))</f>
        <v/>
      </c>
      <c r="AB16">
        <f>IF($V16="",99999+12,$AB15+1+$Z15+$AA15+$AO15)</f>
        <v/>
      </c>
      <c r="AC16">
        <f>IFERROR(MATCH(12,$AB$5:$AB$404,1),"")</f>
        <v/>
      </c>
      <c r="AD16">
        <f>IF(12=$AI$1+1,"Z",IF($AC16="","",IF(INDEX($V$5:$V$404,$AC16)="","",IF(12&gt;INDEX($AB$5:$AB$404,$AC16)+INDEX($Z$5:$Z$404,$AC16)+INDEX($AA$5:$AA$404,$AC16)+INDEX($AO$5:$AO$404,$AC16),"",IF(12=INDEX($AB$5:$AB$404,$AC16)+INDEX($Z$5:$Z$404,$AC16),"D",IF(AND(INDEX($Z$5:$Z$404,$AC16)=1,12=INDEX($AB$5:$AB$404,$AC16)),"H",IF(AND(INDEX($AO$5:$AO$404,$AC16)=1,12=INDEX($AB$5:$AB$404,$AC16)+INDEX($Z$5:$Z$404,$AC16)+INDEX($AA$5:$AA$404,$AC16)+INDEX($AO$5:$AO$404,$AC16)),"B","T")))))))</f>
        <v/>
      </c>
      <c r="AF16">
        <f>IF(OR($AD16="",$AD16="Z",$AD16="B"),"",INDEX($X$5:$X$404,$AC16))</f>
        <v/>
      </c>
      <c r="AJ16">
        <f>IF($AD16&lt;&gt;"T",0,ROUND(SUMIF(oil!$B$4:$B$63,$AF16,oil!$AE$4:$AE$63),2))</f>
        <v/>
      </c>
      <c r="AK16">
        <f>IF($S16="","",IFERROR(INDEX(อัตราค่าขนส่ง!$P$5:$P$54,MATCH($S16,อัตราค่าขนส่ง!$O$5:$O$54,0)),INDEX(รายการมาตรฐาน!$G$2:$G$3,1)))</f>
        <v/>
      </c>
      <c r="AL16">
        <f>IF($S16="","",IFERROR(MATCH($AK16,รายการมาตรฐาน!$G$2:$G$3,0),1))</f>
        <v/>
      </c>
      <c r="AM16">
        <f>IF($V16="","",INDEX($AK$5:$AK$404,$V16))</f>
        <v/>
      </c>
      <c r="AN16">
        <f>IF($V16="","",INDEX($AL$5:$AL$404,$V16))</f>
        <v/>
      </c>
      <c r="AO16">
        <f>IF(OR($V16="",$AI$2&lt;=1),0,IF($V17="",1,IF($AN17&lt;&gt;$AN16,1,0)))</f>
        <v/>
      </c>
      <c r="AP16">
        <f>IF($V16="",0,IF($AN16&lt;&gt;$AN15,1,0))</f>
        <v/>
      </c>
      <c r="AQ16">
        <f>IF(OR($AD16="",$AD16="Z"),"",INDEX($AN$5:$AN$404,$AC16))</f>
        <v/>
      </c>
      <c r="AR16">
        <f>IF($Y16="",0,COUNTIF(บันทึกรายเที่ยว!$V$6:$V$6005,$Y16))</f>
        <v/>
      </c>
      <c r="AS16">
        <f>IF($Y16="",0,ROUND(SUMIF(บันทึกรายเที่ยว!$V$6:$V$6005,$Y16,บันทึกรายเที่ยว!$M$6:$M$6005),2))</f>
        <v/>
      </c>
      <c r="AT16">
        <f>IF($Y16="",0,IFERROR(INDEX(อัตราค่าขนส่ง!$G$5:$G$204,MATCH($Y16,อัตราค่าขนส่ง!$M$5:$M$204,0)),0))</f>
        <v/>
      </c>
      <c r="AU16">
        <f>ROUND($AS16*$BD16,2)</f>
        <v/>
      </c>
      <c r="AV16">
        <f>ROUND($AU16*$BF$2/100,2)</f>
        <v/>
      </c>
      <c r="AW16">
        <f>IF($Y16="","",IFERROR(INDEX(อัตราค่าขนส่ง!$F$5:$F$204,MATCH($Y16,อัตราค่าขนส่ง!$M$5:$M$204,0)),""))</f>
        <v/>
      </c>
      <c r="AX16">
        <f>IF($W16="","",INDEX(บันทึกรายเที่ยว!$D$6:$D$6005,$W16))</f>
        <v/>
      </c>
      <c r="AY16">
        <f>IF($W16="","",INDEX(บันทึกรายเที่ยว!$R$6:$R$6005,$W16))</f>
        <v/>
      </c>
      <c r="AZ16">
        <f>IF(AND($AD16="T",$AQ16=1),N($AZ15)+1,N($AZ15))</f>
        <v/>
      </c>
      <c r="BA16">
        <f>IF($W16="","",INDEX(บันทึกรายเที่ยว!$E$6:$E$6005,$W16))</f>
        <v/>
      </c>
      <c r="BC16">
        <f>IF($Y16="",0,IFERROR(INDEX(อัตราค่าขนส่ง!$K$5:$K$204,MATCH($Y16,อัตราค่าขนส่ง!$M$5:$M$204,0)),0))</f>
        <v/>
      </c>
      <c r="BD16">
        <f>IF($Y16="",0,IFERROR(INDEX(อัตราค่าขนส่ง!$L$5:$L$204,MATCH($Y16,อัตราค่าขนส่ง!$M$5:$M$204,0)),0))</f>
        <v/>
      </c>
      <c r="BF16" s="47" t="inlineStr">
        <is>
          <t>2. บัญชีกรอก sheet "oil" (ค่าน้ำมัน/ค่าหัก) — หน้านี้ของบัญชี ไม่ใช่ของเหมือง</t>
        </is>
      </c>
    </row>
    <row r="17" ht="21" customHeight="1" s="66">
      <c r="A17" s="69">
        <f>IF($AD17="","",IF($AD17="Z","รวมจ่ายทั้งสิ้น",IF($AD17="H",INDEX($X$5:$X$404,$AC17),IF($AD17="T","รวม",IF($AD17="B",IFERROR(INDEX(อัตราค่าขนส่ง!$S$5:$S$14,MATCH(INDEX($AM$5:$AM$404,$AC17),อัตราค่าขนส่ง!$R$5:$R$14,0)),"รวมกลุ่ม "&amp;INDEX($AM$5:$AM$404,$AC17)),INDEX($AY$5:$AY$404,$AC17))))))</f>
        <v/>
      </c>
      <c r="B17" s="31">
        <f>IF($AD17&lt;&gt;"D","",INDEX($AW$5:$AW$404,$AC17))</f>
        <v/>
      </c>
      <c r="C17" s="68">
        <f>IF($AD17&lt;&gt;"D","",INDEX($AX$5:$AX$404,$AC17))</f>
        <v/>
      </c>
      <c r="D17" s="70">
        <f>IF($AD17&lt;&gt;"D","",INDEX($BA$5:$BA$404,$AC17))</f>
        <v/>
      </c>
      <c r="E17" s="31">
        <f>IF($AD17="Z",SUM($AR$5:$AR$404),IF($AD17="D",INDEX($AR$5:$AR$404,$AC17),IF($AD17="T",SUMIF($X$5:$X$404,$AF17,$AR$5:$AR$404),IF($AD17="B",SUMIF($AN$5:$AN$404,$AQ17,$AR$5:$AR$404),""))))</f>
        <v/>
      </c>
      <c r="F17" s="32">
        <f>IF($AD17="Z",ROUND(SUM($AS$5:$AS$404),2),IF($AD17="D",INDEX($AS$5:$AS$404,$AC17),IF($AD17="T",ROUND(SUMIF($X$5:$X$404,$AF17,$AS$5:$AS$404),2),IF($AD17="B",ROUND(SUMIF($AN$5:$AN$404,$AQ17,$AS$5:$AS$404),2),""))))</f>
        <v/>
      </c>
      <c r="G17" s="32">
        <f>IF($AD17&lt;&gt;"D","",INDEX($AT$5:$AT$404,$AC17))</f>
        <v/>
      </c>
      <c r="H17" s="32">
        <f>IF($AD17&lt;&gt;"D","",INDEX($BC$5:$BC$404,$AC17))</f>
        <v/>
      </c>
      <c r="I17" s="32">
        <f>IF($AD17&lt;&gt;"D","",INDEX($BD$5:$BD$404,$AC17))</f>
        <v/>
      </c>
      <c r="J17" s="46">
        <f>IF($AD17&lt;&gt;"D","",IF(N($B17)=0,"",ROUND($I17/$B17,4)))</f>
        <v/>
      </c>
      <c r="K17" s="32">
        <f>IF($AD17="Z",ROUND(SUM($AU$5:$AU$404),2),IF($AD17="D",INDEX($AU$5:$AU$404,$AC17),IF($AD17="T",ROUND(SUMIF($X$5:$X$404,$AF17,$AU$5:$AU$404),2),IF($AD17="B",ROUND(SUMIF($AN$5:$AN$404,$AQ17,$AU$5:$AU$404),2),""))))</f>
        <v/>
      </c>
      <c r="L17" s="32">
        <f>IF($AD17="Z",ROUND(SUM($AV$5:$AV$404),2),IF($AD17="D",INDEX($AV$5:$AV$404,$AC17),IF($AD17="T",ROUND(SUMIF($X$5:$X$404,$AF17,$AV$5:$AV$404),2),IF($AD17="B",ROUND(SUMIF($AN$5:$AN$404,$AQ17,$AV$5:$AV$404),2),""))))</f>
        <v/>
      </c>
      <c r="M17" s="32">
        <f>IF($AD17="Z",ROUND(SUM($AJ$5:$AJ$704),2),IF($AD17="B",ROUND(SUMIF($AQ$5:$AQ$704,$AQ17,$AJ$5:$AJ$704),2),IF($AD17&lt;&gt;"T","",$AJ17)))</f>
        <v/>
      </c>
      <c r="N17" s="32">
        <f>IF(OR($AD17="D",$AD17="T",$AD17="B",$AD17="Z"),ROUND(N($K17)-N($L17)-N($M17),2),"")</f>
        <v/>
      </c>
      <c r="O17" s="32">
        <f>IF(OR($AD17="D",$AD17="T",$AD17="B",$AD17="Z"),IF(N($E17)=0,"",ROUND($F17/$E17,2)),"")</f>
        <v/>
      </c>
      <c r="Q17">
        <f>IFERROR(MATCH(13,บันทึกรายเที่ยว!$Z$6:$Z$6005,0),"")</f>
        <v/>
      </c>
      <c r="R17">
        <f>IF($Q17="","",INDEX(บันทึกรายเที่ยว!$V$6:$V$6005,$Q17))</f>
        <v/>
      </c>
      <c r="S17">
        <f>IF($Q17="","",INDEX(บันทึกรายเที่ยว!$F$6:$F$6005,$Q17))</f>
        <v/>
      </c>
      <c r="T17">
        <f>IF($Q17="","",MATCH($S17,บันทึกรายเที่ยว!$F$6:$F$6005,0))</f>
        <v/>
      </c>
      <c r="U17">
        <f>IF($Q17="","",$AL17*10000000+$T17*1000+13)</f>
        <v/>
      </c>
      <c r="V17">
        <f>IFERROR(MATCH(SMALL($U$5:$U$404,13),$U$5:$U$404,0),"")</f>
        <v/>
      </c>
      <c r="W17">
        <f>IF($V17="","",INDEX($Q$5:$Q$404,$V17))</f>
        <v/>
      </c>
      <c r="X17">
        <f>IF($V17="","",INDEX($S$5:$S$404,$V17))</f>
        <v/>
      </c>
      <c r="Y17">
        <f>IF($V17="","",INDEX($R$5:$R$404,$V17))</f>
        <v/>
      </c>
      <c r="Z17">
        <f>IF($V17="",0,IF($X17&lt;&gt;$X16,1,0))</f>
        <v/>
      </c>
      <c r="AA17">
        <f>IF($V17="",0,IF($V18="",1,IF($X18&lt;&gt;$X17,1,0)))</f>
        <v/>
      </c>
      <c r="AB17">
        <f>IF($V17="",99999+13,$AB16+1+$Z16+$AA16+$AO16)</f>
        <v/>
      </c>
      <c r="AC17">
        <f>IFERROR(MATCH(13,$AB$5:$AB$404,1),"")</f>
        <v/>
      </c>
      <c r="AD17">
        <f>IF(13=$AI$1+1,"Z",IF($AC17="","",IF(INDEX($V$5:$V$404,$AC17)="","",IF(13&gt;INDEX($AB$5:$AB$404,$AC17)+INDEX($Z$5:$Z$404,$AC17)+INDEX($AA$5:$AA$404,$AC17)+INDEX($AO$5:$AO$404,$AC17),"",IF(13=INDEX($AB$5:$AB$404,$AC17)+INDEX($Z$5:$Z$404,$AC17),"D",IF(AND(INDEX($Z$5:$Z$404,$AC17)=1,13=INDEX($AB$5:$AB$404,$AC17)),"H",IF(AND(INDEX($AO$5:$AO$404,$AC17)=1,13=INDEX($AB$5:$AB$404,$AC17)+INDEX($Z$5:$Z$404,$AC17)+INDEX($AA$5:$AA$404,$AC17)+INDEX($AO$5:$AO$404,$AC17)),"B","T")))))))</f>
        <v/>
      </c>
      <c r="AF17">
        <f>IF(OR($AD17="",$AD17="Z",$AD17="B"),"",INDEX($X$5:$X$404,$AC17))</f>
        <v/>
      </c>
      <c r="AJ17">
        <f>IF($AD17&lt;&gt;"T",0,ROUND(SUMIF(oil!$B$4:$B$63,$AF17,oil!$AE$4:$AE$63),2))</f>
        <v/>
      </c>
      <c r="AK17">
        <f>IF($S17="","",IFERROR(INDEX(อัตราค่าขนส่ง!$P$5:$P$54,MATCH($S17,อัตราค่าขนส่ง!$O$5:$O$54,0)),INDEX(รายการมาตรฐาน!$G$2:$G$3,1)))</f>
        <v/>
      </c>
      <c r="AL17">
        <f>IF($S17="","",IFERROR(MATCH($AK17,รายการมาตรฐาน!$G$2:$G$3,0),1))</f>
        <v/>
      </c>
      <c r="AM17">
        <f>IF($V17="","",INDEX($AK$5:$AK$404,$V17))</f>
        <v/>
      </c>
      <c r="AN17">
        <f>IF($V17="","",INDEX($AL$5:$AL$404,$V17))</f>
        <v/>
      </c>
      <c r="AO17">
        <f>IF(OR($V17="",$AI$2&lt;=1),0,IF($V18="",1,IF($AN18&lt;&gt;$AN17,1,0)))</f>
        <v/>
      </c>
      <c r="AP17">
        <f>IF($V17="",0,IF($AN17&lt;&gt;$AN16,1,0))</f>
        <v/>
      </c>
      <c r="AQ17">
        <f>IF(OR($AD17="",$AD17="Z"),"",INDEX($AN$5:$AN$404,$AC17))</f>
        <v/>
      </c>
      <c r="AR17">
        <f>IF($Y17="",0,COUNTIF(บันทึกรายเที่ยว!$V$6:$V$6005,$Y17))</f>
        <v/>
      </c>
      <c r="AS17">
        <f>IF($Y17="",0,ROUND(SUMIF(บันทึกรายเที่ยว!$V$6:$V$6005,$Y17,บันทึกรายเที่ยว!$M$6:$M$6005),2))</f>
        <v/>
      </c>
      <c r="AT17">
        <f>IF($Y17="",0,IFERROR(INDEX(อัตราค่าขนส่ง!$G$5:$G$204,MATCH($Y17,อัตราค่าขนส่ง!$M$5:$M$204,0)),0))</f>
        <v/>
      </c>
      <c r="AU17">
        <f>ROUND($AS17*$BD17,2)</f>
        <v/>
      </c>
      <c r="AV17">
        <f>ROUND($AU17*$BF$2/100,2)</f>
        <v/>
      </c>
      <c r="AW17">
        <f>IF($Y17="","",IFERROR(INDEX(อัตราค่าขนส่ง!$F$5:$F$204,MATCH($Y17,อัตราค่าขนส่ง!$M$5:$M$204,0)),""))</f>
        <v/>
      </c>
      <c r="AX17">
        <f>IF($W17="","",INDEX(บันทึกรายเที่ยว!$D$6:$D$6005,$W17))</f>
        <v/>
      </c>
      <c r="AY17">
        <f>IF($W17="","",INDEX(บันทึกรายเที่ยว!$R$6:$R$6005,$W17))</f>
        <v/>
      </c>
      <c r="AZ17">
        <f>IF(AND($AD17="T",$AQ17=1),N($AZ16)+1,N($AZ16))</f>
        <v/>
      </c>
      <c r="BA17">
        <f>IF($W17="","",INDEX(บันทึกรายเที่ยว!$E$6:$E$6005,$W17))</f>
        <v/>
      </c>
      <c r="BC17">
        <f>IF($Y17="",0,IFERROR(INDEX(อัตราค่าขนส่ง!$K$5:$K$204,MATCH($Y17,อัตราค่าขนส่ง!$M$5:$M$204,0)),0))</f>
        <v/>
      </c>
      <c r="BD17">
        <f>IF($Y17="",0,IFERROR(INDEX(อัตราค่าขนส่ง!$L$5:$L$204,MATCH($Y17,อัตราค่าขนส่ง!$M$5:$M$204,0)),0))</f>
        <v/>
      </c>
      <c r="BF17" s="47" t="inlineStr">
        <is>
          <t>3. บัญชีกรอก/แก้ sheet "อัตราค่าขนส่ง" ถ้ายังไม่มีหรืออัตราเปลี่ยน</t>
        </is>
      </c>
    </row>
    <row r="18" ht="21" customHeight="1" s="66">
      <c r="A18" s="69">
        <f>IF($AD18="","",IF($AD18="Z","รวมจ่ายทั้งสิ้น",IF($AD18="H",INDEX($X$5:$X$404,$AC18),IF($AD18="T","รวม",IF($AD18="B",IFERROR(INDEX(อัตราค่าขนส่ง!$S$5:$S$14,MATCH(INDEX($AM$5:$AM$404,$AC18),อัตราค่าขนส่ง!$R$5:$R$14,0)),"รวมกลุ่ม "&amp;INDEX($AM$5:$AM$404,$AC18)),INDEX($AY$5:$AY$404,$AC18))))))</f>
        <v/>
      </c>
      <c r="B18" s="31">
        <f>IF($AD18&lt;&gt;"D","",INDEX($AW$5:$AW$404,$AC18))</f>
        <v/>
      </c>
      <c r="C18" s="68">
        <f>IF($AD18&lt;&gt;"D","",INDEX($AX$5:$AX$404,$AC18))</f>
        <v/>
      </c>
      <c r="D18" s="70">
        <f>IF($AD18&lt;&gt;"D","",INDEX($BA$5:$BA$404,$AC18))</f>
        <v/>
      </c>
      <c r="E18" s="31">
        <f>IF($AD18="Z",SUM($AR$5:$AR$404),IF($AD18="D",INDEX($AR$5:$AR$404,$AC18),IF($AD18="T",SUMIF($X$5:$X$404,$AF18,$AR$5:$AR$404),IF($AD18="B",SUMIF($AN$5:$AN$404,$AQ18,$AR$5:$AR$404),""))))</f>
        <v/>
      </c>
      <c r="F18" s="32">
        <f>IF($AD18="Z",ROUND(SUM($AS$5:$AS$404),2),IF($AD18="D",INDEX($AS$5:$AS$404,$AC18),IF($AD18="T",ROUND(SUMIF($X$5:$X$404,$AF18,$AS$5:$AS$404),2),IF($AD18="B",ROUND(SUMIF($AN$5:$AN$404,$AQ18,$AS$5:$AS$404),2),""))))</f>
        <v/>
      </c>
      <c r="G18" s="32">
        <f>IF($AD18&lt;&gt;"D","",INDEX($AT$5:$AT$404,$AC18))</f>
        <v/>
      </c>
      <c r="H18" s="32">
        <f>IF($AD18&lt;&gt;"D","",INDEX($BC$5:$BC$404,$AC18))</f>
        <v/>
      </c>
      <c r="I18" s="32">
        <f>IF($AD18&lt;&gt;"D","",INDEX($BD$5:$BD$404,$AC18))</f>
        <v/>
      </c>
      <c r="J18" s="46">
        <f>IF($AD18&lt;&gt;"D","",IF(N($B18)=0,"",ROUND($I18/$B18,4)))</f>
        <v/>
      </c>
      <c r="K18" s="32">
        <f>IF($AD18="Z",ROUND(SUM($AU$5:$AU$404),2),IF($AD18="D",INDEX($AU$5:$AU$404,$AC18),IF($AD18="T",ROUND(SUMIF($X$5:$X$404,$AF18,$AU$5:$AU$404),2),IF($AD18="B",ROUND(SUMIF($AN$5:$AN$404,$AQ18,$AU$5:$AU$404),2),""))))</f>
        <v/>
      </c>
      <c r="L18" s="32">
        <f>IF($AD18="Z",ROUND(SUM($AV$5:$AV$404),2),IF($AD18="D",INDEX($AV$5:$AV$404,$AC18),IF($AD18="T",ROUND(SUMIF($X$5:$X$404,$AF18,$AV$5:$AV$404),2),IF($AD18="B",ROUND(SUMIF($AN$5:$AN$404,$AQ18,$AV$5:$AV$404),2),""))))</f>
        <v/>
      </c>
      <c r="M18" s="32">
        <f>IF($AD18="Z",ROUND(SUM($AJ$5:$AJ$704),2),IF($AD18="B",ROUND(SUMIF($AQ$5:$AQ$704,$AQ18,$AJ$5:$AJ$704),2),IF($AD18&lt;&gt;"T","",$AJ18)))</f>
        <v/>
      </c>
      <c r="N18" s="32">
        <f>IF(OR($AD18="D",$AD18="T",$AD18="B",$AD18="Z"),ROUND(N($K18)-N($L18)-N($M18),2),"")</f>
        <v/>
      </c>
      <c r="O18" s="32">
        <f>IF(OR($AD18="D",$AD18="T",$AD18="B",$AD18="Z"),IF(N($E18)=0,"",ROUND($F18/$E18,2)),"")</f>
        <v/>
      </c>
      <c r="Q18">
        <f>IFERROR(MATCH(14,บันทึกรายเที่ยว!$Z$6:$Z$6005,0),"")</f>
        <v/>
      </c>
      <c r="R18">
        <f>IF($Q18="","",INDEX(บันทึกรายเที่ยว!$V$6:$V$6005,$Q18))</f>
        <v/>
      </c>
      <c r="S18">
        <f>IF($Q18="","",INDEX(บันทึกรายเที่ยว!$F$6:$F$6005,$Q18))</f>
        <v/>
      </c>
      <c r="T18">
        <f>IF($Q18="","",MATCH($S18,บันทึกรายเที่ยว!$F$6:$F$6005,0))</f>
        <v/>
      </c>
      <c r="U18">
        <f>IF($Q18="","",$AL18*10000000+$T18*1000+14)</f>
        <v/>
      </c>
      <c r="V18">
        <f>IFERROR(MATCH(SMALL($U$5:$U$404,14),$U$5:$U$404,0),"")</f>
        <v/>
      </c>
      <c r="W18">
        <f>IF($V18="","",INDEX($Q$5:$Q$404,$V18))</f>
        <v/>
      </c>
      <c r="X18">
        <f>IF($V18="","",INDEX($S$5:$S$404,$V18))</f>
        <v/>
      </c>
      <c r="Y18">
        <f>IF($V18="","",INDEX($R$5:$R$404,$V18))</f>
        <v/>
      </c>
      <c r="Z18">
        <f>IF($V18="",0,IF($X18&lt;&gt;$X17,1,0))</f>
        <v/>
      </c>
      <c r="AA18">
        <f>IF($V18="",0,IF($V19="",1,IF($X19&lt;&gt;$X18,1,0)))</f>
        <v/>
      </c>
      <c r="AB18">
        <f>IF($V18="",99999+14,$AB17+1+$Z17+$AA17+$AO17)</f>
        <v/>
      </c>
      <c r="AC18">
        <f>IFERROR(MATCH(14,$AB$5:$AB$404,1),"")</f>
        <v/>
      </c>
      <c r="AD18">
        <f>IF(14=$AI$1+1,"Z",IF($AC18="","",IF(INDEX($V$5:$V$404,$AC18)="","",IF(14&gt;INDEX($AB$5:$AB$404,$AC18)+INDEX($Z$5:$Z$404,$AC18)+INDEX($AA$5:$AA$404,$AC18)+INDEX($AO$5:$AO$404,$AC18),"",IF(14=INDEX($AB$5:$AB$404,$AC18)+INDEX($Z$5:$Z$404,$AC18),"D",IF(AND(INDEX($Z$5:$Z$404,$AC18)=1,14=INDEX($AB$5:$AB$404,$AC18)),"H",IF(AND(INDEX($AO$5:$AO$404,$AC18)=1,14=INDEX($AB$5:$AB$404,$AC18)+INDEX($Z$5:$Z$404,$AC18)+INDEX($AA$5:$AA$404,$AC18)+INDEX($AO$5:$AO$404,$AC18)),"B","T")))))))</f>
        <v/>
      </c>
      <c r="AF18">
        <f>IF(OR($AD18="",$AD18="Z",$AD18="B"),"",INDEX($X$5:$X$404,$AC18))</f>
        <v/>
      </c>
      <c r="AJ18">
        <f>IF($AD18&lt;&gt;"T",0,ROUND(SUMIF(oil!$B$4:$B$63,$AF18,oil!$AE$4:$AE$63),2))</f>
        <v/>
      </c>
      <c r="AK18">
        <f>IF($S18="","",IFERROR(INDEX(อัตราค่าขนส่ง!$P$5:$P$54,MATCH($S18,อัตราค่าขนส่ง!$O$5:$O$54,0)),INDEX(รายการมาตรฐาน!$G$2:$G$3,1)))</f>
        <v/>
      </c>
      <c r="AL18">
        <f>IF($S18="","",IFERROR(MATCH($AK18,รายการมาตรฐาน!$G$2:$G$3,0),1))</f>
        <v/>
      </c>
      <c r="AM18">
        <f>IF($V18="","",INDEX($AK$5:$AK$404,$V18))</f>
        <v/>
      </c>
      <c r="AN18">
        <f>IF($V18="","",INDEX($AL$5:$AL$404,$V18))</f>
        <v/>
      </c>
      <c r="AO18">
        <f>IF(OR($V18="",$AI$2&lt;=1),0,IF($V19="",1,IF($AN19&lt;&gt;$AN18,1,0)))</f>
        <v/>
      </c>
      <c r="AP18">
        <f>IF($V18="",0,IF($AN18&lt;&gt;$AN17,1,0))</f>
        <v/>
      </c>
      <c r="AQ18">
        <f>IF(OR($AD18="",$AD18="Z"),"",INDEX($AN$5:$AN$404,$AC18))</f>
        <v/>
      </c>
      <c r="AR18">
        <f>IF($Y18="",0,COUNTIF(บันทึกรายเที่ยว!$V$6:$V$6005,$Y18))</f>
        <v/>
      </c>
      <c r="AS18">
        <f>IF($Y18="",0,ROUND(SUMIF(บันทึกรายเที่ยว!$V$6:$V$6005,$Y18,บันทึกรายเที่ยว!$M$6:$M$6005),2))</f>
        <v/>
      </c>
      <c r="AT18">
        <f>IF($Y18="",0,IFERROR(INDEX(อัตราค่าขนส่ง!$G$5:$G$204,MATCH($Y18,อัตราค่าขนส่ง!$M$5:$M$204,0)),0))</f>
        <v/>
      </c>
      <c r="AU18">
        <f>ROUND($AS18*$BD18,2)</f>
        <v/>
      </c>
      <c r="AV18">
        <f>ROUND($AU18*$BF$2/100,2)</f>
        <v/>
      </c>
      <c r="AW18">
        <f>IF($Y18="","",IFERROR(INDEX(อัตราค่าขนส่ง!$F$5:$F$204,MATCH($Y18,อัตราค่าขนส่ง!$M$5:$M$204,0)),""))</f>
        <v/>
      </c>
      <c r="AX18">
        <f>IF($W18="","",INDEX(บันทึกรายเที่ยว!$D$6:$D$6005,$W18))</f>
        <v/>
      </c>
      <c r="AY18">
        <f>IF($W18="","",INDEX(บันทึกรายเที่ยว!$R$6:$R$6005,$W18))</f>
        <v/>
      </c>
      <c r="AZ18">
        <f>IF(AND($AD18="T",$AQ18=1),N($AZ17)+1,N($AZ17))</f>
        <v/>
      </c>
      <c r="BA18">
        <f>IF($W18="","",INDEX(บันทึกรายเที่ยว!$E$6:$E$6005,$W18))</f>
        <v/>
      </c>
      <c r="BC18">
        <f>IF($Y18="",0,IFERROR(INDEX(อัตราค่าขนส่ง!$K$5:$K$204,MATCH($Y18,อัตราค่าขนส่ง!$M$5:$M$204,0)),0))</f>
        <v/>
      </c>
      <c r="BD18">
        <f>IF($Y18="",0,IFERROR(INDEX(อัตราค่าขนส่ง!$L$5:$L$204,MATCH($Y18,อัตราค่าขนส่ง!$M$5:$M$204,0)),0))</f>
        <v/>
      </c>
      <c r="BF18" s="47" t="inlineStr">
        <is>
          <t>4. ตรวจหน้านี้: ช่อง BF4 ต้องเป็น 0 และ BF8 ต้องขึ้นว่า ยอดตันตรงกับรายเที่ยว</t>
        </is>
      </c>
    </row>
    <row r="19" ht="21" customHeight="1" s="66">
      <c r="A19" s="69">
        <f>IF($AD19="","",IF($AD19="Z","รวมจ่ายทั้งสิ้น",IF($AD19="H",INDEX($X$5:$X$404,$AC19),IF($AD19="T","รวม",IF($AD19="B",IFERROR(INDEX(อัตราค่าขนส่ง!$S$5:$S$14,MATCH(INDEX($AM$5:$AM$404,$AC19),อัตราค่าขนส่ง!$R$5:$R$14,0)),"รวมกลุ่ม "&amp;INDEX($AM$5:$AM$404,$AC19)),INDEX($AY$5:$AY$404,$AC19))))))</f>
        <v/>
      </c>
      <c r="B19" s="31">
        <f>IF($AD19&lt;&gt;"D","",INDEX($AW$5:$AW$404,$AC19))</f>
        <v/>
      </c>
      <c r="C19" s="68">
        <f>IF($AD19&lt;&gt;"D","",INDEX($AX$5:$AX$404,$AC19))</f>
        <v/>
      </c>
      <c r="D19" s="70">
        <f>IF($AD19&lt;&gt;"D","",INDEX($BA$5:$BA$404,$AC19))</f>
        <v/>
      </c>
      <c r="E19" s="31">
        <f>IF($AD19="Z",SUM($AR$5:$AR$404),IF($AD19="D",INDEX($AR$5:$AR$404,$AC19),IF($AD19="T",SUMIF($X$5:$X$404,$AF19,$AR$5:$AR$404),IF($AD19="B",SUMIF($AN$5:$AN$404,$AQ19,$AR$5:$AR$404),""))))</f>
        <v/>
      </c>
      <c r="F19" s="32">
        <f>IF($AD19="Z",ROUND(SUM($AS$5:$AS$404),2),IF($AD19="D",INDEX($AS$5:$AS$404,$AC19),IF($AD19="T",ROUND(SUMIF($X$5:$X$404,$AF19,$AS$5:$AS$404),2),IF($AD19="B",ROUND(SUMIF($AN$5:$AN$404,$AQ19,$AS$5:$AS$404),2),""))))</f>
        <v/>
      </c>
      <c r="G19" s="32">
        <f>IF($AD19&lt;&gt;"D","",INDEX($AT$5:$AT$404,$AC19))</f>
        <v/>
      </c>
      <c r="H19" s="32">
        <f>IF($AD19&lt;&gt;"D","",INDEX($BC$5:$BC$404,$AC19))</f>
        <v/>
      </c>
      <c r="I19" s="32">
        <f>IF($AD19&lt;&gt;"D","",INDEX($BD$5:$BD$404,$AC19))</f>
        <v/>
      </c>
      <c r="J19" s="46">
        <f>IF($AD19&lt;&gt;"D","",IF(N($B19)=0,"",ROUND($I19/$B19,4)))</f>
        <v/>
      </c>
      <c r="K19" s="32">
        <f>IF($AD19="Z",ROUND(SUM($AU$5:$AU$404),2),IF($AD19="D",INDEX($AU$5:$AU$404,$AC19),IF($AD19="T",ROUND(SUMIF($X$5:$X$404,$AF19,$AU$5:$AU$404),2),IF($AD19="B",ROUND(SUMIF($AN$5:$AN$404,$AQ19,$AU$5:$AU$404),2),""))))</f>
        <v/>
      </c>
      <c r="L19" s="32">
        <f>IF($AD19="Z",ROUND(SUM($AV$5:$AV$404),2),IF($AD19="D",INDEX($AV$5:$AV$404,$AC19),IF($AD19="T",ROUND(SUMIF($X$5:$X$404,$AF19,$AV$5:$AV$404),2),IF($AD19="B",ROUND(SUMIF($AN$5:$AN$404,$AQ19,$AV$5:$AV$404),2),""))))</f>
        <v/>
      </c>
      <c r="M19" s="32">
        <f>IF($AD19="Z",ROUND(SUM($AJ$5:$AJ$704),2),IF($AD19="B",ROUND(SUMIF($AQ$5:$AQ$704,$AQ19,$AJ$5:$AJ$704),2),IF($AD19&lt;&gt;"T","",$AJ19)))</f>
        <v/>
      </c>
      <c r="N19" s="32">
        <f>IF(OR($AD19="D",$AD19="T",$AD19="B",$AD19="Z"),ROUND(N($K19)-N($L19)-N($M19),2),"")</f>
        <v/>
      </c>
      <c r="O19" s="32">
        <f>IF(OR($AD19="D",$AD19="T",$AD19="B",$AD19="Z"),IF(N($E19)=0,"",ROUND($F19/$E19,2)),"")</f>
        <v/>
      </c>
      <c r="Q19">
        <f>IFERROR(MATCH(15,บันทึกรายเที่ยว!$Z$6:$Z$6005,0),"")</f>
        <v/>
      </c>
      <c r="R19">
        <f>IF($Q19="","",INDEX(บันทึกรายเที่ยว!$V$6:$V$6005,$Q19))</f>
        <v/>
      </c>
      <c r="S19">
        <f>IF($Q19="","",INDEX(บันทึกรายเที่ยว!$F$6:$F$6005,$Q19))</f>
        <v/>
      </c>
      <c r="T19">
        <f>IF($Q19="","",MATCH($S19,บันทึกรายเที่ยว!$F$6:$F$6005,0))</f>
        <v/>
      </c>
      <c r="U19">
        <f>IF($Q19="","",$AL19*10000000+$T19*1000+15)</f>
        <v/>
      </c>
      <c r="V19">
        <f>IFERROR(MATCH(SMALL($U$5:$U$404,15),$U$5:$U$404,0),"")</f>
        <v/>
      </c>
      <c r="W19">
        <f>IF($V19="","",INDEX($Q$5:$Q$404,$V19))</f>
        <v/>
      </c>
      <c r="X19">
        <f>IF($V19="","",INDEX($S$5:$S$404,$V19))</f>
        <v/>
      </c>
      <c r="Y19">
        <f>IF($V19="","",INDEX($R$5:$R$404,$V19))</f>
        <v/>
      </c>
      <c r="Z19">
        <f>IF($V19="",0,IF($X19&lt;&gt;$X18,1,0))</f>
        <v/>
      </c>
      <c r="AA19">
        <f>IF($V19="",0,IF($V20="",1,IF($X20&lt;&gt;$X19,1,0)))</f>
        <v/>
      </c>
      <c r="AB19">
        <f>IF($V19="",99999+15,$AB18+1+$Z18+$AA18+$AO18)</f>
        <v/>
      </c>
      <c r="AC19">
        <f>IFERROR(MATCH(15,$AB$5:$AB$404,1),"")</f>
        <v/>
      </c>
      <c r="AD19">
        <f>IF(15=$AI$1+1,"Z",IF($AC19="","",IF(INDEX($V$5:$V$404,$AC19)="","",IF(15&gt;INDEX($AB$5:$AB$404,$AC19)+INDEX($Z$5:$Z$404,$AC19)+INDEX($AA$5:$AA$404,$AC19)+INDEX($AO$5:$AO$404,$AC19),"",IF(15=INDEX($AB$5:$AB$404,$AC19)+INDEX($Z$5:$Z$404,$AC19),"D",IF(AND(INDEX($Z$5:$Z$404,$AC19)=1,15=INDEX($AB$5:$AB$404,$AC19)),"H",IF(AND(INDEX($AO$5:$AO$404,$AC19)=1,15=INDEX($AB$5:$AB$404,$AC19)+INDEX($Z$5:$Z$404,$AC19)+INDEX($AA$5:$AA$404,$AC19)+INDEX($AO$5:$AO$404,$AC19)),"B","T")))))))</f>
        <v/>
      </c>
      <c r="AF19">
        <f>IF(OR($AD19="",$AD19="Z",$AD19="B"),"",INDEX($X$5:$X$404,$AC19))</f>
        <v/>
      </c>
      <c r="AJ19">
        <f>IF($AD19&lt;&gt;"T",0,ROUND(SUMIF(oil!$B$4:$B$63,$AF19,oil!$AE$4:$AE$63),2))</f>
        <v/>
      </c>
      <c r="AK19">
        <f>IF($S19="","",IFERROR(INDEX(อัตราค่าขนส่ง!$P$5:$P$54,MATCH($S19,อัตราค่าขนส่ง!$O$5:$O$54,0)),INDEX(รายการมาตรฐาน!$G$2:$G$3,1)))</f>
        <v/>
      </c>
      <c r="AL19">
        <f>IF($S19="","",IFERROR(MATCH($AK19,รายการมาตรฐาน!$G$2:$G$3,0),1))</f>
        <v/>
      </c>
      <c r="AM19">
        <f>IF($V19="","",INDEX($AK$5:$AK$404,$V19))</f>
        <v/>
      </c>
      <c r="AN19">
        <f>IF($V19="","",INDEX($AL$5:$AL$404,$V19))</f>
        <v/>
      </c>
      <c r="AO19">
        <f>IF(OR($V19="",$AI$2&lt;=1),0,IF($V20="",1,IF($AN20&lt;&gt;$AN19,1,0)))</f>
        <v/>
      </c>
      <c r="AP19">
        <f>IF($V19="",0,IF($AN19&lt;&gt;$AN18,1,0))</f>
        <v/>
      </c>
      <c r="AQ19">
        <f>IF(OR($AD19="",$AD19="Z"),"",INDEX($AN$5:$AN$404,$AC19))</f>
        <v/>
      </c>
      <c r="AR19">
        <f>IF($Y19="",0,COUNTIF(บันทึกรายเที่ยว!$V$6:$V$6005,$Y19))</f>
        <v/>
      </c>
      <c r="AS19">
        <f>IF($Y19="",0,ROUND(SUMIF(บันทึกรายเที่ยว!$V$6:$V$6005,$Y19,บันทึกรายเที่ยว!$M$6:$M$6005),2))</f>
        <v/>
      </c>
      <c r="AT19">
        <f>IF($Y19="",0,IFERROR(INDEX(อัตราค่าขนส่ง!$G$5:$G$204,MATCH($Y19,อัตราค่าขนส่ง!$M$5:$M$204,0)),0))</f>
        <v/>
      </c>
      <c r="AU19">
        <f>ROUND($AS19*$BD19,2)</f>
        <v/>
      </c>
      <c r="AV19">
        <f>ROUND($AU19*$BF$2/100,2)</f>
        <v/>
      </c>
      <c r="AW19">
        <f>IF($Y19="","",IFERROR(INDEX(อัตราค่าขนส่ง!$F$5:$F$204,MATCH($Y19,อัตราค่าขนส่ง!$M$5:$M$204,0)),""))</f>
        <v/>
      </c>
      <c r="AX19">
        <f>IF($W19="","",INDEX(บันทึกรายเที่ยว!$D$6:$D$6005,$W19))</f>
        <v/>
      </c>
      <c r="AY19">
        <f>IF($W19="","",INDEX(บันทึกรายเที่ยว!$R$6:$R$6005,$W19))</f>
        <v/>
      </c>
      <c r="AZ19">
        <f>IF(AND($AD19="T",$AQ19=1),N($AZ18)+1,N($AZ18))</f>
        <v/>
      </c>
      <c r="BA19">
        <f>IF($W19="","",INDEX(บันทึกรายเที่ยว!$E$6:$E$6005,$W19))</f>
        <v/>
      </c>
      <c r="BC19">
        <f>IF($Y19="",0,IFERROR(INDEX(อัตราค่าขนส่ง!$K$5:$K$204,MATCH($Y19,อัตราค่าขนส่ง!$M$5:$M$204,0)),0))</f>
        <v/>
      </c>
      <c r="BD19">
        <f>IF($Y19="",0,IFERROR(INDEX(อัตราค่าขนส่ง!$L$5:$L$204,MATCH($Y19,อัตราค่าขนส่ง!$M$5:$M$204,0)),0))</f>
        <v/>
      </c>
      <c r="BF19" s="47" t="inlineStr">
        <is>
          <t>5. ตรวจว่าทุกทีมในหน้า oil มีอยู่ในหน้านี้ (ดูช่องตรวจสอบในหน้า oil)</t>
        </is>
      </c>
    </row>
    <row r="20" ht="21" customHeight="1" s="66">
      <c r="A20" s="69">
        <f>IF($AD20="","",IF($AD20="Z","รวมจ่ายทั้งสิ้น",IF($AD20="H",INDEX($X$5:$X$404,$AC20),IF($AD20="T","รวม",IF($AD20="B",IFERROR(INDEX(อัตราค่าขนส่ง!$S$5:$S$14,MATCH(INDEX($AM$5:$AM$404,$AC20),อัตราค่าขนส่ง!$R$5:$R$14,0)),"รวมกลุ่ม "&amp;INDEX($AM$5:$AM$404,$AC20)),INDEX($AY$5:$AY$404,$AC20))))))</f>
        <v/>
      </c>
      <c r="B20" s="31">
        <f>IF($AD20&lt;&gt;"D","",INDEX($AW$5:$AW$404,$AC20))</f>
        <v/>
      </c>
      <c r="C20" s="68">
        <f>IF($AD20&lt;&gt;"D","",INDEX($AX$5:$AX$404,$AC20))</f>
        <v/>
      </c>
      <c r="D20" s="70">
        <f>IF($AD20&lt;&gt;"D","",INDEX($BA$5:$BA$404,$AC20))</f>
        <v/>
      </c>
      <c r="E20" s="31">
        <f>IF($AD20="Z",SUM($AR$5:$AR$404),IF($AD20="D",INDEX($AR$5:$AR$404,$AC20),IF($AD20="T",SUMIF($X$5:$X$404,$AF20,$AR$5:$AR$404),IF($AD20="B",SUMIF($AN$5:$AN$404,$AQ20,$AR$5:$AR$404),""))))</f>
        <v/>
      </c>
      <c r="F20" s="32">
        <f>IF($AD20="Z",ROUND(SUM($AS$5:$AS$404),2),IF($AD20="D",INDEX($AS$5:$AS$404,$AC20),IF($AD20="T",ROUND(SUMIF($X$5:$X$404,$AF20,$AS$5:$AS$404),2),IF($AD20="B",ROUND(SUMIF($AN$5:$AN$404,$AQ20,$AS$5:$AS$404),2),""))))</f>
        <v/>
      </c>
      <c r="G20" s="32">
        <f>IF($AD20&lt;&gt;"D","",INDEX($AT$5:$AT$404,$AC20))</f>
        <v/>
      </c>
      <c r="H20" s="32">
        <f>IF($AD20&lt;&gt;"D","",INDEX($BC$5:$BC$404,$AC20))</f>
        <v/>
      </c>
      <c r="I20" s="32">
        <f>IF($AD20&lt;&gt;"D","",INDEX($BD$5:$BD$404,$AC20))</f>
        <v/>
      </c>
      <c r="J20" s="46">
        <f>IF($AD20&lt;&gt;"D","",IF(N($B20)=0,"",ROUND($I20/$B20,4)))</f>
        <v/>
      </c>
      <c r="K20" s="32">
        <f>IF($AD20="Z",ROUND(SUM($AU$5:$AU$404),2),IF($AD20="D",INDEX($AU$5:$AU$404,$AC20),IF($AD20="T",ROUND(SUMIF($X$5:$X$404,$AF20,$AU$5:$AU$404),2),IF($AD20="B",ROUND(SUMIF($AN$5:$AN$404,$AQ20,$AU$5:$AU$404),2),""))))</f>
        <v/>
      </c>
      <c r="L20" s="32">
        <f>IF($AD20="Z",ROUND(SUM($AV$5:$AV$404),2),IF($AD20="D",INDEX($AV$5:$AV$404,$AC20),IF($AD20="T",ROUND(SUMIF($X$5:$X$404,$AF20,$AV$5:$AV$404),2),IF($AD20="B",ROUND(SUMIF($AN$5:$AN$404,$AQ20,$AV$5:$AV$404),2),""))))</f>
        <v/>
      </c>
      <c r="M20" s="32">
        <f>IF($AD20="Z",ROUND(SUM($AJ$5:$AJ$704),2),IF($AD20="B",ROUND(SUMIF($AQ$5:$AQ$704,$AQ20,$AJ$5:$AJ$704),2),IF($AD20&lt;&gt;"T","",$AJ20)))</f>
        <v/>
      </c>
      <c r="N20" s="32">
        <f>IF(OR($AD20="D",$AD20="T",$AD20="B",$AD20="Z"),ROUND(N($K20)-N($L20)-N($M20),2),"")</f>
        <v/>
      </c>
      <c r="O20" s="32">
        <f>IF(OR($AD20="D",$AD20="T",$AD20="B",$AD20="Z"),IF(N($E20)=0,"",ROUND($F20/$E20,2)),"")</f>
        <v/>
      </c>
      <c r="Q20">
        <f>IFERROR(MATCH(16,บันทึกรายเที่ยว!$Z$6:$Z$6005,0),"")</f>
        <v/>
      </c>
      <c r="R20">
        <f>IF($Q20="","",INDEX(บันทึกรายเที่ยว!$V$6:$V$6005,$Q20))</f>
        <v/>
      </c>
      <c r="S20">
        <f>IF($Q20="","",INDEX(บันทึกรายเที่ยว!$F$6:$F$6005,$Q20))</f>
        <v/>
      </c>
      <c r="T20">
        <f>IF($Q20="","",MATCH($S20,บันทึกรายเที่ยว!$F$6:$F$6005,0))</f>
        <v/>
      </c>
      <c r="U20">
        <f>IF($Q20="","",$AL20*10000000+$T20*1000+16)</f>
        <v/>
      </c>
      <c r="V20">
        <f>IFERROR(MATCH(SMALL($U$5:$U$404,16),$U$5:$U$404,0),"")</f>
        <v/>
      </c>
      <c r="W20">
        <f>IF($V20="","",INDEX($Q$5:$Q$404,$V20))</f>
        <v/>
      </c>
      <c r="X20">
        <f>IF($V20="","",INDEX($S$5:$S$404,$V20))</f>
        <v/>
      </c>
      <c r="Y20">
        <f>IF($V20="","",INDEX($R$5:$R$404,$V20))</f>
        <v/>
      </c>
      <c r="Z20">
        <f>IF($V20="",0,IF($X20&lt;&gt;$X19,1,0))</f>
        <v/>
      </c>
      <c r="AA20">
        <f>IF($V20="",0,IF($V21="",1,IF($X21&lt;&gt;$X20,1,0)))</f>
        <v/>
      </c>
      <c r="AB20">
        <f>IF($V20="",99999+16,$AB19+1+$Z19+$AA19+$AO19)</f>
        <v/>
      </c>
      <c r="AC20">
        <f>IFERROR(MATCH(16,$AB$5:$AB$404,1),"")</f>
        <v/>
      </c>
      <c r="AD20">
        <f>IF(16=$AI$1+1,"Z",IF($AC20="","",IF(INDEX($V$5:$V$404,$AC20)="","",IF(16&gt;INDEX($AB$5:$AB$404,$AC20)+INDEX($Z$5:$Z$404,$AC20)+INDEX($AA$5:$AA$404,$AC20)+INDEX($AO$5:$AO$404,$AC20),"",IF(16=INDEX($AB$5:$AB$404,$AC20)+INDEX($Z$5:$Z$404,$AC20),"D",IF(AND(INDEX($Z$5:$Z$404,$AC20)=1,16=INDEX($AB$5:$AB$404,$AC20)),"H",IF(AND(INDEX($AO$5:$AO$404,$AC20)=1,16=INDEX($AB$5:$AB$404,$AC20)+INDEX($Z$5:$Z$404,$AC20)+INDEX($AA$5:$AA$404,$AC20)+INDEX($AO$5:$AO$404,$AC20)),"B","T")))))))</f>
        <v/>
      </c>
      <c r="AF20">
        <f>IF(OR($AD20="",$AD20="Z",$AD20="B"),"",INDEX($X$5:$X$404,$AC20))</f>
        <v/>
      </c>
      <c r="AJ20">
        <f>IF($AD20&lt;&gt;"T",0,ROUND(SUMIF(oil!$B$4:$B$63,$AF20,oil!$AE$4:$AE$63),2))</f>
        <v/>
      </c>
      <c r="AK20">
        <f>IF($S20="","",IFERROR(INDEX(อัตราค่าขนส่ง!$P$5:$P$54,MATCH($S20,อัตราค่าขนส่ง!$O$5:$O$54,0)),INDEX(รายการมาตรฐาน!$G$2:$G$3,1)))</f>
        <v/>
      </c>
      <c r="AL20">
        <f>IF($S20="","",IFERROR(MATCH($AK20,รายการมาตรฐาน!$G$2:$G$3,0),1))</f>
        <v/>
      </c>
      <c r="AM20">
        <f>IF($V20="","",INDEX($AK$5:$AK$404,$V20))</f>
        <v/>
      </c>
      <c r="AN20">
        <f>IF($V20="","",INDEX($AL$5:$AL$404,$V20))</f>
        <v/>
      </c>
      <c r="AO20">
        <f>IF(OR($V20="",$AI$2&lt;=1),0,IF($V21="",1,IF($AN21&lt;&gt;$AN20,1,0)))</f>
        <v/>
      </c>
      <c r="AP20">
        <f>IF($V20="",0,IF($AN20&lt;&gt;$AN19,1,0))</f>
        <v/>
      </c>
      <c r="AQ20">
        <f>IF(OR($AD20="",$AD20="Z"),"",INDEX($AN$5:$AN$404,$AC20))</f>
        <v/>
      </c>
      <c r="AR20">
        <f>IF($Y20="",0,COUNTIF(บันทึกรายเที่ยว!$V$6:$V$6005,$Y20))</f>
        <v/>
      </c>
      <c r="AS20">
        <f>IF($Y20="",0,ROUND(SUMIF(บันทึกรายเที่ยว!$V$6:$V$6005,$Y20,บันทึกรายเที่ยว!$M$6:$M$6005),2))</f>
        <v/>
      </c>
      <c r="AT20">
        <f>IF($Y20="",0,IFERROR(INDEX(อัตราค่าขนส่ง!$G$5:$G$204,MATCH($Y20,อัตราค่าขนส่ง!$M$5:$M$204,0)),0))</f>
        <v/>
      </c>
      <c r="AU20">
        <f>ROUND($AS20*$BD20,2)</f>
        <v/>
      </c>
      <c r="AV20">
        <f>ROUND($AU20*$BF$2/100,2)</f>
        <v/>
      </c>
      <c r="AW20">
        <f>IF($Y20="","",IFERROR(INDEX(อัตราค่าขนส่ง!$F$5:$F$204,MATCH($Y20,อัตราค่าขนส่ง!$M$5:$M$204,0)),""))</f>
        <v/>
      </c>
      <c r="AX20">
        <f>IF($W20="","",INDEX(บันทึกรายเที่ยว!$D$6:$D$6005,$W20))</f>
        <v/>
      </c>
      <c r="AY20">
        <f>IF($W20="","",INDEX(บันทึกรายเที่ยว!$R$6:$R$6005,$W20))</f>
        <v/>
      </c>
      <c r="AZ20">
        <f>IF(AND($AD20="T",$AQ20=1),N($AZ19)+1,N($AZ19))</f>
        <v/>
      </c>
      <c r="BA20">
        <f>IF($W20="","",INDEX(บันทึกรายเที่ยว!$E$6:$E$6005,$W20))</f>
        <v/>
      </c>
      <c r="BC20">
        <f>IF($Y20="",0,IFERROR(INDEX(อัตราค่าขนส่ง!$K$5:$K$204,MATCH($Y20,อัตราค่าขนส่ง!$M$5:$M$204,0)),0))</f>
        <v/>
      </c>
      <c r="BD20">
        <f>IF($Y20="",0,IFERROR(INDEX(อัตราค่าขนส่ง!$L$5:$L$204,MATCH($Y20,อัตราค่าขนส่ง!$M$5:$M$204,0)),0))</f>
        <v/>
      </c>
      <c r="BF20" s="47" t="inlineStr">
        <is>
          <t>6. ผ่านครบแล้วจึงพิมพ์หน้า "ปะหน้าจ่ายรถร่วม" ส่งต่อ</t>
        </is>
      </c>
    </row>
    <row r="21" ht="21" customHeight="1" s="66">
      <c r="A21" s="69">
        <f>IF($AD21="","",IF($AD21="Z","รวมจ่ายทั้งสิ้น",IF($AD21="H",INDEX($X$5:$X$404,$AC21),IF($AD21="T","รวม",IF($AD21="B",IFERROR(INDEX(อัตราค่าขนส่ง!$S$5:$S$14,MATCH(INDEX($AM$5:$AM$404,$AC21),อัตราค่าขนส่ง!$R$5:$R$14,0)),"รวมกลุ่ม "&amp;INDEX($AM$5:$AM$404,$AC21)),INDEX($AY$5:$AY$404,$AC21))))))</f>
        <v/>
      </c>
      <c r="B21" s="31">
        <f>IF($AD21&lt;&gt;"D","",INDEX($AW$5:$AW$404,$AC21))</f>
        <v/>
      </c>
      <c r="C21" s="68">
        <f>IF($AD21&lt;&gt;"D","",INDEX($AX$5:$AX$404,$AC21))</f>
        <v/>
      </c>
      <c r="D21" s="70">
        <f>IF($AD21&lt;&gt;"D","",INDEX($BA$5:$BA$404,$AC21))</f>
        <v/>
      </c>
      <c r="E21" s="31">
        <f>IF($AD21="Z",SUM($AR$5:$AR$404),IF($AD21="D",INDEX($AR$5:$AR$404,$AC21),IF($AD21="T",SUMIF($X$5:$X$404,$AF21,$AR$5:$AR$404),IF($AD21="B",SUMIF($AN$5:$AN$404,$AQ21,$AR$5:$AR$404),""))))</f>
        <v/>
      </c>
      <c r="F21" s="32">
        <f>IF($AD21="Z",ROUND(SUM($AS$5:$AS$404),2),IF($AD21="D",INDEX($AS$5:$AS$404,$AC21),IF($AD21="T",ROUND(SUMIF($X$5:$X$404,$AF21,$AS$5:$AS$404),2),IF($AD21="B",ROUND(SUMIF($AN$5:$AN$404,$AQ21,$AS$5:$AS$404),2),""))))</f>
        <v/>
      </c>
      <c r="G21" s="32">
        <f>IF($AD21&lt;&gt;"D","",INDEX($AT$5:$AT$404,$AC21))</f>
        <v/>
      </c>
      <c r="H21" s="32">
        <f>IF($AD21&lt;&gt;"D","",INDEX($BC$5:$BC$404,$AC21))</f>
        <v/>
      </c>
      <c r="I21" s="32">
        <f>IF($AD21&lt;&gt;"D","",INDEX($BD$5:$BD$404,$AC21))</f>
        <v/>
      </c>
      <c r="J21" s="46">
        <f>IF($AD21&lt;&gt;"D","",IF(N($B21)=0,"",ROUND($I21/$B21,4)))</f>
        <v/>
      </c>
      <c r="K21" s="32">
        <f>IF($AD21="Z",ROUND(SUM($AU$5:$AU$404),2),IF($AD21="D",INDEX($AU$5:$AU$404,$AC21),IF($AD21="T",ROUND(SUMIF($X$5:$X$404,$AF21,$AU$5:$AU$404),2),IF($AD21="B",ROUND(SUMIF($AN$5:$AN$404,$AQ21,$AU$5:$AU$404),2),""))))</f>
        <v/>
      </c>
      <c r="L21" s="32">
        <f>IF($AD21="Z",ROUND(SUM($AV$5:$AV$404),2),IF($AD21="D",INDEX($AV$5:$AV$404,$AC21),IF($AD21="T",ROUND(SUMIF($X$5:$X$404,$AF21,$AV$5:$AV$404),2),IF($AD21="B",ROUND(SUMIF($AN$5:$AN$404,$AQ21,$AV$5:$AV$404),2),""))))</f>
        <v/>
      </c>
      <c r="M21" s="32">
        <f>IF($AD21="Z",ROUND(SUM($AJ$5:$AJ$704),2),IF($AD21="B",ROUND(SUMIF($AQ$5:$AQ$704,$AQ21,$AJ$5:$AJ$704),2),IF($AD21&lt;&gt;"T","",$AJ21)))</f>
        <v/>
      </c>
      <c r="N21" s="32">
        <f>IF(OR($AD21="D",$AD21="T",$AD21="B",$AD21="Z"),ROUND(N($K21)-N($L21)-N($M21),2),"")</f>
        <v/>
      </c>
      <c r="O21" s="32">
        <f>IF(OR($AD21="D",$AD21="T",$AD21="B",$AD21="Z"),IF(N($E21)=0,"",ROUND($F21/$E21,2)),"")</f>
        <v/>
      </c>
      <c r="Q21">
        <f>IFERROR(MATCH(17,บันทึกรายเที่ยว!$Z$6:$Z$6005,0),"")</f>
        <v/>
      </c>
      <c r="R21">
        <f>IF($Q21="","",INDEX(บันทึกรายเที่ยว!$V$6:$V$6005,$Q21))</f>
        <v/>
      </c>
      <c r="S21">
        <f>IF($Q21="","",INDEX(บันทึกรายเที่ยว!$F$6:$F$6005,$Q21))</f>
        <v/>
      </c>
      <c r="T21">
        <f>IF($Q21="","",MATCH($S21,บันทึกรายเที่ยว!$F$6:$F$6005,0))</f>
        <v/>
      </c>
      <c r="U21">
        <f>IF($Q21="","",$AL21*10000000+$T21*1000+17)</f>
        <v/>
      </c>
      <c r="V21">
        <f>IFERROR(MATCH(SMALL($U$5:$U$404,17),$U$5:$U$404,0),"")</f>
        <v/>
      </c>
      <c r="W21">
        <f>IF($V21="","",INDEX($Q$5:$Q$404,$V21))</f>
        <v/>
      </c>
      <c r="X21">
        <f>IF($V21="","",INDEX($S$5:$S$404,$V21))</f>
        <v/>
      </c>
      <c r="Y21">
        <f>IF($V21="","",INDEX($R$5:$R$404,$V21))</f>
        <v/>
      </c>
      <c r="Z21">
        <f>IF($V21="",0,IF($X21&lt;&gt;$X20,1,0))</f>
        <v/>
      </c>
      <c r="AA21">
        <f>IF($V21="",0,IF($V22="",1,IF($X22&lt;&gt;$X21,1,0)))</f>
        <v/>
      </c>
      <c r="AB21">
        <f>IF($V21="",99999+17,$AB20+1+$Z20+$AA20+$AO20)</f>
        <v/>
      </c>
      <c r="AC21">
        <f>IFERROR(MATCH(17,$AB$5:$AB$404,1),"")</f>
        <v/>
      </c>
      <c r="AD21">
        <f>IF(17=$AI$1+1,"Z",IF($AC21="","",IF(INDEX($V$5:$V$404,$AC21)="","",IF(17&gt;INDEX($AB$5:$AB$404,$AC21)+INDEX($Z$5:$Z$404,$AC21)+INDEX($AA$5:$AA$404,$AC21)+INDEX($AO$5:$AO$404,$AC21),"",IF(17=INDEX($AB$5:$AB$404,$AC21)+INDEX($Z$5:$Z$404,$AC21),"D",IF(AND(INDEX($Z$5:$Z$404,$AC21)=1,17=INDEX($AB$5:$AB$404,$AC21)),"H",IF(AND(INDEX($AO$5:$AO$404,$AC21)=1,17=INDEX($AB$5:$AB$404,$AC21)+INDEX($Z$5:$Z$404,$AC21)+INDEX($AA$5:$AA$404,$AC21)+INDEX($AO$5:$AO$404,$AC21)),"B","T")))))))</f>
        <v/>
      </c>
      <c r="AF21">
        <f>IF(OR($AD21="",$AD21="Z",$AD21="B"),"",INDEX($X$5:$X$404,$AC21))</f>
        <v/>
      </c>
      <c r="AJ21">
        <f>IF($AD21&lt;&gt;"T",0,ROUND(SUMIF(oil!$B$4:$B$63,$AF21,oil!$AE$4:$AE$63),2))</f>
        <v/>
      </c>
      <c r="AK21">
        <f>IF($S21="","",IFERROR(INDEX(อัตราค่าขนส่ง!$P$5:$P$54,MATCH($S21,อัตราค่าขนส่ง!$O$5:$O$54,0)),INDEX(รายการมาตรฐาน!$G$2:$G$3,1)))</f>
        <v/>
      </c>
      <c r="AL21">
        <f>IF($S21="","",IFERROR(MATCH($AK21,รายการมาตรฐาน!$G$2:$G$3,0),1))</f>
        <v/>
      </c>
      <c r="AM21">
        <f>IF($V21="","",INDEX($AK$5:$AK$404,$V21))</f>
        <v/>
      </c>
      <c r="AN21">
        <f>IF($V21="","",INDEX($AL$5:$AL$404,$V21))</f>
        <v/>
      </c>
      <c r="AO21">
        <f>IF(OR($V21="",$AI$2&lt;=1),0,IF($V22="",1,IF($AN22&lt;&gt;$AN21,1,0)))</f>
        <v/>
      </c>
      <c r="AP21">
        <f>IF($V21="",0,IF($AN21&lt;&gt;$AN20,1,0))</f>
        <v/>
      </c>
      <c r="AQ21">
        <f>IF(OR($AD21="",$AD21="Z"),"",INDEX($AN$5:$AN$404,$AC21))</f>
        <v/>
      </c>
      <c r="AR21">
        <f>IF($Y21="",0,COUNTIF(บันทึกรายเที่ยว!$V$6:$V$6005,$Y21))</f>
        <v/>
      </c>
      <c r="AS21">
        <f>IF($Y21="",0,ROUND(SUMIF(บันทึกรายเที่ยว!$V$6:$V$6005,$Y21,บันทึกรายเที่ยว!$M$6:$M$6005),2))</f>
        <v/>
      </c>
      <c r="AT21">
        <f>IF($Y21="",0,IFERROR(INDEX(อัตราค่าขนส่ง!$G$5:$G$204,MATCH($Y21,อัตราค่าขนส่ง!$M$5:$M$204,0)),0))</f>
        <v/>
      </c>
      <c r="AU21">
        <f>ROUND($AS21*$BD21,2)</f>
        <v/>
      </c>
      <c r="AV21">
        <f>ROUND($AU21*$BF$2/100,2)</f>
        <v/>
      </c>
      <c r="AW21">
        <f>IF($Y21="","",IFERROR(INDEX(อัตราค่าขนส่ง!$F$5:$F$204,MATCH($Y21,อัตราค่าขนส่ง!$M$5:$M$204,0)),""))</f>
        <v/>
      </c>
      <c r="AX21">
        <f>IF($W21="","",INDEX(บันทึกรายเที่ยว!$D$6:$D$6005,$W21))</f>
        <v/>
      </c>
      <c r="AY21">
        <f>IF($W21="","",INDEX(บันทึกรายเที่ยว!$R$6:$R$6005,$W21))</f>
        <v/>
      </c>
      <c r="AZ21">
        <f>IF(AND($AD21="T",$AQ21=1),N($AZ20)+1,N($AZ20))</f>
        <v/>
      </c>
      <c r="BA21">
        <f>IF($W21="","",INDEX(บันทึกรายเที่ยว!$E$6:$E$6005,$W21))</f>
        <v/>
      </c>
      <c r="BC21">
        <f>IF($Y21="",0,IFERROR(INDEX(อัตราค่าขนส่ง!$K$5:$K$204,MATCH($Y21,อัตราค่าขนส่ง!$M$5:$M$204,0)),0))</f>
        <v/>
      </c>
      <c r="BD21">
        <f>IF($Y21="",0,IFERROR(INDEX(อัตราค่าขนส่ง!$L$5:$L$204,MATCH($Y21,อัตราค่าขนส่ง!$M$5:$M$204,0)),0))</f>
        <v/>
      </c>
    </row>
    <row r="22" ht="21" customHeight="1" s="66">
      <c r="A22" s="69">
        <f>IF($AD22="","",IF($AD22="Z","รวมจ่ายทั้งสิ้น",IF($AD22="H",INDEX($X$5:$X$404,$AC22),IF($AD22="T","รวม",IF($AD22="B",IFERROR(INDEX(อัตราค่าขนส่ง!$S$5:$S$14,MATCH(INDEX($AM$5:$AM$404,$AC22),อัตราค่าขนส่ง!$R$5:$R$14,0)),"รวมกลุ่ม "&amp;INDEX($AM$5:$AM$404,$AC22)),INDEX($AY$5:$AY$404,$AC22))))))</f>
        <v/>
      </c>
      <c r="B22" s="31">
        <f>IF($AD22&lt;&gt;"D","",INDEX($AW$5:$AW$404,$AC22))</f>
        <v/>
      </c>
      <c r="C22" s="68">
        <f>IF($AD22&lt;&gt;"D","",INDEX($AX$5:$AX$404,$AC22))</f>
        <v/>
      </c>
      <c r="D22" s="70">
        <f>IF($AD22&lt;&gt;"D","",INDEX($BA$5:$BA$404,$AC22))</f>
        <v/>
      </c>
      <c r="E22" s="31">
        <f>IF($AD22="Z",SUM($AR$5:$AR$404),IF($AD22="D",INDEX($AR$5:$AR$404,$AC22),IF($AD22="T",SUMIF($X$5:$X$404,$AF22,$AR$5:$AR$404),IF($AD22="B",SUMIF($AN$5:$AN$404,$AQ22,$AR$5:$AR$404),""))))</f>
        <v/>
      </c>
      <c r="F22" s="32">
        <f>IF($AD22="Z",ROUND(SUM($AS$5:$AS$404),2),IF($AD22="D",INDEX($AS$5:$AS$404,$AC22),IF($AD22="T",ROUND(SUMIF($X$5:$X$404,$AF22,$AS$5:$AS$404),2),IF($AD22="B",ROUND(SUMIF($AN$5:$AN$404,$AQ22,$AS$5:$AS$404),2),""))))</f>
        <v/>
      </c>
      <c r="G22" s="32">
        <f>IF($AD22&lt;&gt;"D","",INDEX($AT$5:$AT$404,$AC22))</f>
        <v/>
      </c>
      <c r="H22" s="32">
        <f>IF($AD22&lt;&gt;"D","",INDEX($BC$5:$BC$404,$AC22))</f>
        <v/>
      </c>
      <c r="I22" s="32">
        <f>IF($AD22&lt;&gt;"D","",INDEX($BD$5:$BD$404,$AC22))</f>
        <v/>
      </c>
      <c r="J22" s="46">
        <f>IF($AD22&lt;&gt;"D","",IF(N($B22)=0,"",ROUND($I22/$B22,4)))</f>
        <v/>
      </c>
      <c r="K22" s="32">
        <f>IF($AD22="Z",ROUND(SUM($AU$5:$AU$404),2),IF($AD22="D",INDEX($AU$5:$AU$404,$AC22),IF($AD22="T",ROUND(SUMIF($X$5:$X$404,$AF22,$AU$5:$AU$404),2),IF($AD22="B",ROUND(SUMIF($AN$5:$AN$404,$AQ22,$AU$5:$AU$404),2),""))))</f>
        <v/>
      </c>
      <c r="L22" s="32">
        <f>IF($AD22="Z",ROUND(SUM($AV$5:$AV$404),2),IF($AD22="D",INDEX($AV$5:$AV$404,$AC22),IF($AD22="T",ROUND(SUMIF($X$5:$X$404,$AF22,$AV$5:$AV$404),2),IF($AD22="B",ROUND(SUMIF($AN$5:$AN$404,$AQ22,$AV$5:$AV$404),2),""))))</f>
        <v/>
      </c>
      <c r="M22" s="32">
        <f>IF($AD22="Z",ROUND(SUM($AJ$5:$AJ$704),2),IF($AD22="B",ROUND(SUMIF($AQ$5:$AQ$704,$AQ22,$AJ$5:$AJ$704),2),IF($AD22&lt;&gt;"T","",$AJ22)))</f>
        <v/>
      </c>
      <c r="N22" s="32">
        <f>IF(OR($AD22="D",$AD22="T",$AD22="B",$AD22="Z"),ROUND(N($K22)-N($L22)-N($M22),2),"")</f>
        <v/>
      </c>
      <c r="O22" s="32">
        <f>IF(OR($AD22="D",$AD22="T",$AD22="B",$AD22="Z"),IF(N($E22)=0,"",ROUND($F22/$E22,2)),"")</f>
        <v/>
      </c>
      <c r="Q22">
        <f>IFERROR(MATCH(18,บันทึกรายเที่ยว!$Z$6:$Z$6005,0),"")</f>
        <v/>
      </c>
      <c r="R22">
        <f>IF($Q22="","",INDEX(บันทึกรายเที่ยว!$V$6:$V$6005,$Q22))</f>
        <v/>
      </c>
      <c r="S22">
        <f>IF($Q22="","",INDEX(บันทึกรายเที่ยว!$F$6:$F$6005,$Q22))</f>
        <v/>
      </c>
      <c r="T22">
        <f>IF($Q22="","",MATCH($S22,บันทึกรายเที่ยว!$F$6:$F$6005,0))</f>
        <v/>
      </c>
      <c r="U22">
        <f>IF($Q22="","",$AL22*10000000+$T22*1000+18)</f>
        <v/>
      </c>
      <c r="V22">
        <f>IFERROR(MATCH(SMALL($U$5:$U$404,18),$U$5:$U$404,0),"")</f>
        <v/>
      </c>
      <c r="W22">
        <f>IF($V22="","",INDEX($Q$5:$Q$404,$V22))</f>
        <v/>
      </c>
      <c r="X22">
        <f>IF($V22="","",INDEX($S$5:$S$404,$V22))</f>
        <v/>
      </c>
      <c r="Y22">
        <f>IF($V22="","",INDEX($R$5:$R$404,$V22))</f>
        <v/>
      </c>
      <c r="Z22">
        <f>IF($V22="",0,IF($X22&lt;&gt;$X21,1,0))</f>
        <v/>
      </c>
      <c r="AA22">
        <f>IF($V22="",0,IF($V23="",1,IF($X23&lt;&gt;$X22,1,0)))</f>
        <v/>
      </c>
      <c r="AB22">
        <f>IF($V22="",99999+18,$AB21+1+$Z21+$AA21+$AO21)</f>
        <v/>
      </c>
      <c r="AC22">
        <f>IFERROR(MATCH(18,$AB$5:$AB$404,1),"")</f>
        <v/>
      </c>
      <c r="AD22">
        <f>IF(18=$AI$1+1,"Z",IF($AC22="","",IF(INDEX($V$5:$V$404,$AC22)="","",IF(18&gt;INDEX($AB$5:$AB$404,$AC22)+INDEX($Z$5:$Z$404,$AC22)+INDEX($AA$5:$AA$404,$AC22)+INDEX($AO$5:$AO$404,$AC22),"",IF(18=INDEX($AB$5:$AB$404,$AC22)+INDEX($Z$5:$Z$404,$AC22),"D",IF(AND(INDEX($Z$5:$Z$404,$AC22)=1,18=INDEX($AB$5:$AB$404,$AC22)),"H",IF(AND(INDEX($AO$5:$AO$404,$AC22)=1,18=INDEX($AB$5:$AB$404,$AC22)+INDEX($Z$5:$Z$404,$AC22)+INDEX($AA$5:$AA$404,$AC22)+INDEX($AO$5:$AO$404,$AC22)),"B","T")))))))</f>
        <v/>
      </c>
      <c r="AF22">
        <f>IF(OR($AD22="",$AD22="Z",$AD22="B"),"",INDEX($X$5:$X$404,$AC22))</f>
        <v/>
      </c>
      <c r="AJ22">
        <f>IF($AD22&lt;&gt;"T",0,ROUND(SUMIF(oil!$B$4:$B$63,$AF22,oil!$AE$4:$AE$63),2))</f>
        <v/>
      </c>
      <c r="AK22">
        <f>IF($S22="","",IFERROR(INDEX(อัตราค่าขนส่ง!$P$5:$P$54,MATCH($S22,อัตราค่าขนส่ง!$O$5:$O$54,0)),INDEX(รายการมาตรฐาน!$G$2:$G$3,1)))</f>
        <v/>
      </c>
      <c r="AL22">
        <f>IF($S22="","",IFERROR(MATCH($AK22,รายการมาตรฐาน!$G$2:$G$3,0),1))</f>
        <v/>
      </c>
      <c r="AM22">
        <f>IF($V22="","",INDEX($AK$5:$AK$404,$V22))</f>
        <v/>
      </c>
      <c r="AN22">
        <f>IF($V22="","",INDEX($AL$5:$AL$404,$V22))</f>
        <v/>
      </c>
      <c r="AO22">
        <f>IF(OR($V22="",$AI$2&lt;=1),0,IF($V23="",1,IF($AN23&lt;&gt;$AN22,1,0)))</f>
        <v/>
      </c>
      <c r="AP22">
        <f>IF($V22="",0,IF($AN22&lt;&gt;$AN21,1,0))</f>
        <v/>
      </c>
      <c r="AQ22">
        <f>IF(OR($AD22="",$AD22="Z"),"",INDEX($AN$5:$AN$404,$AC22))</f>
        <v/>
      </c>
      <c r="AR22">
        <f>IF($Y22="",0,COUNTIF(บันทึกรายเที่ยว!$V$6:$V$6005,$Y22))</f>
        <v/>
      </c>
      <c r="AS22">
        <f>IF($Y22="",0,ROUND(SUMIF(บันทึกรายเที่ยว!$V$6:$V$6005,$Y22,บันทึกรายเที่ยว!$M$6:$M$6005),2))</f>
        <v/>
      </c>
      <c r="AT22">
        <f>IF($Y22="",0,IFERROR(INDEX(อัตราค่าขนส่ง!$G$5:$G$204,MATCH($Y22,อัตราค่าขนส่ง!$M$5:$M$204,0)),0))</f>
        <v/>
      </c>
      <c r="AU22">
        <f>ROUND($AS22*$BD22,2)</f>
        <v/>
      </c>
      <c r="AV22">
        <f>ROUND($AU22*$BF$2/100,2)</f>
        <v/>
      </c>
      <c r="AW22">
        <f>IF($Y22="","",IFERROR(INDEX(อัตราค่าขนส่ง!$F$5:$F$204,MATCH($Y22,อัตราค่าขนส่ง!$M$5:$M$204,0)),""))</f>
        <v/>
      </c>
      <c r="AX22">
        <f>IF($W22="","",INDEX(บันทึกรายเที่ยว!$D$6:$D$6005,$W22))</f>
        <v/>
      </c>
      <c r="AY22">
        <f>IF($W22="","",INDEX(บันทึกรายเที่ยว!$R$6:$R$6005,$W22))</f>
        <v/>
      </c>
      <c r="AZ22">
        <f>IF(AND($AD22="T",$AQ22=1),N($AZ21)+1,N($AZ21))</f>
        <v/>
      </c>
      <c r="BA22">
        <f>IF($W22="","",INDEX(บันทึกรายเที่ยว!$E$6:$E$6005,$W22))</f>
        <v/>
      </c>
      <c r="BC22">
        <f>IF($Y22="",0,IFERROR(INDEX(อัตราค่าขนส่ง!$K$5:$K$204,MATCH($Y22,อัตราค่าขนส่ง!$M$5:$M$204,0)),0))</f>
        <v/>
      </c>
      <c r="BD22">
        <f>IF($Y22="",0,IFERROR(INDEX(อัตราค่าขนส่ง!$L$5:$L$204,MATCH($Y22,อัตราค่าขนส่ง!$M$5:$M$204,0)),0))</f>
        <v/>
      </c>
    </row>
    <row r="23" ht="21" customHeight="1" s="66">
      <c r="A23" s="69">
        <f>IF($AD23="","",IF($AD23="Z","รวมจ่ายทั้งสิ้น",IF($AD23="H",INDEX($X$5:$X$404,$AC23),IF($AD23="T","รวม",IF($AD23="B",IFERROR(INDEX(อัตราค่าขนส่ง!$S$5:$S$14,MATCH(INDEX($AM$5:$AM$404,$AC23),อัตราค่าขนส่ง!$R$5:$R$14,0)),"รวมกลุ่ม "&amp;INDEX($AM$5:$AM$404,$AC23)),INDEX($AY$5:$AY$404,$AC23))))))</f>
        <v/>
      </c>
      <c r="B23" s="31">
        <f>IF($AD23&lt;&gt;"D","",INDEX($AW$5:$AW$404,$AC23))</f>
        <v/>
      </c>
      <c r="C23" s="68">
        <f>IF($AD23&lt;&gt;"D","",INDEX($AX$5:$AX$404,$AC23))</f>
        <v/>
      </c>
      <c r="D23" s="70">
        <f>IF($AD23&lt;&gt;"D","",INDEX($BA$5:$BA$404,$AC23))</f>
        <v/>
      </c>
      <c r="E23" s="31">
        <f>IF($AD23="Z",SUM($AR$5:$AR$404),IF($AD23="D",INDEX($AR$5:$AR$404,$AC23),IF($AD23="T",SUMIF($X$5:$X$404,$AF23,$AR$5:$AR$404),IF($AD23="B",SUMIF($AN$5:$AN$404,$AQ23,$AR$5:$AR$404),""))))</f>
        <v/>
      </c>
      <c r="F23" s="32">
        <f>IF($AD23="Z",ROUND(SUM($AS$5:$AS$404),2),IF($AD23="D",INDEX($AS$5:$AS$404,$AC23),IF($AD23="T",ROUND(SUMIF($X$5:$X$404,$AF23,$AS$5:$AS$404),2),IF($AD23="B",ROUND(SUMIF($AN$5:$AN$404,$AQ23,$AS$5:$AS$404),2),""))))</f>
        <v/>
      </c>
      <c r="G23" s="32">
        <f>IF($AD23&lt;&gt;"D","",INDEX($AT$5:$AT$404,$AC23))</f>
        <v/>
      </c>
      <c r="H23" s="32">
        <f>IF($AD23&lt;&gt;"D","",INDEX($BC$5:$BC$404,$AC23))</f>
        <v/>
      </c>
      <c r="I23" s="32">
        <f>IF($AD23&lt;&gt;"D","",INDEX($BD$5:$BD$404,$AC23))</f>
        <v/>
      </c>
      <c r="J23" s="46">
        <f>IF($AD23&lt;&gt;"D","",IF(N($B23)=0,"",ROUND($I23/$B23,4)))</f>
        <v/>
      </c>
      <c r="K23" s="32">
        <f>IF($AD23="Z",ROUND(SUM($AU$5:$AU$404),2),IF($AD23="D",INDEX($AU$5:$AU$404,$AC23),IF($AD23="T",ROUND(SUMIF($X$5:$X$404,$AF23,$AU$5:$AU$404),2),IF($AD23="B",ROUND(SUMIF($AN$5:$AN$404,$AQ23,$AU$5:$AU$404),2),""))))</f>
        <v/>
      </c>
      <c r="L23" s="32">
        <f>IF($AD23="Z",ROUND(SUM($AV$5:$AV$404),2),IF($AD23="D",INDEX($AV$5:$AV$404,$AC23),IF($AD23="T",ROUND(SUMIF($X$5:$X$404,$AF23,$AV$5:$AV$404),2),IF($AD23="B",ROUND(SUMIF($AN$5:$AN$404,$AQ23,$AV$5:$AV$404),2),""))))</f>
        <v/>
      </c>
      <c r="M23" s="32">
        <f>IF($AD23="Z",ROUND(SUM($AJ$5:$AJ$704),2),IF($AD23="B",ROUND(SUMIF($AQ$5:$AQ$704,$AQ23,$AJ$5:$AJ$704),2),IF($AD23&lt;&gt;"T","",$AJ23)))</f>
        <v/>
      </c>
      <c r="N23" s="32">
        <f>IF(OR($AD23="D",$AD23="T",$AD23="B",$AD23="Z"),ROUND(N($K23)-N($L23)-N($M23),2),"")</f>
        <v/>
      </c>
      <c r="O23" s="32">
        <f>IF(OR($AD23="D",$AD23="T",$AD23="B",$AD23="Z"),IF(N($E23)=0,"",ROUND($F23/$E23,2)),"")</f>
        <v/>
      </c>
      <c r="Q23">
        <f>IFERROR(MATCH(19,บันทึกรายเที่ยว!$Z$6:$Z$6005,0),"")</f>
        <v/>
      </c>
      <c r="R23">
        <f>IF($Q23="","",INDEX(บันทึกรายเที่ยว!$V$6:$V$6005,$Q23))</f>
        <v/>
      </c>
      <c r="S23">
        <f>IF($Q23="","",INDEX(บันทึกรายเที่ยว!$F$6:$F$6005,$Q23))</f>
        <v/>
      </c>
      <c r="T23">
        <f>IF($Q23="","",MATCH($S23,บันทึกรายเที่ยว!$F$6:$F$6005,0))</f>
        <v/>
      </c>
      <c r="U23">
        <f>IF($Q23="","",$AL23*10000000+$T23*1000+19)</f>
        <v/>
      </c>
      <c r="V23">
        <f>IFERROR(MATCH(SMALL($U$5:$U$404,19),$U$5:$U$404,0),"")</f>
        <v/>
      </c>
      <c r="W23">
        <f>IF($V23="","",INDEX($Q$5:$Q$404,$V23))</f>
        <v/>
      </c>
      <c r="X23">
        <f>IF($V23="","",INDEX($S$5:$S$404,$V23))</f>
        <v/>
      </c>
      <c r="Y23">
        <f>IF($V23="","",INDEX($R$5:$R$404,$V23))</f>
        <v/>
      </c>
      <c r="Z23">
        <f>IF($V23="",0,IF($X23&lt;&gt;$X22,1,0))</f>
        <v/>
      </c>
      <c r="AA23">
        <f>IF($V23="",0,IF($V24="",1,IF($X24&lt;&gt;$X23,1,0)))</f>
        <v/>
      </c>
      <c r="AB23">
        <f>IF($V23="",99999+19,$AB22+1+$Z22+$AA22+$AO22)</f>
        <v/>
      </c>
      <c r="AC23">
        <f>IFERROR(MATCH(19,$AB$5:$AB$404,1),"")</f>
        <v/>
      </c>
      <c r="AD23">
        <f>IF(19=$AI$1+1,"Z",IF($AC23="","",IF(INDEX($V$5:$V$404,$AC23)="","",IF(19&gt;INDEX($AB$5:$AB$404,$AC23)+INDEX($Z$5:$Z$404,$AC23)+INDEX($AA$5:$AA$404,$AC23)+INDEX($AO$5:$AO$404,$AC23),"",IF(19=INDEX($AB$5:$AB$404,$AC23)+INDEX($Z$5:$Z$404,$AC23),"D",IF(AND(INDEX($Z$5:$Z$404,$AC23)=1,19=INDEX($AB$5:$AB$404,$AC23)),"H",IF(AND(INDEX($AO$5:$AO$404,$AC23)=1,19=INDEX($AB$5:$AB$404,$AC23)+INDEX($Z$5:$Z$404,$AC23)+INDEX($AA$5:$AA$404,$AC23)+INDEX($AO$5:$AO$404,$AC23)),"B","T")))))))</f>
        <v/>
      </c>
      <c r="AF23">
        <f>IF(OR($AD23="",$AD23="Z",$AD23="B"),"",INDEX($X$5:$X$404,$AC23))</f>
        <v/>
      </c>
      <c r="AJ23">
        <f>IF($AD23&lt;&gt;"T",0,ROUND(SUMIF(oil!$B$4:$B$63,$AF23,oil!$AE$4:$AE$63),2))</f>
        <v/>
      </c>
      <c r="AK23">
        <f>IF($S23="","",IFERROR(INDEX(อัตราค่าขนส่ง!$P$5:$P$54,MATCH($S23,อัตราค่าขนส่ง!$O$5:$O$54,0)),INDEX(รายการมาตรฐาน!$G$2:$G$3,1)))</f>
        <v/>
      </c>
      <c r="AL23">
        <f>IF($S23="","",IFERROR(MATCH($AK23,รายการมาตรฐาน!$G$2:$G$3,0),1))</f>
        <v/>
      </c>
      <c r="AM23">
        <f>IF($V23="","",INDEX($AK$5:$AK$404,$V23))</f>
        <v/>
      </c>
      <c r="AN23">
        <f>IF($V23="","",INDEX($AL$5:$AL$404,$V23))</f>
        <v/>
      </c>
      <c r="AO23">
        <f>IF(OR($V23="",$AI$2&lt;=1),0,IF($V24="",1,IF($AN24&lt;&gt;$AN23,1,0)))</f>
        <v/>
      </c>
      <c r="AP23">
        <f>IF($V23="",0,IF($AN23&lt;&gt;$AN22,1,0))</f>
        <v/>
      </c>
      <c r="AQ23">
        <f>IF(OR($AD23="",$AD23="Z"),"",INDEX($AN$5:$AN$404,$AC23))</f>
        <v/>
      </c>
      <c r="AR23">
        <f>IF($Y23="",0,COUNTIF(บันทึกรายเที่ยว!$V$6:$V$6005,$Y23))</f>
        <v/>
      </c>
      <c r="AS23">
        <f>IF($Y23="",0,ROUND(SUMIF(บันทึกรายเที่ยว!$V$6:$V$6005,$Y23,บันทึกรายเที่ยว!$M$6:$M$6005),2))</f>
        <v/>
      </c>
      <c r="AT23">
        <f>IF($Y23="",0,IFERROR(INDEX(อัตราค่าขนส่ง!$G$5:$G$204,MATCH($Y23,อัตราค่าขนส่ง!$M$5:$M$204,0)),0))</f>
        <v/>
      </c>
      <c r="AU23">
        <f>ROUND($AS23*$BD23,2)</f>
        <v/>
      </c>
      <c r="AV23">
        <f>ROUND($AU23*$BF$2/100,2)</f>
        <v/>
      </c>
      <c r="AW23">
        <f>IF($Y23="","",IFERROR(INDEX(อัตราค่าขนส่ง!$F$5:$F$204,MATCH($Y23,อัตราค่าขนส่ง!$M$5:$M$204,0)),""))</f>
        <v/>
      </c>
      <c r="AX23">
        <f>IF($W23="","",INDEX(บันทึกรายเที่ยว!$D$6:$D$6005,$W23))</f>
        <v/>
      </c>
      <c r="AY23">
        <f>IF($W23="","",INDEX(บันทึกรายเที่ยว!$R$6:$R$6005,$W23))</f>
        <v/>
      </c>
      <c r="AZ23">
        <f>IF(AND($AD23="T",$AQ23=1),N($AZ22)+1,N($AZ22))</f>
        <v/>
      </c>
      <c r="BA23">
        <f>IF($W23="","",INDEX(บันทึกรายเที่ยว!$E$6:$E$6005,$W23))</f>
        <v/>
      </c>
      <c r="BC23">
        <f>IF($Y23="",0,IFERROR(INDEX(อัตราค่าขนส่ง!$K$5:$K$204,MATCH($Y23,อัตราค่าขนส่ง!$M$5:$M$204,0)),0))</f>
        <v/>
      </c>
      <c r="BD23">
        <f>IF($Y23="",0,IFERROR(INDEX(อัตราค่าขนส่ง!$L$5:$L$204,MATCH($Y23,อัตราค่าขนส่ง!$M$5:$M$204,0)),0))</f>
        <v/>
      </c>
    </row>
    <row r="24" ht="21" customHeight="1" s="66">
      <c r="A24" s="69">
        <f>IF($AD24="","",IF($AD24="Z","รวมจ่ายทั้งสิ้น",IF($AD24="H",INDEX($X$5:$X$404,$AC24),IF($AD24="T","รวม",IF($AD24="B",IFERROR(INDEX(อัตราค่าขนส่ง!$S$5:$S$14,MATCH(INDEX($AM$5:$AM$404,$AC24),อัตราค่าขนส่ง!$R$5:$R$14,0)),"รวมกลุ่ม "&amp;INDEX($AM$5:$AM$404,$AC24)),INDEX($AY$5:$AY$404,$AC24))))))</f>
        <v/>
      </c>
      <c r="B24" s="31">
        <f>IF($AD24&lt;&gt;"D","",INDEX($AW$5:$AW$404,$AC24))</f>
        <v/>
      </c>
      <c r="C24" s="68">
        <f>IF($AD24&lt;&gt;"D","",INDEX($AX$5:$AX$404,$AC24))</f>
        <v/>
      </c>
      <c r="D24" s="70">
        <f>IF($AD24&lt;&gt;"D","",INDEX($BA$5:$BA$404,$AC24))</f>
        <v/>
      </c>
      <c r="E24" s="31">
        <f>IF($AD24="Z",SUM($AR$5:$AR$404),IF($AD24="D",INDEX($AR$5:$AR$404,$AC24),IF($AD24="T",SUMIF($X$5:$X$404,$AF24,$AR$5:$AR$404),IF($AD24="B",SUMIF($AN$5:$AN$404,$AQ24,$AR$5:$AR$404),""))))</f>
        <v/>
      </c>
      <c r="F24" s="32">
        <f>IF($AD24="Z",ROUND(SUM($AS$5:$AS$404),2),IF($AD24="D",INDEX($AS$5:$AS$404,$AC24),IF($AD24="T",ROUND(SUMIF($X$5:$X$404,$AF24,$AS$5:$AS$404),2),IF($AD24="B",ROUND(SUMIF($AN$5:$AN$404,$AQ24,$AS$5:$AS$404),2),""))))</f>
        <v/>
      </c>
      <c r="G24" s="32">
        <f>IF($AD24&lt;&gt;"D","",INDEX($AT$5:$AT$404,$AC24))</f>
        <v/>
      </c>
      <c r="H24" s="32">
        <f>IF($AD24&lt;&gt;"D","",INDEX($BC$5:$BC$404,$AC24))</f>
        <v/>
      </c>
      <c r="I24" s="32">
        <f>IF($AD24&lt;&gt;"D","",INDEX($BD$5:$BD$404,$AC24))</f>
        <v/>
      </c>
      <c r="J24" s="46">
        <f>IF($AD24&lt;&gt;"D","",IF(N($B24)=0,"",ROUND($I24/$B24,4)))</f>
        <v/>
      </c>
      <c r="K24" s="32">
        <f>IF($AD24="Z",ROUND(SUM($AU$5:$AU$404),2),IF($AD24="D",INDEX($AU$5:$AU$404,$AC24),IF($AD24="T",ROUND(SUMIF($X$5:$X$404,$AF24,$AU$5:$AU$404),2),IF($AD24="B",ROUND(SUMIF($AN$5:$AN$404,$AQ24,$AU$5:$AU$404),2),""))))</f>
        <v/>
      </c>
      <c r="L24" s="32">
        <f>IF($AD24="Z",ROUND(SUM($AV$5:$AV$404),2),IF($AD24="D",INDEX($AV$5:$AV$404,$AC24),IF($AD24="T",ROUND(SUMIF($X$5:$X$404,$AF24,$AV$5:$AV$404),2),IF($AD24="B",ROUND(SUMIF($AN$5:$AN$404,$AQ24,$AV$5:$AV$404),2),""))))</f>
        <v/>
      </c>
      <c r="M24" s="32">
        <f>IF($AD24="Z",ROUND(SUM($AJ$5:$AJ$704),2),IF($AD24="B",ROUND(SUMIF($AQ$5:$AQ$704,$AQ24,$AJ$5:$AJ$704),2),IF($AD24&lt;&gt;"T","",$AJ24)))</f>
        <v/>
      </c>
      <c r="N24" s="32">
        <f>IF(OR($AD24="D",$AD24="T",$AD24="B",$AD24="Z"),ROUND(N($K24)-N($L24)-N($M24),2),"")</f>
        <v/>
      </c>
      <c r="O24" s="32">
        <f>IF(OR($AD24="D",$AD24="T",$AD24="B",$AD24="Z"),IF(N($E24)=0,"",ROUND($F24/$E24,2)),"")</f>
        <v/>
      </c>
      <c r="Q24">
        <f>IFERROR(MATCH(20,บันทึกรายเที่ยว!$Z$6:$Z$6005,0),"")</f>
        <v/>
      </c>
      <c r="R24">
        <f>IF($Q24="","",INDEX(บันทึกรายเที่ยว!$V$6:$V$6005,$Q24))</f>
        <v/>
      </c>
      <c r="S24">
        <f>IF($Q24="","",INDEX(บันทึกรายเที่ยว!$F$6:$F$6005,$Q24))</f>
        <v/>
      </c>
      <c r="T24">
        <f>IF($Q24="","",MATCH($S24,บันทึกรายเที่ยว!$F$6:$F$6005,0))</f>
        <v/>
      </c>
      <c r="U24">
        <f>IF($Q24="","",$AL24*10000000+$T24*1000+20)</f>
        <v/>
      </c>
      <c r="V24">
        <f>IFERROR(MATCH(SMALL($U$5:$U$404,20),$U$5:$U$404,0),"")</f>
        <v/>
      </c>
      <c r="W24">
        <f>IF($V24="","",INDEX($Q$5:$Q$404,$V24))</f>
        <v/>
      </c>
      <c r="X24">
        <f>IF($V24="","",INDEX($S$5:$S$404,$V24))</f>
        <v/>
      </c>
      <c r="Y24">
        <f>IF($V24="","",INDEX($R$5:$R$404,$V24))</f>
        <v/>
      </c>
      <c r="Z24">
        <f>IF($V24="",0,IF($X24&lt;&gt;$X23,1,0))</f>
        <v/>
      </c>
      <c r="AA24">
        <f>IF($V24="",0,IF($V25="",1,IF($X25&lt;&gt;$X24,1,0)))</f>
        <v/>
      </c>
      <c r="AB24">
        <f>IF($V24="",99999+20,$AB23+1+$Z23+$AA23+$AO23)</f>
        <v/>
      </c>
      <c r="AC24">
        <f>IFERROR(MATCH(20,$AB$5:$AB$404,1),"")</f>
        <v/>
      </c>
      <c r="AD24">
        <f>IF(20=$AI$1+1,"Z",IF($AC24="","",IF(INDEX($V$5:$V$404,$AC24)="","",IF(20&gt;INDEX($AB$5:$AB$404,$AC24)+INDEX($Z$5:$Z$404,$AC24)+INDEX($AA$5:$AA$404,$AC24)+INDEX($AO$5:$AO$404,$AC24),"",IF(20=INDEX($AB$5:$AB$404,$AC24)+INDEX($Z$5:$Z$404,$AC24),"D",IF(AND(INDEX($Z$5:$Z$404,$AC24)=1,20=INDEX($AB$5:$AB$404,$AC24)),"H",IF(AND(INDEX($AO$5:$AO$404,$AC24)=1,20=INDEX($AB$5:$AB$404,$AC24)+INDEX($Z$5:$Z$404,$AC24)+INDEX($AA$5:$AA$404,$AC24)+INDEX($AO$5:$AO$404,$AC24)),"B","T")))))))</f>
        <v/>
      </c>
      <c r="AF24">
        <f>IF(OR($AD24="",$AD24="Z",$AD24="B"),"",INDEX($X$5:$X$404,$AC24))</f>
        <v/>
      </c>
      <c r="AJ24">
        <f>IF($AD24&lt;&gt;"T",0,ROUND(SUMIF(oil!$B$4:$B$63,$AF24,oil!$AE$4:$AE$63),2))</f>
        <v/>
      </c>
      <c r="AK24">
        <f>IF($S24="","",IFERROR(INDEX(อัตราค่าขนส่ง!$P$5:$P$54,MATCH($S24,อัตราค่าขนส่ง!$O$5:$O$54,0)),INDEX(รายการมาตรฐาน!$G$2:$G$3,1)))</f>
        <v/>
      </c>
      <c r="AL24">
        <f>IF($S24="","",IFERROR(MATCH($AK24,รายการมาตรฐาน!$G$2:$G$3,0),1))</f>
        <v/>
      </c>
      <c r="AM24">
        <f>IF($V24="","",INDEX($AK$5:$AK$404,$V24))</f>
        <v/>
      </c>
      <c r="AN24">
        <f>IF($V24="","",INDEX($AL$5:$AL$404,$V24))</f>
        <v/>
      </c>
      <c r="AO24">
        <f>IF(OR($V24="",$AI$2&lt;=1),0,IF($V25="",1,IF($AN25&lt;&gt;$AN24,1,0)))</f>
        <v/>
      </c>
      <c r="AP24">
        <f>IF($V24="",0,IF($AN24&lt;&gt;$AN23,1,0))</f>
        <v/>
      </c>
      <c r="AQ24">
        <f>IF(OR($AD24="",$AD24="Z"),"",INDEX($AN$5:$AN$404,$AC24))</f>
        <v/>
      </c>
      <c r="AR24">
        <f>IF($Y24="",0,COUNTIF(บันทึกรายเที่ยว!$V$6:$V$6005,$Y24))</f>
        <v/>
      </c>
      <c r="AS24">
        <f>IF($Y24="",0,ROUND(SUMIF(บันทึกรายเที่ยว!$V$6:$V$6005,$Y24,บันทึกรายเที่ยว!$M$6:$M$6005),2))</f>
        <v/>
      </c>
      <c r="AT24">
        <f>IF($Y24="",0,IFERROR(INDEX(อัตราค่าขนส่ง!$G$5:$G$204,MATCH($Y24,อัตราค่าขนส่ง!$M$5:$M$204,0)),0))</f>
        <v/>
      </c>
      <c r="AU24">
        <f>ROUND($AS24*$BD24,2)</f>
        <v/>
      </c>
      <c r="AV24">
        <f>ROUND($AU24*$BF$2/100,2)</f>
        <v/>
      </c>
      <c r="AW24">
        <f>IF($Y24="","",IFERROR(INDEX(อัตราค่าขนส่ง!$F$5:$F$204,MATCH($Y24,อัตราค่าขนส่ง!$M$5:$M$204,0)),""))</f>
        <v/>
      </c>
      <c r="AX24">
        <f>IF($W24="","",INDEX(บันทึกรายเที่ยว!$D$6:$D$6005,$W24))</f>
        <v/>
      </c>
      <c r="AY24">
        <f>IF($W24="","",INDEX(บันทึกรายเที่ยว!$R$6:$R$6005,$W24))</f>
        <v/>
      </c>
      <c r="AZ24">
        <f>IF(AND($AD24="T",$AQ24=1),N($AZ23)+1,N($AZ23))</f>
        <v/>
      </c>
      <c r="BA24">
        <f>IF($W24="","",INDEX(บันทึกรายเที่ยว!$E$6:$E$6005,$W24))</f>
        <v/>
      </c>
      <c r="BC24">
        <f>IF($Y24="",0,IFERROR(INDEX(อัตราค่าขนส่ง!$K$5:$K$204,MATCH($Y24,อัตราค่าขนส่ง!$M$5:$M$204,0)),0))</f>
        <v/>
      </c>
      <c r="BD24">
        <f>IF($Y24="",0,IFERROR(INDEX(อัตราค่าขนส่ง!$L$5:$L$204,MATCH($Y24,อัตราค่าขนส่ง!$M$5:$M$204,0)),0))</f>
        <v/>
      </c>
    </row>
    <row r="25" ht="21" customHeight="1" s="66">
      <c r="A25" s="69">
        <f>IF($AD25="","",IF($AD25="Z","รวมจ่ายทั้งสิ้น",IF($AD25="H",INDEX($X$5:$X$404,$AC25),IF($AD25="T","รวม",IF($AD25="B",IFERROR(INDEX(อัตราค่าขนส่ง!$S$5:$S$14,MATCH(INDEX($AM$5:$AM$404,$AC25),อัตราค่าขนส่ง!$R$5:$R$14,0)),"รวมกลุ่ม "&amp;INDEX($AM$5:$AM$404,$AC25)),INDEX($AY$5:$AY$404,$AC25))))))</f>
        <v/>
      </c>
      <c r="B25" s="31">
        <f>IF($AD25&lt;&gt;"D","",INDEX($AW$5:$AW$404,$AC25))</f>
        <v/>
      </c>
      <c r="C25" s="68">
        <f>IF($AD25&lt;&gt;"D","",INDEX($AX$5:$AX$404,$AC25))</f>
        <v/>
      </c>
      <c r="D25" s="70">
        <f>IF($AD25&lt;&gt;"D","",INDEX($BA$5:$BA$404,$AC25))</f>
        <v/>
      </c>
      <c r="E25" s="31">
        <f>IF($AD25="Z",SUM($AR$5:$AR$404),IF($AD25="D",INDEX($AR$5:$AR$404,$AC25),IF($AD25="T",SUMIF($X$5:$X$404,$AF25,$AR$5:$AR$404),IF($AD25="B",SUMIF($AN$5:$AN$404,$AQ25,$AR$5:$AR$404),""))))</f>
        <v/>
      </c>
      <c r="F25" s="32">
        <f>IF($AD25="Z",ROUND(SUM($AS$5:$AS$404),2),IF($AD25="D",INDEX($AS$5:$AS$404,$AC25),IF($AD25="T",ROUND(SUMIF($X$5:$X$404,$AF25,$AS$5:$AS$404),2),IF($AD25="B",ROUND(SUMIF($AN$5:$AN$404,$AQ25,$AS$5:$AS$404),2),""))))</f>
        <v/>
      </c>
      <c r="G25" s="32">
        <f>IF($AD25&lt;&gt;"D","",INDEX($AT$5:$AT$404,$AC25))</f>
        <v/>
      </c>
      <c r="H25" s="32">
        <f>IF($AD25&lt;&gt;"D","",INDEX($BC$5:$BC$404,$AC25))</f>
        <v/>
      </c>
      <c r="I25" s="32">
        <f>IF($AD25&lt;&gt;"D","",INDEX($BD$5:$BD$404,$AC25))</f>
        <v/>
      </c>
      <c r="J25" s="46">
        <f>IF($AD25&lt;&gt;"D","",IF(N($B25)=0,"",ROUND($I25/$B25,4)))</f>
        <v/>
      </c>
      <c r="K25" s="32">
        <f>IF($AD25="Z",ROUND(SUM($AU$5:$AU$404),2),IF($AD25="D",INDEX($AU$5:$AU$404,$AC25),IF($AD25="T",ROUND(SUMIF($X$5:$X$404,$AF25,$AU$5:$AU$404),2),IF($AD25="B",ROUND(SUMIF($AN$5:$AN$404,$AQ25,$AU$5:$AU$404),2),""))))</f>
        <v/>
      </c>
      <c r="L25" s="32">
        <f>IF($AD25="Z",ROUND(SUM($AV$5:$AV$404),2),IF($AD25="D",INDEX($AV$5:$AV$404,$AC25),IF($AD25="T",ROUND(SUMIF($X$5:$X$404,$AF25,$AV$5:$AV$404),2),IF($AD25="B",ROUND(SUMIF($AN$5:$AN$404,$AQ25,$AV$5:$AV$404),2),""))))</f>
        <v/>
      </c>
      <c r="M25" s="32">
        <f>IF($AD25="Z",ROUND(SUM($AJ$5:$AJ$704),2),IF($AD25="B",ROUND(SUMIF($AQ$5:$AQ$704,$AQ25,$AJ$5:$AJ$704),2),IF($AD25&lt;&gt;"T","",$AJ25)))</f>
        <v/>
      </c>
      <c r="N25" s="32">
        <f>IF(OR($AD25="D",$AD25="T",$AD25="B",$AD25="Z"),ROUND(N($K25)-N($L25)-N($M25),2),"")</f>
        <v/>
      </c>
      <c r="O25" s="32">
        <f>IF(OR($AD25="D",$AD25="T",$AD25="B",$AD25="Z"),IF(N($E25)=0,"",ROUND($F25/$E25,2)),"")</f>
        <v/>
      </c>
      <c r="Q25">
        <f>IFERROR(MATCH(21,บันทึกรายเที่ยว!$Z$6:$Z$6005,0),"")</f>
        <v/>
      </c>
      <c r="R25">
        <f>IF($Q25="","",INDEX(บันทึกรายเที่ยว!$V$6:$V$6005,$Q25))</f>
        <v/>
      </c>
      <c r="S25">
        <f>IF($Q25="","",INDEX(บันทึกรายเที่ยว!$F$6:$F$6005,$Q25))</f>
        <v/>
      </c>
      <c r="T25">
        <f>IF($Q25="","",MATCH($S25,บันทึกรายเที่ยว!$F$6:$F$6005,0))</f>
        <v/>
      </c>
      <c r="U25">
        <f>IF($Q25="","",$AL25*10000000+$T25*1000+21)</f>
        <v/>
      </c>
      <c r="V25">
        <f>IFERROR(MATCH(SMALL($U$5:$U$404,21),$U$5:$U$404,0),"")</f>
        <v/>
      </c>
      <c r="W25">
        <f>IF($V25="","",INDEX($Q$5:$Q$404,$V25))</f>
        <v/>
      </c>
      <c r="X25">
        <f>IF($V25="","",INDEX($S$5:$S$404,$V25))</f>
        <v/>
      </c>
      <c r="Y25">
        <f>IF($V25="","",INDEX($R$5:$R$404,$V25))</f>
        <v/>
      </c>
      <c r="Z25">
        <f>IF($V25="",0,IF($X25&lt;&gt;$X24,1,0))</f>
        <v/>
      </c>
      <c r="AA25">
        <f>IF($V25="",0,IF($V26="",1,IF($X26&lt;&gt;$X25,1,0)))</f>
        <v/>
      </c>
      <c r="AB25">
        <f>IF($V25="",99999+21,$AB24+1+$Z24+$AA24+$AO24)</f>
        <v/>
      </c>
      <c r="AC25">
        <f>IFERROR(MATCH(21,$AB$5:$AB$404,1),"")</f>
        <v/>
      </c>
      <c r="AD25">
        <f>IF(21=$AI$1+1,"Z",IF($AC25="","",IF(INDEX($V$5:$V$404,$AC25)="","",IF(21&gt;INDEX($AB$5:$AB$404,$AC25)+INDEX($Z$5:$Z$404,$AC25)+INDEX($AA$5:$AA$404,$AC25)+INDEX($AO$5:$AO$404,$AC25),"",IF(21=INDEX($AB$5:$AB$404,$AC25)+INDEX($Z$5:$Z$404,$AC25),"D",IF(AND(INDEX($Z$5:$Z$404,$AC25)=1,21=INDEX($AB$5:$AB$404,$AC25)),"H",IF(AND(INDEX($AO$5:$AO$404,$AC25)=1,21=INDEX($AB$5:$AB$404,$AC25)+INDEX($Z$5:$Z$404,$AC25)+INDEX($AA$5:$AA$404,$AC25)+INDEX($AO$5:$AO$404,$AC25)),"B","T")))))))</f>
        <v/>
      </c>
      <c r="AF25">
        <f>IF(OR($AD25="",$AD25="Z",$AD25="B"),"",INDEX($X$5:$X$404,$AC25))</f>
        <v/>
      </c>
      <c r="AJ25">
        <f>IF($AD25&lt;&gt;"T",0,ROUND(SUMIF(oil!$B$4:$B$63,$AF25,oil!$AE$4:$AE$63),2))</f>
        <v/>
      </c>
      <c r="AK25">
        <f>IF($S25="","",IFERROR(INDEX(อัตราค่าขนส่ง!$P$5:$P$54,MATCH($S25,อัตราค่าขนส่ง!$O$5:$O$54,0)),INDEX(รายการมาตรฐาน!$G$2:$G$3,1)))</f>
        <v/>
      </c>
      <c r="AL25">
        <f>IF($S25="","",IFERROR(MATCH($AK25,รายการมาตรฐาน!$G$2:$G$3,0),1))</f>
        <v/>
      </c>
      <c r="AM25">
        <f>IF($V25="","",INDEX($AK$5:$AK$404,$V25))</f>
        <v/>
      </c>
      <c r="AN25">
        <f>IF($V25="","",INDEX($AL$5:$AL$404,$V25))</f>
        <v/>
      </c>
      <c r="AO25">
        <f>IF(OR($V25="",$AI$2&lt;=1),0,IF($V26="",1,IF($AN26&lt;&gt;$AN25,1,0)))</f>
        <v/>
      </c>
      <c r="AP25">
        <f>IF($V25="",0,IF($AN25&lt;&gt;$AN24,1,0))</f>
        <v/>
      </c>
      <c r="AQ25">
        <f>IF(OR($AD25="",$AD25="Z"),"",INDEX($AN$5:$AN$404,$AC25))</f>
        <v/>
      </c>
      <c r="AR25">
        <f>IF($Y25="",0,COUNTIF(บันทึกรายเที่ยว!$V$6:$V$6005,$Y25))</f>
        <v/>
      </c>
      <c r="AS25">
        <f>IF($Y25="",0,ROUND(SUMIF(บันทึกรายเที่ยว!$V$6:$V$6005,$Y25,บันทึกรายเที่ยว!$M$6:$M$6005),2))</f>
        <v/>
      </c>
      <c r="AT25">
        <f>IF($Y25="",0,IFERROR(INDEX(อัตราค่าขนส่ง!$G$5:$G$204,MATCH($Y25,อัตราค่าขนส่ง!$M$5:$M$204,0)),0))</f>
        <v/>
      </c>
      <c r="AU25">
        <f>ROUND($AS25*$BD25,2)</f>
        <v/>
      </c>
      <c r="AV25">
        <f>ROUND($AU25*$BF$2/100,2)</f>
        <v/>
      </c>
      <c r="AW25">
        <f>IF($Y25="","",IFERROR(INDEX(อัตราค่าขนส่ง!$F$5:$F$204,MATCH($Y25,อัตราค่าขนส่ง!$M$5:$M$204,0)),""))</f>
        <v/>
      </c>
      <c r="AX25">
        <f>IF($W25="","",INDEX(บันทึกรายเที่ยว!$D$6:$D$6005,$W25))</f>
        <v/>
      </c>
      <c r="AY25">
        <f>IF($W25="","",INDEX(บันทึกรายเที่ยว!$R$6:$R$6005,$W25))</f>
        <v/>
      </c>
      <c r="AZ25">
        <f>IF(AND($AD25="T",$AQ25=1),N($AZ24)+1,N($AZ24))</f>
        <v/>
      </c>
      <c r="BA25">
        <f>IF($W25="","",INDEX(บันทึกรายเที่ยว!$E$6:$E$6005,$W25))</f>
        <v/>
      </c>
      <c r="BC25">
        <f>IF($Y25="",0,IFERROR(INDEX(อัตราค่าขนส่ง!$K$5:$K$204,MATCH($Y25,อัตราค่าขนส่ง!$M$5:$M$204,0)),0))</f>
        <v/>
      </c>
      <c r="BD25">
        <f>IF($Y25="",0,IFERROR(INDEX(อัตราค่าขนส่ง!$L$5:$L$204,MATCH($Y25,อัตราค่าขนส่ง!$M$5:$M$204,0)),0))</f>
        <v/>
      </c>
    </row>
    <row r="26" ht="21" customHeight="1" s="66">
      <c r="A26" s="69">
        <f>IF($AD26="","",IF($AD26="Z","รวมจ่ายทั้งสิ้น",IF($AD26="H",INDEX($X$5:$X$404,$AC26),IF($AD26="T","รวม",IF($AD26="B",IFERROR(INDEX(อัตราค่าขนส่ง!$S$5:$S$14,MATCH(INDEX($AM$5:$AM$404,$AC26),อัตราค่าขนส่ง!$R$5:$R$14,0)),"รวมกลุ่ม "&amp;INDEX($AM$5:$AM$404,$AC26)),INDEX($AY$5:$AY$404,$AC26))))))</f>
        <v/>
      </c>
      <c r="B26" s="31">
        <f>IF($AD26&lt;&gt;"D","",INDEX($AW$5:$AW$404,$AC26))</f>
        <v/>
      </c>
      <c r="C26" s="68">
        <f>IF($AD26&lt;&gt;"D","",INDEX($AX$5:$AX$404,$AC26))</f>
        <v/>
      </c>
      <c r="D26" s="70">
        <f>IF($AD26&lt;&gt;"D","",INDEX($BA$5:$BA$404,$AC26))</f>
        <v/>
      </c>
      <c r="E26" s="31">
        <f>IF($AD26="Z",SUM($AR$5:$AR$404),IF($AD26="D",INDEX($AR$5:$AR$404,$AC26),IF($AD26="T",SUMIF($X$5:$X$404,$AF26,$AR$5:$AR$404),IF($AD26="B",SUMIF($AN$5:$AN$404,$AQ26,$AR$5:$AR$404),""))))</f>
        <v/>
      </c>
      <c r="F26" s="32">
        <f>IF($AD26="Z",ROUND(SUM($AS$5:$AS$404),2),IF($AD26="D",INDEX($AS$5:$AS$404,$AC26),IF($AD26="T",ROUND(SUMIF($X$5:$X$404,$AF26,$AS$5:$AS$404),2),IF($AD26="B",ROUND(SUMIF($AN$5:$AN$404,$AQ26,$AS$5:$AS$404),2),""))))</f>
        <v/>
      </c>
      <c r="G26" s="32">
        <f>IF($AD26&lt;&gt;"D","",INDEX($AT$5:$AT$404,$AC26))</f>
        <v/>
      </c>
      <c r="H26" s="32">
        <f>IF($AD26&lt;&gt;"D","",INDEX($BC$5:$BC$404,$AC26))</f>
        <v/>
      </c>
      <c r="I26" s="32">
        <f>IF($AD26&lt;&gt;"D","",INDEX($BD$5:$BD$404,$AC26))</f>
        <v/>
      </c>
      <c r="J26" s="46">
        <f>IF($AD26&lt;&gt;"D","",IF(N($B26)=0,"",ROUND($I26/$B26,4)))</f>
        <v/>
      </c>
      <c r="K26" s="32">
        <f>IF($AD26="Z",ROUND(SUM($AU$5:$AU$404),2),IF($AD26="D",INDEX($AU$5:$AU$404,$AC26),IF($AD26="T",ROUND(SUMIF($X$5:$X$404,$AF26,$AU$5:$AU$404),2),IF($AD26="B",ROUND(SUMIF($AN$5:$AN$404,$AQ26,$AU$5:$AU$404),2),""))))</f>
        <v/>
      </c>
      <c r="L26" s="32">
        <f>IF($AD26="Z",ROUND(SUM($AV$5:$AV$404),2),IF($AD26="D",INDEX($AV$5:$AV$404,$AC26),IF($AD26="T",ROUND(SUMIF($X$5:$X$404,$AF26,$AV$5:$AV$404),2),IF($AD26="B",ROUND(SUMIF($AN$5:$AN$404,$AQ26,$AV$5:$AV$404),2),""))))</f>
        <v/>
      </c>
      <c r="M26" s="32">
        <f>IF($AD26="Z",ROUND(SUM($AJ$5:$AJ$704),2),IF($AD26="B",ROUND(SUMIF($AQ$5:$AQ$704,$AQ26,$AJ$5:$AJ$704),2),IF($AD26&lt;&gt;"T","",$AJ26)))</f>
        <v/>
      </c>
      <c r="N26" s="32">
        <f>IF(OR($AD26="D",$AD26="T",$AD26="B",$AD26="Z"),ROUND(N($K26)-N($L26)-N($M26),2),"")</f>
        <v/>
      </c>
      <c r="O26" s="32">
        <f>IF(OR($AD26="D",$AD26="T",$AD26="B",$AD26="Z"),IF(N($E26)=0,"",ROUND($F26/$E26,2)),"")</f>
        <v/>
      </c>
      <c r="Q26">
        <f>IFERROR(MATCH(22,บันทึกรายเที่ยว!$Z$6:$Z$6005,0),"")</f>
        <v/>
      </c>
      <c r="R26">
        <f>IF($Q26="","",INDEX(บันทึกรายเที่ยว!$V$6:$V$6005,$Q26))</f>
        <v/>
      </c>
      <c r="S26">
        <f>IF($Q26="","",INDEX(บันทึกรายเที่ยว!$F$6:$F$6005,$Q26))</f>
        <v/>
      </c>
      <c r="T26">
        <f>IF($Q26="","",MATCH($S26,บันทึกรายเที่ยว!$F$6:$F$6005,0))</f>
        <v/>
      </c>
      <c r="U26">
        <f>IF($Q26="","",$AL26*10000000+$T26*1000+22)</f>
        <v/>
      </c>
      <c r="V26">
        <f>IFERROR(MATCH(SMALL($U$5:$U$404,22),$U$5:$U$404,0),"")</f>
        <v/>
      </c>
      <c r="W26">
        <f>IF($V26="","",INDEX($Q$5:$Q$404,$V26))</f>
        <v/>
      </c>
      <c r="X26">
        <f>IF($V26="","",INDEX($S$5:$S$404,$V26))</f>
        <v/>
      </c>
      <c r="Y26">
        <f>IF($V26="","",INDEX($R$5:$R$404,$V26))</f>
        <v/>
      </c>
      <c r="Z26">
        <f>IF($V26="",0,IF($X26&lt;&gt;$X25,1,0))</f>
        <v/>
      </c>
      <c r="AA26">
        <f>IF($V26="",0,IF($V27="",1,IF($X27&lt;&gt;$X26,1,0)))</f>
        <v/>
      </c>
      <c r="AB26">
        <f>IF($V26="",99999+22,$AB25+1+$Z25+$AA25+$AO25)</f>
        <v/>
      </c>
      <c r="AC26">
        <f>IFERROR(MATCH(22,$AB$5:$AB$404,1),"")</f>
        <v/>
      </c>
      <c r="AD26">
        <f>IF(22=$AI$1+1,"Z",IF($AC26="","",IF(INDEX($V$5:$V$404,$AC26)="","",IF(22&gt;INDEX($AB$5:$AB$404,$AC26)+INDEX($Z$5:$Z$404,$AC26)+INDEX($AA$5:$AA$404,$AC26)+INDEX($AO$5:$AO$404,$AC26),"",IF(22=INDEX($AB$5:$AB$404,$AC26)+INDEX($Z$5:$Z$404,$AC26),"D",IF(AND(INDEX($Z$5:$Z$404,$AC26)=1,22=INDEX($AB$5:$AB$404,$AC26)),"H",IF(AND(INDEX($AO$5:$AO$404,$AC26)=1,22=INDEX($AB$5:$AB$404,$AC26)+INDEX($Z$5:$Z$404,$AC26)+INDEX($AA$5:$AA$404,$AC26)+INDEX($AO$5:$AO$404,$AC26)),"B","T")))))))</f>
        <v/>
      </c>
      <c r="AF26">
        <f>IF(OR($AD26="",$AD26="Z",$AD26="B"),"",INDEX($X$5:$X$404,$AC26))</f>
        <v/>
      </c>
      <c r="AJ26">
        <f>IF($AD26&lt;&gt;"T",0,ROUND(SUMIF(oil!$B$4:$B$63,$AF26,oil!$AE$4:$AE$63),2))</f>
        <v/>
      </c>
      <c r="AK26">
        <f>IF($S26="","",IFERROR(INDEX(อัตราค่าขนส่ง!$P$5:$P$54,MATCH($S26,อัตราค่าขนส่ง!$O$5:$O$54,0)),INDEX(รายการมาตรฐาน!$G$2:$G$3,1)))</f>
        <v/>
      </c>
      <c r="AL26">
        <f>IF($S26="","",IFERROR(MATCH($AK26,รายการมาตรฐาน!$G$2:$G$3,0),1))</f>
        <v/>
      </c>
      <c r="AM26">
        <f>IF($V26="","",INDEX($AK$5:$AK$404,$V26))</f>
        <v/>
      </c>
      <c r="AN26">
        <f>IF($V26="","",INDEX($AL$5:$AL$404,$V26))</f>
        <v/>
      </c>
      <c r="AO26">
        <f>IF(OR($V26="",$AI$2&lt;=1),0,IF($V27="",1,IF($AN27&lt;&gt;$AN26,1,0)))</f>
        <v/>
      </c>
      <c r="AP26">
        <f>IF($V26="",0,IF($AN26&lt;&gt;$AN25,1,0))</f>
        <v/>
      </c>
      <c r="AQ26">
        <f>IF(OR($AD26="",$AD26="Z"),"",INDEX($AN$5:$AN$404,$AC26))</f>
        <v/>
      </c>
      <c r="AR26">
        <f>IF($Y26="",0,COUNTIF(บันทึกรายเที่ยว!$V$6:$V$6005,$Y26))</f>
        <v/>
      </c>
      <c r="AS26">
        <f>IF($Y26="",0,ROUND(SUMIF(บันทึกรายเที่ยว!$V$6:$V$6005,$Y26,บันทึกรายเที่ยว!$M$6:$M$6005),2))</f>
        <v/>
      </c>
      <c r="AT26">
        <f>IF($Y26="",0,IFERROR(INDEX(อัตราค่าขนส่ง!$G$5:$G$204,MATCH($Y26,อัตราค่าขนส่ง!$M$5:$M$204,0)),0))</f>
        <v/>
      </c>
      <c r="AU26">
        <f>ROUND($AS26*$BD26,2)</f>
        <v/>
      </c>
      <c r="AV26">
        <f>ROUND($AU26*$BF$2/100,2)</f>
        <v/>
      </c>
      <c r="AW26">
        <f>IF($Y26="","",IFERROR(INDEX(อัตราค่าขนส่ง!$F$5:$F$204,MATCH($Y26,อัตราค่าขนส่ง!$M$5:$M$204,0)),""))</f>
        <v/>
      </c>
      <c r="AX26">
        <f>IF($W26="","",INDEX(บันทึกรายเที่ยว!$D$6:$D$6005,$W26))</f>
        <v/>
      </c>
      <c r="AY26">
        <f>IF($W26="","",INDEX(บันทึกรายเที่ยว!$R$6:$R$6005,$W26))</f>
        <v/>
      </c>
      <c r="AZ26">
        <f>IF(AND($AD26="T",$AQ26=1),N($AZ25)+1,N($AZ25))</f>
        <v/>
      </c>
      <c r="BA26">
        <f>IF($W26="","",INDEX(บันทึกรายเที่ยว!$E$6:$E$6005,$W26))</f>
        <v/>
      </c>
      <c r="BC26">
        <f>IF($Y26="",0,IFERROR(INDEX(อัตราค่าขนส่ง!$K$5:$K$204,MATCH($Y26,อัตราค่าขนส่ง!$M$5:$M$204,0)),0))</f>
        <v/>
      </c>
      <c r="BD26">
        <f>IF($Y26="",0,IFERROR(INDEX(อัตราค่าขนส่ง!$L$5:$L$204,MATCH($Y26,อัตราค่าขนส่ง!$M$5:$M$204,0)),0))</f>
        <v/>
      </c>
    </row>
    <row r="27" ht="21" customHeight="1" s="66">
      <c r="A27" s="69">
        <f>IF($AD27="","",IF($AD27="Z","รวมจ่ายทั้งสิ้น",IF($AD27="H",INDEX($X$5:$X$404,$AC27),IF($AD27="T","รวม",IF($AD27="B",IFERROR(INDEX(อัตราค่าขนส่ง!$S$5:$S$14,MATCH(INDEX($AM$5:$AM$404,$AC27),อัตราค่าขนส่ง!$R$5:$R$14,0)),"รวมกลุ่ม "&amp;INDEX($AM$5:$AM$404,$AC27)),INDEX($AY$5:$AY$404,$AC27))))))</f>
        <v/>
      </c>
      <c r="B27" s="31">
        <f>IF($AD27&lt;&gt;"D","",INDEX($AW$5:$AW$404,$AC27))</f>
        <v/>
      </c>
      <c r="C27" s="68">
        <f>IF($AD27&lt;&gt;"D","",INDEX($AX$5:$AX$404,$AC27))</f>
        <v/>
      </c>
      <c r="D27" s="70">
        <f>IF($AD27&lt;&gt;"D","",INDEX($BA$5:$BA$404,$AC27))</f>
        <v/>
      </c>
      <c r="E27" s="31">
        <f>IF($AD27="Z",SUM($AR$5:$AR$404),IF($AD27="D",INDEX($AR$5:$AR$404,$AC27),IF($AD27="T",SUMIF($X$5:$X$404,$AF27,$AR$5:$AR$404),IF($AD27="B",SUMIF($AN$5:$AN$404,$AQ27,$AR$5:$AR$404),""))))</f>
        <v/>
      </c>
      <c r="F27" s="32">
        <f>IF($AD27="Z",ROUND(SUM($AS$5:$AS$404),2),IF($AD27="D",INDEX($AS$5:$AS$404,$AC27),IF($AD27="T",ROUND(SUMIF($X$5:$X$404,$AF27,$AS$5:$AS$404),2),IF($AD27="B",ROUND(SUMIF($AN$5:$AN$404,$AQ27,$AS$5:$AS$404),2),""))))</f>
        <v/>
      </c>
      <c r="G27" s="32">
        <f>IF($AD27&lt;&gt;"D","",INDEX($AT$5:$AT$404,$AC27))</f>
        <v/>
      </c>
      <c r="H27" s="32">
        <f>IF($AD27&lt;&gt;"D","",INDEX($BC$5:$BC$404,$AC27))</f>
        <v/>
      </c>
      <c r="I27" s="32">
        <f>IF($AD27&lt;&gt;"D","",INDEX($BD$5:$BD$404,$AC27))</f>
        <v/>
      </c>
      <c r="J27" s="46">
        <f>IF($AD27&lt;&gt;"D","",IF(N($B27)=0,"",ROUND($I27/$B27,4)))</f>
        <v/>
      </c>
      <c r="K27" s="32">
        <f>IF($AD27="Z",ROUND(SUM($AU$5:$AU$404),2),IF($AD27="D",INDEX($AU$5:$AU$404,$AC27),IF($AD27="T",ROUND(SUMIF($X$5:$X$404,$AF27,$AU$5:$AU$404),2),IF($AD27="B",ROUND(SUMIF($AN$5:$AN$404,$AQ27,$AU$5:$AU$404),2),""))))</f>
        <v/>
      </c>
      <c r="L27" s="32">
        <f>IF($AD27="Z",ROUND(SUM($AV$5:$AV$404),2),IF($AD27="D",INDEX($AV$5:$AV$404,$AC27),IF($AD27="T",ROUND(SUMIF($X$5:$X$404,$AF27,$AV$5:$AV$404),2),IF($AD27="B",ROUND(SUMIF($AN$5:$AN$404,$AQ27,$AV$5:$AV$404),2),""))))</f>
        <v/>
      </c>
      <c r="M27" s="32">
        <f>IF($AD27="Z",ROUND(SUM($AJ$5:$AJ$704),2),IF($AD27="B",ROUND(SUMIF($AQ$5:$AQ$704,$AQ27,$AJ$5:$AJ$704),2),IF($AD27&lt;&gt;"T","",$AJ27)))</f>
        <v/>
      </c>
      <c r="N27" s="32">
        <f>IF(OR($AD27="D",$AD27="T",$AD27="B",$AD27="Z"),ROUND(N($K27)-N($L27)-N($M27),2),"")</f>
        <v/>
      </c>
      <c r="O27" s="32">
        <f>IF(OR($AD27="D",$AD27="T",$AD27="B",$AD27="Z"),IF(N($E27)=0,"",ROUND($F27/$E27,2)),"")</f>
        <v/>
      </c>
      <c r="Q27">
        <f>IFERROR(MATCH(23,บันทึกรายเที่ยว!$Z$6:$Z$6005,0),"")</f>
        <v/>
      </c>
      <c r="R27">
        <f>IF($Q27="","",INDEX(บันทึกรายเที่ยว!$V$6:$V$6005,$Q27))</f>
        <v/>
      </c>
      <c r="S27">
        <f>IF($Q27="","",INDEX(บันทึกรายเที่ยว!$F$6:$F$6005,$Q27))</f>
        <v/>
      </c>
      <c r="T27">
        <f>IF($Q27="","",MATCH($S27,บันทึกรายเที่ยว!$F$6:$F$6005,0))</f>
        <v/>
      </c>
      <c r="U27">
        <f>IF($Q27="","",$AL27*10000000+$T27*1000+23)</f>
        <v/>
      </c>
      <c r="V27">
        <f>IFERROR(MATCH(SMALL($U$5:$U$404,23),$U$5:$U$404,0),"")</f>
        <v/>
      </c>
      <c r="W27">
        <f>IF($V27="","",INDEX($Q$5:$Q$404,$V27))</f>
        <v/>
      </c>
      <c r="X27">
        <f>IF($V27="","",INDEX($S$5:$S$404,$V27))</f>
        <v/>
      </c>
      <c r="Y27">
        <f>IF($V27="","",INDEX($R$5:$R$404,$V27))</f>
        <v/>
      </c>
      <c r="Z27">
        <f>IF($V27="",0,IF($X27&lt;&gt;$X26,1,0))</f>
        <v/>
      </c>
      <c r="AA27">
        <f>IF($V27="",0,IF($V28="",1,IF($X28&lt;&gt;$X27,1,0)))</f>
        <v/>
      </c>
      <c r="AB27">
        <f>IF($V27="",99999+23,$AB26+1+$Z26+$AA26+$AO26)</f>
        <v/>
      </c>
      <c r="AC27">
        <f>IFERROR(MATCH(23,$AB$5:$AB$404,1),"")</f>
        <v/>
      </c>
      <c r="AD27">
        <f>IF(23=$AI$1+1,"Z",IF($AC27="","",IF(INDEX($V$5:$V$404,$AC27)="","",IF(23&gt;INDEX($AB$5:$AB$404,$AC27)+INDEX($Z$5:$Z$404,$AC27)+INDEX($AA$5:$AA$404,$AC27)+INDEX($AO$5:$AO$404,$AC27),"",IF(23=INDEX($AB$5:$AB$404,$AC27)+INDEX($Z$5:$Z$404,$AC27),"D",IF(AND(INDEX($Z$5:$Z$404,$AC27)=1,23=INDEX($AB$5:$AB$404,$AC27)),"H",IF(AND(INDEX($AO$5:$AO$404,$AC27)=1,23=INDEX($AB$5:$AB$404,$AC27)+INDEX($Z$5:$Z$404,$AC27)+INDEX($AA$5:$AA$404,$AC27)+INDEX($AO$5:$AO$404,$AC27)),"B","T")))))))</f>
        <v/>
      </c>
      <c r="AF27">
        <f>IF(OR($AD27="",$AD27="Z",$AD27="B"),"",INDEX($X$5:$X$404,$AC27))</f>
        <v/>
      </c>
      <c r="AJ27">
        <f>IF($AD27&lt;&gt;"T",0,ROUND(SUMIF(oil!$B$4:$B$63,$AF27,oil!$AE$4:$AE$63),2))</f>
        <v/>
      </c>
      <c r="AK27">
        <f>IF($S27="","",IFERROR(INDEX(อัตราค่าขนส่ง!$P$5:$P$54,MATCH($S27,อัตราค่าขนส่ง!$O$5:$O$54,0)),INDEX(รายการมาตรฐาน!$G$2:$G$3,1)))</f>
        <v/>
      </c>
      <c r="AL27">
        <f>IF($S27="","",IFERROR(MATCH($AK27,รายการมาตรฐาน!$G$2:$G$3,0),1))</f>
        <v/>
      </c>
      <c r="AM27">
        <f>IF($V27="","",INDEX($AK$5:$AK$404,$V27))</f>
        <v/>
      </c>
      <c r="AN27">
        <f>IF($V27="","",INDEX($AL$5:$AL$404,$V27))</f>
        <v/>
      </c>
      <c r="AO27">
        <f>IF(OR($V27="",$AI$2&lt;=1),0,IF($V28="",1,IF($AN28&lt;&gt;$AN27,1,0)))</f>
        <v/>
      </c>
      <c r="AP27">
        <f>IF($V27="",0,IF($AN27&lt;&gt;$AN26,1,0))</f>
        <v/>
      </c>
      <c r="AQ27">
        <f>IF(OR($AD27="",$AD27="Z"),"",INDEX($AN$5:$AN$404,$AC27))</f>
        <v/>
      </c>
      <c r="AR27">
        <f>IF($Y27="",0,COUNTIF(บันทึกรายเที่ยว!$V$6:$V$6005,$Y27))</f>
        <v/>
      </c>
      <c r="AS27">
        <f>IF($Y27="",0,ROUND(SUMIF(บันทึกรายเที่ยว!$V$6:$V$6005,$Y27,บันทึกรายเที่ยว!$M$6:$M$6005),2))</f>
        <v/>
      </c>
      <c r="AT27">
        <f>IF($Y27="",0,IFERROR(INDEX(อัตราค่าขนส่ง!$G$5:$G$204,MATCH($Y27,อัตราค่าขนส่ง!$M$5:$M$204,0)),0))</f>
        <v/>
      </c>
      <c r="AU27">
        <f>ROUND($AS27*$BD27,2)</f>
        <v/>
      </c>
      <c r="AV27">
        <f>ROUND($AU27*$BF$2/100,2)</f>
        <v/>
      </c>
      <c r="AW27">
        <f>IF($Y27="","",IFERROR(INDEX(อัตราค่าขนส่ง!$F$5:$F$204,MATCH($Y27,อัตราค่าขนส่ง!$M$5:$M$204,0)),""))</f>
        <v/>
      </c>
      <c r="AX27">
        <f>IF($W27="","",INDEX(บันทึกรายเที่ยว!$D$6:$D$6005,$W27))</f>
        <v/>
      </c>
      <c r="AY27">
        <f>IF($W27="","",INDEX(บันทึกรายเที่ยว!$R$6:$R$6005,$W27))</f>
        <v/>
      </c>
      <c r="AZ27">
        <f>IF(AND($AD27="T",$AQ27=1),N($AZ26)+1,N($AZ26))</f>
        <v/>
      </c>
      <c r="BA27">
        <f>IF($W27="","",INDEX(บันทึกรายเที่ยว!$E$6:$E$6005,$W27))</f>
        <v/>
      </c>
      <c r="BC27">
        <f>IF($Y27="",0,IFERROR(INDEX(อัตราค่าขนส่ง!$K$5:$K$204,MATCH($Y27,อัตราค่าขนส่ง!$M$5:$M$204,0)),0))</f>
        <v/>
      </c>
      <c r="BD27">
        <f>IF($Y27="",0,IFERROR(INDEX(อัตราค่าขนส่ง!$L$5:$L$204,MATCH($Y27,อัตราค่าขนส่ง!$M$5:$M$204,0)),0))</f>
        <v/>
      </c>
    </row>
    <row r="28" ht="21" customHeight="1" s="66">
      <c r="A28" s="69">
        <f>IF($AD28="","",IF($AD28="Z","รวมจ่ายทั้งสิ้น",IF($AD28="H",INDEX($X$5:$X$404,$AC28),IF($AD28="T","รวม",IF($AD28="B",IFERROR(INDEX(อัตราค่าขนส่ง!$S$5:$S$14,MATCH(INDEX($AM$5:$AM$404,$AC28),อัตราค่าขนส่ง!$R$5:$R$14,0)),"รวมกลุ่ม "&amp;INDEX($AM$5:$AM$404,$AC28)),INDEX($AY$5:$AY$404,$AC28))))))</f>
        <v/>
      </c>
      <c r="B28" s="31">
        <f>IF($AD28&lt;&gt;"D","",INDEX($AW$5:$AW$404,$AC28))</f>
        <v/>
      </c>
      <c r="C28" s="68">
        <f>IF($AD28&lt;&gt;"D","",INDEX($AX$5:$AX$404,$AC28))</f>
        <v/>
      </c>
      <c r="D28" s="70">
        <f>IF($AD28&lt;&gt;"D","",INDEX($BA$5:$BA$404,$AC28))</f>
        <v/>
      </c>
      <c r="E28" s="31">
        <f>IF($AD28="Z",SUM($AR$5:$AR$404),IF($AD28="D",INDEX($AR$5:$AR$404,$AC28),IF($AD28="T",SUMIF($X$5:$X$404,$AF28,$AR$5:$AR$404),IF($AD28="B",SUMIF($AN$5:$AN$404,$AQ28,$AR$5:$AR$404),""))))</f>
        <v/>
      </c>
      <c r="F28" s="32">
        <f>IF($AD28="Z",ROUND(SUM($AS$5:$AS$404),2),IF($AD28="D",INDEX($AS$5:$AS$404,$AC28),IF($AD28="T",ROUND(SUMIF($X$5:$X$404,$AF28,$AS$5:$AS$404),2),IF($AD28="B",ROUND(SUMIF($AN$5:$AN$404,$AQ28,$AS$5:$AS$404),2),""))))</f>
        <v/>
      </c>
      <c r="G28" s="32">
        <f>IF($AD28&lt;&gt;"D","",INDEX($AT$5:$AT$404,$AC28))</f>
        <v/>
      </c>
      <c r="H28" s="32">
        <f>IF($AD28&lt;&gt;"D","",INDEX($BC$5:$BC$404,$AC28))</f>
        <v/>
      </c>
      <c r="I28" s="32">
        <f>IF($AD28&lt;&gt;"D","",INDEX($BD$5:$BD$404,$AC28))</f>
        <v/>
      </c>
      <c r="J28" s="46">
        <f>IF($AD28&lt;&gt;"D","",IF(N($B28)=0,"",ROUND($I28/$B28,4)))</f>
        <v/>
      </c>
      <c r="K28" s="32">
        <f>IF($AD28="Z",ROUND(SUM($AU$5:$AU$404),2),IF($AD28="D",INDEX($AU$5:$AU$404,$AC28),IF($AD28="T",ROUND(SUMIF($X$5:$X$404,$AF28,$AU$5:$AU$404),2),IF($AD28="B",ROUND(SUMIF($AN$5:$AN$404,$AQ28,$AU$5:$AU$404),2),""))))</f>
        <v/>
      </c>
      <c r="L28" s="32">
        <f>IF($AD28="Z",ROUND(SUM($AV$5:$AV$404),2),IF($AD28="D",INDEX($AV$5:$AV$404,$AC28),IF($AD28="T",ROUND(SUMIF($X$5:$X$404,$AF28,$AV$5:$AV$404),2),IF($AD28="B",ROUND(SUMIF($AN$5:$AN$404,$AQ28,$AV$5:$AV$404),2),""))))</f>
        <v/>
      </c>
      <c r="M28" s="32">
        <f>IF($AD28="Z",ROUND(SUM($AJ$5:$AJ$704),2),IF($AD28="B",ROUND(SUMIF($AQ$5:$AQ$704,$AQ28,$AJ$5:$AJ$704),2),IF($AD28&lt;&gt;"T","",$AJ28)))</f>
        <v/>
      </c>
      <c r="N28" s="32">
        <f>IF(OR($AD28="D",$AD28="T",$AD28="B",$AD28="Z"),ROUND(N($K28)-N($L28)-N($M28),2),"")</f>
        <v/>
      </c>
      <c r="O28" s="32">
        <f>IF(OR($AD28="D",$AD28="T",$AD28="B",$AD28="Z"),IF(N($E28)=0,"",ROUND($F28/$E28,2)),"")</f>
        <v/>
      </c>
      <c r="Q28">
        <f>IFERROR(MATCH(24,บันทึกรายเที่ยว!$Z$6:$Z$6005,0),"")</f>
        <v/>
      </c>
      <c r="R28">
        <f>IF($Q28="","",INDEX(บันทึกรายเที่ยว!$V$6:$V$6005,$Q28))</f>
        <v/>
      </c>
      <c r="S28">
        <f>IF($Q28="","",INDEX(บันทึกรายเที่ยว!$F$6:$F$6005,$Q28))</f>
        <v/>
      </c>
      <c r="T28">
        <f>IF($Q28="","",MATCH($S28,บันทึกรายเที่ยว!$F$6:$F$6005,0))</f>
        <v/>
      </c>
      <c r="U28">
        <f>IF($Q28="","",$AL28*10000000+$T28*1000+24)</f>
        <v/>
      </c>
      <c r="V28">
        <f>IFERROR(MATCH(SMALL($U$5:$U$404,24),$U$5:$U$404,0),"")</f>
        <v/>
      </c>
      <c r="W28">
        <f>IF($V28="","",INDEX($Q$5:$Q$404,$V28))</f>
        <v/>
      </c>
      <c r="X28">
        <f>IF($V28="","",INDEX($S$5:$S$404,$V28))</f>
        <v/>
      </c>
      <c r="Y28">
        <f>IF($V28="","",INDEX($R$5:$R$404,$V28))</f>
        <v/>
      </c>
      <c r="Z28">
        <f>IF($V28="",0,IF($X28&lt;&gt;$X27,1,0))</f>
        <v/>
      </c>
      <c r="AA28">
        <f>IF($V28="",0,IF($V29="",1,IF($X29&lt;&gt;$X28,1,0)))</f>
        <v/>
      </c>
      <c r="AB28">
        <f>IF($V28="",99999+24,$AB27+1+$Z27+$AA27+$AO27)</f>
        <v/>
      </c>
      <c r="AC28">
        <f>IFERROR(MATCH(24,$AB$5:$AB$404,1),"")</f>
        <v/>
      </c>
      <c r="AD28">
        <f>IF(24=$AI$1+1,"Z",IF($AC28="","",IF(INDEX($V$5:$V$404,$AC28)="","",IF(24&gt;INDEX($AB$5:$AB$404,$AC28)+INDEX($Z$5:$Z$404,$AC28)+INDEX($AA$5:$AA$404,$AC28)+INDEX($AO$5:$AO$404,$AC28),"",IF(24=INDEX($AB$5:$AB$404,$AC28)+INDEX($Z$5:$Z$404,$AC28),"D",IF(AND(INDEX($Z$5:$Z$404,$AC28)=1,24=INDEX($AB$5:$AB$404,$AC28)),"H",IF(AND(INDEX($AO$5:$AO$404,$AC28)=1,24=INDEX($AB$5:$AB$404,$AC28)+INDEX($Z$5:$Z$404,$AC28)+INDEX($AA$5:$AA$404,$AC28)+INDEX($AO$5:$AO$404,$AC28)),"B","T")))))))</f>
        <v/>
      </c>
      <c r="AF28">
        <f>IF(OR($AD28="",$AD28="Z",$AD28="B"),"",INDEX($X$5:$X$404,$AC28))</f>
        <v/>
      </c>
      <c r="AJ28">
        <f>IF($AD28&lt;&gt;"T",0,ROUND(SUMIF(oil!$B$4:$B$63,$AF28,oil!$AE$4:$AE$63),2))</f>
        <v/>
      </c>
      <c r="AK28">
        <f>IF($S28="","",IFERROR(INDEX(อัตราค่าขนส่ง!$P$5:$P$54,MATCH($S28,อัตราค่าขนส่ง!$O$5:$O$54,0)),INDEX(รายการมาตรฐาน!$G$2:$G$3,1)))</f>
        <v/>
      </c>
      <c r="AL28">
        <f>IF($S28="","",IFERROR(MATCH($AK28,รายการมาตรฐาน!$G$2:$G$3,0),1))</f>
        <v/>
      </c>
      <c r="AM28">
        <f>IF($V28="","",INDEX($AK$5:$AK$404,$V28))</f>
        <v/>
      </c>
      <c r="AN28">
        <f>IF($V28="","",INDEX($AL$5:$AL$404,$V28))</f>
        <v/>
      </c>
      <c r="AO28">
        <f>IF(OR($V28="",$AI$2&lt;=1),0,IF($V29="",1,IF($AN29&lt;&gt;$AN28,1,0)))</f>
        <v/>
      </c>
      <c r="AP28">
        <f>IF($V28="",0,IF($AN28&lt;&gt;$AN27,1,0))</f>
        <v/>
      </c>
      <c r="AQ28">
        <f>IF(OR($AD28="",$AD28="Z"),"",INDEX($AN$5:$AN$404,$AC28))</f>
        <v/>
      </c>
      <c r="AR28">
        <f>IF($Y28="",0,COUNTIF(บันทึกรายเที่ยว!$V$6:$V$6005,$Y28))</f>
        <v/>
      </c>
      <c r="AS28">
        <f>IF($Y28="",0,ROUND(SUMIF(บันทึกรายเที่ยว!$V$6:$V$6005,$Y28,บันทึกรายเที่ยว!$M$6:$M$6005),2))</f>
        <v/>
      </c>
      <c r="AT28">
        <f>IF($Y28="",0,IFERROR(INDEX(อัตราค่าขนส่ง!$G$5:$G$204,MATCH($Y28,อัตราค่าขนส่ง!$M$5:$M$204,0)),0))</f>
        <v/>
      </c>
      <c r="AU28">
        <f>ROUND($AS28*$BD28,2)</f>
        <v/>
      </c>
      <c r="AV28">
        <f>ROUND($AU28*$BF$2/100,2)</f>
        <v/>
      </c>
      <c r="AW28">
        <f>IF($Y28="","",IFERROR(INDEX(อัตราค่าขนส่ง!$F$5:$F$204,MATCH($Y28,อัตราค่าขนส่ง!$M$5:$M$204,0)),""))</f>
        <v/>
      </c>
      <c r="AX28">
        <f>IF($W28="","",INDEX(บันทึกรายเที่ยว!$D$6:$D$6005,$W28))</f>
        <v/>
      </c>
      <c r="AY28">
        <f>IF($W28="","",INDEX(บันทึกรายเที่ยว!$R$6:$R$6005,$W28))</f>
        <v/>
      </c>
      <c r="AZ28">
        <f>IF(AND($AD28="T",$AQ28=1),N($AZ27)+1,N($AZ27))</f>
        <v/>
      </c>
      <c r="BA28">
        <f>IF($W28="","",INDEX(บันทึกรายเที่ยว!$E$6:$E$6005,$W28))</f>
        <v/>
      </c>
      <c r="BC28">
        <f>IF($Y28="",0,IFERROR(INDEX(อัตราค่าขนส่ง!$K$5:$K$204,MATCH($Y28,อัตราค่าขนส่ง!$M$5:$M$204,0)),0))</f>
        <v/>
      </c>
      <c r="BD28">
        <f>IF($Y28="",0,IFERROR(INDEX(อัตราค่าขนส่ง!$L$5:$L$204,MATCH($Y28,อัตราค่าขนส่ง!$M$5:$M$204,0)),0))</f>
        <v/>
      </c>
    </row>
    <row r="29" ht="21" customHeight="1" s="66">
      <c r="A29" s="69">
        <f>IF($AD29="","",IF($AD29="Z","รวมจ่ายทั้งสิ้น",IF($AD29="H",INDEX($X$5:$X$404,$AC29),IF($AD29="T","รวม",IF($AD29="B",IFERROR(INDEX(อัตราค่าขนส่ง!$S$5:$S$14,MATCH(INDEX($AM$5:$AM$404,$AC29),อัตราค่าขนส่ง!$R$5:$R$14,0)),"รวมกลุ่ม "&amp;INDEX($AM$5:$AM$404,$AC29)),INDEX($AY$5:$AY$404,$AC29))))))</f>
        <v/>
      </c>
      <c r="B29" s="31">
        <f>IF($AD29&lt;&gt;"D","",INDEX($AW$5:$AW$404,$AC29))</f>
        <v/>
      </c>
      <c r="C29" s="68">
        <f>IF($AD29&lt;&gt;"D","",INDEX($AX$5:$AX$404,$AC29))</f>
        <v/>
      </c>
      <c r="D29" s="70">
        <f>IF($AD29&lt;&gt;"D","",INDEX($BA$5:$BA$404,$AC29))</f>
        <v/>
      </c>
      <c r="E29" s="31">
        <f>IF($AD29="Z",SUM($AR$5:$AR$404),IF($AD29="D",INDEX($AR$5:$AR$404,$AC29),IF($AD29="T",SUMIF($X$5:$X$404,$AF29,$AR$5:$AR$404),IF($AD29="B",SUMIF($AN$5:$AN$404,$AQ29,$AR$5:$AR$404),""))))</f>
        <v/>
      </c>
      <c r="F29" s="32">
        <f>IF($AD29="Z",ROUND(SUM($AS$5:$AS$404),2),IF($AD29="D",INDEX($AS$5:$AS$404,$AC29),IF($AD29="T",ROUND(SUMIF($X$5:$X$404,$AF29,$AS$5:$AS$404),2),IF($AD29="B",ROUND(SUMIF($AN$5:$AN$404,$AQ29,$AS$5:$AS$404),2),""))))</f>
        <v/>
      </c>
      <c r="G29" s="32">
        <f>IF($AD29&lt;&gt;"D","",INDEX($AT$5:$AT$404,$AC29))</f>
        <v/>
      </c>
      <c r="H29" s="32">
        <f>IF($AD29&lt;&gt;"D","",INDEX($BC$5:$BC$404,$AC29))</f>
        <v/>
      </c>
      <c r="I29" s="32">
        <f>IF($AD29&lt;&gt;"D","",INDEX($BD$5:$BD$404,$AC29))</f>
        <v/>
      </c>
      <c r="J29" s="46">
        <f>IF($AD29&lt;&gt;"D","",IF(N($B29)=0,"",ROUND($I29/$B29,4)))</f>
        <v/>
      </c>
      <c r="K29" s="32">
        <f>IF($AD29="Z",ROUND(SUM($AU$5:$AU$404),2),IF($AD29="D",INDEX($AU$5:$AU$404,$AC29),IF($AD29="T",ROUND(SUMIF($X$5:$X$404,$AF29,$AU$5:$AU$404),2),IF($AD29="B",ROUND(SUMIF($AN$5:$AN$404,$AQ29,$AU$5:$AU$404),2),""))))</f>
        <v/>
      </c>
      <c r="L29" s="32">
        <f>IF($AD29="Z",ROUND(SUM($AV$5:$AV$404),2),IF($AD29="D",INDEX($AV$5:$AV$404,$AC29),IF($AD29="T",ROUND(SUMIF($X$5:$X$404,$AF29,$AV$5:$AV$404),2),IF($AD29="B",ROUND(SUMIF($AN$5:$AN$404,$AQ29,$AV$5:$AV$404),2),""))))</f>
        <v/>
      </c>
      <c r="M29" s="32">
        <f>IF($AD29="Z",ROUND(SUM($AJ$5:$AJ$704),2),IF($AD29="B",ROUND(SUMIF($AQ$5:$AQ$704,$AQ29,$AJ$5:$AJ$704),2),IF($AD29&lt;&gt;"T","",$AJ29)))</f>
        <v/>
      </c>
      <c r="N29" s="32">
        <f>IF(OR($AD29="D",$AD29="T",$AD29="B",$AD29="Z"),ROUND(N($K29)-N($L29)-N($M29),2),"")</f>
        <v/>
      </c>
      <c r="O29" s="32">
        <f>IF(OR($AD29="D",$AD29="T",$AD29="B",$AD29="Z"),IF(N($E29)=0,"",ROUND($F29/$E29,2)),"")</f>
        <v/>
      </c>
      <c r="Q29">
        <f>IFERROR(MATCH(25,บันทึกรายเที่ยว!$Z$6:$Z$6005,0),"")</f>
        <v/>
      </c>
      <c r="R29">
        <f>IF($Q29="","",INDEX(บันทึกรายเที่ยว!$V$6:$V$6005,$Q29))</f>
        <v/>
      </c>
      <c r="S29">
        <f>IF($Q29="","",INDEX(บันทึกรายเที่ยว!$F$6:$F$6005,$Q29))</f>
        <v/>
      </c>
      <c r="T29">
        <f>IF($Q29="","",MATCH($S29,บันทึกรายเที่ยว!$F$6:$F$6005,0))</f>
        <v/>
      </c>
      <c r="U29">
        <f>IF($Q29="","",$AL29*10000000+$T29*1000+25)</f>
        <v/>
      </c>
      <c r="V29">
        <f>IFERROR(MATCH(SMALL($U$5:$U$404,25),$U$5:$U$404,0),"")</f>
        <v/>
      </c>
      <c r="W29">
        <f>IF($V29="","",INDEX($Q$5:$Q$404,$V29))</f>
        <v/>
      </c>
      <c r="X29">
        <f>IF($V29="","",INDEX($S$5:$S$404,$V29))</f>
        <v/>
      </c>
      <c r="Y29">
        <f>IF($V29="","",INDEX($R$5:$R$404,$V29))</f>
        <v/>
      </c>
      <c r="Z29">
        <f>IF($V29="",0,IF($X29&lt;&gt;$X28,1,0))</f>
        <v/>
      </c>
      <c r="AA29">
        <f>IF($V29="",0,IF($V30="",1,IF($X30&lt;&gt;$X29,1,0)))</f>
        <v/>
      </c>
      <c r="AB29">
        <f>IF($V29="",99999+25,$AB28+1+$Z28+$AA28+$AO28)</f>
        <v/>
      </c>
      <c r="AC29">
        <f>IFERROR(MATCH(25,$AB$5:$AB$404,1),"")</f>
        <v/>
      </c>
      <c r="AD29">
        <f>IF(25=$AI$1+1,"Z",IF($AC29="","",IF(INDEX($V$5:$V$404,$AC29)="","",IF(25&gt;INDEX($AB$5:$AB$404,$AC29)+INDEX($Z$5:$Z$404,$AC29)+INDEX($AA$5:$AA$404,$AC29)+INDEX($AO$5:$AO$404,$AC29),"",IF(25=INDEX($AB$5:$AB$404,$AC29)+INDEX($Z$5:$Z$404,$AC29),"D",IF(AND(INDEX($Z$5:$Z$404,$AC29)=1,25=INDEX($AB$5:$AB$404,$AC29)),"H",IF(AND(INDEX($AO$5:$AO$404,$AC29)=1,25=INDEX($AB$5:$AB$404,$AC29)+INDEX($Z$5:$Z$404,$AC29)+INDEX($AA$5:$AA$404,$AC29)+INDEX($AO$5:$AO$404,$AC29)),"B","T")))))))</f>
        <v/>
      </c>
      <c r="AF29">
        <f>IF(OR($AD29="",$AD29="Z",$AD29="B"),"",INDEX($X$5:$X$404,$AC29))</f>
        <v/>
      </c>
      <c r="AJ29">
        <f>IF($AD29&lt;&gt;"T",0,ROUND(SUMIF(oil!$B$4:$B$63,$AF29,oil!$AE$4:$AE$63),2))</f>
        <v/>
      </c>
      <c r="AK29">
        <f>IF($S29="","",IFERROR(INDEX(อัตราค่าขนส่ง!$P$5:$P$54,MATCH($S29,อัตราค่าขนส่ง!$O$5:$O$54,0)),INDEX(รายการมาตรฐาน!$G$2:$G$3,1)))</f>
        <v/>
      </c>
      <c r="AL29">
        <f>IF($S29="","",IFERROR(MATCH($AK29,รายการมาตรฐาน!$G$2:$G$3,0),1))</f>
        <v/>
      </c>
      <c r="AM29">
        <f>IF($V29="","",INDEX($AK$5:$AK$404,$V29))</f>
        <v/>
      </c>
      <c r="AN29">
        <f>IF($V29="","",INDEX($AL$5:$AL$404,$V29))</f>
        <v/>
      </c>
      <c r="AO29">
        <f>IF(OR($V29="",$AI$2&lt;=1),0,IF($V30="",1,IF($AN30&lt;&gt;$AN29,1,0)))</f>
        <v/>
      </c>
      <c r="AP29">
        <f>IF($V29="",0,IF($AN29&lt;&gt;$AN28,1,0))</f>
        <v/>
      </c>
      <c r="AQ29">
        <f>IF(OR($AD29="",$AD29="Z"),"",INDEX($AN$5:$AN$404,$AC29))</f>
        <v/>
      </c>
      <c r="AR29">
        <f>IF($Y29="",0,COUNTIF(บันทึกรายเที่ยว!$V$6:$V$6005,$Y29))</f>
        <v/>
      </c>
      <c r="AS29">
        <f>IF($Y29="",0,ROUND(SUMIF(บันทึกรายเที่ยว!$V$6:$V$6005,$Y29,บันทึกรายเที่ยว!$M$6:$M$6005),2))</f>
        <v/>
      </c>
      <c r="AT29">
        <f>IF($Y29="",0,IFERROR(INDEX(อัตราค่าขนส่ง!$G$5:$G$204,MATCH($Y29,อัตราค่าขนส่ง!$M$5:$M$204,0)),0))</f>
        <v/>
      </c>
      <c r="AU29">
        <f>ROUND($AS29*$BD29,2)</f>
        <v/>
      </c>
      <c r="AV29">
        <f>ROUND($AU29*$BF$2/100,2)</f>
        <v/>
      </c>
      <c r="AW29">
        <f>IF($Y29="","",IFERROR(INDEX(อัตราค่าขนส่ง!$F$5:$F$204,MATCH($Y29,อัตราค่าขนส่ง!$M$5:$M$204,0)),""))</f>
        <v/>
      </c>
      <c r="AX29">
        <f>IF($W29="","",INDEX(บันทึกรายเที่ยว!$D$6:$D$6005,$W29))</f>
        <v/>
      </c>
      <c r="AY29">
        <f>IF($W29="","",INDEX(บันทึกรายเที่ยว!$R$6:$R$6005,$W29))</f>
        <v/>
      </c>
      <c r="AZ29">
        <f>IF(AND($AD29="T",$AQ29=1),N($AZ28)+1,N($AZ28))</f>
        <v/>
      </c>
      <c r="BA29">
        <f>IF($W29="","",INDEX(บันทึกรายเที่ยว!$E$6:$E$6005,$W29))</f>
        <v/>
      </c>
      <c r="BC29">
        <f>IF($Y29="",0,IFERROR(INDEX(อัตราค่าขนส่ง!$K$5:$K$204,MATCH($Y29,อัตราค่าขนส่ง!$M$5:$M$204,0)),0))</f>
        <v/>
      </c>
      <c r="BD29">
        <f>IF($Y29="",0,IFERROR(INDEX(อัตราค่าขนส่ง!$L$5:$L$204,MATCH($Y29,อัตราค่าขนส่ง!$M$5:$M$204,0)),0))</f>
        <v/>
      </c>
    </row>
    <row r="30" ht="21" customHeight="1" s="66">
      <c r="A30" s="69">
        <f>IF($AD30="","",IF($AD30="Z","รวมจ่ายทั้งสิ้น",IF($AD30="H",INDEX($X$5:$X$404,$AC30),IF($AD30="T","รวม",IF($AD30="B",IFERROR(INDEX(อัตราค่าขนส่ง!$S$5:$S$14,MATCH(INDEX($AM$5:$AM$404,$AC30),อัตราค่าขนส่ง!$R$5:$R$14,0)),"รวมกลุ่ม "&amp;INDEX($AM$5:$AM$404,$AC30)),INDEX($AY$5:$AY$404,$AC30))))))</f>
        <v/>
      </c>
      <c r="B30" s="31">
        <f>IF($AD30&lt;&gt;"D","",INDEX($AW$5:$AW$404,$AC30))</f>
        <v/>
      </c>
      <c r="C30" s="68">
        <f>IF($AD30&lt;&gt;"D","",INDEX($AX$5:$AX$404,$AC30))</f>
        <v/>
      </c>
      <c r="D30" s="70">
        <f>IF($AD30&lt;&gt;"D","",INDEX($BA$5:$BA$404,$AC30))</f>
        <v/>
      </c>
      <c r="E30" s="31">
        <f>IF($AD30="Z",SUM($AR$5:$AR$404),IF($AD30="D",INDEX($AR$5:$AR$404,$AC30),IF($AD30="T",SUMIF($X$5:$X$404,$AF30,$AR$5:$AR$404),IF($AD30="B",SUMIF($AN$5:$AN$404,$AQ30,$AR$5:$AR$404),""))))</f>
        <v/>
      </c>
      <c r="F30" s="32">
        <f>IF($AD30="Z",ROUND(SUM($AS$5:$AS$404),2),IF($AD30="D",INDEX($AS$5:$AS$404,$AC30),IF($AD30="T",ROUND(SUMIF($X$5:$X$404,$AF30,$AS$5:$AS$404),2),IF($AD30="B",ROUND(SUMIF($AN$5:$AN$404,$AQ30,$AS$5:$AS$404),2),""))))</f>
        <v/>
      </c>
      <c r="G30" s="32">
        <f>IF($AD30&lt;&gt;"D","",INDEX($AT$5:$AT$404,$AC30))</f>
        <v/>
      </c>
      <c r="H30" s="32">
        <f>IF($AD30&lt;&gt;"D","",INDEX($BC$5:$BC$404,$AC30))</f>
        <v/>
      </c>
      <c r="I30" s="32">
        <f>IF($AD30&lt;&gt;"D","",INDEX($BD$5:$BD$404,$AC30))</f>
        <v/>
      </c>
      <c r="J30" s="46">
        <f>IF($AD30&lt;&gt;"D","",IF(N($B30)=0,"",ROUND($I30/$B30,4)))</f>
        <v/>
      </c>
      <c r="K30" s="32">
        <f>IF($AD30="Z",ROUND(SUM($AU$5:$AU$404),2),IF($AD30="D",INDEX($AU$5:$AU$404,$AC30),IF($AD30="T",ROUND(SUMIF($X$5:$X$404,$AF30,$AU$5:$AU$404),2),IF($AD30="B",ROUND(SUMIF($AN$5:$AN$404,$AQ30,$AU$5:$AU$404),2),""))))</f>
        <v/>
      </c>
      <c r="L30" s="32">
        <f>IF($AD30="Z",ROUND(SUM($AV$5:$AV$404),2),IF($AD30="D",INDEX($AV$5:$AV$404,$AC30),IF($AD30="T",ROUND(SUMIF($X$5:$X$404,$AF30,$AV$5:$AV$404),2),IF($AD30="B",ROUND(SUMIF($AN$5:$AN$404,$AQ30,$AV$5:$AV$404),2),""))))</f>
        <v/>
      </c>
      <c r="M30" s="32">
        <f>IF($AD30="Z",ROUND(SUM($AJ$5:$AJ$704),2),IF($AD30="B",ROUND(SUMIF($AQ$5:$AQ$704,$AQ30,$AJ$5:$AJ$704),2),IF($AD30&lt;&gt;"T","",$AJ30)))</f>
        <v/>
      </c>
      <c r="N30" s="32">
        <f>IF(OR($AD30="D",$AD30="T",$AD30="B",$AD30="Z"),ROUND(N($K30)-N($L30)-N($M30),2),"")</f>
        <v/>
      </c>
      <c r="O30" s="32">
        <f>IF(OR($AD30="D",$AD30="T",$AD30="B",$AD30="Z"),IF(N($E30)=0,"",ROUND($F30/$E30,2)),"")</f>
        <v/>
      </c>
      <c r="Q30">
        <f>IFERROR(MATCH(26,บันทึกรายเที่ยว!$Z$6:$Z$6005,0),"")</f>
        <v/>
      </c>
      <c r="R30">
        <f>IF($Q30="","",INDEX(บันทึกรายเที่ยว!$V$6:$V$6005,$Q30))</f>
        <v/>
      </c>
      <c r="S30">
        <f>IF($Q30="","",INDEX(บันทึกรายเที่ยว!$F$6:$F$6005,$Q30))</f>
        <v/>
      </c>
      <c r="T30">
        <f>IF($Q30="","",MATCH($S30,บันทึกรายเที่ยว!$F$6:$F$6005,0))</f>
        <v/>
      </c>
      <c r="U30">
        <f>IF($Q30="","",$AL30*10000000+$T30*1000+26)</f>
        <v/>
      </c>
      <c r="V30">
        <f>IFERROR(MATCH(SMALL($U$5:$U$404,26),$U$5:$U$404,0),"")</f>
        <v/>
      </c>
      <c r="W30">
        <f>IF($V30="","",INDEX($Q$5:$Q$404,$V30))</f>
        <v/>
      </c>
      <c r="X30">
        <f>IF($V30="","",INDEX($S$5:$S$404,$V30))</f>
        <v/>
      </c>
      <c r="Y30">
        <f>IF($V30="","",INDEX($R$5:$R$404,$V30))</f>
        <v/>
      </c>
      <c r="Z30">
        <f>IF($V30="",0,IF($X30&lt;&gt;$X29,1,0))</f>
        <v/>
      </c>
      <c r="AA30">
        <f>IF($V30="",0,IF($V31="",1,IF($X31&lt;&gt;$X30,1,0)))</f>
        <v/>
      </c>
      <c r="AB30">
        <f>IF($V30="",99999+26,$AB29+1+$Z29+$AA29+$AO29)</f>
        <v/>
      </c>
      <c r="AC30">
        <f>IFERROR(MATCH(26,$AB$5:$AB$404,1),"")</f>
        <v/>
      </c>
      <c r="AD30">
        <f>IF(26=$AI$1+1,"Z",IF($AC30="","",IF(INDEX($V$5:$V$404,$AC30)="","",IF(26&gt;INDEX($AB$5:$AB$404,$AC30)+INDEX($Z$5:$Z$404,$AC30)+INDEX($AA$5:$AA$404,$AC30)+INDEX($AO$5:$AO$404,$AC30),"",IF(26=INDEX($AB$5:$AB$404,$AC30)+INDEX($Z$5:$Z$404,$AC30),"D",IF(AND(INDEX($Z$5:$Z$404,$AC30)=1,26=INDEX($AB$5:$AB$404,$AC30)),"H",IF(AND(INDEX($AO$5:$AO$404,$AC30)=1,26=INDEX($AB$5:$AB$404,$AC30)+INDEX($Z$5:$Z$404,$AC30)+INDEX($AA$5:$AA$404,$AC30)+INDEX($AO$5:$AO$404,$AC30)),"B","T")))))))</f>
        <v/>
      </c>
      <c r="AF30">
        <f>IF(OR($AD30="",$AD30="Z",$AD30="B"),"",INDEX($X$5:$X$404,$AC30))</f>
        <v/>
      </c>
      <c r="AJ30">
        <f>IF($AD30&lt;&gt;"T",0,ROUND(SUMIF(oil!$B$4:$B$63,$AF30,oil!$AE$4:$AE$63),2))</f>
        <v/>
      </c>
      <c r="AK30">
        <f>IF($S30="","",IFERROR(INDEX(อัตราค่าขนส่ง!$P$5:$P$54,MATCH($S30,อัตราค่าขนส่ง!$O$5:$O$54,0)),INDEX(รายการมาตรฐาน!$G$2:$G$3,1)))</f>
        <v/>
      </c>
      <c r="AL30">
        <f>IF($S30="","",IFERROR(MATCH($AK30,รายการมาตรฐาน!$G$2:$G$3,0),1))</f>
        <v/>
      </c>
      <c r="AM30">
        <f>IF($V30="","",INDEX($AK$5:$AK$404,$V30))</f>
        <v/>
      </c>
      <c r="AN30">
        <f>IF($V30="","",INDEX($AL$5:$AL$404,$V30))</f>
        <v/>
      </c>
      <c r="AO30">
        <f>IF(OR($V30="",$AI$2&lt;=1),0,IF($V31="",1,IF($AN31&lt;&gt;$AN30,1,0)))</f>
        <v/>
      </c>
      <c r="AP30">
        <f>IF($V30="",0,IF($AN30&lt;&gt;$AN29,1,0))</f>
        <v/>
      </c>
      <c r="AQ30">
        <f>IF(OR($AD30="",$AD30="Z"),"",INDEX($AN$5:$AN$404,$AC30))</f>
        <v/>
      </c>
      <c r="AR30">
        <f>IF($Y30="",0,COUNTIF(บันทึกรายเที่ยว!$V$6:$V$6005,$Y30))</f>
        <v/>
      </c>
      <c r="AS30">
        <f>IF($Y30="",0,ROUND(SUMIF(บันทึกรายเที่ยว!$V$6:$V$6005,$Y30,บันทึกรายเที่ยว!$M$6:$M$6005),2))</f>
        <v/>
      </c>
      <c r="AT30">
        <f>IF($Y30="",0,IFERROR(INDEX(อัตราค่าขนส่ง!$G$5:$G$204,MATCH($Y30,อัตราค่าขนส่ง!$M$5:$M$204,0)),0))</f>
        <v/>
      </c>
      <c r="AU30">
        <f>ROUND($AS30*$BD30,2)</f>
        <v/>
      </c>
      <c r="AV30">
        <f>ROUND($AU30*$BF$2/100,2)</f>
        <v/>
      </c>
      <c r="AW30">
        <f>IF($Y30="","",IFERROR(INDEX(อัตราค่าขนส่ง!$F$5:$F$204,MATCH($Y30,อัตราค่าขนส่ง!$M$5:$M$204,0)),""))</f>
        <v/>
      </c>
      <c r="AX30">
        <f>IF($W30="","",INDEX(บันทึกรายเที่ยว!$D$6:$D$6005,$W30))</f>
        <v/>
      </c>
      <c r="AY30">
        <f>IF($W30="","",INDEX(บันทึกรายเที่ยว!$R$6:$R$6005,$W30))</f>
        <v/>
      </c>
      <c r="AZ30">
        <f>IF(AND($AD30="T",$AQ30=1),N($AZ29)+1,N($AZ29))</f>
        <v/>
      </c>
      <c r="BA30">
        <f>IF($W30="","",INDEX(บันทึกรายเที่ยว!$E$6:$E$6005,$W30))</f>
        <v/>
      </c>
      <c r="BC30">
        <f>IF($Y30="",0,IFERROR(INDEX(อัตราค่าขนส่ง!$K$5:$K$204,MATCH($Y30,อัตราค่าขนส่ง!$M$5:$M$204,0)),0))</f>
        <v/>
      </c>
      <c r="BD30">
        <f>IF($Y30="",0,IFERROR(INDEX(อัตราค่าขนส่ง!$L$5:$L$204,MATCH($Y30,อัตราค่าขนส่ง!$M$5:$M$204,0)),0))</f>
        <v/>
      </c>
    </row>
    <row r="31" ht="21" customHeight="1" s="66">
      <c r="A31" s="69">
        <f>IF($AD31="","",IF($AD31="Z","รวมจ่ายทั้งสิ้น",IF($AD31="H",INDEX($X$5:$X$404,$AC31),IF($AD31="T","รวม",IF($AD31="B",IFERROR(INDEX(อัตราค่าขนส่ง!$S$5:$S$14,MATCH(INDEX($AM$5:$AM$404,$AC31),อัตราค่าขนส่ง!$R$5:$R$14,0)),"รวมกลุ่ม "&amp;INDEX($AM$5:$AM$404,$AC31)),INDEX($AY$5:$AY$404,$AC31))))))</f>
        <v/>
      </c>
      <c r="B31" s="31">
        <f>IF($AD31&lt;&gt;"D","",INDEX($AW$5:$AW$404,$AC31))</f>
        <v/>
      </c>
      <c r="C31" s="68">
        <f>IF($AD31&lt;&gt;"D","",INDEX($AX$5:$AX$404,$AC31))</f>
        <v/>
      </c>
      <c r="D31" s="70">
        <f>IF($AD31&lt;&gt;"D","",INDEX($BA$5:$BA$404,$AC31))</f>
        <v/>
      </c>
      <c r="E31" s="31">
        <f>IF($AD31="Z",SUM($AR$5:$AR$404),IF($AD31="D",INDEX($AR$5:$AR$404,$AC31),IF($AD31="T",SUMIF($X$5:$X$404,$AF31,$AR$5:$AR$404),IF($AD31="B",SUMIF($AN$5:$AN$404,$AQ31,$AR$5:$AR$404),""))))</f>
        <v/>
      </c>
      <c r="F31" s="32">
        <f>IF($AD31="Z",ROUND(SUM($AS$5:$AS$404),2),IF($AD31="D",INDEX($AS$5:$AS$404,$AC31),IF($AD31="T",ROUND(SUMIF($X$5:$X$404,$AF31,$AS$5:$AS$404),2),IF($AD31="B",ROUND(SUMIF($AN$5:$AN$404,$AQ31,$AS$5:$AS$404),2),""))))</f>
        <v/>
      </c>
      <c r="G31" s="32">
        <f>IF($AD31&lt;&gt;"D","",INDEX($AT$5:$AT$404,$AC31))</f>
        <v/>
      </c>
      <c r="H31" s="32">
        <f>IF($AD31&lt;&gt;"D","",INDEX($BC$5:$BC$404,$AC31))</f>
        <v/>
      </c>
      <c r="I31" s="32">
        <f>IF($AD31&lt;&gt;"D","",INDEX($BD$5:$BD$404,$AC31))</f>
        <v/>
      </c>
      <c r="J31" s="46">
        <f>IF($AD31&lt;&gt;"D","",IF(N($B31)=0,"",ROUND($I31/$B31,4)))</f>
        <v/>
      </c>
      <c r="K31" s="32">
        <f>IF($AD31="Z",ROUND(SUM($AU$5:$AU$404),2),IF($AD31="D",INDEX($AU$5:$AU$404,$AC31),IF($AD31="T",ROUND(SUMIF($X$5:$X$404,$AF31,$AU$5:$AU$404),2),IF($AD31="B",ROUND(SUMIF($AN$5:$AN$404,$AQ31,$AU$5:$AU$404),2),""))))</f>
        <v/>
      </c>
      <c r="L31" s="32">
        <f>IF($AD31="Z",ROUND(SUM($AV$5:$AV$404),2),IF($AD31="D",INDEX($AV$5:$AV$404,$AC31),IF($AD31="T",ROUND(SUMIF($X$5:$X$404,$AF31,$AV$5:$AV$404),2),IF($AD31="B",ROUND(SUMIF($AN$5:$AN$404,$AQ31,$AV$5:$AV$404),2),""))))</f>
        <v/>
      </c>
      <c r="M31" s="32">
        <f>IF($AD31="Z",ROUND(SUM($AJ$5:$AJ$704),2),IF($AD31="B",ROUND(SUMIF($AQ$5:$AQ$704,$AQ31,$AJ$5:$AJ$704),2),IF($AD31&lt;&gt;"T","",$AJ31)))</f>
        <v/>
      </c>
      <c r="N31" s="32">
        <f>IF(OR($AD31="D",$AD31="T",$AD31="B",$AD31="Z"),ROUND(N($K31)-N($L31)-N($M31),2),"")</f>
        <v/>
      </c>
      <c r="O31" s="32">
        <f>IF(OR($AD31="D",$AD31="T",$AD31="B",$AD31="Z"),IF(N($E31)=0,"",ROUND($F31/$E31,2)),"")</f>
        <v/>
      </c>
      <c r="Q31">
        <f>IFERROR(MATCH(27,บันทึกรายเที่ยว!$Z$6:$Z$6005,0),"")</f>
        <v/>
      </c>
      <c r="R31">
        <f>IF($Q31="","",INDEX(บันทึกรายเที่ยว!$V$6:$V$6005,$Q31))</f>
        <v/>
      </c>
      <c r="S31">
        <f>IF($Q31="","",INDEX(บันทึกรายเที่ยว!$F$6:$F$6005,$Q31))</f>
        <v/>
      </c>
      <c r="T31">
        <f>IF($Q31="","",MATCH($S31,บันทึกรายเที่ยว!$F$6:$F$6005,0))</f>
        <v/>
      </c>
      <c r="U31">
        <f>IF($Q31="","",$AL31*10000000+$T31*1000+27)</f>
        <v/>
      </c>
      <c r="V31">
        <f>IFERROR(MATCH(SMALL($U$5:$U$404,27),$U$5:$U$404,0),"")</f>
        <v/>
      </c>
      <c r="W31">
        <f>IF($V31="","",INDEX($Q$5:$Q$404,$V31))</f>
        <v/>
      </c>
      <c r="X31">
        <f>IF($V31="","",INDEX($S$5:$S$404,$V31))</f>
        <v/>
      </c>
      <c r="Y31">
        <f>IF($V31="","",INDEX($R$5:$R$404,$V31))</f>
        <v/>
      </c>
      <c r="Z31">
        <f>IF($V31="",0,IF($X31&lt;&gt;$X30,1,0))</f>
        <v/>
      </c>
      <c r="AA31">
        <f>IF($V31="",0,IF($V32="",1,IF($X32&lt;&gt;$X31,1,0)))</f>
        <v/>
      </c>
      <c r="AB31">
        <f>IF($V31="",99999+27,$AB30+1+$Z30+$AA30+$AO30)</f>
        <v/>
      </c>
      <c r="AC31">
        <f>IFERROR(MATCH(27,$AB$5:$AB$404,1),"")</f>
        <v/>
      </c>
      <c r="AD31">
        <f>IF(27=$AI$1+1,"Z",IF($AC31="","",IF(INDEX($V$5:$V$404,$AC31)="","",IF(27&gt;INDEX($AB$5:$AB$404,$AC31)+INDEX($Z$5:$Z$404,$AC31)+INDEX($AA$5:$AA$404,$AC31)+INDEX($AO$5:$AO$404,$AC31),"",IF(27=INDEX($AB$5:$AB$404,$AC31)+INDEX($Z$5:$Z$404,$AC31),"D",IF(AND(INDEX($Z$5:$Z$404,$AC31)=1,27=INDEX($AB$5:$AB$404,$AC31)),"H",IF(AND(INDEX($AO$5:$AO$404,$AC31)=1,27=INDEX($AB$5:$AB$404,$AC31)+INDEX($Z$5:$Z$404,$AC31)+INDEX($AA$5:$AA$404,$AC31)+INDEX($AO$5:$AO$404,$AC31)),"B","T")))))))</f>
        <v/>
      </c>
      <c r="AF31">
        <f>IF(OR($AD31="",$AD31="Z",$AD31="B"),"",INDEX($X$5:$X$404,$AC31))</f>
        <v/>
      </c>
      <c r="AJ31">
        <f>IF($AD31&lt;&gt;"T",0,ROUND(SUMIF(oil!$B$4:$B$63,$AF31,oil!$AE$4:$AE$63),2))</f>
        <v/>
      </c>
      <c r="AK31">
        <f>IF($S31="","",IFERROR(INDEX(อัตราค่าขนส่ง!$P$5:$P$54,MATCH($S31,อัตราค่าขนส่ง!$O$5:$O$54,0)),INDEX(รายการมาตรฐาน!$G$2:$G$3,1)))</f>
        <v/>
      </c>
      <c r="AL31">
        <f>IF($S31="","",IFERROR(MATCH($AK31,รายการมาตรฐาน!$G$2:$G$3,0),1))</f>
        <v/>
      </c>
      <c r="AM31">
        <f>IF($V31="","",INDEX($AK$5:$AK$404,$V31))</f>
        <v/>
      </c>
      <c r="AN31">
        <f>IF($V31="","",INDEX($AL$5:$AL$404,$V31))</f>
        <v/>
      </c>
      <c r="AO31">
        <f>IF(OR($V31="",$AI$2&lt;=1),0,IF($V32="",1,IF($AN32&lt;&gt;$AN31,1,0)))</f>
        <v/>
      </c>
      <c r="AP31">
        <f>IF($V31="",0,IF($AN31&lt;&gt;$AN30,1,0))</f>
        <v/>
      </c>
      <c r="AQ31">
        <f>IF(OR($AD31="",$AD31="Z"),"",INDEX($AN$5:$AN$404,$AC31))</f>
        <v/>
      </c>
      <c r="AR31">
        <f>IF($Y31="",0,COUNTIF(บันทึกรายเที่ยว!$V$6:$V$6005,$Y31))</f>
        <v/>
      </c>
      <c r="AS31">
        <f>IF($Y31="",0,ROUND(SUMIF(บันทึกรายเที่ยว!$V$6:$V$6005,$Y31,บันทึกรายเที่ยว!$M$6:$M$6005),2))</f>
        <v/>
      </c>
      <c r="AT31">
        <f>IF($Y31="",0,IFERROR(INDEX(อัตราค่าขนส่ง!$G$5:$G$204,MATCH($Y31,อัตราค่าขนส่ง!$M$5:$M$204,0)),0))</f>
        <v/>
      </c>
      <c r="AU31">
        <f>ROUND($AS31*$BD31,2)</f>
        <v/>
      </c>
      <c r="AV31">
        <f>ROUND($AU31*$BF$2/100,2)</f>
        <v/>
      </c>
      <c r="AW31">
        <f>IF($Y31="","",IFERROR(INDEX(อัตราค่าขนส่ง!$F$5:$F$204,MATCH($Y31,อัตราค่าขนส่ง!$M$5:$M$204,0)),""))</f>
        <v/>
      </c>
      <c r="AX31">
        <f>IF($W31="","",INDEX(บันทึกรายเที่ยว!$D$6:$D$6005,$W31))</f>
        <v/>
      </c>
      <c r="AY31">
        <f>IF($W31="","",INDEX(บันทึกรายเที่ยว!$R$6:$R$6005,$W31))</f>
        <v/>
      </c>
      <c r="AZ31">
        <f>IF(AND($AD31="T",$AQ31=1),N($AZ30)+1,N($AZ30))</f>
        <v/>
      </c>
      <c r="BA31">
        <f>IF($W31="","",INDEX(บันทึกรายเที่ยว!$E$6:$E$6005,$W31))</f>
        <v/>
      </c>
      <c r="BC31">
        <f>IF($Y31="",0,IFERROR(INDEX(อัตราค่าขนส่ง!$K$5:$K$204,MATCH($Y31,อัตราค่าขนส่ง!$M$5:$M$204,0)),0))</f>
        <v/>
      </c>
      <c r="BD31">
        <f>IF($Y31="",0,IFERROR(INDEX(อัตราค่าขนส่ง!$L$5:$L$204,MATCH($Y31,อัตราค่าขนส่ง!$M$5:$M$204,0)),0))</f>
        <v/>
      </c>
    </row>
    <row r="32" ht="21" customHeight="1" s="66">
      <c r="A32" s="69">
        <f>IF($AD32="","",IF($AD32="Z","รวมจ่ายทั้งสิ้น",IF($AD32="H",INDEX($X$5:$X$404,$AC32),IF($AD32="T","รวม",IF($AD32="B",IFERROR(INDEX(อัตราค่าขนส่ง!$S$5:$S$14,MATCH(INDEX($AM$5:$AM$404,$AC32),อัตราค่าขนส่ง!$R$5:$R$14,0)),"รวมกลุ่ม "&amp;INDEX($AM$5:$AM$404,$AC32)),INDEX($AY$5:$AY$404,$AC32))))))</f>
        <v/>
      </c>
      <c r="B32" s="31">
        <f>IF($AD32&lt;&gt;"D","",INDEX($AW$5:$AW$404,$AC32))</f>
        <v/>
      </c>
      <c r="C32" s="68">
        <f>IF($AD32&lt;&gt;"D","",INDEX($AX$5:$AX$404,$AC32))</f>
        <v/>
      </c>
      <c r="D32" s="70">
        <f>IF($AD32&lt;&gt;"D","",INDEX($BA$5:$BA$404,$AC32))</f>
        <v/>
      </c>
      <c r="E32" s="31">
        <f>IF($AD32="Z",SUM($AR$5:$AR$404),IF($AD32="D",INDEX($AR$5:$AR$404,$AC32),IF($AD32="T",SUMIF($X$5:$X$404,$AF32,$AR$5:$AR$404),IF($AD32="B",SUMIF($AN$5:$AN$404,$AQ32,$AR$5:$AR$404),""))))</f>
        <v/>
      </c>
      <c r="F32" s="32">
        <f>IF($AD32="Z",ROUND(SUM($AS$5:$AS$404),2),IF($AD32="D",INDEX($AS$5:$AS$404,$AC32),IF($AD32="T",ROUND(SUMIF($X$5:$X$404,$AF32,$AS$5:$AS$404),2),IF($AD32="B",ROUND(SUMIF($AN$5:$AN$404,$AQ32,$AS$5:$AS$404),2),""))))</f>
        <v/>
      </c>
      <c r="G32" s="32">
        <f>IF($AD32&lt;&gt;"D","",INDEX($AT$5:$AT$404,$AC32))</f>
        <v/>
      </c>
      <c r="H32" s="32">
        <f>IF($AD32&lt;&gt;"D","",INDEX($BC$5:$BC$404,$AC32))</f>
        <v/>
      </c>
      <c r="I32" s="32">
        <f>IF($AD32&lt;&gt;"D","",INDEX($BD$5:$BD$404,$AC32))</f>
        <v/>
      </c>
      <c r="J32" s="46">
        <f>IF($AD32&lt;&gt;"D","",IF(N($B32)=0,"",ROUND($I32/$B32,4)))</f>
        <v/>
      </c>
      <c r="K32" s="32">
        <f>IF($AD32="Z",ROUND(SUM($AU$5:$AU$404),2),IF($AD32="D",INDEX($AU$5:$AU$404,$AC32),IF($AD32="T",ROUND(SUMIF($X$5:$X$404,$AF32,$AU$5:$AU$404),2),IF($AD32="B",ROUND(SUMIF($AN$5:$AN$404,$AQ32,$AU$5:$AU$404),2),""))))</f>
        <v/>
      </c>
      <c r="L32" s="32">
        <f>IF($AD32="Z",ROUND(SUM($AV$5:$AV$404),2),IF($AD32="D",INDEX($AV$5:$AV$404,$AC32),IF($AD32="T",ROUND(SUMIF($X$5:$X$404,$AF32,$AV$5:$AV$404),2),IF($AD32="B",ROUND(SUMIF($AN$5:$AN$404,$AQ32,$AV$5:$AV$404),2),""))))</f>
        <v/>
      </c>
      <c r="M32" s="32">
        <f>IF($AD32="Z",ROUND(SUM($AJ$5:$AJ$704),2),IF($AD32="B",ROUND(SUMIF($AQ$5:$AQ$704,$AQ32,$AJ$5:$AJ$704),2),IF($AD32&lt;&gt;"T","",$AJ32)))</f>
        <v/>
      </c>
      <c r="N32" s="32">
        <f>IF(OR($AD32="D",$AD32="T",$AD32="B",$AD32="Z"),ROUND(N($K32)-N($L32)-N($M32),2),"")</f>
        <v/>
      </c>
      <c r="O32" s="32">
        <f>IF(OR($AD32="D",$AD32="T",$AD32="B",$AD32="Z"),IF(N($E32)=0,"",ROUND($F32/$E32,2)),"")</f>
        <v/>
      </c>
      <c r="Q32">
        <f>IFERROR(MATCH(28,บันทึกรายเที่ยว!$Z$6:$Z$6005,0),"")</f>
        <v/>
      </c>
      <c r="R32">
        <f>IF($Q32="","",INDEX(บันทึกรายเที่ยว!$V$6:$V$6005,$Q32))</f>
        <v/>
      </c>
      <c r="S32">
        <f>IF($Q32="","",INDEX(บันทึกรายเที่ยว!$F$6:$F$6005,$Q32))</f>
        <v/>
      </c>
      <c r="T32">
        <f>IF($Q32="","",MATCH($S32,บันทึกรายเที่ยว!$F$6:$F$6005,0))</f>
        <v/>
      </c>
      <c r="U32">
        <f>IF($Q32="","",$AL32*10000000+$T32*1000+28)</f>
        <v/>
      </c>
      <c r="V32">
        <f>IFERROR(MATCH(SMALL($U$5:$U$404,28),$U$5:$U$404,0),"")</f>
        <v/>
      </c>
      <c r="W32">
        <f>IF($V32="","",INDEX($Q$5:$Q$404,$V32))</f>
        <v/>
      </c>
      <c r="X32">
        <f>IF($V32="","",INDEX($S$5:$S$404,$V32))</f>
        <v/>
      </c>
      <c r="Y32">
        <f>IF($V32="","",INDEX($R$5:$R$404,$V32))</f>
        <v/>
      </c>
      <c r="Z32">
        <f>IF($V32="",0,IF($X32&lt;&gt;$X31,1,0))</f>
        <v/>
      </c>
      <c r="AA32">
        <f>IF($V32="",0,IF($V33="",1,IF($X33&lt;&gt;$X32,1,0)))</f>
        <v/>
      </c>
      <c r="AB32">
        <f>IF($V32="",99999+28,$AB31+1+$Z31+$AA31+$AO31)</f>
        <v/>
      </c>
      <c r="AC32">
        <f>IFERROR(MATCH(28,$AB$5:$AB$404,1),"")</f>
        <v/>
      </c>
      <c r="AD32">
        <f>IF(28=$AI$1+1,"Z",IF($AC32="","",IF(INDEX($V$5:$V$404,$AC32)="","",IF(28&gt;INDEX($AB$5:$AB$404,$AC32)+INDEX($Z$5:$Z$404,$AC32)+INDEX($AA$5:$AA$404,$AC32)+INDEX($AO$5:$AO$404,$AC32),"",IF(28=INDEX($AB$5:$AB$404,$AC32)+INDEX($Z$5:$Z$404,$AC32),"D",IF(AND(INDEX($Z$5:$Z$404,$AC32)=1,28=INDEX($AB$5:$AB$404,$AC32)),"H",IF(AND(INDEX($AO$5:$AO$404,$AC32)=1,28=INDEX($AB$5:$AB$404,$AC32)+INDEX($Z$5:$Z$404,$AC32)+INDEX($AA$5:$AA$404,$AC32)+INDEX($AO$5:$AO$404,$AC32)),"B","T")))))))</f>
        <v/>
      </c>
      <c r="AF32">
        <f>IF(OR($AD32="",$AD32="Z",$AD32="B"),"",INDEX($X$5:$X$404,$AC32))</f>
        <v/>
      </c>
      <c r="AJ32">
        <f>IF($AD32&lt;&gt;"T",0,ROUND(SUMIF(oil!$B$4:$B$63,$AF32,oil!$AE$4:$AE$63),2))</f>
        <v/>
      </c>
      <c r="AK32">
        <f>IF($S32="","",IFERROR(INDEX(อัตราค่าขนส่ง!$P$5:$P$54,MATCH($S32,อัตราค่าขนส่ง!$O$5:$O$54,0)),INDEX(รายการมาตรฐาน!$G$2:$G$3,1)))</f>
        <v/>
      </c>
      <c r="AL32">
        <f>IF($S32="","",IFERROR(MATCH($AK32,รายการมาตรฐาน!$G$2:$G$3,0),1))</f>
        <v/>
      </c>
      <c r="AM32">
        <f>IF($V32="","",INDEX($AK$5:$AK$404,$V32))</f>
        <v/>
      </c>
      <c r="AN32">
        <f>IF($V32="","",INDEX($AL$5:$AL$404,$V32))</f>
        <v/>
      </c>
      <c r="AO32">
        <f>IF(OR($V32="",$AI$2&lt;=1),0,IF($V33="",1,IF($AN33&lt;&gt;$AN32,1,0)))</f>
        <v/>
      </c>
      <c r="AP32">
        <f>IF($V32="",0,IF($AN32&lt;&gt;$AN31,1,0))</f>
        <v/>
      </c>
      <c r="AQ32">
        <f>IF(OR($AD32="",$AD32="Z"),"",INDEX($AN$5:$AN$404,$AC32))</f>
        <v/>
      </c>
      <c r="AR32">
        <f>IF($Y32="",0,COUNTIF(บันทึกรายเที่ยว!$V$6:$V$6005,$Y32))</f>
        <v/>
      </c>
      <c r="AS32">
        <f>IF($Y32="",0,ROUND(SUMIF(บันทึกรายเที่ยว!$V$6:$V$6005,$Y32,บันทึกรายเที่ยว!$M$6:$M$6005),2))</f>
        <v/>
      </c>
      <c r="AT32">
        <f>IF($Y32="",0,IFERROR(INDEX(อัตราค่าขนส่ง!$G$5:$G$204,MATCH($Y32,อัตราค่าขนส่ง!$M$5:$M$204,0)),0))</f>
        <v/>
      </c>
      <c r="AU32">
        <f>ROUND($AS32*$BD32,2)</f>
        <v/>
      </c>
      <c r="AV32">
        <f>ROUND($AU32*$BF$2/100,2)</f>
        <v/>
      </c>
      <c r="AW32">
        <f>IF($Y32="","",IFERROR(INDEX(อัตราค่าขนส่ง!$F$5:$F$204,MATCH($Y32,อัตราค่าขนส่ง!$M$5:$M$204,0)),""))</f>
        <v/>
      </c>
      <c r="AX32">
        <f>IF($W32="","",INDEX(บันทึกรายเที่ยว!$D$6:$D$6005,$W32))</f>
        <v/>
      </c>
      <c r="AY32">
        <f>IF($W32="","",INDEX(บันทึกรายเที่ยว!$R$6:$R$6005,$W32))</f>
        <v/>
      </c>
      <c r="AZ32">
        <f>IF(AND($AD32="T",$AQ32=1),N($AZ31)+1,N($AZ31))</f>
        <v/>
      </c>
      <c r="BA32">
        <f>IF($W32="","",INDEX(บันทึกรายเที่ยว!$E$6:$E$6005,$W32))</f>
        <v/>
      </c>
      <c r="BC32">
        <f>IF($Y32="",0,IFERROR(INDEX(อัตราค่าขนส่ง!$K$5:$K$204,MATCH($Y32,อัตราค่าขนส่ง!$M$5:$M$204,0)),0))</f>
        <v/>
      </c>
      <c r="BD32">
        <f>IF($Y32="",0,IFERROR(INDEX(อัตราค่าขนส่ง!$L$5:$L$204,MATCH($Y32,อัตราค่าขนส่ง!$M$5:$M$204,0)),0))</f>
        <v/>
      </c>
    </row>
    <row r="33" ht="21" customHeight="1" s="66">
      <c r="A33" s="69">
        <f>IF($AD33="","",IF($AD33="Z","รวมจ่ายทั้งสิ้น",IF($AD33="H",INDEX($X$5:$X$404,$AC33),IF($AD33="T","รวม",IF($AD33="B",IFERROR(INDEX(อัตราค่าขนส่ง!$S$5:$S$14,MATCH(INDEX($AM$5:$AM$404,$AC33),อัตราค่าขนส่ง!$R$5:$R$14,0)),"รวมกลุ่ม "&amp;INDEX($AM$5:$AM$404,$AC33)),INDEX($AY$5:$AY$404,$AC33))))))</f>
        <v/>
      </c>
      <c r="B33" s="31">
        <f>IF($AD33&lt;&gt;"D","",INDEX($AW$5:$AW$404,$AC33))</f>
        <v/>
      </c>
      <c r="C33" s="68">
        <f>IF($AD33&lt;&gt;"D","",INDEX($AX$5:$AX$404,$AC33))</f>
        <v/>
      </c>
      <c r="D33" s="70">
        <f>IF($AD33&lt;&gt;"D","",INDEX($BA$5:$BA$404,$AC33))</f>
        <v/>
      </c>
      <c r="E33" s="31">
        <f>IF($AD33="Z",SUM($AR$5:$AR$404),IF($AD33="D",INDEX($AR$5:$AR$404,$AC33),IF($AD33="T",SUMIF($X$5:$X$404,$AF33,$AR$5:$AR$404),IF($AD33="B",SUMIF($AN$5:$AN$404,$AQ33,$AR$5:$AR$404),""))))</f>
        <v/>
      </c>
      <c r="F33" s="32">
        <f>IF($AD33="Z",ROUND(SUM($AS$5:$AS$404),2),IF($AD33="D",INDEX($AS$5:$AS$404,$AC33),IF($AD33="T",ROUND(SUMIF($X$5:$X$404,$AF33,$AS$5:$AS$404),2),IF($AD33="B",ROUND(SUMIF($AN$5:$AN$404,$AQ33,$AS$5:$AS$404),2),""))))</f>
        <v/>
      </c>
      <c r="G33" s="32">
        <f>IF($AD33&lt;&gt;"D","",INDEX($AT$5:$AT$404,$AC33))</f>
        <v/>
      </c>
      <c r="H33" s="32">
        <f>IF($AD33&lt;&gt;"D","",INDEX($BC$5:$BC$404,$AC33))</f>
        <v/>
      </c>
      <c r="I33" s="32">
        <f>IF($AD33&lt;&gt;"D","",INDEX($BD$5:$BD$404,$AC33))</f>
        <v/>
      </c>
      <c r="J33" s="46">
        <f>IF($AD33&lt;&gt;"D","",IF(N($B33)=0,"",ROUND($I33/$B33,4)))</f>
        <v/>
      </c>
      <c r="K33" s="32">
        <f>IF($AD33="Z",ROUND(SUM($AU$5:$AU$404),2),IF($AD33="D",INDEX($AU$5:$AU$404,$AC33),IF($AD33="T",ROUND(SUMIF($X$5:$X$404,$AF33,$AU$5:$AU$404),2),IF($AD33="B",ROUND(SUMIF($AN$5:$AN$404,$AQ33,$AU$5:$AU$404),2),""))))</f>
        <v/>
      </c>
      <c r="L33" s="32">
        <f>IF($AD33="Z",ROUND(SUM($AV$5:$AV$404),2),IF($AD33="D",INDEX($AV$5:$AV$404,$AC33),IF($AD33="T",ROUND(SUMIF($X$5:$X$404,$AF33,$AV$5:$AV$404),2),IF($AD33="B",ROUND(SUMIF($AN$5:$AN$404,$AQ33,$AV$5:$AV$404),2),""))))</f>
        <v/>
      </c>
      <c r="M33" s="32">
        <f>IF($AD33="Z",ROUND(SUM($AJ$5:$AJ$704),2),IF($AD33="B",ROUND(SUMIF($AQ$5:$AQ$704,$AQ33,$AJ$5:$AJ$704),2),IF($AD33&lt;&gt;"T","",$AJ33)))</f>
        <v/>
      </c>
      <c r="N33" s="32">
        <f>IF(OR($AD33="D",$AD33="T",$AD33="B",$AD33="Z"),ROUND(N($K33)-N($L33)-N($M33),2),"")</f>
        <v/>
      </c>
      <c r="O33" s="32">
        <f>IF(OR($AD33="D",$AD33="T",$AD33="B",$AD33="Z"),IF(N($E33)=0,"",ROUND($F33/$E33,2)),"")</f>
        <v/>
      </c>
      <c r="Q33">
        <f>IFERROR(MATCH(29,บันทึกรายเที่ยว!$Z$6:$Z$6005,0),"")</f>
        <v/>
      </c>
      <c r="R33">
        <f>IF($Q33="","",INDEX(บันทึกรายเที่ยว!$V$6:$V$6005,$Q33))</f>
        <v/>
      </c>
      <c r="S33">
        <f>IF($Q33="","",INDEX(บันทึกรายเที่ยว!$F$6:$F$6005,$Q33))</f>
        <v/>
      </c>
      <c r="T33">
        <f>IF($Q33="","",MATCH($S33,บันทึกรายเที่ยว!$F$6:$F$6005,0))</f>
        <v/>
      </c>
      <c r="U33">
        <f>IF($Q33="","",$AL33*10000000+$T33*1000+29)</f>
        <v/>
      </c>
      <c r="V33">
        <f>IFERROR(MATCH(SMALL($U$5:$U$404,29),$U$5:$U$404,0),"")</f>
        <v/>
      </c>
      <c r="W33">
        <f>IF($V33="","",INDEX($Q$5:$Q$404,$V33))</f>
        <v/>
      </c>
      <c r="X33">
        <f>IF($V33="","",INDEX($S$5:$S$404,$V33))</f>
        <v/>
      </c>
      <c r="Y33">
        <f>IF($V33="","",INDEX($R$5:$R$404,$V33))</f>
        <v/>
      </c>
      <c r="Z33">
        <f>IF($V33="",0,IF($X33&lt;&gt;$X32,1,0))</f>
        <v/>
      </c>
      <c r="AA33">
        <f>IF($V33="",0,IF($V34="",1,IF($X34&lt;&gt;$X33,1,0)))</f>
        <v/>
      </c>
      <c r="AB33">
        <f>IF($V33="",99999+29,$AB32+1+$Z32+$AA32+$AO32)</f>
        <v/>
      </c>
      <c r="AC33">
        <f>IFERROR(MATCH(29,$AB$5:$AB$404,1),"")</f>
        <v/>
      </c>
      <c r="AD33">
        <f>IF(29=$AI$1+1,"Z",IF($AC33="","",IF(INDEX($V$5:$V$404,$AC33)="","",IF(29&gt;INDEX($AB$5:$AB$404,$AC33)+INDEX($Z$5:$Z$404,$AC33)+INDEX($AA$5:$AA$404,$AC33)+INDEX($AO$5:$AO$404,$AC33),"",IF(29=INDEX($AB$5:$AB$404,$AC33)+INDEX($Z$5:$Z$404,$AC33),"D",IF(AND(INDEX($Z$5:$Z$404,$AC33)=1,29=INDEX($AB$5:$AB$404,$AC33)),"H",IF(AND(INDEX($AO$5:$AO$404,$AC33)=1,29=INDEX($AB$5:$AB$404,$AC33)+INDEX($Z$5:$Z$404,$AC33)+INDEX($AA$5:$AA$404,$AC33)+INDEX($AO$5:$AO$404,$AC33)),"B","T")))))))</f>
        <v/>
      </c>
      <c r="AF33">
        <f>IF(OR($AD33="",$AD33="Z",$AD33="B"),"",INDEX($X$5:$X$404,$AC33))</f>
        <v/>
      </c>
      <c r="AJ33">
        <f>IF($AD33&lt;&gt;"T",0,ROUND(SUMIF(oil!$B$4:$B$63,$AF33,oil!$AE$4:$AE$63),2))</f>
        <v/>
      </c>
      <c r="AK33">
        <f>IF($S33="","",IFERROR(INDEX(อัตราค่าขนส่ง!$P$5:$P$54,MATCH($S33,อัตราค่าขนส่ง!$O$5:$O$54,0)),INDEX(รายการมาตรฐาน!$G$2:$G$3,1)))</f>
        <v/>
      </c>
      <c r="AL33">
        <f>IF($S33="","",IFERROR(MATCH($AK33,รายการมาตรฐาน!$G$2:$G$3,0),1))</f>
        <v/>
      </c>
      <c r="AM33">
        <f>IF($V33="","",INDEX($AK$5:$AK$404,$V33))</f>
        <v/>
      </c>
      <c r="AN33">
        <f>IF($V33="","",INDEX($AL$5:$AL$404,$V33))</f>
        <v/>
      </c>
      <c r="AO33">
        <f>IF(OR($V33="",$AI$2&lt;=1),0,IF($V34="",1,IF($AN34&lt;&gt;$AN33,1,0)))</f>
        <v/>
      </c>
      <c r="AP33">
        <f>IF($V33="",0,IF($AN33&lt;&gt;$AN32,1,0))</f>
        <v/>
      </c>
      <c r="AQ33">
        <f>IF(OR($AD33="",$AD33="Z"),"",INDEX($AN$5:$AN$404,$AC33))</f>
        <v/>
      </c>
      <c r="AR33">
        <f>IF($Y33="",0,COUNTIF(บันทึกรายเที่ยว!$V$6:$V$6005,$Y33))</f>
        <v/>
      </c>
      <c r="AS33">
        <f>IF($Y33="",0,ROUND(SUMIF(บันทึกรายเที่ยว!$V$6:$V$6005,$Y33,บันทึกรายเที่ยว!$M$6:$M$6005),2))</f>
        <v/>
      </c>
      <c r="AT33">
        <f>IF($Y33="",0,IFERROR(INDEX(อัตราค่าขนส่ง!$G$5:$G$204,MATCH($Y33,อัตราค่าขนส่ง!$M$5:$M$204,0)),0))</f>
        <v/>
      </c>
      <c r="AU33">
        <f>ROUND($AS33*$BD33,2)</f>
        <v/>
      </c>
      <c r="AV33">
        <f>ROUND($AU33*$BF$2/100,2)</f>
        <v/>
      </c>
      <c r="AW33">
        <f>IF($Y33="","",IFERROR(INDEX(อัตราค่าขนส่ง!$F$5:$F$204,MATCH($Y33,อัตราค่าขนส่ง!$M$5:$M$204,0)),""))</f>
        <v/>
      </c>
      <c r="AX33">
        <f>IF($W33="","",INDEX(บันทึกรายเที่ยว!$D$6:$D$6005,$W33))</f>
        <v/>
      </c>
      <c r="AY33">
        <f>IF($W33="","",INDEX(บันทึกรายเที่ยว!$R$6:$R$6005,$W33))</f>
        <v/>
      </c>
      <c r="AZ33">
        <f>IF(AND($AD33="T",$AQ33=1),N($AZ32)+1,N($AZ32))</f>
        <v/>
      </c>
      <c r="BA33">
        <f>IF($W33="","",INDEX(บันทึกรายเที่ยว!$E$6:$E$6005,$W33))</f>
        <v/>
      </c>
      <c r="BC33">
        <f>IF($Y33="",0,IFERROR(INDEX(อัตราค่าขนส่ง!$K$5:$K$204,MATCH($Y33,อัตราค่าขนส่ง!$M$5:$M$204,0)),0))</f>
        <v/>
      </c>
      <c r="BD33">
        <f>IF($Y33="",0,IFERROR(INDEX(อัตราค่าขนส่ง!$L$5:$L$204,MATCH($Y33,อัตราค่าขนส่ง!$M$5:$M$204,0)),0))</f>
        <v/>
      </c>
    </row>
    <row r="34" ht="21" customHeight="1" s="66">
      <c r="A34" s="69">
        <f>IF($AD34="","",IF($AD34="Z","รวมจ่ายทั้งสิ้น",IF($AD34="H",INDEX($X$5:$X$404,$AC34),IF($AD34="T","รวม",IF($AD34="B",IFERROR(INDEX(อัตราค่าขนส่ง!$S$5:$S$14,MATCH(INDEX($AM$5:$AM$404,$AC34),อัตราค่าขนส่ง!$R$5:$R$14,0)),"รวมกลุ่ม "&amp;INDEX($AM$5:$AM$404,$AC34)),INDEX($AY$5:$AY$404,$AC34))))))</f>
        <v/>
      </c>
      <c r="B34" s="31">
        <f>IF($AD34&lt;&gt;"D","",INDEX($AW$5:$AW$404,$AC34))</f>
        <v/>
      </c>
      <c r="C34" s="68">
        <f>IF($AD34&lt;&gt;"D","",INDEX($AX$5:$AX$404,$AC34))</f>
        <v/>
      </c>
      <c r="D34" s="70">
        <f>IF($AD34&lt;&gt;"D","",INDEX($BA$5:$BA$404,$AC34))</f>
        <v/>
      </c>
      <c r="E34" s="31">
        <f>IF($AD34="Z",SUM($AR$5:$AR$404),IF($AD34="D",INDEX($AR$5:$AR$404,$AC34),IF($AD34="T",SUMIF($X$5:$X$404,$AF34,$AR$5:$AR$404),IF($AD34="B",SUMIF($AN$5:$AN$404,$AQ34,$AR$5:$AR$404),""))))</f>
        <v/>
      </c>
      <c r="F34" s="32">
        <f>IF($AD34="Z",ROUND(SUM($AS$5:$AS$404),2),IF($AD34="D",INDEX($AS$5:$AS$404,$AC34),IF($AD34="T",ROUND(SUMIF($X$5:$X$404,$AF34,$AS$5:$AS$404),2),IF($AD34="B",ROUND(SUMIF($AN$5:$AN$404,$AQ34,$AS$5:$AS$404),2),""))))</f>
        <v/>
      </c>
      <c r="G34" s="32">
        <f>IF($AD34&lt;&gt;"D","",INDEX($AT$5:$AT$404,$AC34))</f>
        <v/>
      </c>
      <c r="H34" s="32">
        <f>IF($AD34&lt;&gt;"D","",INDEX($BC$5:$BC$404,$AC34))</f>
        <v/>
      </c>
      <c r="I34" s="32">
        <f>IF($AD34&lt;&gt;"D","",INDEX($BD$5:$BD$404,$AC34))</f>
        <v/>
      </c>
      <c r="J34" s="46">
        <f>IF($AD34&lt;&gt;"D","",IF(N($B34)=0,"",ROUND($I34/$B34,4)))</f>
        <v/>
      </c>
      <c r="K34" s="32">
        <f>IF($AD34="Z",ROUND(SUM($AU$5:$AU$404),2),IF($AD34="D",INDEX($AU$5:$AU$404,$AC34),IF($AD34="T",ROUND(SUMIF($X$5:$X$404,$AF34,$AU$5:$AU$404),2),IF($AD34="B",ROUND(SUMIF($AN$5:$AN$404,$AQ34,$AU$5:$AU$404),2),""))))</f>
        <v/>
      </c>
      <c r="L34" s="32">
        <f>IF($AD34="Z",ROUND(SUM($AV$5:$AV$404),2),IF($AD34="D",INDEX($AV$5:$AV$404,$AC34),IF($AD34="T",ROUND(SUMIF($X$5:$X$404,$AF34,$AV$5:$AV$404),2),IF($AD34="B",ROUND(SUMIF($AN$5:$AN$404,$AQ34,$AV$5:$AV$404),2),""))))</f>
        <v/>
      </c>
      <c r="M34" s="32">
        <f>IF($AD34="Z",ROUND(SUM($AJ$5:$AJ$704),2),IF($AD34="B",ROUND(SUMIF($AQ$5:$AQ$704,$AQ34,$AJ$5:$AJ$704),2),IF($AD34&lt;&gt;"T","",$AJ34)))</f>
        <v/>
      </c>
      <c r="N34" s="32">
        <f>IF(OR($AD34="D",$AD34="T",$AD34="B",$AD34="Z"),ROUND(N($K34)-N($L34)-N($M34),2),"")</f>
        <v/>
      </c>
      <c r="O34" s="32">
        <f>IF(OR($AD34="D",$AD34="T",$AD34="B",$AD34="Z"),IF(N($E34)=0,"",ROUND($F34/$E34,2)),"")</f>
        <v/>
      </c>
      <c r="Q34">
        <f>IFERROR(MATCH(30,บันทึกรายเที่ยว!$Z$6:$Z$6005,0),"")</f>
        <v/>
      </c>
      <c r="R34">
        <f>IF($Q34="","",INDEX(บันทึกรายเที่ยว!$V$6:$V$6005,$Q34))</f>
        <v/>
      </c>
      <c r="S34">
        <f>IF($Q34="","",INDEX(บันทึกรายเที่ยว!$F$6:$F$6005,$Q34))</f>
        <v/>
      </c>
      <c r="T34">
        <f>IF($Q34="","",MATCH($S34,บันทึกรายเที่ยว!$F$6:$F$6005,0))</f>
        <v/>
      </c>
      <c r="U34">
        <f>IF($Q34="","",$AL34*10000000+$T34*1000+30)</f>
        <v/>
      </c>
      <c r="V34">
        <f>IFERROR(MATCH(SMALL($U$5:$U$404,30),$U$5:$U$404,0),"")</f>
        <v/>
      </c>
      <c r="W34">
        <f>IF($V34="","",INDEX($Q$5:$Q$404,$V34))</f>
        <v/>
      </c>
      <c r="X34">
        <f>IF($V34="","",INDEX($S$5:$S$404,$V34))</f>
        <v/>
      </c>
      <c r="Y34">
        <f>IF($V34="","",INDEX($R$5:$R$404,$V34))</f>
        <v/>
      </c>
      <c r="Z34">
        <f>IF($V34="",0,IF($X34&lt;&gt;$X33,1,0))</f>
        <v/>
      </c>
      <c r="AA34">
        <f>IF($V34="",0,IF($V35="",1,IF($X35&lt;&gt;$X34,1,0)))</f>
        <v/>
      </c>
      <c r="AB34">
        <f>IF($V34="",99999+30,$AB33+1+$Z33+$AA33+$AO33)</f>
        <v/>
      </c>
      <c r="AC34">
        <f>IFERROR(MATCH(30,$AB$5:$AB$404,1),"")</f>
        <v/>
      </c>
      <c r="AD34">
        <f>IF(30=$AI$1+1,"Z",IF($AC34="","",IF(INDEX($V$5:$V$404,$AC34)="","",IF(30&gt;INDEX($AB$5:$AB$404,$AC34)+INDEX($Z$5:$Z$404,$AC34)+INDEX($AA$5:$AA$404,$AC34)+INDEX($AO$5:$AO$404,$AC34),"",IF(30=INDEX($AB$5:$AB$404,$AC34)+INDEX($Z$5:$Z$404,$AC34),"D",IF(AND(INDEX($Z$5:$Z$404,$AC34)=1,30=INDEX($AB$5:$AB$404,$AC34)),"H",IF(AND(INDEX($AO$5:$AO$404,$AC34)=1,30=INDEX($AB$5:$AB$404,$AC34)+INDEX($Z$5:$Z$404,$AC34)+INDEX($AA$5:$AA$404,$AC34)+INDEX($AO$5:$AO$404,$AC34)),"B","T")))))))</f>
        <v/>
      </c>
      <c r="AF34">
        <f>IF(OR($AD34="",$AD34="Z",$AD34="B"),"",INDEX($X$5:$X$404,$AC34))</f>
        <v/>
      </c>
      <c r="AJ34">
        <f>IF($AD34&lt;&gt;"T",0,ROUND(SUMIF(oil!$B$4:$B$63,$AF34,oil!$AE$4:$AE$63),2))</f>
        <v/>
      </c>
      <c r="AK34">
        <f>IF($S34="","",IFERROR(INDEX(อัตราค่าขนส่ง!$P$5:$P$54,MATCH($S34,อัตราค่าขนส่ง!$O$5:$O$54,0)),INDEX(รายการมาตรฐาน!$G$2:$G$3,1)))</f>
        <v/>
      </c>
      <c r="AL34">
        <f>IF($S34="","",IFERROR(MATCH($AK34,รายการมาตรฐาน!$G$2:$G$3,0),1))</f>
        <v/>
      </c>
      <c r="AM34">
        <f>IF($V34="","",INDEX($AK$5:$AK$404,$V34))</f>
        <v/>
      </c>
      <c r="AN34">
        <f>IF($V34="","",INDEX($AL$5:$AL$404,$V34))</f>
        <v/>
      </c>
      <c r="AO34">
        <f>IF(OR($V34="",$AI$2&lt;=1),0,IF($V35="",1,IF($AN35&lt;&gt;$AN34,1,0)))</f>
        <v/>
      </c>
      <c r="AP34">
        <f>IF($V34="",0,IF($AN34&lt;&gt;$AN33,1,0))</f>
        <v/>
      </c>
      <c r="AQ34">
        <f>IF(OR($AD34="",$AD34="Z"),"",INDEX($AN$5:$AN$404,$AC34))</f>
        <v/>
      </c>
      <c r="AR34">
        <f>IF($Y34="",0,COUNTIF(บันทึกรายเที่ยว!$V$6:$V$6005,$Y34))</f>
        <v/>
      </c>
      <c r="AS34">
        <f>IF($Y34="",0,ROUND(SUMIF(บันทึกรายเที่ยว!$V$6:$V$6005,$Y34,บันทึกรายเที่ยว!$M$6:$M$6005),2))</f>
        <v/>
      </c>
      <c r="AT34">
        <f>IF($Y34="",0,IFERROR(INDEX(อัตราค่าขนส่ง!$G$5:$G$204,MATCH($Y34,อัตราค่าขนส่ง!$M$5:$M$204,0)),0))</f>
        <v/>
      </c>
      <c r="AU34">
        <f>ROUND($AS34*$BD34,2)</f>
        <v/>
      </c>
      <c r="AV34">
        <f>ROUND($AU34*$BF$2/100,2)</f>
        <v/>
      </c>
      <c r="AW34">
        <f>IF($Y34="","",IFERROR(INDEX(อัตราค่าขนส่ง!$F$5:$F$204,MATCH($Y34,อัตราค่าขนส่ง!$M$5:$M$204,0)),""))</f>
        <v/>
      </c>
      <c r="AX34">
        <f>IF($W34="","",INDEX(บันทึกรายเที่ยว!$D$6:$D$6005,$W34))</f>
        <v/>
      </c>
      <c r="AY34">
        <f>IF($W34="","",INDEX(บันทึกรายเที่ยว!$R$6:$R$6005,$W34))</f>
        <v/>
      </c>
      <c r="AZ34">
        <f>IF(AND($AD34="T",$AQ34=1),N($AZ33)+1,N($AZ33))</f>
        <v/>
      </c>
      <c r="BA34">
        <f>IF($W34="","",INDEX(บันทึกรายเที่ยว!$E$6:$E$6005,$W34))</f>
        <v/>
      </c>
      <c r="BC34">
        <f>IF($Y34="",0,IFERROR(INDEX(อัตราค่าขนส่ง!$K$5:$K$204,MATCH($Y34,อัตราค่าขนส่ง!$M$5:$M$204,0)),0))</f>
        <v/>
      </c>
      <c r="BD34">
        <f>IF($Y34="",0,IFERROR(INDEX(อัตราค่าขนส่ง!$L$5:$L$204,MATCH($Y34,อัตราค่าขนส่ง!$M$5:$M$204,0)),0))</f>
        <v/>
      </c>
    </row>
    <row r="35" ht="21" customHeight="1" s="66">
      <c r="A35" s="69">
        <f>IF($AD35="","",IF($AD35="Z","รวมจ่ายทั้งสิ้น",IF($AD35="H",INDEX($X$5:$X$404,$AC35),IF($AD35="T","รวม",IF($AD35="B",IFERROR(INDEX(อัตราค่าขนส่ง!$S$5:$S$14,MATCH(INDEX($AM$5:$AM$404,$AC35),อัตราค่าขนส่ง!$R$5:$R$14,0)),"รวมกลุ่ม "&amp;INDEX($AM$5:$AM$404,$AC35)),INDEX($AY$5:$AY$404,$AC35))))))</f>
        <v/>
      </c>
      <c r="B35" s="31">
        <f>IF($AD35&lt;&gt;"D","",INDEX($AW$5:$AW$404,$AC35))</f>
        <v/>
      </c>
      <c r="C35" s="68">
        <f>IF($AD35&lt;&gt;"D","",INDEX($AX$5:$AX$404,$AC35))</f>
        <v/>
      </c>
      <c r="D35" s="70">
        <f>IF($AD35&lt;&gt;"D","",INDEX($BA$5:$BA$404,$AC35))</f>
        <v/>
      </c>
      <c r="E35" s="31">
        <f>IF($AD35="Z",SUM($AR$5:$AR$404),IF($AD35="D",INDEX($AR$5:$AR$404,$AC35),IF($AD35="T",SUMIF($X$5:$X$404,$AF35,$AR$5:$AR$404),IF($AD35="B",SUMIF($AN$5:$AN$404,$AQ35,$AR$5:$AR$404),""))))</f>
        <v/>
      </c>
      <c r="F35" s="32">
        <f>IF($AD35="Z",ROUND(SUM($AS$5:$AS$404),2),IF($AD35="D",INDEX($AS$5:$AS$404,$AC35),IF($AD35="T",ROUND(SUMIF($X$5:$X$404,$AF35,$AS$5:$AS$404),2),IF($AD35="B",ROUND(SUMIF($AN$5:$AN$404,$AQ35,$AS$5:$AS$404),2),""))))</f>
        <v/>
      </c>
      <c r="G35" s="32">
        <f>IF($AD35&lt;&gt;"D","",INDEX($AT$5:$AT$404,$AC35))</f>
        <v/>
      </c>
      <c r="H35" s="32">
        <f>IF($AD35&lt;&gt;"D","",INDEX($BC$5:$BC$404,$AC35))</f>
        <v/>
      </c>
      <c r="I35" s="32">
        <f>IF($AD35&lt;&gt;"D","",INDEX($BD$5:$BD$404,$AC35))</f>
        <v/>
      </c>
      <c r="J35" s="46">
        <f>IF($AD35&lt;&gt;"D","",IF(N($B35)=0,"",ROUND($I35/$B35,4)))</f>
        <v/>
      </c>
      <c r="K35" s="32">
        <f>IF($AD35="Z",ROUND(SUM($AU$5:$AU$404),2),IF($AD35="D",INDEX($AU$5:$AU$404,$AC35),IF($AD35="T",ROUND(SUMIF($X$5:$X$404,$AF35,$AU$5:$AU$404),2),IF($AD35="B",ROUND(SUMIF($AN$5:$AN$404,$AQ35,$AU$5:$AU$404),2),""))))</f>
        <v/>
      </c>
      <c r="L35" s="32">
        <f>IF($AD35="Z",ROUND(SUM($AV$5:$AV$404),2),IF($AD35="D",INDEX($AV$5:$AV$404,$AC35),IF($AD35="T",ROUND(SUMIF($X$5:$X$404,$AF35,$AV$5:$AV$404),2),IF($AD35="B",ROUND(SUMIF($AN$5:$AN$404,$AQ35,$AV$5:$AV$404),2),""))))</f>
        <v/>
      </c>
      <c r="M35" s="32">
        <f>IF($AD35="Z",ROUND(SUM($AJ$5:$AJ$704),2),IF($AD35="B",ROUND(SUMIF($AQ$5:$AQ$704,$AQ35,$AJ$5:$AJ$704),2),IF($AD35&lt;&gt;"T","",$AJ35)))</f>
        <v/>
      </c>
      <c r="N35" s="32">
        <f>IF(OR($AD35="D",$AD35="T",$AD35="B",$AD35="Z"),ROUND(N($K35)-N($L35)-N($M35),2),"")</f>
        <v/>
      </c>
      <c r="O35" s="32">
        <f>IF(OR($AD35="D",$AD35="T",$AD35="B",$AD35="Z"),IF(N($E35)=0,"",ROUND($F35/$E35,2)),"")</f>
        <v/>
      </c>
      <c r="Q35">
        <f>IFERROR(MATCH(31,บันทึกรายเที่ยว!$Z$6:$Z$6005,0),"")</f>
        <v/>
      </c>
      <c r="R35">
        <f>IF($Q35="","",INDEX(บันทึกรายเที่ยว!$V$6:$V$6005,$Q35))</f>
        <v/>
      </c>
      <c r="S35">
        <f>IF($Q35="","",INDEX(บันทึกรายเที่ยว!$F$6:$F$6005,$Q35))</f>
        <v/>
      </c>
      <c r="T35">
        <f>IF($Q35="","",MATCH($S35,บันทึกรายเที่ยว!$F$6:$F$6005,0))</f>
        <v/>
      </c>
      <c r="U35">
        <f>IF($Q35="","",$AL35*10000000+$T35*1000+31)</f>
        <v/>
      </c>
      <c r="V35">
        <f>IFERROR(MATCH(SMALL($U$5:$U$404,31),$U$5:$U$404,0),"")</f>
        <v/>
      </c>
      <c r="W35">
        <f>IF($V35="","",INDEX($Q$5:$Q$404,$V35))</f>
        <v/>
      </c>
      <c r="X35">
        <f>IF($V35="","",INDEX($S$5:$S$404,$V35))</f>
        <v/>
      </c>
      <c r="Y35">
        <f>IF($V35="","",INDEX($R$5:$R$404,$V35))</f>
        <v/>
      </c>
      <c r="Z35">
        <f>IF($V35="",0,IF($X35&lt;&gt;$X34,1,0))</f>
        <v/>
      </c>
      <c r="AA35">
        <f>IF($V35="",0,IF($V36="",1,IF($X36&lt;&gt;$X35,1,0)))</f>
        <v/>
      </c>
      <c r="AB35">
        <f>IF($V35="",99999+31,$AB34+1+$Z34+$AA34+$AO34)</f>
        <v/>
      </c>
      <c r="AC35">
        <f>IFERROR(MATCH(31,$AB$5:$AB$404,1),"")</f>
        <v/>
      </c>
      <c r="AD35">
        <f>IF(31=$AI$1+1,"Z",IF($AC35="","",IF(INDEX($V$5:$V$404,$AC35)="","",IF(31&gt;INDEX($AB$5:$AB$404,$AC35)+INDEX($Z$5:$Z$404,$AC35)+INDEX($AA$5:$AA$404,$AC35)+INDEX($AO$5:$AO$404,$AC35),"",IF(31=INDEX($AB$5:$AB$404,$AC35)+INDEX($Z$5:$Z$404,$AC35),"D",IF(AND(INDEX($Z$5:$Z$404,$AC35)=1,31=INDEX($AB$5:$AB$404,$AC35)),"H",IF(AND(INDEX($AO$5:$AO$404,$AC35)=1,31=INDEX($AB$5:$AB$404,$AC35)+INDEX($Z$5:$Z$404,$AC35)+INDEX($AA$5:$AA$404,$AC35)+INDEX($AO$5:$AO$404,$AC35)),"B","T")))))))</f>
        <v/>
      </c>
      <c r="AF35">
        <f>IF(OR($AD35="",$AD35="Z",$AD35="B"),"",INDEX($X$5:$X$404,$AC35))</f>
        <v/>
      </c>
      <c r="AJ35">
        <f>IF($AD35&lt;&gt;"T",0,ROUND(SUMIF(oil!$B$4:$B$63,$AF35,oil!$AE$4:$AE$63),2))</f>
        <v/>
      </c>
      <c r="AK35">
        <f>IF($S35="","",IFERROR(INDEX(อัตราค่าขนส่ง!$P$5:$P$54,MATCH($S35,อัตราค่าขนส่ง!$O$5:$O$54,0)),INDEX(รายการมาตรฐาน!$G$2:$G$3,1)))</f>
        <v/>
      </c>
      <c r="AL35">
        <f>IF($S35="","",IFERROR(MATCH($AK35,รายการมาตรฐาน!$G$2:$G$3,0),1))</f>
        <v/>
      </c>
      <c r="AM35">
        <f>IF($V35="","",INDEX($AK$5:$AK$404,$V35))</f>
        <v/>
      </c>
      <c r="AN35">
        <f>IF($V35="","",INDEX($AL$5:$AL$404,$V35))</f>
        <v/>
      </c>
      <c r="AO35">
        <f>IF(OR($V35="",$AI$2&lt;=1),0,IF($V36="",1,IF($AN36&lt;&gt;$AN35,1,0)))</f>
        <v/>
      </c>
      <c r="AP35">
        <f>IF($V35="",0,IF($AN35&lt;&gt;$AN34,1,0))</f>
        <v/>
      </c>
      <c r="AQ35">
        <f>IF(OR($AD35="",$AD35="Z"),"",INDEX($AN$5:$AN$404,$AC35))</f>
        <v/>
      </c>
      <c r="AR35">
        <f>IF($Y35="",0,COUNTIF(บันทึกรายเที่ยว!$V$6:$V$6005,$Y35))</f>
        <v/>
      </c>
      <c r="AS35">
        <f>IF($Y35="",0,ROUND(SUMIF(บันทึกรายเที่ยว!$V$6:$V$6005,$Y35,บันทึกรายเที่ยว!$M$6:$M$6005),2))</f>
        <v/>
      </c>
      <c r="AT35">
        <f>IF($Y35="",0,IFERROR(INDEX(อัตราค่าขนส่ง!$G$5:$G$204,MATCH($Y35,อัตราค่าขนส่ง!$M$5:$M$204,0)),0))</f>
        <v/>
      </c>
      <c r="AU35">
        <f>ROUND($AS35*$BD35,2)</f>
        <v/>
      </c>
      <c r="AV35">
        <f>ROUND($AU35*$BF$2/100,2)</f>
        <v/>
      </c>
      <c r="AW35">
        <f>IF($Y35="","",IFERROR(INDEX(อัตราค่าขนส่ง!$F$5:$F$204,MATCH($Y35,อัตราค่าขนส่ง!$M$5:$M$204,0)),""))</f>
        <v/>
      </c>
      <c r="AX35">
        <f>IF($W35="","",INDEX(บันทึกรายเที่ยว!$D$6:$D$6005,$W35))</f>
        <v/>
      </c>
      <c r="AY35">
        <f>IF($W35="","",INDEX(บันทึกรายเที่ยว!$R$6:$R$6005,$W35))</f>
        <v/>
      </c>
      <c r="AZ35">
        <f>IF(AND($AD35="T",$AQ35=1),N($AZ34)+1,N($AZ34))</f>
        <v/>
      </c>
      <c r="BA35">
        <f>IF($W35="","",INDEX(บันทึกรายเที่ยว!$E$6:$E$6005,$W35))</f>
        <v/>
      </c>
      <c r="BC35">
        <f>IF($Y35="",0,IFERROR(INDEX(อัตราค่าขนส่ง!$K$5:$K$204,MATCH($Y35,อัตราค่าขนส่ง!$M$5:$M$204,0)),0))</f>
        <v/>
      </c>
      <c r="BD35">
        <f>IF($Y35="",0,IFERROR(INDEX(อัตราค่าขนส่ง!$L$5:$L$204,MATCH($Y35,อัตราค่าขนส่ง!$M$5:$M$204,0)),0))</f>
        <v/>
      </c>
    </row>
    <row r="36" ht="21" customHeight="1" s="66">
      <c r="A36" s="69">
        <f>IF($AD36="","",IF($AD36="Z","รวมจ่ายทั้งสิ้น",IF($AD36="H",INDEX($X$5:$X$404,$AC36),IF($AD36="T","รวม",IF($AD36="B",IFERROR(INDEX(อัตราค่าขนส่ง!$S$5:$S$14,MATCH(INDEX($AM$5:$AM$404,$AC36),อัตราค่าขนส่ง!$R$5:$R$14,0)),"รวมกลุ่ม "&amp;INDEX($AM$5:$AM$404,$AC36)),INDEX($AY$5:$AY$404,$AC36))))))</f>
        <v/>
      </c>
      <c r="B36" s="31">
        <f>IF($AD36&lt;&gt;"D","",INDEX($AW$5:$AW$404,$AC36))</f>
        <v/>
      </c>
      <c r="C36" s="68">
        <f>IF($AD36&lt;&gt;"D","",INDEX($AX$5:$AX$404,$AC36))</f>
        <v/>
      </c>
      <c r="D36" s="70">
        <f>IF($AD36&lt;&gt;"D","",INDEX($BA$5:$BA$404,$AC36))</f>
        <v/>
      </c>
      <c r="E36" s="31">
        <f>IF($AD36="Z",SUM($AR$5:$AR$404),IF($AD36="D",INDEX($AR$5:$AR$404,$AC36),IF($AD36="T",SUMIF($X$5:$X$404,$AF36,$AR$5:$AR$404),IF($AD36="B",SUMIF($AN$5:$AN$404,$AQ36,$AR$5:$AR$404),""))))</f>
        <v/>
      </c>
      <c r="F36" s="32">
        <f>IF($AD36="Z",ROUND(SUM($AS$5:$AS$404),2),IF($AD36="D",INDEX($AS$5:$AS$404,$AC36),IF($AD36="T",ROUND(SUMIF($X$5:$X$404,$AF36,$AS$5:$AS$404),2),IF($AD36="B",ROUND(SUMIF($AN$5:$AN$404,$AQ36,$AS$5:$AS$404),2),""))))</f>
        <v/>
      </c>
      <c r="G36" s="32">
        <f>IF($AD36&lt;&gt;"D","",INDEX($AT$5:$AT$404,$AC36))</f>
        <v/>
      </c>
      <c r="H36" s="32">
        <f>IF($AD36&lt;&gt;"D","",INDEX($BC$5:$BC$404,$AC36))</f>
        <v/>
      </c>
      <c r="I36" s="32">
        <f>IF($AD36&lt;&gt;"D","",INDEX($BD$5:$BD$404,$AC36))</f>
        <v/>
      </c>
      <c r="J36" s="46">
        <f>IF($AD36&lt;&gt;"D","",IF(N($B36)=0,"",ROUND($I36/$B36,4)))</f>
        <v/>
      </c>
      <c r="K36" s="32">
        <f>IF($AD36="Z",ROUND(SUM($AU$5:$AU$404),2),IF($AD36="D",INDEX($AU$5:$AU$404,$AC36),IF($AD36="T",ROUND(SUMIF($X$5:$X$404,$AF36,$AU$5:$AU$404),2),IF($AD36="B",ROUND(SUMIF($AN$5:$AN$404,$AQ36,$AU$5:$AU$404),2),""))))</f>
        <v/>
      </c>
      <c r="L36" s="32">
        <f>IF($AD36="Z",ROUND(SUM($AV$5:$AV$404),2),IF($AD36="D",INDEX($AV$5:$AV$404,$AC36),IF($AD36="T",ROUND(SUMIF($X$5:$X$404,$AF36,$AV$5:$AV$404),2),IF($AD36="B",ROUND(SUMIF($AN$5:$AN$404,$AQ36,$AV$5:$AV$404),2),""))))</f>
        <v/>
      </c>
      <c r="M36" s="32">
        <f>IF($AD36="Z",ROUND(SUM($AJ$5:$AJ$704),2),IF($AD36="B",ROUND(SUMIF($AQ$5:$AQ$704,$AQ36,$AJ$5:$AJ$704),2),IF($AD36&lt;&gt;"T","",$AJ36)))</f>
        <v/>
      </c>
      <c r="N36" s="32">
        <f>IF(OR($AD36="D",$AD36="T",$AD36="B",$AD36="Z"),ROUND(N($K36)-N($L36)-N($M36),2),"")</f>
        <v/>
      </c>
      <c r="O36" s="32">
        <f>IF(OR($AD36="D",$AD36="T",$AD36="B",$AD36="Z"),IF(N($E36)=0,"",ROUND($F36/$E36,2)),"")</f>
        <v/>
      </c>
      <c r="Q36">
        <f>IFERROR(MATCH(32,บันทึกรายเที่ยว!$Z$6:$Z$6005,0),"")</f>
        <v/>
      </c>
      <c r="R36">
        <f>IF($Q36="","",INDEX(บันทึกรายเที่ยว!$V$6:$V$6005,$Q36))</f>
        <v/>
      </c>
      <c r="S36">
        <f>IF($Q36="","",INDEX(บันทึกรายเที่ยว!$F$6:$F$6005,$Q36))</f>
        <v/>
      </c>
      <c r="T36">
        <f>IF($Q36="","",MATCH($S36,บันทึกรายเที่ยว!$F$6:$F$6005,0))</f>
        <v/>
      </c>
      <c r="U36">
        <f>IF($Q36="","",$AL36*10000000+$T36*1000+32)</f>
        <v/>
      </c>
      <c r="V36">
        <f>IFERROR(MATCH(SMALL($U$5:$U$404,32),$U$5:$U$404,0),"")</f>
        <v/>
      </c>
      <c r="W36">
        <f>IF($V36="","",INDEX($Q$5:$Q$404,$V36))</f>
        <v/>
      </c>
      <c r="X36">
        <f>IF($V36="","",INDEX($S$5:$S$404,$V36))</f>
        <v/>
      </c>
      <c r="Y36">
        <f>IF($V36="","",INDEX($R$5:$R$404,$V36))</f>
        <v/>
      </c>
      <c r="Z36">
        <f>IF($V36="",0,IF($X36&lt;&gt;$X35,1,0))</f>
        <v/>
      </c>
      <c r="AA36">
        <f>IF($V36="",0,IF($V37="",1,IF($X37&lt;&gt;$X36,1,0)))</f>
        <v/>
      </c>
      <c r="AB36">
        <f>IF($V36="",99999+32,$AB35+1+$Z35+$AA35+$AO35)</f>
        <v/>
      </c>
      <c r="AC36">
        <f>IFERROR(MATCH(32,$AB$5:$AB$404,1),"")</f>
        <v/>
      </c>
      <c r="AD36">
        <f>IF(32=$AI$1+1,"Z",IF($AC36="","",IF(INDEX($V$5:$V$404,$AC36)="","",IF(32&gt;INDEX($AB$5:$AB$404,$AC36)+INDEX($Z$5:$Z$404,$AC36)+INDEX($AA$5:$AA$404,$AC36)+INDEX($AO$5:$AO$404,$AC36),"",IF(32=INDEX($AB$5:$AB$404,$AC36)+INDEX($Z$5:$Z$404,$AC36),"D",IF(AND(INDEX($Z$5:$Z$404,$AC36)=1,32=INDEX($AB$5:$AB$404,$AC36)),"H",IF(AND(INDEX($AO$5:$AO$404,$AC36)=1,32=INDEX($AB$5:$AB$404,$AC36)+INDEX($Z$5:$Z$404,$AC36)+INDEX($AA$5:$AA$404,$AC36)+INDEX($AO$5:$AO$404,$AC36)),"B","T")))))))</f>
        <v/>
      </c>
      <c r="AF36">
        <f>IF(OR($AD36="",$AD36="Z",$AD36="B"),"",INDEX($X$5:$X$404,$AC36))</f>
        <v/>
      </c>
      <c r="AJ36">
        <f>IF($AD36&lt;&gt;"T",0,ROUND(SUMIF(oil!$B$4:$B$63,$AF36,oil!$AE$4:$AE$63),2))</f>
        <v/>
      </c>
      <c r="AK36">
        <f>IF($S36="","",IFERROR(INDEX(อัตราค่าขนส่ง!$P$5:$P$54,MATCH($S36,อัตราค่าขนส่ง!$O$5:$O$54,0)),INDEX(รายการมาตรฐาน!$G$2:$G$3,1)))</f>
        <v/>
      </c>
      <c r="AL36">
        <f>IF($S36="","",IFERROR(MATCH($AK36,รายการมาตรฐาน!$G$2:$G$3,0),1))</f>
        <v/>
      </c>
      <c r="AM36">
        <f>IF($V36="","",INDEX($AK$5:$AK$404,$V36))</f>
        <v/>
      </c>
      <c r="AN36">
        <f>IF($V36="","",INDEX($AL$5:$AL$404,$V36))</f>
        <v/>
      </c>
      <c r="AO36">
        <f>IF(OR($V36="",$AI$2&lt;=1),0,IF($V37="",1,IF($AN37&lt;&gt;$AN36,1,0)))</f>
        <v/>
      </c>
      <c r="AP36">
        <f>IF($V36="",0,IF($AN36&lt;&gt;$AN35,1,0))</f>
        <v/>
      </c>
      <c r="AQ36">
        <f>IF(OR($AD36="",$AD36="Z"),"",INDEX($AN$5:$AN$404,$AC36))</f>
        <v/>
      </c>
      <c r="AR36">
        <f>IF($Y36="",0,COUNTIF(บันทึกรายเที่ยว!$V$6:$V$6005,$Y36))</f>
        <v/>
      </c>
      <c r="AS36">
        <f>IF($Y36="",0,ROUND(SUMIF(บันทึกรายเที่ยว!$V$6:$V$6005,$Y36,บันทึกรายเที่ยว!$M$6:$M$6005),2))</f>
        <v/>
      </c>
      <c r="AT36">
        <f>IF($Y36="",0,IFERROR(INDEX(อัตราค่าขนส่ง!$G$5:$G$204,MATCH($Y36,อัตราค่าขนส่ง!$M$5:$M$204,0)),0))</f>
        <v/>
      </c>
      <c r="AU36">
        <f>ROUND($AS36*$BD36,2)</f>
        <v/>
      </c>
      <c r="AV36">
        <f>ROUND($AU36*$BF$2/100,2)</f>
        <v/>
      </c>
      <c r="AW36">
        <f>IF($Y36="","",IFERROR(INDEX(อัตราค่าขนส่ง!$F$5:$F$204,MATCH($Y36,อัตราค่าขนส่ง!$M$5:$M$204,0)),""))</f>
        <v/>
      </c>
      <c r="AX36">
        <f>IF($W36="","",INDEX(บันทึกรายเที่ยว!$D$6:$D$6005,$W36))</f>
        <v/>
      </c>
      <c r="AY36">
        <f>IF($W36="","",INDEX(บันทึกรายเที่ยว!$R$6:$R$6005,$W36))</f>
        <v/>
      </c>
      <c r="AZ36">
        <f>IF(AND($AD36="T",$AQ36=1),N($AZ35)+1,N($AZ35))</f>
        <v/>
      </c>
      <c r="BA36">
        <f>IF($W36="","",INDEX(บันทึกรายเที่ยว!$E$6:$E$6005,$W36))</f>
        <v/>
      </c>
      <c r="BC36">
        <f>IF($Y36="",0,IFERROR(INDEX(อัตราค่าขนส่ง!$K$5:$K$204,MATCH($Y36,อัตราค่าขนส่ง!$M$5:$M$204,0)),0))</f>
        <v/>
      </c>
      <c r="BD36">
        <f>IF($Y36="",0,IFERROR(INDEX(อัตราค่าขนส่ง!$L$5:$L$204,MATCH($Y36,อัตราค่าขนส่ง!$M$5:$M$204,0)),0))</f>
        <v/>
      </c>
    </row>
    <row r="37" ht="21" customHeight="1" s="66">
      <c r="A37" s="69">
        <f>IF($AD37="","",IF($AD37="Z","รวมจ่ายทั้งสิ้น",IF($AD37="H",INDEX($X$5:$X$404,$AC37),IF($AD37="T","รวม",IF($AD37="B",IFERROR(INDEX(อัตราค่าขนส่ง!$S$5:$S$14,MATCH(INDEX($AM$5:$AM$404,$AC37),อัตราค่าขนส่ง!$R$5:$R$14,0)),"รวมกลุ่ม "&amp;INDEX($AM$5:$AM$404,$AC37)),INDEX($AY$5:$AY$404,$AC37))))))</f>
        <v/>
      </c>
      <c r="B37" s="31">
        <f>IF($AD37&lt;&gt;"D","",INDEX($AW$5:$AW$404,$AC37))</f>
        <v/>
      </c>
      <c r="C37" s="68">
        <f>IF($AD37&lt;&gt;"D","",INDEX($AX$5:$AX$404,$AC37))</f>
        <v/>
      </c>
      <c r="D37" s="70">
        <f>IF($AD37&lt;&gt;"D","",INDEX($BA$5:$BA$404,$AC37))</f>
        <v/>
      </c>
      <c r="E37" s="31">
        <f>IF($AD37="Z",SUM($AR$5:$AR$404),IF($AD37="D",INDEX($AR$5:$AR$404,$AC37),IF($AD37="T",SUMIF($X$5:$X$404,$AF37,$AR$5:$AR$404),IF($AD37="B",SUMIF($AN$5:$AN$404,$AQ37,$AR$5:$AR$404),""))))</f>
        <v/>
      </c>
      <c r="F37" s="32">
        <f>IF($AD37="Z",ROUND(SUM($AS$5:$AS$404),2),IF($AD37="D",INDEX($AS$5:$AS$404,$AC37),IF($AD37="T",ROUND(SUMIF($X$5:$X$404,$AF37,$AS$5:$AS$404),2),IF($AD37="B",ROUND(SUMIF($AN$5:$AN$404,$AQ37,$AS$5:$AS$404),2),""))))</f>
        <v/>
      </c>
      <c r="G37" s="32">
        <f>IF($AD37&lt;&gt;"D","",INDEX($AT$5:$AT$404,$AC37))</f>
        <v/>
      </c>
      <c r="H37" s="32">
        <f>IF($AD37&lt;&gt;"D","",INDEX($BC$5:$BC$404,$AC37))</f>
        <v/>
      </c>
      <c r="I37" s="32">
        <f>IF($AD37&lt;&gt;"D","",INDEX($BD$5:$BD$404,$AC37))</f>
        <v/>
      </c>
      <c r="J37" s="46">
        <f>IF($AD37&lt;&gt;"D","",IF(N($B37)=0,"",ROUND($I37/$B37,4)))</f>
        <v/>
      </c>
      <c r="K37" s="32">
        <f>IF($AD37="Z",ROUND(SUM($AU$5:$AU$404),2),IF($AD37="D",INDEX($AU$5:$AU$404,$AC37),IF($AD37="T",ROUND(SUMIF($X$5:$X$404,$AF37,$AU$5:$AU$404),2),IF($AD37="B",ROUND(SUMIF($AN$5:$AN$404,$AQ37,$AU$5:$AU$404),2),""))))</f>
        <v/>
      </c>
      <c r="L37" s="32">
        <f>IF($AD37="Z",ROUND(SUM($AV$5:$AV$404),2),IF($AD37="D",INDEX($AV$5:$AV$404,$AC37),IF($AD37="T",ROUND(SUMIF($X$5:$X$404,$AF37,$AV$5:$AV$404),2),IF($AD37="B",ROUND(SUMIF($AN$5:$AN$404,$AQ37,$AV$5:$AV$404),2),""))))</f>
        <v/>
      </c>
      <c r="M37" s="32">
        <f>IF($AD37="Z",ROUND(SUM($AJ$5:$AJ$704),2),IF($AD37="B",ROUND(SUMIF($AQ$5:$AQ$704,$AQ37,$AJ$5:$AJ$704),2),IF($AD37&lt;&gt;"T","",$AJ37)))</f>
        <v/>
      </c>
      <c r="N37" s="32">
        <f>IF(OR($AD37="D",$AD37="T",$AD37="B",$AD37="Z"),ROUND(N($K37)-N($L37)-N($M37),2),"")</f>
        <v/>
      </c>
      <c r="O37" s="32">
        <f>IF(OR($AD37="D",$AD37="T",$AD37="B",$AD37="Z"),IF(N($E37)=0,"",ROUND($F37/$E37,2)),"")</f>
        <v/>
      </c>
      <c r="Q37">
        <f>IFERROR(MATCH(33,บันทึกรายเที่ยว!$Z$6:$Z$6005,0),"")</f>
        <v/>
      </c>
      <c r="R37">
        <f>IF($Q37="","",INDEX(บันทึกรายเที่ยว!$V$6:$V$6005,$Q37))</f>
        <v/>
      </c>
      <c r="S37">
        <f>IF($Q37="","",INDEX(บันทึกรายเที่ยว!$F$6:$F$6005,$Q37))</f>
        <v/>
      </c>
      <c r="T37">
        <f>IF($Q37="","",MATCH($S37,บันทึกรายเที่ยว!$F$6:$F$6005,0))</f>
        <v/>
      </c>
      <c r="U37">
        <f>IF($Q37="","",$AL37*10000000+$T37*1000+33)</f>
        <v/>
      </c>
      <c r="V37">
        <f>IFERROR(MATCH(SMALL($U$5:$U$404,33),$U$5:$U$404,0),"")</f>
        <v/>
      </c>
      <c r="W37">
        <f>IF($V37="","",INDEX($Q$5:$Q$404,$V37))</f>
        <v/>
      </c>
      <c r="X37">
        <f>IF($V37="","",INDEX($S$5:$S$404,$V37))</f>
        <v/>
      </c>
      <c r="Y37">
        <f>IF($V37="","",INDEX($R$5:$R$404,$V37))</f>
        <v/>
      </c>
      <c r="Z37">
        <f>IF($V37="",0,IF($X37&lt;&gt;$X36,1,0))</f>
        <v/>
      </c>
      <c r="AA37">
        <f>IF($V37="",0,IF($V38="",1,IF($X38&lt;&gt;$X37,1,0)))</f>
        <v/>
      </c>
      <c r="AB37">
        <f>IF($V37="",99999+33,$AB36+1+$Z36+$AA36+$AO36)</f>
        <v/>
      </c>
      <c r="AC37">
        <f>IFERROR(MATCH(33,$AB$5:$AB$404,1),"")</f>
        <v/>
      </c>
      <c r="AD37">
        <f>IF(33=$AI$1+1,"Z",IF($AC37="","",IF(INDEX($V$5:$V$404,$AC37)="","",IF(33&gt;INDEX($AB$5:$AB$404,$AC37)+INDEX($Z$5:$Z$404,$AC37)+INDEX($AA$5:$AA$404,$AC37)+INDEX($AO$5:$AO$404,$AC37),"",IF(33=INDEX($AB$5:$AB$404,$AC37)+INDEX($Z$5:$Z$404,$AC37),"D",IF(AND(INDEX($Z$5:$Z$404,$AC37)=1,33=INDEX($AB$5:$AB$404,$AC37)),"H",IF(AND(INDEX($AO$5:$AO$404,$AC37)=1,33=INDEX($AB$5:$AB$404,$AC37)+INDEX($Z$5:$Z$404,$AC37)+INDEX($AA$5:$AA$404,$AC37)+INDEX($AO$5:$AO$404,$AC37)),"B","T")))))))</f>
        <v/>
      </c>
      <c r="AF37">
        <f>IF(OR($AD37="",$AD37="Z",$AD37="B"),"",INDEX($X$5:$X$404,$AC37))</f>
        <v/>
      </c>
      <c r="AJ37">
        <f>IF($AD37&lt;&gt;"T",0,ROUND(SUMIF(oil!$B$4:$B$63,$AF37,oil!$AE$4:$AE$63),2))</f>
        <v/>
      </c>
      <c r="AK37">
        <f>IF($S37="","",IFERROR(INDEX(อัตราค่าขนส่ง!$P$5:$P$54,MATCH($S37,อัตราค่าขนส่ง!$O$5:$O$54,0)),INDEX(รายการมาตรฐาน!$G$2:$G$3,1)))</f>
        <v/>
      </c>
      <c r="AL37">
        <f>IF($S37="","",IFERROR(MATCH($AK37,รายการมาตรฐาน!$G$2:$G$3,0),1))</f>
        <v/>
      </c>
      <c r="AM37">
        <f>IF($V37="","",INDEX($AK$5:$AK$404,$V37))</f>
        <v/>
      </c>
      <c r="AN37">
        <f>IF($V37="","",INDEX($AL$5:$AL$404,$V37))</f>
        <v/>
      </c>
      <c r="AO37">
        <f>IF(OR($V37="",$AI$2&lt;=1),0,IF($V38="",1,IF($AN38&lt;&gt;$AN37,1,0)))</f>
        <v/>
      </c>
      <c r="AP37">
        <f>IF($V37="",0,IF($AN37&lt;&gt;$AN36,1,0))</f>
        <v/>
      </c>
      <c r="AQ37">
        <f>IF(OR($AD37="",$AD37="Z"),"",INDEX($AN$5:$AN$404,$AC37))</f>
        <v/>
      </c>
      <c r="AR37">
        <f>IF($Y37="",0,COUNTIF(บันทึกรายเที่ยว!$V$6:$V$6005,$Y37))</f>
        <v/>
      </c>
      <c r="AS37">
        <f>IF($Y37="",0,ROUND(SUMIF(บันทึกรายเที่ยว!$V$6:$V$6005,$Y37,บันทึกรายเที่ยว!$M$6:$M$6005),2))</f>
        <v/>
      </c>
      <c r="AT37">
        <f>IF($Y37="",0,IFERROR(INDEX(อัตราค่าขนส่ง!$G$5:$G$204,MATCH($Y37,อัตราค่าขนส่ง!$M$5:$M$204,0)),0))</f>
        <v/>
      </c>
      <c r="AU37">
        <f>ROUND($AS37*$BD37,2)</f>
        <v/>
      </c>
      <c r="AV37">
        <f>ROUND($AU37*$BF$2/100,2)</f>
        <v/>
      </c>
      <c r="AW37">
        <f>IF($Y37="","",IFERROR(INDEX(อัตราค่าขนส่ง!$F$5:$F$204,MATCH($Y37,อัตราค่าขนส่ง!$M$5:$M$204,0)),""))</f>
        <v/>
      </c>
      <c r="AX37">
        <f>IF($W37="","",INDEX(บันทึกรายเที่ยว!$D$6:$D$6005,$W37))</f>
        <v/>
      </c>
      <c r="AY37">
        <f>IF($W37="","",INDEX(บันทึกรายเที่ยว!$R$6:$R$6005,$W37))</f>
        <v/>
      </c>
      <c r="AZ37">
        <f>IF(AND($AD37="T",$AQ37=1),N($AZ36)+1,N($AZ36))</f>
        <v/>
      </c>
      <c r="BA37">
        <f>IF($W37="","",INDEX(บันทึกรายเที่ยว!$E$6:$E$6005,$W37))</f>
        <v/>
      </c>
      <c r="BC37">
        <f>IF($Y37="",0,IFERROR(INDEX(อัตราค่าขนส่ง!$K$5:$K$204,MATCH($Y37,อัตราค่าขนส่ง!$M$5:$M$204,0)),0))</f>
        <v/>
      </c>
      <c r="BD37">
        <f>IF($Y37="",0,IFERROR(INDEX(อัตราค่าขนส่ง!$L$5:$L$204,MATCH($Y37,อัตราค่าขนส่ง!$M$5:$M$204,0)),0))</f>
        <v/>
      </c>
    </row>
    <row r="38" ht="21" customHeight="1" s="66">
      <c r="A38" s="69">
        <f>IF($AD38="","",IF($AD38="Z","รวมจ่ายทั้งสิ้น",IF($AD38="H",INDEX($X$5:$X$404,$AC38),IF($AD38="T","รวม",IF($AD38="B",IFERROR(INDEX(อัตราค่าขนส่ง!$S$5:$S$14,MATCH(INDEX($AM$5:$AM$404,$AC38),อัตราค่าขนส่ง!$R$5:$R$14,0)),"รวมกลุ่ม "&amp;INDEX($AM$5:$AM$404,$AC38)),INDEX($AY$5:$AY$404,$AC38))))))</f>
        <v/>
      </c>
      <c r="B38" s="31">
        <f>IF($AD38&lt;&gt;"D","",INDEX($AW$5:$AW$404,$AC38))</f>
        <v/>
      </c>
      <c r="C38" s="68">
        <f>IF($AD38&lt;&gt;"D","",INDEX($AX$5:$AX$404,$AC38))</f>
        <v/>
      </c>
      <c r="D38" s="70">
        <f>IF($AD38&lt;&gt;"D","",INDEX($BA$5:$BA$404,$AC38))</f>
        <v/>
      </c>
      <c r="E38" s="31">
        <f>IF($AD38="Z",SUM($AR$5:$AR$404),IF($AD38="D",INDEX($AR$5:$AR$404,$AC38),IF($AD38="T",SUMIF($X$5:$X$404,$AF38,$AR$5:$AR$404),IF($AD38="B",SUMIF($AN$5:$AN$404,$AQ38,$AR$5:$AR$404),""))))</f>
        <v/>
      </c>
      <c r="F38" s="32">
        <f>IF($AD38="Z",ROUND(SUM($AS$5:$AS$404),2),IF($AD38="D",INDEX($AS$5:$AS$404,$AC38),IF($AD38="T",ROUND(SUMIF($X$5:$X$404,$AF38,$AS$5:$AS$404),2),IF($AD38="B",ROUND(SUMIF($AN$5:$AN$404,$AQ38,$AS$5:$AS$404),2),""))))</f>
        <v/>
      </c>
      <c r="G38" s="32">
        <f>IF($AD38&lt;&gt;"D","",INDEX($AT$5:$AT$404,$AC38))</f>
        <v/>
      </c>
      <c r="H38" s="32">
        <f>IF($AD38&lt;&gt;"D","",INDEX($BC$5:$BC$404,$AC38))</f>
        <v/>
      </c>
      <c r="I38" s="32">
        <f>IF($AD38&lt;&gt;"D","",INDEX($BD$5:$BD$404,$AC38))</f>
        <v/>
      </c>
      <c r="J38" s="46">
        <f>IF($AD38&lt;&gt;"D","",IF(N($B38)=0,"",ROUND($I38/$B38,4)))</f>
        <v/>
      </c>
      <c r="K38" s="32">
        <f>IF($AD38="Z",ROUND(SUM($AU$5:$AU$404),2),IF($AD38="D",INDEX($AU$5:$AU$404,$AC38),IF($AD38="T",ROUND(SUMIF($X$5:$X$404,$AF38,$AU$5:$AU$404),2),IF($AD38="B",ROUND(SUMIF($AN$5:$AN$404,$AQ38,$AU$5:$AU$404),2),""))))</f>
        <v/>
      </c>
      <c r="L38" s="32">
        <f>IF($AD38="Z",ROUND(SUM($AV$5:$AV$404),2),IF($AD38="D",INDEX($AV$5:$AV$404,$AC38),IF($AD38="T",ROUND(SUMIF($X$5:$X$404,$AF38,$AV$5:$AV$404),2),IF($AD38="B",ROUND(SUMIF($AN$5:$AN$404,$AQ38,$AV$5:$AV$404),2),""))))</f>
        <v/>
      </c>
      <c r="M38" s="32">
        <f>IF($AD38="Z",ROUND(SUM($AJ$5:$AJ$704),2),IF($AD38="B",ROUND(SUMIF($AQ$5:$AQ$704,$AQ38,$AJ$5:$AJ$704),2),IF($AD38&lt;&gt;"T","",$AJ38)))</f>
        <v/>
      </c>
      <c r="N38" s="32">
        <f>IF(OR($AD38="D",$AD38="T",$AD38="B",$AD38="Z"),ROUND(N($K38)-N($L38)-N($M38),2),"")</f>
        <v/>
      </c>
      <c r="O38" s="32">
        <f>IF(OR($AD38="D",$AD38="T",$AD38="B",$AD38="Z"),IF(N($E38)=0,"",ROUND($F38/$E38,2)),"")</f>
        <v/>
      </c>
      <c r="Q38">
        <f>IFERROR(MATCH(34,บันทึกรายเที่ยว!$Z$6:$Z$6005,0),"")</f>
        <v/>
      </c>
      <c r="R38">
        <f>IF($Q38="","",INDEX(บันทึกรายเที่ยว!$V$6:$V$6005,$Q38))</f>
        <v/>
      </c>
      <c r="S38">
        <f>IF($Q38="","",INDEX(บันทึกรายเที่ยว!$F$6:$F$6005,$Q38))</f>
        <v/>
      </c>
      <c r="T38">
        <f>IF($Q38="","",MATCH($S38,บันทึกรายเที่ยว!$F$6:$F$6005,0))</f>
        <v/>
      </c>
      <c r="U38">
        <f>IF($Q38="","",$AL38*10000000+$T38*1000+34)</f>
        <v/>
      </c>
      <c r="V38">
        <f>IFERROR(MATCH(SMALL($U$5:$U$404,34),$U$5:$U$404,0),"")</f>
        <v/>
      </c>
      <c r="W38">
        <f>IF($V38="","",INDEX($Q$5:$Q$404,$V38))</f>
        <v/>
      </c>
      <c r="X38">
        <f>IF($V38="","",INDEX($S$5:$S$404,$V38))</f>
        <v/>
      </c>
      <c r="Y38">
        <f>IF($V38="","",INDEX($R$5:$R$404,$V38))</f>
        <v/>
      </c>
      <c r="Z38">
        <f>IF($V38="",0,IF($X38&lt;&gt;$X37,1,0))</f>
        <v/>
      </c>
      <c r="AA38">
        <f>IF($V38="",0,IF($V39="",1,IF($X39&lt;&gt;$X38,1,0)))</f>
        <v/>
      </c>
      <c r="AB38">
        <f>IF($V38="",99999+34,$AB37+1+$Z37+$AA37+$AO37)</f>
        <v/>
      </c>
      <c r="AC38">
        <f>IFERROR(MATCH(34,$AB$5:$AB$404,1),"")</f>
        <v/>
      </c>
      <c r="AD38">
        <f>IF(34=$AI$1+1,"Z",IF($AC38="","",IF(INDEX($V$5:$V$404,$AC38)="","",IF(34&gt;INDEX($AB$5:$AB$404,$AC38)+INDEX($Z$5:$Z$404,$AC38)+INDEX($AA$5:$AA$404,$AC38)+INDEX($AO$5:$AO$404,$AC38),"",IF(34=INDEX($AB$5:$AB$404,$AC38)+INDEX($Z$5:$Z$404,$AC38),"D",IF(AND(INDEX($Z$5:$Z$404,$AC38)=1,34=INDEX($AB$5:$AB$404,$AC38)),"H",IF(AND(INDEX($AO$5:$AO$404,$AC38)=1,34=INDEX($AB$5:$AB$404,$AC38)+INDEX($Z$5:$Z$404,$AC38)+INDEX($AA$5:$AA$404,$AC38)+INDEX($AO$5:$AO$404,$AC38)),"B","T")))))))</f>
        <v/>
      </c>
      <c r="AF38">
        <f>IF(OR($AD38="",$AD38="Z",$AD38="B"),"",INDEX($X$5:$X$404,$AC38))</f>
        <v/>
      </c>
      <c r="AJ38">
        <f>IF($AD38&lt;&gt;"T",0,ROUND(SUMIF(oil!$B$4:$B$63,$AF38,oil!$AE$4:$AE$63),2))</f>
        <v/>
      </c>
      <c r="AK38">
        <f>IF($S38="","",IFERROR(INDEX(อัตราค่าขนส่ง!$P$5:$P$54,MATCH($S38,อัตราค่าขนส่ง!$O$5:$O$54,0)),INDEX(รายการมาตรฐาน!$G$2:$G$3,1)))</f>
        <v/>
      </c>
      <c r="AL38">
        <f>IF($S38="","",IFERROR(MATCH($AK38,รายการมาตรฐาน!$G$2:$G$3,0),1))</f>
        <v/>
      </c>
      <c r="AM38">
        <f>IF($V38="","",INDEX($AK$5:$AK$404,$V38))</f>
        <v/>
      </c>
      <c r="AN38">
        <f>IF($V38="","",INDEX($AL$5:$AL$404,$V38))</f>
        <v/>
      </c>
      <c r="AO38">
        <f>IF(OR($V38="",$AI$2&lt;=1),0,IF($V39="",1,IF($AN39&lt;&gt;$AN38,1,0)))</f>
        <v/>
      </c>
      <c r="AP38">
        <f>IF($V38="",0,IF($AN38&lt;&gt;$AN37,1,0))</f>
        <v/>
      </c>
      <c r="AQ38">
        <f>IF(OR($AD38="",$AD38="Z"),"",INDEX($AN$5:$AN$404,$AC38))</f>
        <v/>
      </c>
      <c r="AR38">
        <f>IF($Y38="",0,COUNTIF(บันทึกรายเที่ยว!$V$6:$V$6005,$Y38))</f>
        <v/>
      </c>
      <c r="AS38">
        <f>IF($Y38="",0,ROUND(SUMIF(บันทึกรายเที่ยว!$V$6:$V$6005,$Y38,บันทึกรายเที่ยว!$M$6:$M$6005),2))</f>
        <v/>
      </c>
      <c r="AT38">
        <f>IF($Y38="",0,IFERROR(INDEX(อัตราค่าขนส่ง!$G$5:$G$204,MATCH($Y38,อัตราค่าขนส่ง!$M$5:$M$204,0)),0))</f>
        <v/>
      </c>
      <c r="AU38">
        <f>ROUND($AS38*$BD38,2)</f>
        <v/>
      </c>
      <c r="AV38">
        <f>ROUND($AU38*$BF$2/100,2)</f>
        <v/>
      </c>
      <c r="AW38">
        <f>IF($Y38="","",IFERROR(INDEX(อัตราค่าขนส่ง!$F$5:$F$204,MATCH($Y38,อัตราค่าขนส่ง!$M$5:$M$204,0)),""))</f>
        <v/>
      </c>
      <c r="AX38">
        <f>IF($W38="","",INDEX(บันทึกรายเที่ยว!$D$6:$D$6005,$W38))</f>
        <v/>
      </c>
      <c r="AY38">
        <f>IF($W38="","",INDEX(บันทึกรายเที่ยว!$R$6:$R$6005,$W38))</f>
        <v/>
      </c>
      <c r="AZ38">
        <f>IF(AND($AD38="T",$AQ38=1),N($AZ37)+1,N($AZ37))</f>
        <v/>
      </c>
      <c r="BA38">
        <f>IF($W38="","",INDEX(บันทึกรายเที่ยว!$E$6:$E$6005,$W38))</f>
        <v/>
      </c>
      <c r="BC38">
        <f>IF($Y38="",0,IFERROR(INDEX(อัตราค่าขนส่ง!$K$5:$K$204,MATCH($Y38,อัตราค่าขนส่ง!$M$5:$M$204,0)),0))</f>
        <v/>
      </c>
      <c r="BD38">
        <f>IF($Y38="",0,IFERROR(INDEX(อัตราค่าขนส่ง!$L$5:$L$204,MATCH($Y38,อัตราค่าขนส่ง!$M$5:$M$204,0)),0))</f>
        <v/>
      </c>
    </row>
    <row r="39" ht="21" customHeight="1" s="66">
      <c r="A39" s="69">
        <f>IF($AD39="","",IF($AD39="Z","รวมจ่ายทั้งสิ้น",IF($AD39="H",INDEX($X$5:$X$404,$AC39),IF($AD39="T","รวม",IF($AD39="B",IFERROR(INDEX(อัตราค่าขนส่ง!$S$5:$S$14,MATCH(INDEX($AM$5:$AM$404,$AC39),อัตราค่าขนส่ง!$R$5:$R$14,0)),"รวมกลุ่ม "&amp;INDEX($AM$5:$AM$404,$AC39)),INDEX($AY$5:$AY$404,$AC39))))))</f>
        <v/>
      </c>
      <c r="B39" s="31">
        <f>IF($AD39&lt;&gt;"D","",INDEX($AW$5:$AW$404,$AC39))</f>
        <v/>
      </c>
      <c r="C39" s="68">
        <f>IF($AD39&lt;&gt;"D","",INDEX($AX$5:$AX$404,$AC39))</f>
        <v/>
      </c>
      <c r="D39" s="70">
        <f>IF($AD39&lt;&gt;"D","",INDEX($BA$5:$BA$404,$AC39))</f>
        <v/>
      </c>
      <c r="E39" s="31">
        <f>IF($AD39="Z",SUM($AR$5:$AR$404),IF($AD39="D",INDEX($AR$5:$AR$404,$AC39),IF($AD39="T",SUMIF($X$5:$X$404,$AF39,$AR$5:$AR$404),IF($AD39="B",SUMIF($AN$5:$AN$404,$AQ39,$AR$5:$AR$404),""))))</f>
        <v/>
      </c>
      <c r="F39" s="32">
        <f>IF($AD39="Z",ROUND(SUM($AS$5:$AS$404),2),IF($AD39="D",INDEX($AS$5:$AS$404,$AC39),IF($AD39="T",ROUND(SUMIF($X$5:$X$404,$AF39,$AS$5:$AS$404),2),IF($AD39="B",ROUND(SUMIF($AN$5:$AN$404,$AQ39,$AS$5:$AS$404),2),""))))</f>
        <v/>
      </c>
      <c r="G39" s="32">
        <f>IF($AD39&lt;&gt;"D","",INDEX($AT$5:$AT$404,$AC39))</f>
        <v/>
      </c>
      <c r="H39" s="32">
        <f>IF($AD39&lt;&gt;"D","",INDEX($BC$5:$BC$404,$AC39))</f>
        <v/>
      </c>
      <c r="I39" s="32">
        <f>IF($AD39&lt;&gt;"D","",INDEX($BD$5:$BD$404,$AC39))</f>
        <v/>
      </c>
      <c r="J39" s="46">
        <f>IF($AD39&lt;&gt;"D","",IF(N($B39)=0,"",ROUND($I39/$B39,4)))</f>
        <v/>
      </c>
      <c r="K39" s="32">
        <f>IF($AD39="Z",ROUND(SUM($AU$5:$AU$404),2),IF($AD39="D",INDEX($AU$5:$AU$404,$AC39),IF($AD39="T",ROUND(SUMIF($X$5:$X$404,$AF39,$AU$5:$AU$404),2),IF($AD39="B",ROUND(SUMIF($AN$5:$AN$404,$AQ39,$AU$5:$AU$404),2),""))))</f>
        <v/>
      </c>
      <c r="L39" s="32">
        <f>IF($AD39="Z",ROUND(SUM($AV$5:$AV$404),2),IF($AD39="D",INDEX($AV$5:$AV$404,$AC39),IF($AD39="T",ROUND(SUMIF($X$5:$X$404,$AF39,$AV$5:$AV$404),2),IF($AD39="B",ROUND(SUMIF($AN$5:$AN$404,$AQ39,$AV$5:$AV$404),2),""))))</f>
        <v/>
      </c>
      <c r="M39" s="32">
        <f>IF($AD39="Z",ROUND(SUM($AJ$5:$AJ$704),2),IF($AD39="B",ROUND(SUMIF($AQ$5:$AQ$704,$AQ39,$AJ$5:$AJ$704),2),IF($AD39&lt;&gt;"T","",$AJ39)))</f>
        <v/>
      </c>
      <c r="N39" s="32">
        <f>IF(OR($AD39="D",$AD39="T",$AD39="B",$AD39="Z"),ROUND(N($K39)-N($L39)-N($M39),2),"")</f>
        <v/>
      </c>
      <c r="O39" s="32">
        <f>IF(OR($AD39="D",$AD39="T",$AD39="B",$AD39="Z"),IF(N($E39)=0,"",ROUND($F39/$E39,2)),"")</f>
        <v/>
      </c>
      <c r="Q39">
        <f>IFERROR(MATCH(35,บันทึกรายเที่ยว!$Z$6:$Z$6005,0),"")</f>
        <v/>
      </c>
      <c r="R39">
        <f>IF($Q39="","",INDEX(บันทึกรายเที่ยว!$V$6:$V$6005,$Q39))</f>
        <v/>
      </c>
      <c r="S39">
        <f>IF($Q39="","",INDEX(บันทึกรายเที่ยว!$F$6:$F$6005,$Q39))</f>
        <v/>
      </c>
      <c r="T39">
        <f>IF($Q39="","",MATCH($S39,บันทึกรายเที่ยว!$F$6:$F$6005,0))</f>
        <v/>
      </c>
      <c r="U39">
        <f>IF($Q39="","",$AL39*10000000+$T39*1000+35)</f>
        <v/>
      </c>
      <c r="V39">
        <f>IFERROR(MATCH(SMALL($U$5:$U$404,35),$U$5:$U$404,0),"")</f>
        <v/>
      </c>
      <c r="W39">
        <f>IF($V39="","",INDEX($Q$5:$Q$404,$V39))</f>
        <v/>
      </c>
      <c r="X39">
        <f>IF($V39="","",INDEX($S$5:$S$404,$V39))</f>
        <v/>
      </c>
      <c r="Y39">
        <f>IF($V39="","",INDEX($R$5:$R$404,$V39))</f>
        <v/>
      </c>
      <c r="Z39">
        <f>IF($V39="",0,IF($X39&lt;&gt;$X38,1,0))</f>
        <v/>
      </c>
      <c r="AA39">
        <f>IF($V39="",0,IF($V40="",1,IF($X40&lt;&gt;$X39,1,0)))</f>
        <v/>
      </c>
      <c r="AB39">
        <f>IF($V39="",99999+35,$AB38+1+$Z38+$AA38+$AO38)</f>
        <v/>
      </c>
      <c r="AC39">
        <f>IFERROR(MATCH(35,$AB$5:$AB$404,1),"")</f>
        <v/>
      </c>
      <c r="AD39">
        <f>IF(35=$AI$1+1,"Z",IF($AC39="","",IF(INDEX($V$5:$V$404,$AC39)="","",IF(35&gt;INDEX($AB$5:$AB$404,$AC39)+INDEX($Z$5:$Z$404,$AC39)+INDEX($AA$5:$AA$404,$AC39)+INDEX($AO$5:$AO$404,$AC39),"",IF(35=INDEX($AB$5:$AB$404,$AC39)+INDEX($Z$5:$Z$404,$AC39),"D",IF(AND(INDEX($Z$5:$Z$404,$AC39)=1,35=INDEX($AB$5:$AB$404,$AC39)),"H",IF(AND(INDEX($AO$5:$AO$404,$AC39)=1,35=INDEX($AB$5:$AB$404,$AC39)+INDEX($Z$5:$Z$404,$AC39)+INDEX($AA$5:$AA$404,$AC39)+INDEX($AO$5:$AO$404,$AC39)),"B","T")))))))</f>
        <v/>
      </c>
      <c r="AF39">
        <f>IF(OR($AD39="",$AD39="Z",$AD39="B"),"",INDEX($X$5:$X$404,$AC39))</f>
        <v/>
      </c>
      <c r="AJ39">
        <f>IF($AD39&lt;&gt;"T",0,ROUND(SUMIF(oil!$B$4:$B$63,$AF39,oil!$AE$4:$AE$63),2))</f>
        <v/>
      </c>
      <c r="AK39">
        <f>IF($S39="","",IFERROR(INDEX(อัตราค่าขนส่ง!$P$5:$P$54,MATCH($S39,อัตราค่าขนส่ง!$O$5:$O$54,0)),INDEX(รายการมาตรฐาน!$G$2:$G$3,1)))</f>
        <v/>
      </c>
      <c r="AL39">
        <f>IF($S39="","",IFERROR(MATCH($AK39,รายการมาตรฐาน!$G$2:$G$3,0),1))</f>
        <v/>
      </c>
      <c r="AM39">
        <f>IF($V39="","",INDEX($AK$5:$AK$404,$V39))</f>
        <v/>
      </c>
      <c r="AN39">
        <f>IF($V39="","",INDEX($AL$5:$AL$404,$V39))</f>
        <v/>
      </c>
      <c r="AO39">
        <f>IF(OR($V39="",$AI$2&lt;=1),0,IF($V40="",1,IF($AN40&lt;&gt;$AN39,1,0)))</f>
        <v/>
      </c>
      <c r="AP39">
        <f>IF($V39="",0,IF($AN39&lt;&gt;$AN38,1,0))</f>
        <v/>
      </c>
      <c r="AQ39">
        <f>IF(OR($AD39="",$AD39="Z"),"",INDEX($AN$5:$AN$404,$AC39))</f>
        <v/>
      </c>
      <c r="AR39">
        <f>IF($Y39="",0,COUNTIF(บันทึกรายเที่ยว!$V$6:$V$6005,$Y39))</f>
        <v/>
      </c>
      <c r="AS39">
        <f>IF($Y39="",0,ROUND(SUMIF(บันทึกรายเที่ยว!$V$6:$V$6005,$Y39,บันทึกรายเที่ยว!$M$6:$M$6005),2))</f>
        <v/>
      </c>
      <c r="AT39">
        <f>IF($Y39="",0,IFERROR(INDEX(อัตราค่าขนส่ง!$G$5:$G$204,MATCH($Y39,อัตราค่าขนส่ง!$M$5:$M$204,0)),0))</f>
        <v/>
      </c>
      <c r="AU39">
        <f>ROUND($AS39*$BD39,2)</f>
        <v/>
      </c>
      <c r="AV39">
        <f>ROUND($AU39*$BF$2/100,2)</f>
        <v/>
      </c>
      <c r="AW39">
        <f>IF($Y39="","",IFERROR(INDEX(อัตราค่าขนส่ง!$F$5:$F$204,MATCH($Y39,อัตราค่าขนส่ง!$M$5:$M$204,0)),""))</f>
        <v/>
      </c>
      <c r="AX39">
        <f>IF($W39="","",INDEX(บันทึกรายเที่ยว!$D$6:$D$6005,$W39))</f>
        <v/>
      </c>
      <c r="AY39">
        <f>IF($W39="","",INDEX(บันทึกรายเที่ยว!$R$6:$R$6005,$W39))</f>
        <v/>
      </c>
      <c r="AZ39">
        <f>IF(AND($AD39="T",$AQ39=1),N($AZ38)+1,N($AZ38))</f>
        <v/>
      </c>
      <c r="BA39">
        <f>IF($W39="","",INDEX(บันทึกรายเที่ยว!$E$6:$E$6005,$W39))</f>
        <v/>
      </c>
      <c r="BC39">
        <f>IF($Y39="",0,IFERROR(INDEX(อัตราค่าขนส่ง!$K$5:$K$204,MATCH($Y39,อัตราค่าขนส่ง!$M$5:$M$204,0)),0))</f>
        <v/>
      </c>
      <c r="BD39">
        <f>IF($Y39="",0,IFERROR(INDEX(อัตราค่าขนส่ง!$L$5:$L$204,MATCH($Y39,อัตราค่าขนส่ง!$M$5:$M$204,0)),0))</f>
        <v/>
      </c>
    </row>
    <row r="40" ht="21" customHeight="1" s="66">
      <c r="A40" s="69">
        <f>IF($AD40="","",IF($AD40="Z","รวมจ่ายทั้งสิ้น",IF($AD40="H",INDEX($X$5:$X$404,$AC40),IF($AD40="T","รวม",IF($AD40="B",IFERROR(INDEX(อัตราค่าขนส่ง!$S$5:$S$14,MATCH(INDEX($AM$5:$AM$404,$AC40),อัตราค่าขนส่ง!$R$5:$R$14,0)),"รวมกลุ่ม "&amp;INDEX($AM$5:$AM$404,$AC40)),INDEX($AY$5:$AY$404,$AC40))))))</f>
        <v/>
      </c>
      <c r="B40" s="31">
        <f>IF($AD40&lt;&gt;"D","",INDEX($AW$5:$AW$404,$AC40))</f>
        <v/>
      </c>
      <c r="C40" s="68">
        <f>IF($AD40&lt;&gt;"D","",INDEX($AX$5:$AX$404,$AC40))</f>
        <v/>
      </c>
      <c r="D40" s="70">
        <f>IF($AD40&lt;&gt;"D","",INDEX($BA$5:$BA$404,$AC40))</f>
        <v/>
      </c>
      <c r="E40" s="31">
        <f>IF($AD40="Z",SUM($AR$5:$AR$404),IF($AD40="D",INDEX($AR$5:$AR$404,$AC40),IF($AD40="T",SUMIF($X$5:$X$404,$AF40,$AR$5:$AR$404),IF($AD40="B",SUMIF($AN$5:$AN$404,$AQ40,$AR$5:$AR$404),""))))</f>
        <v/>
      </c>
      <c r="F40" s="32">
        <f>IF($AD40="Z",ROUND(SUM($AS$5:$AS$404),2),IF($AD40="D",INDEX($AS$5:$AS$404,$AC40),IF($AD40="T",ROUND(SUMIF($X$5:$X$404,$AF40,$AS$5:$AS$404),2),IF($AD40="B",ROUND(SUMIF($AN$5:$AN$404,$AQ40,$AS$5:$AS$404),2),""))))</f>
        <v/>
      </c>
      <c r="G40" s="32">
        <f>IF($AD40&lt;&gt;"D","",INDEX($AT$5:$AT$404,$AC40))</f>
        <v/>
      </c>
      <c r="H40" s="32">
        <f>IF($AD40&lt;&gt;"D","",INDEX($BC$5:$BC$404,$AC40))</f>
        <v/>
      </c>
      <c r="I40" s="32">
        <f>IF($AD40&lt;&gt;"D","",INDEX($BD$5:$BD$404,$AC40))</f>
        <v/>
      </c>
      <c r="J40" s="46">
        <f>IF($AD40&lt;&gt;"D","",IF(N($B40)=0,"",ROUND($I40/$B40,4)))</f>
        <v/>
      </c>
      <c r="K40" s="32">
        <f>IF($AD40="Z",ROUND(SUM($AU$5:$AU$404),2),IF($AD40="D",INDEX($AU$5:$AU$404,$AC40),IF($AD40="T",ROUND(SUMIF($X$5:$X$404,$AF40,$AU$5:$AU$404),2),IF($AD40="B",ROUND(SUMIF($AN$5:$AN$404,$AQ40,$AU$5:$AU$404),2),""))))</f>
        <v/>
      </c>
      <c r="L40" s="32">
        <f>IF($AD40="Z",ROUND(SUM($AV$5:$AV$404),2),IF($AD40="D",INDEX($AV$5:$AV$404,$AC40),IF($AD40="T",ROUND(SUMIF($X$5:$X$404,$AF40,$AV$5:$AV$404),2),IF($AD40="B",ROUND(SUMIF($AN$5:$AN$404,$AQ40,$AV$5:$AV$404),2),""))))</f>
        <v/>
      </c>
      <c r="M40" s="32">
        <f>IF($AD40="Z",ROUND(SUM($AJ$5:$AJ$704),2),IF($AD40="B",ROUND(SUMIF($AQ$5:$AQ$704,$AQ40,$AJ$5:$AJ$704),2),IF($AD40&lt;&gt;"T","",$AJ40)))</f>
        <v/>
      </c>
      <c r="N40" s="32">
        <f>IF(OR($AD40="D",$AD40="T",$AD40="B",$AD40="Z"),ROUND(N($K40)-N($L40)-N($M40),2),"")</f>
        <v/>
      </c>
      <c r="O40" s="32">
        <f>IF(OR($AD40="D",$AD40="T",$AD40="B",$AD40="Z"),IF(N($E40)=0,"",ROUND($F40/$E40,2)),"")</f>
        <v/>
      </c>
      <c r="Q40">
        <f>IFERROR(MATCH(36,บันทึกรายเที่ยว!$Z$6:$Z$6005,0),"")</f>
        <v/>
      </c>
      <c r="R40">
        <f>IF($Q40="","",INDEX(บันทึกรายเที่ยว!$V$6:$V$6005,$Q40))</f>
        <v/>
      </c>
      <c r="S40">
        <f>IF($Q40="","",INDEX(บันทึกรายเที่ยว!$F$6:$F$6005,$Q40))</f>
        <v/>
      </c>
      <c r="T40">
        <f>IF($Q40="","",MATCH($S40,บันทึกรายเที่ยว!$F$6:$F$6005,0))</f>
        <v/>
      </c>
      <c r="U40">
        <f>IF($Q40="","",$AL40*10000000+$T40*1000+36)</f>
        <v/>
      </c>
      <c r="V40">
        <f>IFERROR(MATCH(SMALL($U$5:$U$404,36),$U$5:$U$404,0),"")</f>
        <v/>
      </c>
      <c r="W40">
        <f>IF($V40="","",INDEX($Q$5:$Q$404,$V40))</f>
        <v/>
      </c>
      <c r="X40">
        <f>IF($V40="","",INDEX($S$5:$S$404,$V40))</f>
        <v/>
      </c>
      <c r="Y40">
        <f>IF($V40="","",INDEX($R$5:$R$404,$V40))</f>
        <v/>
      </c>
      <c r="Z40">
        <f>IF($V40="",0,IF($X40&lt;&gt;$X39,1,0))</f>
        <v/>
      </c>
      <c r="AA40">
        <f>IF($V40="",0,IF($V41="",1,IF($X41&lt;&gt;$X40,1,0)))</f>
        <v/>
      </c>
      <c r="AB40">
        <f>IF($V40="",99999+36,$AB39+1+$Z39+$AA39+$AO39)</f>
        <v/>
      </c>
      <c r="AC40">
        <f>IFERROR(MATCH(36,$AB$5:$AB$404,1),"")</f>
        <v/>
      </c>
      <c r="AD40">
        <f>IF(36=$AI$1+1,"Z",IF($AC40="","",IF(INDEX($V$5:$V$404,$AC40)="","",IF(36&gt;INDEX($AB$5:$AB$404,$AC40)+INDEX($Z$5:$Z$404,$AC40)+INDEX($AA$5:$AA$404,$AC40)+INDEX($AO$5:$AO$404,$AC40),"",IF(36=INDEX($AB$5:$AB$404,$AC40)+INDEX($Z$5:$Z$404,$AC40),"D",IF(AND(INDEX($Z$5:$Z$404,$AC40)=1,36=INDEX($AB$5:$AB$404,$AC40)),"H",IF(AND(INDEX($AO$5:$AO$404,$AC40)=1,36=INDEX($AB$5:$AB$404,$AC40)+INDEX($Z$5:$Z$404,$AC40)+INDEX($AA$5:$AA$404,$AC40)+INDEX($AO$5:$AO$404,$AC40)),"B","T")))))))</f>
        <v/>
      </c>
      <c r="AF40">
        <f>IF(OR($AD40="",$AD40="Z",$AD40="B"),"",INDEX($X$5:$X$404,$AC40))</f>
        <v/>
      </c>
      <c r="AJ40">
        <f>IF($AD40&lt;&gt;"T",0,ROUND(SUMIF(oil!$B$4:$B$63,$AF40,oil!$AE$4:$AE$63),2))</f>
        <v/>
      </c>
      <c r="AK40">
        <f>IF($S40="","",IFERROR(INDEX(อัตราค่าขนส่ง!$P$5:$P$54,MATCH($S40,อัตราค่าขนส่ง!$O$5:$O$54,0)),INDEX(รายการมาตรฐาน!$G$2:$G$3,1)))</f>
        <v/>
      </c>
      <c r="AL40">
        <f>IF($S40="","",IFERROR(MATCH($AK40,รายการมาตรฐาน!$G$2:$G$3,0),1))</f>
        <v/>
      </c>
      <c r="AM40">
        <f>IF($V40="","",INDEX($AK$5:$AK$404,$V40))</f>
        <v/>
      </c>
      <c r="AN40">
        <f>IF($V40="","",INDEX($AL$5:$AL$404,$V40))</f>
        <v/>
      </c>
      <c r="AO40">
        <f>IF(OR($V40="",$AI$2&lt;=1),0,IF($V41="",1,IF($AN41&lt;&gt;$AN40,1,0)))</f>
        <v/>
      </c>
      <c r="AP40">
        <f>IF($V40="",0,IF($AN40&lt;&gt;$AN39,1,0))</f>
        <v/>
      </c>
      <c r="AQ40">
        <f>IF(OR($AD40="",$AD40="Z"),"",INDEX($AN$5:$AN$404,$AC40))</f>
        <v/>
      </c>
      <c r="AR40">
        <f>IF($Y40="",0,COUNTIF(บันทึกรายเที่ยว!$V$6:$V$6005,$Y40))</f>
        <v/>
      </c>
      <c r="AS40">
        <f>IF($Y40="",0,ROUND(SUMIF(บันทึกรายเที่ยว!$V$6:$V$6005,$Y40,บันทึกรายเที่ยว!$M$6:$M$6005),2))</f>
        <v/>
      </c>
      <c r="AT40">
        <f>IF($Y40="",0,IFERROR(INDEX(อัตราค่าขนส่ง!$G$5:$G$204,MATCH($Y40,อัตราค่าขนส่ง!$M$5:$M$204,0)),0))</f>
        <v/>
      </c>
      <c r="AU40">
        <f>ROUND($AS40*$BD40,2)</f>
        <v/>
      </c>
      <c r="AV40">
        <f>ROUND($AU40*$BF$2/100,2)</f>
        <v/>
      </c>
      <c r="AW40">
        <f>IF($Y40="","",IFERROR(INDEX(อัตราค่าขนส่ง!$F$5:$F$204,MATCH($Y40,อัตราค่าขนส่ง!$M$5:$M$204,0)),""))</f>
        <v/>
      </c>
      <c r="AX40">
        <f>IF($W40="","",INDEX(บันทึกรายเที่ยว!$D$6:$D$6005,$W40))</f>
        <v/>
      </c>
      <c r="AY40">
        <f>IF($W40="","",INDEX(บันทึกรายเที่ยว!$R$6:$R$6005,$W40))</f>
        <v/>
      </c>
      <c r="AZ40">
        <f>IF(AND($AD40="T",$AQ40=1),N($AZ39)+1,N($AZ39))</f>
        <v/>
      </c>
      <c r="BA40">
        <f>IF($W40="","",INDEX(บันทึกรายเที่ยว!$E$6:$E$6005,$W40))</f>
        <v/>
      </c>
      <c r="BC40">
        <f>IF($Y40="",0,IFERROR(INDEX(อัตราค่าขนส่ง!$K$5:$K$204,MATCH($Y40,อัตราค่าขนส่ง!$M$5:$M$204,0)),0))</f>
        <v/>
      </c>
      <c r="BD40">
        <f>IF($Y40="",0,IFERROR(INDEX(อัตราค่าขนส่ง!$L$5:$L$204,MATCH($Y40,อัตราค่าขนส่ง!$M$5:$M$204,0)),0))</f>
        <v/>
      </c>
    </row>
    <row r="41" ht="21" customHeight="1" s="66">
      <c r="A41" s="69">
        <f>IF($AD41="","",IF($AD41="Z","รวมจ่ายทั้งสิ้น",IF($AD41="H",INDEX($X$5:$X$404,$AC41),IF($AD41="T","รวม",IF($AD41="B",IFERROR(INDEX(อัตราค่าขนส่ง!$S$5:$S$14,MATCH(INDEX($AM$5:$AM$404,$AC41),อัตราค่าขนส่ง!$R$5:$R$14,0)),"รวมกลุ่ม "&amp;INDEX($AM$5:$AM$404,$AC41)),INDEX($AY$5:$AY$404,$AC41))))))</f>
        <v/>
      </c>
      <c r="B41" s="31">
        <f>IF($AD41&lt;&gt;"D","",INDEX($AW$5:$AW$404,$AC41))</f>
        <v/>
      </c>
      <c r="C41" s="68">
        <f>IF($AD41&lt;&gt;"D","",INDEX($AX$5:$AX$404,$AC41))</f>
        <v/>
      </c>
      <c r="D41" s="70">
        <f>IF($AD41&lt;&gt;"D","",INDEX($BA$5:$BA$404,$AC41))</f>
        <v/>
      </c>
      <c r="E41" s="31">
        <f>IF($AD41="Z",SUM($AR$5:$AR$404),IF($AD41="D",INDEX($AR$5:$AR$404,$AC41),IF($AD41="T",SUMIF($X$5:$X$404,$AF41,$AR$5:$AR$404),IF($AD41="B",SUMIF($AN$5:$AN$404,$AQ41,$AR$5:$AR$404),""))))</f>
        <v/>
      </c>
      <c r="F41" s="32">
        <f>IF($AD41="Z",ROUND(SUM($AS$5:$AS$404),2),IF($AD41="D",INDEX($AS$5:$AS$404,$AC41),IF($AD41="T",ROUND(SUMIF($X$5:$X$404,$AF41,$AS$5:$AS$404),2),IF($AD41="B",ROUND(SUMIF($AN$5:$AN$404,$AQ41,$AS$5:$AS$404),2),""))))</f>
        <v/>
      </c>
      <c r="G41" s="32">
        <f>IF($AD41&lt;&gt;"D","",INDEX($AT$5:$AT$404,$AC41))</f>
        <v/>
      </c>
      <c r="H41" s="32">
        <f>IF($AD41&lt;&gt;"D","",INDEX($BC$5:$BC$404,$AC41))</f>
        <v/>
      </c>
      <c r="I41" s="32">
        <f>IF($AD41&lt;&gt;"D","",INDEX($BD$5:$BD$404,$AC41))</f>
        <v/>
      </c>
      <c r="J41" s="46">
        <f>IF($AD41&lt;&gt;"D","",IF(N($B41)=0,"",ROUND($I41/$B41,4)))</f>
        <v/>
      </c>
      <c r="K41" s="32">
        <f>IF($AD41="Z",ROUND(SUM($AU$5:$AU$404),2),IF($AD41="D",INDEX($AU$5:$AU$404,$AC41),IF($AD41="T",ROUND(SUMIF($X$5:$X$404,$AF41,$AU$5:$AU$404),2),IF($AD41="B",ROUND(SUMIF($AN$5:$AN$404,$AQ41,$AU$5:$AU$404),2),""))))</f>
        <v/>
      </c>
      <c r="L41" s="32">
        <f>IF($AD41="Z",ROUND(SUM($AV$5:$AV$404),2),IF($AD41="D",INDEX($AV$5:$AV$404,$AC41),IF($AD41="T",ROUND(SUMIF($X$5:$X$404,$AF41,$AV$5:$AV$404),2),IF($AD41="B",ROUND(SUMIF($AN$5:$AN$404,$AQ41,$AV$5:$AV$404),2),""))))</f>
        <v/>
      </c>
      <c r="M41" s="32">
        <f>IF($AD41="Z",ROUND(SUM($AJ$5:$AJ$704),2),IF($AD41="B",ROUND(SUMIF($AQ$5:$AQ$704,$AQ41,$AJ$5:$AJ$704),2),IF($AD41&lt;&gt;"T","",$AJ41)))</f>
        <v/>
      </c>
      <c r="N41" s="32">
        <f>IF(OR($AD41="D",$AD41="T",$AD41="B",$AD41="Z"),ROUND(N($K41)-N($L41)-N($M41),2),"")</f>
        <v/>
      </c>
      <c r="O41" s="32">
        <f>IF(OR($AD41="D",$AD41="T",$AD41="B",$AD41="Z"),IF(N($E41)=0,"",ROUND($F41/$E41,2)),"")</f>
        <v/>
      </c>
      <c r="Q41">
        <f>IFERROR(MATCH(37,บันทึกรายเที่ยว!$Z$6:$Z$6005,0),"")</f>
        <v/>
      </c>
      <c r="R41">
        <f>IF($Q41="","",INDEX(บันทึกรายเที่ยว!$V$6:$V$6005,$Q41))</f>
        <v/>
      </c>
      <c r="S41">
        <f>IF($Q41="","",INDEX(บันทึกรายเที่ยว!$F$6:$F$6005,$Q41))</f>
        <v/>
      </c>
      <c r="T41">
        <f>IF($Q41="","",MATCH($S41,บันทึกรายเที่ยว!$F$6:$F$6005,0))</f>
        <v/>
      </c>
      <c r="U41">
        <f>IF($Q41="","",$AL41*10000000+$T41*1000+37)</f>
        <v/>
      </c>
      <c r="V41">
        <f>IFERROR(MATCH(SMALL($U$5:$U$404,37),$U$5:$U$404,0),"")</f>
        <v/>
      </c>
      <c r="W41">
        <f>IF($V41="","",INDEX($Q$5:$Q$404,$V41))</f>
        <v/>
      </c>
      <c r="X41">
        <f>IF($V41="","",INDEX($S$5:$S$404,$V41))</f>
        <v/>
      </c>
      <c r="Y41">
        <f>IF($V41="","",INDEX($R$5:$R$404,$V41))</f>
        <v/>
      </c>
      <c r="Z41">
        <f>IF($V41="",0,IF($X41&lt;&gt;$X40,1,0))</f>
        <v/>
      </c>
      <c r="AA41">
        <f>IF($V41="",0,IF($V42="",1,IF($X42&lt;&gt;$X41,1,0)))</f>
        <v/>
      </c>
      <c r="AB41">
        <f>IF($V41="",99999+37,$AB40+1+$Z40+$AA40+$AO40)</f>
        <v/>
      </c>
      <c r="AC41">
        <f>IFERROR(MATCH(37,$AB$5:$AB$404,1),"")</f>
        <v/>
      </c>
      <c r="AD41">
        <f>IF(37=$AI$1+1,"Z",IF($AC41="","",IF(INDEX($V$5:$V$404,$AC41)="","",IF(37&gt;INDEX($AB$5:$AB$404,$AC41)+INDEX($Z$5:$Z$404,$AC41)+INDEX($AA$5:$AA$404,$AC41)+INDEX($AO$5:$AO$404,$AC41),"",IF(37=INDEX($AB$5:$AB$404,$AC41)+INDEX($Z$5:$Z$404,$AC41),"D",IF(AND(INDEX($Z$5:$Z$404,$AC41)=1,37=INDEX($AB$5:$AB$404,$AC41)),"H",IF(AND(INDEX($AO$5:$AO$404,$AC41)=1,37=INDEX($AB$5:$AB$404,$AC41)+INDEX($Z$5:$Z$404,$AC41)+INDEX($AA$5:$AA$404,$AC41)+INDEX($AO$5:$AO$404,$AC41)),"B","T")))))))</f>
        <v/>
      </c>
      <c r="AF41">
        <f>IF(OR($AD41="",$AD41="Z",$AD41="B"),"",INDEX($X$5:$X$404,$AC41))</f>
        <v/>
      </c>
      <c r="AJ41">
        <f>IF($AD41&lt;&gt;"T",0,ROUND(SUMIF(oil!$B$4:$B$63,$AF41,oil!$AE$4:$AE$63),2))</f>
        <v/>
      </c>
      <c r="AK41">
        <f>IF($S41="","",IFERROR(INDEX(อัตราค่าขนส่ง!$P$5:$P$54,MATCH($S41,อัตราค่าขนส่ง!$O$5:$O$54,0)),INDEX(รายการมาตรฐาน!$G$2:$G$3,1)))</f>
        <v/>
      </c>
      <c r="AL41">
        <f>IF($S41="","",IFERROR(MATCH($AK41,รายการมาตรฐาน!$G$2:$G$3,0),1))</f>
        <v/>
      </c>
      <c r="AM41">
        <f>IF($V41="","",INDEX($AK$5:$AK$404,$V41))</f>
        <v/>
      </c>
      <c r="AN41">
        <f>IF($V41="","",INDEX($AL$5:$AL$404,$V41))</f>
        <v/>
      </c>
      <c r="AO41">
        <f>IF(OR($V41="",$AI$2&lt;=1),0,IF($V42="",1,IF($AN42&lt;&gt;$AN41,1,0)))</f>
        <v/>
      </c>
      <c r="AP41">
        <f>IF($V41="",0,IF($AN41&lt;&gt;$AN40,1,0))</f>
        <v/>
      </c>
      <c r="AQ41">
        <f>IF(OR($AD41="",$AD41="Z"),"",INDEX($AN$5:$AN$404,$AC41))</f>
        <v/>
      </c>
      <c r="AR41">
        <f>IF($Y41="",0,COUNTIF(บันทึกรายเที่ยว!$V$6:$V$6005,$Y41))</f>
        <v/>
      </c>
      <c r="AS41">
        <f>IF($Y41="",0,ROUND(SUMIF(บันทึกรายเที่ยว!$V$6:$V$6005,$Y41,บันทึกรายเที่ยว!$M$6:$M$6005),2))</f>
        <v/>
      </c>
      <c r="AT41">
        <f>IF($Y41="",0,IFERROR(INDEX(อัตราค่าขนส่ง!$G$5:$G$204,MATCH($Y41,อัตราค่าขนส่ง!$M$5:$M$204,0)),0))</f>
        <v/>
      </c>
      <c r="AU41">
        <f>ROUND($AS41*$BD41,2)</f>
        <v/>
      </c>
      <c r="AV41">
        <f>ROUND($AU41*$BF$2/100,2)</f>
        <v/>
      </c>
      <c r="AW41">
        <f>IF($Y41="","",IFERROR(INDEX(อัตราค่าขนส่ง!$F$5:$F$204,MATCH($Y41,อัตราค่าขนส่ง!$M$5:$M$204,0)),""))</f>
        <v/>
      </c>
      <c r="AX41">
        <f>IF($W41="","",INDEX(บันทึกรายเที่ยว!$D$6:$D$6005,$W41))</f>
        <v/>
      </c>
      <c r="AY41">
        <f>IF($W41="","",INDEX(บันทึกรายเที่ยว!$R$6:$R$6005,$W41))</f>
        <v/>
      </c>
      <c r="AZ41">
        <f>IF(AND($AD41="T",$AQ41=1),N($AZ40)+1,N($AZ40))</f>
        <v/>
      </c>
      <c r="BA41">
        <f>IF($W41="","",INDEX(บันทึกรายเที่ยว!$E$6:$E$6005,$W41))</f>
        <v/>
      </c>
      <c r="BC41">
        <f>IF($Y41="",0,IFERROR(INDEX(อัตราค่าขนส่ง!$K$5:$K$204,MATCH($Y41,อัตราค่าขนส่ง!$M$5:$M$204,0)),0))</f>
        <v/>
      </c>
      <c r="BD41">
        <f>IF($Y41="",0,IFERROR(INDEX(อัตราค่าขนส่ง!$L$5:$L$204,MATCH($Y41,อัตราค่าขนส่ง!$M$5:$M$204,0)),0))</f>
        <v/>
      </c>
    </row>
    <row r="42" ht="21" customHeight="1" s="66">
      <c r="A42" s="69">
        <f>IF($AD42="","",IF($AD42="Z","รวมจ่ายทั้งสิ้น",IF($AD42="H",INDEX($X$5:$X$404,$AC42),IF($AD42="T","รวม",IF($AD42="B",IFERROR(INDEX(อัตราค่าขนส่ง!$S$5:$S$14,MATCH(INDEX($AM$5:$AM$404,$AC42),อัตราค่าขนส่ง!$R$5:$R$14,0)),"รวมกลุ่ม "&amp;INDEX($AM$5:$AM$404,$AC42)),INDEX($AY$5:$AY$404,$AC42))))))</f>
        <v/>
      </c>
      <c r="B42" s="31">
        <f>IF($AD42&lt;&gt;"D","",INDEX($AW$5:$AW$404,$AC42))</f>
        <v/>
      </c>
      <c r="C42" s="68">
        <f>IF($AD42&lt;&gt;"D","",INDEX($AX$5:$AX$404,$AC42))</f>
        <v/>
      </c>
      <c r="D42" s="70">
        <f>IF($AD42&lt;&gt;"D","",INDEX($BA$5:$BA$404,$AC42))</f>
        <v/>
      </c>
      <c r="E42" s="31">
        <f>IF($AD42="Z",SUM($AR$5:$AR$404),IF($AD42="D",INDEX($AR$5:$AR$404,$AC42),IF($AD42="T",SUMIF($X$5:$X$404,$AF42,$AR$5:$AR$404),IF($AD42="B",SUMIF($AN$5:$AN$404,$AQ42,$AR$5:$AR$404),""))))</f>
        <v/>
      </c>
      <c r="F42" s="32">
        <f>IF($AD42="Z",ROUND(SUM($AS$5:$AS$404),2),IF($AD42="D",INDEX($AS$5:$AS$404,$AC42),IF($AD42="T",ROUND(SUMIF($X$5:$X$404,$AF42,$AS$5:$AS$404),2),IF($AD42="B",ROUND(SUMIF($AN$5:$AN$404,$AQ42,$AS$5:$AS$404),2),""))))</f>
        <v/>
      </c>
      <c r="G42" s="32">
        <f>IF($AD42&lt;&gt;"D","",INDEX($AT$5:$AT$404,$AC42))</f>
        <v/>
      </c>
      <c r="H42" s="32">
        <f>IF($AD42&lt;&gt;"D","",INDEX($BC$5:$BC$404,$AC42))</f>
        <v/>
      </c>
      <c r="I42" s="32">
        <f>IF($AD42&lt;&gt;"D","",INDEX($BD$5:$BD$404,$AC42))</f>
        <v/>
      </c>
      <c r="J42" s="46">
        <f>IF($AD42&lt;&gt;"D","",IF(N($B42)=0,"",ROUND($I42/$B42,4)))</f>
        <v/>
      </c>
      <c r="K42" s="32">
        <f>IF($AD42="Z",ROUND(SUM($AU$5:$AU$404),2),IF($AD42="D",INDEX($AU$5:$AU$404,$AC42),IF($AD42="T",ROUND(SUMIF($X$5:$X$404,$AF42,$AU$5:$AU$404),2),IF($AD42="B",ROUND(SUMIF($AN$5:$AN$404,$AQ42,$AU$5:$AU$404),2),""))))</f>
        <v/>
      </c>
      <c r="L42" s="32">
        <f>IF($AD42="Z",ROUND(SUM($AV$5:$AV$404),2),IF($AD42="D",INDEX($AV$5:$AV$404,$AC42),IF($AD42="T",ROUND(SUMIF($X$5:$X$404,$AF42,$AV$5:$AV$404),2),IF($AD42="B",ROUND(SUMIF($AN$5:$AN$404,$AQ42,$AV$5:$AV$404),2),""))))</f>
        <v/>
      </c>
      <c r="M42" s="32">
        <f>IF($AD42="Z",ROUND(SUM($AJ$5:$AJ$704),2),IF($AD42="B",ROUND(SUMIF($AQ$5:$AQ$704,$AQ42,$AJ$5:$AJ$704),2),IF($AD42&lt;&gt;"T","",$AJ42)))</f>
        <v/>
      </c>
      <c r="N42" s="32">
        <f>IF(OR($AD42="D",$AD42="T",$AD42="B",$AD42="Z"),ROUND(N($K42)-N($L42)-N($M42),2),"")</f>
        <v/>
      </c>
      <c r="O42" s="32">
        <f>IF(OR($AD42="D",$AD42="T",$AD42="B",$AD42="Z"),IF(N($E42)=0,"",ROUND($F42/$E42,2)),"")</f>
        <v/>
      </c>
      <c r="Q42">
        <f>IFERROR(MATCH(38,บันทึกรายเที่ยว!$Z$6:$Z$6005,0),"")</f>
        <v/>
      </c>
      <c r="R42">
        <f>IF($Q42="","",INDEX(บันทึกรายเที่ยว!$V$6:$V$6005,$Q42))</f>
        <v/>
      </c>
      <c r="S42">
        <f>IF($Q42="","",INDEX(บันทึกรายเที่ยว!$F$6:$F$6005,$Q42))</f>
        <v/>
      </c>
      <c r="T42">
        <f>IF($Q42="","",MATCH($S42,บันทึกรายเที่ยว!$F$6:$F$6005,0))</f>
        <v/>
      </c>
      <c r="U42">
        <f>IF($Q42="","",$AL42*10000000+$T42*1000+38)</f>
        <v/>
      </c>
      <c r="V42">
        <f>IFERROR(MATCH(SMALL($U$5:$U$404,38),$U$5:$U$404,0),"")</f>
        <v/>
      </c>
      <c r="W42">
        <f>IF($V42="","",INDEX($Q$5:$Q$404,$V42))</f>
        <v/>
      </c>
      <c r="X42">
        <f>IF($V42="","",INDEX($S$5:$S$404,$V42))</f>
        <v/>
      </c>
      <c r="Y42">
        <f>IF($V42="","",INDEX($R$5:$R$404,$V42))</f>
        <v/>
      </c>
      <c r="Z42">
        <f>IF($V42="",0,IF($X42&lt;&gt;$X41,1,0))</f>
        <v/>
      </c>
      <c r="AA42">
        <f>IF($V42="",0,IF($V43="",1,IF($X43&lt;&gt;$X42,1,0)))</f>
        <v/>
      </c>
      <c r="AB42">
        <f>IF($V42="",99999+38,$AB41+1+$Z41+$AA41+$AO41)</f>
        <v/>
      </c>
      <c r="AC42">
        <f>IFERROR(MATCH(38,$AB$5:$AB$404,1),"")</f>
        <v/>
      </c>
      <c r="AD42">
        <f>IF(38=$AI$1+1,"Z",IF($AC42="","",IF(INDEX($V$5:$V$404,$AC42)="","",IF(38&gt;INDEX($AB$5:$AB$404,$AC42)+INDEX($Z$5:$Z$404,$AC42)+INDEX($AA$5:$AA$404,$AC42)+INDEX($AO$5:$AO$404,$AC42),"",IF(38=INDEX($AB$5:$AB$404,$AC42)+INDEX($Z$5:$Z$404,$AC42),"D",IF(AND(INDEX($Z$5:$Z$404,$AC42)=1,38=INDEX($AB$5:$AB$404,$AC42)),"H",IF(AND(INDEX($AO$5:$AO$404,$AC42)=1,38=INDEX($AB$5:$AB$404,$AC42)+INDEX($Z$5:$Z$404,$AC42)+INDEX($AA$5:$AA$404,$AC42)+INDEX($AO$5:$AO$404,$AC42)),"B","T")))))))</f>
        <v/>
      </c>
      <c r="AF42">
        <f>IF(OR($AD42="",$AD42="Z",$AD42="B"),"",INDEX($X$5:$X$404,$AC42))</f>
        <v/>
      </c>
      <c r="AJ42">
        <f>IF($AD42&lt;&gt;"T",0,ROUND(SUMIF(oil!$B$4:$B$63,$AF42,oil!$AE$4:$AE$63),2))</f>
        <v/>
      </c>
      <c r="AK42">
        <f>IF($S42="","",IFERROR(INDEX(อัตราค่าขนส่ง!$P$5:$P$54,MATCH($S42,อัตราค่าขนส่ง!$O$5:$O$54,0)),INDEX(รายการมาตรฐาน!$G$2:$G$3,1)))</f>
        <v/>
      </c>
      <c r="AL42">
        <f>IF($S42="","",IFERROR(MATCH($AK42,รายการมาตรฐาน!$G$2:$G$3,0),1))</f>
        <v/>
      </c>
      <c r="AM42">
        <f>IF($V42="","",INDEX($AK$5:$AK$404,$V42))</f>
        <v/>
      </c>
      <c r="AN42">
        <f>IF($V42="","",INDEX($AL$5:$AL$404,$V42))</f>
        <v/>
      </c>
      <c r="AO42">
        <f>IF(OR($V42="",$AI$2&lt;=1),0,IF($V43="",1,IF($AN43&lt;&gt;$AN42,1,0)))</f>
        <v/>
      </c>
      <c r="AP42">
        <f>IF($V42="",0,IF($AN42&lt;&gt;$AN41,1,0))</f>
        <v/>
      </c>
      <c r="AQ42">
        <f>IF(OR($AD42="",$AD42="Z"),"",INDEX($AN$5:$AN$404,$AC42))</f>
        <v/>
      </c>
      <c r="AR42">
        <f>IF($Y42="",0,COUNTIF(บันทึกรายเที่ยว!$V$6:$V$6005,$Y42))</f>
        <v/>
      </c>
      <c r="AS42">
        <f>IF($Y42="",0,ROUND(SUMIF(บันทึกรายเที่ยว!$V$6:$V$6005,$Y42,บันทึกรายเที่ยว!$M$6:$M$6005),2))</f>
        <v/>
      </c>
      <c r="AT42">
        <f>IF($Y42="",0,IFERROR(INDEX(อัตราค่าขนส่ง!$G$5:$G$204,MATCH($Y42,อัตราค่าขนส่ง!$M$5:$M$204,0)),0))</f>
        <v/>
      </c>
      <c r="AU42">
        <f>ROUND($AS42*$BD42,2)</f>
        <v/>
      </c>
      <c r="AV42">
        <f>ROUND($AU42*$BF$2/100,2)</f>
        <v/>
      </c>
      <c r="AW42">
        <f>IF($Y42="","",IFERROR(INDEX(อัตราค่าขนส่ง!$F$5:$F$204,MATCH($Y42,อัตราค่าขนส่ง!$M$5:$M$204,0)),""))</f>
        <v/>
      </c>
      <c r="AX42">
        <f>IF($W42="","",INDEX(บันทึกรายเที่ยว!$D$6:$D$6005,$W42))</f>
        <v/>
      </c>
      <c r="AY42">
        <f>IF($W42="","",INDEX(บันทึกรายเที่ยว!$R$6:$R$6005,$W42))</f>
        <v/>
      </c>
      <c r="AZ42">
        <f>IF(AND($AD42="T",$AQ42=1),N($AZ41)+1,N($AZ41))</f>
        <v/>
      </c>
      <c r="BA42">
        <f>IF($W42="","",INDEX(บันทึกรายเที่ยว!$E$6:$E$6005,$W42))</f>
        <v/>
      </c>
      <c r="BC42">
        <f>IF($Y42="",0,IFERROR(INDEX(อัตราค่าขนส่ง!$K$5:$K$204,MATCH($Y42,อัตราค่าขนส่ง!$M$5:$M$204,0)),0))</f>
        <v/>
      </c>
      <c r="BD42">
        <f>IF($Y42="",0,IFERROR(INDEX(อัตราค่าขนส่ง!$L$5:$L$204,MATCH($Y42,อัตราค่าขนส่ง!$M$5:$M$204,0)),0))</f>
        <v/>
      </c>
    </row>
    <row r="43" ht="21" customHeight="1" s="66">
      <c r="A43" s="69">
        <f>IF($AD43="","",IF($AD43="Z","รวมจ่ายทั้งสิ้น",IF($AD43="H",INDEX($X$5:$X$404,$AC43),IF($AD43="T","รวม",IF($AD43="B",IFERROR(INDEX(อัตราค่าขนส่ง!$S$5:$S$14,MATCH(INDEX($AM$5:$AM$404,$AC43),อัตราค่าขนส่ง!$R$5:$R$14,0)),"รวมกลุ่ม "&amp;INDEX($AM$5:$AM$404,$AC43)),INDEX($AY$5:$AY$404,$AC43))))))</f>
        <v/>
      </c>
      <c r="B43" s="31">
        <f>IF($AD43&lt;&gt;"D","",INDEX($AW$5:$AW$404,$AC43))</f>
        <v/>
      </c>
      <c r="C43" s="68">
        <f>IF($AD43&lt;&gt;"D","",INDEX($AX$5:$AX$404,$AC43))</f>
        <v/>
      </c>
      <c r="D43" s="70">
        <f>IF($AD43&lt;&gt;"D","",INDEX($BA$5:$BA$404,$AC43))</f>
        <v/>
      </c>
      <c r="E43" s="31">
        <f>IF($AD43="Z",SUM($AR$5:$AR$404),IF($AD43="D",INDEX($AR$5:$AR$404,$AC43),IF($AD43="T",SUMIF($X$5:$X$404,$AF43,$AR$5:$AR$404),IF($AD43="B",SUMIF($AN$5:$AN$404,$AQ43,$AR$5:$AR$404),""))))</f>
        <v/>
      </c>
      <c r="F43" s="32">
        <f>IF($AD43="Z",ROUND(SUM($AS$5:$AS$404),2),IF($AD43="D",INDEX($AS$5:$AS$404,$AC43),IF($AD43="T",ROUND(SUMIF($X$5:$X$404,$AF43,$AS$5:$AS$404),2),IF($AD43="B",ROUND(SUMIF($AN$5:$AN$404,$AQ43,$AS$5:$AS$404),2),""))))</f>
        <v/>
      </c>
      <c r="G43" s="32">
        <f>IF($AD43&lt;&gt;"D","",INDEX($AT$5:$AT$404,$AC43))</f>
        <v/>
      </c>
      <c r="H43" s="32">
        <f>IF($AD43&lt;&gt;"D","",INDEX($BC$5:$BC$404,$AC43))</f>
        <v/>
      </c>
      <c r="I43" s="32">
        <f>IF($AD43&lt;&gt;"D","",INDEX($BD$5:$BD$404,$AC43))</f>
        <v/>
      </c>
      <c r="J43" s="46">
        <f>IF($AD43&lt;&gt;"D","",IF(N($B43)=0,"",ROUND($I43/$B43,4)))</f>
        <v/>
      </c>
      <c r="K43" s="32">
        <f>IF($AD43="Z",ROUND(SUM($AU$5:$AU$404),2),IF($AD43="D",INDEX($AU$5:$AU$404,$AC43),IF($AD43="T",ROUND(SUMIF($X$5:$X$404,$AF43,$AU$5:$AU$404),2),IF($AD43="B",ROUND(SUMIF($AN$5:$AN$404,$AQ43,$AU$5:$AU$404),2),""))))</f>
        <v/>
      </c>
      <c r="L43" s="32">
        <f>IF($AD43="Z",ROUND(SUM($AV$5:$AV$404),2),IF($AD43="D",INDEX($AV$5:$AV$404,$AC43),IF($AD43="T",ROUND(SUMIF($X$5:$X$404,$AF43,$AV$5:$AV$404),2),IF($AD43="B",ROUND(SUMIF($AN$5:$AN$404,$AQ43,$AV$5:$AV$404),2),""))))</f>
        <v/>
      </c>
      <c r="M43" s="32">
        <f>IF($AD43="Z",ROUND(SUM($AJ$5:$AJ$704),2),IF($AD43="B",ROUND(SUMIF($AQ$5:$AQ$704,$AQ43,$AJ$5:$AJ$704),2),IF($AD43&lt;&gt;"T","",$AJ43)))</f>
        <v/>
      </c>
      <c r="N43" s="32">
        <f>IF(OR($AD43="D",$AD43="T",$AD43="B",$AD43="Z"),ROUND(N($K43)-N($L43)-N($M43),2),"")</f>
        <v/>
      </c>
      <c r="O43" s="32">
        <f>IF(OR($AD43="D",$AD43="T",$AD43="B",$AD43="Z"),IF(N($E43)=0,"",ROUND($F43/$E43,2)),"")</f>
        <v/>
      </c>
      <c r="Q43">
        <f>IFERROR(MATCH(39,บันทึกรายเที่ยว!$Z$6:$Z$6005,0),"")</f>
        <v/>
      </c>
      <c r="R43">
        <f>IF($Q43="","",INDEX(บันทึกรายเที่ยว!$V$6:$V$6005,$Q43))</f>
        <v/>
      </c>
      <c r="S43">
        <f>IF($Q43="","",INDEX(บันทึกรายเที่ยว!$F$6:$F$6005,$Q43))</f>
        <v/>
      </c>
      <c r="T43">
        <f>IF($Q43="","",MATCH($S43,บันทึกรายเที่ยว!$F$6:$F$6005,0))</f>
        <v/>
      </c>
      <c r="U43">
        <f>IF($Q43="","",$AL43*10000000+$T43*1000+39)</f>
        <v/>
      </c>
      <c r="V43">
        <f>IFERROR(MATCH(SMALL($U$5:$U$404,39),$U$5:$U$404,0),"")</f>
        <v/>
      </c>
      <c r="W43">
        <f>IF($V43="","",INDEX($Q$5:$Q$404,$V43))</f>
        <v/>
      </c>
      <c r="X43">
        <f>IF($V43="","",INDEX($S$5:$S$404,$V43))</f>
        <v/>
      </c>
      <c r="Y43">
        <f>IF($V43="","",INDEX($R$5:$R$404,$V43))</f>
        <v/>
      </c>
      <c r="Z43">
        <f>IF($V43="",0,IF($X43&lt;&gt;$X42,1,0))</f>
        <v/>
      </c>
      <c r="AA43">
        <f>IF($V43="",0,IF($V44="",1,IF($X44&lt;&gt;$X43,1,0)))</f>
        <v/>
      </c>
      <c r="AB43">
        <f>IF($V43="",99999+39,$AB42+1+$Z42+$AA42+$AO42)</f>
        <v/>
      </c>
      <c r="AC43">
        <f>IFERROR(MATCH(39,$AB$5:$AB$404,1),"")</f>
        <v/>
      </c>
      <c r="AD43">
        <f>IF(39=$AI$1+1,"Z",IF($AC43="","",IF(INDEX($V$5:$V$404,$AC43)="","",IF(39&gt;INDEX($AB$5:$AB$404,$AC43)+INDEX($Z$5:$Z$404,$AC43)+INDEX($AA$5:$AA$404,$AC43)+INDEX($AO$5:$AO$404,$AC43),"",IF(39=INDEX($AB$5:$AB$404,$AC43)+INDEX($Z$5:$Z$404,$AC43),"D",IF(AND(INDEX($Z$5:$Z$404,$AC43)=1,39=INDEX($AB$5:$AB$404,$AC43)),"H",IF(AND(INDEX($AO$5:$AO$404,$AC43)=1,39=INDEX($AB$5:$AB$404,$AC43)+INDEX($Z$5:$Z$404,$AC43)+INDEX($AA$5:$AA$404,$AC43)+INDEX($AO$5:$AO$404,$AC43)),"B","T")))))))</f>
        <v/>
      </c>
      <c r="AF43">
        <f>IF(OR($AD43="",$AD43="Z",$AD43="B"),"",INDEX($X$5:$X$404,$AC43))</f>
        <v/>
      </c>
      <c r="AJ43">
        <f>IF($AD43&lt;&gt;"T",0,ROUND(SUMIF(oil!$B$4:$B$63,$AF43,oil!$AE$4:$AE$63),2))</f>
        <v/>
      </c>
      <c r="AK43">
        <f>IF($S43="","",IFERROR(INDEX(อัตราค่าขนส่ง!$P$5:$P$54,MATCH($S43,อัตราค่าขนส่ง!$O$5:$O$54,0)),INDEX(รายการมาตรฐาน!$G$2:$G$3,1)))</f>
        <v/>
      </c>
      <c r="AL43">
        <f>IF($S43="","",IFERROR(MATCH($AK43,รายการมาตรฐาน!$G$2:$G$3,0),1))</f>
        <v/>
      </c>
      <c r="AM43">
        <f>IF($V43="","",INDEX($AK$5:$AK$404,$V43))</f>
        <v/>
      </c>
      <c r="AN43">
        <f>IF($V43="","",INDEX($AL$5:$AL$404,$V43))</f>
        <v/>
      </c>
      <c r="AO43">
        <f>IF(OR($V43="",$AI$2&lt;=1),0,IF($V44="",1,IF($AN44&lt;&gt;$AN43,1,0)))</f>
        <v/>
      </c>
      <c r="AP43">
        <f>IF($V43="",0,IF($AN43&lt;&gt;$AN42,1,0))</f>
        <v/>
      </c>
      <c r="AQ43">
        <f>IF(OR($AD43="",$AD43="Z"),"",INDEX($AN$5:$AN$404,$AC43))</f>
        <v/>
      </c>
      <c r="AR43">
        <f>IF($Y43="",0,COUNTIF(บันทึกรายเที่ยว!$V$6:$V$6005,$Y43))</f>
        <v/>
      </c>
      <c r="AS43">
        <f>IF($Y43="",0,ROUND(SUMIF(บันทึกรายเที่ยว!$V$6:$V$6005,$Y43,บันทึกรายเที่ยว!$M$6:$M$6005),2))</f>
        <v/>
      </c>
      <c r="AT43">
        <f>IF($Y43="",0,IFERROR(INDEX(อัตราค่าขนส่ง!$G$5:$G$204,MATCH($Y43,อัตราค่าขนส่ง!$M$5:$M$204,0)),0))</f>
        <v/>
      </c>
      <c r="AU43">
        <f>ROUND($AS43*$BD43,2)</f>
        <v/>
      </c>
      <c r="AV43">
        <f>ROUND($AU43*$BF$2/100,2)</f>
        <v/>
      </c>
      <c r="AW43">
        <f>IF($Y43="","",IFERROR(INDEX(อัตราค่าขนส่ง!$F$5:$F$204,MATCH($Y43,อัตราค่าขนส่ง!$M$5:$M$204,0)),""))</f>
        <v/>
      </c>
      <c r="AX43">
        <f>IF($W43="","",INDEX(บันทึกรายเที่ยว!$D$6:$D$6005,$W43))</f>
        <v/>
      </c>
      <c r="AY43">
        <f>IF($W43="","",INDEX(บันทึกรายเที่ยว!$R$6:$R$6005,$W43))</f>
        <v/>
      </c>
      <c r="AZ43">
        <f>IF(AND($AD43="T",$AQ43=1),N($AZ42)+1,N($AZ42))</f>
        <v/>
      </c>
      <c r="BA43">
        <f>IF($W43="","",INDEX(บันทึกรายเที่ยว!$E$6:$E$6005,$W43))</f>
        <v/>
      </c>
      <c r="BC43">
        <f>IF($Y43="",0,IFERROR(INDEX(อัตราค่าขนส่ง!$K$5:$K$204,MATCH($Y43,อัตราค่าขนส่ง!$M$5:$M$204,0)),0))</f>
        <v/>
      </c>
      <c r="BD43">
        <f>IF($Y43="",0,IFERROR(INDEX(อัตราค่าขนส่ง!$L$5:$L$204,MATCH($Y43,อัตราค่าขนส่ง!$M$5:$M$204,0)),0))</f>
        <v/>
      </c>
    </row>
    <row r="44" ht="21" customHeight="1" s="66">
      <c r="A44" s="69">
        <f>IF($AD44="","",IF($AD44="Z","รวมจ่ายทั้งสิ้น",IF($AD44="H",INDEX($X$5:$X$404,$AC44),IF($AD44="T","รวม",IF($AD44="B",IFERROR(INDEX(อัตราค่าขนส่ง!$S$5:$S$14,MATCH(INDEX($AM$5:$AM$404,$AC44),อัตราค่าขนส่ง!$R$5:$R$14,0)),"รวมกลุ่ม "&amp;INDEX($AM$5:$AM$404,$AC44)),INDEX($AY$5:$AY$404,$AC44))))))</f>
        <v/>
      </c>
      <c r="B44" s="31">
        <f>IF($AD44&lt;&gt;"D","",INDEX($AW$5:$AW$404,$AC44))</f>
        <v/>
      </c>
      <c r="C44" s="68">
        <f>IF($AD44&lt;&gt;"D","",INDEX($AX$5:$AX$404,$AC44))</f>
        <v/>
      </c>
      <c r="D44" s="70">
        <f>IF($AD44&lt;&gt;"D","",INDEX($BA$5:$BA$404,$AC44))</f>
        <v/>
      </c>
      <c r="E44" s="31">
        <f>IF($AD44="Z",SUM($AR$5:$AR$404),IF($AD44="D",INDEX($AR$5:$AR$404,$AC44),IF($AD44="T",SUMIF($X$5:$X$404,$AF44,$AR$5:$AR$404),IF($AD44="B",SUMIF($AN$5:$AN$404,$AQ44,$AR$5:$AR$404),""))))</f>
        <v/>
      </c>
      <c r="F44" s="32">
        <f>IF($AD44="Z",ROUND(SUM($AS$5:$AS$404),2),IF($AD44="D",INDEX($AS$5:$AS$404,$AC44),IF($AD44="T",ROUND(SUMIF($X$5:$X$404,$AF44,$AS$5:$AS$404),2),IF($AD44="B",ROUND(SUMIF($AN$5:$AN$404,$AQ44,$AS$5:$AS$404),2),""))))</f>
        <v/>
      </c>
      <c r="G44" s="32">
        <f>IF($AD44&lt;&gt;"D","",INDEX($AT$5:$AT$404,$AC44))</f>
        <v/>
      </c>
      <c r="H44" s="32">
        <f>IF($AD44&lt;&gt;"D","",INDEX($BC$5:$BC$404,$AC44))</f>
        <v/>
      </c>
      <c r="I44" s="32">
        <f>IF($AD44&lt;&gt;"D","",INDEX($BD$5:$BD$404,$AC44))</f>
        <v/>
      </c>
      <c r="J44" s="46">
        <f>IF($AD44&lt;&gt;"D","",IF(N($B44)=0,"",ROUND($I44/$B44,4)))</f>
        <v/>
      </c>
      <c r="K44" s="32">
        <f>IF($AD44="Z",ROUND(SUM($AU$5:$AU$404),2),IF($AD44="D",INDEX($AU$5:$AU$404,$AC44),IF($AD44="T",ROUND(SUMIF($X$5:$X$404,$AF44,$AU$5:$AU$404),2),IF($AD44="B",ROUND(SUMIF($AN$5:$AN$404,$AQ44,$AU$5:$AU$404),2),""))))</f>
        <v/>
      </c>
      <c r="L44" s="32">
        <f>IF($AD44="Z",ROUND(SUM($AV$5:$AV$404),2),IF($AD44="D",INDEX($AV$5:$AV$404,$AC44),IF($AD44="T",ROUND(SUMIF($X$5:$X$404,$AF44,$AV$5:$AV$404),2),IF($AD44="B",ROUND(SUMIF($AN$5:$AN$404,$AQ44,$AV$5:$AV$404),2),""))))</f>
        <v/>
      </c>
      <c r="M44" s="32">
        <f>IF($AD44="Z",ROUND(SUM($AJ$5:$AJ$704),2),IF($AD44="B",ROUND(SUMIF($AQ$5:$AQ$704,$AQ44,$AJ$5:$AJ$704),2),IF($AD44&lt;&gt;"T","",$AJ44)))</f>
        <v/>
      </c>
      <c r="N44" s="32">
        <f>IF(OR($AD44="D",$AD44="T",$AD44="B",$AD44="Z"),ROUND(N($K44)-N($L44)-N($M44),2),"")</f>
        <v/>
      </c>
      <c r="O44" s="32">
        <f>IF(OR($AD44="D",$AD44="T",$AD44="B",$AD44="Z"),IF(N($E44)=0,"",ROUND($F44/$E44,2)),"")</f>
        <v/>
      </c>
      <c r="Q44">
        <f>IFERROR(MATCH(40,บันทึกรายเที่ยว!$Z$6:$Z$6005,0),"")</f>
        <v/>
      </c>
      <c r="R44">
        <f>IF($Q44="","",INDEX(บันทึกรายเที่ยว!$V$6:$V$6005,$Q44))</f>
        <v/>
      </c>
      <c r="S44">
        <f>IF($Q44="","",INDEX(บันทึกรายเที่ยว!$F$6:$F$6005,$Q44))</f>
        <v/>
      </c>
      <c r="T44">
        <f>IF($Q44="","",MATCH($S44,บันทึกรายเที่ยว!$F$6:$F$6005,0))</f>
        <v/>
      </c>
      <c r="U44">
        <f>IF($Q44="","",$AL44*10000000+$T44*1000+40)</f>
        <v/>
      </c>
      <c r="V44">
        <f>IFERROR(MATCH(SMALL($U$5:$U$404,40),$U$5:$U$404,0),"")</f>
        <v/>
      </c>
      <c r="W44">
        <f>IF($V44="","",INDEX($Q$5:$Q$404,$V44))</f>
        <v/>
      </c>
      <c r="X44">
        <f>IF($V44="","",INDEX($S$5:$S$404,$V44))</f>
        <v/>
      </c>
      <c r="Y44">
        <f>IF($V44="","",INDEX($R$5:$R$404,$V44))</f>
        <v/>
      </c>
      <c r="Z44">
        <f>IF($V44="",0,IF($X44&lt;&gt;$X43,1,0))</f>
        <v/>
      </c>
      <c r="AA44">
        <f>IF($V44="",0,IF($V45="",1,IF($X45&lt;&gt;$X44,1,0)))</f>
        <v/>
      </c>
      <c r="AB44">
        <f>IF($V44="",99999+40,$AB43+1+$Z43+$AA43+$AO43)</f>
        <v/>
      </c>
      <c r="AC44">
        <f>IFERROR(MATCH(40,$AB$5:$AB$404,1),"")</f>
        <v/>
      </c>
      <c r="AD44">
        <f>IF(40=$AI$1+1,"Z",IF($AC44="","",IF(INDEX($V$5:$V$404,$AC44)="","",IF(40&gt;INDEX($AB$5:$AB$404,$AC44)+INDEX($Z$5:$Z$404,$AC44)+INDEX($AA$5:$AA$404,$AC44)+INDEX($AO$5:$AO$404,$AC44),"",IF(40=INDEX($AB$5:$AB$404,$AC44)+INDEX($Z$5:$Z$404,$AC44),"D",IF(AND(INDEX($Z$5:$Z$404,$AC44)=1,40=INDEX($AB$5:$AB$404,$AC44)),"H",IF(AND(INDEX($AO$5:$AO$404,$AC44)=1,40=INDEX($AB$5:$AB$404,$AC44)+INDEX($Z$5:$Z$404,$AC44)+INDEX($AA$5:$AA$404,$AC44)+INDEX($AO$5:$AO$404,$AC44)),"B","T")))))))</f>
        <v/>
      </c>
      <c r="AF44">
        <f>IF(OR($AD44="",$AD44="Z",$AD44="B"),"",INDEX($X$5:$X$404,$AC44))</f>
        <v/>
      </c>
      <c r="AJ44">
        <f>IF($AD44&lt;&gt;"T",0,ROUND(SUMIF(oil!$B$4:$B$63,$AF44,oil!$AE$4:$AE$63),2))</f>
        <v/>
      </c>
      <c r="AK44">
        <f>IF($S44="","",IFERROR(INDEX(อัตราค่าขนส่ง!$P$5:$P$54,MATCH($S44,อัตราค่าขนส่ง!$O$5:$O$54,0)),INDEX(รายการมาตรฐาน!$G$2:$G$3,1)))</f>
        <v/>
      </c>
      <c r="AL44">
        <f>IF($S44="","",IFERROR(MATCH($AK44,รายการมาตรฐาน!$G$2:$G$3,0),1))</f>
        <v/>
      </c>
      <c r="AM44">
        <f>IF($V44="","",INDEX($AK$5:$AK$404,$V44))</f>
        <v/>
      </c>
      <c r="AN44">
        <f>IF($V44="","",INDEX($AL$5:$AL$404,$V44))</f>
        <v/>
      </c>
      <c r="AO44">
        <f>IF(OR($V44="",$AI$2&lt;=1),0,IF($V45="",1,IF($AN45&lt;&gt;$AN44,1,0)))</f>
        <v/>
      </c>
      <c r="AP44">
        <f>IF($V44="",0,IF($AN44&lt;&gt;$AN43,1,0))</f>
        <v/>
      </c>
      <c r="AQ44">
        <f>IF(OR($AD44="",$AD44="Z"),"",INDEX($AN$5:$AN$404,$AC44))</f>
        <v/>
      </c>
      <c r="AR44">
        <f>IF($Y44="",0,COUNTIF(บันทึกรายเที่ยว!$V$6:$V$6005,$Y44))</f>
        <v/>
      </c>
      <c r="AS44">
        <f>IF($Y44="",0,ROUND(SUMIF(บันทึกรายเที่ยว!$V$6:$V$6005,$Y44,บันทึกรายเที่ยว!$M$6:$M$6005),2))</f>
        <v/>
      </c>
      <c r="AT44">
        <f>IF($Y44="",0,IFERROR(INDEX(อัตราค่าขนส่ง!$G$5:$G$204,MATCH($Y44,อัตราค่าขนส่ง!$M$5:$M$204,0)),0))</f>
        <v/>
      </c>
      <c r="AU44">
        <f>ROUND($AS44*$BD44,2)</f>
        <v/>
      </c>
      <c r="AV44">
        <f>ROUND($AU44*$BF$2/100,2)</f>
        <v/>
      </c>
      <c r="AW44">
        <f>IF($Y44="","",IFERROR(INDEX(อัตราค่าขนส่ง!$F$5:$F$204,MATCH($Y44,อัตราค่าขนส่ง!$M$5:$M$204,0)),""))</f>
        <v/>
      </c>
      <c r="AX44">
        <f>IF($W44="","",INDEX(บันทึกรายเที่ยว!$D$6:$D$6005,$W44))</f>
        <v/>
      </c>
      <c r="AY44">
        <f>IF($W44="","",INDEX(บันทึกรายเที่ยว!$R$6:$R$6005,$W44))</f>
        <v/>
      </c>
      <c r="AZ44">
        <f>IF(AND($AD44="T",$AQ44=1),N($AZ43)+1,N($AZ43))</f>
        <v/>
      </c>
      <c r="BA44">
        <f>IF($W44="","",INDEX(บันทึกรายเที่ยว!$E$6:$E$6005,$W44))</f>
        <v/>
      </c>
      <c r="BC44">
        <f>IF($Y44="",0,IFERROR(INDEX(อัตราค่าขนส่ง!$K$5:$K$204,MATCH($Y44,อัตราค่าขนส่ง!$M$5:$M$204,0)),0))</f>
        <v/>
      </c>
      <c r="BD44">
        <f>IF($Y44="",0,IFERROR(INDEX(อัตราค่าขนส่ง!$L$5:$L$204,MATCH($Y44,อัตราค่าขนส่ง!$M$5:$M$204,0)),0))</f>
        <v/>
      </c>
    </row>
    <row r="45" ht="21" customHeight="1" s="66">
      <c r="A45" s="69">
        <f>IF($AD45="","",IF($AD45="Z","รวมจ่ายทั้งสิ้น",IF($AD45="H",INDEX($X$5:$X$404,$AC45),IF($AD45="T","รวม",IF($AD45="B",IFERROR(INDEX(อัตราค่าขนส่ง!$S$5:$S$14,MATCH(INDEX($AM$5:$AM$404,$AC45),อัตราค่าขนส่ง!$R$5:$R$14,0)),"รวมกลุ่ม "&amp;INDEX($AM$5:$AM$404,$AC45)),INDEX($AY$5:$AY$404,$AC45))))))</f>
        <v/>
      </c>
      <c r="B45" s="31">
        <f>IF($AD45&lt;&gt;"D","",INDEX($AW$5:$AW$404,$AC45))</f>
        <v/>
      </c>
      <c r="C45" s="68">
        <f>IF($AD45&lt;&gt;"D","",INDEX($AX$5:$AX$404,$AC45))</f>
        <v/>
      </c>
      <c r="D45" s="70">
        <f>IF($AD45&lt;&gt;"D","",INDEX($BA$5:$BA$404,$AC45))</f>
        <v/>
      </c>
      <c r="E45" s="31">
        <f>IF($AD45="Z",SUM($AR$5:$AR$404),IF($AD45="D",INDEX($AR$5:$AR$404,$AC45),IF($AD45="T",SUMIF($X$5:$X$404,$AF45,$AR$5:$AR$404),IF($AD45="B",SUMIF($AN$5:$AN$404,$AQ45,$AR$5:$AR$404),""))))</f>
        <v/>
      </c>
      <c r="F45" s="32">
        <f>IF($AD45="Z",ROUND(SUM($AS$5:$AS$404),2),IF($AD45="D",INDEX($AS$5:$AS$404,$AC45),IF($AD45="T",ROUND(SUMIF($X$5:$X$404,$AF45,$AS$5:$AS$404),2),IF($AD45="B",ROUND(SUMIF($AN$5:$AN$404,$AQ45,$AS$5:$AS$404),2),""))))</f>
        <v/>
      </c>
      <c r="G45" s="32">
        <f>IF($AD45&lt;&gt;"D","",INDEX($AT$5:$AT$404,$AC45))</f>
        <v/>
      </c>
      <c r="H45" s="32">
        <f>IF($AD45&lt;&gt;"D","",INDEX($BC$5:$BC$404,$AC45))</f>
        <v/>
      </c>
      <c r="I45" s="32">
        <f>IF($AD45&lt;&gt;"D","",INDEX($BD$5:$BD$404,$AC45))</f>
        <v/>
      </c>
      <c r="J45" s="46">
        <f>IF($AD45&lt;&gt;"D","",IF(N($B45)=0,"",ROUND($I45/$B45,4)))</f>
        <v/>
      </c>
      <c r="K45" s="32">
        <f>IF($AD45="Z",ROUND(SUM($AU$5:$AU$404),2),IF($AD45="D",INDEX($AU$5:$AU$404,$AC45),IF($AD45="T",ROUND(SUMIF($X$5:$X$404,$AF45,$AU$5:$AU$404),2),IF($AD45="B",ROUND(SUMIF($AN$5:$AN$404,$AQ45,$AU$5:$AU$404),2),""))))</f>
        <v/>
      </c>
      <c r="L45" s="32">
        <f>IF($AD45="Z",ROUND(SUM($AV$5:$AV$404),2),IF($AD45="D",INDEX($AV$5:$AV$404,$AC45),IF($AD45="T",ROUND(SUMIF($X$5:$X$404,$AF45,$AV$5:$AV$404),2),IF($AD45="B",ROUND(SUMIF($AN$5:$AN$404,$AQ45,$AV$5:$AV$404),2),""))))</f>
        <v/>
      </c>
      <c r="M45" s="32">
        <f>IF($AD45="Z",ROUND(SUM($AJ$5:$AJ$704),2),IF($AD45="B",ROUND(SUMIF($AQ$5:$AQ$704,$AQ45,$AJ$5:$AJ$704),2),IF($AD45&lt;&gt;"T","",$AJ45)))</f>
        <v/>
      </c>
      <c r="N45" s="32">
        <f>IF(OR($AD45="D",$AD45="T",$AD45="B",$AD45="Z"),ROUND(N($K45)-N($L45)-N($M45),2),"")</f>
        <v/>
      </c>
      <c r="O45" s="32">
        <f>IF(OR($AD45="D",$AD45="T",$AD45="B",$AD45="Z"),IF(N($E45)=0,"",ROUND($F45/$E45,2)),"")</f>
        <v/>
      </c>
      <c r="Q45">
        <f>IFERROR(MATCH(41,บันทึกรายเที่ยว!$Z$6:$Z$6005,0),"")</f>
        <v/>
      </c>
      <c r="R45">
        <f>IF($Q45="","",INDEX(บันทึกรายเที่ยว!$V$6:$V$6005,$Q45))</f>
        <v/>
      </c>
      <c r="S45">
        <f>IF($Q45="","",INDEX(บันทึกรายเที่ยว!$F$6:$F$6005,$Q45))</f>
        <v/>
      </c>
      <c r="T45">
        <f>IF($Q45="","",MATCH($S45,บันทึกรายเที่ยว!$F$6:$F$6005,0))</f>
        <v/>
      </c>
      <c r="U45">
        <f>IF($Q45="","",$AL45*10000000+$T45*1000+41)</f>
        <v/>
      </c>
      <c r="V45">
        <f>IFERROR(MATCH(SMALL($U$5:$U$404,41),$U$5:$U$404,0),"")</f>
        <v/>
      </c>
      <c r="W45">
        <f>IF($V45="","",INDEX($Q$5:$Q$404,$V45))</f>
        <v/>
      </c>
      <c r="X45">
        <f>IF($V45="","",INDEX($S$5:$S$404,$V45))</f>
        <v/>
      </c>
      <c r="Y45">
        <f>IF($V45="","",INDEX($R$5:$R$404,$V45))</f>
        <v/>
      </c>
      <c r="Z45">
        <f>IF($V45="",0,IF($X45&lt;&gt;$X44,1,0))</f>
        <v/>
      </c>
      <c r="AA45">
        <f>IF($V45="",0,IF($V46="",1,IF($X46&lt;&gt;$X45,1,0)))</f>
        <v/>
      </c>
      <c r="AB45">
        <f>IF($V45="",99999+41,$AB44+1+$Z44+$AA44+$AO44)</f>
        <v/>
      </c>
      <c r="AC45">
        <f>IFERROR(MATCH(41,$AB$5:$AB$404,1),"")</f>
        <v/>
      </c>
      <c r="AD45">
        <f>IF(41=$AI$1+1,"Z",IF($AC45="","",IF(INDEX($V$5:$V$404,$AC45)="","",IF(41&gt;INDEX($AB$5:$AB$404,$AC45)+INDEX($Z$5:$Z$404,$AC45)+INDEX($AA$5:$AA$404,$AC45)+INDEX($AO$5:$AO$404,$AC45),"",IF(41=INDEX($AB$5:$AB$404,$AC45)+INDEX($Z$5:$Z$404,$AC45),"D",IF(AND(INDEX($Z$5:$Z$404,$AC45)=1,41=INDEX($AB$5:$AB$404,$AC45)),"H",IF(AND(INDEX($AO$5:$AO$404,$AC45)=1,41=INDEX($AB$5:$AB$404,$AC45)+INDEX($Z$5:$Z$404,$AC45)+INDEX($AA$5:$AA$404,$AC45)+INDEX($AO$5:$AO$404,$AC45)),"B","T")))))))</f>
        <v/>
      </c>
      <c r="AF45">
        <f>IF(OR($AD45="",$AD45="Z",$AD45="B"),"",INDEX($X$5:$X$404,$AC45))</f>
        <v/>
      </c>
      <c r="AJ45">
        <f>IF($AD45&lt;&gt;"T",0,ROUND(SUMIF(oil!$B$4:$B$63,$AF45,oil!$AE$4:$AE$63),2))</f>
        <v/>
      </c>
      <c r="AK45">
        <f>IF($S45="","",IFERROR(INDEX(อัตราค่าขนส่ง!$P$5:$P$54,MATCH($S45,อัตราค่าขนส่ง!$O$5:$O$54,0)),INDEX(รายการมาตรฐาน!$G$2:$G$3,1)))</f>
        <v/>
      </c>
      <c r="AL45">
        <f>IF($S45="","",IFERROR(MATCH($AK45,รายการมาตรฐาน!$G$2:$G$3,0),1))</f>
        <v/>
      </c>
      <c r="AM45">
        <f>IF($V45="","",INDEX($AK$5:$AK$404,$V45))</f>
        <v/>
      </c>
      <c r="AN45">
        <f>IF($V45="","",INDEX($AL$5:$AL$404,$V45))</f>
        <v/>
      </c>
      <c r="AO45">
        <f>IF(OR($V45="",$AI$2&lt;=1),0,IF($V46="",1,IF($AN46&lt;&gt;$AN45,1,0)))</f>
        <v/>
      </c>
      <c r="AP45">
        <f>IF($V45="",0,IF($AN45&lt;&gt;$AN44,1,0))</f>
        <v/>
      </c>
      <c r="AQ45">
        <f>IF(OR($AD45="",$AD45="Z"),"",INDEX($AN$5:$AN$404,$AC45))</f>
        <v/>
      </c>
      <c r="AR45">
        <f>IF($Y45="",0,COUNTIF(บันทึกรายเที่ยว!$V$6:$V$6005,$Y45))</f>
        <v/>
      </c>
      <c r="AS45">
        <f>IF($Y45="",0,ROUND(SUMIF(บันทึกรายเที่ยว!$V$6:$V$6005,$Y45,บันทึกรายเที่ยว!$M$6:$M$6005),2))</f>
        <v/>
      </c>
      <c r="AT45">
        <f>IF($Y45="",0,IFERROR(INDEX(อัตราค่าขนส่ง!$G$5:$G$204,MATCH($Y45,อัตราค่าขนส่ง!$M$5:$M$204,0)),0))</f>
        <v/>
      </c>
      <c r="AU45">
        <f>ROUND($AS45*$BD45,2)</f>
        <v/>
      </c>
      <c r="AV45">
        <f>ROUND($AU45*$BF$2/100,2)</f>
        <v/>
      </c>
      <c r="AW45">
        <f>IF($Y45="","",IFERROR(INDEX(อัตราค่าขนส่ง!$F$5:$F$204,MATCH($Y45,อัตราค่าขนส่ง!$M$5:$M$204,0)),""))</f>
        <v/>
      </c>
      <c r="AX45">
        <f>IF($W45="","",INDEX(บันทึกรายเที่ยว!$D$6:$D$6005,$W45))</f>
        <v/>
      </c>
      <c r="AY45">
        <f>IF($W45="","",INDEX(บันทึกรายเที่ยว!$R$6:$R$6005,$W45))</f>
        <v/>
      </c>
      <c r="AZ45">
        <f>IF(AND($AD45="T",$AQ45=1),N($AZ44)+1,N($AZ44))</f>
        <v/>
      </c>
      <c r="BA45">
        <f>IF($W45="","",INDEX(บันทึกรายเที่ยว!$E$6:$E$6005,$W45))</f>
        <v/>
      </c>
      <c r="BC45">
        <f>IF($Y45="",0,IFERROR(INDEX(อัตราค่าขนส่ง!$K$5:$K$204,MATCH($Y45,อัตราค่าขนส่ง!$M$5:$M$204,0)),0))</f>
        <v/>
      </c>
      <c r="BD45">
        <f>IF($Y45="",0,IFERROR(INDEX(อัตราค่าขนส่ง!$L$5:$L$204,MATCH($Y45,อัตราค่าขนส่ง!$M$5:$M$204,0)),0))</f>
        <v/>
      </c>
    </row>
    <row r="46" ht="21" customHeight="1" s="66">
      <c r="A46" s="69">
        <f>IF($AD46="","",IF($AD46="Z","รวมจ่ายทั้งสิ้น",IF($AD46="H",INDEX($X$5:$X$404,$AC46),IF($AD46="T","รวม",IF($AD46="B",IFERROR(INDEX(อัตราค่าขนส่ง!$S$5:$S$14,MATCH(INDEX($AM$5:$AM$404,$AC46),อัตราค่าขนส่ง!$R$5:$R$14,0)),"รวมกลุ่ม "&amp;INDEX($AM$5:$AM$404,$AC46)),INDEX($AY$5:$AY$404,$AC46))))))</f>
        <v/>
      </c>
      <c r="B46" s="31">
        <f>IF($AD46&lt;&gt;"D","",INDEX($AW$5:$AW$404,$AC46))</f>
        <v/>
      </c>
      <c r="C46" s="68">
        <f>IF($AD46&lt;&gt;"D","",INDEX($AX$5:$AX$404,$AC46))</f>
        <v/>
      </c>
      <c r="D46" s="70">
        <f>IF($AD46&lt;&gt;"D","",INDEX($BA$5:$BA$404,$AC46))</f>
        <v/>
      </c>
      <c r="E46" s="31">
        <f>IF($AD46="Z",SUM($AR$5:$AR$404),IF($AD46="D",INDEX($AR$5:$AR$404,$AC46),IF($AD46="T",SUMIF($X$5:$X$404,$AF46,$AR$5:$AR$404),IF($AD46="B",SUMIF($AN$5:$AN$404,$AQ46,$AR$5:$AR$404),""))))</f>
        <v/>
      </c>
      <c r="F46" s="32">
        <f>IF($AD46="Z",ROUND(SUM($AS$5:$AS$404),2),IF($AD46="D",INDEX($AS$5:$AS$404,$AC46),IF($AD46="T",ROUND(SUMIF($X$5:$X$404,$AF46,$AS$5:$AS$404),2),IF($AD46="B",ROUND(SUMIF($AN$5:$AN$404,$AQ46,$AS$5:$AS$404),2),""))))</f>
        <v/>
      </c>
      <c r="G46" s="32">
        <f>IF($AD46&lt;&gt;"D","",INDEX($AT$5:$AT$404,$AC46))</f>
        <v/>
      </c>
      <c r="H46" s="32">
        <f>IF($AD46&lt;&gt;"D","",INDEX($BC$5:$BC$404,$AC46))</f>
        <v/>
      </c>
      <c r="I46" s="32">
        <f>IF($AD46&lt;&gt;"D","",INDEX($BD$5:$BD$404,$AC46))</f>
        <v/>
      </c>
      <c r="J46" s="46">
        <f>IF($AD46&lt;&gt;"D","",IF(N($B46)=0,"",ROUND($I46/$B46,4)))</f>
        <v/>
      </c>
      <c r="K46" s="32">
        <f>IF($AD46="Z",ROUND(SUM($AU$5:$AU$404),2),IF($AD46="D",INDEX($AU$5:$AU$404,$AC46),IF($AD46="T",ROUND(SUMIF($X$5:$X$404,$AF46,$AU$5:$AU$404),2),IF($AD46="B",ROUND(SUMIF($AN$5:$AN$404,$AQ46,$AU$5:$AU$404),2),""))))</f>
        <v/>
      </c>
      <c r="L46" s="32">
        <f>IF($AD46="Z",ROUND(SUM($AV$5:$AV$404),2),IF($AD46="D",INDEX($AV$5:$AV$404,$AC46),IF($AD46="T",ROUND(SUMIF($X$5:$X$404,$AF46,$AV$5:$AV$404),2),IF($AD46="B",ROUND(SUMIF($AN$5:$AN$404,$AQ46,$AV$5:$AV$404),2),""))))</f>
        <v/>
      </c>
      <c r="M46" s="32">
        <f>IF($AD46="Z",ROUND(SUM($AJ$5:$AJ$704),2),IF($AD46="B",ROUND(SUMIF($AQ$5:$AQ$704,$AQ46,$AJ$5:$AJ$704),2),IF($AD46&lt;&gt;"T","",$AJ46)))</f>
        <v/>
      </c>
      <c r="N46" s="32">
        <f>IF(OR($AD46="D",$AD46="T",$AD46="B",$AD46="Z"),ROUND(N($K46)-N($L46)-N($M46),2),"")</f>
        <v/>
      </c>
      <c r="O46" s="32">
        <f>IF(OR($AD46="D",$AD46="T",$AD46="B",$AD46="Z"),IF(N($E46)=0,"",ROUND($F46/$E46,2)),"")</f>
        <v/>
      </c>
      <c r="Q46">
        <f>IFERROR(MATCH(42,บันทึกรายเที่ยว!$Z$6:$Z$6005,0),"")</f>
        <v/>
      </c>
      <c r="R46">
        <f>IF($Q46="","",INDEX(บันทึกรายเที่ยว!$V$6:$V$6005,$Q46))</f>
        <v/>
      </c>
      <c r="S46">
        <f>IF($Q46="","",INDEX(บันทึกรายเที่ยว!$F$6:$F$6005,$Q46))</f>
        <v/>
      </c>
      <c r="T46">
        <f>IF($Q46="","",MATCH($S46,บันทึกรายเที่ยว!$F$6:$F$6005,0))</f>
        <v/>
      </c>
      <c r="U46">
        <f>IF($Q46="","",$AL46*10000000+$T46*1000+42)</f>
        <v/>
      </c>
      <c r="V46">
        <f>IFERROR(MATCH(SMALL($U$5:$U$404,42),$U$5:$U$404,0),"")</f>
        <v/>
      </c>
      <c r="W46">
        <f>IF($V46="","",INDEX($Q$5:$Q$404,$V46))</f>
        <v/>
      </c>
      <c r="X46">
        <f>IF($V46="","",INDEX($S$5:$S$404,$V46))</f>
        <v/>
      </c>
      <c r="Y46">
        <f>IF($V46="","",INDEX($R$5:$R$404,$V46))</f>
        <v/>
      </c>
      <c r="Z46">
        <f>IF($V46="",0,IF($X46&lt;&gt;$X45,1,0))</f>
        <v/>
      </c>
      <c r="AA46">
        <f>IF($V46="",0,IF($V47="",1,IF($X47&lt;&gt;$X46,1,0)))</f>
        <v/>
      </c>
      <c r="AB46">
        <f>IF($V46="",99999+42,$AB45+1+$Z45+$AA45+$AO45)</f>
        <v/>
      </c>
      <c r="AC46">
        <f>IFERROR(MATCH(42,$AB$5:$AB$404,1),"")</f>
        <v/>
      </c>
      <c r="AD46">
        <f>IF(42=$AI$1+1,"Z",IF($AC46="","",IF(INDEX($V$5:$V$404,$AC46)="","",IF(42&gt;INDEX($AB$5:$AB$404,$AC46)+INDEX($Z$5:$Z$404,$AC46)+INDEX($AA$5:$AA$404,$AC46)+INDEX($AO$5:$AO$404,$AC46),"",IF(42=INDEX($AB$5:$AB$404,$AC46)+INDEX($Z$5:$Z$404,$AC46),"D",IF(AND(INDEX($Z$5:$Z$404,$AC46)=1,42=INDEX($AB$5:$AB$404,$AC46)),"H",IF(AND(INDEX($AO$5:$AO$404,$AC46)=1,42=INDEX($AB$5:$AB$404,$AC46)+INDEX($Z$5:$Z$404,$AC46)+INDEX($AA$5:$AA$404,$AC46)+INDEX($AO$5:$AO$404,$AC46)),"B","T")))))))</f>
        <v/>
      </c>
      <c r="AF46">
        <f>IF(OR($AD46="",$AD46="Z",$AD46="B"),"",INDEX($X$5:$X$404,$AC46))</f>
        <v/>
      </c>
      <c r="AJ46">
        <f>IF($AD46&lt;&gt;"T",0,ROUND(SUMIF(oil!$B$4:$B$63,$AF46,oil!$AE$4:$AE$63),2))</f>
        <v/>
      </c>
      <c r="AK46">
        <f>IF($S46="","",IFERROR(INDEX(อัตราค่าขนส่ง!$P$5:$P$54,MATCH($S46,อัตราค่าขนส่ง!$O$5:$O$54,0)),INDEX(รายการมาตรฐาน!$G$2:$G$3,1)))</f>
        <v/>
      </c>
      <c r="AL46">
        <f>IF($S46="","",IFERROR(MATCH($AK46,รายการมาตรฐาน!$G$2:$G$3,0),1))</f>
        <v/>
      </c>
      <c r="AM46">
        <f>IF($V46="","",INDEX($AK$5:$AK$404,$V46))</f>
        <v/>
      </c>
      <c r="AN46">
        <f>IF($V46="","",INDEX($AL$5:$AL$404,$V46))</f>
        <v/>
      </c>
      <c r="AO46">
        <f>IF(OR($V46="",$AI$2&lt;=1),0,IF($V47="",1,IF($AN47&lt;&gt;$AN46,1,0)))</f>
        <v/>
      </c>
      <c r="AP46">
        <f>IF($V46="",0,IF($AN46&lt;&gt;$AN45,1,0))</f>
        <v/>
      </c>
      <c r="AQ46">
        <f>IF(OR($AD46="",$AD46="Z"),"",INDEX($AN$5:$AN$404,$AC46))</f>
        <v/>
      </c>
      <c r="AR46">
        <f>IF($Y46="",0,COUNTIF(บันทึกรายเที่ยว!$V$6:$V$6005,$Y46))</f>
        <v/>
      </c>
      <c r="AS46">
        <f>IF($Y46="",0,ROUND(SUMIF(บันทึกรายเที่ยว!$V$6:$V$6005,$Y46,บันทึกรายเที่ยว!$M$6:$M$6005),2))</f>
        <v/>
      </c>
      <c r="AT46">
        <f>IF($Y46="",0,IFERROR(INDEX(อัตราค่าขนส่ง!$G$5:$G$204,MATCH($Y46,อัตราค่าขนส่ง!$M$5:$M$204,0)),0))</f>
        <v/>
      </c>
      <c r="AU46">
        <f>ROUND($AS46*$BD46,2)</f>
        <v/>
      </c>
      <c r="AV46">
        <f>ROUND($AU46*$BF$2/100,2)</f>
        <v/>
      </c>
      <c r="AW46">
        <f>IF($Y46="","",IFERROR(INDEX(อัตราค่าขนส่ง!$F$5:$F$204,MATCH($Y46,อัตราค่าขนส่ง!$M$5:$M$204,0)),""))</f>
        <v/>
      </c>
      <c r="AX46">
        <f>IF($W46="","",INDEX(บันทึกรายเที่ยว!$D$6:$D$6005,$W46))</f>
        <v/>
      </c>
      <c r="AY46">
        <f>IF($W46="","",INDEX(บันทึกรายเที่ยว!$R$6:$R$6005,$W46))</f>
        <v/>
      </c>
      <c r="AZ46">
        <f>IF(AND($AD46="T",$AQ46=1),N($AZ45)+1,N($AZ45))</f>
        <v/>
      </c>
      <c r="BA46">
        <f>IF($W46="","",INDEX(บันทึกรายเที่ยว!$E$6:$E$6005,$W46))</f>
        <v/>
      </c>
      <c r="BC46">
        <f>IF($Y46="",0,IFERROR(INDEX(อัตราค่าขนส่ง!$K$5:$K$204,MATCH($Y46,อัตราค่าขนส่ง!$M$5:$M$204,0)),0))</f>
        <v/>
      </c>
      <c r="BD46">
        <f>IF($Y46="",0,IFERROR(INDEX(อัตราค่าขนส่ง!$L$5:$L$204,MATCH($Y46,อัตราค่าขนส่ง!$M$5:$M$204,0)),0))</f>
        <v/>
      </c>
    </row>
    <row r="47" ht="21" customHeight="1" s="66">
      <c r="A47" s="69">
        <f>IF($AD47="","",IF($AD47="Z","รวมจ่ายทั้งสิ้น",IF($AD47="H",INDEX($X$5:$X$404,$AC47),IF($AD47="T","รวม",IF($AD47="B",IFERROR(INDEX(อัตราค่าขนส่ง!$S$5:$S$14,MATCH(INDEX($AM$5:$AM$404,$AC47),อัตราค่าขนส่ง!$R$5:$R$14,0)),"รวมกลุ่ม "&amp;INDEX($AM$5:$AM$404,$AC47)),INDEX($AY$5:$AY$404,$AC47))))))</f>
        <v/>
      </c>
      <c r="B47" s="31">
        <f>IF($AD47&lt;&gt;"D","",INDEX($AW$5:$AW$404,$AC47))</f>
        <v/>
      </c>
      <c r="C47" s="68">
        <f>IF($AD47&lt;&gt;"D","",INDEX($AX$5:$AX$404,$AC47))</f>
        <v/>
      </c>
      <c r="D47" s="70">
        <f>IF($AD47&lt;&gt;"D","",INDEX($BA$5:$BA$404,$AC47))</f>
        <v/>
      </c>
      <c r="E47" s="31">
        <f>IF($AD47="Z",SUM($AR$5:$AR$404),IF($AD47="D",INDEX($AR$5:$AR$404,$AC47),IF($AD47="T",SUMIF($X$5:$X$404,$AF47,$AR$5:$AR$404),IF($AD47="B",SUMIF($AN$5:$AN$404,$AQ47,$AR$5:$AR$404),""))))</f>
        <v/>
      </c>
      <c r="F47" s="32">
        <f>IF($AD47="Z",ROUND(SUM($AS$5:$AS$404),2),IF($AD47="D",INDEX($AS$5:$AS$404,$AC47),IF($AD47="T",ROUND(SUMIF($X$5:$X$404,$AF47,$AS$5:$AS$404),2),IF($AD47="B",ROUND(SUMIF($AN$5:$AN$404,$AQ47,$AS$5:$AS$404),2),""))))</f>
        <v/>
      </c>
      <c r="G47" s="32">
        <f>IF($AD47&lt;&gt;"D","",INDEX($AT$5:$AT$404,$AC47))</f>
        <v/>
      </c>
      <c r="H47" s="32">
        <f>IF($AD47&lt;&gt;"D","",INDEX($BC$5:$BC$404,$AC47))</f>
        <v/>
      </c>
      <c r="I47" s="32">
        <f>IF($AD47&lt;&gt;"D","",INDEX($BD$5:$BD$404,$AC47))</f>
        <v/>
      </c>
      <c r="J47" s="46">
        <f>IF($AD47&lt;&gt;"D","",IF(N($B47)=0,"",ROUND($I47/$B47,4)))</f>
        <v/>
      </c>
      <c r="K47" s="32">
        <f>IF($AD47="Z",ROUND(SUM($AU$5:$AU$404),2),IF($AD47="D",INDEX($AU$5:$AU$404,$AC47),IF($AD47="T",ROUND(SUMIF($X$5:$X$404,$AF47,$AU$5:$AU$404),2),IF($AD47="B",ROUND(SUMIF($AN$5:$AN$404,$AQ47,$AU$5:$AU$404),2),""))))</f>
        <v/>
      </c>
      <c r="L47" s="32">
        <f>IF($AD47="Z",ROUND(SUM($AV$5:$AV$404),2),IF($AD47="D",INDEX($AV$5:$AV$404,$AC47),IF($AD47="T",ROUND(SUMIF($X$5:$X$404,$AF47,$AV$5:$AV$404),2),IF($AD47="B",ROUND(SUMIF($AN$5:$AN$404,$AQ47,$AV$5:$AV$404),2),""))))</f>
        <v/>
      </c>
      <c r="M47" s="32">
        <f>IF($AD47="Z",ROUND(SUM($AJ$5:$AJ$704),2),IF($AD47="B",ROUND(SUMIF($AQ$5:$AQ$704,$AQ47,$AJ$5:$AJ$704),2),IF($AD47&lt;&gt;"T","",$AJ47)))</f>
        <v/>
      </c>
      <c r="N47" s="32">
        <f>IF(OR($AD47="D",$AD47="T",$AD47="B",$AD47="Z"),ROUND(N($K47)-N($L47)-N($M47),2),"")</f>
        <v/>
      </c>
      <c r="O47" s="32">
        <f>IF(OR($AD47="D",$AD47="T",$AD47="B",$AD47="Z"),IF(N($E47)=0,"",ROUND($F47/$E47,2)),"")</f>
        <v/>
      </c>
      <c r="Q47">
        <f>IFERROR(MATCH(43,บันทึกรายเที่ยว!$Z$6:$Z$6005,0),"")</f>
        <v/>
      </c>
      <c r="R47">
        <f>IF($Q47="","",INDEX(บันทึกรายเที่ยว!$V$6:$V$6005,$Q47))</f>
        <v/>
      </c>
      <c r="S47">
        <f>IF($Q47="","",INDEX(บันทึกรายเที่ยว!$F$6:$F$6005,$Q47))</f>
        <v/>
      </c>
      <c r="T47">
        <f>IF($Q47="","",MATCH($S47,บันทึกรายเที่ยว!$F$6:$F$6005,0))</f>
        <v/>
      </c>
      <c r="U47">
        <f>IF($Q47="","",$AL47*10000000+$T47*1000+43)</f>
        <v/>
      </c>
      <c r="V47">
        <f>IFERROR(MATCH(SMALL($U$5:$U$404,43),$U$5:$U$404,0),"")</f>
        <v/>
      </c>
      <c r="W47">
        <f>IF($V47="","",INDEX($Q$5:$Q$404,$V47))</f>
        <v/>
      </c>
      <c r="X47">
        <f>IF($V47="","",INDEX($S$5:$S$404,$V47))</f>
        <v/>
      </c>
      <c r="Y47">
        <f>IF($V47="","",INDEX($R$5:$R$404,$V47))</f>
        <v/>
      </c>
      <c r="Z47">
        <f>IF($V47="",0,IF($X47&lt;&gt;$X46,1,0))</f>
        <v/>
      </c>
      <c r="AA47">
        <f>IF($V47="",0,IF($V48="",1,IF($X48&lt;&gt;$X47,1,0)))</f>
        <v/>
      </c>
      <c r="AB47">
        <f>IF($V47="",99999+43,$AB46+1+$Z46+$AA46+$AO46)</f>
        <v/>
      </c>
      <c r="AC47">
        <f>IFERROR(MATCH(43,$AB$5:$AB$404,1),"")</f>
        <v/>
      </c>
      <c r="AD47">
        <f>IF(43=$AI$1+1,"Z",IF($AC47="","",IF(INDEX($V$5:$V$404,$AC47)="","",IF(43&gt;INDEX($AB$5:$AB$404,$AC47)+INDEX($Z$5:$Z$404,$AC47)+INDEX($AA$5:$AA$404,$AC47)+INDEX($AO$5:$AO$404,$AC47),"",IF(43=INDEX($AB$5:$AB$404,$AC47)+INDEX($Z$5:$Z$404,$AC47),"D",IF(AND(INDEX($Z$5:$Z$404,$AC47)=1,43=INDEX($AB$5:$AB$404,$AC47)),"H",IF(AND(INDEX($AO$5:$AO$404,$AC47)=1,43=INDEX($AB$5:$AB$404,$AC47)+INDEX($Z$5:$Z$404,$AC47)+INDEX($AA$5:$AA$404,$AC47)+INDEX($AO$5:$AO$404,$AC47)),"B","T")))))))</f>
        <v/>
      </c>
      <c r="AF47">
        <f>IF(OR($AD47="",$AD47="Z",$AD47="B"),"",INDEX($X$5:$X$404,$AC47))</f>
        <v/>
      </c>
      <c r="AJ47">
        <f>IF($AD47&lt;&gt;"T",0,ROUND(SUMIF(oil!$B$4:$B$63,$AF47,oil!$AE$4:$AE$63),2))</f>
        <v/>
      </c>
      <c r="AK47">
        <f>IF($S47="","",IFERROR(INDEX(อัตราค่าขนส่ง!$P$5:$P$54,MATCH($S47,อัตราค่าขนส่ง!$O$5:$O$54,0)),INDEX(รายการมาตรฐาน!$G$2:$G$3,1)))</f>
        <v/>
      </c>
      <c r="AL47">
        <f>IF($S47="","",IFERROR(MATCH($AK47,รายการมาตรฐาน!$G$2:$G$3,0),1))</f>
        <v/>
      </c>
      <c r="AM47">
        <f>IF($V47="","",INDEX($AK$5:$AK$404,$V47))</f>
        <v/>
      </c>
      <c r="AN47">
        <f>IF($V47="","",INDEX($AL$5:$AL$404,$V47))</f>
        <v/>
      </c>
      <c r="AO47">
        <f>IF(OR($V47="",$AI$2&lt;=1),0,IF($V48="",1,IF($AN48&lt;&gt;$AN47,1,0)))</f>
        <v/>
      </c>
      <c r="AP47">
        <f>IF($V47="",0,IF($AN47&lt;&gt;$AN46,1,0))</f>
        <v/>
      </c>
      <c r="AQ47">
        <f>IF(OR($AD47="",$AD47="Z"),"",INDEX($AN$5:$AN$404,$AC47))</f>
        <v/>
      </c>
      <c r="AR47">
        <f>IF($Y47="",0,COUNTIF(บันทึกรายเที่ยว!$V$6:$V$6005,$Y47))</f>
        <v/>
      </c>
      <c r="AS47">
        <f>IF($Y47="",0,ROUND(SUMIF(บันทึกรายเที่ยว!$V$6:$V$6005,$Y47,บันทึกรายเที่ยว!$M$6:$M$6005),2))</f>
        <v/>
      </c>
      <c r="AT47">
        <f>IF($Y47="",0,IFERROR(INDEX(อัตราค่าขนส่ง!$G$5:$G$204,MATCH($Y47,อัตราค่าขนส่ง!$M$5:$M$204,0)),0))</f>
        <v/>
      </c>
      <c r="AU47">
        <f>ROUND($AS47*$BD47,2)</f>
        <v/>
      </c>
      <c r="AV47">
        <f>ROUND($AU47*$BF$2/100,2)</f>
        <v/>
      </c>
      <c r="AW47">
        <f>IF($Y47="","",IFERROR(INDEX(อัตราค่าขนส่ง!$F$5:$F$204,MATCH($Y47,อัตราค่าขนส่ง!$M$5:$M$204,0)),""))</f>
        <v/>
      </c>
      <c r="AX47">
        <f>IF($W47="","",INDEX(บันทึกรายเที่ยว!$D$6:$D$6005,$W47))</f>
        <v/>
      </c>
      <c r="AY47">
        <f>IF($W47="","",INDEX(บันทึกรายเที่ยว!$R$6:$R$6005,$W47))</f>
        <v/>
      </c>
      <c r="AZ47">
        <f>IF(AND($AD47="T",$AQ47=1),N($AZ46)+1,N($AZ46))</f>
        <v/>
      </c>
      <c r="BA47">
        <f>IF($W47="","",INDEX(บันทึกรายเที่ยว!$E$6:$E$6005,$W47))</f>
        <v/>
      </c>
      <c r="BC47">
        <f>IF($Y47="",0,IFERROR(INDEX(อัตราค่าขนส่ง!$K$5:$K$204,MATCH($Y47,อัตราค่าขนส่ง!$M$5:$M$204,0)),0))</f>
        <v/>
      </c>
      <c r="BD47">
        <f>IF($Y47="",0,IFERROR(INDEX(อัตราค่าขนส่ง!$L$5:$L$204,MATCH($Y47,อัตราค่าขนส่ง!$M$5:$M$204,0)),0))</f>
        <v/>
      </c>
    </row>
    <row r="48" ht="21" customHeight="1" s="66">
      <c r="A48" s="69">
        <f>IF($AD48="","",IF($AD48="Z","รวมจ่ายทั้งสิ้น",IF($AD48="H",INDEX($X$5:$X$404,$AC48),IF($AD48="T","รวม",IF($AD48="B",IFERROR(INDEX(อัตราค่าขนส่ง!$S$5:$S$14,MATCH(INDEX($AM$5:$AM$404,$AC48),อัตราค่าขนส่ง!$R$5:$R$14,0)),"รวมกลุ่ม "&amp;INDEX($AM$5:$AM$404,$AC48)),INDEX($AY$5:$AY$404,$AC48))))))</f>
        <v/>
      </c>
      <c r="B48" s="31">
        <f>IF($AD48&lt;&gt;"D","",INDEX($AW$5:$AW$404,$AC48))</f>
        <v/>
      </c>
      <c r="C48" s="68">
        <f>IF($AD48&lt;&gt;"D","",INDEX($AX$5:$AX$404,$AC48))</f>
        <v/>
      </c>
      <c r="D48" s="70">
        <f>IF($AD48&lt;&gt;"D","",INDEX($BA$5:$BA$404,$AC48))</f>
        <v/>
      </c>
      <c r="E48" s="31">
        <f>IF($AD48="Z",SUM($AR$5:$AR$404),IF($AD48="D",INDEX($AR$5:$AR$404,$AC48),IF($AD48="T",SUMIF($X$5:$X$404,$AF48,$AR$5:$AR$404),IF($AD48="B",SUMIF($AN$5:$AN$404,$AQ48,$AR$5:$AR$404),""))))</f>
        <v/>
      </c>
      <c r="F48" s="32">
        <f>IF($AD48="Z",ROUND(SUM($AS$5:$AS$404),2),IF($AD48="D",INDEX($AS$5:$AS$404,$AC48),IF($AD48="T",ROUND(SUMIF($X$5:$X$404,$AF48,$AS$5:$AS$404),2),IF($AD48="B",ROUND(SUMIF($AN$5:$AN$404,$AQ48,$AS$5:$AS$404),2),""))))</f>
        <v/>
      </c>
      <c r="G48" s="32">
        <f>IF($AD48&lt;&gt;"D","",INDEX($AT$5:$AT$404,$AC48))</f>
        <v/>
      </c>
      <c r="H48" s="32">
        <f>IF($AD48&lt;&gt;"D","",INDEX($BC$5:$BC$404,$AC48))</f>
        <v/>
      </c>
      <c r="I48" s="32">
        <f>IF($AD48&lt;&gt;"D","",INDEX($BD$5:$BD$404,$AC48))</f>
        <v/>
      </c>
      <c r="J48" s="46">
        <f>IF($AD48&lt;&gt;"D","",IF(N($B48)=0,"",ROUND($I48/$B48,4)))</f>
        <v/>
      </c>
      <c r="K48" s="32">
        <f>IF($AD48="Z",ROUND(SUM($AU$5:$AU$404),2),IF($AD48="D",INDEX($AU$5:$AU$404,$AC48),IF($AD48="T",ROUND(SUMIF($X$5:$X$404,$AF48,$AU$5:$AU$404),2),IF($AD48="B",ROUND(SUMIF($AN$5:$AN$404,$AQ48,$AU$5:$AU$404),2),""))))</f>
        <v/>
      </c>
      <c r="L48" s="32">
        <f>IF($AD48="Z",ROUND(SUM($AV$5:$AV$404),2),IF($AD48="D",INDEX($AV$5:$AV$404,$AC48),IF($AD48="T",ROUND(SUMIF($X$5:$X$404,$AF48,$AV$5:$AV$404),2),IF($AD48="B",ROUND(SUMIF($AN$5:$AN$404,$AQ48,$AV$5:$AV$404),2),""))))</f>
        <v/>
      </c>
      <c r="M48" s="32">
        <f>IF($AD48="Z",ROUND(SUM($AJ$5:$AJ$704),2),IF($AD48="B",ROUND(SUMIF($AQ$5:$AQ$704,$AQ48,$AJ$5:$AJ$704),2),IF($AD48&lt;&gt;"T","",$AJ48)))</f>
        <v/>
      </c>
      <c r="N48" s="32">
        <f>IF(OR($AD48="D",$AD48="T",$AD48="B",$AD48="Z"),ROUND(N($K48)-N($L48)-N($M48),2),"")</f>
        <v/>
      </c>
      <c r="O48" s="32">
        <f>IF(OR($AD48="D",$AD48="T",$AD48="B",$AD48="Z"),IF(N($E48)=0,"",ROUND($F48/$E48,2)),"")</f>
        <v/>
      </c>
      <c r="Q48">
        <f>IFERROR(MATCH(44,บันทึกรายเที่ยว!$Z$6:$Z$6005,0),"")</f>
        <v/>
      </c>
      <c r="R48">
        <f>IF($Q48="","",INDEX(บันทึกรายเที่ยว!$V$6:$V$6005,$Q48))</f>
        <v/>
      </c>
      <c r="S48">
        <f>IF($Q48="","",INDEX(บันทึกรายเที่ยว!$F$6:$F$6005,$Q48))</f>
        <v/>
      </c>
      <c r="T48">
        <f>IF($Q48="","",MATCH($S48,บันทึกรายเที่ยว!$F$6:$F$6005,0))</f>
        <v/>
      </c>
      <c r="U48">
        <f>IF($Q48="","",$AL48*10000000+$T48*1000+44)</f>
        <v/>
      </c>
      <c r="V48">
        <f>IFERROR(MATCH(SMALL($U$5:$U$404,44),$U$5:$U$404,0),"")</f>
        <v/>
      </c>
      <c r="W48">
        <f>IF($V48="","",INDEX($Q$5:$Q$404,$V48))</f>
        <v/>
      </c>
      <c r="X48">
        <f>IF($V48="","",INDEX($S$5:$S$404,$V48))</f>
        <v/>
      </c>
      <c r="Y48">
        <f>IF($V48="","",INDEX($R$5:$R$404,$V48))</f>
        <v/>
      </c>
      <c r="Z48">
        <f>IF($V48="",0,IF($X48&lt;&gt;$X47,1,0))</f>
        <v/>
      </c>
      <c r="AA48">
        <f>IF($V48="",0,IF($V49="",1,IF($X49&lt;&gt;$X48,1,0)))</f>
        <v/>
      </c>
      <c r="AB48">
        <f>IF($V48="",99999+44,$AB47+1+$Z47+$AA47+$AO47)</f>
        <v/>
      </c>
      <c r="AC48">
        <f>IFERROR(MATCH(44,$AB$5:$AB$404,1),"")</f>
        <v/>
      </c>
      <c r="AD48">
        <f>IF(44=$AI$1+1,"Z",IF($AC48="","",IF(INDEX($V$5:$V$404,$AC48)="","",IF(44&gt;INDEX($AB$5:$AB$404,$AC48)+INDEX($Z$5:$Z$404,$AC48)+INDEX($AA$5:$AA$404,$AC48)+INDEX($AO$5:$AO$404,$AC48),"",IF(44=INDEX($AB$5:$AB$404,$AC48)+INDEX($Z$5:$Z$404,$AC48),"D",IF(AND(INDEX($Z$5:$Z$404,$AC48)=1,44=INDEX($AB$5:$AB$404,$AC48)),"H",IF(AND(INDEX($AO$5:$AO$404,$AC48)=1,44=INDEX($AB$5:$AB$404,$AC48)+INDEX($Z$5:$Z$404,$AC48)+INDEX($AA$5:$AA$404,$AC48)+INDEX($AO$5:$AO$404,$AC48)),"B","T")))))))</f>
        <v/>
      </c>
      <c r="AF48">
        <f>IF(OR($AD48="",$AD48="Z",$AD48="B"),"",INDEX($X$5:$X$404,$AC48))</f>
        <v/>
      </c>
      <c r="AJ48">
        <f>IF($AD48&lt;&gt;"T",0,ROUND(SUMIF(oil!$B$4:$B$63,$AF48,oil!$AE$4:$AE$63),2))</f>
        <v/>
      </c>
      <c r="AK48">
        <f>IF($S48="","",IFERROR(INDEX(อัตราค่าขนส่ง!$P$5:$P$54,MATCH($S48,อัตราค่าขนส่ง!$O$5:$O$54,0)),INDEX(รายการมาตรฐาน!$G$2:$G$3,1)))</f>
        <v/>
      </c>
      <c r="AL48">
        <f>IF($S48="","",IFERROR(MATCH($AK48,รายการมาตรฐาน!$G$2:$G$3,0),1))</f>
        <v/>
      </c>
      <c r="AM48">
        <f>IF($V48="","",INDEX($AK$5:$AK$404,$V48))</f>
        <v/>
      </c>
      <c r="AN48">
        <f>IF($V48="","",INDEX($AL$5:$AL$404,$V48))</f>
        <v/>
      </c>
      <c r="AO48">
        <f>IF(OR($V48="",$AI$2&lt;=1),0,IF($V49="",1,IF($AN49&lt;&gt;$AN48,1,0)))</f>
        <v/>
      </c>
      <c r="AP48">
        <f>IF($V48="",0,IF($AN48&lt;&gt;$AN47,1,0))</f>
        <v/>
      </c>
      <c r="AQ48">
        <f>IF(OR($AD48="",$AD48="Z"),"",INDEX($AN$5:$AN$404,$AC48))</f>
        <v/>
      </c>
      <c r="AR48">
        <f>IF($Y48="",0,COUNTIF(บันทึกรายเที่ยว!$V$6:$V$6005,$Y48))</f>
        <v/>
      </c>
      <c r="AS48">
        <f>IF($Y48="",0,ROUND(SUMIF(บันทึกรายเที่ยว!$V$6:$V$6005,$Y48,บันทึกรายเที่ยว!$M$6:$M$6005),2))</f>
        <v/>
      </c>
      <c r="AT48">
        <f>IF($Y48="",0,IFERROR(INDEX(อัตราค่าขนส่ง!$G$5:$G$204,MATCH($Y48,อัตราค่าขนส่ง!$M$5:$M$204,0)),0))</f>
        <v/>
      </c>
      <c r="AU48">
        <f>ROUND($AS48*$BD48,2)</f>
        <v/>
      </c>
      <c r="AV48">
        <f>ROUND($AU48*$BF$2/100,2)</f>
        <v/>
      </c>
      <c r="AW48">
        <f>IF($Y48="","",IFERROR(INDEX(อัตราค่าขนส่ง!$F$5:$F$204,MATCH($Y48,อัตราค่าขนส่ง!$M$5:$M$204,0)),""))</f>
        <v/>
      </c>
      <c r="AX48">
        <f>IF($W48="","",INDEX(บันทึกรายเที่ยว!$D$6:$D$6005,$W48))</f>
        <v/>
      </c>
      <c r="AY48">
        <f>IF($W48="","",INDEX(บันทึกรายเที่ยว!$R$6:$R$6005,$W48))</f>
        <v/>
      </c>
      <c r="AZ48">
        <f>IF(AND($AD48="T",$AQ48=1),N($AZ47)+1,N($AZ47))</f>
        <v/>
      </c>
      <c r="BA48">
        <f>IF($W48="","",INDEX(บันทึกรายเที่ยว!$E$6:$E$6005,$W48))</f>
        <v/>
      </c>
      <c r="BC48">
        <f>IF($Y48="",0,IFERROR(INDEX(อัตราค่าขนส่ง!$K$5:$K$204,MATCH($Y48,อัตราค่าขนส่ง!$M$5:$M$204,0)),0))</f>
        <v/>
      </c>
      <c r="BD48">
        <f>IF($Y48="",0,IFERROR(INDEX(อัตราค่าขนส่ง!$L$5:$L$204,MATCH($Y48,อัตราค่าขนส่ง!$M$5:$M$204,0)),0))</f>
        <v/>
      </c>
    </row>
    <row r="49" ht="21" customHeight="1" s="66">
      <c r="A49" s="69">
        <f>IF($AD49="","",IF($AD49="Z","รวมจ่ายทั้งสิ้น",IF($AD49="H",INDEX($X$5:$X$404,$AC49),IF($AD49="T","รวม",IF($AD49="B",IFERROR(INDEX(อัตราค่าขนส่ง!$S$5:$S$14,MATCH(INDEX($AM$5:$AM$404,$AC49),อัตราค่าขนส่ง!$R$5:$R$14,0)),"รวมกลุ่ม "&amp;INDEX($AM$5:$AM$404,$AC49)),INDEX($AY$5:$AY$404,$AC49))))))</f>
        <v/>
      </c>
      <c r="B49" s="31">
        <f>IF($AD49&lt;&gt;"D","",INDEX($AW$5:$AW$404,$AC49))</f>
        <v/>
      </c>
      <c r="C49" s="68">
        <f>IF($AD49&lt;&gt;"D","",INDEX($AX$5:$AX$404,$AC49))</f>
        <v/>
      </c>
      <c r="D49" s="70">
        <f>IF($AD49&lt;&gt;"D","",INDEX($BA$5:$BA$404,$AC49))</f>
        <v/>
      </c>
      <c r="E49" s="31">
        <f>IF($AD49="Z",SUM($AR$5:$AR$404),IF($AD49="D",INDEX($AR$5:$AR$404,$AC49),IF($AD49="T",SUMIF($X$5:$X$404,$AF49,$AR$5:$AR$404),IF($AD49="B",SUMIF($AN$5:$AN$404,$AQ49,$AR$5:$AR$404),""))))</f>
        <v/>
      </c>
      <c r="F49" s="32">
        <f>IF($AD49="Z",ROUND(SUM($AS$5:$AS$404),2),IF($AD49="D",INDEX($AS$5:$AS$404,$AC49),IF($AD49="T",ROUND(SUMIF($X$5:$X$404,$AF49,$AS$5:$AS$404),2),IF($AD49="B",ROUND(SUMIF($AN$5:$AN$404,$AQ49,$AS$5:$AS$404),2),""))))</f>
        <v/>
      </c>
      <c r="G49" s="32">
        <f>IF($AD49&lt;&gt;"D","",INDEX($AT$5:$AT$404,$AC49))</f>
        <v/>
      </c>
      <c r="H49" s="32">
        <f>IF($AD49&lt;&gt;"D","",INDEX($BC$5:$BC$404,$AC49))</f>
        <v/>
      </c>
      <c r="I49" s="32">
        <f>IF($AD49&lt;&gt;"D","",INDEX($BD$5:$BD$404,$AC49))</f>
        <v/>
      </c>
      <c r="J49" s="46">
        <f>IF($AD49&lt;&gt;"D","",IF(N($B49)=0,"",ROUND($I49/$B49,4)))</f>
        <v/>
      </c>
      <c r="K49" s="32">
        <f>IF($AD49="Z",ROUND(SUM($AU$5:$AU$404),2),IF($AD49="D",INDEX($AU$5:$AU$404,$AC49),IF($AD49="T",ROUND(SUMIF($X$5:$X$404,$AF49,$AU$5:$AU$404),2),IF($AD49="B",ROUND(SUMIF($AN$5:$AN$404,$AQ49,$AU$5:$AU$404),2),""))))</f>
        <v/>
      </c>
      <c r="L49" s="32">
        <f>IF($AD49="Z",ROUND(SUM($AV$5:$AV$404),2),IF($AD49="D",INDEX($AV$5:$AV$404,$AC49),IF($AD49="T",ROUND(SUMIF($X$5:$X$404,$AF49,$AV$5:$AV$404),2),IF($AD49="B",ROUND(SUMIF($AN$5:$AN$404,$AQ49,$AV$5:$AV$404),2),""))))</f>
        <v/>
      </c>
      <c r="M49" s="32">
        <f>IF($AD49="Z",ROUND(SUM($AJ$5:$AJ$704),2),IF($AD49="B",ROUND(SUMIF($AQ$5:$AQ$704,$AQ49,$AJ$5:$AJ$704),2),IF($AD49&lt;&gt;"T","",$AJ49)))</f>
        <v/>
      </c>
      <c r="N49" s="32">
        <f>IF(OR($AD49="D",$AD49="T",$AD49="B",$AD49="Z"),ROUND(N($K49)-N($L49)-N($M49),2),"")</f>
        <v/>
      </c>
      <c r="O49" s="32">
        <f>IF(OR($AD49="D",$AD49="T",$AD49="B",$AD49="Z"),IF(N($E49)=0,"",ROUND($F49/$E49,2)),"")</f>
        <v/>
      </c>
      <c r="Q49">
        <f>IFERROR(MATCH(45,บันทึกรายเที่ยว!$Z$6:$Z$6005,0),"")</f>
        <v/>
      </c>
      <c r="R49">
        <f>IF($Q49="","",INDEX(บันทึกรายเที่ยว!$V$6:$V$6005,$Q49))</f>
        <v/>
      </c>
      <c r="S49">
        <f>IF($Q49="","",INDEX(บันทึกรายเที่ยว!$F$6:$F$6005,$Q49))</f>
        <v/>
      </c>
      <c r="T49">
        <f>IF($Q49="","",MATCH($S49,บันทึกรายเที่ยว!$F$6:$F$6005,0))</f>
        <v/>
      </c>
      <c r="U49">
        <f>IF($Q49="","",$AL49*10000000+$T49*1000+45)</f>
        <v/>
      </c>
      <c r="V49">
        <f>IFERROR(MATCH(SMALL($U$5:$U$404,45),$U$5:$U$404,0),"")</f>
        <v/>
      </c>
      <c r="W49">
        <f>IF($V49="","",INDEX($Q$5:$Q$404,$V49))</f>
        <v/>
      </c>
      <c r="X49">
        <f>IF($V49="","",INDEX($S$5:$S$404,$V49))</f>
        <v/>
      </c>
      <c r="Y49">
        <f>IF($V49="","",INDEX($R$5:$R$404,$V49))</f>
        <v/>
      </c>
      <c r="Z49">
        <f>IF($V49="",0,IF($X49&lt;&gt;$X48,1,0))</f>
        <v/>
      </c>
      <c r="AA49">
        <f>IF($V49="",0,IF($V50="",1,IF($X50&lt;&gt;$X49,1,0)))</f>
        <v/>
      </c>
      <c r="AB49">
        <f>IF($V49="",99999+45,$AB48+1+$Z48+$AA48+$AO48)</f>
        <v/>
      </c>
      <c r="AC49">
        <f>IFERROR(MATCH(45,$AB$5:$AB$404,1),"")</f>
        <v/>
      </c>
      <c r="AD49">
        <f>IF(45=$AI$1+1,"Z",IF($AC49="","",IF(INDEX($V$5:$V$404,$AC49)="","",IF(45&gt;INDEX($AB$5:$AB$404,$AC49)+INDEX($Z$5:$Z$404,$AC49)+INDEX($AA$5:$AA$404,$AC49)+INDEX($AO$5:$AO$404,$AC49),"",IF(45=INDEX($AB$5:$AB$404,$AC49)+INDEX($Z$5:$Z$404,$AC49),"D",IF(AND(INDEX($Z$5:$Z$404,$AC49)=1,45=INDEX($AB$5:$AB$404,$AC49)),"H",IF(AND(INDEX($AO$5:$AO$404,$AC49)=1,45=INDEX($AB$5:$AB$404,$AC49)+INDEX($Z$5:$Z$404,$AC49)+INDEX($AA$5:$AA$404,$AC49)+INDEX($AO$5:$AO$404,$AC49)),"B","T")))))))</f>
        <v/>
      </c>
      <c r="AF49">
        <f>IF(OR($AD49="",$AD49="Z",$AD49="B"),"",INDEX($X$5:$X$404,$AC49))</f>
        <v/>
      </c>
      <c r="AJ49">
        <f>IF($AD49&lt;&gt;"T",0,ROUND(SUMIF(oil!$B$4:$B$63,$AF49,oil!$AE$4:$AE$63),2))</f>
        <v/>
      </c>
      <c r="AK49">
        <f>IF($S49="","",IFERROR(INDEX(อัตราค่าขนส่ง!$P$5:$P$54,MATCH($S49,อัตราค่าขนส่ง!$O$5:$O$54,0)),INDEX(รายการมาตรฐาน!$G$2:$G$3,1)))</f>
        <v/>
      </c>
      <c r="AL49">
        <f>IF($S49="","",IFERROR(MATCH($AK49,รายการมาตรฐาน!$G$2:$G$3,0),1))</f>
        <v/>
      </c>
      <c r="AM49">
        <f>IF($V49="","",INDEX($AK$5:$AK$404,$V49))</f>
        <v/>
      </c>
      <c r="AN49">
        <f>IF($V49="","",INDEX($AL$5:$AL$404,$V49))</f>
        <v/>
      </c>
      <c r="AO49">
        <f>IF(OR($V49="",$AI$2&lt;=1),0,IF($V50="",1,IF($AN50&lt;&gt;$AN49,1,0)))</f>
        <v/>
      </c>
      <c r="AP49">
        <f>IF($V49="",0,IF($AN49&lt;&gt;$AN48,1,0))</f>
        <v/>
      </c>
      <c r="AQ49">
        <f>IF(OR($AD49="",$AD49="Z"),"",INDEX($AN$5:$AN$404,$AC49))</f>
        <v/>
      </c>
      <c r="AR49">
        <f>IF($Y49="",0,COUNTIF(บันทึกรายเที่ยว!$V$6:$V$6005,$Y49))</f>
        <v/>
      </c>
      <c r="AS49">
        <f>IF($Y49="",0,ROUND(SUMIF(บันทึกรายเที่ยว!$V$6:$V$6005,$Y49,บันทึกรายเที่ยว!$M$6:$M$6005),2))</f>
        <v/>
      </c>
      <c r="AT49">
        <f>IF($Y49="",0,IFERROR(INDEX(อัตราค่าขนส่ง!$G$5:$G$204,MATCH($Y49,อัตราค่าขนส่ง!$M$5:$M$204,0)),0))</f>
        <v/>
      </c>
      <c r="AU49">
        <f>ROUND($AS49*$BD49,2)</f>
        <v/>
      </c>
      <c r="AV49">
        <f>ROUND($AU49*$BF$2/100,2)</f>
        <v/>
      </c>
      <c r="AW49">
        <f>IF($Y49="","",IFERROR(INDEX(อัตราค่าขนส่ง!$F$5:$F$204,MATCH($Y49,อัตราค่าขนส่ง!$M$5:$M$204,0)),""))</f>
        <v/>
      </c>
      <c r="AX49">
        <f>IF($W49="","",INDEX(บันทึกรายเที่ยว!$D$6:$D$6005,$W49))</f>
        <v/>
      </c>
      <c r="AY49">
        <f>IF($W49="","",INDEX(บันทึกรายเที่ยว!$R$6:$R$6005,$W49))</f>
        <v/>
      </c>
      <c r="AZ49">
        <f>IF(AND($AD49="T",$AQ49=1),N($AZ48)+1,N($AZ48))</f>
        <v/>
      </c>
      <c r="BA49">
        <f>IF($W49="","",INDEX(บันทึกรายเที่ยว!$E$6:$E$6005,$W49))</f>
        <v/>
      </c>
      <c r="BC49">
        <f>IF($Y49="",0,IFERROR(INDEX(อัตราค่าขนส่ง!$K$5:$K$204,MATCH($Y49,อัตราค่าขนส่ง!$M$5:$M$204,0)),0))</f>
        <v/>
      </c>
      <c r="BD49">
        <f>IF($Y49="",0,IFERROR(INDEX(อัตราค่าขนส่ง!$L$5:$L$204,MATCH($Y49,อัตราค่าขนส่ง!$M$5:$M$204,0)),0))</f>
        <v/>
      </c>
    </row>
    <row r="50" ht="21" customHeight="1" s="66">
      <c r="A50" s="69">
        <f>IF($AD50="","",IF($AD50="Z","รวมจ่ายทั้งสิ้น",IF($AD50="H",INDEX($X$5:$X$404,$AC50),IF($AD50="T","รวม",IF($AD50="B",IFERROR(INDEX(อัตราค่าขนส่ง!$S$5:$S$14,MATCH(INDEX($AM$5:$AM$404,$AC50),อัตราค่าขนส่ง!$R$5:$R$14,0)),"รวมกลุ่ม "&amp;INDEX($AM$5:$AM$404,$AC50)),INDEX($AY$5:$AY$404,$AC50))))))</f>
        <v/>
      </c>
      <c r="B50" s="31">
        <f>IF($AD50&lt;&gt;"D","",INDEX($AW$5:$AW$404,$AC50))</f>
        <v/>
      </c>
      <c r="C50" s="68">
        <f>IF($AD50&lt;&gt;"D","",INDEX($AX$5:$AX$404,$AC50))</f>
        <v/>
      </c>
      <c r="D50" s="70">
        <f>IF($AD50&lt;&gt;"D","",INDEX($BA$5:$BA$404,$AC50))</f>
        <v/>
      </c>
      <c r="E50" s="31">
        <f>IF($AD50="Z",SUM($AR$5:$AR$404),IF($AD50="D",INDEX($AR$5:$AR$404,$AC50),IF($AD50="T",SUMIF($X$5:$X$404,$AF50,$AR$5:$AR$404),IF($AD50="B",SUMIF($AN$5:$AN$404,$AQ50,$AR$5:$AR$404),""))))</f>
        <v/>
      </c>
      <c r="F50" s="32">
        <f>IF($AD50="Z",ROUND(SUM($AS$5:$AS$404),2),IF($AD50="D",INDEX($AS$5:$AS$404,$AC50),IF($AD50="T",ROUND(SUMIF($X$5:$X$404,$AF50,$AS$5:$AS$404),2),IF($AD50="B",ROUND(SUMIF($AN$5:$AN$404,$AQ50,$AS$5:$AS$404),2),""))))</f>
        <v/>
      </c>
      <c r="G50" s="32">
        <f>IF($AD50&lt;&gt;"D","",INDEX($AT$5:$AT$404,$AC50))</f>
        <v/>
      </c>
      <c r="H50" s="32">
        <f>IF($AD50&lt;&gt;"D","",INDEX($BC$5:$BC$404,$AC50))</f>
        <v/>
      </c>
      <c r="I50" s="32">
        <f>IF($AD50&lt;&gt;"D","",INDEX($BD$5:$BD$404,$AC50))</f>
        <v/>
      </c>
      <c r="J50" s="46">
        <f>IF($AD50&lt;&gt;"D","",IF(N($B50)=0,"",ROUND($I50/$B50,4)))</f>
        <v/>
      </c>
      <c r="K50" s="32">
        <f>IF($AD50="Z",ROUND(SUM($AU$5:$AU$404),2),IF($AD50="D",INDEX($AU$5:$AU$404,$AC50),IF($AD50="T",ROUND(SUMIF($X$5:$X$404,$AF50,$AU$5:$AU$404),2),IF($AD50="B",ROUND(SUMIF($AN$5:$AN$404,$AQ50,$AU$5:$AU$404),2),""))))</f>
        <v/>
      </c>
      <c r="L50" s="32">
        <f>IF($AD50="Z",ROUND(SUM($AV$5:$AV$404),2),IF($AD50="D",INDEX($AV$5:$AV$404,$AC50),IF($AD50="T",ROUND(SUMIF($X$5:$X$404,$AF50,$AV$5:$AV$404),2),IF($AD50="B",ROUND(SUMIF($AN$5:$AN$404,$AQ50,$AV$5:$AV$404),2),""))))</f>
        <v/>
      </c>
      <c r="M50" s="32">
        <f>IF($AD50="Z",ROUND(SUM($AJ$5:$AJ$704),2),IF($AD50="B",ROUND(SUMIF($AQ$5:$AQ$704,$AQ50,$AJ$5:$AJ$704),2),IF($AD50&lt;&gt;"T","",$AJ50)))</f>
        <v/>
      </c>
      <c r="N50" s="32">
        <f>IF(OR($AD50="D",$AD50="T",$AD50="B",$AD50="Z"),ROUND(N($K50)-N($L50)-N($M50),2),"")</f>
        <v/>
      </c>
      <c r="O50" s="32">
        <f>IF(OR($AD50="D",$AD50="T",$AD50="B",$AD50="Z"),IF(N($E50)=0,"",ROUND($F50/$E50,2)),"")</f>
        <v/>
      </c>
      <c r="Q50">
        <f>IFERROR(MATCH(46,บันทึกรายเที่ยว!$Z$6:$Z$6005,0),"")</f>
        <v/>
      </c>
      <c r="R50">
        <f>IF($Q50="","",INDEX(บันทึกรายเที่ยว!$V$6:$V$6005,$Q50))</f>
        <v/>
      </c>
      <c r="S50">
        <f>IF($Q50="","",INDEX(บันทึกรายเที่ยว!$F$6:$F$6005,$Q50))</f>
        <v/>
      </c>
      <c r="T50">
        <f>IF($Q50="","",MATCH($S50,บันทึกรายเที่ยว!$F$6:$F$6005,0))</f>
        <v/>
      </c>
      <c r="U50">
        <f>IF($Q50="","",$AL50*10000000+$T50*1000+46)</f>
        <v/>
      </c>
      <c r="V50">
        <f>IFERROR(MATCH(SMALL($U$5:$U$404,46),$U$5:$U$404,0),"")</f>
        <v/>
      </c>
      <c r="W50">
        <f>IF($V50="","",INDEX($Q$5:$Q$404,$V50))</f>
        <v/>
      </c>
      <c r="X50">
        <f>IF($V50="","",INDEX($S$5:$S$404,$V50))</f>
        <v/>
      </c>
      <c r="Y50">
        <f>IF($V50="","",INDEX($R$5:$R$404,$V50))</f>
        <v/>
      </c>
      <c r="Z50">
        <f>IF($V50="",0,IF($X50&lt;&gt;$X49,1,0))</f>
        <v/>
      </c>
      <c r="AA50">
        <f>IF($V50="",0,IF($V51="",1,IF($X51&lt;&gt;$X50,1,0)))</f>
        <v/>
      </c>
      <c r="AB50">
        <f>IF($V50="",99999+46,$AB49+1+$Z49+$AA49+$AO49)</f>
        <v/>
      </c>
      <c r="AC50">
        <f>IFERROR(MATCH(46,$AB$5:$AB$404,1),"")</f>
        <v/>
      </c>
      <c r="AD50">
        <f>IF(46=$AI$1+1,"Z",IF($AC50="","",IF(INDEX($V$5:$V$404,$AC50)="","",IF(46&gt;INDEX($AB$5:$AB$404,$AC50)+INDEX($Z$5:$Z$404,$AC50)+INDEX($AA$5:$AA$404,$AC50)+INDEX($AO$5:$AO$404,$AC50),"",IF(46=INDEX($AB$5:$AB$404,$AC50)+INDEX($Z$5:$Z$404,$AC50),"D",IF(AND(INDEX($Z$5:$Z$404,$AC50)=1,46=INDEX($AB$5:$AB$404,$AC50)),"H",IF(AND(INDEX($AO$5:$AO$404,$AC50)=1,46=INDEX($AB$5:$AB$404,$AC50)+INDEX($Z$5:$Z$404,$AC50)+INDEX($AA$5:$AA$404,$AC50)+INDEX($AO$5:$AO$404,$AC50)),"B","T")))))))</f>
        <v/>
      </c>
      <c r="AF50">
        <f>IF(OR($AD50="",$AD50="Z",$AD50="B"),"",INDEX($X$5:$X$404,$AC50))</f>
        <v/>
      </c>
      <c r="AJ50">
        <f>IF($AD50&lt;&gt;"T",0,ROUND(SUMIF(oil!$B$4:$B$63,$AF50,oil!$AE$4:$AE$63),2))</f>
        <v/>
      </c>
      <c r="AK50">
        <f>IF($S50="","",IFERROR(INDEX(อัตราค่าขนส่ง!$P$5:$P$54,MATCH($S50,อัตราค่าขนส่ง!$O$5:$O$54,0)),INDEX(รายการมาตรฐาน!$G$2:$G$3,1)))</f>
        <v/>
      </c>
      <c r="AL50">
        <f>IF($S50="","",IFERROR(MATCH($AK50,รายการมาตรฐาน!$G$2:$G$3,0),1))</f>
        <v/>
      </c>
      <c r="AM50">
        <f>IF($V50="","",INDEX($AK$5:$AK$404,$V50))</f>
        <v/>
      </c>
      <c r="AN50">
        <f>IF($V50="","",INDEX($AL$5:$AL$404,$V50))</f>
        <v/>
      </c>
      <c r="AO50">
        <f>IF(OR($V50="",$AI$2&lt;=1),0,IF($V51="",1,IF($AN51&lt;&gt;$AN50,1,0)))</f>
        <v/>
      </c>
      <c r="AP50">
        <f>IF($V50="",0,IF($AN50&lt;&gt;$AN49,1,0))</f>
        <v/>
      </c>
      <c r="AQ50">
        <f>IF(OR($AD50="",$AD50="Z"),"",INDEX($AN$5:$AN$404,$AC50))</f>
        <v/>
      </c>
      <c r="AR50">
        <f>IF($Y50="",0,COUNTIF(บันทึกรายเที่ยว!$V$6:$V$6005,$Y50))</f>
        <v/>
      </c>
      <c r="AS50">
        <f>IF($Y50="",0,ROUND(SUMIF(บันทึกรายเที่ยว!$V$6:$V$6005,$Y50,บันทึกรายเที่ยว!$M$6:$M$6005),2))</f>
        <v/>
      </c>
      <c r="AT50">
        <f>IF($Y50="",0,IFERROR(INDEX(อัตราค่าขนส่ง!$G$5:$G$204,MATCH($Y50,อัตราค่าขนส่ง!$M$5:$M$204,0)),0))</f>
        <v/>
      </c>
      <c r="AU50">
        <f>ROUND($AS50*$BD50,2)</f>
        <v/>
      </c>
      <c r="AV50">
        <f>ROUND($AU50*$BF$2/100,2)</f>
        <v/>
      </c>
      <c r="AW50">
        <f>IF($Y50="","",IFERROR(INDEX(อัตราค่าขนส่ง!$F$5:$F$204,MATCH($Y50,อัตราค่าขนส่ง!$M$5:$M$204,0)),""))</f>
        <v/>
      </c>
      <c r="AX50">
        <f>IF($W50="","",INDEX(บันทึกรายเที่ยว!$D$6:$D$6005,$W50))</f>
        <v/>
      </c>
      <c r="AY50">
        <f>IF($W50="","",INDEX(บันทึกรายเที่ยว!$R$6:$R$6005,$W50))</f>
        <v/>
      </c>
      <c r="AZ50">
        <f>IF(AND($AD50="T",$AQ50=1),N($AZ49)+1,N($AZ49))</f>
        <v/>
      </c>
      <c r="BA50">
        <f>IF($W50="","",INDEX(บันทึกรายเที่ยว!$E$6:$E$6005,$W50))</f>
        <v/>
      </c>
      <c r="BC50">
        <f>IF($Y50="",0,IFERROR(INDEX(อัตราค่าขนส่ง!$K$5:$K$204,MATCH($Y50,อัตราค่าขนส่ง!$M$5:$M$204,0)),0))</f>
        <v/>
      </c>
      <c r="BD50">
        <f>IF($Y50="",0,IFERROR(INDEX(อัตราค่าขนส่ง!$L$5:$L$204,MATCH($Y50,อัตราค่าขนส่ง!$M$5:$M$204,0)),0))</f>
        <v/>
      </c>
    </row>
    <row r="51" ht="21" customHeight="1" s="66">
      <c r="A51" s="69">
        <f>IF($AD51="","",IF($AD51="Z","รวมจ่ายทั้งสิ้น",IF($AD51="H",INDEX($X$5:$X$404,$AC51),IF($AD51="T","รวม",IF($AD51="B",IFERROR(INDEX(อัตราค่าขนส่ง!$S$5:$S$14,MATCH(INDEX($AM$5:$AM$404,$AC51),อัตราค่าขนส่ง!$R$5:$R$14,0)),"รวมกลุ่ม "&amp;INDEX($AM$5:$AM$404,$AC51)),INDEX($AY$5:$AY$404,$AC51))))))</f>
        <v/>
      </c>
      <c r="B51" s="31">
        <f>IF($AD51&lt;&gt;"D","",INDEX($AW$5:$AW$404,$AC51))</f>
        <v/>
      </c>
      <c r="C51" s="68">
        <f>IF($AD51&lt;&gt;"D","",INDEX($AX$5:$AX$404,$AC51))</f>
        <v/>
      </c>
      <c r="D51" s="70">
        <f>IF($AD51&lt;&gt;"D","",INDEX($BA$5:$BA$404,$AC51))</f>
        <v/>
      </c>
      <c r="E51" s="31">
        <f>IF($AD51="Z",SUM($AR$5:$AR$404),IF($AD51="D",INDEX($AR$5:$AR$404,$AC51),IF($AD51="T",SUMIF($X$5:$X$404,$AF51,$AR$5:$AR$404),IF($AD51="B",SUMIF($AN$5:$AN$404,$AQ51,$AR$5:$AR$404),""))))</f>
        <v/>
      </c>
      <c r="F51" s="32">
        <f>IF($AD51="Z",ROUND(SUM($AS$5:$AS$404),2),IF($AD51="D",INDEX($AS$5:$AS$404,$AC51),IF($AD51="T",ROUND(SUMIF($X$5:$X$404,$AF51,$AS$5:$AS$404),2),IF($AD51="B",ROUND(SUMIF($AN$5:$AN$404,$AQ51,$AS$5:$AS$404),2),""))))</f>
        <v/>
      </c>
      <c r="G51" s="32">
        <f>IF($AD51&lt;&gt;"D","",INDEX($AT$5:$AT$404,$AC51))</f>
        <v/>
      </c>
      <c r="H51" s="32">
        <f>IF($AD51&lt;&gt;"D","",INDEX($BC$5:$BC$404,$AC51))</f>
        <v/>
      </c>
      <c r="I51" s="32">
        <f>IF($AD51&lt;&gt;"D","",INDEX($BD$5:$BD$404,$AC51))</f>
        <v/>
      </c>
      <c r="J51" s="46">
        <f>IF($AD51&lt;&gt;"D","",IF(N($B51)=0,"",ROUND($I51/$B51,4)))</f>
        <v/>
      </c>
      <c r="K51" s="32">
        <f>IF($AD51="Z",ROUND(SUM($AU$5:$AU$404),2),IF($AD51="D",INDEX($AU$5:$AU$404,$AC51),IF($AD51="T",ROUND(SUMIF($X$5:$X$404,$AF51,$AU$5:$AU$404),2),IF($AD51="B",ROUND(SUMIF($AN$5:$AN$404,$AQ51,$AU$5:$AU$404),2),""))))</f>
        <v/>
      </c>
      <c r="L51" s="32">
        <f>IF($AD51="Z",ROUND(SUM($AV$5:$AV$404),2),IF($AD51="D",INDEX($AV$5:$AV$404,$AC51),IF($AD51="T",ROUND(SUMIF($X$5:$X$404,$AF51,$AV$5:$AV$404),2),IF($AD51="B",ROUND(SUMIF($AN$5:$AN$404,$AQ51,$AV$5:$AV$404),2),""))))</f>
        <v/>
      </c>
      <c r="M51" s="32">
        <f>IF($AD51="Z",ROUND(SUM($AJ$5:$AJ$704),2),IF($AD51="B",ROUND(SUMIF($AQ$5:$AQ$704,$AQ51,$AJ$5:$AJ$704),2),IF($AD51&lt;&gt;"T","",$AJ51)))</f>
        <v/>
      </c>
      <c r="N51" s="32">
        <f>IF(OR($AD51="D",$AD51="T",$AD51="B",$AD51="Z"),ROUND(N($K51)-N($L51)-N($M51),2),"")</f>
        <v/>
      </c>
      <c r="O51" s="32">
        <f>IF(OR($AD51="D",$AD51="T",$AD51="B",$AD51="Z"),IF(N($E51)=0,"",ROUND($F51/$E51,2)),"")</f>
        <v/>
      </c>
      <c r="Q51">
        <f>IFERROR(MATCH(47,บันทึกรายเที่ยว!$Z$6:$Z$6005,0),"")</f>
        <v/>
      </c>
      <c r="R51">
        <f>IF($Q51="","",INDEX(บันทึกรายเที่ยว!$V$6:$V$6005,$Q51))</f>
        <v/>
      </c>
      <c r="S51">
        <f>IF($Q51="","",INDEX(บันทึกรายเที่ยว!$F$6:$F$6005,$Q51))</f>
        <v/>
      </c>
      <c r="T51">
        <f>IF($Q51="","",MATCH($S51,บันทึกรายเที่ยว!$F$6:$F$6005,0))</f>
        <v/>
      </c>
      <c r="U51">
        <f>IF($Q51="","",$AL51*10000000+$T51*1000+47)</f>
        <v/>
      </c>
      <c r="V51">
        <f>IFERROR(MATCH(SMALL($U$5:$U$404,47),$U$5:$U$404,0),"")</f>
        <v/>
      </c>
      <c r="W51">
        <f>IF($V51="","",INDEX($Q$5:$Q$404,$V51))</f>
        <v/>
      </c>
      <c r="X51">
        <f>IF($V51="","",INDEX($S$5:$S$404,$V51))</f>
        <v/>
      </c>
      <c r="Y51">
        <f>IF($V51="","",INDEX($R$5:$R$404,$V51))</f>
        <v/>
      </c>
      <c r="Z51">
        <f>IF($V51="",0,IF($X51&lt;&gt;$X50,1,0))</f>
        <v/>
      </c>
      <c r="AA51">
        <f>IF($V51="",0,IF($V52="",1,IF($X52&lt;&gt;$X51,1,0)))</f>
        <v/>
      </c>
      <c r="AB51">
        <f>IF($V51="",99999+47,$AB50+1+$Z50+$AA50+$AO50)</f>
        <v/>
      </c>
      <c r="AC51">
        <f>IFERROR(MATCH(47,$AB$5:$AB$404,1),"")</f>
        <v/>
      </c>
      <c r="AD51">
        <f>IF(47=$AI$1+1,"Z",IF($AC51="","",IF(INDEX($V$5:$V$404,$AC51)="","",IF(47&gt;INDEX($AB$5:$AB$404,$AC51)+INDEX($Z$5:$Z$404,$AC51)+INDEX($AA$5:$AA$404,$AC51)+INDEX($AO$5:$AO$404,$AC51),"",IF(47=INDEX($AB$5:$AB$404,$AC51)+INDEX($Z$5:$Z$404,$AC51),"D",IF(AND(INDEX($Z$5:$Z$404,$AC51)=1,47=INDEX($AB$5:$AB$404,$AC51)),"H",IF(AND(INDEX($AO$5:$AO$404,$AC51)=1,47=INDEX($AB$5:$AB$404,$AC51)+INDEX($Z$5:$Z$404,$AC51)+INDEX($AA$5:$AA$404,$AC51)+INDEX($AO$5:$AO$404,$AC51)),"B","T")))))))</f>
        <v/>
      </c>
      <c r="AF51">
        <f>IF(OR($AD51="",$AD51="Z",$AD51="B"),"",INDEX($X$5:$X$404,$AC51))</f>
        <v/>
      </c>
      <c r="AJ51">
        <f>IF($AD51&lt;&gt;"T",0,ROUND(SUMIF(oil!$B$4:$B$63,$AF51,oil!$AE$4:$AE$63),2))</f>
        <v/>
      </c>
      <c r="AK51">
        <f>IF($S51="","",IFERROR(INDEX(อัตราค่าขนส่ง!$P$5:$P$54,MATCH($S51,อัตราค่าขนส่ง!$O$5:$O$54,0)),INDEX(รายการมาตรฐาน!$G$2:$G$3,1)))</f>
        <v/>
      </c>
      <c r="AL51">
        <f>IF($S51="","",IFERROR(MATCH($AK51,รายการมาตรฐาน!$G$2:$G$3,0),1))</f>
        <v/>
      </c>
      <c r="AM51">
        <f>IF($V51="","",INDEX($AK$5:$AK$404,$V51))</f>
        <v/>
      </c>
      <c r="AN51">
        <f>IF($V51="","",INDEX($AL$5:$AL$404,$V51))</f>
        <v/>
      </c>
      <c r="AO51">
        <f>IF(OR($V51="",$AI$2&lt;=1),0,IF($V52="",1,IF($AN52&lt;&gt;$AN51,1,0)))</f>
        <v/>
      </c>
      <c r="AP51">
        <f>IF($V51="",0,IF($AN51&lt;&gt;$AN50,1,0))</f>
        <v/>
      </c>
      <c r="AQ51">
        <f>IF(OR($AD51="",$AD51="Z"),"",INDEX($AN$5:$AN$404,$AC51))</f>
        <v/>
      </c>
      <c r="AR51">
        <f>IF($Y51="",0,COUNTIF(บันทึกรายเที่ยว!$V$6:$V$6005,$Y51))</f>
        <v/>
      </c>
      <c r="AS51">
        <f>IF($Y51="",0,ROUND(SUMIF(บันทึกรายเที่ยว!$V$6:$V$6005,$Y51,บันทึกรายเที่ยว!$M$6:$M$6005),2))</f>
        <v/>
      </c>
      <c r="AT51">
        <f>IF($Y51="",0,IFERROR(INDEX(อัตราค่าขนส่ง!$G$5:$G$204,MATCH($Y51,อัตราค่าขนส่ง!$M$5:$M$204,0)),0))</f>
        <v/>
      </c>
      <c r="AU51">
        <f>ROUND($AS51*$BD51,2)</f>
        <v/>
      </c>
      <c r="AV51">
        <f>ROUND($AU51*$BF$2/100,2)</f>
        <v/>
      </c>
      <c r="AW51">
        <f>IF($Y51="","",IFERROR(INDEX(อัตราค่าขนส่ง!$F$5:$F$204,MATCH($Y51,อัตราค่าขนส่ง!$M$5:$M$204,0)),""))</f>
        <v/>
      </c>
      <c r="AX51">
        <f>IF($W51="","",INDEX(บันทึกรายเที่ยว!$D$6:$D$6005,$W51))</f>
        <v/>
      </c>
      <c r="AY51">
        <f>IF($W51="","",INDEX(บันทึกรายเที่ยว!$R$6:$R$6005,$W51))</f>
        <v/>
      </c>
      <c r="AZ51">
        <f>IF(AND($AD51="T",$AQ51=1),N($AZ50)+1,N($AZ50))</f>
        <v/>
      </c>
      <c r="BA51">
        <f>IF($W51="","",INDEX(บันทึกรายเที่ยว!$E$6:$E$6005,$W51))</f>
        <v/>
      </c>
      <c r="BC51">
        <f>IF($Y51="",0,IFERROR(INDEX(อัตราค่าขนส่ง!$K$5:$K$204,MATCH($Y51,อัตราค่าขนส่ง!$M$5:$M$204,0)),0))</f>
        <v/>
      </c>
      <c r="BD51">
        <f>IF($Y51="",0,IFERROR(INDEX(อัตราค่าขนส่ง!$L$5:$L$204,MATCH($Y51,อัตราค่าขนส่ง!$M$5:$M$204,0)),0))</f>
        <v/>
      </c>
    </row>
    <row r="52" ht="21" customHeight="1" s="66">
      <c r="A52" s="69">
        <f>IF($AD52="","",IF($AD52="Z","รวมจ่ายทั้งสิ้น",IF($AD52="H",INDEX($X$5:$X$404,$AC52),IF($AD52="T","รวม",IF($AD52="B",IFERROR(INDEX(อัตราค่าขนส่ง!$S$5:$S$14,MATCH(INDEX($AM$5:$AM$404,$AC52),อัตราค่าขนส่ง!$R$5:$R$14,0)),"รวมกลุ่ม "&amp;INDEX($AM$5:$AM$404,$AC52)),INDEX($AY$5:$AY$404,$AC52))))))</f>
        <v/>
      </c>
      <c r="B52" s="31">
        <f>IF($AD52&lt;&gt;"D","",INDEX($AW$5:$AW$404,$AC52))</f>
        <v/>
      </c>
      <c r="C52" s="68">
        <f>IF($AD52&lt;&gt;"D","",INDEX($AX$5:$AX$404,$AC52))</f>
        <v/>
      </c>
      <c r="D52" s="70">
        <f>IF($AD52&lt;&gt;"D","",INDEX($BA$5:$BA$404,$AC52))</f>
        <v/>
      </c>
      <c r="E52" s="31">
        <f>IF($AD52="Z",SUM($AR$5:$AR$404),IF($AD52="D",INDEX($AR$5:$AR$404,$AC52),IF($AD52="T",SUMIF($X$5:$X$404,$AF52,$AR$5:$AR$404),IF($AD52="B",SUMIF($AN$5:$AN$404,$AQ52,$AR$5:$AR$404),""))))</f>
        <v/>
      </c>
      <c r="F52" s="32">
        <f>IF($AD52="Z",ROUND(SUM($AS$5:$AS$404),2),IF($AD52="D",INDEX($AS$5:$AS$404,$AC52),IF($AD52="T",ROUND(SUMIF($X$5:$X$404,$AF52,$AS$5:$AS$404),2),IF($AD52="B",ROUND(SUMIF($AN$5:$AN$404,$AQ52,$AS$5:$AS$404),2),""))))</f>
        <v/>
      </c>
      <c r="G52" s="32">
        <f>IF($AD52&lt;&gt;"D","",INDEX($AT$5:$AT$404,$AC52))</f>
        <v/>
      </c>
      <c r="H52" s="32">
        <f>IF($AD52&lt;&gt;"D","",INDEX($BC$5:$BC$404,$AC52))</f>
        <v/>
      </c>
      <c r="I52" s="32">
        <f>IF($AD52&lt;&gt;"D","",INDEX($BD$5:$BD$404,$AC52))</f>
        <v/>
      </c>
      <c r="J52" s="46">
        <f>IF($AD52&lt;&gt;"D","",IF(N($B52)=0,"",ROUND($I52/$B52,4)))</f>
        <v/>
      </c>
      <c r="K52" s="32">
        <f>IF($AD52="Z",ROUND(SUM($AU$5:$AU$404),2),IF($AD52="D",INDEX($AU$5:$AU$404,$AC52),IF($AD52="T",ROUND(SUMIF($X$5:$X$404,$AF52,$AU$5:$AU$404),2),IF($AD52="B",ROUND(SUMIF($AN$5:$AN$404,$AQ52,$AU$5:$AU$404),2),""))))</f>
        <v/>
      </c>
      <c r="L52" s="32">
        <f>IF($AD52="Z",ROUND(SUM($AV$5:$AV$404),2),IF($AD52="D",INDEX($AV$5:$AV$404,$AC52),IF($AD52="T",ROUND(SUMIF($X$5:$X$404,$AF52,$AV$5:$AV$404),2),IF($AD52="B",ROUND(SUMIF($AN$5:$AN$404,$AQ52,$AV$5:$AV$404),2),""))))</f>
        <v/>
      </c>
      <c r="M52" s="32">
        <f>IF($AD52="Z",ROUND(SUM($AJ$5:$AJ$704),2),IF($AD52="B",ROUND(SUMIF($AQ$5:$AQ$704,$AQ52,$AJ$5:$AJ$704),2),IF($AD52&lt;&gt;"T","",$AJ52)))</f>
        <v/>
      </c>
      <c r="N52" s="32">
        <f>IF(OR($AD52="D",$AD52="T",$AD52="B",$AD52="Z"),ROUND(N($K52)-N($L52)-N($M52),2),"")</f>
        <v/>
      </c>
      <c r="O52" s="32">
        <f>IF(OR($AD52="D",$AD52="T",$AD52="B",$AD52="Z"),IF(N($E52)=0,"",ROUND($F52/$E52,2)),"")</f>
        <v/>
      </c>
      <c r="Q52">
        <f>IFERROR(MATCH(48,บันทึกรายเที่ยว!$Z$6:$Z$6005,0),"")</f>
        <v/>
      </c>
      <c r="R52">
        <f>IF($Q52="","",INDEX(บันทึกรายเที่ยว!$V$6:$V$6005,$Q52))</f>
        <v/>
      </c>
      <c r="S52">
        <f>IF($Q52="","",INDEX(บันทึกรายเที่ยว!$F$6:$F$6005,$Q52))</f>
        <v/>
      </c>
      <c r="T52">
        <f>IF($Q52="","",MATCH($S52,บันทึกรายเที่ยว!$F$6:$F$6005,0))</f>
        <v/>
      </c>
      <c r="U52">
        <f>IF($Q52="","",$AL52*10000000+$T52*1000+48)</f>
        <v/>
      </c>
      <c r="V52">
        <f>IFERROR(MATCH(SMALL($U$5:$U$404,48),$U$5:$U$404,0),"")</f>
        <v/>
      </c>
      <c r="W52">
        <f>IF($V52="","",INDEX($Q$5:$Q$404,$V52))</f>
        <v/>
      </c>
      <c r="X52">
        <f>IF($V52="","",INDEX($S$5:$S$404,$V52))</f>
        <v/>
      </c>
      <c r="Y52">
        <f>IF($V52="","",INDEX($R$5:$R$404,$V52))</f>
        <v/>
      </c>
      <c r="Z52">
        <f>IF($V52="",0,IF($X52&lt;&gt;$X51,1,0))</f>
        <v/>
      </c>
      <c r="AA52">
        <f>IF($V52="",0,IF($V53="",1,IF($X53&lt;&gt;$X52,1,0)))</f>
        <v/>
      </c>
      <c r="AB52">
        <f>IF($V52="",99999+48,$AB51+1+$Z51+$AA51+$AO51)</f>
        <v/>
      </c>
      <c r="AC52">
        <f>IFERROR(MATCH(48,$AB$5:$AB$404,1),"")</f>
        <v/>
      </c>
      <c r="AD52">
        <f>IF(48=$AI$1+1,"Z",IF($AC52="","",IF(INDEX($V$5:$V$404,$AC52)="","",IF(48&gt;INDEX($AB$5:$AB$404,$AC52)+INDEX($Z$5:$Z$404,$AC52)+INDEX($AA$5:$AA$404,$AC52)+INDEX($AO$5:$AO$404,$AC52),"",IF(48=INDEX($AB$5:$AB$404,$AC52)+INDEX($Z$5:$Z$404,$AC52),"D",IF(AND(INDEX($Z$5:$Z$404,$AC52)=1,48=INDEX($AB$5:$AB$404,$AC52)),"H",IF(AND(INDEX($AO$5:$AO$404,$AC52)=1,48=INDEX($AB$5:$AB$404,$AC52)+INDEX($Z$5:$Z$404,$AC52)+INDEX($AA$5:$AA$404,$AC52)+INDEX($AO$5:$AO$404,$AC52)),"B","T")))))))</f>
        <v/>
      </c>
      <c r="AF52">
        <f>IF(OR($AD52="",$AD52="Z",$AD52="B"),"",INDEX($X$5:$X$404,$AC52))</f>
        <v/>
      </c>
      <c r="AJ52">
        <f>IF($AD52&lt;&gt;"T",0,ROUND(SUMIF(oil!$B$4:$B$63,$AF52,oil!$AE$4:$AE$63),2))</f>
        <v/>
      </c>
      <c r="AK52">
        <f>IF($S52="","",IFERROR(INDEX(อัตราค่าขนส่ง!$P$5:$P$54,MATCH($S52,อัตราค่าขนส่ง!$O$5:$O$54,0)),INDEX(รายการมาตรฐาน!$G$2:$G$3,1)))</f>
        <v/>
      </c>
      <c r="AL52">
        <f>IF($S52="","",IFERROR(MATCH($AK52,รายการมาตรฐาน!$G$2:$G$3,0),1))</f>
        <v/>
      </c>
      <c r="AM52">
        <f>IF($V52="","",INDEX($AK$5:$AK$404,$V52))</f>
        <v/>
      </c>
      <c r="AN52">
        <f>IF($V52="","",INDEX($AL$5:$AL$404,$V52))</f>
        <v/>
      </c>
      <c r="AO52">
        <f>IF(OR($V52="",$AI$2&lt;=1),0,IF($V53="",1,IF($AN53&lt;&gt;$AN52,1,0)))</f>
        <v/>
      </c>
      <c r="AP52">
        <f>IF($V52="",0,IF($AN52&lt;&gt;$AN51,1,0))</f>
        <v/>
      </c>
      <c r="AQ52">
        <f>IF(OR($AD52="",$AD52="Z"),"",INDEX($AN$5:$AN$404,$AC52))</f>
        <v/>
      </c>
      <c r="AR52">
        <f>IF($Y52="",0,COUNTIF(บันทึกรายเที่ยว!$V$6:$V$6005,$Y52))</f>
        <v/>
      </c>
      <c r="AS52">
        <f>IF($Y52="",0,ROUND(SUMIF(บันทึกรายเที่ยว!$V$6:$V$6005,$Y52,บันทึกรายเที่ยว!$M$6:$M$6005),2))</f>
        <v/>
      </c>
      <c r="AT52">
        <f>IF($Y52="",0,IFERROR(INDEX(อัตราค่าขนส่ง!$G$5:$G$204,MATCH($Y52,อัตราค่าขนส่ง!$M$5:$M$204,0)),0))</f>
        <v/>
      </c>
      <c r="AU52">
        <f>ROUND($AS52*$BD52,2)</f>
        <v/>
      </c>
      <c r="AV52">
        <f>ROUND($AU52*$BF$2/100,2)</f>
        <v/>
      </c>
      <c r="AW52">
        <f>IF($Y52="","",IFERROR(INDEX(อัตราค่าขนส่ง!$F$5:$F$204,MATCH($Y52,อัตราค่าขนส่ง!$M$5:$M$204,0)),""))</f>
        <v/>
      </c>
      <c r="AX52">
        <f>IF($W52="","",INDEX(บันทึกรายเที่ยว!$D$6:$D$6005,$W52))</f>
        <v/>
      </c>
      <c r="AY52">
        <f>IF($W52="","",INDEX(บันทึกรายเที่ยว!$R$6:$R$6005,$W52))</f>
        <v/>
      </c>
      <c r="AZ52">
        <f>IF(AND($AD52="T",$AQ52=1),N($AZ51)+1,N($AZ51))</f>
        <v/>
      </c>
      <c r="BA52">
        <f>IF($W52="","",INDEX(บันทึกรายเที่ยว!$E$6:$E$6005,$W52))</f>
        <v/>
      </c>
      <c r="BC52">
        <f>IF($Y52="",0,IFERROR(INDEX(อัตราค่าขนส่ง!$K$5:$K$204,MATCH($Y52,อัตราค่าขนส่ง!$M$5:$M$204,0)),0))</f>
        <v/>
      </c>
      <c r="BD52">
        <f>IF($Y52="",0,IFERROR(INDEX(อัตราค่าขนส่ง!$L$5:$L$204,MATCH($Y52,อัตราค่าขนส่ง!$M$5:$M$204,0)),0))</f>
        <v/>
      </c>
    </row>
    <row r="53" ht="21" customHeight="1" s="66">
      <c r="A53" s="69">
        <f>IF($AD53="","",IF($AD53="Z","รวมจ่ายทั้งสิ้น",IF($AD53="H",INDEX($X$5:$X$404,$AC53),IF($AD53="T","รวม",IF($AD53="B",IFERROR(INDEX(อัตราค่าขนส่ง!$S$5:$S$14,MATCH(INDEX($AM$5:$AM$404,$AC53),อัตราค่าขนส่ง!$R$5:$R$14,0)),"รวมกลุ่ม "&amp;INDEX($AM$5:$AM$404,$AC53)),INDEX($AY$5:$AY$404,$AC53))))))</f>
        <v/>
      </c>
      <c r="B53" s="31">
        <f>IF($AD53&lt;&gt;"D","",INDEX($AW$5:$AW$404,$AC53))</f>
        <v/>
      </c>
      <c r="C53" s="68">
        <f>IF($AD53&lt;&gt;"D","",INDEX($AX$5:$AX$404,$AC53))</f>
        <v/>
      </c>
      <c r="D53" s="70">
        <f>IF($AD53&lt;&gt;"D","",INDEX($BA$5:$BA$404,$AC53))</f>
        <v/>
      </c>
      <c r="E53" s="31">
        <f>IF($AD53="Z",SUM($AR$5:$AR$404),IF($AD53="D",INDEX($AR$5:$AR$404,$AC53),IF($AD53="T",SUMIF($X$5:$X$404,$AF53,$AR$5:$AR$404),IF($AD53="B",SUMIF($AN$5:$AN$404,$AQ53,$AR$5:$AR$404),""))))</f>
        <v/>
      </c>
      <c r="F53" s="32">
        <f>IF($AD53="Z",ROUND(SUM($AS$5:$AS$404),2),IF($AD53="D",INDEX($AS$5:$AS$404,$AC53),IF($AD53="T",ROUND(SUMIF($X$5:$X$404,$AF53,$AS$5:$AS$404),2),IF($AD53="B",ROUND(SUMIF($AN$5:$AN$404,$AQ53,$AS$5:$AS$404),2),""))))</f>
        <v/>
      </c>
      <c r="G53" s="32">
        <f>IF($AD53&lt;&gt;"D","",INDEX($AT$5:$AT$404,$AC53))</f>
        <v/>
      </c>
      <c r="H53" s="32">
        <f>IF($AD53&lt;&gt;"D","",INDEX($BC$5:$BC$404,$AC53))</f>
        <v/>
      </c>
      <c r="I53" s="32">
        <f>IF($AD53&lt;&gt;"D","",INDEX($BD$5:$BD$404,$AC53))</f>
        <v/>
      </c>
      <c r="J53" s="46">
        <f>IF($AD53&lt;&gt;"D","",IF(N($B53)=0,"",ROUND($I53/$B53,4)))</f>
        <v/>
      </c>
      <c r="K53" s="32">
        <f>IF($AD53="Z",ROUND(SUM($AU$5:$AU$404),2),IF($AD53="D",INDEX($AU$5:$AU$404,$AC53),IF($AD53="T",ROUND(SUMIF($X$5:$X$404,$AF53,$AU$5:$AU$404),2),IF($AD53="B",ROUND(SUMIF($AN$5:$AN$404,$AQ53,$AU$5:$AU$404),2),""))))</f>
        <v/>
      </c>
      <c r="L53" s="32">
        <f>IF($AD53="Z",ROUND(SUM($AV$5:$AV$404),2),IF($AD53="D",INDEX($AV$5:$AV$404,$AC53),IF($AD53="T",ROUND(SUMIF($X$5:$X$404,$AF53,$AV$5:$AV$404),2),IF($AD53="B",ROUND(SUMIF($AN$5:$AN$404,$AQ53,$AV$5:$AV$404),2),""))))</f>
        <v/>
      </c>
      <c r="M53" s="32">
        <f>IF($AD53="Z",ROUND(SUM($AJ$5:$AJ$704),2),IF($AD53="B",ROUND(SUMIF($AQ$5:$AQ$704,$AQ53,$AJ$5:$AJ$704),2),IF($AD53&lt;&gt;"T","",$AJ53)))</f>
        <v/>
      </c>
      <c r="N53" s="32">
        <f>IF(OR($AD53="D",$AD53="T",$AD53="B",$AD53="Z"),ROUND(N($K53)-N($L53)-N($M53),2),"")</f>
        <v/>
      </c>
      <c r="O53" s="32">
        <f>IF(OR($AD53="D",$AD53="T",$AD53="B",$AD53="Z"),IF(N($E53)=0,"",ROUND($F53/$E53,2)),"")</f>
        <v/>
      </c>
      <c r="Q53">
        <f>IFERROR(MATCH(49,บันทึกรายเที่ยว!$Z$6:$Z$6005,0),"")</f>
        <v/>
      </c>
      <c r="R53">
        <f>IF($Q53="","",INDEX(บันทึกรายเที่ยว!$V$6:$V$6005,$Q53))</f>
        <v/>
      </c>
      <c r="S53">
        <f>IF($Q53="","",INDEX(บันทึกรายเที่ยว!$F$6:$F$6005,$Q53))</f>
        <v/>
      </c>
      <c r="T53">
        <f>IF($Q53="","",MATCH($S53,บันทึกรายเที่ยว!$F$6:$F$6005,0))</f>
        <v/>
      </c>
      <c r="U53">
        <f>IF($Q53="","",$AL53*10000000+$T53*1000+49)</f>
        <v/>
      </c>
      <c r="V53">
        <f>IFERROR(MATCH(SMALL($U$5:$U$404,49),$U$5:$U$404,0),"")</f>
        <v/>
      </c>
      <c r="W53">
        <f>IF($V53="","",INDEX($Q$5:$Q$404,$V53))</f>
        <v/>
      </c>
      <c r="X53">
        <f>IF($V53="","",INDEX($S$5:$S$404,$V53))</f>
        <v/>
      </c>
      <c r="Y53">
        <f>IF($V53="","",INDEX($R$5:$R$404,$V53))</f>
        <v/>
      </c>
      <c r="Z53">
        <f>IF($V53="",0,IF($X53&lt;&gt;$X52,1,0))</f>
        <v/>
      </c>
      <c r="AA53">
        <f>IF($V53="",0,IF($V54="",1,IF($X54&lt;&gt;$X53,1,0)))</f>
        <v/>
      </c>
      <c r="AB53">
        <f>IF($V53="",99999+49,$AB52+1+$Z52+$AA52+$AO52)</f>
        <v/>
      </c>
      <c r="AC53">
        <f>IFERROR(MATCH(49,$AB$5:$AB$404,1),"")</f>
        <v/>
      </c>
      <c r="AD53">
        <f>IF(49=$AI$1+1,"Z",IF($AC53="","",IF(INDEX($V$5:$V$404,$AC53)="","",IF(49&gt;INDEX($AB$5:$AB$404,$AC53)+INDEX($Z$5:$Z$404,$AC53)+INDEX($AA$5:$AA$404,$AC53)+INDEX($AO$5:$AO$404,$AC53),"",IF(49=INDEX($AB$5:$AB$404,$AC53)+INDEX($Z$5:$Z$404,$AC53),"D",IF(AND(INDEX($Z$5:$Z$404,$AC53)=1,49=INDEX($AB$5:$AB$404,$AC53)),"H",IF(AND(INDEX($AO$5:$AO$404,$AC53)=1,49=INDEX($AB$5:$AB$404,$AC53)+INDEX($Z$5:$Z$404,$AC53)+INDEX($AA$5:$AA$404,$AC53)+INDEX($AO$5:$AO$404,$AC53)),"B","T")))))))</f>
        <v/>
      </c>
      <c r="AF53">
        <f>IF(OR($AD53="",$AD53="Z",$AD53="B"),"",INDEX($X$5:$X$404,$AC53))</f>
        <v/>
      </c>
      <c r="AJ53">
        <f>IF($AD53&lt;&gt;"T",0,ROUND(SUMIF(oil!$B$4:$B$63,$AF53,oil!$AE$4:$AE$63),2))</f>
        <v/>
      </c>
      <c r="AK53">
        <f>IF($S53="","",IFERROR(INDEX(อัตราค่าขนส่ง!$P$5:$P$54,MATCH($S53,อัตราค่าขนส่ง!$O$5:$O$54,0)),INDEX(รายการมาตรฐาน!$G$2:$G$3,1)))</f>
        <v/>
      </c>
      <c r="AL53">
        <f>IF($S53="","",IFERROR(MATCH($AK53,รายการมาตรฐาน!$G$2:$G$3,0),1))</f>
        <v/>
      </c>
      <c r="AM53">
        <f>IF($V53="","",INDEX($AK$5:$AK$404,$V53))</f>
        <v/>
      </c>
      <c r="AN53">
        <f>IF($V53="","",INDEX($AL$5:$AL$404,$V53))</f>
        <v/>
      </c>
      <c r="AO53">
        <f>IF(OR($V53="",$AI$2&lt;=1),0,IF($V54="",1,IF($AN54&lt;&gt;$AN53,1,0)))</f>
        <v/>
      </c>
      <c r="AP53">
        <f>IF($V53="",0,IF($AN53&lt;&gt;$AN52,1,0))</f>
        <v/>
      </c>
      <c r="AQ53">
        <f>IF(OR($AD53="",$AD53="Z"),"",INDEX($AN$5:$AN$404,$AC53))</f>
        <v/>
      </c>
      <c r="AR53">
        <f>IF($Y53="",0,COUNTIF(บันทึกรายเที่ยว!$V$6:$V$6005,$Y53))</f>
        <v/>
      </c>
      <c r="AS53">
        <f>IF($Y53="",0,ROUND(SUMIF(บันทึกรายเที่ยว!$V$6:$V$6005,$Y53,บันทึกรายเที่ยว!$M$6:$M$6005),2))</f>
        <v/>
      </c>
      <c r="AT53">
        <f>IF($Y53="",0,IFERROR(INDEX(อัตราค่าขนส่ง!$G$5:$G$204,MATCH($Y53,อัตราค่าขนส่ง!$M$5:$M$204,0)),0))</f>
        <v/>
      </c>
      <c r="AU53">
        <f>ROUND($AS53*$BD53,2)</f>
        <v/>
      </c>
      <c r="AV53">
        <f>ROUND($AU53*$BF$2/100,2)</f>
        <v/>
      </c>
      <c r="AW53">
        <f>IF($Y53="","",IFERROR(INDEX(อัตราค่าขนส่ง!$F$5:$F$204,MATCH($Y53,อัตราค่าขนส่ง!$M$5:$M$204,0)),""))</f>
        <v/>
      </c>
      <c r="AX53">
        <f>IF($W53="","",INDEX(บันทึกรายเที่ยว!$D$6:$D$6005,$W53))</f>
        <v/>
      </c>
      <c r="AY53">
        <f>IF($W53="","",INDEX(บันทึกรายเที่ยว!$R$6:$R$6005,$W53))</f>
        <v/>
      </c>
      <c r="AZ53">
        <f>IF(AND($AD53="T",$AQ53=1),N($AZ52)+1,N($AZ52))</f>
        <v/>
      </c>
      <c r="BA53">
        <f>IF($W53="","",INDEX(บันทึกรายเที่ยว!$E$6:$E$6005,$W53))</f>
        <v/>
      </c>
      <c r="BC53">
        <f>IF($Y53="",0,IFERROR(INDEX(อัตราค่าขนส่ง!$K$5:$K$204,MATCH($Y53,อัตราค่าขนส่ง!$M$5:$M$204,0)),0))</f>
        <v/>
      </c>
      <c r="BD53">
        <f>IF($Y53="",0,IFERROR(INDEX(อัตราค่าขนส่ง!$L$5:$L$204,MATCH($Y53,อัตราค่าขนส่ง!$M$5:$M$204,0)),0))</f>
        <v/>
      </c>
    </row>
    <row r="54" ht="21" customHeight="1" s="66">
      <c r="A54" s="69">
        <f>IF($AD54="","",IF($AD54="Z","รวมจ่ายทั้งสิ้น",IF($AD54="H",INDEX($X$5:$X$404,$AC54),IF($AD54="T","รวม",IF($AD54="B",IFERROR(INDEX(อัตราค่าขนส่ง!$S$5:$S$14,MATCH(INDEX($AM$5:$AM$404,$AC54),อัตราค่าขนส่ง!$R$5:$R$14,0)),"รวมกลุ่ม "&amp;INDEX($AM$5:$AM$404,$AC54)),INDEX($AY$5:$AY$404,$AC54))))))</f>
        <v/>
      </c>
      <c r="B54" s="31">
        <f>IF($AD54&lt;&gt;"D","",INDEX($AW$5:$AW$404,$AC54))</f>
        <v/>
      </c>
      <c r="C54" s="68">
        <f>IF($AD54&lt;&gt;"D","",INDEX($AX$5:$AX$404,$AC54))</f>
        <v/>
      </c>
      <c r="D54" s="70">
        <f>IF($AD54&lt;&gt;"D","",INDEX($BA$5:$BA$404,$AC54))</f>
        <v/>
      </c>
      <c r="E54" s="31">
        <f>IF($AD54="Z",SUM($AR$5:$AR$404),IF($AD54="D",INDEX($AR$5:$AR$404,$AC54),IF($AD54="T",SUMIF($X$5:$X$404,$AF54,$AR$5:$AR$404),IF($AD54="B",SUMIF($AN$5:$AN$404,$AQ54,$AR$5:$AR$404),""))))</f>
        <v/>
      </c>
      <c r="F54" s="32">
        <f>IF($AD54="Z",ROUND(SUM($AS$5:$AS$404),2),IF($AD54="D",INDEX($AS$5:$AS$404,$AC54),IF($AD54="T",ROUND(SUMIF($X$5:$X$404,$AF54,$AS$5:$AS$404),2),IF($AD54="B",ROUND(SUMIF($AN$5:$AN$404,$AQ54,$AS$5:$AS$404),2),""))))</f>
        <v/>
      </c>
      <c r="G54" s="32">
        <f>IF($AD54&lt;&gt;"D","",INDEX($AT$5:$AT$404,$AC54))</f>
        <v/>
      </c>
      <c r="H54" s="32">
        <f>IF($AD54&lt;&gt;"D","",INDEX($BC$5:$BC$404,$AC54))</f>
        <v/>
      </c>
      <c r="I54" s="32">
        <f>IF($AD54&lt;&gt;"D","",INDEX($BD$5:$BD$404,$AC54))</f>
        <v/>
      </c>
      <c r="J54" s="46">
        <f>IF($AD54&lt;&gt;"D","",IF(N($B54)=0,"",ROUND($I54/$B54,4)))</f>
        <v/>
      </c>
      <c r="K54" s="32">
        <f>IF($AD54="Z",ROUND(SUM($AU$5:$AU$404),2),IF($AD54="D",INDEX($AU$5:$AU$404,$AC54),IF($AD54="T",ROUND(SUMIF($X$5:$X$404,$AF54,$AU$5:$AU$404),2),IF($AD54="B",ROUND(SUMIF($AN$5:$AN$404,$AQ54,$AU$5:$AU$404),2),""))))</f>
        <v/>
      </c>
      <c r="L54" s="32">
        <f>IF($AD54="Z",ROUND(SUM($AV$5:$AV$404),2),IF($AD54="D",INDEX($AV$5:$AV$404,$AC54),IF($AD54="T",ROUND(SUMIF($X$5:$X$404,$AF54,$AV$5:$AV$404),2),IF($AD54="B",ROUND(SUMIF($AN$5:$AN$404,$AQ54,$AV$5:$AV$404),2),""))))</f>
        <v/>
      </c>
      <c r="M54" s="32">
        <f>IF($AD54="Z",ROUND(SUM($AJ$5:$AJ$704),2),IF($AD54="B",ROUND(SUMIF($AQ$5:$AQ$704,$AQ54,$AJ$5:$AJ$704),2),IF($AD54&lt;&gt;"T","",$AJ54)))</f>
        <v/>
      </c>
      <c r="N54" s="32">
        <f>IF(OR($AD54="D",$AD54="T",$AD54="B",$AD54="Z"),ROUND(N($K54)-N($L54)-N($M54),2),"")</f>
        <v/>
      </c>
      <c r="O54" s="32">
        <f>IF(OR($AD54="D",$AD54="T",$AD54="B",$AD54="Z"),IF(N($E54)=0,"",ROUND($F54/$E54,2)),"")</f>
        <v/>
      </c>
      <c r="Q54">
        <f>IFERROR(MATCH(50,บันทึกรายเที่ยว!$Z$6:$Z$6005,0),"")</f>
        <v/>
      </c>
      <c r="R54">
        <f>IF($Q54="","",INDEX(บันทึกรายเที่ยว!$V$6:$V$6005,$Q54))</f>
        <v/>
      </c>
      <c r="S54">
        <f>IF($Q54="","",INDEX(บันทึกรายเที่ยว!$F$6:$F$6005,$Q54))</f>
        <v/>
      </c>
      <c r="T54">
        <f>IF($Q54="","",MATCH($S54,บันทึกรายเที่ยว!$F$6:$F$6005,0))</f>
        <v/>
      </c>
      <c r="U54">
        <f>IF($Q54="","",$AL54*10000000+$T54*1000+50)</f>
        <v/>
      </c>
      <c r="V54">
        <f>IFERROR(MATCH(SMALL($U$5:$U$404,50),$U$5:$U$404,0),"")</f>
        <v/>
      </c>
      <c r="W54">
        <f>IF($V54="","",INDEX($Q$5:$Q$404,$V54))</f>
        <v/>
      </c>
      <c r="X54">
        <f>IF($V54="","",INDEX($S$5:$S$404,$V54))</f>
        <v/>
      </c>
      <c r="Y54">
        <f>IF($V54="","",INDEX($R$5:$R$404,$V54))</f>
        <v/>
      </c>
      <c r="Z54">
        <f>IF($V54="",0,IF($X54&lt;&gt;$X53,1,0))</f>
        <v/>
      </c>
      <c r="AA54">
        <f>IF($V54="",0,IF($V55="",1,IF($X55&lt;&gt;$X54,1,0)))</f>
        <v/>
      </c>
      <c r="AB54">
        <f>IF($V54="",99999+50,$AB53+1+$Z53+$AA53+$AO53)</f>
        <v/>
      </c>
      <c r="AC54">
        <f>IFERROR(MATCH(50,$AB$5:$AB$404,1),"")</f>
        <v/>
      </c>
      <c r="AD54">
        <f>IF(50=$AI$1+1,"Z",IF($AC54="","",IF(INDEX($V$5:$V$404,$AC54)="","",IF(50&gt;INDEX($AB$5:$AB$404,$AC54)+INDEX($Z$5:$Z$404,$AC54)+INDEX($AA$5:$AA$404,$AC54)+INDEX($AO$5:$AO$404,$AC54),"",IF(50=INDEX($AB$5:$AB$404,$AC54)+INDEX($Z$5:$Z$404,$AC54),"D",IF(AND(INDEX($Z$5:$Z$404,$AC54)=1,50=INDEX($AB$5:$AB$404,$AC54)),"H",IF(AND(INDEX($AO$5:$AO$404,$AC54)=1,50=INDEX($AB$5:$AB$404,$AC54)+INDEX($Z$5:$Z$404,$AC54)+INDEX($AA$5:$AA$404,$AC54)+INDEX($AO$5:$AO$404,$AC54)),"B","T")))))))</f>
        <v/>
      </c>
      <c r="AF54">
        <f>IF(OR($AD54="",$AD54="Z",$AD54="B"),"",INDEX($X$5:$X$404,$AC54))</f>
        <v/>
      </c>
      <c r="AJ54">
        <f>IF($AD54&lt;&gt;"T",0,ROUND(SUMIF(oil!$B$4:$B$63,$AF54,oil!$AE$4:$AE$63),2))</f>
        <v/>
      </c>
      <c r="AK54">
        <f>IF($S54="","",IFERROR(INDEX(อัตราค่าขนส่ง!$P$5:$P$54,MATCH($S54,อัตราค่าขนส่ง!$O$5:$O$54,0)),INDEX(รายการมาตรฐาน!$G$2:$G$3,1)))</f>
        <v/>
      </c>
      <c r="AL54">
        <f>IF($S54="","",IFERROR(MATCH($AK54,รายการมาตรฐาน!$G$2:$G$3,0),1))</f>
        <v/>
      </c>
      <c r="AM54">
        <f>IF($V54="","",INDEX($AK$5:$AK$404,$V54))</f>
        <v/>
      </c>
      <c r="AN54">
        <f>IF($V54="","",INDEX($AL$5:$AL$404,$V54))</f>
        <v/>
      </c>
      <c r="AO54">
        <f>IF(OR($V54="",$AI$2&lt;=1),0,IF($V55="",1,IF($AN55&lt;&gt;$AN54,1,0)))</f>
        <v/>
      </c>
      <c r="AP54">
        <f>IF($V54="",0,IF($AN54&lt;&gt;$AN53,1,0))</f>
        <v/>
      </c>
      <c r="AQ54">
        <f>IF(OR($AD54="",$AD54="Z"),"",INDEX($AN$5:$AN$404,$AC54))</f>
        <v/>
      </c>
      <c r="AR54">
        <f>IF($Y54="",0,COUNTIF(บันทึกรายเที่ยว!$V$6:$V$6005,$Y54))</f>
        <v/>
      </c>
      <c r="AS54">
        <f>IF($Y54="",0,ROUND(SUMIF(บันทึกรายเที่ยว!$V$6:$V$6005,$Y54,บันทึกรายเที่ยว!$M$6:$M$6005),2))</f>
        <v/>
      </c>
      <c r="AT54">
        <f>IF($Y54="",0,IFERROR(INDEX(อัตราค่าขนส่ง!$G$5:$G$204,MATCH($Y54,อัตราค่าขนส่ง!$M$5:$M$204,0)),0))</f>
        <v/>
      </c>
      <c r="AU54">
        <f>ROUND($AS54*$BD54,2)</f>
        <v/>
      </c>
      <c r="AV54">
        <f>ROUND($AU54*$BF$2/100,2)</f>
        <v/>
      </c>
      <c r="AW54">
        <f>IF($Y54="","",IFERROR(INDEX(อัตราค่าขนส่ง!$F$5:$F$204,MATCH($Y54,อัตราค่าขนส่ง!$M$5:$M$204,0)),""))</f>
        <v/>
      </c>
      <c r="AX54">
        <f>IF($W54="","",INDEX(บันทึกรายเที่ยว!$D$6:$D$6005,$W54))</f>
        <v/>
      </c>
      <c r="AY54">
        <f>IF($W54="","",INDEX(บันทึกรายเที่ยว!$R$6:$R$6005,$W54))</f>
        <v/>
      </c>
      <c r="AZ54">
        <f>IF(AND($AD54="T",$AQ54=1),N($AZ53)+1,N($AZ53))</f>
        <v/>
      </c>
      <c r="BA54">
        <f>IF($W54="","",INDEX(บันทึกรายเที่ยว!$E$6:$E$6005,$W54))</f>
        <v/>
      </c>
      <c r="BC54">
        <f>IF($Y54="",0,IFERROR(INDEX(อัตราค่าขนส่ง!$K$5:$K$204,MATCH($Y54,อัตราค่าขนส่ง!$M$5:$M$204,0)),0))</f>
        <v/>
      </c>
      <c r="BD54">
        <f>IF($Y54="",0,IFERROR(INDEX(อัตราค่าขนส่ง!$L$5:$L$204,MATCH($Y54,อัตราค่าขนส่ง!$M$5:$M$204,0)),0))</f>
        <v/>
      </c>
    </row>
    <row r="55" ht="21" customHeight="1" s="66">
      <c r="A55" s="69">
        <f>IF($AD55="","",IF($AD55="Z","รวมจ่ายทั้งสิ้น",IF($AD55="H",INDEX($X$5:$X$404,$AC55),IF($AD55="T","รวม",IF($AD55="B",IFERROR(INDEX(อัตราค่าขนส่ง!$S$5:$S$14,MATCH(INDEX($AM$5:$AM$404,$AC55),อัตราค่าขนส่ง!$R$5:$R$14,0)),"รวมกลุ่ม "&amp;INDEX($AM$5:$AM$404,$AC55)),INDEX($AY$5:$AY$404,$AC55))))))</f>
        <v/>
      </c>
      <c r="B55" s="31">
        <f>IF($AD55&lt;&gt;"D","",INDEX($AW$5:$AW$404,$AC55))</f>
        <v/>
      </c>
      <c r="C55" s="68">
        <f>IF($AD55&lt;&gt;"D","",INDEX($AX$5:$AX$404,$AC55))</f>
        <v/>
      </c>
      <c r="D55" s="70">
        <f>IF($AD55&lt;&gt;"D","",INDEX($BA$5:$BA$404,$AC55))</f>
        <v/>
      </c>
      <c r="E55" s="31">
        <f>IF($AD55="Z",SUM($AR$5:$AR$404),IF($AD55="D",INDEX($AR$5:$AR$404,$AC55),IF($AD55="T",SUMIF($X$5:$X$404,$AF55,$AR$5:$AR$404),IF($AD55="B",SUMIF($AN$5:$AN$404,$AQ55,$AR$5:$AR$404),""))))</f>
        <v/>
      </c>
      <c r="F55" s="32">
        <f>IF($AD55="Z",ROUND(SUM($AS$5:$AS$404),2),IF($AD55="D",INDEX($AS$5:$AS$404,$AC55),IF($AD55="T",ROUND(SUMIF($X$5:$X$404,$AF55,$AS$5:$AS$404),2),IF($AD55="B",ROUND(SUMIF($AN$5:$AN$404,$AQ55,$AS$5:$AS$404),2),""))))</f>
        <v/>
      </c>
      <c r="G55" s="32">
        <f>IF($AD55&lt;&gt;"D","",INDEX($AT$5:$AT$404,$AC55))</f>
        <v/>
      </c>
      <c r="H55" s="32">
        <f>IF($AD55&lt;&gt;"D","",INDEX($BC$5:$BC$404,$AC55))</f>
        <v/>
      </c>
      <c r="I55" s="32">
        <f>IF($AD55&lt;&gt;"D","",INDEX($BD$5:$BD$404,$AC55))</f>
        <v/>
      </c>
      <c r="J55" s="46">
        <f>IF($AD55&lt;&gt;"D","",IF(N($B55)=0,"",ROUND($I55/$B55,4)))</f>
        <v/>
      </c>
      <c r="K55" s="32">
        <f>IF($AD55="Z",ROUND(SUM($AU$5:$AU$404),2),IF($AD55="D",INDEX($AU$5:$AU$404,$AC55),IF($AD55="T",ROUND(SUMIF($X$5:$X$404,$AF55,$AU$5:$AU$404),2),IF($AD55="B",ROUND(SUMIF($AN$5:$AN$404,$AQ55,$AU$5:$AU$404),2),""))))</f>
        <v/>
      </c>
      <c r="L55" s="32">
        <f>IF($AD55="Z",ROUND(SUM($AV$5:$AV$404),2),IF($AD55="D",INDEX($AV$5:$AV$404,$AC55),IF($AD55="T",ROUND(SUMIF($X$5:$X$404,$AF55,$AV$5:$AV$404),2),IF($AD55="B",ROUND(SUMIF($AN$5:$AN$404,$AQ55,$AV$5:$AV$404),2),""))))</f>
        <v/>
      </c>
      <c r="M55" s="32">
        <f>IF($AD55="Z",ROUND(SUM($AJ$5:$AJ$704),2),IF($AD55="B",ROUND(SUMIF($AQ$5:$AQ$704,$AQ55,$AJ$5:$AJ$704),2),IF($AD55&lt;&gt;"T","",$AJ55)))</f>
        <v/>
      </c>
      <c r="N55" s="32">
        <f>IF(OR($AD55="D",$AD55="T",$AD55="B",$AD55="Z"),ROUND(N($K55)-N($L55)-N($M55),2),"")</f>
        <v/>
      </c>
      <c r="O55" s="32">
        <f>IF(OR($AD55="D",$AD55="T",$AD55="B",$AD55="Z"),IF(N($E55)=0,"",ROUND($F55/$E55,2)),"")</f>
        <v/>
      </c>
      <c r="Q55">
        <f>IFERROR(MATCH(51,บันทึกรายเที่ยว!$Z$6:$Z$6005,0),"")</f>
        <v/>
      </c>
      <c r="R55">
        <f>IF($Q55="","",INDEX(บันทึกรายเที่ยว!$V$6:$V$6005,$Q55))</f>
        <v/>
      </c>
      <c r="S55">
        <f>IF($Q55="","",INDEX(บันทึกรายเที่ยว!$F$6:$F$6005,$Q55))</f>
        <v/>
      </c>
      <c r="T55">
        <f>IF($Q55="","",MATCH($S55,บันทึกรายเที่ยว!$F$6:$F$6005,0))</f>
        <v/>
      </c>
      <c r="U55">
        <f>IF($Q55="","",$AL55*10000000+$T55*1000+51)</f>
        <v/>
      </c>
      <c r="V55">
        <f>IFERROR(MATCH(SMALL($U$5:$U$404,51),$U$5:$U$404,0),"")</f>
        <v/>
      </c>
      <c r="W55">
        <f>IF($V55="","",INDEX($Q$5:$Q$404,$V55))</f>
        <v/>
      </c>
      <c r="X55">
        <f>IF($V55="","",INDEX($S$5:$S$404,$V55))</f>
        <v/>
      </c>
      <c r="Y55">
        <f>IF($V55="","",INDEX($R$5:$R$404,$V55))</f>
        <v/>
      </c>
      <c r="Z55">
        <f>IF($V55="",0,IF($X55&lt;&gt;$X54,1,0))</f>
        <v/>
      </c>
      <c r="AA55">
        <f>IF($V55="",0,IF($V56="",1,IF($X56&lt;&gt;$X55,1,0)))</f>
        <v/>
      </c>
      <c r="AB55">
        <f>IF($V55="",99999+51,$AB54+1+$Z54+$AA54+$AO54)</f>
        <v/>
      </c>
      <c r="AC55">
        <f>IFERROR(MATCH(51,$AB$5:$AB$404,1),"")</f>
        <v/>
      </c>
      <c r="AD55">
        <f>IF(51=$AI$1+1,"Z",IF($AC55="","",IF(INDEX($V$5:$V$404,$AC55)="","",IF(51&gt;INDEX($AB$5:$AB$404,$AC55)+INDEX($Z$5:$Z$404,$AC55)+INDEX($AA$5:$AA$404,$AC55)+INDEX($AO$5:$AO$404,$AC55),"",IF(51=INDEX($AB$5:$AB$404,$AC55)+INDEX($Z$5:$Z$404,$AC55),"D",IF(AND(INDEX($Z$5:$Z$404,$AC55)=1,51=INDEX($AB$5:$AB$404,$AC55)),"H",IF(AND(INDEX($AO$5:$AO$404,$AC55)=1,51=INDEX($AB$5:$AB$404,$AC55)+INDEX($Z$5:$Z$404,$AC55)+INDEX($AA$5:$AA$404,$AC55)+INDEX($AO$5:$AO$404,$AC55)),"B","T")))))))</f>
        <v/>
      </c>
      <c r="AF55">
        <f>IF(OR($AD55="",$AD55="Z",$AD55="B"),"",INDEX($X$5:$X$404,$AC55))</f>
        <v/>
      </c>
      <c r="AJ55">
        <f>IF($AD55&lt;&gt;"T",0,ROUND(SUMIF(oil!$B$4:$B$63,$AF55,oil!$AE$4:$AE$63),2))</f>
        <v/>
      </c>
      <c r="AK55">
        <f>IF($S55="","",IFERROR(INDEX(อัตราค่าขนส่ง!$P$5:$P$54,MATCH($S55,อัตราค่าขนส่ง!$O$5:$O$54,0)),INDEX(รายการมาตรฐาน!$G$2:$G$3,1)))</f>
        <v/>
      </c>
      <c r="AL55">
        <f>IF($S55="","",IFERROR(MATCH($AK55,รายการมาตรฐาน!$G$2:$G$3,0),1))</f>
        <v/>
      </c>
      <c r="AM55">
        <f>IF($V55="","",INDEX($AK$5:$AK$404,$V55))</f>
        <v/>
      </c>
      <c r="AN55">
        <f>IF($V55="","",INDEX($AL$5:$AL$404,$V55))</f>
        <v/>
      </c>
      <c r="AO55">
        <f>IF(OR($V55="",$AI$2&lt;=1),0,IF($V56="",1,IF($AN56&lt;&gt;$AN55,1,0)))</f>
        <v/>
      </c>
      <c r="AP55">
        <f>IF($V55="",0,IF($AN55&lt;&gt;$AN54,1,0))</f>
        <v/>
      </c>
      <c r="AQ55">
        <f>IF(OR($AD55="",$AD55="Z"),"",INDEX($AN$5:$AN$404,$AC55))</f>
        <v/>
      </c>
      <c r="AR55">
        <f>IF($Y55="",0,COUNTIF(บันทึกรายเที่ยว!$V$6:$V$6005,$Y55))</f>
        <v/>
      </c>
      <c r="AS55">
        <f>IF($Y55="",0,ROUND(SUMIF(บันทึกรายเที่ยว!$V$6:$V$6005,$Y55,บันทึกรายเที่ยว!$M$6:$M$6005),2))</f>
        <v/>
      </c>
      <c r="AT55">
        <f>IF($Y55="",0,IFERROR(INDEX(อัตราค่าขนส่ง!$G$5:$G$204,MATCH($Y55,อัตราค่าขนส่ง!$M$5:$M$204,0)),0))</f>
        <v/>
      </c>
      <c r="AU55">
        <f>ROUND($AS55*$BD55,2)</f>
        <v/>
      </c>
      <c r="AV55">
        <f>ROUND($AU55*$BF$2/100,2)</f>
        <v/>
      </c>
      <c r="AW55">
        <f>IF($Y55="","",IFERROR(INDEX(อัตราค่าขนส่ง!$F$5:$F$204,MATCH($Y55,อัตราค่าขนส่ง!$M$5:$M$204,0)),""))</f>
        <v/>
      </c>
      <c r="AX55">
        <f>IF($W55="","",INDEX(บันทึกรายเที่ยว!$D$6:$D$6005,$W55))</f>
        <v/>
      </c>
      <c r="AY55">
        <f>IF($W55="","",INDEX(บันทึกรายเที่ยว!$R$6:$R$6005,$W55))</f>
        <v/>
      </c>
      <c r="AZ55">
        <f>IF(AND($AD55="T",$AQ55=1),N($AZ54)+1,N($AZ54))</f>
        <v/>
      </c>
      <c r="BA55">
        <f>IF($W55="","",INDEX(บันทึกรายเที่ยว!$E$6:$E$6005,$W55))</f>
        <v/>
      </c>
      <c r="BC55">
        <f>IF($Y55="",0,IFERROR(INDEX(อัตราค่าขนส่ง!$K$5:$K$204,MATCH($Y55,อัตราค่าขนส่ง!$M$5:$M$204,0)),0))</f>
        <v/>
      </c>
      <c r="BD55">
        <f>IF($Y55="",0,IFERROR(INDEX(อัตราค่าขนส่ง!$L$5:$L$204,MATCH($Y55,อัตราค่าขนส่ง!$M$5:$M$204,0)),0))</f>
        <v/>
      </c>
    </row>
    <row r="56" ht="21" customHeight="1" s="66">
      <c r="A56" s="69">
        <f>IF($AD56="","",IF($AD56="Z","รวมจ่ายทั้งสิ้น",IF($AD56="H",INDEX($X$5:$X$404,$AC56),IF($AD56="T","รวม",IF($AD56="B",IFERROR(INDEX(อัตราค่าขนส่ง!$S$5:$S$14,MATCH(INDEX($AM$5:$AM$404,$AC56),อัตราค่าขนส่ง!$R$5:$R$14,0)),"รวมกลุ่ม "&amp;INDEX($AM$5:$AM$404,$AC56)),INDEX($AY$5:$AY$404,$AC56))))))</f>
        <v/>
      </c>
      <c r="B56" s="31">
        <f>IF($AD56&lt;&gt;"D","",INDEX($AW$5:$AW$404,$AC56))</f>
        <v/>
      </c>
      <c r="C56" s="68">
        <f>IF($AD56&lt;&gt;"D","",INDEX($AX$5:$AX$404,$AC56))</f>
        <v/>
      </c>
      <c r="D56" s="70">
        <f>IF($AD56&lt;&gt;"D","",INDEX($BA$5:$BA$404,$AC56))</f>
        <v/>
      </c>
      <c r="E56" s="31">
        <f>IF($AD56="Z",SUM($AR$5:$AR$404),IF($AD56="D",INDEX($AR$5:$AR$404,$AC56),IF($AD56="T",SUMIF($X$5:$X$404,$AF56,$AR$5:$AR$404),IF($AD56="B",SUMIF($AN$5:$AN$404,$AQ56,$AR$5:$AR$404),""))))</f>
        <v/>
      </c>
      <c r="F56" s="32">
        <f>IF($AD56="Z",ROUND(SUM($AS$5:$AS$404),2),IF($AD56="D",INDEX($AS$5:$AS$404,$AC56),IF($AD56="T",ROUND(SUMIF($X$5:$X$404,$AF56,$AS$5:$AS$404),2),IF($AD56="B",ROUND(SUMIF($AN$5:$AN$404,$AQ56,$AS$5:$AS$404),2),""))))</f>
        <v/>
      </c>
      <c r="G56" s="32">
        <f>IF($AD56&lt;&gt;"D","",INDEX($AT$5:$AT$404,$AC56))</f>
        <v/>
      </c>
      <c r="H56" s="32">
        <f>IF($AD56&lt;&gt;"D","",INDEX($BC$5:$BC$404,$AC56))</f>
        <v/>
      </c>
      <c r="I56" s="32">
        <f>IF($AD56&lt;&gt;"D","",INDEX($BD$5:$BD$404,$AC56))</f>
        <v/>
      </c>
      <c r="J56" s="46">
        <f>IF($AD56&lt;&gt;"D","",IF(N($B56)=0,"",ROUND($I56/$B56,4)))</f>
        <v/>
      </c>
      <c r="K56" s="32">
        <f>IF($AD56="Z",ROUND(SUM($AU$5:$AU$404),2),IF($AD56="D",INDEX($AU$5:$AU$404,$AC56),IF($AD56="T",ROUND(SUMIF($X$5:$X$404,$AF56,$AU$5:$AU$404),2),IF($AD56="B",ROUND(SUMIF($AN$5:$AN$404,$AQ56,$AU$5:$AU$404),2),""))))</f>
        <v/>
      </c>
      <c r="L56" s="32">
        <f>IF($AD56="Z",ROUND(SUM($AV$5:$AV$404),2),IF($AD56="D",INDEX($AV$5:$AV$404,$AC56),IF($AD56="T",ROUND(SUMIF($X$5:$X$404,$AF56,$AV$5:$AV$404),2),IF($AD56="B",ROUND(SUMIF($AN$5:$AN$404,$AQ56,$AV$5:$AV$404),2),""))))</f>
        <v/>
      </c>
      <c r="M56" s="32">
        <f>IF($AD56="Z",ROUND(SUM($AJ$5:$AJ$704),2),IF($AD56="B",ROUND(SUMIF($AQ$5:$AQ$704,$AQ56,$AJ$5:$AJ$704),2),IF($AD56&lt;&gt;"T","",$AJ56)))</f>
        <v/>
      </c>
      <c r="N56" s="32">
        <f>IF(OR($AD56="D",$AD56="T",$AD56="B",$AD56="Z"),ROUND(N($K56)-N($L56)-N($M56),2),"")</f>
        <v/>
      </c>
      <c r="O56" s="32">
        <f>IF(OR($AD56="D",$AD56="T",$AD56="B",$AD56="Z"),IF(N($E56)=0,"",ROUND($F56/$E56,2)),"")</f>
        <v/>
      </c>
      <c r="Q56">
        <f>IFERROR(MATCH(52,บันทึกรายเที่ยว!$Z$6:$Z$6005,0),"")</f>
        <v/>
      </c>
      <c r="R56">
        <f>IF($Q56="","",INDEX(บันทึกรายเที่ยว!$V$6:$V$6005,$Q56))</f>
        <v/>
      </c>
      <c r="S56">
        <f>IF($Q56="","",INDEX(บันทึกรายเที่ยว!$F$6:$F$6005,$Q56))</f>
        <v/>
      </c>
      <c r="T56">
        <f>IF($Q56="","",MATCH($S56,บันทึกรายเที่ยว!$F$6:$F$6005,0))</f>
        <v/>
      </c>
      <c r="U56">
        <f>IF($Q56="","",$AL56*10000000+$T56*1000+52)</f>
        <v/>
      </c>
      <c r="V56">
        <f>IFERROR(MATCH(SMALL($U$5:$U$404,52),$U$5:$U$404,0),"")</f>
        <v/>
      </c>
      <c r="W56">
        <f>IF($V56="","",INDEX($Q$5:$Q$404,$V56))</f>
        <v/>
      </c>
      <c r="X56">
        <f>IF($V56="","",INDEX($S$5:$S$404,$V56))</f>
        <v/>
      </c>
      <c r="Y56">
        <f>IF($V56="","",INDEX($R$5:$R$404,$V56))</f>
        <v/>
      </c>
      <c r="Z56">
        <f>IF($V56="",0,IF($X56&lt;&gt;$X55,1,0))</f>
        <v/>
      </c>
      <c r="AA56">
        <f>IF($V56="",0,IF($V57="",1,IF($X57&lt;&gt;$X56,1,0)))</f>
        <v/>
      </c>
      <c r="AB56">
        <f>IF($V56="",99999+52,$AB55+1+$Z55+$AA55+$AO55)</f>
        <v/>
      </c>
      <c r="AC56">
        <f>IFERROR(MATCH(52,$AB$5:$AB$404,1),"")</f>
        <v/>
      </c>
      <c r="AD56">
        <f>IF(52=$AI$1+1,"Z",IF($AC56="","",IF(INDEX($V$5:$V$404,$AC56)="","",IF(52&gt;INDEX($AB$5:$AB$404,$AC56)+INDEX($Z$5:$Z$404,$AC56)+INDEX($AA$5:$AA$404,$AC56)+INDEX($AO$5:$AO$404,$AC56),"",IF(52=INDEX($AB$5:$AB$404,$AC56)+INDEX($Z$5:$Z$404,$AC56),"D",IF(AND(INDEX($Z$5:$Z$404,$AC56)=1,52=INDEX($AB$5:$AB$404,$AC56)),"H",IF(AND(INDEX($AO$5:$AO$404,$AC56)=1,52=INDEX($AB$5:$AB$404,$AC56)+INDEX($Z$5:$Z$404,$AC56)+INDEX($AA$5:$AA$404,$AC56)+INDEX($AO$5:$AO$404,$AC56)),"B","T")))))))</f>
        <v/>
      </c>
      <c r="AF56">
        <f>IF(OR($AD56="",$AD56="Z",$AD56="B"),"",INDEX($X$5:$X$404,$AC56))</f>
        <v/>
      </c>
      <c r="AJ56">
        <f>IF($AD56&lt;&gt;"T",0,ROUND(SUMIF(oil!$B$4:$B$63,$AF56,oil!$AE$4:$AE$63),2))</f>
        <v/>
      </c>
      <c r="AK56">
        <f>IF($S56="","",IFERROR(INDEX(อัตราค่าขนส่ง!$P$5:$P$54,MATCH($S56,อัตราค่าขนส่ง!$O$5:$O$54,0)),INDEX(รายการมาตรฐาน!$G$2:$G$3,1)))</f>
        <v/>
      </c>
      <c r="AL56">
        <f>IF($S56="","",IFERROR(MATCH($AK56,รายการมาตรฐาน!$G$2:$G$3,0),1))</f>
        <v/>
      </c>
      <c r="AM56">
        <f>IF($V56="","",INDEX($AK$5:$AK$404,$V56))</f>
        <v/>
      </c>
      <c r="AN56">
        <f>IF($V56="","",INDEX($AL$5:$AL$404,$V56))</f>
        <v/>
      </c>
      <c r="AO56">
        <f>IF(OR($V56="",$AI$2&lt;=1),0,IF($V57="",1,IF($AN57&lt;&gt;$AN56,1,0)))</f>
        <v/>
      </c>
      <c r="AP56">
        <f>IF($V56="",0,IF($AN56&lt;&gt;$AN55,1,0))</f>
        <v/>
      </c>
      <c r="AQ56">
        <f>IF(OR($AD56="",$AD56="Z"),"",INDEX($AN$5:$AN$404,$AC56))</f>
        <v/>
      </c>
      <c r="AR56">
        <f>IF($Y56="",0,COUNTIF(บันทึกรายเที่ยว!$V$6:$V$6005,$Y56))</f>
        <v/>
      </c>
      <c r="AS56">
        <f>IF($Y56="",0,ROUND(SUMIF(บันทึกรายเที่ยว!$V$6:$V$6005,$Y56,บันทึกรายเที่ยว!$M$6:$M$6005),2))</f>
        <v/>
      </c>
      <c r="AT56">
        <f>IF($Y56="",0,IFERROR(INDEX(อัตราค่าขนส่ง!$G$5:$G$204,MATCH($Y56,อัตราค่าขนส่ง!$M$5:$M$204,0)),0))</f>
        <v/>
      </c>
      <c r="AU56">
        <f>ROUND($AS56*$BD56,2)</f>
        <v/>
      </c>
      <c r="AV56">
        <f>ROUND($AU56*$BF$2/100,2)</f>
        <v/>
      </c>
      <c r="AW56">
        <f>IF($Y56="","",IFERROR(INDEX(อัตราค่าขนส่ง!$F$5:$F$204,MATCH($Y56,อัตราค่าขนส่ง!$M$5:$M$204,0)),""))</f>
        <v/>
      </c>
      <c r="AX56">
        <f>IF($W56="","",INDEX(บันทึกรายเที่ยว!$D$6:$D$6005,$W56))</f>
        <v/>
      </c>
      <c r="AY56">
        <f>IF($W56="","",INDEX(บันทึกรายเที่ยว!$R$6:$R$6005,$W56))</f>
        <v/>
      </c>
      <c r="AZ56">
        <f>IF(AND($AD56="T",$AQ56=1),N($AZ55)+1,N($AZ55))</f>
        <v/>
      </c>
      <c r="BA56">
        <f>IF($W56="","",INDEX(บันทึกรายเที่ยว!$E$6:$E$6005,$W56))</f>
        <v/>
      </c>
      <c r="BC56">
        <f>IF($Y56="",0,IFERROR(INDEX(อัตราค่าขนส่ง!$K$5:$K$204,MATCH($Y56,อัตราค่าขนส่ง!$M$5:$M$204,0)),0))</f>
        <v/>
      </c>
      <c r="BD56">
        <f>IF($Y56="",0,IFERROR(INDEX(อัตราค่าขนส่ง!$L$5:$L$204,MATCH($Y56,อัตราค่าขนส่ง!$M$5:$M$204,0)),0))</f>
        <v/>
      </c>
    </row>
    <row r="57" ht="21" customHeight="1" s="66">
      <c r="A57" s="69">
        <f>IF($AD57="","",IF($AD57="Z","รวมจ่ายทั้งสิ้น",IF($AD57="H",INDEX($X$5:$X$404,$AC57),IF($AD57="T","รวม",IF($AD57="B",IFERROR(INDEX(อัตราค่าขนส่ง!$S$5:$S$14,MATCH(INDEX($AM$5:$AM$404,$AC57),อัตราค่าขนส่ง!$R$5:$R$14,0)),"รวมกลุ่ม "&amp;INDEX($AM$5:$AM$404,$AC57)),INDEX($AY$5:$AY$404,$AC57))))))</f>
        <v/>
      </c>
      <c r="B57" s="31">
        <f>IF($AD57&lt;&gt;"D","",INDEX($AW$5:$AW$404,$AC57))</f>
        <v/>
      </c>
      <c r="C57" s="68">
        <f>IF($AD57&lt;&gt;"D","",INDEX($AX$5:$AX$404,$AC57))</f>
        <v/>
      </c>
      <c r="D57" s="70">
        <f>IF($AD57&lt;&gt;"D","",INDEX($BA$5:$BA$404,$AC57))</f>
        <v/>
      </c>
      <c r="E57" s="31">
        <f>IF($AD57="Z",SUM($AR$5:$AR$404),IF($AD57="D",INDEX($AR$5:$AR$404,$AC57),IF($AD57="T",SUMIF($X$5:$X$404,$AF57,$AR$5:$AR$404),IF($AD57="B",SUMIF($AN$5:$AN$404,$AQ57,$AR$5:$AR$404),""))))</f>
        <v/>
      </c>
      <c r="F57" s="32">
        <f>IF($AD57="Z",ROUND(SUM($AS$5:$AS$404),2),IF($AD57="D",INDEX($AS$5:$AS$404,$AC57),IF($AD57="T",ROUND(SUMIF($X$5:$X$404,$AF57,$AS$5:$AS$404),2),IF($AD57="B",ROUND(SUMIF($AN$5:$AN$404,$AQ57,$AS$5:$AS$404),2),""))))</f>
        <v/>
      </c>
      <c r="G57" s="32">
        <f>IF($AD57&lt;&gt;"D","",INDEX($AT$5:$AT$404,$AC57))</f>
        <v/>
      </c>
      <c r="H57" s="32">
        <f>IF($AD57&lt;&gt;"D","",INDEX($BC$5:$BC$404,$AC57))</f>
        <v/>
      </c>
      <c r="I57" s="32">
        <f>IF($AD57&lt;&gt;"D","",INDEX($BD$5:$BD$404,$AC57))</f>
        <v/>
      </c>
      <c r="J57" s="46">
        <f>IF($AD57&lt;&gt;"D","",IF(N($B57)=0,"",ROUND($I57/$B57,4)))</f>
        <v/>
      </c>
      <c r="K57" s="32">
        <f>IF($AD57="Z",ROUND(SUM($AU$5:$AU$404),2),IF($AD57="D",INDEX($AU$5:$AU$404,$AC57),IF($AD57="T",ROUND(SUMIF($X$5:$X$404,$AF57,$AU$5:$AU$404),2),IF($AD57="B",ROUND(SUMIF($AN$5:$AN$404,$AQ57,$AU$5:$AU$404),2),""))))</f>
        <v/>
      </c>
      <c r="L57" s="32">
        <f>IF($AD57="Z",ROUND(SUM($AV$5:$AV$404),2),IF($AD57="D",INDEX($AV$5:$AV$404,$AC57),IF($AD57="T",ROUND(SUMIF($X$5:$X$404,$AF57,$AV$5:$AV$404),2),IF($AD57="B",ROUND(SUMIF($AN$5:$AN$404,$AQ57,$AV$5:$AV$404),2),""))))</f>
        <v/>
      </c>
      <c r="M57" s="32">
        <f>IF($AD57="Z",ROUND(SUM($AJ$5:$AJ$704),2),IF($AD57="B",ROUND(SUMIF($AQ$5:$AQ$704,$AQ57,$AJ$5:$AJ$704),2),IF($AD57&lt;&gt;"T","",$AJ57)))</f>
        <v/>
      </c>
      <c r="N57" s="32">
        <f>IF(OR($AD57="D",$AD57="T",$AD57="B",$AD57="Z"),ROUND(N($K57)-N($L57)-N($M57),2),"")</f>
        <v/>
      </c>
      <c r="O57" s="32">
        <f>IF(OR($AD57="D",$AD57="T",$AD57="B",$AD57="Z"),IF(N($E57)=0,"",ROUND($F57/$E57,2)),"")</f>
        <v/>
      </c>
      <c r="Q57">
        <f>IFERROR(MATCH(53,บันทึกรายเที่ยว!$Z$6:$Z$6005,0),"")</f>
        <v/>
      </c>
      <c r="R57">
        <f>IF($Q57="","",INDEX(บันทึกรายเที่ยว!$V$6:$V$6005,$Q57))</f>
        <v/>
      </c>
      <c r="S57">
        <f>IF($Q57="","",INDEX(บันทึกรายเที่ยว!$F$6:$F$6005,$Q57))</f>
        <v/>
      </c>
      <c r="T57">
        <f>IF($Q57="","",MATCH($S57,บันทึกรายเที่ยว!$F$6:$F$6005,0))</f>
        <v/>
      </c>
      <c r="U57">
        <f>IF($Q57="","",$AL57*10000000+$T57*1000+53)</f>
        <v/>
      </c>
      <c r="V57">
        <f>IFERROR(MATCH(SMALL($U$5:$U$404,53),$U$5:$U$404,0),"")</f>
        <v/>
      </c>
      <c r="W57">
        <f>IF($V57="","",INDEX($Q$5:$Q$404,$V57))</f>
        <v/>
      </c>
      <c r="X57">
        <f>IF($V57="","",INDEX($S$5:$S$404,$V57))</f>
        <v/>
      </c>
      <c r="Y57">
        <f>IF($V57="","",INDEX($R$5:$R$404,$V57))</f>
        <v/>
      </c>
      <c r="Z57">
        <f>IF($V57="",0,IF($X57&lt;&gt;$X56,1,0))</f>
        <v/>
      </c>
      <c r="AA57">
        <f>IF($V57="",0,IF($V58="",1,IF($X58&lt;&gt;$X57,1,0)))</f>
        <v/>
      </c>
      <c r="AB57">
        <f>IF($V57="",99999+53,$AB56+1+$Z56+$AA56+$AO56)</f>
        <v/>
      </c>
      <c r="AC57">
        <f>IFERROR(MATCH(53,$AB$5:$AB$404,1),"")</f>
        <v/>
      </c>
      <c r="AD57">
        <f>IF(53=$AI$1+1,"Z",IF($AC57="","",IF(INDEX($V$5:$V$404,$AC57)="","",IF(53&gt;INDEX($AB$5:$AB$404,$AC57)+INDEX($Z$5:$Z$404,$AC57)+INDEX($AA$5:$AA$404,$AC57)+INDEX($AO$5:$AO$404,$AC57),"",IF(53=INDEX($AB$5:$AB$404,$AC57)+INDEX($Z$5:$Z$404,$AC57),"D",IF(AND(INDEX($Z$5:$Z$404,$AC57)=1,53=INDEX($AB$5:$AB$404,$AC57)),"H",IF(AND(INDEX($AO$5:$AO$404,$AC57)=1,53=INDEX($AB$5:$AB$404,$AC57)+INDEX($Z$5:$Z$404,$AC57)+INDEX($AA$5:$AA$404,$AC57)+INDEX($AO$5:$AO$404,$AC57)),"B","T")))))))</f>
        <v/>
      </c>
      <c r="AF57">
        <f>IF(OR($AD57="",$AD57="Z",$AD57="B"),"",INDEX($X$5:$X$404,$AC57))</f>
        <v/>
      </c>
      <c r="AJ57">
        <f>IF($AD57&lt;&gt;"T",0,ROUND(SUMIF(oil!$B$4:$B$63,$AF57,oil!$AE$4:$AE$63),2))</f>
        <v/>
      </c>
      <c r="AK57">
        <f>IF($S57="","",IFERROR(INDEX(อัตราค่าขนส่ง!$P$5:$P$54,MATCH($S57,อัตราค่าขนส่ง!$O$5:$O$54,0)),INDEX(รายการมาตรฐาน!$G$2:$G$3,1)))</f>
        <v/>
      </c>
      <c r="AL57">
        <f>IF($S57="","",IFERROR(MATCH($AK57,รายการมาตรฐาน!$G$2:$G$3,0),1))</f>
        <v/>
      </c>
      <c r="AM57">
        <f>IF($V57="","",INDEX($AK$5:$AK$404,$V57))</f>
        <v/>
      </c>
      <c r="AN57">
        <f>IF($V57="","",INDEX($AL$5:$AL$404,$V57))</f>
        <v/>
      </c>
      <c r="AO57">
        <f>IF(OR($V57="",$AI$2&lt;=1),0,IF($V58="",1,IF($AN58&lt;&gt;$AN57,1,0)))</f>
        <v/>
      </c>
      <c r="AP57">
        <f>IF($V57="",0,IF($AN57&lt;&gt;$AN56,1,0))</f>
        <v/>
      </c>
      <c r="AQ57">
        <f>IF(OR($AD57="",$AD57="Z"),"",INDEX($AN$5:$AN$404,$AC57))</f>
        <v/>
      </c>
      <c r="AR57">
        <f>IF($Y57="",0,COUNTIF(บันทึกรายเที่ยว!$V$6:$V$6005,$Y57))</f>
        <v/>
      </c>
      <c r="AS57">
        <f>IF($Y57="",0,ROUND(SUMIF(บันทึกรายเที่ยว!$V$6:$V$6005,$Y57,บันทึกรายเที่ยว!$M$6:$M$6005),2))</f>
        <v/>
      </c>
      <c r="AT57">
        <f>IF($Y57="",0,IFERROR(INDEX(อัตราค่าขนส่ง!$G$5:$G$204,MATCH($Y57,อัตราค่าขนส่ง!$M$5:$M$204,0)),0))</f>
        <v/>
      </c>
      <c r="AU57">
        <f>ROUND($AS57*$BD57,2)</f>
        <v/>
      </c>
      <c r="AV57">
        <f>ROUND($AU57*$BF$2/100,2)</f>
        <v/>
      </c>
      <c r="AW57">
        <f>IF($Y57="","",IFERROR(INDEX(อัตราค่าขนส่ง!$F$5:$F$204,MATCH($Y57,อัตราค่าขนส่ง!$M$5:$M$204,0)),""))</f>
        <v/>
      </c>
      <c r="AX57">
        <f>IF($W57="","",INDEX(บันทึกรายเที่ยว!$D$6:$D$6005,$W57))</f>
        <v/>
      </c>
      <c r="AY57">
        <f>IF($W57="","",INDEX(บันทึกรายเที่ยว!$R$6:$R$6005,$W57))</f>
        <v/>
      </c>
      <c r="AZ57">
        <f>IF(AND($AD57="T",$AQ57=1),N($AZ56)+1,N($AZ56))</f>
        <v/>
      </c>
      <c r="BA57">
        <f>IF($W57="","",INDEX(บันทึกรายเที่ยว!$E$6:$E$6005,$W57))</f>
        <v/>
      </c>
      <c r="BC57">
        <f>IF($Y57="",0,IFERROR(INDEX(อัตราค่าขนส่ง!$K$5:$K$204,MATCH($Y57,อัตราค่าขนส่ง!$M$5:$M$204,0)),0))</f>
        <v/>
      </c>
      <c r="BD57">
        <f>IF($Y57="",0,IFERROR(INDEX(อัตราค่าขนส่ง!$L$5:$L$204,MATCH($Y57,อัตราค่าขนส่ง!$M$5:$M$204,0)),0))</f>
        <v/>
      </c>
    </row>
    <row r="58" ht="21" customHeight="1" s="66">
      <c r="A58" s="69">
        <f>IF($AD58="","",IF($AD58="Z","รวมจ่ายทั้งสิ้น",IF($AD58="H",INDEX($X$5:$X$404,$AC58),IF($AD58="T","รวม",IF($AD58="B",IFERROR(INDEX(อัตราค่าขนส่ง!$S$5:$S$14,MATCH(INDEX($AM$5:$AM$404,$AC58),อัตราค่าขนส่ง!$R$5:$R$14,0)),"รวมกลุ่ม "&amp;INDEX($AM$5:$AM$404,$AC58)),INDEX($AY$5:$AY$404,$AC58))))))</f>
        <v/>
      </c>
      <c r="B58" s="31">
        <f>IF($AD58&lt;&gt;"D","",INDEX($AW$5:$AW$404,$AC58))</f>
        <v/>
      </c>
      <c r="C58" s="68">
        <f>IF($AD58&lt;&gt;"D","",INDEX($AX$5:$AX$404,$AC58))</f>
        <v/>
      </c>
      <c r="D58" s="70">
        <f>IF($AD58&lt;&gt;"D","",INDEX($BA$5:$BA$404,$AC58))</f>
        <v/>
      </c>
      <c r="E58" s="31">
        <f>IF($AD58="Z",SUM($AR$5:$AR$404),IF($AD58="D",INDEX($AR$5:$AR$404,$AC58),IF($AD58="T",SUMIF($X$5:$X$404,$AF58,$AR$5:$AR$404),IF($AD58="B",SUMIF($AN$5:$AN$404,$AQ58,$AR$5:$AR$404),""))))</f>
        <v/>
      </c>
      <c r="F58" s="32">
        <f>IF($AD58="Z",ROUND(SUM($AS$5:$AS$404),2),IF($AD58="D",INDEX($AS$5:$AS$404,$AC58),IF($AD58="T",ROUND(SUMIF($X$5:$X$404,$AF58,$AS$5:$AS$404),2),IF($AD58="B",ROUND(SUMIF($AN$5:$AN$404,$AQ58,$AS$5:$AS$404),2),""))))</f>
        <v/>
      </c>
      <c r="G58" s="32">
        <f>IF($AD58&lt;&gt;"D","",INDEX($AT$5:$AT$404,$AC58))</f>
        <v/>
      </c>
      <c r="H58" s="32">
        <f>IF($AD58&lt;&gt;"D","",INDEX($BC$5:$BC$404,$AC58))</f>
        <v/>
      </c>
      <c r="I58" s="32">
        <f>IF($AD58&lt;&gt;"D","",INDEX($BD$5:$BD$404,$AC58))</f>
        <v/>
      </c>
      <c r="J58" s="46">
        <f>IF($AD58&lt;&gt;"D","",IF(N($B58)=0,"",ROUND($I58/$B58,4)))</f>
        <v/>
      </c>
      <c r="K58" s="32">
        <f>IF($AD58="Z",ROUND(SUM($AU$5:$AU$404),2),IF($AD58="D",INDEX($AU$5:$AU$404,$AC58),IF($AD58="T",ROUND(SUMIF($X$5:$X$404,$AF58,$AU$5:$AU$404),2),IF($AD58="B",ROUND(SUMIF($AN$5:$AN$404,$AQ58,$AU$5:$AU$404),2),""))))</f>
        <v/>
      </c>
      <c r="L58" s="32">
        <f>IF($AD58="Z",ROUND(SUM($AV$5:$AV$404),2),IF($AD58="D",INDEX($AV$5:$AV$404,$AC58),IF($AD58="T",ROUND(SUMIF($X$5:$X$404,$AF58,$AV$5:$AV$404),2),IF($AD58="B",ROUND(SUMIF($AN$5:$AN$404,$AQ58,$AV$5:$AV$404),2),""))))</f>
        <v/>
      </c>
      <c r="M58" s="32">
        <f>IF($AD58="Z",ROUND(SUM($AJ$5:$AJ$704),2),IF($AD58="B",ROUND(SUMIF($AQ$5:$AQ$704,$AQ58,$AJ$5:$AJ$704),2),IF($AD58&lt;&gt;"T","",$AJ58)))</f>
        <v/>
      </c>
      <c r="N58" s="32">
        <f>IF(OR($AD58="D",$AD58="T",$AD58="B",$AD58="Z"),ROUND(N($K58)-N($L58)-N($M58),2),"")</f>
        <v/>
      </c>
      <c r="O58" s="32">
        <f>IF(OR($AD58="D",$AD58="T",$AD58="B",$AD58="Z"),IF(N($E58)=0,"",ROUND($F58/$E58,2)),"")</f>
        <v/>
      </c>
      <c r="Q58">
        <f>IFERROR(MATCH(54,บันทึกรายเที่ยว!$Z$6:$Z$6005,0),"")</f>
        <v/>
      </c>
      <c r="R58">
        <f>IF($Q58="","",INDEX(บันทึกรายเที่ยว!$V$6:$V$6005,$Q58))</f>
        <v/>
      </c>
      <c r="S58">
        <f>IF($Q58="","",INDEX(บันทึกรายเที่ยว!$F$6:$F$6005,$Q58))</f>
        <v/>
      </c>
      <c r="T58">
        <f>IF($Q58="","",MATCH($S58,บันทึกรายเที่ยว!$F$6:$F$6005,0))</f>
        <v/>
      </c>
      <c r="U58">
        <f>IF($Q58="","",$AL58*10000000+$T58*1000+54)</f>
        <v/>
      </c>
      <c r="V58">
        <f>IFERROR(MATCH(SMALL($U$5:$U$404,54),$U$5:$U$404,0),"")</f>
        <v/>
      </c>
      <c r="W58">
        <f>IF($V58="","",INDEX($Q$5:$Q$404,$V58))</f>
        <v/>
      </c>
      <c r="X58">
        <f>IF($V58="","",INDEX($S$5:$S$404,$V58))</f>
        <v/>
      </c>
      <c r="Y58">
        <f>IF($V58="","",INDEX($R$5:$R$404,$V58))</f>
        <v/>
      </c>
      <c r="Z58">
        <f>IF($V58="",0,IF($X58&lt;&gt;$X57,1,0))</f>
        <v/>
      </c>
      <c r="AA58">
        <f>IF($V58="",0,IF($V59="",1,IF($X59&lt;&gt;$X58,1,0)))</f>
        <v/>
      </c>
      <c r="AB58">
        <f>IF($V58="",99999+54,$AB57+1+$Z57+$AA57+$AO57)</f>
        <v/>
      </c>
      <c r="AC58">
        <f>IFERROR(MATCH(54,$AB$5:$AB$404,1),"")</f>
        <v/>
      </c>
      <c r="AD58">
        <f>IF(54=$AI$1+1,"Z",IF($AC58="","",IF(INDEX($V$5:$V$404,$AC58)="","",IF(54&gt;INDEX($AB$5:$AB$404,$AC58)+INDEX($Z$5:$Z$404,$AC58)+INDEX($AA$5:$AA$404,$AC58)+INDEX($AO$5:$AO$404,$AC58),"",IF(54=INDEX($AB$5:$AB$404,$AC58)+INDEX($Z$5:$Z$404,$AC58),"D",IF(AND(INDEX($Z$5:$Z$404,$AC58)=1,54=INDEX($AB$5:$AB$404,$AC58)),"H",IF(AND(INDEX($AO$5:$AO$404,$AC58)=1,54=INDEX($AB$5:$AB$404,$AC58)+INDEX($Z$5:$Z$404,$AC58)+INDEX($AA$5:$AA$404,$AC58)+INDEX($AO$5:$AO$404,$AC58)),"B","T")))))))</f>
        <v/>
      </c>
      <c r="AF58">
        <f>IF(OR($AD58="",$AD58="Z",$AD58="B"),"",INDEX($X$5:$X$404,$AC58))</f>
        <v/>
      </c>
      <c r="AJ58">
        <f>IF($AD58&lt;&gt;"T",0,ROUND(SUMIF(oil!$B$4:$B$63,$AF58,oil!$AE$4:$AE$63),2))</f>
        <v/>
      </c>
      <c r="AK58">
        <f>IF($S58="","",IFERROR(INDEX(อัตราค่าขนส่ง!$P$5:$P$54,MATCH($S58,อัตราค่าขนส่ง!$O$5:$O$54,0)),INDEX(รายการมาตรฐาน!$G$2:$G$3,1)))</f>
        <v/>
      </c>
      <c r="AL58">
        <f>IF($S58="","",IFERROR(MATCH($AK58,รายการมาตรฐาน!$G$2:$G$3,0),1))</f>
        <v/>
      </c>
      <c r="AM58">
        <f>IF($V58="","",INDEX($AK$5:$AK$404,$V58))</f>
        <v/>
      </c>
      <c r="AN58">
        <f>IF($V58="","",INDEX($AL$5:$AL$404,$V58))</f>
        <v/>
      </c>
      <c r="AO58">
        <f>IF(OR($V58="",$AI$2&lt;=1),0,IF($V59="",1,IF($AN59&lt;&gt;$AN58,1,0)))</f>
        <v/>
      </c>
      <c r="AP58">
        <f>IF($V58="",0,IF($AN58&lt;&gt;$AN57,1,0))</f>
        <v/>
      </c>
      <c r="AQ58">
        <f>IF(OR($AD58="",$AD58="Z"),"",INDEX($AN$5:$AN$404,$AC58))</f>
        <v/>
      </c>
      <c r="AR58">
        <f>IF($Y58="",0,COUNTIF(บันทึกรายเที่ยว!$V$6:$V$6005,$Y58))</f>
        <v/>
      </c>
      <c r="AS58">
        <f>IF($Y58="",0,ROUND(SUMIF(บันทึกรายเที่ยว!$V$6:$V$6005,$Y58,บันทึกรายเที่ยว!$M$6:$M$6005),2))</f>
        <v/>
      </c>
      <c r="AT58">
        <f>IF($Y58="",0,IFERROR(INDEX(อัตราค่าขนส่ง!$G$5:$G$204,MATCH($Y58,อัตราค่าขนส่ง!$M$5:$M$204,0)),0))</f>
        <v/>
      </c>
      <c r="AU58">
        <f>ROUND($AS58*$BD58,2)</f>
        <v/>
      </c>
      <c r="AV58">
        <f>ROUND($AU58*$BF$2/100,2)</f>
        <v/>
      </c>
      <c r="AW58">
        <f>IF($Y58="","",IFERROR(INDEX(อัตราค่าขนส่ง!$F$5:$F$204,MATCH($Y58,อัตราค่าขนส่ง!$M$5:$M$204,0)),""))</f>
        <v/>
      </c>
      <c r="AX58">
        <f>IF($W58="","",INDEX(บันทึกรายเที่ยว!$D$6:$D$6005,$W58))</f>
        <v/>
      </c>
      <c r="AY58">
        <f>IF($W58="","",INDEX(บันทึกรายเที่ยว!$R$6:$R$6005,$W58))</f>
        <v/>
      </c>
      <c r="AZ58">
        <f>IF(AND($AD58="T",$AQ58=1),N($AZ57)+1,N($AZ57))</f>
        <v/>
      </c>
      <c r="BA58">
        <f>IF($W58="","",INDEX(บันทึกรายเที่ยว!$E$6:$E$6005,$W58))</f>
        <v/>
      </c>
      <c r="BC58">
        <f>IF($Y58="",0,IFERROR(INDEX(อัตราค่าขนส่ง!$K$5:$K$204,MATCH($Y58,อัตราค่าขนส่ง!$M$5:$M$204,0)),0))</f>
        <v/>
      </c>
      <c r="BD58">
        <f>IF($Y58="",0,IFERROR(INDEX(อัตราค่าขนส่ง!$L$5:$L$204,MATCH($Y58,อัตราค่าขนส่ง!$M$5:$M$204,0)),0))</f>
        <v/>
      </c>
    </row>
    <row r="59" ht="21" customHeight="1" s="66">
      <c r="A59" s="69">
        <f>IF($AD59="","",IF($AD59="Z","รวมจ่ายทั้งสิ้น",IF($AD59="H",INDEX($X$5:$X$404,$AC59),IF($AD59="T","รวม",IF($AD59="B",IFERROR(INDEX(อัตราค่าขนส่ง!$S$5:$S$14,MATCH(INDEX($AM$5:$AM$404,$AC59),อัตราค่าขนส่ง!$R$5:$R$14,0)),"รวมกลุ่ม "&amp;INDEX($AM$5:$AM$404,$AC59)),INDEX($AY$5:$AY$404,$AC59))))))</f>
        <v/>
      </c>
      <c r="B59" s="31">
        <f>IF($AD59&lt;&gt;"D","",INDEX($AW$5:$AW$404,$AC59))</f>
        <v/>
      </c>
      <c r="C59" s="68">
        <f>IF($AD59&lt;&gt;"D","",INDEX($AX$5:$AX$404,$AC59))</f>
        <v/>
      </c>
      <c r="D59" s="70">
        <f>IF($AD59&lt;&gt;"D","",INDEX($BA$5:$BA$404,$AC59))</f>
        <v/>
      </c>
      <c r="E59" s="31">
        <f>IF($AD59="Z",SUM($AR$5:$AR$404),IF($AD59="D",INDEX($AR$5:$AR$404,$AC59),IF($AD59="T",SUMIF($X$5:$X$404,$AF59,$AR$5:$AR$404),IF($AD59="B",SUMIF($AN$5:$AN$404,$AQ59,$AR$5:$AR$404),""))))</f>
        <v/>
      </c>
      <c r="F59" s="32">
        <f>IF($AD59="Z",ROUND(SUM($AS$5:$AS$404),2),IF($AD59="D",INDEX($AS$5:$AS$404,$AC59),IF($AD59="T",ROUND(SUMIF($X$5:$X$404,$AF59,$AS$5:$AS$404),2),IF($AD59="B",ROUND(SUMIF($AN$5:$AN$404,$AQ59,$AS$5:$AS$404),2),""))))</f>
        <v/>
      </c>
      <c r="G59" s="32">
        <f>IF($AD59&lt;&gt;"D","",INDEX($AT$5:$AT$404,$AC59))</f>
        <v/>
      </c>
      <c r="H59" s="32">
        <f>IF($AD59&lt;&gt;"D","",INDEX($BC$5:$BC$404,$AC59))</f>
        <v/>
      </c>
      <c r="I59" s="32">
        <f>IF($AD59&lt;&gt;"D","",INDEX($BD$5:$BD$404,$AC59))</f>
        <v/>
      </c>
      <c r="J59" s="46">
        <f>IF($AD59&lt;&gt;"D","",IF(N($B59)=0,"",ROUND($I59/$B59,4)))</f>
        <v/>
      </c>
      <c r="K59" s="32">
        <f>IF($AD59="Z",ROUND(SUM($AU$5:$AU$404),2),IF($AD59="D",INDEX($AU$5:$AU$404,$AC59),IF($AD59="T",ROUND(SUMIF($X$5:$X$404,$AF59,$AU$5:$AU$404),2),IF($AD59="B",ROUND(SUMIF($AN$5:$AN$404,$AQ59,$AU$5:$AU$404),2),""))))</f>
        <v/>
      </c>
      <c r="L59" s="32">
        <f>IF($AD59="Z",ROUND(SUM($AV$5:$AV$404),2),IF($AD59="D",INDEX($AV$5:$AV$404,$AC59),IF($AD59="T",ROUND(SUMIF($X$5:$X$404,$AF59,$AV$5:$AV$404),2),IF($AD59="B",ROUND(SUMIF($AN$5:$AN$404,$AQ59,$AV$5:$AV$404),2),""))))</f>
        <v/>
      </c>
      <c r="M59" s="32">
        <f>IF($AD59="Z",ROUND(SUM($AJ$5:$AJ$704),2),IF($AD59="B",ROUND(SUMIF($AQ$5:$AQ$704,$AQ59,$AJ$5:$AJ$704),2),IF($AD59&lt;&gt;"T","",$AJ59)))</f>
        <v/>
      </c>
      <c r="N59" s="32">
        <f>IF(OR($AD59="D",$AD59="T",$AD59="B",$AD59="Z"),ROUND(N($K59)-N($L59)-N($M59),2),"")</f>
        <v/>
      </c>
      <c r="O59" s="32">
        <f>IF(OR($AD59="D",$AD59="T",$AD59="B",$AD59="Z"),IF(N($E59)=0,"",ROUND($F59/$E59,2)),"")</f>
        <v/>
      </c>
      <c r="Q59">
        <f>IFERROR(MATCH(55,บันทึกรายเที่ยว!$Z$6:$Z$6005,0),"")</f>
        <v/>
      </c>
      <c r="R59">
        <f>IF($Q59="","",INDEX(บันทึกรายเที่ยว!$V$6:$V$6005,$Q59))</f>
        <v/>
      </c>
      <c r="S59">
        <f>IF($Q59="","",INDEX(บันทึกรายเที่ยว!$F$6:$F$6005,$Q59))</f>
        <v/>
      </c>
      <c r="T59">
        <f>IF($Q59="","",MATCH($S59,บันทึกรายเที่ยว!$F$6:$F$6005,0))</f>
        <v/>
      </c>
      <c r="U59">
        <f>IF($Q59="","",$AL59*10000000+$T59*1000+55)</f>
        <v/>
      </c>
      <c r="V59">
        <f>IFERROR(MATCH(SMALL($U$5:$U$404,55),$U$5:$U$404,0),"")</f>
        <v/>
      </c>
      <c r="W59">
        <f>IF($V59="","",INDEX($Q$5:$Q$404,$V59))</f>
        <v/>
      </c>
      <c r="X59">
        <f>IF($V59="","",INDEX($S$5:$S$404,$V59))</f>
        <v/>
      </c>
      <c r="Y59">
        <f>IF($V59="","",INDEX($R$5:$R$404,$V59))</f>
        <v/>
      </c>
      <c r="Z59">
        <f>IF($V59="",0,IF($X59&lt;&gt;$X58,1,0))</f>
        <v/>
      </c>
      <c r="AA59">
        <f>IF($V59="",0,IF($V60="",1,IF($X60&lt;&gt;$X59,1,0)))</f>
        <v/>
      </c>
      <c r="AB59">
        <f>IF($V59="",99999+55,$AB58+1+$Z58+$AA58+$AO58)</f>
        <v/>
      </c>
      <c r="AC59">
        <f>IFERROR(MATCH(55,$AB$5:$AB$404,1),"")</f>
        <v/>
      </c>
      <c r="AD59">
        <f>IF(55=$AI$1+1,"Z",IF($AC59="","",IF(INDEX($V$5:$V$404,$AC59)="","",IF(55&gt;INDEX($AB$5:$AB$404,$AC59)+INDEX($Z$5:$Z$404,$AC59)+INDEX($AA$5:$AA$404,$AC59)+INDEX($AO$5:$AO$404,$AC59),"",IF(55=INDEX($AB$5:$AB$404,$AC59)+INDEX($Z$5:$Z$404,$AC59),"D",IF(AND(INDEX($Z$5:$Z$404,$AC59)=1,55=INDEX($AB$5:$AB$404,$AC59)),"H",IF(AND(INDEX($AO$5:$AO$404,$AC59)=1,55=INDEX($AB$5:$AB$404,$AC59)+INDEX($Z$5:$Z$404,$AC59)+INDEX($AA$5:$AA$404,$AC59)+INDEX($AO$5:$AO$404,$AC59)),"B","T")))))))</f>
        <v/>
      </c>
      <c r="AF59">
        <f>IF(OR($AD59="",$AD59="Z",$AD59="B"),"",INDEX($X$5:$X$404,$AC59))</f>
        <v/>
      </c>
      <c r="AJ59">
        <f>IF($AD59&lt;&gt;"T",0,ROUND(SUMIF(oil!$B$4:$B$63,$AF59,oil!$AE$4:$AE$63),2))</f>
        <v/>
      </c>
      <c r="AK59">
        <f>IF($S59="","",IFERROR(INDEX(อัตราค่าขนส่ง!$P$5:$P$54,MATCH($S59,อัตราค่าขนส่ง!$O$5:$O$54,0)),INDEX(รายการมาตรฐาน!$G$2:$G$3,1)))</f>
        <v/>
      </c>
      <c r="AL59">
        <f>IF($S59="","",IFERROR(MATCH($AK59,รายการมาตรฐาน!$G$2:$G$3,0),1))</f>
        <v/>
      </c>
      <c r="AM59">
        <f>IF($V59="","",INDEX($AK$5:$AK$404,$V59))</f>
        <v/>
      </c>
      <c r="AN59">
        <f>IF($V59="","",INDEX($AL$5:$AL$404,$V59))</f>
        <v/>
      </c>
      <c r="AO59">
        <f>IF(OR($V59="",$AI$2&lt;=1),0,IF($V60="",1,IF($AN60&lt;&gt;$AN59,1,0)))</f>
        <v/>
      </c>
      <c r="AP59">
        <f>IF($V59="",0,IF($AN59&lt;&gt;$AN58,1,0))</f>
        <v/>
      </c>
      <c r="AQ59">
        <f>IF(OR($AD59="",$AD59="Z"),"",INDEX($AN$5:$AN$404,$AC59))</f>
        <v/>
      </c>
      <c r="AR59">
        <f>IF($Y59="",0,COUNTIF(บันทึกรายเที่ยว!$V$6:$V$6005,$Y59))</f>
        <v/>
      </c>
      <c r="AS59">
        <f>IF($Y59="",0,ROUND(SUMIF(บันทึกรายเที่ยว!$V$6:$V$6005,$Y59,บันทึกรายเที่ยว!$M$6:$M$6005),2))</f>
        <v/>
      </c>
      <c r="AT59">
        <f>IF($Y59="",0,IFERROR(INDEX(อัตราค่าขนส่ง!$G$5:$G$204,MATCH($Y59,อัตราค่าขนส่ง!$M$5:$M$204,0)),0))</f>
        <v/>
      </c>
      <c r="AU59">
        <f>ROUND($AS59*$BD59,2)</f>
        <v/>
      </c>
      <c r="AV59">
        <f>ROUND($AU59*$BF$2/100,2)</f>
        <v/>
      </c>
      <c r="AW59">
        <f>IF($Y59="","",IFERROR(INDEX(อัตราค่าขนส่ง!$F$5:$F$204,MATCH($Y59,อัตราค่าขนส่ง!$M$5:$M$204,0)),""))</f>
        <v/>
      </c>
      <c r="AX59">
        <f>IF($W59="","",INDEX(บันทึกรายเที่ยว!$D$6:$D$6005,$W59))</f>
        <v/>
      </c>
      <c r="AY59">
        <f>IF($W59="","",INDEX(บันทึกรายเที่ยว!$R$6:$R$6005,$W59))</f>
        <v/>
      </c>
      <c r="AZ59">
        <f>IF(AND($AD59="T",$AQ59=1),N($AZ58)+1,N($AZ58))</f>
        <v/>
      </c>
      <c r="BA59">
        <f>IF($W59="","",INDEX(บันทึกรายเที่ยว!$E$6:$E$6005,$W59))</f>
        <v/>
      </c>
      <c r="BC59">
        <f>IF($Y59="",0,IFERROR(INDEX(อัตราค่าขนส่ง!$K$5:$K$204,MATCH($Y59,อัตราค่าขนส่ง!$M$5:$M$204,0)),0))</f>
        <v/>
      </c>
      <c r="BD59">
        <f>IF($Y59="",0,IFERROR(INDEX(อัตราค่าขนส่ง!$L$5:$L$204,MATCH($Y59,อัตราค่าขนส่ง!$M$5:$M$204,0)),0))</f>
        <v/>
      </c>
    </row>
    <row r="60" ht="21" customHeight="1" s="66">
      <c r="A60" s="69">
        <f>IF($AD60="","",IF($AD60="Z","รวมจ่ายทั้งสิ้น",IF($AD60="H",INDEX($X$5:$X$404,$AC60),IF($AD60="T","รวม",IF($AD60="B",IFERROR(INDEX(อัตราค่าขนส่ง!$S$5:$S$14,MATCH(INDEX($AM$5:$AM$404,$AC60),อัตราค่าขนส่ง!$R$5:$R$14,0)),"รวมกลุ่ม "&amp;INDEX($AM$5:$AM$404,$AC60)),INDEX($AY$5:$AY$404,$AC60))))))</f>
        <v/>
      </c>
      <c r="B60" s="31">
        <f>IF($AD60&lt;&gt;"D","",INDEX($AW$5:$AW$404,$AC60))</f>
        <v/>
      </c>
      <c r="C60" s="68">
        <f>IF($AD60&lt;&gt;"D","",INDEX($AX$5:$AX$404,$AC60))</f>
        <v/>
      </c>
      <c r="D60" s="70">
        <f>IF($AD60&lt;&gt;"D","",INDEX($BA$5:$BA$404,$AC60))</f>
        <v/>
      </c>
      <c r="E60" s="31">
        <f>IF($AD60="Z",SUM($AR$5:$AR$404),IF($AD60="D",INDEX($AR$5:$AR$404,$AC60),IF($AD60="T",SUMIF($X$5:$X$404,$AF60,$AR$5:$AR$404),IF($AD60="B",SUMIF($AN$5:$AN$404,$AQ60,$AR$5:$AR$404),""))))</f>
        <v/>
      </c>
      <c r="F60" s="32">
        <f>IF($AD60="Z",ROUND(SUM($AS$5:$AS$404),2),IF($AD60="D",INDEX($AS$5:$AS$404,$AC60),IF($AD60="T",ROUND(SUMIF($X$5:$X$404,$AF60,$AS$5:$AS$404),2),IF($AD60="B",ROUND(SUMIF($AN$5:$AN$404,$AQ60,$AS$5:$AS$404),2),""))))</f>
        <v/>
      </c>
      <c r="G60" s="32">
        <f>IF($AD60&lt;&gt;"D","",INDEX($AT$5:$AT$404,$AC60))</f>
        <v/>
      </c>
      <c r="H60" s="32">
        <f>IF($AD60&lt;&gt;"D","",INDEX($BC$5:$BC$404,$AC60))</f>
        <v/>
      </c>
      <c r="I60" s="32">
        <f>IF($AD60&lt;&gt;"D","",INDEX($BD$5:$BD$404,$AC60))</f>
        <v/>
      </c>
      <c r="J60" s="46">
        <f>IF($AD60&lt;&gt;"D","",IF(N($B60)=0,"",ROUND($I60/$B60,4)))</f>
        <v/>
      </c>
      <c r="K60" s="32">
        <f>IF($AD60="Z",ROUND(SUM($AU$5:$AU$404),2),IF($AD60="D",INDEX($AU$5:$AU$404,$AC60),IF($AD60="T",ROUND(SUMIF($X$5:$X$404,$AF60,$AU$5:$AU$404),2),IF($AD60="B",ROUND(SUMIF($AN$5:$AN$404,$AQ60,$AU$5:$AU$404),2),""))))</f>
        <v/>
      </c>
      <c r="L60" s="32">
        <f>IF($AD60="Z",ROUND(SUM($AV$5:$AV$404),2),IF($AD60="D",INDEX($AV$5:$AV$404,$AC60),IF($AD60="T",ROUND(SUMIF($X$5:$X$404,$AF60,$AV$5:$AV$404),2),IF($AD60="B",ROUND(SUMIF($AN$5:$AN$404,$AQ60,$AV$5:$AV$404),2),""))))</f>
        <v/>
      </c>
      <c r="M60" s="32">
        <f>IF($AD60="Z",ROUND(SUM($AJ$5:$AJ$704),2),IF($AD60="B",ROUND(SUMIF($AQ$5:$AQ$704,$AQ60,$AJ$5:$AJ$704),2),IF($AD60&lt;&gt;"T","",$AJ60)))</f>
        <v/>
      </c>
      <c r="N60" s="32">
        <f>IF(OR($AD60="D",$AD60="T",$AD60="B",$AD60="Z"),ROUND(N($K60)-N($L60)-N($M60),2),"")</f>
        <v/>
      </c>
      <c r="O60" s="32">
        <f>IF(OR($AD60="D",$AD60="T",$AD60="B",$AD60="Z"),IF(N($E60)=0,"",ROUND($F60/$E60,2)),"")</f>
        <v/>
      </c>
      <c r="Q60">
        <f>IFERROR(MATCH(56,บันทึกรายเที่ยว!$Z$6:$Z$6005,0),"")</f>
        <v/>
      </c>
      <c r="R60">
        <f>IF($Q60="","",INDEX(บันทึกรายเที่ยว!$V$6:$V$6005,$Q60))</f>
        <v/>
      </c>
      <c r="S60">
        <f>IF($Q60="","",INDEX(บันทึกรายเที่ยว!$F$6:$F$6005,$Q60))</f>
        <v/>
      </c>
      <c r="T60">
        <f>IF($Q60="","",MATCH($S60,บันทึกรายเที่ยว!$F$6:$F$6005,0))</f>
        <v/>
      </c>
      <c r="U60">
        <f>IF($Q60="","",$AL60*10000000+$T60*1000+56)</f>
        <v/>
      </c>
      <c r="V60">
        <f>IFERROR(MATCH(SMALL($U$5:$U$404,56),$U$5:$U$404,0),"")</f>
        <v/>
      </c>
      <c r="W60">
        <f>IF($V60="","",INDEX($Q$5:$Q$404,$V60))</f>
        <v/>
      </c>
      <c r="X60">
        <f>IF($V60="","",INDEX($S$5:$S$404,$V60))</f>
        <v/>
      </c>
      <c r="Y60">
        <f>IF($V60="","",INDEX($R$5:$R$404,$V60))</f>
        <v/>
      </c>
      <c r="Z60">
        <f>IF($V60="",0,IF($X60&lt;&gt;$X59,1,0))</f>
        <v/>
      </c>
      <c r="AA60">
        <f>IF($V60="",0,IF($V61="",1,IF($X61&lt;&gt;$X60,1,0)))</f>
        <v/>
      </c>
      <c r="AB60">
        <f>IF($V60="",99999+56,$AB59+1+$Z59+$AA59+$AO59)</f>
        <v/>
      </c>
      <c r="AC60">
        <f>IFERROR(MATCH(56,$AB$5:$AB$404,1),"")</f>
        <v/>
      </c>
      <c r="AD60">
        <f>IF(56=$AI$1+1,"Z",IF($AC60="","",IF(INDEX($V$5:$V$404,$AC60)="","",IF(56&gt;INDEX($AB$5:$AB$404,$AC60)+INDEX($Z$5:$Z$404,$AC60)+INDEX($AA$5:$AA$404,$AC60)+INDEX($AO$5:$AO$404,$AC60),"",IF(56=INDEX($AB$5:$AB$404,$AC60)+INDEX($Z$5:$Z$404,$AC60),"D",IF(AND(INDEX($Z$5:$Z$404,$AC60)=1,56=INDEX($AB$5:$AB$404,$AC60)),"H",IF(AND(INDEX($AO$5:$AO$404,$AC60)=1,56=INDEX($AB$5:$AB$404,$AC60)+INDEX($Z$5:$Z$404,$AC60)+INDEX($AA$5:$AA$404,$AC60)+INDEX($AO$5:$AO$404,$AC60)),"B","T")))))))</f>
        <v/>
      </c>
      <c r="AF60">
        <f>IF(OR($AD60="",$AD60="Z",$AD60="B"),"",INDEX($X$5:$X$404,$AC60))</f>
        <v/>
      </c>
      <c r="AJ60">
        <f>IF($AD60&lt;&gt;"T",0,ROUND(SUMIF(oil!$B$4:$B$63,$AF60,oil!$AE$4:$AE$63),2))</f>
        <v/>
      </c>
      <c r="AK60">
        <f>IF($S60="","",IFERROR(INDEX(อัตราค่าขนส่ง!$P$5:$P$54,MATCH($S60,อัตราค่าขนส่ง!$O$5:$O$54,0)),INDEX(รายการมาตรฐาน!$G$2:$G$3,1)))</f>
        <v/>
      </c>
      <c r="AL60">
        <f>IF($S60="","",IFERROR(MATCH($AK60,รายการมาตรฐาน!$G$2:$G$3,0),1))</f>
        <v/>
      </c>
      <c r="AM60">
        <f>IF($V60="","",INDEX($AK$5:$AK$404,$V60))</f>
        <v/>
      </c>
      <c r="AN60">
        <f>IF($V60="","",INDEX($AL$5:$AL$404,$V60))</f>
        <v/>
      </c>
      <c r="AO60">
        <f>IF(OR($V60="",$AI$2&lt;=1),0,IF($V61="",1,IF($AN61&lt;&gt;$AN60,1,0)))</f>
        <v/>
      </c>
      <c r="AP60">
        <f>IF($V60="",0,IF($AN60&lt;&gt;$AN59,1,0))</f>
        <v/>
      </c>
      <c r="AQ60">
        <f>IF(OR($AD60="",$AD60="Z"),"",INDEX($AN$5:$AN$404,$AC60))</f>
        <v/>
      </c>
      <c r="AR60">
        <f>IF($Y60="",0,COUNTIF(บันทึกรายเที่ยว!$V$6:$V$6005,$Y60))</f>
        <v/>
      </c>
      <c r="AS60">
        <f>IF($Y60="",0,ROUND(SUMIF(บันทึกรายเที่ยว!$V$6:$V$6005,$Y60,บันทึกรายเที่ยว!$M$6:$M$6005),2))</f>
        <v/>
      </c>
      <c r="AT60">
        <f>IF($Y60="",0,IFERROR(INDEX(อัตราค่าขนส่ง!$G$5:$G$204,MATCH($Y60,อัตราค่าขนส่ง!$M$5:$M$204,0)),0))</f>
        <v/>
      </c>
      <c r="AU60">
        <f>ROUND($AS60*$BD60,2)</f>
        <v/>
      </c>
      <c r="AV60">
        <f>ROUND($AU60*$BF$2/100,2)</f>
        <v/>
      </c>
      <c r="AW60">
        <f>IF($Y60="","",IFERROR(INDEX(อัตราค่าขนส่ง!$F$5:$F$204,MATCH($Y60,อัตราค่าขนส่ง!$M$5:$M$204,0)),""))</f>
        <v/>
      </c>
      <c r="AX60">
        <f>IF($W60="","",INDEX(บันทึกรายเที่ยว!$D$6:$D$6005,$W60))</f>
        <v/>
      </c>
      <c r="AY60">
        <f>IF($W60="","",INDEX(บันทึกรายเที่ยว!$R$6:$R$6005,$W60))</f>
        <v/>
      </c>
      <c r="AZ60">
        <f>IF(AND($AD60="T",$AQ60=1),N($AZ59)+1,N($AZ59))</f>
        <v/>
      </c>
      <c r="BA60">
        <f>IF($W60="","",INDEX(บันทึกรายเที่ยว!$E$6:$E$6005,$W60))</f>
        <v/>
      </c>
      <c r="BC60">
        <f>IF($Y60="",0,IFERROR(INDEX(อัตราค่าขนส่ง!$K$5:$K$204,MATCH($Y60,อัตราค่าขนส่ง!$M$5:$M$204,0)),0))</f>
        <v/>
      </c>
      <c r="BD60">
        <f>IF($Y60="",0,IFERROR(INDEX(อัตราค่าขนส่ง!$L$5:$L$204,MATCH($Y60,อัตราค่าขนส่ง!$M$5:$M$204,0)),0))</f>
        <v/>
      </c>
    </row>
    <row r="61" ht="21" customHeight="1" s="66">
      <c r="A61" s="69">
        <f>IF($AD61="","",IF($AD61="Z","รวมจ่ายทั้งสิ้น",IF($AD61="H",INDEX($X$5:$X$404,$AC61),IF($AD61="T","รวม",IF($AD61="B",IFERROR(INDEX(อัตราค่าขนส่ง!$S$5:$S$14,MATCH(INDEX($AM$5:$AM$404,$AC61),อัตราค่าขนส่ง!$R$5:$R$14,0)),"รวมกลุ่ม "&amp;INDEX($AM$5:$AM$404,$AC61)),INDEX($AY$5:$AY$404,$AC61))))))</f>
        <v/>
      </c>
      <c r="B61" s="31">
        <f>IF($AD61&lt;&gt;"D","",INDEX($AW$5:$AW$404,$AC61))</f>
        <v/>
      </c>
      <c r="C61" s="68">
        <f>IF($AD61&lt;&gt;"D","",INDEX($AX$5:$AX$404,$AC61))</f>
        <v/>
      </c>
      <c r="D61" s="70">
        <f>IF($AD61&lt;&gt;"D","",INDEX($BA$5:$BA$404,$AC61))</f>
        <v/>
      </c>
      <c r="E61" s="31">
        <f>IF($AD61="Z",SUM($AR$5:$AR$404),IF($AD61="D",INDEX($AR$5:$AR$404,$AC61),IF($AD61="T",SUMIF($X$5:$X$404,$AF61,$AR$5:$AR$404),IF($AD61="B",SUMIF($AN$5:$AN$404,$AQ61,$AR$5:$AR$404),""))))</f>
        <v/>
      </c>
      <c r="F61" s="32">
        <f>IF($AD61="Z",ROUND(SUM($AS$5:$AS$404),2),IF($AD61="D",INDEX($AS$5:$AS$404,$AC61),IF($AD61="T",ROUND(SUMIF($X$5:$X$404,$AF61,$AS$5:$AS$404),2),IF($AD61="B",ROUND(SUMIF($AN$5:$AN$404,$AQ61,$AS$5:$AS$404),2),""))))</f>
        <v/>
      </c>
      <c r="G61" s="32">
        <f>IF($AD61&lt;&gt;"D","",INDEX($AT$5:$AT$404,$AC61))</f>
        <v/>
      </c>
      <c r="H61" s="32">
        <f>IF($AD61&lt;&gt;"D","",INDEX($BC$5:$BC$404,$AC61))</f>
        <v/>
      </c>
      <c r="I61" s="32">
        <f>IF($AD61&lt;&gt;"D","",INDEX($BD$5:$BD$404,$AC61))</f>
        <v/>
      </c>
      <c r="J61" s="46">
        <f>IF($AD61&lt;&gt;"D","",IF(N($B61)=0,"",ROUND($I61/$B61,4)))</f>
        <v/>
      </c>
      <c r="K61" s="32">
        <f>IF($AD61="Z",ROUND(SUM($AU$5:$AU$404),2),IF($AD61="D",INDEX($AU$5:$AU$404,$AC61),IF($AD61="T",ROUND(SUMIF($X$5:$X$404,$AF61,$AU$5:$AU$404),2),IF($AD61="B",ROUND(SUMIF($AN$5:$AN$404,$AQ61,$AU$5:$AU$404),2),""))))</f>
        <v/>
      </c>
      <c r="L61" s="32">
        <f>IF($AD61="Z",ROUND(SUM($AV$5:$AV$404),2),IF($AD61="D",INDEX($AV$5:$AV$404,$AC61),IF($AD61="T",ROUND(SUMIF($X$5:$X$404,$AF61,$AV$5:$AV$404),2),IF($AD61="B",ROUND(SUMIF($AN$5:$AN$404,$AQ61,$AV$5:$AV$404),2),""))))</f>
        <v/>
      </c>
      <c r="M61" s="32">
        <f>IF($AD61="Z",ROUND(SUM($AJ$5:$AJ$704),2),IF($AD61="B",ROUND(SUMIF($AQ$5:$AQ$704,$AQ61,$AJ$5:$AJ$704),2),IF($AD61&lt;&gt;"T","",$AJ61)))</f>
        <v/>
      </c>
      <c r="N61" s="32">
        <f>IF(OR($AD61="D",$AD61="T",$AD61="B",$AD61="Z"),ROUND(N($K61)-N($L61)-N($M61),2),"")</f>
        <v/>
      </c>
      <c r="O61" s="32">
        <f>IF(OR($AD61="D",$AD61="T",$AD61="B",$AD61="Z"),IF(N($E61)=0,"",ROUND($F61/$E61,2)),"")</f>
        <v/>
      </c>
      <c r="Q61">
        <f>IFERROR(MATCH(57,บันทึกรายเที่ยว!$Z$6:$Z$6005,0),"")</f>
        <v/>
      </c>
      <c r="R61">
        <f>IF($Q61="","",INDEX(บันทึกรายเที่ยว!$V$6:$V$6005,$Q61))</f>
        <v/>
      </c>
      <c r="S61">
        <f>IF($Q61="","",INDEX(บันทึกรายเที่ยว!$F$6:$F$6005,$Q61))</f>
        <v/>
      </c>
      <c r="T61">
        <f>IF($Q61="","",MATCH($S61,บันทึกรายเที่ยว!$F$6:$F$6005,0))</f>
        <v/>
      </c>
      <c r="U61">
        <f>IF($Q61="","",$AL61*10000000+$T61*1000+57)</f>
        <v/>
      </c>
      <c r="V61">
        <f>IFERROR(MATCH(SMALL($U$5:$U$404,57),$U$5:$U$404,0),"")</f>
        <v/>
      </c>
      <c r="W61">
        <f>IF($V61="","",INDEX($Q$5:$Q$404,$V61))</f>
        <v/>
      </c>
      <c r="X61">
        <f>IF($V61="","",INDEX($S$5:$S$404,$V61))</f>
        <v/>
      </c>
      <c r="Y61">
        <f>IF($V61="","",INDEX($R$5:$R$404,$V61))</f>
        <v/>
      </c>
      <c r="Z61">
        <f>IF($V61="",0,IF($X61&lt;&gt;$X60,1,0))</f>
        <v/>
      </c>
      <c r="AA61">
        <f>IF($V61="",0,IF($V62="",1,IF($X62&lt;&gt;$X61,1,0)))</f>
        <v/>
      </c>
      <c r="AB61">
        <f>IF($V61="",99999+57,$AB60+1+$Z60+$AA60+$AO60)</f>
        <v/>
      </c>
      <c r="AC61">
        <f>IFERROR(MATCH(57,$AB$5:$AB$404,1),"")</f>
        <v/>
      </c>
      <c r="AD61">
        <f>IF(57=$AI$1+1,"Z",IF($AC61="","",IF(INDEX($V$5:$V$404,$AC61)="","",IF(57&gt;INDEX($AB$5:$AB$404,$AC61)+INDEX($Z$5:$Z$404,$AC61)+INDEX($AA$5:$AA$404,$AC61)+INDEX($AO$5:$AO$404,$AC61),"",IF(57=INDEX($AB$5:$AB$404,$AC61)+INDEX($Z$5:$Z$404,$AC61),"D",IF(AND(INDEX($Z$5:$Z$404,$AC61)=1,57=INDEX($AB$5:$AB$404,$AC61)),"H",IF(AND(INDEX($AO$5:$AO$404,$AC61)=1,57=INDEX($AB$5:$AB$404,$AC61)+INDEX($Z$5:$Z$404,$AC61)+INDEX($AA$5:$AA$404,$AC61)+INDEX($AO$5:$AO$404,$AC61)),"B","T")))))))</f>
        <v/>
      </c>
      <c r="AF61">
        <f>IF(OR($AD61="",$AD61="Z",$AD61="B"),"",INDEX($X$5:$X$404,$AC61))</f>
        <v/>
      </c>
      <c r="AJ61">
        <f>IF($AD61&lt;&gt;"T",0,ROUND(SUMIF(oil!$B$4:$B$63,$AF61,oil!$AE$4:$AE$63),2))</f>
        <v/>
      </c>
      <c r="AK61">
        <f>IF($S61="","",IFERROR(INDEX(อัตราค่าขนส่ง!$P$5:$P$54,MATCH($S61,อัตราค่าขนส่ง!$O$5:$O$54,0)),INDEX(รายการมาตรฐาน!$G$2:$G$3,1)))</f>
        <v/>
      </c>
      <c r="AL61">
        <f>IF($S61="","",IFERROR(MATCH($AK61,รายการมาตรฐาน!$G$2:$G$3,0),1))</f>
        <v/>
      </c>
      <c r="AM61">
        <f>IF($V61="","",INDEX($AK$5:$AK$404,$V61))</f>
        <v/>
      </c>
      <c r="AN61">
        <f>IF($V61="","",INDEX($AL$5:$AL$404,$V61))</f>
        <v/>
      </c>
      <c r="AO61">
        <f>IF(OR($V61="",$AI$2&lt;=1),0,IF($V62="",1,IF($AN62&lt;&gt;$AN61,1,0)))</f>
        <v/>
      </c>
      <c r="AP61">
        <f>IF($V61="",0,IF($AN61&lt;&gt;$AN60,1,0))</f>
        <v/>
      </c>
      <c r="AQ61">
        <f>IF(OR($AD61="",$AD61="Z"),"",INDEX($AN$5:$AN$404,$AC61))</f>
        <v/>
      </c>
      <c r="AR61">
        <f>IF($Y61="",0,COUNTIF(บันทึกรายเที่ยว!$V$6:$V$6005,$Y61))</f>
        <v/>
      </c>
      <c r="AS61">
        <f>IF($Y61="",0,ROUND(SUMIF(บันทึกรายเที่ยว!$V$6:$V$6005,$Y61,บันทึกรายเที่ยว!$M$6:$M$6005),2))</f>
        <v/>
      </c>
      <c r="AT61">
        <f>IF($Y61="",0,IFERROR(INDEX(อัตราค่าขนส่ง!$G$5:$G$204,MATCH($Y61,อัตราค่าขนส่ง!$M$5:$M$204,0)),0))</f>
        <v/>
      </c>
      <c r="AU61">
        <f>ROUND($AS61*$BD61,2)</f>
        <v/>
      </c>
      <c r="AV61">
        <f>ROUND($AU61*$BF$2/100,2)</f>
        <v/>
      </c>
      <c r="AW61">
        <f>IF($Y61="","",IFERROR(INDEX(อัตราค่าขนส่ง!$F$5:$F$204,MATCH($Y61,อัตราค่าขนส่ง!$M$5:$M$204,0)),""))</f>
        <v/>
      </c>
      <c r="AX61">
        <f>IF($W61="","",INDEX(บันทึกรายเที่ยว!$D$6:$D$6005,$W61))</f>
        <v/>
      </c>
      <c r="AY61">
        <f>IF($W61="","",INDEX(บันทึกรายเที่ยว!$R$6:$R$6005,$W61))</f>
        <v/>
      </c>
      <c r="AZ61">
        <f>IF(AND($AD61="T",$AQ61=1),N($AZ60)+1,N($AZ60))</f>
        <v/>
      </c>
      <c r="BA61">
        <f>IF($W61="","",INDEX(บันทึกรายเที่ยว!$E$6:$E$6005,$W61))</f>
        <v/>
      </c>
      <c r="BC61">
        <f>IF($Y61="",0,IFERROR(INDEX(อัตราค่าขนส่ง!$K$5:$K$204,MATCH($Y61,อัตราค่าขนส่ง!$M$5:$M$204,0)),0))</f>
        <v/>
      </c>
      <c r="BD61">
        <f>IF($Y61="",0,IFERROR(INDEX(อัตราค่าขนส่ง!$L$5:$L$204,MATCH($Y61,อัตราค่าขนส่ง!$M$5:$M$204,0)),0))</f>
        <v/>
      </c>
    </row>
    <row r="62" ht="21" customHeight="1" s="66">
      <c r="A62" s="69">
        <f>IF($AD62="","",IF($AD62="Z","รวมจ่ายทั้งสิ้น",IF($AD62="H",INDEX($X$5:$X$404,$AC62),IF($AD62="T","รวม",IF($AD62="B",IFERROR(INDEX(อัตราค่าขนส่ง!$S$5:$S$14,MATCH(INDEX($AM$5:$AM$404,$AC62),อัตราค่าขนส่ง!$R$5:$R$14,0)),"รวมกลุ่ม "&amp;INDEX($AM$5:$AM$404,$AC62)),INDEX($AY$5:$AY$404,$AC62))))))</f>
        <v/>
      </c>
      <c r="B62" s="31">
        <f>IF($AD62&lt;&gt;"D","",INDEX($AW$5:$AW$404,$AC62))</f>
        <v/>
      </c>
      <c r="C62" s="68">
        <f>IF($AD62&lt;&gt;"D","",INDEX($AX$5:$AX$404,$AC62))</f>
        <v/>
      </c>
      <c r="D62" s="70">
        <f>IF($AD62&lt;&gt;"D","",INDEX($BA$5:$BA$404,$AC62))</f>
        <v/>
      </c>
      <c r="E62" s="31">
        <f>IF($AD62="Z",SUM($AR$5:$AR$404),IF($AD62="D",INDEX($AR$5:$AR$404,$AC62),IF($AD62="T",SUMIF($X$5:$X$404,$AF62,$AR$5:$AR$404),IF($AD62="B",SUMIF($AN$5:$AN$404,$AQ62,$AR$5:$AR$404),""))))</f>
        <v/>
      </c>
      <c r="F62" s="32">
        <f>IF($AD62="Z",ROUND(SUM($AS$5:$AS$404),2),IF($AD62="D",INDEX($AS$5:$AS$404,$AC62),IF($AD62="T",ROUND(SUMIF($X$5:$X$404,$AF62,$AS$5:$AS$404),2),IF($AD62="B",ROUND(SUMIF($AN$5:$AN$404,$AQ62,$AS$5:$AS$404),2),""))))</f>
        <v/>
      </c>
      <c r="G62" s="32">
        <f>IF($AD62&lt;&gt;"D","",INDEX($AT$5:$AT$404,$AC62))</f>
        <v/>
      </c>
      <c r="H62" s="32">
        <f>IF($AD62&lt;&gt;"D","",INDEX($BC$5:$BC$404,$AC62))</f>
        <v/>
      </c>
      <c r="I62" s="32">
        <f>IF($AD62&lt;&gt;"D","",INDEX($BD$5:$BD$404,$AC62))</f>
        <v/>
      </c>
      <c r="J62" s="46">
        <f>IF($AD62&lt;&gt;"D","",IF(N($B62)=0,"",ROUND($I62/$B62,4)))</f>
        <v/>
      </c>
      <c r="K62" s="32">
        <f>IF($AD62="Z",ROUND(SUM($AU$5:$AU$404),2),IF($AD62="D",INDEX($AU$5:$AU$404,$AC62),IF($AD62="T",ROUND(SUMIF($X$5:$X$404,$AF62,$AU$5:$AU$404),2),IF($AD62="B",ROUND(SUMIF($AN$5:$AN$404,$AQ62,$AU$5:$AU$404),2),""))))</f>
        <v/>
      </c>
      <c r="L62" s="32">
        <f>IF($AD62="Z",ROUND(SUM($AV$5:$AV$404),2),IF($AD62="D",INDEX($AV$5:$AV$404,$AC62),IF($AD62="T",ROUND(SUMIF($X$5:$X$404,$AF62,$AV$5:$AV$404),2),IF($AD62="B",ROUND(SUMIF($AN$5:$AN$404,$AQ62,$AV$5:$AV$404),2),""))))</f>
        <v/>
      </c>
      <c r="M62" s="32">
        <f>IF($AD62="Z",ROUND(SUM($AJ$5:$AJ$704),2),IF($AD62="B",ROUND(SUMIF($AQ$5:$AQ$704,$AQ62,$AJ$5:$AJ$704),2),IF($AD62&lt;&gt;"T","",$AJ62)))</f>
        <v/>
      </c>
      <c r="N62" s="32">
        <f>IF(OR($AD62="D",$AD62="T",$AD62="B",$AD62="Z"),ROUND(N($K62)-N($L62)-N($M62),2),"")</f>
        <v/>
      </c>
      <c r="O62" s="32">
        <f>IF(OR($AD62="D",$AD62="T",$AD62="B",$AD62="Z"),IF(N($E62)=0,"",ROUND($F62/$E62,2)),"")</f>
        <v/>
      </c>
      <c r="Q62">
        <f>IFERROR(MATCH(58,บันทึกรายเที่ยว!$Z$6:$Z$6005,0),"")</f>
        <v/>
      </c>
      <c r="R62">
        <f>IF($Q62="","",INDEX(บันทึกรายเที่ยว!$V$6:$V$6005,$Q62))</f>
        <v/>
      </c>
      <c r="S62">
        <f>IF($Q62="","",INDEX(บันทึกรายเที่ยว!$F$6:$F$6005,$Q62))</f>
        <v/>
      </c>
      <c r="T62">
        <f>IF($Q62="","",MATCH($S62,บันทึกรายเที่ยว!$F$6:$F$6005,0))</f>
        <v/>
      </c>
      <c r="U62">
        <f>IF($Q62="","",$AL62*10000000+$T62*1000+58)</f>
        <v/>
      </c>
      <c r="V62">
        <f>IFERROR(MATCH(SMALL($U$5:$U$404,58),$U$5:$U$404,0),"")</f>
        <v/>
      </c>
      <c r="W62">
        <f>IF($V62="","",INDEX($Q$5:$Q$404,$V62))</f>
        <v/>
      </c>
      <c r="X62">
        <f>IF($V62="","",INDEX($S$5:$S$404,$V62))</f>
        <v/>
      </c>
      <c r="Y62">
        <f>IF($V62="","",INDEX($R$5:$R$404,$V62))</f>
        <v/>
      </c>
      <c r="Z62">
        <f>IF($V62="",0,IF($X62&lt;&gt;$X61,1,0))</f>
        <v/>
      </c>
      <c r="AA62">
        <f>IF($V62="",0,IF($V63="",1,IF($X63&lt;&gt;$X62,1,0)))</f>
        <v/>
      </c>
      <c r="AB62">
        <f>IF($V62="",99999+58,$AB61+1+$Z61+$AA61+$AO61)</f>
        <v/>
      </c>
      <c r="AC62">
        <f>IFERROR(MATCH(58,$AB$5:$AB$404,1),"")</f>
        <v/>
      </c>
      <c r="AD62">
        <f>IF(58=$AI$1+1,"Z",IF($AC62="","",IF(INDEX($V$5:$V$404,$AC62)="","",IF(58&gt;INDEX($AB$5:$AB$404,$AC62)+INDEX($Z$5:$Z$404,$AC62)+INDEX($AA$5:$AA$404,$AC62)+INDEX($AO$5:$AO$404,$AC62),"",IF(58=INDEX($AB$5:$AB$404,$AC62)+INDEX($Z$5:$Z$404,$AC62),"D",IF(AND(INDEX($Z$5:$Z$404,$AC62)=1,58=INDEX($AB$5:$AB$404,$AC62)),"H",IF(AND(INDEX($AO$5:$AO$404,$AC62)=1,58=INDEX($AB$5:$AB$404,$AC62)+INDEX($Z$5:$Z$404,$AC62)+INDEX($AA$5:$AA$404,$AC62)+INDEX($AO$5:$AO$404,$AC62)),"B","T")))))))</f>
        <v/>
      </c>
      <c r="AF62">
        <f>IF(OR($AD62="",$AD62="Z",$AD62="B"),"",INDEX($X$5:$X$404,$AC62))</f>
        <v/>
      </c>
      <c r="AJ62">
        <f>IF($AD62&lt;&gt;"T",0,ROUND(SUMIF(oil!$B$4:$B$63,$AF62,oil!$AE$4:$AE$63),2))</f>
        <v/>
      </c>
      <c r="AK62">
        <f>IF($S62="","",IFERROR(INDEX(อัตราค่าขนส่ง!$P$5:$P$54,MATCH($S62,อัตราค่าขนส่ง!$O$5:$O$54,0)),INDEX(รายการมาตรฐาน!$G$2:$G$3,1)))</f>
        <v/>
      </c>
      <c r="AL62">
        <f>IF($S62="","",IFERROR(MATCH($AK62,รายการมาตรฐาน!$G$2:$G$3,0),1))</f>
        <v/>
      </c>
      <c r="AM62">
        <f>IF($V62="","",INDEX($AK$5:$AK$404,$V62))</f>
        <v/>
      </c>
      <c r="AN62">
        <f>IF($V62="","",INDEX($AL$5:$AL$404,$V62))</f>
        <v/>
      </c>
      <c r="AO62">
        <f>IF(OR($V62="",$AI$2&lt;=1),0,IF($V63="",1,IF($AN63&lt;&gt;$AN62,1,0)))</f>
        <v/>
      </c>
      <c r="AP62">
        <f>IF($V62="",0,IF($AN62&lt;&gt;$AN61,1,0))</f>
        <v/>
      </c>
      <c r="AQ62">
        <f>IF(OR($AD62="",$AD62="Z"),"",INDEX($AN$5:$AN$404,$AC62))</f>
        <v/>
      </c>
      <c r="AR62">
        <f>IF($Y62="",0,COUNTIF(บันทึกรายเที่ยว!$V$6:$V$6005,$Y62))</f>
        <v/>
      </c>
      <c r="AS62">
        <f>IF($Y62="",0,ROUND(SUMIF(บันทึกรายเที่ยว!$V$6:$V$6005,$Y62,บันทึกรายเที่ยว!$M$6:$M$6005),2))</f>
        <v/>
      </c>
      <c r="AT62">
        <f>IF($Y62="",0,IFERROR(INDEX(อัตราค่าขนส่ง!$G$5:$G$204,MATCH($Y62,อัตราค่าขนส่ง!$M$5:$M$204,0)),0))</f>
        <v/>
      </c>
      <c r="AU62">
        <f>ROUND($AS62*$BD62,2)</f>
        <v/>
      </c>
      <c r="AV62">
        <f>ROUND($AU62*$BF$2/100,2)</f>
        <v/>
      </c>
      <c r="AW62">
        <f>IF($Y62="","",IFERROR(INDEX(อัตราค่าขนส่ง!$F$5:$F$204,MATCH($Y62,อัตราค่าขนส่ง!$M$5:$M$204,0)),""))</f>
        <v/>
      </c>
      <c r="AX62">
        <f>IF($W62="","",INDEX(บันทึกรายเที่ยว!$D$6:$D$6005,$W62))</f>
        <v/>
      </c>
      <c r="AY62">
        <f>IF($W62="","",INDEX(บันทึกรายเที่ยว!$R$6:$R$6005,$W62))</f>
        <v/>
      </c>
      <c r="AZ62">
        <f>IF(AND($AD62="T",$AQ62=1),N($AZ61)+1,N($AZ61))</f>
        <v/>
      </c>
      <c r="BA62">
        <f>IF($W62="","",INDEX(บันทึกรายเที่ยว!$E$6:$E$6005,$W62))</f>
        <v/>
      </c>
      <c r="BC62">
        <f>IF($Y62="",0,IFERROR(INDEX(อัตราค่าขนส่ง!$K$5:$K$204,MATCH($Y62,อัตราค่าขนส่ง!$M$5:$M$204,0)),0))</f>
        <v/>
      </c>
      <c r="BD62">
        <f>IF($Y62="",0,IFERROR(INDEX(อัตราค่าขนส่ง!$L$5:$L$204,MATCH($Y62,อัตราค่าขนส่ง!$M$5:$M$204,0)),0))</f>
        <v/>
      </c>
    </row>
    <row r="63" ht="21" customHeight="1" s="66">
      <c r="A63" s="69">
        <f>IF($AD63="","",IF($AD63="Z","รวมจ่ายทั้งสิ้น",IF($AD63="H",INDEX($X$5:$X$404,$AC63),IF($AD63="T","รวม",IF($AD63="B",IFERROR(INDEX(อัตราค่าขนส่ง!$S$5:$S$14,MATCH(INDEX($AM$5:$AM$404,$AC63),อัตราค่าขนส่ง!$R$5:$R$14,0)),"รวมกลุ่ม "&amp;INDEX($AM$5:$AM$404,$AC63)),INDEX($AY$5:$AY$404,$AC63))))))</f>
        <v/>
      </c>
      <c r="B63" s="31">
        <f>IF($AD63&lt;&gt;"D","",INDEX($AW$5:$AW$404,$AC63))</f>
        <v/>
      </c>
      <c r="C63" s="68">
        <f>IF($AD63&lt;&gt;"D","",INDEX($AX$5:$AX$404,$AC63))</f>
        <v/>
      </c>
      <c r="D63" s="70">
        <f>IF($AD63&lt;&gt;"D","",INDEX($BA$5:$BA$404,$AC63))</f>
        <v/>
      </c>
      <c r="E63" s="31">
        <f>IF($AD63="Z",SUM($AR$5:$AR$404),IF($AD63="D",INDEX($AR$5:$AR$404,$AC63),IF($AD63="T",SUMIF($X$5:$X$404,$AF63,$AR$5:$AR$404),IF($AD63="B",SUMIF($AN$5:$AN$404,$AQ63,$AR$5:$AR$404),""))))</f>
        <v/>
      </c>
      <c r="F63" s="32">
        <f>IF($AD63="Z",ROUND(SUM($AS$5:$AS$404),2),IF($AD63="D",INDEX($AS$5:$AS$404,$AC63),IF($AD63="T",ROUND(SUMIF($X$5:$X$404,$AF63,$AS$5:$AS$404),2),IF($AD63="B",ROUND(SUMIF($AN$5:$AN$404,$AQ63,$AS$5:$AS$404),2),""))))</f>
        <v/>
      </c>
      <c r="G63" s="32">
        <f>IF($AD63&lt;&gt;"D","",INDEX($AT$5:$AT$404,$AC63))</f>
        <v/>
      </c>
      <c r="H63" s="32">
        <f>IF($AD63&lt;&gt;"D","",INDEX($BC$5:$BC$404,$AC63))</f>
        <v/>
      </c>
      <c r="I63" s="32">
        <f>IF($AD63&lt;&gt;"D","",INDEX($BD$5:$BD$404,$AC63))</f>
        <v/>
      </c>
      <c r="J63" s="46">
        <f>IF($AD63&lt;&gt;"D","",IF(N($B63)=0,"",ROUND($I63/$B63,4)))</f>
        <v/>
      </c>
      <c r="K63" s="32">
        <f>IF($AD63="Z",ROUND(SUM($AU$5:$AU$404),2),IF($AD63="D",INDEX($AU$5:$AU$404,$AC63),IF($AD63="T",ROUND(SUMIF($X$5:$X$404,$AF63,$AU$5:$AU$404),2),IF($AD63="B",ROUND(SUMIF($AN$5:$AN$404,$AQ63,$AU$5:$AU$404),2),""))))</f>
        <v/>
      </c>
      <c r="L63" s="32">
        <f>IF($AD63="Z",ROUND(SUM($AV$5:$AV$404),2),IF($AD63="D",INDEX($AV$5:$AV$404,$AC63),IF($AD63="T",ROUND(SUMIF($X$5:$X$404,$AF63,$AV$5:$AV$404),2),IF($AD63="B",ROUND(SUMIF($AN$5:$AN$404,$AQ63,$AV$5:$AV$404),2),""))))</f>
        <v/>
      </c>
      <c r="M63" s="32">
        <f>IF($AD63="Z",ROUND(SUM($AJ$5:$AJ$704),2),IF($AD63="B",ROUND(SUMIF($AQ$5:$AQ$704,$AQ63,$AJ$5:$AJ$704),2),IF($AD63&lt;&gt;"T","",$AJ63)))</f>
        <v/>
      </c>
      <c r="N63" s="32">
        <f>IF(OR($AD63="D",$AD63="T",$AD63="B",$AD63="Z"),ROUND(N($K63)-N($L63)-N($M63),2),"")</f>
        <v/>
      </c>
      <c r="O63" s="32">
        <f>IF(OR($AD63="D",$AD63="T",$AD63="B",$AD63="Z"),IF(N($E63)=0,"",ROUND($F63/$E63,2)),"")</f>
        <v/>
      </c>
      <c r="Q63">
        <f>IFERROR(MATCH(59,บันทึกรายเที่ยว!$Z$6:$Z$6005,0),"")</f>
        <v/>
      </c>
      <c r="R63">
        <f>IF($Q63="","",INDEX(บันทึกรายเที่ยว!$V$6:$V$6005,$Q63))</f>
        <v/>
      </c>
      <c r="S63">
        <f>IF($Q63="","",INDEX(บันทึกรายเที่ยว!$F$6:$F$6005,$Q63))</f>
        <v/>
      </c>
      <c r="T63">
        <f>IF($Q63="","",MATCH($S63,บันทึกรายเที่ยว!$F$6:$F$6005,0))</f>
        <v/>
      </c>
      <c r="U63">
        <f>IF($Q63="","",$AL63*10000000+$T63*1000+59)</f>
        <v/>
      </c>
      <c r="V63">
        <f>IFERROR(MATCH(SMALL($U$5:$U$404,59),$U$5:$U$404,0),"")</f>
        <v/>
      </c>
      <c r="W63">
        <f>IF($V63="","",INDEX($Q$5:$Q$404,$V63))</f>
        <v/>
      </c>
      <c r="X63">
        <f>IF($V63="","",INDEX($S$5:$S$404,$V63))</f>
        <v/>
      </c>
      <c r="Y63">
        <f>IF($V63="","",INDEX($R$5:$R$404,$V63))</f>
        <v/>
      </c>
      <c r="Z63">
        <f>IF($V63="",0,IF($X63&lt;&gt;$X62,1,0))</f>
        <v/>
      </c>
      <c r="AA63">
        <f>IF($V63="",0,IF($V64="",1,IF($X64&lt;&gt;$X63,1,0)))</f>
        <v/>
      </c>
      <c r="AB63">
        <f>IF($V63="",99999+59,$AB62+1+$Z62+$AA62+$AO62)</f>
        <v/>
      </c>
      <c r="AC63">
        <f>IFERROR(MATCH(59,$AB$5:$AB$404,1),"")</f>
        <v/>
      </c>
      <c r="AD63">
        <f>IF(59=$AI$1+1,"Z",IF($AC63="","",IF(INDEX($V$5:$V$404,$AC63)="","",IF(59&gt;INDEX($AB$5:$AB$404,$AC63)+INDEX($Z$5:$Z$404,$AC63)+INDEX($AA$5:$AA$404,$AC63)+INDEX($AO$5:$AO$404,$AC63),"",IF(59=INDEX($AB$5:$AB$404,$AC63)+INDEX($Z$5:$Z$404,$AC63),"D",IF(AND(INDEX($Z$5:$Z$404,$AC63)=1,59=INDEX($AB$5:$AB$404,$AC63)),"H",IF(AND(INDEX($AO$5:$AO$404,$AC63)=1,59=INDEX($AB$5:$AB$404,$AC63)+INDEX($Z$5:$Z$404,$AC63)+INDEX($AA$5:$AA$404,$AC63)+INDEX($AO$5:$AO$404,$AC63)),"B","T")))))))</f>
        <v/>
      </c>
      <c r="AF63">
        <f>IF(OR($AD63="",$AD63="Z",$AD63="B"),"",INDEX($X$5:$X$404,$AC63))</f>
        <v/>
      </c>
      <c r="AJ63">
        <f>IF($AD63&lt;&gt;"T",0,ROUND(SUMIF(oil!$B$4:$B$63,$AF63,oil!$AE$4:$AE$63),2))</f>
        <v/>
      </c>
      <c r="AK63">
        <f>IF($S63="","",IFERROR(INDEX(อัตราค่าขนส่ง!$P$5:$P$54,MATCH($S63,อัตราค่าขนส่ง!$O$5:$O$54,0)),INDEX(รายการมาตรฐาน!$G$2:$G$3,1)))</f>
        <v/>
      </c>
      <c r="AL63">
        <f>IF($S63="","",IFERROR(MATCH($AK63,รายการมาตรฐาน!$G$2:$G$3,0),1))</f>
        <v/>
      </c>
      <c r="AM63">
        <f>IF($V63="","",INDEX($AK$5:$AK$404,$V63))</f>
        <v/>
      </c>
      <c r="AN63">
        <f>IF($V63="","",INDEX($AL$5:$AL$404,$V63))</f>
        <v/>
      </c>
      <c r="AO63">
        <f>IF(OR($V63="",$AI$2&lt;=1),0,IF($V64="",1,IF($AN64&lt;&gt;$AN63,1,0)))</f>
        <v/>
      </c>
      <c r="AP63">
        <f>IF($V63="",0,IF($AN63&lt;&gt;$AN62,1,0))</f>
        <v/>
      </c>
      <c r="AQ63">
        <f>IF(OR($AD63="",$AD63="Z"),"",INDEX($AN$5:$AN$404,$AC63))</f>
        <v/>
      </c>
      <c r="AR63">
        <f>IF($Y63="",0,COUNTIF(บันทึกรายเที่ยว!$V$6:$V$6005,$Y63))</f>
        <v/>
      </c>
      <c r="AS63">
        <f>IF($Y63="",0,ROUND(SUMIF(บันทึกรายเที่ยว!$V$6:$V$6005,$Y63,บันทึกรายเที่ยว!$M$6:$M$6005),2))</f>
        <v/>
      </c>
      <c r="AT63">
        <f>IF($Y63="",0,IFERROR(INDEX(อัตราค่าขนส่ง!$G$5:$G$204,MATCH($Y63,อัตราค่าขนส่ง!$M$5:$M$204,0)),0))</f>
        <v/>
      </c>
      <c r="AU63">
        <f>ROUND($AS63*$BD63,2)</f>
        <v/>
      </c>
      <c r="AV63">
        <f>ROUND($AU63*$BF$2/100,2)</f>
        <v/>
      </c>
      <c r="AW63">
        <f>IF($Y63="","",IFERROR(INDEX(อัตราค่าขนส่ง!$F$5:$F$204,MATCH($Y63,อัตราค่าขนส่ง!$M$5:$M$204,0)),""))</f>
        <v/>
      </c>
      <c r="AX63">
        <f>IF($W63="","",INDEX(บันทึกรายเที่ยว!$D$6:$D$6005,$W63))</f>
        <v/>
      </c>
      <c r="AY63">
        <f>IF($W63="","",INDEX(บันทึกรายเที่ยว!$R$6:$R$6005,$W63))</f>
        <v/>
      </c>
      <c r="AZ63">
        <f>IF(AND($AD63="T",$AQ63=1),N($AZ62)+1,N($AZ62))</f>
        <v/>
      </c>
      <c r="BA63">
        <f>IF($W63="","",INDEX(บันทึกรายเที่ยว!$E$6:$E$6005,$W63))</f>
        <v/>
      </c>
      <c r="BC63">
        <f>IF($Y63="",0,IFERROR(INDEX(อัตราค่าขนส่ง!$K$5:$K$204,MATCH($Y63,อัตราค่าขนส่ง!$M$5:$M$204,0)),0))</f>
        <v/>
      </c>
      <c r="BD63">
        <f>IF($Y63="",0,IFERROR(INDEX(อัตราค่าขนส่ง!$L$5:$L$204,MATCH($Y63,อัตราค่าขนส่ง!$M$5:$M$204,0)),0))</f>
        <v/>
      </c>
    </row>
    <row r="64" ht="21" customHeight="1" s="66">
      <c r="A64" s="69">
        <f>IF($AD64="","",IF($AD64="Z","รวมจ่ายทั้งสิ้น",IF($AD64="H",INDEX($X$5:$X$404,$AC64),IF($AD64="T","รวม",IF($AD64="B",IFERROR(INDEX(อัตราค่าขนส่ง!$S$5:$S$14,MATCH(INDEX($AM$5:$AM$404,$AC64),อัตราค่าขนส่ง!$R$5:$R$14,0)),"รวมกลุ่ม "&amp;INDEX($AM$5:$AM$404,$AC64)),INDEX($AY$5:$AY$404,$AC64))))))</f>
        <v/>
      </c>
      <c r="B64" s="31">
        <f>IF($AD64&lt;&gt;"D","",INDEX($AW$5:$AW$404,$AC64))</f>
        <v/>
      </c>
      <c r="C64" s="68">
        <f>IF($AD64&lt;&gt;"D","",INDEX($AX$5:$AX$404,$AC64))</f>
        <v/>
      </c>
      <c r="D64" s="70">
        <f>IF($AD64&lt;&gt;"D","",INDEX($BA$5:$BA$404,$AC64))</f>
        <v/>
      </c>
      <c r="E64" s="31">
        <f>IF($AD64="Z",SUM($AR$5:$AR$404),IF($AD64="D",INDEX($AR$5:$AR$404,$AC64),IF($AD64="T",SUMIF($X$5:$X$404,$AF64,$AR$5:$AR$404),IF($AD64="B",SUMIF($AN$5:$AN$404,$AQ64,$AR$5:$AR$404),""))))</f>
        <v/>
      </c>
      <c r="F64" s="32">
        <f>IF($AD64="Z",ROUND(SUM($AS$5:$AS$404),2),IF($AD64="D",INDEX($AS$5:$AS$404,$AC64),IF($AD64="T",ROUND(SUMIF($X$5:$X$404,$AF64,$AS$5:$AS$404),2),IF($AD64="B",ROUND(SUMIF($AN$5:$AN$404,$AQ64,$AS$5:$AS$404),2),""))))</f>
        <v/>
      </c>
      <c r="G64" s="32">
        <f>IF($AD64&lt;&gt;"D","",INDEX($AT$5:$AT$404,$AC64))</f>
        <v/>
      </c>
      <c r="H64" s="32">
        <f>IF($AD64&lt;&gt;"D","",INDEX($BC$5:$BC$404,$AC64))</f>
        <v/>
      </c>
      <c r="I64" s="32">
        <f>IF($AD64&lt;&gt;"D","",INDEX($BD$5:$BD$404,$AC64))</f>
        <v/>
      </c>
      <c r="J64" s="46">
        <f>IF($AD64&lt;&gt;"D","",IF(N($B64)=0,"",ROUND($I64/$B64,4)))</f>
        <v/>
      </c>
      <c r="K64" s="32">
        <f>IF($AD64="Z",ROUND(SUM($AU$5:$AU$404),2),IF($AD64="D",INDEX($AU$5:$AU$404,$AC64),IF($AD64="T",ROUND(SUMIF($X$5:$X$404,$AF64,$AU$5:$AU$404),2),IF($AD64="B",ROUND(SUMIF($AN$5:$AN$404,$AQ64,$AU$5:$AU$404),2),""))))</f>
        <v/>
      </c>
      <c r="L64" s="32">
        <f>IF($AD64="Z",ROUND(SUM($AV$5:$AV$404),2),IF($AD64="D",INDEX($AV$5:$AV$404,$AC64),IF($AD64="T",ROUND(SUMIF($X$5:$X$404,$AF64,$AV$5:$AV$404),2),IF($AD64="B",ROUND(SUMIF($AN$5:$AN$404,$AQ64,$AV$5:$AV$404),2),""))))</f>
        <v/>
      </c>
      <c r="M64" s="32">
        <f>IF($AD64="Z",ROUND(SUM($AJ$5:$AJ$704),2),IF($AD64="B",ROUND(SUMIF($AQ$5:$AQ$704,$AQ64,$AJ$5:$AJ$704),2),IF($AD64&lt;&gt;"T","",$AJ64)))</f>
        <v/>
      </c>
      <c r="N64" s="32">
        <f>IF(OR($AD64="D",$AD64="T",$AD64="B",$AD64="Z"),ROUND(N($K64)-N($L64)-N($M64),2),"")</f>
        <v/>
      </c>
      <c r="O64" s="32">
        <f>IF(OR($AD64="D",$AD64="T",$AD64="B",$AD64="Z"),IF(N($E64)=0,"",ROUND($F64/$E64,2)),"")</f>
        <v/>
      </c>
      <c r="Q64">
        <f>IFERROR(MATCH(60,บันทึกรายเที่ยว!$Z$6:$Z$6005,0),"")</f>
        <v/>
      </c>
      <c r="R64">
        <f>IF($Q64="","",INDEX(บันทึกรายเที่ยว!$V$6:$V$6005,$Q64))</f>
        <v/>
      </c>
      <c r="S64">
        <f>IF($Q64="","",INDEX(บันทึกรายเที่ยว!$F$6:$F$6005,$Q64))</f>
        <v/>
      </c>
      <c r="T64">
        <f>IF($Q64="","",MATCH($S64,บันทึกรายเที่ยว!$F$6:$F$6005,0))</f>
        <v/>
      </c>
      <c r="U64">
        <f>IF($Q64="","",$AL64*10000000+$T64*1000+60)</f>
        <v/>
      </c>
      <c r="V64">
        <f>IFERROR(MATCH(SMALL($U$5:$U$404,60),$U$5:$U$404,0),"")</f>
        <v/>
      </c>
      <c r="W64">
        <f>IF($V64="","",INDEX($Q$5:$Q$404,$V64))</f>
        <v/>
      </c>
      <c r="X64">
        <f>IF($V64="","",INDEX($S$5:$S$404,$V64))</f>
        <v/>
      </c>
      <c r="Y64">
        <f>IF($V64="","",INDEX($R$5:$R$404,$V64))</f>
        <v/>
      </c>
      <c r="Z64">
        <f>IF($V64="",0,IF($X64&lt;&gt;$X63,1,0))</f>
        <v/>
      </c>
      <c r="AA64">
        <f>IF($V64="",0,IF($V65="",1,IF($X65&lt;&gt;$X64,1,0)))</f>
        <v/>
      </c>
      <c r="AB64">
        <f>IF($V64="",99999+60,$AB63+1+$Z63+$AA63+$AO63)</f>
        <v/>
      </c>
      <c r="AC64">
        <f>IFERROR(MATCH(60,$AB$5:$AB$404,1),"")</f>
        <v/>
      </c>
      <c r="AD64">
        <f>IF(60=$AI$1+1,"Z",IF($AC64="","",IF(INDEX($V$5:$V$404,$AC64)="","",IF(60&gt;INDEX($AB$5:$AB$404,$AC64)+INDEX($Z$5:$Z$404,$AC64)+INDEX($AA$5:$AA$404,$AC64)+INDEX($AO$5:$AO$404,$AC64),"",IF(60=INDEX($AB$5:$AB$404,$AC64)+INDEX($Z$5:$Z$404,$AC64),"D",IF(AND(INDEX($Z$5:$Z$404,$AC64)=1,60=INDEX($AB$5:$AB$404,$AC64)),"H",IF(AND(INDEX($AO$5:$AO$404,$AC64)=1,60=INDEX($AB$5:$AB$404,$AC64)+INDEX($Z$5:$Z$404,$AC64)+INDEX($AA$5:$AA$404,$AC64)+INDEX($AO$5:$AO$404,$AC64)),"B","T")))))))</f>
        <v/>
      </c>
      <c r="AF64">
        <f>IF(OR($AD64="",$AD64="Z",$AD64="B"),"",INDEX($X$5:$X$404,$AC64))</f>
        <v/>
      </c>
      <c r="AJ64">
        <f>IF($AD64&lt;&gt;"T",0,ROUND(SUMIF(oil!$B$4:$B$63,$AF64,oil!$AE$4:$AE$63),2))</f>
        <v/>
      </c>
      <c r="AK64">
        <f>IF($S64="","",IFERROR(INDEX(อัตราค่าขนส่ง!$P$5:$P$54,MATCH($S64,อัตราค่าขนส่ง!$O$5:$O$54,0)),INDEX(รายการมาตรฐาน!$G$2:$G$3,1)))</f>
        <v/>
      </c>
      <c r="AL64">
        <f>IF($S64="","",IFERROR(MATCH($AK64,รายการมาตรฐาน!$G$2:$G$3,0),1))</f>
        <v/>
      </c>
      <c r="AM64">
        <f>IF($V64="","",INDEX($AK$5:$AK$404,$V64))</f>
        <v/>
      </c>
      <c r="AN64">
        <f>IF($V64="","",INDEX($AL$5:$AL$404,$V64))</f>
        <v/>
      </c>
      <c r="AO64">
        <f>IF(OR($V64="",$AI$2&lt;=1),0,IF($V65="",1,IF($AN65&lt;&gt;$AN64,1,0)))</f>
        <v/>
      </c>
      <c r="AP64">
        <f>IF($V64="",0,IF($AN64&lt;&gt;$AN63,1,0))</f>
        <v/>
      </c>
      <c r="AQ64">
        <f>IF(OR($AD64="",$AD64="Z"),"",INDEX($AN$5:$AN$404,$AC64))</f>
        <v/>
      </c>
      <c r="AR64">
        <f>IF($Y64="",0,COUNTIF(บันทึกรายเที่ยว!$V$6:$V$6005,$Y64))</f>
        <v/>
      </c>
      <c r="AS64">
        <f>IF($Y64="",0,ROUND(SUMIF(บันทึกรายเที่ยว!$V$6:$V$6005,$Y64,บันทึกรายเที่ยว!$M$6:$M$6005),2))</f>
        <v/>
      </c>
      <c r="AT64">
        <f>IF($Y64="",0,IFERROR(INDEX(อัตราค่าขนส่ง!$G$5:$G$204,MATCH($Y64,อัตราค่าขนส่ง!$M$5:$M$204,0)),0))</f>
        <v/>
      </c>
      <c r="AU64">
        <f>ROUND($AS64*$BD64,2)</f>
        <v/>
      </c>
      <c r="AV64">
        <f>ROUND($AU64*$BF$2/100,2)</f>
        <v/>
      </c>
      <c r="AW64">
        <f>IF($Y64="","",IFERROR(INDEX(อัตราค่าขนส่ง!$F$5:$F$204,MATCH($Y64,อัตราค่าขนส่ง!$M$5:$M$204,0)),""))</f>
        <v/>
      </c>
      <c r="AX64">
        <f>IF($W64="","",INDEX(บันทึกรายเที่ยว!$D$6:$D$6005,$W64))</f>
        <v/>
      </c>
      <c r="AY64">
        <f>IF($W64="","",INDEX(บันทึกรายเที่ยว!$R$6:$R$6005,$W64))</f>
        <v/>
      </c>
      <c r="AZ64">
        <f>IF(AND($AD64="T",$AQ64=1),N($AZ63)+1,N($AZ63))</f>
        <v/>
      </c>
      <c r="BA64">
        <f>IF($W64="","",INDEX(บันทึกรายเที่ยว!$E$6:$E$6005,$W64))</f>
        <v/>
      </c>
      <c r="BC64">
        <f>IF($Y64="",0,IFERROR(INDEX(อัตราค่าขนส่ง!$K$5:$K$204,MATCH($Y64,อัตราค่าขนส่ง!$M$5:$M$204,0)),0))</f>
        <v/>
      </c>
      <c r="BD64">
        <f>IF($Y64="",0,IFERROR(INDEX(อัตราค่าขนส่ง!$L$5:$L$204,MATCH($Y64,อัตราค่าขนส่ง!$M$5:$M$204,0)),0))</f>
        <v/>
      </c>
    </row>
    <row r="65" ht="21" customHeight="1" s="66">
      <c r="A65" s="69">
        <f>IF($AD65="","",IF($AD65="Z","รวมจ่ายทั้งสิ้น",IF($AD65="H",INDEX($X$5:$X$404,$AC65),IF($AD65="T","รวม",IF($AD65="B",IFERROR(INDEX(อัตราค่าขนส่ง!$S$5:$S$14,MATCH(INDEX($AM$5:$AM$404,$AC65),อัตราค่าขนส่ง!$R$5:$R$14,0)),"รวมกลุ่ม "&amp;INDEX($AM$5:$AM$404,$AC65)),INDEX($AY$5:$AY$404,$AC65))))))</f>
        <v/>
      </c>
      <c r="B65" s="31">
        <f>IF($AD65&lt;&gt;"D","",INDEX($AW$5:$AW$404,$AC65))</f>
        <v/>
      </c>
      <c r="C65" s="68">
        <f>IF($AD65&lt;&gt;"D","",INDEX($AX$5:$AX$404,$AC65))</f>
        <v/>
      </c>
      <c r="D65" s="70">
        <f>IF($AD65&lt;&gt;"D","",INDEX($BA$5:$BA$404,$AC65))</f>
        <v/>
      </c>
      <c r="E65" s="31">
        <f>IF($AD65="Z",SUM($AR$5:$AR$404),IF($AD65="D",INDEX($AR$5:$AR$404,$AC65),IF($AD65="T",SUMIF($X$5:$X$404,$AF65,$AR$5:$AR$404),IF($AD65="B",SUMIF($AN$5:$AN$404,$AQ65,$AR$5:$AR$404),""))))</f>
        <v/>
      </c>
      <c r="F65" s="32">
        <f>IF($AD65="Z",ROUND(SUM($AS$5:$AS$404),2),IF($AD65="D",INDEX($AS$5:$AS$404,$AC65),IF($AD65="T",ROUND(SUMIF($X$5:$X$404,$AF65,$AS$5:$AS$404),2),IF($AD65="B",ROUND(SUMIF($AN$5:$AN$404,$AQ65,$AS$5:$AS$404),2),""))))</f>
        <v/>
      </c>
      <c r="G65" s="32">
        <f>IF($AD65&lt;&gt;"D","",INDEX($AT$5:$AT$404,$AC65))</f>
        <v/>
      </c>
      <c r="H65" s="32">
        <f>IF($AD65&lt;&gt;"D","",INDEX($BC$5:$BC$404,$AC65))</f>
        <v/>
      </c>
      <c r="I65" s="32">
        <f>IF($AD65&lt;&gt;"D","",INDEX($BD$5:$BD$404,$AC65))</f>
        <v/>
      </c>
      <c r="J65" s="46">
        <f>IF($AD65&lt;&gt;"D","",IF(N($B65)=0,"",ROUND($I65/$B65,4)))</f>
        <v/>
      </c>
      <c r="K65" s="32">
        <f>IF($AD65="Z",ROUND(SUM($AU$5:$AU$404),2),IF($AD65="D",INDEX($AU$5:$AU$404,$AC65),IF($AD65="T",ROUND(SUMIF($X$5:$X$404,$AF65,$AU$5:$AU$404),2),IF($AD65="B",ROUND(SUMIF($AN$5:$AN$404,$AQ65,$AU$5:$AU$404),2),""))))</f>
        <v/>
      </c>
      <c r="L65" s="32">
        <f>IF($AD65="Z",ROUND(SUM($AV$5:$AV$404),2),IF($AD65="D",INDEX($AV$5:$AV$404,$AC65),IF($AD65="T",ROUND(SUMIF($X$5:$X$404,$AF65,$AV$5:$AV$404),2),IF($AD65="B",ROUND(SUMIF($AN$5:$AN$404,$AQ65,$AV$5:$AV$404),2),""))))</f>
        <v/>
      </c>
      <c r="M65" s="32">
        <f>IF($AD65="Z",ROUND(SUM($AJ$5:$AJ$704),2),IF($AD65="B",ROUND(SUMIF($AQ$5:$AQ$704,$AQ65,$AJ$5:$AJ$704),2),IF($AD65&lt;&gt;"T","",$AJ65)))</f>
        <v/>
      </c>
      <c r="N65" s="32">
        <f>IF(OR($AD65="D",$AD65="T",$AD65="B",$AD65="Z"),ROUND(N($K65)-N($L65)-N($M65),2),"")</f>
        <v/>
      </c>
      <c r="O65" s="32">
        <f>IF(OR($AD65="D",$AD65="T",$AD65="B",$AD65="Z"),IF(N($E65)=0,"",ROUND($F65/$E65,2)),"")</f>
        <v/>
      </c>
      <c r="Q65">
        <f>IFERROR(MATCH(61,บันทึกรายเที่ยว!$Z$6:$Z$6005,0),"")</f>
        <v/>
      </c>
      <c r="R65">
        <f>IF($Q65="","",INDEX(บันทึกรายเที่ยว!$V$6:$V$6005,$Q65))</f>
        <v/>
      </c>
      <c r="S65">
        <f>IF($Q65="","",INDEX(บันทึกรายเที่ยว!$F$6:$F$6005,$Q65))</f>
        <v/>
      </c>
      <c r="T65">
        <f>IF($Q65="","",MATCH($S65,บันทึกรายเที่ยว!$F$6:$F$6005,0))</f>
        <v/>
      </c>
      <c r="U65">
        <f>IF($Q65="","",$AL65*10000000+$T65*1000+61)</f>
        <v/>
      </c>
      <c r="V65">
        <f>IFERROR(MATCH(SMALL($U$5:$U$404,61),$U$5:$U$404,0),"")</f>
        <v/>
      </c>
      <c r="W65">
        <f>IF($V65="","",INDEX($Q$5:$Q$404,$V65))</f>
        <v/>
      </c>
      <c r="X65">
        <f>IF($V65="","",INDEX($S$5:$S$404,$V65))</f>
        <v/>
      </c>
      <c r="Y65">
        <f>IF($V65="","",INDEX($R$5:$R$404,$V65))</f>
        <v/>
      </c>
      <c r="Z65">
        <f>IF($V65="",0,IF($X65&lt;&gt;$X64,1,0))</f>
        <v/>
      </c>
      <c r="AA65">
        <f>IF($V65="",0,IF($V66="",1,IF($X66&lt;&gt;$X65,1,0)))</f>
        <v/>
      </c>
      <c r="AB65">
        <f>IF($V65="",99999+61,$AB64+1+$Z64+$AA64+$AO64)</f>
        <v/>
      </c>
      <c r="AC65">
        <f>IFERROR(MATCH(61,$AB$5:$AB$404,1),"")</f>
        <v/>
      </c>
      <c r="AD65">
        <f>IF(61=$AI$1+1,"Z",IF($AC65="","",IF(INDEX($V$5:$V$404,$AC65)="","",IF(61&gt;INDEX($AB$5:$AB$404,$AC65)+INDEX($Z$5:$Z$404,$AC65)+INDEX($AA$5:$AA$404,$AC65)+INDEX($AO$5:$AO$404,$AC65),"",IF(61=INDEX($AB$5:$AB$404,$AC65)+INDEX($Z$5:$Z$404,$AC65),"D",IF(AND(INDEX($Z$5:$Z$404,$AC65)=1,61=INDEX($AB$5:$AB$404,$AC65)),"H",IF(AND(INDEX($AO$5:$AO$404,$AC65)=1,61=INDEX($AB$5:$AB$404,$AC65)+INDEX($Z$5:$Z$404,$AC65)+INDEX($AA$5:$AA$404,$AC65)+INDEX($AO$5:$AO$404,$AC65)),"B","T")))))))</f>
        <v/>
      </c>
      <c r="AF65">
        <f>IF(OR($AD65="",$AD65="Z",$AD65="B"),"",INDEX($X$5:$X$404,$AC65))</f>
        <v/>
      </c>
      <c r="AJ65">
        <f>IF($AD65&lt;&gt;"T",0,ROUND(SUMIF(oil!$B$4:$B$63,$AF65,oil!$AE$4:$AE$63),2))</f>
        <v/>
      </c>
      <c r="AK65">
        <f>IF($S65="","",IFERROR(INDEX(อัตราค่าขนส่ง!$P$5:$P$54,MATCH($S65,อัตราค่าขนส่ง!$O$5:$O$54,0)),INDEX(รายการมาตรฐาน!$G$2:$G$3,1)))</f>
        <v/>
      </c>
      <c r="AL65">
        <f>IF($S65="","",IFERROR(MATCH($AK65,รายการมาตรฐาน!$G$2:$G$3,0),1))</f>
        <v/>
      </c>
      <c r="AM65">
        <f>IF($V65="","",INDEX($AK$5:$AK$404,$V65))</f>
        <v/>
      </c>
      <c r="AN65">
        <f>IF($V65="","",INDEX($AL$5:$AL$404,$V65))</f>
        <v/>
      </c>
      <c r="AO65">
        <f>IF(OR($V65="",$AI$2&lt;=1),0,IF($V66="",1,IF($AN66&lt;&gt;$AN65,1,0)))</f>
        <v/>
      </c>
      <c r="AP65">
        <f>IF($V65="",0,IF($AN65&lt;&gt;$AN64,1,0))</f>
        <v/>
      </c>
      <c r="AQ65">
        <f>IF(OR($AD65="",$AD65="Z"),"",INDEX($AN$5:$AN$404,$AC65))</f>
        <v/>
      </c>
      <c r="AR65">
        <f>IF($Y65="",0,COUNTIF(บันทึกรายเที่ยว!$V$6:$V$6005,$Y65))</f>
        <v/>
      </c>
      <c r="AS65">
        <f>IF($Y65="",0,ROUND(SUMIF(บันทึกรายเที่ยว!$V$6:$V$6005,$Y65,บันทึกรายเที่ยว!$M$6:$M$6005),2))</f>
        <v/>
      </c>
      <c r="AT65">
        <f>IF($Y65="",0,IFERROR(INDEX(อัตราค่าขนส่ง!$G$5:$G$204,MATCH($Y65,อัตราค่าขนส่ง!$M$5:$M$204,0)),0))</f>
        <v/>
      </c>
      <c r="AU65">
        <f>ROUND($AS65*$BD65,2)</f>
        <v/>
      </c>
      <c r="AV65">
        <f>ROUND($AU65*$BF$2/100,2)</f>
        <v/>
      </c>
      <c r="AW65">
        <f>IF($Y65="","",IFERROR(INDEX(อัตราค่าขนส่ง!$F$5:$F$204,MATCH($Y65,อัตราค่าขนส่ง!$M$5:$M$204,0)),""))</f>
        <v/>
      </c>
      <c r="AX65">
        <f>IF($W65="","",INDEX(บันทึกรายเที่ยว!$D$6:$D$6005,$W65))</f>
        <v/>
      </c>
      <c r="AY65">
        <f>IF($W65="","",INDEX(บันทึกรายเที่ยว!$R$6:$R$6005,$W65))</f>
        <v/>
      </c>
      <c r="AZ65">
        <f>IF(AND($AD65="T",$AQ65=1),N($AZ64)+1,N($AZ64))</f>
        <v/>
      </c>
      <c r="BA65">
        <f>IF($W65="","",INDEX(บันทึกรายเที่ยว!$E$6:$E$6005,$W65))</f>
        <v/>
      </c>
      <c r="BC65">
        <f>IF($Y65="",0,IFERROR(INDEX(อัตราค่าขนส่ง!$K$5:$K$204,MATCH($Y65,อัตราค่าขนส่ง!$M$5:$M$204,0)),0))</f>
        <v/>
      </c>
      <c r="BD65">
        <f>IF($Y65="",0,IFERROR(INDEX(อัตราค่าขนส่ง!$L$5:$L$204,MATCH($Y65,อัตราค่าขนส่ง!$M$5:$M$204,0)),0))</f>
        <v/>
      </c>
    </row>
    <row r="66" ht="21" customHeight="1" s="66">
      <c r="A66" s="69">
        <f>IF($AD66="","",IF($AD66="Z","รวมจ่ายทั้งสิ้น",IF($AD66="H",INDEX($X$5:$X$404,$AC66),IF($AD66="T","รวม",IF($AD66="B",IFERROR(INDEX(อัตราค่าขนส่ง!$S$5:$S$14,MATCH(INDEX($AM$5:$AM$404,$AC66),อัตราค่าขนส่ง!$R$5:$R$14,0)),"รวมกลุ่ม "&amp;INDEX($AM$5:$AM$404,$AC66)),INDEX($AY$5:$AY$404,$AC66))))))</f>
        <v/>
      </c>
      <c r="B66" s="31">
        <f>IF($AD66&lt;&gt;"D","",INDEX($AW$5:$AW$404,$AC66))</f>
        <v/>
      </c>
      <c r="C66" s="68">
        <f>IF($AD66&lt;&gt;"D","",INDEX($AX$5:$AX$404,$AC66))</f>
        <v/>
      </c>
      <c r="D66" s="70">
        <f>IF($AD66&lt;&gt;"D","",INDEX($BA$5:$BA$404,$AC66))</f>
        <v/>
      </c>
      <c r="E66" s="31">
        <f>IF($AD66="Z",SUM($AR$5:$AR$404),IF($AD66="D",INDEX($AR$5:$AR$404,$AC66),IF($AD66="T",SUMIF($X$5:$X$404,$AF66,$AR$5:$AR$404),IF($AD66="B",SUMIF($AN$5:$AN$404,$AQ66,$AR$5:$AR$404),""))))</f>
        <v/>
      </c>
      <c r="F66" s="32">
        <f>IF($AD66="Z",ROUND(SUM($AS$5:$AS$404),2),IF($AD66="D",INDEX($AS$5:$AS$404,$AC66),IF($AD66="T",ROUND(SUMIF($X$5:$X$404,$AF66,$AS$5:$AS$404),2),IF($AD66="B",ROUND(SUMIF($AN$5:$AN$404,$AQ66,$AS$5:$AS$404),2),""))))</f>
        <v/>
      </c>
      <c r="G66" s="32">
        <f>IF($AD66&lt;&gt;"D","",INDEX($AT$5:$AT$404,$AC66))</f>
        <v/>
      </c>
      <c r="H66" s="32">
        <f>IF($AD66&lt;&gt;"D","",INDEX($BC$5:$BC$404,$AC66))</f>
        <v/>
      </c>
      <c r="I66" s="32">
        <f>IF($AD66&lt;&gt;"D","",INDEX($BD$5:$BD$404,$AC66))</f>
        <v/>
      </c>
      <c r="J66" s="46">
        <f>IF($AD66&lt;&gt;"D","",IF(N($B66)=0,"",ROUND($I66/$B66,4)))</f>
        <v/>
      </c>
      <c r="K66" s="32">
        <f>IF($AD66="Z",ROUND(SUM($AU$5:$AU$404),2),IF($AD66="D",INDEX($AU$5:$AU$404,$AC66),IF($AD66="T",ROUND(SUMIF($X$5:$X$404,$AF66,$AU$5:$AU$404),2),IF($AD66="B",ROUND(SUMIF($AN$5:$AN$404,$AQ66,$AU$5:$AU$404),2),""))))</f>
        <v/>
      </c>
      <c r="L66" s="32">
        <f>IF($AD66="Z",ROUND(SUM($AV$5:$AV$404),2),IF($AD66="D",INDEX($AV$5:$AV$404,$AC66),IF($AD66="T",ROUND(SUMIF($X$5:$X$404,$AF66,$AV$5:$AV$404),2),IF($AD66="B",ROUND(SUMIF($AN$5:$AN$404,$AQ66,$AV$5:$AV$404),2),""))))</f>
        <v/>
      </c>
      <c r="M66" s="32">
        <f>IF($AD66="Z",ROUND(SUM($AJ$5:$AJ$704),2),IF($AD66="B",ROUND(SUMIF($AQ$5:$AQ$704,$AQ66,$AJ$5:$AJ$704),2),IF($AD66&lt;&gt;"T","",$AJ66)))</f>
        <v/>
      </c>
      <c r="N66" s="32">
        <f>IF(OR($AD66="D",$AD66="T",$AD66="B",$AD66="Z"),ROUND(N($K66)-N($L66)-N($M66),2),"")</f>
        <v/>
      </c>
      <c r="O66" s="32">
        <f>IF(OR($AD66="D",$AD66="T",$AD66="B",$AD66="Z"),IF(N($E66)=0,"",ROUND($F66/$E66,2)),"")</f>
        <v/>
      </c>
      <c r="Q66">
        <f>IFERROR(MATCH(62,บันทึกรายเที่ยว!$Z$6:$Z$6005,0),"")</f>
        <v/>
      </c>
      <c r="R66">
        <f>IF($Q66="","",INDEX(บันทึกรายเที่ยว!$V$6:$V$6005,$Q66))</f>
        <v/>
      </c>
      <c r="S66">
        <f>IF($Q66="","",INDEX(บันทึกรายเที่ยว!$F$6:$F$6005,$Q66))</f>
        <v/>
      </c>
      <c r="T66">
        <f>IF($Q66="","",MATCH($S66,บันทึกรายเที่ยว!$F$6:$F$6005,0))</f>
        <v/>
      </c>
      <c r="U66">
        <f>IF($Q66="","",$AL66*10000000+$T66*1000+62)</f>
        <v/>
      </c>
      <c r="V66">
        <f>IFERROR(MATCH(SMALL($U$5:$U$404,62),$U$5:$U$404,0),"")</f>
        <v/>
      </c>
      <c r="W66">
        <f>IF($V66="","",INDEX($Q$5:$Q$404,$V66))</f>
        <v/>
      </c>
      <c r="X66">
        <f>IF($V66="","",INDEX($S$5:$S$404,$V66))</f>
        <v/>
      </c>
      <c r="Y66">
        <f>IF($V66="","",INDEX($R$5:$R$404,$V66))</f>
        <v/>
      </c>
      <c r="Z66">
        <f>IF($V66="",0,IF($X66&lt;&gt;$X65,1,0))</f>
        <v/>
      </c>
      <c r="AA66">
        <f>IF($V66="",0,IF($V67="",1,IF($X67&lt;&gt;$X66,1,0)))</f>
        <v/>
      </c>
      <c r="AB66">
        <f>IF($V66="",99999+62,$AB65+1+$Z65+$AA65+$AO65)</f>
        <v/>
      </c>
      <c r="AC66">
        <f>IFERROR(MATCH(62,$AB$5:$AB$404,1),"")</f>
        <v/>
      </c>
      <c r="AD66">
        <f>IF(62=$AI$1+1,"Z",IF($AC66="","",IF(INDEX($V$5:$V$404,$AC66)="","",IF(62&gt;INDEX($AB$5:$AB$404,$AC66)+INDEX($Z$5:$Z$404,$AC66)+INDEX($AA$5:$AA$404,$AC66)+INDEX($AO$5:$AO$404,$AC66),"",IF(62=INDEX($AB$5:$AB$404,$AC66)+INDEX($Z$5:$Z$404,$AC66),"D",IF(AND(INDEX($Z$5:$Z$404,$AC66)=1,62=INDEX($AB$5:$AB$404,$AC66)),"H",IF(AND(INDEX($AO$5:$AO$404,$AC66)=1,62=INDEX($AB$5:$AB$404,$AC66)+INDEX($Z$5:$Z$404,$AC66)+INDEX($AA$5:$AA$404,$AC66)+INDEX($AO$5:$AO$404,$AC66)),"B","T")))))))</f>
        <v/>
      </c>
      <c r="AF66">
        <f>IF(OR($AD66="",$AD66="Z",$AD66="B"),"",INDEX($X$5:$X$404,$AC66))</f>
        <v/>
      </c>
      <c r="AJ66">
        <f>IF($AD66&lt;&gt;"T",0,ROUND(SUMIF(oil!$B$4:$B$63,$AF66,oil!$AE$4:$AE$63),2))</f>
        <v/>
      </c>
      <c r="AK66">
        <f>IF($S66="","",IFERROR(INDEX(อัตราค่าขนส่ง!$P$5:$P$54,MATCH($S66,อัตราค่าขนส่ง!$O$5:$O$54,0)),INDEX(รายการมาตรฐาน!$G$2:$G$3,1)))</f>
        <v/>
      </c>
      <c r="AL66">
        <f>IF($S66="","",IFERROR(MATCH($AK66,รายการมาตรฐาน!$G$2:$G$3,0),1))</f>
        <v/>
      </c>
      <c r="AM66">
        <f>IF($V66="","",INDEX($AK$5:$AK$404,$V66))</f>
        <v/>
      </c>
      <c r="AN66">
        <f>IF($V66="","",INDEX($AL$5:$AL$404,$V66))</f>
        <v/>
      </c>
      <c r="AO66">
        <f>IF(OR($V66="",$AI$2&lt;=1),0,IF($V67="",1,IF($AN67&lt;&gt;$AN66,1,0)))</f>
        <v/>
      </c>
      <c r="AP66">
        <f>IF($V66="",0,IF($AN66&lt;&gt;$AN65,1,0))</f>
        <v/>
      </c>
      <c r="AQ66">
        <f>IF(OR($AD66="",$AD66="Z"),"",INDEX($AN$5:$AN$404,$AC66))</f>
        <v/>
      </c>
      <c r="AR66">
        <f>IF($Y66="",0,COUNTIF(บันทึกรายเที่ยว!$V$6:$V$6005,$Y66))</f>
        <v/>
      </c>
      <c r="AS66">
        <f>IF($Y66="",0,ROUND(SUMIF(บันทึกรายเที่ยว!$V$6:$V$6005,$Y66,บันทึกรายเที่ยว!$M$6:$M$6005),2))</f>
        <v/>
      </c>
      <c r="AT66">
        <f>IF($Y66="",0,IFERROR(INDEX(อัตราค่าขนส่ง!$G$5:$G$204,MATCH($Y66,อัตราค่าขนส่ง!$M$5:$M$204,0)),0))</f>
        <v/>
      </c>
      <c r="AU66">
        <f>ROUND($AS66*$BD66,2)</f>
        <v/>
      </c>
      <c r="AV66">
        <f>ROUND($AU66*$BF$2/100,2)</f>
        <v/>
      </c>
      <c r="AW66">
        <f>IF($Y66="","",IFERROR(INDEX(อัตราค่าขนส่ง!$F$5:$F$204,MATCH($Y66,อัตราค่าขนส่ง!$M$5:$M$204,0)),""))</f>
        <v/>
      </c>
      <c r="AX66">
        <f>IF($W66="","",INDEX(บันทึกรายเที่ยว!$D$6:$D$6005,$W66))</f>
        <v/>
      </c>
      <c r="AY66">
        <f>IF($W66="","",INDEX(บันทึกรายเที่ยว!$R$6:$R$6005,$W66))</f>
        <v/>
      </c>
      <c r="AZ66">
        <f>IF(AND($AD66="T",$AQ66=1),N($AZ65)+1,N($AZ65))</f>
        <v/>
      </c>
      <c r="BA66">
        <f>IF($W66="","",INDEX(บันทึกรายเที่ยว!$E$6:$E$6005,$W66))</f>
        <v/>
      </c>
      <c r="BC66">
        <f>IF($Y66="",0,IFERROR(INDEX(อัตราค่าขนส่ง!$K$5:$K$204,MATCH($Y66,อัตราค่าขนส่ง!$M$5:$M$204,0)),0))</f>
        <v/>
      </c>
      <c r="BD66">
        <f>IF($Y66="",0,IFERROR(INDEX(อัตราค่าขนส่ง!$L$5:$L$204,MATCH($Y66,อัตราค่าขนส่ง!$M$5:$M$204,0)),0))</f>
        <v/>
      </c>
    </row>
    <row r="67" ht="21" customHeight="1" s="66">
      <c r="A67" s="69">
        <f>IF($AD67="","",IF($AD67="Z","รวมจ่ายทั้งสิ้น",IF($AD67="H",INDEX($X$5:$X$404,$AC67),IF($AD67="T","รวม",IF($AD67="B",IFERROR(INDEX(อัตราค่าขนส่ง!$S$5:$S$14,MATCH(INDEX($AM$5:$AM$404,$AC67),อัตราค่าขนส่ง!$R$5:$R$14,0)),"รวมกลุ่ม "&amp;INDEX($AM$5:$AM$404,$AC67)),INDEX($AY$5:$AY$404,$AC67))))))</f>
        <v/>
      </c>
      <c r="B67" s="31">
        <f>IF($AD67&lt;&gt;"D","",INDEX($AW$5:$AW$404,$AC67))</f>
        <v/>
      </c>
      <c r="C67" s="68">
        <f>IF($AD67&lt;&gt;"D","",INDEX($AX$5:$AX$404,$AC67))</f>
        <v/>
      </c>
      <c r="D67" s="70">
        <f>IF($AD67&lt;&gt;"D","",INDEX($BA$5:$BA$404,$AC67))</f>
        <v/>
      </c>
      <c r="E67" s="31">
        <f>IF($AD67="Z",SUM($AR$5:$AR$404),IF($AD67="D",INDEX($AR$5:$AR$404,$AC67),IF($AD67="T",SUMIF($X$5:$X$404,$AF67,$AR$5:$AR$404),IF($AD67="B",SUMIF($AN$5:$AN$404,$AQ67,$AR$5:$AR$404),""))))</f>
        <v/>
      </c>
      <c r="F67" s="32">
        <f>IF($AD67="Z",ROUND(SUM($AS$5:$AS$404),2),IF($AD67="D",INDEX($AS$5:$AS$404,$AC67),IF($AD67="T",ROUND(SUMIF($X$5:$X$404,$AF67,$AS$5:$AS$404),2),IF($AD67="B",ROUND(SUMIF($AN$5:$AN$404,$AQ67,$AS$5:$AS$404),2),""))))</f>
        <v/>
      </c>
      <c r="G67" s="32">
        <f>IF($AD67&lt;&gt;"D","",INDEX($AT$5:$AT$404,$AC67))</f>
        <v/>
      </c>
      <c r="H67" s="32">
        <f>IF($AD67&lt;&gt;"D","",INDEX($BC$5:$BC$404,$AC67))</f>
        <v/>
      </c>
      <c r="I67" s="32">
        <f>IF($AD67&lt;&gt;"D","",INDEX($BD$5:$BD$404,$AC67))</f>
        <v/>
      </c>
      <c r="J67" s="46">
        <f>IF($AD67&lt;&gt;"D","",IF(N($B67)=0,"",ROUND($I67/$B67,4)))</f>
        <v/>
      </c>
      <c r="K67" s="32">
        <f>IF($AD67="Z",ROUND(SUM($AU$5:$AU$404),2),IF($AD67="D",INDEX($AU$5:$AU$404,$AC67),IF($AD67="T",ROUND(SUMIF($X$5:$X$404,$AF67,$AU$5:$AU$404),2),IF($AD67="B",ROUND(SUMIF($AN$5:$AN$404,$AQ67,$AU$5:$AU$404),2),""))))</f>
        <v/>
      </c>
      <c r="L67" s="32">
        <f>IF($AD67="Z",ROUND(SUM($AV$5:$AV$404),2),IF($AD67="D",INDEX($AV$5:$AV$404,$AC67),IF($AD67="T",ROUND(SUMIF($X$5:$X$404,$AF67,$AV$5:$AV$404),2),IF($AD67="B",ROUND(SUMIF($AN$5:$AN$404,$AQ67,$AV$5:$AV$404),2),""))))</f>
        <v/>
      </c>
      <c r="M67" s="32">
        <f>IF($AD67="Z",ROUND(SUM($AJ$5:$AJ$704),2),IF($AD67="B",ROUND(SUMIF($AQ$5:$AQ$704,$AQ67,$AJ$5:$AJ$704),2),IF($AD67&lt;&gt;"T","",$AJ67)))</f>
        <v/>
      </c>
      <c r="N67" s="32">
        <f>IF(OR($AD67="D",$AD67="T",$AD67="B",$AD67="Z"),ROUND(N($K67)-N($L67)-N($M67),2),"")</f>
        <v/>
      </c>
      <c r="O67" s="32">
        <f>IF(OR($AD67="D",$AD67="T",$AD67="B",$AD67="Z"),IF(N($E67)=0,"",ROUND($F67/$E67,2)),"")</f>
        <v/>
      </c>
      <c r="Q67">
        <f>IFERROR(MATCH(63,บันทึกรายเที่ยว!$Z$6:$Z$6005,0),"")</f>
        <v/>
      </c>
      <c r="R67">
        <f>IF($Q67="","",INDEX(บันทึกรายเที่ยว!$V$6:$V$6005,$Q67))</f>
        <v/>
      </c>
      <c r="S67">
        <f>IF($Q67="","",INDEX(บันทึกรายเที่ยว!$F$6:$F$6005,$Q67))</f>
        <v/>
      </c>
      <c r="T67">
        <f>IF($Q67="","",MATCH($S67,บันทึกรายเที่ยว!$F$6:$F$6005,0))</f>
        <v/>
      </c>
      <c r="U67">
        <f>IF($Q67="","",$AL67*10000000+$T67*1000+63)</f>
        <v/>
      </c>
      <c r="V67">
        <f>IFERROR(MATCH(SMALL($U$5:$U$404,63),$U$5:$U$404,0),"")</f>
        <v/>
      </c>
      <c r="W67">
        <f>IF($V67="","",INDEX($Q$5:$Q$404,$V67))</f>
        <v/>
      </c>
      <c r="X67">
        <f>IF($V67="","",INDEX($S$5:$S$404,$V67))</f>
        <v/>
      </c>
      <c r="Y67">
        <f>IF($V67="","",INDEX($R$5:$R$404,$V67))</f>
        <v/>
      </c>
      <c r="Z67">
        <f>IF($V67="",0,IF($X67&lt;&gt;$X66,1,0))</f>
        <v/>
      </c>
      <c r="AA67">
        <f>IF($V67="",0,IF($V68="",1,IF($X68&lt;&gt;$X67,1,0)))</f>
        <v/>
      </c>
      <c r="AB67">
        <f>IF($V67="",99999+63,$AB66+1+$Z66+$AA66+$AO66)</f>
        <v/>
      </c>
      <c r="AC67">
        <f>IFERROR(MATCH(63,$AB$5:$AB$404,1),"")</f>
        <v/>
      </c>
      <c r="AD67">
        <f>IF(63=$AI$1+1,"Z",IF($AC67="","",IF(INDEX($V$5:$V$404,$AC67)="","",IF(63&gt;INDEX($AB$5:$AB$404,$AC67)+INDEX($Z$5:$Z$404,$AC67)+INDEX($AA$5:$AA$404,$AC67)+INDEX($AO$5:$AO$404,$AC67),"",IF(63=INDEX($AB$5:$AB$404,$AC67)+INDEX($Z$5:$Z$404,$AC67),"D",IF(AND(INDEX($Z$5:$Z$404,$AC67)=1,63=INDEX($AB$5:$AB$404,$AC67)),"H",IF(AND(INDEX($AO$5:$AO$404,$AC67)=1,63=INDEX($AB$5:$AB$404,$AC67)+INDEX($Z$5:$Z$404,$AC67)+INDEX($AA$5:$AA$404,$AC67)+INDEX($AO$5:$AO$404,$AC67)),"B","T")))))))</f>
        <v/>
      </c>
      <c r="AF67">
        <f>IF(OR($AD67="",$AD67="Z",$AD67="B"),"",INDEX($X$5:$X$404,$AC67))</f>
        <v/>
      </c>
      <c r="AJ67">
        <f>IF($AD67&lt;&gt;"T",0,ROUND(SUMIF(oil!$B$4:$B$63,$AF67,oil!$AE$4:$AE$63),2))</f>
        <v/>
      </c>
      <c r="AK67">
        <f>IF($S67="","",IFERROR(INDEX(อัตราค่าขนส่ง!$P$5:$P$54,MATCH($S67,อัตราค่าขนส่ง!$O$5:$O$54,0)),INDEX(รายการมาตรฐาน!$G$2:$G$3,1)))</f>
        <v/>
      </c>
      <c r="AL67">
        <f>IF($S67="","",IFERROR(MATCH($AK67,รายการมาตรฐาน!$G$2:$G$3,0),1))</f>
        <v/>
      </c>
      <c r="AM67">
        <f>IF($V67="","",INDEX($AK$5:$AK$404,$V67))</f>
        <v/>
      </c>
      <c r="AN67">
        <f>IF($V67="","",INDEX($AL$5:$AL$404,$V67))</f>
        <v/>
      </c>
      <c r="AO67">
        <f>IF(OR($V67="",$AI$2&lt;=1),0,IF($V68="",1,IF($AN68&lt;&gt;$AN67,1,0)))</f>
        <v/>
      </c>
      <c r="AP67">
        <f>IF($V67="",0,IF($AN67&lt;&gt;$AN66,1,0))</f>
        <v/>
      </c>
      <c r="AQ67">
        <f>IF(OR($AD67="",$AD67="Z"),"",INDEX($AN$5:$AN$404,$AC67))</f>
        <v/>
      </c>
      <c r="AR67">
        <f>IF($Y67="",0,COUNTIF(บันทึกรายเที่ยว!$V$6:$V$6005,$Y67))</f>
        <v/>
      </c>
      <c r="AS67">
        <f>IF($Y67="",0,ROUND(SUMIF(บันทึกรายเที่ยว!$V$6:$V$6005,$Y67,บันทึกรายเที่ยว!$M$6:$M$6005),2))</f>
        <v/>
      </c>
      <c r="AT67">
        <f>IF($Y67="",0,IFERROR(INDEX(อัตราค่าขนส่ง!$G$5:$G$204,MATCH($Y67,อัตราค่าขนส่ง!$M$5:$M$204,0)),0))</f>
        <v/>
      </c>
      <c r="AU67">
        <f>ROUND($AS67*$BD67,2)</f>
        <v/>
      </c>
      <c r="AV67">
        <f>ROUND($AU67*$BF$2/100,2)</f>
        <v/>
      </c>
      <c r="AW67">
        <f>IF($Y67="","",IFERROR(INDEX(อัตราค่าขนส่ง!$F$5:$F$204,MATCH($Y67,อัตราค่าขนส่ง!$M$5:$M$204,0)),""))</f>
        <v/>
      </c>
      <c r="AX67">
        <f>IF($W67="","",INDEX(บันทึกรายเที่ยว!$D$6:$D$6005,$W67))</f>
        <v/>
      </c>
      <c r="AY67">
        <f>IF($W67="","",INDEX(บันทึกรายเที่ยว!$R$6:$R$6005,$W67))</f>
        <v/>
      </c>
      <c r="AZ67">
        <f>IF(AND($AD67="T",$AQ67=1),N($AZ66)+1,N($AZ66))</f>
        <v/>
      </c>
      <c r="BA67">
        <f>IF($W67="","",INDEX(บันทึกรายเที่ยว!$E$6:$E$6005,$W67))</f>
        <v/>
      </c>
      <c r="BC67">
        <f>IF($Y67="",0,IFERROR(INDEX(อัตราค่าขนส่ง!$K$5:$K$204,MATCH($Y67,อัตราค่าขนส่ง!$M$5:$M$204,0)),0))</f>
        <v/>
      </c>
      <c r="BD67">
        <f>IF($Y67="",0,IFERROR(INDEX(อัตราค่าขนส่ง!$L$5:$L$204,MATCH($Y67,อัตราค่าขนส่ง!$M$5:$M$204,0)),0))</f>
        <v/>
      </c>
    </row>
    <row r="68" ht="21" customHeight="1" s="66">
      <c r="A68" s="69">
        <f>IF($AD68="","",IF($AD68="Z","รวมจ่ายทั้งสิ้น",IF($AD68="H",INDEX($X$5:$X$404,$AC68),IF($AD68="T","รวม",IF($AD68="B",IFERROR(INDEX(อัตราค่าขนส่ง!$S$5:$S$14,MATCH(INDEX($AM$5:$AM$404,$AC68),อัตราค่าขนส่ง!$R$5:$R$14,0)),"รวมกลุ่ม "&amp;INDEX($AM$5:$AM$404,$AC68)),INDEX($AY$5:$AY$404,$AC68))))))</f>
        <v/>
      </c>
      <c r="B68" s="31">
        <f>IF($AD68&lt;&gt;"D","",INDEX($AW$5:$AW$404,$AC68))</f>
        <v/>
      </c>
      <c r="C68" s="68">
        <f>IF($AD68&lt;&gt;"D","",INDEX($AX$5:$AX$404,$AC68))</f>
        <v/>
      </c>
      <c r="D68" s="70">
        <f>IF($AD68&lt;&gt;"D","",INDEX($BA$5:$BA$404,$AC68))</f>
        <v/>
      </c>
      <c r="E68" s="31">
        <f>IF($AD68="Z",SUM($AR$5:$AR$404),IF($AD68="D",INDEX($AR$5:$AR$404,$AC68),IF($AD68="T",SUMIF($X$5:$X$404,$AF68,$AR$5:$AR$404),IF($AD68="B",SUMIF($AN$5:$AN$404,$AQ68,$AR$5:$AR$404),""))))</f>
        <v/>
      </c>
      <c r="F68" s="32">
        <f>IF($AD68="Z",ROUND(SUM($AS$5:$AS$404),2),IF($AD68="D",INDEX($AS$5:$AS$404,$AC68),IF($AD68="T",ROUND(SUMIF($X$5:$X$404,$AF68,$AS$5:$AS$404),2),IF($AD68="B",ROUND(SUMIF($AN$5:$AN$404,$AQ68,$AS$5:$AS$404),2),""))))</f>
        <v/>
      </c>
      <c r="G68" s="32">
        <f>IF($AD68&lt;&gt;"D","",INDEX($AT$5:$AT$404,$AC68))</f>
        <v/>
      </c>
      <c r="H68" s="32">
        <f>IF($AD68&lt;&gt;"D","",INDEX($BC$5:$BC$404,$AC68))</f>
        <v/>
      </c>
      <c r="I68" s="32">
        <f>IF($AD68&lt;&gt;"D","",INDEX($BD$5:$BD$404,$AC68))</f>
        <v/>
      </c>
      <c r="J68" s="46">
        <f>IF($AD68&lt;&gt;"D","",IF(N($B68)=0,"",ROUND($I68/$B68,4)))</f>
        <v/>
      </c>
      <c r="K68" s="32">
        <f>IF($AD68="Z",ROUND(SUM($AU$5:$AU$404),2),IF($AD68="D",INDEX($AU$5:$AU$404,$AC68),IF($AD68="T",ROUND(SUMIF($X$5:$X$404,$AF68,$AU$5:$AU$404),2),IF($AD68="B",ROUND(SUMIF($AN$5:$AN$404,$AQ68,$AU$5:$AU$404),2),""))))</f>
        <v/>
      </c>
      <c r="L68" s="32">
        <f>IF($AD68="Z",ROUND(SUM($AV$5:$AV$404),2),IF($AD68="D",INDEX($AV$5:$AV$404,$AC68),IF($AD68="T",ROUND(SUMIF($X$5:$X$404,$AF68,$AV$5:$AV$404),2),IF($AD68="B",ROUND(SUMIF($AN$5:$AN$404,$AQ68,$AV$5:$AV$404),2),""))))</f>
        <v/>
      </c>
      <c r="M68" s="32">
        <f>IF($AD68="Z",ROUND(SUM($AJ$5:$AJ$704),2),IF($AD68="B",ROUND(SUMIF($AQ$5:$AQ$704,$AQ68,$AJ$5:$AJ$704),2),IF($AD68&lt;&gt;"T","",$AJ68)))</f>
        <v/>
      </c>
      <c r="N68" s="32">
        <f>IF(OR($AD68="D",$AD68="T",$AD68="B",$AD68="Z"),ROUND(N($K68)-N($L68)-N($M68),2),"")</f>
        <v/>
      </c>
      <c r="O68" s="32">
        <f>IF(OR($AD68="D",$AD68="T",$AD68="B",$AD68="Z"),IF(N($E68)=0,"",ROUND($F68/$E68,2)),"")</f>
        <v/>
      </c>
      <c r="Q68">
        <f>IFERROR(MATCH(64,บันทึกรายเที่ยว!$Z$6:$Z$6005,0),"")</f>
        <v/>
      </c>
      <c r="R68">
        <f>IF($Q68="","",INDEX(บันทึกรายเที่ยว!$V$6:$V$6005,$Q68))</f>
        <v/>
      </c>
      <c r="S68">
        <f>IF($Q68="","",INDEX(บันทึกรายเที่ยว!$F$6:$F$6005,$Q68))</f>
        <v/>
      </c>
      <c r="T68">
        <f>IF($Q68="","",MATCH($S68,บันทึกรายเที่ยว!$F$6:$F$6005,0))</f>
        <v/>
      </c>
      <c r="U68">
        <f>IF($Q68="","",$AL68*10000000+$T68*1000+64)</f>
        <v/>
      </c>
      <c r="V68">
        <f>IFERROR(MATCH(SMALL($U$5:$U$404,64),$U$5:$U$404,0),"")</f>
        <v/>
      </c>
      <c r="W68">
        <f>IF($V68="","",INDEX($Q$5:$Q$404,$V68))</f>
        <v/>
      </c>
      <c r="X68">
        <f>IF($V68="","",INDEX($S$5:$S$404,$V68))</f>
        <v/>
      </c>
      <c r="Y68">
        <f>IF($V68="","",INDEX($R$5:$R$404,$V68))</f>
        <v/>
      </c>
      <c r="Z68">
        <f>IF($V68="",0,IF($X68&lt;&gt;$X67,1,0))</f>
        <v/>
      </c>
      <c r="AA68">
        <f>IF($V68="",0,IF($V69="",1,IF($X69&lt;&gt;$X68,1,0)))</f>
        <v/>
      </c>
      <c r="AB68">
        <f>IF($V68="",99999+64,$AB67+1+$Z67+$AA67+$AO67)</f>
        <v/>
      </c>
      <c r="AC68">
        <f>IFERROR(MATCH(64,$AB$5:$AB$404,1),"")</f>
        <v/>
      </c>
      <c r="AD68">
        <f>IF(64=$AI$1+1,"Z",IF($AC68="","",IF(INDEX($V$5:$V$404,$AC68)="","",IF(64&gt;INDEX($AB$5:$AB$404,$AC68)+INDEX($Z$5:$Z$404,$AC68)+INDEX($AA$5:$AA$404,$AC68)+INDEX($AO$5:$AO$404,$AC68),"",IF(64=INDEX($AB$5:$AB$404,$AC68)+INDEX($Z$5:$Z$404,$AC68),"D",IF(AND(INDEX($Z$5:$Z$404,$AC68)=1,64=INDEX($AB$5:$AB$404,$AC68)),"H",IF(AND(INDEX($AO$5:$AO$404,$AC68)=1,64=INDEX($AB$5:$AB$404,$AC68)+INDEX($Z$5:$Z$404,$AC68)+INDEX($AA$5:$AA$404,$AC68)+INDEX($AO$5:$AO$404,$AC68)),"B","T")))))))</f>
        <v/>
      </c>
      <c r="AF68">
        <f>IF(OR($AD68="",$AD68="Z",$AD68="B"),"",INDEX($X$5:$X$404,$AC68))</f>
        <v/>
      </c>
      <c r="AJ68">
        <f>IF($AD68&lt;&gt;"T",0,ROUND(SUMIF(oil!$B$4:$B$63,$AF68,oil!$AE$4:$AE$63),2))</f>
        <v/>
      </c>
      <c r="AK68">
        <f>IF($S68="","",IFERROR(INDEX(อัตราค่าขนส่ง!$P$5:$P$54,MATCH($S68,อัตราค่าขนส่ง!$O$5:$O$54,0)),INDEX(รายการมาตรฐาน!$G$2:$G$3,1)))</f>
        <v/>
      </c>
      <c r="AL68">
        <f>IF($S68="","",IFERROR(MATCH($AK68,รายการมาตรฐาน!$G$2:$G$3,0),1))</f>
        <v/>
      </c>
      <c r="AM68">
        <f>IF($V68="","",INDEX($AK$5:$AK$404,$V68))</f>
        <v/>
      </c>
      <c r="AN68">
        <f>IF($V68="","",INDEX($AL$5:$AL$404,$V68))</f>
        <v/>
      </c>
      <c r="AO68">
        <f>IF(OR($V68="",$AI$2&lt;=1),0,IF($V69="",1,IF($AN69&lt;&gt;$AN68,1,0)))</f>
        <v/>
      </c>
      <c r="AP68">
        <f>IF($V68="",0,IF($AN68&lt;&gt;$AN67,1,0))</f>
        <v/>
      </c>
      <c r="AQ68">
        <f>IF(OR($AD68="",$AD68="Z"),"",INDEX($AN$5:$AN$404,$AC68))</f>
        <v/>
      </c>
      <c r="AR68">
        <f>IF($Y68="",0,COUNTIF(บันทึกรายเที่ยว!$V$6:$V$6005,$Y68))</f>
        <v/>
      </c>
      <c r="AS68">
        <f>IF($Y68="",0,ROUND(SUMIF(บันทึกรายเที่ยว!$V$6:$V$6005,$Y68,บันทึกรายเที่ยว!$M$6:$M$6005),2))</f>
        <v/>
      </c>
      <c r="AT68">
        <f>IF($Y68="",0,IFERROR(INDEX(อัตราค่าขนส่ง!$G$5:$G$204,MATCH($Y68,อัตราค่าขนส่ง!$M$5:$M$204,0)),0))</f>
        <v/>
      </c>
      <c r="AU68">
        <f>ROUND($AS68*$BD68,2)</f>
        <v/>
      </c>
      <c r="AV68">
        <f>ROUND($AU68*$BF$2/100,2)</f>
        <v/>
      </c>
      <c r="AW68">
        <f>IF($Y68="","",IFERROR(INDEX(อัตราค่าขนส่ง!$F$5:$F$204,MATCH($Y68,อัตราค่าขนส่ง!$M$5:$M$204,0)),""))</f>
        <v/>
      </c>
      <c r="AX68">
        <f>IF($W68="","",INDEX(บันทึกรายเที่ยว!$D$6:$D$6005,$W68))</f>
        <v/>
      </c>
      <c r="AY68">
        <f>IF($W68="","",INDEX(บันทึกรายเที่ยว!$R$6:$R$6005,$W68))</f>
        <v/>
      </c>
      <c r="AZ68">
        <f>IF(AND($AD68="T",$AQ68=1),N($AZ67)+1,N($AZ67))</f>
        <v/>
      </c>
      <c r="BA68">
        <f>IF($W68="","",INDEX(บันทึกรายเที่ยว!$E$6:$E$6005,$W68))</f>
        <v/>
      </c>
      <c r="BC68">
        <f>IF($Y68="",0,IFERROR(INDEX(อัตราค่าขนส่ง!$K$5:$K$204,MATCH($Y68,อัตราค่าขนส่ง!$M$5:$M$204,0)),0))</f>
        <v/>
      </c>
      <c r="BD68">
        <f>IF($Y68="",0,IFERROR(INDEX(อัตราค่าขนส่ง!$L$5:$L$204,MATCH($Y68,อัตราค่าขนส่ง!$M$5:$M$204,0)),0))</f>
        <v/>
      </c>
    </row>
    <row r="69" ht="21" customHeight="1" s="66">
      <c r="A69" s="69">
        <f>IF($AD69="","",IF($AD69="Z","รวมจ่ายทั้งสิ้น",IF($AD69="H",INDEX($X$5:$X$404,$AC69),IF($AD69="T","รวม",IF($AD69="B",IFERROR(INDEX(อัตราค่าขนส่ง!$S$5:$S$14,MATCH(INDEX($AM$5:$AM$404,$AC69),อัตราค่าขนส่ง!$R$5:$R$14,0)),"รวมกลุ่ม "&amp;INDEX($AM$5:$AM$404,$AC69)),INDEX($AY$5:$AY$404,$AC69))))))</f>
        <v/>
      </c>
      <c r="B69" s="31">
        <f>IF($AD69&lt;&gt;"D","",INDEX($AW$5:$AW$404,$AC69))</f>
        <v/>
      </c>
      <c r="C69" s="68">
        <f>IF($AD69&lt;&gt;"D","",INDEX($AX$5:$AX$404,$AC69))</f>
        <v/>
      </c>
      <c r="D69" s="70">
        <f>IF($AD69&lt;&gt;"D","",INDEX($BA$5:$BA$404,$AC69))</f>
        <v/>
      </c>
      <c r="E69" s="31">
        <f>IF($AD69="Z",SUM($AR$5:$AR$404),IF($AD69="D",INDEX($AR$5:$AR$404,$AC69),IF($AD69="T",SUMIF($X$5:$X$404,$AF69,$AR$5:$AR$404),IF($AD69="B",SUMIF($AN$5:$AN$404,$AQ69,$AR$5:$AR$404),""))))</f>
        <v/>
      </c>
      <c r="F69" s="32">
        <f>IF($AD69="Z",ROUND(SUM($AS$5:$AS$404),2),IF($AD69="D",INDEX($AS$5:$AS$404,$AC69),IF($AD69="T",ROUND(SUMIF($X$5:$X$404,$AF69,$AS$5:$AS$404),2),IF($AD69="B",ROUND(SUMIF($AN$5:$AN$404,$AQ69,$AS$5:$AS$404),2),""))))</f>
        <v/>
      </c>
      <c r="G69" s="32">
        <f>IF($AD69&lt;&gt;"D","",INDEX($AT$5:$AT$404,$AC69))</f>
        <v/>
      </c>
      <c r="H69" s="32">
        <f>IF($AD69&lt;&gt;"D","",INDEX($BC$5:$BC$404,$AC69))</f>
        <v/>
      </c>
      <c r="I69" s="32">
        <f>IF($AD69&lt;&gt;"D","",INDEX($BD$5:$BD$404,$AC69))</f>
        <v/>
      </c>
      <c r="J69" s="46">
        <f>IF($AD69&lt;&gt;"D","",IF(N($B69)=0,"",ROUND($I69/$B69,4)))</f>
        <v/>
      </c>
      <c r="K69" s="32">
        <f>IF($AD69="Z",ROUND(SUM($AU$5:$AU$404),2),IF($AD69="D",INDEX($AU$5:$AU$404,$AC69),IF($AD69="T",ROUND(SUMIF($X$5:$X$404,$AF69,$AU$5:$AU$404),2),IF($AD69="B",ROUND(SUMIF($AN$5:$AN$404,$AQ69,$AU$5:$AU$404),2),""))))</f>
        <v/>
      </c>
      <c r="L69" s="32">
        <f>IF($AD69="Z",ROUND(SUM($AV$5:$AV$404),2),IF($AD69="D",INDEX($AV$5:$AV$404,$AC69),IF($AD69="T",ROUND(SUMIF($X$5:$X$404,$AF69,$AV$5:$AV$404),2),IF($AD69="B",ROUND(SUMIF($AN$5:$AN$404,$AQ69,$AV$5:$AV$404),2),""))))</f>
        <v/>
      </c>
      <c r="M69" s="32">
        <f>IF($AD69="Z",ROUND(SUM($AJ$5:$AJ$704),2),IF($AD69="B",ROUND(SUMIF($AQ$5:$AQ$704,$AQ69,$AJ$5:$AJ$704),2),IF($AD69&lt;&gt;"T","",$AJ69)))</f>
        <v/>
      </c>
      <c r="N69" s="32">
        <f>IF(OR($AD69="D",$AD69="T",$AD69="B",$AD69="Z"),ROUND(N($K69)-N($L69)-N($M69),2),"")</f>
        <v/>
      </c>
      <c r="O69" s="32">
        <f>IF(OR($AD69="D",$AD69="T",$AD69="B",$AD69="Z"),IF(N($E69)=0,"",ROUND($F69/$E69,2)),"")</f>
        <v/>
      </c>
      <c r="Q69">
        <f>IFERROR(MATCH(65,บันทึกรายเที่ยว!$Z$6:$Z$6005,0),"")</f>
        <v/>
      </c>
      <c r="R69">
        <f>IF($Q69="","",INDEX(บันทึกรายเที่ยว!$V$6:$V$6005,$Q69))</f>
        <v/>
      </c>
      <c r="S69">
        <f>IF($Q69="","",INDEX(บันทึกรายเที่ยว!$F$6:$F$6005,$Q69))</f>
        <v/>
      </c>
      <c r="T69">
        <f>IF($Q69="","",MATCH($S69,บันทึกรายเที่ยว!$F$6:$F$6005,0))</f>
        <v/>
      </c>
      <c r="U69">
        <f>IF($Q69="","",$AL69*10000000+$T69*1000+65)</f>
        <v/>
      </c>
      <c r="V69">
        <f>IFERROR(MATCH(SMALL($U$5:$U$404,65),$U$5:$U$404,0),"")</f>
        <v/>
      </c>
      <c r="W69">
        <f>IF($V69="","",INDEX($Q$5:$Q$404,$V69))</f>
        <v/>
      </c>
      <c r="X69">
        <f>IF($V69="","",INDEX($S$5:$S$404,$V69))</f>
        <v/>
      </c>
      <c r="Y69">
        <f>IF($V69="","",INDEX($R$5:$R$404,$V69))</f>
        <v/>
      </c>
      <c r="Z69">
        <f>IF($V69="",0,IF($X69&lt;&gt;$X68,1,0))</f>
        <v/>
      </c>
      <c r="AA69">
        <f>IF($V69="",0,IF($V70="",1,IF($X70&lt;&gt;$X69,1,0)))</f>
        <v/>
      </c>
      <c r="AB69">
        <f>IF($V69="",99999+65,$AB68+1+$Z68+$AA68+$AO68)</f>
        <v/>
      </c>
      <c r="AC69">
        <f>IFERROR(MATCH(65,$AB$5:$AB$404,1),"")</f>
        <v/>
      </c>
      <c r="AD69">
        <f>IF(65=$AI$1+1,"Z",IF($AC69="","",IF(INDEX($V$5:$V$404,$AC69)="","",IF(65&gt;INDEX($AB$5:$AB$404,$AC69)+INDEX($Z$5:$Z$404,$AC69)+INDEX($AA$5:$AA$404,$AC69)+INDEX($AO$5:$AO$404,$AC69),"",IF(65=INDEX($AB$5:$AB$404,$AC69)+INDEX($Z$5:$Z$404,$AC69),"D",IF(AND(INDEX($Z$5:$Z$404,$AC69)=1,65=INDEX($AB$5:$AB$404,$AC69)),"H",IF(AND(INDEX($AO$5:$AO$404,$AC69)=1,65=INDEX($AB$5:$AB$404,$AC69)+INDEX($Z$5:$Z$404,$AC69)+INDEX($AA$5:$AA$404,$AC69)+INDEX($AO$5:$AO$404,$AC69)),"B","T")))))))</f>
        <v/>
      </c>
      <c r="AF69">
        <f>IF(OR($AD69="",$AD69="Z",$AD69="B"),"",INDEX($X$5:$X$404,$AC69))</f>
        <v/>
      </c>
      <c r="AJ69">
        <f>IF($AD69&lt;&gt;"T",0,ROUND(SUMIF(oil!$B$4:$B$63,$AF69,oil!$AE$4:$AE$63),2))</f>
        <v/>
      </c>
      <c r="AK69">
        <f>IF($S69="","",IFERROR(INDEX(อัตราค่าขนส่ง!$P$5:$P$54,MATCH($S69,อัตราค่าขนส่ง!$O$5:$O$54,0)),INDEX(รายการมาตรฐาน!$G$2:$G$3,1)))</f>
        <v/>
      </c>
      <c r="AL69">
        <f>IF($S69="","",IFERROR(MATCH($AK69,รายการมาตรฐาน!$G$2:$G$3,0),1))</f>
        <v/>
      </c>
      <c r="AM69">
        <f>IF($V69="","",INDEX($AK$5:$AK$404,$V69))</f>
        <v/>
      </c>
      <c r="AN69">
        <f>IF($V69="","",INDEX($AL$5:$AL$404,$V69))</f>
        <v/>
      </c>
      <c r="AO69">
        <f>IF(OR($V69="",$AI$2&lt;=1),0,IF($V70="",1,IF($AN70&lt;&gt;$AN69,1,0)))</f>
        <v/>
      </c>
      <c r="AP69">
        <f>IF($V69="",0,IF($AN69&lt;&gt;$AN68,1,0))</f>
        <v/>
      </c>
      <c r="AQ69">
        <f>IF(OR($AD69="",$AD69="Z"),"",INDEX($AN$5:$AN$404,$AC69))</f>
        <v/>
      </c>
      <c r="AR69">
        <f>IF($Y69="",0,COUNTIF(บันทึกรายเที่ยว!$V$6:$V$6005,$Y69))</f>
        <v/>
      </c>
      <c r="AS69">
        <f>IF($Y69="",0,ROUND(SUMIF(บันทึกรายเที่ยว!$V$6:$V$6005,$Y69,บันทึกรายเที่ยว!$M$6:$M$6005),2))</f>
        <v/>
      </c>
      <c r="AT69">
        <f>IF($Y69="",0,IFERROR(INDEX(อัตราค่าขนส่ง!$G$5:$G$204,MATCH($Y69,อัตราค่าขนส่ง!$M$5:$M$204,0)),0))</f>
        <v/>
      </c>
      <c r="AU69">
        <f>ROUND($AS69*$BD69,2)</f>
        <v/>
      </c>
      <c r="AV69">
        <f>ROUND($AU69*$BF$2/100,2)</f>
        <v/>
      </c>
      <c r="AW69">
        <f>IF($Y69="","",IFERROR(INDEX(อัตราค่าขนส่ง!$F$5:$F$204,MATCH($Y69,อัตราค่าขนส่ง!$M$5:$M$204,0)),""))</f>
        <v/>
      </c>
      <c r="AX69">
        <f>IF($W69="","",INDEX(บันทึกรายเที่ยว!$D$6:$D$6005,$W69))</f>
        <v/>
      </c>
      <c r="AY69">
        <f>IF($W69="","",INDEX(บันทึกรายเที่ยว!$R$6:$R$6005,$W69))</f>
        <v/>
      </c>
      <c r="AZ69">
        <f>IF(AND($AD69="T",$AQ69=1),N($AZ68)+1,N($AZ68))</f>
        <v/>
      </c>
      <c r="BA69">
        <f>IF($W69="","",INDEX(บันทึกรายเที่ยว!$E$6:$E$6005,$W69))</f>
        <v/>
      </c>
      <c r="BC69">
        <f>IF($Y69="",0,IFERROR(INDEX(อัตราค่าขนส่ง!$K$5:$K$204,MATCH($Y69,อัตราค่าขนส่ง!$M$5:$M$204,0)),0))</f>
        <v/>
      </c>
      <c r="BD69">
        <f>IF($Y69="",0,IFERROR(INDEX(อัตราค่าขนส่ง!$L$5:$L$204,MATCH($Y69,อัตราค่าขนส่ง!$M$5:$M$204,0)),0))</f>
        <v/>
      </c>
    </row>
    <row r="70" ht="21" customHeight="1" s="66">
      <c r="A70" s="69">
        <f>IF($AD70="","",IF($AD70="Z","รวมจ่ายทั้งสิ้น",IF($AD70="H",INDEX($X$5:$X$404,$AC70),IF($AD70="T","รวม",IF($AD70="B",IFERROR(INDEX(อัตราค่าขนส่ง!$S$5:$S$14,MATCH(INDEX($AM$5:$AM$404,$AC70),อัตราค่าขนส่ง!$R$5:$R$14,0)),"รวมกลุ่ม "&amp;INDEX($AM$5:$AM$404,$AC70)),INDEX($AY$5:$AY$404,$AC70))))))</f>
        <v/>
      </c>
      <c r="B70" s="31">
        <f>IF($AD70&lt;&gt;"D","",INDEX($AW$5:$AW$404,$AC70))</f>
        <v/>
      </c>
      <c r="C70" s="68">
        <f>IF($AD70&lt;&gt;"D","",INDEX($AX$5:$AX$404,$AC70))</f>
        <v/>
      </c>
      <c r="D70" s="70">
        <f>IF($AD70&lt;&gt;"D","",INDEX($BA$5:$BA$404,$AC70))</f>
        <v/>
      </c>
      <c r="E70" s="31">
        <f>IF($AD70="Z",SUM($AR$5:$AR$404),IF($AD70="D",INDEX($AR$5:$AR$404,$AC70),IF($AD70="T",SUMIF($X$5:$X$404,$AF70,$AR$5:$AR$404),IF($AD70="B",SUMIF($AN$5:$AN$404,$AQ70,$AR$5:$AR$404),""))))</f>
        <v/>
      </c>
      <c r="F70" s="32">
        <f>IF($AD70="Z",ROUND(SUM($AS$5:$AS$404),2),IF($AD70="D",INDEX($AS$5:$AS$404,$AC70),IF($AD70="T",ROUND(SUMIF($X$5:$X$404,$AF70,$AS$5:$AS$404),2),IF($AD70="B",ROUND(SUMIF($AN$5:$AN$404,$AQ70,$AS$5:$AS$404),2),""))))</f>
        <v/>
      </c>
      <c r="G70" s="32">
        <f>IF($AD70&lt;&gt;"D","",INDEX($AT$5:$AT$404,$AC70))</f>
        <v/>
      </c>
      <c r="H70" s="32">
        <f>IF($AD70&lt;&gt;"D","",INDEX($BC$5:$BC$404,$AC70))</f>
        <v/>
      </c>
      <c r="I70" s="32">
        <f>IF($AD70&lt;&gt;"D","",INDEX($BD$5:$BD$404,$AC70))</f>
        <v/>
      </c>
      <c r="J70" s="46">
        <f>IF($AD70&lt;&gt;"D","",IF(N($B70)=0,"",ROUND($I70/$B70,4)))</f>
        <v/>
      </c>
      <c r="K70" s="32">
        <f>IF($AD70="Z",ROUND(SUM($AU$5:$AU$404),2),IF($AD70="D",INDEX($AU$5:$AU$404,$AC70),IF($AD70="T",ROUND(SUMIF($X$5:$X$404,$AF70,$AU$5:$AU$404),2),IF($AD70="B",ROUND(SUMIF($AN$5:$AN$404,$AQ70,$AU$5:$AU$404),2),""))))</f>
        <v/>
      </c>
      <c r="L70" s="32">
        <f>IF($AD70="Z",ROUND(SUM($AV$5:$AV$404),2),IF($AD70="D",INDEX($AV$5:$AV$404,$AC70),IF($AD70="T",ROUND(SUMIF($X$5:$X$404,$AF70,$AV$5:$AV$404),2),IF($AD70="B",ROUND(SUMIF($AN$5:$AN$404,$AQ70,$AV$5:$AV$404),2),""))))</f>
        <v/>
      </c>
      <c r="M70" s="32">
        <f>IF($AD70="Z",ROUND(SUM($AJ$5:$AJ$704),2),IF($AD70="B",ROUND(SUMIF($AQ$5:$AQ$704,$AQ70,$AJ$5:$AJ$704),2),IF($AD70&lt;&gt;"T","",$AJ70)))</f>
        <v/>
      </c>
      <c r="N70" s="32">
        <f>IF(OR($AD70="D",$AD70="T",$AD70="B",$AD70="Z"),ROUND(N($K70)-N($L70)-N($M70),2),"")</f>
        <v/>
      </c>
      <c r="O70" s="32">
        <f>IF(OR($AD70="D",$AD70="T",$AD70="B",$AD70="Z"),IF(N($E70)=0,"",ROUND($F70/$E70,2)),"")</f>
        <v/>
      </c>
      <c r="Q70">
        <f>IFERROR(MATCH(66,บันทึกรายเที่ยว!$Z$6:$Z$6005,0),"")</f>
        <v/>
      </c>
      <c r="R70">
        <f>IF($Q70="","",INDEX(บันทึกรายเที่ยว!$V$6:$V$6005,$Q70))</f>
        <v/>
      </c>
      <c r="S70">
        <f>IF($Q70="","",INDEX(บันทึกรายเที่ยว!$F$6:$F$6005,$Q70))</f>
        <v/>
      </c>
      <c r="T70">
        <f>IF($Q70="","",MATCH($S70,บันทึกรายเที่ยว!$F$6:$F$6005,0))</f>
        <v/>
      </c>
      <c r="U70">
        <f>IF($Q70="","",$AL70*10000000+$T70*1000+66)</f>
        <v/>
      </c>
      <c r="V70">
        <f>IFERROR(MATCH(SMALL($U$5:$U$404,66),$U$5:$U$404,0),"")</f>
        <v/>
      </c>
      <c r="W70">
        <f>IF($V70="","",INDEX($Q$5:$Q$404,$V70))</f>
        <v/>
      </c>
      <c r="X70">
        <f>IF($V70="","",INDEX($S$5:$S$404,$V70))</f>
        <v/>
      </c>
      <c r="Y70">
        <f>IF($V70="","",INDEX($R$5:$R$404,$V70))</f>
        <v/>
      </c>
      <c r="Z70">
        <f>IF($V70="",0,IF($X70&lt;&gt;$X69,1,0))</f>
        <v/>
      </c>
      <c r="AA70">
        <f>IF($V70="",0,IF($V71="",1,IF($X71&lt;&gt;$X70,1,0)))</f>
        <v/>
      </c>
      <c r="AB70">
        <f>IF($V70="",99999+66,$AB69+1+$Z69+$AA69+$AO69)</f>
        <v/>
      </c>
      <c r="AC70">
        <f>IFERROR(MATCH(66,$AB$5:$AB$404,1),"")</f>
        <v/>
      </c>
      <c r="AD70">
        <f>IF(66=$AI$1+1,"Z",IF($AC70="","",IF(INDEX($V$5:$V$404,$AC70)="","",IF(66&gt;INDEX($AB$5:$AB$404,$AC70)+INDEX($Z$5:$Z$404,$AC70)+INDEX($AA$5:$AA$404,$AC70)+INDEX($AO$5:$AO$404,$AC70),"",IF(66=INDEX($AB$5:$AB$404,$AC70)+INDEX($Z$5:$Z$404,$AC70),"D",IF(AND(INDEX($Z$5:$Z$404,$AC70)=1,66=INDEX($AB$5:$AB$404,$AC70)),"H",IF(AND(INDEX($AO$5:$AO$404,$AC70)=1,66=INDEX($AB$5:$AB$404,$AC70)+INDEX($Z$5:$Z$404,$AC70)+INDEX($AA$5:$AA$404,$AC70)+INDEX($AO$5:$AO$404,$AC70)),"B","T")))))))</f>
        <v/>
      </c>
      <c r="AF70">
        <f>IF(OR($AD70="",$AD70="Z",$AD70="B"),"",INDEX($X$5:$X$404,$AC70))</f>
        <v/>
      </c>
      <c r="AJ70">
        <f>IF($AD70&lt;&gt;"T",0,ROUND(SUMIF(oil!$B$4:$B$63,$AF70,oil!$AE$4:$AE$63),2))</f>
        <v/>
      </c>
      <c r="AK70">
        <f>IF($S70="","",IFERROR(INDEX(อัตราค่าขนส่ง!$P$5:$P$54,MATCH($S70,อัตราค่าขนส่ง!$O$5:$O$54,0)),INDEX(รายการมาตรฐาน!$G$2:$G$3,1)))</f>
        <v/>
      </c>
      <c r="AL70">
        <f>IF($S70="","",IFERROR(MATCH($AK70,รายการมาตรฐาน!$G$2:$G$3,0),1))</f>
        <v/>
      </c>
      <c r="AM70">
        <f>IF($V70="","",INDEX($AK$5:$AK$404,$V70))</f>
        <v/>
      </c>
      <c r="AN70">
        <f>IF($V70="","",INDEX($AL$5:$AL$404,$V70))</f>
        <v/>
      </c>
      <c r="AO70">
        <f>IF(OR($V70="",$AI$2&lt;=1),0,IF($V71="",1,IF($AN71&lt;&gt;$AN70,1,0)))</f>
        <v/>
      </c>
      <c r="AP70">
        <f>IF($V70="",0,IF($AN70&lt;&gt;$AN69,1,0))</f>
        <v/>
      </c>
      <c r="AQ70">
        <f>IF(OR($AD70="",$AD70="Z"),"",INDEX($AN$5:$AN$404,$AC70))</f>
        <v/>
      </c>
      <c r="AR70">
        <f>IF($Y70="",0,COUNTIF(บันทึกรายเที่ยว!$V$6:$V$6005,$Y70))</f>
        <v/>
      </c>
      <c r="AS70">
        <f>IF($Y70="",0,ROUND(SUMIF(บันทึกรายเที่ยว!$V$6:$V$6005,$Y70,บันทึกรายเที่ยว!$M$6:$M$6005),2))</f>
        <v/>
      </c>
      <c r="AT70">
        <f>IF($Y70="",0,IFERROR(INDEX(อัตราค่าขนส่ง!$G$5:$G$204,MATCH($Y70,อัตราค่าขนส่ง!$M$5:$M$204,0)),0))</f>
        <v/>
      </c>
      <c r="AU70">
        <f>ROUND($AS70*$BD70,2)</f>
        <v/>
      </c>
      <c r="AV70">
        <f>ROUND($AU70*$BF$2/100,2)</f>
        <v/>
      </c>
      <c r="AW70">
        <f>IF($Y70="","",IFERROR(INDEX(อัตราค่าขนส่ง!$F$5:$F$204,MATCH($Y70,อัตราค่าขนส่ง!$M$5:$M$204,0)),""))</f>
        <v/>
      </c>
      <c r="AX70">
        <f>IF($W70="","",INDEX(บันทึกรายเที่ยว!$D$6:$D$6005,$W70))</f>
        <v/>
      </c>
      <c r="AY70">
        <f>IF($W70="","",INDEX(บันทึกรายเที่ยว!$R$6:$R$6005,$W70))</f>
        <v/>
      </c>
      <c r="AZ70">
        <f>IF(AND($AD70="T",$AQ70=1),N($AZ69)+1,N($AZ69))</f>
        <v/>
      </c>
      <c r="BA70">
        <f>IF($W70="","",INDEX(บันทึกรายเที่ยว!$E$6:$E$6005,$W70))</f>
        <v/>
      </c>
      <c r="BC70">
        <f>IF($Y70="",0,IFERROR(INDEX(อัตราค่าขนส่ง!$K$5:$K$204,MATCH($Y70,อัตราค่าขนส่ง!$M$5:$M$204,0)),0))</f>
        <v/>
      </c>
      <c r="BD70">
        <f>IF($Y70="",0,IFERROR(INDEX(อัตราค่าขนส่ง!$L$5:$L$204,MATCH($Y70,อัตราค่าขนส่ง!$M$5:$M$204,0)),0))</f>
        <v/>
      </c>
    </row>
    <row r="71" ht="21" customHeight="1" s="66">
      <c r="A71" s="69">
        <f>IF($AD71="","",IF($AD71="Z","รวมจ่ายทั้งสิ้น",IF($AD71="H",INDEX($X$5:$X$404,$AC71),IF($AD71="T","รวม",IF($AD71="B",IFERROR(INDEX(อัตราค่าขนส่ง!$S$5:$S$14,MATCH(INDEX($AM$5:$AM$404,$AC71),อัตราค่าขนส่ง!$R$5:$R$14,0)),"รวมกลุ่ม "&amp;INDEX($AM$5:$AM$404,$AC71)),INDEX($AY$5:$AY$404,$AC71))))))</f>
        <v/>
      </c>
      <c r="B71" s="31">
        <f>IF($AD71&lt;&gt;"D","",INDEX($AW$5:$AW$404,$AC71))</f>
        <v/>
      </c>
      <c r="C71" s="68">
        <f>IF($AD71&lt;&gt;"D","",INDEX($AX$5:$AX$404,$AC71))</f>
        <v/>
      </c>
      <c r="D71" s="70">
        <f>IF($AD71&lt;&gt;"D","",INDEX($BA$5:$BA$404,$AC71))</f>
        <v/>
      </c>
      <c r="E71" s="31">
        <f>IF($AD71="Z",SUM($AR$5:$AR$404),IF($AD71="D",INDEX($AR$5:$AR$404,$AC71),IF($AD71="T",SUMIF($X$5:$X$404,$AF71,$AR$5:$AR$404),IF($AD71="B",SUMIF($AN$5:$AN$404,$AQ71,$AR$5:$AR$404),""))))</f>
        <v/>
      </c>
      <c r="F71" s="32">
        <f>IF($AD71="Z",ROUND(SUM($AS$5:$AS$404),2),IF($AD71="D",INDEX($AS$5:$AS$404,$AC71),IF($AD71="T",ROUND(SUMIF($X$5:$X$404,$AF71,$AS$5:$AS$404),2),IF($AD71="B",ROUND(SUMIF($AN$5:$AN$404,$AQ71,$AS$5:$AS$404),2),""))))</f>
        <v/>
      </c>
      <c r="G71" s="32">
        <f>IF($AD71&lt;&gt;"D","",INDEX($AT$5:$AT$404,$AC71))</f>
        <v/>
      </c>
      <c r="H71" s="32">
        <f>IF($AD71&lt;&gt;"D","",INDEX($BC$5:$BC$404,$AC71))</f>
        <v/>
      </c>
      <c r="I71" s="32">
        <f>IF($AD71&lt;&gt;"D","",INDEX($BD$5:$BD$404,$AC71))</f>
        <v/>
      </c>
      <c r="J71" s="46">
        <f>IF($AD71&lt;&gt;"D","",IF(N($B71)=0,"",ROUND($I71/$B71,4)))</f>
        <v/>
      </c>
      <c r="K71" s="32">
        <f>IF($AD71="Z",ROUND(SUM($AU$5:$AU$404),2),IF($AD71="D",INDEX($AU$5:$AU$404,$AC71),IF($AD71="T",ROUND(SUMIF($X$5:$X$404,$AF71,$AU$5:$AU$404),2),IF($AD71="B",ROUND(SUMIF($AN$5:$AN$404,$AQ71,$AU$5:$AU$404),2),""))))</f>
        <v/>
      </c>
      <c r="L71" s="32">
        <f>IF($AD71="Z",ROUND(SUM($AV$5:$AV$404),2),IF($AD71="D",INDEX($AV$5:$AV$404,$AC71),IF($AD71="T",ROUND(SUMIF($X$5:$X$404,$AF71,$AV$5:$AV$404),2),IF($AD71="B",ROUND(SUMIF($AN$5:$AN$404,$AQ71,$AV$5:$AV$404),2),""))))</f>
        <v/>
      </c>
      <c r="M71" s="32">
        <f>IF($AD71="Z",ROUND(SUM($AJ$5:$AJ$704),2),IF($AD71="B",ROUND(SUMIF($AQ$5:$AQ$704,$AQ71,$AJ$5:$AJ$704),2),IF($AD71&lt;&gt;"T","",$AJ71)))</f>
        <v/>
      </c>
      <c r="N71" s="32">
        <f>IF(OR($AD71="D",$AD71="T",$AD71="B",$AD71="Z"),ROUND(N($K71)-N($L71)-N($M71),2),"")</f>
        <v/>
      </c>
      <c r="O71" s="32">
        <f>IF(OR($AD71="D",$AD71="T",$AD71="B",$AD71="Z"),IF(N($E71)=0,"",ROUND($F71/$E71,2)),"")</f>
        <v/>
      </c>
      <c r="Q71">
        <f>IFERROR(MATCH(67,บันทึกรายเที่ยว!$Z$6:$Z$6005,0),"")</f>
        <v/>
      </c>
      <c r="R71">
        <f>IF($Q71="","",INDEX(บันทึกรายเที่ยว!$V$6:$V$6005,$Q71))</f>
        <v/>
      </c>
      <c r="S71">
        <f>IF($Q71="","",INDEX(บันทึกรายเที่ยว!$F$6:$F$6005,$Q71))</f>
        <v/>
      </c>
      <c r="T71">
        <f>IF($Q71="","",MATCH($S71,บันทึกรายเที่ยว!$F$6:$F$6005,0))</f>
        <v/>
      </c>
      <c r="U71">
        <f>IF($Q71="","",$AL71*10000000+$T71*1000+67)</f>
        <v/>
      </c>
      <c r="V71">
        <f>IFERROR(MATCH(SMALL($U$5:$U$404,67),$U$5:$U$404,0),"")</f>
        <v/>
      </c>
      <c r="W71">
        <f>IF($V71="","",INDEX($Q$5:$Q$404,$V71))</f>
        <v/>
      </c>
      <c r="X71">
        <f>IF($V71="","",INDEX($S$5:$S$404,$V71))</f>
        <v/>
      </c>
      <c r="Y71">
        <f>IF($V71="","",INDEX($R$5:$R$404,$V71))</f>
        <v/>
      </c>
      <c r="Z71">
        <f>IF($V71="",0,IF($X71&lt;&gt;$X70,1,0))</f>
        <v/>
      </c>
      <c r="AA71">
        <f>IF($V71="",0,IF($V72="",1,IF($X72&lt;&gt;$X71,1,0)))</f>
        <v/>
      </c>
      <c r="AB71">
        <f>IF($V71="",99999+67,$AB70+1+$Z70+$AA70+$AO70)</f>
        <v/>
      </c>
      <c r="AC71">
        <f>IFERROR(MATCH(67,$AB$5:$AB$404,1),"")</f>
        <v/>
      </c>
      <c r="AD71">
        <f>IF(67=$AI$1+1,"Z",IF($AC71="","",IF(INDEX($V$5:$V$404,$AC71)="","",IF(67&gt;INDEX($AB$5:$AB$404,$AC71)+INDEX($Z$5:$Z$404,$AC71)+INDEX($AA$5:$AA$404,$AC71)+INDEX($AO$5:$AO$404,$AC71),"",IF(67=INDEX($AB$5:$AB$404,$AC71)+INDEX($Z$5:$Z$404,$AC71),"D",IF(AND(INDEX($Z$5:$Z$404,$AC71)=1,67=INDEX($AB$5:$AB$404,$AC71)),"H",IF(AND(INDEX($AO$5:$AO$404,$AC71)=1,67=INDEX($AB$5:$AB$404,$AC71)+INDEX($Z$5:$Z$404,$AC71)+INDEX($AA$5:$AA$404,$AC71)+INDEX($AO$5:$AO$404,$AC71)),"B","T")))))))</f>
        <v/>
      </c>
      <c r="AF71">
        <f>IF(OR($AD71="",$AD71="Z",$AD71="B"),"",INDEX($X$5:$X$404,$AC71))</f>
        <v/>
      </c>
      <c r="AJ71">
        <f>IF($AD71&lt;&gt;"T",0,ROUND(SUMIF(oil!$B$4:$B$63,$AF71,oil!$AE$4:$AE$63),2))</f>
        <v/>
      </c>
      <c r="AK71">
        <f>IF($S71="","",IFERROR(INDEX(อัตราค่าขนส่ง!$P$5:$P$54,MATCH($S71,อัตราค่าขนส่ง!$O$5:$O$54,0)),INDEX(รายการมาตรฐาน!$G$2:$G$3,1)))</f>
        <v/>
      </c>
      <c r="AL71">
        <f>IF($S71="","",IFERROR(MATCH($AK71,รายการมาตรฐาน!$G$2:$G$3,0),1))</f>
        <v/>
      </c>
      <c r="AM71">
        <f>IF($V71="","",INDEX($AK$5:$AK$404,$V71))</f>
        <v/>
      </c>
      <c r="AN71">
        <f>IF($V71="","",INDEX($AL$5:$AL$404,$V71))</f>
        <v/>
      </c>
      <c r="AO71">
        <f>IF(OR($V71="",$AI$2&lt;=1),0,IF($V72="",1,IF($AN72&lt;&gt;$AN71,1,0)))</f>
        <v/>
      </c>
      <c r="AP71">
        <f>IF($V71="",0,IF($AN71&lt;&gt;$AN70,1,0))</f>
        <v/>
      </c>
      <c r="AQ71">
        <f>IF(OR($AD71="",$AD71="Z"),"",INDEX($AN$5:$AN$404,$AC71))</f>
        <v/>
      </c>
      <c r="AR71">
        <f>IF($Y71="",0,COUNTIF(บันทึกรายเที่ยว!$V$6:$V$6005,$Y71))</f>
        <v/>
      </c>
      <c r="AS71">
        <f>IF($Y71="",0,ROUND(SUMIF(บันทึกรายเที่ยว!$V$6:$V$6005,$Y71,บันทึกรายเที่ยว!$M$6:$M$6005),2))</f>
        <v/>
      </c>
      <c r="AT71">
        <f>IF($Y71="",0,IFERROR(INDEX(อัตราค่าขนส่ง!$G$5:$G$204,MATCH($Y71,อัตราค่าขนส่ง!$M$5:$M$204,0)),0))</f>
        <v/>
      </c>
      <c r="AU71">
        <f>ROUND($AS71*$BD71,2)</f>
        <v/>
      </c>
      <c r="AV71">
        <f>ROUND($AU71*$BF$2/100,2)</f>
        <v/>
      </c>
      <c r="AW71">
        <f>IF($Y71="","",IFERROR(INDEX(อัตราค่าขนส่ง!$F$5:$F$204,MATCH($Y71,อัตราค่าขนส่ง!$M$5:$M$204,0)),""))</f>
        <v/>
      </c>
      <c r="AX71">
        <f>IF($W71="","",INDEX(บันทึกรายเที่ยว!$D$6:$D$6005,$W71))</f>
        <v/>
      </c>
      <c r="AY71">
        <f>IF($W71="","",INDEX(บันทึกรายเที่ยว!$R$6:$R$6005,$W71))</f>
        <v/>
      </c>
      <c r="AZ71">
        <f>IF(AND($AD71="T",$AQ71=1),N($AZ70)+1,N($AZ70))</f>
        <v/>
      </c>
      <c r="BA71">
        <f>IF($W71="","",INDEX(บันทึกรายเที่ยว!$E$6:$E$6005,$W71))</f>
        <v/>
      </c>
      <c r="BC71">
        <f>IF($Y71="",0,IFERROR(INDEX(อัตราค่าขนส่ง!$K$5:$K$204,MATCH($Y71,อัตราค่าขนส่ง!$M$5:$M$204,0)),0))</f>
        <v/>
      </c>
      <c r="BD71">
        <f>IF($Y71="",0,IFERROR(INDEX(อัตราค่าขนส่ง!$L$5:$L$204,MATCH($Y71,อัตราค่าขนส่ง!$M$5:$M$204,0)),0))</f>
        <v/>
      </c>
    </row>
    <row r="72" ht="21" customHeight="1" s="66">
      <c r="A72" s="69">
        <f>IF($AD72="","",IF($AD72="Z","รวมจ่ายทั้งสิ้น",IF($AD72="H",INDEX($X$5:$X$404,$AC72),IF($AD72="T","รวม",IF($AD72="B",IFERROR(INDEX(อัตราค่าขนส่ง!$S$5:$S$14,MATCH(INDEX($AM$5:$AM$404,$AC72),อัตราค่าขนส่ง!$R$5:$R$14,0)),"รวมกลุ่ม "&amp;INDEX($AM$5:$AM$404,$AC72)),INDEX($AY$5:$AY$404,$AC72))))))</f>
        <v/>
      </c>
      <c r="B72" s="31">
        <f>IF($AD72&lt;&gt;"D","",INDEX($AW$5:$AW$404,$AC72))</f>
        <v/>
      </c>
      <c r="C72" s="68">
        <f>IF($AD72&lt;&gt;"D","",INDEX($AX$5:$AX$404,$AC72))</f>
        <v/>
      </c>
      <c r="D72" s="70">
        <f>IF($AD72&lt;&gt;"D","",INDEX($BA$5:$BA$404,$AC72))</f>
        <v/>
      </c>
      <c r="E72" s="31">
        <f>IF($AD72="Z",SUM($AR$5:$AR$404),IF($AD72="D",INDEX($AR$5:$AR$404,$AC72),IF($AD72="T",SUMIF($X$5:$X$404,$AF72,$AR$5:$AR$404),IF($AD72="B",SUMIF($AN$5:$AN$404,$AQ72,$AR$5:$AR$404),""))))</f>
        <v/>
      </c>
      <c r="F72" s="32">
        <f>IF($AD72="Z",ROUND(SUM($AS$5:$AS$404),2),IF($AD72="D",INDEX($AS$5:$AS$404,$AC72),IF($AD72="T",ROUND(SUMIF($X$5:$X$404,$AF72,$AS$5:$AS$404),2),IF($AD72="B",ROUND(SUMIF($AN$5:$AN$404,$AQ72,$AS$5:$AS$404),2),""))))</f>
        <v/>
      </c>
      <c r="G72" s="32">
        <f>IF($AD72&lt;&gt;"D","",INDEX($AT$5:$AT$404,$AC72))</f>
        <v/>
      </c>
      <c r="H72" s="32">
        <f>IF($AD72&lt;&gt;"D","",INDEX($BC$5:$BC$404,$AC72))</f>
        <v/>
      </c>
      <c r="I72" s="32">
        <f>IF($AD72&lt;&gt;"D","",INDEX($BD$5:$BD$404,$AC72))</f>
        <v/>
      </c>
      <c r="J72" s="46">
        <f>IF($AD72&lt;&gt;"D","",IF(N($B72)=0,"",ROUND($I72/$B72,4)))</f>
        <v/>
      </c>
      <c r="K72" s="32">
        <f>IF($AD72="Z",ROUND(SUM($AU$5:$AU$404),2),IF($AD72="D",INDEX($AU$5:$AU$404,$AC72),IF($AD72="T",ROUND(SUMIF($X$5:$X$404,$AF72,$AU$5:$AU$404),2),IF($AD72="B",ROUND(SUMIF($AN$5:$AN$404,$AQ72,$AU$5:$AU$404),2),""))))</f>
        <v/>
      </c>
      <c r="L72" s="32">
        <f>IF($AD72="Z",ROUND(SUM($AV$5:$AV$404),2),IF($AD72="D",INDEX($AV$5:$AV$404,$AC72),IF($AD72="T",ROUND(SUMIF($X$5:$X$404,$AF72,$AV$5:$AV$404),2),IF($AD72="B",ROUND(SUMIF($AN$5:$AN$404,$AQ72,$AV$5:$AV$404),2),""))))</f>
        <v/>
      </c>
      <c r="M72" s="32">
        <f>IF($AD72="Z",ROUND(SUM($AJ$5:$AJ$704),2),IF($AD72="B",ROUND(SUMIF($AQ$5:$AQ$704,$AQ72,$AJ$5:$AJ$704),2),IF($AD72&lt;&gt;"T","",$AJ72)))</f>
        <v/>
      </c>
      <c r="N72" s="32">
        <f>IF(OR($AD72="D",$AD72="T",$AD72="B",$AD72="Z"),ROUND(N($K72)-N($L72)-N($M72),2),"")</f>
        <v/>
      </c>
      <c r="O72" s="32">
        <f>IF(OR($AD72="D",$AD72="T",$AD72="B",$AD72="Z"),IF(N($E72)=0,"",ROUND($F72/$E72,2)),"")</f>
        <v/>
      </c>
      <c r="Q72">
        <f>IFERROR(MATCH(68,บันทึกรายเที่ยว!$Z$6:$Z$6005,0),"")</f>
        <v/>
      </c>
      <c r="R72">
        <f>IF($Q72="","",INDEX(บันทึกรายเที่ยว!$V$6:$V$6005,$Q72))</f>
        <v/>
      </c>
      <c r="S72">
        <f>IF($Q72="","",INDEX(บันทึกรายเที่ยว!$F$6:$F$6005,$Q72))</f>
        <v/>
      </c>
      <c r="T72">
        <f>IF($Q72="","",MATCH($S72,บันทึกรายเที่ยว!$F$6:$F$6005,0))</f>
        <v/>
      </c>
      <c r="U72">
        <f>IF($Q72="","",$AL72*10000000+$T72*1000+68)</f>
        <v/>
      </c>
      <c r="V72">
        <f>IFERROR(MATCH(SMALL($U$5:$U$404,68),$U$5:$U$404,0),"")</f>
        <v/>
      </c>
      <c r="W72">
        <f>IF($V72="","",INDEX($Q$5:$Q$404,$V72))</f>
        <v/>
      </c>
      <c r="X72">
        <f>IF($V72="","",INDEX($S$5:$S$404,$V72))</f>
        <v/>
      </c>
      <c r="Y72">
        <f>IF($V72="","",INDEX($R$5:$R$404,$V72))</f>
        <v/>
      </c>
      <c r="Z72">
        <f>IF($V72="",0,IF($X72&lt;&gt;$X71,1,0))</f>
        <v/>
      </c>
      <c r="AA72">
        <f>IF($V72="",0,IF($V73="",1,IF($X73&lt;&gt;$X72,1,0)))</f>
        <v/>
      </c>
      <c r="AB72">
        <f>IF($V72="",99999+68,$AB71+1+$Z71+$AA71+$AO71)</f>
        <v/>
      </c>
      <c r="AC72">
        <f>IFERROR(MATCH(68,$AB$5:$AB$404,1),"")</f>
        <v/>
      </c>
      <c r="AD72">
        <f>IF(68=$AI$1+1,"Z",IF($AC72="","",IF(INDEX($V$5:$V$404,$AC72)="","",IF(68&gt;INDEX($AB$5:$AB$404,$AC72)+INDEX($Z$5:$Z$404,$AC72)+INDEX($AA$5:$AA$404,$AC72)+INDEX($AO$5:$AO$404,$AC72),"",IF(68=INDEX($AB$5:$AB$404,$AC72)+INDEX($Z$5:$Z$404,$AC72),"D",IF(AND(INDEX($Z$5:$Z$404,$AC72)=1,68=INDEX($AB$5:$AB$404,$AC72)),"H",IF(AND(INDEX($AO$5:$AO$404,$AC72)=1,68=INDEX($AB$5:$AB$404,$AC72)+INDEX($Z$5:$Z$404,$AC72)+INDEX($AA$5:$AA$404,$AC72)+INDEX($AO$5:$AO$404,$AC72)),"B","T")))))))</f>
        <v/>
      </c>
      <c r="AF72">
        <f>IF(OR($AD72="",$AD72="Z",$AD72="B"),"",INDEX($X$5:$X$404,$AC72))</f>
        <v/>
      </c>
      <c r="AJ72">
        <f>IF($AD72&lt;&gt;"T",0,ROUND(SUMIF(oil!$B$4:$B$63,$AF72,oil!$AE$4:$AE$63),2))</f>
        <v/>
      </c>
      <c r="AK72">
        <f>IF($S72="","",IFERROR(INDEX(อัตราค่าขนส่ง!$P$5:$P$54,MATCH($S72,อัตราค่าขนส่ง!$O$5:$O$54,0)),INDEX(รายการมาตรฐาน!$G$2:$G$3,1)))</f>
        <v/>
      </c>
      <c r="AL72">
        <f>IF($S72="","",IFERROR(MATCH($AK72,รายการมาตรฐาน!$G$2:$G$3,0),1))</f>
        <v/>
      </c>
      <c r="AM72">
        <f>IF($V72="","",INDEX($AK$5:$AK$404,$V72))</f>
        <v/>
      </c>
      <c r="AN72">
        <f>IF($V72="","",INDEX($AL$5:$AL$404,$V72))</f>
        <v/>
      </c>
      <c r="AO72">
        <f>IF(OR($V72="",$AI$2&lt;=1),0,IF($V73="",1,IF($AN73&lt;&gt;$AN72,1,0)))</f>
        <v/>
      </c>
      <c r="AP72">
        <f>IF($V72="",0,IF($AN72&lt;&gt;$AN71,1,0))</f>
        <v/>
      </c>
      <c r="AQ72">
        <f>IF(OR($AD72="",$AD72="Z"),"",INDEX($AN$5:$AN$404,$AC72))</f>
        <v/>
      </c>
      <c r="AR72">
        <f>IF($Y72="",0,COUNTIF(บันทึกรายเที่ยว!$V$6:$V$6005,$Y72))</f>
        <v/>
      </c>
      <c r="AS72">
        <f>IF($Y72="",0,ROUND(SUMIF(บันทึกรายเที่ยว!$V$6:$V$6005,$Y72,บันทึกรายเที่ยว!$M$6:$M$6005),2))</f>
        <v/>
      </c>
      <c r="AT72">
        <f>IF($Y72="",0,IFERROR(INDEX(อัตราค่าขนส่ง!$G$5:$G$204,MATCH($Y72,อัตราค่าขนส่ง!$M$5:$M$204,0)),0))</f>
        <v/>
      </c>
      <c r="AU72">
        <f>ROUND($AS72*$BD72,2)</f>
        <v/>
      </c>
      <c r="AV72">
        <f>ROUND($AU72*$BF$2/100,2)</f>
        <v/>
      </c>
      <c r="AW72">
        <f>IF($Y72="","",IFERROR(INDEX(อัตราค่าขนส่ง!$F$5:$F$204,MATCH($Y72,อัตราค่าขนส่ง!$M$5:$M$204,0)),""))</f>
        <v/>
      </c>
      <c r="AX72">
        <f>IF($W72="","",INDEX(บันทึกรายเที่ยว!$D$6:$D$6005,$W72))</f>
        <v/>
      </c>
      <c r="AY72">
        <f>IF($W72="","",INDEX(บันทึกรายเที่ยว!$R$6:$R$6005,$W72))</f>
        <v/>
      </c>
      <c r="AZ72">
        <f>IF(AND($AD72="T",$AQ72=1),N($AZ71)+1,N($AZ71))</f>
        <v/>
      </c>
      <c r="BA72">
        <f>IF($W72="","",INDEX(บันทึกรายเที่ยว!$E$6:$E$6005,$W72))</f>
        <v/>
      </c>
      <c r="BC72">
        <f>IF($Y72="",0,IFERROR(INDEX(อัตราค่าขนส่ง!$K$5:$K$204,MATCH($Y72,อัตราค่าขนส่ง!$M$5:$M$204,0)),0))</f>
        <v/>
      </c>
      <c r="BD72">
        <f>IF($Y72="",0,IFERROR(INDEX(อัตราค่าขนส่ง!$L$5:$L$204,MATCH($Y72,อัตราค่าขนส่ง!$M$5:$M$204,0)),0))</f>
        <v/>
      </c>
    </row>
    <row r="73" ht="21" customHeight="1" s="66">
      <c r="A73" s="69">
        <f>IF($AD73="","",IF($AD73="Z","รวมจ่ายทั้งสิ้น",IF($AD73="H",INDEX($X$5:$X$404,$AC73),IF($AD73="T","รวม",IF($AD73="B",IFERROR(INDEX(อัตราค่าขนส่ง!$S$5:$S$14,MATCH(INDEX($AM$5:$AM$404,$AC73),อัตราค่าขนส่ง!$R$5:$R$14,0)),"รวมกลุ่ม "&amp;INDEX($AM$5:$AM$404,$AC73)),INDEX($AY$5:$AY$404,$AC73))))))</f>
        <v/>
      </c>
      <c r="B73" s="31">
        <f>IF($AD73&lt;&gt;"D","",INDEX($AW$5:$AW$404,$AC73))</f>
        <v/>
      </c>
      <c r="C73" s="68">
        <f>IF($AD73&lt;&gt;"D","",INDEX($AX$5:$AX$404,$AC73))</f>
        <v/>
      </c>
      <c r="D73" s="70">
        <f>IF($AD73&lt;&gt;"D","",INDEX($BA$5:$BA$404,$AC73))</f>
        <v/>
      </c>
      <c r="E73" s="31">
        <f>IF($AD73="Z",SUM($AR$5:$AR$404),IF($AD73="D",INDEX($AR$5:$AR$404,$AC73),IF($AD73="T",SUMIF($X$5:$X$404,$AF73,$AR$5:$AR$404),IF($AD73="B",SUMIF($AN$5:$AN$404,$AQ73,$AR$5:$AR$404),""))))</f>
        <v/>
      </c>
      <c r="F73" s="32">
        <f>IF($AD73="Z",ROUND(SUM($AS$5:$AS$404),2),IF($AD73="D",INDEX($AS$5:$AS$404,$AC73),IF($AD73="T",ROUND(SUMIF($X$5:$X$404,$AF73,$AS$5:$AS$404),2),IF($AD73="B",ROUND(SUMIF($AN$5:$AN$404,$AQ73,$AS$5:$AS$404),2),""))))</f>
        <v/>
      </c>
      <c r="G73" s="32">
        <f>IF($AD73&lt;&gt;"D","",INDEX($AT$5:$AT$404,$AC73))</f>
        <v/>
      </c>
      <c r="H73" s="32">
        <f>IF($AD73&lt;&gt;"D","",INDEX($BC$5:$BC$404,$AC73))</f>
        <v/>
      </c>
      <c r="I73" s="32">
        <f>IF($AD73&lt;&gt;"D","",INDEX($BD$5:$BD$404,$AC73))</f>
        <v/>
      </c>
      <c r="J73" s="46">
        <f>IF($AD73&lt;&gt;"D","",IF(N($B73)=0,"",ROUND($I73/$B73,4)))</f>
        <v/>
      </c>
      <c r="K73" s="32">
        <f>IF($AD73="Z",ROUND(SUM($AU$5:$AU$404),2),IF($AD73="D",INDEX($AU$5:$AU$404,$AC73),IF($AD73="T",ROUND(SUMIF($X$5:$X$404,$AF73,$AU$5:$AU$404),2),IF($AD73="B",ROUND(SUMIF($AN$5:$AN$404,$AQ73,$AU$5:$AU$404),2),""))))</f>
        <v/>
      </c>
      <c r="L73" s="32">
        <f>IF($AD73="Z",ROUND(SUM($AV$5:$AV$404),2),IF($AD73="D",INDEX($AV$5:$AV$404,$AC73),IF($AD73="T",ROUND(SUMIF($X$5:$X$404,$AF73,$AV$5:$AV$404),2),IF($AD73="B",ROUND(SUMIF($AN$5:$AN$404,$AQ73,$AV$5:$AV$404),2),""))))</f>
        <v/>
      </c>
      <c r="M73" s="32">
        <f>IF($AD73="Z",ROUND(SUM($AJ$5:$AJ$704),2),IF($AD73="B",ROUND(SUMIF($AQ$5:$AQ$704,$AQ73,$AJ$5:$AJ$704),2),IF($AD73&lt;&gt;"T","",$AJ73)))</f>
        <v/>
      </c>
      <c r="N73" s="32">
        <f>IF(OR($AD73="D",$AD73="T",$AD73="B",$AD73="Z"),ROUND(N($K73)-N($L73)-N($M73),2),"")</f>
        <v/>
      </c>
      <c r="O73" s="32">
        <f>IF(OR($AD73="D",$AD73="T",$AD73="B",$AD73="Z"),IF(N($E73)=0,"",ROUND($F73/$E73,2)),"")</f>
        <v/>
      </c>
      <c r="Q73">
        <f>IFERROR(MATCH(69,บันทึกรายเที่ยว!$Z$6:$Z$6005,0),"")</f>
        <v/>
      </c>
      <c r="R73">
        <f>IF($Q73="","",INDEX(บันทึกรายเที่ยว!$V$6:$V$6005,$Q73))</f>
        <v/>
      </c>
      <c r="S73">
        <f>IF($Q73="","",INDEX(บันทึกรายเที่ยว!$F$6:$F$6005,$Q73))</f>
        <v/>
      </c>
      <c r="T73">
        <f>IF($Q73="","",MATCH($S73,บันทึกรายเที่ยว!$F$6:$F$6005,0))</f>
        <v/>
      </c>
      <c r="U73">
        <f>IF($Q73="","",$AL73*10000000+$T73*1000+69)</f>
        <v/>
      </c>
      <c r="V73">
        <f>IFERROR(MATCH(SMALL($U$5:$U$404,69),$U$5:$U$404,0),"")</f>
        <v/>
      </c>
      <c r="W73">
        <f>IF($V73="","",INDEX($Q$5:$Q$404,$V73))</f>
        <v/>
      </c>
      <c r="X73">
        <f>IF($V73="","",INDEX($S$5:$S$404,$V73))</f>
        <v/>
      </c>
      <c r="Y73">
        <f>IF($V73="","",INDEX($R$5:$R$404,$V73))</f>
        <v/>
      </c>
      <c r="Z73">
        <f>IF($V73="",0,IF($X73&lt;&gt;$X72,1,0))</f>
        <v/>
      </c>
      <c r="AA73">
        <f>IF($V73="",0,IF($V74="",1,IF($X74&lt;&gt;$X73,1,0)))</f>
        <v/>
      </c>
      <c r="AB73">
        <f>IF($V73="",99999+69,$AB72+1+$Z72+$AA72+$AO72)</f>
        <v/>
      </c>
      <c r="AC73">
        <f>IFERROR(MATCH(69,$AB$5:$AB$404,1),"")</f>
        <v/>
      </c>
      <c r="AD73">
        <f>IF(69=$AI$1+1,"Z",IF($AC73="","",IF(INDEX($V$5:$V$404,$AC73)="","",IF(69&gt;INDEX($AB$5:$AB$404,$AC73)+INDEX($Z$5:$Z$404,$AC73)+INDEX($AA$5:$AA$404,$AC73)+INDEX($AO$5:$AO$404,$AC73),"",IF(69=INDEX($AB$5:$AB$404,$AC73)+INDEX($Z$5:$Z$404,$AC73),"D",IF(AND(INDEX($Z$5:$Z$404,$AC73)=1,69=INDEX($AB$5:$AB$404,$AC73)),"H",IF(AND(INDEX($AO$5:$AO$404,$AC73)=1,69=INDEX($AB$5:$AB$404,$AC73)+INDEX($Z$5:$Z$404,$AC73)+INDEX($AA$5:$AA$404,$AC73)+INDEX($AO$5:$AO$404,$AC73)),"B","T")))))))</f>
        <v/>
      </c>
      <c r="AF73">
        <f>IF(OR($AD73="",$AD73="Z",$AD73="B"),"",INDEX($X$5:$X$404,$AC73))</f>
        <v/>
      </c>
      <c r="AJ73">
        <f>IF($AD73&lt;&gt;"T",0,ROUND(SUMIF(oil!$B$4:$B$63,$AF73,oil!$AE$4:$AE$63),2))</f>
        <v/>
      </c>
      <c r="AK73">
        <f>IF($S73="","",IFERROR(INDEX(อัตราค่าขนส่ง!$P$5:$P$54,MATCH($S73,อัตราค่าขนส่ง!$O$5:$O$54,0)),INDEX(รายการมาตรฐาน!$G$2:$G$3,1)))</f>
        <v/>
      </c>
      <c r="AL73">
        <f>IF($S73="","",IFERROR(MATCH($AK73,รายการมาตรฐาน!$G$2:$G$3,0),1))</f>
        <v/>
      </c>
      <c r="AM73">
        <f>IF($V73="","",INDEX($AK$5:$AK$404,$V73))</f>
        <v/>
      </c>
      <c r="AN73">
        <f>IF($V73="","",INDEX($AL$5:$AL$404,$V73))</f>
        <v/>
      </c>
      <c r="AO73">
        <f>IF(OR($V73="",$AI$2&lt;=1),0,IF($V74="",1,IF($AN74&lt;&gt;$AN73,1,0)))</f>
        <v/>
      </c>
      <c r="AP73">
        <f>IF($V73="",0,IF($AN73&lt;&gt;$AN72,1,0))</f>
        <v/>
      </c>
      <c r="AQ73">
        <f>IF(OR($AD73="",$AD73="Z"),"",INDEX($AN$5:$AN$404,$AC73))</f>
        <v/>
      </c>
      <c r="AR73">
        <f>IF($Y73="",0,COUNTIF(บันทึกรายเที่ยว!$V$6:$V$6005,$Y73))</f>
        <v/>
      </c>
      <c r="AS73">
        <f>IF($Y73="",0,ROUND(SUMIF(บันทึกรายเที่ยว!$V$6:$V$6005,$Y73,บันทึกรายเที่ยว!$M$6:$M$6005),2))</f>
        <v/>
      </c>
      <c r="AT73">
        <f>IF($Y73="",0,IFERROR(INDEX(อัตราค่าขนส่ง!$G$5:$G$204,MATCH($Y73,อัตราค่าขนส่ง!$M$5:$M$204,0)),0))</f>
        <v/>
      </c>
      <c r="AU73">
        <f>ROUND($AS73*$BD73,2)</f>
        <v/>
      </c>
      <c r="AV73">
        <f>ROUND($AU73*$BF$2/100,2)</f>
        <v/>
      </c>
      <c r="AW73">
        <f>IF($Y73="","",IFERROR(INDEX(อัตราค่าขนส่ง!$F$5:$F$204,MATCH($Y73,อัตราค่าขนส่ง!$M$5:$M$204,0)),""))</f>
        <v/>
      </c>
      <c r="AX73">
        <f>IF($W73="","",INDEX(บันทึกรายเที่ยว!$D$6:$D$6005,$W73))</f>
        <v/>
      </c>
      <c r="AY73">
        <f>IF($W73="","",INDEX(บันทึกรายเที่ยว!$R$6:$R$6005,$W73))</f>
        <v/>
      </c>
      <c r="AZ73">
        <f>IF(AND($AD73="T",$AQ73=1),N($AZ72)+1,N($AZ72))</f>
        <v/>
      </c>
      <c r="BA73">
        <f>IF($W73="","",INDEX(บันทึกรายเที่ยว!$E$6:$E$6005,$W73))</f>
        <v/>
      </c>
      <c r="BC73">
        <f>IF($Y73="",0,IFERROR(INDEX(อัตราค่าขนส่ง!$K$5:$K$204,MATCH($Y73,อัตราค่าขนส่ง!$M$5:$M$204,0)),0))</f>
        <v/>
      </c>
      <c r="BD73">
        <f>IF($Y73="",0,IFERROR(INDEX(อัตราค่าขนส่ง!$L$5:$L$204,MATCH($Y73,อัตราค่าขนส่ง!$M$5:$M$204,0)),0))</f>
        <v/>
      </c>
    </row>
    <row r="74" ht="21" customHeight="1" s="66">
      <c r="A74" s="69">
        <f>IF($AD74="","",IF($AD74="Z","รวมจ่ายทั้งสิ้น",IF($AD74="H",INDEX($X$5:$X$404,$AC74),IF($AD74="T","รวม",IF($AD74="B",IFERROR(INDEX(อัตราค่าขนส่ง!$S$5:$S$14,MATCH(INDEX($AM$5:$AM$404,$AC74),อัตราค่าขนส่ง!$R$5:$R$14,0)),"รวมกลุ่ม "&amp;INDEX($AM$5:$AM$404,$AC74)),INDEX($AY$5:$AY$404,$AC74))))))</f>
        <v/>
      </c>
      <c r="B74" s="31">
        <f>IF($AD74&lt;&gt;"D","",INDEX($AW$5:$AW$404,$AC74))</f>
        <v/>
      </c>
      <c r="C74" s="68">
        <f>IF($AD74&lt;&gt;"D","",INDEX($AX$5:$AX$404,$AC74))</f>
        <v/>
      </c>
      <c r="D74" s="70">
        <f>IF($AD74&lt;&gt;"D","",INDEX($BA$5:$BA$404,$AC74))</f>
        <v/>
      </c>
      <c r="E74" s="31">
        <f>IF($AD74="Z",SUM($AR$5:$AR$404),IF($AD74="D",INDEX($AR$5:$AR$404,$AC74),IF($AD74="T",SUMIF($X$5:$X$404,$AF74,$AR$5:$AR$404),IF($AD74="B",SUMIF($AN$5:$AN$404,$AQ74,$AR$5:$AR$404),""))))</f>
        <v/>
      </c>
      <c r="F74" s="32">
        <f>IF($AD74="Z",ROUND(SUM($AS$5:$AS$404),2),IF($AD74="D",INDEX($AS$5:$AS$404,$AC74),IF($AD74="T",ROUND(SUMIF($X$5:$X$404,$AF74,$AS$5:$AS$404),2),IF($AD74="B",ROUND(SUMIF($AN$5:$AN$404,$AQ74,$AS$5:$AS$404),2),""))))</f>
        <v/>
      </c>
      <c r="G74" s="32">
        <f>IF($AD74&lt;&gt;"D","",INDEX($AT$5:$AT$404,$AC74))</f>
        <v/>
      </c>
      <c r="H74" s="32">
        <f>IF($AD74&lt;&gt;"D","",INDEX($BC$5:$BC$404,$AC74))</f>
        <v/>
      </c>
      <c r="I74" s="32">
        <f>IF($AD74&lt;&gt;"D","",INDEX($BD$5:$BD$404,$AC74))</f>
        <v/>
      </c>
      <c r="J74" s="46">
        <f>IF($AD74&lt;&gt;"D","",IF(N($B74)=0,"",ROUND($I74/$B74,4)))</f>
        <v/>
      </c>
      <c r="K74" s="32">
        <f>IF($AD74="Z",ROUND(SUM($AU$5:$AU$404),2),IF($AD74="D",INDEX($AU$5:$AU$404,$AC74),IF($AD74="T",ROUND(SUMIF($X$5:$X$404,$AF74,$AU$5:$AU$404),2),IF($AD74="B",ROUND(SUMIF($AN$5:$AN$404,$AQ74,$AU$5:$AU$404),2),""))))</f>
        <v/>
      </c>
      <c r="L74" s="32">
        <f>IF($AD74="Z",ROUND(SUM($AV$5:$AV$404),2),IF($AD74="D",INDEX($AV$5:$AV$404,$AC74),IF($AD74="T",ROUND(SUMIF($X$5:$X$404,$AF74,$AV$5:$AV$404),2),IF($AD74="B",ROUND(SUMIF($AN$5:$AN$404,$AQ74,$AV$5:$AV$404),2),""))))</f>
        <v/>
      </c>
      <c r="M74" s="32">
        <f>IF($AD74="Z",ROUND(SUM($AJ$5:$AJ$704),2),IF($AD74="B",ROUND(SUMIF($AQ$5:$AQ$704,$AQ74,$AJ$5:$AJ$704),2),IF($AD74&lt;&gt;"T","",$AJ74)))</f>
        <v/>
      </c>
      <c r="N74" s="32">
        <f>IF(OR($AD74="D",$AD74="T",$AD74="B",$AD74="Z"),ROUND(N($K74)-N($L74)-N($M74),2),"")</f>
        <v/>
      </c>
      <c r="O74" s="32">
        <f>IF(OR($AD74="D",$AD74="T",$AD74="B",$AD74="Z"),IF(N($E74)=0,"",ROUND($F74/$E74,2)),"")</f>
        <v/>
      </c>
      <c r="Q74">
        <f>IFERROR(MATCH(70,บันทึกรายเที่ยว!$Z$6:$Z$6005,0),"")</f>
        <v/>
      </c>
      <c r="R74">
        <f>IF($Q74="","",INDEX(บันทึกรายเที่ยว!$V$6:$V$6005,$Q74))</f>
        <v/>
      </c>
      <c r="S74">
        <f>IF($Q74="","",INDEX(บันทึกรายเที่ยว!$F$6:$F$6005,$Q74))</f>
        <v/>
      </c>
      <c r="T74">
        <f>IF($Q74="","",MATCH($S74,บันทึกรายเที่ยว!$F$6:$F$6005,0))</f>
        <v/>
      </c>
      <c r="U74">
        <f>IF($Q74="","",$AL74*10000000+$T74*1000+70)</f>
        <v/>
      </c>
      <c r="V74">
        <f>IFERROR(MATCH(SMALL($U$5:$U$404,70),$U$5:$U$404,0),"")</f>
        <v/>
      </c>
      <c r="W74">
        <f>IF($V74="","",INDEX($Q$5:$Q$404,$V74))</f>
        <v/>
      </c>
      <c r="X74">
        <f>IF($V74="","",INDEX($S$5:$S$404,$V74))</f>
        <v/>
      </c>
      <c r="Y74">
        <f>IF($V74="","",INDEX($R$5:$R$404,$V74))</f>
        <v/>
      </c>
      <c r="Z74">
        <f>IF($V74="",0,IF($X74&lt;&gt;$X73,1,0))</f>
        <v/>
      </c>
      <c r="AA74">
        <f>IF($V74="",0,IF($V75="",1,IF($X75&lt;&gt;$X74,1,0)))</f>
        <v/>
      </c>
      <c r="AB74">
        <f>IF($V74="",99999+70,$AB73+1+$Z73+$AA73+$AO73)</f>
        <v/>
      </c>
      <c r="AC74">
        <f>IFERROR(MATCH(70,$AB$5:$AB$404,1),"")</f>
        <v/>
      </c>
      <c r="AD74">
        <f>IF(70=$AI$1+1,"Z",IF($AC74="","",IF(INDEX($V$5:$V$404,$AC74)="","",IF(70&gt;INDEX($AB$5:$AB$404,$AC74)+INDEX($Z$5:$Z$404,$AC74)+INDEX($AA$5:$AA$404,$AC74)+INDEX($AO$5:$AO$404,$AC74),"",IF(70=INDEX($AB$5:$AB$404,$AC74)+INDEX($Z$5:$Z$404,$AC74),"D",IF(AND(INDEX($Z$5:$Z$404,$AC74)=1,70=INDEX($AB$5:$AB$404,$AC74)),"H",IF(AND(INDEX($AO$5:$AO$404,$AC74)=1,70=INDEX($AB$5:$AB$404,$AC74)+INDEX($Z$5:$Z$404,$AC74)+INDEX($AA$5:$AA$404,$AC74)+INDEX($AO$5:$AO$404,$AC74)),"B","T")))))))</f>
        <v/>
      </c>
      <c r="AF74">
        <f>IF(OR($AD74="",$AD74="Z",$AD74="B"),"",INDEX($X$5:$X$404,$AC74))</f>
        <v/>
      </c>
      <c r="AJ74">
        <f>IF($AD74&lt;&gt;"T",0,ROUND(SUMIF(oil!$B$4:$B$63,$AF74,oil!$AE$4:$AE$63),2))</f>
        <v/>
      </c>
      <c r="AK74">
        <f>IF($S74="","",IFERROR(INDEX(อัตราค่าขนส่ง!$P$5:$P$54,MATCH($S74,อัตราค่าขนส่ง!$O$5:$O$54,0)),INDEX(รายการมาตรฐาน!$G$2:$G$3,1)))</f>
        <v/>
      </c>
      <c r="AL74">
        <f>IF($S74="","",IFERROR(MATCH($AK74,รายการมาตรฐาน!$G$2:$G$3,0),1))</f>
        <v/>
      </c>
      <c r="AM74">
        <f>IF($V74="","",INDEX($AK$5:$AK$404,$V74))</f>
        <v/>
      </c>
      <c r="AN74">
        <f>IF($V74="","",INDEX($AL$5:$AL$404,$V74))</f>
        <v/>
      </c>
      <c r="AO74">
        <f>IF(OR($V74="",$AI$2&lt;=1),0,IF($V75="",1,IF($AN75&lt;&gt;$AN74,1,0)))</f>
        <v/>
      </c>
      <c r="AP74">
        <f>IF($V74="",0,IF($AN74&lt;&gt;$AN73,1,0))</f>
        <v/>
      </c>
      <c r="AQ74">
        <f>IF(OR($AD74="",$AD74="Z"),"",INDEX($AN$5:$AN$404,$AC74))</f>
        <v/>
      </c>
      <c r="AR74">
        <f>IF($Y74="",0,COUNTIF(บันทึกรายเที่ยว!$V$6:$V$6005,$Y74))</f>
        <v/>
      </c>
      <c r="AS74">
        <f>IF($Y74="",0,ROUND(SUMIF(บันทึกรายเที่ยว!$V$6:$V$6005,$Y74,บันทึกรายเที่ยว!$M$6:$M$6005),2))</f>
        <v/>
      </c>
      <c r="AT74">
        <f>IF($Y74="",0,IFERROR(INDEX(อัตราค่าขนส่ง!$G$5:$G$204,MATCH($Y74,อัตราค่าขนส่ง!$M$5:$M$204,0)),0))</f>
        <v/>
      </c>
      <c r="AU74">
        <f>ROUND($AS74*$BD74,2)</f>
        <v/>
      </c>
      <c r="AV74">
        <f>ROUND($AU74*$BF$2/100,2)</f>
        <v/>
      </c>
      <c r="AW74">
        <f>IF($Y74="","",IFERROR(INDEX(อัตราค่าขนส่ง!$F$5:$F$204,MATCH($Y74,อัตราค่าขนส่ง!$M$5:$M$204,0)),""))</f>
        <v/>
      </c>
      <c r="AX74">
        <f>IF($W74="","",INDEX(บันทึกรายเที่ยว!$D$6:$D$6005,$W74))</f>
        <v/>
      </c>
      <c r="AY74">
        <f>IF($W74="","",INDEX(บันทึกรายเที่ยว!$R$6:$R$6005,$W74))</f>
        <v/>
      </c>
      <c r="AZ74">
        <f>IF(AND($AD74="T",$AQ74=1),N($AZ73)+1,N($AZ73))</f>
        <v/>
      </c>
      <c r="BA74">
        <f>IF($W74="","",INDEX(บันทึกรายเที่ยว!$E$6:$E$6005,$W74))</f>
        <v/>
      </c>
      <c r="BC74">
        <f>IF($Y74="",0,IFERROR(INDEX(อัตราค่าขนส่ง!$K$5:$K$204,MATCH($Y74,อัตราค่าขนส่ง!$M$5:$M$204,0)),0))</f>
        <v/>
      </c>
      <c r="BD74">
        <f>IF($Y74="",0,IFERROR(INDEX(อัตราค่าขนส่ง!$L$5:$L$204,MATCH($Y74,อัตราค่าขนส่ง!$M$5:$M$204,0)),0))</f>
        <v/>
      </c>
    </row>
    <row r="75" ht="21" customHeight="1" s="66">
      <c r="A75" s="69">
        <f>IF($AD75="","",IF($AD75="Z","รวมจ่ายทั้งสิ้น",IF($AD75="H",INDEX($X$5:$X$404,$AC75),IF($AD75="T","รวม",IF($AD75="B",IFERROR(INDEX(อัตราค่าขนส่ง!$S$5:$S$14,MATCH(INDEX($AM$5:$AM$404,$AC75),อัตราค่าขนส่ง!$R$5:$R$14,0)),"รวมกลุ่ม "&amp;INDEX($AM$5:$AM$404,$AC75)),INDEX($AY$5:$AY$404,$AC75))))))</f>
        <v/>
      </c>
      <c r="B75" s="31">
        <f>IF($AD75&lt;&gt;"D","",INDEX($AW$5:$AW$404,$AC75))</f>
        <v/>
      </c>
      <c r="C75" s="68">
        <f>IF($AD75&lt;&gt;"D","",INDEX($AX$5:$AX$404,$AC75))</f>
        <v/>
      </c>
      <c r="D75" s="70">
        <f>IF($AD75&lt;&gt;"D","",INDEX($BA$5:$BA$404,$AC75))</f>
        <v/>
      </c>
      <c r="E75" s="31">
        <f>IF($AD75="Z",SUM($AR$5:$AR$404),IF($AD75="D",INDEX($AR$5:$AR$404,$AC75),IF($AD75="T",SUMIF($X$5:$X$404,$AF75,$AR$5:$AR$404),IF($AD75="B",SUMIF($AN$5:$AN$404,$AQ75,$AR$5:$AR$404),""))))</f>
        <v/>
      </c>
      <c r="F75" s="32">
        <f>IF($AD75="Z",ROUND(SUM($AS$5:$AS$404),2),IF($AD75="D",INDEX($AS$5:$AS$404,$AC75),IF($AD75="T",ROUND(SUMIF($X$5:$X$404,$AF75,$AS$5:$AS$404),2),IF($AD75="B",ROUND(SUMIF($AN$5:$AN$404,$AQ75,$AS$5:$AS$404),2),""))))</f>
        <v/>
      </c>
      <c r="G75" s="32">
        <f>IF($AD75&lt;&gt;"D","",INDEX($AT$5:$AT$404,$AC75))</f>
        <v/>
      </c>
      <c r="H75" s="32">
        <f>IF($AD75&lt;&gt;"D","",INDEX($BC$5:$BC$404,$AC75))</f>
        <v/>
      </c>
      <c r="I75" s="32">
        <f>IF($AD75&lt;&gt;"D","",INDEX($BD$5:$BD$404,$AC75))</f>
        <v/>
      </c>
      <c r="J75" s="46">
        <f>IF($AD75&lt;&gt;"D","",IF(N($B75)=0,"",ROUND($I75/$B75,4)))</f>
        <v/>
      </c>
      <c r="K75" s="32">
        <f>IF($AD75="Z",ROUND(SUM($AU$5:$AU$404),2),IF($AD75="D",INDEX($AU$5:$AU$404,$AC75),IF($AD75="T",ROUND(SUMIF($X$5:$X$404,$AF75,$AU$5:$AU$404),2),IF($AD75="B",ROUND(SUMIF($AN$5:$AN$404,$AQ75,$AU$5:$AU$404),2),""))))</f>
        <v/>
      </c>
      <c r="L75" s="32">
        <f>IF($AD75="Z",ROUND(SUM($AV$5:$AV$404),2),IF($AD75="D",INDEX($AV$5:$AV$404,$AC75),IF($AD75="T",ROUND(SUMIF($X$5:$X$404,$AF75,$AV$5:$AV$404),2),IF($AD75="B",ROUND(SUMIF($AN$5:$AN$404,$AQ75,$AV$5:$AV$404),2),""))))</f>
        <v/>
      </c>
      <c r="M75" s="32">
        <f>IF($AD75="Z",ROUND(SUM($AJ$5:$AJ$704),2),IF($AD75="B",ROUND(SUMIF($AQ$5:$AQ$704,$AQ75,$AJ$5:$AJ$704),2),IF($AD75&lt;&gt;"T","",$AJ75)))</f>
        <v/>
      </c>
      <c r="N75" s="32">
        <f>IF(OR($AD75="D",$AD75="T",$AD75="B",$AD75="Z"),ROUND(N($K75)-N($L75)-N($M75),2),"")</f>
        <v/>
      </c>
      <c r="O75" s="32">
        <f>IF(OR($AD75="D",$AD75="T",$AD75="B",$AD75="Z"),IF(N($E75)=0,"",ROUND($F75/$E75,2)),"")</f>
        <v/>
      </c>
      <c r="Q75">
        <f>IFERROR(MATCH(71,บันทึกรายเที่ยว!$Z$6:$Z$6005,0),"")</f>
        <v/>
      </c>
      <c r="R75">
        <f>IF($Q75="","",INDEX(บันทึกรายเที่ยว!$V$6:$V$6005,$Q75))</f>
        <v/>
      </c>
      <c r="S75">
        <f>IF($Q75="","",INDEX(บันทึกรายเที่ยว!$F$6:$F$6005,$Q75))</f>
        <v/>
      </c>
      <c r="T75">
        <f>IF($Q75="","",MATCH($S75,บันทึกรายเที่ยว!$F$6:$F$6005,0))</f>
        <v/>
      </c>
      <c r="U75">
        <f>IF($Q75="","",$AL75*10000000+$T75*1000+71)</f>
        <v/>
      </c>
      <c r="V75">
        <f>IFERROR(MATCH(SMALL($U$5:$U$404,71),$U$5:$U$404,0),"")</f>
        <v/>
      </c>
      <c r="W75">
        <f>IF($V75="","",INDEX($Q$5:$Q$404,$V75))</f>
        <v/>
      </c>
      <c r="X75">
        <f>IF($V75="","",INDEX($S$5:$S$404,$V75))</f>
        <v/>
      </c>
      <c r="Y75">
        <f>IF($V75="","",INDEX($R$5:$R$404,$V75))</f>
        <v/>
      </c>
      <c r="Z75">
        <f>IF($V75="",0,IF($X75&lt;&gt;$X74,1,0))</f>
        <v/>
      </c>
      <c r="AA75">
        <f>IF($V75="",0,IF($V76="",1,IF($X76&lt;&gt;$X75,1,0)))</f>
        <v/>
      </c>
      <c r="AB75">
        <f>IF($V75="",99999+71,$AB74+1+$Z74+$AA74+$AO74)</f>
        <v/>
      </c>
      <c r="AC75">
        <f>IFERROR(MATCH(71,$AB$5:$AB$404,1),"")</f>
        <v/>
      </c>
      <c r="AD75">
        <f>IF(71=$AI$1+1,"Z",IF($AC75="","",IF(INDEX($V$5:$V$404,$AC75)="","",IF(71&gt;INDEX($AB$5:$AB$404,$AC75)+INDEX($Z$5:$Z$404,$AC75)+INDEX($AA$5:$AA$404,$AC75)+INDEX($AO$5:$AO$404,$AC75),"",IF(71=INDEX($AB$5:$AB$404,$AC75)+INDEX($Z$5:$Z$404,$AC75),"D",IF(AND(INDEX($Z$5:$Z$404,$AC75)=1,71=INDEX($AB$5:$AB$404,$AC75)),"H",IF(AND(INDEX($AO$5:$AO$404,$AC75)=1,71=INDEX($AB$5:$AB$404,$AC75)+INDEX($Z$5:$Z$404,$AC75)+INDEX($AA$5:$AA$404,$AC75)+INDEX($AO$5:$AO$404,$AC75)),"B","T")))))))</f>
        <v/>
      </c>
      <c r="AF75">
        <f>IF(OR($AD75="",$AD75="Z",$AD75="B"),"",INDEX($X$5:$X$404,$AC75))</f>
        <v/>
      </c>
      <c r="AJ75">
        <f>IF($AD75&lt;&gt;"T",0,ROUND(SUMIF(oil!$B$4:$B$63,$AF75,oil!$AE$4:$AE$63),2))</f>
        <v/>
      </c>
      <c r="AK75">
        <f>IF($S75="","",IFERROR(INDEX(อัตราค่าขนส่ง!$P$5:$P$54,MATCH($S75,อัตราค่าขนส่ง!$O$5:$O$54,0)),INDEX(รายการมาตรฐาน!$G$2:$G$3,1)))</f>
        <v/>
      </c>
      <c r="AL75">
        <f>IF($S75="","",IFERROR(MATCH($AK75,รายการมาตรฐาน!$G$2:$G$3,0),1))</f>
        <v/>
      </c>
      <c r="AM75">
        <f>IF($V75="","",INDEX($AK$5:$AK$404,$V75))</f>
        <v/>
      </c>
      <c r="AN75">
        <f>IF($V75="","",INDEX($AL$5:$AL$404,$V75))</f>
        <v/>
      </c>
      <c r="AO75">
        <f>IF(OR($V75="",$AI$2&lt;=1),0,IF($V76="",1,IF($AN76&lt;&gt;$AN75,1,0)))</f>
        <v/>
      </c>
      <c r="AP75">
        <f>IF($V75="",0,IF($AN75&lt;&gt;$AN74,1,0))</f>
        <v/>
      </c>
      <c r="AQ75">
        <f>IF(OR($AD75="",$AD75="Z"),"",INDEX($AN$5:$AN$404,$AC75))</f>
        <v/>
      </c>
      <c r="AR75">
        <f>IF($Y75="",0,COUNTIF(บันทึกรายเที่ยว!$V$6:$V$6005,$Y75))</f>
        <v/>
      </c>
      <c r="AS75">
        <f>IF($Y75="",0,ROUND(SUMIF(บันทึกรายเที่ยว!$V$6:$V$6005,$Y75,บันทึกรายเที่ยว!$M$6:$M$6005),2))</f>
        <v/>
      </c>
      <c r="AT75">
        <f>IF($Y75="",0,IFERROR(INDEX(อัตราค่าขนส่ง!$G$5:$G$204,MATCH($Y75,อัตราค่าขนส่ง!$M$5:$M$204,0)),0))</f>
        <v/>
      </c>
      <c r="AU75">
        <f>ROUND($AS75*$BD75,2)</f>
        <v/>
      </c>
      <c r="AV75">
        <f>ROUND($AU75*$BF$2/100,2)</f>
        <v/>
      </c>
      <c r="AW75">
        <f>IF($Y75="","",IFERROR(INDEX(อัตราค่าขนส่ง!$F$5:$F$204,MATCH($Y75,อัตราค่าขนส่ง!$M$5:$M$204,0)),""))</f>
        <v/>
      </c>
      <c r="AX75">
        <f>IF($W75="","",INDEX(บันทึกรายเที่ยว!$D$6:$D$6005,$W75))</f>
        <v/>
      </c>
      <c r="AY75">
        <f>IF($W75="","",INDEX(บันทึกรายเที่ยว!$R$6:$R$6005,$W75))</f>
        <v/>
      </c>
      <c r="AZ75">
        <f>IF(AND($AD75="T",$AQ75=1),N($AZ74)+1,N($AZ74))</f>
        <v/>
      </c>
      <c r="BA75">
        <f>IF($W75="","",INDEX(บันทึกรายเที่ยว!$E$6:$E$6005,$W75))</f>
        <v/>
      </c>
      <c r="BC75">
        <f>IF($Y75="",0,IFERROR(INDEX(อัตราค่าขนส่ง!$K$5:$K$204,MATCH($Y75,อัตราค่าขนส่ง!$M$5:$M$204,0)),0))</f>
        <v/>
      </c>
      <c r="BD75">
        <f>IF($Y75="",0,IFERROR(INDEX(อัตราค่าขนส่ง!$L$5:$L$204,MATCH($Y75,อัตราค่าขนส่ง!$M$5:$M$204,0)),0))</f>
        <v/>
      </c>
    </row>
    <row r="76" ht="21" customHeight="1" s="66">
      <c r="A76" s="69">
        <f>IF($AD76="","",IF($AD76="Z","รวมจ่ายทั้งสิ้น",IF($AD76="H",INDEX($X$5:$X$404,$AC76),IF($AD76="T","รวม",IF($AD76="B",IFERROR(INDEX(อัตราค่าขนส่ง!$S$5:$S$14,MATCH(INDEX($AM$5:$AM$404,$AC76),อัตราค่าขนส่ง!$R$5:$R$14,0)),"รวมกลุ่ม "&amp;INDEX($AM$5:$AM$404,$AC76)),INDEX($AY$5:$AY$404,$AC76))))))</f>
        <v/>
      </c>
      <c r="B76" s="31">
        <f>IF($AD76&lt;&gt;"D","",INDEX($AW$5:$AW$404,$AC76))</f>
        <v/>
      </c>
      <c r="C76" s="68">
        <f>IF($AD76&lt;&gt;"D","",INDEX($AX$5:$AX$404,$AC76))</f>
        <v/>
      </c>
      <c r="D76" s="70">
        <f>IF($AD76&lt;&gt;"D","",INDEX($BA$5:$BA$404,$AC76))</f>
        <v/>
      </c>
      <c r="E76" s="31">
        <f>IF($AD76="Z",SUM($AR$5:$AR$404),IF($AD76="D",INDEX($AR$5:$AR$404,$AC76),IF($AD76="T",SUMIF($X$5:$X$404,$AF76,$AR$5:$AR$404),IF($AD76="B",SUMIF($AN$5:$AN$404,$AQ76,$AR$5:$AR$404),""))))</f>
        <v/>
      </c>
      <c r="F76" s="32">
        <f>IF($AD76="Z",ROUND(SUM($AS$5:$AS$404),2),IF($AD76="D",INDEX($AS$5:$AS$404,$AC76),IF($AD76="T",ROUND(SUMIF($X$5:$X$404,$AF76,$AS$5:$AS$404),2),IF($AD76="B",ROUND(SUMIF($AN$5:$AN$404,$AQ76,$AS$5:$AS$404),2),""))))</f>
        <v/>
      </c>
      <c r="G76" s="32">
        <f>IF($AD76&lt;&gt;"D","",INDEX($AT$5:$AT$404,$AC76))</f>
        <v/>
      </c>
      <c r="H76" s="32">
        <f>IF($AD76&lt;&gt;"D","",INDEX($BC$5:$BC$404,$AC76))</f>
        <v/>
      </c>
      <c r="I76" s="32">
        <f>IF($AD76&lt;&gt;"D","",INDEX($BD$5:$BD$404,$AC76))</f>
        <v/>
      </c>
      <c r="J76" s="46">
        <f>IF($AD76&lt;&gt;"D","",IF(N($B76)=0,"",ROUND($I76/$B76,4)))</f>
        <v/>
      </c>
      <c r="K76" s="32">
        <f>IF($AD76="Z",ROUND(SUM($AU$5:$AU$404),2),IF($AD76="D",INDEX($AU$5:$AU$404,$AC76),IF($AD76="T",ROUND(SUMIF($X$5:$X$404,$AF76,$AU$5:$AU$404),2),IF($AD76="B",ROUND(SUMIF($AN$5:$AN$404,$AQ76,$AU$5:$AU$404),2),""))))</f>
        <v/>
      </c>
      <c r="L76" s="32">
        <f>IF($AD76="Z",ROUND(SUM($AV$5:$AV$404),2),IF($AD76="D",INDEX($AV$5:$AV$404,$AC76),IF($AD76="T",ROUND(SUMIF($X$5:$X$404,$AF76,$AV$5:$AV$404),2),IF($AD76="B",ROUND(SUMIF($AN$5:$AN$404,$AQ76,$AV$5:$AV$404),2),""))))</f>
        <v/>
      </c>
      <c r="M76" s="32">
        <f>IF($AD76="Z",ROUND(SUM($AJ$5:$AJ$704),2),IF($AD76="B",ROUND(SUMIF($AQ$5:$AQ$704,$AQ76,$AJ$5:$AJ$704),2),IF($AD76&lt;&gt;"T","",$AJ76)))</f>
        <v/>
      </c>
      <c r="N76" s="32">
        <f>IF(OR($AD76="D",$AD76="T",$AD76="B",$AD76="Z"),ROUND(N($K76)-N($L76)-N($M76),2),"")</f>
        <v/>
      </c>
      <c r="O76" s="32">
        <f>IF(OR($AD76="D",$AD76="T",$AD76="B",$AD76="Z"),IF(N($E76)=0,"",ROUND($F76/$E76,2)),"")</f>
        <v/>
      </c>
      <c r="Q76">
        <f>IFERROR(MATCH(72,บันทึกรายเที่ยว!$Z$6:$Z$6005,0),"")</f>
        <v/>
      </c>
      <c r="R76">
        <f>IF($Q76="","",INDEX(บันทึกรายเที่ยว!$V$6:$V$6005,$Q76))</f>
        <v/>
      </c>
      <c r="S76">
        <f>IF($Q76="","",INDEX(บันทึกรายเที่ยว!$F$6:$F$6005,$Q76))</f>
        <v/>
      </c>
      <c r="T76">
        <f>IF($Q76="","",MATCH($S76,บันทึกรายเที่ยว!$F$6:$F$6005,0))</f>
        <v/>
      </c>
      <c r="U76">
        <f>IF($Q76="","",$AL76*10000000+$T76*1000+72)</f>
        <v/>
      </c>
      <c r="V76">
        <f>IFERROR(MATCH(SMALL($U$5:$U$404,72),$U$5:$U$404,0),"")</f>
        <v/>
      </c>
      <c r="W76">
        <f>IF($V76="","",INDEX($Q$5:$Q$404,$V76))</f>
        <v/>
      </c>
      <c r="X76">
        <f>IF($V76="","",INDEX($S$5:$S$404,$V76))</f>
        <v/>
      </c>
      <c r="Y76">
        <f>IF($V76="","",INDEX($R$5:$R$404,$V76))</f>
        <v/>
      </c>
      <c r="Z76">
        <f>IF($V76="",0,IF($X76&lt;&gt;$X75,1,0))</f>
        <v/>
      </c>
      <c r="AA76">
        <f>IF($V76="",0,IF($V77="",1,IF($X77&lt;&gt;$X76,1,0)))</f>
        <v/>
      </c>
      <c r="AB76">
        <f>IF($V76="",99999+72,$AB75+1+$Z75+$AA75+$AO75)</f>
        <v/>
      </c>
      <c r="AC76">
        <f>IFERROR(MATCH(72,$AB$5:$AB$404,1),"")</f>
        <v/>
      </c>
      <c r="AD76">
        <f>IF(72=$AI$1+1,"Z",IF($AC76="","",IF(INDEX($V$5:$V$404,$AC76)="","",IF(72&gt;INDEX($AB$5:$AB$404,$AC76)+INDEX($Z$5:$Z$404,$AC76)+INDEX($AA$5:$AA$404,$AC76)+INDEX($AO$5:$AO$404,$AC76),"",IF(72=INDEX($AB$5:$AB$404,$AC76)+INDEX($Z$5:$Z$404,$AC76),"D",IF(AND(INDEX($Z$5:$Z$404,$AC76)=1,72=INDEX($AB$5:$AB$404,$AC76)),"H",IF(AND(INDEX($AO$5:$AO$404,$AC76)=1,72=INDEX($AB$5:$AB$404,$AC76)+INDEX($Z$5:$Z$404,$AC76)+INDEX($AA$5:$AA$404,$AC76)+INDEX($AO$5:$AO$404,$AC76)),"B","T")))))))</f>
        <v/>
      </c>
      <c r="AF76">
        <f>IF(OR($AD76="",$AD76="Z",$AD76="B"),"",INDEX($X$5:$X$404,$AC76))</f>
        <v/>
      </c>
      <c r="AJ76">
        <f>IF($AD76&lt;&gt;"T",0,ROUND(SUMIF(oil!$B$4:$B$63,$AF76,oil!$AE$4:$AE$63),2))</f>
        <v/>
      </c>
      <c r="AK76">
        <f>IF($S76="","",IFERROR(INDEX(อัตราค่าขนส่ง!$P$5:$P$54,MATCH($S76,อัตราค่าขนส่ง!$O$5:$O$54,0)),INDEX(รายการมาตรฐาน!$G$2:$G$3,1)))</f>
        <v/>
      </c>
      <c r="AL76">
        <f>IF($S76="","",IFERROR(MATCH($AK76,รายการมาตรฐาน!$G$2:$G$3,0),1))</f>
        <v/>
      </c>
      <c r="AM76">
        <f>IF($V76="","",INDEX($AK$5:$AK$404,$V76))</f>
        <v/>
      </c>
      <c r="AN76">
        <f>IF($V76="","",INDEX($AL$5:$AL$404,$V76))</f>
        <v/>
      </c>
      <c r="AO76">
        <f>IF(OR($V76="",$AI$2&lt;=1),0,IF($V77="",1,IF($AN77&lt;&gt;$AN76,1,0)))</f>
        <v/>
      </c>
      <c r="AP76">
        <f>IF($V76="",0,IF($AN76&lt;&gt;$AN75,1,0))</f>
        <v/>
      </c>
      <c r="AQ76">
        <f>IF(OR($AD76="",$AD76="Z"),"",INDEX($AN$5:$AN$404,$AC76))</f>
        <v/>
      </c>
      <c r="AR76">
        <f>IF($Y76="",0,COUNTIF(บันทึกรายเที่ยว!$V$6:$V$6005,$Y76))</f>
        <v/>
      </c>
      <c r="AS76">
        <f>IF($Y76="",0,ROUND(SUMIF(บันทึกรายเที่ยว!$V$6:$V$6005,$Y76,บันทึกรายเที่ยว!$M$6:$M$6005),2))</f>
        <v/>
      </c>
      <c r="AT76">
        <f>IF($Y76="",0,IFERROR(INDEX(อัตราค่าขนส่ง!$G$5:$G$204,MATCH($Y76,อัตราค่าขนส่ง!$M$5:$M$204,0)),0))</f>
        <v/>
      </c>
      <c r="AU76">
        <f>ROUND($AS76*$BD76,2)</f>
        <v/>
      </c>
      <c r="AV76">
        <f>ROUND($AU76*$BF$2/100,2)</f>
        <v/>
      </c>
      <c r="AW76">
        <f>IF($Y76="","",IFERROR(INDEX(อัตราค่าขนส่ง!$F$5:$F$204,MATCH($Y76,อัตราค่าขนส่ง!$M$5:$M$204,0)),""))</f>
        <v/>
      </c>
      <c r="AX76">
        <f>IF($W76="","",INDEX(บันทึกรายเที่ยว!$D$6:$D$6005,$W76))</f>
        <v/>
      </c>
      <c r="AY76">
        <f>IF($W76="","",INDEX(บันทึกรายเที่ยว!$R$6:$R$6005,$W76))</f>
        <v/>
      </c>
      <c r="AZ76">
        <f>IF(AND($AD76="T",$AQ76=1),N($AZ75)+1,N($AZ75))</f>
        <v/>
      </c>
      <c r="BA76">
        <f>IF($W76="","",INDEX(บันทึกรายเที่ยว!$E$6:$E$6005,$W76))</f>
        <v/>
      </c>
      <c r="BC76">
        <f>IF($Y76="",0,IFERROR(INDEX(อัตราค่าขนส่ง!$K$5:$K$204,MATCH($Y76,อัตราค่าขนส่ง!$M$5:$M$204,0)),0))</f>
        <v/>
      </c>
      <c r="BD76">
        <f>IF($Y76="",0,IFERROR(INDEX(อัตราค่าขนส่ง!$L$5:$L$204,MATCH($Y76,อัตราค่าขนส่ง!$M$5:$M$204,0)),0))</f>
        <v/>
      </c>
    </row>
    <row r="77" ht="21" customHeight="1" s="66">
      <c r="A77" s="69">
        <f>IF($AD77="","",IF($AD77="Z","รวมจ่ายทั้งสิ้น",IF($AD77="H",INDEX($X$5:$X$404,$AC77),IF($AD77="T","รวม",IF($AD77="B",IFERROR(INDEX(อัตราค่าขนส่ง!$S$5:$S$14,MATCH(INDEX($AM$5:$AM$404,$AC77),อัตราค่าขนส่ง!$R$5:$R$14,0)),"รวมกลุ่ม "&amp;INDEX($AM$5:$AM$404,$AC77)),INDEX($AY$5:$AY$404,$AC77))))))</f>
        <v/>
      </c>
      <c r="B77" s="31">
        <f>IF($AD77&lt;&gt;"D","",INDEX($AW$5:$AW$404,$AC77))</f>
        <v/>
      </c>
      <c r="C77" s="68">
        <f>IF($AD77&lt;&gt;"D","",INDEX($AX$5:$AX$404,$AC77))</f>
        <v/>
      </c>
      <c r="D77" s="70">
        <f>IF($AD77&lt;&gt;"D","",INDEX($BA$5:$BA$404,$AC77))</f>
        <v/>
      </c>
      <c r="E77" s="31">
        <f>IF($AD77="Z",SUM($AR$5:$AR$404),IF($AD77="D",INDEX($AR$5:$AR$404,$AC77),IF($AD77="T",SUMIF($X$5:$X$404,$AF77,$AR$5:$AR$404),IF($AD77="B",SUMIF($AN$5:$AN$404,$AQ77,$AR$5:$AR$404),""))))</f>
        <v/>
      </c>
      <c r="F77" s="32">
        <f>IF($AD77="Z",ROUND(SUM($AS$5:$AS$404),2),IF($AD77="D",INDEX($AS$5:$AS$404,$AC77),IF($AD77="T",ROUND(SUMIF($X$5:$X$404,$AF77,$AS$5:$AS$404),2),IF($AD77="B",ROUND(SUMIF($AN$5:$AN$404,$AQ77,$AS$5:$AS$404),2),""))))</f>
        <v/>
      </c>
      <c r="G77" s="32">
        <f>IF($AD77&lt;&gt;"D","",INDEX($AT$5:$AT$404,$AC77))</f>
        <v/>
      </c>
      <c r="H77" s="32">
        <f>IF($AD77&lt;&gt;"D","",INDEX($BC$5:$BC$404,$AC77))</f>
        <v/>
      </c>
      <c r="I77" s="32">
        <f>IF($AD77&lt;&gt;"D","",INDEX($BD$5:$BD$404,$AC77))</f>
        <v/>
      </c>
      <c r="J77" s="46">
        <f>IF($AD77&lt;&gt;"D","",IF(N($B77)=0,"",ROUND($I77/$B77,4)))</f>
        <v/>
      </c>
      <c r="K77" s="32">
        <f>IF($AD77="Z",ROUND(SUM($AU$5:$AU$404),2),IF($AD77="D",INDEX($AU$5:$AU$404,$AC77),IF($AD77="T",ROUND(SUMIF($X$5:$X$404,$AF77,$AU$5:$AU$404),2),IF($AD77="B",ROUND(SUMIF($AN$5:$AN$404,$AQ77,$AU$5:$AU$404),2),""))))</f>
        <v/>
      </c>
      <c r="L77" s="32">
        <f>IF($AD77="Z",ROUND(SUM($AV$5:$AV$404),2),IF($AD77="D",INDEX($AV$5:$AV$404,$AC77),IF($AD77="T",ROUND(SUMIF($X$5:$X$404,$AF77,$AV$5:$AV$404),2),IF($AD77="B",ROUND(SUMIF($AN$5:$AN$404,$AQ77,$AV$5:$AV$404),2),""))))</f>
        <v/>
      </c>
      <c r="M77" s="32">
        <f>IF($AD77="Z",ROUND(SUM($AJ$5:$AJ$704),2),IF($AD77="B",ROUND(SUMIF($AQ$5:$AQ$704,$AQ77,$AJ$5:$AJ$704),2),IF($AD77&lt;&gt;"T","",$AJ77)))</f>
        <v/>
      </c>
      <c r="N77" s="32">
        <f>IF(OR($AD77="D",$AD77="T",$AD77="B",$AD77="Z"),ROUND(N($K77)-N($L77)-N($M77),2),"")</f>
        <v/>
      </c>
      <c r="O77" s="32">
        <f>IF(OR($AD77="D",$AD77="T",$AD77="B",$AD77="Z"),IF(N($E77)=0,"",ROUND($F77/$E77,2)),"")</f>
        <v/>
      </c>
      <c r="Q77">
        <f>IFERROR(MATCH(73,บันทึกรายเที่ยว!$Z$6:$Z$6005,0),"")</f>
        <v/>
      </c>
      <c r="R77">
        <f>IF($Q77="","",INDEX(บันทึกรายเที่ยว!$V$6:$V$6005,$Q77))</f>
        <v/>
      </c>
      <c r="S77">
        <f>IF($Q77="","",INDEX(บันทึกรายเที่ยว!$F$6:$F$6005,$Q77))</f>
        <v/>
      </c>
      <c r="T77">
        <f>IF($Q77="","",MATCH($S77,บันทึกรายเที่ยว!$F$6:$F$6005,0))</f>
        <v/>
      </c>
      <c r="U77">
        <f>IF($Q77="","",$AL77*10000000+$T77*1000+73)</f>
        <v/>
      </c>
      <c r="V77">
        <f>IFERROR(MATCH(SMALL($U$5:$U$404,73),$U$5:$U$404,0),"")</f>
        <v/>
      </c>
      <c r="W77">
        <f>IF($V77="","",INDEX($Q$5:$Q$404,$V77))</f>
        <v/>
      </c>
      <c r="X77">
        <f>IF($V77="","",INDEX($S$5:$S$404,$V77))</f>
        <v/>
      </c>
      <c r="Y77">
        <f>IF($V77="","",INDEX($R$5:$R$404,$V77))</f>
        <v/>
      </c>
      <c r="Z77">
        <f>IF($V77="",0,IF($X77&lt;&gt;$X76,1,0))</f>
        <v/>
      </c>
      <c r="AA77">
        <f>IF($V77="",0,IF($V78="",1,IF($X78&lt;&gt;$X77,1,0)))</f>
        <v/>
      </c>
      <c r="AB77">
        <f>IF($V77="",99999+73,$AB76+1+$Z76+$AA76+$AO76)</f>
        <v/>
      </c>
      <c r="AC77">
        <f>IFERROR(MATCH(73,$AB$5:$AB$404,1),"")</f>
        <v/>
      </c>
      <c r="AD77">
        <f>IF(73=$AI$1+1,"Z",IF($AC77="","",IF(INDEX($V$5:$V$404,$AC77)="","",IF(73&gt;INDEX($AB$5:$AB$404,$AC77)+INDEX($Z$5:$Z$404,$AC77)+INDEX($AA$5:$AA$404,$AC77)+INDEX($AO$5:$AO$404,$AC77),"",IF(73=INDEX($AB$5:$AB$404,$AC77)+INDEX($Z$5:$Z$404,$AC77),"D",IF(AND(INDEX($Z$5:$Z$404,$AC77)=1,73=INDEX($AB$5:$AB$404,$AC77)),"H",IF(AND(INDEX($AO$5:$AO$404,$AC77)=1,73=INDEX($AB$5:$AB$404,$AC77)+INDEX($Z$5:$Z$404,$AC77)+INDEX($AA$5:$AA$404,$AC77)+INDEX($AO$5:$AO$404,$AC77)),"B","T")))))))</f>
        <v/>
      </c>
      <c r="AF77">
        <f>IF(OR($AD77="",$AD77="Z",$AD77="B"),"",INDEX($X$5:$X$404,$AC77))</f>
        <v/>
      </c>
      <c r="AJ77">
        <f>IF($AD77&lt;&gt;"T",0,ROUND(SUMIF(oil!$B$4:$B$63,$AF77,oil!$AE$4:$AE$63),2))</f>
        <v/>
      </c>
      <c r="AK77">
        <f>IF($S77="","",IFERROR(INDEX(อัตราค่าขนส่ง!$P$5:$P$54,MATCH($S77,อัตราค่าขนส่ง!$O$5:$O$54,0)),INDEX(รายการมาตรฐาน!$G$2:$G$3,1)))</f>
        <v/>
      </c>
      <c r="AL77">
        <f>IF($S77="","",IFERROR(MATCH($AK77,รายการมาตรฐาน!$G$2:$G$3,0),1))</f>
        <v/>
      </c>
      <c r="AM77">
        <f>IF($V77="","",INDEX($AK$5:$AK$404,$V77))</f>
        <v/>
      </c>
      <c r="AN77">
        <f>IF($V77="","",INDEX($AL$5:$AL$404,$V77))</f>
        <v/>
      </c>
      <c r="AO77">
        <f>IF(OR($V77="",$AI$2&lt;=1),0,IF($V78="",1,IF($AN78&lt;&gt;$AN77,1,0)))</f>
        <v/>
      </c>
      <c r="AP77">
        <f>IF($V77="",0,IF($AN77&lt;&gt;$AN76,1,0))</f>
        <v/>
      </c>
      <c r="AQ77">
        <f>IF(OR($AD77="",$AD77="Z"),"",INDEX($AN$5:$AN$404,$AC77))</f>
        <v/>
      </c>
      <c r="AR77">
        <f>IF($Y77="",0,COUNTIF(บันทึกรายเที่ยว!$V$6:$V$6005,$Y77))</f>
        <v/>
      </c>
      <c r="AS77">
        <f>IF($Y77="",0,ROUND(SUMIF(บันทึกรายเที่ยว!$V$6:$V$6005,$Y77,บันทึกรายเที่ยว!$M$6:$M$6005),2))</f>
        <v/>
      </c>
      <c r="AT77">
        <f>IF($Y77="",0,IFERROR(INDEX(อัตราค่าขนส่ง!$G$5:$G$204,MATCH($Y77,อัตราค่าขนส่ง!$M$5:$M$204,0)),0))</f>
        <v/>
      </c>
      <c r="AU77">
        <f>ROUND($AS77*$BD77,2)</f>
        <v/>
      </c>
      <c r="AV77">
        <f>ROUND($AU77*$BF$2/100,2)</f>
        <v/>
      </c>
      <c r="AW77">
        <f>IF($Y77="","",IFERROR(INDEX(อัตราค่าขนส่ง!$F$5:$F$204,MATCH($Y77,อัตราค่าขนส่ง!$M$5:$M$204,0)),""))</f>
        <v/>
      </c>
      <c r="AX77">
        <f>IF($W77="","",INDEX(บันทึกรายเที่ยว!$D$6:$D$6005,$W77))</f>
        <v/>
      </c>
      <c r="AY77">
        <f>IF($W77="","",INDEX(บันทึกรายเที่ยว!$R$6:$R$6005,$W77))</f>
        <v/>
      </c>
      <c r="AZ77">
        <f>IF(AND($AD77="T",$AQ77=1),N($AZ76)+1,N($AZ76))</f>
        <v/>
      </c>
      <c r="BA77">
        <f>IF($W77="","",INDEX(บันทึกรายเที่ยว!$E$6:$E$6005,$W77))</f>
        <v/>
      </c>
      <c r="BC77">
        <f>IF($Y77="",0,IFERROR(INDEX(อัตราค่าขนส่ง!$K$5:$K$204,MATCH($Y77,อัตราค่าขนส่ง!$M$5:$M$204,0)),0))</f>
        <v/>
      </c>
      <c r="BD77">
        <f>IF($Y77="",0,IFERROR(INDEX(อัตราค่าขนส่ง!$L$5:$L$204,MATCH($Y77,อัตราค่าขนส่ง!$M$5:$M$204,0)),0))</f>
        <v/>
      </c>
    </row>
    <row r="78" ht="21" customHeight="1" s="66">
      <c r="A78" s="69">
        <f>IF($AD78="","",IF($AD78="Z","รวมจ่ายทั้งสิ้น",IF($AD78="H",INDEX($X$5:$X$404,$AC78),IF($AD78="T","รวม",IF($AD78="B",IFERROR(INDEX(อัตราค่าขนส่ง!$S$5:$S$14,MATCH(INDEX($AM$5:$AM$404,$AC78),อัตราค่าขนส่ง!$R$5:$R$14,0)),"รวมกลุ่ม "&amp;INDEX($AM$5:$AM$404,$AC78)),INDEX($AY$5:$AY$404,$AC78))))))</f>
        <v/>
      </c>
      <c r="B78" s="31">
        <f>IF($AD78&lt;&gt;"D","",INDEX($AW$5:$AW$404,$AC78))</f>
        <v/>
      </c>
      <c r="C78" s="68">
        <f>IF($AD78&lt;&gt;"D","",INDEX($AX$5:$AX$404,$AC78))</f>
        <v/>
      </c>
      <c r="D78" s="70">
        <f>IF($AD78&lt;&gt;"D","",INDEX($BA$5:$BA$404,$AC78))</f>
        <v/>
      </c>
      <c r="E78" s="31">
        <f>IF($AD78="Z",SUM($AR$5:$AR$404),IF($AD78="D",INDEX($AR$5:$AR$404,$AC78),IF($AD78="T",SUMIF($X$5:$X$404,$AF78,$AR$5:$AR$404),IF($AD78="B",SUMIF($AN$5:$AN$404,$AQ78,$AR$5:$AR$404),""))))</f>
        <v/>
      </c>
      <c r="F78" s="32">
        <f>IF($AD78="Z",ROUND(SUM($AS$5:$AS$404),2),IF($AD78="D",INDEX($AS$5:$AS$404,$AC78),IF($AD78="T",ROUND(SUMIF($X$5:$X$404,$AF78,$AS$5:$AS$404),2),IF($AD78="B",ROUND(SUMIF($AN$5:$AN$404,$AQ78,$AS$5:$AS$404),2),""))))</f>
        <v/>
      </c>
      <c r="G78" s="32">
        <f>IF($AD78&lt;&gt;"D","",INDEX($AT$5:$AT$404,$AC78))</f>
        <v/>
      </c>
      <c r="H78" s="32">
        <f>IF($AD78&lt;&gt;"D","",INDEX($BC$5:$BC$404,$AC78))</f>
        <v/>
      </c>
      <c r="I78" s="32">
        <f>IF($AD78&lt;&gt;"D","",INDEX($BD$5:$BD$404,$AC78))</f>
        <v/>
      </c>
      <c r="J78" s="46">
        <f>IF($AD78&lt;&gt;"D","",IF(N($B78)=0,"",ROUND($I78/$B78,4)))</f>
        <v/>
      </c>
      <c r="K78" s="32">
        <f>IF($AD78="Z",ROUND(SUM($AU$5:$AU$404),2),IF($AD78="D",INDEX($AU$5:$AU$404,$AC78),IF($AD78="T",ROUND(SUMIF($X$5:$X$404,$AF78,$AU$5:$AU$404),2),IF($AD78="B",ROUND(SUMIF($AN$5:$AN$404,$AQ78,$AU$5:$AU$404),2),""))))</f>
        <v/>
      </c>
      <c r="L78" s="32">
        <f>IF($AD78="Z",ROUND(SUM($AV$5:$AV$404),2),IF($AD78="D",INDEX($AV$5:$AV$404,$AC78),IF($AD78="T",ROUND(SUMIF($X$5:$X$404,$AF78,$AV$5:$AV$404),2),IF($AD78="B",ROUND(SUMIF($AN$5:$AN$404,$AQ78,$AV$5:$AV$404),2),""))))</f>
        <v/>
      </c>
      <c r="M78" s="32">
        <f>IF($AD78="Z",ROUND(SUM($AJ$5:$AJ$704),2),IF($AD78="B",ROUND(SUMIF($AQ$5:$AQ$704,$AQ78,$AJ$5:$AJ$704),2),IF($AD78&lt;&gt;"T","",$AJ78)))</f>
        <v/>
      </c>
      <c r="N78" s="32">
        <f>IF(OR($AD78="D",$AD78="T",$AD78="B",$AD78="Z"),ROUND(N($K78)-N($L78)-N($M78),2),"")</f>
        <v/>
      </c>
      <c r="O78" s="32">
        <f>IF(OR($AD78="D",$AD78="T",$AD78="B",$AD78="Z"),IF(N($E78)=0,"",ROUND($F78/$E78,2)),"")</f>
        <v/>
      </c>
      <c r="Q78">
        <f>IFERROR(MATCH(74,บันทึกรายเที่ยว!$Z$6:$Z$6005,0),"")</f>
        <v/>
      </c>
      <c r="R78">
        <f>IF($Q78="","",INDEX(บันทึกรายเที่ยว!$V$6:$V$6005,$Q78))</f>
        <v/>
      </c>
      <c r="S78">
        <f>IF($Q78="","",INDEX(บันทึกรายเที่ยว!$F$6:$F$6005,$Q78))</f>
        <v/>
      </c>
      <c r="T78">
        <f>IF($Q78="","",MATCH($S78,บันทึกรายเที่ยว!$F$6:$F$6005,0))</f>
        <v/>
      </c>
      <c r="U78">
        <f>IF($Q78="","",$AL78*10000000+$T78*1000+74)</f>
        <v/>
      </c>
      <c r="V78">
        <f>IFERROR(MATCH(SMALL($U$5:$U$404,74),$U$5:$U$404,0),"")</f>
        <v/>
      </c>
      <c r="W78">
        <f>IF($V78="","",INDEX($Q$5:$Q$404,$V78))</f>
        <v/>
      </c>
      <c r="X78">
        <f>IF($V78="","",INDEX($S$5:$S$404,$V78))</f>
        <v/>
      </c>
      <c r="Y78">
        <f>IF($V78="","",INDEX($R$5:$R$404,$V78))</f>
        <v/>
      </c>
      <c r="Z78">
        <f>IF($V78="",0,IF($X78&lt;&gt;$X77,1,0))</f>
        <v/>
      </c>
      <c r="AA78">
        <f>IF($V78="",0,IF($V79="",1,IF($X79&lt;&gt;$X78,1,0)))</f>
        <v/>
      </c>
      <c r="AB78">
        <f>IF($V78="",99999+74,$AB77+1+$Z77+$AA77+$AO77)</f>
        <v/>
      </c>
      <c r="AC78">
        <f>IFERROR(MATCH(74,$AB$5:$AB$404,1),"")</f>
        <v/>
      </c>
      <c r="AD78">
        <f>IF(74=$AI$1+1,"Z",IF($AC78="","",IF(INDEX($V$5:$V$404,$AC78)="","",IF(74&gt;INDEX($AB$5:$AB$404,$AC78)+INDEX($Z$5:$Z$404,$AC78)+INDEX($AA$5:$AA$404,$AC78)+INDEX($AO$5:$AO$404,$AC78),"",IF(74=INDEX($AB$5:$AB$404,$AC78)+INDEX($Z$5:$Z$404,$AC78),"D",IF(AND(INDEX($Z$5:$Z$404,$AC78)=1,74=INDEX($AB$5:$AB$404,$AC78)),"H",IF(AND(INDEX($AO$5:$AO$404,$AC78)=1,74=INDEX($AB$5:$AB$404,$AC78)+INDEX($Z$5:$Z$404,$AC78)+INDEX($AA$5:$AA$404,$AC78)+INDEX($AO$5:$AO$404,$AC78)),"B","T")))))))</f>
        <v/>
      </c>
      <c r="AF78">
        <f>IF(OR($AD78="",$AD78="Z",$AD78="B"),"",INDEX($X$5:$X$404,$AC78))</f>
        <v/>
      </c>
      <c r="AJ78">
        <f>IF($AD78&lt;&gt;"T",0,ROUND(SUMIF(oil!$B$4:$B$63,$AF78,oil!$AE$4:$AE$63),2))</f>
        <v/>
      </c>
      <c r="AK78">
        <f>IF($S78="","",IFERROR(INDEX(อัตราค่าขนส่ง!$P$5:$P$54,MATCH($S78,อัตราค่าขนส่ง!$O$5:$O$54,0)),INDEX(รายการมาตรฐาน!$G$2:$G$3,1)))</f>
        <v/>
      </c>
      <c r="AL78">
        <f>IF($S78="","",IFERROR(MATCH($AK78,รายการมาตรฐาน!$G$2:$G$3,0),1))</f>
        <v/>
      </c>
      <c r="AM78">
        <f>IF($V78="","",INDEX($AK$5:$AK$404,$V78))</f>
        <v/>
      </c>
      <c r="AN78">
        <f>IF($V78="","",INDEX($AL$5:$AL$404,$V78))</f>
        <v/>
      </c>
      <c r="AO78">
        <f>IF(OR($V78="",$AI$2&lt;=1),0,IF($V79="",1,IF($AN79&lt;&gt;$AN78,1,0)))</f>
        <v/>
      </c>
      <c r="AP78">
        <f>IF($V78="",0,IF($AN78&lt;&gt;$AN77,1,0))</f>
        <v/>
      </c>
      <c r="AQ78">
        <f>IF(OR($AD78="",$AD78="Z"),"",INDEX($AN$5:$AN$404,$AC78))</f>
        <v/>
      </c>
      <c r="AR78">
        <f>IF($Y78="",0,COUNTIF(บันทึกรายเที่ยว!$V$6:$V$6005,$Y78))</f>
        <v/>
      </c>
      <c r="AS78">
        <f>IF($Y78="",0,ROUND(SUMIF(บันทึกรายเที่ยว!$V$6:$V$6005,$Y78,บันทึกรายเที่ยว!$M$6:$M$6005),2))</f>
        <v/>
      </c>
      <c r="AT78">
        <f>IF($Y78="",0,IFERROR(INDEX(อัตราค่าขนส่ง!$G$5:$G$204,MATCH($Y78,อัตราค่าขนส่ง!$M$5:$M$204,0)),0))</f>
        <v/>
      </c>
      <c r="AU78">
        <f>ROUND($AS78*$BD78,2)</f>
        <v/>
      </c>
      <c r="AV78">
        <f>ROUND($AU78*$BF$2/100,2)</f>
        <v/>
      </c>
      <c r="AW78">
        <f>IF($Y78="","",IFERROR(INDEX(อัตราค่าขนส่ง!$F$5:$F$204,MATCH($Y78,อัตราค่าขนส่ง!$M$5:$M$204,0)),""))</f>
        <v/>
      </c>
      <c r="AX78">
        <f>IF($W78="","",INDEX(บันทึกรายเที่ยว!$D$6:$D$6005,$W78))</f>
        <v/>
      </c>
      <c r="AY78">
        <f>IF($W78="","",INDEX(บันทึกรายเที่ยว!$R$6:$R$6005,$W78))</f>
        <v/>
      </c>
      <c r="AZ78">
        <f>IF(AND($AD78="T",$AQ78=1),N($AZ77)+1,N($AZ77))</f>
        <v/>
      </c>
      <c r="BA78">
        <f>IF($W78="","",INDEX(บันทึกรายเที่ยว!$E$6:$E$6005,$W78))</f>
        <v/>
      </c>
      <c r="BC78">
        <f>IF($Y78="",0,IFERROR(INDEX(อัตราค่าขนส่ง!$K$5:$K$204,MATCH($Y78,อัตราค่าขนส่ง!$M$5:$M$204,0)),0))</f>
        <v/>
      </c>
      <c r="BD78">
        <f>IF($Y78="",0,IFERROR(INDEX(อัตราค่าขนส่ง!$L$5:$L$204,MATCH($Y78,อัตราค่าขนส่ง!$M$5:$M$204,0)),0))</f>
        <v/>
      </c>
    </row>
    <row r="79" ht="21" customHeight="1" s="66">
      <c r="A79" s="69">
        <f>IF($AD79="","",IF($AD79="Z","รวมจ่ายทั้งสิ้น",IF($AD79="H",INDEX($X$5:$X$404,$AC79),IF($AD79="T","รวม",IF($AD79="B",IFERROR(INDEX(อัตราค่าขนส่ง!$S$5:$S$14,MATCH(INDEX($AM$5:$AM$404,$AC79),อัตราค่าขนส่ง!$R$5:$R$14,0)),"รวมกลุ่ม "&amp;INDEX($AM$5:$AM$404,$AC79)),INDEX($AY$5:$AY$404,$AC79))))))</f>
        <v/>
      </c>
      <c r="B79" s="31">
        <f>IF($AD79&lt;&gt;"D","",INDEX($AW$5:$AW$404,$AC79))</f>
        <v/>
      </c>
      <c r="C79" s="68">
        <f>IF($AD79&lt;&gt;"D","",INDEX($AX$5:$AX$404,$AC79))</f>
        <v/>
      </c>
      <c r="D79" s="70">
        <f>IF($AD79&lt;&gt;"D","",INDEX($BA$5:$BA$404,$AC79))</f>
        <v/>
      </c>
      <c r="E79" s="31">
        <f>IF($AD79="Z",SUM($AR$5:$AR$404),IF($AD79="D",INDEX($AR$5:$AR$404,$AC79),IF($AD79="T",SUMIF($X$5:$X$404,$AF79,$AR$5:$AR$404),IF($AD79="B",SUMIF($AN$5:$AN$404,$AQ79,$AR$5:$AR$404),""))))</f>
        <v/>
      </c>
      <c r="F79" s="32">
        <f>IF($AD79="Z",ROUND(SUM($AS$5:$AS$404),2),IF($AD79="D",INDEX($AS$5:$AS$404,$AC79),IF($AD79="T",ROUND(SUMIF($X$5:$X$404,$AF79,$AS$5:$AS$404),2),IF($AD79="B",ROUND(SUMIF($AN$5:$AN$404,$AQ79,$AS$5:$AS$404),2),""))))</f>
        <v/>
      </c>
      <c r="G79" s="32">
        <f>IF($AD79&lt;&gt;"D","",INDEX($AT$5:$AT$404,$AC79))</f>
        <v/>
      </c>
      <c r="H79" s="32">
        <f>IF($AD79&lt;&gt;"D","",INDEX($BC$5:$BC$404,$AC79))</f>
        <v/>
      </c>
      <c r="I79" s="32">
        <f>IF($AD79&lt;&gt;"D","",INDEX($BD$5:$BD$404,$AC79))</f>
        <v/>
      </c>
      <c r="J79" s="46">
        <f>IF($AD79&lt;&gt;"D","",IF(N($B79)=0,"",ROUND($I79/$B79,4)))</f>
        <v/>
      </c>
      <c r="K79" s="32">
        <f>IF($AD79="Z",ROUND(SUM($AU$5:$AU$404),2),IF($AD79="D",INDEX($AU$5:$AU$404,$AC79),IF($AD79="T",ROUND(SUMIF($X$5:$X$404,$AF79,$AU$5:$AU$404),2),IF($AD79="B",ROUND(SUMIF($AN$5:$AN$404,$AQ79,$AU$5:$AU$404),2),""))))</f>
        <v/>
      </c>
      <c r="L79" s="32">
        <f>IF($AD79="Z",ROUND(SUM($AV$5:$AV$404),2),IF($AD79="D",INDEX($AV$5:$AV$404,$AC79),IF($AD79="T",ROUND(SUMIF($X$5:$X$404,$AF79,$AV$5:$AV$404),2),IF($AD79="B",ROUND(SUMIF($AN$5:$AN$404,$AQ79,$AV$5:$AV$404),2),""))))</f>
        <v/>
      </c>
      <c r="M79" s="32">
        <f>IF($AD79="Z",ROUND(SUM($AJ$5:$AJ$704),2),IF($AD79="B",ROUND(SUMIF($AQ$5:$AQ$704,$AQ79,$AJ$5:$AJ$704),2),IF($AD79&lt;&gt;"T","",$AJ79)))</f>
        <v/>
      </c>
      <c r="N79" s="32">
        <f>IF(OR($AD79="D",$AD79="T",$AD79="B",$AD79="Z"),ROUND(N($K79)-N($L79)-N($M79),2),"")</f>
        <v/>
      </c>
      <c r="O79" s="32">
        <f>IF(OR($AD79="D",$AD79="T",$AD79="B",$AD79="Z"),IF(N($E79)=0,"",ROUND($F79/$E79,2)),"")</f>
        <v/>
      </c>
      <c r="Q79">
        <f>IFERROR(MATCH(75,บันทึกรายเที่ยว!$Z$6:$Z$6005,0),"")</f>
        <v/>
      </c>
      <c r="R79">
        <f>IF($Q79="","",INDEX(บันทึกรายเที่ยว!$V$6:$V$6005,$Q79))</f>
        <v/>
      </c>
      <c r="S79">
        <f>IF($Q79="","",INDEX(บันทึกรายเที่ยว!$F$6:$F$6005,$Q79))</f>
        <v/>
      </c>
      <c r="T79">
        <f>IF($Q79="","",MATCH($S79,บันทึกรายเที่ยว!$F$6:$F$6005,0))</f>
        <v/>
      </c>
      <c r="U79">
        <f>IF($Q79="","",$AL79*10000000+$T79*1000+75)</f>
        <v/>
      </c>
      <c r="V79">
        <f>IFERROR(MATCH(SMALL($U$5:$U$404,75),$U$5:$U$404,0),"")</f>
        <v/>
      </c>
      <c r="W79">
        <f>IF($V79="","",INDEX($Q$5:$Q$404,$V79))</f>
        <v/>
      </c>
      <c r="X79">
        <f>IF($V79="","",INDEX($S$5:$S$404,$V79))</f>
        <v/>
      </c>
      <c r="Y79">
        <f>IF($V79="","",INDEX($R$5:$R$404,$V79))</f>
        <v/>
      </c>
      <c r="Z79">
        <f>IF($V79="",0,IF($X79&lt;&gt;$X78,1,0))</f>
        <v/>
      </c>
      <c r="AA79">
        <f>IF($V79="",0,IF($V80="",1,IF($X80&lt;&gt;$X79,1,0)))</f>
        <v/>
      </c>
      <c r="AB79">
        <f>IF($V79="",99999+75,$AB78+1+$Z78+$AA78+$AO78)</f>
        <v/>
      </c>
      <c r="AC79">
        <f>IFERROR(MATCH(75,$AB$5:$AB$404,1),"")</f>
        <v/>
      </c>
      <c r="AD79">
        <f>IF(75=$AI$1+1,"Z",IF($AC79="","",IF(INDEX($V$5:$V$404,$AC79)="","",IF(75&gt;INDEX($AB$5:$AB$404,$AC79)+INDEX($Z$5:$Z$404,$AC79)+INDEX($AA$5:$AA$404,$AC79)+INDEX($AO$5:$AO$404,$AC79),"",IF(75=INDEX($AB$5:$AB$404,$AC79)+INDEX($Z$5:$Z$404,$AC79),"D",IF(AND(INDEX($Z$5:$Z$404,$AC79)=1,75=INDEX($AB$5:$AB$404,$AC79)),"H",IF(AND(INDEX($AO$5:$AO$404,$AC79)=1,75=INDEX($AB$5:$AB$404,$AC79)+INDEX($Z$5:$Z$404,$AC79)+INDEX($AA$5:$AA$404,$AC79)+INDEX($AO$5:$AO$404,$AC79)),"B","T")))))))</f>
        <v/>
      </c>
      <c r="AF79">
        <f>IF(OR($AD79="",$AD79="Z",$AD79="B"),"",INDEX($X$5:$X$404,$AC79))</f>
        <v/>
      </c>
      <c r="AJ79">
        <f>IF($AD79&lt;&gt;"T",0,ROUND(SUMIF(oil!$B$4:$B$63,$AF79,oil!$AE$4:$AE$63),2))</f>
        <v/>
      </c>
      <c r="AK79">
        <f>IF($S79="","",IFERROR(INDEX(อัตราค่าขนส่ง!$P$5:$P$54,MATCH($S79,อัตราค่าขนส่ง!$O$5:$O$54,0)),INDEX(รายการมาตรฐาน!$G$2:$G$3,1)))</f>
        <v/>
      </c>
      <c r="AL79">
        <f>IF($S79="","",IFERROR(MATCH($AK79,รายการมาตรฐาน!$G$2:$G$3,0),1))</f>
        <v/>
      </c>
      <c r="AM79">
        <f>IF($V79="","",INDEX($AK$5:$AK$404,$V79))</f>
        <v/>
      </c>
      <c r="AN79">
        <f>IF($V79="","",INDEX($AL$5:$AL$404,$V79))</f>
        <v/>
      </c>
      <c r="AO79">
        <f>IF(OR($V79="",$AI$2&lt;=1),0,IF($V80="",1,IF($AN80&lt;&gt;$AN79,1,0)))</f>
        <v/>
      </c>
      <c r="AP79">
        <f>IF($V79="",0,IF($AN79&lt;&gt;$AN78,1,0))</f>
        <v/>
      </c>
      <c r="AQ79">
        <f>IF(OR($AD79="",$AD79="Z"),"",INDEX($AN$5:$AN$404,$AC79))</f>
        <v/>
      </c>
      <c r="AR79">
        <f>IF($Y79="",0,COUNTIF(บันทึกรายเที่ยว!$V$6:$V$6005,$Y79))</f>
        <v/>
      </c>
      <c r="AS79">
        <f>IF($Y79="",0,ROUND(SUMIF(บันทึกรายเที่ยว!$V$6:$V$6005,$Y79,บันทึกรายเที่ยว!$M$6:$M$6005),2))</f>
        <v/>
      </c>
      <c r="AT79">
        <f>IF($Y79="",0,IFERROR(INDEX(อัตราค่าขนส่ง!$G$5:$G$204,MATCH($Y79,อัตราค่าขนส่ง!$M$5:$M$204,0)),0))</f>
        <v/>
      </c>
      <c r="AU79">
        <f>ROUND($AS79*$BD79,2)</f>
        <v/>
      </c>
      <c r="AV79">
        <f>ROUND($AU79*$BF$2/100,2)</f>
        <v/>
      </c>
      <c r="AW79">
        <f>IF($Y79="","",IFERROR(INDEX(อัตราค่าขนส่ง!$F$5:$F$204,MATCH($Y79,อัตราค่าขนส่ง!$M$5:$M$204,0)),""))</f>
        <v/>
      </c>
      <c r="AX79">
        <f>IF($W79="","",INDEX(บันทึกรายเที่ยว!$D$6:$D$6005,$W79))</f>
        <v/>
      </c>
      <c r="AY79">
        <f>IF($W79="","",INDEX(บันทึกรายเที่ยว!$R$6:$R$6005,$W79))</f>
        <v/>
      </c>
      <c r="AZ79">
        <f>IF(AND($AD79="T",$AQ79=1),N($AZ78)+1,N($AZ78))</f>
        <v/>
      </c>
      <c r="BA79">
        <f>IF($W79="","",INDEX(บันทึกรายเที่ยว!$E$6:$E$6005,$W79))</f>
        <v/>
      </c>
      <c r="BC79">
        <f>IF($Y79="",0,IFERROR(INDEX(อัตราค่าขนส่ง!$K$5:$K$204,MATCH($Y79,อัตราค่าขนส่ง!$M$5:$M$204,0)),0))</f>
        <v/>
      </c>
      <c r="BD79">
        <f>IF($Y79="",0,IFERROR(INDEX(อัตราค่าขนส่ง!$L$5:$L$204,MATCH($Y79,อัตราค่าขนส่ง!$M$5:$M$204,0)),0))</f>
        <v/>
      </c>
    </row>
    <row r="80" ht="21" customHeight="1" s="66">
      <c r="A80" s="69">
        <f>IF($AD80="","",IF($AD80="Z","รวมจ่ายทั้งสิ้น",IF($AD80="H",INDEX($X$5:$X$404,$AC80),IF($AD80="T","รวม",IF($AD80="B",IFERROR(INDEX(อัตราค่าขนส่ง!$S$5:$S$14,MATCH(INDEX($AM$5:$AM$404,$AC80),อัตราค่าขนส่ง!$R$5:$R$14,0)),"รวมกลุ่ม "&amp;INDEX($AM$5:$AM$404,$AC80)),INDEX($AY$5:$AY$404,$AC80))))))</f>
        <v/>
      </c>
      <c r="B80" s="31">
        <f>IF($AD80&lt;&gt;"D","",INDEX($AW$5:$AW$404,$AC80))</f>
        <v/>
      </c>
      <c r="C80" s="68">
        <f>IF($AD80&lt;&gt;"D","",INDEX($AX$5:$AX$404,$AC80))</f>
        <v/>
      </c>
      <c r="D80" s="70">
        <f>IF($AD80&lt;&gt;"D","",INDEX($BA$5:$BA$404,$AC80))</f>
        <v/>
      </c>
      <c r="E80" s="31">
        <f>IF($AD80="Z",SUM($AR$5:$AR$404),IF($AD80="D",INDEX($AR$5:$AR$404,$AC80),IF($AD80="T",SUMIF($X$5:$X$404,$AF80,$AR$5:$AR$404),IF($AD80="B",SUMIF($AN$5:$AN$404,$AQ80,$AR$5:$AR$404),""))))</f>
        <v/>
      </c>
      <c r="F80" s="32">
        <f>IF($AD80="Z",ROUND(SUM($AS$5:$AS$404),2),IF($AD80="D",INDEX($AS$5:$AS$404,$AC80),IF($AD80="T",ROUND(SUMIF($X$5:$X$404,$AF80,$AS$5:$AS$404),2),IF($AD80="B",ROUND(SUMIF($AN$5:$AN$404,$AQ80,$AS$5:$AS$404),2),""))))</f>
        <v/>
      </c>
      <c r="G80" s="32">
        <f>IF($AD80&lt;&gt;"D","",INDEX($AT$5:$AT$404,$AC80))</f>
        <v/>
      </c>
      <c r="H80" s="32">
        <f>IF($AD80&lt;&gt;"D","",INDEX($BC$5:$BC$404,$AC80))</f>
        <v/>
      </c>
      <c r="I80" s="32">
        <f>IF($AD80&lt;&gt;"D","",INDEX($BD$5:$BD$404,$AC80))</f>
        <v/>
      </c>
      <c r="J80" s="46">
        <f>IF($AD80&lt;&gt;"D","",IF(N($B80)=0,"",ROUND($I80/$B80,4)))</f>
        <v/>
      </c>
      <c r="K80" s="32">
        <f>IF($AD80="Z",ROUND(SUM($AU$5:$AU$404),2),IF($AD80="D",INDEX($AU$5:$AU$404,$AC80),IF($AD80="T",ROUND(SUMIF($X$5:$X$404,$AF80,$AU$5:$AU$404),2),IF($AD80="B",ROUND(SUMIF($AN$5:$AN$404,$AQ80,$AU$5:$AU$404),2),""))))</f>
        <v/>
      </c>
      <c r="L80" s="32">
        <f>IF($AD80="Z",ROUND(SUM($AV$5:$AV$404),2),IF($AD80="D",INDEX($AV$5:$AV$404,$AC80),IF($AD80="T",ROUND(SUMIF($X$5:$X$404,$AF80,$AV$5:$AV$404),2),IF($AD80="B",ROUND(SUMIF($AN$5:$AN$404,$AQ80,$AV$5:$AV$404),2),""))))</f>
        <v/>
      </c>
      <c r="M80" s="32">
        <f>IF($AD80="Z",ROUND(SUM($AJ$5:$AJ$704),2),IF($AD80="B",ROUND(SUMIF($AQ$5:$AQ$704,$AQ80,$AJ$5:$AJ$704),2),IF($AD80&lt;&gt;"T","",$AJ80)))</f>
        <v/>
      </c>
      <c r="N80" s="32">
        <f>IF(OR($AD80="D",$AD80="T",$AD80="B",$AD80="Z"),ROUND(N($K80)-N($L80)-N($M80),2),"")</f>
        <v/>
      </c>
      <c r="O80" s="32">
        <f>IF(OR($AD80="D",$AD80="T",$AD80="B",$AD80="Z"),IF(N($E80)=0,"",ROUND($F80/$E80,2)),"")</f>
        <v/>
      </c>
      <c r="Q80">
        <f>IFERROR(MATCH(76,บันทึกรายเที่ยว!$Z$6:$Z$6005,0),"")</f>
        <v/>
      </c>
      <c r="R80">
        <f>IF($Q80="","",INDEX(บันทึกรายเที่ยว!$V$6:$V$6005,$Q80))</f>
        <v/>
      </c>
      <c r="S80">
        <f>IF($Q80="","",INDEX(บันทึกรายเที่ยว!$F$6:$F$6005,$Q80))</f>
        <v/>
      </c>
      <c r="T80">
        <f>IF($Q80="","",MATCH($S80,บันทึกรายเที่ยว!$F$6:$F$6005,0))</f>
        <v/>
      </c>
      <c r="U80">
        <f>IF($Q80="","",$AL80*10000000+$T80*1000+76)</f>
        <v/>
      </c>
      <c r="V80">
        <f>IFERROR(MATCH(SMALL($U$5:$U$404,76),$U$5:$U$404,0),"")</f>
        <v/>
      </c>
      <c r="W80">
        <f>IF($V80="","",INDEX($Q$5:$Q$404,$V80))</f>
        <v/>
      </c>
      <c r="X80">
        <f>IF($V80="","",INDEX($S$5:$S$404,$V80))</f>
        <v/>
      </c>
      <c r="Y80">
        <f>IF($V80="","",INDEX($R$5:$R$404,$V80))</f>
        <v/>
      </c>
      <c r="Z80">
        <f>IF($V80="",0,IF($X80&lt;&gt;$X79,1,0))</f>
        <v/>
      </c>
      <c r="AA80">
        <f>IF($V80="",0,IF($V81="",1,IF($X81&lt;&gt;$X80,1,0)))</f>
        <v/>
      </c>
      <c r="AB80">
        <f>IF($V80="",99999+76,$AB79+1+$Z79+$AA79+$AO79)</f>
        <v/>
      </c>
      <c r="AC80">
        <f>IFERROR(MATCH(76,$AB$5:$AB$404,1),"")</f>
        <v/>
      </c>
      <c r="AD80">
        <f>IF(76=$AI$1+1,"Z",IF($AC80="","",IF(INDEX($V$5:$V$404,$AC80)="","",IF(76&gt;INDEX($AB$5:$AB$404,$AC80)+INDEX($Z$5:$Z$404,$AC80)+INDEX($AA$5:$AA$404,$AC80)+INDEX($AO$5:$AO$404,$AC80),"",IF(76=INDEX($AB$5:$AB$404,$AC80)+INDEX($Z$5:$Z$404,$AC80),"D",IF(AND(INDEX($Z$5:$Z$404,$AC80)=1,76=INDEX($AB$5:$AB$404,$AC80)),"H",IF(AND(INDEX($AO$5:$AO$404,$AC80)=1,76=INDEX($AB$5:$AB$404,$AC80)+INDEX($Z$5:$Z$404,$AC80)+INDEX($AA$5:$AA$404,$AC80)+INDEX($AO$5:$AO$404,$AC80)),"B","T")))))))</f>
        <v/>
      </c>
      <c r="AF80">
        <f>IF(OR($AD80="",$AD80="Z",$AD80="B"),"",INDEX($X$5:$X$404,$AC80))</f>
        <v/>
      </c>
      <c r="AJ80">
        <f>IF($AD80&lt;&gt;"T",0,ROUND(SUMIF(oil!$B$4:$B$63,$AF80,oil!$AE$4:$AE$63),2))</f>
        <v/>
      </c>
      <c r="AK80">
        <f>IF($S80="","",IFERROR(INDEX(อัตราค่าขนส่ง!$P$5:$P$54,MATCH($S80,อัตราค่าขนส่ง!$O$5:$O$54,0)),INDEX(รายการมาตรฐาน!$G$2:$G$3,1)))</f>
        <v/>
      </c>
      <c r="AL80">
        <f>IF($S80="","",IFERROR(MATCH($AK80,รายการมาตรฐาน!$G$2:$G$3,0),1))</f>
        <v/>
      </c>
      <c r="AM80">
        <f>IF($V80="","",INDEX($AK$5:$AK$404,$V80))</f>
        <v/>
      </c>
      <c r="AN80">
        <f>IF($V80="","",INDEX($AL$5:$AL$404,$V80))</f>
        <v/>
      </c>
      <c r="AO80">
        <f>IF(OR($V80="",$AI$2&lt;=1),0,IF($V81="",1,IF($AN81&lt;&gt;$AN80,1,0)))</f>
        <v/>
      </c>
      <c r="AP80">
        <f>IF($V80="",0,IF($AN80&lt;&gt;$AN79,1,0))</f>
        <v/>
      </c>
      <c r="AQ80">
        <f>IF(OR($AD80="",$AD80="Z"),"",INDEX($AN$5:$AN$404,$AC80))</f>
        <v/>
      </c>
      <c r="AR80">
        <f>IF($Y80="",0,COUNTIF(บันทึกรายเที่ยว!$V$6:$V$6005,$Y80))</f>
        <v/>
      </c>
      <c r="AS80">
        <f>IF($Y80="",0,ROUND(SUMIF(บันทึกรายเที่ยว!$V$6:$V$6005,$Y80,บันทึกรายเที่ยว!$M$6:$M$6005),2))</f>
        <v/>
      </c>
      <c r="AT80">
        <f>IF($Y80="",0,IFERROR(INDEX(อัตราค่าขนส่ง!$G$5:$G$204,MATCH($Y80,อัตราค่าขนส่ง!$M$5:$M$204,0)),0))</f>
        <v/>
      </c>
      <c r="AU80">
        <f>ROUND($AS80*$BD80,2)</f>
        <v/>
      </c>
      <c r="AV80">
        <f>ROUND($AU80*$BF$2/100,2)</f>
        <v/>
      </c>
      <c r="AW80">
        <f>IF($Y80="","",IFERROR(INDEX(อัตราค่าขนส่ง!$F$5:$F$204,MATCH($Y80,อัตราค่าขนส่ง!$M$5:$M$204,0)),""))</f>
        <v/>
      </c>
      <c r="AX80">
        <f>IF($W80="","",INDEX(บันทึกรายเที่ยว!$D$6:$D$6005,$W80))</f>
        <v/>
      </c>
      <c r="AY80">
        <f>IF($W80="","",INDEX(บันทึกรายเที่ยว!$R$6:$R$6005,$W80))</f>
        <v/>
      </c>
      <c r="AZ80">
        <f>IF(AND($AD80="T",$AQ80=1),N($AZ79)+1,N($AZ79))</f>
        <v/>
      </c>
      <c r="BA80">
        <f>IF($W80="","",INDEX(บันทึกรายเที่ยว!$E$6:$E$6005,$W80))</f>
        <v/>
      </c>
      <c r="BC80">
        <f>IF($Y80="",0,IFERROR(INDEX(อัตราค่าขนส่ง!$K$5:$K$204,MATCH($Y80,อัตราค่าขนส่ง!$M$5:$M$204,0)),0))</f>
        <v/>
      </c>
      <c r="BD80">
        <f>IF($Y80="",0,IFERROR(INDEX(อัตราค่าขนส่ง!$L$5:$L$204,MATCH($Y80,อัตราค่าขนส่ง!$M$5:$M$204,0)),0))</f>
        <v/>
      </c>
    </row>
    <row r="81" ht="21" customHeight="1" s="66">
      <c r="A81" s="69">
        <f>IF($AD81="","",IF($AD81="Z","รวมจ่ายทั้งสิ้น",IF($AD81="H",INDEX($X$5:$X$404,$AC81),IF($AD81="T","รวม",IF($AD81="B",IFERROR(INDEX(อัตราค่าขนส่ง!$S$5:$S$14,MATCH(INDEX($AM$5:$AM$404,$AC81),อัตราค่าขนส่ง!$R$5:$R$14,0)),"รวมกลุ่ม "&amp;INDEX($AM$5:$AM$404,$AC81)),INDEX($AY$5:$AY$404,$AC81))))))</f>
        <v/>
      </c>
      <c r="B81" s="31">
        <f>IF($AD81&lt;&gt;"D","",INDEX($AW$5:$AW$404,$AC81))</f>
        <v/>
      </c>
      <c r="C81" s="68">
        <f>IF($AD81&lt;&gt;"D","",INDEX($AX$5:$AX$404,$AC81))</f>
        <v/>
      </c>
      <c r="D81" s="70">
        <f>IF($AD81&lt;&gt;"D","",INDEX($BA$5:$BA$404,$AC81))</f>
        <v/>
      </c>
      <c r="E81" s="31">
        <f>IF($AD81="Z",SUM($AR$5:$AR$404),IF($AD81="D",INDEX($AR$5:$AR$404,$AC81),IF($AD81="T",SUMIF($X$5:$X$404,$AF81,$AR$5:$AR$404),IF($AD81="B",SUMIF($AN$5:$AN$404,$AQ81,$AR$5:$AR$404),""))))</f>
        <v/>
      </c>
      <c r="F81" s="32">
        <f>IF($AD81="Z",ROUND(SUM($AS$5:$AS$404),2),IF($AD81="D",INDEX($AS$5:$AS$404,$AC81),IF($AD81="T",ROUND(SUMIF($X$5:$X$404,$AF81,$AS$5:$AS$404),2),IF($AD81="B",ROUND(SUMIF($AN$5:$AN$404,$AQ81,$AS$5:$AS$404),2),""))))</f>
        <v/>
      </c>
      <c r="G81" s="32">
        <f>IF($AD81&lt;&gt;"D","",INDEX($AT$5:$AT$404,$AC81))</f>
        <v/>
      </c>
      <c r="H81" s="32">
        <f>IF($AD81&lt;&gt;"D","",INDEX($BC$5:$BC$404,$AC81))</f>
        <v/>
      </c>
      <c r="I81" s="32">
        <f>IF($AD81&lt;&gt;"D","",INDEX($BD$5:$BD$404,$AC81))</f>
        <v/>
      </c>
      <c r="J81" s="46">
        <f>IF($AD81&lt;&gt;"D","",IF(N($B81)=0,"",ROUND($I81/$B81,4)))</f>
        <v/>
      </c>
      <c r="K81" s="32">
        <f>IF($AD81="Z",ROUND(SUM($AU$5:$AU$404),2),IF($AD81="D",INDEX($AU$5:$AU$404,$AC81),IF($AD81="T",ROUND(SUMIF($X$5:$X$404,$AF81,$AU$5:$AU$404),2),IF($AD81="B",ROUND(SUMIF($AN$5:$AN$404,$AQ81,$AU$5:$AU$404),2),""))))</f>
        <v/>
      </c>
      <c r="L81" s="32">
        <f>IF($AD81="Z",ROUND(SUM($AV$5:$AV$404),2),IF($AD81="D",INDEX($AV$5:$AV$404,$AC81),IF($AD81="T",ROUND(SUMIF($X$5:$X$404,$AF81,$AV$5:$AV$404),2),IF($AD81="B",ROUND(SUMIF($AN$5:$AN$404,$AQ81,$AV$5:$AV$404),2),""))))</f>
        <v/>
      </c>
      <c r="M81" s="32">
        <f>IF($AD81="Z",ROUND(SUM($AJ$5:$AJ$704),2),IF($AD81="B",ROUND(SUMIF($AQ$5:$AQ$704,$AQ81,$AJ$5:$AJ$704),2),IF($AD81&lt;&gt;"T","",$AJ81)))</f>
        <v/>
      </c>
      <c r="N81" s="32">
        <f>IF(OR($AD81="D",$AD81="T",$AD81="B",$AD81="Z"),ROUND(N($K81)-N($L81)-N($M81),2),"")</f>
        <v/>
      </c>
      <c r="O81" s="32">
        <f>IF(OR($AD81="D",$AD81="T",$AD81="B",$AD81="Z"),IF(N($E81)=0,"",ROUND($F81/$E81,2)),"")</f>
        <v/>
      </c>
      <c r="Q81">
        <f>IFERROR(MATCH(77,บันทึกรายเที่ยว!$Z$6:$Z$6005,0),"")</f>
        <v/>
      </c>
      <c r="R81">
        <f>IF($Q81="","",INDEX(บันทึกรายเที่ยว!$V$6:$V$6005,$Q81))</f>
        <v/>
      </c>
      <c r="S81">
        <f>IF($Q81="","",INDEX(บันทึกรายเที่ยว!$F$6:$F$6005,$Q81))</f>
        <v/>
      </c>
      <c r="T81">
        <f>IF($Q81="","",MATCH($S81,บันทึกรายเที่ยว!$F$6:$F$6005,0))</f>
        <v/>
      </c>
      <c r="U81">
        <f>IF($Q81="","",$AL81*10000000+$T81*1000+77)</f>
        <v/>
      </c>
      <c r="V81">
        <f>IFERROR(MATCH(SMALL($U$5:$U$404,77),$U$5:$U$404,0),"")</f>
        <v/>
      </c>
      <c r="W81">
        <f>IF($V81="","",INDEX($Q$5:$Q$404,$V81))</f>
        <v/>
      </c>
      <c r="X81">
        <f>IF($V81="","",INDEX($S$5:$S$404,$V81))</f>
        <v/>
      </c>
      <c r="Y81">
        <f>IF($V81="","",INDEX($R$5:$R$404,$V81))</f>
        <v/>
      </c>
      <c r="Z81">
        <f>IF($V81="",0,IF($X81&lt;&gt;$X80,1,0))</f>
        <v/>
      </c>
      <c r="AA81">
        <f>IF($V81="",0,IF($V82="",1,IF($X82&lt;&gt;$X81,1,0)))</f>
        <v/>
      </c>
      <c r="AB81">
        <f>IF($V81="",99999+77,$AB80+1+$Z80+$AA80+$AO80)</f>
        <v/>
      </c>
      <c r="AC81">
        <f>IFERROR(MATCH(77,$AB$5:$AB$404,1),"")</f>
        <v/>
      </c>
      <c r="AD81">
        <f>IF(77=$AI$1+1,"Z",IF($AC81="","",IF(INDEX($V$5:$V$404,$AC81)="","",IF(77&gt;INDEX($AB$5:$AB$404,$AC81)+INDEX($Z$5:$Z$404,$AC81)+INDEX($AA$5:$AA$404,$AC81)+INDEX($AO$5:$AO$404,$AC81),"",IF(77=INDEX($AB$5:$AB$404,$AC81)+INDEX($Z$5:$Z$404,$AC81),"D",IF(AND(INDEX($Z$5:$Z$404,$AC81)=1,77=INDEX($AB$5:$AB$404,$AC81)),"H",IF(AND(INDEX($AO$5:$AO$404,$AC81)=1,77=INDEX($AB$5:$AB$404,$AC81)+INDEX($Z$5:$Z$404,$AC81)+INDEX($AA$5:$AA$404,$AC81)+INDEX($AO$5:$AO$404,$AC81)),"B","T")))))))</f>
        <v/>
      </c>
      <c r="AF81">
        <f>IF(OR($AD81="",$AD81="Z",$AD81="B"),"",INDEX($X$5:$X$404,$AC81))</f>
        <v/>
      </c>
      <c r="AJ81">
        <f>IF($AD81&lt;&gt;"T",0,ROUND(SUMIF(oil!$B$4:$B$63,$AF81,oil!$AE$4:$AE$63),2))</f>
        <v/>
      </c>
      <c r="AK81">
        <f>IF($S81="","",IFERROR(INDEX(อัตราค่าขนส่ง!$P$5:$P$54,MATCH($S81,อัตราค่าขนส่ง!$O$5:$O$54,0)),INDEX(รายการมาตรฐาน!$G$2:$G$3,1)))</f>
        <v/>
      </c>
      <c r="AL81">
        <f>IF($S81="","",IFERROR(MATCH($AK81,รายการมาตรฐาน!$G$2:$G$3,0),1))</f>
        <v/>
      </c>
      <c r="AM81">
        <f>IF($V81="","",INDEX($AK$5:$AK$404,$V81))</f>
        <v/>
      </c>
      <c r="AN81">
        <f>IF($V81="","",INDEX($AL$5:$AL$404,$V81))</f>
        <v/>
      </c>
      <c r="AO81">
        <f>IF(OR($V81="",$AI$2&lt;=1),0,IF($V82="",1,IF($AN82&lt;&gt;$AN81,1,0)))</f>
        <v/>
      </c>
      <c r="AP81">
        <f>IF($V81="",0,IF($AN81&lt;&gt;$AN80,1,0))</f>
        <v/>
      </c>
      <c r="AQ81">
        <f>IF(OR($AD81="",$AD81="Z"),"",INDEX($AN$5:$AN$404,$AC81))</f>
        <v/>
      </c>
      <c r="AR81">
        <f>IF($Y81="",0,COUNTIF(บันทึกรายเที่ยว!$V$6:$V$6005,$Y81))</f>
        <v/>
      </c>
      <c r="AS81">
        <f>IF($Y81="",0,ROUND(SUMIF(บันทึกรายเที่ยว!$V$6:$V$6005,$Y81,บันทึกรายเที่ยว!$M$6:$M$6005),2))</f>
        <v/>
      </c>
      <c r="AT81">
        <f>IF($Y81="",0,IFERROR(INDEX(อัตราค่าขนส่ง!$G$5:$G$204,MATCH($Y81,อัตราค่าขนส่ง!$M$5:$M$204,0)),0))</f>
        <v/>
      </c>
      <c r="AU81">
        <f>ROUND($AS81*$BD81,2)</f>
        <v/>
      </c>
      <c r="AV81">
        <f>ROUND($AU81*$BF$2/100,2)</f>
        <v/>
      </c>
      <c r="AW81">
        <f>IF($Y81="","",IFERROR(INDEX(อัตราค่าขนส่ง!$F$5:$F$204,MATCH($Y81,อัตราค่าขนส่ง!$M$5:$M$204,0)),""))</f>
        <v/>
      </c>
      <c r="AX81">
        <f>IF($W81="","",INDEX(บันทึกรายเที่ยว!$D$6:$D$6005,$W81))</f>
        <v/>
      </c>
      <c r="AY81">
        <f>IF($W81="","",INDEX(บันทึกรายเที่ยว!$R$6:$R$6005,$W81))</f>
        <v/>
      </c>
      <c r="AZ81">
        <f>IF(AND($AD81="T",$AQ81=1),N($AZ80)+1,N($AZ80))</f>
        <v/>
      </c>
      <c r="BA81">
        <f>IF($W81="","",INDEX(บันทึกรายเที่ยว!$E$6:$E$6005,$W81))</f>
        <v/>
      </c>
      <c r="BC81">
        <f>IF($Y81="",0,IFERROR(INDEX(อัตราค่าขนส่ง!$K$5:$K$204,MATCH($Y81,อัตราค่าขนส่ง!$M$5:$M$204,0)),0))</f>
        <v/>
      </c>
      <c r="BD81">
        <f>IF($Y81="",0,IFERROR(INDEX(อัตราค่าขนส่ง!$L$5:$L$204,MATCH($Y81,อัตราค่าขนส่ง!$M$5:$M$204,0)),0))</f>
        <v/>
      </c>
    </row>
    <row r="82" ht="21" customHeight="1" s="66">
      <c r="A82" s="69">
        <f>IF($AD82="","",IF($AD82="Z","รวมจ่ายทั้งสิ้น",IF($AD82="H",INDEX($X$5:$X$404,$AC82),IF($AD82="T","รวม",IF($AD82="B",IFERROR(INDEX(อัตราค่าขนส่ง!$S$5:$S$14,MATCH(INDEX($AM$5:$AM$404,$AC82),อัตราค่าขนส่ง!$R$5:$R$14,0)),"รวมกลุ่ม "&amp;INDEX($AM$5:$AM$404,$AC82)),INDEX($AY$5:$AY$404,$AC82))))))</f>
        <v/>
      </c>
      <c r="B82" s="31">
        <f>IF($AD82&lt;&gt;"D","",INDEX($AW$5:$AW$404,$AC82))</f>
        <v/>
      </c>
      <c r="C82" s="68">
        <f>IF($AD82&lt;&gt;"D","",INDEX($AX$5:$AX$404,$AC82))</f>
        <v/>
      </c>
      <c r="D82" s="70">
        <f>IF($AD82&lt;&gt;"D","",INDEX($BA$5:$BA$404,$AC82))</f>
        <v/>
      </c>
      <c r="E82" s="31">
        <f>IF($AD82="Z",SUM($AR$5:$AR$404),IF($AD82="D",INDEX($AR$5:$AR$404,$AC82),IF($AD82="T",SUMIF($X$5:$X$404,$AF82,$AR$5:$AR$404),IF($AD82="B",SUMIF($AN$5:$AN$404,$AQ82,$AR$5:$AR$404),""))))</f>
        <v/>
      </c>
      <c r="F82" s="32">
        <f>IF($AD82="Z",ROUND(SUM($AS$5:$AS$404),2),IF($AD82="D",INDEX($AS$5:$AS$404,$AC82),IF($AD82="T",ROUND(SUMIF($X$5:$X$404,$AF82,$AS$5:$AS$404),2),IF($AD82="B",ROUND(SUMIF($AN$5:$AN$404,$AQ82,$AS$5:$AS$404),2),""))))</f>
        <v/>
      </c>
      <c r="G82" s="32">
        <f>IF($AD82&lt;&gt;"D","",INDEX($AT$5:$AT$404,$AC82))</f>
        <v/>
      </c>
      <c r="H82" s="32">
        <f>IF($AD82&lt;&gt;"D","",INDEX($BC$5:$BC$404,$AC82))</f>
        <v/>
      </c>
      <c r="I82" s="32">
        <f>IF($AD82&lt;&gt;"D","",INDEX($BD$5:$BD$404,$AC82))</f>
        <v/>
      </c>
      <c r="J82" s="46">
        <f>IF($AD82&lt;&gt;"D","",IF(N($B82)=0,"",ROUND($I82/$B82,4)))</f>
        <v/>
      </c>
      <c r="K82" s="32">
        <f>IF($AD82="Z",ROUND(SUM($AU$5:$AU$404),2),IF($AD82="D",INDEX($AU$5:$AU$404,$AC82),IF($AD82="T",ROUND(SUMIF($X$5:$X$404,$AF82,$AU$5:$AU$404),2),IF($AD82="B",ROUND(SUMIF($AN$5:$AN$404,$AQ82,$AU$5:$AU$404),2),""))))</f>
        <v/>
      </c>
      <c r="L82" s="32">
        <f>IF($AD82="Z",ROUND(SUM($AV$5:$AV$404),2),IF($AD82="D",INDEX($AV$5:$AV$404,$AC82),IF($AD82="T",ROUND(SUMIF($X$5:$X$404,$AF82,$AV$5:$AV$404),2),IF($AD82="B",ROUND(SUMIF($AN$5:$AN$404,$AQ82,$AV$5:$AV$404),2),""))))</f>
        <v/>
      </c>
      <c r="M82" s="32">
        <f>IF($AD82="Z",ROUND(SUM($AJ$5:$AJ$704),2),IF($AD82="B",ROUND(SUMIF($AQ$5:$AQ$704,$AQ82,$AJ$5:$AJ$704),2),IF($AD82&lt;&gt;"T","",$AJ82)))</f>
        <v/>
      </c>
      <c r="N82" s="32">
        <f>IF(OR($AD82="D",$AD82="T",$AD82="B",$AD82="Z"),ROUND(N($K82)-N($L82)-N($M82),2),"")</f>
        <v/>
      </c>
      <c r="O82" s="32">
        <f>IF(OR($AD82="D",$AD82="T",$AD82="B",$AD82="Z"),IF(N($E82)=0,"",ROUND($F82/$E82,2)),"")</f>
        <v/>
      </c>
      <c r="Q82">
        <f>IFERROR(MATCH(78,บันทึกรายเที่ยว!$Z$6:$Z$6005,0),"")</f>
        <v/>
      </c>
      <c r="R82">
        <f>IF($Q82="","",INDEX(บันทึกรายเที่ยว!$V$6:$V$6005,$Q82))</f>
        <v/>
      </c>
      <c r="S82">
        <f>IF($Q82="","",INDEX(บันทึกรายเที่ยว!$F$6:$F$6005,$Q82))</f>
        <v/>
      </c>
      <c r="T82">
        <f>IF($Q82="","",MATCH($S82,บันทึกรายเที่ยว!$F$6:$F$6005,0))</f>
        <v/>
      </c>
      <c r="U82">
        <f>IF($Q82="","",$AL82*10000000+$T82*1000+78)</f>
        <v/>
      </c>
      <c r="V82">
        <f>IFERROR(MATCH(SMALL($U$5:$U$404,78),$U$5:$U$404,0),"")</f>
        <v/>
      </c>
      <c r="W82">
        <f>IF($V82="","",INDEX($Q$5:$Q$404,$V82))</f>
        <v/>
      </c>
      <c r="X82">
        <f>IF($V82="","",INDEX($S$5:$S$404,$V82))</f>
        <v/>
      </c>
      <c r="Y82">
        <f>IF($V82="","",INDEX($R$5:$R$404,$V82))</f>
        <v/>
      </c>
      <c r="Z82">
        <f>IF($V82="",0,IF($X82&lt;&gt;$X81,1,0))</f>
        <v/>
      </c>
      <c r="AA82">
        <f>IF($V82="",0,IF($V83="",1,IF($X83&lt;&gt;$X82,1,0)))</f>
        <v/>
      </c>
      <c r="AB82">
        <f>IF($V82="",99999+78,$AB81+1+$Z81+$AA81+$AO81)</f>
        <v/>
      </c>
      <c r="AC82">
        <f>IFERROR(MATCH(78,$AB$5:$AB$404,1),"")</f>
        <v/>
      </c>
      <c r="AD82">
        <f>IF(78=$AI$1+1,"Z",IF($AC82="","",IF(INDEX($V$5:$V$404,$AC82)="","",IF(78&gt;INDEX($AB$5:$AB$404,$AC82)+INDEX($Z$5:$Z$404,$AC82)+INDEX($AA$5:$AA$404,$AC82)+INDEX($AO$5:$AO$404,$AC82),"",IF(78=INDEX($AB$5:$AB$404,$AC82)+INDEX($Z$5:$Z$404,$AC82),"D",IF(AND(INDEX($Z$5:$Z$404,$AC82)=1,78=INDEX($AB$5:$AB$404,$AC82)),"H",IF(AND(INDEX($AO$5:$AO$404,$AC82)=1,78=INDEX($AB$5:$AB$404,$AC82)+INDEX($Z$5:$Z$404,$AC82)+INDEX($AA$5:$AA$404,$AC82)+INDEX($AO$5:$AO$404,$AC82)),"B","T")))))))</f>
        <v/>
      </c>
      <c r="AF82">
        <f>IF(OR($AD82="",$AD82="Z",$AD82="B"),"",INDEX($X$5:$X$404,$AC82))</f>
        <v/>
      </c>
      <c r="AJ82">
        <f>IF($AD82&lt;&gt;"T",0,ROUND(SUMIF(oil!$B$4:$B$63,$AF82,oil!$AE$4:$AE$63),2))</f>
        <v/>
      </c>
      <c r="AK82">
        <f>IF($S82="","",IFERROR(INDEX(อัตราค่าขนส่ง!$P$5:$P$54,MATCH($S82,อัตราค่าขนส่ง!$O$5:$O$54,0)),INDEX(รายการมาตรฐาน!$G$2:$G$3,1)))</f>
        <v/>
      </c>
      <c r="AL82">
        <f>IF($S82="","",IFERROR(MATCH($AK82,รายการมาตรฐาน!$G$2:$G$3,0),1))</f>
        <v/>
      </c>
      <c r="AM82">
        <f>IF($V82="","",INDEX($AK$5:$AK$404,$V82))</f>
        <v/>
      </c>
      <c r="AN82">
        <f>IF($V82="","",INDEX($AL$5:$AL$404,$V82))</f>
        <v/>
      </c>
      <c r="AO82">
        <f>IF(OR($V82="",$AI$2&lt;=1),0,IF($V83="",1,IF($AN83&lt;&gt;$AN82,1,0)))</f>
        <v/>
      </c>
      <c r="AP82">
        <f>IF($V82="",0,IF($AN82&lt;&gt;$AN81,1,0))</f>
        <v/>
      </c>
      <c r="AQ82">
        <f>IF(OR($AD82="",$AD82="Z"),"",INDEX($AN$5:$AN$404,$AC82))</f>
        <v/>
      </c>
      <c r="AR82">
        <f>IF($Y82="",0,COUNTIF(บันทึกรายเที่ยว!$V$6:$V$6005,$Y82))</f>
        <v/>
      </c>
      <c r="AS82">
        <f>IF($Y82="",0,ROUND(SUMIF(บันทึกรายเที่ยว!$V$6:$V$6005,$Y82,บันทึกรายเที่ยว!$M$6:$M$6005),2))</f>
        <v/>
      </c>
      <c r="AT82">
        <f>IF($Y82="",0,IFERROR(INDEX(อัตราค่าขนส่ง!$G$5:$G$204,MATCH($Y82,อัตราค่าขนส่ง!$M$5:$M$204,0)),0))</f>
        <v/>
      </c>
      <c r="AU82">
        <f>ROUND($AS82*$BD82,2)</f>
        <v/>
      </c>
      <c r="AV82">
        <f>ROUND($AU82*$BF$2/100,2)</f>
        <v/>
      </c>
      <c r="AW82">
        <f>IF($Y82="","",IFERROR(INDEX(อัตราค่าขนส่ง!$F$5:$F$204,MATCH($Y82,อัตราค่าขนส่ง!$M$5:$M$204,0)),""))</f>
        <v/>
      </c>
      <c r="AX82">
        <f>IF($W82="","",INDEX(บันทึกรายเที่ยว!$D$6:$D$6005,$W82))</f>
        <v/>
      </c>
      <c r="AY82">
        <f>IF($W82="","",INDEX(บันทึกรายเที่ยว!$R$6:$R$6005,$W82))</f>
        <v/>
      </c>
      <c r="AZ82">
        <f>IF(AND($AD82="T",$AQ82=1),N($AZ81)+1,N($AZ81))</f>
        <v/>
      </c>
      <c r="BA82">
        <f>IF($W82="","",INDEX(บันทึกรายเที่ยว!$E$6:$E$6005,$W82))</f>
        <v/>
      </c>
      <c r="BC82">
        <f>IF($Y82="",0,IFERROR(INDEX(อัตราค่าขนส่ง!$K$5:$K$204,MATCH($Y82,อัตราค่าขนส่ง!$M$5:$M$204,0)),0))</f>
        <v/>
      </c>
      <c r="BD82">
        <f>IF($Y82="",0,IFERROR(INDEX(อัตราค่าขนส่ง!$L$5:$L$204,MATCH($Y82,อัตราค่าขนส่ง!$M$5:$M$204,0)),0))</f>
        <v/>
      </c>
    </row>
    <row r="83" ht="21" customHeight="1" s="66">
      <c r="A83" s="69">
        <f>IF($AD83="","",IF($AD83="Z","รวมจ่ายทั้งสิ้น",IF($AD83="H",INDEX($X$5:$X$404,$AC83),IF($AD83="T","รวม",IF($AD83="B",IFERROR(INDEX(อัตราค่าขนส่ง!$S$5:$S$14,MATCH(INDEX($AM$5:$AM$404,$AC83),อัตราค่าขนส่ง!$R$5:$R$14,0)),"รวมกลุ่ม "&amp;INDEX($AM$5:$AM$404,$AC83)),INDEX($AY$5:$AY$404,$AC83))))))</f>
        <v/>
      </c>
      <c r="B83" s="31">
        <f>IF($AD83&lt;&gt;"D","",INDEX($AW$5:$AW$404,$AC83))</f>
        <v/>
      </c>
      <c r="C83" s="68">
        <f>IF($AD83&lt;&gt;"D","",INDEX($AX$5:$AX$404,$AC83))</f>
        <v/>
      </c>
      <c r="D83" s="70">
        <f>IF($AD83&lt;&gt;"D","",INDEX($BA$5:$BA$404,$AC83))</f>
        <v/>
      </c>
      <c r="E83" s="31">
        <f>IF($AD83="Z",SUM($AR$5:$AR$404),IF($AD83="D",INDEX($AR$5:$AR$404,$AC83),IF($AD83="T",SUMIF($X$5:$X$404,$AF83,$AR$5:$AR$404),IF($AD83="B",SUMIF($AN$5:$AN$404,$AQ83,$AR$5:$AR$404),""))))</f>
        <v/>
      </c>
      <c r="F83" s="32">
        <f>IF($AD83="Z",ROUND(SUM($AS$5:$AS$404),2),IF($AD83="D",INDEX($AS$5:$AS$404,$AC83),IF($AD83="T",ROUND(SUMIF($X$5:$X$404,$AF83,$AS$5:$AS$404),2),IF($AD83="B",ROUND(SUMIF($AN$5:$AN$404,$AQ83,$AS$5:$AS$404),2),""))))</f>
        <v/>
      </c>
      <c r="G83" s="32">
        <f>IF($AD83&lt;&gt;"D","",INDEX($AT$5:$AT$404,$AC83))</f>
        <v/>
      </c>
      <c r="H83" s="32">
        <f>IF($AD83&lt;&gt;"D","",INDEX($BC$5:$BC$404,$AC83))</f>
        <v/>
      </c>
      <c r="I83" s="32">
        <f>IF($AD83&lt;&gt;"D","",INDEX($BD$5:$BD$404,$AC83))</f>
        <v/>
      </c>
      <c r="J83" s="46">
        <f>IF($AD83&lt;&gt;"D","",IF(N($B83)=0,"",ROUND($I83/$B83,4)))</f>
        <v/>
      </c>
      <c r="K83" s="32">
        <f>IF($AD83="Z",ROUND(SUM($AU$5:$AU$404),2),IF($AD83="D",INDEX($AU$5:$AU$404,$AC83),IF($AD83="T",ROUND(SUMIF($X$5:$X$404,$AF83,$AU$5:$AU$404),2),IF($AD83="B",ROUND(SUMIF($AN$5:$AN$404,$AQ83,$AU$5:$AU$404),2),""))))</f>
        <v/>
      </c>
      <c r="L83" s="32">
        <f>IF($AD83="Z",ROUND(SUM($AV$5:$AV$404),2),IF($AD83="D",INDEX($AV$5:$AV$404,$AC83),IF($AD83="T",ROUND(SUMIF($X$5:$X$404,$AF83,$AV$5:$AV$404),2),IF($AD83="B",ROUND(SUMIF($AN$5:$AN$404,$AQ83,$AV$5:$AV$404),2),""))))</f>
        <v/>
      </c>
      <c r="M83" s="32">
        <f>IF($AD83="Z",ROUND(SUM($AJ$5:$AJ$704),2),IF($AD83="B",ROUND(SUMIF($AQ$5:$AQ$704,$AQ83,$AJ$5:$AJ$704),2),IF($AD83&lt;&gt;"T","",$AJ83)))</f>
        <v/>
      </c>
      <c r="N83" s="32">
        <f>IF(OR($AD83="D",$AD83="T",$AD83="B",$AD83="Z"),ROUND(N($K83)-N($L83)-N($M83),2),"")</f>
        <v/>
      </c>
      <c r="O83" s="32">
        <f>IF(OR($AD83="D",$AD83="T",$AD83="B",$AD83="Z"),IF(N($E83)=0,"",ROUND($F83/$E83,2)),"")</f>
        <v/>
      </c>
      <c r="Q83">
        <f>IFERROR(MATCH(79,บันทึกรายเที่ยว!$Z$6:$Z$6005,0),"")</f>
        <v/>
      </c>
      <c r="R83">
        <f>IF($Q83="","",INDEX(บันทึกรายเที่ยว!$V$6:$V$6005,$Q83))</f>
        <v/>
      </c>
      <c r="S83">
        <f>IF($Q83="","",INDEX(บันทึกรายเที่ยว!$F$6:$F$6005,$Q83))</f>
        <v/>
      </c>
      <c r="T83">
        <f>IF($Q83="","",MATCH($S83,บันทึกรายเที่ยว!$F$6:$F$6005,0))</f>
        <v/>
      </c>
      <c r="U83">
        <f>IF($Q83="","",$AL83*10000000+$T83*1000+79)</f>
        <v/>
      </c>
      <c r="V83">
        <f>IFERROR(MATCH(SMALL($U$5:$U$404,79),$U$5:$U$404,0),"")</f>
        <v/>
      </c>
      <c r="W83">
        <f>IF($V83="","",INDEX($Q$5:$Q$404,$V83))</f>
        <v/>
      </c>
      <c r="X83">
        <f>IF($V83="","",INDEX($S$5:$S$404,$V83))</f>
        <v/>
      </c>
      <c r="Y83">
        <f>IF($V83="","",INDEX($R$5:$R$404,$V83))</f>
        <v/>
      </c>
      <c r="Z83">
        <f>IF($V83="",0,IF($X83&lt;&gt;$X82,1,0))</f>
        <v/>
      </c>
      <c r="AA83">
        <f>IF($V83="",0,IF($V84="",1,IF($X84&lt;&gt;$X83,1,0)))</f>
        <v/>
      </c>
      <c r="AB83">
        <f>IF($V83="",99999+79,$AB82+1+$Z82+$AA82+$AO82)</f>
        <v/>
      </c>
      <c r="AC83">
        <f>IFERROR(MATCH(79,$AB$5:$AB$404,1),"")</f>
        <v/>
      </c>
      <c r="AD83">
        <f>IF(79=$AI$1+1,"Z",IF($AC83="","",IF(INDEX($V$5:$V$404,$AC83)="","",IF(79&gt;INDEX($AB$5:$AB$404,$AC83)+INDEX($Z$5:$Z$404,$AC83)+INDEX($AA$5:$AA$404,$AC83)+INDEX($AO$5:$AO$404,$AC83),"",IF(79=INDEX($AB$5:$AB$404,$AC83)+INDEX($Z$5:$Z$404,$AC83),"D",IF(AND(INDEX($Z$5:$Z$404,$AC83)=1,79=INDEX($AB$5:$AB$404,$AC83)),"H",IF(AND(INDEX($AO$5:$AO$404,$AC83)=1,79=INDEX($AB$5:$AB$404,$AC83)+INDEX($Z$5:$Z$404,$AC83)+INDEX($AA$5:$AA$404,$AC83)+INDEX($AO$5:$AO$404,$AC83)),"B","T")))))))</f>
        <v/>
      </c>
      <c r="AF83">
        <f>IF(OR($AD83="",$AD83="Z",$AD83="B"),"",INDEX($X$5:$X$404,$AC83))</f>
        <v/>
      </c>
      <c r="AJ83">
        <f>IF($AD83&lt;&gt;"T",0,ROUND(SUMIF(oil!$B$4:$B$63,$AF83,oil!$AE$4:$AE$63),2))</f>
        <v/>
      </c>
      <c r="AK83">
        <f>IF($S83="","",IFERROR(INDEX(อัตราค่าขนส่ง!$P$5:$P$54,MATCH($S83,อัตราค่าขนส่ง!$O$5:$O$54,0)),INDEX(รายการมาตรฐาน!$G$2:$G$3,1)))</f>
        <v/>
      </c>
      <c r="AL83">
        <f>IF($S83="","",IFERROR(MATCH($AK83,รายการมาตรฐาน!$G$2:$G$3,0),1))</f>
        <v/>
      </c>
      <c r="AM83">
        <f>IF($V83="","",INDEX($AK$5:$AK$404,$V83))</f>
        <v/>
      </c>
      <c r="AN83">
        <f>IF($V83="","",INDEX($AL$5:$AL$404,$V83))</f>
        <v/>
      </c>
      <c r="AO83">
        <f>IF(OR($V83="",$AI$2&lt;=1),0,IF($V84="",1,IF($AN84&lt;&gt;$AN83,1,0)))</f>
        <v/>
      </c>
      <c r="AP83">
        <f>IF($V83="",0,IF($AN83&lt;&gt;$AN82,1,0))</f>
        <v/>
      </c>
      <c r="AQ83">
        <f>IF(OR($AD83="",$AD83="Z"),"",INDEX($AN$5:$AN$404,$AC83))</f>
        <v/>
      </c>
      <c r="AR83">
        <f>IF($Y83="",0,COUNTIF(บันทึกรายเที่ยว!$V$6:$V$6005,$Y83))</f>
        <v/>
      </c>
      <c r="AS83">
        <f>IF($Y83="",0,ROUND(SUMIF(บันทึกรายเที่ยว!$V$6:$V$6005,$Y83,บันทึกรายเที่ยว!$M$6:$M$6005),2))</f>
        <v/>
      </c>
      <c r="AT83">
        <f>IF($Y83="",0,IFERROR(INDEX(อัตราค่าขนส่ง!$G$5:$G$204,MATCH($Y83,อัตราค่าขนส่ง!$M$5:$M$204,0)),0))</f>
        <v/>
      </c>
      <c r="AU83">
        <f>ROUND($AS83*$BD83,2)</f>
        <v/>
      </c>
      <c r="AV83">
        <f>ROUND($AU83*$BF$2/100,2)</f>
        <v/>
      </c>
      <c r="AW83">
        <f>IF($Y83="","",IFERROR(INDEX(อัตราค่าขนส่ง!$F$5:$F$204,MATCH($Y83,อัตราค่าขนส่ง!$M$5:$M$204,0)),""))</f>
        <v/>
      </c>
      <c r="AX83">
        <f>IF($W83="","",INDEX(บันทึกรายเที่ยว!$D$6:$D$6005,$W83))</f>
        <v/>
      </c>
      <c r="AY83">
        <f>IF($W83="","",INDEX(บันทึกรายเที่ยว!$R$6:$R$6005,$W83))</f>
        <v/>
      </c>
      <c r="AZ83">
        <f>IF(AND($AD83="T",$AQ83=1),N($AZ82)+1,N($AZ82))</f>
        <v/>
      </c>
      <c r="BA83">
        <f>IF($W83="","",INDEX(บันทึกรายเที่ยว!$E$6:$E$6005,$W83))</f>
        <v/>
      </c>
      <c r="BC83">
        <f>IF($Y83="",0,IFERROR(INDEX(อัตราค่าขนส่ง!$K$5:$K$204,MATCH($Y83,อัตราค่าขนส่ง!$M$5:$M$204,0)),0))</f>
        <v/>
      </c>
      <c r="BD83">
        <f>IF($Y83="",0,IFERROR(INDEX(อัตราค่าขนส่ง!$L$5:$L$204,MATCH($Y83,อัตราค่าขนส่ง!$M$5:$M$204,0)),0))</f>
        <v/>
      </c>
    </row>
    <row r="84" ht="21" customHeight="1" s="66">
      <c r="A84" s="69">
        <f>IF($AD84="","",IF($AD84="Z","รวมจ่ายทั้งสิ้น",IF($AD84="H",INDEX($X$5:$X$404,$AC84),IF($AD84="T","รวม",IF($AD84="B",IFERROR(INDEX(อัตราค่าขนส่ง!$S$5:$S$14,MATCH(INDEX($AM$5:$AM$404,$AC84),อัตราค่าขนส่ง!$R$5:$R$14,0)),"รวมกลุ่ม "&amp;INDEX($AM$5:$AM$404,$AC84)),INDEX($AY$5:$AY$404,$AC84))))))</f>
        <v/>
      </c>
      <c r="B84" s="31">
        <f>IF($AD84&lt;&gt;"D","",INDEX($AW$5:$AW$404,$AC84))</f>
        <v/>
      </c>
      <c r="C84" s="68">
        <f>IF($AD84&lt;&gt;"D","",INDEX($AX$5:$AX$404,$AC84))</f>
        <v/>
      </c>
      <c r="D84" s="70">
        <f>IF($AD84&lt;&gt;"D","",INDEX($BA$5:$BA$404,$AC84))</f>
        <v/>
      </c>
      <c r="E84" s="31">
        <f>IF($AD84="Z",SUM($AR$5:$AR$404),IF($AD84="D",INDEX($AR$5:$AR$404,$AC84),IF($AD84="T",SUMIF($X$5:$X$404,$AF84,$AR$5:$AR$404),IF($AD84="B",SUMIF($AN$5:$AN$404,$AQ84,$AR$5:$AR$404),""))))</f>
        <v/>
      </c>
      <c r="F84" s="32">
        <f>IF($AD84="Z",ROUND(SUM($AS$5:$AS$404),2),IF($AD84="D",INDEX($AS$5:$AS$404,$AC84),IF($AD84="T",ROUND(SUMIF($X$5:$X$404,$AF84,$AS$5:$AS$404),2),IF($AD84="B",ROUND(SUMIF($AN$5:$AN$404,$AQ84,$AS$5:$AS$404),2),""))))</f>
        <v/>
      </c>
      <c r="G84" s="32">
        <f>IF($AD84&lt;&gt;"D","",INDEX($AT$5:$AT$404,$AC84))</f>
        <v/>
      </c>
      <c r="H84" s="32">
        <f>IF($AD84&lt;&gt;"D","",INDEX($BC$5:$BC$404,$AC84))</f>
        <v/>
      </c>
      <c r="I84" s="32">
        <f>IF($AD84&lt;&gt;"D","",INDEX($BD$5:$BD$404,$AC84))</f>
        <v/>
      </c>
      <c r="J84" s="46">
        <f>IF($AD84&lt;&gt;"D","",IF(N($B84)=0,"",ROUND($I84/$B84,4)))</f>
        <v/>
      </c>
      <c r="K84" s="32">
        <f>IF($AD84="Z",ROUND(SUM($AU$5:$AU$404),2),IF($AD84="D",INDEX($AU$5:$AU$404,$AC84),IF($AD84="T",ROUND(SUMIF($X$5:$X$404,$AF84,$AU$5:$AU$404),2),IF($AD84="B",ROUND(SUMIF($AN$5:$AN$404,$AQ84,$AU$5:$AU$404),2),""))))</f>
        <v/>
      </c>
      <c r="L84" s="32">
        <f>IF($AD84="Z",ROUND(SUM($AV$5:$AV$404),2),IF($AD84="D",INDEX($AV$5:$AV$404,$AC84),IF($AD84="T",ROUND(SUMIF($X$5:$X$404,$AF84,$AV$5:$AV$404),2),IF($AD84="B",ROUND(SUMIF($AN$5:$AN$404,$AQ84,$AV$5:$AV$404),2),""))))</f>
        <v/>
      </c>
      <c r="M84" s="32">
        <f>IF($AD84="Z",ROUND(SUM($AJ$5:$AJ$704),2),IF($AD84="B",ROUND(SUMIF($AQ$5:$AQ$704,$AQ84,$AJ$5:$AJ$704),2),IF($AD84&lt;&gt;"T","",$AJ84)))</f>
        <v/>
      </c>
      <c r="N84" s="32">
        <f>IF(OR($AD84="D",$AD84="T",$AD84="B",$AD84="Z"),ROUND(N($K84)-N($L84)-N($M84),2),"")</f>
        <v/>
      </c>
      <c r="O84" s="32">
        <f>IF(OR($AD84="D",$AD84="T",$AD84="B",$AD84="Z"),IF(N($E84)=0,"",ROUND($F84/$E84,2)),"")</f>
        <v/>
      </c>
      <c r="Q84">
        <f>IFERROR(MATCH(80,บันทึกรายเที่ยว!$Z$6:$Z$6005,0),"")</f>
        <v/>
      </c>
      <c r="R84">
        <f>IF($Q84="","",INDEX(บันทึกรายเที่ยว!$V$6:$V$6005,$Q84))</f>
        <v/>
      </c>
      <c r="S84">
        <f>IF($Q84="","",INDEX(บันทึกรายเที่ยว!$F$6:$F$6005,$Q84))</f>
        <v/>
      </c>
      <c r="T84">
        <f>IF($Q84="","",MATCH($S84,บันทึกรายเที่ยว!$F$6:$F$6005,0))</f>
        <v/>
      </c>
      <c r="U84">
        <f>IF($Q84="","",$AL84*10000000+$T84*1000+80)</f>
        <v/>
      </c>
      <c r="V84">
        <f>IFERROR(MATCH(SMALL($U$5:$U$404,80),$U$5:$U$404,0),"")</f>
        <v/>
      </c>
      <c r="W84">
        <f>IF($V84="","",INDEX($Q$5:$Q$404,$V84))</f>
        <v/>
      </c>
      <c r="X84">
        <f>IF($V84="","",INDEX($S$5:$S$404,$V84))</f>
        <v/>
      </c>
      <c r="Y84">
        <f>IF($V84="","",INDEX($R$5:$R$404,$V84))</f>
        <v/>
      </c>
      <c r="Z84">
        <f>IF($V84="",0,IF($X84&lt;&gt;$X83,1,0))</f>
        <v/>
      </c>
      <c r="AA84">
        <f>IF($V84="",0,IF($V85="",1,IF($X85&lt;&gt;$X84,1,0)))</f>
        <v/>
      </c>
      <c r="AB84">
        <f>IF($V84="",99999+80,$AB83+1+$Z83+$AA83+$AO83)</f>
        <v/>
      </c>
      <c r="AC84">
        <f>IFERROR(MATCH(80,$AB$5:$AB$404,1),"")</f>
        <v/>
      </c>
      <c r="AD84">
        <f>IF(80=$AI$1+1,"Z",IF($AC84="","",IF(INDEX($V$5:$V$404,$AC84)="","",IF(80&gt;INDEX($AB$5:$AB$404,$AC84)+INDEX($Z$5:$Z$404,$AC84)+INDEX($AA$5:$AA$404,$AC84)+INDEX($AO$5:$AO$404,$AC84),"",IF(80=INDEX($AB$5:$AB$404,$AC84)+INDEX($Z$5:$Z$404,$AC84),"D",IF(AND(INDEX($Z$5:$Z$404,$AC84)=1,80=INDEX($AB$5:$AB$404,$AC84)),"H",IF(AND(INDEX($AO$5:$AO$404,$AC84)=1,80=INDEX($AB$5:$AB$404,$AC84)+INDEX($Z$5:$Z$404,$AC84)+INDEX($AA$5:$AA$404,$AC84)+INDEX($AO$5:$AO$404,$AC84)),"B","T")))))))</f>
        <v/>
      </c>
      <c r="AF84">
        <f>IF(OR($AD84="",$AD84="Z",$AD84="B"),"",INDEX($X$5:$X$404,$AC84))</f>
        <v/>
      </c>
      <c r="AJ84">
        <f>IF($AD84&lt;&gt;"T",0,ROUND(SUMIF(oil!$B$4:$B$63,$AF84,oil!$AE$4:$AE$63),2))</f>
        <v/>
      </c>
      <c r="AK84">
        <f>IF($S84="","",IFERROR(INDEX(อัตราค่าขนส่ง!$P$5:$P$54,MATCH($S84,อัตราค่าขนส่ง!$O$5:$O$54,0)),INDEX(รายการมาตรฐาน!$G$2:$G$3,1)))</f>
        <v/>
      </c>
      <c r="AL84">
        <f>IF($S84="","",IFERROR(MATCH($AK84,รายการมาตรฐาน!$G$2:$G$3,0),1))</f>
        <v/>
      </c>
      <c r="AM84">
        <f>IF($V84="","",INDEX($AK$5:$AK$404,$V84))</f>
        <v/>
      </c>
      <c r="AN84">
        <f>IF($V84="","",INDEX($AL$5:$AL$404,$V84))</f>
        <v/>
      </c>
      <c r="AO84">
        <f>IF(OR($V84="",$AI$2&lt;=1),0,IF($V85="",1,IF($AN85&lt;&gt;$AN84,1,0)))</f>
        <v/>
      </c>
      <c r="AP84">
        <f>IF($V84="",0,IF($AN84&lt;&gt;$AN83,1,0))</f>
        <v/>
      </c>
      <c r="AQ84">
        <f>IF(OR($AD84="",$AD84="Z"),"",INDEX($AN$5:$AN$404,$AC84))</f>
        <v/>
      </c>
      <c r="AR84">
        <f>IF($Y84="",0,COUNTIF(บันทึกรายเที่ยว!$V$6:$V$6005,$Y84))</f>
        <v/>
      </c>
      <c r="AS84">
        <f>IF($Y84="",0,ROUND(SUMIF(บันทึกรายเที่ยว!$V$6:$V$6005,$Y84,บันทึกรายเที่ยว!$M$6:$M$6005),2))</f>
        <v/>
      </c>
      <c r="AT84">
        <f>IF($Y84="",0,IFERROR(INDEX(อัตราค่าขนส่ง!$G$5:$G$204,MATCH($Y84,อัตราค่าขนส่ง!$M$5:$M$204,0)),0))</f>
        <v/>
      </c>
      <c r="AU84">
        <f>ROUND($AS84*$BD84,2)</f>
        <v/>
      </c>
      <c r="AV84">
        <f>ROUND($AU84*$BF$2/100,2)</f>
        <v/>
      </c>
      <c r="AW84">
        <f>IF($Y84="","",IFERROR(INDEX(อัตราค่าขนส่ง!$F$5:$F$204,MATCH($Y84,อัตราค่าขนส่ง!$M$5:$M$204,0)),""))</f>
        <v/>
      </c>
      <c r="AX84">
        <f>IF($W84="","",INDEX(บันทึกรายเที่ยว!$D$6:$D$6005,$W84))</f>
        <v/>
      </c>
      <c r="AY84">
        <f>IF($W84="","",INDEX(บันทึกรายเที่ยว!$R$6:$R$6005,$W84))</f>
        <v/>
      </c>
      <c r="AZ84">
        <f>IF(AND($AD84="T",$AQ84=1),N($AZ83)+1,N($AZ83))</f>
        <v/>
      </c>
      <c r="BA84">
        <f>IF($W84="","",INDEX(บันทึกรายเที่ยว!$E$6:$E$6005,$W84))</f>
        <v/>
      </c>
      <c r="BC84">
        <f>IF($Y84="",0,IFERROR(INDEX(อัตราค่าขนส่ง!$K$5:$K$204,MATCH($Y84,อัตราค่าขนส่ง!$M$5:$M$204,0)),0))</f>
        <v/>
      </c>
      <c r="BD84">
        <f>IF($Y84="",0,IFERROR(INDEX(อัตราค่าขนส่ง!$L$5:$L$204,MATCH($Y84,อัตราค่าขนส่ง!$M$5:$M$204,0)),0))</f>
        <v/>
      </c>
    </row>
    <row r="85" ht="21" customHeight="1" s="66">
      <c r="A85" s="69">
        <f>IF($AD85="","",IF($AD85="Z","รวมจ่ายทั้งสิ้น",IF($AD85="H",INDEX($X$5:$X$404,$AC85),IF($AD85="T","รวม",IF($AD85="B",IFERROR(INDEX(อัตราค่าขนส่ง!$S$5:$S$14,MATCH(INDEX($AM$5:$AM$404,$AC85),อัตราค่าขนส่ง!$R$5:$R$14,0)),"รวมกลุ่ม "&amp;INDEX($AM$5:$AM$404,$AC85)),INDEX($AY$5:$AY$404,$AC85))))))</f>
        <v/>
      </c>
      <c r="B85" s="31">
        <f>IF($AD85&lt;&gt;"D","",INDEX($AW$5:$AW$404,$AC85))</f>
        <v/>
      </c>
      <c r="C85" s="68">
        <f>IF($AD85&lt;&gt;"D","",INDEX($AX$5:$AX$404,$AC85))</f>
        <v/>
      </c>
      <c r="D85" s="70">
        <f>IF($AD85&lt;&gt;"D","",INDEX($BA$5:$BA$404,$AC85))</f>
        <v/>
      </c>
      <c r="E85" s="31">
        <f>IF($AD85="Z",SUM($AR$5:$AR$404),IF($AD85="D",INDEX($AR$5:$AR$404,$AC85),IF($AD85="T",SUMIF($X$5:$X$404,$AF85,$AR$5:$AR$404),IF($AD85="B",SUMIF($AN$5:$AN$404,$AQ85,$AR$5:$AR$404),""))))</f>
        <v/>
      </c>
      <c r="F85" s="32">
        <f>IF($AD85="Z",ROUND(SUM($AS$5:$AS$404),2),IF($AD85="D",INDEX($AS$5:$AS$404,$AC85),IF($AD85="T",ROUND(SUMIF($X$5:$X$404,$AF85,$AS$5:$AS$404),2),IF($AD85="B",ROUND(SUMIF($AN$5:$AN$404,$AQ85,$AS$5:$AS$404),2),""))))</f>
        <v/>
      </c>
      <c r="G85" s="32">
        <f>IF($AD85&lt;&gt;"D","",INDEX($AT$5:$AT$404,$AC85))</f>
        <v/>
      </c>
      <c r="H85" s="32">
        <f>IF($AD85&lt;&gt;"D","",INDEX($BC$5:$BC$404,$AC85))</f>
        <v/>
      </c>
      <c r="I85" s="32">
        <f>IF($AD85&lt;&gt;"D","",INDEX($BD$5:$BD$404,$AC85))</f>
        <v/>
      </c>
      <c r="J85" s="46">
        <f>IF($AD85&lt;&gt;"D","",IF(N($B85)=0,"",ROUND($I85/$B85,4)))</f>
        <v/>
      </c>
      <c r="K85" s="32">
        <f>IF($AD85="Z",ROUND(SUM($AU$5:$AU$404),2),IF($AD85="D",INDEX($AU$5:$AU$404,$AC85),IF($AD85="T",ROUND(SUMIF($X$5:$X$404,$AF85,$AU$5:$AU$404),2),IF($AD85="B",ROUND(SUMIF($AN$5:$AN$404,$AQ85,$AU$5:$AU$404),2),""))))</f>
        <v/>
      </c>
      <c r="L85" s="32">
        <f>IF($AD85="Z",ROUND(SUM($AV$5:$AV$404),2),IF($AD85="D",INDEX($AV$5:$AV$404,$AC85),IF($AD85="T",ROUND(SUMIF($X$5:$X$404,$AF85,$AV$5:$AV$404),2),IF($AD85="B",ROUND(SUMIF($AN$5:$AN$404,$AQ85,$AV$5:$AV$404),2),""))))</f>
        <v/>
      </c>
      <c r="M85" s="32">
        <f>IF($AD85="Z",ROUND(SUM($AJ$5:$AJ$704),2),IF($AD85="B",ROUND(SUMIF($AQ$5:$AQ$704,$AQ85,$AJ$5:$AJ$704),2),IF($AD85&lt;&gt;"T","",$AJ85)))</f>
        <v/>
      </c>
      <c r="N85" s="32">
        <f>IF(OR($AD85="D",$AD85="T",$AD85="B",$AD85="Z"),ROUND(N($K85)-N($L85)-N($M85),2),"")</f>
        <v/>
      </c>
      <c r="O85" s="32">
        <f>IF(OR($AD85="D",$AD85="T",$AD85="B",$AD85="Z"),IF(N($E85)=0,"",ROUND($F85/$E85,2)),"")</f>
        <v/>
      </c>
      <c r="Q85">
        <f>IFERROR(MATCH(81,บันทึกรายเที่ยว!$Z$6:$Z$6005,0),"")</f>
        <v/>
      </c>
      <c r="R85">
        <f>IF($Q85="","",INDEX(บันทึกรายเที่ยว!$V$6:$V$6005,$Q85))</f>
        <v/>
      </c>
      <c r="S85">
        <f>IF($Q85="","",INDEX(บันทึกรายเที่ยว!$F$6:$F$6005,$Q85))</f>
        <v/>
      </c>
      <c r="T85">
        <f>IF($Q85="","",MATCH($S85,บันทึกรายเที่ยว!$F$6:$F$6005,0))</f>
        <v/>
      </c>
      <c r="U85">
        <f>IF($Q85="","",$AL85*10000000+$T85*1000+81)</f>
        <v/>
      </c>
      <c r="V85">
        <f>IFERROR(MATCH(SMALL($U$5:$U$404,81),$U$5:$U$404,0),"")</f>
        <v/>
      </c>
      <c r="W85">
        <f>IF($V85="","",INDEX($Q$5:$Q$404,$V85))</f>
        <v/>
      </c>
      <c r="X85">
        <f>IF($V85="","",INDEX($S$5:$S$404,$V85))</f>
        <v/>
      </c>
      <c r="Y85">
        <f>IF($V85="","",INDEX($R$5:$R$404,$V85))</f>
        <v/>
      </c>
      <c r="Z85">
        <f>IF($V85="",0,IF($X85&lt;&gt;$X84,1,0))</f>
        <v/>
      </c>
      <c r="AA85">
        <f>IF($V85="",0,IF($V86="",1,IF($X86&lt;&gt;$X85,1,0)))</f>
        <v/>
      </c>
      <c r="AB85">
        <f>IF($V85="",99999+81,$AB84+1+$Z84+$AA84+$AO84)</f>
        <v/>
      </c>
      <c r="AC85">
        <f>IFERROR(MATCH(81,$AB$5:$AB$404,1),"")</f>
        <v/>
      </c>
      <c r="AD85">
        <f>IF(81=$AI$1+1,"Z",IF($AC85="","",IF(INDEX($V$5:$V$404,$AC85)="","",IF(81&gt;INDEX($AB$5:$AB$404,$AC85)+INDEX($Z$5:$Z$404,$AC85)+INDEX($AA$5:$AA$404,$AC85)+INDEX($AO$5:$AO$404,$AC85),"",IF(81=INDEX($AB$5:$AB$404,$AC85)+INDEX($Z$5:$Z$404,$AC85),"D",IF(AND(INDEX($Z$5:$Z$404,$AC85)=1,81=INDEX($AB$5:$AB$404,$AC85)),"H",IF(AND(INDEX($AO$5:$AO$404,$AC85)=1,81=INDEX($AB$5:$AB$404,$AC85)+INDEX($Z$5:$Z$404,$AC85)+INDEX($AA$5:$AA$404,$AC85)+INDEX($AO$5:$AO$404,$AC85)),"B","T")))))))</f>
        <v/>
      </c>
      <c r="AF85">
        <f>IF(OR($AD85="",$AD85="Z",$AD85="B"),"",INDEX($X$5:$X$404,$AC85))</f>
        <v/>
      </c>
      <c r="AJ85">
        <f>IF($AD85&lt;&gt;"T",0,ROUND(SUMIF(oil!$B$4:$B$63,$AF85,oil!$AE$4:$AE$63),2))</f>
        <v/>
      </c>
      <c r="AK85">
        <f>IF($S85="","",IFERROR(INDEX(อัตราค่าขนส่ง!$P$5:$P$54,MATCH($S85,อัตราค่าขนส่ง!$O$5:$O$54,0)),INDEX(รายการมาตรฐาน!$G$2:$G$3,1)))</f>
        <v/>
      </c>
      <c r="AL85">
        <f>IF($S85="","",IFERROR(MATCH($AK85,รายการมาตรฐาน!$G$2:$G$3,0),1))</f>
        <v/>
      </c>
      <c r="AM85">
        <f>IF($V85="","",INDEX($AK$5:$AK$404,$V85))</f>
        <v/>
      </c>
      <c r="AN85">
        <f>IF($V85="","",INDEX($AL$5:$AL$404,$V85))</f>
        <v/>
      </c>
      <c r="AO85">
        <f>IF(OR($V85="",$AI$2&lt;=1),0,IF($V86="",1,IF($AN86&lt;&gt;$AN85,1,0)))</f>
        <v/>
      </c>
      <c r="AP85">
        <f>IF($V85="",0,IF($AN85&lt;&gt;$AN84,1,0))</f>
        <v/>
      </c>
      <c r="AQ85">
        <f>IF(OR($AD85="",$AD85="Z"),"",INDEX($AN$5:$AN$404,$AC85))</f>
        <v/>
      </c>
      <c r="AR85">
        <f>IF($Y85="",0,COUNTIF(บันทึกรายเที่ยว!$V$6:$V$6005,$Y85))</f>
        <v/>
      </c>
      <c r="AS85">
        <f>IF($Y85="",0,ROUND(SUMIF(บันทึกรายเที่ยว!$V$6:$V$6005,$Y85,บันทึกรายเที่ยว!$M$6:$M$6005),2))</f>
        <v/>
      </c>
      <c r="AT85">
        <f>IF($Y85="",0,IFERROR(INDEX(อัตราค่าขนส่ง!$G$5:$G$204,MATCH($Y85,อัตราค่าขนส่ง!$M$5:$M$204,0)),0))</f>
        <v/>
      </c>
      <c r="AU85">
        <f>ROUND($AS85*$BD85,2)</f>
        <v/>
      </c>
      <c r="AV85">
        <f>ROUND($AU85*$BF$2/100,2)</f>
        <v/>
      </c>
      <c r="AW85">
        <f>IF($Y85="","",IFERROR(INDEX(อัตราค่าขนส่ง!$F$5:$F$204,MATCH($Y85,อัตราค่าขนส่ง!$M$5:$M$204,0)),""))</f>
        <v/>
      </c>
      <c r="AX85">
        <f>IF($W85="","",INDEX(บันทึกรายเที่ยว!$D$6:$D$6005,$W85))</f>
        <v/>
      </c>
      <c r="AY85">
        <f>IF($W85="","",INDEX(บันทึกรายเที่ยว!$R$6:$R$6005,$W85))</f>
        <v/>
      </c>
      <c r="AZ85">
        <f>IF(AND($AD85="T",$AQ85=1),N($AZ84)+1,N($AZ84))</f>
        <v/>
      </c>
      <c r="BA85">
        <f>IF($W85="","",INDEX(บันทึกรายเที่ยว!$E$6:$E$6005,$W85))</f>
        <v/>
      </c>
      <c r="BC85">
        <f>IF($Y85="",0,IFERROR(INDEX(อัตราค่าขนส่ง!$K$5:$K$204,MATCH($Y85,อัตราค่าขนส่ง!$M$5:$M$204,0)),0))</f>
        <v/>
      </c>
      <c r="BD85">
        <f>IF($Y85="",0,IFERROR(INDEX(อัตราค่าขนส่ง!$L$5:$L$204,MATCH($Y85,อัตราค่าขนส่ง!$M$5:$M$204,0)),0))</f>
        <v/>
      </c>
    </row>
    <row r="86" ht="21" customHeight="1" s="66">
      <c r="A86" s="69">
        <f>IF($AD86="","",IF($AD86="Z","รวมจ่ายทั้งสิ้น",IF($AD86="H",INDEX($X$5:$X$404,$AC86),IF($AD86="T","รวม",IF($AD86="B",IFERROR(INDEX(อัตราค่าขนส่ง!$S$5:$S$14,MATCH(INDEX($AM$5:$AM$404,$AC86),อัตราค่าขนส่ง!$R$5:$R$14,0)),"รวมกลุ่ม "&amp;INDEX($AM$5:$AM$404,$AC86)),INDEX($AY$5:$AY$404,$AC86))))))</f>
        <v/>
      </c>
      <c r="B86" s="31">
        <f>IF($AD86&lt;&gt;"D","",INDEX($AW$5:$AW$404,$AC86))</f>
        <v/>
      </c>
      <c r="C86" s="68">
        <f>IF($AD86&lt;&gt;"D","",INDEX($AX$5:$AX$404,$AC86))</f>
        <v/>
      </c>
      <c r="D86" s="70">
        <f>IF($AD86&lt;&gt;"D","",INDEX($BA$5:$BA$404,$AC86))</f>
        <v/>
      </c>
      <c r="E86" s="31">
        <f>IF($AD86="Z",SUM($AR$5:$AR$404),IF($AD86="D",INDEX($AR$5:$AR$404,$AC86),IF($AD86="T",SUMIF($X$5:$X$404,$AF86,$AR$5:$AR$404),IF($AD86="B",SUMIF($AN$5:$AN$404,$AQ86,$AR$5:$AR$404),""))))</f>
        <v/>
      </c>
      <c r="F86" s="32">
        <f>IF($AD86="Z",ROUND(SUM($AS$5:$AS$404),2),IF($AD86="D",INDEX($AS$5:$AS$404,$AC86),IF($AD86="T",ROUND(SUMIF($X$5:$X$404,$AF86,$AS$5:$AS$404),2),IF($AD86="B",ROUND(SUMIF($AN$5:$AN$404,$AQ86,$AS$5:$AS$404),2),""))))</f>
        <v/>
      </c>
      <c r="G86" s="32">
        <f>IF($AD86&lt;&gt;"D","",INDEX($AT$5:$AT$404,$AC86))</f>
        <v/>
      </c>
      <c r="H86" s="32">
        <f>IF($AD86&lt;&gt;"D","",INDEX($BC$5:$BC$404,$AC86))</f>
        <v/>
      </c>
      <c r="I86" s="32">
        <f>IF($AD86&lt;&gt;"D","",INDEX($BD$5:$BD$404,$AC86))</f>
        <v/>
      </c>
      <c r="J86" s="46">
        <f>IF($AD86&lt;&gt;"D","",IF(N($B86)=0,"",ROUND($I86/$B86,4)))</f>
        <v/>
      </c>
      <c r="K86" s="32">
        <f>IF($AD86="Z",ROUND(SUM($AU$5:$AU$404),2),IF($AD86="D",INDEX($AU$5:$AU$404,$AC86),IF($AD86="T",ROUND(SUMIF($X$5:$X$404,$AF86,$AU$5:$AU$404),2),IF($AD86="B",ROUND(SUMIF($AN$5:$AN$404,$AQ86,$AU$5:$AU$404),2),""))))</f>
        <v/>
      </c>
      <c r="L86" s="32">
        <f>IF($AD86="Z",ROUND(SUM($AV$5:$AV$404),2),IF($AD86="D",INDEX($AV$5:$AV$404,$AC86),IF($AD86="T",ROUND(SUMIF($X$5:$X$404,$AF86,$AV$5:$AV$404),2),IF($AD86="B",ROUND(SUMIF($AN$5:$AN$404,$AQ86,$AV$5:$AV$404),2),""))))</f>
        <v/>
      </c>
      <c r="M86" s="32">
        <f>IF($AD86="Z",ROUND(SUM($AJ$5:$AJ$704),2),IF($AD86="B",ROUND(SUMIF($AQ$5:$AQ$704,$AQ86,$AJ$5:$AJ$704),2),IF($AD86&lt;&gt;"T","",$AJ86)))</f>
        <v/>
      </c>
      <c r="N86" s="32">
        <f>IF(OR($AD86="D",$AD86="T",$AD86="B",$AD86="Z"),ROUND(N($K86)-N($L86)-N($M86),2),"")</f>
        <v/>
      </c>
      <c r="O86" s="32">
        <f>IF(OR($AD86="D",$AD86="T",$AD86="B",$AD86="Z"),IF(N($E86)=0,"",ROUND($F86/$E86,2)),"")</f>
        <v/>
      </c>
      <c r="Q86">
        <f>IFERROR(MATCH(82,บันทึกรายเที่ยว!$Z$6:$Z$6005,0),"")</f>
        <v/>
      </c>
      <c r="R86">
        <f>IF($Q86="","",INDEX(บันทึกรายเที่ยว!$V$6:$V$6005,$Q86))</f>
        <v/>
      </c>
      <c r="S86">
        <f>IF($Q86="","",INDEX(บันทึกรายเที่ยว!$F$6:$F$6005,$Q86))</f>
        <v/>
      </c>
      <c r="T86">
        <f>IF($Q86="","",MATCH($S86,บันทึกรายเที่ยว!$F$6:$F$6005,0))</f>
        <v/>
      </c>
      <c r="U86">
        <f>IF($Q86="","",$AL86*10000000+$T86*1000+82)</f>
        <v/>
      </c>
      <c r="V86">
        <f>IFERROR(MATCH(SMALL($U$5:$U$404,82),$U$5:$U$404,0),"")</f>
        <v/>
      </c>
      <c r="W86">
        <f>IF($V86="","",INDEX($Q$5:$Q$404,$V86))</f>
        <v/>
      </c>
      <c r="X86">
        <f>IF($V86="","",INDEX($S$5:$S$404,$V86))</f>
        <v/>
      </c>
      <c r="Y86">
        <f>IF($V86="","",INDEX($R$5:$R$404,$V86))</f>
        <v/>
      </c>
      <c r="Z86">
        <f>IF($V86="",0,IF($X86&lt;&gt;$X85,1,0))</f>
        <v/>
      </c>
      <c r="AA86">
        <f>IF($V86="",0,IF($V87="",1,IF($X87&lt;&gt;$X86,1,0)))</f>
        <v/>
      </c>
      <c r="AB86">
        <f>IF($V86="",99999+82,$AB85+1+$Z85+$AA85+$AO85)</f>
        <v/>
      </c>
      <c r="AC86">
        <f>IFERROR(MATCH(82,$AB$5:$AB$404,1),"")</f>
        <v/>
      </c>
      <c r="AD86">
        <f>IF(82=$AI$1+1,"Z",IF($AC86="","",IF(INDEX($V$5:$V$404,$AC86)="","",IF(82&gt;INDEX($AB$5:$AB$404,$AC86)+INDEX($Z$5:$Z$404,$AC86)+INDEX($AA$5:$AA$404,$AC86)+INDEX($AO$5:$AO$404,$AC86),"",IF(82=INDEX($AB$5:$AB$404,$AC86)+INDEX($Z$5:$Z$404,$AC86),"D",IF(AND(INDEX($Z$5:$Z$404,$AC86)=1,82=INDEX($AB$5:$AB$404,$AC86)),"H",IF(AND(INDEX($AO$5:$AO$404,$AC86)=1,82=INDEX($AB$5:$AB$404,$AC86)+INDEX($Z$5:$Z$404,$AC86)+INDEX($AA$5:$AA$404,$AC86)+INDEX($AO$5:$AO$404,$AC86)),"B","T")))))))</f>
        <v/>
      </c>
      <c r="AF86">
        <f>IF(OR($AD86="",$AD86="Z",$AD86="B"),"",INDEX($X$5:$X$404,$AC86))</f>
        <v/>
      </c>
      <c r="AJ86">
        <f>IF($AD86&lt;&gt;"T",0,ROUND(SUMIF(oil!$B$4:$B$63,$AF86,oil!$AE$4:$AE$63),2))</f>
        <v/>
      </c>
      <c r="AK86">
        <f>IF($S86="","",IFERROR(INDEX(อัตราค่าขนส่ง!$P$5:$P$54,MATCH($S86,อัตราค่าขนส่ง!$O$5:$O$54,0)),INDEX(รายการมาตรฐาน!$G$2:$G$3,1)))</f>
        <v/>
      </c>
      <c r="AL86">
        <f>IF($S86="","",IFERROR(MATCH($AK86,รายการมาตรฐาน!$G$2:$G$3,0),1))</f>
        <v/>
      </c>
      <c r="AM86">
        <f>IF($V86="","",INDEX($AK$5:$AK$404,$V86))</f>
        <v/>
      </c>
      <c r="AN86">
        <f>IF($V86="","",INDEX($AL$5:$AL$404,$V86))</f>
        <v/>
      </c>
      <c r="AO86">
        <f>IF(OR($V86="",$AI$2&lt;=1),0,IF($V87="",1,IF($AN87&lt;&gt;$AN86,1,0)))</f>
        <v/>
      </c>
      <c r="AP86">
        <f>IF($V86="",0,IF($AN86&lt;&gt;$AN85,1,0))</f>
        <v/>
      </c>
      <c r="AQ86">
        <f>IF(OR($AD86="",$AD86="Z"),"",INDEX($AN$5:$AN$404,$AC86))</f>
        <v/>
      </c>
      <c r="AR86">
        <f>IF($Y86="",0,COUNTIF(บันทึกรายเที่ยว!$V$6:$V$6005,$Y86))</f>
        <v/>
      </c>
      <c r="AS86">
        <f>IF($Y86="",0,ROUND(SUMIF(บันทึกรายเที่ยว!$V$6:$V$6005,$Y86,บันทึกรายเที่ยว!$M$6:$M$6005),2))</f>
        <v/>
      </c>
      <c r="AT86">
        <f>IF($Y86="",0,IFERROR(INDEX(อัตราค่าขนส่ง!$G$5:$G$204,MATCH($Y86,อัตราค่าขนส่ง!$M$5:$M$204,0)),0))</f>
        <v/>
      </c>
      <c r="AU86">
        <f>ROUND($AS86*$BD86,2)</f>
        <v/>
      </c>
      <c r="AV86">
        <f>ROUND($AU86*$BF$2/100,2)</f>
        <v/>
      </c>
      <c r="AW86">
        <f>IF($Y86="","",IFERROR(INDEX(อัตราค่าขนส่ง!$F$5:$F$204,MATCH($Y86,อัตราค่าขนส่ง!$M$5:$M$204,0)),""))</f>
        <v/>
      </c>
      <c r="AX86">
        <f>IF($W86="","",INDEX(บันทึกรายเที่ยว!$D$6:$D$6005,$W86))</f>
        <v/>
      </c>
      <c r="AY86">
        <f>IF($W86="","",INDEX(บันทึกรายเที่ยว!$R$6:$R$6005,$W86))</f>
        <v/>
      </c>
      <c r="AZ86">
        <f>IF(AND($AD86="T",$AQ86=1),N($AZ85)+1,N($AZ85))</f>
        <v/>
      </c>
      <c r="BA86">
        <f>IF($W86="","",INDEX(บันทึกรายเที่ยว!$E$6:$E$6005,$W86))</f>
        <v/>
      </c>
      <c r="BC86">
        <f>IF($Y86="",0,IFERROR(INDEX(อัตราค่าขนส่ง!$K$5:$K$204,MATCH($Y86,อัตราค่าขนส่ง!$M$5:$M$204,0)),0))</f>
        <v/>
      </c>
      <c r="BD86">
        <f>IF($Y86="",0,IFERROR(INDEX(อัตราค่าขนส่ง!$L$5:$L$204,MATCH($Y86,อัตราค่าขนส่ง!$M$5:$M$204,0)),0))</f>
        <v/>
      </c>
    </row>
    <row r="87" ht="21" customHeight="1" s="66">
      <c r="A87" s="69">
        <f>IF($AD87="","",IF($AD87="Z","รวมจ่ายทั้งสิ้น",IF($AD87="H",INDEX($X$5:$X$404,$AC87),IF($AD87="T","รวม",IF($AD87="B",IFERROR(INDEX(อัตราค่าขนส่ง!$S$5:$S$14,MATCH(INDEX($AM$5:$AM$404,$AC87),อัตราค่าขนส่ง!$R$5:$R$14,0)),"รวมกลุ่ม "&amp;INDEX($AM$5:$AM$404,$AC87)),INDEX($AY$5:$AY$404,$AC87))))))</f>
        <v/>
      </c>
      <c r="B87" s="31">
        <f>IF($AD87&lt;&gt;"D","",INDEX($AW$5:$AW$404,$AC87))</f>
        <v/>
      </c>
      <c r="C87" s="68">
        <f>IF($AD87&lt;&gt;"D","",INDEX($AX$5:$AX$404,$AC87))</f>
        <v/>
      </c>
      <c r="D87" s="70">
        <f>IF($AD87&lt;&gt;"D","",INDEX($BA$5:$BA$404,$AC87))</f>
        <v/>
      </c>
      <c r="E87" s="31">
        <f>IF($AD87="Z",SUM($AR$5:$AR$404),IF($AD87="D",INDEX($AR$5:$AR$404,$AC87),IF($AD87="T",SUMIF($X$5:$X$404,$AF87,$AR$5:$AR$404),IF($AD87="B",SUMIF($AN$5:$AN$404,$AQ87,$AR$5:$AR$404),""))))</f>
        <v/>
      </c>
      <c r="F87" s="32">
        <f>IF($AD87="Z",ROUND(SUM($AS$5:$AS$404),2),IF($AD87="D",INDEX($AS$5:$AS$404,$AC87),IF($AD87="T",ROUND(SUMIF($X$5:$X$404,$AF87,$AS$5:$AS$404),2),IF($AD87="B",ROUND(SUMIF($AN$5:$AN$404,$AQ87,$AS$5:$AS$404),2),""))))</f>
        <v/>
      </c>
      <c r="G87" s="32">
        <f>IF($AD87&lt;&gt;"D","",INDEX($AT$5:$AT$404,$AC87))</f>
        <v/>
      </c>
      <c r="H87" s="32">
        <f>IF($AD87&lt;&gt;"D","",INDEX($BC$5:$BC$404,$AC87))</f>
        <v/>
      </c>
      <c r="I87" s="32">
        <f>IF($AD87&lt;&gt;"D","",INDEX($BD$5:$BD$404,$AC87))</f>
        <v/>
      </c>
      <c r="J87" s="46">
        <f>IF($AD87&lt;&gt;"D","",IF(N($B87)=0,"",ROUND($I87/$B87,4)))</f>
        <v/>
      </c>
      <c r="K87" s="32">
        <f>IF($AD87="Z",ROUND(SUM($AU$5:$AU$404),2),IF($AD87="D",INDEX($AU$5:$AU$404,$AC87),IF($AD87="T",ROUND(SUMIF($X$5:$X$404,$AF87,$AU$5:$AU$404),2),IF($AD87="B",ROUND(SUMIF($AN$5:$AN$404,$AQ87,$AU$5:$AU$404),2),""))))</f>
        <v/>
      </c>
      <c r="L87" s="32">
        <f>IF($AD87="Z",ROUND(SUM($AV$5:$AV$404),2),IF($AD87="D",INDEX($AV$5:$AV$404,$AC87),IF($AD87="T",ROUND(SUMIF($X$5:$X$404,$AF87,$AV$5:$AV$404),2),IF($AD87="B",ROUND(SUMIF($AN$5:$AN$404,$AQ87,$AV$5:$AV$404),2),""))))</f>
        <v/>
      </c>
      <c r="M87" s="32">
        <f>IF($AD87="Z",ROUND(SUM($AJ$5:$AJ$704),2),IF($AD87="B",ROUND(SUMIF($AQ$5:$AQ$704,$AQ87,$AJ$5:$AJ$704),2),IF($AD87&lt;&gt;"T","",$AJ87)))</f>
        <v/>
      </c>
      <c r="N87" s="32">
        <f>IF(OR($AD87="D",$AD87="T",$AD87="B",$AD87="Z"),ROUND(N($K87)-N($L87)-N($M87),2),"")</f>
        <v/>
      </c>
      <c r="O87" s="32">
        <f>IF(OR($AD87="D",$AD87="T",$AD87="B",$AD87="Z"),IF(N($E87)=0,"",ROUND($F87/$E87,2)),"")</f>
        <v/>
      </c>
      <c r="Q87">
        <f>IFERROR(MATCH(83,บันทึกรายเที่ยว!$Z$6:$Z$6005,0),"")</f>
        <v/>
      </c>
      <c r="R87">
        <f>IF($Q87="","",INDEX(บันทึกรายเที่ยว!$V$6:$V$6005,$Q87))</f>
        <v/>
      </c>
      <c r="S87">
        <f>IF($Q87="","",INDEX(บันทึกรายเที่ยว!$F$6:$F$6005,$Q87))</f>
        <v/>
      </c>
      <c r="T87">
        <f>IF($Q87="","",MATCH($S87,บันทึกรายเที่ยว!$F$6:$F$6005,0))</f>
        <v/>
      </c>
      <c r="U87">
        <f>IF($Q87="","",$AL87*10000000+$T87*1000+83)</f>
        <v/>
      </c>
      <c r="V87">
        <f>IFERROR(MATCH(SMALL($U$5:$U$404,83),$U$5:$U$404,0),"")</f>
        <v/>
      </c>
      <c r="W87">
        <f>IF($V87="","",INDEX($Q$5:$Q$404,$V87))</f>
        <v/>
      </c>
      <c r="X87">
        <f>IF($V87="","",INDEX($S$5:$S$404,$V87))</f>
        <v/>
      </c>
      <c r="Y87">
        <f>IF($V87="","",INDEX($R$5:$R$404,$V87))</f>
        <v/>
      </c>
      <c r="Z87">
        <f>IF($V87="",0,IF($X87&lt;&gt;$X86,1,0))</f>
        <v/>
      </c>
      <c r="AA87">
        <f>IF($V87="",0,IF($V88="",1,IF($X88&lt;&gt;$X87,1,0)))</f>
        <v/>
      </c>
      <c r="AB87">
        <f>IF($V87="",99999+83,$AB86+1+$Z86+$AA86+$AO86)</f>
        <v/>
      </c>
      <c r="AC87">
        <f>IFERROR(MATCH(83,$AB$5:$AB$404,1),"")</f>
        <v/>
      </c>
      <c r="AD87">
        <f>IF(83=$AI$1+1,"Z",IF($AC87="","",IF(INDEX($V$5:$V$404,$AC87)="","",IF(83&gt;INDEX($AB$5:$AB$404,$AC87)+INDEX($Z$5:$Z$404,$AC87)+INDEX($AA$5:$AA$404,$AC87)+INDEX($AO$5:$AO$404,$AC87),"",IF(83=INDEX($AB$5:$AB$404,$AC87)+INDEX($Z$5:$Z$404,$AC87),"D",IF(AND(INDEX($Z$5:$Z$404,$AC87)=1,83=INDEX($AB$5:$AB$404,$AC87)),"H",IF(AND(INDEX($AO$5:$AO$404,$AC87)=1,83=INDEX($AB$5:$AB$404,$AC87)+INDEX($Z$5:$Z$404,$AC87)+INDEX($AA$5:$AA$404,$AC87)+INDEX($AO$5:$AO$404,$AC87)),"B","T")))))))</f>
        <v/>
      </c>
      <c r="AF87">
        <f>IF(OR($AD87="",$AD87="Z",$AD87="B"),"",INDEX($X$5:$X$404,$AC87))</f>
        <v/>
      </c>
      <c r="AJ87">
        <f>IF($AD87&lt;&gt;"T",0,ROUND(SUMIF(oil!$B$4:$B$63,$AF87,oil!$AE$4:$AE$63),2))</f>
        <v/>
      </c>
      <c r="AK87">
        <f>IF($S87="","",IFERROR(INDEX(อัตราค่าขนส่ง!$P$5:$P$54,MATCH($S87,อัตราค่าขนส่ง!$O$5:$O$54,0)),INDEX(รายการมาตรฐาน!$G$2:$G$3,1)))</f>
        <v/>
      </c>
      <c r="AL87">
        <f>IF($S87="","",IFERROR(MATCH($AK87,รายการมาตรฐาน!$G$2:$G$3,0),1))</f>
        <v/>
      </c>
      <c r="AM87">
        <f>IF($V87="","",INDEX($AK$5:$AK$404,$V87))</f>
        <v/>
      </c>
      <c r="AN87">
        <f>IF($V87="","",INDEX($AL$5:$AL$404,$V87))</f>
        <v/>
      </c>
      <c r="AO87">
        <f>IF(OR($V87="",$AI$2&lt;=1),0,IF($V88="",1,IF($AN88&lt;&gt;$AN87,1,0)))</f>
        <v/>
      </c>
      <c r="AP87">
        <f>IF($V87="",0,IF($AN87&lt;&gt;$AN86,1,0))</f>
        <v/>
      </c>
      <c r="AQ87">
        <f>IF(OR($AD87="",$AD87="Z"),"",INDEX($AN$5:$AN$404,$AC87))</f>
        <v/>
      </c>
      <c r="AR87">
        <f>IF($Y87="",0,COUNTIF(บันทึกรายเที่ยว!$V$6:$V$6005,$Y87))</f>
        <v/>
      </c>
      <c r="AS87">
        <f>IF($Y87="",0,ROUND(SUMIF(บันทึกรายเที่ยว!$V$6:$V$6005,$Y87,บันทึกรายเที่ยว!$M$6:$M$6005),2))</f>
        <v/>
      </c>
      <c r="AT87">
        <f>IF($Y87="",0,IFERROR(INDEX(อัตราค่าขนส่ง!$G$5:$G$204,MATCH($Y87,อัตราค่าขนส่ง!$M$5:$M$204,0)),0))</f>
        <v/>
      </c>
      <c r="AU87">
        <f>ROUND($AS87*$BD87,2)</f>
        <v/>
      </c>
      <c r="AV87">
        <f>ROUND($AU87*$BF$2/100,2)</f>
        <v/>
      </c>
      <c r="AW87">
        <f>IF($Y87="","",IFERROR(INDEX(อัตราค่าขนส่ง!$F$5:$F$204,MATCH($Y87,อัตราค่าขนส่ง!$M$5:$M$204,0)),""))</f>
        <v/>
      </c>
      <c r="AX87">
        <f>IF($W87="","",INDEX(บันทึกรายเที่ยว!$D$6:$D$6005,$W87))</f>
        <v/>
      </c>
      <c r="AY87">
        <f>IF($W87="","",INDEX(บันทึกรายเที่ยว!$R$6:$R$6005,$W87))</f>
        <v/>
      </c>
      <c r="AZ87">
        <f>IF(AND($AD87="T",$AQ87=1),N($AZ86)+1,N($AZ86))</f>
        <v/>
      </c>
      <c r="BA87">
        <f>IF($W87="","",INDEX(บันทึกรายเที่ยว!$E$6:$E$6005,$W87))</f>
        <v/>
      </c>
      <c r="BC87">
        <f>IF($Y87="",0,IFERROR(INDEX(อัตราค่าขนส่ง!$K$5:$K$204,MATCH($Y87,อัตราค่าขนส่ง!$M$5:$M$204,0)),0))</f>
        <v/>
      </c>
      <c r="BD87">
        <f>IF($Y87="",0,IFERROR(INDEX(อัตราค่าขนส่ง!$L$5:$L$204,MATCH($Y87,อัตราค่าขนส่ง!$M$5:$M$204,0)),0))</f>
        <v/>
      </c>
    </row>
    <row r="88" ht="21" customHeight="1" s="66">
      <c r="A88" s="69">
        <f>IF($AD88="","",IF($AD88="Z","รวมจ่ายทั้งสิ้น",IF($AD88="H",INDEX($X$5:$X$404,$AC88),IF($AD88="T","รวม",IF($AD88="B",IFERROR(INDEX(อัตราค่าขนส่ง!$S$5:$S$14,MATCH(INDEX($AM$5:$AM$404,$AC88),อัตราค่าขนส่ง!$R$5:$R$14,0)),"รวมกลุ่ม "&amp;INDEX($AM$5:$AM$404,$AC88)),INDEX($AY$5:$AY$404,$AC88))))))</f>
        <v/>
      </c>
      <c r="B88" s="31">
        <f>IF($AD88&lt;&gt;"D","",INDEX($AW$5:$AW$404,$AC88))</f>
        <v/>
      </c>
      <c r="C88" s="68">
        <f>IF($AD88&lt;&gt;"D","",INDEX($AX$5:$AX$404,$AC88))</f>
        <v/>
      </c>
      <c r="D88" s="70">
        <f>IF($AD88&lt;&gt;"D","",INDEX($BA$5:$BA$404,$AC88))</f>
        <v/>
      </c>
      <c r="E88" s="31">
        <f>IF($AD88="Z",SUM($AR$5:$AR$404),IF($AD88="D",INDEX($AR$5:$AR$404,$AC88),IF($AD88="T",SUMIF($X$5:$X$404,$AF88,$AR$5:$AR$404),IF($AD88="B",SUMIF($AN$5:$AN$404,$AQ88,$AR$5:$AR$404),""))))</f>
        <v/>
      </c>
      <c r="F88" s="32">
        <f>IF($AD88="Z",ROUND(SUM($AS$5:$AS$404),2),IF($AD88="D",INDEX($AS$5:$AS$404,$AC88),IF($AD88="T",ROUND(SUMIF($X$5:$X$404,$AF88,$AS$5:$AS$404),2),IF($AD88="B",ROUND(SUMIF($AN$5:$AN$404,$AQ88,$AS$5:$AS$404),2),""))))</f>
        <v/>
      </c>
      <c r="G88" s="32">
        <f>IF($AD88&lt;&gt;"D","",INDEX($AT$5:$AT$404,$AC88))</f>
        <v/>
      </c>
      <c r="H88" s="32">
        <f>IF($AD88&lt;&gt;"D","",INDEX($BC$5:$BC$404,$AC88))</f>
        <v/>
      </c>
      <c r="I88" s="32">
        <f>IF($AD88&lt;&gt;"D","",INDEX($BD$5:$BD$404,$AC88))</f>
        <v/>
      </c>
      <c r="J88" s="46">
        <f>IF($AD88&lt;&gt;"D","",IF(N($B88)=0,"",ROUND($I88/$B88,4)))</f>
        <v/>
      </c>
      <c r="K88" s="32">
        <f>IF($AD88="Z",ROUND(SUM($AU$5:$AU$404),2),IF($AD88="D",INDEX($AU$5:$AU$404,$AC88),IF($AD88="T",ROUND(SUMIF($X$5:$X$404,$AF88,$AU$5:$AU$404),2),IF($AD88="B",ROUND(SUMIF($AN$5:$AN$404,$AQ88,$AU$5:$AU$404),2),""))))</f>
        <v/>
      </c>
      <c r="L88" s="32">
        <f>IF($AD88="Z",ROUND(SUM($AV$5:$AV$404),2),IF($AD88="D",INDEX($AV$5:$AV$404,$AC88),IF($AD88="T",ROUND(SUMIF($X$5:$X$404,$AF88,$AV$5:$AV$404),2),IF($AD88="B",ROUND(SUMIF($AN$5:$AN$404,$AQ88,$AV$5:$AV$404),2),""))))</f>
        <v/>
      </c>
      <c r="M88" s="32">
        <f>IF($AD88="Z",ROUND(SUM($AJ$5:$AJ$704),2),IF($AD88="B",ROUND(SUMIF($AQ$5:$AQ$704,$AQ88,$AJ$5:$AJ$704),2),IF($AD88&lt;&gt;"T","",$AJ88)))</f>
        <v/>
      </c>
      <c r="N88" s="32">
        <f>IF(OR($AD88="D",$AD88="T",$AD88="B",$AD88="Z"),ROUND(N($K88)-N($L88)-N($M88),2),"")</f>
        <v/>
      </c>
      <c r="O88" s="32">
        <f>IF(OR($AD88="D",$AD88="T",$AD88="B",$AD88="Z"),IF(N($E88)=0,"",ROUND($F88/$E88,2)),"")</f>
        <v/>
      </c>
      <c r="Q88">
        <f>IFERROR(MATCH(84,บันทึกรายเที่ยว!$Z$6:$Z$6005,0),"")</f>
        <v/>
      </c>
      <c r="R88">
        <f>IF($Q88="","",INDEX(บันทึกรายเที่ยว!$V$6:$V$6005,$Q88))</f>
        <v/>
      </c>
      <c r="S88">
        <f>IF($Q88="","",INDEX(บันทึกรายเที่ยว!$F$6:$F$6005,$Q88))</f>
        <v/>
      </c>
      <c r="T88">
        <f>IF($Q88="","",MATCH($S88,บันทึกรายเที่ยว!$F$6:$F$6005,0))</f>
        <v/>
      </c>
      <c r="U88">
        <f>IF($Q88="","",$AL88*10000000+$T88*1000+84)</f>
        <v/>
      </c>
      <c r="V88">
        <f>IFERROR(MATCH(SMALL($U$5:$U$404,84),$U$5:$U$404,0),"")</f>
        <v/>
      </c>
      <c r="W88">
        <f>IF($V88="","",INDEX($Q$5:$Q$404,$V88))</f>
        <v/>
      </c>
      <c r="X88">
        <f>IF($V88="","",INDEX($S$5:$S$404,$V88))</f>
        <v/>
      </c>
      <c r="Y88">
        <f>IF($V88="","",INDEX($R$5:$R$404,$V88))</f>
        <v/>
      </c>
      <c r="Z88">
        <f>IF($V88="",0,IF($X88&lt;&gt;$X87,1,0))</f>
        <v/>
      </c>
      <c r="AA88">
        <f>IF($V88="",0,IF($V89="",1,IF($X89&lt;&gt;$X88,1,0)))</f>
        <v/>
      </c>
      <c r="AB88">
        <f>IF($V88="",99999+84,$AB87+1+$Z87+$AA87+$AO87)</f>
        <v/>
      </c>
      <c r="AC88">
        <f>IFERROR(MATCH(84,$AB$5:$AB$404,1),"")</f>
        <v/>
      </c>
      <c r="AD88">
        <f>IF(84=$AI$1+1,"Z",IF($AC88="","",IF(INDEX($V$5:$V$404,$AC88)="","",IF(84&gt;INDEX($AB$5:$AB$404,$AC88)+INDEX($Z$5:$Z$404,$AC88)+INDEX($AA$5:$AA$404,$AC88)+INDEX($AO$5:$AO$404,$AC88),"",IF(84=INDEX($AB$5:$AB$404,$AC88)+INDEX($Z$5:$Z$404,$AC88),"D",IF(AND(INDEX($Z$5:$Z$404,$AC88)=1,84=INDEX($AB$5:$AB$404,$AC88)),"H",IF(AND(INDEX($AO$5:$AO$404,$AC88)=1,84=INDEX($AB$5:$AB$404,$AC88)+INDEX($Z$5:$Z$404,$AC88)+INDEX($AA$5:$AA$404,$AC88)+INDEX($AO$5:$AO$404,$AC88)),"B","T")))))))</f>
        <v/>
      </c>
      <c r="AF88">
        <f>IF(OR($AD88="",$AD88="Z",$AD88="B"),"",INDEX($X$5:$X$404,$AC88))</f>
        <v/>
      </c>
      <c r="AJ88">
        <f>IF($AD88&lt;&gt;"T",0,ROUND(SUMIF(oil!$B$4:$B$63,$AF88,oil!$AE$4:$AE$63),2))</f>
        <v/>
      </c>
      <c r="AK88">
        <f>IF($S88="","",IFERROR(INDEX(อัตราค่าขนส่ง!$P$5:$P$54,MATCH($S88,อัตราค่าขนส่ง!$O$5:$O$54,0)),INDEX(รายการมาตรฐาน!$G$2:$G$3,1)))</f>
        <v/>
      </c>
      <c r="AL88">
        <f>IF($S88="","",IFERROR(MATCH($AK88,รายการมาตรฐาน!$G$2:$G$3,0),1))</f>
        <v/>
      </c>
      <c r="AM88">
        <f>IF($V88="","",INDEX($AK$5:$AK$404,$V88))</f>
        <v/>
      </c>
      <c r="AN88">
        <f>IF($V88="","",INDEX($AL$5:$AL$404,$V88))</f>
        <v/>
      </c>
      <c r="AO88">
        <f>IF(OR($V88="",$AI$2&lt;=1),0,IF($V89="",1,IF($AN89&lt;&gt;$AN88,1,0)))</f>
        <v/>
      </c>
      <c r="AP88">
        <f>IF($V88="",0,IF($AN88&lt;&gt;$AN87,1,0))</f>
        <v/>
      </c>
      <c r="AQ88">
        <f>IF(OR($AD88="",$AD88="Z"),"",INDEX($AN$5:$AN$404,$AC88))</f>
        <v/>
      </c>
      <c r="AR88">
        <f>IF($Y88="",0,COUNTIF(บันทึกรายเที่ยว!$V$6:$V$6005,$Y88))</f>
        <v/>
      </c>
      <c r="AS88">
        <f>IF($Y88="",0,ROUND(SUMIF(บันทึกรายเที่ยว!$V$6:$V$6005,$Y88,บันทึกรายเที่ยว!$M$6:$M$6005),2))</f>
        <v/>
      </c>
      <c r="AT88">
        <f>IF($Y88="",0,IFERROR(INDEX(อัตราค่าขนส่ง!$G$5:$G$204,MATCH($Y88,อัตราค่าขนส่ง!$M$5:$M$204,0)),0))</f>
        <v/>
      </c>
      <c r="AU88">
        <f>ROUND($AS88*$BD88,2)</f>
        <v/>
      </c>
      <c r="AV88">
        <f>ROUND($AU88*$BF$2/100,2)</f>
        <v/>
      </c>
      <c r="AW88">
        <f>IF($Y88="","",IFERROR(INDEX(อัตราค่าขนส่ง!$F$5:$F$204,MATCH($Y88,อัตราค่าขนส่ง!$M$5:$M$204,0)),""))</f>
        <v/>
      </c>
      <c r="AX88">
        <f>IF($W88="","",INDEX(บันทึกรายเที่ยว!$D$6:$D$6005,$W88))</f>
        <v/>
      </c>
      <c r="AY88">
        <f>IF($W88="","",INDEX(บันทึกรายเที่ยว!$R$6:$R$6005,$W88))</f>
        <v/>
      </c>
      <c r="AZ88">
        <f>IF(AND($AD88="T",$AQ88=1),N($AZ87)+1,N($AZ87))</f>
        <v/>
      </c>
      <c r="BA88">
        <f>IF($W88="","",INDEX(บันทึกรายเที่ยว!$E$6:$E$6005,$W88))</f>
        <v/>
      </c>
      <c r="BC88">
        <f>IF($Y88="",0,IFERROR(INDEX(อัตราค่าขนส่ง!$K$5:$K$204,MATCH($Y88,อัตราค่าขนส่ง!$M$5:$M$204,0)),0))</f>
        <v/>
      </c>
      <c r="BD88">
        <f>IF($Y88="",0,IFERROR(INDEX(อัตราค่าขนส่ง!$L$5:$L$204,MATCH($Y88,อัตราค่าขนส่ง!$M$5:$M$204,0)),0))</f>
        <v/>
      </c>
    </row>
    <row r="89" ht="21" customHeight="1" s="66">
      <c r="A89" s="69">
        <f>IF($AD89="","",IF($AD89="Z","รวมจ่ายทั้งสิ้น",IF($AD89="H",INDEX($X$5:$X$404,$AC89),IF($AD89="T","รวม",IF($AD89="B",IFERROR(INDEX(อัตราค่าขนส่ง!$S$5:$S$14,MATCH(INDEX($AM$5:$AM$404,$AC89),อัตราค่าขนส่ง!$R$5:$R$14,0)),"รวมกลุ่ม "&amp;INDEX($AM$5:$AM$404,$AC89)),INDEX($AY$5:$AY$404,$AC89))))))</f>
        <v/>
      </c>
      <c r="B89" s="31">
        <f>IF($AD89&lt;&gt;"D","",INDEX($AW$5:$AW$404,$AC89))</f>
        <v/>
      </c>
      <c r="C89" s="68">
        <f>IF($AD89&lt;&gt;"D","",INDEX($AX$5:$AX$404,$AC89))</f>
        <v/>
      </c>
      <c r="D89" s="70">
        <f>IF($AD89&lt;&gt;"D","",INDEX($BA$5:$BA$404,$AC89))</f>
        <v/>
      </c>
      <c r="E89" s="31">
        <f>IF($AD89="Z",SUM($AR$5:$AR$404),IF($AD89="D",INDEX($AR$5:$AR$404,$AC89),IF($AD89="T",SUMIF($X$5:$X$404,$AF89,$AR$5:$AR$404),IF($AD89="B",SUMIF($AN$5:$AN$404,$AQ89,$AR$5:$AR$404),""))))</f>
        <v/>
      </c>
      <c r="F89" s="32">
        <f>IF($AD89="Z",ROUND(SUM($AS$5:$AS$404),2),IF($AD89="D",INDEX($AS$5:$AS$404,$AC89),IF($AD89="T",ROUND(SUMIF($X$5:$X$404,$AF89,$AS$5:$AS$404),2),IF($AD89="B",ROUND(SUMIF($AN$5:$AN$404,$AQ89,$AS$5:$AS$404),2),""))))</f>
        <v/>
      </c>
      <c r="G89" s="32">
        <f>IF($AD89&lt;&gt;"D","",INDEX($AT$5:$AT$404,$AC89))</f>
        <v/>
      </c>
      <c r="H89" s="32">
        <f>IF($AD89&lt;&gt;"D","",INDEX($BC$5:$BC$404,$AC89))</f>
        <v/>
      </c>
      <c r="I89" s="32">
        <f>IF($AD89&lt;&gt;"D","",INDEX($BD$5:$BD$404,$AC89))</f>
        <v/>
      </c>
      <c r="J89" s="46">
        <f>IF($AD89&lt;&gt;"D","",IF(N($B89)=0,"",ROUND($I89/$B89,4)))</f>
        <v/>
      </c>
      <c r="K89" s="32">
        <f>IF($AD89="Z",ROUND(SUM($AU$5:$AU$404),2),IF($AD89="D",INDEX($AU$5:$AU$404,$AC89),IF($AD89="T",ROUND(SUMIF($X$5:$X$404,$AF89,$AU$5:$AU$404),2),IF($AD89="B",ROUND(SUMIF($AN$5:$AN$404,$AQ89,$AU$5:$AU$404),2),""))))</f>
        <v/>
      </c>
      <c r="L89" s="32">
        <f>IF($AD89="Z",ROUND(SUM($AV$5:$AV$404),2),IF($AD89="D",INDEX($AV$5:$AV$404,$AC89),IF($AD89="T",ROUND(SUMIF($X$5:$X$404,$AF89,$AV$5:$AV$404),2),IF($AD89="B",ROUND(SUMIF($AN$5:$AN$404,$AQ89,$AV$5:$AV$404),2),""))))</f>
        <v/>
      </c>
      <c r="M89" s="32">
        <f>IF($AD89="Z",ROUND(SUM($AJ$5:$AJ$704),2),IF($AD89="B",ROUND(SUMIF($AQ$5:$AQ$704,$AQ89,$AJ$5:$AJ$704),2),IF($AD89&lt;&gt;"T","",$AJ89)))</f>
        <v/>
      </c>
      <c r="N89" s="32">
        <f>IF(OR($AD89="D",$AD89="T",$AD89="B",$AD89="Z"),ROUND(N($K89)-N($L89)-N($M89),2),"")</f>
        <v/>
      </c>
      <c r="O89" s="32">
        <f>IF(OR($AD89="D",$AD89="T",$AD89="B",$AD89="Z"),IF(N($E89)=0,"",ROUND($F89/$E89,2)),"")</f>
        <v/>
      </c>
      <c r="Q89">
        <f>IFERROR(MATCH(85,บันทึกรายเที่ยว!$Z$6:$Z$6005,0),"")</f>
        <v/>
      </c>
      <c r="R89">
        <f>IF($Q89="","",INDEX(บันทึกรายเที่ยว!$V$6:$V$6005,$Q89))</f>
        <v/>
      </c>
      <c r="S89">
        <f>IF($Q89="","",INDEX(บันทึกรายเที่ยว!$F$6:$F$6005,$Q89))</f>
        <v/>
      </c>
      <c r="T89">
        <f>IF($Q89="","",MATCH($S89,บันทึกรายเที่ยว!$F$6:$F$6005,0))</f>
        <v/>
      </c>
      <c r="U89">
        <f>IF($Q89="","",$AL89*10000000+$T89*1000+85)</f>
        <v/>
      </c>
      <c r="V89">
        <f>IFERROR(MATCH(SMALL($U$5:$U$404,85),$U$5:$U$404,0),"")</f>
        <v/>
      </c>
      <c r="W89">
        <f>IF($V89="","",INDEX($Q$5:$Q$404,$V89))</f>
        <v/>
      </c>
      <c r="X89">
        <f>IF($V89="","",INDEX($S$5:$S$404,$V89))</f>
        <v/>
      </c>
      <c r="Y89">
        <f>IF($V89="","",INDEX($R$5:$R$404,$V89))</f>
        <v/>
      </c>
      <c r="Z89">
        <f>IF($V89="",0,IF($X89&lt;&gt;$X88,1,0))</f>
        <v/>
      </c>
      <c r="AA89">
        <f>IF($V89="",0,IF($V90="",1,IF($X90&lt;&gt;$X89,1,0)))</f>
        <v/>
      </c>
      <c r="AB89">
        <f>IF($V89="",99999+85,$AB88+1+$Z88+$AA88+$AO88)</f>
        <v/>
      </c>
      <c r="AC89">
        <f>IFERROR(MATCH(85,$AB$5:$AB$404,1),"")</f>
        <v/>
      </c>
      <c r="AD89">
        <f>IF(85=$AI$1+1,"Z",IF($AC89="","",IF(INDEX($V$5:$V$404,$AC89)="","",IF(85&gt;INDEX($AB$5:$AB$404,$AC89)+INDEX($Z$5:$Z$404,$AC89)+INDEX($AA$5:$AA$404,$AC89)+INDEX($AO$5:$AO$404,$AC89),"",IF(85=INDEX($AB$5:$AB$404,$AC89)+INDEX($Z$5:$Z$404,$AC89),"D",IF(AND(INDEX($Z$5:$Z$404,$AC89)=1,85=INDEX($AB$5:$AB$404,$AC89)),"H",IF(AND(INDEX($AO$5:$AO$404,$AC89)=1,85=INDEX($AB$5:$AB$404,$AC89)+INDEX($Z$5:$Z$404,$AC89)+INDEX($AA$5:$AA$404,$AC89)+INDEX($AO$5:$AO$404,$AC89)),"B","T")))))))</f>
        <v/>
      </c>
      <c r="AF89">
        <f>IF(OR($AD89="",$AD89="Z",$AD89="B"),"",INDEX($X$5:$X$404,$AC89))</f>
        <v/>
      </c>
      <c r="AJ89">
        <f>IF($AD89&lt;&gt;"T",0,ROUND(SUMIF(oil!$B$4:$B$63,$AF89,oil!$AE$4:$AE$63),2))</f>
        <v/>
      </c>
      <c r="AK89">
        <f>IF($S89="","",IFERROR(INDEX(อัตราค่าขนส่ง!$P$5:$P$54,MATCH($S89,อัตราค่าขนส่ง!$O$5:$O$54,0)),INDEX(รายการมาตรฐาน!$G$2:$G$3,1)))</f>
        <v/>
      </c>
      <c r="AL89">
        <f>IF($S89="","",IFERROR(MATCH($AK89,รายการมาตรฐาน!$G$2:$G$3,0),1))</f>
        <v/>
      </c>
      <c r="AM89">
        <f>IF($V89="","",INDEX($AK$5:$AK$404,$V89))</f>
        <v/>
      </c>
      <c r="AN89">
        <f>IF($V89="","",INDEX($AL$5:$AL$404,$V89))</f>
        <v/>
      </c>
      <c r="AO89">
        <f>IF(OR($V89="",$AI$2&lt;=1),0,IF($V90="",1,IF($AN90&lt;&gt;$AN89,1,0)))</f>
        <v/>
      </c>
      <c r="AP89">
        <f>IF($V89="",0,IF($AN89&lt;&gt;$AN88,1,0))</f>
        <v/>
      </c>
      <c r="AQ89">
        <f>IF(OR($AD89="",$AD89="Z"),"",INDEX($AN$5:$AN$404,$AC89))</f>
        <v/>
      </c>
      <c r="AR89">
        <f>IF($Y89="",0,COUNTIF(บันทึกรายเที่ยว!$V$6:$V$6005,$Y89))</f>
        <v/>
      </c>
      <c r="AS89">
        <f>IF($Y89="",0,ROUND(SUMIF(บันทึกรายเที่ยว!$V$6:$V$6005,$Y89,บันทึกรายเที่ยว!$M$6:$M$6005),2))</f>
        <v/>
      </c>
      <c r="AT89">
        <f>IF($Y89="",0,IFERROR(INDEX(อัตราค่าขนส่ง!$G$5:$G$204,MATCH($Y89,อัตราค่าขนส่ง!$M$5:$M$204,0)),0))</f>
        <v/>
      </c>
      <c r="AU89">
        <f>ROUND($AS89*$BD89,2)</f>
        <v/>
      </c>
      <c r="AV89">
        <f>ROUND($AU89*$BF$2/100,2)</f>
        <v/>
      </c>
      <c r="AW89">
        <f>IF($Y89="","",IFERROR(INDEX(อัตราค่าขนส่ง!$F$5:$F$204,MATCH($Y89,อัตราค่าขนส่ง!$M$5:$M$204,0)),""))</f>
        <v/>
      </c>
      <c r="AX89">
        <f>IF($W89="","",INDEX(บันทึกรายเที่ยว!$D$6:$D$6005,$W89))</f>
        <v/>
      </c>
      <c r="AY89">
        <f>IF($W89="","",INDEX(บันทึกรายเที่ยว!$R$6:$R$6005,$W89))</f>
        <v/>
      </c>
      <c r="AZ89">
        <f>IF(AND($AD89="T",$AQ89=1),N($AZ88)+1,N($AZ88))</f>
        <v/>
      </c>
      <c r="BA89">
        <f>IF($W89="","",INDEX(บันทึกรายเที่ยว!$E$6:$E$6005,$W89))</f>
        <v/>
      </c>
      <c r="BC89">
        <f>IF($Y89="",0,IFERROR(INDEX(อัตราค่าขนส่ง!$K$5:$K$204,MATCH($Y89,อัตราค่าขนส่ง!$M$5:$M$204,0)),0))</f>
        <v/>
      </c>
      <c r="BD89">
        <f>IF($Y89="",0,IFERROR(INDEX(อัตราค่าขนส่ง!$L$5:$L$204,MATCH($Y89,อัตราค่าขนส่ง!$M$5:$M$204,0)),0))</f>
        <v/>
      </c>
    </row>
    <row r="90" ht="21" customHeight="1" s="66">
      <c r="A90" s="69">
        <f>IF($AD90="","",IF($AD90="Z","รวมจ่ายทั้งสิ้น",IF($AD90="H",INDEX($X$5:$X$404,$AC90),IF($AD90="T","รวม",IF($AD90="B",IFERROR(INDEX(อัตราค่าขนส่ง!$S$5:$S$14,MATCH(INDEX($AM$5:$AM$404,$AC90),อัตราค่าขนส่ง!$R$5:$R$14,0)),"รวมกลุ่ม "&amp;INDEX($AM$5:$AM$404,$AC90)),INDEX($AY$5:$AY$404,$AC90))))))</f>
        <v/>
      </c>
      <c r="B90" s="31">
        <f>IF($AD90&lt;&gt;"D","",INDEX($AW$5:$AW$404,$AC90))</f>
        <v/>
      </c>
      <c r="C90" s="68">
        <f>IF($AD90&lt;&gt;"D","",INDEX($AX$5:$AX$404,$AC90))</f>
        <v/>
      </c>
      <c r="D90" s="70">
        <f>IF($AD90&lt;&gt;"D","",INDEX($BA$5:$BA$404,$AC90))</f>
        <v/>
      </c>
      <c r="E90" s="31">
        <f>IF($AD90="Z",SUM($AR$5:$AR$404),IF($AD90="D",INDEX($AR$5:$AR$404,$AC90),IF($AD90="T",SUMIF($X$5:$X$404,$AF90,$AR$5:$AR$404),IF($AD90="B",SUMIF($AN$5:$AN$404,$AQ90,$AR$5:$AR$404),""))))</f>
        <v/>
      </c>
      <c r="F90" s="32">
        <f>IF($AD90="Z",ROUND(SUM($AS$5:$AS$404),2),IF($AD90="D",INDEX($AS$5:$AS$404,$AC90),IF($AD90="T",ROUND(SUMIF($X$5:$X$404,$AF90,$AS$5:$AS$404),2),IF($AD90="B",ROUND(SUMIF($AN$5:$AN$404,$AQ90,$AS$5:$AS$404),2),""))))</f>
        <v/>
      </c>
      <c r="G90" s="32">
        <f>IF($AD90&lt;&gt;"D","",INDEX($AT$5:$AT$404,$AC90))</f>
        <v/>
      </c>
      <c r="H90" s="32">
        <f>IF($AD90&lt;&gt;"D","",INDEX($BC$5:$BC$404,$AC90))</f>
        <v/>
      </c>
      <c r="I90" s="32">
        <f>IF($AD90&lt;&gt;"D","",INDEX($BD$5:$BD$404,$AC90))</f>
        <v/>
      </c>
      <c r="J90" s="46">
        <f>IF($AD90&lt;&gt;"D","",IF(N($B90)=0,"",ROUND($I90/$B90,4)))</f>
        <v/>
      </c>
      <c r="K90" s="32">
        <f>IF($AD90="Z",ROUND(SUM($AU$5:$AU$404),2),IF($AD90="D",INDEX($AU$5:$AU$404,$AC90),IF($AD90="T",ROUND(SUMIF($X$5:$X$404,$AF90,$AU$5:$AU$404),2),IF($AD90="B",ROUND(SUMIF($AN$5:$AN$404,$AQ90,$AU$5:$AU$404),2),""))))</f>
        <v/>
      </c>
      <c r="L90" s="32">
        <f>IF($AD90="Z",ROUND(SUM($AV$5:$AV$404),2),IF($AD90="D",INDEX($AV$5:$AV$404,$AC90),IF($AD90="T",ROUND(SUMIF($X$5:$X$404,$AF90,$AV$5:$AV$404),2),IF($AD90="B",ROUND(SUMIF($AN$5:$AN$404,$AQ90,$AV$5:$AV$404),2),""))))</f>
        <v/>
      </c>
      <c r="M90" s="32">
        <f>IF($AD90="Z",ROUND(SUM($AJ$5:$AJ$704),2),IF($AD90="B",ROUND(SUMIF($AQ$5:$AQ$704,$AQ90,$AJ$5:$AJ$704),2),IF($AD90&lt;&gt;"T","",$AJ90)))</f>
        <v/>
      </c>
      <c r="N90" s="32">
        <f>IF(OR($AD90="D",$AD90="T",$AD90="B",$AD90="Z"),ROUND(N($K90)-N($L90)-N($M90),2),"")</f>
        <v/>
      </c>
      <c r="O90" s="32">
        <f>IF(OR($AD90="D",$AD90="T",$AD90="B",$AD90="Z"),IF(N($E90)=0,"",ROUND($F90/$E90,2)),"")</f>
        <v/>
      </c>
      <c r="Q90">
        <f>IFERROR(MATCH(86,บันทึกรายเที่ยว!$Z$6:$Z$6005,0),"")</f>
        <v/>
      </c>
      <c r="R90">
        <f>IF($Q90="","",INDEX(บันทึกรายเที่ยว!$V$6:$V$6005,$Q90))</f>
        <v/>
      </c>
      <c r="S90">
        <f>IF($Q90="","",INDEX(บันทึกรายเที่ยว!$F$6:$F$6005,$Q90))</f>
        <v/>
      </c>
      <c r="T90">
        <f>IF($Q90="","",MATCH($S90,บันทึกรายเที่ยว!$F$6:$F$6005,0))</f>
        <v/>
      </c>
      <c r="U90">
        <f>IF($Q90="","",$AL90*10000000+$T90*1000+86)</f>
        <v/>
      </c>
      <c r="V90">
        <f>IFERROR(MATCH(SMALL($U$5:$U$404,86),$U$5:$U$404,0),"")</f>
        <v/>
      </c>
      <c r="W90">
        <f>IF($V90="","",INDEX($Q$5:$Q$404,$V90))</f>
        <v/>
      </c>
      <c r="X90">
        <f>IF($V90="","",INDEX($S$5:$S$404,$V90))</f>
        <v/>
      </c>
      <c r="Y90">
        <f>IF($V90="","",INDEX($R$5:$R$404,$V90))</f>
        <v/>
      </c>
      <c r="Z90">
        <f>IF($V90="",0,IF($X90&lt;&gt;$X89,1,0))</f>
        <v/>
      </c>
      <c r="AA90">
        <f>IF($V90="",0,IF($V91="",1,IF($X91&lt;&gt;$X90,1,0)))</f>
        <v/>
      </c>
      <c r="AB90">
        <f>IF($V90="",99999+86,$AB89+1+$Z89+$AA89+$AO89)</f>
        <v/>
      </c>
      <c r="AC90">
        <f>IFERROR(MATCH(86,$AB$5:$AB$404,1),"")</f>
        <v/>
      </c>
      <c r="AD90">
        <f>IF(86=$AI$1+1,"Z",IF($AC90="","",IF(INDEX($V$5:$V$404,$AC90)="","",IF(86&gt;INDEX($AB$5:$AB$404,$AC90)+INDEX($Z$5:$Z$404,$AC90)+INDEX($AA$5:$AA$404,$AC90)+INDEX($AO$5:$AO$404,$AC90),"",IF(86=INDEX($AB$5:$AB$404,$AC90)+INDEX($Z$5:$Z$404,$AC90),"D",IF(AND(INDEX($Z$5:$Z$404,$AC90)=1,86=INDEX($AB$5:$AB$404,$AC90)),"H",IF(AND(INDEX($AO$5:$AO$404,$AC90)=1,86=INDEX($AB$5:$AB$404,$AC90)+INDEX($Z$5:$Z$404,$AC90)+INDEX($AA$5:$AA$404,$AC90)+INDEX($AO$5:$AO$404,$AC90)),"B","T")))))))</f>
        <v/>
      </c>
      <c r="AF90">
        <f>IF(OR($AD90="",$AD90="Z",$AD90="B"),"",INDEX($X$5:$X$404,$AC90))</f>
        <v/>
      </c>
      <c r="AJ90">
        <f>IF($AD90&lt;&gt;"T",0,ROUND(SUMIF(oil!$B$4:$B$63,$AF90,oil!$AE$4:$AE$63),2))</f>
        <v/>
      </c>
      <c r="AK90">
        <f>IF($S90="","",IFERROR(INDEX(อัตราค่าขนส่ง!$P$5:$P$54,MATCH($S90,อัตราค่าขนส่ง!$O$5:$O$54,0)),INDEX(รายการมาตรฐาน!$G$2:$G$3,1)))</f>
        <v/>
      </c>
      <c r="AL90">
        <f>IF($S90="","",IFERROR(MATCH($AK90,รายการมาตรฐาน!$G$2:$G$3,0),1))</f>
        <v/>
      </c>
      <c r="AM90">
        <f>IF($V90="","",INDEX($AK$5:$AK$404,$V90))</f>
        <v/>
      </c>
      <c r="AN90">
        <f>IF($V90="","",INDEX($AL$5:$AL$404,$V90))</f>
        <v/>
      </c>
      <c r="AO90">
        <f>IF(OR($V90="",$AI$2&lt;=1),0,IF($V91="",1,IF($AN91&lt;&gt;$AN90,1,0)))</f>
        <v/>
      </c>
      <c r="AP90">
        <f>IF($V90="",0,IF($AN90&lt;&gt;$AN89,1,0))</f>
        <v/>
      </c>
      <c r="AQ90">
        <f>IF(OR($AD90="",$AD90="Z"),"",INDEX($AN$5:$AN$404,$AC90))</f>
        <v/>
      </c>
      <c r="AR90">
        <f>IF($Y90="",0,COUNTIF(บันทึกรายเที่ยว!$V$6:$V$6005,$Y90))</f>
        <v/>
      </c>
      <c r="AS90">
        <f>IF($Y90="",0,ROUND(SUMIF(บันทึกรายเที่ยว!$V$6:$V$6005,$Y90,บันทึกรายเที่ยว!$M$6:$M$6005),2))</f>
        <v/>
      </c>
      <c r="AT90">
        <f>IF($Y90="",0,IFERROR(INDEX(อัตราค่าขนส่ง!$G$5:$G$204,MATCH($Y90,อัตราค่าขนส่ง!$M$5:$M$204,0)),0))</f>
        <v/>
      </c>
      <c r="AU90">
        <f>ROUND($AS90*$BD90,2)</f>
        <v/>
      </c>
      <c r="AV90">
        <f>ROUND($AU90*$BF$2/100,2)</f>
        <v/>
      </c>
      <c r="AW90">
        <f>IF($Y90="","",IFERROR(INDEX(อัตราค่าขนส่ง!$F$5:$F$204,MATCH($Y90,อัตราค่าขนส่ง!$M$5:$M$204,0)),""))</f>
        <v/>
      </c>
      <c r="AX90">
        <f>IF($W90="","",INDEX(บันทึกรายเที่ยว!$D$6:$D$6005,$W90))</f>
        <v/>
      </c>
      <c r="AY90">
        <f>IF($W90="","",INDEX(บันทึกรายเที่ยว!$R$6:$R$6005,$W90))</f>
        <v/>
      </c>
      <c r="AZ90">
        <f>IF(AND($AD90="T",$AQ90=1),N($AZ89)+1,N($AZ89))</f>
        <v/>
      </c>
      <c r="BA90">
        <f>IF($W90="","",INDEX(บันทึกรายเที่ยว!$E$6:$E$6005,$W90))</f>
        <v/>
      </c>
      <c r="BC90">
        <f>IF($Y90="",0,IFERROR(INDEX(อัตราค่าขนส่ง!$K$5:$K$204,MATCH($Y90,อัตราค่าขนส่ง!$M$5:$M$204,0)),0))</f>
        <v/>
      </c>
      <c r="BD90">
        <f>IF($Y90="",0,IFERROR(INDEX(อัตราค่าขนส่ง!$L$5:$L$204,MATCH($Y90,อัตราค่าขนส่ง!$M$5:$M$204,0)),0))</f>
        <v/>
      </c>
    </row>
    <row r="91" ht="21" customHeight="1" s="66">
      <c r="A91" s="69">
        <f>IF($AD91="","",IF($AD91="Z","รวมจ่ายทั้งสิ้น",IF($AD91="H",INDEX($X$5:$X$404,$AC91),IF($AD91="T","รวม",IF($AD91="B",IFERROR(INDEX(อัตราค่าขนส่ง!$S$5:$S$14,MATCH(INDEX($AM$5:$AM$404,$AC91),อัตราค่าขนส่ง!$R$5:$R$14,0)),"รวมกลุ่ม "&amp;INDEX($AM$5:$AM$404,$AC91)),INDEX($AY$5:$AY$404,$AC91))))))</f>
        <v/>
      </c>
      <c r="B91" s="31">
        <f>IF($AD91&lt;&gt;"D","",INDEX($AW$5:$AW$404,$AC91))</f>
        <v/>
      </c>
      <c r="C91" s="68">
        <f>IF($AD91&lt;&gt;"D","",INDEX($AX$5:$AX$404,$AC91))</f>
        <v/>
      </c>
      <c r="D91" s="70">
        <f>IF($AD91&lt;&gt;"D","",INDEX($BA$5:$BA$404,$AC91))</f>
        <v/>
      </c>
      <c r="E91" s="31">
        <f>IF($AD91="Z",SUM($AR$5:$AR$404),IF($AD91="D",INDEX($AR$5:$AR$404,$AC91),IF($AD91="T",SUMIF($X$5:$X$404,$AF91,$AR$5:$AR$404),IF($AD91="B",SUMIF($AN$5:$AN$404,$AQ91,$AR$5:$AR$404),""))))</f>
        <v/>
      </c>
      <c r="F91" s="32">
        <f>IF($AD91="Z",ROUND(SUM($AS$5:$AS$404),2),IF($AD91="D",INDEX($AS$5:$AS$404,$AC91),IF($AD91="T",ROUND(SUMIF($X$5:$X$404,$AF91,$AS$5:$AS$404),2),IF($AD91="B",ROUND(SUMIF($AN$5:$AN$404,$AQ91,$AS$5:$AS$404),2),""))))</f>
        <v/>
      </c>
      <c r="G91" s="32">
        <f>IF($AD91&lt;&gt;"D","",INDEX($AT$5:$AT$404,$AC91))</f>
        <v/>
      </c>
      <c r="H91" s="32">
        <f>IF($AD91&lt;&gt;"D","",INDEX($BC$5:$BC$404,$AC91))</f>
        <v/>
      </c>
      <c r="I91" s="32">
        <f>IF($AD91&lt;&gt;"D","",INDEX($BD$5:$BD$404,$AC91))</f>
        <v/>
      </c>
      <c r="J91" s="46">
        <f>IF($AD91&lt;&gt;"D","",IF(N($B91)=0,"",ROUND($I91/$B91,4)))</f>
        <v/>
      </c>
      <c r="K91" s="32">
        <f>IF($AD91="Z",ROUND(SUM($AU$5:$AU$404),2),IF($AD91="D",INDEX($AU$5:$AU$404,$AC91),IF($AD91="T",ROUND(SUMIF($X$5:$X$404,$AF91,$AU$5:$AU$404),2),IF($AD91="B",ROUND(SUMIF($AN$5:$AN$404,$AQ91,$AU$5:$AU$404),2),""))))</f>
        <v/>
      </c>
      <c r="L91" s="32">
        <f>IF($AD91="Z",ROUND(SUM($AV$5:$AV$404),2),IF($AD91="D",INDEX($AV$5:$AV$404,$AC91),IF($AD91="T",ROUND(SUMIF($X$5:$X$404,$AF91,$AV$5:$AV$404),2),IF($AD91="B",ROUND(SUMIF($AN$5:$AN$404,$AQ91,$AV$5:$AV$404),2),""))))</f>
        <v/>
      </c>
      <c r="M91" s="32">
        <f>IF($AD91="Z",ROUND(SUM($AJ$5:$AJ$704),2),IF($AD91="B",ROUND(SUMIF($AQ$5:$AQ$704,$AQ91,$AJ$5:$AJ$704),2),IF($AD91&lt;&gt;"T","",$AJ91)))</f>
        <v/>
      </c>
      <c r="N91" s="32">
        <f>IF(OR($AD91="D",$AD91="T",$AD91="B",$AD91="Z"),ROUND(N($K91)-N($L91)-N($M91),2),"")</f>
        <v/>
      </c>
      <c r="O91" s="32">
        <f>IF(OR($AD91="D",$AD91="T",$AD91="B",$AD91="Z"),IF(N($E91)=0,"",ROUND($F91/$E91,2)),"")</f>
        <v/>
      </c>
      <c r="Q91">
        <f>IFERROR(MATCH(87,บันทึกรายเที่ยว!$Z$6:$Z$6005,0),"")</f>
        <v/>
      </c>
      <c r="R91">
        <f>IF($Q91="","",INDEX(บันทึกรายเที่ยว!$V$6:$V$6005,$Q91))</f>
        <v/>
      </c>
      <c r="S91">
        <f>IF($Q91="","",INDEX(บันทึกรายเที่ยว!$F$6:$F$6005,$Q91))</f>
        <v/>
      </c>
      <c r="T91">
        <f>IF($Q91="","",MATCH($S91,บันทึกรายเที่ยว!$F$6:$F$6005,0))</f>
        <v/>
      </c>
      <c r="U91">
        <f>IF($Q91="","",$AL91*10000000+$T91*1000+87)</f>
        <v/>
      </c>
      <c r="V91">
        <f>IFERROR(MATCH(SMALL($U$5:$U$404,87),$U$5:$U$404,0),"")</f>
        <v/>
      </c>
      <c r="W91">
        <f>IF($V91="","",INDEX($Q$5:$Q$404,$V91))</f>
        <v/>
      </c>
      <c r="X91">
        <f>IF($V91="","",INDEX($S$5:$S$404,$V91))</f>
        <v/>
      </c>
      <c r="Y91">
        <f>IF($V91="","",INDEX($R$5:$R$404,$V91))</f>
        <v/>
      </c>
      <c r="Z91">
        <f>IF($V91="",0,IF($X91&lt;&gt;$X90,1,0))</f>
        <v/>
      </c>
      <c r="AA91">
        <f>IF($V91="",0,IF($V92="",1,IF($X92&lt;&gt;$X91,1,0)))</f>
        <v/>
      </c>
      <c r="AB91">
        <f>IF($V91="",99999+87,$AB90+1+$Z90+$AA90+$AO90)</f>
        <v/>
      </c>
      <c r="AC91">
        <f>IFERROR(MATCH(87,$AB$5:$AB$404,1),"")</f>
        <v/>
      </c>
      <c r="AD91">
        <f>IF(87=$AI$1+1,"Z",IF($AC91="","",IF(INDEX($V$5:$V$404,$AC91)="","",IF(87&gt;INDEX($AB$5:$AB$404,$AC91)+INDEX($Z$5:$Z$404,$AC91)+INDEX($AA$5:$AA$404,$AC91)+INDEX($AO$5:$AO$404,$AC91),"",IF(87=INDEX($AB$5:$AB$404,$AC91)+INDEX($Z$5:$Z$404,$AC91),"D",IF(AND(INDEX($Z$5:$Z$404,$AC91)=1,87=INDEX($AB$5:$AB$404,$AC91)),"H",IF(AND(INDEX($AO$5:$AO$404,$AC91)=1,87=INDEX($AB$5:$AB$404,$AC91)+INDEX($Z$5:$Z$404,$AC91)+INDEX($AA$5:$AA$404,$AC91)+INDEX($AO$5:$AO$404,$AC91)),"B","T")))))))</f>
        <v/>
      </c>
      <c r="AF91">
        <f>IF(OR($AD91="",$AD91="Z",$AD91="B"),"",INDEX($X$5:$X$404,$AC91))</f>
        <v/>
      </c>
      <c r="AJ91">
        <f>IF($AD91&lt;&gt;"T",0,ROUND(SUMIF(oil!$B$4:$B$63,$AF91,oil!$AE$4:$AE$63),2))</f>
        <v/>
      </c>
      <c r="AK91">
        <f>IF($S91="","",IFERROR(INDEX(อัตราค่าขนส่ง!$P$5:$P$54,MATCH($S91,อัตราค่าขนส่ง!$O$5:$O$54,0)),INDEX(รายการมาตรฐาน!$G$2:$G$3,1)))</f>
        <v/>
      </c>
      <c r="AL91">
        <f>IF($S91="","",IFERROR(MATCH($AK91,รายการมาตรฐาน!$G$2:$G$3,0),1))</f>
        <v/>
      </c>
      <c r="AM91">
        <f>IF($V91="","",INDEX($AK$5:$AK$404,$V91))</f>
        <v/>
      </c>
      <c r="AN91">
        <f>IF($V91="","",INDEX($AL$5:$AL$404,$V91))</f>
        <v/>
      </c>
      <c r="AO91">
        <f>IF(OR($V91="",$AI$2&lt;=1),0,IF($V92="",1,IF($AN92&lt;&gt;$AN91,1,0)))</f>
        <v/>
      </c>
      <c r="AP91">
        <f>IF($V91="",0,IF($AN91&lt;&gt;$AN90,1,0))</f>
        <v/>
      </c>
      <c r="AQ91">
        <f>IF(OR($AD91="",$AD91="Z"),"",INDEX($AN$5:$AN$404,$AC91))</f>
        <v/>
      </c>
      <c r="AR91">
        <f>IF($Y91="",0,COUNTIF(บันทึกรายเที่ยว!$V$6:$V$6005,$Y91))</f>
        <v/>
      </c>
      <c r="AS91">
        <f>IF($Y91="",0,ROUND(SUMIF(บันทึกรายเที่ยว!$V$6:$V$6005,$Y91,บันทึกรายเที่ยว!$M$6:$M$6005),2))</f>
        <v/>
      </c>
      <c r="AT91">
        <f>IF($Y91="",0,IFERROR(INDEX(อัตราค่าขนส่ง!$G$5:$G$204,MATCH($Y91,อัตราค่าขนส่ง!$M$5:$M$204,0)),0))</f>
        <v/>
      </c>
      <c r="AU91">
        <f>ROUND($AS91*$BD91,2)</f>
        <v/>
      </c>
      <c r="AV91">
        <f>ROUND($AU91*$BF$2/100,2)</f>
        <v/>
      </c>
      <c r="AW91">
        <f>IF($Y91="","",IFERROR(INDEX(อัตราค่าขนส่ง!$F$5:$F$204,MATCH($Y91,อัตราค่าขนส่ง!$M$5:$M$204,0)),""))</f>
        <v/>
      </c>
      <c r="AX91">
        <f>IF($W91="","",INDEX(บันทึกรายเที่ยว!$D$6:$D$6005,$W91))</f>
        <v/>
      </c>
      <c r="AY91">
        <f>IF($W91="","",INDEX(บันทึกรายเที่ยว!$R$6:$R$6005,$W91))</f>
        <v/>
      </c>
      <c r="AZ91">
        <f>IF(AND($AD91="T",$AQ91=1),N($AZ90)+1,N($AZ90))</f>
        <v/>
      </c>
      <c r="BA91">
        <f>IF($W91="","",INDEX(บันทึกรายเที่ยว!$E$6:$E$6005,$W91))</f>
        <v/>
      </c>
      <c r="BC91">
        <f>IF($Y91="",0,IFERROR(INDEX(อัตราค่าขนส่ง!$K$5:$K$204,MATCH($Y91,อัตราค่าขนส่ง!$M$5:$M$204,0)),0))</f>
        <v/>
      </c>
      <c r="BD91">
        <f>IF($Y91="",0,IFERROR(INDEX(อัตราค่าขนส่ง!$L$5:$L$204,MATCH($Y91,อัตราค่าขนส่ง!$M$5:$M$204,0)),0))</f>
        <v/>
      </c>
    </row>
    <row r="92" ht="21" customHeight="1" s="66">
      <c r="A92" s="69">
        <f>IF($AD92="","",IF($AD92="Z","รวมจ่ายทั้งสิ้น",IF($AD92="H",INDEX($X$5:$X$404,$AC92),IF($AD92="T","รวม",IF($AD92="B",IFERROR(INDEX(อัตราค่าขนส่ง!$S$5:$S$14,MATCH(INDEX($AM$5:$AM$404,$AC92),อัตราค่าขนส่ง!$R$5:$R$14,0)),"รวมกลุ่ม "&amp;INDEX($AM$5:$AM$404,$AC92)),INDEX($AY$5:$AY$404,$AC92))))))</f>
        <v/>
      </c>
      <c r="B92" s="31">
        <f>IF($AD92&lt;&gt;"D","",INDEX($AW$5:$AW$404,$AC92))</f>
        <v/>
      </c>
      <c r="C92" s="68">
        <f>IF($AD92&lt;&gt;"D","",INDEX($AX$5:$AX$404,$AC92))</f>
        <v/>
      </c>
      <c r="D92" s="70">
        <f>IF($AD92&lt;&gt;"D","",INDEX($BA$5:$BA$404,$AC92))</f>
        <v/>
      </c>
      <c r="E92" s="31">
        <f>IF($AD92="Z",SUM($AR$5:$AR$404),IF($AD92="D",INDEX($AR$5:$AR$404,$AC92),IF($AD92="T",SUMIF($X$5:$X$404,$AF92,$AR$5:$AR$404),IF($AD92="B",SUMIF($AN$5:$AN$404,$AQ92,$AR$5:$AR$404),""))))</f>
        <v/>
      </c>
      <c r="F92" s="32">
        <f>IF($AD92="Z",ROUND(SUM($AS$5:$AS$404),2),IF($AD92="D",INDEX($AS$5:$AS$404,$AC92),IF($AD92="T",ROUND(SUMIF($X$5:$X$404,$AF92,$AS$5:$AS$404),2),IF($AD92="B",ROUND(SUMIF($AN$5:$AN$404,$AQ92,$AS$5:$AS$404),2),""))))</f>
        <v/>
      </c>
      <c r="G92" s="32">
        <f>IF($AD92&lt;&gt;"D","",INDEX($AT$5:$AT$404,$AC92))</f>
        <v/>
      </c>
      <c r="H92" s="32">
        <f>IF($AD92&lt;&gt;"D","",INDEX($BC$5:$BC$404,$AC92))</f>
        <v/>
      </c>
      <c r="I92" s="32">
        <f>IF($AD92&lt;&gt;"D","",INDEX($BD$5:$BD$404,$AC92))</f>
        <v/>
      </c>
      <c r="J92" s="46">
        <f>IF($AD92&lt;&gt;"D","",IF(N($B92)=0,"",ROUND($I92/$B92,4)))</f>
        <v/>
      </c>
      <c r="K92" s="32">
        <f>IF($AD92="Z",ROUND(SUM($AU$5:$AU$404),2),IF($AD92="D",INDEX($AU$5:$AU$404,$AC92),IF($AD92="T",ROUND(SUMIF($X$5:$X$404,$AF92,$AU$5:$AU$404),2),IF($AD92="B",ROUND(SUMIF($AN$5:$AN$404,$AQ92,$AU$5:$AU$404),2),""))))</f>
        <v/>
      </c>
      <c r="L92" s="32">
        <f>IF($AD92="Z",ROUND(SUM($AV$5:$AV$404),2),IF($AD92="D",INDEX($AV$5:$AV$404,$AC92),IF($AD92="T",ROUND(SUMIF($X$5:$X$404,$AF92,$AV$5:$AV$404),2),IF($AD92="B",ROUND(SUMIF($AN$5:$AN$404,$AQ92,$AV$5:$AV$404),2),""))))</f>
        <v/>
      </c>
      <c r="M92" s="32">
        <f>IF($AD92="Z",ROUND(SUM($AJ$5:$AJ$704),2),IF($AD92="B",ROUND(SUMIF($AQ$5:$AQ$704,$AQ92,$AJ$5:$AJ$704),2),IF($AD92&lt;&gt;"T","",$AJ92)))</f>
        <v/>
      </c>
      <c r="N92" s="32">
        <f>IF(OR($AD92="D",$AD92="T",$AD92="B",$AD92="Z"),ROUND(N($K92)-N($L92)-N($M92),2),"")</f>
        <v/>
      </c>
      <c r="O92" s="32">
        <f>IF(OR($AD92="D",$AD92="T",$AD92="B",$AD92="Z"),IF(N($E92)=0,"",ROUND($F92/$E92,2)),"")</f>
        <v/>
      </c>
      <c r="Q92">
        <f>IFERROR(MATCH(88,บันทึกรายเที่ยว!$Z$6:$Z$6005,0),"")</f>
        <v/>
      </c>
      <c r="R92">
        <f>IF($Q92="","",INDEX(บันทึกรายเที่ยว!$V$6:$V$6005,$Q92))</f>
        <v/>
      </c>
      <c r="S92">
        <f>IF($Q92="","",INDEX(บันทึกรายเที่ยว!$F$6:$F$6005,$Q92))</f>
        <v/>
      </c>
      <c r="T92">
        <f>IF($Q92="","",MATCH($S92,บันทึกรายเที่ยว!$F$6:$F$6005,0))</f>
        <v/>
      </c>
      <c r="U92">
        <f>IF($Q92="","",$AL92*10000000+$T92*1000+88)</f>
        <v/>
      </c>
      <c r="V92">
        <f>IFERROR(MATCH(SMALL($U$5:$U$404,88),$U$5:$U$404,0),"")</f>
        <v/>
      </c>
      <c r="W92">
        <f>IF($V92="","",INDEX($Q$5:$Q$404,$V92))</f>
        <v/>
      </c>
      <c r="X92">
        <f>IF($V92="","",INDEX($S$5:$S$404,$V92))</f>
        <v/>
      </c>
      <c r="Y92">
        <f>IF($V92="","",INDEX($R$5:$R$404,$V92))</f>
        <v/>
      </c>
      <c r="Z92">
        <f>IF($V92="",0,IF($X92&lt;&gt;$X91,1,0))</f>
        <v/>
      </c>
      <c r="AA92">
        <f>IF($V92="",0,IF($V93="",1,IF($X93&lt;&gt;$X92,1,0)))</f>
        <v/>
      </c>
      <c r="AB92">
        <f>IF($V92="",99999+88,$AB91+1+$Z91+$AA91+$AO91)</f>
        <v/>
      </c>
      <c r="AC92">
        <f>IFERROR(MATCH(88,$AB$5:$AB$404,1),"")</f>
        <v/>
      </c>
      <c r="AD92">
        <f>IF(88=$AI$1+1,"Z",IF($AC92="","",IF(INDEX($V$5:$V$404,$AC92)="","",IF(88&gt;INDEX($AB$5:$AB$404,$AC92)+INDEX($Z$5:$Z$404,$AC92)+INDEX($AA$5:$AA$404,$AC92)+INDEX($AO$5:$AO$404,$AC92),"",IF(88=INDEX($AB$5:$AB$404,$AC92)+INDEX($Z$5:$Z$404,$AC92),"D",IF(AND(INDEX($Z$5:$Z$404,$AC92)=1,88=INDEX($AB$5:$AB$404,$AC92)),"H",IF(AND(INDEX($AO$5:$AO$404,$AC92)=1,88=INDEX($AB$5:$AB$404,$AC92)+INDEX($Z$5:$Z$404,$AC92)+INDEX($AA$5:$AA$404,$AC92)+INDEX($AO$5:$AO$404,$AC92)),"B","T")))))))</f>
        <v/>
      </c>
      <c r="AF92">
        <f>IF(OR($AD92="",$AD92="Z",$AD92="B"),"",INDEX($X$5:$X$404,$AC92))</f>
        <v/>
      </c>
      <c r="AJ92">
        <f>IF($AD92&lt;&gt;"T",0,ROUND(SUMIF(oil!$B$4:$B$63,$AF92,oil!$AE$4:$AE$63),2))</f>
        <v/>
      </c>
      <c r="AK92">
        <f>IF($S92="","",IFERROR(INDEX(อัตราค่าขนส่ง!$P$5:$P$54,MATCH($S92,อัตราค่าขนส่ง!$O$5:$O$54,0)),INDEX(รายการมาตรฐาน!$G$2:$G$3,1)))</f>
        <v/>
      </c>
      <c r="AL92">
        <f>IF($S92="","",IFERROR(MATCH($AK92,รายการมาตรฐาน!$G$2:$G$3,0),1))</f>
        <v/>
      </c>
      <c r="AM92">
        <f>IF($V92="","",INDEX($AK$5:$AK$404,$V92))</f>
        <v/>
      </c>
      <c r="AN92">
        <f>IF($V92="","",INDEX($AL$5:$AL$404,$V92))</f>
        <v/>
      </c>
      <c r="AO92">
        <f>IF(OR($V92="",$AI$2&lt;=1),0,IF($V93="",1,IF($AN93&lt;&gt;$AN92,1,0)))</f>
        <v/>
      </c>
      <c r="AP92">
        <f>IF($V92="",0,IF($AN92&lt;&gt;$AN91,1,0))</f>
        <v/>
      </c>
      <c r="AQ92">
        <f>IF(OR($AD92="",$AD92="Z"),"",INDEX($AN$5:$AN$404,$AC92))</f>
        <v/>
      </c>
      <c r="AR92">
        <f>IF($Y92="",0,COUNTIF(บันทึกรายเที่ยว!$V$6:$V$6005,$Y92))</f>
        <v/>
      </c>
      <c r="AS92">
        <f>IF($Y92="",0,ROUND(SUMIF(บันทึกรายเที่ยว!$V$6:$V$6005,$Y92,บันทึกรายเที่ยว!$M$6:$M$6005),2))</f>
        <v/>
      </c>
      <c r="AT92">
        <f>IF($Y92="",0,IFERROR(INDEX(อัตราค่าขนส่ง!$G$5:$G$204,MATCH($Y92,อัตราค่าขนส่ง!$M$5:$M$204,0)),0))</f>
        <v/>
      </c>
      <c r="AU92">
        <f>ROUND($AS92*$BD92,2)</f>
        <v/>
      </c>
      <c r="AV92">
        <f>ROUND($AU92*$BF$2/100,2)</f>
        <v/>
      </c>
      <c r="AW92">
        <f>IF($Y92="","",IFERROR(INDEX(อัตราค่าขนส่ง!$F$5:$F$204,MATCH($Y92,อัตราค่าขนส่ง!$M$5:$M$204,0)),""))</f>
        <v/>
      </c>
      <c r="AX92">
        <f>IF($W92="","",INDEX(บันทึกรายเที่ยว!$D$6:$D$6005,$W92))</f>
        <v/>
      </c>
      <c r="AY92">
        <f>IF($W92="","",INDEX(บันทึกรายเที่ยว!$R$6:$R$6005,$W92))</f>
        <v/>
      </c>
      <c r="AZ92">
        <f>IF(AND($AD92="T",$AQ92=1),N($AZ91)+1,N($AZ91))</f>
        <v/>
      </c>
      <c r="BA92">
        <f>IF($W92="","",INDEX(บันทึกรายเที่ยว!$E$6:$E$6005,$W92))</f>
        <v/>
      </c>
      <c r="BC92">
        <f>IF($Y92="",0,IFERROR(INDEX(อัตราค่าขนส่ง!$K$5:$K$204,MATCH($Y92,อัตราค่าขนส่ง!$M$5:$M$204,0)),0))</f>
        <v/>
      </c>
      <c r="BD92">
        <f>IF($Y92="",0,IFERROR(INDEX(อัตราค่าขนส่ง!$L$5:$L$204,MATCH($Y92,อัตราค่าขนส่ง!$M$5:$M$204,0)),0))</f>
        <v/>
      </c>
    </row>
    <row r="93" ht="21" customHeight="1" s="66">
      <c r="A93" s="69">
        <f>IF($AD93="","",IF($AD93="Z","รวมจ่ายทั้งสิ้น",IF($AD93="H",INDEX($X$5:$X$404,$AC93),IF($AD93="T","รวม",IF($AD93="B",IFERROR(INDEX(อัตราค่าขนส่ง!$S$5:$S$14,MATCH(INDEX($AM$5:$AM$404,$AC93),อัตราค่าขนส่ง!$R$5:$R$14,0)),"รวมกลุ่ม "&amp;INDEX($AM$5:$AM$404,$AC93)),INDEX($AY$5:$AY$404,$AC93))))))</f>
        <v/>
      </c>
      <c r="B93" s="31">
        <f>IF($AD93&lt;&gt;"D","",INDEX($AW$5:$AW$404,$AC93))</f>
        <v/>
      </c>
      <c r="C93" s="68">
        <f>IF($AD93&lt;&gt;"D","",INDEX($AX$5:$AX$404,$AC93))</f>
        <v/>
      </c>
      <c r="D93" s="70">
        <f>IF($AD93&lt;&gt;"D","",INDEX($BA$5:$BA$404,$AC93))</f>
        <v/>
      </c>
      <c r="E93" s="31">
        <f>IF($AD93="Z",SUM($AR$5:$AR$404),IF($AD93="D",INDEX($AR$5:$AR$404,$AC93),IF($AD93="T",SUMIF($X$5:$X$404,$AF93,$AR$5:$AR$404),IF($AD93="B",SUMIF($AN$5:$AN$404,$AQ93,$AR$5:$AR$404),""))))</f>
        <v/>
      </c>
      <c r="F93" s="32">
        <f>IF($AD93="Z",ROUND(SUM($AS$5:$AS$404),2),IF($AD93="D",INDEX($AS$5:$AS$404,$AC93),IF($AD93="T",ROUND(SUMIF($X$5:$X$404,$AF93,$AS$5:$AS$404),2),IF($AD93="B",ROUND(SUMIF($AN$5:$AN$404,$AQ93,$AS$5:$AS$404),2),""))))</f>
        <v/>
      </c>
      <c r="G93" s="32">
        <f>IF($AD93&lt;&gt;"D","",INDEX($AT$5:$AT$404,$AC93))</f>
        <v/>
      </c>
      <c r="H93" s="32">
        <f>IF($AD93&lt;&gt;"D","",INDEX($BC$5:$BC$404,$AC93))</f>
        <v/>
      </c>
      <c r="I93" s="32">
        <f>IF($AD93&lt;&gt;"D","",INDEX($BD$5:$BD$404,$AC93))</f>
        <v/>
      </c>
      <c r="J93" s="46">
        <f>IF($AD93&lt;&gt;"D","",IF(N($B93)=0,"",ROUND($I93/$B93,4)))</f>
        <v/>
      </c>
      <c r="K93" s="32">
        <f>IF($AD93="Z",ROUND(SUM($AU$5:$AU$404),2),IF($AD93="D",INDEX($AU$5:$AU$404,$AC93),IF($AD93="T",ROUND(SUMIF($X$5:$X$404,$AF93,$AU$5:$AU$404),2),IF($AD93="B",ROUND(SUMIF($AN$5:$AN$404,$AQ93,$AU$5:$AU$404),2),""))))</f>
        <v/>
      </c>
      <c r="L93" s="32">
        <f>IF($AD93="Z",ROUND(SUM($AV$5:$AV$404),2),IF($AD93="D",INDEX($AV$5:$AV$404,$AC93),IF($AD93="T",ROUND(SUMIF($X$5:$X$404,$AF93,$AV$5:$AV$404),2),IF($AD93="B",ROUND(SUMIF($AN$5:$AN$404,$AQ93,$AV$5:$AV$404),2),""))))</f>
        <v/>
      </c>
      <c r="M93" s="32">
        <f>IF($AD93="Z",ROUND(SUM($AJ$5:$AJ$704),2),IF($AD93="B",ROUND(SUMIF($AQ$5:$AQ$704,$AQ93,$AJ$5:$AJ$704),2),IF($AD93&lt;&gt;"T","",$AJ93)))</f>
        <v/>
      </c>
      <c r="N93" s="32">
        <f>IF(OR($AD93="D",$AD93="T",$AD93="B",$AD93="Z"),ROUND(N($K93)-N($L93)-N($M93),2),"")</f>
        <v/>
      </c>
      <c r="O93" s="32">
        <f>IF(OR($AD93="D",$AD93="T",$AD93="B",$AD93="Z"),IF(N($E93)=0,"",ROUND($F93/$E93,2)),"")</f>
        <v/>
      </c>
      <c r="Q93">
        <f>IFERROR(MATCH(89,บันทึกรายเที่ยว!$Z$6:$Z$6005,0),"")</f>
        <v/>
      </c>
      <c r="R93">
        <f>IF($Q93="","",INDEX(บันทึกรายเที่ยว!$V$6:$V$6005,$Q93))</f>
        <v/>
      </c>
      <c r="S93">
        <f>IF($Q93="","",INDEX(บันทึกรายเที่ยว!$F$6:$F$6005,$Q93))</f>
        <v/>
      </c>
      <c r="T93">
        <f>IF($Q93="","",MATCH($S93,บันทึกรายเที่ยว!$F$6:$F$6005,0))</f>
        <v/>
      </c>
      <c r="U93">
        <f>IF($Q93="","",$AL93*10000000+$T93*1000+89)</f>
        <v/>
      </c>
      <c r="V93">
        <f>IFERROR(MATCH(SMALL($U$5:$U$404,89),$U$5:$U$404,0),"")</f>
        <v/>
      </c>
      <c r="W93">
        <f>IF($V93="","",INDEX($Q$5:$Q$404,$V93))</f>
        <v/>
      </c>
      <c r="X93">
        <f>IF($V93="","",INDEX($S$5:$S$404,$V93))</f>
        <v/>
      </c>
      <c r="Y93">
        <f>IF($V93="","",INDEX($R$5:$R$404,$V93))</f>
        <v/>
      </c>
      <c r="Z93">
        <f>IF($V93="",0,IF($X93&lt;&gt;$X92,1,0))</f>
        <v/>
      </c>
      <c r="AA93">
        <f>IF($V93="",0,IF($V94="",1,IF($X94&lt;&gt;$X93,1,0)))</f>
        <v/>
      </c>
      <c r="AB93">
        <f>IF($V93="",99999+89,$AB92+1+$Z92+$AA92+$AO92)</f>
        <v/>
      </c>
      <c r="AC93">
        <f>IFERROR(MATCH(89,$AB$5:$AB$404,1),"")</f>
        <v/>
      </c>
      <c r="AD93">
        <f>IF(89=$AI$1+1,"Z",IF($AC93="","",IF(INDEX($V$5:$V$404,$AC93)="","",IF(89&gt;INDEX($AB$5:$AB$404,$AC93)+INDEX($Z$5:$Z$404,$AC93)+INDEX($AA$5:$AA$404,$AC93)+INDEX($AO$5:$AO$404,$AC93),"",IF(89=INDEX($AB$5:$AB$404,$AC93)+INDEX($Z$5:$Z$404,$AC93),"D",IF(AND(INDEX($Z$5:$Z$404,$AC93)=1,89=INDEX($AB$5:$AB$404,$AC93)),"H",IF(AND(INDEX($AO$5:$AO$404,$AC93)=1,89=INDEX($AB$5:$AB$404,$AC93)+INDEX($Z$5:$Z$404,$AC93)+INDEX($AA$5:$AA$404,$AC93)+INDEX($AO$5:$AO$404,$AC93)),"B","T")))))))</f>
        <v/>
      </c>
      <c r="AF93">
        <f>IF(OR($AD93="",$AD93="Z",$AD93="B"),"",INDEX($X$5:$X$404,$AC93))</f>
        <v/>
      </c>
      <c r="AJ93">
        <f>IF($AD93&lt;&gt;"T",0,ROUND(SUMIF(oil!$B$4:$B$63,$AF93,oil!$AE$4:$AE$63),2))</f>
        <v/>
      </c>
      <c r="AK93">
        <f>IF($S93="","",IFERROR(INDEX(อัตราค่าขนส่ง!$P$5:$P$54,MATCH($S93,อัตราค่าขนส่ง!$O$5:$O$54,0)),INDEX(รายการมาตรฐาน!$G$2:$G$3,1)))</f>
        <v/>
      </c>
      <c r="AL93">
        <f>IF($S93="","",IFERROR(MATCH($AK93,รายการมาตรฐาน!$G$2:$G$3,0),1))</f>
        <v/>
      </c>
      <c r="AM93">
        <f>IF($V93="","",INDEX($AK$5:$AK$404,$V93))</f>
        <v/>
      </c>
      <c r="AN93">
        <f>IF($V93="","",INDEX($AL$5:$AL$404,$V93))</f>
        <v/>
      </c>
      <c r="AO93">
        <f>IF(OR($V93="",$AI$2&lt;=1),0,IF($V94="",1,IF($AN94&lt;&gt;$AN93,1,0)))</f>
        <v/>
      </c>
      <c r="AP93">
        <f>IF($V93="",0,IF($AN93&lt;&gt;$AN92,1,0))</f>
        <v/>
      </c>
      <c r="AQ93">
        <f>IF(OR($AD93="",$AD93="Z"),"",INDEX($AN$5:$AN$404,$AC93))</f>
        <v/>
      </c>
      <c r="AR93">
        <f>IF($Y93="",0,COUNTIF(บันทึกรายเที่ยว!$V$6:$V$6005,$Y93))</f>
        <v/>
      </c>
      <c r="AS93">
        <f>IF($Y93="",0,ROUND(SUMIF(บันทึกรายเที่ยว!$V$6:$V$6005,$Y93,บันทึกรายเที่ยว!$M$6:$M$6005),2))</f>
        <v/>
      </c>
      <c r="AT93">
        <f>IF($Y93="",0,IFERROR(INDEX(อัตราค่าขนส่ง!$G$5:$G$204,MATCH($Y93,อัตราค่าขนส่ง!$M$5:$M$204,0)),0))</f>
        <v/>
      </c>
      <c r="AU93">
        <f>ROUND($AS93*$BD93,2)</f>
        <v/>
      </c>
      <c r="AV93">
        <f>ROUND($AU93*$BF$2/100,2)</f>
        <v/>
      </c>
      <c r="AW93">
        <f>IF($Y93="","",IFERROR(INDEX(อัตราค่าขนส่ง!$F$5:$F$204,MATCH($Y93,อัตราค่าขนส่ง!$M$5:$M$204,0)),""))</f>
        <v/>
      </c>
      <c r="AX93">
        <f>IF($W93="","",INDEX(บันทึกรายเที่ยว!$D$6:$D$6005,$W93))</f>
        <v/>
      </c>
      <c r="AY93">
        <f>IF($W93="","",INDEX(บันทึกรายเที่ยว!$R$6:$R$6005,$W93))</f>
        <v/>
      </c>
      <c r="AZ93">
        <f>IF(AND($AD93="T",$AQ93=1),N($AZ92)+1,N($AZ92))</f>
        <v/>
      </c>
      <c r="BA93">
        <f>IF($W93="","",INDEX(บันทึกรายเที่ยว!$E$6:$E$6005,$W93))</f>
        <v/>
      </c>
      <c r="BC93">
        <f>IF($Y93="",0,IFERROR(INDEX(อัตราค่าขนส่ง!$K$5:$K$204,MATCH($Y93,อัตราค่าขนส่ง!$M$5:$M$204,0)),0))</f>
        <v/>
      </c>
      <c r="BD93">
        <f>IF($Y93="",0,IFERROR(INDEX(อัตราค่าขนส่ง!$L$5:$L$204,MATCH($Y93,อัตราค่าขนส่ง!$M$5:$M$204,0)),0))</f>
        <v/>
      </c>
    </row>
    <row r="94" ht="21" customHeight="1" s="66">
      <c r="A94" s="69">
        <f>IF($AD94="","",IF($AD94="Z","รวมจ่ายทั้งสิ้น",IF($AD94="H",INDEX($X$5:$X$404,$AC94),IF($AD94="T","รวม",IF($AD94="B",IFERROR(INDEX(อัตราค่าขนส่ง!$S$5:$S$14,MATCH(INDEX($AM$5:$AM$404,$AC94),อัตราค่าขนส่ง!$R$5:$R$14,0)),"รวมกลุ่ม "&amp;INDEX($AM$5:$AM$404,$AC94)),INDEX($AY$5:$AY$404,$AC94))))))</f>
        <v/>
      </c>
      <c r="B94" s="31">
        <f>IF($AD94&lt;&gt;"D","",INDEX($AW$5:$AW$404,$AC94))</f>
        <v/>
      </c>
      <c r="C94" s="68">
        <f>IF($AD94&lt;&gt;"D","",INDEX($AX$5:$AX$404,$AC94))</f>
        <v/>
      </c>
      <c r="D94" s="70">
        <f>IF($AD94&lt;&gt;"D","",INDEX($BA$5:$BA$404,$AC94))</f>
        <v/>
      </c>
      <c r="E94" s="31">
        <f>IF($AD94="Z",SUM($AR$5:$AR$404),IF($AD94="D",INDEX($AR$5:$AR$404,$AC94),IF($AD94="T",SUMIF($X$5:$X$404,$AF94,$AR$5:$AR$404),IF($AD94="B",SUMIF($AN$5:$AN$404,$AQ94,$AR$5:$AR$404),""))))</f>
        <v/>
      </c>
      <c r="F94" s="32">
        <f>IF($AD94="Z",ROUND(SUM($AS$5:$AS$404),2),IF($AD94="D",INDEX($AS$5:$AS$404,$AC94),IF($AD94="T",ROUND(SUMIF($X$5:$X$404,$AF94,$AS$5:$AS$404),2),IF($AD94="B",ROUND(SUMIF($AN$5:$AN$404,$AQ94,$AS$5:$AS$404),2),""))))</f>
        <v/>
      </c>
      <c r="G94" s="32">
        <f>IF($AD94&lt;&gt;"D","",INDEX($AT$5:$AT$404,$AC94))</f>
        <v/>
      </c>
      <c r="H94" s="32">
        <f>IF($AD94&lt;&gt;"D","",INDEX($BC$5:$BC$404,$AC94))</f>
        <v/>
      </c>
      <c r="I94" s="32">
        <f>IF($AD94&lt;&gt;"D","",INDEX($BD$5:$BD$404,$AC94))</f>
        <v/>
      </c>
      <c r="J94" s="46">
        <f>IF($AD94&lt;&gt;"D","",IF(N($B94)=0,"",ROUND($I94/$B94,4)))</f>
        <v/>
      </c>
      <c r="K94" s="32">
        <f>IF($AD94="Z",ROUND(SUM($AU$5:$AU$404),2),IF($AD94="D",INDEX($AU$5:$AU$404,$AC94),IF($AD94="T",ROUND(SUMIF($X$5:$X$404,$AF94,$AU$5:$AU$404),2),IF($AD94="B",ROUND(SUMIF($AN$5:$AN$404,$AQ94,$AU$5:$AU$404),2),""))))</f>
        <v/>
      </c>
      <c r="L94" s="32">
        <f>IF($AD94="Z",ROUND(SUM($AV$5:$AV$404),2),IF($AD94="D",INDEX($AV$5:$AV$404,$AC94),IF($AD94="T",ROUND(SUMIF($X$5:$X$404,$AF94,$AV$5:$AV$404),2),IF($AD94="B",ROUND(SUMIF($AN$5:$AN$404,$AQ94,$AV$5:$AV$404),2),""))))</f>
        <v/>
      </c>
      <c r="M94" s="32">
        <f>IF($AD94="Z",ROUND(SUM($AJ$5:$AJ$704),2),IF($AD94="B",ROUND(SUMIF($AQ$5:$AQ$704,$AQ94,$AJ$5:$AJ$704),2),IF($AD94&lt;&gt;"T","",$AJ94)))</f>
        <v/>
      </c>
      <c r="N94" s="32">
        <f>IF(OR($AD94="D",$AD94="T",$AD94="B",$AD94="Z"),ROUND(N($K94)-N($L94)-N($M94),2),"")</f>
        <v/>
      </c>
      <c r="O94" s="32">
        <f>IF(OR($AD94="D",$AD94="T",$AD94="B",$AD94="Z"),IF(N($E94)=0,"",ROUND($F94/$E94,2)),"")</f>
        <v/>
      </c>
      <c r="Q94">
        <f>IFERROR(MATCH(90,บันทึกรายเที่ยว!$Z$6:$Z$6005,0),"")</f>
        <v/>
      </c>
      <c r="R94">
        <f>IF($Q94="","",INDEX(บันทึกรายเที่ยว!$V$6:$V$6005,$Q94))</f>
        <v/>
      </c>
      <c r="S94">
        <f>IF($Q94="","",INDEX(บันทึกรายเที่ยว!$F$6:$F$6005,$Q94))</f>
        <v/>
      </c>
      <c r="T94">
        <f>IF($Q94="","",MATCH($S94,บันทึกรายเที่ยว!$F$6:$F$6005,0))</f>
        <v/>
      </c>
      <c r="U94">
        <f>IF($Q94="","",$AL94*10000000+$T94*1000+90)</f>
        <v/>
      </c>
      <c r="V94">
        <f>IFERROR(MATCH(SMALL($U$5:$U$404,90),$U$5:$U$404,0),"")</f>
        <v/>
      </c>
      <c r="W94">
        <f>IF($V94="","",INDEX($Q$5:$Q$404,$V94))</f>
        <v/>
      </c>
      <c r="X94">
        <f>IF($V94="","",INDEX($S$5:$S$404,$V94))</f>
        <v/>
      </c>
      <c r="Y94">
        <f>IF($V94="","",INDEX($R$5:$R$404,$V94))</f>
        <v/>
      </c>
      <c r="Z94">
        <f>IF($V94="",0,IF($X94&lt;&gt;$X93,1,0))</f>
        <v/>
      </c>
      <c r="AA94">
        <f>IF($V94="",0,IF($V95="",1,IF($X95&lt;&gt;$X94,1,0)))</f>
        <v/>
      </c>
      <c r="AB94">
        <f>IF($V94="",99999+90,$AB93+1+$Z93+$AA93+$AO93)</f>
        <v/>
      </c>
      <c r="AC94">
        <f>IFERROR(MATCH(90,$AB$5:$AB$404,1),"")</f>
        <v/>
      </c>
      <c r="AD94">
        <f>IF(90=$AI$1+1,"Z",IF($AC94="","",IF(INDEX($V$5:$V$404,$AC94)="","",IF(90&gt;INDEX($AB$5:$AB$404,$AC94)+INDEX($Z$5:$Z$404,$AC94)+INDEX($AA$5:$AA$404,$AC94)+INDEX($AO$5:$AO$404,$AC94),"",IF(90=INDEX($AB$5:$AB$404,$AC94)+INDEX($Z$5:$Z$404,$AC94),"D",IF(AND(INDEX($Z$5:$Z$404,$AC94)=1,90=INDEX($AB$5:$AB$404,$AC94)),"H",IF(AND(INDEX($AO$5:$AO$404,$AC94)=1,90=INDEX($AB$5:$AB$404,$AC94)+INDEX($Z$5:$Z$404,$AC94)+INDEX($AA$5:$AA$404,$AC94)+INDEX($AO$5:$AO$404,$AC94)),"B","T")))))))</f>
        <v/>
      </c>
      <c r="AF94">
        <f>IF(OR($AD94="",$AD94="Z",$AD94="B"),"",INDEX($X$5:$X$404,$AC94))</f>
        <v/>
      </c>
      <c r="AJ94">
        <f>IF($AD94&lt;&gt;"T",0,ROUND(SUMIF(oil!$B$4:$B$63,$AF94,oil!$AE$4:$AE$63),2))</f>
        <v/>
      </c>
      <c r="AK94">
        <f>IF($S94="","",IFERROR(INDEX(อัตราค่าขนส่ง!$P$5:$P$54,MATCH($S94,อัตราค่าขนส่ง!$O$5:$O$54,0)),INDEX(รายการมาตรฐาน!$G$2:$G$3,1)))</f>
        <v/>
      </c>
      <c r="AL94">
        <f>IF($S94="","",IFERROR(MATCH($AK94,รายการมาตรฐาน!$G$2:$G$3,0),1))</f>
        <v/>
      </c>
      <c r="AM94">
        <f>IF($V94="","",INDEX($AK$5:$AK$404,$V94))</f>
        <v/>
      </c>
      <c r="AN94">
        <f>IF($V94="","",INDEX($AL$5:$AL$404,$V94))</f>
        <v/>
      </c>
      <c r="AO94">
        <f>IF(OR($V94="",$AI$2&lt;=1),0,IF($V95="",1,IF($AN95&lt;&gt;$AN94,1,0)))</f>
        <v/>
      </c>
      <c r="AP94">
        <f>IF($V94="",0,IF($AN94&lt;&gt;$AN93,1,0))</f>
        <v/>
      </c>
      <c r="AQ94">
        <f>IF(OR($AD94="",$AD94="Z"),"",INDEX($AN$5:$AN$404,$AC94))</f>
        <v/>
      </c>
      <c r="AR94">
        <f>IF($Y94="",0,COUNTIF(บันทึกรายเที่ยว!$V$6:$V$6005,$Y94))</f>
        <v/>
      </c>
      <c r="AS94">
        <f>IF($Y94="",0,ROUND(SUMIF(บันทึกรายเที่ยว!$V$6:$V$6005,$Y94,บันทึกรายเที่ยว!$M$6:$M$6005),2))</f>
        <v/>
      </c>
      <c r="AT94">
        <f>IF($Y94="",0,IFERROR(INDEX(อัตราค่าขนส่ง!$G$5:$G$204,MATCH($Y94,อัตราค่าขนส่ง!$M$5:$M$204,0)),0))</f>
        <v/>
      </c>
      <c r="AU94">
        <f>ROUND($AS94*$BD94,2)</f>
        <v/>
      </c>
      <c r="AV94">
        <f>ROUND($AU94*$BF$2/100,2)</f>
        <v/>
      </c>
      <c r="AW94">
        <f>IF($Y94="","",IFERROR(INDEX(อัตราค่าขนส่ง!$F$5:$F$204,MATCH($Y94,อัตราค่าขนส่ง!$M$5:$M$204,0)),""))</f>
        <v/>
      </c>
      <c r="AX94">
        <f>IF($W94="","",INDEX(บันทึกรายเที่ยว!$D$6:$D$6005,$W94))</f>
        <v/>
      </c>
      <c r="AY94">
        <f>IF($W94="","",INDEX(บันทึกรายเที่ยว!$R$6:$R$6005,$W94))</f>
        <v/>
      </c>
      <c r="AZ94">
        <f>IF(AND($AD94="T",$AQ94=1),N($AZ93)+1,N($AZ93))</f>
        <v/>
      </c>
      <c r="BA94">
        <f>IF($W94="","",INDEX(บันทึกรายเที่ยว!$E$6:$E$6005,$W94))</f>
        <v/>
      </c>
      <c r="BC94">
        <f>IF($Y94="",0,IFERROR(INDEX(อัตราค่าขนส่ง!$K$5:$K$204,MATCH($Y94,อัตราค่าขนส่ง!$M$5:$M$204,0)),0))</f>
        <v/>
      </c>
      <c r="BD94">
        <f>IF($Y94="",0,IFERROR(INDEX(อัตราค่าขนส่ง!$L$5:$L$204,MATCH($Y94,อัตราค่าขนส่ง!$M$5:$M$204,0)),0))</f>
        <v/>
      </c>
    </row>
    <row r="95" ht="21" customHeight="1" s="66">
      <c r="A95" s="69">
        <f>IF($AD95="","",IF($AD95="Z","รวมจ่ายทั้งสิ้น",IF($AD95="H",INDEX($X$5:$X$404,$AC95),IF($AD95="T","รวม",IF($AD95="B",IFERROR(INDEX(อัตราค่าขนส่ง!$S$5:$S$14,MATCH(INDEX($AM$5:$AM$404,$AC95),อัตราค่าขนส่ง!$R$5:$R$14,0)),"รวมกลุ่ม "&amp;INDEX($AM$5:$AM$404,$AC95)),INDEX($AY$5:$AY$404,$AC95))))))</f>
        <v/>
      </c>
      <c r="B95" s="31">
        <f>IF($AD95&lt;&gt;"D","",INDEX($AW$5:$AW$404,$AC95))</f>
        <v/>
      </c>
      <c r="C95" s="68">
        <f>IF($AD95&lt;&gt;"D","",INDEX($AX$5:$AX$404,$AC95))</f>
        <v/>
      </c>
      <c r="D95" s="70">
        <f>IF($AD95&lt;&gt;"D","",INDEX($BA$5:$BA$404,$AC95))</f>
        <v/>
      </c>
      <c r="E95" s="31">
        <f>IF($AD95="Z",SUM($AR$5:$AR$404),IF($AD95="D",INDEX($AR$5:$AR$404,$AC95),IF($AD95="T",SUMIF($X$5:$X$404,$AF95,$AR$5:$AR$404),IF($AD95="B",SUMIF($AN$5:$AN$404,$AQ95,$AR$5:$AR$404),""))))</f>
        <v/>
      </c>
      <c r="F95" s="32">
        <f>IF($AD95="Z",ROUND(SUM($AS$5:$AS$404),2),IF($AD95="D",INDEX($AS$5:$AS$404,$AC95),IF($AD95="T",ROUND(SUMIF($X$5:$X$404,$AF95,$AS$5:$AS$404),2),IF($AD95="B",ROUND(SUMIF($AN$5:$AN$404,$AQ95,$AS$5:$AS$404),2),""))))</f>
        <v/>
      </c>
      <c r="G95" s="32">
        <f>IF($AD95&lt;&gt;"D","",INDEX($AT$5:$AT$404,$AC95))</f>
        <v/>
      </c>
      <c r="H95" s="32">
        <f>IF($AD95&lt;&gt;"D","",INDEX($BC$5:$BC$404,$AC95))</f>
        <v/>
      </c>
      <c r="I95" s="32">
        <f>IF($AD95&lt;&gt;"D","",INDEX($BD$5:$BD$404,$AC95))</f>
        <v/>
      </c>
      <c r="J95" s="46">
        <f>IF($AD95&lt;&gt;"D","",IF(N($B95)=0,"",ROUND($I95/$B95,4)))</f>
        <v/>
      </c>
      <c r="K95" s="32">
        <f>IF($AD95="Z",ROUND(SUM($AU$5:$AU$404),2),IF($AD95="D",INDEX($AU$5:$AU$404,$AC95),IF($AD95="T",ROUND(SUMIF($X$5:$X$404,$AF95,$AU$5:$AU$404),2),IF($AD95="B",ROUND(SUMIF($AN$5:$AN$404,$AQ95,$AU$5:$AU$404),2),""))))</f>
        <v/>
      </c>
      <c r="L95" s="32">
        <f>IF($AD95="Z",ROUND(SUM($AV$5:$AV$404),2),IF($AD95="D",INDEX($AV$5:$AV$404,$AC95),IF($AD95="T",ROUND(SUMIF($X$5:$X$404,$AF95,$AV$5:$AV$404),2),IF($AD95="B",ROUND(SUMIF($AN$5:$AN$404,$AQ95,$AV$5:$AV$404),2),""))))</f>
        <v/>
      </c>
      <c r="M95" s="32">
        <f>IF($AD95="Z",ROUND(SUM($AJ$5:$AJ$704),2),IF($AD95="B",ROUND(SUMIF($AQ$5:$AQ$704,$AQ95,$AJ$5:$AJ$704),2),IF($AD95&lt;&gt;"T","",$AJ95)))</f>
        <v/>
      </c>
      <c r="N95" s="32">
        <f>IF(OR($AD95="D",$AD95="T",$AD95="B",$AD95="Z"),ROUND(N($K95)-N($L95)-N($M95),2),"")</f>
        <v/>
      </c>
      <c r="O95" s="32">
        <f>IF(OR($AD95="D",$AD95="T",$AD95="B",$AD95="Z"),IF(N($E95)=0,"",ROUND($F95/$E95,2)),"")</f>
        <v/>
      </c>
      <c r="Q95">
        <f>IFERROR(MATCH(91,บันทึกรายเที่ยว!$Z$6:$Z$6005,0),"")</f>
        <v/>
      </c>
      <c r="R95">
        <f>IF($Q95="","",INDEX(บันทึกรายเที่ยว!$V$6:$V$6005,$Q95))</f>
        <v/>
      </c>
      <c r="S95">
        <f>IF($Q95="","",INDEX(บันทึกรายเที่ยว!$F$6:$F$6005,$Q95))</f>
        <v/>
      </c>
      <c r="T95">
        <f>IF($Q95="","",MATCH($S95,บันทึกรายเที่ยว!$F$6:$F$6005,0))</f>
        <v/>
      </c>
      <c r="U95">
        <f>IF($Q95="","",$AL95*10000000+$T95*1000+91)</f>
        <v/>
      </c>
      <c r="V95">
        <f>IFERROR(MATCH(SMALL($U$5:$U$404,91),$U$5:$U$404,0),"")</f>
        <v/>
      </c>
      <c r="W95">
        <f>IF($V95="","",INDEX($Q$5:$Q$404,$V95))</f>
        <v/>
      </c>
      <c r="X95">
        <f>IF($V95="","",INDEX($S$5:$S$404,$V95))</f>
        <v/>
      </c>
      <c r="Y95">
        <f>IF($V95="","",INDEX($R$5:$R$404,$V95))</f>
        <v/>
      </c>
      <c r="Z95">
        <f>IF($V95="",0,IF($X95&lt;&gt;$X94,1,0))</f>
        <v/>
      </c>
      <c r="AA95">
        <f>IF($V95="",0,IF($V96="",1,IF($X96&lt;&gt;$X95,1,0)))</f>
        <v/>
      </c>
      <c r="AB95">
        <f>IF($V95="",99999+91,$AB94+1+$Z94+$AA94+$AO94)</f>
        <v/>
      </c>
      <c r="AC95">
        <f>IFERROR(MATCH(91,$AB$5:$AB$404,1),"")</f>
        <v/>
      </c>
      <c r="AD95">
        <f>IF(91=$AI$1+1,"Z",IF($AC95="","",IF(INDEX($V$5:$V$404,$AC95)="","",IF(91&gt;INDEX($AB$5:$AB$404,$AC95)+INDEX($Z$5:$Z$404,$AC95)+INDEX($AA$5:$AA$404,$AC95)+INDEX($AO$5:$AO$404,$AC95),"",IF(91=INDEX($AB$5:$AB$404,$AC95)+INDEX($Z$5:$Z$404,$AC95),"D",IF(AND(INDEX($Z$5:$Z$404,$AC95)=1,91=INDEX($AB$5:$AB$404,$AC95)),"H",IF(AND(INDEX($AO$5:$AO$404,$AC95)=1,91=INDEX($AB$5:$AB$404,$AC95)+INDEX($Z$5:$Z$404,$AC95)+INDEX($AA$5:$AA$404,$AC95)+INDEX($AO$5:$AO$404,$AC95)),"B","T")))))))</f>
        <v/>
      </c>
      <c r="AF95">
        <f>IF(OR($AD95="",$AD95="Z",$AD95="B"),"",INDEX($X$5:$X$404,$AC95))</f>
        <v/>
      </c>
      <c r="AJ95">
        <f>IF($AD95&lt;&gt;"T",0,ROUND(SUMIF(oil!$B$4:$B$63,$AF95,oil!$AE$4:$AE$63),2))</f>
        <v/>
      </c>
      <c r="AK95">
        <f>IF($S95="","",IFERROR(INDEX(อัตราค่าขนส่ง!$P$5:$P$54,MATCH($S95,อัตราค่าขนส่ง!$O$5:$O$54,0)),INDEX(รายการมาตรฐาน!$G$2:$G$3,1)))</f>
        <v/>
      </c>
      <c r="AL95">
        <f>IF($S95="","",IFERROR(MATCH($AK95,รายการมาตรฐาน!$G$2:$G$3,0),1))</f>
        <v/>
      </c>
      <c r="AM95">
        <f>IF($V95="","",INDEX($AK$5:$AK$404,$V95))</f>
        <v/>
      </c>
      <c r="AN95">
        <f>IF($V95="","",INDEX($AL$5:$AL$404,$V95))</f>
        <v/>
      </c>
      <c r="AO95">
        <f>IF(OR($V95="",$AI$2&lt;=1),0,IF($V96="",1,IF($AN96&lt;&gt;$AN95,1,0)))</f>
        <v/>
      </c>
      <c r="AP95">
        <f>IF($V95="",0,IF($AN95&lt;&gt;$AN94,1,0))</f>
        <v/>
      </c>
      <c r="AQ95">
        <f>IF(OR($AD95="",$AD95="Z"),"",INDEX($AN$5:$AN$404,$AC95))</f>
        <v/>
      </c>
      <c r="AR95">
        <f>IF($Y95="",0,COUNTIF(บันทึกรายเที่ยว!$V$6:$V$6005,$Y95))</f>
        <v/>
      </c>
      <c r="AS95">
        <f>IF($Y95="",0,ROUND(SUMIF(บันทึกรายเที่ยว!$V$6:$V$6005,$Y95,บันทึกรายเที่ยว!$M$6:$M$6005),2))</f>
        <v/>
      </c>
      <c r="AT95">
        <f>IF($Y95="",0,IFERROR(INDEX(อัตราค่าขนส่ง!$G$5:$G$204,MATCH($Y95,อัตราค่าขนส่ง!$M$5:$M$204,0)),0))</f>
        <v/>
      </c>
      <c r="AU95">
        <f>ROUND($AS95*$BD95,2)</f>
        <v/>
      </c>
      <c r="AV95">
        <f>ROUND($AU95*$BF$2/100,2)</f>
        <v/>
      </c>
      <c r="AW95">
        <f>IF($Y95="","",IFERROR(INDEX(อัตราค่าขนส่ง!$F$5:$F$204,MATCH($Y95,อัตราค่าขนส่ง!$M$5:$M$204,0)),""))</f>
        <v/>
      </c>
      <c r="AX95">
        <f>IF($W95="","",INDEX(บันทึกรายเที่ยว!$D$6:$D$6005,$W95))</f>
        <v/>
      </c>
      <c r="AY95">
        <f>IF($W95="","",INDEX(บันทึกรายเที่ยว!$R$6:$R$6005,$W95))</f>
        <v/>
      </c>
      <c r="AZ95">
        <f>IF(AND($AD95="T",$AQ95=1),N($AZ94)+1,N($AZ94))</f>
        <v/>
      </c>
      <c r="BA95">
        <f>IF($W95="","",INDEX(บันทึกรายเที่ยว!$E$6:$E$6005,$W95))</f>
        <v/>
      </c>
      <c r="BC95">
        <f>IF($Y95="",0,IFERROR(INDEX(อัตราค่าขนส่ง!$K$5:$K$204,MATCH($Y95,อัตราค่าขนส่ง!$M$5:$M$204,0)),0))</f>
        <v/>
      </c>
      <c r="BD95">
        <f>IF($Y95="",0,IFERROR(INDEX(อัตราค่าขนส่ง!$L$5:$L$204,MATCH($Y95,อัตราค่าขนส่ง!$M$5:$M$204,0)),0))</f>
        <v/>
      </c>
    </row>
    <row r="96" ht="21" customHeight="1" s="66">
      <c r="A96" s="69">
        <f>IF($AD96="","",IF($AD96="Z","รวมจ่ายทั้งสิ้น",IF($AD96="H",INDEX($X$5:$X$404,$AC96),IF($AD96="T","รวม",IF($AD96="B",IFERROR(INDEX(อัตราค่าขนส่ง!$S$5:$S$14,MATCH(INDEX($AM$5:$AM$404,$AC96),อัตราค่าขนส่ง!$R$5:$R$14,0)),"รวมกลุ่ม "&amp;INDEX($AM$5:$AM$404,$AC96)),INDEX($AY$5:$AY$404,$AC96))))))</f>
        <v/>
      </c>
      <c r="B96" s="31">
        <f>IF($AD96&lt;&gt;"D","",INDEX($AW$5:$AW$404,$AC96))</f>
        <v/>
      </c>
      <c r="C96" s="68">
        <f>IF($AD96&lt;&gt;"D","",INDEX($AX$5:$AX$404,$AC96))</f>
        <v/>
      </c>
      <c r="D96" s="70">
        <f>IF($AD96&lt;&gt;"D","",INDEX($BA$5:$BA$404,$AC96))</f>
        <v/>
      </c>
      <c r="E96" s="31">
        <f>IF($AD96="Z",SUM($AR$5:$AR$404),IF($AD96="D",INDEX($AR$5:$AR$404,$AC96),IF($AD96="T",SUMIF($X$5:$X$404,$AF96,$AR$5:$AR$404),IF($AD96="B",SUMIF($AN$5:$AN$404,$AQ96,$AR$5:$AR$404),""))))</f>
        <v/>
      </c>
      <c r="F96" s="32">
        <f>IF($AD96="Z",ROUND(SUM($AS$5:$AS$404),2),IF($AD96="D",INDEX($AS$5:$AS$404,$AC96),IF($AD96="T",ROUND(SUMIF($X$5:$X$404,$AF96,$AS$5:$AS$404),2),IF($AD96="B",ROUND(SUMIF($AN$5:$AN$404,$AQ96,$AS$5:$AS$404),2),""))))</f>
        <v/>
      </c>
      <c r="G96" s="32">
        <f>IF($AD96&lt;&gt;"D","",INDEX($AT$5:$AT$404,$AC96))</f>
        <v/>
      </c>
      <c r="H96" s="32">
        <f>IF($AD96&lt;&gt;"D","",INDEX($BC$5:$BC$404,$AC96))</f>
        <v/>
      </c>
      <c r="I96" s="32">
        <f>IF($AD96&lt;&gt;"D","",INDEX($BD$5:$BD$404,$AC96))</f>
        <v/>
      </c>
      <c r="J96" s="46">
        <f>IF($AD96&lt;&gt;"D","",IF(N($B96)=0,"",ROUND($I96/$B96,4)))</f>
        <v/>
      </c>
      <c r="K96" s="32">
        <f>IF($AD96="Z",ROUND(SUM($AU$5:$AU$404),2),IF($AD96="D",INDEX($AU$5:$AU$404,$AC96),IF($AD96="T",ROUND(SUMIF($X$5:$X$404,$AF96,$AU$5:$AU$404),2),IF($AD96="B",ROUND(SUMIF($AN$5:$AN$404,$AQ96,$AU$5:$AU$404),2),""))))</f>
        <v/>
      </c>
      <c r="L96" s="32">
        <f>IF($AD96="Z",ROUND(SUM($AV$5:$AV$404),2),IF($AD96="D",INDEX($AV$5:$AV$404,$AC96),IF($AD96="T",ROUND(SUMIF($X$5:$X$404,$AF96,$AV$5:$AV$404),2),IF($AD96="B",ROUND(SUMIF($AN$5:$AN$404,$AQ96,$AV$5:$AV$404),2),""))))</f>
        <v/>
      </c>
      <c r="M96" s="32">
        <f>IF($AD96="Z",ROUND(SUM($AJ$5:$AJ$704),2),IF($AD96="B",ROUND(SUMIF($AQ$5:$AQ$704,$AQ96,$AJ$5:$AJ$704),2),IF($AD96&lt;&gt;"T","",$AJ96)))</f>
        <v/>
      </c>
      <c r="N96" s="32">
        <f>IF(OR($AD96="D",$AD96="T",$AD96="B",$AD96="Z"),ROUND(N($K96)-N($L96)-N($M96),2),"")</f>
        <v/>
      </c>
      <c r="O96" s="32">
        <f>IF(OR($AD96="D",$AD96="T",$AD96="B",$AD96="Z"),IF(N($E96)=0,"",ROUND($F96/$E96,2)),"")</f>
        <v/>
      </c>
      <c r="Q96">
        <f>IFERROR(MATCH(92,บันทึกรายเที่ยว!$Z$6:$Z$6005,0),"")</f>
        <v/>
      </c>
      <c r="R96">
        <f>IF($Q96="","",INDEX(บันทึกรายเที่ยว!$V$6:$V$6005,$Q96))</f>
        <v/>
      </c>
      <c r="S96">
        <f>IF($Q96="","",INDEX(บันทึกรายเที่ยว!$F$6:$F$6005,$Q96))</f>
        <v/>
      </c>
      <c r="T96">
        <f>IF($Q96="","",MATCH($S96,บันทึกรายเที่ยว!$F$6:$F$6005,0))</f>
        <v/>
      </c>
      <c r="U96">
        <f>IF($Q96="","",$AL96*10000000+$T96*1000+92)</f>
        <v/>
      </c>
      <c r="V96">
        <f>IFERROR(MATCH(SMALL($U$5:$U$404,92),$U$5:$U$404,0),"")</f>
        <v/>
      </c>
      <c r="W96">
        <f>IF($V96="","",INDEX($Q$5:$Q$404,$V96))</f>
        <v/>
      </c>
      <c r="X96">
        <f>IF($V96="","",INDEX($S$5:$S$404,$V96))</f>
        <v/>
      </c>
      <c r="Y96">
        <f>IF($V96="","",INDEX($R$5:$R$404,$V96))</f>
        <v/>
      </c>
      <c r="Z96">
        <f>IF($V96="",0,IF($X96&lt;&gt;$X95,1,0))</f>
        <v/>
      </c>
      <c r="AA96">
        <f>IF($V96="",0,IF($V97="",1,IF($X97&lt;&gt;$X96,1,0)))</f>
        <v/>
      </c>
      <c r="AB96">
        <f>IF($V96="",99999+92,$AB95+1+$Z95+$AA95+$AO95)</f>
        <v/>
      </c>
      <c r="AC96">
        <f>IFERROR(MATCH(92,$AB$5:$AB$404,1),"")</f>
        <v/>
      </c>
      <c r="AD96">
        <f>IF(92=$AI$1+1,"Z",IF($AC96="","",IF(INDEX($V$5:$V$404,$AC96)="","",IF(92&gt;INDEX($AB$5:$AB$404,$AC96)+INDEX($Z$5:$Z$404,$AC96)+INDEX($AA$5:$AA$404,$AC96)+INDEX($AO$5:$AO$404,$AC96),"",IF(92=INDEX($AB$5:$AB$404,$AC96)+INDEX($Z$5:$Z$404,$AC96),"D",IF(AND(INDEX($Z$5:$Z$404,$AC96)=1,92=INDEX($AB$5:$AB$404,$AC96)),"H",IF(AND(INDEX($AO$5:$AO$404,$AC96)=1,92=INDEX($AB$5:$AB$404,$AC96)+INDEX($Z$5:$Z$404,$AC96)+INDEX($AA$5:$AA$404,$AC96)+INDEX($AO$5:$AO$404,$AC96)),"B","T")))))))</f>
        <v/>
      </c>
      <c r="AF96">
        <f>IF(OR($AD96="",$AD96="Z",$AD96="B"),"",INDEX($X$5:$X$404,$AC96))</f>
        <v/>
      </c>
      <c r="AJ96">
        <f>IF($AD96&lt;&gt;"T",0,ROUND(SUMIF(oil!$B$4:$B$63,$AF96,oil!$AE$4:$AE$63),2))</f>
        <v/>
      </c>
      <c r="AK96">
        <f>IF($S96="","",IFERROR(INDEX(อัตราค่าขนส่ง!$P$5:$P$54,MATCH($S96,อัตราค่าขนส่ง!$O$5:$O$54,0)),INDEX(รายการมาตรฐาน!$G$2:$G$3,1)))</f>
        <v/>
      </c>
      <c r="AL96">
        <f>IF($S96="","",IFERROR(MATCH($AK96,รายการมาตรฐาน!$G$2:$G$3,0),1))</f>
        <v/>
      </c>
      <c r="AM96">
        <f>IF($V96="","",INDEX($AK$5:$AK$404,$V96))</f>
        <v/>
      </c>
      <c r="AN96">
        <f>IF($V96="","",INDEX($AL$5:$AL$404,$V96))</f>
        <v/>
      </c>
      <c r="AO96">
        <f>IF(OR($V96="",$AI$2&lt;=1),0,IF($V97="",1,IF($AN97&lt;&gt;$AN96,1,0)))</f>
        <v/>
      </c>
      <c r="AP96">
        <f>IF($V96="",0,IF($AN96&lt;&gt;$AN95,1,0))</f>
        <v/>
      </c>
      <c r="AQ96">
        <f>IF(OR($AD96="",$AD96="Z"),"",INDEX($AN$5:$AN$404,$AC96))</f>
        <v/>
      </c>
      <c r="AR96">
        <f>IF($Y96="",0,COUNTIF(บันทึกรายเที่ยว!$V$6:$V$6005,$Y96))</f>
        <v/>
      </c>
      <c r="AS96">
        <f>IF($Y96="",0,ROUND(SUMIF(บันทึกรายเที่ยว!$V$6:$V$6005,$Y96,บันทึกรายเที่ยว!$M$6:$M$6005),2))</f>
        <v/>
      </c>
      <c r="AT96">
        <f>IF($Y96="",0,IFERROR(INDEX(อัตราค่าขนส่ง!$G$5:$G$204,MATCH($Y96,อัตราค่าขนส่ง!$M$5:$M$204,0)),0))</f>
        <v/>
      </c>
      <c r="AU96">
        <f>ROUND($AS96*$BD96,2)</f>
        <v/>
      </c>
      <c r="AV96">
        <f>ROUND($AU96*$BF$2/100,2)</f>
        <v/>
      </c>
      <c r="AW96">
        <f>IF($Y96="","",IFERROR(INDEX(อัตราค่าขนส่ง!$F$5:$F$204,MATCH($Y96,อัตราค่าขนส่ง!$M$5:$M$204,0)),""))</f>
        <v/>
      </c>
      <c r="AX96">
        <f>IF($W96="","",INDEX(บันทึกรายเที่ยว!$D$6:$D$6005,$W96))</f>
        <v/>
      </c>
      <c r="AY96">
        <f>IF($W96="","",INDEX(บันทึกรายเที่ยว!$R$6:$R$6005,$W96))</f>
        <v/>
      </c>
      <c r="AZ96">
        <f>IF(AND($AD96="T",$AQ96=1),N($AZ95)+1,N($AZ95))</f>
        <v/>
      </c>
      <c r="BA96">
        <f>IF($W96="","",INDEX(บันทึกรายเที่ยว!$E$6:$E$6005,$W96))</f>
        <v/>
      </c>
      <c r="BC96">
        <f>IF($Y96="",0,IFERROR(INDEX(อัตราค่าขนส่ง!$K$5:$K$204,MATCH($Y96,อัตราค่าขนส่ง!$M$5:$M$204,0)),0))</f>
        <v/>
      </c>
      <c r="BD96">
        <f>IF($Y96="",0,IFERROR(INDEX(อัตราค่าขนส่ง!$L$5:$L$204,MATCH($Y96,อัตราค่าขนส่ง!$M$5:$M$204,0)),0))</f>
        <v/>
      </c>
    </row>
    <row r="97" ht="21" customHeight="1" s="66">
      <c r="A97" s="69">
        <f>IF($AD97="","",IF($AD97="Z","รวมจ่ายทั้งสิ้น",IF($AD97="H",INDEX($X$5:$X$404,$AC97),IF($AD97="T","รวม",IF($AD97="B",IFERROR(INDEX(อัตราค่าขนส่ง!$S$5:$S$14,MATCH(INDEX($AM$5:$AM$404,$AC97),อัตราค่าขนส่ง!$R$5:$R$14,0)),"รวมกลุ่ม "&amp;INDEX($AM$5:$AM$404,$AC97)),INDEX($AY$5:$AY$404,$AC97))))))</f>
        <v/>
      </c>
      <c r="B97" s="31">
        <f>IF($AD97&lt;&gt;"D","",INDEX($AW$5:$AW$404,$AC97))</f>
        <v/>
      </c>
      <c r="C97" s="68">
        <f>IF($AD97&lt;&gt;"D","",INDEX($AX$5:$AX$404,$AC97))</f>
        <v/>
      </c>
      <c r="D97" s="70">
        <f>IF($AD97&lt;&gt;"D","",INDEX($BA$5:$BA$404,$AC97))</f>
        <v/>
      </c>
      <c r="E97" s="31">
        <f>IF($AD97="Z",SUM($AR$5:$AR$404),IF($AD97="D",INDEX($AR$5:$AR$404,$AC97),IF($AD97="T",SUMIF($X$5:$X$404,$AF97,$AR$5:$AR$404),IF($AD97="B",SUMIF($AN$5:$AN$404,$AQ97,$AR$5:$AR$404),""))))</f>
        <v/>
      </c>
      <c r="F97" s="32">
        <f>IF($AD97="Z",ROUND(SUM($AS$5:$AS$404),2),IF($AD97="D",INDEX($AS$5:$AS$404,$AC97),IF($AD97="T",ROUND(SUMIF($X$5:$X$404,$AF97,$AS$5:$AS$404),2),IF($AD97="B",ROUND(SUMIF($AN$5:$AN$404,$AQ97,$AS$5:$AS$404),2),""))))</f>
        <v/>
      </c>
      <c r="G97" s="32">
        <f>IF($AD97&lt;&gt;"D","",INDEX($AT$5:$AT$404,$AC97))</f>
        <v/>
      </c>
      <c r="H97" s="32">
        <f>IF($AD97&lt;&gt;"D","",INDEX($BC$5:$BC$404,$AC97))</f>
        <v/>
      </c>
      <c r="I97" s="32">
        <f>IF($AD97&lt;&gt;"D","",INDEX($BD$5:$BD$404,$AC97))</f>
        <v/>
      </c>
      <c r="J97" s="46">
        <f>IF($AD97&lt;&gt;"D","",IF(N($B97)=0,"",ROUND($I97/$B97,4)))</f>
        <v/>
      </c>
      <c r="K97" s="32">
        <f>IF($AD97="Z",ROUND(SUM($AU$5:$AU$404),2),IF($AD97="D",INDEX($AU$5:$AU$404,$AC97),IF($AD97="T",ROUND(SUMIF($X$5:$X$404,$AF97,$AU$5:$AU$404),2),IF($AD97="B",ROUND(SUMIF($AN$5:$AN$404,$AQ97,$AU$5:$AU$404),2),""))))</f>
        <v/>
      </c>
      <c r="L97" s="32">
        <f>IF($AD97="Z",ROUND(SUM($AV$5:$AV$404),2),IF($AD97="D",INDEX($AV$5:$AV$404,$AC97),IF($AD97="T",ROUND(SUMIF($X$5:$X$404,$AF97,$AV$5:$AV$404),2),IF($AD97="B",ROUND(SUMIF($AN$5:$AN$404,$AQ97,$AV$5:$AV$404),2),""))))</f>
        <v/>
      </c>
      <c r="M97" s="32">
        <f>IF($AD97="Z",ROUND(SUM($AJ$5:$AJ$704),2),IF($AD97="B",ROUND(SUMIF($AQ$5:$AQ$704,$AQ97,$AJ$5:$AJ$704),2),IF($AD97&lt;&gt;"T","",$AJ97)))</f>
        <v/>
      </c>
      <c r="N97" s="32">
        <f>IF(OR($AD97="D",$AD97="T",$AD97="B",$AD97="Z"),ROUND(N($K97)-N($L97)-N($M97),2),"")</f>
        <v/>
      </c>
      <c r="O97" s="32">
        <f>IF(OR($AD97="D",$AD97="T",$AD97="B",$AD97="Z"),IF(N($E97)=0,"",ROUND($F97/$E97,2)),"")</f>
        <v/>
      </c>
      <c r="Q97">
        <f>IFERROR(MATCH(93,บันทึกรายเที่ยว!$Z$6:$Z$6005,0),"")</f>
        <v/>
      </c>
      <c r="R97">
        <f>IF($Q97="","",INDEX(บันทึกรายเที่ยว!$V$6:$V$6005,$Q97))</f>
        <v/>
      </c>
      <c r="S97">
        <f>IF($Q97="","",INDEX(บันทึกรายเที่ยว!$F$6:$F$6005,$Q97))</f>
        <v/>
      </c>
      <c r="T97">
        <f>IF($Q97="","",MATCH($S97,บันทึกรายเที่ยว!$F$6:$F$6005,0))</f>
        <v/>
      </c>
      <c r="U97">
        <f>IF($Q97="","",$AL97*10000000+$T97*1000+93)</f>
        <v/>
      </c>
      <c r="V97">
        <f>IFERROR(MATCH(SMALL($U$5:$U$404,93),$U$5:$U$404,0),"")</f>
        <v/>
      </c>
      <c r="W97">
        <f>IF($V97="","",INDEX($Q$5:$Q$404,$V97))</f>
        <v/>
      </c>
      <c r="X97">
        <f>IF($V97="","",INDEX($S$5:$S$404,$V97))</f>
        <v/>
      </c>
      <c r="Y97">
        <f>IF($V97="","",INDEX($R$5:$R$404,$V97))</f>
        <v/>
      </c>
      <c r="Z97">
        <f>IF($V97="",0,IF($X97&lt;&gt;$X96,1,0))</f>
        <v/>
      </c>
      <c r="AA97">
        <f>IF($V97="",0,IF($V98="",1,IF($X98&lt;&gt;$X97,1,0)))</f>
        <v/>
      </c>
      <c r="AB97">
        <f>IF($V97="",99999+93,$AB96+1+$Z96+$AA96+$AO96)</f>
        <v/>
      </c>
      <c r="AC97">
        <f>IFERROR(MATCH(93,$AB$5:$AB$404,1),"")</f>
        <v/>
      </c>
      <c r="AD97">
        <f>IF(93=$AI$1+1,"Z",IF($AC97="","",IF(INDEX($V$5:$V$404,$AC97)="","",IF(93&gt;INDEX($AB$5:$AB$404,$AC97)+INDEX($Z$5:$Z$404,$AC97)+INDEX($AA$5:$AA$404,$AC97)+INDEX($AO$5:$AO$404,$AC97),"",IF(93=INDEX($AB$5:$AB$404,$AC97)+INDEX($Z$5:$Z$404,$AC97),"D",IF(AND(INDEX($Z$5:$Z$404,$AC97)=1,93=INDEX($AB$5:$AB$404,$AC97)),"H",IF(AND(INDEX($AO$5:$AO$404,$AC97)=1,93=INDEX($AB$5:$AB$404,$AC97)+INDEX($Z$5:$Z$404,$AC97)+INDEX($AA$5:$AA$404,$AC97)+INDEX($AO$5:$AO$404,$AC97)),"B","T")))))))</f>
        <v/>
      </c>
      <c r="AF97">
        <f>IF(OR($AD97="",$AD97="Z",$AD97="B"),"",INDEX($X$5:$X$404,$AC97))</f>
        <v/>
      </c>
      <c r="AJ97">
        <f>IF($AD97&lt;&gt;"T",0,ROUND(SUMIF(oil!$B$4:$B$63,$AF97,oil!$AE$4:$AE$63),2))</f>
        <v/>
      </c>
      <c r="AK97">
        <f>IF($S97="","",IFERROR(INDEX(อัตราค่าขนส่ง!$P$5:$P$54,MATCH($S97,อัตราค่าขนส่ง!$O$5:$O$54,0)),INDEX(รายการมาตรฐาน!$G$2:$G$3,1)))</f>
        <v/>
      </c>
      <c r="AL97">
        <f>IF($S97="","",IFERROR(MATCH($AK97,รายการมาตรฐาน!$G$2:$G$3,0),1))</f>
        <v/>
      </c>
      <c r="AM97">
        <f>IF($V97="","",INDEX($AK$5:$AK$404,$V97))</f>
        <v/>
      </c>
      <c r="AN97">
        <f>IF($V97="","",INDEX($AL$5:$AL$404,$V97))</f>
        <v/>
      </c>
      <c r="AO97">
        <f>IF(OR($V97="",$AI$2&lt;=1),0,IF($V98="",1,IF($AN98&lt;&gt;$AN97,1,0)))</f>
        <v/>
      </c>
      <c r="AP97">
        <f>IF($V97="",0,IF($AN97&lt;&gt;$AN96,1,0))</f>
        <v/>
      </c>
      <c r="AQ97">
        <f>IF(OR($AD97="",$AD97="Z"),"",INDEX($AN$5:$AN$404,$AC97))</f>
        <v/>
      </c>
      <c r="AR97">
        <f>IF($Y97="",0,COUNTIF(บันทึกรายเที่ยว!$V$6:$V$6005,$Y97))</f>
        <v/>
      </c>
      <c r="AS97">
        <f>IF($Y97="",0,ROUND(SUMIF(บันทึกรายเที่ยว!$V$6:$V$6005,$Y97,บันทึกรายเที่ยว!$M$6:$M$6005),2))</f>
        <v/>
      </c>
      <c r="AT97">
        <f>IF($Y97="",0,IFERROR(INDEX(อัตราค่าขนส่ง!$G$5:$G$204,MATCH($Y97,อัตราค่าขนส่ง!$M$5:$M$204,0)),0))</f>
        <v/>
      </c>
      <c r="AU97">
        <f>ROUND($AS97*$BD97,2)</f>
        <v/>
      </c>
      <c r="AV97">
        <f>ROUND($AU97*$BF$2/100,2)</f>
        <v/>
      </c>
      <c r="AW97">
        <f>IF($Y97="","",IFERROR(INDEX(อัตราค่าขนส่ง!$F$5:$F$204,MATCH($Y97,อัตราค่าขนส่ง!$M$5:$M$204,0)),""))</f>
        <v/>
      </c>
      <c r="AX97">
        <f>IF($W97="","",INDEX(บันทึกรายเที่ยว!$D$6:$D$6005,$W97))</f>
        <v/>
      </c>
      <c r="AY97">
        <f>IF($W97="","",INDEX(บันทึกรายเที่ยว!$R$6:$R$6005,$W97))</f>
        <v/>
      </c>
      <c r="AZ97">
        <f>IF(AND($AD97="T",$AQ97=1),N($AZ96)+1,N($AZ96))</f>
        <v/>
      </c>
      <c r="BA97">
        <f>IF($W97="","",INDEX(บันทึกรายเที่ยว!$E$6:$E$6005,$W97))</f>
        <v/>
      </c>
      <c r="BC97">
        <f>IF($Y97="",0,IFERROR(INDEX(อัตราค่าขนส่ง!$K$5:$K$204,MATCH($Y97,อัตราค่าขนส่ง!$M$5:$M$204,0)),0))</f>
        <v/>
      </c>
      <c r="BD97">
        <f>IF($Y97="",0,IFERROR(INDEX(อัตราค่าขนส่ง!$L$5:$L$204,MATCH($Y97,อัตราค่าขนส่ง!$M$5:$M$204,0)),0))</f>
        <v/>
      </c>
    </row>
    <row r="98" ht="21" customHeight="1" s="66">
      <c r="A98" s="69">
        <f>IF($AD98="","",IF($AD98="Z","รวมจ่ายทั้งสิ้น",IF($AD98="H",INDEX($X$5:$X$404,$AC98),IF($AD98="T","รวม",IF($AD98="B",IFERROR(INDEX(อัตราค่าขนส่ง!$S$5:$S$14,MATCH(INDEX($AM$5:$AM$404,$AC98),อัตราค่าขนส่ง!$R$5:$R$14,0)),"รวมกลุ่ม "&amp;INDEX($AM$5:$AM$404,$AC98)),INDEX($AY$5:$AY$404,$AC98))))))</f>
        <v/>
      </c>
      <c r="B98" s="31">
        <f>IF($AD98&lt;&gt;"D","",INDEX($AW$5:$AW$404,$AC98))</f>
        <v/>
      </c>
      <c r="C98" s="68">
        <f>IF($AD98&lt;&gt;"D","",INDEX($AX$5:$AX$404,$AC98))</f>
        <v/>
      </c>
      <c r="D98" s="70">
        <f>IF($AD98&lt;&gt;"D","",INDEX($BA$5:$BA$404,$AC98))</f>
        <v/>
      </c>
      <c r="E98" s="31">
        <f>IF($AD98="Z",SUM($AR$5:$AR$404),IF($AD98="D",INDEX($AR$5:$AR$404,$AC98),IF($AD98="T",SUMIF($X$5:$X$404,$AF98,$AR$5:$AR$404),IF($AD98="B",SUMIF($AN$5:$AN$404,$AQ98,$AR$5:$AR$404),""))))</f>
        <v/>
      </c>
      <c r="F98" s="32">
        <f>IF($AD98="Z",ROUND(SUM($AS$5:$AS$404),2),IF($AD98="D",INDEX($AS$5:$AS$404,$AC98),IF($AD98="T",ROUND(SUMIF($X$5:$X$404,$AF98,$AS$5:$AS$404),2),IF($AD98="B",ROUND(SUMIF($AN$5:$AN$404,$AQ98,$AS$5:$AS$404),2),""))))</f>
        <v/>
      </c>
      <c r="G98" s="32">
        <f>IF($AD98&lt;&gt;"D","",INDEX($AT$5:$AT$404,$AC98))</f>
        <v/>
      </c>
      <c r="H98" s="32">
        <f>IF($AD98&lt;&gt;"D","",INDEX($BC$5:$BC$404,$AC98))</f>
        <v/>
      </c>
      <c r="I98" s="32">
        <f>IF($AD98&lt;&gt;"D","",INDEX($BD$5:$BD$404,$AC98))</f>
        <v/>
      </c>
      <c r="J98" s="46">
        <f>IF($AD98&lt;&gt;"D","",IF(N($B98)=0,"",ROUND($I98/$B98,4)))</f>
        <v/>
      </c>
      <c r="K98" s="32">
        <f>IF($AD98="Z",ROUND(SUM($AU$5:$AU$404),2),IF($AD98="D",INDEX($AU$5:$AU$404,$AC98),IF($AD98="T",ROUND(SUMIF($X$5:$X$404,$AF98,$AU$5:$AU$404),2),IF($AD98="B",ROUND(SUMIF($AN$5:$AN$404,$AQ98,$AU$5:$AU$404),2),""))))</f>
        <v/>
      </c>
      <c r="L98" s="32">
        <f>IF($AD98="Z",ROUND(SUM($AV$5:$AV$404),2),IF($AD98="D",INDEX($AV$5:$AV$404,$AC98),IF($AD98="T",ROUND(SUMIF($X$5:$X$404,$AF98,$AV$5:$AV$404),2),IF($AD98="B",ROUND(SUMIF($AN$5:$AN$404,$AQ98,$AV$5:$AV$404),2),""))))</f>
        <v/>
      </c>
      <c r="M98" s="32">
        <f>IF($AD98="Z",ROUND(SUM($AJ$5:$AJ$704),2),IF($AD98="B",ROUND(SUMIF($AQ$5:$AQ$704,$AQ98,$AJ$5:$AJ$704),2),IF($AD98&lt;&gt;"T","",$AJ98)))</f>
        <v/>
      </c>
      <c r="N98" s="32">
        <f>IF(OR($AD98="D",$AD98="T",$AD98="B",$AD98="Z"),ROUND(N($K98)-N($L98)-N($M98),2),"")</f>
        <v/>
      </c>
      <c r="O98" s="32">
        <f>IF(OR($AD98="D",$AD98="T",$AD98="B",$AD98="Z"),IF(N($E98)=0,"",ROUND($F98/$E98,2)),"")</f>
        <v/>
      </c>
      <c r="Q98">
        <f>IFERROR(MATCH(94,บันทึกรายเที่ยว!$Z$6:$Z$6005,0),"")</f>
        <v/>
      </c>
      <c r="R98">
        <f>IF($Q98="","",INDEX(บันทึกรายเที่ยว!$V$6:$V$6005,$Q98))</f>
        <v/>
      </c>
      <c r="S98">
        <f>IF($Q98="","",INDEX(บันทึกรายเที่ยว!$F$6:$F$6005,$Q98))</f>
        <v/>
      </c>
      <c r="T98">
        <f>IF($Q98="","",MATCH($S98,บันทึกรายเที่ยว!$F$6:$F$6005,0))</f>
        <v/>
      </c>
      <c r="U98">
        <f>IF($Q98="","",$AL98*10000000+$T98*1000+94)</f>
        <v/>
      </c>
      <c r="V98">
        <f>IFERROR(MATCH(SMALL($U$5:$U$404,94),$U$5:$U$404,0),"")</f>
        <v/>
      </c>
      <c r="W98">
        <f>IF($V98="","",INDEX($Q$5:$Q$404,$V98))</f>
        <v/>
      </c>
      <c r="X98">
        <f>IF($V98="","",INDEX($S$5:$S$404,$V98))</f>
        <v/>
      </c>
      <c r="Y98">
        <f>IF($V98="","",INDEX($R$5:$R$404,$V98))</f>
        <v/>
      </c>
      <c r="Z98">
        <f>IF($V98="",0,IF($X98&lt;&gt;$X97,1,0))</f>
        <v/>
      </c>
      <c r="AA98">
        <f>IF($V98="",0,IF($V99="",1,IF($X99&lt;&gt;$X98,1,0)))</f>
        <v/>
      </c>
      <c r="AB98">
        <f>IF($V98="",99999+94,$AB97+1+$Z97+$AA97+$AO97)</f>
        <v/>
      </c>
      <c r="AC98">
        <f>IFERROR(MATCH(94,$AB$5:$AB$404,1),"")</f>
        <v/>
      </c>
      <c r="AD98">
        <f>IF(94=$AI$1+1,"Z",IF($AC98="","",IF(INDEX($V$5:$V$404,$AC98)="","",IF(94&gt;INDEX($AB$5:$AB$404,$AC98)+INDEX($Z$5:$Z$404,$AC98)+INDEX($AA$5:$AA$404,$AC98)+INDEX($AO$5:$AO$404,$AC98),"",IF(94=INDEX($AB$5:$AB$404,$AC98)+INDEX($Z$5:$Z$404,$AC98),"D",IF(AND(INDEX($Z$5:$Z$404,$AC98)=1,94=INDEX($AB$5:$AB$404,$AC98)),"H",IF(AND(INDEX($AO$5:$AO$404,$AC98)=1,94=INDEX($AB$5:$AB$404,$AC98)+INDEX($Z$5:$Z$404,$AC98)+INDEX($AA$5:$AA$404,$AC98)+INDEX($AO$5:$AO$404,$AC98)),"B","T")))))))</f>
        <v/>
      </c>
      <c r="AF98">
        <f>IF(OR($AD98="",$AD98="Z",$AD98="B"),"",INDEX($X$5:$X$404,$AC98))</f>
        <v/>
      </c>
      <c r="AJ98">
        <f>IF($AD98&lt;&gt;"T",0,ROUND(SUMIF(oil!$B$4:$B$63,$AF98,oil!$AE$4:$AE$63),2))</f>
        <v/>
      </c>
      <c r="AK98">
        <f>IF($S98="","",IFERROR(INDEX(อัตราค่าขนส่ง!$P$5:$P$54,MATCH($S98,อัตราค่าขนส่ง!$O$5:$O$54,0)),INDEX(รายการมาตรฐาน!$G$2:$G$3,1)))</f>
        <v/>
      </c>
      <c r="AL98">
        <f>IF($S98="","",IFERROR(MATCH($AK98,รายการมาตรฐาน!$G$2:$G$3,0),1))</f>
        <v/>
      </c>
      <c r="AM98">
        <f>IF($V98="","",INDEX($AK$5:$AK$404,$V98))</f>
        <v/>
      </c>
      <c r="AN98">
        <f>IF($V98="","",INDEX($AL$5:$AL$404,$V98))</f>
        <v/>
      </c>
      <c r="AO98">
        <f>IF(OR($V98="",$AI$2&lt;=1),0,IF($V99="",1,IF($AN99&lt;&gt;$AN98,1,0)))</f>
        <v/>
      </c>
      <c r="AP98">
        <f>IF($V98="",0,IF($AN98&lt;&gt;$AN97,1,0))</f>
        <v/>
      </c>
      <c r="AQ98">
        <f>IF(OR($AD98="",$AD98="Z"),"",INDEX($AN$5:$AN$404,$AC98))</f>
        <v/>
      </c>
      <c r="AR98">
        <f>IF($Y98="",0,COUNTIF(บันทึกรายเที่ยว!$V$6:$V$6005,$Y98))</f>
        <v/>
      </c>
      <c r="AS98">
        <f>IF($Y98="",0,ROUND(SUMIF(บันทึกรายเที่ยว!$V$6:$V$6005,$Y98,บันทึกรายเที่ยว!$M$6:$M$6005),2))</f>
        <v/>
      </c>
      <c r="AT98">
        <f>IF($Y98="",0,IFERROR(INDEX(อัตราค่าขนส่ง!$G$5:$G$204,MATCH($Y98,อัตราค่าขนส่ง!$M$5:$M$204,0)),0))</f>
        <v/>
      </c>
      <c r="AU98">
        <f>ROUND($AS98*$BD98,2)</f>
        <v/>
      </c>
      <c r="AV98">
        <f>ROUND($AU98*$BF$2/100,2)</f>
        <v/>
      </c>
      <c r="AW98">
        <f>IF($Y98="","",IFERROR(INDEX(อัตราค่าขนส่ง!$F$5:$F$204,MATCH($Y98,อัตราค่าขนส่ง!$M$5:$M$204,0)),""))</f>
        <v/>
      </c>
      <c r="AX98">
        <f>IF($W98="","",INDEX(บันทึกรายเที่ยว!$D$6:$D$6005,$W98))</f>
        <v/>
      </c>
      <c r="AY98">
        <f>IF($W98="","",INDEX(บันทึกรายเที่ยว!$R$6:$R$6005,$W98))</f>
        <v/>
      </c>
      <c r="AZ98">
        <f>IF(AND($AD98="T",$AQ98=1),N($AZ97)+1,N($AZ97))</f>
        <v/>
      </c>
      <c r="BA98">
        <f>IF($W98="","",INDEX(บันทึกรายเที่ยว!$E$6:$E$6005,$W98))</f>
        <v/>
      </c>
      <c r="BC98">
        <f>IF($Y98="",0,IFERROR(INDEX(อัตราค่าขนส่ง!$K$5:$K$204,MATCH($Y98,อัตราค่าขนส่ง!$M$5:$M$204,0)),0))</f>
        <v/>
      </c>
      <c r="BD98">
        <f>IF($Y98="",0,IFERROR(INDEX(อัตราค่าขนส่ง!$L$5:$L$204,MATCH($Y98,อัตราค่าขนส่ง!$M$5:$M$204,0)),0))</f>
        <v/>
      </c>
    </row>
    <row r="99" ht="21" customHeight="1" s="66">
      <c r="A99" s="69">
        <f>IF($AD99="","",IF($AD99="Z","รวมจ่ายทั้งสิ้น",IF($AD99="H",INDEX($X$5:$X$404,$AC99),IF($AD99="T","รวม",IF($AD99="B",IFERROR(INDEX(อัตราค่าขนส่ง!$S$5:$S$14,MATCH(INDEX($AM$5:$AM$404,$AC99),อัตราค่าขนส่ง!$R$5:$R$14,0)),"รวมกลุ่ม "&amp;INDEX($AM$5:$AM$404,$AC99)),INDEX($AY$5:$AY$404,$AC99))))))</f>
        <v/>
      </c>
      <c r="B99" s="31">
        <f>IF($AD99&lt;&gt;"D","",INDEX($AW$5:$AW$404,$AC99))</f>
        <v/>
      </c>
      <c r="C99" s="68">
        <f>IF($AD99&lt;&gt;"D","",INDEX($AX$5:$AX$404,$AC99))</f>
        <v/>
      </c>
      <c r="D99" s="70">
        <f>IF($AD99&lt;&gt;"D","",INDEX($BA$5:$BA$404,$AC99))</f>
        <v/>
      </c>
      <c r="E99" s="31">
        <f>IF($AD99="Z",SUM($AR$5:$AR$404),IF($AD99="D",INDEX($AR$5:$AR$404,$AC99),IF($AD99="T",SUMIF($X$5:$X$404,$AF99,$AR$5:$AR$404),IF($AD99="B",SUMIF($AN$5:$AN$404,$AQ99,$AR$5:$AR$404),""))))</f>
        <v/>
      </c>
      <c r="F99" s="32">
        <f>IF($AD99="Z",ROUND(SUM($AS$5:$AS$404),2),IF($AD99="D",INDEX($AS$5:$AS$404,$AC99),IF($AD99="T",ROUND(SUMIF($X$5:$X$404,$AF99,$AS$5:$AS$404),2),IF($AD99="B",ROUND(SUMIF($AN$5:$AN$404,$AQ99,$AS$5:$AS$404),2),""))))</f>
        <v/>
      </c>
      <c r="G99" s="32">
        <f>IF($AD99&lt;&gt;"D","",INDEX($AT$5:$AT$404,$AC99))</f>
        <v/>
      </c>
      <c r="H99" s="32">
        <f>IF($AD99&lt;&gt;"D","",INDEX($BC$5:$BC$404,$AC99))</f>
        <v/>
      </c>
      <c r="I99" s="32">
        <f>IF($AD99&lt;&gt;"D","",INDEX($BD$5:$BD$404,$AC99))</f>
        <v/>
      </c>
      <c r="J99" s="46">
        <f>IF($AD99&lt;&gt;"D","",IF(N($B99)=0,"",ROUND($I99/$B99,4)))</f>
        <v/>
      </c>
      <c r="K99" s="32">
        <f>IF($AD99="Z",ROUND(SUM($AU$5:$AU$404),2),IF($AD99="D",INDEX($AU$5:$AU$404,$AC99),IF($AD99="T",ROUND(SUMIF($X$5:$X$404,$AF99,$AU$5:$AU$404),2),IF($AD99="B",ROUND(SUMIF($AN$5:$AN$404,$AQ99,$AU$5:$AU$404),2),""))))</f>
        <v/>
      </c>
      <c r="L99" s="32">
        <f>IF($AD99="Z",ROUND(SUM($AV$5:$AV$404),2),IF($AD99="D",INDEX($AV$5:$AV$404,$AC99),IF($AD99="T",ROUND(SUMIF($X$5:$X$404,$AF99,$AV$5:$AV$404),2),IF($AD99="B",ROUND(SUMIF($AN$5:$AN$404,$AQ99,$AV$5:$AV$404),2),""))))</f>
        <v/>
      </c>
      <c r="M99" s="32">
        <f>IF($AD99="Z",ROUND(SUM($AJ$5:$AJ$704),2),IF($AD99="B",ROUND(SUMIF($AQ$5:$AQ$704,$AQ99,$AJ$5:$AJ$704),2),IF($AD99&lt;&gt;"T","",$AJ99)))</f>
        <v/>
      </c>
      <c r="N99" s="32">
        <f>IF(OR($AD99="D",$AD99="T",$AD99="B",$AD99="Z"),ROUND(N($K99)-N($L99)-N($M99),2),"")</f>
        <v/>
      </c>
      <c r="O99" s="32">
        <f>IF(OR($AD99="D",$AD99="T",$AD99="B",$AD99="Z"),IF(N($E99)=0,"",ROUND($F99/$E99,2)),"")</f>
        <v/>
      </c>
      <c r="Q99">
        <f>IFERROR(MATCH(95,บันทึกรายเที่ยว!$Z$6:$Z$6005,0),"")</f>
        <v/>
      </c>
      <c r="R99">
        <f>IF($Q99="","",INDEX(บันทึกรายเที่ยว!$V$6:$V$6005,$Q99))</f>
        <v/>
      </c>
      <c r="S99">
        <f>IF($Q99="","",INDEX(บันทึกรายเที่ยว!$F$6:$F$6005,$Q99))</f>
        <v/>
      </c>
      <c r="T99">
        <f>IF($Q99="","",MATCH($S99,บันทึกรายเที่ยว!$F$6:$F$6005,0))</f>
        <v/>
      </c>
      <c r="U99">
        <f>IF($Q99="","",$AL99*10000000+$T99*1000+95)</f>
        <v/>
      </c>
      <c r="V99">
        <f>IFERROR(MATCH(SMALL($U$5:$U$404,95),$U$5:$U$404,0),"")</f>
        <v/>
      </c>
      <c r="W99">
        <f>IF($V99="","",INDEX($Q$5:$Q$404,$V99))</f>
        <v/>
      </c>
      <c r="X99">
        <f>IF($V99="","",INDEX($S$5:$S$404,$V99))</f>
        <v/>
      </c>
      <c r="Y99">
        <f>IF($V99="","",INDEX($R$5:$R$404,$V99))</f>
        <v/>
      </c>
      <c r="Z99">
        <f>IF($V99="",0,IF($X99&lt;&gt;$X98,1,0))</f>
        <v/>
      </c>
      <c r="AA99">
        <f>IF($V99="",0,IF($V100="",1,IF($X100&lt;&gt;$X99,1,0)))</f>
        <v/>
      </c>
      <c r="AB99">
        <f>IF($V99="",99999+95,$AB98+1+$Z98+$AA98+$AO98)</f>
        <v/>
      </c>
      <c r="AC99">
        <f>IFERROR(MATCH(95,$AB$5:$AB$404,1),"")</f>
        <v/>
      </c>
      <c r="AD99">
        <f>IF(95=$AI$1+1,"Z",IF($AC99="","",IF(INDEX($V$5:$V$404,$AC99)="","",IF(95&gt;INDEX($AB$5:$AB$404,$AC99)+INDEX($Z$5:$Z$404,$AC99)+INDEX($AA$5:$AA$404,$AC99)+INDEX($AO$5:$AO$404,$AC99),"",IF(95=INDEX($AB$5:$AB$404,$AC99)+INDEX($Z$5:$Z$404,$AC99),"D",IF(AND(INDEX($Z$5:$Z$404,$AC99)=1,95=INDEX($AB$5:$AB$404,$AC99)),"H",IF(AND(INDEX($AO$5:$AO$404,$AC99)=1,95=INDEX($AB$5:$AB$404,$AC99)+INDEX($Z$5:$Z$404,$AC99)+INDEX($AA$5:$AA$404,$AC99)+INDEX($AO$5:$AO$404,$AC99)),"B","T")))))))</f>
        <v/>
      </c>
      <c r="AF99">
        <f>IF(OR($AD99="",$AD99="Z",$AD99="B"),"",INDEX($X$5:$X$404,$AC99))</f>
        <v/>
      </c>
      <c r="AJ99">
        <f>IF($AD99&lt;&gt;"T",0,ROUND(SUMIF(oil!$B$4:$B$63,$AF99,oil!$AE$4:$AE$63),2))</f>
        <v/>
      </c>
      <c r="AK99">
        <f>IF($S99="","",IFERROR(INDEX(อัตราค่าขนส่ง!$P$5:$P$54,MATCH($S99,อัตราค่าขนส่ง!$O$5:$O$54,0)),INDEX(รายการมาตรฐาน!$G$2:$G$3,1)))</f>
        <v/>
      </c>
      <c r="AL99">
        <f>IF($S99="","",IFERROR(MATCH($AK99,รายการมาตรฐาน!$G$2:$G$3,0),1))</f>
        <v/>
      </c>
      <c r="AM99">
        <f>IF($V99="","",INDEX($AK$5:$AK$404,$V99))</f>
        <v/>
      </c>
      <c r="AN99">
        <f>IF($V99="","",INDEX($AL$5:$AL$404,$V99))</f>
        <v/>
      </c>
      <c r="AO99">
        <f>IF(OR($V99="",$AI$2&lt;=1),0,IF($V100="",1,IF($AN100&lt;&gt;$AN99,1,0)))</f>
        <v/>
      </c>
      <c r="AP99">
        <f>IF($V99="",0,IF($AN99&lt;&gt;$AN98,1,0))</f>
        <v/>
      </c>
      <c r="AQ99">
        <f>IF(OR($AD99="",$AD99="Z"),"",INDEX($AN$5:$AN$404,$AC99))</f>
        <v/>
      </c>
      <c r="AR99">
        <f>IF($Y99="",0,COUNTIF(บันทึกรายเที่ยว!$V$6:$V$6005,$Y99))</f>
        <v/>
      </c>
      <c r="AS99">
        <f>IF($Y99="",0,ROUND(SUMIF(บันทึกรายเที่ยว!$V$6:$V$6005,$Y99,บันทึกรายเที่ยว!$M$6:$M$6005),2))</f>
        <v/>
      </c>
      <c r="AT99">
        <f>IF($Y99="",0,IFERROR(INDEX(อัตราค่าขนส่ง!$G$5:$G$204,MATCH($Y99,อัตราค่าขนส่ง!$M$5:$M$204,0)),0))</f>
        <v/>
      </c>
      <c r="AU99">
        <f>ROUND($AS99*$BD99,2)</f>
        <v/>
      </c>
      <c r="AV99">
        <f>ROUND($AU99*$BF$2/100,2)</f>
        <v/>
      </c>
      <c r="AW99">
        <f>IF($Y99="","",IFERROR(INDEX(อัตราค่าขนส่ง!$F$5:$F$204,MATCH($Y99,อัตราค่าขนส่ง!$M$5:$M$204,0)),""))</f>
        <v/>
      </c>
      <c r="AX99">
        <f>IF($W99="","",INDEX(บันทึกรายเที่ยว!$D$6:$D$6005,$W99))</f>
        <v/>
      </c>
      <c r="AY99">
        <f>IF($W99="","",INDEX(บันทึกรายเที่ยว!$R$6:$R$6005,$W99))</f>
        <v/>
      </c>
      <c r="AZ99">
        <f>IF(AND($AD99="T",$AQ99=1),N($AZ98)+1,N($AZ98))</f>
        <v/>
      </c>
      <c r="BA99">
        <f>IF($W99="","",INDEX(บันทึกรายเที่ยว!$E$6:$E$6005,$W99))</f>
        <v/>
      </c>
      <c r="BC99">
        <f>IF($Y99="",0,IFERROR(INDEX(อัตราค่าขนส่ง!$K$5:$K$204,MATCH($Y99,อัตราค่าขนส่ง!$M$5:$M$204,0)),0))</f>
        <v/>
      </c>
      <c r="BD99">
        <f>IF($Y99="",0,IFERROR(INDEX(อัตราค่าขนส่ง!$L$5:$L$204,MATCH($Y99,อัตราค่าขนส่ง!$M$5:$M$204,0)),0))</f>
        <v/>
      </c>
    </row>
    <row r="100" ht="21" customHeight="1" s="66">
      <c r="A100" s="69">
        <f>IF($AD100="","",IF($AD100="Z","รวมจ่ายทั้งสิ้น",IF($AD100="H",INDEX($X$5:$X$404,$AC100),IF($AD100="T","รวม",IF($AD100="B",IFERROR(INDEX(อัตราค่าขนส่ง!$S$5:$S$14,MATCH(INDEX($AM$5:$AM$404,$AC100),อัตราค่าขนส่ง!$R$5:$R$14,0)),"รวมกลุ่ม "&amp;INDEX($AM$5:$AM$404,$AC100)),INDEX($AY$5:$AY$404,$AC100))))))</f>
        <v/>
      </c>
      <c r="B100" s="31">
        <f>IF($AD100&lt;&gt;"D","",INDEX($AW$5:$AW$404,$AC100))</f>
        <v/>
      </c>
      <c r="C100" s="68">
        <f>IF($AD100&lt;&gt;"D","",INDEX($AX$5:$AX$404,$AC100))</f>
        <v/>
      </c>
      <c r="D100" s="70">
        <f>IF($AD100&lt;&gt;"D","",INDEX($BA$5:$BA$404,$AC100))</f>
        <v/>
      </c>
      <c r="E100" s="31">
        <f>IF($AD100="Z",SUM($AR$5:$AR$404),IF($AD100="D",INDEX($AR$5:$AR$404,$AC100),IF($AD100="T",SUMIF($X$5:$X$404,$AF100,$AR$5:$AR$404),IF($AD100="B",SUMIF($AN$5:$AN$404,$AQ100,$AR$5:$AR$404),""))))</f>
        <v/>
      </c>
      <c r="F100" s="32">
        <f>IF($AD100="Z",ROUND(SUM($AS$5:$AS$404),2),IF($AD100="D",INDEX($AS$5:$AS$404,$AC100),IF($AD100="T",ROUND(SUMIF($X$5:$X$404,$AF100,$AS$5:$AS$404),2),IF($AD100="B",ROUND(SUMIF($AN$5:$AN$404,$AQ100,$AS$5:$AS$404),2),""))))</f>
        <v/>
      </c>
      <c r="G100" s="32">
        <f>IF($AD100&lt;&gt;"D","",INDEX($AT$5:$AT$404,$AC100))</f>
        <v/>
      </c>
      <c r="H100" s="32">
        <f>IF($AD100&lt;&gt;"D","",INDEX($BC$5:$BC$404,$AC100))</f>
        <v/>
      </c>
      <c r="I100" s="32">
        <f>IF($AD100&lt;&gt;"D","",INDEX($BD$5:$BD$404,$AC100))</f>
        <v/>
      </c>
      <c r="J100" s="46">
        <f>IF($AD100&lt;&gt;"D","",IF(N($B100)=0,"",ROUND($I100/$B100,4)))</f>
        <v/>
      </c>
      <c r="K100" s="32">
        <f>IF($AD100="Z",ROUND(SUM($AU$5:$AU$404),2),IF($AD100="D",INDEX($AU$5:$AU$404,$AC100),IF($AD100="T",ROUND(SUMIF($X$5:$X$404,$AF100,$AU$5:$AU$404),2),IF($AD100="B",ROUND(SUMIF($AN$5:$AN$404,$AQ100,$AU$5:$AU$404),2),""))))</f>
        <v/>
      </c>
      <c r="L100" s="32">
        <f>IF($AD100="Z",ROUND(SUM($AV$5:$AV$404),2),IF($AD100="D",INDEX($AV$5:$AV$404,$AC100),IF($AD100="T",ROUND(SUMIF($X$5:$X$404,$AF100,$AV$5:$AV$404),2),IF($AD100="B",ROUND(SUMIF($AN$5:$AN$404,$AQ100,$AV$5:$AV$404),2),""))))</f>
        <v/>
      </c>
      <c r="M100" s="32">
        <f>IF($AD100="Z",ROUND(SUM($AJ$5:$AJ$704),2),IF($AD100="B",ROUND(SUMIF($AQ$5:$AQ$704,$AQ100,$AJ$5:$AJ$704),2),IF($AD100&lt;&gt;"T","",$AJ100)))</f>
        <v/>
      </c>
      <c r="N100" s="32">
        <f>IF(OR($AD100="D",$AD100="T",$AD100="B",$AD100="Z"),ROUND(N($K100)-N($L100)-N($M100),2),"")</f>
        <v/>
      </c>
      <c r="O100" s="32">
        <f>IF(OR($AD100="D",$AD100="T",$AD100="B",$AD100="Z"),IF(N($E100)=0,"",ROUND($F100/$E100,2)),"")</f>
        <v/>
      </c>
      <c r="Q100">
        <f>IFERROR(MATCH(96,บันทึกรายเที่ยว!$Z$6:$Z$6005,0),"")</f>
        <v/>
      </c>
      <c r="R100">
        <f>IF($Q100="","",INDEX(บันทึกรายเที่ยว!$V$6:$V$6005,$Q100))</f>
        <v/>
      </c>
      <c r="S100">
        <f>IF($Q100="","",INDEX(บันทึกรายเที่ยว!$F$6:$F$6005,$Q100))</f>
        <v/>
      </c>
      <c r="T100">
        <f>IF($Q100="","",MATCH($S100,บันทึกรายเที่ยว!$F$6:$F$6005,0))</f>
        <v/>
      </c>
      <c r="U100">
        <f>IF($Q100="","",$AL100*10000000+$T100*1000+96)</f>
        <v/>
      </c>
      <c r="V100">
        <f>IFERROR(MATCH(SMALL($U$5:$U$404,96),$U$5:$U$404,0),"")</f>
        <v/>
      </c>
      <c r="W100">
        <f>IF($V100="","",INDEX($Q$5:$Q$404,$V100))</f>
        <v/>
      </c>
      <c r="X100">
        <f>IF($V100="","",INDEX($S$5:$S$404,$V100))</f>
        <v/>
      </c>
      <c r="Y100">
        <f>IF($V100="","",INDEX($R$5:$R$404,$V100))</f>
        <v/>
      </c>
      <c r="Z100">
        <f>IF($V100="",0,IF($X100&lt;&gt;$X99,1,0))</f>
        <v/>
      </c>
      <c r="AA100">
        <f>IF($V100="",0,IF($V101="",1,IF($X101&lt;&gt;$X100,1,0)))</f>
        <v/>
      </c>
      <c r="AB100">
        <f>IF($V100="",99999+96,$AB99+1+$Z99+$AA99+$AO99)</f>
        <v/>
      </c>
      <c r="AC100">
        <f>IFERROR(MATCH(96,$AB$5:$AB$404,1),"")</f>
        <v/>
      </c>
      <c r="AD100">
        <f>IF(96=$AI$1+1,"Z",IF($AC100="","",IF(INDEX($V$5:$V$404,$AC100)="","",IF(96&gt;INDEX($AB$5:$AB$404,$AC100)+INDEX($Z$5:$Z$404,$AC100)+INDEX($AA$5:$AA$404,$AC100)+INDEX($AO$5:$AO$404,$AC100),"",IF(96=INDEX($AB$5:$AB$404,$AC100)+INDEX($Z$5:$Z$404,$AC100),"D",IF(AND(INDEX($Z$5:$Z$404,$AC100)=1,96=INDEX($AB$5:$AB$404,$AC100)),"H",IF(AND(INDEX($AO$5:$AO$404,$AC100)=1,96=INDEX($AB$5:$AB$404,$AC100)+INDEX($Z$5:$Z$404,$AC100)+INDEX($AA$5:$AA$404,$AC100)+INDEX($AO$5:$AO$404,$AC100)),"B","T")))))))</f>
        <v/>
      </c>
      <c r="AF100">
        <f>IF(OR($AD100="",$AD100="Z",$AD100="B"),"",INDEX($X$5:$X$404,$AC100))</f>
        <v/>
      </c>
      <c r="AJ100">
        <f>IF($AD100&lt;&gt;"T",0,ROUND(SUMIF(oil!$B$4:$B$63,$AF100,oil!$AE$4:$AE$63),2))</f>
        <v/>
      </c>
      <c r="AK100">
        <f>IF($S100="","",IFERROR(INDEX(อัตราค่าขนส่ง!$P$5:$P$54,MATCH($S100,อัตราค่าขนส่ง!$O$5:$O$54,0)),INDEX(รายการมาตรฐาน!$G$2:$G$3,1)))</f>
        <v/>
      </c>
      <c r="AL100">
        <f>IF($S100="","",IFERROR(MATCH($AK100,รายการมาตรฐาน!$G$2:$G$3,0),1))</f>
        <v/>
      </c>
      <c r="AM100">
        <f>IF($V100="","",INDEX($AK$5:$AK$404,$V100))</f>
        <v/>
      </c>
      <c r="AN100">
        <f>IF($V100="","",INDEX($AL$5:$AL$404,$V100))</f>
        <v/>
      </c>
      <c r="AO100">
        <f>IF(OR($V100="",$AI$2&lt;=1),0,IF($V101="",1,IF($AN101&lt;&gt;$AN100,1,0)))</f>
        <v/>
      </c>
      <c r="AP100">
        <f>IF($V100="",0,IF($AN100&lt;&gt;$AN99,1,0))</f>
        <v/>
      </c>
      <c r="AQ100">
        <f>IF(OR($AD100="",$AD100="Z"),"",INDEX($AN$5:$AN$404,$AC100))</f>
        <v/>
      </c>
      <c r="AR100">
        <f>IF($Y100="",0,COUNTIF(บันทึกรายเที่ยว!$V$6:$V$6005,$Y100))</f>
        <v/>
      </c>
      <c r="AS100">
        <f>IF($Y100="",0,ROUND(SUMIF(บันทึกรายเที่ยว!$V$6:$V$6005,$Y100,บันทึกรายเที่ยว!$M$6:$M$6005),2))</f>
        <v/>
      </c>
      <c r="AT100">
        <f>IF($Y100="",0,IFERROR(INDEX(อัตราค่าขนส่ง!$G$5:$G$204,MATCH($Y100,อัตราค่าขนส่ง!$M$5:$M$204,0)),0))</f>
        <v/>
      </c>
      <c r="AU100">
        <f>ROUND($AS100*$BD100,2)</f>
        <v/>
      </c>
      <c r="AV100">
        <f>ROUND($AU100*$BF$2/100,2)</f>
        <v/>
      </c>
      <c r="AW100">
        <f>IF($Y100="","",IFERROR(INDEX(อัตราค่าขนส่ง!$F$5:$F$204,MATCH($Y100,อัตราค่าขนส่ง!$M$5:$M$204,0)),""))</f>
        <v/>
      </c>
      <c r="AX100">
        <f>IF($W100="","",INDEX(บันทึกรายเที่ยว!$D$6:$D$6005,$W100))</f>
        <v/>
      </c>
      <c r="AY100">
        <f>IF($W100="","",INDEX(บันทึกรายเที่ยว!$R$6:$R$6005,$W100))</f>
        <v/>
      </c>
      <c r="AZ100">
        <f>IF(AND($AD100="T",$AQ100=1),N($AZ99)+1,N($AZ99))</f>
        <v/>
      </c>
      <c r="BA100">
        <f>IF($W100="","",INDEX(บันทึกรายเที่ยว!$E$6:$E$6005,$W100))</f>
        <v/>
      </c>
      <c r="BC100">
        <f>IF($Y100="",0,IFERROR(INDEX(อัตราค่าขนส่ง!$K$5:$K$204,MATCH($Y100,อัตราค่าขนส่ง!$M$5:$M$204,0)),0))</f>
        <v/>
      </c>
      <c r="BD100">
        <f>IF($Y100="",0,IFERROR(INDEX(อัตราค่าขนส่ง!$L$5:$L$204,MATCH($Y100,อัตราค่าขนส่ง!$M$5:$M$204,0)),0))</f>
        <v/>
      </c>
    </row>
    <row r="101" ht="21" customHeight="1" s="66">
      <c r="A101" s="69">
        <f>IF($AD101="","",IF($AD101="Z","รวมจ่ายทั้งสิ้น",IF($AD101="H",INDEX($X$5:$X$404,$AC101),IF($AD101="T","รวม",IF($AD101="B",IFERROR(INDEX(อัตราค่าขนส่ง!$S$5:$S$14,MATCH(INDEX($AM$5:$AM$404,$AC101),อัตราค่าขนส่ง!$R$5:$R$14,0)),"รวมกลุ่ม "&amp;INDEX($AM$5:$AM$404,$AC101)),INDEX($AY$5:$AY$404,$AC101))))))</f>
        <v/>
      </c>
      <c r="B101" s="31">
        <f>IF($AD101&lt;&gt;"D","",INDEX($AW$5:$AW$404,$AC101))</f>
        <v/>
      </c>
      <c r="C101" s="68">
        <f>IF($AD101&lt;&gt;"D","",INDEX($AX$5:$AX$404,$AC101))</f>
        <v/>
      </c>
      <c r="D101" s="70">
        <f>IF($AD101&lt;&gt;"D","",INDEX($BA$5:$BA$404,$AC101))</f>
        <v/>
      </c>
      <c r="E101" s="31">
        <f>IF($AD101="Z",SUM($AR$5:$AR$404),IF($AD101="D",INDEX($AR$5:$AR$404,$AC101),IF($AD101="T",SUMIF($X$5:$X$404,$AF101,$AR$5:$AR$404),IF($AD101="B",SUMIF($AN$5:$AN$404,$AQ101,$AR$5:$AR$404),""))))</f>
        <v/>
      </c>
      <c r="F101" s="32">
        <f>IF($AD101="Z",ROUND(SUM($AS$5:$AS$404),2),IF($AD101="D",INDEX($AS$5:$AS$404,$AC101),IF($AD101="T",ROUND(SUMIF($X$5:$X$404,$AF101,$AS$5:$AS$404),2),IF($AD101="B",ROUND(SUMIF($AN$5:$AN$404,$AQ101,$AS$5:$AS$404),2),""))))</f>
        <v/>
      </c>
      <c r="G101" s="32">
        <f>IF($AD101&lt;&gt;"D","",INDEX($AT$5:$AT$404,$AC101))</f>
        <v/>
      </c>
      <c r="H101" s="32">
        <f>IF($AD101&lt;&gt;"D","",INDEX($BC$5:$BC$404,$AC101))</f>
        <v/>
      </c>
      <c r="I101" s="32">
        <f>IF($AD101&lt;&gt;"D","",INDEX($BD$5:$BD$404,$AC101))</f>
        <v/>
      </c>
      <c r="J101" s="46">
        <f>IF($AD101&lt;&gt;"D","",IF(N($B101)=0,"",ROUND($I101/$B101,4)))</f>
        <v/>
      </c>
      <c r="K101" s="32">
        <f>IF($AD101="Z",ROUND(SUM($AU$5:$AU$404),2),IF($AD101="D",INDEX($AU$5:$AU$404,$AC101),IF($AD101="T",ROUND(SUMIF($X$5:$X$404,$AF101,$AU$5:$AU$404),2),IF($AD101="B",ROUND(SUMIF($AN$5:$AN$404,$AQ101,$AU$5:$AU$404),2),""))))</f>
        <v/>
      </c>
      <c r="L101" s="32">
        <f>IF($AD101="Z",ROUND(SUM($AV$5:$AV$404),2),IF($AD101="D",INDEX($AV$5:$AV$404,$AC101),IF($AD101="T",ROUND(SUMIF($X$5:$X$404,$AF101,$AV$5:$AV$404),2),IF($AD101="B",ROUND(SUMIF($AN$5:$AN$404,$AQ101,$AV$5:$AV$404),2),""))))</f>
        <v/>
      </c>
      <c r="M101" s="32">
        <f>IF($AD101="Z",ROUND(SUM($AJ$5:$AJ$704),2),IF($AD101="B",ROUND(SUMIF($AQ$5:$AQ$704,$AQ101,$AJ$5:$AJ$704),2),IF($AD101&lt;&gt;"T","",$AJ101)))</f>
        <v/>
      </c>
      <c r="N101" s="32">
        <f>IF(OR($AD101="D",$AD101="T",$AD101="B",$AD101="Z"),ROUND(N($K101)-N($L101)-N($M101),2),"")</f>
        <v/>
      </c>
      <c r="O101" s="32">
        <f>IF(OR($AD101="D",$AD101="T",$AD101="B",$AD101="Z"),IF(N($E101)=0,"",ROUND($F101/$E101,2)),"")</f>
        <v/>
      </c>
      <c r="Q101">
        <f>IFERROR(MATCH(97,บันทึกรายเที่ยว!$Z$6:$Z$6005,0),"")</f>
        <v/>
      </c>
      <c r="R101">
        <f>IF($Q101="","",INDEX(บันทึกรายเที่ยว!$V$6:$V$6005,$Q101))</f>
        <v/>
      </c>
      <c r="S101">
        <f>IF($Q101="","",INDEX(บันทึกรายเที่ยว!$F$6:$F$6005,$Q101))</f>
        <v/>
      </c>
      <c r="T101">
        <f>IF($Q101="","",MATCH($S101,บันทึกรายเที่ยว!$F$6:$F$6005,0))</f>
        <v/>
      </c>
      <c r="U101">
        <f>IF($Q101="","",$AL101*10000000+$T101*1000+97)</f>
        <v/>
      </c>
      <c r="V101">
        <f>IFERROR(MATCH(SMALL($U$5:$U$404,97),$U$5:$U$404,0),"")</f>
        <v/>
      </c>
      <c r="W101">
        <f>IF($V101="","",INDEX($Q$5:$Q$404,$V101))</f>
        <v/>
      </c>
      <c r="X101">
        <f>IF($V101="","",INDEX($S$5:$S$404,$V101))</f>
        <v/>
      </c>
      <c r="Y101">
        <f>IF($V101="","",INDEX($R$5:$R$404,$V101))</f>
        <v/>
      </c>
      <c r="Z101">
        <f>IF($V101="",0,IF($X101&lt;&gt;$X100,1,0))</f>
        <v/>
      </c>
      <c r="AA101">
        <f>IF($V101="",0,IF($V102="",1,IF($X102&lt;&gt;$X101,1,0)))</f>
        <v/>
      </c>
      <c r="AB101">
        <f>IF($V101="",99999+97,$AB100+1+$Z100+$AA100+$AO100)</f>
        <v/>
      </c>
      <c r="AC101">
        <f>IFERROR(MATCH(97,$AB$5:$AB$404,1),"")</f>
        <v/>
      </c>
      <c r="AD101">
        <f>IF(97=$AI$1+1,"Z",IF($AC101="","",IF(INDEX($V$5:$V$404,$AC101)="","",IF(97&gt;INDEX($AB$5:$AB$404,$AC101)+INDEX($Z$5:$Z$404,$AC101)+INDEX($AA$5:$AA$404,$AC101)+INDEX($AO$5:$AO$404,$AC101),"",IF(97=INDEX($AB$5:$AB$404,$AC101)+INDEX($Z$5:$Z$404,$AC101),"D",IF(AND(INDEX($Z$5:$Z$404,$AC101)=1,97=INDEX($AB$5:$AB$404,$AC101)),"H",IF(AND(INDEX($AO$5:$AO$404,$AC101)=1,97=INDEX($AB$5:$AB$404,$AC101)+INDEX($Z$5:$Z$404,$AC101)+INDEX($AA$5:$AA$404,$AC101)+INDEX($AO$5:$AO$404,$AC101)),"B","T")))))))</f>
        <v/>
      </c>
      <c r="AF101">
        <f>IF(OR($AD101="",$AD101="Z",$AD101="B"),"",INDEX($X$5:$X$404,$AC101))</f>
        <v/>
      </c>
      <c r="AJ101">
        <f>IF($AD101&lt;&gt;"T",0,ROUND(SUMIF(oil!$B$4:$B$63,$AF101,oil!$AE$4:$AE$63),2))</f>
        <v/>
      </c>
      <c r="AK101">
        <f>IF($S101="","",IFERROR(INDEX(อัตราค่าขนส่ง!$P$5:$P$54,MATCH($S101,อัตราค่าขนส่ง!$O$5:$O$54,0)),INDEX(รายการมาตรฐาน!$G$2:$G$3,1)))</f>
        <v/>
      </c>
      <c r="AL101">
        <f>IF($S101="","",IFERROR(MATCH($AK101,รายการมาตรฐาน!$G$2:$G$3,0),1))</f>
        <v/>
      </c>
      <c r="AM101">
        <f>IF($V101="","",INDEX($AK$5:$AK$404,$V101))</f>
        <v/>
      </c>
      <c r="AN101">
        <f>IF($V101="","",INDEX($AL$5:$AL$404,$V101))</f>
        <v/>
      </c>
      <c r="AO101">
        <f>IF(OR($V101="",$AI$2&lt;=1),0,IF($V102="",1,IF($AN102&lt;&gt;$AN101,1,0)))</f>
        <v/>
      </c>
      <c r="AP101">
        <f>IF($V101="",0,IF($AN101&lt;&gt;$AN100,1,0))</f>
        <v/>
      </c>
      <c r="AQ101">
        <f>IF(OR($AD101="",$AD101="Z"),"",INDEX($AN$5:$AN$404,$AC101))</f>
        <v/>
      </c>
      <c r="AR101">
        <f>IF($Y101="",0,COUNTIF(บันทึกรายเที่ยว!$V$6:$V$6005,$Y101))</f>
        <v/>
      </c>
      <c r="AS101">
        <f>IF($Y101="",0,ROUND(SUMIF(บันทึกรายเที่ยว!$V$6:$V$6005,$Y101,บันทึกรายเที่ยว!$M$6:$M$6005),2))</f>
        <v/>
      </c>
      <c r="AT101">
        <f>IF($Y101="",0,IFERROR(INDEX(อัตราค่าขนส่ง!$G$5:$G$204,MATCH($Y101,อัตราค่าขนส่ง!$M$5:$M$204,0)),0))</f>
        <v/>
      </c>
      <c r="AU101">
        <f>ROUND($AS101*$BD101,2)</f>
        <v/>
      </c>
      <c r="AV101">
        <f>ROUND($AU101*$BF$2/100,2)</f>
        <v/>
      </c>
      <c r="AW101">
        <f>IF($Y101="","",IFERROR(INDEX(อัตราค่าขนส่ง!$F$5:$F$204,MATCH($Y101,อัตราค่าขนส่ง!$M$5:$M$204,0)),""))</f>
        <v/>
      </c>
      <c r="AX101">
        <f>IF($W101="","",INDEX(บันทึกรายเที่ยว!$D$6:$D$6005,$W101))</f>
        <v/>
      </c>
      <c r="AY101">
        <f>IF($W101="","",INDEX(บันทึกรายเที่ยว!$R$6:$R$6005,$W101))</f>
        <v/>
      </c>
      <c r="AZ101">
        <f>IF(AND($AD101="T",$AQ101=1),N($AZ100)+1,N($AZ100))</f>
        <v/>
      </c>
      <c r="BA101">
        <f>IF($W101="","",INDEX(บันทึกรายเที่ยว!$E$6:$E$6005,$W101))</f>
        <v/>
      </c>
      <c r="BC101">
        <f>IF($Y101="",0,IFERROR(INDEX(อัตราค่าขนส่ง!$K$5:$K$204,MATCH($Y101,อัตราค่าขนส่ง!$M$5:$M$204,0)),0))</f>
        <v/>
      </c>
      <c r="BD101">
        <f>IF($Y101="",0,IFERROR(INDEX(อัตราค่าขนส่ง!$L$5:$L$204,MATCH($Y101,อัตราค่าขนส่ง!$M$5:$M$204,0)),0))</f>
        <v/>
      </c>
    </row>
    <row r="102" ht="21" customHeight="1" s="66">
      <c r="A102" s="69">
        <f>IF($AD102="","",IF($AD102="Z","รวมจ่ายทั้งสิ้น",IF($AD102="H",INDEX($X$5:$X$404,$AC102),IF($AD102="T","รวม",IF($AD102="B",IFERROR(INDEX(อัตราค่าขนส่ง!$S$5:$S$14,MATCH(INDEX($AM$5:$AM$404,$AC102),อัตราค่าขนส่ง!$R$5:$R$14,0)),"รวมกลุ่ม "&amp;INDEX($AM$5:$AM$404,$AC102)),INDEX($AY$5:$AY$404,$AC102))))))</f>
        <v/>
      </c>
      <c r="B102" s="31">
        <f>IF($AD102&lt;&gt;"D","",INDEX($AW$5:$AW$404,$AC102))</f>
        <v/>
      </c>
      <c r="C102" s="68">
        <f>IF($AD102&lt;&gt;"D","",INDEX($AX$5:$AX$404,$AC102))</f>
        <v/>
      </c>
      <c r="D102" s="70">
        <f>IF($AD102&lt;&gt;"D","",INDEX($BA$5:$BA$404,$AC102))</f>
        <v/>
      </c>
      <c r="E102" s="31">
        <f>IF($AD102="Z",SUM($AR$5:$AR$404),IF($AD102="D",INDEX($AR$5:$AR$404,$AC102),IF($AD102="T",SUMIF($X$5:$X$404,$AF102,$AR$5:$AR$404),IF($AD102="B",SUMIF($AN$5:$AN$404,$AQ102,$AR$5:$AR$404),""))))</f>
        <v/>
      </c>
      <c r="F102" s="32">
        <f>IF($AD102="Z",ROUND(SUM($AS$5:$AS$404),2),IF($AD102="D",INDEX($AS$5:$AS$404,$AC102),IF($AD102="T",ROUND(SUMIF($X$5:$X$404,$AF102,$AS$5:$AS$404),2),IF($AD102="B",ROUND(SUMIF($AN$5:$AN$404,$AQ102,$AS$5:$AS$404),2),""))))</f>
        <v/>
      </c>
      <c r="G102" s="32">
        <f>IF($AD102&lt;&gt;"D","",INDEX($AT$5:$AT$404,$AC102))</f>
        <v/>
      </c>
      <c r="H102" s="32">
        <f>IF($AD102&lt;&gt;"D","",INDEX($BC$5:$BC$404,$AC102))</f>
        <v/>
      </c>
      <c r="I102" s="32">
        <f>IF($AD102&lt;&gt;"D","",INDEX($BD$5:$BD$404,$AC102))</f>
        <v/>
      </c>
      <c r="J102" s="46">
        <f>IF($AD102&lt;&gt;"D","",IF(N($B102)=0,"",ROUND($I102/$B102,4)))</f>
        <v/>
      </c>
      <c r="K102" s="32">
        <f>IF($AD102="Z",ROUND(SUM($AU$5:$AU$404),2),IF($AD102="D",INDEX($AU$5:$AU$404,$AC102),IF($AD102="T",ROUND(SUMIF($X$5:$X$404,$AF102,$AU$5:$AU$404),2),IF($AD102="B",ROUND(SUMIF($AN$5:$AN$404,$AQ102,$AU$5:$AU$404),2),""))))</f>
        <v/>
      </c>
      <c r="L102" s="32">
        <f>IF($AD102="Z",ROUND(SUM($AV$5:$AV$404),2),IF($AD102="D",INDEX($AV$5:$AV$404,$AC102),IF($AD102="T",ROUND(SUMIF($X$5:$X$404,$AF102,$AV$5:$AV$404),2),IF($AD102="B",ROUND(SUMIF($AN$5:$AN$404,$AQ102,$AV$5:$AV$404),2),""))))</f>
        <v/>
      </c>
      <c r="M102" s="32">
        <f>IF($AD102="Z",ROUND(SUM($AJ$5:$AJ$704),2),IF($AD102="B",ROUND(SUMIF($AQ$5:$AQ$704,$AQ102,$AJ$5:$AJ$704),2),IF($AD102&lt;&gt;"T","",$AJ102)))</f>
        <v/>
      </c>
      <c r="N102" s="32">
        <f>IF(OR($AD102="D",$AD102="T",$AD102="B",$AD102="Z"),ROUND(N($K102)-N($L102)-N($M102),2),"")</f>
        <v/>
      </c>
      <c r="O102" s="32">
        <f>IF(OR($AD102="D",$AD102="T",$AD102="B",$AD102="Z"),IF(N($E102)=0,"",ROUND($F102/$E102,2)),"")</f>
        <v/>
      </c>
      <c r="Q102">
        <f>IFERROR(MATCH(98,บันทึกรายเที่ยว!$Z$6:$Z$6005,0),"")</f>
        <v/>
      </c>
      <c r="R102">
        <f>IF($Q102="","",INDEX(บันทึกรายเที่ยว!$V$6:$V$6005,$Q102))</f>
        <v/>
      </c>
      <c r="S102">
        <f>IF($Q102="","",INDEX(บันทึกรายเที่ยว!$F$6:$F$6005,$Q102))</f>
        <v/>
      </c>
      <c r="T102">
        <f>IF($Q102="","",MATCH($S102,บันทึกรายเที่ยว!$F$6:$F$6005,0))</f>
        <v/>
      </c>
      <c r="U102">
        <f>IF($Q102="","",$AL102*10000000+$T102*1000+98)</f>
        <v/>
      </c>
      <c r="V102">
        <f>IFERROR(MATCH(SMALL($U$5:$U$404,98),$U$5:$U$404,0),"")</f>
        <v/>
      </c>
      <c r="W102">
        <f>IF($V102="","",INDEX($Q$5:$Q$404,$V102))</f>
        <v/>
      </c>
      <c r="X102">
        <f>IF($V102="","",INDEX($S$5:$S$404,$V102))</f>
        <v/>
      </c>
      <c r="Y102">
        <f>IF($V102="","",INDEX($R$5:$R$404,$V102))</f>
        <v/>
      </c>
      <c r="Z102">
        <f>IF($V102="",0,IF($X102&lt;&gt;$X101,1,0))</f>
        <v/>
      </c>
      <c r="AA102">
        <f>IF($V102="",0,IF($V103="",1,IF($X103&lt;&gt;$X102,1,0)))</f>
        <v/>
      </c>
      <c r="AB102">
        <f>IF($V102="",99999+98,$AB101+1+$Z101+$AA101+$AO101)</f>
        <v/>
      </c>
      <c r="AC102">
        <f>IFERROR(MATCH(98,$AB$5:$AB$404,1),"")</f>
        <v/>
      </c>
      <c r="AD102">
        <f>IF(98=$AI$1+1,"Z",IF($AC102="","",IF(INDEX($V$5:$V$404,$AC102)="","",IF(98&gt;INDEX($AB$5:$AB$404,$AC102)+INDEX($Z$5:$Z$404,$AC102)+INDEX($AA$5:$AA$404,$AC102)+INDEX($AO$5:$AO$404,$AC102),"",IF(98=INDEX($AB$5:$AB$404,$AC102)+INDEX($Z$5:$Z$404,$AC102),"D",IF(AND(INDEX($Z$5:$Z$404,$AC102)=1,98=INDEX($AB$5:$AB$404,$AC102)),"H",IF(AND(INDEX($AO$5:$AO$404,$AC102)=1,98=INDEX($AB$5:$AB$404,$AC102)+INDEX($Z$5:$Z$404,$AC102)+INDEX($AA$5:$AA$404,$AC102)+INDEX($AO$5:$AO$404,$AC102)),"B","T")))))))</f>
        <v/>
      </c>
      <c r="AF102">
        <f>IF(OR($AD102="",$AD102="Z",$AD102="B"),"",INDEX($X$5:$X$404,$AC102))</f>
        <v/>
      </c>
      <c r="AJ102">
        <f>IF($AD102&lt;&gt;"T",0,ROUND(SUMIF(oil!$B$4:$B$63,$AF102,oil!$AE$4:$AE$63),2))</f>
        <v/>
      </c>
      <c r="AK102">
        <f>IF($S102="","",IFERROR(INDEX(อัตราค่าขนส่ง!$P$5:$P$54,MATCH($S102,อัตราค่าขนส่ง!$O$5:$O$54,0)),INDEX(รายการมาตรฐาน!$G$2:$G$3,1)))</f>
        <v/>
      </c>
      <c r="AL102">
        <f>IF($S102="","",IFERROR(MATCH($AK102,รายการมาตรฐาน!$G$2:$G$3,0),1))</f>
        <v/>
      </c>
      <c r="AM102">
        <f>IF($V102="","",INDEX($AK$5:$AK$404,$V102))</f>
        <v/>
      </c>
      <c r="AN102">
        <f>IF($V102="","",INDEX($AL$5:$AL$404,$V102))</f>
        <v/>
      </c>
      <c r="AO102">
        <f>IF(OR($V102="",$AI$2&lt;=1),0,IF($V103="",1,IF($AN103&lt;&gt;$AN102,1,0)))</f>
        <v/>
      </c>
      <c r="AP102">
        <f>IF($V102="",0,IF($AN102&lt;&gt;$AN101,1,0))</f>
        <v/>
      </c>
      <c r="AQ102">
        <f>IF(OR($AD102="",$AD102="Z"),"",INDEX($AN$5:$AN$404,$AC102))</f>
        <v/>
      </c>
      <c r="AR102">
        <f>IF($Y102="",0,COUNTIF(บันทึกรายเที่ยว!$V$6:$V$6005,$Y102))</f>
        <v/>
      </c>
      <c r="AS102">
        <f>IF($Y102="",0,ROUND(SUMIF(บันทึกรายเที่ยว!$V$6:$V$6005,$Y102,บันทึกรายเที่ยว!$M$6:$M$6005),2))</f>
        <v/>
      </c>
      <c r="AT102">
        <f>IF($Y102="",0,IFERROR(INDEX(อัตราค่าขนส่ง!$G$5:$G$204,MATCH($Y102,อัตราค่าขนส่ง!$M$5:$M$204,0)),0))</f>
        <v/>
      </c>
      <c r="AU102">
        <f>ROUND($AS102*$BD102,2)</f>
        <v/>
      </c>
      <c r="AV102">
        <f>ROUND($AU102*$BF$2/100,2)</f>
        <v/>
      </c>
      <c r="AW102">
        <f>IF($Y102="","",IFERROR(INDEX(อัตราค่าขนส่ง!$F$5:$F$204,MATCH($Y102,อัตราค่าขนส่ง!$M$5:$M$204,0)),""))</f>
        <v/>
      </c>
      <c r="AX102">
        <f>IF($W102="","",INDEX(บันทึกรายเที่ยว!$D$6:$D$6005,$W102))</f>
        <v/>
      </c>
      <c r="AY102">
        <f>IF($W102="","",INDEX(บันทึกรายเที่ยว!$R$6:$R$6005,$W102))</f>
        <v/>
      </c>
      <c r="AZ102">
        <f>IF(AND($AD102="T",$AQ102=1),N($AZ101)+1,N($AZ101))</f>
        <v/>
      </c>
      <c r="BA102">
        <f>IF($W102="","",INDEX(บันทึกรายเที่ยว!$E$6:$E$6005,$W102))</f>
        <v/>
      </c>
      <c r="BC102">
        <f>IF($Y102="",0,IFERROR(INDEX(อัตราค่าขนส่ง!$K$5:$K$204,MATCH($Y102,อัตราค่าขนส่ง!$M$5:$M$204,0)),0))</f>
        <v/>
      </c>
      <c r="BD102">
        <f>IF($Y102="",0,IFERROR(INDEX(อัตราค่าขนส่ง!$L$5:$L$204,MATCH($Y102,อัตราค่าขนส่ง!$M$5:$M$204,0)),0))</f>
        <v/>
      </c>
    </row>
    <row r="103" ht="21" customHeight="1" s="66">
      <c r="A103" s="69">
        <f>IF($AD103="","",IF($AD103="Z","รวมจ่ายทั้งสิ้น",IF($AD103="H",INDEX($X$5:$X$404,$AC103),IF($AD103="T","รวม",IF($AD103="B",IFERROR(INDEX(อัตราค่าขนส่ง!$S$5:$S$14,MATCH(INDEX($AM$5:$AM$404,$AC103),อัตราค่าขนส่ง!$R$5:$R$14,0)),"รวมกลุ่ม "&amp;INDEX($AM$5:$AM$404,$AC103)),INDEX($AY$5:$AY$404,$AC103))))))</f>
        <v/>
      </c>
      <c r="B103" s="31">
        <f>IF($AD103&lt;&gt;"D","",INDEX($AW$5:$AW$404,$AC103))</f>
        <v/>
      </c>
      <c r="C103" s="68">
        <f>IF($AD103&lt;&gt;"D","",INDEX($AX$5:$AX$404,$AC103))</f>
        <v/>
      </c>
      <c r="D103" s="70">
        <f>IF($AD103&lt;&gt;"D","",INDEX($BA$5:$BA$404,$AC103))</f>
        <v/>
      </c>
      <c r="E103" s="31">
        <f>IF($AD103="Z",SUM($AR$5:$AR$404),IF($AD103="D",INDEX($AR$5:$AR$404,$AC103),IF($AD103="T",SUMIF($X$5:$X$404,$AF103,$AR$5:$AR$404),IF($AD103="B",SUMIF($AN$5:$AN$404,$AQ103,$AR$5:$AR$404),""))))</f>
        <v/>
      </c>
      <c r="F103" s="32">
        <f>IF($AD103="Z",ROUND(SUM($AS$5:$AS$404),2),IF($AD103="D",INDEX($AS$5:$AS$404,$AC103),IF($AD103="T",ROUND(SUMIF($X$5:$X$404,$AF103,$AS$5:$AS$404),2),IF($AD103="B",ROUND(SUMIF($AN$5:$AN$404,$AQ103,$AS$5:$AS$404),2),""))))</f>
        <v/>
      </c>
      <c r="G103" s="32">
        <f>IF($AD103&lt;&gt;"D","",INDEX($AT$5:$AT$404,$AC103))</f>
        <v/>
      </c>
      <c r="H103" s="32">
        <f>IF($AD103&lt;&gt;"D","",INDEX($BC$5:$BC$404,$AC103))</f>
        <v/>
      </c>
      <c r="I103" s="32">
        <f>IF($AD103&lt;&gt;"D","",INDEX($BD$5:$BD$404,$AC103))</f>
        <v/>
      </c>
      <c r="J103" s="46">
        <f>IF($AD103&lt;&gt;"D","",IF(N($B103)=0,"",ROUND($I103/$B103,4)))</f>
        <v/>
      </c>
      <c r="K103" s="32">
        <f>IF($AD103="Z",ROUND(SUM($AU$5:$AU$404),2),IF($AD103="D",INDEX($AU$5:$AU$404,$AC103),IF($AD103="T",ROUND(SUMIF($X$5:$X$404,$AF103,$AU$5:$AU$404),2),IF($AD103="B",ROUND(SUMIF($AN$5:$AN$404,$AQ103,$AU$5:$AU$404),2),""))))</f>
        <v/>
      </c>
      <c r="L103" s="32">
        <f>IF($AD103="Z",ROUND(SUM($AV$5:$AV$404),2),IF($AD103="D",INDEX($AV$5:$AV$404,$AC103),IF($AD103="T",ROUND(SUMIF($X$5:$X$404,$AF103,$AV$5:$AV$404),2),IF($AD103="B",ROUND(SUMIF($AN$5:$AN$404,$AQ103,$AV$5:$AV$404),2),""))))</f>
        <v/>
      </c>
      <c r="M103" s="32">
        <f>IF($AD103="Z",ROUND(SUM($AJ$5:$AJ$704),2),IF($AD103="B",ROUND(SUMIF($AQ$5:$AQ$704,$AQ103,$AJ$5:$AJ$704),2),IF($AD103&lt;&gt;"T","",$AJ103)))</f>
        <v/>
      </c>
      <c r="N103" s="32">
        <f>IF(OR($AD103="D",$AD103="T",$AD103="B",$AD103="Z"),ROUND(N($K103)-N($L103)-N($M103),2),"")</f>
        <v/>
      </c>
      <c r="O103" s="32">
        <f>IF(OR($AD103="D",$AD103="T",$AD103="B",$AD103="Z"),IF(N($E103)=0,"",ROUND($F103/$E103,2)),"")</f>
        <v/>
      </c>
      <c r="Q103">
        <f>IFERROR(MATCH(99,บันทึกรายเที่ยว!$Z$6:$Z$6005,0),"")</f>
        <v/>
      </c>
      <c r="R103">
        <f>IF($Q103="","",INDEX(บันทึกรายเที่ยว!$V$6:$V$6005,$Q103))</f>
        <v/>
      </c>
      <c r="S103">
        <f>IF($Q103="","",INDEX(บันทึกรายเที่ยว!$F$6:$F$6005,$Q103))</f>
        <v/>
      </c>
      <c r="T103">
        <f>IF($Q103="","",MATCH($S103,บันทึกรายเที่ยว!$F$6:$F$6005,0))</f>
        <v/>
      </c>
      <c r="U103">
        <f>IF($Q103="","",$AL103*10000000+$T103*1000+99)</f>
        <v/>
      </c>
      <c r="V103">
        <f>IFERROR(MATCH(SMALL($U$5:$U$404,99),$U$5:$U$404,0),"")</f>
        <v/>
      </c>
      <c r="W103">
        <f>IF($V103="","",INDEX($Q$5:$Q$404,$V103))</f>
        <v/>
      </c>
      <c r="X103">
        <f>IF($V103="","",INDEX($S$5:$S$404,$V103))</f>
        <v/>
      </c>
      <c r="Y103">
        <f>IF($V103="","",INDEX($R$5:$R$404,$V103))</f>
        <v/>
      </c>
      <c r="Z103">
        <f>IF($V103="",0,IF($X103&lt;&gt;$X102,1,0))</f>
        <v/>
      </c>
      <c r="AA103">
        <f>IF($V103="",0,IF($V104="",1,IF($X104&lt;&gt;$X103,1,0)))</f>
        <v/>
      </c>
      <c r="AB103">
        <f>IF($V103="",99999+99,$AB102+1+$Z102+$AA102+$AO102)</f>
        <v/>
      </c>
      <c r="AC103">
        <f>IFERROR(MATCH(99,$AB$5:$AB$404,1),"")</f>
        <v/>
      </c>
      <c r="AD103">
        <f>IF(99=$AI$1+1,"Z",IF($AC103="","",IF(INDEX($V$5:$V$404,$AC103)="","",IF(99&gt;INDEX($AB$5:$AB$404,$AC103)+INDEX($Z$5:$Z$404,$AC103)+INDEX($AA$5:$AA$404,$AC103)+INDEX($AO$5:$AO$404,$AC103),"",IF(99=INDEX($AB$5:$AB$404,$AC103)+INDEX($Z$5:$Z$404,$AC103),"D",IF(AND(INDEX($Z$5:$Z$404,$AC103)=1,99=INDEX($AB$5:$AB$404,$AC103)),"H",IF(AND(INDEX($AO$5:$AO$404,$AC103)=1,99=INDEX($AB$5:$AB$404,$AC103)+INDEX($Z$5:$Z$404,$AC103)+INDEX($AA$5:$AA$404,$AC103)+INDEX($AO$5:$AO$404,$AC103)),"B","T")))))))</f>
        <v/>
      </c>
      <c r="AF103">
        <f>IF(OR($AD103="",$AD103="Z",$AD103="B"),"",INDEX($X$5:$X$404,$AC103))</f>
        <v/>
      </c>
      <c r="AJ103">
        <f>IF($AD103&lt;&gt;"T",0,ROUND(SUMIF(oil!$B$4:$B$63,$AF103,oil!$AE$4:$AE$63),2))</f>
        <v/>
      </c>
      <c r="AK103">
        <f>IF($S103="","",IFERROR(INDEX(อัตราค่าขนส่ง!$P$5:$P$54,MATCH($S103,อัตราค่าขนส่ง!$O$5:$O$54,0)),INDEX(รายการมาตรฐาน!$G$2:$G$3,1)))</f>
        <v/>
      </c>
      <c r="AL103">
        <f>IF($S103="","",IFERROR(MATCH($AK103,รายการมาตรฐาน!$G$2:$G$3,0),1))</f>
        <v/>
      </c>
      <c r="AM103">
        <f>IF($V103="","",INDEX($AK$5:$AK$404,$V103))</f>
        <v/>
      </c>
      <c r="AN103">
        <f>IF($V103="","",INDEX($AL$5:$AL$404,$V103))</f>
        <v/>
      </c>
      <c r="AO103">
        <f>IF(OR($V103="",$AI$2&lt;=1),0,IF($V104="",1,IF($AN104&lt;&gt;$AN103,1,0)))</f>
        <v/>
      </c>
      <c r="AP103">
        <f>IF($V103="",0,IF($AN103&lt;&gt;$AN102,1,0))</f>
        <v/>
      </c>
      <c r="AQ103">
        <f>IF(OR($AD103="",$AD103="Z"),"",INDEX($AN$5:$AN$404,$AC103))</f>
        <v/>
      </c>
      <c r="AR103">
        <f>IF($Y103="",0,COUNTIF(บันทึกรายเที่ยว!$V$6:$V$6005,$Y103))</f>
        <v/>
      </c>
      <c r="AS103">
        <f>IF($Y103="",0,ROUND(SUMIF(บันทึกรายเที่ยว!$V$6:$V$6005,$Y103,บันทึกรายเที่ยว!$M$6:$M$6005),2))</f>
        <v/>
      </c>
      <c r="AT103">
        <f>IF($Y103="",0,IFERROR(INDEX(อัตราค่าขนส่ง!$G$5:$G$204,MATCH($Y103,อัตราค่าขนส่ง!$M$5:$M$204,0)),0))</f>
        <v/>
      </c>
      <c r="AU103">
        <f>ROUND($AS103*$BD103,2)</f>
        <v/>
      </c>
      <c r="AV103">
        <f>ROUND($AU103*$BF$2/100,2)</f>
        <v/>
      </c>
      <c r="AW103">
        <f>IF($Y103="","",IFERROR(INDEX(อัตราค่าขนส่ง!$F$5:$F$204,MATCH($Y103,อัตราค่าขนส่ง!$M$5:$M$204,0)),""))</f>
        <v/>
      </c>
      <c r="AX103">
        <f>IF($W103="","",INDEX(บันทึกรายเที่ยว!$D$6:$D$6005,$W103))</f>
        <v/>
      </c>
      <c r="AY103">
        <f>IF($W103="","",INDEX(บันทึกรายเที่ยว!$R$6:$R$6005,$W103))</f>
        <v/>
      </c>
      <c r="AZ103">
        <f>IF(AND($AD103="T",$AQ103=1),N($AZ102)+1,N($AZ102))</f>
        <v/>
      </c>
      <c r="BA103">
        <f>IF($W103="","",INDEX(บันทึกรายเที่ยว!$E$6:$E$6005,$W103))</f>
        <v/>
      </c>
      <c r="BC103">
        <f>IF($Y103="",0,IFERROR(INDEX(อัตราค่าขนส่ง!$K$5:$K$204,MATCH($Y103,อัตราค่าขนส่ง!$M$5:$M$204,0)),0))</f>
        <v/>
      </c>
      <c r="BD103">
        <f>IF($Y103="",0,IFERROR(INDEX(อัตราค่าขนส่ง!$L$5:$L$204,MATCH($Y103,อัตราค่าขนส่ง!$M$5:$M$204,0)),0))</f>
        <v/>
      </c>
    </row>
    <row r="104" ht="21" customHeight="1" s="66">
      <c r="A104" s="69">
        <f>IF($AD104="","",IF($AD104="Z","รวมจ่ายทั้งสิ้น",IF($AD104="H",INDEX($X$5:$X$404,$AC104),IF($AD104="T","รวม",IF($AD104="B",IFERROR(INDEX(อัตราค่าขนส่ง!$S$5:$S$14,MATCH(INDEX($AM$5:$AM$404,$AC104),อัตราค่าขนส่ง!$R$5:$R$14,0)),"รวมกลุ่ม "&amp;INDEX($AM$5:$AM$404,$AC104)),INDEX($AY$5:$AY$404,$AC104))))))</f>
        <v/>
      </c>
      <c r="B104" s="31">
        <f>IF($AD104&lt;&gt;"D","",INDEX($AW$5:$AW$404,$AC104))</f>
        <v/>
      </c>
      <c r="C104" s="68">
        <f>IF($AD104&lt;&gt;"D","",INDEX($AX$5:$AX$404,$AC104))</f>
        <v/>
      </c>
      <c r="D104" s="70">
        <f>IF($AD104&lt;&gt;"D","",INDEX($BA$5:$BA$404,$AC104))</f>
        <v/>
      </c>
      <c r="E104" s="31">
        <f>IF($AD104="Z",SUM($AR$5:$AR$404),IF($AD104="D",INDEX($AR$5:$AR$404,$AC104),IF($AD104="T",SUMIF($X$5:$X$404,$AF104,$AR$5:$AR$404),IF($AD104="B",SUMIF($AN$5:$AN$404,$AQ104,$AR$5:$AR$404),""))))</f>
        <v/>
      </c>
      <c r="F104" s="32">
        <f>IF($AD104="Z",ROUND(SUM($AS$5:$AS$404),2),IF($AD104="D",INDEX($AS$5:$AS$404,$AC104),IF($AD104="T",ROUND(SUMIF($X$5:$X$404,$AF104,$AS$5:$AS$404),2),IF($AD104="B",ROUND(SUMIF($AN$5:$AN$404,$AQ104,$AS$5:$AS$404),2),""))))</f>
        <v/>
      </c>
      <c r="G104" s="32">
        <f>IF($AD104&lt;&gt;"D","",INDEX($AT$5:$AT$404,$AC104))</f>
        <v/>
      </c>
      <c r="H104" s="32">
        <f>IF($AD104&lt;&gt;"D","",INDEX($BC$5:$BC$404,$AC104))</f>
        <v/>
      </c>
      <c r="I104" s="32">
        <f>IF($AD104&lt;&gt;"D","",INDEX($BD$5:$BD$404,$AC104))</f>
        <v/>
      </c>
      <c r="J104" s="46">
        <f>IF($AD104&lt;&gt;"D","",IF(N($B104)=0,"",ROUND($I104/$B104,4)))</f>
        <v/>
      </c>
      <c r="K104" s="32">
        <f>IF($AD104="Z",ROUND(SUM($AU$5:$AU$404),2),IF($AD104="D",INDEX($AU$5:$AU$404,$AC104),IF($AD104="T",ROUND(SUMIF($X$5:$X$404,$AF104,$AU$5:$AU$404),2),IF($AD104="B",ROUND(SUMIF($AN$5:$AN$404,$AQ104,$AU$5:$AU$404),2),""))))</f>
        <v/>
      </c>
      <c r="L104" s="32">
        <f>IF($AD104="Z",ROUND(SUM($AV$5:$AV$404),2),IF($AD104="D",INDEX($AV$5:$AV$404,$AC104),IF($AD104="T",ROUND(SUMIF($X$5:$X$404,$AF104,$AV$5:$AV$404),2),IF($AD104="B",ROUND(SUMIF($AN$5:$AN$404,$AQ104,$AV$5:$AV$404),2),""))))</f>
        <v/>
      </c>
      <c r="M104" s="32">
        <f>IF($AD104="Z",ROUND(SUM($AJ$5:$AJ$704),2),IF($AD104="B",ROUND(SUMIF($AQ$5:$AQ$704,$AQ104,$AJ$5:$AJ$704),2),IF($AD104&lt;&gt;"T","",$AJ104)))</f>
        <v/>
      </c>
      <c r="N104" s="32">
        <f>IF(OR($AD104="D",$AD104="T",$AD104="B",$AD104="Z"),ROUND(N($K104)-N($L104)-N($M104),2),"")</f>
        <v/>
      </c>
      <c r="O104" s="32">
        <f>IF(OR($AD104="D",$AD104="T",$AD104="B",$AD104="Z"),IF(N($E104)=0,"",ROUND($F104/$E104,2)),"")</f>
        <v/>
      </c>
      <c r="Q104">
        <f>IFERROR(MATCH(100,บันทึกรายเที่ยว!$Z$6:$Z$6005,0),"")</f>
        <v/>
      </c>
      <c r="R104">
        <f>IF($Q104="","",INDEX(บันทึกรายเที่ยว!$V$6:$V$6005,$Q104))</f>
        <v/>
      </c>
      <c r="S104">
        <f>IF($Q104="","",INDEX(บันทึกรายเที่ยว!$F$6:$F$6005,$Q104))</f>
        <v/>
      </c>
      <c r="T104">
        <f>IF($Q104="","",MATCH($S104,บันทึกรายเที่ยว!$F$6:$F$6005,0))</f>
        <v/>
      </c>
      <c r="U104">
        <f>IF($Q104="","",$AL104*10000000+$T104*1000+100)</f>
        <v/>
      </c>
      <c r="V104">
        <f>IFERROR(MATCH(SMALL($U$5:$U$404,100),$U$5:$U$404,0),"")</f>
        <v/>
      </c>
      <c r="W104">
        <f>IF($V104="","",INDEX($Q$5:$Q$404,$V104))</f>
        <v/>
      </c>
      <c r="X104">
        <f>IF($V104="","",INDEX($S$5:$S$404,$V104))</f>
        <v/>
      </c>
      <c r="Y104">
        <f>IF($V104="","",INDEX($R$5:$R$404,$V104))</f>
        <v/>
      </c>
      <c r="Z104">
        <f>IF($V104="",0,IF($X104&lt;&gt;$X103,1,0))</f>
        <v/>
      </c>
      <c r="AA104">
        <f>IF($V104="",0,IF($V105="",1,IF($X105&lt;&gt;$X104,1,0)))</f>
        <v/>
      </c>
      <c r="AB104">
        <f>IF($V104="",99999+100,$AB103+1+$Z103+$AA103+$AO103)</f>
        <v/>
      </c>
      <c r="AC104">
        <f>IFERROR(MATCH(100,$AB$5:$AB$404,1),"")</f>
        <v/>
      </c>
      <c r="AD104">
        <f>IF(100=$AI$1+1,"Z",IF($AC104="","",IF(INDEX($V$5:$V$404,$AC104)="","",IF(100&gt;INDEX($AB$5:$AB$404,$AC104)+INDEX($Z$5:$Z$404,$AC104)+INDEX($AA$5:$AA$404,$AC104)+INDEX($AO$5:$AO$404,$AC104),"",IF(100=INDEX($AB$5:$AB$404,$AC104)+INDEX($Z$5:$Z$404,$AC104),"D",IF(AND(INDEX($Z$5:$Z$404,$AC104)=1,100=INDEX($AB$5:$AB$404,$AC104)),"H",IF(AND(INDEX($AO$5:$AO$404,$AC104)=1,100=INDEX($AB$5:$AB$404,$AC104)+INDEX($Z$5:$Z$404,$AC104)+INDEX($AA$5:$AA$404,$AC104)+INDEX($AO$5:$AO$404,$AC104)),"B","T")))))))</f>
        <v/>
      </c>
      <c r="AF104">
        <f>IF(OR($AD104="",$AD104="Z",$AD104="B"),"",INDEX($X$5:$X$404,$AC104))</f>
        <v/>
      </c>
      <c r="AJ104">
        <f>IF($AD104&lt;&gt;"T",0,ROUND(SUMIF(oil!$B$4:$B$63,$AF104,oil!$AE$4:$AE$63),2))</f>
        <v/>
      </c>
      <c r="AK104">
        <f>IF($S104="","",IFERROR(INDEX(อัตราค่าขนส่ง!$P$5:$P$54,MATCH($S104,อัตราค่าขนส่ง!$O$5:$O$54,0)),INDEX(รายการมาตรฐาน!$G$2:$G$3,1)))</f>
        <v/>
      </c>
      <c r="AL104">
        <f>IF($S104="","",IFERROR(MATCH($AK104,รายการมาตรฐาน!$G$2:$G$3,0),1))</f>
        <v/>
      </c>
      <c r="AM104">
        <f>IF($V104="","",INDEX($AK$5:$AK$404,$V104))</f>
        <v/>
      </c>
      <c r="AN104">
        <f>IF($V104="","",INDEX($AL$5:$AL$404,$V104))</f>
        <v/>
      </c>
      <c r="AO104">
        <f>IF(OR($V104="",$AI$2&lt;=1),0,IF($V105="",1,IF($AN105&lt;&gt;$AN104,1,0)))</f>
        <v/>
      </c>
      <c r="AP104">
        <f>IF($V104="",0,IF($AN104&lt;&gt;$AN103,1,0))</f>
        <v/>
      </c>
      <c r="AQ104">
        <f>IF(OR($AD104="",$AD104="Z"),"",INDEX($AN$5:$AN$404,$AC104))</f>
        <v/>
      </c>
      <c r="AR104">
        <f>IF($Y104="",0,COUNTIF(บันทึกรายเที่ยว!$V$6:$V$6005,$Y104))</f>
        <v/>
      </c>
      <c r="AS104">
        <f>IF($Y104="",0,ROUND(SUMIF(บันทึกรายเที่ยว!$V$6:$V$6005,$Y104,บันทึกรายเที่ยว!$M$6:$M$6005),2))</f>
        <v/>
      </c>
      <c r="AT104">
        <f>IF($Y104="",0,IFERROR(INDEX(อัตราค่าขนส่ง!$G$5:$G$204,MATCH($Y104,อัตราค่าขนส่ง!$M$5:$M$204,0)),0))</f>
        <v/>
      </c>
      <c r="AU104">
        <f>ROUND($AS104*$BD104,2)</f>
        <v/>
      </c>
      <c r="AV104">
        <f>ROUND($AU104*$BF$2/100,2)</f>
        <v/>
      </c>
      <c r="AW104">
        <f>IF($Y104="","",IFERROR(INDEX(อัตราค่าขนส่ง!$F$5:$F$204,MATCH($Y104,อัตราค่าขนส่ง!$M$5:$M$204,0)),""))</f>
        <v/>
      </c>
      <c r="AX104">
        <f>IF($W104="","",INDEX(บันทึกรายเที่ยว!$D$6:$D$6005,$W104))</f>
        <v/>
      </c>
      <c r="AY104">
        <f>IF($W104="","",INDEX(บันทึกรายเที่ยว!$R$6:$R$6005,$W104))</f>
        <v/>
      </c>
      <c r="AZ104">
        <f>IF(AND($AD104="T",$AQ104=1),N($AZ103)+1,N($AZ103))</f>
        <v/>
      </c>
      <c r="BA104">
        <f>IF($W104="","",INDEX(บันทึกรายเที่ยว!$E$6:$E$6005,$W104))</f>
        <v/>
      </c>
      <c r="BC104">
        <f>IF($Y104="",0,IFERROR(INDEX(อัตราค่าขนส่ง!$K$5:$K$204,MATCH($Y104,อัตราค่าขนส่ง!$M$5:$M$204,0)),0))</f>
        <v/>
      </c>
      <c r="BD104">
        <f>IF($Y104="",0,IFERROR(INDEX(อัตราค่าขนส่ง!$L$5:$L$204,MATCH($Y104,อัตราค่าขนส่ง!$M$5:$M$204,0)),0))</f>
        <v/>
      </c>
    </row>
    <row r="105" ht="21" customHeight="1" s="66">
      <c r="A105" s="69">
        <f>IF($AD105="","",IF($AD105="Z","รวมจ่ายทั้งสิ้น",IF($AD105="H",INDEX($X$5:$X$404,$AC105),IF($AD105="T","รวม",IF($AD105="B",IFERROR(INDEX(อัตราค่าขนส่ง!$S$5:$S$14,MATCH(INDEX($AM$5:$AM$404,$AC105),อัตราค่าขนส่ง!$R$5:$R$14,0)),"รวมกลุ่ม "&amp;INDEX($AM$5:$AM$404,$AC105)),INDEX($AY$5:$AY$404,$AC105))))))</f>
        <v/>
      </c>
      <c r="B105" s="31">
        <f>IF($AD105&lt;&gt;"D","",INDEX($AW$5:$AW$404,$AC105))</f>
        <v/>
      </c>
      <c r="C105" s="68">
        <f>IF($AD105&lt;&gt;"D","",INDEX($AX$5:$AX$404,$AC105))</f>
        <v/>
      </c>
      <c r="D105" s="70">
        <f>IF($AD105&lt;&gt;"D","",INDEX($BA$5:$BA$404,$AC105))</f>
        <v/>
      </c>
      <c r="E105" s="31">
        <f>IF($AD105="Z",SUM($AR$5:$AR$404),IF($AD105="D",INDEX($AR$5:$AR$404,$AC105),IF($AD105="T",SUMIF($X$5:$X$404,$AF105,$AR$5:$AR$404),IF($AD105="B",SUMIF($AN$5:$AN$404,$AQ105,$AR$5:$AR$404),""))))</f>
        <v/>
      </c>
      <c r="F105" s="32">
        <f>IF($AD105="Z",ROUND(SUM($AS$5:$AS$404),2),IF($AD105="D",INDEX($AS$5:$AS$404,$AC105),IF($AD105="T",ROUND(SUMIF($X$5:$X$404,$AF105,$AS$5:$AS$404),2),IF($AD105="B",ROUND(SUMIF($AN$5:$AN$404,$AQ105,$AS$5:$AS$404),2),""))))</f>
        <v/>
      </c>
      <c r="G105" s="32">
        <f>IF($AD105&lt;&gt;"D","",INDEX($AT$5:$AT$404,$AC105))</f>
        <v/>
      </c>
      <c r="H105" s="32">
        <f>IF($AD105&lt;&gt;"D","",INDEX($BC$5:$BC$404,$AC105))</f>
        <v/>
      </c>
      <c r="I105" s="32">
        <f>IF($AD105&lt;&gt;"D","",INDEX($BD$5:$BD$404,$AC105))</f>
        <v/>
      </c>
      <c r="J105" s="46">
        <f>IF($AD105&lt;&gt;"D","",IF(N($B105)=0,"",ROUND($I105/$B105,4)))</f>
        <v/>
      </c>
      <c r="K105" s="32">
        <f>IF($AD105="Z",ROUND(SUM($AU$5:$AU$404),2),IF($AD105="D",INDEX($AU$5:$AU$404,$AC105),IF($AD105="T",ROUND(SUMIF($X$5:$X$404,$AF105,$AU$5:$AU$404),2),IF($AD105="B",ROUND(SUMIF($AN$5:$AN$404,$AQ105,$AU$5:$AU$404),2),""))))</f>
        <v/>
      </c>
      <c r="L105" s="32">
        <f>IF($AD105="Z",ROUND(SUM($AV$5:$AV$404),2),IF($AD105="D",INDEX($AV$5:$AV$404,$AC105),IF($AD105="T",ROUND(SUMIF($X$5:$X$404,$AF105,$AV$5:$AV$404),2),IF($AD105="B",ROUND(SUMIF($AN$5:$AN$404,$AQ105,$AV$5:$AV$404),2),""))))</f>
        <v/>
      </c>
      <c r="M105" s="32">
        <f>IF($AD105="Z",ROUND(SUM($AJ$5:$AJ$704),2),IF($AD105="B",ROUND(SUMIF($AQ$5:$AQ$704,$AQ105,$AJ$5:$AJ$704),2),IF($AD105&lt;&gt;"T","",$AJ105)))</f>
        <v/>
      </c>
      <c r="N105" s="32">
        <f>IF(OR($AD105="D",$AD105="T",$AD105="B",$AD105="Z"),ROUND(N($K105)-N($L105)-N($M105),2),"")</f>
        <v/>
      </c>
      <c r="O105" s="32">
        <f>IF(OR($AD105="D",$AD105="T",$AD105="B",$AD105="Z"),IF(N($E105)=0,"",ROUND($F105/$E105,2)),"")</f>
        <v/>
      </c>
      <c r="Q105">
        <f>IFERROR(MATCH(101,บันทึกรายเที่ยว!$Z$6:$Z$6005,0),"")</f>
        <v/>
      </c>
      <c r="R105">
        <f>IF($Q105="","",INDEX(บันทึกรายเที่ยว!$V$6:$V$6005,$Q105))</f>
        <v/>
      </c>
      <c r="S105">
        <f>IF($Q105="","",INDEX(บันทึกรายเที่ยว!$F$6:$F$6005,$Q105))</f>
        <v/>
      </c>
      <c r="T105">
        <f>IF($Q105="","",MATCH($S105,บันทึกรายเที่ยว!$F$6:$F$6005,0))</f>
        <v/>
      </c>
      <c r="U105">
        <f>IF($Q105="","",$AL105*10000000+$T105*1000+101)</f>
        <v/>
      </c>
      <c r="V105">
        <f>IFERROR(MATCH(SMALL($U$5:$U$404,101),$U$5:$U$404,0),"")</f>
        <v/>
      </c>
      <c r="W105">
        <f>IF($V105="","",INDEX($Q$5:$Q$404,$V105))</f>
        <v/>
      </c>
      <c r="X105">
        <f>IF($V105="","",INDEX($S$5:$S$404,$V105))</f>
        <v/>
      </c>
      <c r="Y105">
        <f>IF($V105="","",INDEX($R$5:$R$404,$V105))</f>
        <v/>
      </c>
      <c r="Z105">
        <f>IF($V105="",0,IF($X105&lt;&gt;$X104,1,0))</f>
        <v/>
      </c>
      <c r="AA105">
        <f>IF($V105="",0,IF($V106="",1,IF($X106&lt;&gt;$X105,1,0)))</f>
        <v/>
      </c>
      <c r="AB105">
        <f>IF($V105="",99999+101,$AB104+1+$Z104+$AA104+$AO104)</f>
        <v/>
      </c>
      <c r="AC105">
        <f>IFERROR(MATCH(101,$AB$5:$AB$404,1),"")</f>
        <v/>
      </c>
      <c r="AD105">
        <f>IF(101=$AI$1+1,"Z",IF($AC105="","",IF(INDEX($V$5:$V$404,$AC105)="","",IF(101&gt;INDEX($AB$5:$AB$404,$AC105)+INDEX($Z$5:$Z$404,$AC105)+INDEX($AA$5:$AA$404,$AC105)+INDEX($AO$5:$AO$404,$AC105),"",IF(101=INDEX($AB$5:$AB$404,$AC105)+INDEX($Z$5:$Z$404,$AC105),"D",IF(AND(INDEX($Z$5:$Z$404,$AC105)=1,101=INDEX($AB$5:$AB$404,$AC105)),"H",IF(AND(INDEX($AO$5:$AO$404,$AC105)=1,101=INDEX($AB$5:$AB$404,$AC105)+INDEX($Z$5:$Z$404,$AC105)+INDEX($AA$5:$AA$404,$AC105)+INDEX($AO$5:$AO$404,$AC105)),"B","T")))))))</f>
        <v/>
      </c>
      <c r="AF105">
        <f>IF(OR($AD105="",$AD105="Z",$AD105="B"),"",INDEX($X$5:$X$404,$AC105))</f>
        <v/>
      </c>
      <c r="AJ105">
        <f>IF($AD105&lt;&gt;"T",0,ROUND(SUMIF(oil!$B$4:$B$63,$AF105,oil!$AE$4:$AE$63),2))</f>
        <v/>
      </c>
      <c r="AK105">
        <f>IF($S105="","",IFERROR(INDEX(อัตราค่าขนส่ง!$P$5:$P$54,MATCH($S105,อัตราค่าขนส่ง!$O$5:$O$54,0)),INDEX(รายการมาตรฐาน!$G$2:$G$3,1)))</f>
        <v/>
      </c>
      <c r="AL105">
        <f>IF($S105="","",IFERROR(MATCH($AK105,รายการมาตรฐาน!$G$2:$G$3,0),1))</f>
        <v/>
      </c>
      <c r="AM105">
        <f>IF($V105="","",INDEX($AK$5:$AK$404,$V105))</f>
        <v/>
      </c>
      <c r="AN105">
        <f>IF($V105="","",INDEX($AL$5:$AL$404,$V105))</f>
        <v/>
      </c>
      <c r="AO105">
        <f>IF(OR($V105="",$AI$2&lt;=1),0,IF($V106="",1,IF($AN106&lt;&gt;$AN105,1,0)))</f>
        <v/>
      </c>
      <c r="AP105">
        <f>IF($V105="",0,IF($AN105&lt;&gt;$AN104,1,0))</f>
        <v/>
      </c>
      <c r="AQ105">
        <f>IF(OR($AD105="",$AD105="Z"),"",INDEX($AN$5:$AN$404,$AC105))</f>
        <v/>
      </c>
      <c r="AR105">
        <f>IF($Y105="",0,COUNTIF(บันทึกรายเที่ยว!$V$6:$V$6005,$Y105))</f>
        <v/>
      </c>
      <c r="AS105">
        <f>IF($Y105="",0,ROUND(SUMIF(บันทึกรายเที่ยว!$V$6:$V$6005,$Y105,บันทึกรายเที่ยว!$M$6:$M$6005),2))</f>
        <v/>
      </c>
      <c r="AT105">
        <f>IF($Y105="",0,IFERROR(INDEX(อัตราค่าขนส่ง!$G$5:$G$204,MATCH($Y105,อัตราค่าขนส่ง!$M$5:$M$204,0)),0))</f>
        <v/>
      </c>
      <c r="AU105">
        <f>ROUND($AS105*$BD105,2)</f>
        <v/>
      </c>
      <c r="AV105">
        <f>ROUND($AU105*$BF$2/100,2)</f>
        <v/>
      </c>
      <c r="AW105">
        <f>IF($Y105="","",IFERROR(INDEX(อัตราค่าขนส่ง!$F$5:$F$204,MATCH($Y105,อัตราค่าขนส่ง!$M$5:$M$204,0)),""))</f>
        <v/>
      </c>
      <c r="AX105">
        <f>IF($W105="","",INDEX(บันทึกรายเที่ยว!$D$6:$D$6005,$W105))</f>
        <v/>
      </c>
      <c r="AY105">
        <f>IF($W105="","",INDEX(บันทึกรายเที่ยว!$R$6:$R$6005,$W105))</f>
        <v/>
      </c>
      <c r="AZ105">
        <f>IF(AND($AD105="T",$AQ105=1),N($AZ104)+1,N($AZ104))</f>
        <v/>
      </c>
      <c r="BA105">
        <f>IF($W105="","",INDEX(บันทึกรายเที่ยว!$E$6:$E$6005,$W105))</f>
        <v/>
      </c>
      <c r="BC105">
        <f>IF($Y105="",0,IFERROR(INDEX(อัตราค่าขนส่ง!$K$5:$K$204,MATCH($Y105,อัตราค่าขนส่ง!$M$5:$M$204,0)),0))</f>
        <v/>
      </c>
      <c r="BD105">
        <f>IF($Y105="",0,IFERROR(INDEX(อัตราค่าขนส่ง!$L$5:$L$204,MATCH($Y105,อัตราค่าขนส่ง!$M$5:$M$204,0)),0))</f>
        <v/>
      </c>
    </row>
    <row r="106" ht="21" customHeight="1" s="66">
      <c r="A106" s="69">
        <f>IF($AD106="","",IF($AD106="Z","รวมจ่ายทั้งสิ้น",IF($AD106="H",INDEX($X$5:$X$404,$AC106),IF($AD106="T","รวม",IF($AD106="B",IFERROR(INDEX(อัตราค่าขนส่ง!$S$5:$S$14,MATCH(INDEX($AM$5:$AM$404,$AC106),อัตราค่าขนส่ง!$R$5:$R$14,0)),"รวมกลุ่ม "&amp;INDEX($AM$5:$AM$404,$AC106)),INDEX($AY$5:$AY$404,$AC106))))))</f>
        <v/>
      </c>
      <c r="B106" s="31">
        <f>IF($AD106&lt;&gt;"D","",INDEX($AW$5:$AW$404,$AC106))</f>
        <v/>
      </c>
      <c r="C106" s="68">
        <f>IF($AD106&lt;&gt;"D","",INDEX($AX$5:$AX$404,$AC106))</f>
        <v/>
      </c>
      <c r="D106" s="70">
        <f>IF($AD106&lt;&gt;"D","",INDEX($BA$5:$BA$404,$AC106))</f>
        <v/>
      </c>
      <c r="E106" s="31">
        <f>IF($AD106="Z",SUM($AR$5:$AR$404),IF($AD106="D",INDEX($AR$5:$AR$404,$AC106),IF($AD106="T",SUMIF($X$5:$X$404,$AF106,$AR$5:$AR$404),IF($AD106="B",SUMIF($AN$5:$AN$404,$AQ106,$AR$5:$AR$404),""))))</f>
        <v/>
      </c>
      <c r="F106" s="32">
        <f>IF($AD106="Z",ROUND(SUM($AS$5:$AS$404),2),IF($AD106="D",INDEX($AS$5:$AS$404,$AC106),IF($AD106="T",ROUND(SUMIF($X$5:$X$404,$AF106,$AS$5:$AS$404),2),IF($AD106="B",ROUND(SUMIF($AN$5:$AN$404,$AQ106,$AS$5:$AS$404),2),""))))</f>
        <v/>
      </c>
      <c r="G106" s="32">
        <f>IF($AD106&lt;&gt;"D","",INDEX($AT$5:$AT$404,$AC106))</f>
        <v/>
      </c>
      <c r="H106" s="32">
        <f>IF($AD106&lt;&gt;"D","",INDEX($BC$5:$BC$404,$AC106))</f>
        <v/>
      </c>
      <c r="I106" s="32">
        <f>IF($AD106&lt;&gt;"D","",INDEX($BD$5:$BD$404,$AC106))</f>
        <v/>
      </c>
      <c r="J106" s="46">
        <f>IF($AD106&lt;&gt;"D","",IF(N($B106)=0,"",ROUND($I106/$B106,4)))</f>
        <v/>
      </c>
      <c r="K106" s="32">
        <f>IF($AD106="Z",ROUND(SUM($AU$5:$AU$404),2),IF($AD106="D",INDEX($AU$5:$AU$404,$AC106),IF($AD106="T",ROUND(SUMIF($X$5:$X$404,$AF106,$AU$5:$AU$404),2),IF($AD106="B",ROUND(SUMIF($AN$5:$AN$404,$AQ106,$AU$5:$AU$404),2),""))))</f>
        <v/>
      </c>
      <c r="L106" s="32">
        <f>IF($AD106="Z",ROUND(SUM($AV$5:$AV$404),2),IF($AD106="D",INDEX($AV$5:$AV$404,$AC106),IF($AD106="T",ROUND(SUMIF($X$5:$X$404,$AF106,$AV$5:$AV$404),2),IF($AD106="B",ROUND(SUMIF($AN$5:$AN$404,$AQ106,$AV$5:$AV$404),2),""))))</f>
        <v/>
      </c>
      <c r="M106" s="32">
        <f>IF($AD106="Z",ROUND(SUM($AJ$5:$AJ$704),2),IF($AD106="B",ROUND(SUMIF($AQ$5:$AQ$704,$AQ106,$AJ$5:$AJ$704),2),IF($AD106&lt;&gt;"T","",$AJ106)))</f>
        <v/>
      </c>
      <c r="N106" s="32">
        <f>IF(OR($AD106="D",$AD106="T",$AD106="B",$AD106="Z"),ROUND(N($K106)-N($L106)-N($M106),2),"")</f>
        <v/>
      </c>
      <c r="O106" s="32">
        <f>IF(OR($AD106="D",$AD106="T",$AD106="B",$AD106="Z"),IF(N($E106)=0,"",ROUND($F106/$E106,2)),"")</f>
        <v/>
      </c>
      <c r="Q106">
        <f>IFERROR(MATCH(102,บันทึกรายเที่ยว!$Z$6:$Z$6005,0),"")</f>
        <v/>
      </c>
      <c r="R106">
        <f>IF($Q106="","",INDEX(บันทึกรายเที่ยว!$V$6:$V$6005,$Q106))</f>
        <v/>
      </c>
      <c r="S106">
        <f>IF($Q106="","",INDEX(บันทึกรายเที่ยว!$F$6:$F$6005,$Q106))</f>
        <v/>
      </c>
      <c r="T106">
        <f>IF($Q106="","",MATCH($S106,บันทึกรายเที่ยว!$F$6:$F$6005,0))</f>
        <v/>
      </c>
      <c r="U106">
        <f>IF($Q106="","",$AL106*10000000+$T106*1000+102)</f>
        <v/>
      </c>
      <c r="V106">
        <f>IFERROR(MATCH(SMALL($U$5:$U$404,102),$U$5:$U$404,0),"")</f>
        <v/>
      </c>
      <c r="W106">
        <f>IF($V106="","",INDEX($Q$5:$Q$404,$V106))</f>
        <v/>
      </c>
      <c r="X106">
        <f>IF($V106="","",INDEX($S$5:$S$404,$V106))</f>
        <v/>
      </c>
      <c r="Y106">
        <f>IF($V106="","",INDEX($R$5:$R$404,$V106))</f>
        <v/>
      </c>
      <c r="Z106">
        <f>IF($V106="",0,IF($X106&lt;&gt;$X105,1,0))</f>
        <v/>
      </c>
      <c r="AA106">
        <f>IF($V106="",0,IF($V107="",1,IF($X107&lt;&gt;$X106,1,0)))</f>
        <v/>
      </c>
      <c r="AB106">
        <f>IF($V106="",99999+102,$AB105+1+$Z105+$AA105+$AO105)</f>
        <v/>
      </c>
      <c r="AC106">
        <f>IFERROR(MATCH(102,$AB$5:$AB$404,1),"")</f>
        <v/>
      </c>
      <c r="AD106">
        <f>IF(102=$AI$1+1,"Z",IF($AC106="","",IF(INDEX($V$5:$V$404,$AC106)="","",IF(102&gt;INDEX($AB$5:$AB$404,$AC106)+INDEX($Z$5:$Z$404,$AC106)+INDEX($AA$5:$AA$404,$AC106)+INDEX($AO$5:$AO$404,$AC106),"",IF(102=INDEX($AB$5:$AB$404,$AC106)+INDEX($Z$5:$Z$404,$AC106),"D",IF(AND(INDEX($Z$5:$Z$404,$AC106)=1,102=INDEX($AB$5:$AB$404,$AC106)),"H",IF(AND(INDEX($AO$5:$AO$404,$AC106)=1,102=INDEX($AB$5:$AB$404,$AC106)+INDEX($Z$5:$Z$404,$AC106)+INDEX($AA$5:$AA$404,$AC106)+INDEX($AO$5:$AO$404,$AC106)),"B","T")))))))</f>
        <v/>
      </c>
      <c r="AF106">
        <f>IF(OR($AD106="",$AD106="Z",$AD106="B"),"",INDEX($X$5:$X$404,$AC106))</f>
        <v/>
      </c>
      <c r="AJ106">
        <f>IF($AD106&lt;&gt;"T",0,ROUND(SUMIF(oil!$B$4:$B$63,$AF106,oil!$AE$4:$AE$63),2))</f>
        <v/>
      </c>
      <c r="AK106">
        <f>IF($S106="","",IFERROR(INDEX(อัตราค่าขนส่ง!$P$5:$P$54,MATCH($S106,อัตราค่าขนส่ง!$O$5:$O$54,0)),INDEX(รายการมาตรฐาน!$G$2:$G$3,1)))</f>
        <v/>
      </c>
      <c r="AL106">
        <f>IF($S106="","",IFERROR(MATCH($AK106,รายการมาตรฐาน!$G$2:$G$3,0),1))</f>
        <v/>
      </c>
      <c r="AM106">
        <f>IF($V106="","",INDEX($AK$5:$AK$404,$V106))</f>
        <v/>
      </c>
      <c r="AN106">
        <f>IF($V106="","",INDEX($AL$5:$AL$404,$V106))</f>
        <v/>
      </c>
      <c r="AO106">
        <f>IF(OR($V106="",$AI$2&lt;=1),0,IF($V107="",1,IF($AN107&lt;&gt;$AN106,1,0)))</f>
        <v/>
      </c>
      <c r="AP106">
        <f>IF($V106="",0,IF($AN106&lt;&gt;$AN105,1,0))</f>
        <v/>
      </c>
      <c r="AQ106">
        <f>IF(OR($AD106="",$AD106="Z"),"",INDEX($AN$5:$AN$404,$AC106))</f>
        <v/>
      </c>
      <c r="AR106">
        <f>IF($Y106="",0,COUNTIF(บันทึกรายเที่ยว!$V$6:$V$6005,$Y106))</f>
        <v/>
      </c>
      <c r="AS106">
        <f>IF($Y106="",0,ROUND(SUMIF(บันทึกรายเที่ยว!$V$6:$V$6005,$Y106,บันทึกรายเที่ยว!$M$6:$M$6005),2))</f>
        <v/>
      </c>
      <c r="AT106">
        <f>IF($Y106="",0,IFERROR(INDEX(อัตราค่าขนส่ง!$G$5:$G$204,MATCH($Y106,อัตราค่าขนส่ง!$M$5:$M$204,0)),0))</f>
        <v/>
      </c>
      <c r="AU106">
        <f>ROUND($AS106*$BD106,2)</f>
        <v/>
      </c>
      <c r="AV106">
        <f>ROUND($AU106*$BF$2/100,2)</f>
        <v/>
      </c>
      <c r="AW106">
        <f>IF($Y106="","",IFERROR(INDEX(อัตราค่าขนส่ง!$F$5:$F$204,MATCH($Y106,อัตราค่าขนส่ง!$M$5:$M$204,0)),""))</f>
        <v/>
      </c>
      <c r="AX106">
        <f>IF($W106="","",INDEX(บันทึกรายเที่ยว!$D$6:$D$6005,$W106))</f>
        <v/>
      </c>
      <c r="AY106">
        <f>IF($W106="","",INDEX(บันทึกรายเที่ยว!$R$6:$R$6005,$W106))</f>
        <v/>
      </c>
      <c r="AZ106">
        <f>IF(AND($AD106="T",$AQ106=1),N($AZ105)+1,N($AZ105))</f>
        <v/>
      </c>
      <c r="BA106">
        <f>IF($W106="","",INDEX(บันทึกรายเที่ยว!$E$6:$E$6005,$W106))</f>
        <v/>
      </c>
      <c r="BC106">
        <f>IF($Y106="",0,IFERROR(INDEX(อัตราค่าขนส่ง!$K$5:$K$204,MATCH($Y106,อัตราค่าขนส่ง!$M$5:$M$204,0)),0))</f>
        <v/>
      </c>
      <c r="BD106">
        <f>IF($Y106="",0,IFERROR(INDEX(อัตราค่าขนส่ง!$L$5:$L$204,MATCH($Y106,อัตราค่าขนส่ง!$M$5:$M$204,0)),0))</f>
        <v/>
      </c>
    </row>
    <row r="107" ht="21" customHeight="1" s="66">
      <c r="A107" s="69">
        <f>IF($AD107="","",IF($AD107="Z","รวมจ่ายทั้งสิ้น",IF($AD107="H",INDEX($X$5:$X$404,$AC107),IF($AD107="T","รวม",IF($AD107="B",IFERROR(INDEX(อัตราค่าขนส่ง!$S$5:$S$14,MATCH(INDEX($AM$5:$AM$404,$AC107),อัตราค่าขนส่ง!$R$5:$R$14,0)),"รวมกลุ่ม "&amp;INDEX($AM$5:$AM$404,$AC107)),INDEX($AY$5:$AY$404,$AC107))))))</f>
        <v/>
      </c>
      <c r="B107" s="31">
        <f>IF($AD107&lt;&gt;"D","",INDEX($AW$5:$AW$404,$AC107))</f>
        <v/>
      </c>
      <c r="C107" s="68">
        <f>IF($AD107&lt;&gt;"D","",INDEX($AX$5:$AX$404,$AC107))</f>
        <v/>
      </c>
      <c r="D107" s="70">
        <f>IF($AD107&lt;&gt;"D","",INDEX($BA$5:$BA$404,$AC107))</f>
        <v/>
      </c>
      <c r="E107" s="31">
        <f>IF($AD107="Z",SUM($AR$5:$AR$404),IF($AD107="D",INDEX($AR$5:$AR$404,$AC107),IF($AD107="T",SUMIF($X$5:$X$404,$AF107,$AR$5:$AR$404),IF($AD107="B",SUMIF($AN$5:$AN$404,$AQ107,$AR$5:$AR$404),""))))</f>
        <v/>
      </c>
      <c r="F107" s="32">
        <f>IF($AD107="Z",ROUND(SUM($AS$5:$AS$404),2),IF($AD107="D",INDEX($AS$5:$AS$404,$AC107),IF($AD107="T",ROUND(SUMIF($X$5:$X$404,$AF107,$AS$5:$AS$404),2),IF($AD107="B",ROUND(SUMIF($AN$5:$AN$404,$AQ107,$AS$5:$AS$404),2),""))))</f>
        <v/>
      </c>
      <c r="G107" s="32">
        <f>IF($AD107&lt;&gt;"D","",INDEX($AT$5:$AT$404,$AC107))</f>
        <v/>
      </c>
      <c r="H107" s="32">
        <f>IF($AD107&lt;&gt;"D","",INDEX($BC$5:$BC$404,$AC107))</f>
        <v/>
      </c>
      <c r="I107" s="32">
        <f>IF($AD107&lt;&gt;"D","",INDEX($BD$5:$BD$404,$AC107))</f>
        <v/>
      </c>
      <c r="J107" s="46">
        <f>IF($AD107&lt;&gt;"D","",IF(N($B107)=0,"",ROUND($I107/$B107,4)))</f>
        <v/>
      </c>
      <c r="K107" s="32">
        <f>IF($AD107="Z",ROUND(SUM($AU$5:$AU$404),2),IF($AD107="D",INDEX($AU$5:$AU$404,$AC107),IF($AD107="T",ROUND(SUMIF($X$5:$X$404,$AF107,$AU$5:$AU$404),2),IF($AD107="B",ROUND(SUMIF($AN$5:$AN$404,$AQ107,$AU$5:$AU$404),2),""))))</f>
        <v/>
      </c>
      <c r="L107" s="32">
        <f>IF($AD107="Z",ROUND(SUM($AV$5:$AV$404),2),IF($AD107="D",INDEX($AV$5:$AV$404,$AC107),IF($AD107="T",ROUND(SUMIF($X$5:$X$404,$AF107,$AV$5:$AV$404),2),IF($AD107="B",ROUND(SUMIF($AN$5:$AN$404,$AQ107,$AV$5:$AV$404),2),""))))</f>
        <v/>
      </c>
      <c r="M107" s="32">
        <f>IF($AD107="Z",ROUND(SUM($AJ$5:$AJ$704),2),IF($AD107="B",ROUND(SUMIF($AQ$5:$AQ$704,$AQ107,$AJ$5:$AJ$704),2),IF($AD107&lt;&gt;"T","",$AJ107)))</f>
        <v/>
      </c>
      <c r="N107" s="32">
        <f>IF(OR($AD107="D",$AD107="T",$AD107="B",$AD107="Z"),ROUND(N($K107)-N($L107)-N($M107),2),"")</f>
        <v/>
      </c>
      <c r="O107" s="32">
        <f>IF(OR($AD107="D",$AD107="T",$AD107="B",$AD107="Z"),IF(N($E107)=0,"",ROUND($F107/$E107,2)),"")</f>
        <v/>
      </c>
      <c r="Q107">
        <f>IFERROR(MATCH(103,บันทึกรายเที่ยว!$Z$6:$Z$6005,0),"")</f>
        <v/>
      </c>
      <c r="R107">
        <f>IF($Q107="","",INDEX(บันทึกรายเที่ยว!$V$6:$V$6005,$Q107))</f>
        <v/>
      </c>
      <c r="S107">
        <f>IF($Q107="","",INDEX(บันทึกรายเที่ยว!$F$6:$F$6005,$Q107))</f>
        <v/>
      </c>
      <c r="T107">
        <f>IF($Q107="","",MATCH($S107,บันทึกรายเที่ยว!$F$6:$F$6005,0))</f>
        <v/>
      </c>
      <c r="U107">
        <f>IF($Q107="","",$AL107*10000000+$T107*1000+103)</f>
        <v/>
      </c>
      <c r="V107">
        <f>IFERROR(MATCH(SMALL($U$5:$U$404,103),$U$5:$U$404,0),"")</f>
        <v/>
      </c>
      <c r="W107">
        <f>IF($V107="","",INDEX($Q$5:$Q$404,$V107))</f>
        <v/>
      </c>
      <c r="X107">
        <f>IF($V107="","",INDEX($S$5:$S$404,$V107))</f>
        <v/>
      </c>
      <c r="Y107">
        <f>IF($V107="","",INDEX($R$5:$R$404,$V107))</f>
        <v/>
      </c>
      <c r="Z107">
        <f>IF($V107="",0,IF($X107&lt;&gt;$X106,1,0))</f>
        <v/>
      </c>
      <c r="AA107">
        <f>IF($V107="",0,IF($V108="",1,IF($X108&lt;&gt;$X107,1,0)))</f>
        <v/>
      </c>
      <c r="AB107">
        <f>IF($V107="",99999+103,$AB106+1+$Z106+$AA106+$AO106)</f>
        <v/>
      </c>
      <c r="AC107">
        <f>IFERROR(MATCH(103,$AB$5:$AB$404,1),"")</f>
        <v/>
      </c>
      <c r="AD107">
        <f>IF(103=$AI$1+1,"Z",IF($AC107="","",IF(INDEX($V$5:$V$404,$AC107)="","",IF(103&gt;INDEX($AB$5:$AB$404,$AC107)+INDEX($Z$5:$Z$404,$AC107)+INDEX($AA$5:$AA$404,$AC107)+INDEX($AO$5:$AO$404,$AC107),"",IF(103=INDEX($AB$5:$AB$404,$AC107)+INDEX($Z$5:$Z$404,$AC107),"D",IF(AND(INDEX($Z$5:$Z$404,$AC107)=1,103=INDEX($AB$5:$AB$404,$AC107)),"H",IF(AND(INDEX($AO$5:$AO$404,$AC107)=1,103=INDEX($AB$5:$AB$404,$AC107)+INDEX($Z$5:$Z$404,$AC107)+INDEX($AA$5:$AA$404,$AC107)+INDEX($AO$5:$AO$404,$AC107)),"B","T")))))))</f>
        <v/>
      </c>
      <c r="AF107">
        <f>IF(OR($AD107="",$AD107="Z",$AD107="B"),"",INDEX($X$5:$X$404,$AC107))</f>
        <v/>
      </c>
      <c r="AJ107">
        <f>IF($AD107&lt;&gt;"T",0,ROUND(SUMIF(oil!$B$4:$B$63,$AF107,oil!$AE$4:$AE$63),2))</f>
        <v/>
      </c>
      <c r="AK107">
        <f>IF($S107="","",IFERROR(INDEX(อัตราค่าขนส่ง!$P$5:$P$54,MATCH($S107,อัตราค่าขนส่ง!$O$5:$O$54,0)),INDEX(รายการมาตรฐาน!$G$2:$G$3,1)))</f>
        <v/>
      </c>
      <c r="AL107">
        <f>IF($S107="","",IFERROR(MATCH($AK107,รายการมาตรฐาน!$G$2:$G$3,0),1))</f>
        <v/>
      </c>
      <c r="AM107">
        <f>IF($V107="","",INDEX($AK$5:$AK$404,$V107))</f>
        <v/>
      </c>
      <c r="AN107">
        <f>IF($V107="","",INDEX($AL$5:$AL$404,$V107))</f>
        <v/>
      </c>
      <c r="AO107">
        <f>IF(OR($V107="",$AI$2&lt;=1),0,IF($V108="",1,IF($AN108&lt;&gt;$AN107,1,0)))</f>
        <v/>
      </c>
      <c r="AP107">
        <f>IF($V107="",0,IF($AN107&lt;&gt;$AN106,1,0))</f>
        <v/>
      </c>
      <c r="AQ107">
        <f>IF(OR($AD107="",$AD107="Z"),"",INDEX($AN$5:$AN$404,$AC107))</f>
        <v/>
      </c>
      <c r="AR107">
        <f>IF($Y107="",0,COUNTIF(บันทึกรายเที่ยว!$V$6:$V$6005,$Y107))</f>
        <v/>
      </c>
      <c r="AS107">
        <f>IF($Y107="",0,ROUND(SUMIF(บันทึกรายเที่ยว!$V$6:$V$6005,$Y107,บันทึกรายเที่ยว!$M$6:$M$6005),2))</f>
        <v/>
      </c>
      <c r="AT107">
        <f>IF($Y107="",0,IFERROR(INDEX(อัตราค่าขนส่ง!$G$5:$G$204,MATCH($Y107,อัตราค่าขนส่ง!$M$5:$M$204,0)),0))</f>
        <v/>
      </c>
      <c r="AU107">
        <f>ROUND($AS107*$BD107,2)</f>
        <v/>
      </c>
      <c r="AV107">
        <f>ROUND($AU107*$BF$2/100,2)</f>
        <v/>
      </c>
      <c r="AW107">
        <f>IF($Y107="","",IFERROR(INDEX(อัตราค่าขนส่ง!$F$5:$F$204,MATCH($Y107,อัตราค่าขนส่ง!$M$5:$M$204,0)),""))</f>
        <v/>
      </c>
      <c r="AX107">
        <f>IF($W107="","",INDEX(บันทึกรายเที่ยว!$D$6:$D$6005,$W107))</f>
        <v/>
      </c>
      <c r="AY107">
        <f>IF($W107="","",INDEX(บันทึกรายเที่ยว!$R$6:$R$6005,$W107))</f>
        <v/>
      </c>
      <c r="AZ107">
        <f>IF(AND($AD107="T",$AQ107=1),N($AZ106)+1,N($AZ106))</f>
        <v/>
      </c>
      <c r="BA107">
        <f>IF($W107="","",INDEX(บันทึกรายเที่ยว!$E$6:$E$6005,$W107))</f>
        <v/>
      </c>
      <c r="BC107">
        <f>IF($Y107="",0,IFERROR(INDEX(อัตราค่าขนส่ง!$K$5:$K$204,MATCH($Y107,อัตราค่าขนส่ง!$M$5:$M$204,0)),0))</f>
        <v/>
      </c>
      <c r="BD107">
        <f>IF($Y107="",0,IFERROR(INDEX(อัตราค่าขนส่ง!$L$5:$L$204,MATCH($Y107,อัตราค่าขนส่ง!$M$5:$M$204,0)),0))</f>
        <v/>
      </c>
    </row>
    <row r="108" ht="21" customHeight="1" s="66">
      <c r="A108" s="69">
        <f>IF($AD108="","",IF($AD108="Z","รวมจ่ายทั้งสิ้น",IF($AD108="H",INDEX($X$5:$X$404,$AC108),IF($AD108="T","รวม",IF($AD108="B",IFERROR(INDEX(อัตราค่าขนส่ง!$S$5:$S$14,MATCH(INDEX($AM$5:$AM$404,$AC108),อัตราค่าขนส่ง!$R$5:$R$14,0)),"รวมกลุ่ม "&amp;INDEX($AM$5:$AM$404,$AC108)),INDEX($AY$5:$AY$404,$AC108))))))</f>
        <v/>
      </c>
      <c r="B108" s="31">
        <f>IF($AD108&lt;&gt;"D","",INDEX($AW$5:$AW$404,$AC108))</f>
        <v/>
      </c>
      <c r="C108" s="68">
        <f>IF($AD108&lt;&gt;"D","",INDEX($AX$5:$AX$404,$AC108))</f>
        <v/>
      </c>
      <c r="D108" s="70">
        <f>IF($AD108&lt;&gt;"D","",INDEX($BA$5:$BA$404,$AC108))</f>
        <v/>
      </c>
      <c r="E108" s="31">
        <f>IF($AD108="Z",SUM($AR$5:$AR$404),IF($AD108="D",INDEX($AR$5:$AR$404,$AC108),IF($AD108="T",SUMIF($X$5:$X$404,$AF108,$AR$5:$AR$404),IF($AD108="B",SUMIF($AN$5:$AN$404,$AQ108,$AR$5:$AR$404),""))))</f>
        <v/>
      </c>
      <c r="F108" s="32">
        <f>IF($AD108="Z",ROUND(SUM($AS$5:$AS$404),2),IF($AD108="D",INDEX($AS$5:$AS$404,$AC108),IF($AD108="T",ROUND(SUMIF($X$5:$X$404,$AF108,$AS$5:$AS$404),2),IF($AD108="B",ROUND(SUMIF($AN$5:$AN$404,$AQ108,$AS$5:$AS$404),2),""))))</f>
        <v/>
      </c>
      <c r="G108" s="32">
        <f>IF($AD108&lt;&gt;"D","",INDEX($AT$5:$AT$404,$AC108))</f>
        <v/>
      </c>
      <c r="H108" s="32">
        <f>IF($AD108&lt;&gt;"D","",INDEX($BC$5:$BC$404,$AC108))</f>
        <v/>
      </c>
      <c r="I108" s="32">
        <f>IF($AD108&lt;&gt;"D","",INDEX($BD$5:$BD$404,$AC108))</f>
        <v/>
      </c>
      <c r="J108" s="46">
        <f>IF($AD108&lt;&gt;"D","",IF(N($B108)=0,"",ROUND($I108/$B108,4)))</f>
        <v/>
      </c>
      <c r="K108" s="32">
        <f>IF($AD108="Z",ROUND(SUM($AU$5:$AU$404),2),IF($AD108="D",INDEX($AU$5:$AU$404,$AC108),IF($AD108="T",ROUND(SUMIF($X$5:$X$404,$AF108,$AU$5:$AU$404),2),IF($AD108="B",ROUND(SUMIF($AN$5:$AN$404,$AQ108,$AU$5:$AU$404),2),""))))</f>
        <v/>
      </c>
      <c r="L108" s="32">
        <f>IF($AD108="Z",ROUND(SUM($AV$5:$AV$404),2),IF($AD108="D",INDEX($AV$5:$AV$404,$AC108),IF($AD108="T",ROUND(SUMIF($X$5:$X$404,$AF108,$AV$5:$AV$404),2),IF($AD108="B",ROUND(SUMIF($AN$5:$AN$404,$AQ108,$AV$5:$AV$404),2),""))))</f>
        <v/>
      </c>
      <c r="M108" s="32">
        <f>IF($AD108="Z",ROUND(SUM($AJ$5:$AJ$704),2),IF($AD108="B",ROUND(SUMIF($AQ$5:$AQ$704,$AQ108,$AJ$5:$AJ$704),2),IF($AD108&lt;&gt;"T","",$AJ108)))</f>
        <v/>
      </c>
      <c r="N108" s="32">
        <f>IF(OR($AD108="D",$AD108="T",$AD108="B",$AD108="Z"),ROUND(N($K108)-N($L108)-N($M108),2),"")</f>
        <v/>
      </c>
      <c r="O108" s="32">
        <f>IF(OR($AD108="D",$AD108="T",$AD108="B",$AD108="Z"),IF(N($E108)=0,"",ROUND($F108/$E108,2)),"")</f>
        <v/>
      </c>
      <c r="Q108">
        <f>IFERROR(MATCH(104,บันทึกรายเที่ยว!$Z$6:$Z$6005,0),"")</f>
        <v/>
      </c>
      <c r="R108">
        <f>IF($Q108="","",INDEX(บันทึกรายเที่ยว!$V$6:$V$6005,$Q108))</f>
        <v/>
      </c>
      <c r="S108">
        <f>IF($Q108="","",INDEX(บันทึกรายเที่ยว!$F$6:$F$6005,$Q108))</f>
        <v/>
      </c>
      <c r="T108">
        <f>IF($Q108="","",MATCH($S108,บันทึกรายเที่ยว!$F$6:$F$6005,0))</f>
        <v/>
      </c>
      <c r="U108">
        <f>IF($Q108="","",$AL108*10000000+$T108*1000+104)</f>
        <v/>
      </c>
      <c r="V108">
        <f>IFERROR(MATCH(SMALL($U$5:$U$404,104),$U$5:$U$404,0),"")</f>
        <v/>
      </c>
      <c r="W108">
        <f>IF($V108="","",INDEX($Q$5:$Q$404,$V108))</f>
        <v/>
      </c>
      <c r="X108">
        <f>IF($V108="","",INDEX($S$5:$S$404,$V108))</f>
        <v/>
      </c>
      <c r="Y108">
        <f>IF($V108="","",INDEX($R$5:$R$404,$V108))</f>
        <v/>
      </c>
      <c r="Z108">
        <f>IF($V108="",0,IF($X108&lt;&gt;$X107,1,0))</f>
        <v/>
      </c>
      <c r="AA108">
        <f>IF($V108="",0,IF($V109="",1,IF($X109&lt;&gt;$X108,1,0)))</f>
        <v/>
      </c>
      <c r="AB108">
        <f>IF($V108="",99999+104,$AB107+1+$Z107+$AA107+$AO107)</f>
        <v/>
      </c>
      <c r="AC108">
        <f>IFERROR(MATCH(104,$AB$5:$AB$404,1),"")</f>
        <v/>
      </c>
      <c r="AD108">
        <f>IF(104=$AI$1+1,"Z",IF($AC108="","",IF(INDEX($V$5:$V$404,$AC108)="","",IF(104&gt;INDEX($AB$5:$AB$404,$AC108)+INDEX($Z$5:$Z$404,$AC108)+INDEX($AA$5:$AA$404,$AC108)+INDEX($AO$5:$AO$404,$AC108),"",IF(104=INDEX($AB$5:$AB$404,$AC108)+INDEX($Z$5:$Z$404,$AC108),"D",IF(AND(INDEX($Z$5:$Z$404,$AC108)=1,104=INDEX($AB$5:$AB$404,$AC108)),"H",IF(AND(INDEX($AO$5:$AO$404,$AC108)=1,104=INDEX($AB$5:$AB$404,$AC108)+INDEX($Z$5:$Z$404,$AC108)+INDEX($AA$5:$AA$404,$AC108)+INDEX($AO$5:$AO$404,$AC108)),"B","T")))))))</f>
        <v/>
      </c>
      <c r="AF108">
        <f>IF(OR($AD108="",$AD108="Z",$AD108="B"),"",INDEX($X$5:$X$404,$AC108))</f>
        <v/>
      </c>
      <c r="AJ108">
        <f>IF($AD108&lt;&gt;"T",0,ROUND(SUMIF(oil!$B$4:$B$63,$AF108,oil!$AE$4:$AE$63),2))</f>
        <v/>
      </c>
      <c r="AK108">
        <f>IF($S108="","",IFERROR(INDEX(อัตราค่าขนส่ง!$P$5:$P$54,MATCH($S108,อัตราค่าขนส่ง!$O$5:$O$54,0)),INDEX(รายการมาตรฐาน!$G$2:$G$3,1)))</f>
        <v/>
      </c>
      <c r="AL108">
        <f>IF($S108="","",IFERROR(MATCH($AK108,รายการมาตรฐาน!$G$2:$G$3,0),1))</f>
        <v/>
      </c>
      <c r="AM108">
        <f>IF($V108="","",INDEX($AK$5:$AK$404,$V108))</f>
        <v/>
      </c>
      <c r="AN108">
        <f>IF($V108="","",INDEX($AL$5:$AL$404,$V108))</f>
        <v/>
      </c>
      <c r="AO108">
        <f>IF(OR($V108="",$AI$2&lt;=1),0,IF($V109="",1,IF($AN109&lt;&gt;$AN108,1,0)))</f>
        <v/>
      </c>
      <c r="AP108">
        <f>IF($V108="",0,IF($AN108&lt;&gt;$AN107,1,0))</f>
        <v/>
      </c>
      <c r="AQ108">
        <f>IF(OR($AD108="",$AD108="Z"),"",INDEX($AN$5:$AN$404,$AC108))</f>
        <v/>
      </c>
      <c r="AR108">
        <f>IF($Y108="",0,COUNTIF(บันทึกรายเที่ยว!$V$6:$V$6005,$Y108))</f>
        <v/>
      </c>
      <c r="AS108">
        <f>IF($Y108="",0,ROUND(SUMIF(บันทึกรายเที่ยว!$V$6:$V$6005,$Y108,บันทึกรายเที่ยว!$M$6:$M$6005),2))</f>
        <v/>
      </c>
      <c r="AT108">
        <f>IF($Y108="",0,IFERROR(INDEX(อัตราค่าขนส่ง!$G$5:$G$204,MATCH($Y108,อัตราค่าขนส่ง!$M$5:$M$204,0)),0))</f>
        <v/>
      </c>
      <c r="AU108">
        <f>ROUND($AS108*$BD108,2)</f>
        <v/>
      </c>
      <c r="AV108">
        <f>ROUND($AU108*$BF$2/100,2)</f>
        <v/>
      </c>
      <c r="AW108">
        <f>IF($Y108="","",IFERROR(INDEX(อัตราค่าขนส่ง!$F$5:$F$204,MATCH($Y108,อัตราค่าขนส่ง!$M$5:$M$204,0)),""))</f>
        <v/>
      </c>
      <c r="AX108">
        <f>IF($W108="","",INDEX(บันทึกรายเที่ยว!$D$6:$D$6005,$W108))</f>
        <v/>
      </c>
      <c r="AY108">
        <f>IF($W108="","",INDEX(บันทึกรายเที่ยว!$R$6:$R$6005,$W108))</f>
        <v/>
      </c>
      <c r="AZ108">
        <f>IF(AND($AD108="T",$AQ108=1),N($AZ107)+1,N($AZ107))</f>
        <v/>
      </c>
      <c r="BA108">
        <f>IF($W108="","",INDEX(บันทึกรายเที่ยว!$E$6:$E$6005,$W108))</f>
        <v/>
      </c>
      <c r="BC108">
        <f>IF($Y108="",0,IFERROR(INDEX(อัตราค่าขนส่ง!$K$5:$K$204,MATCH($Y108,อัตราค่าขนส่ง!$M$5:$M$204,0)),0))</f>
        <v/>
      </c>
      <c r="BD108">
        <f>IF($Y108="",0,IFERROR(INDEX(อัตราค่าขนส่ง!$L$5:$L$204,MATCH($Y108,อัตราค่าขนส่ง!$M$5:$M$204,0)),0))</f>
        <v/>
      </c>
    </row>
    <row r="109" ht="21" customHeight="1" s="66">
      <c r="A109" s="69">
        <f>IF($AD109="","",IF($AD109="Z","รวมจ่ายทั้งสิ้น",IF($AD109="H",INDEX($X$5:$X$404,$AC109),IF($AD109="T","รวม",IF($AD109="B",IFERROR(INDEX(อัตราค่าขนส่ง!$S$5:$S$14,MATCH(INDEX($AM$5:$AM$404,$AC109),อัตราค่าขนส่ง!$R$5:$R$14,0)),"รวมกลุ่ม "&amp;INDEX($AM$5:$AM$404,$AC109)),INDEX($AY$5:$AY$404,$AC109))))))</f>
        <v/>
      </c>
      <c r="B109" s="31">
        <f>IF($AD109&lt;&gt;"D","",INDEX($AW$5:$AW$404,$AC109))</f>
        <v/>
      </c>
      <c r="C109" s="68">
        <f>IF($AD109&lt;&gt;"D","",INDEX($AX$5:$AX$404,$AC109))</f>
        <v/>
      </c>
      <c r="D109" s="70">
        <f>IF($AD109&lt;&gt;"D","",INDEX($BA$5:$BA$404,$AC109))</f>
        <v/>
      </c>
      <c r="E109" s="31">
        <f>IF($AD109="Z",SUM($AR$5:$AR$404),IF($AD109="D",INDEX($AR$5:$AR$404,$AC109),IF($AD109="T",SUMIF($X$5:$X$404,$AF109,$AR$5:$AR$404),IF($AD109="B",SUMIF($AN$5:$AN$404,$AQ109,$AR$5:$AR$404),""))))</f>
        <v/>
      </c>
      <c r="F109" s="32">
        <f>IF($AD109="Z",ROUND(SUM($AS$5:$AS$404),2),IF($AD109="D",INDEX($AS$5:$AS$404,$AC109),IF($AD109="T",ROUND(SUMIF($X$5:$X$404,$AF109,$AS$5:$AS$404),2),IF($AD109="B",ROUND(SUMIF($AN$5:$AN$404,$AQ109,$AS$5:$AS$404),2),""))))</f>
        <v/>
      </c>
      <c r="G109" s="32">
        <f>IF($AD109&lt;&gt;"D","",INDEX($AT$5:$AT$404,$AC109))</f>
        <v/>
      </c>
      <c r="H109" s="32">
        <f>IF($AD109&lt;&gt;"D","",INDEX($BC$5:$BC$404,$AC109))</f>
        <v/>
      </c>
      <c r="I109" s="32">
        <f>IF($AD109&lt;&gt;"D","",INDEX($BD$5:$BD$404,$AC109))</f>
        <v/>
      </c>
      <c r="J109" s="46">
        <f>IF($AD109&lt;&gt;"D","",IF(N($B109)=0,"",ROUND($I109/$B109,4)))</f>
        <v/>
      </c>
      <c r="K109" s="32">
        <f>IF($AD109="Z",ROUND(SUM($AU$5:$AU$404),2),IF($AD109="D",INDEX($AU$5:$AU$404,$AC109),IF($AD109="T",ROUND(SUMIF($X$5:$X$404,$AF109,$AU$5:$AU$404),2),IF($AD109="B",ROUND(SUMIF($AN$5:$AN$404,$AQ109,$AU$5:$AU$404),2),""))))</f>
        <v/>
      </c>
      <c r="L109" s="32">
        <f>IF($AD109="Z",ROUND(SUM($AV$5:$AV$404),2),IF($AD109="D",INDEX($AV$5:$AV$404,$AC109),IF($AD109="T",ROUND(SUMIF($X$5:$X$404,$AF109,$AV$5:$AV$404),2),IF($AD109="B",ROUND(SUMIF($AN$5:$AN$404,$AQ109,$AV$5:$AV$404),2),""))))</f>
        <v/>
      </c>
      <c r="M109" s="32">
        <f>IF($AD109="Z",ROUND(SUM($AJ$5:$AJ$704),2),IF($AD109="B",ROUND(SUMIF($AQ$5:$AQ$704,$AQ109,$AJ$5:$AJ$704),2),IF($AD109&lt;&gt;"T","",$AJ109)))</f>
        <v/>
      </c>
      <c r="N109" s="32">
        <f>IF(OR($AD109="D",$AD109="T",$AD109="B",$AD109="Z"),ROUND(N($K109)-N($L109)-N($M109),2),"")</f>
        <v/>
      </c>
      <c r="O109" s="32">
        <f>IF(OR($AD109="D",$AD109="T",$AD109="B",$AD109="Z"),IF(N($E109)=0,"",ROUND($F109/$E109,2)),"")</f>
        <v/>
      </c>
      <c r="Q109">
        <f>IFERROR(MATCH(105,บันทึกรายเที่ยว!$Z$6:$Z$6005,0),"")</f>
        <v/>
      </c>
      <c r="R109">
        <f>IF($Q109="","",INDEX(บันทึกรายเที่ยว!$V$6:$V$6005,$Q109))</f>
        <v/>
      </c>
      <c r="S109">
        <f>IF($Q109="","",INDEX(บันทึกรายเที่ยว!$F$6:$F$6005,$Q109))</f>
        <v/>
      </c>
      <c r="T109">
        <f>IF($Q109="","",MATCH($S109,บันทึกรายเที่ยว!$F$6:$F$6005,0))</f>
        <v/>
      </c>
      <c r="U109">
        <f>IF($Q109="","",$AL109*10000000+$T109*1000+105)</f>
        <v/>
      </c>
      <c r="V109">
        <f>IFERROR(MATCH(SMALL($U$5:$U$404,105),$U$5:$U$404,0),"")</f>
        <v/>
      </c>
      <c r="W109">
        <f>IF($V109="","",INDEX($Q$5:$Q$404,$V109))</f>
        <v/>
      </c>
      <c r="X109">
        <f>IF($V109="","",INDEX($S$5:$S$404,$V109))</f>
        <v/>
      </c>
      <c r="Y109">
        <f>IF($V109="","",INDEX($R$5:$R$404,$V109))</f>
        <v/>
      </c>
      <c r="Z109">
        <f>IF($V109="",0,IF($X109&lt;&gt;$X108,1,0))</f>
        <v/>
      </c>
      <c r="AA109">
        <f>IF($V109="",0,IF($V110="",1,IF($X110&lt;&gt;$X109,1,0)))</f>
        <v/>
      </c>
      <c r="AB109">
        <f>IF($V109="",99999+105,$AB108+1+$Z108+$AA108+$AO108)</f>
        <v/>
      </c>
      <c r="AC109">
        <f>IFERROR(MATCH(105,$AB$5:$AB$404,1),"")</f>
        <v/>
      </c>
      <c r="AD109">
        <f>IF(105=$AI$1+1,"Z",IF($AC109="","",IF(INDEX($V$5:$V$404,$AC109)="","",IF(105&gt;INDEX($AB$5:$AB$404,$AC109)+INDEX($Z$5:$Z$404,$AC109)+INDEX($AA$5:$AA$404,$AC109)+INDEX($AO$5:$AO$404,$AC109),"",IF(105=INDEX($AB$5:$AB$404,$AC109)+INDEX($Z$5:$Z$404,$AC109),"D",IF(AND(INDEX($Z$5:$Z$404,$AC109)=1,105=INDEX($AB$5:$AB$404,$AC109)),"H",IF(AND(INDEX($AO$5:$AO$404,$AC109)=1,105=INDEX($AB$5:$AB$404,$AC109)+INDEX($Z$5:$Z$404,$AC109)+INDEX($AA$5:$AA$404,$AC109)+INDEX($AO$5:$AO$404,$AC109)),"B","T")))))))</f>
        <v/>
      </c>
      <c r="AF109">
        <f>IF(OR($AD109="",$AD109="Z",$AD109="B"),"",INDEX($X$5:$X$404,$AC109))</f>
        <v/>
      </c>
      <c r="AJ109">
        <f>IF($AD109&lt;&gt;"T",0,ROUND(SUMIF(oil!$B$4:$B$63,$AF109,oil!$AE$4:$AE$63),2))</f>
        <v/>
      </c>
      <c r="AK109">
        <f>IF($S109="","",IFERROR(INDEX(อัตราค่าขนส่ง!$P$5:$P$54,MATCH($S109,อัตราค่าขนส่ง!$O$5:$O$54,0)),INDEX(รายการมาตรฐาน!$G$2:$G$3,1)))</f>
        <v/>
      </c>
      <c r="AL109">
        <f>IF($S109="","",IFERROR(MATCH($AK109,รายการมาตรฐาน!$G$2:$G$3,0),1))</f>
        <v/>
      </c>
      <c r="AM109">
        <f>IF($V109="","",INDEX($AK$5:$AK$404,$V109))</f>
        <v/>
      </c>
      <c r="AN109">
        <f>IF($V109="","",INDEX($AL$5:$AL$404,$V109))</f>
        <v/>
      </c>
      <c r="AO109">
        <f>IF(OR($V109="",$AI$2&lt;=1),0,IF($V110="",1,IF($AN110&lt;&gt;$AN109,1,0)))</f>
        <v/>
      </c>
      <c r="AP109">
        <f>IF($V109="",0,IF($AN109&lt;&gt;$AN108,1,0))</f>
        <v/>
      </c>
      <c r="AQ109">
        <f>IF(OR($AD109="",$AD109="Z"),"",INDEX($AN$5:$AN$404,$AC109))</f>
        <v/>
      </c>
      <c r="AR109">
        <f>IF($Y109="",0,COUNTIF(บันทึกรายเที่ยว!$V$6:$V$6005,$Y109))</f>
        <v/>
      </c>
      <c r="AS109">
        <f>IF($Y109="",0,ROUND(SUMIF(บันทึกรายเที่ยว!$V$6:$V$6005,$Y109,บันทึกรายเที่ยว!$M$6:$M$6005),2))</f>
        <v/>
      </c>
      <c r="AT109">
        <f>IF($Y109="",0,IFERROR(INDEX(อัตราค่าขนส่ง!$G$5:$G$204,MATCH($Y109,อัตราค่าขนส่ง!$M$5:$M$204,0)),0))</f>
        <v/>
      </c>
      <c r="AU109">
        <f>ROUND($AS109*$BD109,2)</f>
        <v/>
      </c>
      <c r="AV109">
        <f>ROUND($AU109*$BF$2/100,2)</f>
        <v/>
      </c>
      <c r="AW109">
        <f>IF($Y109="","",IFERROR(INDEX(อัตราค่าขนส่ง!$F$5:$F$204,MATCH($Y109,อัตราค่าขนส่ง!$M$5:$M$204,0)),""))</f>
        <v/>
      </c>
      <c r="AX109">
        <f>IF($W109="","",INDEX(บันทึกรายเที่ยว!$D$6:$D$6005,$W109))</f>
        <v/>
      </c>
      <c r="AY109">
        <f>IF($W109="","",INDEX(บันทึกรายเที่ยว!$R$6:$R$6005,$W109))</f>
        <v/>
      </c>
      <c r="AZ109">
        <f>IF(AND($AD109="T",$AQ109=1),N($AZ108)+1,N($AZ108))</f>
        <v/>
      </c>
      <c r="BA109">
        <f>IF($W109="","",INDEX(บันทึกรายเที่ยว!$E$6:$E$6005,$W109))</f>
        <v/>
      </c>
      <c r="BC109">
        <f>IF($Y109="",0,IFERROR(INDEX(อัตราค่าขนส่ง!$K$5:$K$204,MATCH($Y109,อัตราค่าขนส่ง!$M$5:$M$204,0)),0))</f>
        <v/>
      </c>
      <c r="BD109">
        <f>IF($Y109="",0,IFERROR(INDEX(อัตราค่าขนส่ง!$L$5:$L$204,MATCH($Y109,อัตราค่าขนส่ง!$M$5:$M$204,0)),0))</f>
        <v/>
      </c>
    </row>
    <row r="110" ht="21" customHeight="1" s="66">
      <c r="A110" s="69">
        <f>IF($AD110="","",IF($AD110="Z","รวมจ่ายทั้งสิ้น",IF($AD110="H",INDEX($X$5:$X$404,$AC110),IF($AD110="T","รวม",IF($AD110="B",IFERROR(INDEX(อัตราค่าขนส่ง!$S$5:$S$14,MATCH(INDEX($AM$5:$AM$404,$AC110),อัตราค่าขนส่ง!$R$5:$R$14,0)),"รวมกลุ่ม "&amp;INDEX($AM$5:$AM$404,$AC110)),INDEX($AY$5:$AY$404,$AC110))))))</f>
        <v/>
      </c>
      <c r="B110" s="31">
        <f>IF($AD110&lt;&gt;"D","",INDEX($AW$5:$AW$404,$AC110))</f>
        <v/>
      </c>
      <c r="C110" s="68">
        <f>IF($AD110&lt;&gt;"D","",INDEX($AX$5:$AX$404,$AC110))</f>
        <v/>
      </c>
      <c r="D110" s="70">
        <f>IF($AD110&lt;&gt;"D","",INDEX($BA$5:$BA$404,$AC110))</f>
        <v/>
      </c>
      <c r="E110" s="31">
        <f>IF($AD110="Z",SUM($AR$5:$AR$404),IF($AD110="D",INDEX($AR$5:$AR$404,$AC110),IF($AD110="T",SUMIF($X$5:$X$404,$AF110,$AR$5:$AR$404),IF($AD110="B",SUMIF($AN$5:$AN$404,$AQ110,$AR$5:$AR$404),""))))</f>
        <v/>
      </c>
      <c r="F110" s="32">
        <f>IF($AD110="Z",ROUND(SUM($AS$5:$AS$404),2),IF($AD110="D",INDEX($AS$5:$AS$404,$AC110),IF($AD110="T",ROUND(SUMIF($X$5:$X$404,$AF110,$AS$5:$AS$404),2),IF($AD110="B",ROUND(SUMIF($AN$5:$AN$404,$AQ110,$AS$5:$AS$404),2),""))))</f>
        <v/>
      </c>
      <c r="G110" s="32">
        <f>IF($AD110&lt;&gt;"D","",INDEX($AT$5:$AT$404,$AC110))</f>
        <v/>
      </c>
      <c r="H110" s="32">
        <f>IF($AD110&lt;&gt;"D","",INDEX($BC$5:$BC$404,$AC110))</f>
        <v/>
      </c>
      <c r="I110" s="32">
        <f>IF($AD110&lt;&gt;"D","",INDEX($BD$5:$BD$404,$AC110))</f>
        <v/>
      </c>
      <c r="J110" s="46">
        <f>IF($AD110&lt;&gt;"D","",IF(N($B110)=0,"",ROUND($I110/$B110,4)))</f>
        <v/>
      </c>
      <c r="K110" s="32">
        <f>IF($AD110="Z",ROUND(SUM($AU$5:$AU$404),2),IF($AD110="D",INDEX($AU$5:$AU$404,$AC110),IF($AD110="T",ROUND(SUMIF($X$5:$X$404,$AF110,$AU$5:$AU$404),2),IF($AD110="B",ROUND(SUMIF($AN$5:$AN$404,$AQ110,$AU$5:$AU$404),2),""))))</f>
        <v/>
      </c>
      <c r="L110" s="32">
        <f>IF($AD110="Z",ROUND(SUM($AV$5:$AV$404),2),IF($AD110="D",INDEX($AV$5:$AV$404,$AC110),IF($AD110="T",ROUND(SUMIF($X$5:$X$404,$AF110,$AV$5:$AV$404),2),IF($AD110="B",ROUND(SUMIF($AN$5:$AN$404,$AQ110,$AV$5:$AV$404),2),""))))</f>
        <v/>
      </c>
      <c r="M110" s="32">
        <f>IF($AD110="Z",ROUND(SUM($AJ$5:$AJ$704),2),IF($AD110="B",ROUND(SUMIF($AQ$5:$AQ$704,$AQ110,$AJ$5:$AJ$704),2),IF($AD110&lt;&gt;"T","",$AJ110)))</f>
        <v/>
      </c>
      <c r="N110" s="32">
        <f>IF(OR($AD110="D",$AD110="T",$AD110="B",$AD110="Z"),ROUND(N($K110)-N($L110)-N($M110),2),"")</f>
        <v/>
      </c>
      <c r="O110" s="32">
        <f>IF(OR($AD110="D",$AD110="T",$AD110="B",$AD110="Z"),IF(N($E110)=0,"",ROUND($F110/$E110,2)),"")</f>
        <v/>
      </c>
      <c r="Q110">
        <f>IFERROR(MATCH(106,บันทึกรายเที่ยว!$Z$6:$Z$6005,0),"")</f>
        <v/>
      </c>
      <c r="R110">
        <f>IF($Q110="","",INDEX(บันทึกรายเที่ยว!$V$6:$V$6005,$Q110))</f>
        <v/>
      </c>
      <c r="S110">
        <f>IF($Q110="","",INDEX(บันทึกรายเที่ยว!$F$6:$F$6005,$Q110))</f>
        <v/>
      </c>
      <c r="T110">
        <f>IF($Q110="","",MATCH($S110,บันทึกรายเที่ยว!$F$6:$F$6005,0))</f>
        <v/>
      </c>
      <c r="U110">
        <f>IF($Q110="","",$AL110*10000000+$T110*1000+106)</f>
        <v/>
      </c>
      <c r="V110">
        <f>IFERROR(MATCH(SMALL($U$5:$U$404,106),$U$5:$U$404,0),"")</f>
        <v/>
      </c>
      <c r="W110">
        <f>IF($V110="","",INDEX($Q$5:$Q$404,$V110))</f>
        <v/>
      </c>
      <c r="X110">
        <f>IF($V110="","",INDEX($S$5:$S$404,$V110))</f>
        <v/>
      </c>
      <c r="Y110">
        <f>IF($V110="","",INDEX($R$5:$R$404,$V110))</f>
        <v/>
      </c>
      <c r="Z110">
        <f>IF($V110="",0,IF($X110&lt;&gt;$X109,1,0))</f>
        <v/>
      </c>
      <c r="AA110">
        <f>IF($V110="",0,IF($V111="",1,IF($X111&lt;&gt;$X110,1,0)))</f>
        <v/>
      </c>
      <c r="AB110">
        <f>IF($V110="",99999+106,$AB109+1+$Z109+$AA109+$AO109)</f>
        <v/>
      </c>
      <c r="AC110">
        <f>IFERROR(MATCH(106,$AB$5:$AB$404,1),"")</f>
        <v/>
      </c>
      <c r="AD110">
        <f>IF(106=$AI$1+1,"Z",IF($AC110="","",IF(INDEX($V$5:$V$404,$AC110)="","",IF(106&gt;INDEX($AB$5:$AB$404,$AC110)+INDEX($Z$5:$Z$404,$AC110)+INDEX($AA$5:$AA$404,$AC110)+INDEX($AO$5:$AO$404,$AC110),"",IF(106=INDEX($AB$5:$AB$404,$AC110)+INDEX($Z$5:$Z$404,$AC110),"D",IF(AND(INDEX($Z$5:$Z$404,$AC110)=1,106=INDEX($AB$5:$AB$404,$AC110)),"H",IF(AND(INDEX($AO$5:$AO$404,$AC110)=1,106=INDEX($AB$5:$AB$404,$AC110)+INDEX($Z$5:$Z$404,$AC110)+INDEX($AA$5:$AA$404,$AC110)+INDEX($AO$5:$AO$404,$AC110)),"B","T")))))))</f>
        <v/>
      </c>
      <c r="AF110">
        <f>IF(OR($AD110="",$AD110="Z",$AD110="B"),"",INDEX($X$5:$X$404,$AC110))</f>
        <v/>
      </c>
      <c r="AJ110">
        <f>IF($AD110&lt;&gt;"T",0,ROUND(SUMIF(oil!$B$4:$B$63,$AF110,oil!$AE$4:$AE$63),2))</f>
        <v/>
      </c>
      <c r="AK110">
        <f>IF($S110="","",IFERROR(INDEX(อัตราค่าขนส่ง!$P$5:$P$54,MATCH($S110,อัตราค่าขนส่ง!$O$5:$O$54,0)),INDEX(รายการมาตรฐาน!$G$2:$G$3,1)))</f>
        <v/>
      </c>
      <c r="AL110">
        <f>IF($S110="","",IFERROR(MATCH($AK110,รายการมาตรฐาน!$G$2:$G$3,0),1))</f>
        <v/>
      </c>
      <c r="AM110">
        <f>IF($V110="","",INDEX($AK$5:$AK$404,$V110))</f>
        <v/>
      </c>
      <c r="AN110">
        <f>IF($V110="","",INDEX($AL$5:$AL$404,$V110))</f>
        <v/>
      </c>
      <c r="AO110">
        <f>IF(OR($V110="",$AI$2&lt;=1),0,IF($V111="",1,IF($AN111&lt;&gt;$AN110,1,0)))</f>
        <v/>
      </c>
      <c r="AP110">
        <f>IF($V110="",0,IF($AN110&lt;&gt;$AN109,1,0))</f>
        <v/>
      </c>
      <c r="AQ110">
        <f>IF(OR($AD110="",$AD110="Z"),"",INDEX($AN$5:$AN$404,$AC110))</f>
        <v/>
      </c>
      <c r="AR110">
        <f>IF($Y110="",0,COUNTIF(บันทึกรายเที่ยว!$V$6:$V$6005,$Y110))</f>
        <v/>
      </c>
      <c r="AS110">
        <f>IF($Y110="",0,ROUND(SUMIF(บันทึกรายเที่ยว!$V$6:$V$6005,$Y110,บันทึกรายเที่ยว!$M$6:$M$6005),2))</f>
        <v/>
      </c>
      <c r="AT110">
        <f>IF($Y110="",0,IFERROR(INDEX(อัตราค่าขนส่ง!$G$5:$G$204,MATCH($Y110,อัตราค่าขนส่ง!$M$5:$M$204,0)),0))</f>
        <v/>
      </c>
      <c r="AU110">
        <f>ROUND($AS110*$BD110,2)</f>
        <v/>
      </c>
      <c r="AV110">
        <f>ROUND($AU110*$BF$2/100,2)</f>
        <v/>
      </c>
      <c r="AW110">
        <f>IF($Y110="","",IFERROR(INDEX(อัตราค่าขนส่ง!$F$5:$F$204,MATCH($Y110,อัตราค่าขนส่ง!$M$5:$M$204,0)),""))</f>
        <v/>
      </c>
      <c r="AX110">
        <f>IF($W110="","",INDEX(บันทึกรายเที่ยว!$D$6:$D$6005,$W110))</f>
        <v/>
      </c>
      <c r="AY110">
        <f>IF($W110="","",INDEX(บันทึกรายเที่ยว!$R$6:$R$6005,$W110))</f>
        <v/>
      </c>
      <c r="AZ110">
        <f>IF(AND($AD110="T",$AQ110=1),N($AZ109)+1,N($AZ109))</f>
        <v/>
      </c>
      <c r="BA110">
        <f>IF($W110="","",INDEX(บันทึกรายเที่ยว!$E$6:$E$6005,$W110))</f>
        <v/>
      </c>
      <c r="BC110">
        <f>IF($Y110="",0,IFERROR(INDEX(อัตราค่าขนส่ง!$K$5:$K$204,MATCH($Y110,อัตราค่าขนส่ง!$M$5:$M$204,0)),0))</f>
        <v/>
      </c>
      <c r="BD110">
        <f>IF($Y110="",0,IFERROR(INDEX(อัตราค่าขนส่ง!$L$5:$L$204,MATCH($Y110,อัตราค่าขนส่ง!$M$5:$M$204,0)),0))</f>
        <v/>
      </c>
    </row>
    <row r="111" ht="21" customHeight="1" s="66">
      <c r="A111" s="69">
        <f>IF($AD111="","",IF($AD111="Z","รวมจ่ายทั้งสิ้น",IF($AD111="H",INDEX($X$5:$X$404,$AC111),IF($AD111="T","รวม",IF($AD111="B",IFERROR(INDEX(อัตราค่าขนส่ง!$S$5:$S$14,MATCH(INDEX($AM$5:$AM$404,$AC111),อัตราค่าขนส่ง!$R$5:$R$14,0)),"รวมกลุ่ม "&amp;INDEX($AM$5:$AM$404,$AC111)),INDEX($AY$5:$AY$404,$AC111))))))</f>
        <v/>
      </c>
      <c r="B111" s="31">
        <f>IF($AD111&lt;&gt;"D","",INDEX($AW$5:$AW$404,$AC111))</f>
        <v/>
      </c>
      <c r="C111" s="68">
        <f>IF($AD111&lt;&gt;"D","",INDEX($AX$5:$AX$404,$AC111))</f>
        <v/>
      </c>
      <c r="D111" s="70">
        <f>IF($AD111&lt;&gt;"D","",INDEX($BA$5:$BA$404,$AC111))</f>
        <v/>
      </c>
      <c r="E111" s="31">
        <f>IF($AD111="Z",SUM($AR$5:$AR$404),IF($AD111="D",INDEX($AR$5:$AR$404,$AC111),IF($AD111="T",SUMIF($X$5:$X$404,$AF111,$AR$5:$AR$404),IF($AD111="B",SUMIF($AN$5:$AN$404,$AQ111,$AR$5:$AR$404),""))))</f>
        <v/>
      </c>
      <c r="F111" s="32">
        <f>IF($AD111="Z",ROUND(SUM($AS$5:$AS$404),2),IF($AD111="D",INDEX($AS$5:$AS$404,$AC111),IF($AD111="T",ROUND(SUMIF($X$5:$X$404,$AF111,$AS$5:$AS$404),2),IF($AD111="B",ROUND(SUMIF($AN$5:$AN$404,$AQ111,$AS$5:$AS$404),2),""))))</f>
        <v/>
      </c>
      <c r="G111" s="32">
        <f>IF($AD111&lt;&gt;"D","",INDEX($AT$5:$AT$404,$AC111))</f>
        <v/>
      </c>
      <c r="H111" s="32">
        <f>IF($AD111&lt;&gt;"D","",INDEX($BC$5:$BC$404,$AC111))</f>
        <v/>
      </c>
      <c r="I111" s="32">
        <f>IF($AD111&lt;&gt;"D","",INDEX($BD$5:$BD$404,$AC111))</f>
        <v/>
      </c>
      <c r="J111" s="46">
        <f>IF($AD111&lt;&gt;"D","",IF(N($B111)=0,"",ROUND($I111/$B111,4)))</f>
        <v/>
      </c>
      <c r="K111" s="32">
        <f>IF($AD111="Z",ROUND(SUM($AU$5:$AU$404),2),IF($AD111="D",INDEX($AU$5:$AU$404,$AC111),IF($AD111="T",ROUND(SUMIF($X$5:$X$404,$AF111,$AU$5:$AU$404),2),IF($AD111="B",ROUND(SUMIF($AN$5:$AN$404,$AQ111,$AU$5:$AU$404),2),""))))</f>
        <v/>
      </c>
      <c r="L111" s="32">
        <f>IF($AD111="Z",ROUND(SUM($AV$5:$AV$404),2),IF($AD111="D",INDEX($AV$5:$AV$404,$AC111),IF($AD111="T",ROUND(SUMIF($X$5:$X$404,$AF111,$AV$5:$AV$404),2),IF($AD111="B",ROUND(SUMIF($AN$5:$AN$404,$AQ111,$AV$5:$AV$404),2),""))))</f>
        <v/>
      </c>
      <c r="M111" s="32">
        <f>IF($AD111="Z",ROUND(SUM($AJ$5:$AJ$704),2),IF($AD111="B",ROUND(SUMIF($AQ$5:$AQ$704,$AQ111,$AJ$5:$AJ$704),2),IF($AD111&lt;&gt;"T","",$AJ111)))</f>
        <v/>
      </c>
      <c r="N111" s="32">
        <f>IF(OR($AD111="D",$AD111="T",$AD111="B",$AD111="Z"),ROUND(N($K111)-N($L111)-N($M111),2),"")</f>
        <v/>
      </c>
      <c r="O111" s="32">
        <f>IF(OR($AD111="D",$AD111="T",$AD111="B",$AD111="Z"),IF(N($E111)=0,"",ROUND($F111/$E111,2)),"")</f>
        <v/>
      </c>
      <c r="Q111">
        <f>IFERROR(MATCH(107,บันทึกรายเที่ยว!$Z$6:$Z$6005,0),"")</f>
        <v/>
      </c>
      <c r="R111">
        <f>IF($Q111="","",INDEX(บันทึกรายเที่ยว!$V$6:$V$6005,$Q111))</f>
        <v/>
      </c>
      <c r="S111">
        <f>IF($Q111="","",INDEX(บันทึกรายเที่ยว!$F$6:$F$6005,$Q111))</f>
        <v/>
      </c>
      <c r="T111">
        <f>IF($Q111="","",MATCH($S111,บันทึกรายเที่ยว!$F$6:$F$6005,0))</f>
        <v/>
      </c>
      <c r="U111">
        <f>IF($Q111="","",$AL111*10000000+$T111*1000+107)</f>
        <v/>
      </c>
      <c r="V111">
        <f>IFERROR(MATCH(SMALL($U$5:$U$404,107),$U$5:$U$404,0),"")</f>
        <v/>
      </c>
      <c r="W111">
        <f>IF($V111="","",INDEX($Q$5:$Q$404,$V111))</f>
        <v/>
      </c>
      <c r="X111">
        <f>IF($V111="","",INDEX($S$5:$S$404,$V111))</f>
        <v/>
      </c>
      <c r="Y111">
        <f>IF($V111="","",INDEX($R$5:$R$404,$V111))</f>
        <v/>
      </c>
      <c r="Z111">
        <f>IF($V111="",0,IF($X111&lt;&gt;$X110,1,0))</f>
        <v/>
      </c>
      <c r="AA111">
        <f>IF($V111="",0,IF($V112="",1,IF($X112&lt;&gt;$X111,1,0)))</f>
        <v/>
      </c>
      <c r="AB111">
        <f>IF($V111="",99999+107,$AB110+1+$Z110+$AA110+$AO110)</f>
        <v/>
      </c>
      <c r="AC111">
        <f>IFERROR(MATCH(107,$AB$5:$AB$404,1),"")</f>
        <v/>
      </c>
      <c r="AD111">
        <f>IF(107=$AI$1+1,"Z",IF($AC111="","",IF(INDEX($V$5:$V$404,$AC111)="","",IF(107&gt;INDEX($AB$5:$AB$404,$AC111)+INDEX($Z$5:$Z$404,$AC111)+INDEX($AA$5:$AA$404,$AC111)+INDEX($AO$5:$AO$404,$AC111),"",IF(107=INDEX($AB$5:$AB$404,$AC111)+INDEX($Z$5:$Z$404,$AC111),"D",IF(AND(INDEX($Z$5:$Z$404,$AC111)=1,107=INDEX($AB$5:$AB$404,$AC111)),"H",IF(AND(INDEX($AO$5:$AO$404,$AC111)=1,107=INDEX($AB$5:$AB$404,$AC111)+INDEX($Z$5:$Z$404,$AC111)+INDEX($AA$5:$AA$404,$AC111)+INDEX($AO$5:$AO$404,$AC111)),"B","T")))))))</f>
        <v/>
      </c>
      <c r="AF111">
        <f>IF(OR($AD111="",$AD111="Z",$AD111="B"),"",INDEX($X$5:$X$404,$AC111))</f>
        <v/>
      </c>
      <c r="AJ111">
        <f>IF($AD111&lt;&gt;"T",0,ROUND(SUMIF(oil!$B$4:$B$63,$AF111,oil!$AE$4:$AE$63),2))</f>
        <v/>
      </c>
      <c r="AK111">
        <f>IF($S111="","",IFERROR(INDEX(อัตราค่าขนส่ง!$P$5:$P$54,MATCH($S111,อัตราค่าขนส่ง!$O$5:$O$54,0)),INDEX(รายการมาตรฐาน!$G$2:$G$3,1)))</f>
        <v/>
      </c>
      <c r="AL111">
        <f>IF($S111="","",IFERROR(MATCH($AK111,รายการมาตรฐาน!$G$2:$G$3,0),1))</f>
        <v/>
      </c>
      <c r="AM111">
        <f>IF($V111="","",INDEX($AK$5:$AK$404,$V111))</f>
        <v/>
      </c>
      <c r="AN111">
        <f>IF($V111="","",INDEX($AL$5:$AL$404,$V111))</f>
        <v/>
      </c>
      <c r="AO111">
        <f>IF(OR($V111="",$AI$2&lt;=1),0,IF($V112="",1,IF($AN112&lt;&gt;$AN111,1,0)))</f>
        <v/>
      </c>
      <c r="AP111">
        <f>IF($V111="",0,IF($AN111&lt;&gt;$AN110,1,0))</f>
        <v/>
      </c>
      <c r="AQ111">
        <f>IF(OR($AD111="",$AD111="Z"),"",INDEX($AN$5:$AN$404,$AC111))</f>
        <v/>
      </c>
      <c r="AR111">
        <f>IF($Y111="",0,COUNTIF(บันทึกรายเที่ยว!$V$6:$V$6005,$Y111))</f>
        <v/>
      </c>
      <c r="AS111">
        <f>IF($Y111="",0,ROUND(SUMIF(บันทึกรายเที่ยว!$V$6:$V$6005,$Y111,บันทึกรายเที่ยว!$M$6:$M$6005),2))</f>
        <v/>
      </c>
      <c r="AT111">
        <f>IF($Y111="",0,IFERROR(INDEX(อัตราค่าขนส่ง!$G$5:$G$204,MATCH($Y111,อัตราค่าขนส่ง!$M$5:$M$204,0)),0))</f>
        <v/>
      </c>
      <c r="AU111">
        <f>ROUND($AS111*$BD111,2)</f>
        <v/>
      </c>
      <c r="AV111">
        <f>ROUND($AU111*$BF$2/100,2)</f>
        <v/>
      </c>
      <c r="AW111">
        <f>IF($Y111="","",IFERROR(INDEX(อัตราค่าขนส่ง!$F$5:$F$204,MATCH($Y111,อัตราค่าขนส่ง!$M$5:$M$204,0)),""))</f>
        <v/>
      </c>
      <c r="AX111">
        <f>IF($W111="","",INDEX(บันทึกรายเที่ยว!$D$6:$D$6005,$W111))</f>
        <v/>
      </c>
      <c r="AY111">
        <f>IF($W111="","",INDEX(บันทึกรายเที่ยว!$R$6:$R$6005,$W111))</f>
        <v/>
      </c>
      <c r="AZ111">
        <f>IF(AND($AD111="T",$AQ111=1),N($AZ110)+1,N($AZ110))</f>
        <v/>
      </c>
      <c r="BA111">
        <f>IF($W111="","",INDEX(บันทึกรายเที่ยว!$E$6:$E$6005,$W111))</f>
        <v/>
      </c>
      <c r="BC111">
        <f>IF($Y111="",0,IFERROR(INDEX(อัตราค่าขนส่ง!$K$5:$K$204,MATCH($Y111,อัตราค่าขนส่ง!$M$5:$M$204,0)),0))</f>
        <v/>
      </c>
      <c r="BD111">
        <f>IF($Y111="",0,IFERROR(INDEX(อัตราค่าขนส่ง!$L$5:$L$204,MATCH($Y111,อัตราค่าขนส่ง!$M$5:$M$204,0)),0))</f>
        <v/>
      </c>
    </row>
    <row r="112" ht="21" customHeight="1" s="66">
      <c r="A112" s="69">
        <f>IF($AD112="","",IF($AD112="Z","รวมจ่ายทั้งสิ้น",IF($AD112="H",INDEX($X$5:$X$404,$AC112),IF($AD112="T","รวม",IF($AD112="B",IFERROR(INDEX(อัตราค่าขนส่ง!$S$5:$S$14,MATCH(INDEX($AM$5:$AM$404,$AC112),อัตราค่าขนส่ง!$R$5:$R$14,0)),"รวมกลุ่ม "&amp;INDEX($AM$5:$AM$404,$AC112)),INDEX($AY$5:$AY$404,$AC112))))))</f>
        <v/>
      </c>
      <c r="B112" s="31">
        <f>IF($AD112&lt;&gt;"D","",INDEX($AW$5:$AW$404,$AC112))</f>
        <v/>
      </c>
      <c r="C112" s="68">
        <f>IF($AD112&lt;&gt;"D","",INDEX($AX$5:$AX$404,$AC112))</f>
        <v/>
      </c>
      <c r="D112" s="70">
        <f>IF($AD112&lt;&gt;"D","",INDEX($BA$5:$BA$404,$AC112))</f>
        <v/>
      </c>
      <c r="E112" s="31">
        <f>IF($AD112="Z",SUM($AR$5:$AR$404),IF($AD112="D",INDEX($AR$5:$AR$404,$AC112),IF($AD112="T",SUMIF($X$5:$X$404,$AF112,$AR$5:$AR$404),IF($AD112="B",SUMIF($AN$5:$AN$404,$AQ112,$AR$5:$AR$404),""))))</f>
        <v/>
      </c>
      <c r="F112" s="32">
        <f>IF($AD112="Z",ROUND(SUM($AS$5:$AS$404),2),IF($AD112="D",INDEX($AS$5:$AS$404,$AC112),IF($AD112="T",ROUND(SUMIF($X$5:$X$404,$AF112,$AS$5:$AS$404),2),IF($AD112="B",ROUND(SUMIF($AN$5:$AN$404,$AQ112,$AS$5:$AS$404),2),""))))</f>
        <v/>
      </c>
      <c r="G112" s="32">
        <f>IF($AD112&lt;&gt;"D","",INDEX($AT$5:$AT$404,$AC112))</f>
        <v/>
      </c>
      <c r="H112" s="32">
        <f>IF($AD112&lt;&gt;"D","",INDEX($BC$5:$BC$404,$AC112))</f>
        <v/>
      </c>
      <c r="I112" s="32">
        <f>IF($AD112&lt;&gt;"D","",INDEX($BD$5:$BD$404,$AC112))</f>
        <v/>
      </c>
      <c r="J112" s="46">
        <f>IF($AD112&lt;&gt;"D","",IF(N($B112)=0,"",ROUND($I112/$B112,4)))</f>
        <v/>
      </c>
      <c r="K112" s="32">
        <f>IF($AD112="Z",ROUND(SUM($AU$5:$AU$404),2),IF($AD112="D",INDEX($AU$5:$AU$404,$AC112),IF($AD112="T",ROUND(SUMIF($X$5:$X$404,$AF112,$AU$5:$AU$404),2),IF($AD112="B",ROUND(SUMIF($AN$5:$AN$404,$AQ112,$AU$5:$AU$404),2),""))))</f>
        <v/>
      </c>
      <c r="L112" s="32">
        <f>IF($AD112="Z",ROUND(SUM($AV$5:$AV$404),2),IF($AD112="D",INDEX($AV$5:$AV$404,$AC112),IF($AD112="T",ROUND(SUMIF($X$5:$X$404,$AF112,$AV$5:$AV$404),2),IF($AD112="B",ROUND(SUMIF($AN$5:$AN$404,$AQ112,$AV$5:$AV$404),2),""))))</f>
        <v/>
      </c>
      <c r="M112" s="32">
        <f>IF($AD112="Z",ROUND(SUM($AJ$5:$AJ$704),2),IF($AD112="B",ROUND(SUMIF($AQ$5:$AQ$704,$AQ112,$AJ$5:$AJ$704),2),IF($AD112&lt;&gt;"T","",$AJ112)))</f>
        <v/>
      </c>
      <c r="N112" s="32">
        <f>IF(OR($AD112="D",$AD112="T",$AD112="B",$AD112="Z"),ROUND(N($K112)-N($L112)-N($M112),2),"")</f>
        <v/>
      </c>
      <c r="O112" s="32">
        <f>IF(OR($AD112="D",$AD112="T",$AD112="B",$AD112="Z"),IF(N($E112)=0,"",ROUND($F112/$E112,2)),"")</f>
        <v/>
      </c>
      <c r="Q112">
        <f>IFERROR(MATCH(108,บันทึกรายเที่ยว!$Z$6:$Z$6005,0),"")</f>
        <v/>
      </c>
      <c r="R112">
        <f>IF($Q112="","",INDEX(บันทึกรายเที่ยว!$V$6:$V$6005,$Q112))</f>
        <v/>
      </c>
      <c r="S112">
        <f>IF($Q112="","",INDEX(บันทึกรายเที่ยว!$F$6:$F$6005,$Q112))</f>
        <v/>
      </c>
      <c r="T112">
        <f>IF($Q112="","",MATCH($S112,บันทึกรายเที่ยว!$F$6:$F$6005,0))</f>
        <v/>
      </c>
      <c r="U112">
        <f>IF($Q112="","",$AL112*10000000+$T112*1000+108)</f>
        <v/>
      </c>
      <c r="V112">
        <f>IFERROR(MATCH(SMALL($U$5:$U$404,108),$U$5:$U$404,0),"")</f>
        <v/>
      </c>
      <c r="W112">
        <f>IF($V112="","",INDEX($Q$5:$Q$404,$V112))</f>
        <v/>
      </c>
      <c r="X112">
        <f>IF($V112="","",INDEX($S$5:$S$404,$V112))</f>
        <v/>
      </c>
      <c r="Y112">
        <f>IF($V112="","",INDEX($R$5:$R$404,$V112))</f>
        <v/>
      </c>
      <c r="Z112">
        <f>IF($V112="",0,IF($X112&lt;&gt;$X111,1,0))</f>
        <v/>
      </c>
      <c r="AA112">
        <f>IF($V112="",0,IF($V113="",1,IF($X113&lt;&gt;$X112,1,0)))</f>
        <v/>
      </c>
      <c r="AB112">
        <f>IF($V112="",99999+108,$AB111+1+$Z111+$AA111+$AO111)</f>
        <v/>
      </c>
      <c r="AC112">
        <f>IFERROR(MATCH(108,$AB$5:$AB$404,1),"")</f>
        <v/>
      </c>
      <c r="AD112">
        <f>IF(108=$AI$1+1,"Z",IF($AC112="","",IF(INDEX($V$5:$V$404,$AC112)="","",IF(108&gt;INDEX($AB$5:$AB$404,$AC112)+INDEX($Z$5:$Z$404,$AC112)+INDEX($AA$5:$AA$404,$AC112)+INDEX($AO$5:$AO$404,$AC112),"",IF(108=INDEX($AB$5:$AB$404,$AC112)+INDEX($Z$5:$Z$404,$AC112),"D",IF(AND(INDEX($Z$5:$Z$404,$AC112)=1,108=INDEX($AB$5:$AB$404,$AC112)),"H",IF(AND(INDEX($AO$5:$AO$404,$AC112)=1,108=INDEX($AB$5:$AB$404,$AC112)+INDEX($Z$5:$Z$404,$AC112)+INDEX($AA$5:$AA$404,$AC112)+INDEX($AO$5:$AO$404,$AC112)),"B","T")))))))</f>
        <v/>
      </c>
      <c r="AF112">
        <f>IF(OR($AD112="",$AD112="Z",$AD112="B"),"",INDEX($X$5:$X$404,$AC112))</f>
        <v/>
      </c>
      <c r="AJ112">
        <f>IF($AD112&lt;&gt;"T",0,ROUND(SUMIF(oil!$B$4:$B$63,$AF112,oil!$AE$4:$AE$63),2))</f>
        <v/>
      </c>
      <c r="AK112">
        <f>IF($S112="","",IFERROR(INDEX(อัตราค่าขนส่ง!$P$5:$P$54,MATCH($S112,อัตราค่าขนส่ง!$O$5:$O$54,0)),INDEX(รายการมาตรฐาน!$G$2:$G$3,1)))</f>
        <v/>
      </c>
      <c r="AL112">
        <f>IF($S112="","",IFERROR(MATCH($AK112,รายการมาตรฐาน!$G$2:$G$3,0),1))</f>
        <v/>
      </c>
      <c r="AM112">
        <f>IF($V112="","",INDEX($AK$5:$AK$404,$V112))</f>
        <v/>
      </c>
      <c r="AN112">
        <f>IF($V112="","",INDEX($AL$5:$AL$404,$V112))</f>
        <v/>
      </c>
      <c r="AO112">
        <f>IF(OR($V112="",$AI$2&lt;=1),0,IF($V113="",1,IF($AN113&lt;&gt;$AN112,1,0)))</f>
        <v/>
      </c>
      <c r="AP112">
        <f>IF($V112="",0,IF($AN112&lt;&gt;$AN111,1,0))</f>
        <v/>
      </c>
      <c r="AQ112">
        <f>IF(OR($AD112="",$AD112="Z"),"",INDEX($AN$5:$AN$404,$AC112))</f>
        <v/>
      </c>
      <c r="AR112">
        <f>IF($Y112="",0,COUNTIF(บันทึกรายเที่ยว!$V$6:$V$6005,$Y112))</f>
        <v/>
      </c>
      <c r="AS112">
        <f>IF($Y112="",0,ROUND(SUMIF(บันทึกรายเที่ยว!$V$6:$V$6005,$Y112,บันทึกรายเที่ยว!$M$6:$M$6005),2))</f>
        <v/>
      </c>
      <c r="AT112">
        <f>IF($Y112="",0,IFERROR(INDEX(อัตราค่าขนส่ง!$G$5:$G$204,MATCH($Y112,อัตราค่าขนส่ง!$M$5:$M$204,0)),0))</f>
        <v/>
      </c>
      <c r="AU112">
        <f>ROUND($AS112*$BD112,2)</f>
        <v/>
      </c>
      <c r="AV112">
        <f>ROUND($AU112*$BF$2/100,2)</f>
        <v/>
      </c>
      <c r="AW112">
        <f>IF($Y112="","",IFERROR(INDEX(อัตราค่าขนส่ง!$F$5:$F$204,MATCH($Y112,อัตราค่าขนส่ง!$M$5:$M$204,0)),""))</f>
        <v/>
      </c>
      <c r="AX112">
        <f>IF($W112="","",INDEX(บันทึกรายเที่ยว!$D$6:$D$6005,$W112))</f>
        <v/>
      </c>
      <c r="AY112">
        <f>IF($W112="","",INDEX(บันทึกรายเที่ยว!$R$6:$R$6005,$W112))</f>
        <v/>
      </c>
      <c r="AZ112">
        <f>IF(AND($AD112="T",$AQ112=1),N($AZ111)+1,N($AZ111))</f>
        <v/>
      </c>
      <c r="BA112">
        <f>IF($W112="","",INDEX(บันทึกรายเที่ยว!$E$6:$E$6005,$W112))</f>
        <v/>
      </c>
      <c r="BC112">
        <f>IF($Y112="",0,IFERROR(INDEX(อัตราค่าขนส่ง!$K$5:$K$204,MATCH($Y112,อัตราค่าขนส่ง!$M$5:$M$204,0)),0))</f>
        <v/>
      </c>
      <c r="BD112">
        <f>IF($Y112="",0,IFERROR(INDEX(อัตราค่าขนส่ง!$L$5:$L$204,MATCH($Y112,อัตราค่าขนส่ง!$M$5:$M$204,0)),0))</f>
        <v/>
      </c>
    </row>
    <row r="113" ht="21" customHeight="1" s="66">
      <c r="A113" s="69">
        <f>IF($AD113="","",IF($AD113="Z","รวมจ่ายทั้งสิ้น",IF($AD113="H",INDEX($X$5:$X$404,$AC113),IF($AD113="T","รวม",IF($AD113="B",IFERROR(INDEX(อัตราค่าขนส่ง!$S$5:$S$14,MATCH(INDEX($AM$5:$AM$404,$AC113),อัตราค่าขนส่ง!$R$5:$R$14,0)),"รวมกลุ่ม "&amp;INDEX($AM$5:$AM$404,$AC113)),INDEX($AY$5:$AY$404,$AC113))))))</f>
        <v/>
      </c>
      <c r="B113" s="31">
        <f>IF($AD113&lt;&gt;"D","",INDEX($AW$5:$AW$404,$AC113))</f>
        <v/>
      </c>
      <c r="C113" s="68">
        <f>IF($AD113&lt;&gt;"D","",INDEX($AX$5:$AX$404,$AC113))</f>
        <v/>
      </c>
      <c r="D113" s="70">
        <f>IF($AD113&lt;&gt;"D","",INDEX($BA$5:$BA$404,$AC113))</f>
        <v/>
      </c>
      <c r="E113" s="31">
        <f>IF($AD113="Z",SUM($AR$5:$AR$404),IF($AD113="D",INDEX($AR$5:$AR$404,$AC113),IF($AD113="T",SUMIF($X$5:$X$404,$AF113,$AR$5:$AR$404),IF($AD113="B",SUMIF($AN$5:$AN$404,$AQ113,$AR$5:$AR$404),""))))</f>
        <v/>
      </c>
      <c r="F113" s="32">
        <f>IF($AD113="Z",ROUND(SUM($AS$5:$AS$404),2),IF($AD113="D",INDEX($AS$5:$AS$404,$AC113),IF($AD113="T",ROUND(SUMIF($X$5:$X$404,$AF113,$AS$5:$AS$404),2),IF($AD113="B",ROUND(SUMIF($AN$5:$AN$404,$AQ113,$AS$5:$AS$404),2),""))))</f>
        <v/>
      </c>
      <c r="G113" s="32">
        <f>IF($AD113&lt;&gt;"D","",INDEX($AT$5:$AT$404,$AC113))</f>
        <v/>
      </c>
      <c r="H113" s="32">
        <f>IF($AD113&lt;&gt;"D","",INDEX($BC$5:$BC$404,$AC113))</f>
        <v/>
      </c>
      <c r="I113" s="32">
        <f>IF($AD113&lt;&gt;"D","",INDEX($BD$5:$BD$404,$AC113))</f>
        <v/>
      </c>
      <c r="J113" s="46">
        <f>IF($AD113&lt;&gt;"D","",IF(N($B113)=0,"",ROUND($I113/$B113,4)))</f>
        <v/>
      </c>
      <c r="K113" s="32">
        <f>IF($AD113="Z",ROUND(SUM($AU$5:$AU$404),2),IF($AD113="D",INDEX($AU$5:$AU$404,$AC113),IF($AD113="T",ROUND(SUMIF($X$5:$X$404,$AF113,$AU$5:$AU$404),2),IF($AD113="B",ROUND(SUMIF($AN$5:$AN$404,$AQ113,$AU$5:$AU$404),2),""))))</f>
        <v/>
      </c>
      <c r="L113" s="32">
        <f>IF($AD113="Z",ROUND(SUM($AV$5:$AV$404),2),IF($AD113="D",INDEX($AV$5:$AV$404,$AC113),IF($AD113="T",ROUND(SUMIF($X$5:$X$404,$AF113,$AV$5:$AV$404),2),IF($AD113="B",ROUND(SUMIF($AN$5:$AN$404,$AQ113,$AV$5:$AV$404),2),""))))</f>
        <v/>
      </c>
      <c r="M113" s="32">
        <f>IF($AD113="Z",ROUND(SUM($AJ$5:$AJ$704),2),IF($AD113="B",ROUND(SUMIF($AQ$5:$AQ$704,$AQ113,$AJ$5:$AJ$704),2),IF($AD113&lt;&gt;"T","",$AJ113)))</f>
        <v/>
      </c>
      <c r="N113" s="32">
        <f>IF(OR($AD113="D",$AD113="T",$AD113="B",$AD113="Z"),ROUND(N($K113)-N($L113)-N($M113),2),"")</f>
        <v/>
      </c>
      <c r="O113" s="32">
        <f>IF(OR($AD113="D",$AD113="T",$AD113="B",$AD113="Z"),IF(N($E113)=0,"",ROUND($F113/$E113,2)),"")</f>
        <v/>
      </c>
      <c r="Q113">
        <f>IFERROR(MATCH(109,บันทึกรายเที่ยว!$Z$6:$Z$6005,0),"")</f>
        <v/>
      </c>
      <c r="R113">
        <f>IF($Q113="","",INDEX(บันทึกรายเที่ยว!$V$6:$V$6005,$Q113))</f>
        <v/>
      </c>
      <c r="S113">
        <f>IF($Q113="","",INDEX(บันทึกรายเที่ยว!$F$6:$F$6005,$Q113))</f>
        <v/>
      </c>
      <c r="T113">
        <f>IF($Q113="","",MATCH($S113,บันทึกรายเที่ยว!$F$6:$F$6005,0))</f>
        <v/>
      </c>
      <c r="U113">
        <f>IF($Q113="","",$AL113*10000000+$T113*1000+109)</f>
        <v/>
      </c>
      <c r="V113">
        <f>IFERROR(MATCH(SMALL($U$5:$U$404,109),$U$5:$U$404,0),"")</f>
        <v/>
      </c>
      <c r="W113">
        <f>IF($V113="","",INDEX($Q$5:$Q$404,$V113))</f>
        <v/>
      </c>
      <c r="X113">
        <f>IF($V113="","",INDEX($S$5:$S$404,$V113))</f>
        <v/>
      </c>
      <c r="Y113">
        <f>IF($V113="","",INDEX($R$5:$R$404,$V113))</f>
        <v/>
      </c>
      <c r="Z113">
        <f>IF($V113="",0,IF($X113&lt;&gt;$X112,1,0))</f>
        <v/>
      </c>
      <c r="AA113">
        <f>IF($V113="",0,IF($V114="",1,IF($X114&lt;&gt;$X113,1,0)))</f>
        <v/>
      </c>
      <c r="AB113">
        <f>IF($V113="",99999+109,$AB112+1+$Z112+$AA112+$AO112)</f>
        <v/>
      </c>
      <c r="AC113">
        <f>IFERROR(MATCH(109,$AB$5:$AB$404,1),"")</f>
        <v/>
      </c>
      <c r="AD113">
        <f>IF(109=$AI$1+1,"Z",IF($AC113="","",IF(INDEX($V$5:$V$404,$AC113)="","",IF(109&gt;INDEX($AB$5:$AB$404,$AC113)+INDEX($Z$5:$Z$404,$AC113)+INDEX($AA$5:$AA$404,$AC113)+INDEX($AO$5:$AO$404,$AC113),"",IF(109=INDEX($AB$5:$AB$404,$AC113)+INDEX($Z$5:$Z$404,$AC113),"D",IF(AND(INDEX($Z$5:$Z$404,$AC113)=1,109=INDEX($AB$5:$AB$404,$AC113)),"H",IF(AND(INDEX($AO$5:$AO$404,$AC113)=1,109=INDEX($AB$5:$AB$404,$AC113)+INDEX($Z$5:$Z$404,$AC113)+INDEX($AA$5:$AA$404,$AC113)+INDEX($AO$5:$AO$404,$AC113)),"B","T")))))))</f>
        <v/>
      </c>
      <c r="AF113">
        <f>IF(OR($AD113="",$AD113="Z",$AD113="B"),"",INDEX($X$5:$X$404,$AC113))</f>
        <v/>
      </c>
      <c r="AJ113">
        <f>IF($AD113&lt;&gt;"T",0,ROUND(SUMIF(oil!$B$4:$B$63,$AF113,oil!$AE$4:$AE$63),2))</f>
        <v/>
      </c>
      <c r="AK113">
        <f>IF($S113="","",IFERROR(INDEX(อัตราค่าขนส่ง!$P$5:$P$54,MATCH($S113,อัตราค่าขนส่ง!$O$5:$O$54,0)),INDEX(รายการมาตรฐาน!$G$2:$G$3,1)))</f>
        <v/>
      </c>
      <c r="AL113">
        <f>IF($S113="","",IFERROR(MATCH($AK113,รายการมาตรฐาน!$G$2:$G$3,0),1))</f>
        <v/>
      </c>
      <c r="AM113">
        <f>IF($V113="","",INDEX($AK$5:$AK$404,$V113))</f>
        <v/>
      </c>
      <c r="AN113">
        <f>IF($V113="","",INDEX($AL$5:$AL$404,$V113))</f>
        <v/>
      </c>
      <c r="AO113">
        <f>IF(OR($V113="",$AI$2&lt;=1),0,IF($V114="",1,IF($AN114&lt;&gt;$AN113,1,0)))</f>
        <v/>
      </c>
      <c r="AP113">
        <f>IF($V113="",0,IF($AN113&lt;&gt;$AN112,1,0))</f>
        <v/>
      </c>
      <c r="AQ113">
        <f>IF(OR($AD113="",$AD113="Z"),"",INDEX($AN$5:$AN$404,$AC113))</f>
        <v/>
      </c>
      <c r="AR113">
        <f>IF($Y113="",0,COUNTIF(บันทึกรายเที่ยว!$V$6:$V$6005,$Y113))</f>
        <v/>
      </c>
      <c r="AS113">
        <f>IF($Y113="",0,ROUND(SUMIF(บันทึกรายเที่ยว!$V$6:$V$6005,$Y113,บันทึกรายเที่ยว!$M$6:$M$6005),2))</f>
        <v/>
      </c>
      <c r="AT113">
        <f>IF($Y113="",0,IFERROR(INDEX(อัตราค่าขนส่ง!$G$5:$G$204,MATCH($Y113,อัตราค่าขนส่ง!$M$5:$M$204,0)),0))</f>
        <v/>
      </c>
      <c r="AU113">
        <f>ROUND($AS113*$BD113,2)</f>
        <v/>
      </c>
      <c r="AV113">
        <f>ROUND($AU113*$BF$2/100,2)</f>
        <v/>
      </c>
      <c r="AW113">
        <f>IF($Y113="","",IFERROR(INDEX(อัตราค่าขนส่ง!$F$5:$F$204,MATCH($Y113,อัตราค่าขนส่ง!$M$5:$M$204,0)),""))</f>
        <v/>
      </c>
      <c r="AX113">
        <f>IF($W113="","",INDEX(บันทึกรายเที่ยว!$D$6:$D$6005,$W113))</f>
        <v/>
      </c>
      <c r="AY113">
        <f>IF($W113="","",INDEX(บันทึกรายเที่ยว!$R$6:$R$6005,$W113))</f>
        <v/>
      </c>
      <c r="AZ113">
        <f>IF(AND($AD113="T",$AQ113=1),N($AZ112)+1,N($AZ112))</f>
        <v/>
      </c>
      <c r="BA113">
        <f>IF($W113="","",INDEX(บันทึกรายเที่ยว!$E$6:$E$6005,$W113))</f>
        <v/>
      </c>
      <c r="BC113">
        <f>IF($Y113="",0,IFERROR(INDEX(อัตราค่าขนส่ง!$K$5:$K$204,MATCH($Y113,อัตราค่าขนส่ง!$M$5:$M$204,0)),0))</f>
        <v/>
      </c>
      <c r="BD113">
        <f>IF($Y113="",0,IFERROR(INDEX(อัตราค่าขนส่ง!$L$5:$L$204,MATCH($Y113,อัตราค่าขนส่ง!$M$5:$M$204,0)),0))</f>
        <v/>
      </c>
    </row>
    <row r="114" ht="21" customHeight="1" s="66">
      <c r="A114" s="69">
        <f>IF($AD114="","",IF($AD114="Z","รวมจ่ายทั้งสิ้น",IF($AD114="H",INDEX($X$5:$X$404,$AC114),IF($AD114="T","รวม",IF($AD114="B",IFERROR(INDEX(อัตราค่าขนส่ง!$S$5:$S$14,MATCH(INDEX($AM$5:$AM$404,$AC114),อัตราค่าขนส่ง!$R$5:$R$14,0)),"รวมกลุ่ม "&amp;INDEX($AM$5:$AM$404,$AC114)),INDEX($AY$5:$AY$404,$AC114))))))</f>
        <v/>
      </c>
      <c r="B114" s="31">
        <f>IF($AD114&lt;&gt;"D","",INDEX($AW$5:$AW$404,$AC114))</f>
        <v/>
      </c>
      <c r="C114" s="68">
        <f>IF($AD114&lt;&gt;"D","",INDEX($AX$5:$AX$404,$AC114))</f>
        <v/>
      </c>
      <c r="D114" s="70">
        <f>IF($AD114&lt;&gt;"D","",INDEX($BA$5:$BA$404,$AC114))</f>
        <v/>
      </c>
      <c r="E114" s="31">
        <f>IF($AD114="Z",SUM($AR$5:$AR$404),IF($AD114="D",INDEX($AR$5:$AR$404,$AC114),IF($AD114="T",SUMIF($X$5:$X$404,$AF114,$AR$5:$AR$404),IF($AD114="B",SUMIF($AN$5:$AN$404,$AQ114,$AR$5:$AR$404),""))))</f>
        <v/>
      </c>
      <c r="F114" s="32">
        <f>IF($AD114="Z",ROUND(SUM($AS$5:$AS$404),2),IF($AD114="D",INDEX($AS$5:$AS$404,$AC114),IF($AD114="T",ROUND(SUMIF($X$5:$X$404,$AF114,$AS$5:$AS$404),2),IF($AD114="B",ROUND(SUMIF($AN$5:$AN$404,$AQ114,$AS$5:$AS$404),2),""))))</f>
        <v/>
      </c>
      <c r="G114" s="32">
        <f>IF($AD114&lt;&gt;"D","",INDEX($AT$5:$AT$404,$AC114))</f>
        <v/>
      </c>
      <c r="H114" s="32">
        <f>IF($AD114&lt;&gt;"D","",INDEX($BC$5:$BC$404,$AC114))</f>
        <v/>
      </c>
      <c r="I114" s="32">
        <f>IF($AD114&lt;&gt;"D","",INDEX($BD$5:$BD$404,$AC114))</f>
        <v/>
      </c>
      <c r="J114" s="46">
        <f>IF($AD114&lt;&gt;"D","",IF(N($B114)=0,"",ROUND($I114/$B114,4)))</f>
        <v/>
      </c>
      <c r="K114" s="32">
        <f>IF($AD114="Z",ROUND(SUM($AU$5:$AU$404),2),IF($AD114="D",INDEX($AU$5:$AU$404,$AC114),IF($AD114="T",ROUND(SUMIF($X$5:$X$404,$AF114,$AU$5:$AU$404),2),IF($AD114="B",ROUND(SUMIF($AN$5:$AN$404,$AQ114,$AU$5:$AU$404),2),""))))</f>
        <v/>
      </c>
      <c r="L114" s="32">
        <f>IF($AD114="Z",ROUND(SUM($AV$5:$AV$404),2),IF($AD114="D",INDEX($AV$5:$AV$404,$AC114),IF($AD114="T",ROUND(SUMIF($X$5:$X$404,$AF114,$AV$5:$AV$404),2),IF($AD114="B",ROUND(SUMIF($AN$5:$AN$404,$AQ114,$AV$5:$AV$404),2),""))))</f>
        <v/>
      </c>
      <c r="M114" s="32">
        <f>IF($AD114="Z",ROUND(SUM($AJ$5:$AJ$704),2),IF($AD114="B",ROUND(SUMIF($AQ$5:$AQ$704,$AQ114,$AJ$5:$AJ$704),2),IF($AD114&lt;&gt;"T","",$AJ114)))</f>
        <v/>
      </c>
      <c r="N114" s="32">
        <f>IF(OR($AD114="D",$AD114="T",$AD114="B",$AD114="Z"),ROUND(N($K114)-N($L114)-N($M114),2),"")</f>
        <v/>
      </c>
      <c r="O114" s="32">
        <f>IF(OR($AD114="D",$AD114="T",$AD114="B",$AD114="Z"),IF(N($E114)=0,"",ROUND($F114/$E114,2)),"")</f>
        <v/>
      </c>
      <c r="Q114">
        <f>IFERROR(MATCH(110,บันทึกรายเที่ยว!$Z$6:$Z$6005,0),"")</f>
        <v/>
      </c>
      <c r="R114">
        <f>IF($Q114="","",INDEX(บันทึกรายเที่ยว!$V$6:$V$6005,$Q114))</f>
        <v/>
      </c>
      <c r="S114">
        <f>IF($Q114="","",INDEX(บันทึกรายเที่ยว!$F$6:$F$6005,$Q114))</f>
        <v/>
      </c>
      <c r="T114">
        <f>IF($Q114="","",MATCH($S114,บันทึกรายเที่ยว!$F$6:$F$6005,0))</f>
        <v/>
      </c>
      <c r="U114">
        <f>IF($Q114="","",$AL114*10000000+$T114*1000+110)</f>
        <v/>
      </c>
      <c r="V114">
        <f>IFERROR(MATCH(SMALL($U$5:$U$404,110),$U$5:$U$404,0),"")</f>
        <v/>
      </c>
      <c r="W114">
        <f>IF($V114="","",INDEX($Q$5:$Q$404,$V114))</f>
        <v/>
      </c>
      <c r="X114">
        <f>IF($V114="","",INDEX($S$5:$S$404,$V114))</f>
        <v/>
      </c>
      <c r="Y114">
        <f>IF($V114="","",INDEX($R$5:$R$404,$V114))</f>
        <v/>
      </c>
      <c r="Z114">
        <f>IF($V114="",0,IF($X114&lt;&gt;$X113,1,0))</f>
        <v/>
      </c>
      <c r="AA114">
        <f>IF($V114="",0,IF($V115="",1,IF($X115&lt;&gt;$X114,1,0)))</f>
        <v/>
      </c>
      <c r="AB114">
        <f>IF($V114="",99999+110,$AB113+1+$Z113+$AA113+$AO113)</f>
        <v/>
      </c>
      <c r="AC114">
        <f>IFERROR(MATCH(110,$AB$5:$AB$404,1),"")</f>
        <v/>
      </c>
      <c r="AD114">
        <f>IF(110=$AI$1+1,"Z",IF($AC114="","",IF(INDEX($V$5:$V$404,$AC114)="","",IF(110&gt;INDEX($AB$5:$AB$404,$AC114)+INDEX($Z$5:$Z$404,$AC114)+INDEX($AA$5:$AA$404,$AC114)+INDEX($AO$5:$AO$404,$AC114),"",IF(110=INDEX($AB$5:$AB$404,$AC114)+INDEX($Z$5:$Z$404,$AC114),"D",IF(AND(INDEX($Z$5:$Z$404,$AC114)=1,110=INDEX($AB$5:$AB$404,$AC114)),"H",IF(AND(INDEX($AO$5:$AO$404,$AC114)=1,110=INDEX($AB$5:$AB$404,$AC114)+INDEX($Z$5:$Z$404,$AC114)+INDEX($AA$5:$AA$404,$AC114)+INDEX($AO$5:$AO$404,$AC114)),"B","T")))))))</f>
        <v/>
      </c>
      <c r="AF114">
        <f>IF(OR($AD114="",$AD114="Z",$AD114="B"),"",INDEX($X$5:$X$404,$AC114))</f>
        <v/>
      </c>
      <c r="AJ114">
        <f>IF($AD114&lt;&gt;"T",0,ROUND(SUMIF(oil!$B$4:$B$63,$AF114,oil!$AE$4:$AE$63),2))</f>
        <v/>
      </c>
      <c r="AK114">
        <f>IF($S114="","",IFERROR(INDEX(อัตราค่าขนส่ง!$P$5:$P$54,MATCH($S114,อัตราค่าขนส่ง!$O$5:$O$54,0)),INDEX(รายการมาตรฐาน!$G$2:$G$3,1)))</f>
        <v/>
      </c>
      <c r="AL114">
        <f>IF($S114="","",IFERROR(MATCH($AK114,รายการมาตรฐาน!$G$2:$G$3,0),1))</f>
        <v/>
      </c>
      <c r="AM114">
        <f>IF($V114="","",INDEX($AK$5:$AK$404,$V114))</f>
        <v/>
      </c>
      <c r="AN114">
        <f>IF($V114="","",INDEX($AL$5:$AL$404,$V114))</f>
        <v/>
      </c>
      <c r="AO114">
        <f>IF(OR($V114="",$AI$2&lt;=1),0,IF($V115="",1,IF($AN115&lt;&gt;$AN114,1,0)))</f>
        <v/>
      </c>
      <c r="AP114">
        <f>IF($V114="",0,IF($AN114&lt;&gt;$AN113,1,0))</f>
        <v/>
      </c>
      <c r="AQ114">
        <f>IF(OR($AD114="",$AD114="Z"),"",INDEX($AN$5:$AN$404,$AC114))</f>
        <v/>
      </c>
      <c r="AR114">
        <f>IF($Y114="",0,COUNTIF(บันทึกรายเที่ยว!$V$6:$V$6005,$Y114))</f>
        <v/>
      </c>
      <c r="AS114">
        <f>IF($Y114="",0,ROUND(SUMIF(บันทึกรายเที่ยว!$V$6:$V$6005,$Y114,บันทึกรายเที่ยว!$M$6:$M$6005),2))</f>
        <v/>
      </c>
      <c r="AT114">
        <f>IF($Y114="",0,IFERROR(INDEX(อัตราค่าขนส่ง!$G$5:$G$204,MATCH($Y114,อัตราค่าขนส่ง!$M$5:$M$204,0)),0))</f>
        <v/>
      </c>
      <c r="AU114">
        <f>ROUND($AS114*$BD114,2)</f>
        <v/>
      </c>
      <c r="AV114">
        <f>ROUND($AU114*$BF$2/100,2)</f>
        <v/>
      </c>
      <c r="AW114">
        <f>IF($Y114="","",IFERROR(INDEX(อัตราค่าขนส่ง!$F$5:$F$204,MATCH($Y114,อัตราค่าขนส่ง!$M$5:$M$204,0)),""))</f>
        <v/>
      </c>
      <c r="AX114">
        <f>IF($W114="","",INDEX(บันทึกรายเที่ยว!$D$6:$D$6005,$W114))</f>
        <v/>
      </c>
      <c r="AY114">
        <f>IF($W114="","",INDEX(บันทึกรายเที่ยว!$R$6:$R$6005,$W114))</f>
        <v/>
      </c>
      <c r="AZ114">
        <f>IF(AND($AD114="T",$AQ114=1),N($AZ113)+1,N($AZ113))</f>
        <v/>
      </c>
      <c r="BA114">
        <f>IF($W114="","",INDEX(บันทึกรายเที่ยว!$E$6:$E$6005,$W114))</f>
        <v/>
      </c>
      <c r="BC114">
        <f>IF($Y114="",0,IFERROR(INDEX(อัตราค่าขนส่ง!$K$5:$K$204,MATCH($Y114,อัตราค่าขนส่ง!$M$5:$M$204,0)),0))</f>
        <v/>
      </c>
      <c r="BD114">
        <f>IF($Y114="",0,IFERROR(INDEX(อัตราค่าขนส่ง!$L$5:$L$204,MATCH($Y114,อัตราค่าขนส่ง!$M$5:$M$204,0)),0))</f>
        <v/>
      </c>
    </row>
    <row r="115" ht="21" customHeight="1" s="66">
      <c r="A115" s="69">
        <f>IF($AD115="","",IF($AD115="Z","รวมจ่ายทั้งสิ้น",IF($AD115="H",INDEX($X$5:$X$404,$AC115),IF($AD115="T","รวม",IF($AD115="B",IFERROR(INDEX(อัตราค่าขนส่ง!$S$5:$S$14,MATCH(INDEX($AM$5:$AM$404,$AC115),อัตราค่าขนส่ง!$R$5:$R$14,0)),"รวมกลุ่ม "&amp;INDEX($AM$5:$AM$404,$AC115)),INDEX($AY$5:$AY$404,$AC115))))))</f>
        <v/>
      </c>
      <c r="B115" s="31">
        <f>IF($AD115&lt;&gt;"D","",INDEX($AW$5:$AW$404,$AC115))</f>
        <v/>
      </c>
      <c r="C115" s="68">
        <f>IF($AD115&lt;&gt;"D","",INDEX($AX$5:$AX$404,$AC115))</f>
        <v/>
      </c>
      <c r="D115" s="70">
        <f>IF($AD115&lt;&gt;"D","",INDEX($BA$5:$BA$404,$AC115))</f>
        <v/>
      </c>
      <c r="E115" s="31">
        <f>IF($AD115="Z",SUM($AR$5:$AR$404),IF($AD115="D",INDEX($AR$5:$AR$404,$AC115),IF($AD115="T",SUMIF($X$5:$X$404,$AF115,$AR$5:$AR$404),IF($AD115="B",SUMIF($AN$5:$AN$404,$AQ115,$AR$5:$AR$404),""))))</f>
        <v/>
      </c>
      <c r="F115" s="32">
        <f>IF($AD115="Z",ROUND(SUM($AS$5:$AS$404),2),IF($AD115="D",INDEX($AS$5:$AS$404,$AC115),IF($AD115="T",ROUND(SUMIF($X$5:$X$404,$AF115,$AS$5:$AS$404),2),IF($AD115="B",ROUND(SUMIF($AN$5:$AN$404,$AQ115,$AS$5:$AS$404),2),""))))</f>
        <v/>
      </c>
      <c r="G115" s="32">
        <f>IF($AD115&lt;&gt;"D","",INDEX($AT$5:$AT$404,$AC115))</f>
        <v/>
      </c>
      <c r="H115" s="32">
        <f>IF($AD115&lt;&gt;"D","",INDEX($BC$5:$BC$404,$AC115))</f>
        <v/>
      </c>
      <c r="I115" s="32">
        <f>IF($AD115&lt;&gt;"D","",INDEX($BD$5:$BD$404,$AC115))</f>
        <v/>
      </c>
      <c r="J115" s="46">
        <f>IF($AD115&lt;&gt;"D","",IF(N($B115)=0,"",ROUND($I115/$B115,4)))</f>
        <v/>
      </c>
      <c r="K115" s="32">
        <f>IF($AD115="Z",ROUND(SUM($AU$5:$AU$404),2),IF($AD115="D",INDEX($AU$5:$AU$404,$AC115),IF($AD115="T",ROUND(SUMIF($X$5:$X$404,$AF115,$AU$5:$AU$404),2),IF($AD115="B",ROUND(SUMIF($AN$5:$AN$404,$AQ115,$AU$5:$AU$404),2),""))))</f>
        <v/>
      </c>
      <c r="L115" s="32">
        <f>IF($AD115="Z",ROUND(SUM($AV$5:$AV$404),2),IF($AD115="D",INDEX($AV$5:$AV$404,$AC115),IF($AD115="T",ROUND(SUMIF($X$5:$X$404,$AF115,$AV$5:$AV$404),2),IF($AD115="B",ROUND(SUMIF($AN$5:$AN$404,$AQ115,$AV$5:$AV$404),2),""))))</f>
        <v/>
      </c>
      <c r="M115" s="32">
        <f>IF($AD115="Z",ROUND(SUM($AJ$5:$AJ$704),2),IF($AD115="B",ROUND(SUMIF($AQ$5:$AQ$704,$AQ115,$AJ$5:$AJ$704),2),IF($AD115&lt;&gt;"T","",$AJ115)))</f>
        <v/>
      </c>
      <c r="N115" s="32">
        <f>IF(OR($AD115="D",$AD115="T",$AD115="B",$AD115="Z"),ROUND(N($K115)-N($L115)-N($M115),2),"")</f>
        <v/>
      </c>
      <c r="O115" s="32">
        <f>IF(OR($AD115="D",$AD115="T",$AD115="B",$AD115="Z"),IF(N($E115)=0,"",ROUND($F115/$E115,2)),"")</f>
        <v/>
      </c>
      <c r="Q115">
        <f>IFERROR(MATCH(111,บันทึกรายเที่ยว!$Z$6:$Z$6005,0),"")</f>
        <v/>
      </c>
      <c r="R115">
        <f>IF($Q115="","",INDEX(บันทึกรายเที่ยว!$V$6:$V$6005,$Q115))</f>
        <v/>
      </c>
      <c r="S115">
        <f>IF($Q115="","",INDEX(บันทึกรายเที่ยว!$F$6:$F$6005,$Q115))</f>
        <v/>
      </c>
      <c r="T115">
        <f>IF($Q115="","",MATCH($S115,บันทึกรายเที่ยว!$F$6:$F$6005,0))</f>
        <v/>
      </c>
      <c r="U115">
        <f>IF($Q115="","",$AL115*10000000+$T115*1000+111)</f>
        <v/>
      </c>
      <c r="V115">
        <f>IFERROR(MATCH(SMALL($U$5:$U$404,111),$U$5:$U$404,0),"")</f>
        <v/>
      </c>
      <c r="W115">
        <f>IF($V115="","",INDEX($Q$5:$Q$404,$V115))</f>
        <v/>
      </c>
      <c r="X115">
        <f>IF($V115="","",INDEX($S$5:$S$404,$V115))</f>
        <v/>
      </c>
      <c r="Y115">
        <f>IF($V115="","",INDEX($R$5:$R$404,$V115))</f>
        <v/>
      </c>
      <c r="Z115">
        <f>IF($V115="",0,IF($X115&lt;&gt;$X114,1,0))</f>
        <v/>
      </c>
      <c r="AA115">
        <f>IF($V115="",0,IF($V116="",1,IF($X116&lt;&gt;$X115,1,0)))</f>
        <v/>
      </c>
      <c r="AB115">
        <f>IF($V115="",99999+111,$AB114+1+$Z114+$AA114+$AO114)</f>
        <v/>
      </c>
      <c r="AC115">
        <f>IFERROR(MATCH(111,$AB$5:$AB$404,1),"")</f>
        <v/>
      </c>
      <c r="AD115">
        <f>IF(111=$AI$1+1,"Z",IF($AC115="","",IF(INDEX($V$5:$V$404,$AC115)="","",IF(111&gt;INDEX($AB$5:$AB$404,$AC115)+INDEX($Z$5:$Z$404,$AC115)+INDEX($AA$5:$AA$404,$AC115)+INDEX($AO$5:$AO$404,$AC115),"",IF(111=INDEX($AB$5:$AB$404,$AC115)+INDEX($Z$5:$Z$404,$AC115),"D",IF(AND(INDEX($Z$5:$Z$404,$AC115)=1,111=INDEX($AB$5:$AB$404,$AC115)),"H",IF(AND(INDEX($AO$5:$AO$404,$AC115)=1,111=INDEX($AB$5:$AB$404,$AC115)+INDEX($Z$5:$Z$404,$AC115)+INDEX($AA$5:$AA$404,$AC115)+INDEX($AO$5:$AO$404,$AC115)),"B","T")))))))</f>
        <v/>
      </c>
      <c r="AF115">
        <f>IF(OR($AD115="",$AD115="Z",$AD115="B"),"",INDEX($X$5:$X$404,$AC115))</f>
        <v/>
      </c>
      <c r="AJ115">
        <f>IF($AD115&lt;&gt;"T",0,ROUND(SUMIF(oil!$B$4:$B$63,$AF115,oil!$AE$4:$AE$63),2))</f>
        <v/>
      </c>
      <c r="AK115">
        <f>IF($S115="","",IFERROR(INDEX(อัตราค่าขนส่ง!$P$5:$P$54,MATCH($S115,อัตราค่าขนส่ง!$O$5:$O$54,0)),INDEX(รายการมาตรฐาน!$G$2:$G$3,1)))</f>
        <v/>
      </c>
      <c r="AL115">
        <f>IF($S115="","",IFERROR(MATCH($AK115,รายการมาตรฐาน!$G$2:$G$3,0),1))</f>
        <v/>
      </c>
      <c r="AM115">
        <f>IF($V115="","",INDEX($AK$5:$AK$404,$V115))</f>
        <v/>
      </c>
      <c r="AN115">
        <f>IF($V115="","",INDEX($AL$5:$AL$404,$V115))</f>
        <v/>
      </c>
      <c r="AO115">
        <f>IF(OR($V115="",$AI$2&lt;=1),0,IF($V116="",1,IF($AN116&lt;&gt;$AN115,1,0)))</f>
        <v/>
      </c>
      <c r="AP115">
        <f>IF($V115="",0,IF($AN115&lt;&gt;$AN114,1,0))</f>
        <v/>
      </c>
      <c r="AQ115">
        <f>IF(OR($AD115="",$AD115="Z"),"",INDEX($AN$5:$AN$404,$AC115))</f>
        <v/>
      </c>
      <c r="AR115">
        <f>IF($Y115="",0,COUNTIF(บันทึกรายเที่ยว!$V$6:$V$6005,$Y115))</f>
        <v/>
      </c>
      <c r="AS115">
        <f>IF($Y115="",0,ROUND(SUMIF(บันทึกรายเที่ยว!$V$6:$V$6005,$Y115,บันทึกรายเที่ยว!$M$6:$M$6005),2))</f>
        <v/>
      </c>
      <c r="AT115">
        <f>IF($Y115="",0,IFERROR(INDEX(อัตราค่าขนส่ง!$G$5:$G$204,MATCH($Y115,อัตราค่าขนส่ง!$M$5:$M$204,0)),0))</f>
        <v/>
      </c>
      <c r="AU115">
        <f>ROUND($AS115*$BD115,2)</f>
        <v/>
      </c>
      <c r="AV115">
        <f>ROUND($AU115*$BF$2/100,2)</f>
        <v/>
      </c>
      <c r="AW115">
        <f>IF($Y115="","",IFERROR(INDEX(อัตราค่าขนส่ง!$F$5:$F$204,MATCH($Y115,อัตราค่าขนส่ง!$M$5:$M$204,0)),""))</f>
        <v/>
      </c>
      <c r="AX115">
        <f>IF($W115="","",INDEX(บันทึกรายเที่ยว!$D$6:$D$6005,$W115))</f>
        <v/>
      </c>
      <c r="AY115">
        <f>IF($W115="","",INDEX(บันทึกรายเที่ยว!$R$6:$R$6005,$W115))</f>
        <v/>
      </c>
      <c r="AZ115">
        <f>IF(AND($AD115="T",$AQ115=1),N($AZ114)+1,N($AZ114))</f>
        <v/>
      </c>
      <c r="BA115">
        <f>IF($W115="","",INDEX(บันทึกรายเที่ยว!$E$6:$E$6005,$W115))</f>
        <v/>
      </c>
      <c r="BC115">
        <f>IF($Y115="",0,IFERROR(INDEX(อัตราค่าขนส่ง!$K$5:$K$204,MATCH($Y115,อัตราค่าขนส่ง!$M$5:$M$204,0)),0))</f>
        <v/>
      </c>
      <c r="BD115">
        <f>IF($Y115="",0,IFERROR(INDEX(อัตราค่าขนส่ง!$L$5:$L$204,MATCH($Y115,อัตราค่าขนส่ง!$M$5:$M$204,0)),0))</f>
        <v/>
      </c>
    </row>
    <row r="116" ht="21" customHeight="1" s="66">
      <c r="A116" s="69">
        <f>IF($AD116="","",IF($AD116="Z","รวมจ่ายทั้งสิ้น",IF($AD116="H",INDEX($X$5:$X$404,$AC116),IF($AD116="T","รวม",IF($AD116="B",IFERROR(INDEX(อัตราค่าขนส่ง!$S$5:$S$14,MATCH(INDEX($AM$5:$AM$404,$AC116),อัตราค่าขนส่ง!$R$5:$R$14,0)),"รวมกลุ่ม "&amp;INDEX($AM$5:$AM$404,$AC116)),INDEX($AY$5:$AY$404,$AC116))))))</f>
        <v/>
      </c>
      <c r="B116" s="31">
        <f>IF($AD116&lt;&gt;"D","",INDEX($AW$5:$AW$404,$AC116))</f>
        <v/>
      </c>
      <c r="C116" s="68">
        <f>IF($AD116&lt;&gt;"D","",INDEX($AX$5:$AX$404,$AC116))</f>
        <v/>
      </c>
      <c r="D116" s="70">
        <f>IF($AD116&lt;&gt;"D","",INDEX($BA$5:$BA$404,$AC116))</f>
        <v/>
      </c>
      <c r="E116" s="31">
        <f>IF($AD116="Z",SUM($AR$5:$AR$404),IF($AD116="D",INDEX($AR$5:$AR$404,$AC116),IF($AD116="T",SUMIF($X$5:$X$404,$AF116,$AR$5:$AR$404),IF($AD116="B",SUMIF($AN$5:$AN$404,$AQ116,$AR$5:$AR$404),""))))</f>
        <v/>
      </c>
      <c r="F116" s="32">
        <f>IF($AD116="Z",ROUND(SUM($AS$5:$AS$404),2),IF($AD116="D",INDEX($AS$5:$AS$404,$AC116),IF($AD116="T",ROUND(SUMIF($X$5:$X$404,$AF116,$AS$5:$AS$404),2),IF($AD116="B",ROUND(SUMIF($AN$5:$AN$404,$AQ116,$AS$5:$AS$404),2),""))))</f>
        <v/>
      </c>
      <c r="G116" s="32">
        <f>IF($AD116&lt;&gt;"D","",INDEX($AT$5:$AT$404,$AC116))</f>
        <v/>
      </c>
      <c r="H116" s="32">
        <f>IF($AD116&lt;&gt;"D","",INDEX($BC$5:$BC$404,$AC116))</f>
        <v/>
      </c>
      <c r="I116" s="32">
        <f>IF($AD116&lt;&gt;"D","",INDEX($BD$5:$BD$404,$AC116))</f>
        <v/>
      </c>
      <c r="J116" s="46">
        <f>IF($AD116&lt;&gt;"D","",IF(N($B116)=0,"",ROUND($I116/$B116,4)))</f>
        <v/>
      </c>
      <c r="K116" s="32">
        <f>IF($AD116="Z",ROUND(SUM($AU$5:$AU$404),2),IF($AD116="D",INDEX($AU$5:$AU$404,$AC116),IF($AD116="T",ROUND(SUMIF($X$5:$X$404,$AF116,$AU$5:$AU$404),2),IF($AD116="B",ROUND(SUMIF($AN$5:$AN$404,$AQ116,$AU$5:$AU$404),2),""))))</f>
        <v/>
      </c>
      <c r="L116" s="32">
        <f>IF($AD116="Z",ROUND(SUM($AV$5:$AV$404),2),IF($AD116="D",INDEX($AV$5:$AV$404,$AC116),IF($AD116="T",ROUND(SUMIF($X$5:$X$404,$AF116,$AV$5:$AV$404),2),IF($AD116="B",ROUND(SUMIF($AN$5:$AN$404,$AQ116,$AV$5:$AV$404),2),""))))</f>
        <v/>
      </c>
      <c r="M116" s="32">
        <f>IF($AD116="Z",ROUND(SUM($AJ$5:$AJ$704),2),IF($AD116="B",ROUND(SUMIF($AQ$5:$AQ$704,$AQ116,$AJ$5:$AJ$704),2),IF($AD116&lt;&gt;"T","",$AJ116)))</f>
        <v/>
      </c>
      <c r="N116" s="32">
        <f>IF(OR($AD116="D",$AD116="T",$AD116="B",$AD116="Z"),ROUND(N($K116)-N($L116)-N($M116),2),"")</f>
        <v/>
      </c>
      <c r="O116" s="32">
        <f>IF(OR($AD116="D",$AD116="T",$AD116="B",$AD116="Z"),IF(N($E116)=0,"",ROUND($F116/$E116,2)),"")</f>
        <v/>
      </c>
      <c r="Q116">
        <f>IFERROR(MATCH(112,บันทึกรายเที่ยว!$Z$6:$Z$6005,0),"")</f>
        <v/>
      </c>
      <c r="R116">
        <f>IF($Q116="","",INDEX(บันทึกรายเที่ยว!$V$6:$V$6005,$Q116))</f>
        <v/>
      </c>
      <c r="S116">
        <f>IF($Q116="","",INDEX(บันทึกรายเที่ยว!$F$6:$F$6005,$Q116))</f>
        <v/>
      </c>
      <c r="T116">
        <f>IF($Q116="","",MATCH($S116,บันทึกรายเที่ยว!$F$6:$F$6005,0))</f>
        <v/>
      </c>
      <c r="U116">
        <f>IF($Q116="","",$AL116*10000000+$T116*1000+112)</f>
        <v/>
      </c>
      <c r="V116">
        <f>IFERROR(MATCH(SMALL($U$5:$U$404,112),$U$5:$U$404,0),"")</f>
        <v/>
      </c>
      <c r="W116">
        <f>IF($V116="","",INDEX($Q$5:$Q$404,$V116))</f>
        <v/>
      </c>
      <c r="X116">
        <f>IF($V116="","",INDEX($S$5:$S$404,$V116))</f>
        <v/>
      </c>
      <c r="Y116">
        <f>IF($V116="","",INDEX($R$5:$R$404,$V116))</f>
        <v/>
      </c>
      <c r="Z116">
        <f>IF($V116="",0,IF($X116&lt;&gt;$X115,1,0))</f>
        <v/>
      </c>
      <c r="AA116">
        <f>IF($V116="",0,IF($V117="",1,IF($X117&lt;&gt;$X116,1,0)))</f>
        <v/>
      </c>
      <c r="AB116">
        <f>IF($V116="",99999+112,$AB115+1+$Z115+$AA115+$AO115)</f>
        <v/>
      </c>
      <c r="AC116">
        <f>IFERROR(MATCH(112,$AB$5:$AB$404,1),"")</f>
        <v/>
      </c>
      <c r="AD116">
        <f>IF(112=$AI$1+1,"Z",IF($AC116="","",IF(INDEX($V$5:$V$404,$AC116)="","",IF(112&gt;INDEX($AB$5:$AB$404,$AC116)+INDEX($Z$5:$Z$404,$AC116)+INDEX($AA$5:$AA$404,$AC116)+INDEX($AO$5:$AO$404,$AC116),"",IF(112=INDEX($AB$5:$AB$404,$AC116)+INDEX($Z$5:$Z$404,$AC116),"D",IF(AND(INDEX($Z$5:$Z$404,$AC116)=1,112=INDEX($AB$5:$AB$404,$AC116)),"H",IF(AND(INDEX($AO$5:$AO$404,$AC116)=1,112=INDEX($AB$5:$AB$404,$AC116)+INDEX($Z$5:$Z$404,$AC116)+INDEX($AA$5:$AA$404,$AC116)+INDEX($AO$5:$AO$404,$AC116)),"B","T")))))))</f>
        <v/>
      </c>
      <c r="AF116">
        <f>IF(OR($AD116="",$AD116="Z",$AD116="B"),"",INDEX($X$5:$X$404,$AC116))</f>
        <v/>
      </c>
      <c r="AJ116">
        <f>IF($AD116&lt;&gt;"T",0,ROUND(SUMIF(oil!$B$4:$B$63,$AF116,oil!$AE$4:$AE$63),2))</f>
        <v/>
      </c>
      <c r="AK116">
        <f>IF($S116="","",IFERROR(INDEX(อัตราค่าขนส่ง!$P$5:$P$54,MATCH($S116,อัตราค่าขนส่ง!$O$5:$O$54,0)),INDEX(รายการมาตรฐาน!$G$2:$G$3,1)))</f>
        <v/>
      </c>
      <c r="AL116">
        <f>IF($S116="","",IFERROR(MATCH($AK116,รายการมาตรฐาน!$G$2:$G$3,0),1))</f>
        <v/>
      </c>
      <c r="AM116">
        <f>IF($V116="","",INDEX($AK$5:$AK$404,$V116))</f>
        <v/>
      </c>
      <c r="AN116">
        <f>IF($V116="","",INDEX($AL$5:$AL$404,$V116))</f>
        <v/>
      </c>
      <c r="AO116">
        <f>IF(OR($V116="",$AI$2&lt;=1),0,IF($V117="",1,IF($AN117&lt;&gt;$AN116,1,0)))</f>
        <v/>
      </c>
      <c r="AP116">
        <f>IF($V116="",0,IF($AN116&lt;&gt;$AN115,1,0))</f>
        <v/>
      </c>
      <c r="AQ116">
        <f>IF(OR($AD116="",$AD116="Z"),"",INDEX($AN$5:$AN$404,$AC116))</f>
        <v/>
      </c>
      <c r="AR116">
        <f>IF($Y116="",0,COUNTIF(บันทึกรายเที่ยว!$V$6:$V$6005,$Y116))</f>
        <v/>
      </c>
      <c r="AS116">
        <f>IF($Y116="",0,ROUND(SUMIF(บันทึกรายเที่ยว!$V$6:$V$6005,$Y116,บันทึกรายเที่ยว!$M$6:$M$6005),2))</f>
        <v/>
      </c>
      <c r="AT116">
        <f>IF($Y116="",0,IFERROR(INDEX(อัตราค่าขนส่ง!$G$5:$G$204,MATCH($Y116,อัตราค่าขนส่ง!$M$5:$M$204,0)),0))</f>
        <v/>
      </c>
      <c r="AU116">
        <f>ROUND($AS116*$BD116,2)</f>
        <v/>
      </c>
      <c r="AV116">
        <f>ROUND($AU116*$BF$2/100,2)</f>
        <v/>
      </c>
      <c r="AW116">
        <f>IF($Y116="","",IFERROR(INDEX(อัตราค่าขนส่ง!$F$5:$F$204,MATCH($Y116,อัตราค่าขนส่ง!$M$5:$M$204,0)),""))</f>
        <v/>
      </c>
      <c r="AX116">
        <f>IF($W116="","",INDEX(บันทึกรายเที่ยว!$D$6:$D$6005,$W116))</f>
        <v/>
      </c>
      <c r="AY116">
        <f>IF($W116="","",INDEX(บันทึกรายเที่ยว!$R$6:$R$6005,$W116))</f>
        <v/>
      </c>
      <c r="AZ116">
        <f>IF(AND($AD116="T",$AQ116=1),N($AZ115)+1,N($AZ115))</f>
        <v/>
      </c>
      <c r="BA116">
        <f>IF($W116="","",INDEX(บันทึกรายเที่ยว!$E$6:$E$6005,$W116))</f>
        <v/>
      </c>
      <c r="BC116">
        <f>IF($Y116="",0,IFERROR(INDEX(อัตราค่าขนส่ง!$K$5:$K$204,MATCH($Y116,อัตราค่าขนส่ง!$M$5:$M$204,0)),0))</f>
        <v/>
      </c>
      <c r="BD116">
        <f>IF($Y116="",0,IFERROR(INDEX(อัตราค่าขนส่ง!$L$5:$L$204,MATCH($Y116,อัตราค่าขนส่ง!$M$5:$M$204,0)),0))</f>
        <v/>
      </c>
    </row>
    <row r="117" ht="21" customHeight="1" s="66">
      <c r="A117" s="69">
        <f>IF($AD117="","",IF($AD117="Z","รวมจ่ายทั้งสิ้น",IF($AD117="H",INDEX($X$5:$X$404,$AC117),IF($AD117="T","รวม",IF($AD117="B",IFERROR(INDEX(อัตราค่าขนส่ง!$S$5:$S$14,MATCH(INDEX($AM$5:$AM$404,$AC117),อัตราค่าขนส่ง!$R$5:$R$14,0)),"รวมกลุ่ม "&amp;INDEX($AM$5:$AM$404,$AC117)),INDEX($AY$5:$AY$404,$AC117))))))</f>
        <v/>
      </c>
      <c r="B117" s="31">
        <f>IF($AD117&lt;&gt;"D","",INDEX($AW$5:$AW$404,$AC117))</f>
        <v/>
      </c>
      <c r="C117" s="68">
        <f>IF($AD117&lt;&gt;"D","",INDEX($AX$5:$AX$404,$AC117))</f>
        <v/>
      </c>
      <c r="D117" s="70">
        <f>IF($AD117&lt;&gt;"D","",INDEX($BA$5:$BA$404,$AC117))</f>
        <v/>
      </c>
      <c r="E117" s="31">
        <f>IF($AD117="Z",SUM($AR$5:$AR$404),IF($AD117="D",INDEX($AR$5:$AR$404,$AC117),IF($AD117="T",SUMIF($X$5:$X$404,$AF117,$AR$5:$AR$404),IF($AD117="B",SUMIF($AN$5:$AN$404,$AQ117,$AR$5:$AR$404),""))))</f>
        <v/>
      </c>
      <c r="F117" s="32">
        <f>IF($AD117="Z",ROUND(SUM($AS$5:$AS$404),2),IF($AD117="D",INDEX($AS$5:$AS$404,$AC117),IF($AD117="T",ROUND(SUMIF($X$5:$X$404,$AF117,$AS$5:$AS$404),2),IF($AD117="B",ROUND(SUMIF($AN$5:$AN$404,$AQ117,$AS$5:$AS$404),2),""))))</f>
        <v/>
      </c>
      <c r="G117" s="32">
        <f>IF($AD117&lt;&gt;"D","",INDEX($AT$5:$AT$404,$AC117))</f>
        <v/>
      </c>
      <c r="H117" s="32">
        <f>IF($AD117&lt;&gt;"D","",INDEX($BC$5:$BC$404,$AC117))</f>
        <v/>
      </c>
      <c r="I117" s="32">
        <f>IF($AD117&lt;&gt;"D","",INDEX($BD$5:$BD$404,$AC117))</f>
        <v/>
      </c>
      <c r="J117" s="46">
        <f>IF($AD117&lt;&gt;"D","",IF(N($B117)=0,"",ROUND($I117/$B117,4)))</f>
        <v/>
      </c>
      <c r="K117" s="32">
        <f>IF($AD117="Z",ROUND(SUM($AU$5:$AU$404),2),IF($AD117="D",INDEX($AU$5:$AU$404,$AC117),IF($AD117="T",ROUND(SUMIF($X$5:$X$404,$AF117,$AU$5:$AU$404),2),IF($AD117="B",ROUND(SUMIF($AN$5:$AN$404,$AQ117,$AU$5:$AU$404),2),""))))</f>
        <v/>
      </c>
      <c r="L117" s="32">
        <f>IF($AD117="Z",ROUND(SUM($AV$5:$AV$404),2),IF($AD117="D",INDEX($AV$5:$AV$404,$AC117),IF($AD117="T",ROUND(SUMIF($X$5:$X$404,$AF117,$AV$5:$AV$404),2),IF($AD117="B",ROUND(SUMIF($AN$5:$AN$404,$AQ117,$AV$5:$AV$404),2),""))))</f>
        <v/>
      </c>
      <c r="M117" s="32">
        <f>IF($AD117="Z",ROUND(SUM($AJ$5:$AJ$704),2),IF($AD117="B",ROUND(SUMIF($AQ$5:$AQ$704,$AQ117,$AJ$5:$AJ$704),2),IF($AD117&lt;&gt;"T","",$AJ117)))</f>
        <v/>
      </c>
      <c r="N117" s="32">
        <f>IF(OR($AD117="D",$AD117="T",$AD117="B",$AD117="Z"),ROUND(N($K117)-N($L117)-N($M117),2),"")</f>
        <v/>
      </c>
      <c r="O117" s="32">
        <f>IF(OR($AD117="D",$AD117="T",$AD117="B",$AD117="Z"),IF(N($E117)=0,"",ROUND($F117/$E117,2)),"")</f>
        <v/>
      </c>
      <c r="Q117">
        <f>IFERROR(MATCH(113,บันทึกรายเที่ยว!$Z$6:$Z$6005,0),"")</f>
        <v/>
      </c>
      <c r="R117">
        <f>IF($Q117="","",INDEX(บันทึกรายเที่ยว!$V$6:$V$6005,$Q117))</f>
        <v/>
      </c>
      <c r="S117">
        <f>IF($Q117="","",INDEX(บันทึกรายเที่ยว!$F$6:$F$6005,$Q117))</f>
        <v/>
      </c>
      <c r="T117">
        <f>IF($Q117="","",MATCH($S117,บันทึกรายเที่ยว!$F$6:$F$6005,0))</f>
        <v/>
      </c>
      <c r="U117">
        <f>IF($Q117="","",$AL117*10000000+$T117*1000+113)</f>
        <v/>
      </c>
      <c r="V117">
        <f>IFERROR(MATCH(SMALL($U$5:$U$404,113),$U$5:$U$404,0),"")</f>
        <v/>
      </c>
      <c r="W117">
        <f>IF($V117="","",INDEX($Q$5:$Q$404,$V117))</f>
        <v/>
      </c>
      <c r="X117">
        <f>IF($V117="","",INDEX($S$5:$S$404,$V117))</f>
        <v/>
      </c>
      <c r="Y117">
        <f>IF($V117="","",INDEX($R$5:$R$404,$V117))</f>
        <v/>
      </c>
      <c r="Z117">
        <f>IF($V117="",0,IF($X117&lt;&gt;$X116,1,0))</f>
        <v/>
      </c>
      <c r="AA117">
        <f>IF($V117="",0,IF($V118="",1,IF($X118&lt;&gt;$X117,1,0)))</f>
        <v/>
      </c>
      <c r="AB117">
        <f>IF($V117="",99999+113,$AB116+1+$Z116+$AA116+$AO116)</f>
        <v/>
      </c>
      <c r="AC117">
        <f>IFERROR(MATCH(113,$AB$5:$AB$404,1),"")</f>
        <v/>
      </c>
      <c r="AD117">
        <f>IF(113=$AI$1+1,"Z",IF($AC117="","",IF(INDEX($V$5:$V$404,$AC117)="","",IF(113&gt;INDEX($AB$5:$AB$404,$AC117)+INDEX($Z$5:$Z$404,$AC117)+INDEX($AA$5:$AA$404,$AC117)+INDEX($AO$5:$AO$404,$AC117),"",IF(113=INDEX($AB$5:$AB$404,$AC117)+INDEX($Z$5:$Z$404,$AC117),"D",IF(AND(INDEX($Z$5:$Z$404,$AC117)=1,113=INDEX($AB$5:$AB$404,$AC117)),"H",IF(AND(INDEX($AO$5:$AO$404,$AC117)=1,113=INDEX($AB$5:$AB$404,$AC117)+INDEX($Z$5:$Z$404,$AC117)+INDEX($AA$5:$AA$404,$AC117)+INDEX($AO$5:$AO$404,$AC117)),"B","T")))))))</f>
        <v/>
      </c>
      <c r="AF117">
        <f>IF(OR($AD117="",$AD117="Z",$AD117="B"),"",INDEX($X$5:$X$404,$AC117))</f>
        <v/>
      </c>
      <c r="AJ117">
        <f>IF($AD117&lt;&gt;"T",0,ROUND(SUMIF(oil!$B$4:$B$63,$AF117,oil!$AE$4:$AE$63),2))</f>
        <v/>
      </c>
      <c r="AK117">
        <f>IF($S117="","",IFERROR(INDEX(อัตราค่าขนส่ง!$P$5:$P$54,MATCH($S117,อัตราค่าขนส่ง!$O$5:$O$54,0)),INDEX(รายการมาตรฐาน!$G$2:$G$3,1)))</f>
        <v/>
      </c>
      <c r="AL117">
        <f>IF($S117="","",IFERROR(MATCH($AK117,รายการมาตรฐาน!$G$2:$G$3,0),1))</f>
        <v/>
      </c>
      <c r="AM117">
        <f>IF($V117="","",INDEX($AK$5:$AK$404,$V117))</f>
        <v/>
      </c>
      <c r="AN117">
        <f>IF($V117="","",INDEX($AL$5:$AL$404,$V117))</f>
        <v/>
      </c>
      <c r="AO117">
        <f>IF(OR($V117="",$AI$2&lt;=1),0,IF($V118="",1,IF($AN118&lt;&gt;$AN117,1,0)))</f>
        <v/>
      </c>
      <c r="AP117">
        <f>IF($V117="",0,IF($AN117&lt;&gt;$AN116,1,0))</f>
        <v/>
      </c>
      <c r="AQ117">
        <f>IF(OR($AD117="",$AD117="Z"),"",INDEX($AN$5:$AN$404,$AC117))</f>
        <v/>
      </c>
      <c r="AR117">
        <f>IF($Y117="",0,COUNTIF(บันทึกรายเที่ยว!$V$6:$V$6005,$Y117))</f>
        <v/>
      </c>
      <c r="AS117">
        <f>IF($Y117="",0,ROUND(SUMIF(บันทึกรายเที่ยว!$V$6:$V$6005,$Y117,บันทึกรายเที่ยว!$M$6:$M$6005),2))</f>
        <v/>
      </c>
      <c r="AT117">
        <f>IF($Y117="",0,IFERROR(INDEX(อัตราค่าขนส่ง!$G$5:$G$204,MATCH($Y117,อัตราค่าขนส่ง!$M$5:$M$204,0)),0))</f>
        <v/>
      </c>
      <c r="AU117">
        <f>ROUND($AS117*$BD117,2)</f>
        <v/>
      </c>
      <c r="AV117">
        <f>ROUND($AU117*$BF$2/100,2)</f>
        <v/>
      </c>
      <c r="AW117">
        <f>IF($Y117="","",IFERROR(INDEX(อัตราค่าขนส่ง!$F$5:$F$204,MATCH($Y117,อัตราค่าขนส่ง!$M$5:$M$204,0)),""))</f>
        <v/>
      </c>
      <c r="AX117">
        <f>IF($W117="","",INDEX(บันทึกรายเที่ยว!$D$6:$D$6005,$W117))</f>
        <v/>
      </c>
      <c r="AY117">
        <f>IF($W117="","",INDEX(บันทึกรายเที่ยว!$R$6:$R$6005,$W117))</f>
        <v/>
      </c>
      <c r="AZ117">
        <f>IF(AND($AD117="T",$AQ117=1),N($AZ116)+1,N($AZ116))</f>
        <v/>
      </c>
      <c r="BA117">
        <f>IF($W117="","",INDEX(บันทึกรายเที่ยว!$E$6:$E$6005,$W117))</f>
        <v/>
      </c>
      <c r="BC117">
        <f>IF($Y117="",0,IFERROR(INDEX(อัตราค่าขนส่ง!$K$5:$K$204,MATCH($Y117,อัตราค่าขนส่ง!$M$5:$M$204,0)),0))</f>
        <v/>
      </c>
      <c r="BD117">
        <f>IF($Y117="",0,IFERROR(INDEX(อัตราค่าขนส่ง!$L$5:$L$204,MATCH($Y117,อัตราค่าขนส่ง!$M$5:$M$204,0)),0))</f>
        <v/>
      </c>
    </row>
    <row r="118" ht="21" customHeight="1" s="66">
      <c r="A118" s="69">
        <f>IF($AD118="","",IF($AD118="Z","รวมจ่ายทั้งสิ้น",IF($AD118="H",INDEX($X$5:$X$404,$AC118),IF($AD118="T","รวม",IF($AD118="B",IFERROR(INDEX(อัตราค่าขนส่ง!$S$5:$S$14,MATCH(INDEX($AM$5:$AM$404,$AC118),อัตราค่าขนส่ง!$R$5:$R$14,0)),"รวมกลุ่ม "&amp;INDEX($AM$5:$AM$404,$AC118)),INDEX($AY$5:$AY$404,$AC118))))))</f>
        <v/>
      </c>
      <c r="B118" s="31">
        <f>IF($AD118&lt;&gt;"D","",INDEX($AW$5:$AW$404,$AC118))</f>
        <v/>
      </c>
      <c r="C118" s="68">
        <f>IF($AD118&lt;&gt;"D","",INDEX($AX$5:$AX$404,$AC118))</f>
        <v/>
      </c>
      <c r="D118" s="70">
        <f>IF($AD118&lt;&gt;"D","",INDEX($BA$5:$BA$404,$AC118))</f>
        <v/>
      </c>
      <c r="E118" s="31">
        <f>IF($AD118="Z",SUM($AR$5:$AR$404),IF($AD118="D",INDEX($AR$5:$AR$404,$AC118),IF($AD118="T",SUMIF($X$5:$X$404,$AF118,$AR$5:$AR$404),IF($AD118="B",SUMIF($AN$5:$AN$404,$AQ118,$AR$5:$AR$404),""))))</f>
        <v/>
      </c>
      <c r="F118" s="32">
        <f>IF($AD118="Z",ROUND(SUM($AS$5:$AS$404),2),IF($AD118="D",INDEX($AS$5:$AS$404,$AC118),IF($AD118="T",ROUND(SUMIF($X$5:$X$404,$AF118,$AS$5:$AS$404),2),IF($AD118="B",ROUND(SUMIF($AN$5:$AN$404,$AQ118,$AS$5:$AS$404),2),""))))</f>
        <v/>
      </c>
      <c r="G118" s="32">
        <f>IF($AD118&lt;&gt;"D","",INDEX($AT$5:$AT$404,$AC118))</f>
        <v/>
      </c>
      <c r="H118" s="32">
        <f>IF($AD118&lt;&gt;"D","",INDEX($BC$5:$BC$404,$AC118))</f>
        <v/>
      </c>
      <c r="I118" s="32">
        <f>IF($AD118&lt;&gt;"D","",INDEX($BD$5:$BD$404,$AC118))</f>
        <v/>
      </c>
      <c r="J118" s="46">
        <f>IF($AD118&lt;&gt;"D","",IF(N($B118)=0,"",ROUND($I118/$B118,4)))</f>
        <v/>
      </c>
      <c r="K118" s="32">
        <f>IF($AD118="Z",ROUND(SUM($AU$5:$AU$404),2),IF($AD118="D",INDEX($AU$5:$AU$404,$AC118),IF($AD118="T",ROUND(SUMIF($X$5:$X$404,$AF118,$AU$5:$AU$404),2),IF($AD118="B",ROUND(SUMIF($AN$5:$AN$404,$AQ118,$AU$5:$AU$404),2),""))))</f>
        <v/>
      </c>
      <c r="L118" s="32">
        <f>IF($AD118="Z",ROUND(SUM($AV$5:$AV$404),2),IF($AD118="D",INDEX($AV$5:$AV$404,$AC118),IF($AD118="T",ROUND(SUMIF($X$5:$X$404,$AF118,$AV$5:$AV$404),2),IF($AD118="B",ROUND(SUMIF($AN$5:$AN$404,$AQ118,$AV$5:$AV$404),2),""))))</f>
        <v/>
      </c>
      <c r="M118" s="32">
        <f>IF($AD118="Z",ROUND(SUM($AJ$5:$AJ$704),2),IF($AD118="B",ROUND(SUMIF($AQ$5:$AQ$704,$AQ118,$AJ$5:$AJ$704),2),IF($AD118&lt;&gt;"T","",$AJ118)))</f>
        <v/>
      </c>
      <c r="N118" s="32">
        <f>IF(OR($AD118="D",$AD118="T",$AD118="B",$AD118="Z"),ROUND(N($K118)-N($L118)-N($M118),2),"")</f>
        <v/>
      </c>
      <c r="O118" s="32">
        <f>IF(OR($AD118="D",$AD118="T",$AD118="B",$AD118="Z"),IF(N($E118)=0,"",ROUND($F118/$E118,2)),"")</f>
        <v/>
      </c>
      <c r="Q118">
        <f>IFERROR(MATCH(114,บันทึกรายเที่ยว!$Z$6:$Z$6005,0),"")</f>
        <v/>
      </c>
      <c r="R118">
        <f>IF($Q118="","",INDEX(บันทึกรายเที่ยว!$V$6:$V$6005,$Q118))</f>
        <v/>
      </c>
      <c r="S118">
        <f>IF($Q118="","",INDEX(บันทึกรายเที่ยว!$F$6:$F$6005,$Q118))</f>
        <v/>
      </c>
      <c r="T118">
        <f>IF($Q118="","",MATCH($S118,บันทึกรายเที่ยว!$F$6:$F$6005,0))</f>
        <v/>
      </c>
      <c r="U118">
        <f>IF($Q118="","",$AL118*10000000+$T118*1000+114)</f>
        <v/>
      </c>
      <c r="V118">
        <f>IFERROR(MATCH(SMALL($U$5:$U$404,114),$U$5:$U$404,0),"")</f>
        <v/>
      </c>
      <c r="W118">
        <f>IF($V118="","",INDEX($Q$5:$Q$404,$V118))</f>
        <v/>
      </c>
      <c r="X118">
        <f>IF($V118="","",INDEX($S$5:$S$404,$V118))</f>
        <v/>
      </c>
      <c r="Y118">
        <f>IF($V118="","",INDEX($R$5:$R$404,$V118))</f>
        <v/>
      </c>
      <c r="Z118">
        <f>IF($V118="",0,IF($X118&lt;&gt;$X117,1,0))</f>
        <v/>
      </c>
      <c r="AA118">
        <f>IF($V118="",0,IF($V119="",1,IF($X119&lt;&gt;$X118,1,0)))</f>
        <v/>
      </c>
      <c r="AB118">
        <f>IF($V118="",99999+114,$AB117+1+$Z117+$AA117+$AO117)</f>
        <v/>
      </c>
      <c r="AC118">
        <f>IFERROR(MATCH(114,$AB$5:$AB$404,1),"")</f>
        <v/>
      </c>
      <c r="AD118">
        <f>IF(114=$AI$1+1,"Z",IF($AC118="","",IF(INDEX($V$5:$V$404,$AC118)="","",IF(114&gt;INDEX($AB$5:$AB$404,$AC118)+INDEX($Z$5:$Z$404,$AC118)+INDEX($AA$5:$AA$404,$AC118)+INDEX($AO$5:$AO$404,$AC118),"",IF(114=INDEX($AB$5:$AB$404,$AC118)+INDEX($Z$5:$Z$404,$AC118),"D",IF(AND(INDEX($Z$5:$Z$404,$AC118)=1,114=INDEX($AB$5:$AB$404,$AC118)),"H",IF(AND(INDEX($AO$5:$AO$404,$AC118)=1,114=INDEX($AB$5:$AB$404,$AC118)+INDEX($Z$5:$Z$404,$AC118)+INDEX($AA$5:$AA$404,$AC118)+INDEX($AO$5:$AO$404,$AC118)),"B","T")))))))</f>
        <v/>
      </c>
      <c r="AF118">
        <f>IF(OR($AD118="",$AD118="Z",$AD118="B"),"",INDEX($X$5:$X$404,$AC118))</f>
        <v/>
      </c>
      <c r="AJ118">
        <f>IF($AD118&lt;&gt;"T",0,ROUND(SUMIF(oil!$B$4:$B$63,$AF118,oil!$AE$4:$AE$63),2))</f>
        <v/>
      </c>
      <c r="AK118">
        <f>IF($S118="","",IFERROR(INDEX(อัตราค่าขนส่ง!$P$5:$P$54,MATCH($S118,อัตราค่าขนส่ง!$O$5:$O$54,0)),INDEX(รายการมาตรฐาน!$G$2:$G$3,1)))</f>
        <v/>
      </c>
      <c r="AL118">
        <f>IF($S118="","",IFERROR(MATCH($AK118,รายการมาตรฐาน!$G$2:$G$3,0),1))</f>
        <v/>
      </c>
      <c r="AM118">
        <f>IF($V118="","",INDEX($AK$5:$AK$404,$V118))</f>
        <v/>
      </c>
      <c r="AN118">
        <f>IF($V118="","",INDEX($AL$5:$AL$404,$V118))</f>
        <v/>
      </c>
      <c r="AO118">
        <f>IF(OR($V118="",$AI$2&lt;=1),0,IF($V119="",1,IF($AN119&lt;&gt;$AN118,1,0)))</f>
        <v/>
      </c>
      <c r="AP118">
        <f>IF($V118="",0,IF($AN118&lt;&gt;$AN117,1,0))</f>
        <v/>
      </c>
      <c r="AQ118">
        <f>IF(OR($AD118="",$AD118="Z"),"",INDEX($AN$5:$AN$404,$AC118))</f>
        <v/>
      </c>
      <c r="AR118">
        <f>IF($Y118="",0,COUNTIF(บันทึกรายเที่ยว!$V$6:$V$6005,$Y118))</f>
        <v/>
      </c>
      <c r="AS118">
        <f>IF($Y118="",0,ROUND(SUMIF(บันทึกรายเที่ยว!$V$6:$V$6005,$Y118,บันทึกรายเที่ยว!$M$6:$M$6005),2))</f>
        <v/>
      </c>
      <c r="AT118">
        <f>IF($Y118="",0,IFERROR(INDEX(อัตราค่าขนส่ง!$G$5:$G$204,MATCH($Y118,อัตราค่าขนส่ง!$M$5:$M$204,0)),0))</f>
        <v/>
      </c>
      <c r="AU118">
        <f>ROUND($AS118*$BD118,2)</f>
        <v/>
      </c>
      <c r="AV118">
        <f>ROUND($AU118*$BF$2/100,2)</f>
        <v/>
      </c>
      <c r="AW118">
        <f>IF($Y118="","",IFERROR(INDEX(อัตราค่าขนส่ง!$F$5:$F$204,MATCH($Y118,อัตราค่าขนส่ง!$M$5:$M$204,0)),""))</f>
        <v/>
      </c>
      <c r="AX118">
        <f>IF($W118="","",INDEX(บันทึกรายเที่ยว!$D$6:$D$6005,$W118))</f>
        <v/>
      </c>
      <c r="AY118">
        <f>IF($W118="","",INDEX(บันทึกรายเที่ยว!$R$6:$R$6005,$W118))</f>
        <v/>
      </c>
      <c r="AZ118">
        <f>IF(AND($AD118="T",$AQ118=1),N($AZ117)+1,N($AZ117))</f>
        <v/>
      </c>
      <c r="BA118">
        <f>IF($W118="","",INDEX(บันทึกรายเที่ยว!$E$6:$E$6005,$W118))</f>
        <v/>
      </c>
      <c r="BC118">
        <f>IF($Y118="",0,IFERROR(INDEX(อัตราค่าขนส่ง!$K$5:$K$204,MATCH($Y118,อัตราค่าขนส่ง!$M$5:$M$204,0)),0))</f>
        <v/>
      </c>
      <c r="BD118">
        <f>IF($Y118="",0,IFERROR(INDEX(อัตราค่าขนส่ง!$L$5:$L$204,MATCH($Y118,อัตราค่าขนส่ง!$M$5:$M$204,0)),0))</f>
        <v/>
      </c>
    </row>
    <row r="119" ht="21" customHeight="1" s="66">
      <c r="A119" s="69">
        <f>IF($AD119="","",IF($AD119="Z","รวมจ่ายทั้งสิ้น",IF($AD119="H",INDEX($X$5:$X$404,$AC119),IF($AD119="T","รวม",IF($AD119="B",IFERROR(INDEX(อัตราค่าขนส่ง!$S$5:$S$14,MATCH(INDEX($AM$5:$AM$404,$AC119),อัตราค่าขนส่ง!$R$5:$R$14,0)),"รวมกลุ่ม "&amp;INDEX($AM$5:$AM$404,$AC119)),INDEX($AY$5:$AY$404,$AC119))))))</f>
        <v/>
      </c>
      <c r="B119" s="31">
        <f>IF($AD119&lt;&gt;"D","",INDEX($AW$5:$AW$404,$AC119))</f>
        <v/>
      </c>
      <c r="C119" s="68">
        <f>IF($AD119&lt;&gt;"D","",INDEX($AX$5:$AX$404,$AC119))</f>
        <v/>
      </c>
      <c r="D119" s="70">
        <f>IF($AD119&lt;&gt;"D","",INDEX($BA$5:$BA$404,$AC119))</f>
        <v/>
      </c>
      <c r="E119" s="31">
        <f>IF($AD119="Z",SUM($AR$5:$AR$404),IF($AD119="D",INDEX($AR$5:$AR$404,$AC119),IF($AD119="T",SUMIF($X$5:$X$404,$AF119,$AR$5:$AR$404),IF($AD119="B",SUMIF($AN$5:$AN$404,$AQ119,$AR$5:$AR$404),""))))</f>
        <v/>
      </c>
      <c r="F119" s="32">
        <f>IF($AD119="Z",ROUND(SUM($AS$5:$AS$404),2),IF($AD119="D",INDEX($AS$5:$AS$404,$AC119),IF($AD119="T",ROUND(SUMIF($X$5:$X$404,$AF119,$AS$5:$AS$404),2),IF($AD119="B",ROUND(SUMIF($AN$5:$AN$404,$AQ119,$AS$5:$AS$404),2),""))))</f>
        <v/>
      </c>
      <c r="G119" s="32">
        <f>IF($AD119&lt;&gt;"D","",INDEX($AT$5:$AT$404,$AC119))</f>
        <v/>
      </c>
      <c r="H119" s="32">
        <f>IF($AD119&lt;&gt;"D","",INDEX($BC$5:$BC$404,$AC119))</f>
        <v/>
      </c>
      <c r="I119" s="32">
        <f>IF($AD119&lt;&gt;"D","",INDEX($BD$5:$BD$404,$AC119))</f>
        <v/>
      </c>
      <c r="J119" s="46">
        <f>IF($AD119&lt;&gt;"D","",IF(N($B119)=0,"",ROUND($I119/$B119,4)))</f>
        <v/>
      </c>
      <c r="K119" s="32">
        <f>IF($AD119="Z",ROUND(SUM($AU$5:$AU$404),2),IF($AD119="D",INDEX($AU$5:$AU$404,$AC119),IF($AD119="T",ROUND(SUMIF($X$5:$X$404,$AF119,$AU$5:$AU$404),2),IF($AD119="B",ROUND(SUMIF($AN$5:$AN$404,$AQ119,$AU$5:$AU$404),2),""))))</f>
        <v/>
      </c>
      <c r="L119" s="32">
        <f>IF($AD119="Z",ROUND(SUM($AV$5:$AV$404),2),IF($AD119="D",INDEX($AV$5:$AV$404,$AC119),IF($AD119="T",ROUND(SUMIF($X$5:$X$404,$AF119,$AV$5:$AV$404),2),IF($AD119="B",ROUND(SUMIF($AN$5:$AN$404,$AQ119,$AV$5:$AV$404),2),""))))</f>
        <v/>
      </c>
      <c r="M119" s="32">
        <f>IF($AD119="Z",ROUND(SUM($AJ$5:$AJ$704),2),IF($AD119="B",ROUND(SUMIF($AQ$5:$AQ$704,$AQ119,$AJ$5:$AJ$704),2),IF($AD119&lt;&gt;"T","",$AJ119)))</f>
        <v/>
      </c>
      <c r="N119" s="32">
        <f>IF(OR($AD119="D",$AD119="T",$AD119="B",$AD119="Z"),ROUND(N($K119)-N($L119)-N($M119),2),"")</f>
        <v/>
      </c>
      <c r="O119" s="32">
        <f>IF(OR($AD119="D",$AD119="T",$AD119="B",$AD119="Z"),IF(N($E119)=0,"",ROUND($F119/$E119,2)),"")</f>
        <v/>
      </c>
      <c r="Q119">
        <f>IFERROR(MATCH(115,บันทึกรายเที่ยว!$Z$6:$Z$6005,0),"")</f>
        <v/>
      </c>
      <c r="R119">
        <f>IF($Q119="","",INDEX(บันทึกรายเที่ยว!$V$6:$V$6005,$Q119))</f>
        <v/>
      </c>
      <c r="S119">
        <f>IF($Q119="","",INDEX(บันทึกรายเที่ยว!$F$6:$F$6005,$Q119))</f>
        <v/>
      </c>
      <c r="T119">
        <f>IF($Q119="","",MATCH($S119,บันทึกรายเที่ยว!$F$6:$F$6005,0))</f>
        <v/>
      </c>
      <c r="U119">
        <f>IF($Q119="","",$AL119*10000000+$T119*1000+115)</f>
        <v/>
      </c>
      <c r="V119">
        <f>IFERROR(MATCH(SMALL($U$5:$U$404,115),$U$5:$U$404,0),"")</f>
        <v/>
      </c>
      <c r="W119">
        <f>IF($V119="","",INDEX($Q$5:$Q$404,$V119))</f>
        <v/>
      </c>
      <c r="X119">
        <f>IF($V119="","",INDEX($S$5:$S$404,$V119))</f>
        <v/>
      </c>
      <c r="Y119">
        <f>IF($V119="","",INDEX($R$5:$R$404,$V119))</f>
        <v/>
      </c>
      <c r="Z119">
        <f>IF($V119="",0,IF($X119&lt;&gt;$X118,1,0))</f>
        <v/>
      </c>
      <c r="AA119">
        <f>IF($V119="",0,IF($V120="",1,IF($X120&lt;&gt;$X119,1,0)))</f>
        <v/>
      </c>
      <c r="AB119">
        <f>IF($V119="",99999+115,$AB118+1+$Z118+$AA118+$AO118)</f>
        <v/>
      </c>
      <c r="AC119">
        <f>IFERROR(MATCH(115,$AB$5:$AB$404,1),"")</f>
        <v/>
      </c>
      <c r="AD119">
        <f>IF(115=$AI$1+1,"Z",IF($AC119="","",IF(INDEX($V$5:$V$404,$AC119)="","",IF(115&gt;INDEX($AB$5:$AB$404,$AC119)+INDEX($Z$5:$Z$404,$AC119)+INDEX($AA$5:$AA$404,$AC119)+INDEX($AO$5:$AO$404,$AC119),"",IF(115=INDEX($AB$5:$AB$404,$AC119)+INDEX($Z$5:$Z$404,$AC119),"D",IF(AND(INDEX($Z$5:$Z$404,$AC119)=1,115=INDEX($AB$5:$AB$404,$AC119)),"H",IF(AND(INDEX($AO$5:$AO$404,$AC119)=1,115=INDEX($AB$5:$AB$404,$AC119)+INDEX($Z$5:$Z$404,$AC119)+INDEX($AA$5:$AA$404,$AC119)+INDEX($AO$5:$AO$404,$AC119)),"B","T")))))))</f>
        <v/>
      </c>
      <c r="AF119">
        <f>IF(OR($AD119="",$AD119="Z",$AD119="B"),"",INDEX($X$5:$X$404,$AC119))</f>
        <v/>
      </c>
      <c r="AJ119">
        <f>IF($AD119&lt;&gt;"T",0,ROUND(SUMIF(oil!$B$4:$B$63,$AF119,oil!$AE$4:$AE$63),2))</f>
        <v/>
      </c>
      <c r="AK119">
        <f>IF($S119="","",IFERROR(INDEX(อัตราค่าขนส่ง!$P$5:$P$54,MATCH($S119,อัตราค่าขนส่ง!$O$5:$O$54,0)),INDEX(รายการมาตรฐาน!$G$2:$G$3,1)))</f>
        <v/>
      </c>
      <c r="AL119">
        <f>IF($S119="","",IFERROR(MATCH($AK119,รายการมาตรฐาน!$G$2:$G$3,0),1))</f>
        <v/>
      </c>
      <c r="AM119">
        <f>IF($V119="","",INDEX($AK$5:$AK$404,$V119))</f>
        <v/>
      </c>
      <c r="AN119">
        <f>IF($V119="","",INDEX($AL$5:$AL$404,$V119))</f>
        <v/>
      </c>
      <c r="AO119">
        <f>IF(OR($V119="",$AI$2&lt;=1),0,IF($V120="",1,IF($AN120&lt;&gt;$AN119,1,0)))</f>
        <v/>
      </c>
      <c r="AP119">
        <f>IF($V119="",0,IF($AN119&lt;&gt;$AN118,1,0))</f>
        <v/>
      </c>
      <c r="AQ119">
        <f>IF(OR($AD119="",$AD119="Z"),"",INDEX($AN$5:$AN$404,$AC119))</f>
        <v/>
      </c>
      <c r="AR119">
        <f>IF($Y119="",0,COUNTIF(บันทึกรายเที่ยว!$V$6:$V$6005,$Y119))</f>
        <v/>
      </c>
      <c r="AS119">
        <f>IF($Y119="",0,ROUND(SUMIF(บันทึกรายเที่ยว!$V$6:$V$6005,$Y119,บันทึกรายเที่ยว!$M$6:$M$6005),2))</f>
        <v/>
      </c>
      <c r="AT119">
        <f>IF($Y119="",0,IFERROR(INDEX(อัตราค่าขนส่ง!$G$5:$G$204,MATCH($Y119,อัตราค่าขนส่ง!$M$5:$M$204,0)),0))</f>
        <v/>
      </c>
      <c r="AU119">
        <f>ROUND($AS119*$BD119,2)</f>
        <v/>
      </c>
      <c r="AV119">
        <f>ROUND($AU119*$BF$2/100,2)</f>
        <v/>
      </c>
      <c r="AW119">
        <f>IF($Y119="","",IFERROR(INDEX(อัตราค่าขนส่ง!$F$5:$F$204,MATCH($Y119,อัตราค่าขนส่ง!$M$5:$M$204,0)),""))</f>
        <v/>
      </c>
      <c r="AX119">
        <f>IF($W119="","",INDEX(บันทึกรายเที่ยว!$D$6:$D$6005,$W119))</f>
        <v/>
      </c>
      <c r="AY119">
        <f>IF($W119="","",INDEX(บันทึกรายเที่ยว!$R$6:$R$6005,$W119))</f>
        <v/>
      </c>
      <c r="AZ119">
        <f>IF(AND($AD119="T",$AQ119=1),N($AZ118)+1,N($AZ118))</f>
        <v/>
      </c>
      <c r="BA119">
        <f>IF($W119="","",INDEX(บันทึกรายเที่ยว!$E$6:$E$6005,$W119))</f>
        <v/>
      </c>
      <c r="BC119">
        <f>IF($Y119="",0,IFERROR(INDEX(อัตราค่าขนส่ง!$K$5:$K$204,MATCH($Y119,อัตราค่าขนส่ง!$M$5:$M$204,0)),0))</f>
        <v/>
      </c>
      <c r="BD119">
        <f>IF($Y119="",0,IFERROR(INDEX(อัตราค่าขนส่ง!$L$5:$L$204,MATCH($Y119,อัตราค่าขนส่ง!$M$5:$M$204,0)),0))</f>
        <v/>
      </c>
    </row>
    <row r="120" ht="21" customHeight="1" s="66">
      <c r="A120" s="69">
        <f>IF($AD120="","",IF($AD120="Z","รวมจ่ายทั้งสิ้น",IF($AD120="H",INDEX($X$5:$X$404,$AC120),IF($AD120="T","รวม",IF($AD120="B",IFERROR(INDEX(อัตราค่าขนส่ง!$S$5:$S$14,MATCH(INDEX($AM$5:$AM$404,$AC120),อัตราค่าขนส่ง!$R$5:$R$14,0)),"รวมกลุ่ม "&amp;INDEX($AM$5:$AM$404,$AC120)),INDEX($AY$5:$AY$404,$AC120))))))</f>
        <v/>
      </c>
      <c r="B120" s="31">
        <f>IF($AD120&lt;&gt;"D","",INDEX($AW$5:$AW$404,$AC120))</f>
        <v/>
      </c>
      <c r="C120" s="68">
        <f>IF($AD120&lt;&gt;"D","",INDEX($AX$5:$AX$404,$AC120))</f>
        <v/>
      </c>
      <c r="D120" s="70">
        <f>IF($AD120&lt;&gt;"D","",INDEX($BA$5:$BA$404,$AC120))</f>
        <v/>
      </c>
      <c r="E120" s="31">
        <f>IF($AD120="Z",SUM($AR$5:$AR$404),IF($AD120="D",INDEX($AR$5:$AR$404,$AC120),IF($AD120="T",SUMIF($X$5:$X$404,$AF120,$AR$5:$AR$404),IF($AD120="B",SUMIF($AN$5:$AN$404,$AQ120,$AR$5:$AR$404),""))))</f>
        <v/>
      </c>
      <c r="F120" s="32">
        <f>IF($AD120="Z",ROUND(SUM($AS$5:$AS$404),2),IF($AD120="D",INDEX($AS$5:$AS$404,$AC120),IF($AD120="T",ROUND(SUMIF($X$5:$X$404,$AF120,$AS$5:$AS$404),2),IF($AD120="B",ROUND(SUMIF($AN$5:$AN$404,$AQ120,$AS$5:$AS$404),2),""))))</f>
        <v/>
      </c>
      <c r="G120" s="32">
        <f>IF($AD120&lt;&gt;"D","",INDEX($AT$5:$AT$404,$AC120))</f>
        <v/>
      </c>
      <c r="H120" s="32">
        <f>IF($AD120&lt;&gt;"D","",INDEX($BC$5:$BC$404,$AC120))</f>
        <v/>
      </c>
      <c r="I120" s="32">
        <f>IF($AD120&lt;&gt;"D","",INDEX($BD$5:$BD$404,$AC120))</f>
        <v/>
      </c>
      <c r="J120" s="46">
        <f>IF($AD120&lt;&gt;"D","",IF(N($B120)=0,"",ROUND($I120/$B120,4)))</f>
        <v/>
      </c>
      <c r="K120" s="32">
        <f>IF($AD120="Z",ROUND(SUM($AU$5:$AU$404),2),IF($AD120="D",INDEX($AU$5:$AU$404,$AC120),IF($AD120="T",ROUND(SUMIF($X$5:$X$404,$AF120,$AU$5:$AU$404),2),IF($AD120="B",ROUND(SUMIF($AN$5:$AN$404,$AQ120,$AU$5:$AU$404),2),""))))</f>
        <v/>
      </c>
      <c r="L120" s="32">
        <f>IF($AD120="Z",ROUND(SUM($AV$5:$AV$404),2),IF($AD120="D",INDEX($AV$5:$AV$404,$AC120),IF($AD120="T",ROUND(SUMIF($X$5:$X$404,$AF120,$AV$5:$AV$404),2),IF($AD120="B",ROUND(SUMIF($AN$5:$AN$404,$AQ120,$AV$5:$AV$404),2),""))))</f>
        <v/>
      </c>
      <c r="M120" s="32">
        <f>IF($AD120="Z",ROUND(SUM($AJ$5:$AJ$704),2),IF($AD120="B",ROUND(SUMIF($AQ$5:$AQ$704,$AQ120,$AJ$5:$AJ$704),2),IF($AD120&lt;&gt;"T","",$AJ120)))</f>
        <v/>
      </c>
      <c r="N120" s="32">
        <f>IF(OR($AD120="D",$AD120="T",$AD120="B",$AD120="Z"),ROUND(N($K120)-N($L120)-N($M120),2),"")</f>
        <v/>
      </c>
      <c r="O120" s="32">
        <f>IF(OR($AD120="D",$AD120="T",$AD120="B",$AD120="Z"),IF(N($E120)=0,"",ROUND($F120/$E120,2)),"")</f>
        <v/>
      </c>
      <c r="Q120">
        <f>IFERROR(MATCH(116,บันทึกรายเที่ยว!$Z$6:$Z$6005,0),"")</f>
        <v/>
      </c>
      <c r="R120">
        <f>IF($Q120="","",INDEX(บันทึกรายเที่ยว!$V$6:$V$6005,$Q120))</f>
        <v/>
      </c>
      <c r="S120">
        <f>IF($Q120="","",INDEX(บันทึกรายเที่ยว!$F$6:$F$6005,$Q120))</f>
        <v/>
      </c>
      <c r="T120">
        <f>IF($Q120="","",MATCH($S120,บันทึกรายเที่ยว!$F$6:$F$6005,0))</f>
        <v/>
      </c>
      <c r="U120">
        <f>IF($Q120="","",$AL120*10000000+$T120*1000+116)</f>
        <v/>
      </c>
      <c r="V120">
        <f>IFERROR(MATCH(SMALL($U$5:$U$404,116),$U$5:$U$404,0),"")</f>
        <v/>
      </c>
      <c r="W120">
        <f>IF($V120="","",INDEX($Q$5:$Q$404,$V120))</f>
        <v/>
      </c>
      <c r="X120">
        <f>IF($V120="","",INDEX($S$5:$S$404,$V120))</f>
        <v/>
      </c>
      <c r="Y120">
        <f>IF($V120="","",INDEX($R$5:$R$404,$V120))</f>
        <v/>
      </c>
      <c r="Z120">
        <f>IF($V120="",0,IF($X120&lt;&gt;$X119,1,0))</f>
        <v/>
      </c>
      <c r="AA120">
        <f>IF($V120="",0,IF($V121="",1,IF($X121&lt;&gt;$X120,1,0)))</f>
        <v/>
      </c>
      <c r="AB120">
        <f>IF($V120="",99999+116,$AB119+1+$Z119+$AA119+$AO119)</f>
        <v/>
      </c>
      <c r="AC120">
        <f>IFERROR(MATCH(116,$AB$5:$AB$404,1),"")</f>
        <v/>
      </c>
      <c r="AD120">
        <f>IF(116=$AI$1+1,"Z",IF($AC120="","",IF(INDEX($V$5:$V$404,$AC120)="","",IF(116&gt;INDEX($AB$5:$AB$404,$AC120)+INDEX($Z$5:$Z$404,$AC120)+INDEX($AA$5:$AA$404,$AC120)+INDEX($AO$5:$AO$404,$AC120),"",IF(116=INDEX($AB$5:$AB$404,$AC120)+INDEX($Z$5:$Z$404,$AC120),"D",IF(AND(INDEX($Z$5:$Z$404,$AC120)=1,116=INDEX($AB$5:$AB$404,$AC120)),"H",IF(AND(INDEX($AO$5:$AO$404,$AC120)=1,116=INDEX($AB$5:$AB$404,$AC120)+INDEX($Z$5:$Z$404,$AC120)+INDEX($AA$5:$AA$404,$AC120)+INDEX($AO$5:$AO$404,$AC120)),"B","T")))))))</f>
        <v/>
      </c>
      <c r="AF120">
        <f>IF(OR($AD120="",$AD120="Z",$AD120="B"),"",INDEX($X$5:$X$404,$AC120))</f>
        <v/>
      </c>
      <c r="AJ120">
        <f>IF($AD120&lt;&gt;"T",0,ROUND(SUMIF(oil!$B$4:$B$63,$AF120,oil!$AE$4:$AE$63),2))</f>
        <v/>
      </c>
      <c r="AK120">
        <f>IF($S120="","",IFERROR(INDEX(อัตราค่าขนส่ง!$P$5:$P$54,MATCH($S120,อัตราค่าขนส่ง!$O$5:$O$54,0)),INDEX(รายการมาตรฐาน!$G$2:$G$3,1)))</f>
        <v/>
      </c>
      <c r="AL120">
        <f>IF($S120="","",IFERROR(MATCH($AK120,รายการมาตรฐาน!$G$2:$G$3,0),1))</f>
        <v/>
      </c>
      <c r="AM120">
        <f>IF($V120="","",INDEX($AK$5:$AK$404,$V120))</f>
        <v/>
      </c>
      <c r="AN120">
        <f>IF($V120="","",INDEX($AL$5:$AL$404,$V120))</f>
        <v/>
      </c>
      <c r="AO120">
        <f>IF(OR($V120="",$AI$2&lt;=1),0,IF($V121="",1,IF($AN121&lt;&gt;$AN120,1,0)))</f>
        <v/>
      </c>
      <c r="AP120">
        <f>IF($V120="",0,IF($AN120&lt;&gt;$AN119,1,0))</f>
        <v/>
      </c>
      <c r="AQ120">
        <f>IF(OR($AD120="",$AD120="Z"),"",INDEX($AN$5:$AN$404,$AC120))</f>
        <v/>
      </c>
      <c r="AR120">
        <f>IF($Y120="",0,COUNTIF(บันทึกรายเที่ยว!$V$6:$V$6005,$Y120))</f>
        <v/>
      </c>
      <c r="AS120">
        <f>IF($Y120="",0,ROUND(SUMIF(บันทึกรายเที่ยว!$V$6:$V$6005,$Y120,บันทึกรายเที่ยว!$M$6:$M$6005),2))</f>
        <v/>
      </c>
      <c r="AT120">
        <f>IF($Y120="",0,IFERROR(INDEX(อัตราค่าขนส่ง!$G$5:$G$204,MATCH($Y120,อัตราค่าขนส่ง!$M$5:$M$204,0)),0))</f>
        <v/>
      </c>
      <c r="AU120">
        <f>ROUND($AS120*$BD120,2)</f>
        <v/>
      </c>
      <c r="AV120">
        <f>ROUND($AU120*$BF$2/100,2)</f>
        <v/>
      </c>
      <c r="AW120">
        <f>IF($Y120="","",IFERROR(INDEX(อัตราค่าขนส่ง!$F$5:$F$204,MATCH($Y120,อัตราค่าขนส่ง!$M$5:$M$204,0)),""))</f>
        <v/>
      </c>
      <c r="AX120">
        <f>IF($W120="","",INDEX(บันทึกรายเที่ยว!$D$6:$D$6005,$W120))</f>
        <v/>
      </c>
      <c r="AY120">
        <f>IF($W120="","",INDEX(บันทึกรายเที่ยว!$R$6:$R$6005,$W120))</f>
        <v/>
      </c>
      <c r="AZ120">
        <f>IF(AND($AD120="T",$AQ120=1),N($AZ119)+1,N($AZ119))</f>
        <v/>
      </c>
      <c r="BA120">
        <f>IF($W120="","",INDEX(บันทึกรายเที่ยว!$E$6:$E$6005,$W120))</f>
        <v/>
      </c>
      <c r="BC120">
        <f>IF($Y120="",0,IFERROR(INDEX(อัตราค่าขนส่ง!$K$5:$K$204,MATCH($Y120,อัตราค่าขนส่ง!$M$5:$M$204,0)),0))</f>
        <v/>
      </c>
      <c r="BD120">
        <f>IF($Y120="",0,IFERROR(INDEX(อัตราค่าขนส่ง!$L$5:$L$204,MATCH($Y120,อัตราค่าขนส่ง!$M$5:$M$204,0)),0))</f>
        <v/>
      </c>
    </row>
    <row r="121" ht="21" customHeight="1" s="66">
      <c r="A121" s="69">
        <f>IF($AD121="","",IF($AD121="Z","รวมจ่ายทั้งสิ้น",IF($AD121="H",INDEX($X$5:$X$404,$AC121),IF($AD121="T","รวม",IF($AD121="B",IFERROR(INDEX(อัตราค่าขนส่ง!$S$5:$S$14,MATCH(INDEX($AM$5:$AM$404,$AC121),อัตราค่าขนส่ง!$R$5:$R$14,0)),"รวมกลุ่ม "&amp;INDEX($AM$5:$AM$404,$AC121)),INDEX($AY$5:$AY$404,$AC121))))))</f>
        <v/>
      </c>
      <c r="B121" s="31">
        <f>IF($AD121&lt;&gt;"D","",INDEX($AW$5:$AW$404,$AC121))</f>
        <v/>
      </c>
      <c r="C121" s="68">
        <f>IF($AD121&lt;&gt;"D","",INDEX($AX$5:$AX$404,$AC121))</f>
        <v/>
      </c>
      <c r="D121" s="70">
        <f>IF($AD121&lt;&gt;"D","",INDEX($BA$5:$BA$404,$AC121))</f>
        <v/>
      </c>
      <c r="E121" s="31">
        <f>IF($AD121="Z",SUM($AR$5:$AR$404),IF($AD121="D",INDEX($AR$5:$AR$404,$AC121),IF($AD121="T",SUMIF($X$5:$X$404,$AF121,$AR$5:$AR$404),IF($AD121="B",SUMIF($AN$5:$AN$404,$AQ121,$AR$5:$AR$404),""))))</f>
        <v/>
      </c>
      <c r="F121" s="32">
        <f>IF($AD121="Z",ROUND(SUM($AS$5:$AS$404),2),IF($AD121="D",INDEX($AS$5:$AS$404,$AC121),IF($AD121="T",ROUND(SUMIF($X$5:$X$404,$AF121,$AS$5:$AS$404),2),IF($AD121="B",ROUND(SUMIF($AN$5:$AN$404,$AQ121,$AS$5:$AS$404),2),""))))</f>
        <v/>
      </c>
      <c r="G121" s="32">
        <f>IF($AD121&lt;&gt;"D","",INDEX($AT$5:$AT$404,$AC121))</f>
        <v/>
      </c>
      <c r="H121" s="32">
        <f>IF($AD121&lt;&gt;"D","",INDEX($BC$5:$BC$404,$AC121))</f>
        <v/>
      </c>
      <c r="I121" s="32">
        <f>IF($AD121&lt;&gt;"D","",INDEX($BD$5:$BD$404,$AC121))</f>
        <v/>
      </c>
      <c r="J121" s="46">
        <f>IF($AD121&lt;&gt;"D","",IF(N($B121)=0,"",ROUND($I121/$B121,4)))</f>
        <v/>
      </c>
      <c r="K121" s="32">
        <f>IF($AD121="Z",ROUND(SUM($AU$5:$AU$404),2),IF($AD121="D",INDEX($AU$5:$AU$404,$AC121),IF($AD121="T",ROUND(SUMIF($X$5:$X$404,$AF121,$AU$5:$AU$404),2),IF($AD121="B",ROUND(SUMIF($AN$5:$AN$404,$AQ121,$AU$5:$AU$404),2),""))))</f>
        <v/>
      </c>
      <c r="L121" s="32">
        <f>IF($AD121="Z",ROUND(SUM($AV$5:$AV$404),2),IF($AD121="D",INDEX($AV$5:$AV$404,$AC121),IF($AD121="T",ROUND(SUMIF($X$5:$X$404,$AF121,$AV$5:$AV$404),2),IF($AD121="B",ROUND(SUMIF($AN$5:$AN$404,$AQ121,$AV$5:$AV$404),2),""))))</f>
        <v/>
      </c>
      <c r="M121" s="32">
        <f>IF($AD121="Z",ROUND(SUM($AJ$5:$AJ$704),2),IF($AD121="B",ROUND(SUMIF($AQ$5:$AQ$704,$AQ121,$AJ$5:$AJ$704),2),IF($AD121&lt;&gt;"T","",$AJ121)))</f>
        <v/>
      </c>
      <c r="N121" s="32">
        <f>IF(OR($AD121="D",$AD121="T",$AD121="B",$AD121="Z"),ROUND(N($K121)-N($L121)-N($M121),2),"")</f>
        <v/>
      </c>
      <c r="O121" s="32">
        <f>IF(OR($AD121="D",$AD121="T",$AD121="B",$AD121="Z"),IF(N($E121)=0,"",ROUND($F121/$E121,2)),"")</f>
        <v/>
      </c>
      <c r="Q121">
        <f>IFERROR(MATCH(117,บันทึกรายเที่ยว!$Z$6:$Z$6005,0),"")</f>
        <v/>
      </c>
      <c r="R121">
        <f>IF($Q121="","",INDEX(บันทึกรายเที่ยว!$V$6:$V$6005,$Q121))</f>
        <v/>
      </c>
      <c r="S121">
        <f>IF($Q121="","",INDEX(บันทึกรายเที่ยว!$F$6:$F$6005,$Q121))</f>
        <v/>
      </c>
      <c r="T121">
        <f>IF($Q121="","",MATCH($S121,บันทึกรายเที่ยว!$F$6:$F$6005,0))</f>
        <v/>
      </c>
      <c r="U121">
        <f>IF($Q121="","",$AL121*10000000+$T121*1000+117)</f>
        <v/>
      </c>
      <c r="V121">
        <f>IFERROR(MATCH(SMALL($U$5:$U$404,117),$U$5:$U$404,0),"")</f>
        <v/>
      </c>
      <c r="W121">
        <f>IF($V121="","",INDEX($Q$5:$Q$404,$V121))</f>
        <v/>
      </c>
      <c r="X121">
        <f>IF($V121="","",INDEX($S$5:$S$404,$V121))</f>
        <v/>
      </c>
      <c r="Y121">
        <f>IF($V121="","",INDEX($R$5:$R$404,$V121))</f>
        <v/>
      </c>
      <c r="Z121">
        <f>IF($V121="",0,IF($X121&lt;&gt;$X120,1,0))</f>
        <v/>
      </c>
      <c r="AA121">
        <f>IF($V121="",0,IF($V122="",1,IF($X122&lt;&gt;$X121,1,0)))</f>
        <v/>
      </c>
      <c r="AB121">
        <f>IF($V121="",99999+117,$AB120+1+$Z120+$AA120+$AO120)</f>
        <v/>
      </c>
      <c r="AC121">
        <f>IFERROR(MATCH(117,$AB$5:$AB$404,1),"")</f>
        <v/>
      </c>
      <c r="AD121">
        <f>IF(117=$AI$1+1,"Z",IF($AC121="","",IF(INDEX($V$5:$V$404,$AC121)="","",IF(117&gt;INDEX($AB$5:$AB$404,$AC121)+INDEX($Z$5:$Z$404,$AC121)+INDEX($AA$5:$AA$404,$AC121)+INDEX($AO$5:$AO$404,$AC121),"",IF(117=INDEX($AB$5:$AB$404,$AC121)+INDEX($Z$5:$Z$404,$AC121),"D",IF(AND(INDEX($Z$5:$Z$404,$AC121)=1,117=INDEX($AB$5:$AB$404,$AC121)),"H",IF(AND(INDEX($AO$5:$AO$404,$AC121)=1,117=INDEX($AB$5:$AB$404,$AC121)+INDEX($Z$5:$Z$404,$AC121)+INDEX($AA$5:$AA$404,$AC121)+INDEX($AO$5:$AO$404,$AC121)),"B","T")))))))</f>
        <v/>
      </c>
      <c r="AF121">
        <f>IF(OR($AD121="",$AD121="Z",$AD121="B"),"",INDEX($X$5:$X$404,$AC121))</f>
        <v/>
      </c>
      <c r="AJ121">
        <f>IF($AD121&lt;&gt;"T",0,ROUND(SUMIF(oil!$B$4:$B$63,$AF121,oil!$AE$4:$AE$63),2))</f>
        <v/>
      </c>
      <c r="AK121">
        <f>IF($S121="","",IFERROR(INDEX(อัตราค่าขนส่ง!$P$5:$P$54,MATCH($S121,อัตราค่าขนส่ง!$O$5:$O$54,0)),INDEX(รายการมาตรฐาน!$G$2:$G$3,1)))</f>
        <v/>
      </c>
      <c r="AL121">
        <f>IF($S121="","",IFERROR(MATCH($AK121,รายการมาตรฐาน!$G$2:$G$3,0),1))</f>
        <v/>
      </c>
      <c r="AM121">
        <f>IF($V121="","",INDEX($AK$5:$AK$404,$V121))</f>
        <v/>
      </c>
      <c r="AN121">
        <f>IF($V121="","",INDEX($AL$5:$AL$404,$V121))</f>
        <v/>
      </c>
      <c r="AO121">
        <f>IF(OR($V121="",$AI$2&lt;=1),0,IF($V122="",1,IF($AN122&lt;&gt;$AN121,1,0)))</f>
        <v/>
      </c>
      <c r="AP121">
        <f>IF($V121="",0,IF($AN121&lt;&gt;$AN120,1,0))</f>
        <v/>
      </c>
      <c r="AQ121">
        <f>IF(OR($AD121="",$AD121="Z"),"",INDEX($AN$5:$AN$404,$AC121))</f>
        <v/>
      </c>
      <c r="AR121">
        <f>IF($Y121="",0,COUNTIF(บันทึกรายเที่ยว!$V$6:$V$6005,$Y121))</f>
        <v/>
      </c>
      <c r="AS121">
        <f>IF($Y121="",0,ROUND(SUMIF(บันทึกรายเที่ยว!$V$6:$V$6005,$Y121,บันทึกรายเที่ยว!$M$6:$M$6005),2))</f>
        <v/>
      </c>
      <c r="AT121">
        <f>IF($Y121="",0,IFERROR(INDEX(อัตราค่าขนส่ง!$G$5:$G$204,MATCH($Y121,อัตราค่าขนส่ง!$M$5:$M$204,0)),0))</f>
        <v/>
      </c>
      <c r="AU121">
        <f>ROUND($AS121*$BD121,2)</f>
        <v/>
      </c>
      <c r="AV121">
        <f>ROUND($AU121*$BF$2/100,2)</f>
        <v/>
      </c>
      <c r="AW121">
        <f>IF($Y121="","",IFERROR(INDEX(อัตราค่าขนส่ง!$F$5:$F$204,MATCH($Y121,อัตราค่าขนส่ง!$M$5:$M$204,0)),""))</f>
        <v/>
      </c>
      <c r="AX121">
        <f>IF($W121="","",INDEX(บันทึกรายเที่ยว!$D$6:$D$6005,$W121))</f>
        <v/>
      </c>
      <c r="AY121">
        <f>IF($W121="","",INDEX(บันทึกรายเที่ยว!$R$6:$R$6005,$W121))</f>
        <v/>
      </c>
      <c r="AZ121">
        <f>IF(AND($AD121="T",$AQ121=1),N($AZ120)+1,N($AZ120))</f>
        <v/>
      </c>
      <c r="BA121">
        <f>IF($W121="","",INDEX(บันทึกรายเที่ยว!$E$6:$E$6005,$W121))</f>
        <v/>
      </c>
      <c r="BC121">
        <f>IF($Y121="",0,IFERROR(INDEX(อัตราค่าขนส่ง!$K$5:$K$204,MATCH($Y121,อัตราค่าขนส่ง!$M$5:$M$204,0)),0))</f>
        <v/>
      </c>
      <c r="BD121">
        <f>IF($Y121="",0,IFERROR(INDEX(อัตราค่าขนส่ง!$L$5:$L$204,MATCH($Y121,อัตราค่าขนส่ง!$M$5:$M$204,0)),0))</f>
        <v/>
      </c>
    </row>
    <row r="122" ht="21" customHeight="1" s="66">
      <c r="A122" s="69">
        <f>IF($AD122="","",IF($AD122="Z","รวมจ่ายทั้งสิ้น",IF($AD122="H",INDEX($X$5:$X$404,$AC122),IF($AD122="T","รวม",IF($AD122="B",IFERROR(INDEX(อัตราค่าขนส่ง!$S$5:$S$14,MATCH(INDEX($AM$5:$AM$404,$AC122),อัตราค่าขนส่ง!$R$5:$R$14,0)),"รวมกลุ่ม "&amp;INDEX($AM$5:$AM$404,$AC122)),INDEX($AY$5:$AY$404,$AC122))))))</f>
        <v/>
      </c>
      <c r="B122" s="31">
        <f>IF($AD122&lt;&gt;"D","",INDEX($AW$5:$AW$404,$AC122))</f>
        <v/>
      </c>
      <c r="C122" s="68">
        <f>IF($AD122&lt;&gt;"D","",INDEX($AX$5:$AX$404,$AC122))</f>
        <v/>
      </c>
      <c r="D122" s="70">
        <f>IF($AD122&lt;&gt;"D","",INDEX($BA$5:$BA$404,$AC122))</f>
        <v/>
      </c>
      <c r="E122" s="31">
        <f>IF($AD122="Z",SUM($AR$5:$AR$404),IF($AD122="D",INDEX($AR$5:$AR$404,$AC122),IF($AD122="T",SUMIF($X$5:$X$404,$AF122,$AR$5:$AR$404),IF($AD122="B",SUMIF($AN$5:$AN$404,$AQ122,$AR$5:$AR$404),""))))</f>
        <v/>
      </c>
      <c r="F122" s="32">
        <f>IF($AD122="Z",ROUND(SUM($AS$5:$AS$404),2),IF($AD122="D",INDEX($AS$5:$AS$404,$AC122),IF($AD122="T",ROUND(SUMIF($X$5:$X$404,$AF122,$AS$5:$AS$404),2),IF($AD122="B",ROUND(SUMIF($AN$5:$AN$404,$AQ122,$AS$5:$AS$404),2),""))))</f>
        <v/>
      </c>
      <c r="G122" s="32">
        <f>IF($AD122&lt;&gt;"D","",INDEX($AT$5:$AT$404,$AC122))</f>
        <v/>
      </c>
      <c r="H122" s="32">
        <f>IF($AD122&lt;&gt;"D","",INDEX($BC$5:$BC$404,$AC122))</f>
        <v/>
      </c>
      <c r="I122" s="32">
        <f>IF($AD122&lt;&gt;"D","",INDEX($BD$5:$BD$404,$AC122))</f>
        <v/>
      </c>
      <c r="J122" s="46">
        <f>IF($AD122&lt;&gt;"D","",IF(N($B122)=0,"",ROUND($I122/$B122,4)))</f>
        <v/>
      </c>
      <c r="K122" s="32">
        <f>IF($AD122="Z",ROUND(SUM($AU$5:$AU$404),2),IF($AD122="D",INDEX($AU$5:$AU$404,$AC122),IF($AD122="T",ROUND(SUMIF($X$5:$X$404,$AF122,$AU$5:$AU$404),2),IF($AD122="B",ROUND(SUMIF($AN$5:$AN$404,$AQ122,$AU$5:$AU$404),2),""))))</f>
        <v/>
      </c>
      <c r="L122" s="32">
        <f>IF($AD122="Z",ROUND(SUM($AV$5:$AV$404),2),IF($AD122="D",INDEX($AV$5:$AV$404,$AC122),IF($AD122="T",ROUND(SUMIF($X$5:$X$404,$AF122,$AV$5:$AV$404),2),IF($AD122="B",ROUND(SUMIF($AN$5:$AN$404,$AQ122,$AV$5:$AV$404),2),""))))</f>
        <v/>
      </c>
      <c r="M122" s="32">
        <f>IF($AD122="Z",ROUND(SUM($AJ$5:$AJ$704),2),IF($AD122="B",ROUND(SUMIF($AQ$5:$AQ$704,$AQ122,$AJ$5:$AJ$704),2),IF($AD122&lt;&gt;"T","",$AJ122)))</f>
        <v/>
      </c>
      <c r="N122" s="32">
        <f>IF(OR($AD122="D",$AD122="T",$AD122="B",$AD122="Z"),ROUND(N($K122)-N($L122)-N($M122),2),"")</f>
        <v/>
      </c>
      <c r="O122" s="32">
        <f>IF(OR($AD122="D",$AD122="T",$AD122="B",$AD122="Z"),IF(N($E122)=0,"",ROUND($F122/$E122,2)),"")</f>
        <v/>
      </c>
      <c r="Q122">
        <f>IFERROR(MATCH(118,บันทึกรายเที่ยว!$Z$6:$Z$6005,0),"")</f>
        <v/>
      </c>
      <c r="R122">
        <f>IF($Q122="","",INDEX(บันทึกรายเที่ยว!$V$6:$V$6005,$Q122))</f>
        <v/>
      </c>
      <c r="S122">
        <f>IF($Q122="","",INDEX(บันทึกรายเที่ยว!$F$6:$F$6005,$Q122))</f>
        <v/>
      </c>
      <c r="T122">
        <f>IF($Q122="","",MATCH($S122,บันทึกรายเที่ยว!$F$6:$F$6005,0))</f>
        <v/>
      </c>
      <c r="U122">
        <f>IF($Q122="","",$AL122*10000000+$T122*1000+118)</f>
        <v/>
      </c>
      <c r="V122">
        <f>IFERROR(MATCH(SMALL($U$5:$U$404,118),$U$5:$U$404,0),"")</f>
        <v/>
      </c>
      <c r="W122">
        <f>IF($V122="","",INDEX($Q$5:$Q$404,$V122))</f>
        <v/>
      </c>
      <c r="X122">
        <f>IF($V122="","",INDEX($S$5:$S$404,$V122))</f>
        <v/>
      </c>
      <c r="Y122">
        <f>IF($V122="","",INDEX($R$5:$R$404,$V122))</f>
        <v/>
      </c>
      <c r="Z122">
        <f>IF($V122="",0,IF($X122&lt;&gt;$X121,1,0))</f>
        <v/>
      </c>
      <c r="AA122">
        <f>IF($V122="",0,IF($V123="",1,IF($X123&lt;&gt;$X122,1,0)))</f>
        <v/>
      </c>
      <c r="AB122">
        <f>IF($V122="",99999+118,$AB121+1+$Z121+$AA121+$AO121)</f>
        <v/>
      </c>
      <c r="AC122">
        <f>IFERROR(MATCH(118,$AB$5:$AB$404,1),"")</f>
        <v/>
      </c>
      <c r="AD122">
        <f>IF(118=$AI$1+1,"Z",IF($AC122="","",IF(INDEX($V$5:$V$404,$AC122)="","",IF(118&gt;INDEX($AB$5:$AB$404,$AC122)+INDEX($Z$5:$Z$404,$AC122)+INDEX($AA$5:$AA$404,$AC122)+INDEX($AO$5:$AO$404,$AC122),"",IF(118=INDEX($AB$5:$AB$404,$AC122)+INDEX($Z$5:$Z$404,$AC122),"D",IF(AND(INDEX($Z$5:$Z$404,$AC122)=1,118=INDEX($AB$5:$AB$404,$AC122)),"H",IF(AND(INDEX($AO$5:$AO$404,$AC122)=1,118=INDEX($AB$5:$AB$404,$AC122)+INDEX($Z$5:$Z$404,$AC122)+INDEX($AA$5:$AA$404,$AC122)+INDEX($AO$5:$AO$404,$AC122)),"B","T")))))))</f>
        <v/>
      </c>
      <c r="AF122">
        <f>IF(OR($AD122="",$AD122="Z",$AD122="B"),"",INDEX($X$5:$X$404,$AC122))</f>
        <v/>
      </c>
      <c r="AJ122">
        <f>IF($AD122&lt;&gt;"T",0,ROUND(SUMIF(oil!$B$4:$B$63,$AF122,oil!$AE$4:$AE$63),2))</f>
        <v/>
      </c>
      <c r="AK122">
        <f>IF($S122="","",IFERROR(INDEX(อัตราค่าขนส่ง!$P$5:$P$54,MATCH($S122,อัตราค่าขนส่ง!$O$5:$O$54,0)),INDEX(รายการมาตรฐาน!$G$2:$G$3,1)))</f>
        <v/>
      </c>
      <c r="AL122">
        <f>IF($S122="","",IFERROR(MATCH($AK122,รายการมาตรฐาน!$G$2:$G$3,0),1))</f>
        <v/>
      </c>
      <c r="AM122">
        <f>IF($V122="","",INDEX($AK$5:$AK$404,$V122))</f>
        <v/>
      </c>
      <c r="AN122">
        <f>IF($V122="","",INDEX($AL$5:$AL$404,$V122))</f>
        <v/>
      </c>
      <c r="AO122">
        <f>IF(OR($V122="",$AI$2&lt;=1),0,IF($V123="",1,IF($AN123&lt;&gt;$AN122,1,0)))</f>
        <v/>
      </c>
      <c r="AP122">
        <f>IF($V122="",0,IF($AN122&lt;&gt;$AN121,1,0))</f>
        <v/>
      </c>
      <c r="AQ122">
        <f>IF(OR($AD122="",$AD122="Z"),"",INDEX($AN$5:$AN$404,$AC122))</f>
        <v/>
      </c>
      <c r="AR122">
        <f>IF($Y122="",0,COUNTIF(บันทึกรายเที่ยว!$V$6:$V$6005,$Y122))</f>
        <v/>
      </c>
      <c r="AS122">
        <f>IF($Y122="",0,ROUND(SUMIF(บันทึกรายเที่ยว!$V$6:$V$6005,$Y122,บันทึกรายเที่ยว!$M$6:$M$6005),2))</f>
        <v/>
      </c>
      <c r="AT122">
        <f>IF($Y122="",0,IFERROR(INDEX(อัตราค่าขนส่ง!$G$5:$G$204,MATCH($Y122,อัตราค่าขนส่ง!$M$5:$M$204,0)),0))</f>
        <v/>
      </c>
      <c r="AU122">
        <f>ROUND($AS122*$BD122,2)</f>
        <v/>
      </c>
      <c r="AV122">
        <f>ROUND($AU122*$BF$2/100,2)</f>
        <v/>
      </c>
      <c r="AW122">
        <f>IF($Y122="","",IFERROR(INDEX(อัตราค่าขนส่ง!$F$5:$F$204,MATCH($Y122,อัตราค่าขนส่ง!$M$5:$M$204,0)),""))</f>
        <v/>
      </c>
      <c r="AX122">
        <f>IF($W122="","",INDEX(บันทึกรายเที่ยว!$D$6:$D$6005,$W122))</f>
        <v/>
      </c>
      <c r="AY122">
        <f>IF($W122="","",INDEX(บันทึกรายเที่ยว!$R$6:$R$6005,$W122))</f>
        <v/>
      </c>
      <c r="AZ122">
        <f>IF(AND($AD122="T",$AQ122=1),N($AZ121)+1,N($AZ121))</f>
        <v/>
      </c>
      <c r="BA122">
        <f>IF($W122="","",INDEX(บันทึกรายเที่ยว!$E$6:$E$6005,$W122))</f>
        <v/>
      </c>
      <c r="BC122">
        <f>IF($Y122="",0,IFERROR(INDEX(อัตราค่าขนส่ง!$K$5:$K$204,MATCH($Y122,อัตราค่าขนส่ง!$M$5:$M$204,0)),0))</f>
        <v/>
      </c>
      <c r="BD122">
        <f>IF($Y122="",0,IFERROR(INDEX(อัตราค่าขนส่ง!$L$5:$L$204,MATCH($Y122,อัตราค่าขนส่ง!$M$5:$M$204,0)),0))</f>
        <v/>
      </c>
    </row>
    <row r="123" ht="21" customHeight="1" s="66">
      <c r="A123" s="69">
        <f>IF($AD123="","",IF($AD123="Z","รวมจ่ายทั้งสิ้น",IF($AD123="H",INDEX($X$5:$X$404,$AC123),IF($AD123="T","รวม",IF($AD123="B",IFERROR(INDEX(อัตราค่าขนส่ง!$S$5:$S$14,MATCH(INDEX($AM$5:$AM$404,$AC123),อัตราค่าขนส่ง!$R$5:$R$14,0)),"รวมกลุ่ม "&amp;INDEX($AM$5:$AM$404,$AC123)),INDEX($AY$5:$AY$404,$AC123))))))</f>
        <v/>
      </c>
      <c r="B123" s="31">
        <f>IF($AD123&lt;&gt;"D","",INDEX($AW$5:$AW$404,$AC123))</f>
        <v/>
      </c>
      <c r="C123" s="68">
        <f>IF($AD123&lt;&gt;"D","",INDEX($AX$5:$AX$404,$AC123))</f>
        <v/>
      </c>
      <c r="D123" s="70">
        <f>IF($AD123&lt;&gt;"D","",INDEX($BA$5:$BA$404,$AC123))</f>
        <v/>
      </c>
      <c r="E123" s="31">
        <f>IF($AD123="Z",SUM($AR$5:$AR$404),IF($AD123="D",INDEX($AR$5:$AR$404,$AC123),IF($AD123="T",SUMIF($X$5:$X$404,$AF123,$AR$5:$AR$404),IF($AD123="B",SUMIF($AN$5:$AN$404,$AQ123,$AR$5:$AR$404),""))))</f>
        <v/>
      </c>
      <c r="F123" s="32">
        <f>IF($AD123="Z",ROUND(SUM($AS$5:$AS$404),2),IF($AD123="D",INDEX($AS$5:$AS$404,$AC123),IF($AD123="T",ROUND(SUMIF($X$5:$X$404,$AF123,$AS$5:$AS$404),2),IF($AD123="B",ROUND(SUMIF($AN$5:$AN$404,$AQ123,$AS$5:$AS$404),2),""))))</f>
        <v/>
      </c>
      <c r="G123" s="32">
        <f>IF($AD123&lt;&gt;"D","",INDEX($AT$5:$AT$404,$AC123))</f>
        <v/>
      </c>
      <c r="H123" s="32">
        <f>IF($AD123&lt;&gt;"D","",INDEX($BC$5:$BC$404,$AC123))</f>
        <v/>
      </c>
      <c r="I123" s="32">
        <f>IF($AD123&lt;&gt;"D","",INDEX($BD$5:$BD$404,$AC123))</f>
        <v/>
      </c>
      <c r="J123" s="46">
        <f>IF($AD123&lt;&gt;"D","",IF(N($B123)=0,"",ROUND($I123/$B123,4)))</f>
        <v/>
      </c>
      <c r="K123" s="32">
        <f>IF($AD123="Z",ROUND(SUM($AU$5:$AU$404),2),IF($AD123="D",INDEX($AU$5:$AU$404,$AC123),IF($AD123="T",ROUND(SUMIF($X$5:$X$404,$AF123,$AU$5:$AU$404),2),IF($AD123="B",ROUND(SUMIF($AN$5:$AN$404,$AQ123,$AU$5:$AU$404),2),""))))</f>
        <v/>
      </c>
      <c r="L123" s="32">
        <f>IF($AD123="Z",ROUND(SUM($AV$5:$AV$404),2),IF($AD123="D",INDEX($AV$5:$AV$404,$AC123),IF($AD123="T",ROUND(SUMIF($X$5:$X$404,$AF123,$AV$5:$AV$404),2),IF($AD123="B",ROUND(SUMIF($AN$5:$AN$404,$AQ123,$AV$5:$AV$404),2),""))))</f>
        <v/>
      </c>
      <c r="M123" s="32">
        <f>IF($AD123="Z",ROUND(SUM($AJ$5:$AJ$704),2),IF($AD123="B",ROUND(SUMIF($AQ$5:$AQ$704,$AQ123,$AJ$5:$AJ$704),2),IF($AD123&lt;&gt;"T","",$AJ123)))</f>
        <v/>
      </c>
      <c r="N123" s="32">
        <f>IF(OR($AD123="D",$AD123="T",$AD123="B",$AD123="Z"),ROUND(N($K123)-N($L123)-N($M123),2),"")</f>
        <v/>
      </c>
      <c r="O123" s="32">
        <f>IF(OR($AD123="D",$AD123="T",$AD123="B",$AD123="Z"),IF(N($E123)=0,"",ROUND($F123/$E123,2)),"")</f>
        <v/>
      </c>
      <c r="Q123">
        <f>IFERROR(MATCH(119,บันทึกรายเที่ยว!$Z$6:$Z$6005,0),"")</f>
        <v/>
      </c>
      <c r="R123">
        <f>IF($Q123="","",INDEX(บันทึกรายเที่ยว!$V$6:$V$6005,$Q123))</f>
        <v/>
      </c>
      <c r="S123">
        <f>IF($Q123="","",INDEX(บันทึกรายเที่ยว!$F$6:$F$6005,$Q123))</f>
        <v/>
      </c>
      <c r="T123">
        <f>IF($Q123="","",MATCH($S123,บันทึกรายเที่ยว!$F$6:$F$6005,0))</f>
        <v/>
      </c>
      <c r="U123">
        <f>IF($Q123="","",$AL123*10000000+$T123*1000+119)</f>
        <v/>
      </c>
      <c r="V123">
        <f>IFERROR(MATCH(SMALL($U$5:$U$404,119),$U$5:$U$404,0),"")</f>
        <v/>
      </c>
      <c r="W123">
        <f>IF($V123="","",INDEX($Q$5:$Q$404,$V123))</f>
        <v/>
      </c>
      <c r="X123">
        <f>IF($V123="","",INDEX($S$5:$S$404,$V123))</f>
        <v/>
      </c>
      <c r="Y123">
        <f>IF($V123="","",INDEX($R$5:$R$404,$V123))</f>
        <v/>
      </c>
      <c r="Z123">
        <f>IF($V123="",0,IF($X123&lt;&gt;$X122,1,0))</f>
        <v/>
      </c>
      <c r="AA123">
        <f>IF($V123="",0,IF($V124="",1,IF($X124&lt;&gt;$X123,1,0)))</f>
        <v/>
      </c>
      <c r="AB123">
        <f>IF($V123="",99999+119,$AB122+1+$Z122+$AA122+$AO122)</f>
        <v/>
      </c>
      <c r="AC123">
        <f>IFERROR(MATCH(119,$AB$5:$AB$404,1),"")</f>
        <v/>
      </c>
      <c r="AD123">
        <f>IF(119=$AI$1+1,"Z",IF($AC123="","",IF(INDEX($V$5:$V$404,$AC123)="","",IF(119&gt;INDEX($AB$5:$AB$404,$AC123)+INDEX($Z$5:$Z$404,$AC123)+INDEX($AA$5:$AA$404,$AC123)+INDEX($AO$5:$AO$404,$AC123),"",IF(119=INDEX($AB$5:$AB$404,$AC123)+INDEX($Z$5:$Z$404,$AC123),"D",IF(AND(INDEX($Z$5:$Z$404,$AC123)=1,119=INDEX($AB$5:$AB$404,$AC123)),"H",IF(AND(INDEX($AO$5:$AO$404,$AC123)=1,119=INDEX($AB$5:$AB$404,$AC123)+INDEX($Z$5:$Z$404,$AC123)+INDEX($AA$5:$AA$404,$AC123)+INDEX($AO$5:$AO$404,$AC123)),"B","T")))))))</f>
        <v/>
      </c>
      <c r="AF123">
        <f>IF(OR($AD123="",$AD123="Z",$AD123="B"),"",INDEX($X$5:$X$404,$AC123))</f>
        <v/>
      </c>
      <c r="AJ123">
        <f>IF($AD123&lt;&gt;"T",0,ROUND(SUMIF(oil!$B$4:$B$63,$AF123,oil!$AE$4:$AE$63),2))</f>
        <v/>
      </c>
      <c r="AK123">
        <f>IF($S123="","",IFERROR(INDEX(อัตราค่าขนส่ง!$P$5:$P$54,MATCH($S123,อัตราค่าขนส่ง!$O$5:$O$54,0)),INDEX(รายการมาตรฐาน!$G$2:$G$3,1)))</f>
        <v/>
      </c>
      <c r="AL123">
        <f>IF($S123="","",IFERROR(MATCH($AK123,รายการมาตรฐาน!$G$2:$G$3,0),1))</f>
        <v/>
      </c>
      <c r="AM123">
        <f>IF($V123="","",INDEX($AK$5:$AK$404,$V123))</f>
        <v/>
      </c>
      <c r="AN123">
        <f>IF($V123="","",INDEX($AL$5:$AL$404,$V123))</f>
        <v/>
      </c>
      <c r="AO123">
        <f>IF(OR($V123="",$AI$2&lt;=1),0,IF($V124="",1,IF($AN124&lt;&gt;$AN123,1,0)))</f>
        <v/>
      </c>
      <c r="AP123">
        <f>IF($V123="",0,IF($AN123&lt;&gt;$AN122,1,0))</f>
        <v/>
      </c>
      <c r="AQ123">
        <f>IF(OR($AD123="",$AD123="Z"),"",INDEX($AN$5:$AN$404,$AC123))</f>
        <v/>
      </c>
      <c r="AR123">
        <f>IF($Y123="",0,COUNTIF(บันทึกรายเที่ยว!$V$6:$V$6005,$Y123))</f>
        <v/>
      </c>
      <c r="AS123">
        <f>IF($Y123="",0,ROUND(SUMIF(บันทึกรายเที่ยว!$V$6:$V$6005,$Y123,บันทึกรายเที่ยว!$M$6:$M$6005),2))</f>
        <v/>
      </c>
      <c r="AT123">
        <f>IF($Y123="",0,IFERROR(INDEX(อัตราค่าขนส่ง!$G$5:$G$204,MATCH($Y123,อัตราค่าขนส่ง!$M$5:$M$204,0)),0))</f>
        <v/>
      </c>
      <c r="AU123">
        <f>ROUND($AS123*$BD123,2)</f>
        <v/>
      </c>
      <c r="AV123">
        <f>ROUND($AU123*$BF$2/100,2)</f>
        <v/>
      </c>
      <c r="AW123">
        <f>IF($Y123="","",IFERROR(INDEX(อัตราค่าขนส่ง!$F$5:$F$204,MATCH($Y123,อัตราค่าขนส่ง!$M$5:$M$204,0)),""))</f>
        <v/>
      </c>
      <c r="AX123">
        <f>IF($W123="","",INDEX(บันทึกรายเที่ยว!$D$6:$D$6005,$W123))</f>
        <v/>
      </c>
      <c r="AY123">
        <f>IF($W123="","",INDEX(บันทึกรายเที่ยว!$R$6:$R$6005,$W123))</f>
        <v/>
      </c>
      <c r="AZ123">
        <f>IF(AND($AD123="T",$AQ123=1),N($AZ122)+1,N($AZ122))</f>
        <v/>
      </c>
      <c r="BA123">
        <f>IF($W123="","",INDEX(บันทึกรายเที่ยว!$E$6:$E$6005,$W123))</f>
        <v/>
      </c>
      <c r="BC123">
        <f>IF($Y123="",0,IFERROR(INDEX(อัตราค่าขนส่ง!$K$5:$K$204,MATCH($Y123,อัตราค่าขนส่ง!$M$5:$M$204,0)),0))</f>
        <v/>
      </c>
      <c r="BD123">
        <f>IF($Y123="",0,IFERROR(INDEX(อัตราค่าขนส่ง!$L$5:$L$204,MATCH($Y123,อัตราค่าขนส่ง!$M$5:$M$204,0)),0))</f>
        <v/>
      </c>
    </row>
    <row r="124" ht="21" customHeight="1" s="66">
      <c r="A124" s="69">
        <f>IF($AD124="","",IF($AD124="Z","รวมจ่ายทั้งสิ้น",IF($AD124="H",INDEX($X$5:$X$404,$AC124),IF($AD124="T","รวม",IF($AD124="B",IFERROR(INDEX(อัตราค่าขนส่ง!$S$5:$S$14,MATCH(INDEX($AM$5:$AM$404,$AC124),อัตราค่าขนส่ง!$R$5:$R$14,0)),"รวมกลุ่ม "&amp;INDEX($AM$5:$AM$404,$AC124)),INDEX($AY$5:$AY$404,$AC124))))))</f>
        <v/>
      </c>
      <c r="B124" s="31">
        <f>IF($AD124&lt;&gt;"D","",INDEX($AW$5:$AW$404,$AC124))</f>
        <v/>
      </c>
      <c r="C124" s="68">
        <f>IF($AD124&lt;&gt;"D","",INDEX($AX$5:$AX$404,$AC124))</f>
        <v/>
      </c>
      <c r="D124" s="70">
        <f>IF($AD124&lt;&gt;"D","",INDEX($BA$5:$BA$404,$AC124))</f>
        <v/>
      </c>
      <c r="E124" s="31">
        <f>IF($AD124="Z",SUM($AR$5:$AR$404),IF($AD124="D",INDEX($AR$5:$AR$404,$AC124),IF($AD124="T",SUMIF($X$5:$X$404,$AF124,$AR$5:$AR$404),IF($AD124="B",SUMIF($AN$5:$AN$404,$AQ124,$AR$5:$AR$404),""))))</f>
        <v/>
      </c>
      <c r="F124" s="32">
        <f>IF($AD124="Z",ROUND(SUM($AS$5:$AS$404),2),IF($AD124="D",INDEX($AS$5:$AS$404,$AC124),IF($AD124="T",ROUND(SUMIF($X$5:$X$404,$AF124,$AS$5:$AS$404),2),IF($AD124="B",ROUND(SUMIF($AN$5:$AN$404,$AQ124,$AS$5:$AS$404),2),""))))</f>
        <v/>
      </c>
      <c r="G124" s="32">
        <f>IF($AD124&lt;&gt;"D","",INDEX($AT$5:$AT$404,$AC124))</f>
        <v/>
      </c>
      <c r="H124" s="32">
        <f>IF($AD124&lt;&gt;"D","",INDEX($BC$5:$BC$404,$AC124))</f>
        <v/>
      </c>
      <c r="I124" s="32">
        <f>IF($AD124&lt;&gt;"D","",INDEX($BD$5:$BD$404,$AC124))</f>
        <v/>
      </c>
      <c r="J124" s="46">
        <f>IF($AD124&lt;&gt;"D","",IF(N($B124)=0,"",ROUND($I124/$B124,4)))</f>
        <v/>
      </c>
      <c r="K124" s="32">
        <f>IF($AD124="Z",ROUND(SUM($AU$5:$AU$404),2),IF($AD124="D",INDEX($AU$5:$AU$404,$AC124),IF($AD124="T",ROUND(SUMIF($X$5:$X$404,$AF124,$AU$5:$AU$404),2),IF($AD124="B",ROUND(SUMIF($AN$5:$AN$404,$AQ124,$AU$5:$AU$404),2),""))))</f>
        <v/>
      </c>
      <c r="L124" s="32">
        <f>IF($AD124="Z",ROUND(SUM($AV$5:$AV$404),2),IF($AD124="D",INDEX($AV$5:$AV$404,$AC124),IF($AD124="T",ROUND(SUMIF($X$5:$X$404,$AF124,$AV$5:$AV$404),2),IF($AD124="B",ROUND(SUMIF($AN$5:$AN$404,$AQ124,$AV$5:$AV$404),2),""))))</f>
        <v/>
      </c>
      <c r="M124" s="32">
        <f>IF($AD124="Z",ROUND(SUM($AJ$5:$AJ$704),2),IF($AD124="B",ROUND(SUMIF($AQ$5:$AQ$704,$AQ124,$AJ$5:$AJ$704),2),IF($AD124&lt;&gt;"T","",$AJ124)))</f>
        <v/>
      </c>
      <c r="N124" s="32">
        <f>IF(OR($AD124="D",$AD124="T",$AD124="B",$AD124="Z"),ROUND(N($K124)-N($L124)-N($M124),2),"")</f>
        <v/>
      </c>
      <c r="O124" s="32">
        <f>IF(OR($AD124="D",$AD124="T",$AD124="B",$AD124="Z"),IF(N($E124)=0,"",ROUND($F124/$E124,2)),"")</f>
        <v/>
      </c>
      <c r="Q124">
        <f>IFERROR(MATCH(120,บันทึกรายเที่ยว!$Z$6:$Z$6005,0),"")</f>
        <v/>
      </c>
      <c r="R124">
        <f>IF($Q124="","",INDEX(บันทึกรายเที่ยว!$V$6:$V$6005,$Q124))</f>
        <v/>
      </c>
      <c r="S124">
        <f>IF($Q124="","",INDEX(บันทึกรายเที่ยว!$F$6:$F$6005,$Q124))</f>
        <v/>
      </c>
      <c r="T124">
        <f>IF($Q124="","",MATCH($S124,บันทึกรายเที่ยว!$F$6:$F$6005,0))</f>
        <v/>
      </c>
      <c r="U124">
        <f>IF($Q124="","",$AL124*10000000+$T124*1000+120)</f>
        <v/>
      </c>
      <c r="V124">
        <f>IFERROR(MATCH(SMALL($U$5:$U$404,120),$U$5:$U$404,0),"")</f>
        <v/>
      </c>
      <c r="W124">
        <f>IF($V124="","",INDEX($Q$5:$Q$404,$V124))</f>
        <v/>
      </c>
      <c r="X124">
        <f>IF($V124="","",INDEX($S$5:$S$404,$V124))</f>
        <v/>
      </c>
      <c r="Y124">
        <f>IF($V124="","",INDEX($R$5:$R$404,$V124))</f>
        <v/>
      </c>
      <c r="Z124">
        <f>IF($V124="",0,IF($X124&lt;&gt;$X123,1,0))</f>
        <v/>
      </c>
      <c r="AA124">
        <f>IF($V124="",0,IF($V125="",1,IF($X125&lt;&gt;$X124,1,0)))</f>
        <v/>
      </c>
      <c r="AB124">
        <f>IF($V124="",99999+120,$AB123+1+$Z123+$AA123+$AO123)</f>
        <v/>
      </c>
      <c r="AC124">
        <f>IFERROR(MATCH(120,$AB$5:$AB$404,1),"")</f>
        <v/>
      </c>
      <c r="AD124">
        <f>IF(120=$AI$1+1,"Z",IF($AC124="","",IF(INDEX($V$5:$V$404,$AC124)="","",IF(120&gt;INDEX($AB$5:$AB$404,$AC124)+INDEX($Z$5:$Z$404,$AC124)+INDEX($AA$5:$AA$404,$AC124)+INDEX($AO$5:$AO$404,$AC124),"",IF(120=INDEX($AB$5:$AB$404,$AC124)+INDEX($Z$5:$Z$404,$AC124),"D",IF(AND(INDEX($Z$5:$Z$404,$AC124)=1,120=INDEX($AB$5:$AB$404,$AC124)),"H",IF(AND(INDEX($AO$5:$AO$404,$AC124)=1,120=INDEX($AB$5:$AB$404,$AC124)+INDEX($Z$5:$Z$404,$AC124)+INDEX($AA$5:$AA$404,$AC124)+INDEX($AO$5:$AO$404,$AC124)),"B","T")))))))</f>
        <v/>
      </c>
      <c r="AF124">
        <f>IF(OR($AD124="",$AD124="Z",$AD124="B"),"",INDEX($X$5:$X$404,$AC124))</f>
        <v/>
      </c>
      <c r="AJ124">
        <f>IF($AD124&lt;&gt;"T",0,ROUND(SUMIF(oil!$B$4:$B$63,$AF124,oil!$AE$4:$AE$63),2))</f>
        <v/>
      </c>
      <c r="AK124">
        <f>IF($S124="","",IFERROR(INDEX(อัตราค่าขนส่ง!$P$5:$P$54,MATCH($S124,อัตราค่าขนส่ง!$O$5:$O$54,0)),INDEX(รายการมาตรฐาน!$G$2:$G$3,1)))</f>
        <v/>
      </c>
      <c r="AL124">
        <f>IF($S124="","",IFERROR(MATCH($AK124,รายการมาตรฐาน!$G$2:$G$3,0),1))</f>
        <v/>
      </c>
      <c r="AM124">
        <f>IF($V124="","",INDEX($AK$5:$AK$404,$V124))</f>
        <v/>
      </c>
      <c r="AN124">
        <f>IF($V124="","",INDEX($AL$5:$AL$404,$V124))</f>
        <v/>
      </c>
      <c r="AO124">
        <f>IF(OR($V124="",$AI$2&lt;=1),0,IF($V125="",1,IF($AN125&lt;&gt;$AN124,1,0)))</f>
        <v/>
      </c>
      <c r="AP124">
        <f>IF($V124="",0,IF($AN124&lt;&gt;$AN123,1,0))</f>
        <v/>
      </c>
      <c r="AQ124">
        <f>IF(OR($AD124="",$AD124="Z"),"",INDEX($AN$5:$AN$404,$AC124))</f>
        <v/>
      </c>
      <c r="AR124">
        <f>IF($Y124="",0,COUNTIF(บันทึกรายเที่ยว!$V$6:$V$6005,$Y124))</f>
        <v/>
      </c>
      <c r="AS124">
        <f>IF($Y124="",0,ROUND(SUMIF(บันทึกรายเที่ยว!$V$6:$V$6005,$Y124,บันทึกรายเที่ยว!$M$6:$M$6005),2))</f>
        <v/>
      </c>
      <c r="AT124">
        <f>IF($Y124="",0,IFERROR(INDEX(อัตราค่าขนส่ง!$G$5:$G$204,MATCH($Y124,อัตราค่าขนส่ง!$M$5:$M$204,0)),0))</f>
        <v/>
      </c>
      <c r="AU124">
        <f>ROUND($AS124*$BD124,2)</f>
        <v/>
      </c>
      <c r="AV124">
        <f>ROUND($AU124*$BF$2/100,2)</f>
        <v/>
      </c>
      <c r="AW124">
        <f>IF($Y124="","",IFERROR(INDEX(อัตราค่าขนส่ง!$F$5:$F$204,MATCH($Y124,อัตราค่าขนส่ง!$M$5:$M$204,0)),""))</f>
        <v/>
      </c>
      <c r="AX124">
        <f>IF($W124="","",INDEX(บันทึกรายเที่ยว!$D$6:$D$6005,$W124))</f>
        <v/>
      </c>
      <c r="AY124">
        <f>IF($W124="","",INDEX(บันทึกรายเที่ยว!$R$6:$R$6005,$W124))</f>
        <v/>
      </c>
      <c r="AZ124">
        <f>IF(AND($AD124="T",$AQ124=1),N($AZ123)+1,N($AZ123))</f>
        <v/>
      </c>
      <c r="BA124">
        <f>IF($W124="","",INDEX(บันทึกรายเที่ยว!$E$6:$E$6005,$W124))</f>
        <v/>
      </c>
      <c r="BC124">
        <f>IF($Y124="",0,IFERROR(INDEX(อัตราค่าขนส่ง!$K$5:$K$204,MATCH($Y124,อัตราค่าขนส่ง!$M$5:$M$204,0)),0))</f>
        <v/>
      </c>
      <c r="BD124">
        <f>IF($Y124="",0,IFERROR(INDEX(อัตราค่าขนส่ง!$L$5:$L$204,MATCH($Y124,อัตราค่าขนส่ง!$M$5:$M$204,0)),0))</f>
        <v/>
      </c>
    </row>
    <row r="125" ht="21" customHeight="1" s="66">
      <c r="A125" s="69">
        <f>IF($AD125="","",IF($AD125="Z","รวมจ่ายทั้งสิ้น",IF($AD125="H",INDEX($X$5:$X$404,$AC125),IF($AD125="T","รวม",IF($AD125="B",IFERROR(INDEX(อัตราค่าขนส่ง!$S$5:$S$14,MATCH(INDEX($AM$5:$AM$404,$AC125),อัตราค่าขนส่ง!$R$5:$R$14,0)),"รวมกลุ่ม "&amp;INDEX($AM$5:$AM$404,$AC125)),INDEX($AY$5:$AY$404,$AC125))))))</f>
        <v/>
      </c>
      <c r="B125" s="31">
        <f>IF($AD125&lt;&gt;"D","",INDEX($AW$5:$AW$404,$AC125))</f>
        <v/>
      </c>
      <c r="C125" s="68">
        <f>IF($AD125&lt;&gt;"D","",INDEX($AX$5:$AX$404,$AC125))</f>
        <v/>
      </c>
      <c r="D125" s="70">
        <f>IF($AD125&lt;&gt;"D","",INDEX($BA$5:$BA$404,$AC125))</f>
        <v/>
      </c>
      <c r="E125" s="31">
        <f>IF($AD125="Z",SUM($AR$5:$AR$404),IF($AD125="D",INDEX($AR$5:$AR$404,$AC125),IF($AD125="T",SUMIF($X$5:$X$404,$AF125,$AR$5:$AR$404),IF($AD125="B",SUMIF($AN$5:$AN$404,$AQ125,$AR$5:$AR$404),""))))</f>
        <v/>
      </c>
      <c r="F125" s="32">
        <f>IF($AD125="Z",ROUND(SUM($AS$5:$AS$404),2),IF($AD125="D",INDEX($AS$5:$AS$404,$AC125),IF($AD125="T",ROUND(SUMIF($X$5:$X$404,$AF125,$AS$5:$AS$404),2),IF($AD125="B",ROUND(SUMIF($AN$5:$AN$404,$AQ125,$AS$5:$AS$404),2),""))))</f>
        <v/>
      </c>
      <c r="G125" s="32">
        <f>IF($AD125&lt;&gt;"D","",INDEX($AT$5:$AT$404,$AC125))</f>
        <v/>
      </c>
      <c r="H125" s="32">
        <f>IF($AD125&lt;&gt;"D","",INDEX($BC$5:$BC$404,$AC125))</f>
        <v/>
      </c>
      <c r="I125" s="32">
        <f>IF($AD125&lt;&gt;"D","",INDEX($BD$5:$BD$404,$AC125))</f>
        <v/>
      </c>
      <c r="J125" s="46">
        <f>IF($AD125&lt;&gt;"D","",IF(N($B125)=0,"",ROUND($I125/$B125,4)))</f>
        <v/>
      </c>
      <c r="K125" s="32">
        <f>IF($AD125="Z",ROUND(SUM($AU$5:$AU$404),2),IF($AD125="D",INDEX($AU$5:$AU$404,$AC125),IF($AD125="T",ROUND(SUMIF($X$5:$X$404,$AF125,$AU$5:$AU$404),2),IF($AD125="B",ROUND(SUMIF($AN$5:$AN$404,$AQ125,$AU$5:$AU$404),2),""))))</f>
        <v/>
      </c>
      <c r="L125" s="32">
        <f>IF($AD125="Z",ROUND(SUM($AV$5:$AV$404),2),IF($AD125="D",INDEX($AV$5:$AV$404,$AC125),IF($AD125="T",ROUND(SUMIF($X$5:$X$404,$AF125,$AV$5:$AV$404),2),IF($AD125="B",ROUND(SUMIF($AN$5:$AN$404,$AQ125,$AV$5:$AV$404),2),""))))</f>
        <v/>
      </c>
      <c r="M125" s="32">
        <f>IF($AD125="Z",ROUND(SUM($AJ$5:$AJ$704),2),IF($AD125="B",ROUND(SUMIF($AQ$5:$AQ$704,$AQ125,$AJ$5:$AJ$704),2),IF($AD125&lt;&gt;"T","",$AJ125)))</f>
        <v/>
      </c>
      <c r="N125" s="32">
        <f>IF(OR($AD125="D",$AD125="T",$AD125="B",$AD125="Z"),ROUND(N($K125)-N($L125)-N($M125),2),"")</f>
        <v/>
      </c>
      <c r="O125" s="32">
        <f>IF(OR($AD125="D",$AD125="T",$AD125="B",$AD125="Z"),IF(N($E125)=0,"",ROUND($F125/$E125,2)),"")</f>
        <v/>
      </c>
      <c r="Q125">
        <f>IFERROR(MATCH(121,บันทึกรายเที่ยว!$Z$6:$Z$6005,0),"")</f>
        <v/>
      </c>
      <c r="R125">
        <f>IF($Q125="","",INDEX(บันทึกรายเที่ยว!$V$6:$V$6005,$Q125))</f>
        <v/>
      </c>
      <c r="S125">
        <f>IF($Q125="","",INDEX(บันทึกรายเที่ยว!$F$6:$F$6005,$Q125))</f>
        <v/>
      </c>
      <c r="T125">
        <f>IF($Q125="","",MATCH($S125,บันทึกรายเที่ยว!$F$6:$F$6005,0))</f>
        <v/>
      </c>
      <c r="U125">
        <f>IF($Q125="","",$AL125*10000000+$T125*1000+121)</f>
        <v/>
      </c>
      <c r="V125">
        <f>IFERROR(MATCH(SMALL($U$5:$U$404,121),$U$5:$U$404,0),"")</f>
        <v/>
      </c>
      <c r="W125">
        <f>IF($V125="","",INDEX($Q$5:$Q$404,$V125))</f>
        <v/>
      </c>
      <c r="X125">
        <f>IF($V125="","",INDEX($S$5:$S$404,$V125))</f>
        <v/>
      </c>
      <c r="Y125">
        <f>IF($V125="","",INDEX($R$5:$R$404,$V125))</f>
        <v/>
      </c>
      <c r="Z125">
        <f>IF($V125="",0,IF($X125&lt;&gt;$X124,1,0))</f>
        <v/>
      </c>
      <c r="AA125">
        <f>IF($V125="",0,IF($V126="",1,IF($X126&lt;&gt;$X125,1,0)))</f>
        <v/>
      </c>
      <c r="AB125">
        <f>IF($V125="",99999+121,$AB124+1+$Z124+$AA124+$AO124)</f>
        <v/>
      </c>
      <c r="AC125">
        <f>IFERROR(MATCH(121,$AB$5:$AB$404,1),"")</f>
        <v/>
      </c>
      <c r="AD125">
        <f>IF(121=$AI$1+1,"Z",IF($AC125="","",IF(INDEX($V$5:$V$404,$AC125)="","",IF(121&gt;INDEX($AB$5:$AB$404,$AC125)+INDEX($Z$5:$Z$404,$AC125)+INDEX($AA$5:$AA$404,$AC125)+INDEX($AO$5:$AO$404,$AC125),"",IF(121=INDEX($AB$5:$AB$404,$AC125)+INDEX($Z$5:$Z$404,$AC125),"D",IF(AND(INDEX($Z$5:$Z$404,$AC125)=1,121=INDEX($AB$5:$AB$404,$AC125)),"H",IF(AND(INDEX($AO$5:$AO$404,$AC125)=1,121=INDEX($AB$5:$AB$404,$AC125)+INDEX($Z$5:$Z$404,$AC125)+INDEX($AA$5:$AA$404,$AC125)+INDEX($AO$5:$AO$404,$AC125)),"B","T")))))))</f>
        <v/>
      </c>
      <c r="AF125">
        <f>IF(OR($AD125="",$AD125="Z",$AD125="B"),"",INDEX($X$5:$X$404,$AC125))</f>
        <v/>
      </c>
      <c r="AJ125">
        <f>IF($AD125&lt;&gt;"T",0,ROUND(SUMIF(oil!$B$4:$B$63,$AF125,oil!$AE$4:$AE$63),2))</f>
        <v/>
      </c>
      <c r="AK125">
        <f>IF($S125="","",IFERROR(INDEX(อัตราค่าขนส่ง!$P$5:$P$54,MATCH($S125,อัตราค่าขนส่ง!$O$5:$O$54,0)),INDEX(รายการมาตรฐาน!$G$2:$G$3,1)))</f>
        <v/>
      </c>
      <c r="AL125">
        <f>IF($S125="","",IFERROR(MATCH($AK125,รายการมาตรฐาน!$G$2:$G$3,0),1))</f>
        <v/>
      </c>
      <c r="AM125">
        <f>IF($V125="","",INDEX($AK$5:$AK$404,$V125))</f>
        <v/>
      </c>
      <c r="AN125">
        <f>IF($V125="","",INDEX($AL$5:$AL$404,$V125))</f>
        <v/>
      </c>
      <c r="AO125">
        <f>IF(OR($V125="",$AI$2&lt;=1),0,IF($V126="",1,IF($AN126&lt;&gt;$AN125,1,0)))</f>
        <v/>
      </c>
      <c r="AP125">
        <f>IF($V125="",0,IF($AN125&lt;&gt;$AN124,1,0))</f>
        <v/>
      </c>
      <c r="AQ125">
        <f>IF(OR($AD125="",$AD125="Z"),"",INDEX($AN$5:$AN$404,$AC125))</f>
        <v/>
      </c>
      <c r="AR125">
        <f>IF($Y125="",0,COUNTIF(บันทึกรายเที่ยว!$V$6:$V$6005,$Y125))</f>
        <v/>
      </c>
      <c r="AS125">
        <f>IF($Y125="",0,ROUND(SUMIF(บันทึกรายเที่ยว!$V$6:$V$6005,$Y125,บันทึกรายเที่ยว!$M$6:$M$6005),2))</f>
        <v/>
      </c>
      <c r="AT125">
        <f>IF($Y125="",0,IFERROR(INDEX(อัตราค่าขนส่ง!$G$5:$G$204,MATCH($Y125,อัตราค่าขนส่ง!$M$5:$M$204,0)),0))</f>
        <v/>
      </c>
      <c r="AU125">
        <f>ROUND($AS125*$BD125,2)</f>
        <v/>
      </c>
      <c r="AV125">
        <f>ROUND($AU125*$BF$2/100,2)</f>
        <v/>
      </c>
      <c r="AW125">
        <f>IF($Y125="","",IFERROR(INDEX(อัตราค่าขนส่ง!$F$5:$F$204,MATCH($Y125,อัตราค่าขนส่ง!$M$5:$M$204,0)),""))</f>
        <v/>
      </c>
      <c r="AX125">
        <f>IF($W125="","",INDEX(บันทึกรายเที่ยว!$D$6:$D$6005,$W125))</f>
        <v/>
      </c>
      <c r="AY125">
        <f>IF($W125="","",INDEX(บันทึกรายเที่ยว!$R$6:$R$6005,$W125))</f>
        <v/>
      </c>
      <c r="AZ125">
        <f>IF(AND($AD125="T",$AQ125=1),N($AZ124)+1,N($AZ124))</f>
        <v/>
      </c>
      <c r="BA125">
        <f>IF($W125="","",INDEX(บันทึกรายเที่ยว!$E$6:$E$6005,$W125))</f>
        <v/>
      </c>
      <c r="BC125">
        <f>IF($Y125="",0,IFERROR(INDEX(อัตราค่าขนส่ง!$K$5:$K$204,MATCH($Y125,อัตราค่าขนส่ง!$M$5:$M$204,0)),0))</f>
        <v/>
      </c>
      <c r="BD125">
        <f>IF($Y125="",0,IFERROR(INDEX(อัตราค่าขนส่ง!$L$5:$L$204,MATCH($Y125,อัตราค่าขนส่ง!$M$5:$M$204,0)),0))</f>
        <v/>
      </c>
    </row>
    <row r="126" ht="21" customHeight="1" s="66">
      <c r="A126" s="69">
        <f>IF($AD126="","",IF($AD126="Z","รวมจ่ายทั้งสิ้น",IF($AD126="H",INDEX($X$5:$X$404,$AC126),IF($AD126="T","รวม",IF($AD126="B",IFERROR(INDEX(อัตราค่าขนส่ง!$S$5:$S$14,MATCH(INDEX($AM$5:$AM$404,$AC126),อัตราค่าขนส่ง!$R$5:$R$14,0)),"รวมกลุ่ม "&amp;INDEX($AM$5:$AM$404,$AC126)),INDEX($AY$5:$AY$404,$AC126))))))</f>
        <v/>
      </c>
      <c r="B126" s="31">
        <f>IF($AD126&lt;&gt;"D","",INDEX($AW$5:$AW$404,$AC126))</f>
        <v/>
      </c>
      <c r="C126" s="68">
        <f>IF($AD126&lt;&gt;"D","",INDEX($AX$5:$AX$404,$AC126))</f>
        <v/>
      </c>
      <c r="D126" s="70">
        <f>IF($AD126&lt;&gt;"D","",INDEX($BA$5:$BA$404,$AC126))</f>
        <v/>
      </c>
      <c r="E126" s="31">
        <f>IF($AD126="Z",SUM($AR$5:$AR$404),IF($AD126="D",INDEX($AR$5:$AR$404,$AC126),IF($AD126="T",SUMIF($X$5:$X$404,$AF126,$AR$5:$AR$404),IF($AD126="B",SUMIF($AN$5:$AN$404,$AQ126,$AR$5:$AR$404),""))))</f>
        <v/>
      </c>
      <c r="F126" s="32">
        <f>IF($AD126="Z",ROUND(SUM($AS$5:$AS$404),2),IF($AD126="D",INDEX($AS$5:$AS$404,$AC126),IF($AD126="T",ROUND(SUMIF($X$5:$X$404,$AF126,$AS$5:$AS$404),2),IF($AD126="B",ROUND(SUMIF($AN$5:$AN$404,$AQ126,$AS$5:$AS$404),2),""))))</f>
        <v/>
      </c>
      <c r="G126" s="32">
        <f>IF($AD126&lt;&gt;"D","",INDEX($AT$5:$AT$404,$AC126))</f>
        <v/>
      </c>
      <c r="H126" s="32">
        <f>IF($AD126&lt;&gt;"D","",INDEX($BC$5:$BC$404,$AC126))</f>
        <v/>
      </c>
      <c r="I126" s="32">
        <f>IF($AD126&lt;&gt;"D","",INDEX($BD$5:$BD$404,$AC126))</f>
        <v/>
      </c>
      <c r="J126" s="46">
        <f>IF($AD126&lt;&gt;"D","",IF(N($B126)=0,"",ROUND($I126/$B126,4)))</f>
        <v/>
      </c>
      <c r="K126" s="32">
        <f>IF($AD126="Z",ROUND(SUM($AU$5:$AU$404),2),IF($AD126="D",INDEX($AU$5:$AU$404,$AC126),IF($AD126="T",ROUND(SUMIF($X$5:$X$404,$AF126,$AU$5:$AU$404),2),IF($AD126="B",ROUND(SUMIF($AN$5:$AN$404,$AQ126,$AU$5:$AU$404),2),""))))</f>
        <v/>
      </c>
      <c r="L126" s="32">
        <f>IF($AD126="Z",ROUND(SUM($AV$5:$AV$404),2),IF($AD126="D",INDEX($AV$5:$AV$404,$AC126),IF($AD126="T",ROUND(SUMIF($X$5:$X$404,$AF126,$AV$5:$AV$404),2),IF($AD126="B",ROUND(SUMIF($AN$5:$AN$404,$AQ126,$AV$5:$AV$404),2),""))))</f>
        <v/>
      </c>
      <c r="M126" s="32">
        <f>IF($AD126="Z",ROUND(SUM($AJ$5:$AJ$704),2),IF($AD126="B",ROUND(SUMIF($AQ$5:$AQ$704,$AQ126,$AJ$5:$AJ$704),2),IF($AD126&lt;&gt;"T","",$AJ126)))</f>
        <v/>
      </c>
      <c r="N126" s="32">
        <f>IF(OR($AD126="D",$AD126="T",$AD126="B",$AD126="Z"),ROUND(N($K126)-N($L126)-N($M126),2),"")</f>
        <v/>
      </c>
      <c r="O126" s="32">
        <f>IF(OR($AD126="D",$AD126="T",$AD126="B",$AD126="Z"),IF(N($E126)=0,"",ROUND($F126/$E126,2)),"")</f>
        <v/>
      </c>
      <c r="Q126">
        <f>IFERROR(MATCH(122,บันทึกรายเที่ยว!$Z$6:$Z$6005,0),"")</f>
        <v/>
      </c>
      <c r="R126">
        <f>IF($Q126="","",INDEX(บันทึกรายเที่ยว!$V$6:$V$6005,$Q126))</f>
        <v/>
      </c>
      <c r="S126">
        <f>IF($Q126="","",INDEX(บันทึกรายเที่ยว!$F$6:$F$6005,$Q126))</f>
        <v/>
      </c>
      <c r="T126">
        <f>IF($Q126="","",MATCH($S126,บันทึกรายเที่ยว!$F$6:$F$6005,0))</f>
        <v/>
      </c>
      <c r="U126">
        <f>IF($Q126="","",$AL126*10000000+$T126*1000+122)</f>
        <v/>
      </c>
      <c r="V126">
        <f>IFERROR(MATCH(SMALL($U$5:$U$404,122),$U$5:$U$404,0),"")</f>
        <v/>
      </c>
      <c r="W126">
        <f>IF($V126="","",INDEX($Q$5:$Q$404,$V126))</f>
        <v/>
      </c>
      <c r="X126">
        <f>IF($V126="","",INDEX($S$5:$S$404,$V126))</f>
        <v/>
      </c>
      <c r="Y126">
        <f>IF($V126="","",INDEX($R$5:$R$404,$V126))</f>
        <v/>
      </c>
      <c r="Z126">
        <f>IF($V126="",0,IF($X126&lt;&gt;$X125,1,0))</f>
        <v/>
      </c>
      <c r="AA126">
        <f>IF($V126="",0,IF($V127="",1,IF($X127&lt;&gt;$X126,1,0)))</f>
        <v/>
      </c>
      <c r="AB126">
        <f>IF($V126="",99999+122,$AB125+1+$Z125+$AA125+$AO125)</f>
        <v/>
      </c>
      <c r="AC126">
        <f>IFERROR(MATCH(122,$AB$5:$AB$404,1),"")</f>
        <v/>
      </c>
      <c r="AD126">
        <f>IF(122=$AI$1+1,"Z",IF($AC126="","",IF(INDEX($V$5:$V$404,$AC126)="","",IF(122&gt;INDEX($AB$5:$AB$404,$AC126)+INDEX($Z$5:$Z$404,$AC126)+INDEX($AA$5:$AA$404,$AC126)+INDEX($AO$5:$AO$404,$AC126),"",IF(122=INDEX($AB$5:$AB$404,$AC126)+INDEX($Z$5:$Z$404,$AC126),"D",IF(AND(INDEX($Z$5:$Z$404,$AC126)=1,122=INDEX($AB$5:$AB$404,$AC126)),"H",IF(AND(INDEX($AO$5:$AO$404,$AC126)=1,122=INDEX($AB$5:$AB$404,$AC126)+INDEX($Z$5:$Z$404,$AC126)+INDEX($AA$5:$AA$404,$AC126)+INDEX($AO$5:$AO$404,$AC126)),"B","T")))))))</f>
        <v/>
      </c>
      <c r="AF126">
        <f>IF(OR($AD126="",$AD126="Z",$AD126="B"),"",INDEX($X$5:$X$404,$AC126))</f>
        <v/>
      </c>
      <c r="AJ126">
        <f>IF($AD126&lt;&gt;"T",0,ROUND(SUMIF(oil!$B$4:$B$63,$AF126,oil!$AE$4:$AE$63),2))</f>
        <v/>
      </c>
      <c r="AK126">
        <f>IF($S126="","",IFERROR(INDEX(อัตราค่าขนส่ง!$P$5:$P$54,MATCH($S126,อัตราค่าขนส่ง!$O$5:$O$54,0)),INDEX(รายการมาตรฐาน!$G$2:$G$3,1)))</f>
        <v/>
      </c>
      <c r="AL126">
        <f>IF($S126="","",IFERROR(MATCH($AK126,รายการมาตรฐาน!$G$2:$G$3,0),1))</f>
        <v/>
      </c>
      <c r="AM126">
        <f>IF($V126="","",INDEX($AK$5:$AK$404,$V126))</f>
        <v/>
      </c>
      <c r="AN126">
        <f>IF($V126="","",INDEX($AL$5:$AL$404,$V126))</f>
        <v/>
      </c>
      <c r="AO126">
        <f>IF(OR($V126="",$AI$2&lt;=1),0,IF($V127="",1,IF($AN127&lt;&gt;$AN126,1,0)))</f>
        <v/>
      </c>
      <c r="AP126">
        <f>IF($V126="",0,IF($AN126&lt;&gt;$AN125,1,0))</f>
        <v/>
      </c>
      <c r="AQ126">
        <f>IF(OR($AD126="",$AD126="Z"),"",INDEX($AN$5:$AN$404,$AC126))</f>
        <v/>
      </c>
      <c r="AR126">
        <f>IF($Y126="",0,COUNTIF(บันทึกรายเที่ยว!$V$6:$V$6005,$Y126))</f>
        <v/>
      </c>
      <c r="AS126">
        <f>IF($Y126="",0,ROUND(SUMIF(บันทึกรายเที่ยว!$V$6:$V$6005,$Y126,บันทึกรายเที่ยว!$M$6:$M$6005),2))</f>
        <v/>
      </c>
      <c r="AT126">
        <f>IF($Y126="",0,IFERROR(INDEX(อัตราค่าขนส่ง!$G$5:$G$204,MATCH($Y126,อัตราค่าขนส่ง!$M$5:$M$204,0)),0))</f>
        <v/>
      </c>
      <c r="AU126">
        <f>ROUND($AS126*$BD126,2)</f>
        <v/>
      </c>
      <c r="AV126">
        <f>ROUND($AU126*$BF$2/100,2)</f>
        <v/>
      </c>
      <c r="AW126">
        <f>IF($Y126="","",IFERROR(INDEX(อัตราค่าขนส่ง!$F$5:$F$204,MATCH($Y126,อัตราค่าขนส่ง!$M$5:$M$204,0)),""))</f>
        <v/>
      </c>
      <c r="AX126">
        <f>IF($W126="","",INDEX(บันทึกรายเที่ยว!$D$6:$D$6005,$W126))</f>
        <v/>
      </c>
      <c r="AY126">
        <f>IF($W126="","",INDEX(บันทึกรายเที่ยว!$R$6:$R$6005,$W126))</f>
        <v/>
      </c>
      <c r="AZ126">
        <f>IF(AND($AD126="T",$AQ126=1),N($AZ125)+1,N($AZ125))</f>
        <v/>
      </c>
      <c r="BA126">
        <f>IF($W126="","",INDEX(บันทึกรายเที่ยว!$E$6:$E$6005,$W126))</f>
        <v/>
      </c>
      <c r="BC126">
        <f>IF($Y126="",0,IFERROR(INDEX(อัตราค่าขนส่ง!$K$5:$K$204,MATCH($Y126,อัตราค่าขนส่ง!$M$5:$M$204,0)),0))</f>
        <v/>
      </c>
      <c r="BD126">
        <f>IF($Y126="",0,IFERROR(INDEX(อัตราค่าขนส่ง!$L$5:$L$204,MATCH($Y126,อัตราค่าขนส่ง!$M$5:$M$204,0)),0))</f>
        <v/>
      </c>
    </row>
    <row r="127" ht="21" customHeight="1" s="66">
      <c r="A127" s="69">
        <f>IF($AD127="","",IF($AD127="Z","รวมจ่ายทั้งสิ้น",IF($AD127="H",INDEX($X$5:$X$404,$AC127),IF($AD127="T","รวม",IF($AD127="B",IFERROR(INDEX(อัตราค่าขนส่ง!$S$5:$S$14,MATCH(INDEX($AM$5:$AM$404,$AC127),อัตราค่าขนส่ง!$R$5:$R$14,0)),"รวมกลุ่ม "&amp;INDEX($AM$5:$AM$404,$AC127)),INDEX($AY$5:$AY$404,$AC127))))))</f>
        <v/>
      </c>
      <c r="B127" s="31">
        <f>IF($AD127&lt;&gt;"D","",INDEX($AW$5:$AW$404,$AC127))</f>
        <v/>
      </c>
      <c r="C127" s="68">
        <f>IF($AD127&lt;&gt;"D","",INDEX($AX$5:$AX$404,$AC127))</f>
        <v/>
      </c>
      <c r="D127" s="70">
        <f>IF($AD127&lt;&gt;"D","",INDEX($BA$5:$BA$404,$AC127))</f>
        <v/>
      </c>
      <c r="E127" s="31">
        <f>IF($AD127="Z",SUM($AR$5:$AR$404),IF($AD127="D",INDEX($AR$5:$AR$404,$AC127),IF($AD127="T",SUMIF($X$5:$X$404,$AF127,$AR$5:$AR$404),IF($AD127="B",SUMIF($AN$5:$AN$404,$AQ127,$AR$5:$AR$404),""))))</f>
        <v/>
      </c>
      <c r="F127" s="32">
        <f>IF($AD127="Z",ROUND(SUM($AS$5:$AS$404),2),IF($AD127="D",INDEX($AS$5:$AS$404,$AC127),IF($AD127="T",ROUND(SUMIF($X$5:$X$404,$AF127,$AS$5:$AS$404),2),IF($AD127="B",ROUND(SUMIF($AN$5:$AN$404,$AQ127,$AS$5:$AS$404),2),""))))</f>
        <v/>
      </c>
      <c r="G127" s="32">
        <f>IF($AD127&lt;&gt;"D","",INDEX($AT$5:$AT$404,$AC127))</f>
        <v/>
      </c>
      <c r="H127" s="32">
        <f>IF($AD127&lt;&gt;"D","",INDEX($BC$5:$BC$404,$AC127))</f>
        <v/>
      </c>
      <c r="I127" s="32">
        <f>IF($AD127&lt;&gt;"D","",INDEX($BD$5:$BD$404,$AC127))</f>
        <v/>
      </c>
      <c r="J127" s="46">
        <f>IF($AD127&lt;&gt;"D","",IF(N($B127)=0,"",ROUND($I127/$B127,4)))</f>
        <v/>
      </c>
      <c r="K127" s="32">
        <f>IF($AD127="Z",ROUND(SUM($AU$5:$AU$404),2),IF($AD127="D",INDEX($AU$5:$AU$404,$AC127),IF($AD127="T",ROUND(SUMIF($X$5:$X$404,$AF127,$AU$5:$AU$404),2),IF($AD127="B",ROUND(SUMIF($AN$5:$AN$404,$AQ127,$AU$5:$AU$404),2),""))))</f>
        <v/>
      </c>
      <c r="L127" s="32">
        <f>IF($AD127="Z",ROUND(SUM($AV$5:$AV$404),2),IF($AD127="D",INDEX($AV$5:$AV$404,$AC127),IF($AD127="T",ROUND(SUMIF($X$5:$X$404,$AF127,$AV$5:$AV$404),2),IF($AD127="B",ROUND(SUMIF($AN$5:$AN$404,$AQ127,$AV$5:$AV$404),2),""))))</f>
        <v/>
      </c>
      <c r="M127" s="32">
        <f>IF($AD127="Z",ROUND(SUM($AJ$5:$AJ$704),2),IF($AD127="B",ROUND(SUMIF($AQ$5:$AQ$704,$AQ127,$AJ$5:$AJ$704),2),IF($AD127&lt;&gt;"T","",$AJ127)))</f>
        <v/>
      </c>
      <c r="N127" s="32">
        <f>IF(OR($AD127="D",$AD127="T",$AD127="B",$AD127="Z"),ROUND(N($K127)-N($L127)-N($M127),2),"")</f>
        <v/>
      </c>
      <c r="O127" s="32">
        <f>IF(OR($AD127="D",$AD127="T",$AD127="B",$AD127="Z"),IF(N($E127)=0,"",ROUND($F127/$E127,2)),"")</f>
        <v/>
      </c>
      <c r="Q127">
        <f>IFERROR(MATCH(123,บันทึกรายเที่ยว!$Z$6:$Z$6005,0),"")</f>
        <v/>
      </c>
      <c r="R127">
        <f>IF($Q127="","",INDEX(บันทึกรายเที่ยว!$V$6:$V$6005,$Q127))</f>
        <v/>
      </c>
      <c r="S127">
        <f>IF($Q127="","",INDEX(บันทึกรายเที่ยว!$F$6:$F$6005,$Q127))</f>
        <v/>
      </c>
      <c r="T127">
        <f>IF($Q127="","",MATCH($S127,บันทึกรายเที่ยว!$F$6:$F$6005,0))</f>
        <v/>
      </c>
      <c r="U127">
        <f>IF($Q127="","",$AL127*10000000+$T127*1000+123)</f>
        <v/>
      </c>
      <c r="V127">
        <f>IFERROR(MATCH(SMALL($U$5:$U$404,123),$U$5:$U$404,0),"")</f>
        <v/>
      </c>
      <c r="W127">
        <f>IF($V127="","",INDEX($Q$5:$Q$404,$V127))</f>
        <v/>
      </c>
      <c r="X127">
        <f>IF($V127="","",INDEX($S$5:$S$404,$V127))</f>
        <v/>
      </c>
      <c r="Y127">
        <f>IF($V127="","",INDEX($R$5:$R$404,$V127))</f>
        <v/>
      </c>
      <c r="Z127">
        <f>IF($V127="",0,IF($X127&lt;&gt;$X126,1,0))</f>
        <v/>
      </c>
      <c r="AA127">
        <f>IF($V127="",0,IF($V128="",1,IF($X128&lt;&gt;$X127,1,0)))</f>
        <v/>
      </c>
      <c r="AB127">
        <f>IF($V127="",99999+123,$AB126+1+$Z126+$AA126+$AO126)</f>
        <v/>
      </c>
      <c r="AC127">
        <f>IFERROR(MATCH(123,$AB$5:$AB$404,1),"")</f>
        <v/>
      </c>
      <c r="AD127">
        <f>IF(123=$AI$1+1,"Z",IF($AC127="","",IF(INDEX($V$5:$V$404,$AC127)="","",IF(123&gt;INDEX($AB$5:$AB$404,$AC127)+INDEX($Z$5:$Z$404,$AC127)+INDEX($AA$5:$AA$404,$AC127)+INDEX($AO$5:$AO$404,$AC127),"",IF(123=INDEX($AB$5:$AB$404,$AC127)+INDEX($Z$5:$Z$404,$AC127),"D",IF(AND(INDEX($Z$5:$Z$404,$AC127)=1,123=INDEX($AB$5:$AB$404,$AC127)),"H",IF(AND(INDEX($AO$5:$AO$404,$AC127)=1,123=INDEX($AB$5:$AB$404,$AC127)+INDEX($Z$5:$Z$404,$AC127)+INDEX($AA$5:$AA$404,$AC127)+INDEX($AO$5:$AO$404,$AC127)),"B","T")))))))</f>
        <v/>
      </c>
      <c r="AF127">
        <f>IF(OR($AD127="",$AD127="Z",$AD127="B"),"",INDEX($X$5:$X$404,$AC127))</f>
        <v/>
      </c>
      <c r="AJ127">
        <f>IF($AD127&lt;&gt;"T",0,ROUND(SUMIF(oil!$B$4:$B$63,$AF127,oil!$AE$4:$AE$63),2))</f>
        <v/>
      </c>
      <c r="AK127">
        <f>IF($S127="","",IFERROR(INDEX(อัตราค่าขนส่ง!$P$5:$P$54,MATCH($S127,อัตราค่าขนส่ง!$O$5:$O$54,0)),INDEX(รายการมาตรฐาน!$G$2:$G$3,1)))</f>
        <v/>
      </c>
      <c r="AL127">
        <f>IF($S127="","",IFERROR(MATCH($AK127,รายการมาตรฐาน!$G$2:$G$3,0),1))</f>
        <v/>
      </c>
      <c r="AM127">
        <f>IF($V127="","",INDEX($AK$5:$AK$404,$V127))</f>
        <v/>
      </c>
      <c r="AN127">
        <f>IF($V127="","",INDEX($AL$5:$AL$404,$V127))</f>
        <v/>
      </c>
      <c r="AO127">
        <f>IF(OR($V127="",$AI$2&lt;=1),0,IF($V128="",1,IF($AN128&lt;&gt;$AN127,1,0)))</f>
        <v/>
      </c>
      <c r="AP127">
        <f>IF($V127="",0,IF($AN127&lt;&gt;$AN126,1,0))</f>
        <v/>
      </c>
      <c r="AQ127">
        <f>IF(OR($AD127="",$AD127="Z"),"",INDEX($AN$5:$AN$404,$AC127))</f>
        <v/>
      </c>
      <c r="AR127">
        <f>IF($Y127="",0,COUNTIF(บันทึกรายเที่ยว!$V$6:$V$6005,$Y127))</f>
        <v/>
      </c>
      <c r="AS127">
        <f>IF($Y127="",0,ROUND(SUMIF(บันทึกรายเที่ยว!$V$6:$V$6005,$Y127,บันทึกรายเที่ยว!$M$6:$M$6005),2))</f>
        <v/>
      </c>
      <c r="AT127">
        <f>IF($Y127="",0,IFERROR(INDEX(อัตราค่าขนส่ง!$G$5:$G$204,MATCH($Y127,อัตราค่าขนส่ง!$M$5:$M$204,0)),0))</f>
        <v/>
      </c>
      <c r="AU127">
        <f>ROUND($AS127*$BD127,2)</f>
        <v/>
      </c>
      <c r="AV127">
        <f>ROUND($AU127*$BF$2/100,2)</f>
        <v/>
      </c>
      <c r="AW127">
        <f>IF($Y127="","",IFERROR(INDEX(อัตราค่าขนส่ง!$F$5:$F$204,MATCH($Y127,อัตราค่าขนส่ง!$M$5:$M$204,0)),""))</f>
        <v/>
      </c>
      <c r="AX127">
        <f>IF($W127="","",INDEX(บันทึกรายเที่ยว!$D$6:$D$6005,$W127))</f>
        <v/>
      </c>
      <c r="AY127">
        <f>IF($W127="","",INDEX(บันทึกรายเที่ยว!$R$6:$R$6005,$W127))</f>
        <v/>
      </c>
      <c r="AZ127">
        <f>IF(AND($AD127="T",$AQ127=1),N($AZ126)+1,N($AZ126))</f>
        <v/>
      </c>
      <c r="BA127">
        <f>IF($W127="","",INDEX(บันทึกรายเที่ยว!$E$6:$E$6005,$W127))</f>
        <v/>
      </c>
      <c r="BC127">
        <f>IF($Y127="",0,IFERROR(INDEX(อัตราค่าขนส่ง!$K$5:$K$204,MATCH($Y127,อัตราค่าขนส่ง!$M$5:$M$204,0)),0))</f>
        <v/>
      </c>
      <c r="BD127">
        <f>IF($Y127="",0,IFERROR(INDEX(อัตราค่าขนส่ง!$L$5:$L$204,MATCH($Y127,อัตราค่าขนส่ง!$M$5:$M$204,0)),0))</f>
        <v/>
      </c>
    </row>
    <row r="128" ht="21" customHeight="1" s="66">
      <c r="A128" s="69">
        <f>IF($AD128="","",IF($AD128="Z","รวมจ่ายทั้งสิ้น",IF($AD128="H",INDEX($X$5:$X$404,$AC128),IF($AD128="T","รวม",IF($AD128="B",IFERROR(INDEX(อัตราค่าขนส่ง!$S$5:$S$14,MATCH(INDEX($AM$5:$AM$404,$AC128),อัตราค่าขนส่ง!$R$5:$R$14,0)),"รวมกลุ่ม "&amp;INDEX($AM$5:$AM$404,$AC128)),INDEX($AY$5:$AY$404,$AC128))))))</f>
        <v/>
      </c>
      <c r="B128" s="31">
        <f>IF($AD128&lt;&gt;"D","",INDEX($AW$5:$AW$404,$AC128))</f>
        <v/>
      </c>
      <c r="C128" s="68">
        <f>IF($AD128&lt;&gt;"D","",INDEX($AX$5:$AX$404,$AC128))</f>
        <v/>
      </c>
      <c r="D128" s="70">
        <f>IF($AD128&lt;&gt;"D","",INDEX($BA$5:$BA$404,$AC128))</f>
        <v/>
      </c>
      <c r="E128" s="31">
        <f>IF($AD128="Z",SUM($AR$5:$AR$404),IF($AD128="D",INDEX($AR$5:$AR$404,$AC128),IF($AD128="T",SUMIF($X$5:$X$404,$AF128,$AR$5:$AR$404),IF($AD128="B",SUMIF($AN$5:$AN$404,$AQ128,$AR$5:$AR$404),""))))</f>
        <v/>
      </c>
      <c r="F128" s="32">
        <f>IF($AD128="Z",ROUND(SUM($AS$5:$AS$404),2),IF($AD128="D",INDEX($AS$5:$AS$404,$AC128),IF($AD128="T",ROUND(SUMIF($X$5:$X$404,$AF128,$AS$5:$AS$404),2),IF($AD128="B",ROUND(SUMIF($AN$5:$AN$404,$AQ128,$AS$5:$AS$404),2),""))))</f>
        <v/>
      </c>
      <c r="G128" s="32">
        <f>IF($AD128&lt;&gt;"D","",INDEX($AT$5:$AT$404,$AC128))</f>
        <v/>
      </c>
      <c r="H128" s="32">
        <f>IF($AD128&lt;&gt;"D","",INDEX($BC$5:$BC$404,$AC128))</f>
        <v/>
      </c>
      <c r="I128" s="32">
        <f>IF($AD128&lt;&gt;"D","",INDEX($BD$5:$BD$404,$AC128))</f>
        <v/>
      </c>
      <c r="J128" s="46">
        <f>IF($AD128&lt;&gt;"D","",IF(N($B128)=0,"",ROUND($I128/$B128,4)))</f>
        <v/>
      </c>
      <c r="K128" s="32">
        <f>IF($AD128="Z",ROUND(SUM($AU$5:$AU$404),2),IF($AD128="D",INDEX($AU$5:$AU$404,$AC128),IF($AD128="T",ROUND(SUMIF($X$5:$X$404,$AF128,$AU$5:$AU$404),2),IF($AD128="B",ROUND(SUMIF($AN$5:$AN$404,$AQ128,$AU$5:$AU$404),2),""))))</f>
        <v/>
      </c>
      <c r="L128" s="32">
        <f>IF($AD128="Z",ROUND(SUM($AV$5:$AV$404),2),IF($AD128="D",INDEX($AV$5:$AV$404,$AC128),IF($AD128="T",ROUND(SUMIF($X$5:$X$404,$AF128,$AV$5:$AV$404),2),IF($AD128="B",ROUND(SUMIF($AN$5:$AN$404,$AQ128,$AV$5:$AV$404),2),""))))</f>
        <v/>
      </c>
      <c r="M128" s="32">
        <f>IF($AD128="Z",ROUND(SUM($AJ$5:$AJ$704),2),IF($AD128="B",ROUND(SUMIF($AQ$5:$AQ$704,$AQ128,$AJ$5:$AJ$704),2),IF($AD128&lt;&gt;"T","",$AJ128)))</f>
        <v/>
      </c>
      <c r="N128" s="32">
        <f>IF(OR($AD128="D",$AD128="T",$AD128="B",$AD128="Z"),ROUND(N($K128)-N($L128)-N($M128),2),"")</f>
        <v/>
      </c>
      <c r="O128" s="32">
        <f>IF(OR($AD128="D",$AD128="T",$AD128="B",$AD128="Z"),IF(N($E128)=0,"",ROUND($F128/$E128,2)),"")</f>
        <v/>
      </c>
      <c r="Q128">
        <f>IFERROR(MATCH(124,บันทึกรายเที่ยว!$Z$6:$Z$6005,0),"")</f>
        <v/>
      </c>
      <c r="R128">
        <f>IF($Q128="","",INDEX(บันทึกรายเที่ยว!$V$6:$V$6005,$Q128))</f>
        <v/>
      </c>
      <c r="S128">
        <f>IF($Q128="","",INDEX(บันทึกรายเที่ยว!$F$6:$F$6005,$Q128))</f>
        <v/>
      </c>
      <c r="T128">
        <f>IF($Q128="","",MATCH($S128,บันทึกรายเที่ยว!$F$6:$F$6005,0))</f>
        <v/>
      </c>
      <c r="U128">
        <f>IF($Q128="","",$AL128*10000000+$T128*1000+124)</f>
        <v/>
      </c>
      <c r="V128">
        <f>IFERROR(MATCH(SMALL($U$5:$U$404,124),$U$5:$U$404,0),"")</f>
        <v/>
      </c>
      <c r="W128">
        <f>IF($V128="","",INDEX($Q$5:$Q$404,$V128))</f>
        <v/>
      </c>
      <c r="X128">
        <f>IF($V128="","",INDEX($S$5:$S$404,$V128))</f>
        <v/>
      </c>
      <c r="Y128">
        <f>IF($V128="","",INDEX($R$5:$R$404,$V128))</f>
        <v/>
      </c>
      <c r="Z128">
        <f>IF($V128="",0,IF($X128&lt;&gt;$X127,1,0))</f>
        <v/>
      </c>
      <c r="AA128">
        <f>IF($V128="",0,IF($V129="",1,IF($X129&lt;&gt;$X128,1,0)))</f>
        <v/>
      </c>
      <c r="AB128">
        <f>IF($V128="",99999+124,$AB127+1+$Z127+$AA127+$AO127)</f>
        <v/>
      </c>
      <c r="AC128">
        <f>IFERROR(MATCH(124,$AB$5:$AB$404,1),"")</f>
        <v/>
      </c>
      <c r="AD128">
        <f>IF(124=$AI$1+1,"Z",IF($AC128="","",IF(INDEX($V$5:$V$404,$AC128)="","",IF(124&gt;INDEX($AB$5:$AB$404,$AC128)+INDEX($Z$5:$Z$404,$AC128)+INDEX($AA$5:$AA$404,$AC128)+INDEX($AO$5:$AO$404,$AC128),"",IF(124=INDEX($AB$5:$AB$404,$AC128)+INDEX($Z$5:$Z$404,$AC128),"D",IF(AND(INDEX($Z$5:$Z$404,$AC128)=1,124=INDEX($AB$5:$AB$404,$AC128)),"H",IF(AND(INDEX($AO$5:$AO$404,$AC128)=1,124=INDEX($AB$5:$AB$404,$AC128)+INDEX($Z$5:$Z$404,$AC128)+INDEX($AA$5:$AA$404,$AC128)+INDEX($AO$5:$AO$404,$AC128)),"B","T")))))))</f>
        <v/>
      </c>
      <c r="AF128">
        <f>IF(OR($AD128="",$AD128="Z",$AD128="B"),"",INDEX($X$5:$X$404,$AC128))</f>
        <v/>
      </c>
      <c r="AJ128">
        <f>IF($AD128&lt;&gt;"T",0,ROUND(SUMIF(oil!$B$4:$B$63,$AF128,oil!$AE$4:$AE$63),2))</f>
        <v/>
      </c>
      <c r="AK128">
        <f>IF($S128="","",IFERROR(INDEX(อัตราค่าขนส่ง!$P$5:$P$54,MATCH($S128,อัตราค่าขนส่ง!$O$5:$O$54,0)),INDEX(รายการมาตรฐาน!$G$2:$G$3,1)))</f>
        <v/>
      </c>
      <c r="AL128">
        <f>IF($S128="","",IFERROR(MATCH($AK128,รายการมาตรฐาน!$G$2:$G$3,0),1))</f>
        <v/>
      </c>
      <c r="AM128">
        <f>IF($V128="","",INDEX($AK$5:$AK$404,$V128))</f>
        <v/>
      </c>
      <c r="AN128">
        <f>IF($V128="","",INDEX($AL$5:$AL$404,$V128))</f>
        <v/>
      </c>
      <c r="AO128">
        <f>IF(OR($V128="",$AI$2&lt;=1),0,IF($V129="",1,IF($AN129&lt;&gt;$AN128,1,0)))</f>
        <v/>
      </c>
      <c r="AP128">
        <f>IF($V128="",0,IF($AN128&lt;&gt;$AN127,1,0))</f>
        <v/>
      </c>
      <c r="AQ128">
        <f>IF(OR($AD128="",$AD128="Z"),"",INDEX($AN$5:$AN$404,$AC128))</f>
        <v/>
      </c>
      <c r="AR128">
        <f>IF($Y128="",0,COUNTIF(บันทึกรายเที่ยว!$V$6:$V$6005,$Y128))</f>
        <v/>
      </c>
      <c r="AS128">
        <f>IF($Y128="",0,ROUND(SUMIF(บันทึกรายเที่ยว!$V$6:$V$6005,$Y128,บันทึกรายเที่ยว!$M$6:$M$6005),2))</f>
        <v/>
      </c>
      <c r="AT128">
        <f>IF($Y128="",0,IFERROR(INDEX(อัตราค่าขนส่ง!$G$5:$G$204,MATCH($Y128,อัตราค่าขนส่ง!$M$5:$M$204,0)),0))</f>
        <v/>
      </c>
      <c r="AU128">
        <f>ROUND($AS128*$BD128,2)</f>
        <v/>
      </c>
      <c r="AV128">
        <f>ROUND($AU128*$BF$2/100,2)</f>
        <v/>
      </c>
      <c r="AW128">
        <f>IF($Y128="","",IFERROR(INDEX(อัตราค่าขนส่ง!$F$5:$F$204,MATCH($Y128,อัตราค่าขนส่ง!$M$5:$M$204,0)),""))</f>
        <v/>
      </c>
      <c r="AX128">
        <f>IF($W128="","",INDEX(บันทึกรายเที่ยว!$D$6:$D$6005,$W128))</f>
        <v/>
      </c>
      <c r="AY128">
        <f>IF($W128="","",INDEX(บันทึกรายเที่ยว!$R$6:$R$6005,$W128))</f>
        <v/>
      </c>
      <c r="AZ128">
        <f>IF(AND($AD128="T",$AQ128=1),N($AZ127)+1,N($AZ127))</f>
        <v/>
      </c>
      <c r="BA128">
        <f>IF($W128="","",INDEX(บันทึกรายเที่ยว!$E$6:$E$6005,$W128))</f>
        <v/>
      </c>
      <c r="BC128">
        <f>IF($Y128="",0,IFERROR(INDEX(อัตราค่าขนส่ง!$K$5:$K$204,MATCH($Y128,อัตราค่าขนส่ง!$M$5:$M$204,0)),0))</f>
        <v/>
      </c>
      <c r="BD128">
        <f>IF($Y128="",0,IFERROR(INDEX(อัตราค่าขนส่ง!$L$5:$L$204,MATCH($Y128,อัตราค่าขนส่ง!$M$5:$M$204,0)),0))</f>
        <v/>
      </c>
    </row>
    <row r="129" ht="21" customHeight="1" s="66">
      <c r="A129" s="69">
        <f>IF($AD129="","",IF($AD129="Z","รวมจ่ายทั้งสิ้น",IF($AD129="H",INDEX($X$5:$X$404,$AC129),IF($AD129="T","รวม",IF($AD129="B",IFERROR(INDEX(อัตราค่าขนส่ง!$S$5:$S$14,MATCH(INDEX($AM$5:$AM$404,$AC129),อัตราค่าขนส่ง!$R$5:$R$14,0)),"รวมกลุ่ม "&amp;INDEX($AM$5:$AM$404,$AC129)),INDEX($AY$5:$AY$404,$AC129))))))</f>
        <v/>
      </c>
      <c r="B129" s="31">
        <f>IF($AD129&lt;&gt;"D","",INDEX($AW$5:$AW$404,$AC129))</f>
        <v/>
      </c>
      <c r="C129" s="68">
        <f>IF($AD129&lt;&gt;"D","",INDEX($AX$5:$AX$404,$AC129))</f>
        <v/>
      </c>
      <c r="D129" s="70">
        <f>IF($AD129&lt;&gt;"D","",INDEX($BA$5:$BA$404,$AC129))</f>
        <v/>
      </c>
      <c r="E129" s="31">
        <f>IF($AD129="Z",SUM($AR$5:$AR$404),IF($AD129="D",INDEX($AR$5:$AR$404,$AC129),IF($AD129="T",SUMIF($X$5:$X$404,$AF129,$AR$5:$AR$404),IF($AD129="B",SUMIF($AN$5:$AN$404,$AQ129,$AR$5:$AR$404),""))))</f>
        <v/>
      </c>
      <c r="F129" s="32">
        <f>IF($AD129="Z",ROUND(SUM($AS$5:$AS$404),2),IF($AD129="D",INDEX($AS$5:$AS$404,$AC129),IF($AD129="T",ROUND(SUMIF($X$5:$X$404,$AF129,$AS$5:$AS$404),2),IF($AD129="B",ROUND(SUMIF($AN$5:$AN$404,$AQ129,$AS$5:$AS$404),2),""))))</f>
        <v/>
      </c>
      <c r="G129" s="32">
        <f>IF($AD129&lt;&gt;"D","",INDEX($AT$5:$AT$404,$AC129))</f>
        <v/>
      </c>
      <c r="H129" s="32">
        <f>IF($AD129&lt;&gt;"D","",INDEX($BC$5:$BC$404,$AC129))</f>
        <v/>
      </c>
      <c r="I129" s="32">
        <f>IF($AD129&lt;&gt;"D","",INDEX($BD$5:$BD$404,$AC129))</f>
        <v/>
      </c>
      <c r="J129" s="46">
        <f>IF($AD129&lt;&gt;"D","",IF(N($B129)=0,"",ROUND($I129/$B129,4)))</f>
        <v/>
      </c>
      <c r="K129" s="32">
        <f>IF($AD129="Z",ROUND(SUM($AU$5:$AU$404),2),IF($AD129="D",INDEX($AU$5:$AU$404,$AC129),IF($AD129="T",ROUND(SUMIF($X$5:$X$404,$AF129,$AU$5:$AU$404),2),IF($AD129="B",ROUND(SUMIF($AN$5:$AN$404,$AQ129,$AU$5:$AU$404),2),""))))</f>
        <v/>
      </c>
      <c r="L129" s="32">
        <f>IF($AD129="Z",ROUND(SUM($AV$5:$AV$404),2),IF($AD129="D",INDEX($AV$5:$AV$404,$AC129),IF($AD129="T",ROUND(SUMIF($X$5:$X$404,$AF129,$AV$5:$AV$404),2),IF($AD129="B",ROUND(SUMIF($AN$5:$AN$404,$AQ129,$AV$5:$AV$404),2),""))))</f>
        <v/>
      </c>
      <c r="M129" s="32">
        <f>IF($AD129="Z",ROUND(SUM($AJ$5:$AJ$704),2),IF($AD129="B",ROUND(SUMIF($AQ$5:$AQ$704,$AQ129,$AJ$5:$AJ$704),2),IF($AD129&lt;&gt;"T","",$AJ129)))</f>
        <v/>
      </c>
      <c r="N129" s="32">
        <f>IF(OR($AD129="D",$AD129="T",$AD129="B",$AD129="Z"),ROUND(N($K129)-N($L129)-N($M129),2),"")</f>
        <v/>
      </c>
      <c r="O129" s="32">
        <f>IF(OR($AD129="D",$AD129="T",$AD129="B",$AD129="Z"),IF(N($E129)=0,"",ROUND($F129/$E129,2)),"")</f>
        <v/>
      </c>
      <c r="Q129">
        <f>IFERROR(MATCH(125,บันทึกรายเที่ยว!$Z$6:$Z$6005,0),"")</f>
        <v/>
      </c>
      <c r="R129">
        <f>IF($Q129="","",INDEX(บันทึกรายเที่ยว!$V$6:$V$6005,$Q129))</f>
        <v/>
      </c>
      <c r="S129">
        <f>IF($Q129="","",INDEX(บันทึกรายเที่ยว!$F$6:$F$6005,$Q129))</f>
        <v/>
      </c>
      <c r="T129">
        <f>IF($Q129="","",MATCH($S129,บันทึกรายเที่ยว!$F$6:$F$6005,0))</f>
        <v/>
      </c>
      <c r="U129">
        <f>IF($Q129="","",$AL129*10000000+$T129*1000+125)</f>
        <v/>
      </c>
      <c r="V129">
        <f>IFERROR(MATCH(SMALL($U$5:$U$404,125),$U$5:$U$404,0),"")</f>
        <v/>
      </c>
      <c r="W129">
        <f>IF($V129="","",INDEX($Q$5:$Q$404,$V129))</f>
        <v/>
      </c>
      <c r="X129">
        <f>IF($V129="","",INDEX($S$5:$S$404,$V129))</f>
        <v/>
      </c>
      <c r="Y129">
        <f>IF($V129="","",INDEX($R$5:$R$404,$V129))</f>
        <v/>
      </c>
      <c r="Z129">
        <f>IF($V129="",0,IF($X129&lt;&gt;$X128,1,0))</f>
        <v/>
      </c>
      <c r="AA129">
        <f>IF($V129="",0,IF($V130="",1,IF($X130&lt;&gt;$X129,1,0)))</f>
        <v/>
      </c>
      <c r="AB129">
        <f>IF($V129="",99999+125,$AB128+1+$Z128+$AA128+$AO128)</f>
        <v/>
      </c>
      <c r="AC129">
        <f>IFERROR(MATCH(125,$AB$5:$AB$404,1),"")</f>
        <v/>
      </c>
      <c r="AD129">
        <f>IF(125=$AI$1+1,"Z",IF($AC129="","",IF(INDEX($V$5:$V$404,$AC129)="","",IF(125&gt;INDEX($AB$5:$AB$404,$AC129)+INDEX($Z$5:$Z$404,$AC129)+INDEX($AA$5:$AA$404,$AC129)+INDEX($AO$5:$AO$404,$AC129),"",IF(125=INDEX($AB$5:$AB$404,$AC129)+INDEX($Z$5:$Z$404,$AC129),"D",IF(AND(INDEX($Z$5:$Z$404,$AC129)=1,125=INDEX($AB$5:$AB$404,$AC129)),"H",IF(AND(INDEX($AO$5:$AO$404,$AC129)=1,125=INDEX($AB$5:$AB$404,$AC129)+INDEX($Z$5:$Z$404,$AC129)+INDEX($AA$5:$AA$404,$AC129)+INDEX($AO$5:$AO$404,$AC129)),"B","T")))))))</f>
        <v/>
      </c>
      <c r="AF129">
        <f>IF(OR($AD129="",$AD129="Z",$AD129="B"),"",INDEX($X$5:$X$404,$AC129))</f>
        <v/>
      </c>
      <c r="AJ129">
        <f>IF($AD129&lt;&gt;"T",0,ROUND(SUMIF(oil!$B$4:$B$63,$AF129,oil!$AE$4:$AE$63),2))</f>
        <v/>
      </c>
      <c r="AK129">
        <f>IF($S129="","",IFERROR(INDEX(อัตราค่าขนส่ง!$P$5:$P$54,MATCH($S129,อัตราค่าขนส่ง!$O$5:$O$54,0)),INDEX(รายการมาตรฐาน!$G$2:$G$3,1)))</f>
        <v/>
      </c>
      <c r="AL129">
        <f>IF($S129="","",IFERROR(MATCH($AK129,รายการมาตรฐาน!$G$2:$G$3,0),1))</f>
        <v/>
      </c>
      <c r="AM129">
        <f>IF($V129="","",INDEX($AK$5:$AK$404,$V129))</f>
        <v/>
      </c>
      <c r="AN129">
        <f>IF($V129="","",INDEX($AL$5:$AL$404,$V129))</f>
        <v/>
      </c>
      <c r="AO129">
        <f>IF(OR($V129="",$AI$2&lt;=1),0,IF($V130="",1,IF($AN130&lt;&gt;$AN129,1,0)))</f>
        <v/>
      </c>
      <c r="AP129">
        <f>IF($V129="",0,IF($AN129&lt;&gt;$AN128,1,0))</f>
        <v/>
      </c>
      <c r="AQ129">
        <f>IF(OR($AD129="",$AD129="Z"),"",INDEX($AN$5:$AN$404,$AC129))</f>
        <v/>
      </c>
      <c r="AR129">
        <f>IF($Y129="",0,COUNTIF(บันทึกรายเที่ยว!$V$6:$V$6005,$Y129))</f>
        <v/>
      </c>
      <c r="AS129">
        <f>IF($Y129="",0,ROUND(SUMIF(บันทึกรายเที่ยว!$V$6:$V$6005,$Y129,บันทึกรายเที่ยว!$M$6:$M$6005),2))</f>
        <v/>
      </c>
      <c r="AT129">
        <f>IF($Y129="",0,IFERROR(INDEX(อัตราค่าขนส่ง!$G$5:$G$204,MATCH($Y129,อัตราค่าขนส่ง!$M$5:$M$204,0)),0))</f>
        <v/>
      </c>
      <c r="AU129">
        <f>ROUND($AS129*$BD129,2)</f>
        <v/>
      </c>
      <c r="AV129">
        <f>ROUND($AU129*$BF$2/100,2)</f>
        <v/>
      </c>
      <c r="AW129">
        <f>IF($Y129="","",IFERROR(INDEX(อัตราค่าขนส่ง!$F$5:$F$204,MATCH($Y129,อัตราค่าขนส่ง!$M$5:$M$204,0)),""))</f>
        <v/>
      </c>
      <c r="AX129">
        <f>IF($W129="","",INDEX(บันทึกรายเที่ยว!$D$6:$D$6005,$W129))</f>
        <v/>
      </c>
      <c r="AY129">
        <f>IF($W129="","",INDEX(บันทึกรายเที่ยว!$R$6:$R$6005,$W129))</f>
        <v/>
      </c>
      <c r="AZ129">
        <f>IF(AND($AD129="T",$AQ129=1),N($AZ128)+1,N($AZ128))</f>
        <v/>
      </c>
      <c r="BA129">
        <f>IF($W129="","",INDEX(บันทึกรายเที่ยว!$E$6:$E$6005,$W129))</f>
        <v/>
      </c>
      <c r="BC129">
        <f>IF($Y129="",0,IFERROR(INDEX(อัตราค่าขนส่ง!$K$5:$K$204,MATCH($Y129,อัตราค่าขนส่ง!$M$5:$M$204,0)),0))</f>
        <v/>
      </c>
      <c r="BD129">
        <f>IF($Y129="",0,IFERROR(INDEX(อัตราค่าขนส่ง!$L$5:$L$204,MATCH($Y129,อัตราค่าขนส่ง!$M$5:$M$204,0)),0))</f>
        <v/>
      </c>
    </row>
    <row r="130" ht="21" customHeight="1" s="66">
      <c r="A130" s="69">
        <f>IF($AD130="","",IF($AD130="Z","รวมจ่ายทั้งสิ้น",IF($AD130="H",INDEX($X$5:$X$404,$AC130),IF($AD130="T","รวม",IF($AD130="B",IFERROR(INDEX(อัตราค่าขนส่ง!$S$5:$S$14,MATCH(INDEX($AM$5:$AM$404,$AC130),อัตราค่าขนส่ง!$R$5:$R$14,0)),"รวมกลุ่ม "&amp;INDEX($AM$5:$AM$404,$AC130)),INDEX($AY$5:$AY$404,$AC130))))))</f>
        <v/>
      </c>
      <c r="B130" s="31">
        <f>IF($AD130&lt;&gt;"D","",INDEX($AW$5:$AW$404,$AC130))</f>
        <v/>
      </c>
      <c r="C130" s="68">
        <f>IF($AD130&lt;&gt;"D","",INDEX($AX$5:$AX$404,$AC130))</f>
        <v/>
      </c>
      <c r="D130" s="70">
        <f>IF($AD130&lt;&gt;"D","",INDEX($BA$5:$BA$404,$AC130))</f>
        <v/>
      </c>
      <c r="E130" s="31">
        <f>IF($AD130="Z",SUM($AR$5:$AR$404),IF($AD130="D",INDEX($AR$5:$AR$404,$AC130),IF($AD130="T",SUMIF($X$5:$X$404,$AF130,$AR$5:$AR$404),IF($AD130="B",SUMIF($AN$5:$AN$404,$AQ130,$AR$5:$AR$404),""))))</f>
        <v/>
      </c>
      <c r="F130" s="32">
        <f>IF($AD130="Z",ROUND(SUM($AS$5:$AS$404),2),IF($AD130="D",INDEX($AS$5:$AS$404,$AC130),IF($AD130="T",ROUND(SUMIF($X$5:$X$404,$AF130,$AS$5:$AS$404),2),IF($AD130="B",ROUND(SUMIF($AN$5:$AN$404,$AQ130,$AS$5:$AS$404),2),""))))</f>
        <v/>
      </c>
      <c r="G130" s="32">
        <f>IF($AD130&lt;&gt;"D","",INDEX($AT$5:$AT$404,$AC130))</f>
        <v/>
      </c>
      <c r="H130" s="32">
        <f>IF($AD130&lt;&gt;"D","",INDEX($BC$5:$BC$404,$AC130))</f>
        <v/>
      </c>
      <c r="I130" s="32">
        <f>IF($AD130&lt;&gt;"D","",INDEX($BD$5:$BD$404,$AC130))</f>
        <v/>
      </c>
      <c r="J130" s="46">
        <f>IF($AD130&lt;&gt;"D","",IF(N($B130)=0,"",ROUND($I130/$B130,4)))</f>
        <v/>
      </c>
      <c r="K130" s="32">
        <f>IF($AD130="Z",ROUND(SUM($AU$5:$AU$404),2),IF($AD130="D",INDEX($AU$5:$AU$404,$AC130),IF($AD130="T",ROUND(SUMIF($X$5:$X$404,$AF130,$AU$5:$AU$404),2),IF($AD130="B",ROUND(SUMIF($AN$5:$AN$404,$AQ130,$AU$5:$AU$404),2),""))))</f>
        <v/>
      </c>
      <c r="L130" s="32">
        <f>IF($AD130="Z",ROUND(SUM($AV$5:$AV$404),2),IF($AD130="D",INDEX($AV$5:$AV$404,$AC130),IF($AD130="T",ROUND(SUMIF($X$5:$X$404,$AF130,$AV$5:$AV$404),2),IF($AD130="B",ROUND(SUMIF($AN$5:$AN$404,$AQ130,$AV$5:$AV$404),2),""))))</f>
        <v/>
      </c>
      <c r="M130" s="32">
        <f>IF($AD130="Z",ROUND(SUM($AJ$5:$AJ$704),2),IF($AD130="B",ROUND(SUMIF($AQ$5:$AQ$704,$AQ130,$AJ$5:$AJ$704),2),IF($AD130&lt;&gt;"T","",$AJ130)))</f>
        <v/>
      </c>
      <c r="N130" s="32">
        <f>IF(OR($AD130="D",$AD130="T",$AD130="B",$AD130="Z"),ROUND(N($K130)-N($L130)-N($M130),2),"")</f>
        <v/>
      </c>
      <c r="O130" s="32">
        <f>IF(OR($AD130="D",$AD130="T",$AD130="B",$AD130="Z"),IF(N($E130)=0,"",ROUND($F130/$E130,2)),"")</f>
        <v/>
      </c>
      <c r="Q130">
        <f>IFERROR(MATCH(126,บันทึกรายเที่ยว!$Z$6:$Z$6005,0),"")</f>
        <v/>
      </c>
      <c r="R130">
        <f>IF($Q130="","",INDEX(บันทึกรายเที่ยว!$V$6:$V$6005,$Q130))</f>
        <v/>
      </c>
      <c r="S130">
        <f>IF($Q130="","",INDEX(บันทึกรายเที่ยว!$F$6:$F$6005,$Q130))</f>
        <v/>
      </c>
      <c r="T130">
        <f>IF($Q130="","",MATCH($S130,บันทึกรายเที่ยว!$F$6:$F$6005,0))</f>
        <v/>
      </c>
      <c r="U130">
        <f>IF($Q130="","",$AL130*10000000+$T130*1000+126)</f>
        <v/>
      </c>
      <c r="V130">
        <f>IFERROR(MATCH(SMALL($U$5:$U$404,126),$U$5:$U$404,0),"")</f>
        <v/>
      </c>
      <c r="W130">
        <f>IF($V130="","",INDEX($Q$5:$Q$404,$V130))</f>
        <v/>
      </c>
      <c r="X130">
        <f>IF($V130="","",INDEX($S$5:$S$404,$V130))</f>
        <v/>
      </c>
      <c r="Y130">
        <f>IF($V130="","",INDEX($R$5:$R$404,$V130))</f>
        <v/>
      </c>
      <c r="Z130">
        <f>IF($V130="",0,IF($X130&lt;&gt;$X129,1,0))</f>
        <v/>
      </c>
      <c r="AA130">
        <f>IF($V130="",0,IF($V131="",1,IF($X131&lt;&gt;$X130,1,0)))</f>
        <v/>
      </c>
      <c r="AB130">
        <f>IF($V130="",99999+126,$AB129+1+$Z129+$AA129+$AO129)</f>
        <v/>
      </c>
      <c r="AC130">
        <f>IFERROR(MATCH(126,$AB$5:$AB$404,1),"")</f>
        <v/>
      </c>
      <c r="AD130">
        <f>IF(126=$AI$1+1,"Z",IF($AC130="","",IF(INDEX($V$5:$V$404,$AC130)="","",IF(126&gt;INDEX($AB$5:$AB$404,$AC130)+INDEX($Z$5:$Z$404,$AC130)+INDEX($AA$5:$AA$404,$AC130)+INDEX($AO$5:$AO$404,$AC130),"",IF(126=INDEX($AB$5:$AB$404,$AC130)+INDEX($Z$5:$Z$404,$AC130),"D",IF(AND(INDEX($Z$5:$Z$404,$AC130)=1,126=INDEX($AB$5:$AB$404,$AC130)),"H",IF(AND(INDEX($AO$5:$AO$404,$AC130)=1,126=INDEX($AB$5:$AB$404,$AC130)+INDEX($Z$5:$Z$404,$AC130)+INDEX($AA$5:$AA$404,$AC130)+INDEX($AO$5:$AO$404,$AC130)),"B","T")))))))</f>
        <v/>
      </c>
      <c r="AF130">
        <f>IF(OR($AD130="",$AD130="Z",$AD130="B"),"",INDEX($X$5:$X$404,$AC130))</f>
        <v/>
      </c>
      <c r="AJ130">
        <f>IF($AD130&lt;&gt;"T",0,ROUND(SUMIF(oil!$B$4:$B$63,$AF130,oil!$AE$4:$AE$63),2))</f>
        <v/>
      </c>
      <c r="AK130">
        <f>IF($S130="","",IFERROR(INDEX(อัตราค่าขนส่ง!$P$5:$P$54,MATCH($S130,อัตราค่าขนส่ง!$O$5:$O$54,0)),INDEX(รายการมาตรฐาน!$G$2:$G$3,1)))</f>
        <v/>
      </c>
      <c r="AL130">
        <f>IF($S130="","",IFERROR(MATCH($AK130,รายการมาตรฐาน!$G$2:$G$3,0),1))</f>
        <v/>
      </c>
      <c r="AM130">
        <f>IF($V130="","",INDEX($AK$5:$AK$404,$V130))</f>
        <v/>
      </c>
      <c r="AN130">
        <f>IF($V130="","",INDEX($AL$5:$AL$404,$V130))</f>
        <v/>
      </c>
      <c r="AO130">
        <f>IF(OR($V130="",$AI$2&lt;=1),0,IF($V131="",1,IF($AN131&lt;&gt;$AN130,1,0)))</f>
        <v/>
      </c>
      <c r="AP130">
        <f>IF($V130="",0,IF($AN130&lt;&gt;$AN129,1,0))</f>
        <v/>
      </c>
      <c r="AQ130">
        <f>IF(OR($AD130="",$AD130="Z"),"",INDEX($AN$5:$AN$404,$AC130))</f>
        <v/>
      </c>
      <c r="AR130">
        <f>IF($Y130="",0,COUNTIF(บันทึกรายเที่ยว!$V$6:$V$6005,$Y130))</f>
        <v/>
      </c>
      <c r="AS130">
        <f>IF($Y130="",0,ROUND(SUMIF(บันทึกรายเที่ยว!$V$6:$V$6005,$Y130,บันทึกรายเที่ยว!$M$6:$M$6005),2))</f>
        <v/>
      </c>
      <c r="AT130">
        <f>IF($Y130="",0,IFERROR(INDEX(อัตราค่าขนส่ง!$G$5:$G$204,MATCH($Y130,อัตราค่าขนส่ง!$M$5:$M$204,0)),0))</f>
        <v/>
      </c>
      <c r="AU130">
        <f>ROUND($AS130*$BD130,2)</f>
        <v/>
      </c>
      <c r="AV130">
        <f>ROUND($AU130*$BF$2/100,2)</f>
        <v/>
      </c>
      <c r="AW130">
        <f>IF($Y130="","",IFERROR(INDEX(อัตราค่าขนส่ง!$F$5:$F$204,MATCH($Y130,อัตราค่าขนส่ง!$M$5:$M$204,0)),""))</f>
        <v/>
      </c>
      <c r="AX130">
        <f>IF($W130="","",INDEX(บันทึกรายเที่ยว!$D$6:$D$6005,$W130))</f>
        <v/>
      </c>
      <c r="AY130">
        <f>IF($W130="","",INDEX(บันทึกรายเที่ยว!$R$6:$R$6005,$W130))</f>
        <v/>
      </c>
      <c r="AZ130">
        <f>IF(AND($AD130="T",$AQ130=1),N($AZ129)+1,N($AZ129))</f>
        <v/>
      </c>
      <c r="BA130">
        <f>IF($W130="","",INDEX(บันทึกรายเที่ยว!$E$6:$E$6005,$W130))</f>
        <v/>
      </c>
      <c r="BC130">
        <f>IF($Y130="",0,IFERROR(INDEX(อัตราค่าขนส่ง!$K$5:$K$204,MATCH($Y130,อัตราค่าขนส่ง!$M$5:$M$204,0)),0))</f>
        <v/>
      </c>
      <c r="BD130">
        <f>IF($Y130="",0,IFERROR(INDEX(อัตราค่าขนส่ง!$L$5:$L$204,MATCH($Y130,อัตราค่าขนส่ง!$M$5:$M$204,0)),0))</f>
        <v/>
      </c>
    </row>
    <row r="131" ht="21" customHeight="1" s="66">
      <c r="A131" s="69">
        <f>IF($AD131="","",IF($AD131="Z","รวมจ่ายทั้งสิ้น",IF($AD131="H",INDEX($X$5:$X$404,$AC131),IF($AD131="T","รวม",IF($AD131="B",IFERROR(INDEX(อัตราค่าขนส่ง!$S$5:$S$14,MATCH(INDEX($AM$5:$AM$404,$AC131),อัตราค่าขนส่ง!$R$5:$R$14,0)),"รวมกลุ่ม "&amp;INDEX($AM$5:$AM$404,$AC131)),INDEX($AY$5:$AY$404,$AC131))))))</f>
        <v/>
      </c>
      <c r="B131" s="31">
        <f>IF($AD131&lt;&gt;"D","",INDEX($AW$5:$AW$404,$AC131))</f>
        <v/>
      </c>
      <c r="C131" s="68">
        <f>IF($AD131&lt;&gt;"D","",INDEX($AX$5:$AX$404,$AC131))</f>
        <v/>
      </c>
      <c r="D131" s="70">
        <f>IF($AD131&lt;&gt;"D","",INDEX($BA$5:$BA$404,$AC131))</f>
        <v/>
      </c>
      <c r="E131" s="31">
        <f>IF($AD131="Z",SUM($AR$5:$AR$404),IF($AD131="D",INDEX($AR$5:$AR$404,$AC131),IF($AD131="T",SUMIF($X$5:$X$404,$AF131,$AR$5:$AR$404),IF($AD131="B",SUMIF($AN$5:$AN$404,$AQ131,$AR$5:$AR$404),""))))</f>
        <v/>
      </c>
      <c r="F131" s="32">
        <f>IF($AD131="Z",ROUND(SUM($AS$5:$AS$404),2),IF($AD131="D",INDEX($AS$5:$AS$404,$AC131),IF($AD131="T",ROUND(SUMIF($X$5:$X$404,$AF131,$AS$5:$AS$404),2),IF($AD131="B",ROUND(SUMIF($AN$5:$AN$404,$AQ131,$AS$5:$AS$404),2),""))))</f>
        <v/>
      </c>
      <c r="G131" s="32">
        <f>IF($AD131&lt;&gt;"D","",INDEX($AT$5:$AT$404,$AC131))</f>
        <v/>
      </c>
      <c r="H131" s="32">
        <f>IF($AD131&lt;&gt;"D","",INDEX($BC$5:$BC$404,$AC131))</f>
        <v/>
      </c>
      <c r="I131" s="32">
        <f>IF($AD131&lt;&gt;"D","",INDEX($BD$5:$BD$404,$AC131))</f>
        <v/>
      </c>
      <c r="J131" s="46">
        <f>IF($AD131&lt;&gt;"D","",IF(N($B131)=0,"",ROUND($I131/$B131,4)))</f>
        <v/>
      </c>
      <c r="K131" s="32">
        <f>IF($AD131="Z",ROUND(SUM($AU$5:$AU$404),2),IF($AD131="D",INDEX($AU$5:$AU$404,$AC131),IF($AD131="T",ROUND(SUMIF($X$5:$X$404,$AF131,$AU$5:$AU$404),2),IF($AD131="B",ROUND(SUMIF($AN$5:$AN$404,$AQ131,$AU$5:$AU$404),2),""))))</f>
        <v/>
      </c>
      <c r="L131" s="32">
        <f>IF($AD131="Z",ROUND(SUM($AV$5:$AV$404),2),IF($AD131="D",INDEX($AV$5:$AV$404,$AC131),IF($AD131="T",ROUND(SUMIF($X$5:$X$404,$AF131,$AV$5:$AV$404),2),IF($AD131="B",ROUND(SUMIF($AN$5:$AN$404,$AQ131,$AV$5:$AV$404),2),""))))</f>
        <v/>
      </c>
      <c r="M131" s="32">
        <f>IF($AD131="Z",ROUND(SUM($AJ$5:$AJ$704),2),IF($AD131="B",ROUND(SUMIF($AQ$5:$AQ$704,$AQ131,$AJ$5:$AJ$704),2),IF($AD131&lt;&gt;"T","",$AJ131)))</f>
        <v/>
      </c>
      <c r="N131" s="32">
        <f>IF(OR($AD131="D",$AD131="T",$AD131="B",$AD131="Z"),ROUND(N($K131)-N($L131)-N($M131),2),"")</f>
        <v/>
      </c>
      <c r="O131" s="32">
        <f>IF(OR($AD131="D",$AD131="T",$AD131="B",$AD131="Z"),IF(N($E131)=0,"",ROUND($F131/$E131,2)),"")</f>
        <v/>
      </c>
      <c r="Q131">
        <f>IFERROR(MATCH(127,บันทึกรายเที่ยว!$Z$6:$Z$6005,0),"")</f>
        <v/>
      </c>
      <c r="R131">
        <f>IF($Q131="","",INDEX(บันทึกรายเที่ยว!$V$6:$V$6005,$Q131))</f>
        <v/>
      </c>
      <c r="S131">
        <f>IF($Q131="","",INDEX(บันทึกรายเที่ยว!$F$6:$F$6005,$Q131))</f>
        <v/>
      </c>
      <c r="T131">
        <f>IF($Q131="","",MATCH($S131,บันทึกรายเที่ยว!$F$6:$F$6005,0))</f>
        <v/>
      </c>
      <c r="U131">
        <f>IF($Q131="","",$AL131*10000000+$T131*1000+127)</f>
        <v/>
      </c>
      <c r="V131">
        <f>IFERROR(MATCH(SMALL($U$5:$U$404,127),$U$5:$U$404,0),"")</f>
        <v/>
      </c>
      <c r="W131">
        <f>IF($V131="","",INDEX($Q$5:$Q$404,$V131))</f>
        <v/>
      </c>
      <c r="X131">
        <f>IF($V131="","",INDEX($S$5:$S$404,$V131))</f>
        <v/>
      </c>
      <c r="Y131">
        <f>IF($V131="","",INDEX($R$5:$R$404,$V131))</f>
        <v/>
      </c>
      <c r="Z131">
        <f>IF($V131="",0,IF($X131&lt;&gt;$X130,1,0))</f>
        <v/>
      </c>
      <c r="AA131">
        <f>IF($V131="",0,IF($V132="",1,IF($X132&lt;&gt;$X131,1,0)))</f>
        <v/>
      </c>
      <c r="AB131">
        <f>IF($V131="",99999+127,$AB130+1+$Z130+$AA130+$AO130)</f>
        <v/>
      </c>
      <c r="AC131">
        <f>IFERROR(MATCH(127,$AB$5:$AB$404,1),"")</f>
        <v/>
      </c>
      <c r="AD131">
        <f>IF(127=$AI$1+1,"Z",IF($AC131="","",IF(INDEX($V$5:$V$404,$AC131)="","",IF(127&gt;INDEX($AB$5:$AB$404,$AC131)+INDEX($Z$5:$Z$404,$AC131)+INDEX($AA$5:$AA$404,$AC131)+INDEX($AO$5:$AO$404,$AC131),"",IF(127=INDEX($AB$5:$AB$404,$AC131)+INDEX($Z$5:$Z$404,$AC131),"D",IF(AND(INDEX($Z$5:$Z$404,$AC131)=1,127=INDEX($AB$5:$AB$404,$AC131)),"H",IF(AND(INDEX($AO$5:$AO$404,$AC131)=1,127=INDEX($AB$5:$AB$404,$AC131)+INDEX($Z$5:$Z$404,$AC131)+INDEX($AA$5:$AA$404,$AC131)+INDEX($AO$5:$AO$404,$AC131)),"B","T")))))))</f>
        <v/>
      </c>
      <c r="AF131">
        <f>IF(OR($AD131="",$AD131="Z",$AD131="B"),"",INDEX($X$5:$X$404,$AC131))</f>
        <v/>
      </c>
      <c r="AJ131">
        <f>IF($AD131&lt;&gt;"T",0,ROUND(SUMIF(oil!$B$4:$B$63,$AF131,oil!$AE$4:$AE$63),2))</f>
        <v/>
      </c>
      <c r="AK131">
        <f>IF($S131="","",IFERROR(INDEX(อัตราค่าขนส่ง!$P$5:$P$54,MATCH($S131,อัตราค่าขนส่ง!$O$5:$O$54,0)),INDEX(รายการมาตรฐาน!$G$2:$G$3,1)))</f>
        <v/>
      </c>
      <c r="AL131">
        <f>IF($S131="","",IFERROR(MATCH($AK131,รายการมาตรฐาน!$G$2:$G$3,0),1))</f>
        <v/>
      </c>
      <c r="AM131">
        <f>IF($V131="","",INDEX($AK$5:$AK$404,$V131))</f>
        <v/>
      </c>
      <c r="AN131">
        <f>IF($V131="","",INDEX($AL$5:$AL$404,$V131))</f>
        <v/>
      </c>
      <c r="AO131">
        <f>IF(OR($V131="",$AI$2&lt;=1),0,IF($V132="",1,IF($AN132&lt;&gt;$AN131,1,0)))</f>
        <v/>
      </c>
      <c r="AP131">
        <f>IF($V131="",0,IF($AN131&lt;&gt;$AN130,1,0))</f>
        <v/>
      </c>
      <c r="AQ131">
        <f>IF(OR($AD131="",$AD131="Z"),"",INDEX($AN$5:$AN$404,$AC131))</f>
        <v/>
      </c>
      <c r="AR131">
        <f>IF($Y131="",0,COUNTIF(บันทึกรายเที่ยว!$V$6:$V$6005,$Y131))</f>
        <v/>
      </c>
      <c r="AS131">
        <f>IF($Y131="",0,ROUND(SUMIF(บันทึกรายเที่ยว!$V$6:$V$6005,$Y131,บันทึกรายเที่ยว!$M$6:$M$6005),2))</f>
        <v/>
      </c>
      <c r="AT131">
        <f>IF($Y131="",0,IFERROR(INDEX(อัตราค่าขนส่ง!$G$5:$G$204,MATCH($Y131,อัตราค่าขนส่ง!$M$5:$M$204,0)),0))</f>
        <v/>
      </c>
      <c r="AU131">
        <f>ROUND($AS131*$BD131,2)</f>
        <v/>
      </c>
      <c r="AV131">
        <f>ROUND($AU131*$BF$2/100,2)</f>
        <v/>
      </c>
      <c r="AW131">
        <f>IF($Y131="","",IFERROR(INDEX(อัตราค่าขนส่ง!$F$5:$F$204,MATCH($Y131,อัตราค่าขนส่ง!$M$5:$M$204,0)),""))</f>
        <v/>
      </c>
      <c r="AX131">
        <f>IF($W131="","",INDEX(บันทึกรายเที่ยว!$D$6:$D$6005,$W131))</f>
        <v/>
      </c>
      <c r="AY131">
        <f>IF($W131="","",INDEX(บันทึกรายเที่ยว!$R$6:$R$6005,$W131))</f>
        <v/>
      </c>
      <c r="AZ131">
        <f>IF(AND($AD131="T",$AQ131=1),N($AZ130)+1,N($AZ130))</f>
        <v/>
      </c>
      <c r="BA131">
        <f>IF($W131="","",INDEX(บันทึกรายเที่ยว!$E$6:$E$6005,$W131))</f>
        <v/>
      </c>
      <c r="BC131">
        <f>IF($Y131="",0,IFERROR(INDEX(อัตราค่าขนส่ง!$K$5:$K$204,MATCH($Y131,อัตราค่าขนส่ง!$M$5:$M$204,0)),0))</f>
        <v/>
      </c>
      <c r="BD131">
        <f>IF($Y131="",0,IFERROR(INDEX(อัตราค่าขนส่ง!$L$5:$L$204,MATCH($Y131,อัตราค่าขนส่ง!$M$5:$M$204,0)),0))</f>
        <v/>
      </c>
    </row>
    <row r="132" ht="21" customHeight="1" s="66">
      <c r="A132" s="69">
        <f>IF($AD132="","",IF($AD132="Z","รวมจ่ายทั้งสิ้น",IF($AD132="H",INDEX($X$5:$X$404,$AC132),IF($AD132="T","รวม",IF($AD132="B",IFERROR(INDEX(อัตราค่าขนส่ง!$S$5:$S$14,MATCH(INDEX($AM$5:$AM$404,$AC132),อัตราค่าขนส่ง!$R$5:$R$14,0)),"รวมกลุ่ม "&amp;INDEX($AM$5:$AM$404,$AC132)),INDEX($AY$5:$AY$404,$AC132))))))</f>
        <v/>
      </c>
      <c r="B132" s="31">
        <f>IF($AD132&lt;&gt;"D","",INDEX($AW$5:$AW$404,$AC132))</f>
        <v/>
      </c>
      <c r="C132" s="68">
        <f>IF($AD132&lt;&gt;"D","",INDEX($AX$5:$AX$404,$AC132))</f>
        <v/>
      </c>
      <c r="D132" s="70">
        <f>IF($AD132&lt;&gt;"D","",INDEX($BA$5:$BA$404,$AC132))</f>
        <v/>
      </c>
      <c r="E132" s="31">
        <f>IF($AD132="Z",SUM($AR$5:$AR$404),IF($AD132="D",INDEX($AR$5:$AR$404,$AC132),IF($AD132="T",SUMIF($X$5:$X$404,$AF132,$AR$5:$AR$404),IF($AD132="B",SUMIF($AN$5:$AN$404,$AQ132,$AR$5:$AR$404),""))))</f>
        <v/>
      </c>
      <c r="F132" s="32">
        <f>IF($AD132="Z",ROUND(SUM($AS$5:$AS$404),2),IF($AD132="D",INDEX($AS$5:$AS$404,$AC132),IF($AD132="T",ROUND(SUMIF($X$5:$X$404,$AF132,$AS$5:$AS$404),2),IF($AD132="B",ROUND(SUMIF($AN$5:$AN$404,$AQ132,$AS$5:$AS$404),2),""))))</f>
        <v/>
      </c>
      <c r="G132" s="32">
        <f>IF($AD132&lt;&gt;"D","",INDEX($AT$5:$AT$404,$AC132))</f>
        <v/>
      </c>
      <c r="H132" s="32">
        <f>IF($AD132&lt;&gt;"D","",INDEX($BC$5:$BC$404,$AC132))</f>
        <v/>
      </c>
      <c r="I132" s="32">
        <f>IF($AD132&lt;&gt;"D","",INDEX($BD$5:$BD$404,$AC132))</f>
        <v/>
      </c>
      <c r="J132" s="46">
        <f>IF($AD132&lt;&gt;"D","",IF(N($B132)=0,"",ROUND($I132/$B132,4)))</f>
        <v/>
      </c>
      <c r="K132" s="32">
        <f>IF($AD132="Z",ROUND(SUM($AU$5:$AU$404),2),IF($AD132="D",INDEX($AU$5:$AU$404,$AC132),IF($AD132="T",ROUND(SUMIF($X$5:$X$404,$AF132,$AU$5:$AU$404),2),IF($AD132="B",ROUND(SUMIF($AN$5:$AN$404,$AQ132,$AU$5:$AU$404),2),""))))</f>
        <v/>
      </c>
      <c r="L132" s="32">
        <f>IF($AD132="Z",ROUND(SUM($AV$5:$AV$404),2),IF($AD132="D",INDEX($AV$5:$AV$404,$AC132),IF($AD132="T",ROUND(SUMIF($X$5:$X$404,$AF132,$AV$5:$AV$404),2),IF($AD132="B",ROUND(SUMIF($AN$5:$AN$404,$AQ132,$AV$5:$AV$404),2),""))))</f>
        <v/>
      </c>
      <c r="M132" s="32">
        <f>IF($AD132="Z",ROUND(SUM($AJ$5:$AJ$704),2),IF($AD132="B",ROUND(SUMIF($AQ$5:$AQ$704,$AQ132,$AJ$5:$AJ$704),2),IF($AD132&lt;&gt;"T","",$AJ132)))</f>
        <v/>
      </c>
      <c r="N132" s="32">
        <f>IF(OR($AD132="D",$AD132="T",$AD132="B",$AD132="Z"),ROUND(N($K132)-N($L132)-N($M132),2),"")</f>
        <v/>
      </c>
      <c r="O132" s="32">
        <f>IF(OR($AD132="D",$AD132="T",$AD132="B",$AD132="Z"),IF(N($E132)=0,"",ROUND($F132/$E132,2)),"")</f>
        <v/>
      </c>
      <c r="Q132">
        <f>IFERROR(MATCH(128,บันทึกรายเที่ยว!$Z$6:$Z$6005,0),"")</f>
        <v/>
      </c>
      <c r="R132">
        <f>IF($Q132="","",INDEX(บันทึกรายเที่ยว!$V$6:$V$6005,$Q132))</f>
        <v/>
      </c>
      <c r="S132">
        <f>IF($Q132="","",INDEX(บันทึกรายเที่ยว!$F$6:$F$6005,$Q132))</f>
        <v/>
      </c>
      <c r="T132">
        <f>IF($Q132="","",MATCH($S132,บันทึกรายเที่ยว!$F$6:$F$6005,0))</f>
        <v/>
      </c>
      <c r="U132">
        <f>IF($Q132="","",$AL132*10000000+$T132*1000+128)</f>
        <v/>
      </c>
      <c r="V132">
        <f>IFERROR(MATCH(SMALL($U$5:$U$404,128),$U$5:$U$404,0),"")</f>
        <v/>
      </c>
      <c r="W132">
        <f>IF($V132="","",INDEX($Q$5:$Q$404,$V132))</f>
        <v/>
      </c>
      <c r="X132">
        <f>IF($V132="","",INDEX($S$5:$S$404,$V132))</f>
        <v/>
      </c>
      <c r="Y132">
        <f>IF($V132="","",INDEX($R$5:$R$404,$V132))</f>
        <v/>
      </c>
      <c r="Z132">
        <f>IF($V132="",0,IF($X132&lt;&gt;$X131,1,0))</f>
        <v/>
      </c>
      <c r="AA132">
        <f>IF($V132="",0,IF($V133="",1,IF($X133&lt;&gt;$X132,1,0)))</f>
        <v/>
      </c>
      <c r="AB132">
        <f>IF($V132="",99999+128,$AB131+1+$Z131+$AA131+$AO131)</f>
        <v/>
      </c>
      <c r="AC132">
        <f>IFERROR(MATCH(128,$AB$5:$AB$404,1),"")</f>
        <v/>
      </c>
      <c r="AD132">
        <f>IF(128=$AI$1+1,"Z",IF($AC132="","",IF(INDEX($V$5:$V$404,$AC132)="","",IF(128&gt;INDEX($AB$5:$AB$404,$AC132)+INDEX($Z$5:$Z$404,$AC132)+INDEX($AA$5:$AA$404,$AC132)+INDEX($AO$5:$AO$404,$AC132),"",IF(128=INDEX($AB$5:$AB$404,$AC132)+INDEX($Z$5:$Z$404,$AC132),"D",IF(AND(INDEX($Z$5:$Z$404,$AC132)=1,128=INDEX($AB$5:$AB$404,$AC132)),"H",IF(AND(INDEX($AO$5:$AO$404,$AC132)=1,128=INDEX($AB$5:$AB$404,$AC132)+INDEX($Z$5:$Z$404,$AC132)+INDEX($AA$5:$AA$404,$AC132)+INDEX($AO$5:$AO$404,$AC132)),"B","T")))))))</f>
        <v/>
      </c>
      <c r="AF132">
        <f>IF(OR($AD132="",$AD132="Z",$AD132="B"),"",INDEX($X$5:$X$404,$AC132))</f>
        <v/>
      </c>
      <c r="AJ132">
        <f>IF($AD132&lt;&gt;"T",0,ROUND(SUMIF(oil!$B$4:$B$63,$AF132,oil!$AE$4:$AE$63),2))</f>
        <v/>
      </c>
      <c r="AK132">
        <f>IF($S132="","",IFERROR(INDEX(อัตราค่าขนส่ง!$P$5:$P$54,MATCH($S132,อัตราค่าขนส่ง!$O$5:$O$54,0)),INDEX(รายการมาตรฐาน!$G$2:$G$3,1)))</f>
        <v/>
      </c>
      <c r="AL132">
        <f>IF($S132="","",IFERROR(MATCH($AK132,รายการมาตรฐาน!$G$2:$G$3,0),1))</f>
        <v/>
      </c>
      <c r="AM132">
        <f>IF($V132="","",INDEX($AK$5:$AK$404,$V132))</f>
        <v/>
      </c>
      <c r="AN132">
        <f>IF($V132="","",INDEX($AL$5:$AL$404,$V132))</f>
        <v/>
      </c>
      <c r="AO132">
        <f>IF(OR($V132="",$AI$2&lt;=1),0,IF($V133="",1,IF($AN133&lt;&gt;$AN132,1,0)))</f>
        <v/>
      </c>
      <c r="AP132">
        <f>IF($V132="",0,IF($AN132&lt;&gt;$AN131,1,0))</f>
        <v/>
      </c>
      <c r="AQ132">
        <f>IF(OR($AD132="",$AD132="Z"),"",INDEX($AN$5:$AN$404,$AC132))</f>
        <v/>
      </c>
      <c r="AR132">
        <f>IF($Y132="",0,COUNTIF(บันทึกรายเที่ยว!$V$6:$V$6005,$Y132))</f>
        <v/>
      </c>
      <c r="AS132">
        <f>IF($Y132="",0,ROUND(SUMIF(บันทึกรายเที่ยว!$V$6:$V$6005,$Y132,บันทึกรายเที่ยว!$M$6:$M$6005),2))</f>
        <v/>
      </c>
      <c r="AT132">
        <f>IF($Y132="",0,IFERROR(INDEX(อัตราค่าขนส่ง!$G$5:$G$204,MATCH($Y132,อัตราค่าขนส่ง!$M$5:$M$204,0)),0))</f>
        <v/>
      </c>
      <c r="AU132">
        <f>ROUND($AS132*$BD132,2)</f>
        <v/>
      </c>
      <c r="AV132">
        <f>ROUND($AU132*$BF$2/100,2)</f>
        <v/>
      </c>
      <c r="AW132">
        <f>IF($Y132="","",IFERROR(INDEX(อัตราค่าขนส่ง!$F$5:$F$204,MATCH($Y132,อัตราค่าขนส่ง!$M$5:$M$204,0)),""))</f>
        <v/>
      </c>
      <c r="AX132">
        <f>IF($W132="","",INDEX(บันทึกรายเที่ยว!$D$6:$D$6005,$W132))</f>
        <v/>
      </c>
      <c r="AY132">
        <f>IF($W132="","",INDEX(บันทึกรายเที่ยว!$R$6:$R$6005,$W132))</f>
        <v/>
      </c>
      <c r="AZ132">
        <f>IF(AND($AD132="T",$AQ132=1),N($AZ131)+1,N($AZ131))</f>
        <v/>
      </c>
      <c r="BA132">
        <f>IF($W132="","",INDEX(บันทึกรายเที่ยว!$E$6:$E$6005,$W132))</f>
        <v/>
      </c>
      <c r="BC132">
        <f>IF($Y132="",0,IFERROR(INDEX(อัตราค่าขนส่ง!$K$5:$K$204,MATCH($Y132,อัตราค่าขนส่ง!$M$5:$M$204,0)),0))</f>
        <v/>
      </c>
      <c r="BD132">
        <f>IF($Y132="",0,IFERROR(INDEX(อัตราค่าขนส่ง!$L$5:$L$204,MATCH($Y132,อัตราค่าขนส่ง!$M$5:$M$204,0)),0))</f>
        <v/>
      </c>
    </row>
    <row r="133" ht="21" customHeight="1" s="66">
      <c r="A133" s="69">
        <f>IF($AD133="","",IF($AD133="Z","รวมจ่ายทั้งสิ้น",IF($AD133="H",INDEX($X$5:$X$404,$AC133),IF($AD133="T","รวม",IF($AD133="B",IFERROR(INDEX(อัตราค่าขนส่ง!$S$5:$S$14,MATCH(INDEX($AM$5:$AM$404,$AC133),อัตราค่าขนส่ง!$R$5:$R$14,0)),"รวมกลุ่ม "&amp;INDEX($AM$5:$AM$404,$AC133)),INDEX($AY$5:$AY$404,$AC133))))))</f>
        <v/>
      </c>
      <c r="B133" s="31">
        <f>IF($AD133&lt;&gt;"D","",INDEX($AW$5:$AW$404,$AC133))</f>
        <v/>
      </c>
      <c r="C133" s="68">
        <f>IF($AD133&lt;&gt;"D","",INDEX($AX$5:$AX$404,$AC133))</f>
        <v/>
      </c>
      <c r="D133" s="70">
        <f>IF($AD133&lt;&gt;"D","",INDEX($BA$5:$BA$404,$AC133))</f>
        <v/>
      </c>
      <c r="E133" s="31">
        <f>IF($AD133="Z",SUM($AR$5:$AR$404),IF($AD133="D",INDEX($AR$5:$AR$404,$AC133),IF($AD133="T",SUMIF($X$5:$X$404,$AF133,$AR$5:$AR$404),IF($AD133="B",SUMIF($AN$5:$AN$404,$AQ133,$AR$5:$AR$404),""))))</f>
        <v/>
      </c>
      <c r="F133" s="32">
        <f>IF($AD133="Z",ROUND(SUM($AS$5:$AS$404),2),IF($AD133="D",INDEX($AS$5:$AS$404,$AC133),IF($AD133="T",ROUND(SUMIF($X$5:$X$404,$AF133,$AS$5:$AS$404),2),IF($AD133="B",ROUND(SUMIF($AN$5:$AN$404,$AQ133,$AS$5:$AS$404),2),""))))</f>
        <v/>
      </c>
      <c r="G133" s="32">
        <f>IF($AD133&lt;&gt;"D","",INDEX($AT$5:$AT$404,$AC133))</f>
        <v/>
      </c>
      <c r="H133" s="32">
        <f>IF($AD133&lt;&gt;"D","",INDEX($BC$5:$BC$404,$AC133))</f>
        <v/>
      </c>
      <c r="I133" s="32">
        <f>IF($AD133&lt;&gt;"D","",INDEX($BD$5:$BD$404,$AC133))</f>
        <v/>
      </c>
      <c r="J133" s="46">
        <f>IF($AD133&lt;&gt;"D","",IF(N($B133)=0,"",ROUND($I133/$B133,4)))</f>
        <v/>
      </c>
      <c r="K133" s="32">
        <f>IF($AD133="Z",ROUND(SUM($AU$5:$AU$404),2),IF($AD133="D",INDEX($AU$5:$AU$404,$AC133),IF($AD133="T",ROUND(SUMIF($X$5:$X$404,$AF133,$AU$5:$AU$404),2),IF($AD133="B",ROUND(SUMIF($AN$5:$AN$404,$AQ133,$AU$5:$AU$404),2),""))))</f>
        <v/>
      </c>
      <c r="L133" s="32">
        <f>IF($AD133="Z",ROUND(SUM($AV$5:$AV$404),2),IF($AD133="D",INDEX($AV$5:$AV$404,$AC133),IF($AD133="T",ROUND(SUMIF($X$5:$X$404,$AF133,$AV$5:$AV$404),2),IF($AD133="B",ROUND(SUMIF($AN$5:$AN$404,$AQ133,$AV$5:$AV$404),2),""))))</f>
        <v/>
      </c>
      <c r="M133" s="32">
        <f>IF($AD133="Z",ROUND(SUM($AJ$5:$AJ$704),2),IF($AD133="B",ROUND(SUMIF($AQ$5:$AQ$704,$AQ133,$AJ$5:$AJ$704),2),IF($AD133&lt;&gt;"T","",$AJ133)))</f>
        <v/>
      </c>
      <c r="N133" s="32">
        <f>IF(OR($AD133="D",$AD133="T",$AD133="B",$AD133="Z"),ROUND(N($K133)-N($L133)-N($M133),2),"")</f>
        <v/>
      </c>
      <c r="O133" s="32">
        <f>IF(OR($AD133="D",$AD133="T",$AD133="B",$AD133="Z"),IF(N($E133)=0,"",ROUND($F133/$E133,2)),"")</f>
        <v/>
      </c>
      <c r="Q133">
        <f>IFERROR(MATCH(129,บันทึกรายเที่ยว!$Z$6:$Z$6005,0),"")</f>
        <v/>
      </c>
      <c r="R133">
        <f>IF($Q133="","",INDEX(บันทึกรายเที่ยว!$V$6:$V$6005,$Q133))</f>
        <v/>
      </c>
      <c r="S133">
        <f>IF($Q133="","",INDEX(บันทึกรายเที่ยว!$F$6:$F$6005,$Q133))</f>
        <v/>
      </c>
      <c r="T133">
        <f>IF($Q133="","",MATCH($S133,บันทึกรายเที่ยว!$F$6:$F$6005,0))</f>
        <v/>
      </c>
      <c r="U133">
        <f>IF($Q133="","",$AL133*10000000+$T133*1000+129)</f>
        <v/>
      </c>
      <c r="V133">
        <f>IFERROR(MATCH(SMALL($U$5:$U$404,129),$U$5:$U$404,0),"")</f>
        <v/>
      </c>
      <c r="W133">
        <f>IF($V133="","",INDEX($Q$5:$Q$404,$V133))</f>
        <v/>
      </c>
      <c r="X133">
        <f>IF($V133="","",INDEX($S$5:$S$404,$V133))</f>
        <v/>
      </c>
      <c r="Y133">
        <f>IF($V133="","",INDEX($R$5:$R$404,$V133))</f>
        <v/>
      </c>
      <c r="Z133">
        <f>IF($V133="",0,IF($X133&lt;&gt;$X132,1,0))</f>
        <v/>
      </c>
      <c r="AA133">
        <f>IF($V133="",0,IF($V134="",1,IF($X134&lt;&gt;$X133,1,0)))</f>
        <v/>
      </c>
      <c r="AB133">
        <f>IF($V133="",99999+129,$AB132+1+$Z132+$AA132+$AO132)</f>
        <v/>
      </c>
      <c r="AC133">
        <f>IFERROR(MATCH(129,$AB$5:$AB$404,1),"")</f>
        <v/>
      </c>
      <c r="AD133">
        <f>IF(129=$AI$1+1,"Z",IF($AC133="","",IF(INDEX($V$5:$V$404,$AC133)="","",IF(129&gt;INDEX($AB$5:$AB$404,$AC133)+INDEX($Z$5:$Z$404,$AC133)+INDEX($AA$5:$AA$404,$AC133)+INDEX($AO$5:$AO$404,$AC133),"",IF(129=INDEX($AB$5:$AB$404,$AC133)+INDEX($Z$5:$Z$404,$AC133),"D",IF(AND(INDEX($Z$5:$Z$404,$AC133)=1,129=INDEX($AB$5:$AB$404,$AC133)),"H",IF(AND(INDEX($AO$5:$AO$404,$AC133)=1,129=INDEX($AB$5:$AB$404,$AC133)+INDEX($Z$5:$Z$404,$AC133)+INDEX($AA$5:$AA$404,$AC133)+INDEX($AO$5:$AO$404,$AC133)),"B","T")))))))</f>
        <v/>
      </c>
      <c r="AF133">
        <f>IF(OR($AD133="",$AD133="Z",$AD133="B"),"",INDEX($X$5:$X$404,$AC133))</f>
        <v/>
      </c>
      <c r="AJ133">
        <f>IF($AD133&lt;&gt;"T",0,ROUND(SUMIF(oil!$B$4:$B$63,$AF133,oil!$AE$4:$AE$63),2))</f>
        <v/>
      </c>
      <c r="AK133">
        <f>IF($S133="","",IFERROR(INDEX(อัตราค่าขนส่ง!$P$5:$P$54,MATCH($S133,อัตราค่าขนส่ง!$O$5:$O$54,0)),INDEX(รายการมาตรฐาน!$G$2:$G$3,1)))</f>
        <v/>
      </c>
      <c r="AL133">
        <f>IF($S133="","",IFERROR(MATCH($AK133,รายการมาตรฐาน!$G$2:$G$3,0),1))</f>
        <v/>
      </c>
      <c r="AM133">
        <f>IF($V133="","",INDEX($AK$5:$AK$404,$V133))</f>
        <v/>
      </c>
      <c r="AN133">
        <f>IF($V133="","",INDEX($AL$5:$AL$404,$V133))</f>
        <v/>
      </c>
      <c r="AO133">
        <f>IF(OR($V133="",$AI$2&lt;=1),0,IF($V134="",1,IF($AN134&lt;&gt;$AN133,1,0)))</f>
        <v/>
      </c>
      <c r="AP133">
        <f>IF($V133="",0,IF($AN133&lt;&gt;$AN132,1,0))</f>
        <v/>
      </c>
      <c r="AQ133">
        <f>IF(OR($AD133="",$AD133="Z"),"",INDEX($AN$5:$AN$404,$AC133))</f>
        <v/>
      </c>
      <c r="AR133">
        <f>IF($Y133="",0,COUNTIF(บันทึกรายเที่ยว!$V$6:$V$6005,$Y133))</f>
        <v/>
      </c>
      <c r="AS133">
        <f>IF($Y133="",0,ROUND(SUMIF(บันทึกรายเที่ยว!$V$6:$V$6005,$Y133,บันทึกรายเที่ยว!$M$6:$M$6005),2))</f>
        <v/>
      </c>
      <c r="AT133">
        <f>IF($Y133="",0,IFERROR(INDEX(อัตราค่าขนส่ง!$G$5:$G$204,MATCH($Y133,อัตราค่าขนส่ง!$M$5:$M$204,0)),0))</f>
        <v/>
      </c>
      <c r="AU133">
        <f>ROUND($AS133*$BD133,2)</f>
        <v/>
      </c>
      <c r="AV133">
        <f>ROUND($AU133*$BF$2/100,2)</f>
        <v/>
      </c>
      <c r="AW133">
        <f>IF($Y133="","",IFERROR(INDEX(อัตราค่าขนส่ง!$F$5:$F$204,MATCH($Y133,อัตราค่าขนส่ง!$M$5:$M$204,0)),""))</f>
        <v/>
      </c>
      <c r="AX133">
        <f>IF($W133="","",INDEX(บันทึกรายเที่ยว!$D$6:$D$6005,$W133))</f>
        <v/>
      </c>
      <c r="AY133">
        <f>IF($W133="","",INDEX(บันทึกรายเที่ยว!$R$6:$R$6005,$W133))</f>
        <v/>
      </c>
      <c r="AZ133">
        <f>IF(AND($AD133="T",$AQ133=1),N($AZ132)+1,N($AZ132))</f>
        <v/>
      </c>
      <c r="BA133">
        <f>IF($W133="","",INDEX(บันทึกรายเที่ยว!$E$6:$E$6005,$W133))</f>
        <v/>
      </c>
      <c r="BC133">
        <f>IF($Y133="",0,IFERROR(INDEX(อัตราค่าขนส่ง!$K$5:$K$204,MATCH($Y133,อัตราค่าขนส่ง!$M$5:$M$204,0)),0))</f>
        <v/>
      </c>
      <c r="BD133">
        <f>IF($Y133="",0,IFERROR(INDEX(อัตราค่าขนส่ง!$L$5:$L$204,MATCH($Y133,อัตราค่าขนส่ง!$M$5:$M$204,0)),0))</f>
        <v/>
      </c>
    </row>
    <row r="134" ht="21" customHeight="1" s="66">
      <c r="A134" s="69">
        <f>IF($AD134="","",IF($AD134="Z","รวมจ่ายทั้งสิ้น",IF($AD134="H",INDEX($X$5:$X$404,$AC134),IF($AD134="T","รวม",IF($AD134="B",IFERROR(INDEX(อัตราค่าขนส่ง!$S$5:$S$14,MATCH(INDEX($AM$5:$AM$404,$AC134),อัตราค่าขนส่ง!$R$5:$R$14,0)),"รวมกลุ่ม "&amp;INDEX($AM$5:$AM$404,$AC134)),INDEX($AY$5:$AY$404,$AC134))))))</f>
        <v/>
      </c>
      <c r="B134" s="31">
        <f>IF($AD134&lt;&gt;"D","",INDEX($AW$5:$AW$404,$AC134))</f>
        <v/>
      </c>
      <c r="C134" s="68">
        <f>IF($AD134&lt;&gt;"D","",INDEX($AX$5:$AX$404,$AC134))</f>
        <v/>
      </c>
      <c r="D134" s="70">
        <f>IF($AD134&lt;&gt;"D","",INDEX($BA$5:$BA$404,$AC134))</f>
        <v/>
      </c>
      <c r="E134" s="31">
        <f>IF($AD134="Z",SUM($AR$5:$AR$404),IF($AD134="D",INDEX($AR$5:$AR$404,$AC134),IF($AD134="T",SUMIF($X$5:$X$404,$AF134,$AR$5:$AR$404),IF($AD134="B",SUMIF($AN$5:$AN$404,$AQ134,$AR$5:$AR$404),""))))</f>
        <v/>
      </c>
      <c r="F134" s="32">
        <f>IF($AD134="Z",ROUND(SUM($AS$5:$AS$404),2),IF($AD134="D",INDEX($AS$5:$AS$404,$AC134),IF($AD134="T",ROUND(SUMIF($X$5:$X$404,$AF134,$AS$5:$AS$404),2),IF($AD134="B",ROUND(SUMIF($AN$5:$AN$404,$AQ134,$AS$5:$AS$404),2),""))))</f>
        <v/>
      </c>
      <c r="G134" s="32">
        <f>IF($AD134&lt;&gt;"D","",INDEX($AT$5:$AT$404,$AC134))</f>
        <v/>
      </c>
      <c r="H134" s="32">
        <f>IF($AD134&lt;&gt;"D","",INDEX($BC$5:$BC$404,$AC134))</f>
        <v/>
      </c>
      <c r="I134" s="32">
        <f>IF($AD134&lt;&gt;"D","",INDEX($BD$5:$BD$404,$AC134))</f>
        <v/>
      </c>
      <c r="J134" s="46">
        <f>IF($AD134&lt;&gt;"D","",IF(N($B134)=0,"",ROUND($I134/$B134,4)))</f>
        <v/>
      </c>
      <c r="K134" s="32">
        <f>IF($AD134="Z",ROUND(SUM($AU$5:$AU$404),2),IF($AD134="D",INDEX($AU$5:$AU$404,$AC134),IF($AD134="T",ROUND(SUMIF($X$5:$X$404,$AF134,$AU$5:$AU$404),2),IF($AD134="B",ROUND(SUMIF($AN$5:$AN$404,$AQ134,$AU$5:$AU$404),2),""))))</f>
        <v/>
      </c>
      <c r="L134" s="32">
        <f>IF($AD134="Z",ROUND(SUM($AV$5:$AV$404),2),IF($AD134="D",INDEX($AV$5:$AV$404,$AC134),IF($AD134="T",ROUND(SUMIF($X$5:$X$404,$AF134,$AV$5:$AV$404),2),IF($AD134="B",ROUND(SUMIF($AN$5:$AN$404,$AQ134,$AV$5:$AV$404),2),""))))</f>
        <v/>
      </c>
      <c r="M134" s="32">
        <f>IF($AD134="Z",ROUND(SUM($AJ$5:$AJ$704),2),IF($AD134="B",ROUND(SUMIF($AQ$5:$AQ$704,$AQ134,$AJ$5:$AJ$704),2),IF($AD134&lt;&gt;"T","",$AJ134)))</f>
        <v/>
      </c>
      <c r="N134" s="32">
        <f>IF(OR($AD134="D",$AD134="T",$AD134="B",$AD134="Z"),ROUND(N($K134)-N($L134)-N($M134),2),"")</f>
        <v/>
      </c>
      <c r="O134" s="32">
        <f>IF(OR($AD134="D",$AD134="T",$AD134="B",$AD134="Z"),IF(N($E134)=0,"",ROUND($F134/$E134,2)),"")</f>
        <v/>
      </c>
      <c r="Q134">
        <f>IFERROR(MATCH(130,บันทึกรายเที่ยว!$Z$6:$Z$6005,0),"")</f>
        <v/>
      </c>
      <c r="R134">
        <f>IF($Q134="","",INDEX(บันทึกรายเที่ยว!$V$6:$V$6005,$Q134))</f>
        <v/>
      </c>
      <c r="S134">
        <f>IF($Q134="","",INDEX(บันทึกรายเที่ยว!$F$6:$F$6005,$Q134))</f>
        <v/>
      </c>
      <c r="T134">
        <f>IF($Q134="","",MATCH($S134,บันทึกรายเที่ยว!$F$6:$F$6005,0))</f>
        <v/>
      </c>
      <c r="U134">
        <f>IF($Q134="","",$AL134*10000000+$T134*1000+130)</f>
        <v/>
      </c>
      <c r="V134">
        <f>IFERROR(MATCH(SMALL($U$5:$U$404,130),$U$5:$U$404,0),"")</f>
        <v/>
      </c>
      <c r="W134">
        <f>IF($V134="","",INDEX($Q$5:$Q$404,$V134))</f>
        <v/>
      </c>
      <c r="X134">
        <f>IF($V134="","",INDEX($S$5:$S$404,$V134))</f>
        <v/>
      </c>
      <c r="Y134">
        <f>IF($V134="","",INDEX($R$5:$R$404,$V134))</f>
        <v/>
      </c>
      <c r="Z134">
        <f>IF($V134="",0,IF($X134&lt;&gt;$X133,1,0))</f>
        <v/>
      </c>
      <c r="AA134">
        <f>IF($V134="",0,IF($V135="",1,IF($X135&lt;&gt;$X134,1,0)))</f>
        <v/>
      </c>
      <c r="AB134">
        <f>IF($V134="",99999+130,$AB133+1+$Z133+$AA133+$AO133)</f>
        <v/>
      </c>
      <c r="AC134">
        <f>IFERROR(MATCH(130,$AB$5:$AB$404,1),"")</f>
        <v/>
      </c>
      <c r="AD134">
        <f>IF(130=$AI$1+1,"Z",IF($AC134="","",IF(INDEX($V$5:$V$404,$AC134)="","",IF(130&gt;INDEX($AB$5:$AB$404,$AC134)+INDEX($Z$5:$Z$404,$AC134)+INDEX($AA$5:$AA$404,$AC134)+INDEX($AO$5:$AO$404,$AC134),"",IF(130=INDEX($AB$5:$AB$404,$AC134)+INDEX($Z$5:$Z$404,$AC134),"D",IF(AND(INDEX($Z$5:$Z$404,$AC134)=1,130=INDEX($AB$5:$AB$404,$AC134)),"H",IF(AND(INDEX($AO$5:$AO$404,$AC134)=1,130=INDEX($AB$5:$AB$404,$AC134)+INDEX($Z$5:$Z$404,$AC134)+INDEX($AA$5:$AA$404,$AC134)+INDEX($AO$5:$AO$404,$AC134)),"B","T")))))))</f>
        <v/>
      </c>
      <c r="AF134">
        <f>IF(OR($AD134="",$AD134="Z",$AD134="B"),"",INDEX($X$5:$X$404,$AC134))</f>
        <v/>
      </c>
      <c r="AJ134">
        <f>IF($AD134&lt;&gt;"T",0,ROUND(SUMIF(oil!$B$4:$B$63,$AF134,oil!$AE$4:$AE$63),2))</f>
        <v/>
      </c>
      <c r="AK134">
        <f>IF($S134="","",IFERROR(INDEX(อัตราค่าขนส่ง!$P$5:$P$54,MATCH($S134,อัตราค่าขนส่ง!$O$5:$O$54,0)),INDEX(รายการมาตรฐาน!$G$2:$G$3,1)))</f>
        <v/>
      </c>
      <c r="AL134">
        <f>IF($S134="","",IFERROR(MATCH($AK134,รายการมาตรฐาน!$G$2:$G$3,0),1))</f>
        <v/>
      </c>
      <c r="AM134">
        <f>IF($V134="","",INDEX($AK$5:$AK$404,$V134))</f>
        <v/>
      </c>
      <c r="AN134">
        <f>IF($V134="","",INDEX($AL$5:$AL$404,$V134))</f>
        <v/>
      </c>
      <c r="AO134">
        <f>IF(OR($V134="",$AI$2&lt;=1),0,IF($V135="",1,IF($AN135&lt;&gt;$AN134,1,0)))</f>
        <v/>
      </c>
      <c r="AP134">
        <f>IF($V134="",0,IF($AN134&lt;&gt;$AN133,1,0))</f>
        <v/>
      </c>
      <c r="AQ134">
        <f>IF(OR($AD134="",$AD134="Z"),"",INDEX($AN$5:$AN$404,$AC134))</f>
        <v/>
      </c>
      <c r="AR134">
        <f>IF($Y134="",0,COUNTIF(บันทึกรายเที่ยว!$V$6:$V$6005,$Y134))</f>
        <v/>
      </c>
      <c r="AS134">
        <f>IF($Y134="",0,ROUND(SUMIF(บันทึกรายเที่ยว!$V$6:$V$6005,$Y134,บันทึกรายเที่ยว!$M$6:$M$6005),2))</f>
        <v/>
      </c>
      <c r="AT134">
        <f>IF($Y134="",0,IFERROR(INDEX(อัตราค่าขนส่ง!$G$5:$G$204,MATCH($Y134,อัตราค่าขนส่ง!$M$5:$M$204,0)),0))</f>
        <v/>
      </c>
      <c r="AU134">
        <f>ROUND($AS134*$BD134,2)</f>
        <v/>
      </c>
      <c r="AV134">
        <f>ROUND($AU134*$BF$2/100,2)</f>
        <v/>
      </c>
      <c r="AW134">
        <f>IF($Y134="","",IFERROR(INDEX(อัตราค่าขนส่ง!$F$5:$F$204,MATCH($Y134,อัตราค่าขนส่ง!$M$5:$M$204,0)),""))</f>
        <v/>
      </c>
      <c r="AX134">
        <f>IF($W134="","",INDEX(บันทึกรายเที่ยว!$D$6:$D$6005,$W134))</f>
        <v/>
      </c>
      <c r="AY134">
        <f>IF($W134="","",INDEX(บันทึกรายเที่ยว!$R$6:$R$6005,$W134))</f>
        <v/>
      </c>
      <c r="AZ134">
        <f>IF(AND($AD134="T",$AQ134=1),N($AZ133)+1,N($AZ133))</f>
        <v/>
      </c>
      <c r="BA134">
        <f>IF($W134="","",INDEX(บันทึกรายเที่ยว!$E$6:$E$6005,$W134))</f>
        <v/>
      </c>
      <c r="BC134">
        <f>IF($Y134="",0,IFERROR(INDEX(อัตราค่าขนส่ง!$K$5:$K$204,MATCH($Y134,อัตราค่าขนส่ง!$M$5:$M$204,0)),0))</f>
        <v/>
      </c>
      <c r="BD134">
        <f>IF($Y134="",0,IFERROR(INDEX(อัตราค่าขนส่ง!$L$5:$L$204,MATCH($Y134,อัตราค่าขนส่ง!$M$5:$M$204,0)),0))</f>
        <v/>
      </c>
    </row>
    <row r="135" ht="21" customHeight="1" s="66">
      <c r="A135" s="69">
        <f>IF($AD135="","",IF($AD135="Z","รวมจ่ายทั้งสิ้น",IF($AD135="H",INDEX($X$5:$X$404,$AC135),IF($AD135="T","รวม",IF($AD135="B",IFERROR(INDEX(อัตราค่าขนส่ง!$S$5:$S$14,MATCH(INDEX($AM$5:$AM$404,$AC135),อัตราค่าขนส่ง!$R$5:$R$14,0)),"รวมกลุ่ม "&amp;INDEX($AM$5:$AM$404,$AC135)),INDEX($AY$5:$AY$404,$AC135))))))</f>
        <v/>
      </c>
      <c r="B135" s="31">
        <f>IF($AD135&lt;&gt;"D","",INDEX($AW$5:$AW$404,$AC135))</f>
        <v/>
      </c>
      <c r="C135" s="68">
        <f>IF($AD135&lt;&gt;"D","",INDEX($AX$5:$AX$404,$AC135))</f>
        <v/>
      </c>
      <c r="D135" s="70">
        <f>IF($AD135&lt;&gt;"D","",INDEX($BA$5:$BA$404,$AC135))</f>
        <v/>
      </c>
      <c r="E135" s="31">
        <f>IF($AD135="Z",SUM($AR$5:$AR$404),IF($AD135="D",INDEX($AR$5:$AR$404,$AC135),IF($AD135="T",SUMIF($X$5:$X$404,$AF135,$AR$5:$AR$404),IF($AD135="B",SUMIF($AN$5:$AN$404,$AQ135,$AR$5:$AR$404),""))))</f>
        <v/>
      </c>
      <c r="F135" s="32">
        <f>IF($AD135="Z",ROUND(SUM($AS$5:$AS$404),2),IF($AD135="D",INDEX($AS$5:$AS$404,$AC135),IF($AD135="T",ROUND(SUMIF($X$5:$X$404,$AF135,$AS$5:$AS$404),2),IF($AD135="B",ROUND(SUMIF($AN$5:$AN$404,$AQ135,$AS$5:$AS$404),2),""))))</f>
        <v/>
      </c>
      <c r="G135" s="32">
        <f>IF($AD135&lt;&gt;"D","",INDEX($AT$5:$AT$404,$AC135))</f>
        <v/>
      </c>
      <c r="H135" s="32">
        <f>IF($AD135&lt;&gt;"D","",INDEX($BC$5:$BC$404,$AC135))</f>
        <v/>
      </c>
      <c r="I135" s="32">
        <f>IF($AD135&lt;&gt;"D","",INDEX($BD$5:$BD$404,$AC135))</f>
        <v/>
      </c>
      <c r="J135" s="46">
        <f>IF($AD135&lt;&gt;"D","",IF(N($B135)=0,"",ROUND($I135/$B135,4)))</f>
        <v/>
      </c>
      <c r="K135" s="32">
        <f>IF($AD135="Z",ROUND(SUM($AU$5:$AU$404),2),IF($AD135="D",INDEX($AU$5:$AU$404,$AC135),IF($AD135="T",ROUND(SUMIF($X$5:$X$404,$AF135,$AU$5:$AU$404),2),IF($AD135="B",ROUND(SUMIF($AN$5:$AN$404,$AQ135,$AU$5:$AU$404),2),""))))</f>
        <v/>
      </c>
      <c r="L135" s="32">
        <f>IF($AD135="Z",ROUND(SUM($AV$5:$AV$404),2),IF($AD135="D",INDEX($AV$5:$AV$404,$AC135),IF($AD135="T",ROUND(SUMIF($X$5:$X$404,$AF135,$AV$5:$AV$404),2),IF($AD135="B",ROUND(SUMIF($AN$5:$AN$404,$AQ135,$AV$5:$AV$404),2),""))))</f>
        <v/>
      </c>
      <c r="M135" s="32">
        <f>IF($AD135="Z",ROUND(SUM($AJ$5:$AJ$704),2),IF($AD135="B",ROUND(SUMIF($AQ$5:$AQ$704,$AQ135,$AJ$5:$AJ$704),2),IF($AD135&lt;&gt;"T","",$AJ135)))</f>
        <v/>
      </c>
      <c r="N135" s="32">
        <f>IF(OR($AD135="D",$AD135="T",$AD135="B",$AD135="Z"),ROUND(N($K135)-N($L135)-N($M135),2),"")</f>
        <v/>
      </c>
      <c r="O135" s="32">
        <f>IF(OR($AD135="D",$AD135="T",$AD135="B",$AD135="Z"),IF(N($E135)=0,"",ROUND($F135/$E135,2)),"")</f>
        <v/>
      </c>
      <c r="Q135">
        <f>IFERROR(MATCH(131,บันทึกรายเที่ยว!$Z$6:$Z$6005,0),"")</f>
        <v/>
      </c>
      <c r="R135">
        <f>IF($Q135="","",INDEX(บันทึกรายเที่ยว!$V$6:$V$6005,$Q135))</f>
        <v/>
      </c>
      <c r="S135">
        <f>IF($Q135="","",INDEX(บันทึกรายเที่ยว!$F$6:$F$6005,$Q135))</f>
        <v/>
      </c>
      <c r="T135">
        <f>IF($Q135="","",MATCH($S135,บันทึกรายเที่ยว!$F$6:$F$6005,0))</f>
        <v/>
      </c>
      <c r="U135">
        <f>IF($Q135="","",$AL135*10000000+$T135*1000+131)</f>
        <v/>
      </c>
      <c r="V135">
        <f>IFERROR(MATCH(SMALL($U$5:$U$404,131),$U$5:$U$404,0),"")</f>
        <v/>
      </c>
      <c r="W135">
        <f>IF($V135="","",INDEX($Q$5:$Q$404,$V135))</f>
        <v/>
      </c>
      <c r="X135">
        <f>IF($V135="","",INDEX($S$5:$S$404,$V135))</f>
        <v/>
      </c>
      <c r="Y135">
        <f>IF($V135="","",INDEX($R$5:$R$404,$V135))</f>
        <v/>
      </c>
      <c r="Z135">
        <f>IF($V135="",0,IF($X135&lt;&gt;$X134,1,0))</f>
        <v/>
      </c>
      <c r="AA135">
        <f>IF($V135="",0,IF($V136="",1,IF($X136&lt;&gt;$X135,1,0)))</f>
        <v/>
      </c>
      <c r="AB135">
        <f>IF($V135="",99999+131,$AB134+1+$Z134+$AA134+$AO134)</f>
        <v/>
      </c>
      <c r="AC135">
        <f>IFERROR(MATCH(131,$AB$5:$AB$404,1),"")</f>
        <v/>
      </c>
      <c r="AD135">
        <f>IF(131=$AI$1+1,"Z",IF($AC135="","",IF(INDEX($V$5:$V$404,$AC135)="","",IF(131&gt;INDEX($AB$5:$AB$404,$AC135)+INDEX($Z$5:$Z$404,$AC135)+INDEX($AA$5:$AA$404,$AC135)+INDEX($AO$5:$AO$404,$AC135),"",IF(131=INDEX($AB$5:$AB$404,$AC135)+INDEX($Z$5:$Z$404,$AC135),"D",IF(AND(INDEX($Z$5:$Z$404,$AC135)=1,131=INDEX($AB$5:$AB$404,$AC135)),"H",IF(AND(INDEX($AO$5:$AO$404,$AC135)=1,131=INDEX($AB$5:$AB$404,$AC135)+INDEX($Z$5:$Z$404,$AC135)+INDEX($AA$5:$AA$404,$AC135)+INDEX($AO$5:$AO$404,$AC135)),"B","T")))))))</f>
        <v/>
      </c>
      <c r="AF135">
        <f>IF(OR($AD135="",$AD135="Z",$AD135="B"),"",INDEX($X$5:$X$404,$AC135))</f>
        <v/>
      </c>
      <c r="AJ135">
        <f>IF($AD135&lt;&gt;"T",0,ROUND(SUMIF(oil!$B$4:$B$63,$AF135,oil!$AE$4:$AE$63),2))</f>
        <v/>
      </c>
      <c r="AK135">
        <f>IF($S135="","",IFERROR(INDEX(อัตราค่าขนส่ง!$P$5:$P$54,MATCH($S135,อัตราค่าขนส่ง!$O$5:$O$54,0)),INDEX(รายการมาตรฐาน!$G$2:$G$3,1)))</f>
        <v/>
      </c>
      <c r="AL135">
        <f>IF($S135="","",IFERROR(MATCH($AK135,รายการมาตรฐาน!$G$2:$G$3,0),1))</f>
        <v/>
      </c>
      <c r="AM135">
        <f>IF($V135="","",INDEX($AK$5:$AK$404,$V135))</f>
        <v/>
      </c>
      <c r="AN135">
        <f>IF($V135="","",INDEX($AL$5:$AL$404,$V135))</f>
        <v/>
      </c>
      <c r="AO135">
        <f>IF(OR($V135="",$AI$2&lt;=1),0,IF($V136="",1,IF($AN136&lt;&gt;$AN135,1,0)))</f>
        <v/>
      </c>
      <c r="AP135">
        <f>IF($V135="",0,IF($AN135&lt;&gt;$AN134,1,0))</f>
        <v/>
      </c>
      <c r="AQ135">
        <f>IF(OR($AD135="",$AD135="Z"),"",INDEX($AN$5:$AN$404,$AC135))</f>
        <v/>
      </c>
      <c r="AR135">
        <f>IF($Y135="",0,COUNTIF(บันทึกรายเที่ยว!$V$6:$V$6005,$Y135))</f>
        <v/>
      </c>
      <c r="AS135">
        <f>IF($Y135="",0,ROUND(SUMIF(บันทึกรายเที่ยว!$V$6:$V$6005,$Y135,บันทึกรายเที่ยว!$M$6:$M$6005),2))</f>
        <v/>
      </c>
      <c r="AT135">
        <f>IF($Y135="",0,IFERROR(INDEX(อัตราค่าขนส่ง!$G$5:$G$204,MATCH($Y135,อัตราค่าขนส่ง!$M$5:$M$204,0)),0))</f>
        <v/>
      </c>
      <c r="AU135">
        <f>ROUND($AS135*$BD135,2)</f>
        <v/>
      </c>
      <c r="AV135">
        <f>ROUND($AU135*$BF$2/100,2)</f>
        <v/>
      </c>
      <c r="AW135">
        <f>IF($Y135="","",IFERROR(INDEX(อัตราค่าขนส่ง!$F$5:$F$204,MATCH($Y135,อัตราค่าขนส่ง!$M$5:$M$204,0)),""))</f>
        <v/>
      </c>
      <c r="AX135">
        <f>IF($W135="","",INDEX(บันทึกรายเที่ยว!$D$6:$D$6005,$W135))</f>
        <v/>
      </c>
      <c r="AY135">
        <f>IF($W135="","",INDEX(บันทึกรายเที่ยว!$R$6:$R$6005,$W135))</f>
        <v/>
      </c>
      <c r="AZ135">
        <f>IF(AND($AD135="T",$AQ135=1),N($AZ134)+1,N($AZ134))</f>
        <v/>
      </c>
      <c r="BA135">
        <f>IF($W135="","",INDEX(บันทึกรายเที่ยว!$E$6:$E$6005,$W135))</f>
        <v/>
      </c>
      <c r="BC135">
        <f>IF($Y135="",0,IFERROR(INDEX(อัตราค่าขนส่ง!$K$5:$K$204,MATCH($Y135,อัตราค่าขนส่ง!$M$5:$M$204,0)),0))</f>
        <v/>
      </c>
      <c r="BD135">
        <f>IF($Y135="",0,IFERROR(INDEX(อัตราค่าขนส่ง!$L$5:$L$204,MATCH($Y135,อัตราค่าขนส่ง!$M$5:$M$204,0)),0))</f>
        <v/>
      </c>
    </row>
    <row r="136" ht="21" customHeight="1" s="66">
      <c r="A136" s="69">
        <f>IF($AD136="","",IF($AD136="Z","รวมจ่ายทั้งสิ้น",IF($AD136="H",INDEX($X$5:$X$404,$AC136),IF($AD136="T","รวม",IF($AD136="B",IFERROR(INDEX(อัตราค่าขนส่ง!$S$5:$S$14,MATCH(INDEX($AM$5:$AM$404,$AC136),อัตราค่าขนส่ง!$R$5:$R$14,0)),"รวมกลุ่ม "&amp;INDEX($AM$5:$AM$404,$AC136)),INDEX($AY$5:$AY$404,$AC136))))))</f>
        <v/>
      </c>
      <c r="B136" s="31">
        <f>IF($AD136&lt;&gt;"D","",INDEX($AW$5:$AW$404,$AC136))</f>
        <v/>
      </c>
      <c r="C136" s="68">
        <f>IF($AD136&lt;&gt;"D","",INDEX($AX$5:$AX$404,$AC136))</f>
        <v/>
      </c>
      <c r="D136" s="70">
        <f>IF($AD136&lt;&gt;"D","",INDEX($BA$5:$BA$404,$AC136))</f>
        <v/>
      </c>
      <c r="E136" s="31">
        <f>IF($AD136="Z",SUM($AR$5:$AR$404),IF($AD136="D",INDEX($AR$5:$AR$404,$AC136),IF($AD136="T",SUMIF($X$5:$X$404,$AF136,$AR$5:$AR$404),IF($AD136="B",SUMIF($AN$5:$AN$404,$AQ136,$AR$5:$AR$404),""))))</f>
        <v/>
      </c>
      <c r="F136" s="32">
        <f>IF($AD136="Z",ROUND(SUM($AS$5:$AS$404),2),IF($AD136="D",INDEX($AS$5:$AS$404,$AC136),IF($AD136="T",ROUND(SUMIF($X$5:$X$404,$AF136,$AS$5:$AS$404),2),IF($AD136="B",ROUND(SUMIF($AN$5:$AN$404,$AQ136,$AS$5:$AS$404),2),""))))</f>
        <v/>
      </c>
      <c r="G136" s="32">
        <f>IF($AD136&lt;&gt;"D","",INDEX($AT$5:$AT$404,$AC136))</f>
        <v/>
      </c>
      <c r="H136" s="32">
        <f>IF($AD136&lt;&gt;"D","",INDEX($BC$5:$BC$404,$AC136))</f>
        <v/>
      </c>
      <c r="I136" s="32">
        <f>IF($AD136&lt;&gt;"D","",INDEX($BD$5:$BD$404,$AC136))</f>
        <v/>
      </c>
      <c r="J136" s="46">
        <f>IF($AD136&lt;&gt;"D","",IF(N($B136)=0,"",ROUND($I136/$B136,4)))</f>
        <v/>
      </c>
      <c r="K136" s="32">
        <f>IF($AD136="Z",ROUND(SUM($AU$5:$AU$404),2),IF($AD136="D",INDEX($AU$5:$AU$404,$AC136),IF($AD136="T",ROUND(SUMIF($X$5:$X$404,$AF136,$AU$5:$AU$404),2),IF($AD136="B",ROUND(SUMIF($AN$5:$AN$404,$AQ136,$AU$5:$AU$404),2),""))))</f>
        <v/>
      </c>
      <c r="L136" s="32">
        <f>IF($AD136="Z",ROUND(SUM($AV$5:$AV$404),2),IF($AD136="D",INDEX($AV$5:$AV$404,$AC136),IF($AD136="T",ROUND(SUMIF($X$5:$X$404,$AF136,$AV$5:$AV$404),2),IF($AD136="B",ROUND(SUMIF($AN$5:$AN$404,$AQ136,$AV$5:$AV$404),2),""))))</f>
        <v/>
      </c>
      <c r="M136" s="32">
        <f>IF($AD136="Z",ROUND(SUM($AJ$5:$AJ$704),2),IF($AD136="B",ROUND(SUMIF($AQ$5:$AQ$704,$AQ136,$AJ$5:$AJ$704),2),IF($AD136&lt;&gt;"T","",$AJ136)))</f>
        <v/>
      </c>
      <c r="N136" s="32">
        <f>IF(OR($AD136="D",$AD136="T",$AD136="B",$AD136="Z"),ROUND(N($K136)-N($L136)-N($M136),2),"")</f>
        <v/>
      </c>
      <c r="O136" s="32">
        <f>IF(OR($AD136="D",$AD136="T",$AD136="B",$AD136="Z"),IF(N($E136)=0,"",ROUND($F136/$E136,2)),"")</f>
        <v/>
      </c>
      <c r="Q136">
        <f>IFERROR(MATCH(132,บันทึกรายเที่ยว!$Z$6:$Z$6005,0),"")</f>
        <v/>
      </c>
      <c r="R136">
        <f>IF($Q136="","",INDEX(บันทึกรายเที่ยว!$V$6:$V$6005,$Q136))</f>
        <v/>
      </c>
      <c r="S136">
        <f>IF($Q136="","",INDEX(บันทึกรายเที่ยว!$F$6:$F$6005,$Q136))</f>
        <v/>
      </c>
      <c r="T136">
        <f>IF($Q136="","",MATCH($S136,บันทึกรายเที่ยว!$F$6:$F$6005,0))</f>
        <v/>
      </c>
      <c r="U136">
        <f>IF($Q136="","",$AL136*10000000+$T136*1000+132)</f>
        <v/>
      </c>
      <c r="V136">
        <f>IFERROR(MATCH(SMALL($U$5:$U$404,132),$U$5:$U$404,0),"")</f>
        <v/>
      </c>
      <c r="W136">
        <f>IF($V136="","",INDEX($Q$5:$Q$404,$V136))</f>
        <v/>
      </c>
      <c r="X136">
        <f>IF($V136="","",INDEX($S$5:$S$404,$V136))</f>
        <v/>
      </c>
      <c r="Y136">
        <f>IF($V136="","",INDEX($R$5:$R$404,$V136))</f>
        <v/>
      </c>
      <c r="Z136">
        <f>IF($V136="",0,IF($X136&lt;&gt;$X135,1,0))</f>
        <v/>
      </c>
      <c r="AA136">
        <f>IF($V136="",0,IF($V137="",1,IF($X137&lt;&gt;$X136,1,0)))</f>
        <v/>
      </c>
      <c r="AB136">
        <f>IF($V136="",99999+132,$AB135+1+$Z135+$AA135+$AO135)</f>
        <v/>
      </c>
      <c r="AC136">
        <f>IFERROR(MATCH(132,$AB$5:$AB$404,1),"")</f>
        <v/>
      </c>
      <c r="AD136">
        <f>IF(132=$AI$1+1,"Z",IF($AC136="","",IF(INDEX($V$5:$V$404,$AC136)="","",IF(132&gt;INDEX($AB$5:$AB$404,$AC136)+INDEX($Z$5:$Z$404,$AC136)+INDEX($AA$5:$AA$404,$AC136)+INDEX($AO$5:$AO$404,$AC136),"",IF(132=INDEX($AB$5:$AB$404,$AC136)+INDEX($Z$5:$Z$404,$AC136),"D",IF(AND(INDEX($Z$5:$Z$404,$AC136)=1,132=INDEX($AB$5:$AB$404,$AC136)),"H",IF(AND(INDEX($AO$5:$AO$404,$AC136)=1,132=INDEX($AB$5:$AB$404,$AC136)+INDEX($Z$5:$Z$404,$AC136)+INDEX($AA$5:$AA$404,$AC136)+INDEX($AO$5:$AO$404,$AC136)),"B","T")))))))</f>
        <v/>
      </c>
      <c r="AF136">
        <f>IF(OR($AD136="",$AD136="Z",$AD136="B"),"",INDEX($X$5:$X$404,$AC136))</f>
        <v/>
      </c>
      <c r="AJ136">
        <f>IF($AD136&lt;&gt;"T",0,ROUND(SUMIF(oil!$B$4:$B$63,$AF136,oil!$AE$4:$AE$63),2))</f>
        <v/>
      </c>
      <c r="AK136">
        <f>IF($S136="","",IFERROR(INDEX(อัตราค่าขนส่ง!$P$5:$P$54,MATCH($S136,อัตราค่าขนส่ง!$O$5:$O$54,0)),INDEX(รายการมาตรฐาน!$G$2:$G$3,1)))</f>
        <v/>
      </c>
      <c r="AL136">
        <f>IF($S136="","",IFERROR(MATCH($AK136,รายการมาตรฐาน!$G$2:$G$3,0),1))</f>
        <v/>
      </c>
      <c r="AM136">
        <f>IF($V136="","",INDEX($AK$5:$AK$404,$V136))</f>
        <v/>
      </c>
      <c r="AN136">
        <f>IF($V136="","",INDEX($AL$5:$AL$404,$V136))</f>
        <v/>
      </c>
      <c r="AO136">
        <f>IF(OR($V136="",$AI$2&lt;=1),0,IF($V137="",1,IF($AN137&lt;&gt;$AN136,1,0)))</f>
        <v/>
      </c>
      <c r="AP136">
        <f>IF($V136="",0,IF($AN136&lt;&gt;$AN135,1,0))</f>
        <v/>
      </c>
      <c r="AQ136">
        <f>IF(OR($AD136="",$AD136="Z"),"",INDEX($AN$5:$AN$404,$AC136))</f>
        <v/>
      </c>
      <c r="AR136">
        <f>IF($Y136="",0,COUNTIF(บันทึกรายเที่ยว!$V$6:$V$6005,$Y136))</f>
        <v/>
      </c>
      <c r="AS136">
        <f>IF($Y136="",0,ROUND(SUMIF(บันทึกรายเที่ยว!$V$6:$V$6005,$Y136,บันทึกรายเที่ยว!$M$6:$M$6005),2))</f>
        <v/>
      </c>
      <c r="AT136">
        <f>IF($Y136="",0,IFERROR(INDEX(อัตราค่าขนส่ง!$G$5:$G$204,MATCH($Y136,อัตราค่าขนส่ง!$M$5:$M$204,0)),0))</f>
        <v/>
      </c>
      <c r="AU136">
        <f>ROUND($AS136*$BD136,2)</f>
        <v/>
      </c>
      <c r="AV136">
        <f>ROUND($AU136*$BF$2/100,2)</f>
        <v/>
      </c>
      <c r="AW136">
        <f>IF($Y136="","",IFERROR(INDEX(อัตราค่าขนส่ง!$F$5:$F$204,MATCH($Y136,อัตราค่าขนส่ง!$M$5:$M$204,0)),""))</f>
        <v/>
      </c>
      <c r="AX136">
        <f>IF($W136="","",INDEX(บันทึกรายเที่ยว!$D$6:$D$6005,$W136))</f>
        <v/>
      </c>
      <c r="AY136">
        <f>IF($W136="","",INDEX(บันทึกรายเที่ยว!$R$6:$R$6005,$W136))</f>
        <v/>
      </c>
      <c r="AZ136">
        <f>IF(AND($AD136="T",$AQ136=1),N($AZ135)+1,N($AZ135))</f>
        <v/>
      </c>
      <c r="BA136">
        <f>IF($W136="","",INDEX(บันทึกรายเที่ยว!$E$6:$E$6005,$W136))</f>
        <v/>
      </c>
      <c r="BC136">
        <f>IF($Y136="",0,IFERROR(INDEX(อัตราค่าขนส่ง!$K$5:$K$204,MATCH($Y136,อัตราค่าขนส่ง!$M$5:$M$204,0)),0))</f>
        <v/>
      </c>
      <c r="BD136">
        <f>IF($Y136="",0,IFERROR(INDEX(อัตราค่าขนส่ง!$L$5:$L$204,MATCH($Y136,อัตราค่าขนส่ง!$M$5:$M$204,0)),0))</f>
        <v/>
      </c>
    </row>
    <row r="137" ht="21" customHeight="1" s="66">
      <c r="A137" s="69">
        <f>IF($AD137="","",IF($AD137="Z","รวมจ่ายทั้งสิ้น",IF($AD137="H",INDEX($X$5:$X$404,$AC137),IF($AD137="T","รวม",IF($AD137="B",IFERROR(INDEX(อัตราค่าขนส่ง!$S$5:$S$14,MATCH(INDEX($AM$5:$AM$404,$AC137),อัตราค่าขนส่ง!$R$5:$R$14,0)),"รวมกลุ่ม "&amp;INDEX($AM$5:$AM$404,$AC137)),INDEX($AY$5:$AY$404,$AC137))))))</f>
        <v/>
      </c>
      <c r="B137" s="31">
        <f>IF($AD137&lt;&gt;"D","",INDEX($AW$5:$AW$404,$AC137))</f>
        <v/>
      </c>
      <c r="C137" s="68">
        <f>IF($AD137&lt;&gt;"D","",INDEX($AX$5:$AX$404,$AC137))</f>
        <v/>
      </c>
      <c r="D137" s="70">
        <f>IF($AD137&lt;&gt;"D","",INDEX($BA$5:$BA$404,$AC137))</f>
        <v/>
      </c>
      <c r="E137" s="31">
        <f>IF($AD137="Z",SUM($AR$5:$AR$404),IF($AD137="D",INDEX($AR$5:$AR$404,$AC137),IF($AD137="T",SUMIF($X$5:$X$404,$AF137,$AR$5:$AR$404),IF($AD137="B",SUMIF($AN$5:$AN$404,$AQ137,$AR$5:$AR$404),""))))</f>
        <v/>
      </c>
      <c r="F137" s="32">
        <f>IF($AD137="Z",ROUND(SUM($AS$5:$AS$404),2),IF($AD137="D",INDEX($AS$5:$AS$404,$AC137),IF($AD137="T",ROUND(SUMIF($X$5:$X$404,$AF137,$AS$5:$AS$404),2),IF($AD137="B",ROUND(SUMIF($AN$5:$AN$404,$AQ137,$AS$5:$AS$404),2),""))))</f>
        <v/>
      </c>
      <c r="G137" s="32">
        <f>IF($AD137&lt;&gt;"D","",INDEX($AT$5:$AT$404,$AC137))</f>
        <v/>
      </c>
      <c r="H137" s="32">
        <f>IF($AD137&lt;&gt;"D","",INDEX($BC$5:$BC$404,$AC137))</f>
        <v/>
      </c>
      <c r="I137" s="32">
        <f>IF($AD137&lt;&gt;"D","",INDEX($BD$5:$BD$404,$AC137))</f>
        <v/>
      </c>
      <c r="J137" s="46">
        <f>IF($AD137&lt;&gt;"D","",IF(N($B137)=0,"",ROUND($I137/$B137,4)))</f>
        <v/>
      </c>
      <c r="K137" s="32">
        <f>IF($AD137="Z",ROUND(SUM($AU$5:$AU$404),2),IF($AD137="D",INDEX($AU$5:$AU$404,$AC137),IF($AD137="T",ROUND(SUMIF($X$5:$X$404,$AF137,$AU$5:$AU$404),2),IF($AD137="B",ROUND(SUMIF($AN$5:$AN$404,$AQ137,$AU$5:$AU$404),2),""))))</f>
        <v/>
      </c>
      <c r="L137" s="32">
        <f>IF($AD137="Z",ROUND(SUM($AV$5:$AV$404),2),IF($AD137="D",INDEX($AV$5:$AV$404,$AC137),IF($AD137="T",ROUND(SUMIF($X$5:$X$404,$AF137,$AV$5:$AV$404),2),IF($AD137="B",ROUND(SUMIF($AN$5:$AN$404,$AQ137,$AV$5:$AV$404),2),""))))</f>
        <v/>
      </c>
      <c r="M137" s="32">
        <f>IF($AD137="Z",ROUND(SUM($AJ$5:$AJ$704),2),IF($AD137="B",ROUND(SUMIF($AQ$5:$AQ$704,$AQ137,$AJ$5:$AJ$704),2),IF($AD137&lt;&gt;"T","",$AJ137)))</f>
        <v/>
      </c>
      <c r="N137" s="32">
        <f>IF(OR($AD137="D",$AD137="T",$AD137="B",$AD137="Z"),ROUND(N($K137)-N($L137)-N($M137),2),"")</f>
        <v/>
      </c>
      <c r="O137" s="32">
        <f>IF(OR($AD137="D",$AD137="T",$AD137="B",$AD137="Z"),IF(N($E137)=0,"",ROUND($F137/$E137,2)),"")</f>
        <v/>
      </c>
      <c r="Q137">
        <f>IFERROR(MATCH(133,บันทึกรายเที่ยว!$Z$6:$Z$6005,0),"")</f>
        <v/>
      </c>
      <c r="R137">
        <f>IF($Q137="","",INDEX(บันทึกรายเที่ยว!$V$6:$V$6005,$Q137))</f>
        <v/>
      </c>
      <c r="S137">
        <f>IF($Q137="","",INDEX(บันทึกรายเที่ยว!$F$6:$F$6005,$Q137))</f>
        <v/>
      </c>
      <c r="T137">
        <f>IF($Q137="","",MATCH($S137,บันทึกรายเที่ยว!$F$6:$F$6005,0))</f>
        <v/>
      </c>
      <c r="U137">
        <f>IF($Q137="","",$AL137*10000000+$T137*1000+133)</f>
        <v/>
      </c>
      <c r="V137">
        <f>IFERROR(MATCH(SMALL($U$5:$U$404,133),$U$5:$U$404,0),"")</f>
        <v/>
      </c>
      <c r="W137">
        <f>IF($V137="","",INDEX($Q$5:$Q$404,$V137))</f>
        <v/>
      </c>
      <c r="X137">
        <f>IF($V137="","",INDEX($S$5:$S$404,$V137))</f>
        <v/>
      </c>
      <c r="Y137">
        <f>IF($V137="","",INDEX($R$5:$R$404,$V137))</f>
        <v/>
      </c>
      <c r="Z137">
        <f>IF($V137="",0,IF($X137&lt;&gt;$X136,1,0))</f>
        <v/>
      </c>
      <c r="AA137">
        <f>IF($V137="",0,IF($V138="",1,IF($X138&lt;&gt;$X137,1,0)))</f>
        <v/>
      </c>
      <c r="AB137">
        <f>IF($V137="",99999+133,$AB136+1+$Z136+$AA136+$AO136)</f>
        <v/>
      </c>
      <c r="AC137">
        <f>IFERROR(MATCH(133,$AB$5:$AB$404,1),"")</f>
        <v/>
      </c>
      <c r="AD137">
        <f>IF(133=$AI$1+1,"Z",IF($AC137="","",IF(INDEX($V$5:$V$404,$AC137)="","",IF(133&gt;INDEX($AB$5:$AB$404,$AC137)+INDEX($Z$5:$Z$404,$AC137)+INDEX($AA$5:$AA$404,$AC137)+INDEX($AO$5:$AO$404,$AC137),"",IF(133=INDEX($AB$5:$AB$404,$AC137)+INDEX($Z$5:$Z$404,$AC137),"D",IF(AND(INDEX($Z$5:$Z$404,$AC137)=1,133=INDEX($AB$5:$AB$404,$AC137)),"H",IF(AND(INDEX($AO$5:$AO$404,$AC137)=1,133=INDEX($AB$5:$AB$404,$AC137)+INDEX($Z$5:$Z$404,$AC137)+INDEX($AA$5:$AA$404,$AC137)+INDEX($AO$5:$AO$404,$AC137)),"B","T")))))))</f>
        <v/>
      </c>
      <c r="AF137">
        <f>IF(OR($AD137="",$AD137="Z",$AD137="B"),"",INDEX($X$5:$X$404,$AC137))</f>
        <v/>
      </c>
      <c r="AJ137">
        <f>IF($AD137&lt;&gt;"T",0,ROUND(SUMIF(oil!$B$4:$B$63,$AF137,oil!$AE$4:$AE$63),2))</f>
        <v/>
      </c>
      <c r="AK137">
        <f>IF($S137="","",IFERROR(INDEX(อัตราค่าขนส่ง!$P$5:$P$54,MATCH($S137,อัตราค่าขนส่ง!$O$5:$O$54,0)),INDEX(รายการมาตรฐาน!$G$2:$G$3,1)))</f>
        <v/>
      </c>
      <c r="AL137">
        <f>IF($S137="","",IFERROR(MATCH($AK137,รายการมาตรฐาน!$G$2:$G$3,0),1))</f>
        <v/>
      </c>
      <c r="AM137">
        <f>IF($V137="","",INDEX($AK$5:$AK$404,$V137))</f>
        <v/>
      </c>
      <c r="AN137">
        <f>IF($V137="","",INDEX($AL$5:$AL$404,$V137))</f>
        <v/>
      </c>
      <c r="AO137">
        <f>IF(OR($V137="",$AI$2&lt;=1),0,IF($V138="",1,IF($AN138&lt;&gt;$AN137,1,0)))</f>
        <v/>
      </c>
      <c r="AP137">
        <f>IF($V137="",0,IF($AN137&lt;&gt;$AN136,1,0))</f>
        <v/>
      </c>
      <c r="AQ137">
        <f>IF(OR($AD137="",$AD137="Z"),"",INDEX($AN$5:$AN$404,$AC137))</f>
        <v/>
      </c>
      <c r="AR137">
        <f>IF($Y137="",0,COUNTIF(บันทึกรายเที่ยว!$V$6:$V$6005,$Y137))</f>
        <v/>
      </c>
      <c r="AS137">
        <f>IF($Y137="",0,ROUND(SUMIF(บันทึกรายเที่ยว!$V$6:$V$6005,$Y137,บันทึกรายเที่ยว!$M$6:$M$6005),2))</f>
        <v/>
      </c>
      <c r="AT137">
        <f>IF($Y137="",0,IFERROR(INDEX(อัตราค่าขนส่ง!$G$5:$G$204,MATCH($Y137,อัตราค่าขนส่ง!$M$5:$M$204,0)),0))</f>
        <v/>
      </c>
      <c r="AU137">
        <f>ROUND($AS137*$BD137,2)</f>
        <v/>
      </c>
      <c r="AV137">
        <f>ROUND($AU137*$BF$2/100,2)</f>
        <v/>
      </c>
      <c r="AW137">
        <f>IF($Y137="","",IFERROR(INDEX(อัตราค่าขนส่ง!$F$5:$F$204,MATCH($Y137,อัตราค่าขนส่ง!$M$5:$M$204,0)),""))</f>
        <v/>
      </c>
      <c r="AX137">
        <f>IF($W137="","",INDEX(บันทึกรายเที่ยว!$D$6:$D$6005,$W137))</f>
        <v/>
      </c>
      <c r="AY137">
        <f>IF($W137="","",INDEX(บันทึกรายเที่ยว!$R$6:$R$6005,$W137))</f>
        <v/>
      </c>
      <c r="AZ137">
        <f>IF(AND($AD137="T",$AQ137=1),N($AZ136)+1,N($AZ136))</f>
        <v/>
      </c>
      <c r="BA137">
        <f>IF($W137="","",INDEX(บันทึกรายเที่ยว!$E$6:$E$6005,$W137))</f>
        <v/>
      </c>
      <c r="BC137">
        <f>IF($Y137="",0,IFERROR(INDEX(อัตราค่าขนส่ง!$K$5:$K$204,MATCH($Y137,อัตราค่าขนส่ง!$M$5:$M$204,0)),0))</f>
        <v/>
      </c>
      <c r="BD137">
        <f>IF($Y137="",0,IFERROR(INDEX(อัตราค่าขนส่ง!$L$5:$L$204,MATCH($Y137,อัตราค่าขนส่ง!$M$5:$M$204,0)),0))</f>
        <v/>
      </c>
    </row>
    <row r="138" ht="21" customHeight="1" s="66">
      <c r="A138" s="69">
        <f>IF($AD138="","",IF($AD138="Z","รวมจ่ายทั้งสิ้น",IF($AD138="H",INDEX($X$5:$X$404,$AC138),IF($AD138="T","รวม",IF($AD138="B",IFERROR(INDEX(อัตราค่าขนส่ง!$S$5:$S$14,MATCH(INDEX($AM$5:$AM$404,$AC138),อัตราค่าขนส่ง!$R$5:$R$14,0)),"รวมกลุ่ม "&amp;INDEX($AM$5:$AM$404,$AC138)),INDEX($AY$5:$AY$404,$AC138))))))</f>
        <v/>
      </c>
      <c r="B138" s="31">
        <f>IF($AD138&lt;&gt;"D","",INDEX($AW$5:$AW$404,$AC138))</f>
        <v/>
      </c>
      <c r="C138" s="68">
        <f>IF($AD138&lt;&gt;"D","",INDEX($AX$5:$AX$404,$AC138))</f>
        <v/>
      </c>
      <c r="D138" s="70">
        <f>IF($AD138&lt;&gt;"D","",INDEX($BA$5:$BA$404,$AC138))</f>
        <v/>
      </c>
      <c r="E138" s="31">
        <f>IF($AD138="Z",SUM($AR$5:$AR$404),IF($AD138="D",INDEX($AR$5:$AR$404,$AC138),IF($AD138="T",SUMIF($X$5:$X$404,$AF138,$AR$5:$AR$404),IF($AD138="B",SUMIF($AN$5:$AN$404,$AQ138,$AR$5:$AR$404),""))))</f>
        <v/>
      </c>
      <c r="F138" s="32">
        <f>IF($AD138="Z",ROUND(SUM($AS$5:$AS$404),2),IF($AD138="D",INDEX($AS$5:$AS$404,$AC138),IF($AD138="T",ROUND(SUMIF($X$5:$X$404,$AF138,$AS$5:$AS$404),2),IF($AD138="B",ROUND(SUMIF($AN$5:$AN$404,$AQ138,$AS$5:$AS$404),2),""))))</f>
        <v/>
      </c>
      <c r="G138" s="32">
        <f>IF($AD138&lt;&gt;"D","",INDEX($AT$5:$AT$404,$AC138))</f>
        <v/>
      </c>
      <c r="H138" s="32">
        <f>IF($AD138&lt;&gt;"D","",INDEX($BC$5:$BC$404,$AC138))</f>
        <v/>
      </c>
      <c r="I138" s="32">
        <f>IF($AD138&lt;&gt;"D","",INDEX($BD$5:$BD$404,$AC138))</f>
        <v/>
      </c>
      <c r="J138" s="46">
        <f>IF($AD138&lt;&gt;"D","",IF(N($B138)=0,"",ROUND($I138/$B138,4)))</f>
        <v/>
      </c>
      <c r="K138" s="32">
        <f>IF($AD138="Z",ROUND(SUM($AU$5:$AU$404),2),IF($AD138="D",INDEX($AU$5:$AU$404,$AC138),IF($AD138="T",ROUND(SUMIF($X$5:$X$404,$AF138,$AU$5:$AU$404),2),IF($AD138="B",ROUND(SUMIF($AN$5:$AN$404,$AQ138,$AU$5:$AU$404),2),""))))</f>
        <v/>
      </c>
      <c r="L138" s="32">
        <f>IF($AD138="Z",ROUND(SUM($AV$5:$AV$404),2),IF($AD138="D",INDEX($AV$5:$AV$404,$AC138),IF($AD138="T",ROUND(SUMIF($X$5:$X$404,$AF138,$AV$5:$AV$404),2),IF($AD138="B",ROUND(SUMIF($AN$5:$AN$404,$AQ138,$AV$5:$AV$404),2),""))))</f>
        <v/>
      </c>
      <c r="M138" s="32">
        <f>IF($AD138="Z",ROUND(SUM($AJ$5:$AJ$704),2),IF($AD138="B",ROUND(SUMIF($AQ$5:$AQ$704,$AQ138,$AJ$5:$AJ$704),2),IF($AD138&lt;&gt;"T","",$AJ138)))</f>
        <v/>
      </c>
      <c r="N138" s="32">
        <f>IF(OR($AD138="D",$AD138="T",$AD138="B",$AD138="Z"),ROUND(N($K138)-N($L138)-N($M138),2),"")</f>
        <v/>
      </c>
      <c r="O138" s="32">
        <f>IF(OR($AD138="D",$AD138="T",$AD138="B",$AD138="Z"),IF(N($E138)=0,"",ROUND($F138/$E138,2)),"")</f>
        <v/>
      </c>
      <c r="Q138">
        <f>IFERROR(MATCH(134,บันทึกรายเที่ยว!$Z$6:$Z$6005,0),"")</f>
        <v/>
      </c>
      <c r="R138">
        <f>IF($Q138="","",INDEX(บันทึกรายเที่ยว!$V$6:$V$6005,$Q138))</f>
        <v/>
      </c>
      <c r="S138">
        <f>IF($Q138="","",INDEX(บันทึกรายเที่ยว!$F$6:$F$6005,$Q138))</f>
        <v/>
      </c>
      <c r="T138">
        <f>IF($Q138="","",MATCH($S138,บันทึกรายเที่ยว!$F$6:$F$6005,0))</f>
        <v/>
      </c>
      <c r="U138">
        <f>IF($Q138="","",$AL138*10000000+$T138*1000+134)</f>
        <v/>
      </c>
      <c r="V138">
        <f>IFERROR(MATCH(SMALL($U$5:$U$404,134),$U$5:$U$404,0),"")</f>
        <v/>
      </c>
      <c r="W138">
        <f>IF($V138="","",INDEX($Q$5:$Q$404,$V138))</f>
        <v/>
      </c>
      <c r="X138">
        <f>IF($V138="","",INDEX($S$5:$S$404,$V138))</f>
        <v/>
      </c>
      <c r="Y138">
        <f>IF($V138="","",INDEX($R$5:$R$404,$V138))</f>
        <v/>
      </c>
      <c r="Z138">
        <f>IF($V138="",0,IF($X138&lt;&gt;$X137,1,0))</f>
        <v/>
      </c>
      <c r="AA138">
        <f>IF($V138="",0,IF($V139="",1,IF($X139&lt;&gt;$X138,1,0)))</f>
        <v/>
      </c>
      <c r="AB138">
        <f>IF($V138="",99999+134,$AB137+1+$Z137+$AA137+$AO137)</f>
        <v/>
      </c>
      <c r="AC138">
        <f>IFERROR(MATCH(134,$AB$5:$AB$404,1),"")</f>
        <v/>
      </c>
      <c r="AD138">
        <f>IF(134=$AI$1+1,"Z",IF($AC138="","",IF(INDEX($V$5:$V$404,$AC138)="","",IF(134&gt;INDEX($AB$5:$AB$404,$AC138)+INDEX($Z$5:$Z$404,$AC138)+INDEX($AA$5:$AA$404,$AC138)+INDEX($AO$5:$AO$404,$AC138),"",IF(134=INDEX($AB$5:$AB$404,$AC138)+INDEX($Z$5:$Z$404,$AC138),"D",IF(AND(INDEX($Z$5:$Z$404,$AC138)=1,134=INDEX($AB$5:$AB$404,$AC138)),"H",IF(AND(INDEX($AO$5:$AO$404,$AC138)=1,134=INDEX($AB$5:$AB$404,$AC138)+INDEX($Z$5:$Z$404,$AC138)+INDEX($AA$5:$AA$404,$AC138)+INDEX($AO$5:$AO$404,$AC138)),"B","T")))))))</f>
        <v/>
      </c>
      <c r="AF138">
        <f>IF(OR($AD138="",$AD138="Z",$AD138="B"),"",INDEX($X$5:$X$404,$AC138))</f>
        <v/>
      </c>
      <c r="AJ138">
        <f>IF($AD138&lt;&gt;"T",0,ROUND(SUMIF(oil!$B$4:$B$63,$AF138,oil!$AE$4:$AE$63),2))</f>
        <v/>
      </c>
      <c r="AK138">
        <f>IF($S138="","",IFERROR(INDEX(อัตราค่าขนส่ง!$P$5:$P$54,MATCH($S138,อัตราค่าขนส่ง!$O$5:$O$54,0)),INDEX(รายการมาตรฐาน!$G$2:$G$3,1)))</f>
        <v/>
      </c>
      <c r="AL138">
        <f>IF($S138="","",IFERROR(MATCH($AK138,รายการมาตรฐาน!$G$2:$G$3,0),1))</f>
        <v/>
      </c>
      <c r="AM138">
        <f>IF($V138="","",INDEX($AK$5:$AK$404,$V138))</f>
        <v/>
      </c>
      <c r="AN138">
        <f>IF($V138="","",INDEX($AL$5:$AL$404,$V138))</f>
        <v/>
      </c>
      <c r="AO138">
        <f>IF(OR($V138="",$AI$2&lt;=1),0,IF($V139="",1,IF($AN139&lt;&gt;$AN138,1,0)))</f>
        <v/>
      </c>
      <c r="AP138">
        <f>IF($V138="",0,IF($AN138&lt;&gt;$AN137,1,0))</f>
        <v/>
      </c>
      <c r="AQ138">
        <f>IF(OR($AD138="",$AD138="Z"),"",INDEX($AN$5:$AN$404,$AC138))</f>
        <v/>
      </c>
      <c r="AR138">
        <f>IF($Y138="",0,COUNTIF(บันทึกรายเที่ยว!$V$6:$V$6005,$Y138))</f>
        <v/>
      </c>
      <c r="AS138">
        <f>IF($Y138="",0,ROUND(SUMIF(บันทึกรายเที่ยว!$V$6:$V$6005,$Y138,บันทึกรายเที่ยว!$M$6:$M$6005),2))</f>
        <v/>
      </c>
      <c r="AT138">
        <f>IF($Y138="",0,IFERROR(INDEX(อัตราค่าขนส่ง!$G$5:$G$204,MATCH($Y138,อัตราค่าขนส่ง!$M$5:$M$204,0)),0))</f>
        <v/>
      </c>
      <c r="AU138">
        <f>ROUND($AS138*$BD138,2)</f>
        <v/>
      </c>
      <c r="AV138">
        <f>ROUND($AU138*$BF$2/100,2)</f>
        <v/>
      </c>
      <c r="AW138">
        <f>IF($Y138="","",IFERROR(INDEX(อัตราค่าขนส่ง!$F$5:$F$204,MATCH($Y138,อัตราค่าขนส่ง!$M$5:$M$204,0)),""))</f>
        <v/>
      </c>
      <c r="AX138">
        <f>IF($W138="","",INDEX(บันทึกรายเที่ยว!$D$6:$D$6005,$W138))</f>
        <v/>
      </c>
      <c r="AY138">
        <f>IF($W138="","",INDEX(บันทึกรายเที่ยว!$R$6:$R$6005,$W138))</f>
        <v/>
      </c>
      <c r="AZ138">
        <f>IF(AND($AD138="T",$AQ138=1),N($AZ137)+1,N($AZ137))</f>
        <v/>
      </c>
      <c r="BA138">
        <f>IF($W138="","",INDEX(บันทึกรายเที่ยว!$E$6:$E$6005,$W138))</f>
        <v/>
      </c>
      <c r="BC138">
        <f>IF($Y138="",0,IFERROR(INDEX(อัตราค่าขนส่ง!$K$5:$K$204,MATCH($Y138,อัตราค่าขนส่ง!$M$5:$M$204,0)),0))</f>
        <v/>
      </c>
      <c r="BD138">
        <f>IF($Y138="",0,IFERROR(INDEX(อัตราค่าขนส่ง!$L$5:$L$204,MATCH($Y138,อัตราค่าขนส่ง!$M$5:$M$204,0)),0))</f>
        <v/>
      </c>
    </row>
    <row r="139" ht="21" customHeight="1" s="66">
      <c r="A139" s="69">
        <f>IF($AD139="","",IF($AD139="Z","รวมจ่ายทั้งสิ้น",IF($AD139="H",INDEX($X$5:$X$404,$AC139),IF($AD139="T","รวม",IF($AD139="B",IFERROR(INDEX(อัตราค่าขนส่ง!$S$5:$S$14,MATCH(INDEX($AM$5:$AM$404,$AC139),อัตราค่าขนส่ง!$R$5:$R$14,0)),"รวมกลุ่ม "&amp;INDEX($AM$5:$AM$404,$AC139)),INDEX($AY$5:$AY$404,$AC139))))))</f>
        <v/>
      </c>
      <c r="B139" s="31">
        <f>IF($AD139&lt;&gt;"D","",INDEX($AW$5:$AW$404,$AC139))</f>
        <v/>
      </c>
      <c r="C139" s="68">
        <f>IF($AD139&lt;&gt;"D","",INDEX($AX$5:$AX$404,$AC139))</f>
        <v/>
      </c>
      <c r="D139" s="70">
        <f>IF($AD139&lt;&gt;"D","",INDEX($BA$5:$BA$404,$AC139))</f>
        <v/>
      </c>
      <c r="E139" s="31">
        <f>IF($AD139="Z",SUM($AR$5:$AR$404),IF($AD139="D",INDEX($AR$5:$AR$404,$AC139),IF($AD139="T",SUMIF($X$5:$X$404,$AF139,$AR$5:$AR$404),IF($AD139="B",SUMIF($AN$5:$AN$404,$AQ139,$AR$5:$AR$404),""))))</f>
        <v/>
      </c>
      <c r="F139" s="32">
        <f>IF($AD139="Z",ROUND(SUM($AS$5:$AS$404),2),IF($AD139="D",INDEX($AS$5:$AS$404,$AC139),IF($AD139="T",ROUND(SUMIF($X$5:$X$404,$AF139,$AS$5:$AS$404),2),IF($AD139="B",ROUND(SUMIF($AN$5:$AN$404,$AQ139,$AS$5:$AS$404),2),""))))</f>
        <v/>
      </c>
      <c r="G139" s="32">
        <f>IF($AD139&lt;&gt;"D","",INDEX($AT$5:$AT$404,$AC139))</f>
        <v/>
      </c>
      <c r="H139" s="32">
        <f>IF($AD139&lt;&gt;"D","",INDEX($BC$5:$BC$404,$AC139))</f>
        <v/>
      </c>
      <c r="I139" s="32">
        <f>IF($AD139&lt;&gt;"D","",INDEX($BD$5:$BD$404,$AC139))</f>
        <v/>
      </c>
      <c r="J139" s="46">
        <f>IF($AD139&lt;&gt;"D","",IF(N($B139)=0,"",ROUND($I139/$B139,4)))</f>
        <v/>
      </c>
      <c r="K139" s="32">
        <f>IF($AD139="Z",ROUND(SUM($AU$5:$AU$404),2),IF($AD139="D",INDEX($AU$5:$AU$404,$AC139),IF($AD139="T",ROUND(SUMIF($X$5:$X$404,$AF139,$AU$5:$AU$404),2),IF($AD139="B",ROUND(SUMIF($AN$5:$AN$404,$AQ139,$AU$5:$AU$404),2),""))))</f>
        <v/>
      </c>
      <c r="L139" s="32">
        <f>IF($AD139="Z",ROUND(SUM($AV$5:$AV$404),2),IF($AD139="D",INDEX($AV$5:$AV$404,$AC139),IF($AD139="T",ROUND(SUMIF($X$5:$X$404,$AF139,$AV$5:$AV$404),2),IF($AD139="B",ROUND(SUMIF($AN$5:$AN$404,$AQ139,$AV$5:$AV$404),2),""))))</f>
        <v/>
      </c>
      <c r="M139" s="32">
        <f>IF($AD139="Z",ROUND(SUM($AJ$5:$AJ$704),2),IF($AD139="B",ROUND(SUMIF($AQ$5:$AQ$704,$AQ139,$AJ$5:$AJ$704),2),IF($AD139&lt;&gt;"T","",$AJ139)))</f>
        <v/>
      </c>
      <c r="N139" s="32">
        <f>IF(OR($AD139="D",$AD139="T",$AD139="B",$AD139="Z"),ROUND(N($K139)-N($L139)-N($M139),2),"")</f>
        <v/>
      </c>
      <c r="O139" s="32">
        <f>IF(OR($AD139="D",$AD139="T",$AD139="B",$AD139="Z"),IF(N($E139)=0,"",ROUND($F139/$E139,2)),"")</f>
        <v/>
      </c>
      <c r="Q139">
        <f>IFERROR(MATCH(135,บันทึกรายเที่ยว!$Z$6:$Z$6005,0),"")</f>
        <v/>
      </c>
      <c r="R139">
        <f>IF($Q139="","",INDEX(บันทึกรายเที่ยว!$V$6:$V$6005,$Q139))</f>
        <v/>
      </c>
      <c r="S139">
        <f>IF($Q139="","",INDEX(บันทึกรายเที่ยว!$F$6:$F$6005,$Q139))</f>
        <v/>
      </c>
      <c r="T139">
        <f>IF($Q139="","",MATCH($S139,บันทึกรายเที่ยว!$F$6:$F$6005,0))</f>
        <v/>
      </c>
      <c r="U139">
        <f>IF($Q139="","",$AL139*10000000+$T139*1000+135)</f>
        <v/>
      </c>
      <c r="V139">
        <f>IFERROR(MATCH(SMALL($U$5:$U$404,135),$U$5:$U$404,0),"")</f>
        <v/>
      </c>
      <c r="W139">
        <f>IF($V139="","",INDEX($Q$5:$Q$404,$V139))</f>
        <v/>
      </c>
      <c r="X139">
        <f>IF($V139="","",INDEX($S$5:$S$404,$V139))</f>
        <v/>
      </c>
      <c r="Y139">
        <f>IF($V139="","",INDEX($R$5:$R$404,$V139))</f>
        <v/>
      </c>
      <c r="Z139">
        <f>IF($V139="",0,IF($X139&lt;&gt;$X138,1,0))</f>
        <v/>
      </c>
      <c r="AA139">
        <f>IF($V139="",0,IF($V140="",1,IF($X140&lt;&gt;$X139,1,0)))</f>
        <v/>
      </c>
      <c r="AB139">
        <f>IF($V139="",99999+135,$AB138+1+$Z138+$AA138+$AO138)</f>
        <v/>
      </c>
      <c r="AC139">
        <f>IFERROR(MATCH(135,$AB$5:$AB$404,1),"")</f>
        <v/>
      </c>
      <c r="AD139">
        <f>IF(135=$AI$1+1,"Z",IF($AC139="","",IF(INDEX($V$5:$V$404,$AC139)="","",IF(135&gt;INDEX($AB$5:$AB$404,$AC139)+INDEX($Z$5:$Z$404,$AC139)+INDEX($AA$5:$AA$404,$AC139)+INDEX($AO$5:$AO$404,$AC139),"",IF(135=INDEX($AB$5:$AB$404,$AC139)+INDEX($Z$5:$Z$404,$AC139),"D",IF(AND(INDEX($Z$5:$Z$404,$AC139)=1,135=INDEX($AB$5:$AB$404,$AC139)),"H",IF(AND(INDEX($AO$5:$AO$404,$AC139)=1,135=INDEX($AB$5:$AB$404,$AC139)+INDEX($Z$5:$Z$404,$AC139)+INDEX($AA$5:$AA$404,$AC139)+INDEX($AO$5:$AO$404,$AC139)),"B","T")))))))</f>
        <v/>
      </c>
      <c r="AF139">
        <f>IF(OR($AD139="",$AD139="Z",$AD139="B"),"",INDEX($X$5:$X$404,$AC139))</f>
        <v/>
      </c>
      <c r="AJ139">
        <f>IF($AD139&lt;&gt;"T",0,ROUND(SUMIF(oil!$B$4:$B$63,$AF139,oil!$AE$4:$AE$63),2))</f>
        <v/>
      </c>
      <c r="AK139">
        <f>IF($S139="","",IFERROR(INDEX(อัตราค่าขนส่ง!$P$5:$P$54,MATCH($S139,อัตราค่าขนส่ง!$O$5:$O$54,0)),INDEX(รายการมาตรฐาน!$G$2:$G$3,1)))</f>
        <v/>
      </c>
      <c r="AL139">
        <f>IF($S139="","",IFERROR(MATCH($AK139,รายการมาตรฐาน!$G$2:$G$3,0),1))</f>
        <v/>
      </c>
      <c r="AM139">
        <f>IF($V139="","",INDEX($AK$5:$AK$404,$V139))</f>
        <v/>
      </c>
      <c r="AN139">
        <f>IF($V139="","",INDEX($AL$5:$AL$404,$V139))</f>
        <v/>
      </c>
      <c r="AO139">
        <f>IF(OR($V139="",$AI$2&lt;=1),0,IF($V140="",1,IF($AN140&lt;&gt;$AN139,1,0)))</f>
        <v/>
      </c>
      <c r="AP139">
        <f>IF($V139="",0,IF($AN139&lt;&gt;$AN138,1,0))</f>
        <v/>
      </c>
      <c r="AQ139">
        <f>IF(OR($AD139="",$AD139="Z"),"",INDEX($AN$5:$AN$404,$AC139))</f>
        <v/>
      </c>
      <c r="AR139">
        <f>IF($Y139="",0,COUNTIF(บันทึกรายเที่ยว!$V$6:$V$6005,$Y139))</f>
        <v/>
      </c>
      <c r="AS139">
        <f>IF($Y139="",0,ROUND(SUMIF(บันทึกรายเที่ยว!$V$6:$V$6005,$Y139,บันทึกรายเที่ยว!$M$6:$M$6005),2))</f>
        <v/>
      </c>
      <c r="AT139">
        <f>IF($Y139="",0,IFERROR(INDEX(อัตราค่าขนส่ง!$G$5:$G$204,MATCH($Y139,อัตราค่าขนส่ง!$M$5:$M$204,0)),0))</f>
        <v/>
      </c>
      <c r="AU139">
        <f>ROUND($AS139*$BD139,2)</f>
        <v/>
      </c>
      <c r="AV139">
        <f>ROUND($AU139*$BF$2/100,2)</f>
        <v/>
      </c>
      <c r="AW139">
        <f>IF($Y139="","",IFERROR(INDEX(อัตราค่าขนส่ง!$F$5:$F$204,MATCH($Y139,อัตราค่าขนส่ง!$M$5:$M$204,0)),""))</f>
        <v/>
      </c>
      <c r="AX139">
        <f>IF($W139="","",INDEX(บันทึกรายเที่ยว!$D$6:$D$6005,$W139))</f>
        <v/>
      </c>
      <c r="AY139">
        <f>IF($W139="","",INDEX(บันทึกรายเที่ยว!$R$6:$R$6005,$W139))</f>
        <v/>
      </c>
      <c r="AZ139">
        <f>IF(AND($AD139="T",$AQ139=1),N($AZ138)+1,N($AZ138))</f>
        <v/>
      </c>
      <c r="BA139">
        <f>IF($W139="","",INDEX(บันทึกรายเที่ยว!$E$6:$E$6005,$W139))</f>
        <v/>
      </c>
      <c r="BC139">
        <f>IF($Y139="",0,IFERROR(INDEX(อัตราค่าขนส่ง!$K$5:$K$204,MATCH($Y139,อัตราค่าขนส่ง!$M$5:$M$204,0)),0))</f>
        <v/>
      </c>
      <c r="BD139">
        <f>IF($Y139="",0,IFERROR(INDEX(อัตราค่าขนส่ง!$L$5:$L$204,MATCH($Y139,อัตราค่าขนส่ง!$M$5:$M$204,0)),0))</f>
        <v/>
      </c>
    </row>
    <row r="140" ht="21" customHeight="1" s="66">
      <c r="A140" s="69">
        <f>IF($AD140="","",IF($AD140="Z","รวมจ่ายทั้งสิ้น",IF($AD140="H",INDEX($X$5:$X$404,$AC140),IF($AD140="T","รวม",IF($AD140="B",IFERROR(INDEX(อัตราค่าขนส่ง!$S$5:$S$14,MATCH(INDEX($AM$5:$AM$404,$AC140),อัตราค่าขนส่ง!$R$5:$R$14,0)),"รวมกลุ่ม "&amp;INDEX($AM$5:$AM$404,$AC140)),INDEX($AY$5:$AY$404,$AC140))))))</f>
        <v/>
      </c>
      <c r="B140" s="31">
        <f>IF($AD140&lt;&gt;"D","",INDEX($AW$5:$AW$404,$AC140))</f>
        <v/>
      </c>
      <c r="C140" s="68">
        <f>IF($AD140&lt;&gt;"D","",INDEX($AX$5:$AX$404,$AC140))</f>
        <v/>
      </c>
      <c r="D140" s="70">
        <f>IF($AD140&lt;&gt;"D","",INDEX($BA$5:$BA$404,$AC140))</f>
        <v/>
      </c>
      <c r="E140" s="31">
        <f>IF($AD140="Z",SUM($AR$5:$AR$404),IF($AD140="D",INDEX($AR$5:$AR$404,$AC140),IF($AD140="T",SUMIF($X$5:$X$404,$AF140,$AR$5:$AR$404),IF($AD140="B",SUMIF($AN$5:$AN$404,$AQ140,$AR$5:$AR$404),""))))</f>
        <v/>
      </c>
      <c r="F140" s="32">
        <f>IF($AD140="Z",ROUND(SUM($AS$5:$AS$404),2),IF($AD140="D",INDEX($AS$5:$AS$404,$AC140),IF($AD140="T",ROUND(SUMIF($X$5:$X$404,$AF140,$AS$5:$AS$404),2),IF($AD140="B",ROUND(SUMIF($AN$5:$AN$404,$AQ140,$AS$5:$AS$404),2),""))))</f>
        <v/>
      </c>
      <c r="G140" s="32">
        <f>IF($AD140&lt;&gt;"D","",INDEX($AT$5:$AT$404,$AC140))</f>
        <v/>
      </c>
      <c r="H140" s="32">
        <f>IF($AD140&lt;&gt;"D","",INDEX($BC$5:$BC$404,$AC140))</f>
        <v/>
      </c>
      <c r="I140" s="32">
        <f>IF($AD140&lt;&gt;"D","",INDEX($BD$5:$BD$404,$AC140))</f>
        <v/>
      </c>
      <c r="J140" s="46">
        <f>IF($AD140&lt;&gt;"D","",IF(N($B140)=0,"",ROUND($I140/$B140,4)))</f>
        <v/>
      </c>
      <c r="K140" s="32">
        <f>IF($AD140="Z",ROUND(SUM($AU$5:$AU$404),2),IF($AD140="D",INDEX($AU$5:$AU$404,$AC140),IF($AD140="T",ROUND(SUMIF($X$5:$X$404,$AF140,$AU$5:$AU$404),2),IF($AD140="B",ROUND(SUMIF($AN$5:$AN$404,$AQ140,$AU$5:$AU$404),2),""))))</f>
        <v/>
      </c>
      <c r="L140" s="32">
        <f>IF($AD140="Z",ROUND(SUM($AV$5:$AV$404),2),IF($AD140="D",INDEX($AV$5:$AV$404,$AC140),IF($AD140="T",ROUND(SUMIF($X$5:$X$404,$AF140,$AV$5:$AV$404),2),IF($AD140="B",ROUND(SUMIF($AN$5:$AN$404,$AQ140,$AV$5:$AV$404),2),""))))</f>
        <v/>
      </c>
      <c r="M140" s="32">
        <f>IF($AD140="Z",ROUND(SUM($AJ$5:$AJ$704),2),IF($AD140="B",ROUND(SUMIF($AQ$5:$AQ$704,$AQ140,$AJ$5:$AJ$704),2),IF($AD140&lt;&gt;"T","",$AJ140)))</f>
        <v/>
      </c>
      <c r="N140" s="32">
        <f>IF(OR($AD140="D",$AD140="T",$AD140="B",$AD140="Z"),ROUND(N($K140)-N($L140)-N($M140),2),"")</f>
        <v/>
      </c>
      <c r="O140" s="32">
        <f>IF(OR($AD140="D",$AD140="T",$AD140="B",$AD140="Z"),IF(N($E140)=0,"",ROUND($F140/$E140,2)),"")</f>
        <v/>
      </c>
      <c r="Q140">
        <f>IFERROR(MATCH(136,บันทึกรายเที่ยว!$Z$6:$Z$6005,0),"")</f>
        <v/>
      </c>
      <c r="R140">
        <f>IF($Q140="","",INDEX(บันทึกรายเที่ยว!$V$6:$V$6005,$Q140))</f>
        <v/>
      </c>
      <c r="S140">
        <f>IF($Q140="","",INDEX(บันทึกรายเที่ยว!$F$6:$F$6005,$Q140))</f>
        <v/>
      </c>
      <c r="T140">
        <f>IF($Q140="","",MATCH($S140,บันทึกรายเที่ยว!$F$6:$F$6005,0))</f>
        <v/>
      </c>
      <c r="U140">
        <f>IF($Q140="","",$AL140*10000000+$T140*1000+136)</f>
        <v/>
      </c>
      <c r="V140">
        <f>IFERROR(MATCH(SMALL($U$5:$U$404,136),$U$5:$U$404,0),"")</f>
        <v/>
      </c>
      <c r="W140">
        <f>IF($V140="","",INDEX($Q$5:$Q$404,$V140))</f>
        <v/>
      </c>
      <c r="X140">
        <f>IF($V140="","",INDEX($S$5:$S$404,$V140))</f>
        <v/>
      </c>
      <c r="Y140">
        <f>IF($V140="","",INDEX($R$5:$R$404,$V140))</f>
        <v/>
      </c>
      <c r="Z140">
        <f>IF($V140="",0,IF($X140&lt;&gt;$X139,1,0))</f>
        <v/>
      </c>
      <c r="AA140">
        <f>IF($V140="",0,IF($V141="",1,IF($X141&lt;&gt;$X140,1,0)))</f>
        <v/>
      </c>
      <c r="AB140">
        <f>IF($V140="",99999+136,$AB139+1+$Z139+$AA139+$AO139)</f>
        <v/>
      </c>
      <c r="AC140">
        <f>IFERROR(MATCH(136,$AB$5:$AB$404,1),"")</f>
        <v/>
      </c>
      <c r="AD140">
        <f>IF(136=$AI$1+1,"Z",IF($AC140="","",IF(INDEX($V$5:$V$404,$AC140)="","",IF(136&gt;INDEX($AB$5:$AB$404,$AC140)+INDEX($Z$5:$Z$404,$AC140)+INDEX($AA$5:$AA$404,$AC140)+INDEX($AO$5:$AO$404,$AC140),"",IF(136=INDEX($AB$5:$AB$404,$AC140)+INDEX($Z$5:$Z$404,$AC140),"D",IF(AND(INDEX($Z$5:$Z$404,$AC140)=1,136=INDEX($AB$5:$AB$404,$AC140)),"H",IF(AND(INDEX($AO$5:$AO$404,$AC140)=1,136=INDEX($AB$5:$AB$404,$AC140)+INDEX($Z$5:$Z$404,$AC140)+INDEX($AA$5:$AA$404,$AC140)+INDEX($AO$5:$AO$404,$AC140)),"B","T")))))))</f>
        <v/>
      </c>
      <c r="AF140">
        <f>IF(OR($AD140="",$AD140="Z",$AD140="B"),"",INDEX($X$5:$X$404,$AC140))</f>
        <v/>
      </c>
      <c r="AJ140">
        <f>IF($AD140&lt;&gt;"T",0,ROUND(SUMIF(oil!$B$4:$B$63,$AF140,oil!$AE$4:$AE$63),2))</f>
        <v/>
      </c>
      <c r="AK140">
        <f>IF($S140="","",IFERROR(INDEX(อัตราค่าขนส่ง!$P$5:$P$54,MATCH($S140,อัตราค่าขนส่ง!$O$5:$O$54,0)),INDEX(รายการมาตรฐาน!$G$2:$G$3,1)))</f>
        <v/>
      </c>
      <c r="AL140">
        <f>IF($S140="","",IFERROR(MATCH($AK140,รายการมาตรฐาน!$G$2:$G$3,0),1))</f>
        <v/>
      </c>
      <c r="AM140">
        <f>IF($V140="","",INDEX($AK$5:$AK$404,$V140))</f>
        <v/>
      </c>
      <c r="AN140">
        <f>IF($V140="","",INDEX($AL$5:$AL$404,$V140))</f>
        <v/>
      </c>
      <c r="AO140">
        <f>IF(OR($V140="",$AI$2&lt;=1),0,IF($V141="",1,IF($AN141&lt;&gt;$AN140,1,0)))</f>
        <v/>
      </c>
      <c r="AP140">
        <f>IF($V140="",0,IF($AN140&lt;&gt;$AN139,1,0))</f>
        <v/>
      </c>
      <c r="AQ140">
        <f>IF(OR($AD140="",$AD140="Z"),"",INDEX($AN$5:$AN$404,$AC140))</f>
        <v/>
      </c>
      <c r="AR140">
        <f>IF($Y140="",0,COUNTIF(บันทึกรายเที่ยว!$V$6:$V$6005,$Y140))</f>
        <v/>
      </c>
      <c r="AS140">
        <f>IF($Y140="",0,ROUND(SUMIF(บันทึกรายเที่ยว!$V$6:$V$6005,$Y140,บันทึกรายเที่ยว!$M$6:$M$6005),2))</f>
        <v/>
      </c>
      <c r="AT140">
        <f>IF($Y140="",0,IFERROR(INDEX(อัตราค่าขนส่ง!$G$5:$G$204,MATCH($Y140,อัตราค่าขนส่ง!$M$5:$M$204,0)),0))</f>
        <v/>
      </c>
      <c r="AU140">
        <f>ROUND($AS140*$BD140,2)</f>
        <v/>
      </c>
      <c r="AV140">
        <f>ROUND($AU140*$BF$2/100,2)</f>
        <v/>
      </c>
      <c r="AW140">
        <f>IF($Y140="","",IFERROR(INDEX(อัตราค่าขนส่ง!$F$5:$F$204,MATCH($Y140,อัตราค่าขนส่ง!$M$5:$M$204,0)),""))</f>
        <v/>
      </c>
      <c r="AX140">
        <f>IF($W140="","",INDEX(บันทึกรายเที่ยว!$D$6:$D$6005,$W140))</f>
        <v/>
      </c>
      <c r="AY140">
        <f>IF($W140="","",INDEX(บันทึกรายเที่ยว!$R$6:$R$6005,$W140))</f>
        <v/>
      </c>
      <c r="AZ140">
        <f>IF(AND($AD140="T",$AQ140=1),N($AZ139)+1,N($AZ139))</f>
        <v/>
      </c>
      <c r="BA140">
        <f>IF($W140="","",INDEX(บันทึกรายเที่ยว!$E$6:$E$6005,$W140))</f>
        <v/>
      </c>
      <c r="BC140">
        <f>IF($Y140="",0,IFERROR(INDEX(อัตราค่าขนส่ง!$K$5:$K$204,MATCH($Y140,อัตราค่าขนส่ง!$M$5:$M$204,0)),0))</f>
        <v/>
      </c>
      <c r="BD140">
        <f>IF($Y140="",0,IFERROR(INDEX(อัตราค่าขนส่ง!$L$5:$L$204,MATCH($Y140,อัตราค่าขนส่ง!$M$5:$M$204,0)),0))</f>
        <v/>
      </c>
    </row>
    <row r="141" ht="21" customHeight="1" s="66">
      <c r="A141" s="69">
        <f>IF($AD141="","",IF($AD141="Z","รวมจ่ายทั้งสิ้น",IF($AD141="H",INDEX($X$5:$X$404,$AC141),IF($AD141="T","รวม",IF($AD141="B",IFERROR(INDEX(อัตราค่าขนส่ง!$S$5:$S$14,MATCH(INDEX($AM$5:$AM$404,$AC141),อัตราค่าขนส่ง!$R$5:$R$14,0)),"รวมกลุ่ม "&amp;INDEX($AM$5:$AM$404,$AC141)),INDEX($AY$5:$AY$404,$AC141))))))</f>
        <v/>
      </c>
      <c r="B141" s="31">
        <f>IF($AD141&lt;&gt;"D","",INDEX($AW$5:$AW$404,$AC141))</f>
        <v/>
      </c>
      <c r="C141" s="68">
        <f>IF($AD141&lt;&gt;"D","",INDEX($AX$5:$AX$404,$AC141))</f>
        <v/>
      </c>
      <c r="D141" s="70">
        <f>IF($AD141&lt;&gt;"D","",INDEX($BA$5:$BA$404,$AC141))</f>
        <v/>
      </c>
      <c r="E141" s="31">
        <f>IF($AD141="Z",SUM($AR$5:$AR$404),IF($AD141="D",INDEX($AR$5:$AR$404,$AC141),IF($AD141="T",SUMIF($X$5:$X$404,$AF141,$AR$5:$AR$404),IF($AD141="B",SUMIF($AN$5:$AN$404,$AQ141,$AR$5:$AR$404),""))))</f>
        <v/>
      </c>
      <c r="F141" s="32">
        <f>IF($AD141="Z",ROUND(SUM($AS$5:$AS$404),2),IF($AD141="D",INDEX($AS$5:$AS$404,$AC141),IF($AD141="T",ROUND(SUMIF($X$5:$X$404,$AF141,$AS$5:$AS$404),2),IF($AD141="B",ROUND(SUMIF($AN$5:$AN$404,$AQ141,$AS$5:$AS$404),2),""))))</f>
        <v/>
      </c>
      <c r="G141" s="32">
        <f>IF($AD141&lt;&gt;"D","",INDEX($AT$5:$AT$404,$AC141))</f>
        <v/>
      </c>
      <c r="H141" s="32">
        <f>IF($AD141&lt;&gt;"D","",INDEX($BC$5:$BC$404,$AC141))</f>
        <v/>
      </c>
      <c r="I141" s="32">
        <f>IF($AD141&lt;&gt;"D","",INDEX($BD$5:$BD$404,$AC141))</f>
        <v/>
      </c>
      <c r="J141" s="46">
        <f>IF($AD141&lt;&gt;"D","",IF(N($B141)=0,"",ROUND($I141/$B141,4)))</f>
        <v/>
      </c>
      <c r="K141" s="32">
        <f>IF($AD141="Z",ROUND(SUM($AU$5:$AU$404),2),IF($AD141="D",INDEX($AU$5:$AU$404,$AC141),IF($AD141="T",ROUND(SUMIF($X$5:$X$404,$AF141,$AU$5:$AU$404),2),IF($AD141="B",ROUND(SUMIF($AN$5:$AN$404,$AQ141,$AU$5:$AU$404),2),""))))</f>
        <v/>
      </c>
      <c r="L141" s="32">
        <f>IF($AD141="Z",ROUND(SUM($AV$5:$AV$404),2),IF($AD141="D",INDEX($AV$5:$AV$404,$AC141),IF($AD141="T",ROUND(SUMIF($X$5:$X$404,$AF141,$AV$5:$AV$404),2),IF($AD141="B",ROUND(SUMIF($AN$5:$AN$404,$AQ141,$AV$5:$AV$404),2),""))))</f>
        <v/>
      </c>
      <c r="M141" s="32">
        <f>IF($AD141="Z",ROUND(SUM($AJ$5:$AJ$704),2),IF($AD141="B",ROUND(SUMIF($AQ$5:$AQ$704,$AQ141,$AJ$5:$AJ$704),2),IF($AD141&lt;&gt;"T","",$AJ141)))</f>
        <v/>
      </c>
      <c r="N141" s="32">
        <f>IF(OR($AD141="D",$AD141="T",$AD141="B",$AD141="Z"),ROUND(N($K141)-N($L141)-N($M141),2),"")</f>
        <v/>
      </c>
      <c r="O141" s="32">
        <f>IF(OR($AD141="D",$AD141="T",$AD141="B",$AD141="Z"),IF(N($E141)=0,"",ROUND($F141/$E141,2)),"")</f>
        <v/>
      </c>
      <c r="Q141">
        <f>IFERROR(MATCH(137,บันทึกรายเที่ยว!$Z$6:$Z$6005,0),"")</f>
        <v/>
      </c>
      <c r="R141">
        <f>IF($Q141="","",INDEX(บันทึกรายเที่ยว!$V$6:$V$6005,$Q141))</f>
        <v/>
      </c>
      <c r="S141">
        <f>IF($Q141="","",INDEX(บันทึกรายเที่ยว!$F$6:$F$6005,$Q141))</f>
        <v/>
      </c>
      <c r="T141">
        <f>IF($Q141="","",MATCH($S141,บันทึกรายเที่ยว!$F$6:$F$6005,0))</f>
        <v/>
      </c>
      <c r="U141">
        <f>IF($Q141="","",$AL141*10000000+$T141*1000+137)</f>
        <v/>
      </c>
      <c r="V141">
        <f>IFERROR(MATCH(SMALL($U$5:$U$404,137),$U$5:$U$404,0),"")</f>
        <v/>
      </c>
      <c r="W141">
        <f>IF($V141="","",INDEX($Q$5:$Q$404,$V141))</f>
        <v/>
      </c>
      <c r="X141">
        <f>IF($V141="","",INDEX($S$5:$S$404,$V141))</f>
        <v/>
      </c>
      <c r="Y141">
        <f>IF($V141="","",INDEX($R$5:$R$404,$V141))</f>
        <v/>
      </c>
      <c r="Z141">
        <f>IF($V141="",0,IF($X141&lt;&gt;$X140,1,0))</f>
        <v/>
      </c>
      <c r="AA141">
        <f>IF($V141="",0,IF($V142="",1,IF($X142&lt;&gt;$X141,1,0)))</f>
        <v/>
      </c>
      <c r="AB141">
        <f>IF($V141="",99999+137,$AB140+1+$Z140+$AA140+$AO140)</f>
        <v/>
      </c>
      <c r="AC141">
        <f>IFERROR(MATCH(137,$AB$5:$AB$404,1),"")</f>
        <v/>
      </c>
      <c r="AD141">
        <f>IF(137=$AI$1+1,"Z",IF($AC141="","",IF(INDEX($V$5:$V$404,$AC141)="","",IF(137&gt;INDEX($AB$5:$AB$404,$AC141)+INDEX($Z$5:$Z$404,$AC141)+INDEX($AA$5:$AA$404,$AC141)+INDEX($AO$5:$AO$404,$AC141),"",IF(137=INDEX($AB$5:$AB$404,$AC141)+INDEX($Z$5:$Z$404,$AC141),"D",IF(AND(INDEX($Z$5:$Z$404,$AC141)=1,137=INDEX($AB$5:$AB$404,$AC141)),"H",IF(AND(INDEX($AO$5:$AO$404,$AC141)=1,137=INDEX($AB$5:$AB$404,$AC141)+INDEX($Z$5:$Z$404,$AC141)+INDEX($AA$5:$AA$404,$AC141)+INDEX($AO$5:$AO$404,$AC141)),"B","T")))))))</f>
        <v/>
      </c>
      <c r="AF141">
        <f>IF(OR($AD141="",$AD141="Z",$AD141="B"),"",INDEX($X$5:$X$404,$AC141))</f>
        <v/>
      </c>
      <c r="AJ141">
        <f>IF($AD141&lt;&gt;"T",0,ROUND(SUMIF(oil!$B$4:$B$63,$AF141,oil!$AE$4:$AE$63),2))</f>
        <v/>
      </c>
      <c r="AK141">
        <f>IF($S141="","",IFERROR(INDEX(อัตราค่าขนส่ง!$P$5:$P$54,MATCH($S141,อัตราค่าขนส่ง!$O$5:$O$54,0)),INDEX(รายการมาตรฐาน!$G$2:$G$3,1)))</f>
        <v/>
      </c>
      <c r="AL141">
        <f>IF($S141="","",IFERROR(MATCH($AK141,รายการมาตรฐาน!$G$2:$G$3,0),1))</f>
        <v/>
      </c>
      <c r="AM141">
        <f>IF($V141="","",INDEX($AK$5:$AK$404,$V141))</f>
        <v/>
      </c>
      <c r="AN141">
        <f>IF($V141="","",INDEX($AL$5:$AL$404,$V141))</f>
        <v/>
      </c>
      <c r="AO141">
        <f>IF(OR($V141="",$AI$2&lt;=1),0,IF($V142="",1,IF($AN142&lt;&gt;$AN141,1,0)))</f>
        <v/>
      </c>
      <c r="AP141">
        <f>IF($V141="",0,IF($AN141&lt;&gt;$AN140,1,0))</f>
        <v/>
      </c>
      <c r="AQ141">
        <f>IF(OR($AD141="",$AD141="Z"),"",INDEX($AN$5:$AN$404,$AC141))</f>
        <v/>
      </c>
      <c r="AR141">
        <f>IF($Y141="",0,COUNTIF(บันทึกรายเที่ยว!$V$6:$V$6005,$Y141))</f>
        <v/>
      </c>
      <c r="AS141">
        <f>IF($Y141="",0,ROUND(SUMIF(บันทึกรายเที่ยว!$V$6:$V$6005,$Y141,บันทึกรายเที่ยว!$M$6:$M$6005),2))</f>
        <v/>
      </c>
      <c r="AT141">
        <f>IF($Y141="",0,IFERROR(INDEX(อัตราค่าขนส่ง!$G$5:$G$204,MATCH($Y141,อัตราค่าขนส่ง!$M$5:$M$204,0)),0))</f>
        <v/>
      </c>
      <c r="AU141">
        <f>ROUND($AS141*$BD141,2)</f>
        <v/>
      </c>
      <c r="AV141">
        <f>ROUND($AU141*$BF$2/100,2)</f>
        <v/>
      </c>
      <c r="AW141">
        <f>IF($Y141="","",IFERROR(INDEX(อัตราค่าขนส่ง!$F$5:$F$204,MATCH($Y141,อัตราค่าขนส่ง!$M$5:$M$204,0)),""))</f>
        <v/>
      </c>
      <c r="AX141">
        <f>IF($W141="","",INDEX(บันทึกรายเที่ยว!$D$6:$D$6005,$W141))</f>
        <v/>
      </c>
      <c r="AY141">
        <f>IF($W141="","",INDEX(บันทึกรายเที่ยว!$R$6:$R$6005,$W141))</f>
        <v/>
      </c>
      <c r="AZ141">
        <f>IF(AND($AD141="T",$AQ141=1),N($AZ140)+1,N($AZ140))</f>
        <v/>
      </c>
      <c r="BA141">
        <f>IF($W141="","",INDEX(บันทึกรายเที่ยว!$E$6:$E$6005,$W141))</f>
        <v/>
      </c>
      <c r="BC141">
        <f>IF($Y141="",0,IFERROR(INDEX(อัตราค่าขนส่ง!$K$5:$K$204,MATCH($Y141,อัตราค่าขนส่ง!$M$5:$M$204,0)),0))</f>
        <v/>
      </c>
      <c r="BD141">
        <f>IF($Y141="",0,IFERROR(INDEX(อัตราค่าขนส่ง!$L$5:$L$204,MATCH($Y141,อัตราค่าขนส่ง!$M$5:$M$204,0)),0))</f>
        <v/>
      </c>
    </row>
    <row r="142" ht="21" customHeight="1" s="66">
      <c r="A142" s="69">
        <f>IF($AD142="","",IF($AD142="Z","รวมจ่ายทั้งสิ้น",IF($AD142="H",INDEX($X$5:$X$404,$AC142),IF($AD142="T","รวม",IF($AD142="B",IFERROR(INDEX(อัตราค่าขนส่ง!$S$5:$S$14,MATCH(INDEX($AM$5:$AM$404,$AC142),อัตราค่าขนส่ง!$R$5:$R$14,0)),"รวมกลุ่ม "&amp;INDEX($AM$5:$AM$404,$AC142)),INDEX($AY$5:$AY$404,$AC142))))))</f>
        <v/>
      </c>
      <c r="B142" s="31">
        <f>IF($AD142&lt;&gt;"D","",INDEX($AW$5:$AW$404,$AC142))</f>
        <v/>
      </c>
      <c r="C142" s="68">
        <f>IF($AD142&lt;&gt;"D","",INDEX($AX$5:$AX$404,$AC142))</f>
        <v/>
      </c>
      <c r="D142" s="70">
        <f>IF($AD142&lt;&gt;"D","",INDEX($BA$5:$BA$404,$AC142))</f>
        <v/>
      </c>
      <c r="E142" s="31">
        <f>IF($AD142="Z",SUM($AR$5:$AR$404),IF($AD142="D",INDEX($AR$5:$AR$404,$AC142),IF($AD142="T",SUMIF($X$5:$X$404,$AF142,$AR$5:$AR$404),IF($AD142="B",SUMIF($AN$5:$AN$404,$AQ142,$AR$5:$AR$404),""))))</f>
        <v/>
      </c>
      <c r="F142" s="32">
        <f>IF($AD142="Z",ROUND(SUM($AS$5:$AS$404),2),IF($AD142="D",INDEX($AS$5:$AS$404,$AC142),IF($AD142="T",ROUND(SUMIF($X$5:$X$404,$AF142,$AS$5:$AS$404),2),IF($AD142="B",ROUND(SUMIF($AN$5:$AN$404,$AQ142,$AS$5:$AS$404),2),""))))</f>
        <v/>
      </c>
      <c r="G142" s="32">
        <f>IF($AD142&lt;&gt;"D","",INDEX($AT$5:$AT$404,$AC142))</f>
        <v/>
      </c>
      <c r="H142" s="32">
        <f>IF($AD142&lt;&gt;"D","",INDEX($BC$5:$BC$404,$AC142))</f>
        <v/>
      </c>
      <c r="I142" s="32">
        <f>IF($AD142&lt;&gt;"D","",INDEX($BD$5:$BD$404,$AC142))</f>
        <v/>
      </c>
      <c r="J142" s="46">
        <f>IF($AD142&lt;&gt;"D","",IF(N($B142)=0,"",ROUND($I142/$B142,4)))</f>
        <v/>
      </c>
      <c r="K142" s="32">
        <f>IF($AD142="Z",ROUND(SUM($AU$5:$AU$404),2),IF($AD142="D",INDEX($AU$5:$AU$404,$AC142),IF($AD142="T",ROUND(SUMIF($X$5:$X$404,$AF142,$AU$5:$AU$404),2),IF($AD142="B",ROUND(SUMIF($AN$5:$AN$404,$AQ142,$AU$5:$AU$404),2),""))))</f>
        <v/>
      </c>
      <c r="L142" s="32">
        <f>IF($AD142="Z",ROUND(SUM($AV$5:$AV$404),2),IF($AD142="D",INDEX($AV$5:$AV$404,$AC142),IF($AD142="T",ROUND(SUMIF($X$5:$X$404,$AF142,$AV$5:$AV$404),2),IF($AD142="B",ROUND(SUMIF($AN$5:$AN$404,$AQ142,$AV$5:$AV$404),2),""))))</f>
        <v/>
      </c>
      <c r="M142" s="32">
        <f>IF($AD142="Z",ROUND(SUM($AJ$5:$AJ$704),2),IF($AD142="B",ROUND(SUMIF($AQ$5:$AQ$704,$AQ142,$AJ$5:$AJ$704),2),IF($AD142&lt;&gt;"T","",$AJ142)))</f>
        <v/>
      </c>
      <c r="N142" s="32">
        <f>IF(OR($AD142="D",$AD142="T",$AD142="B",$AD142="Z"),ROUND(N($K142)-N($L142)-N($M142),2),"")</f>
        <v/>
      </c>
      <c r="O142" s="32">
        <f>IF(OR($AD142="D",$AD142="T",$AD142="B",$AD142="Z"),IF(N($E142)=0,"",ROUND($F142/$E142,2)),"")</f>
        <v/>
      </c>
      <c r="Q142">
        <f>IFERROR(MATCH(138,บันทึกรายเที่ยว!$Z$6:$Z$6005,0),"")</f>
        <v/>
      </c>
      <c r="R142">
        <f>IF($Q142="","",INDEX(บันทึกรายเที่ยว!$V$6:$V$6005,$Q142))</f>
        <v/>
      </c>
      <c r="S142">
        <f>IF($Q142="","",INDEX(บันทึกรายเที่ยว!$F$6:$F$6005,$Q142))</f>
        <v/>
      </c>
      <c r="T142">
        <f>IF($Q142="","",MATCH($S142,บันทึกรายเที่ยว!$F$6:$F$6005,0))</f>
        <v/>
      </c>
      <c r="U142">
        <f>IF($Q142="","",$AL142*10000000+$T142*1000+138)</f>
        <v/>
      </c>
      <c r="V142">
        <f>IFERROR(MATCH(SMALL($U$5:$U$404,138),$U$5:$U$404,0),"")</f>
        <v/>
      </c>
      <c r="W142">
        <f>IF($V142="","",INDEX($Q$5:$Q$404,$V142))</f>
        <v/>
      </c>
      <c r="X142">
        <f>IF($V142="","",INDEX($S$5:$S$404,$V142))</f>
        <v/>
      </c>
      <c r="Y142">
        <f>IF($V142="","",INDEX($R$5:$R$404,$V142))</f>
        <v/>
      </c>
      <c r="Z142">
        <f>IF($V142="",0,IF($X142&lt;&gt;$X141,1,0))</f>
        <v/>
      </c>
      <c r="AA142">
        <f>IF($V142="",0,IF($V143="",1,IF($X143&lt;&gt;$X142,1,0)))</f>
        <v/>
      </c>
      <c r="AB142">
        <f>IF($V142="",99999+138,$AB141+1+$Z141+$AA141+$AO141)</f>
        <v/>
      </c>
      <c r="AC142">
        <f>IFERROR(MATCH(138,$AB$5:$AB$404,1),"")</f>
        <v/>
      </c>
      <c r="AD142">
        <f>IF(138=$AI$1+1,"Z",IF($AC142="","",IF(INDEX($V$5:$V$404,$AC142)="","",IF(138&gt;INDEX($AB$5:$AB$404,$AC142)+INDEX($Z$5:$Z$404,$AC142)+INDEX($AA$5:$AA$404,$AC142)+INDEX($AO$5:$AO$404,$AC142),"",IF(138=INDEX($AB$5:$AB$404,$AC142)+INDEX($Z$5:$Z$404,$AC142),"D",IF(AND(INDEX($Z$5:$Z$404,$AC142)=1,138=INDEX($AB$5:$AB$404,$AC142)),"H",IF(AND(INDEX($AO$5:$AO$404,$AC142)=1,138=INDEX($AB$5:$AB$404,$AC142)+INDEX($Z$5:$Z$404,$AC142)+INDEX($AA$5:$AA$404,$AC142)+INDEX($AO$5:$AO$404,$AC142)),"B","T")))))))</f>
        <v/>
      </c>
      <c r="AF142">
        <f>IF(OR($AD142="",$AD142="Z",$AD142="B"),"",INDEX($X$5:$X$404,$AC142))</f>
        <v/>
      </c>
      <c r="AJ142">
        <f>IF($AD142&lt;&gt;"T",0,ROUND(SUMIF(oil!$B$4:$B$63,$AF142,oil!$AE$4:$AE$63),2))</f>
        <v/>
      </c>
      <c r="AK142">
        <f>IF($S142="","",IFERROR(INDEX(อัตราค่าขนส่ง!$P$5:$P$54,MATCH($S142,อัตราค่าขนส่ง!$O$5:$O$54,0)),INDEX(รายการมาตรฐาน!$G$2:$G$3,1)))</f>
        <v/>
      </c>
      <c r="AL142">
        <f>IF($S142="","",IFERROR(MATCH($AK142,รายการมาตรฐาน!$G$2:$G$3,0),1))</f>
        <v/>
      </c>
      <c r="AM142">
        <f>IF($V142="","",INDEX($AK$5:$AK$404,$V142))</f>
        <v/>
      </c>
      <c r="AN142">
        <f>IF($V142="","",INDEX($AL$5:$AL$404,$V142))</f>
        <v/>
      </c>
      <c r="AO142">
        <f>IF(OR($V142="",$AI$2&lt;=1),0,IF($V143="",1,IF($AN143&lt;&gt;$AN142,1,0)))</f>
        <v/>
      </c>
      <c r="AP142">
        <f>IF($V142="",0,IF($AN142&lt;&gt;$AN141,1,0))</f>
        <v/>
      </c>
      <c r="AQ142">
        <f>IF(OR($AD142="",$AD142="Z"),"",INDEX($AN$5:$AN$404,$AC142))</f>
        <v/>
      </c>
      <c r="AR142">
        <f>IF($Y142="",0,COUNTIF(บันทึกรายเที่ยว!$V$6:$V$6005,$Y142))</f>
        <v/>
      </c>
      <c r="AS142">
        <f>IF($Y142="",0,ROUND(SUMIF(บันทึกรายเที่ยว!$V$6:$V$6005,$Y142,บันทึกรายเที่ยว!$M$6:$M$6005),2))</f>
        <v/>
      </c>
      <c r="AT142">
        <f>IF($Y142="",0,IFERROR(INDEX(อัตราค่าขนส่ง!$G$5:$G$204,MATCH($Y142,อัตราค่าขนส่ง!$M$5:$M$204,0)),0))</f>
        <v/>
      </c>
      <c r="AU142">
        <f>ROUND($AS142*$BD142,2)</f>
        <v/>
      </c>
      <c r="AV142">
        <f>ROUND($AU142*$BF$2/100,2)</f>
        <v/>
      </c>
      <c r="AW142">
        <f>IF($Y142="","",IFERROR(INDEX(อัตราค่าขนส่ง!$F$5:$F$204,MATCH($Y142,อัตราค่าขนส่ง!$M$5:$M$204,0)),""))</f>
        <v/>
      </c>
      <c r="AX142">
        <f>IF($W142="","",INDEX(บันทึกรายเที่ยว!$D$6:$D$6005,$W142))</f>
        <v/>
      </c>
      <c r="AY142">
        <f>IF($W142="","",INDEX(บันทึกรายเที่ยว!$R$6:$R$6005,$W142))</f>
        <v/>
      </c>
      <c r="AZ142">
        <f>IF(AND($AD142="T",$AQ142=1),N($AZ141)+1,N($AZ141))</f>
        <v/>
      </c>
      <c r="BA142">
        <f>IF($W142="","",INDEX(บันทึกรายเที่ยว!$E$6:$E$6005,$W142))</f>
        <v/>
      </c>
      <c r="BC142">
        <f>IF($Y142="",0,IFERROR(INDEX(อัตราค่าขนส่ง!$K$5:$K$204,MATCH($Y142,อัตราค่าขนส่ง!$M$5:$M$204,0)),0))</f>
        <v/>
      </c>
      <c r="BD142">
        <f>IF($Y142="",0,IFERROR(INDEX(อัตราค่าขนส่ง!$L$5:$L$204,MATCH($Y142,อัตราค่าขนส่ง!$M$5:$M$204,0)),0))</f>
        <v/>
      </c>
    </row>
    <row r="143" ht="21" customHeight="1" s="66">
      <c r="A143" s="69">
        <f>IF($AD143="","",IF($AD143="Z","รวมจ่ายทั้งสิ้น",IF($AD143="H",INDEX($X$5:$X$404,$AC143),IF($AD143="T","รวม",IF($AD143="B",IFERROR(INDEX(อัตราค่าขนส่ง!$S$5:$S$14,MATCH(INDEX($AM$5:$AM$404,$AC143),อัตราค่าขนส่ง!$R$5:$R$14,0)),"รวมกลุ่ม "&amp;INDEX($AM$5:$AM$404,$AC143)),INDEX($AY$5:$AY$404,$AC143))))))</f>
        <v/>
      </c>
      <c r="B143" s="31">
        <f>IF($AD143&lt;&gt;"D","",INDEX($AW$5:$AW$404,$AC143))</f>
        <v/>
      </c>
      <c r="C143" s="68">
        <f>IF($AD143&lt;&gt;"D","",INDEX($AX$5:$AX$404,$AC143))</f>
        <v/>
      </c>
      <c r="D143" s="70">
        <f>IF($AD143&lt;&gt;"D","",INDEX($BA$5:$BA$404,$AC143))</f>
        <v/>
      </c>
      <c r="E143" s="31">
        <f>IF($AD143="Z",SUM($AR$5:$AR$404),IF($AD143="D",INDEX($AR$5:$AR$404,$AC143),IF($AD143="T",SUMIF($X$5:$X$404,$AF143,$AR$5:$AR$404),IF($AD143="B",SUMIF($AN$5:$AN$404,$AQ143,$AR$5:$AR$404),""))))</f>
        <v/>
      </c>
      <c r="F143" s="32">
        <f>IF($AD143="Z",ROUND(SUM($AS$5:$AS$404),2),IF($AD143="D",INDEX($AS$5:$AS$404,$AC143),IF($AD143="T",ROUND(SUMIF($X$5:$X$404,$AF143,$AS$5:$AS$404),2),IF($AD143="B",ROUND(SUMIF($AN$5:$AN$404,$AQ143,$AS$5:$AS$404),2),""))))</f>
        <v/>
      </c>
      <c r="G143" s="32">
        <f>IF($AD143&lt;&gt;"D","",INDEX($AT$5:$AT$404,$AC143))</f>
        <v/>
      </c>
      <c r="H143" s="32">
        <f>IF($AD143&lt;&gt;"D","",INDEX($BC$5:$BC$404,$AC143))</f>
        <v/>
      </c>
      <c r="I143" s="32">
        <f>IF($AD143&lt;&gt;"D","",INDEX($BD$5:$BD$404,$AC143))</f>
        <v/>
      </c>
      <c r="J143" s="46">
        <f>IF($AD143&lt;&gt;"D","",IF(N($B143)=0,"",ROUND($I143/$B143,4)))</f>
        <v/>
      </c>
      <c r="K143" s="32">
        <f>IF($AD143="Z",ROUND(SUM($AU$5:$AU$404),2),IF($AD143="D",INDEX($AU$5:$AU$404,$AC143),IF($AD143="T",ROUND(SUMIF($X$5:$X$404,$AF143,$AU$5:$AU$404),2),IF($AD143="B",ROUND(SUMIF($AN$5:$AN$404,$AQ143,$AU$5:$AU$404),2),""))))</f>
        <v/>
      </c>
      <c r="L143" s="32">
        <f>IF($AD143="Z",ROUND(SUM($AV$5:$AV$404),2),IF($AD143="D",INDEX($AV$5:$AV$404,$AC143),IF($AD143="T",ROUND(SUMIF($X$5:$X$404,$AF143,$AV$5:$AV$404),2),IF($AD143="B",ROUND(SUMIF($AN$5:$AN$404,$AQ143,$AV$5:$AV$404),2),""))))</f>
        <v/>
      </c>
      <c r="M143" s="32">
        <f>IF($AD143="Z",ROUND(SUM($AJ$5:$AJ$704),2),IF($AD143="B",ROUND(SUMIF($AQ$5:$AQ$704,$AQ143,$AJ$5:$AJ$704),2),IF($AD143&lt;&gt;"T","",$AJ143)))</f>
        <v/>
      </c>
      <c r="N143" s="32">
        <f>IF(OR($AD143="D",$AD143="T",$AD143="B",$AD143="Z"),ROUND(N($K143)-N($L143)-N($M143),2),"")</f>
        <v/>
      </c>
      <c r="O143" s="32">
        <f>IF(OR($AD143="D",$AD143="T",$AD143="B",$AD143="Z"),IF(N($E143)=0,"",ROUND($F143/$E143,2)),"")</f>
        <v/>
      </c>
      <c r="Q143">
        <f>IFERROR(MATCH(139,บันทึกรายเที่ยว!$Z$6:$Z$6005,0),"")</f>
        <v/>
      </c>
      <c r="R143">
        <f>IF($Q143="","",INDEX(บันทึกรายเที่ยว!$V$6:$V$6005,$Q143))</f>
        <v/>
      </c>
      <c r="S143">
        <f>IF($Q143="","",INDEX(บันทึกรายเที่ยว!$F$6:$F$6005,$Q143))</f>
        <v/>
      </c>
      <c r="T143">
        <f>IF($Q143="","",MATCH($S143,บันทึกรายเที่ยว!$F$6:$F$6005,0))</f>
        <v/>
      </c>
      <c r="U143">
        <f>IF($Q143="","",$AL143*10000000+$T143*1000+139)</f>
        <v/>
      </c>
      <c r="V143">
        <f>IFERROR(MATCH(SMALL($U$5:$U$404,139),$U$5:$U$404,0),"")</f>
        <v/>
      </c>
      <c r="W143">
        <f>IF($V143="","",INDEX($Q$5:$Q$404,$V143))</f>
        <v/>
      </c>
      <c r="X143">
        <f>IF($V143="","",INDEX($S$5:$S$404,$V143))</f>
        <v/>
      </c>
      <c r="Y143">
        <f>IF($V143="","",INDEX($R$5:$R$404,$V143))</f>
        <v/>
      </c>
      <c r="Z143">
        <f>IF($V143="",0,IF($X143&lt;&gt;$X142,1,0))</f>
        <v/>
      </c>
      <c r="AA143">
        <f>IF($V143="",0,IF($V144="",1,IF($X144&lt;&gt;$X143,1,0)))</f>
        <v/>
      </c>
      <c r="AB143">
        <f>IF($V143="",99999+139,$AB142+1+$Z142+$AA142+$AO142)</f>
        <v/>
      </c>
      <c r="AC143">
        <f>IFERROR(MATCH(139,$AB$5:$AB$404,1),"")</f>
        <v/>
      </c>
      <c r="AD143">
        <f>IF(139=$AI$1+1,"Z",IF($AC143="","",IF(INDEX($V$5:$V$404,$AC143)="","",IF(139&gt;INDEX($AB$5:$AB$404,$AC143)+INDEX($Z$5:$Z$404,$AC143)+INDEX($AA$5:$AA$404,$AC143)+INDEX($AO$5:$AO$404,$AC143),"",IF(139=INDEX($AB$5:$AB$404,$AC143)+INDEX($Z$5:$Z$404,$AC143),"D",IF(AND(INDEX($Z$5:$Z$404,$AC143)=1,139=INDEX($AB$5:$AB$404,$AC143)),"H",IF(AND(INDEX($AO$5:$AO$404,$AC143)=1,139=INDEX($AB$5:$AB$404,$AC143)+INDEX($Z$5:$Z$404,$AC143)+INDEX($AA$5:$AA$404,$AC143)+INDEX($AO$5:$AO$404,$AC143)),"B","T")))))))</f>
        <v/>
      </c>
      <c r="AF143">
        <f>IF(OR($AD143="",$AD143="Z",$AD143="B"),"",INDEX($X$5:$X$404,$AC143))</f>
        <v/>
      </c>
      <c r="AJ143">
        <f>IF($AD143&lt;&gt;"T",0,ROUND(SUMIF(oil!$B$4:$B$63,$AF143,oil!$AE$4:$AE$63),2))</f>
        <v/>
      </c>
      <c r="AK143">
        <f>IF($S143="","",IFERROR(INDEX(อัตราค่าขนส่ง!$P$5:$P$54,MATCH($S143,อัตราค่าขนส่ง!$O$5:$O$54,0)),INDEX(รายการมาตรฐาน!$G$2:$G$3,1)))</f>
        <v/>
      </c>
      <c r="AL143">
        <f>IF($S143="","",IFERROR(MATCH($AK143,รายการมาตรฐาน!$G$2:$G$3,0),1))</f>
        <v/>
      </c>
      <c r="AM143">
        <f>IF($V143="","",INDEX($AK$5:$AK$404,$V143))</f>
        <v/>
      </c>
      <c r="AN143">
        <f>IF($V143="","",INDEX($AL$5:$AL$404,$V143))</f>
        <v/>
      </c>
      <c r="AO143">
        <f>IF(OR($V143="",$AI$2&lt;=1),0,IF($V144="",1,IF($AN144&lt;&gt;$AN143,1,0)))</f>
        <v/>
      </c>
      <c r="AP143">
        <f>IF($V143="",0,IF($AN143&lt;&gt;$AN142,1,0))</f>
        <v/>
      </c>
      <c r="AQ143">
        <f>IF(OR($AD143="",$AD143="Z"),"",INDEX($AN$5:$AN$404,$AC143))</f>
        <v/>
      </c>
      <c r="AR143">
        <f>IF($Y143="",0,COUNTIF(บันทึกรายเที่ยว!$V$6:$V$6005,$Y143))</f>
        <v/>
      </c>
      <c r="AS143">
        <f>IF($Y143="",0,ROUND(SUMIF(บันทึกรายเที่ยว!$V$6:$V$6005,$Y143,บันทึกรายเที่ยว!$M$6:$M$6005),2))</f>
        <v/>
      </c>
      <c r="AT143">
        <f>IF($Y143="",0,IFERROR(INDEX(อัตราค่าขนส่ง!$G$5:$G$204,MATCH($Y143,อัตราค่าขนส่ง!$M$5:$M$204,0)),0))</f>
        <v/>
      </c>
      <c r="AU143">
        <f>ROUND($AS143*$BD143,2)</f>
        <v/>
      </c>
      <c r="AV143">
        <f>ROUND($AU143*$BF$2/100,2)</f>
        <v/>
      </c>
      <c r="AW143">
        <f>IF($Y143="","",IFERROR(INDEX(อัตราค่าขนส่ง!$F$5:$F$204,MATCH($Y143,อัตราค่าขนส่ง!$M$5:$M$204,0)),""))</f>
        <v/>
      </c>
      <c r="AX143">
        <f>IF($W143="","",INDEX(บันทึกรายเที่ยว!$D$6:$D$6005,$W143))</f>
        <v/>
      </c>
      <c r="AY143">
        <f>IF($W143="","",INDEX(บันทึกรายเที่ยว!$R$6:$R$6005,$W143))</f>
        <v/>
      </c>
      <c r="AZ143">
        <f>IF(AND($AD143="T",$AQ143=1),N($AZ142)+1,N($AZ142))</f>
        <v/>
      </c>
      <c r="BA143">
        <f>IF($W143="","",INDEX(บันทึกรายเที่ยว!$E$6:$E$6005,$W143))</f>
        <v/>
      </c>
      <c r="BC143">
        <f>IF($Y143="",0,IFERROR(INDEX(อัตราค่าขนส่ง!$K$5:$K$204,MATCH($Y143,อัตราค่าขนส่ง!$M$5:$M$204,0)),0))</f>
        <v/>
      </c>
      <c r="BD143">
        <f>IF($Y143="",0,IFERROR(INDEX(อัตราค่าขนส่ง!$L$5:$L$204,MATCH($Y143,อัตราค่าขนส่ง!$M$5:$M$204,0)),0))</f>
        <v/>
      </c>
    </row>
    <row r="144" ht="21" customHeight="1" s="66">
      <c r="A144" s="69">
        <f>IF($AD144="","",IF($AD144="Z","รวมจ่ายทั้งสิ้น",IF($AD144="H",INDEX($X$5:$X$404,$AC144),IF($AD144="T","รวม",IF($AD144="B",IFERROR(INDEX(อัตราค่าขนส่ง!$S$5:$S$14,MATCH(INDEX($AM$5:$AM$404,$AC144),อัตราค่าขนส่ง!$R$5:$R$14,0)),"รวมกลุ่ม "&amp;INDEX($AM$5:$AM$404,$AC144)),INDEX($AY$5:$AY$404,$AC144))))))</f>
        <v/>
      </c>
      <c r="B144" s="31">
        <f>IF($AD144&lt;&gt;"D","",INDEX($AW$5:$AW$404,$AC144))</f>
        <v/>
      </c>
      <c r="C144" s="68">
        <f>IF($AD144&lt;&gt;"D","",INDEX($AX$5:$AX$404,$AC144))</f>
        <v/>
      </c>
      <c r="D144" s="70">
        <f>IF($AD144&lt;&gt;"D","",INDEX($BA$5:$BA$404,$AC144))</f>
        <v/>
      </c>
      <c r="E144" s="31">
        <f>IF($AD144="Z",SUM($AR$5:$AR$404),IF($AD144="D",INDEX($AR$5:$AR$404,$AC144),IF($AD144="T",SUMIF($X$5:$X$404,$AF144,$AR$5:$AR$404),IF($AD144="B",SUMIF($AN$5:$AN$404,$AQ144,$AR$5:$AR$404),""))))</f>
        <v/>
      </c>
      <c r="F144" s="32">
        <f>IF($AD144="Z",ROUND(SUM($AS$5:$AS$404),2),IF($AD144="D",INDEX($AS$5:$AS$404,$AC144),IF($AD144="T",ROUND(SUMIF($X$5:$X$404,$AF144,$AS$5:$AS$404),2),IF($AD144="B",ROUND(SUMIF($AN$5:$AN$404,$AQ144,$AS$5:$AS$404),2),""))))</f>
        <v/>
      </c>
      <c r="G144" s="32">
        <f>IF($AD144&lt;&gt;"D","",INDEX($AT$5:$AT$404,$AC144))</f>
        <v/>
      </c>
      <c r="H144" s="32">
        <f>IF($AD144&lt;&gt;"D","",INDEX($BC$5:$BC$404,$AC144))</f>
        <v/>
      </c>
      <c r="I144" s="32">
        <f>IF($AD144&lt;&gt;"D","",INDEX($BD$5:$BD$404,$AC144))</f>
        <v/>
      </c>
      <c r="J144" s="46">
        <f>IF($AD144&lt;&gt;"D","",IF(N($B144)=0,"",ROUND($I144/$B144,4)))</f>
        <v/>
      </c>
      <c r="K144" s="32">
        <f>IF($AD144="Z",ROUND(SUM($AU$5:$AU$404),2),IF($AD144="D",INDEX($AU$5:$AU$404,$AC144),IF($AD144="T",ROUND(SUMIF($X$5:$X$404,$AF144,$AU$5:$AU$404),2),IF($AD144="B",ROUND(SUMIF($AN$5:$AN$404,$AQ144,$AU$5:$AU$404),2),""))))</f>
        <v/>
      </c>
      <c r="L144" s="32">
        <f>IF($AD144="Z",ROUND(SUM($AV$5:$AV$404),2),IF($AD144="D",INDEX($AV$5:$AV$404,$AC144),IF($AD144="T",ROUND(SUMIF($X$5:$X$404,$AF144,$AV$5:$AV$404),2),IF($AD144="B",ROUND(SUMIF($AN$5:$AN$404,$AQ144,$AV$5:$AV$404),2),""))))</f>
        <v/>
      </c>
      <c r="M144" s="32">
        <f>IF($AD144="Z",ROUND(SUM($AJ$5:$AJ$704),2),IF($AD144="B",ROUND(SUMIF($AQ$5:$AQ$704,$AQ144,$AJ$5:$AJ$704),2),IF($AD144&lt;&gt;"T","",$AJ144)))</f>
        <v/>
      </c>
      <c r="N144" s="32">
        <f>IF(OR($AD144="D",$AD144="T",$AD144="B",$AD144="Z"),ROUND(N($K144)-N($L144)-N($M144),2),"")</f>
        <v/>
      </c>
      <c r="O144" s="32">
        <f>IF(OR($AD144="D",$AD144="T",$AD144="B",$AD144="Z"),IF(N($E144)=0,"",ROUND($F144/$E144,2)),"")</f>
        <v/>
      </c>
      <c r="Q144">
        <f>IFERROR(MATCH(140,บันทึกรายเที่ยว!$Z$6:$Z$6005,0),"")</f>
        <v/>
      </c>
      <c r="R144">
        <f>IF($Q144="","",INDEX(บันทึกรายเที่ยว!$V$6:$V$6005,$Q144))</f>
        <v/>
      </c>
      <c r="S144">
        <f>IF($Q144="","",INDEX(บันทึกรายเที่ยว!$F$6:$F$6005,$Q144))</f>
        <v/>
      </c>
      <c r="T144">
        <f>IF($Q144="","",MATCH($S144,บันทึกรายเที่ยว!$F$6:$F$6005,0))</f>
        <v/>
      </c>
      <c r="U144">
        <f>IF($Q144="","",$AL144*10000000+$T144*1000+140)</f>
        <v/>
      </c>
      <c r="V144">
        <f>IFERROR(MATCH(SMALL($U$5:$U$404,140),$U$5:$U$404,0),"")</f>
        <v/>
      </c>
      <c r="W144">
        <f>IF($V144="","",INDEX($Q$5:$Q$404,$V144))</f>
        <v/>
      </c>
      <c r="X144">
        <f>IF($V144="","",INDEX($S$5:$S$404,$V144))</f>
        <v/>
      </c>
      <c r="Y144">
        <f>IF($V144="","",INDEX($R$5:$R$404,$V144))</f>
        <v/>
      </c>
      <c r="Z144">
        <f>IF($V144="",0,IF($X144&lt;&gt;$X143,1,0))</f>
        <v/>
      </c>
      <c r="AA144">
        <f>IF($V144="",0,IF($V145="",1,IF($X145&lt;&gt;$X144,1,0)))</f>
        <v/>
      </c>
      <c r="AB144">
        <f>IF($V144="",99999+140,$AB143+1+$Z143+$AA143+$AO143)</f>
        <v/>
      </c>
      <c r="AC144">
        <f>IFERROR(MATCH(140,$AB$5:$AB$404,1),"")</f>
        <v/>
      </c>
      <c r="AD144">
        <f>IF(140=$AI$1+1,"Z",IF($AC144="","",IF(INDEX($V$5:$V$404,$AC144)="","",IF(140&gt;INDEX($AB$5:$AB$404,$AC144)+INDEX($Z$5:$Z$404,$AC144)+INDEX($AA$5:$AA$404,$AC144)+INDEX($AO$5:$AO$404,$AC144),"",IF(140=INDEX($AB$5:$AB$404,$AC144)+INDEX($Z$5:$Z$404,$AC144),"D",IF(AND(INDEX($Z$5:$Z$404,$AC144)=1,140=INDEX($AB$5:$AB$404,$AC144)),"H",IF(AND(INDEX($AO$5:$AO$404,$AC144)=1,140=INDEX($AB$5:$AB$404,$AC144)+INDEX($Z$5:$Z$404,$AC144)+INDEX($AA$5:$AA$404,$AC144)+INDEX($AO$5:$AO$404,$AC144)),"B","T")))))))</f>
        <v/>
      </c>
      <c r="AF144">
        <f>IF(OR($AD144="",$AD144="Z",$AD144="B"),"",INDEX($X$5:$X$404,$AC144))</f>
        <v/>
      </c>
      <c r="AJ144">
        <f>IF($AD144&lt;&gt;"T",0,ROUND(SUMIF(oil!$B$4:$B$63,$AF144,oil!$AE$4:$AE$63),2))</f>
        <v/>
      </c>
      <c r="AK144">
        <f>IF($S144="","",IFERROR(INDEX(อัตราค่าขนส่ง!$P$5:$P$54,MATCH($S144,อัตราค่าขนส่ง!$O$5:$O$54,0)),INDEX(รายการมาตรฐาน!$G$2:$G$3,1)))</f>
        <v/>
      </c>
      <c r="AL144">
        <f>IF($S144="","",IFERROR(MATCH($AK144,รายการมาตรฐาน!$G$2:$G$3,0),1))</f>
        <v/>
      </c>
      <c r="AM144">
        <f>IF($V144="","",INDEX($AK$5:$AK$404,$V144))</f>
        <v/>
      </c>
      <c r="AN144">
        <f>IF($V144="","",INDEX($AL$5:$AL$404,$V144))</f>
        <v/>
      </c>
      <c r="AO144">
        <f>IF(OR($V144="",$AI$2&lt;=1),0,IF($V145="",1,IF($AN145&lt;&gt;$AN144,1,0)))</f>
        <v/>
      </c>
      <c r="AP144">
        <f>IF($V144="",0,IF($AN144&lt;&gt;$AN143,1,0))</f>
        <v/>
      </c>
      <c r="AQ144">
        <f>IF(OR($AD144="",$AD144="Z"),"",INDEX($AN$5:$AN$404,$AC144))</f>
        <v/>
      </c>
      <c r="AR144">
        <f>IF($Y144="",0,COUNTIF(บันทึกรายเที่ยว!$V$6:$V$6005,$Y144))</f>
        <v/>
      </c>
      <c r="AS144">
        <f>IF($Y144="",0,ROUND(SUMIF(บันทึกรายเที่ยว!$V$6:$V$6005,$Y144,บันทึกรายเที่ยว!$M$6:$M$6005),2))</f>
        <v/>
      </c>
      <c r="AT144">
        <f>IF($Y144="",0,IFERROR(INDEX(อัตราค่าขนส่ง!$G$5:$G$204,MATCH($Y144,อัตราค่าขนส่ง!$M$5:$M$204,0)),0))</f>
        <v/>
      </c>
      <c r="AU144">
        <f>ROUND($AS144*$BD144,2)</f>
        <v/>
      </c>
      <c r="AV144">
        <f>ROUND($AU144*$BF$2/100,2)</f>
        <v/>
      </c>
      <c r="AW144">
        <f>IF($Y144="","",IFERROR(INDEX(อัตราค่าขนส่ง!$F$5:$F$204,MATCH($Y144,อัตราค่าขนส่ง!$M$5:$M$204,0)),""))</f>
        <v/>
      </c>
      <c r="AX144">
        <f>IF($W144="","",INDEX(บันทึกรายเที่ยว!$D$6:$D$6005,$W144))</f>
        <v/>
      </c>
      <c r="AY144">
        <f>IF($W144="","",INDEX(บันทึกรายเที่ยว!$R$6:$R$6005,$W144))</f>
        <v/>
      </c>
      <c r="AZ144">
        <f>IF(AND($AD144="T",$AQ144=1),N($AZ143)+1,N($AZ143))</f>
        <v/>
      </c>
      <c r="BA144">
        <f>IF($W144="","",INDEX(บันทึกรายเที่ยว!$E$6:$E$6005,$W144))</f>
        <v/>
      </c>
      <c r="BC144">
        <f>IF($Y144="",0,IFERROR(INDEX(อัตราค่าขนส่ง!$K$5:$K$204,MATCH($Y144,อัตราค่าขนส่ง!$M$5:$M$204,0)),0))</f>
        <v/>
      </c>
      <c r="BD144">
        <f>IF($Y144="",0,IFERROR(INDEX(อัตราค่าขนส่ง!$L$5:$L$204,MATCH($Y144,อัตราค่าขนส่ง!$M$5:$M$204,0)),0))</f>
        <v/>
      </c>
    </row>
    <row r="145" ht="21" customHeight="1" s="66">
      <c r="A145" s="69">
        <f>IF($AD145="","",IF($AD145="Z","รวมจ่ายทั้งสิ้น",IF($AD145="H",INDEX($X$5:$X$404,$AC145),IF($AD145="T","รวม",IF($AD145="B",IFERROR(INDEX(อัตราค่าขนส่ง!$S$5:$S$14,MATCH(INDEX($AM$5:$AM$404,$AC145),อัตราค่าขนส่ง!$R$5:$R$14,0)),"รวมกลุ่ม "&amp;INDEX($AM$5:$AM$404,$AC145)),INDEX($AY$5:$AY$404,$AC145))))))</f>
        <v/>
      </c>
      <c r="B145" s="31">
        <f>IF($AD145&lt;&gt;"D","",INDEX($AW$5:$AW$404,$AC145))</f>
        <v/>
      </c>
      <c r="C145" s="68">
        <f>IF($AD145&lt;&gt;"D","",INDEX($AX$5:$AX$404,$AC145))</f>
        <v/>
      </c>
      <c r="D145" s="70">
        <f>IF($AD145&lt;&gt;"D","",INDEX($BA$5:$BA$404,$AC145))</f>
        <v/>
      </c>
      <c r="E145" s="31">
        <f>IF($AD145="Z",SUM($AR$5:$AR$404),IF($AD145="D",INDEX($AR$5:$AR$404,$AC145),IF($AD145="T",SUMIF($X$5:$X$404,$AF145,$AR$5:$AR$404),IF($AD145="B",SUMIF($AN$5:$AN$404,$AQ145,$AR$5:$AR$404),""))))</f>
        <v/>
      </c>
      <c r="F145" s="32">
        <f>IF($AD145="Z",ROUND(SUM($AS$5:$AS$404),2),IF($AD145="D",INDEX($AS$5:$AS$404,$AC145),IF($AD145="T",ROUND(SUMIF($X$5:$X$404,$AF145,$AS$5:$AS$404),2),IF($AD145="B",ROUND(SUMIF($AN$5:$AN$404,$AQ145,$AS$5:$AS$404),2),""))))</f>
        <v/>
      </c>
      <c r="G145" s="32">
        <f>IF($AD145&lt;&gt;"D","",INDEX($AT$5:$AT$404,$AC145))</f>
        <v/>
      </c>
      <c r="H145" s="32">
        <f>IF($AD145&lt;&gt;"D","",INDEX($BC$5:$BC$404,$AC145))</f>
        <v/>
      </c>
      <c r="I145" s="32">
        <f>IF($AD145&lt;&gt;"D","",INDEX($BD$5:$BD$404,$AC145))</f>
        <v/>
      </c>
      <c r="J145" s="46">
        <f>IF($AD145&lt;&gt;"D","",IF(N($B145)=0,"",ROUND($I145/$B145,4)))</f>
        <v/>
      </c>
      <c r="K145" s="32">
        <f>IF($AD145="Z",ROUND(SUM($AU$5:$AU$404),2),IF($AD145="D",INDEX($AU$5:$AU$404,$AC145),IF($AD145="T",ROUND(SUMIF($X$5:$X$404,$AF145,$AU$5:$AU$404),2),IF($AD145="B",ROUND(SUMIF($AN$5:$AN$404,$AQ145,$AU$5:$AU$404),2),""))))</f>
        <v/>
      </c>
      <c r="L145" s="32">
        <f>IF($AD145="Z",ROUND(SUM($AV$5:$AV$404),2),IF($AD145="D",INDEX($AV$5:$AV$404,$AC145),IF($AD145="T",ROUND(SUMIF($X$5:$X$404,$AF145,$AV$5:$AV$404),2),IF($AD145="B",ROUND(SUMIF($AN$5:$AN$404,$AQ145,$AV$5:$AV$404),2),""))))</f>
        <v/>
      </c>
      <c r="M145" s="32">
        <f>IF($AD145="Z",ROUND(SUM($AJ$5:$AJ$704),2),IF($AD145="B",ROUND(SUMIF($AQ$5:$AQ$704,$AQ145,$AJ$5:$AJ$704),2),IF($AD145&lt;&gt;"T","",$AJ145)))</f>
        <v/>
      </c>
      <c r="N145" s="32">
        <f>IF(OR($AD145="D",$AD145="T",$AD145="B",$AD145="Z"),ROUND(N($K145)-N($L145)-N($M145),2),"")</f>
        <v/>
      </c>
      <c r="O145" s="32">
        <f>IF(OR($AD145="D",$AD145="T",$AD145="B",$AD145="Z"),IF(N($E145)=0,"",ROUND($F145/$E145,2)),"")</f>
        <v/>
      </c>
      <c r="Q145">
        <f>IFERROR(MATCH(141,บันทึกรายเที่ยว!$Z$6:$Z$6005,0),"")</f>
        <v/>
      </c>
      <c r="R145">
        <f>IF($Q145="","",INDEX(บันทึกรายเที่ยว!$V$6:$V$6005,$Q145))</f>
        <v/>
      </c>
      <c r="S145">
        <f>IF($Q145="","",INDEX(บันทึกรายเที่ยว!$F$6:$F$6005,$Q145))</f>
        <v/>
      </c>
      <c r="T145">
        <f>IF($Q145="","",MATCH($S145,บันทึกรายเที่ยว!$F$6:$F$6005,0))</f>
        <v/>
      </c>
      <c r="U145">
        <f>IF($Q145="","",$AL145*10000000+$T145*1000+141)</f>
        <v/>
      </c>
      <c r="V145">
        <f>IFERROR(MATCH(SMALL($U$5:$U$404,141),$U$5:$U$404,0),"")</f>
        <v/>
      </c>
      <c r="W145">
        <f>IF($V145="","",INDEX($Q$5:$Q$404,$V145))</f>
        <v/>
      </c>
      <c r="X145">
        <f>IF($V145="","",INDEX($S$5:$S$404,$V145))</f>
        <v/>
      </c>
      <c r="Y145">
        <f>IF($V145="","",INDEX($R$5:$R$404,$V145))</f>
        <v/>
      </c>
      <c r="Z145">
        <f>IF($V145="",0,IF($X145&lt;&gt;$X144,1,0))</f>
        <v/>
      </c>
      <c r="AA145">
        <f>IF($V145="",0,IF($V146="",1,IF($X146&lt;&gt;$X145,1,0)))</f>
        <v/>
      </c>
      <c r="AB145">
        <f>IF($V145="",99999+141,$AB144+1+$Z144+$AA144+$AO144)</f>
        <v/>
      </c>
      <c r="AC145">
        <f>IFERROR(MATCH(141,$AB$5:$AB$404,1),"")</f>
        <v/>
      </c>
      <c r="AD145">
        <f>IF(141=$AI$1+1,"Z",IF($AC145="","",IF(INDEX($V$5:$V$404,$AC145)="","",IF(141&gt;INDEX($AB$5:$AB$404,$AC145)+INDEX($Z$5:$Z$404,$AC145)+INDEX($AA$5:$AA$404,$AC145)+INDEX($AO$5:$AO$404,$AC145),"",IF(141=INDEX($AB$5:$AB$404,$AC145)+INDEX($Z$5:$Z$404,$AC145),"D",IF(AND(INDEX($Z$5:$Z$404,$AC145)=1,141=INDEX($AB$5:$AB$404,$AC145)),"H",IF(AND(INDEX($AO$5:$AO$404,$AC145)=1,141=INDEX($AB$5:$AB$404,$AC145)+INDEX($Z$5:$Z$404,$AC145)+INDEX($AA$5:$AA$404,$AC145)+INDEX($AO$5:$AO$404,$AC145)),"B","T")))))))</f>
        <v/>
      </c>
      <c r="AF145">
        <f>IF(OR($AD145="",$AD145="Z",$AD145="B"),"",INDEX($X$5:$X$404,$AC145))</f>
        <v/>
      </c>
      <c r="AJ145">
        <f>IF($AD145&lt;&gt;"T",0,ROUND(SUMIF(oil!$B$4:$B$63,$AF145,oil!$AE$4:$AE$63),2))</f>
        <v/>
      </c>
      <c r="AK145">
        <f>IF($S145="","",IFERROR(INDEX(อัตราค่าขนส่ง!$P$5:$P$54,MATCH($S145,อัตราค่าขนส่ง!$O$5:$O$54,0)),INDEX(รายการมาตรฐาน!$G$2:$G$3,1)))</f>
        <v/>
      </c>
      <c r="AL145">
        <f>IF($S145="","",IFERROR(MATCH($AK145,รายการมาตรฐาน!$G$2:$G$3,0),1))</f>
        <v/>
      </c>
      <c r="AM145">
        <f>IF($V145="","",INDEX($AK$5:$AK$404,$V145))</f>
        <v/>
      </c>
      <c r="AN145">
        <f>IF($V145="","",INDEX($AL$5:$AL$404,$V145))</f>
        <v/>
      </c>
      <c r="AO145">
        <f>IF(OR($V145="",$AI$2&lt;=1),0,IF($V146="",1,IF($AN146&lt;&gt;$AN145,1,0)))</f>
        <v/>
      </c>
      <c r="AP145">
        <f>IF($V145="",0,IF($AN145&lt;&gt;$AN144,1,0))</f>
        <v/>
      </c>
      <c r="AQ145">
        <f>IF(OR($AD145="",$AD145="Z"),"",INDEX($AN$5:$AN$404,$AC145))</f>
        <v/>
      </c>
      <c r="AR145">
        <f>IF($Y145="",0,COUNTIF(บันทึกรายเที่ยว!$V$6:$V$6005,$Y145))</f>
        <v/>
      </c>
      <c r="AS145">
        <f>IF($Y145="",0,ROUND(SUMIF(บันทึกรายเที่ยว!$V$6:$V$6005,$Y145,บันทึกรายเที่ยว!$M$6:$M$6005),2))</f>
        <v/>
      </c>
      <c r="AT145">
        <f>IF($Y145="",0,IFERROR(INDEX(อัตราค่าขนส่ง!$G$5:$G$204,MATCH($Y145,อัตราค่าขนส่ง!$M$5:$M$204,0)),0))</f>
        <v/>
      </c>
      <c r="AU145">
        <f>ROUND($AS145*$BD145,2)</f>
        <v/>
      </c>
      <c r="AV145">
        <f>ROUND($AU145*$BF$2/100,2)</f>
        <v/>
      </c>
      <c r="AW145">
        <f>IF($Y145="","",IFERROR(INDEX(อัตราค่าขนส่ง!$F$5:$F$204,MATCH($Y145,อัตราค่าขนส่ง!$M$5:$M$204,0)),""))</f>
        <v/>
      </c>
      <c r="AX145">
        <f>IF($W145="","",INDEX(บันทึกรายเที่ยว!$D$6:$D$6005,$W145))</f>
        <v/>
      </c>
      <c r="AY145">
        <f>IF($W145="","",INDEX(บันทึกรายเที่ยว!$R$6:$R$6005,$W145))</f>
        <v/>
      </c>
      <c r="AZ145">
        <f>IF(AND($AD145="T",$AQ145=1),N($AZ144)+1,N($AZ144))</f>
        <v/>
      </c>
      <c r="BA145">
        <f>IF($W145="","",INDEX(บันทึกรายเที่ยว!$E$6:$E$6005,$W145))</f>
        <v/>
      </c>
      <c r="BC145">
        <f>IF($Y145="",0,IFERROR(INDEX(อัตราค่าขนส่ง!$K$5:$K$204,MATCH($Y145,อัตราค่าขนส่ง!$M$5:$M$204,0)),0))</f>
        <v/>
      </c>
      <c r="BD145">
        <f>IF($Y145="",0,IFERROR(INDEX(อัตราค่าขนส่ง!$L$5:$L$204,MATCH($Y145,อัตราค่าขนส่ง!$M$5:$M$204,0)),0))</f>
        <v/>
      </c>
    </row>
    <row r="146" ht="21" customHeight="1" s="66">
      <c r="A146" s="69">
        <f>IF($AD146="","",IF($AD146="Z","รวมจ่ายทั้งสิ้น",IF($AD146="H",INDEX($X$5:$X$404,$AC146),IF($AD146="T","รวม",IF($AD146="B",IFERROR(INDEX(อัตราค่าขนส่ง!$S$5:$S$14,MATCH(INDEX($AM$5:$AM$404,$AC146),อัตราค่าขนส่ง!$R$5:$R$14,0)),"รวมกลุ่ม "&amp;INDEX($AM$5:$AM$404,$AC146)),INDEX($AY$5:$AY$404,$AC146))))))</f>
        <v/>
      </c>
      <c r="B146" s="31">
        <f>IF($AD146&lt;&gt;"D","",INDEX($AW$5:$AW$404,$AC146))</f>
        <v/>
      </c>
      <c r="C146" s="68">
        <f>IF($AD146&lt;&gt;"D","",INDEX($AX$5:$AX$404,$AC146))</f>
        <v/>
      </c>
      <c r="D146" s="70">
        <f>IF($AD146&lt;&gt;"D","",INDEX($BA$5:$BA$404,$AC146))</f>
        <v/>
      </c>
      <c r="E146" s="31">
        <f>IF($AD146="Z",SUM($AR$5:$AR$404),IF($AD146="D",INDEX($AR$5:$AR$404,$AC146),IF($AD146="T",SUMIF($X$5:$X$404,$AF146,$AR$5:$AR$404),IF($AD146="B",SUMIF($AN$5:$AN$404,$AQ146,$AR$5:$AR$404),""))))</f>
        <v/>
      </c>
      <c r="F146" s="32">
        <f>IF($AD146="Z",ROUND(SUM($AS$5:$AS$404),2),IF($AD146="D",INDEX($AS$5:$AS$404,$AC146),IF($AD146="T",ROUND(SUMIF($X$5:$X$404,$AF146,$AS$5:$AS$404),2),IF($AD146="B",ROUND(SUMIF($AN$5:$AN$404,$AQ146,$AS$5:$AS$404),2),""))))</f>
        <v/>
      </c>
      <c r="G146" s="32">
        <f>IF($AD146&lt;&gt;"D","",INDEX($AT$5:$AT$404,$AC146))</f>
        <v/>
      </c>
      <c r="H146" s="32">
        <f>IF($AD146&lt;&gt;"D","",INDEX($BC$5:$BC$404,$AC146))</f>
        <v/>
      </c>
      <c r="I146" s="32">
        <f>IF($AD146&lt;&gt;"D","",INDEX($BD$5:$BD$404,$AC146))</f>
        <v/>
      </c>
      <c r="J146" s="46">
        <f>IF($AD146&lt;&gt;"D","",IF(N($B146)=0,"",ROUND($I146/$B146,4)))</f>
        <v/>
      </c>
      <c r="K146" s="32">
        <f>IF($AD146="Z",ROUND(SUM($AU$5:$AU$404),2),IF($AD146="D",INDEX($AU$5:$AU$404,$AC146),IF($AD146="T",ROUND(SUMIF($X$5:$X$404,$AF146,$AU$5:$AU$404),2),IF($AD146="B",ROUND(SUMIF($AN$5:$AN$404,$AQ146,$AU$5:$AU$404),2),""))))</f>
        <v/>
      </c>
      <c r="L146" s="32">
        <f>IF($AD146="Z",ROUND(SUM($AV$5:$AV$404),2),IF($AD146="D",INDEX($AV$5:$AV$404,$AC146),IF($AD146="T",ROUND(SUMIF($X$5:$X$404,$AF146,$AV$5:$AV$404),2),IF($AD146="B",ROUND(SUMIF($AN$5:$AN$404,$AQ146,$AV$5:$AV$404),2),""))))</f>
        <v/>
      </c>
      <c r="M146" s="32">
        <f>IF($AD146="Z",ROUND(SUM($AJ$5:$AJ$704),2),IF($AD146="B",ROUND(SUMIF($AQ$5:$AQ$704,$AQ146,$AJ$5:$AJ$704),2),IF($AD146&lt;&gt;"T","",$AJ146)))</f>
        <v/>
      </c>
      <c r="N146" s="32">
        <f>IF(OR($AD146="D",$AD146="T",$AD146="B",$AD146="Z"),ROUND(N($K146)-N($L146)-N($M146),2),"")</f>
        <v/>
      </c>
      <c r="O146" s="32">
        <f>IF(OR($AD146="D",$AD146="T",$AD146="B",$AD146="Z"),IF(N($E146)=0,"",ROUND($F146/$E146,2)),"")</f>
        <v/>
      </c>
      <c r="Q146">
        <f>IFERROR(MATCH(142,บันทึกรายเที่ยว!$Z$6:$Z$6005,0),"")</f>
        <v/>
      </c>
      <c r="R146">
        <f>IF($Q146="","",INDEX(บันทึกรายเที่ยว!$V$6:$V$6005,$Q146))</f>
        <v/>
      </c>
      <c r="S146">
        <f>IF($Q146="","",INDEX(บันทึกรายเที่ยว!$F$6:$F$6005,$Q146))</f>
        <v/>
      </c>
      <c r="T146">
        <f>IF($Q146="","",MATCH($S146,บันทึกรายเที่ยว!$F$6:$F$6005,0))</f>
        <v/>
      </c>
      <c r="U146">
        <f>IF($Q146="","",$AL146*10000000+$T146*1000+142)</f>
        <v/>
      </c>
      <c r="V146">
        <f>IFERROR(MATCH(SMALL($U$5:$U$404,142),$U$5:$U$404,0),"")</f>
        <v/>
      </c>
      <c r="W146">
        <f>IF($V146="","",INDEX($Q$5:$Q$404,$V146))</f>
        <v/>
      </c>
      <c r="X146">
        <f>IF($V146="","",INDEX($S$5:$S$404,$V146))</f>
        <v/>
      </c>
      <c r="Y146">
        <f>IF($V146="","",INDEX($R$5:$R$404,$V146))</f>
        <v/>
      </c>
      <c r="Z146">
        <f>IF($V146="",0,IF($X146&lt;&gt;$X145,1,0))</f>
        <v/>
      </c>
      <c r="AA146">
        <f>IF($V146="",0,IF($V147="",1,IF($X147&lt;&gt;$X146,1,0)))</f>
        <v/>
      </c>
      <c r="AB146">
        <f>IF($V146="",99999+142,$AB145+1+$Z145+$AA145+$AO145)</f>
        <v/>
      </c>
      <c r="AC146">
        <f>IFERROR(MATCH(142,$AB$5:$AB$404,1),"")</f>
        <v/>
      </c>
      <c r="AD146">
        <f>IF(142=$AI$1+1,"Z",IF($AC146="","",IF(INDEX($V$5:$V$404,$AC146)="","",IF(142&gt;INDEX($AB$5:$AB$404,$AC146)+INDEX($Z$5:$Z$404,$AC146)+INDEX($AA$5:$AA$404,$AC146)+INDEX($AO$5:$AO$404,$AC146),"",IF(142=INDEX($AB$5:$AB$404,$AC146)+INDEX($Z$5:$Z$404,$AC146),"D",IF(AND(INDEX($Z$5:$Z$404,$AC146)=1,142=INDEX($AB$5:$AB$404,$AC146)),"H",IF(AND(INDEX($AO$5:$AO$404,$AC146)=1,142=INDEX($AB$5:$AB$404,$AC146)+INDEX($Z$5:$Z$404,$AC146)+INDEX($AA$5:$AA$404,$AC146)+INDEX($AO$5:$AO$404,$AC146)),"B","T")))))))</f>
        <v/>
      </c>
      <c r="AF146">
        <f>IF(OR($AD146="",$AD146="Z",$AD146="B"),"",INDEX($X$5:$X$404,$AC146))</f>
        <v/>
      </c>
      <c r="AJ146">
        <f>IF($AD146&lt;&gt;"T",0,ROUND(SUMIF(oil!$B$4:$B$63,$AF146,oil!$AE$4:$AE$63),2))</f>
        <v/>
      </c>
      <c r="AK146">
        <f>IF($S146="","",IFERROR(INDEX(อัตราค่าขนส่ง!$P$5:$P$54,MATCH($S146,อัตราค่าขนส่ง!$O$5:$O$54,0)),INDEX(รายการมาตรฐาน!$G$2:$G$3,1)))</f>
        <v/>
      </c>
      <c r="AL146">
        <f>IF($S146="","",IFERROR(MATCH($AK146,รายการมาตรฐาน!$G$2:$G$3,0),1))</f>
        <v/>
      </c>
      <c r="AM146">
        <f>IF($V146="","",INDEX($AK$5:$AK$404,$V146))</f>
        <v/>
      </c>
      <c r="AN146">
        <f>IF($V146="","",INDEX($AL$5:$AL$404,$V146))</f>
        <v/>
      </c>
      <c r="AO146">
        <f>IF(OR($V146="",$AI$2&lt;=1),0,IF($V147="",1,IF($AN147&lt;&gt;$AN146,1,0)))</f>
        <v/>
      </c>
      <c r="AP146">
        <f>IF($V146="",0,IF($AN146&lt;&gt;$AN145,1,0))</f>
        <v/>
      </c>
      <c r="AQ146">
        <f>IF(OR($AD146="",$AD146="Z"),"",INDEX($AN$5:$AN$404,$AC146))</f>
        <v/>
      </c>
      <c r="AR146">
        <f>IF($Y146="",0,COUNTIF(บันทึกรายเที่ยว!$V$6:$V$6005,$Y146))</f>
        <v/>
      </c>
      <c r="AS146">
        <f>IF($Y146="",0,ROUND(SUMIF(บันทึกรายเที่ยว!$V$6:$V$6005,$Y146,บันทึกรายเที่ยว!$M$6:$M$6005),2))</f>
        <v/>
      </c>
      <c r="AT146">
        <f>IF($Y146="",0,IFERROR(INDEX(อัตราค่าขนส่ง!$G$5:$G$204,MATCH($Y146,อัตราค่าขนส่ง!$M$5:$M$204,0)),0))</f>
        <v/>
      </c>
      <c r="AU146">
        <f>ROUND($AS146*$BD146,2)</f>
        <v/>
      </c>
      <c r="AV146">
        <f>ROUND($AU146*$BF$2/100,2)</f>
        <v/>
      </c>
      <c r="AW146">
        <f>IF($Y146="","",IFERROR(INDEX(อัตราค่าขนส่ง!$F$5:$F$204,MATCH($Y146,อัตราค่าขนส่ง!$M$5:$M$204,0)),""))</f>
        <v/>
      </c>
      <c r="AX146">
        <f>IF($W146="","",INDEX(บันทึกรายเที่ยว!$D$6:$D$6005,$W146))</f>
        <v/>
      </c>
      <c r="AY146">
        <f>IF($W146="","",INDEX(บันทึกรายเที่ยว!$R$6:$R$6005,$W146))</f>
        <v/>
      </c>
      <c r="AZ146">
        <f>IF(AND($AD146="T",$AQ146=1),N($AZ145)+1,N($AZ145))</f>
        <v/>
      </c>
      <c r="BA146">
        <f>IF($W146="","",INDEX(บันทึกรายเที่ยว!$E$6:$E$6005,$W146))</f>
        <v/>
      </c>
      <c r="BC146">
        <f>IF($Y146="",0,IFERROR(INDEX(อัตราค่าขนส่ง!$K$5:$K$204,MATCH($Y146,อัตราค่าขนส่ง!$M$5:$M$204,0)),0))</f>
        <v/>
      </c>
      <c r="BD146">
        <f>IF($Y146="",0,IFERROR(INDEX(อัตราค่าขนส่ง!$L$5:$L$204,MATCH($Y146,อัตราค่าขนส่ง!$M$5:$M$204,0)),0))</f>
        <v/>
      </c>
    </row>
    <row r="147" ht="21" customHeight="1" s="66">
      <c r="A147" s="69">
        <f>IF($AD147="","",IF($AD147="Z","รวมจ่ายทั้งสิ้น",IF($AD147="H",INDEX($X$5:$X$404,$AC147),IF($AD147="T","รวม",IF($AD147="B",IFERROR(INDEX(อัตราค่าขนส่ง!$S$5:$S$14,MATCH(INDEX($AM$5:$AM$404,$AC147),อัตราค่าขนส่ง!$R$5:$R$14,0)),"รวมกลุ่ม "&amp;INDEX($AM$5:$AM$404,$AC147)),INDEX($AY$5:$AY$404,$AC147))))))</f>
        <v/>
      </c>
      <c r="B147" s="31">
        <f>IF($AD147&lt;&gt;"D","",INDEX($AW$5:$AW$404,$AC147))</f>
        <v/>
      </c>
      <c r="C147" s="68">
        <f>IF($AD147&lt;&gt;"D","",INDEX($AX$5:$AX$404,$AC147))</f>
        <v/>
      </c>
      <c r="D147" s="70">
        <f>IF($AD147&lt;&gt;"D","",INDEX($BA$5:$BA$404,$AC147))</f>
        <v/>
      </c>
      <c r="E147" s="31">
        <f>IF($AD147="Z",SUM($AR$5:$AR$404),IF($AD147="D",INDEX($AR$5:$AR$404,$AC147),IF($AD147="T",SUMIF($X$5:$X$404,$AF147,$AR$5:$AR$404),IF($AD147="B",SUMIF($AN$5:$AN$404,$AQ147,$AR$5:$AR$404),""))))</f>
        <v/>
      </c>
      <c r="F147" s="32">
        <f>IF($AD147="Z",ROUND(SUM($AS$5:$AS$404),2),IF($AD147="D",INDEX($AS$5:$AS$404,$AC147),IF($AD147="T",ROUND(SUMIF($X$5:$X$404,$AF147,$AS$5:$AS$404),2),IF($AD147="B",ROUND(SUMIF($AN$5:$AN$404,$AQ147,$AS$5:$AS$404),2),""))))</f>
        <v/>
      </c>
      <c r="G147" s="32">
        <f>IF($AD147&lt;&gt;"D","",INDEX($AT$5:$AT$404,$AC147))</f>
        <v/>
      </c>
      <c r="H147" s="32">
        <f>IF($AD147&lt;&gt;"D","",INDEX($BC$5:$BC$404,$AC147))</f>
        <v/>
      </c>
      <c r="I147" s="32">
        <f>IF($AD147&lt;&gt;"D","",INDEX($BD$5:$BD$404,$AC147))</f>
        <v/>
      </c>
      <c r="J147" s="46">
        <f>IF($AD147&lt;&gt;"D","",IF(N($B147)=0,"",ROUND($I147/$B147,4)))</f>
        <v/>
      </c>
      <c r="K147" s="32">
        <f>IF($AD147="Z",ROUND(SUM($AU$5:$AU$404),2),IF($AD147="D",INDEX($AU$5:$AU$404,$AC147),IF($AD147="T",ROUND(SUMIF($X$5:$X$404,$AF147,$AU$5:$AU$404),2),IF($AD147="B",ROUND(SUMIF($AN$5:$AN$404,$AQ147,$AU$5:$AU$404),2),""))))</f>
        <v/>
      </c>
      <c r="L147" s="32">
        <f>IF($AD147="Z",ROUND(SUM($AV$5:$AV$404),2),IF($AD147="D",INDEX($AV$5:$AV$404,$AC147),IF($AD147="T",ROUND(SUMIF($X$5:$X$404,$AF147,$AV$5:$AV$404),2),IF($AD147="B",ROUND(SUMIF($AN$5:$AN$404,$AQ147,$AV$5:$AV$404),2),""))))</f>
        <v/>
      </c>
      <c r="M147" s="32">
        <f>IF($AD147="Z",ROUND(SUM($AJ$5:$AJ$704),2),IF($AD147="B",ROUND(SUMIF($AQ$5:$AQ$704,$AQ147,$AJ$5:$AJ$704),2),IF($AD147&lt;&gt;"T","",$AJ147)))</f>
        <v/>
      </c>
      <c r="N147" s="32">
        <f>IF(OR($AD147="D",$AD147="T",$AD147="B",$AD147="Z"),ROUND(N($K147)-N($L147)-N($M147),2),"")</f>
        <v/>
      </c>
      <c r="O147" s="32">
        <f>IF(OR($AD147="D",$AD147="T",$AD147="B",$AD147="Z"),IF(N($E147)=0,"",ROUND($F147/$E147,2)),"")</f>
        <v/>
      </c>
      <c r="Q147">
        <f>IFERROR(MATCH(143,บันทึกรายเที่ยว!$Z$6:$Z$6005,0),"")</f>
        <v/>
      </c>
      <c r="R147">
        <f>IF($Q147="","",INDEX(บันทึกรายเที่ยว!$V$6:$V$6005,$Q147))</f>
        <v/>
      </c>
      <c r="S147">
        <f>IF($Q147="","",INDEX(บันทึกรายเที่ยว!$F$6:$F$6005,$Q147))</f>
        <v/>
      </c>
      <c r="T147">
        <f>IF($Q147="","",MATCH($S147,บันทึกรายเที่ยว!$F$6:$F$6005,0))</f>
        <v/>
      </c>
      <c r="U147">
        <f>IF($Q147="","",$AL147*10000000+$T147*1000+143)</f>
        <v/>
      </c>
      <c r="V147">
        <f>IFERROR(MATCH(SMALL($U$5:$U$404,143),$U$5:$U$404,0),"")</f>
        <v/>
      </c>
      <c r="W147">
        <f>IF($V147="","",INDEX($Q$5:$Q$404,$V147))</f>
        <v/>
      </c>
      <c r="X147">
        <f>IF($V147="","",INDEX($S$5:$S$404,$V147))</f>
        <v/>
      </c>
      <c r="Y147">
        <f>IF($V147="","",INDEX($R$5:$R$404,$V147))</f>
        <v/>
      </c>
      <c r="Z147">
        <f>IF($V147="",0,IF($X147&lt;&gt;$X146,1,0))</f>
        <v/>
      </c>
      <c r="AA147">
        <f>IF($V147="",0,IF($V148="",1,IF($X148&lt;&gt;$X147,1,0)))</f>
        <v/>
      </c>
      <c r="AB147">
        <f>IF($V147="",99999+143,$AB146+1+$Z146+$AA146+$AO146)</f>
        <v/>
      </c>
      <c r="AC147">
        <f>IFERROR(MATCH(143,$AB$5:$AB$404,1),"")</f>
        <v/>
      </c>
      <c r="AD147">
        <f>IF(143=$AI$1+1,"Z",IF($AC147="","",IF(INDEX($V$5:$V$404,$AC147)="","",IF(143&gt;INDEX($AB$5:$AB$404,$AC147)+INDEX($Z$5:$Z$404,$AC147)+INDEX($AA$5:$AA$404,$AC147)+INDEX($AO$5:$AO$404,$AC147),"",IF(143=INDEX($AB$5:$AB$404,$AC147)+INDEX($Z$5:$Z$404,$AC147),"D",IF(AND(INDEX($Z$5:$Z$404,$AC147)=1,143=INDEX($AB$5:$AB$404,$AC147)),"H",IF(AND(INDEX($AO$5:$AO$404,$AC147)=1,143=INDEX($AB$5:$AB$404,$AC147)+INDEX($Z$5:$Z$404,$AC147)+INDEX($AA$5:$AA$404,$AC147)+INDEX($AO$5:$AO$404,$AC147)),"B","T")))))))</f>
        <v/>
      </c>
      <c r="AF147">
        <f>IF(OR($AD147="",$AD147="Z",$AD147="B"),"",INDEX($X$5:$X$404,$AC147))</f>
        <v/>
      </c>
      <c r="AJ147">
        <f>IF($AD147&lt;&gt;"T",0,ROUND(SUMIF(oil!$B$4:$B$63,$AF147,oil!$AE$4:$AE$63),2))</f>
        <v/>
      </c>
      <c r="AK147">
        <f>IF($S147="","",IFERROR(INDEX(อัตราค่าขนส่ง!$P$5:$P$54,MATCH($S147,อัตราค่าขนส่ง!$O$5:$O$54,0)),INDEX(รายการมาตรฐาน!$G$2:$G$3,1)))</f>
        <v/>
      </c>
      <c r="AL147">
        <f>IF($S147="","",IFERROR(MATCH($AK147,รายการมาตรฐาน!$G$2:$G$3,0),1))</f>
        <v/>
      </c>
      <c r="AM147">
        <f>IF($V147="","",INDEX($AK$5:$AK$404,$V147))</f>
        <v/>
      </c>
      <c r="AN147">
        <f>IF($V147="","",INDEX($AL$5:$AL$404,$V147))</f>
        <v/>
      </c>
      <c r="AO147">
        <f>IF(OR($V147="",$AI$2&lt;=1),0,IF($V148="",1,IF($AN148&lt;&gt;$AN147,1,0)))</f>
        <v/>
      </c>
      <c r="AP147">
        <f>IF($V147="",0,IF($AN147&lt;&gt;$AN146,1,0))</f>
        <v/>
      </c>
      <c r="AQ147">
        <f>IF(OR($AD147="",$AD147="Z"),"",INDEX($AN$5:$AN$404,$AC147))</f>
        <v/>
      </c>
      <c r="AR147">
        <f>IF($Y147="",0,COUNTIF(บันทึกรายเที่ยว!$V$6:$V$6005,$Y147))</f>
        <v/>
      </c>
      <c r="AS147">
        <f>IF($Y147="",0,ROUND(SUMIF(บันทึกรายเที่ยว!$V$6:$V$6005,$Y147,บันทึกรายเที่ยว!$M$6:$M$6005),2))</f>
        <v/>
      </c>
      <c r="AT147">
        <f>IF($Y147="",0,IFERROR(INDEX(อัตราค่าขนส่ง!$G$5:$G$204,MATCH($Y147,อัตราค่าขนส่ง!$M$5:$M$204,0)),0))</f>
        <v/>
      </c>
      <c r="AU147">
        <f>ROUND($AS147*$BD147,2)</f>
        <v/>
      </c>
      <c r="AV147">
        <f>ROUND($AU147*$BF$2/100,2)</f>
        <v/>
      </c>
      <c r="AW147">
        <f>IF($Y147="","",IFERROR(INDEX(อัตราค่าขนส่ง!$F$5:$F$204,MATCH($Y147,อัตราค่าขนส่ง!$M$5:$M$204,0)),""))</f>
        <v/>
      </c>
      <c r="AX147">
        <f>IF($W147="","",INDEX(บันทึกรายเที่ยว!$D$6:$D$6005,$W147))</f>
        <v/>
      </c>
      <c r="AY147">
        <f>IF($W147="","",INDEX(บันทึกรายเที่ยว!$R$6:$R$6005,$W147))</f>
        <v/>
      </c>
      <c r="AZ147">
        <f>IF(AND($AD147="T",$AQ147=1),N($AZ146)+1,N($AZ146))</f>
        <v/>
      </c>
      <c r="BA147">
        <f>IF($W147="","",INDEX(บันทึกรายเที่ยว!$E$6:$E$6005,$W147))</f>
        <v/>
      </c>
      <c r="BC147">
        <f>IF($Y147="",0,IFERROR(INDEX(อัตราค่าขนส่ง!$K$5:$K$204,MATCH($Y147,อัตราค่าขนส่ง!$M$5:$M$204,0)),0))</f>
        <v/>
      </c>
      <c r="BD147">
        <f>IF($Y147="",0,IFERROR(INDEX(อัตราค่าขนส่ง!$L$5:$L$204,MATCH($Y147,อัตราค่าขนส่ง!$M$5:$M$204,0)),0))</f>
        <v/>
      </c>
    </row>
    <row r="148" ht="21" customHeight="1" s="66">
      <c r="A148" s="69">
        <f>IF($AD148="","",IF($AD148="Z","รวมจ่ายทั้งสิ้น",IF($AD148="H",INDEX($X$5:$X$404,$AC148),IF($AD148="T","รวม",IF($AD148="B",IFERROR(INDEX(อัตราค่าขนส่ง!$S$5:$S$14,MATCH(INDEX($AM$5:$AM$404,$AC148),อัตราค่าขนส่ง!$R$5:$R$14,0)),"รวมกลุ่ม "&amp;INDEX($AM$5:$AM$404,$AC148)),INDEX($AY$5:$AY$404,$AC148))))))</f>
        <v/>
      </c>
      <c r="B148" s="31">
        <f>IF($AD148&lt;&gt;"D","",INDEX($AW$5:$AW$404,$AC148))</f>
        <v/>
      </c>
      <c r="C148" s="68">
        <f>IF($AD148&lt;&gt;"D","",INDEX($AX$5:$AX$404,$AC148))</f>
        <v/>
      </c>
      <c r="D148" s="70">
        <f>IF($AD148&lt;&gt;"D","",INDEX($BA$5:$BA$404,$AC148))</f>
        <v/>
      </c>
      <c r="E148" s="31">
        <f>IF($AD148="Z",SUM($AR$5:$AR$404),IF($AD148="D",INDEX($AR$5:$AR$404,$AC148),IF($AD148="T",SUMIF($X$5:$X$404,$AF148,$AR$5:$AR$404),IF($AD148="B",SUMIF($AN$5:$AN$404,$AQ148,$AR$5:$AR$404),""))))</f>
        <v/>
      </c>
      <c r="F148" s="32">
        <f>IF($AD148="Z",ROUND(SUM($AS$5:$AS$404),2),IF($AD148="D",INDEX($AS$5:$AS$404,$AC148),IF($AD148="T",ROUND(SUMIF($X$5:$X$404,$AF148,$AS$5:$AS$404),2),IF($AD148="B",ROUND(SUMIF($AN$5:$AN$404,$AQ148,$AS$5:$AS$404),2),""))))</f>
        <v/>
      </c>
      <c r="G148" s="32">
        <f>IF($AD148&lt;&gt;"D","",INDEX($AT$5:$AT$404,$AC148))</f>
        <v/>
      </c>
      <c r="H148" s="32">
        <f>IF($AD148&lt;&gt;"D","",INDEX($BC$5:$BC$404,$AC148))</f>
        <v/>
      </c>
      <c r="I148" s="32">
        <f>IF($AD148&lt;&gt;"D","",INDEX($BD$5:$BD$404,$AC148))</f>
        <v/>
      </c>
      <c r="J148" s="46">
        <f>IF($AD148&lt;&gt;"D","",IF(N($B148)=0,"",ROUND($I148/$B148,4)))</f>
        <v/>
      </c>
      <c r="K148" s="32">
        <f>IF($AD148="Z",ROUND(SUM($AU$5:$AU$404),2),IF($AD148="D",INDEX($AU$5:$AU$404,$AC148),IF($AD148="T",ROUND(SUMIF($X$5:$X$404,$AF148,$AU$5:$AU$404),2),IF($AD148="B",ROUND(SUMIF($AN$5:$AN$404,$AQ148,$AU$5:$AU$404),2),""))))</f>
        <v/>
      </c>
      <c r="L148" s="32">
        <f>IF($AD148="Z",ROUND(SUM($AV$5:$AV$404),2),IF($AD148="D",INDEX($AV$5:$AV$404,$AC148),IF($AD148="T",ROUND(SUMIF($X$5:$X$404,$AF148,$AV$5:$AV$404),2),IF($AD148="B",ROUND(SUMIF($AN$5:$AN$404,$AQ148,$AV$5:$AV$404),2),""))))</f>
        <v/>
      </c>
      <c r="M148" s="32">
        <f>IF($AD148="Z",ROUND(SUM($AJ$5:$AJ$704),2),IF($AD148="B",ROUND(SUMIF($AQ$5:$AQ$704,$AQ148,$AJ$5:$AJ$704),2),IF($AD148&lt;&gt;"T","",$AJ148)))</f>
        <v/>
      </c>
      <c r="N148" s="32">
        <f>IF(OR($AD148="D",$AD148="T",$AD148="B",$AD148="Z"),ROUND(N($K148)-N($L148)-N($M148),2),"")</f>
        <v/>
      </c>
      <c r="O148" s="32">
        <f>IF(OR($AD148="D",$AD148="T",$AD148="B",$AD148="Z"),IF(N($E148)=0,"",ROUND($F148/$E148,2)),"")</f>
        <v/>
      </c>
      <c r="Q148">
        <f>IFERROR(MATCH(144,บันทึกรายเที่ยว!$Z$6:$Z$6005,0),"")</f>
        <v/>
      </c>
      <c r="R148">
        <f>IF($Q148="","",INDEX(บันทึกรายเที่ยว!$V$6:$V$6005,$Q148))</f>
        <v/>
      </c>
      <c r="S148">
        <f>IF($Q148="","",INDEX(บันทึกรายเที่ยว!$F$6:$F$6005,$Q148))</f>
        <v/>
      </c>
      <c r="T148">
        <f>IF($Q148="","",MATCH($S148,บันทึกรายเที่ยว!$F$6:$F$6005,0))</f>
        <v/>
      </c>
      <c r="U148">
        <f>IF($Q148="","",$AL148*10000000+$T148*1000+144)</f>
        <v/>
      </c>
      <c r="V148">
        <f>IFERROR(MATCH(SMALL($U$5:$U$404,144),$U$5:$U$404,0),"")</f>
        <v/>
      </c>
      <c r="W148">
        <f>IF($V148="","",INDEX($Q$5:$Q$404,$V148))</f>
        <v/>
      </c>
      <c r="X148">
        <f>IF($V148="","",INDEX($S$5:$S$404,$V148))</f>
        <v/>
      </c>
      <c r="Y148">
        <f>IF($V148="","",INDEX($R$5:$R$404,$V148))</f>
        <v/>
      </c>
      <c r="Z148">
        <f>IF($V148="",0,IF($X148&lt;&gt;$X147,1,0))</f>
        <v/>
      </c>
      <c r="AA148">
        <f>IF($V148="",0,IF($V149="",1,IF($X149&lt;&gt;$X148,1,0)))</f>
        <v/>
      </c>
      <c r="AB148">
        <f>IF($V148="",99999+144,$AB147+1+$Z147+$AA147+$AO147)</f>
        <v/>
      </c>
      <c r="AC148">
        <f>IFERROR(MATCH(144,$AB$5:$AB$404,1),"")</f>
        <v/>
      </c>
      <c r="AD148">
        <f>IF(144=$AI$1+1,"Z",IF($AC148="","",IF(INDEX($V$5:$V$404,$AC148)="","",IF(144&gt;INDEX($AB$5:$AB$404,$AC148)+INDEX($Z$5:$Z$404,$AC148)+INDEX($AA$5:$AA$404,$AC148)+INDEX($AO$5:$AO$404,$AC148),"",IF(144=INDEX($AB$5:$AB$404,$AC148)+INDEX($Z$5:$Z$404,$AC148),"D",IF(AND(INDEX($Z$5:$Z$404,$AC148)=1,144=INDEX($AB$5:$AB$404,$AC148)),"H",IF(AND(INDEX($AO$5:$AO$404,$AC148)=1,144=INDEX($AB$5:$AB$404,$AC148)+INDEX($Z$5:$Z$404,$AC148)+INDEX($AA$5:$AA$404,$AC148)+INDEX($AO$5:$AO$404,$AC148)),"B","T")))))))</f>
        <v/>
      </c>
      <c r="AF148">
        <f>IF(OR($AD148="",$AD148="Z",$AD148="B"),"",INDEX($X$5:$X$404,$AC148))</f>
        <v/>
      </c>
      <c r="AJ148">
        <f>IF($AD148&lt;&gt;"T",0,ROUND(SUMIF(oil!$B$4:$B$63,$AF148,oil!$AE$4:$AE$63),2))</f>
        <v/>
      </c>
      <c r="AK148">
        <f>IF($S148="","",IFERROR(INDEX(อัตราค่าขนส่ง!$P$5:$P$54,MATCH($S148,อัตราค่าขนส่ง!$O$5:$O$54,0)),INDEX(รายการมาตรฐาน!$G$2:$G$3,1)))</f>
        <v/>
      </c>
      <c r="AL148">
        <f>IF($S148="","",IFERROR(MATCH($AK148,รายการมาตรฐาน!$G$2:$G$3,0),1))</f>
        <v/>
      </c>
      <c r="AM148">
        <f>IF($V148="","",INDEX($AK$5:$AK$404,$V148))</f>
        <v/>
      </c>
      <c r="AN148">
        <f>IF($V148="","",INDEX($AL$5:$AL$404,$V148))</f>
        <v/>
      </c>
      <c r="AO148">
        <f>IF(OR($V148="",$AI$2&lt;=1),0,IF($V149="",1,IF($AN149&lt;&gt;$AN148,1,0)))</f>
        <v/>
      </c>
      <c r="AP148">
        <f>IF($V148="",0,IF($AN148&lt;&gt;$AN147,1,0))</f>
        <v/>
      </c>
      <c r="AQ148">
        <f>IF(OR($AD148="",$AD148="Z"),"",INDEX($AN$5:$AN$404,$AC148))</f>
        <v/>
      </c>
      <c r="AR148">
        <f>IF($Y148="",0,COUNTIF(บันทึกรายเที่ยว!$V$6:$V$6005,$Y148))</f>
        <v/>
      </c>
      <c r="AS148">
        <f>IF($Y148="",0,ROUND(SUMIF(บันทึกรายเที่ยว!$V$6:$V$6005,$Y148,บันทึกรายเที่ยว!$M$6:$M$6005),2))</f>
        <v/>
      </c>
      <c r="AT148">
        <f>IF($Y148="",0,IFERROR(INDEX(อัตราค่าขนส่ง!$G$5:$G$204,MATCH($Y148,อัตราค่าขนส่ง!$M$5:$M$204,0)),0))</f>
        <v/>
      </c>
      <c r="AU148">
        <f>ROUND($AS148*$BD148,2)</f>
        <v/>
      </c>
      <c r="AV148">
        <f>ROUND($AU148*$BF$2/100,2)</f>
        <v/>
      </c>
      <c r="AW148">
        <f>IF($Y148="","",IFERROR(INDEX(อัตราค่าขนส่ง!$F$5:$F$204,MATCH($Y148,อัตราค่าขนส่ง!$M$5:$M$204,0)),""))</f>
        <v/>
      </c>
      <c r="AX148">
        <f>IF($W148="","",INDEX(บันทึกรายเที่ยว!$D$6:$D$6005,$W148))</f>
        <v/>
      </c>
      <c r="AY148">
        <f>IF($W148="","",INDEX(บันทึกรายเที่ยว!$R$6:$R$6005,$W148))</f>
        <v/>
      </c>
      <c r="AZ148">
        <f>IF(AND($AD148="T",$AQ148=1),N($AZ147)+1,N($AZ147))</f>
        <v/>
      </c>
      <c r="BA148">
        <f>IF($W148="","",INDEX(บันทึกรายเที่ยว!$E$6:$E$6005,$W148))</f>
        <v/>
      </c>
      <c r="BC148">
        <f>IF($Y148="",0,IFERROR(INDEX(อัตราค่าขนส่ง!$K$5:$K$204,MATCH($Y148,อัตราค่าขนส่ง!$M$5:$M$204,0)),0))</f>
        <v/>
      </c>
      <c r="BD148">
        <f>IF($Y148="",0,IFERROR(INDEX(อัตราค่าขนส่ง!$L$5:$L$204,MATCH($Y148,อัตราค่าขนส่ง!$M$5:$M$204,0)),0))</f>
        <v/>
      </c>
    </row>
    <row r="149" ht="21" customHeight="1" s="66">
      <c r="A149" s="69">
        <f>IF($AD149="","",IF($AD149="Z","รวมจ่ายทั้งสิ้น",IF($AD149="H",INDEX($X$5:$X$404,$AC149),IF($AD149="T","รวม",IF($AD149="B",IFERROR(INDEX(อัตราค่าขนส่ง!$S$5:$S$14,MATCH(INDEX($AM$5:$AM$404,$AC149),อัตราค่าขนส่ง!$R$5:$R$14,0)),"รวมกลุ่ม "&amp;INDEX($AM$5:$AM$404,$AC149)),INDEX($AY$5:$AY$404,$AC149))))))</f>
        <v/>
      </c>
      <c r="B149" s="31">
        <f>IF($AD149&lt;&gt;"D","",INDEX($AW$5:$AW$404,$AC149))</f>
        <v/>
      </c>
      <c r="C149" s="68">
        <f>IF($AD149&lt;&gt;"D","",INDEX($AX$5:$AX$404,$AC149))</f>
        <v/>
      </c>
      <c r="D149" s="70">
        <f>IF($AD149&lt;&gt;"D","",INDEX($BA$5:$BA$404,$AC149))</f>
        <v/>
      </c>
      <c r="E149" s="31">
        <f>IF($AD149="Z",SUM($AR$5:$AR$404),IF($AD149="D",INDEX($AR$5:$AR$404,$AC149),IF($AD149="T",SUMIF($X$5:$X$404,$AF149,$AR$5:$AR$404),IF($AD149="B",SUMIF($AN$5:$AN$404,$AQ149,$AR$5:$AR$404),""))))</f>
        <v/>
      </c>
      <c r="F149" s="32">
        <f>IF($AD149="Z",ROUND(SUM($AS$5:$AS$404),2),IF($AD149="D",INDEX($AS$5:$AS$404,$AC149),IF($AD149="T",ROUND(SUMIF($X$5:$X$404,$AF149,$AS$5:$AS$404),2),IF($AD149="B",ROUND(SUMIF($AN$5:$AN$404,$AQ149,$AS$5:$AS$404),2),""))))</f>
        <v/>
      </c>
      <c r="G149" s="32">
        <f>IF($AD149&lt;&gt;"D","",INDEX($AT$5:$AT$404,$AC149))</f>
        <v/>
      </c>
      <c r="H149" s="32">
        <f>IF($AD149&lt;&gt;"D","",INDEX($BC$5:$BC$404,$AC149))</f>
        <v/>
      </c>
      <c r="I149" s="32">
        <f>IF($AD149&lt;&gt;"D","",INDEX($BD$5:$BD$404,$AC149))</f>
        <v/>
      </c>
      <c r="J149" s="46">
        <f>IF($AD149&lt;&gt;"D","",IF(N($B149)=0,"",ROUND($I149/$B149,4)))</f>
        <v/>
      </c>
      <c r="K149" s="32">
        <f>IF($AD149="Z",ROUND(SUM($AU$5:$AU$404),2),IF($AD149="D",INDEX($AU$5:$AU$404,$AC149),IF($AD149="T",ROUND(SUMIF($X$5:$X$404,$AF149,$AU$5:$AU$404),2),IF($AD149="B",ROUND(SUMIF($AN$5:$AN$404,$AQ149,$AU$5:$AU$404),2),""))))</f>
        <v/>
      </c>
      <c r="L149" s="32">
        <f>IF($AD149="Z",ROUND(SUM($AV$5:$AV$404),2),IF($AD149="D",INDEX($AV$5:$AV$404,$AC149),IF($AD149="T",ROUND(SUMIF($X$5:$X$404,$AF149,$AV$5:$AV$404),2),IF($AD149="B",ROUND(SUMIF($AN$5:$AN$404,$AQ149,$AV$5:$AV$404),2),""))))</f>
        <v/>
      </c>
      <c r="M149" s="32">
        <f>IF($AD149="Z",ROUND(SUM($AJ$5:$AJ$704),2),IF($AD149="B",ROUND(SUMIF($AQ$5:$AQ$704,$AQ149,$AJ$5:$AJ$704),2),IF($AD149&lt;&gt;"T","",$AJ149)))</f>
        <v/>
      </c>
      <c r="N149" s="32">
        <f>IF(OR($AD149="D",$AD149="T",$AD149="B",$AD149="Z"),ROUND(N($K149)-N($L149)-N($M149),2),"")</f>
        <v/>
      </c>
      <c r="O149" s="32">
        <f>IF(OR($AD149="D",$AD149="T",$AD149="B",$AD149="Z"),IF(N($E149)=0,"",ROUND($F149/$E149,2)),"")</f>
        <v/>
      </c>
      <c r="Q149">
        <f>IFERROR(MATCH(145,บันทึกรายเที่ยว!$Z$6:$Z$6005,0),"")</f>
        <v/>
      </c>
      <c r="R149">
        <f>IF($Q149="","",INDEX(บันทึกรายเที่ยว!$V$6:$V$6005,$Q149))</f>
        <v/>
      </c>
      <c r="S149">
        <f>IF($Q149="","",INDEX(บันทึกรายเที่ยว!$F$6:$F$6005,$Q149))</f>
        <v/>
      </c>
      <c r="T149">
        <f>IF($Q149="","",MATCH($S149,บันทึกรายเที่ยว!$F$6:$F$6005,0))</f>
        <v/>
      </c>
      <c r="U149">
        <f>IF($Q149="","",$AL149*10000000+$T149*1000+145)</f>
        <v/>
      </c>
      <c r="V149">
        <f>IFERROR(MATCH(SMALL($U$5:$U$404,145),$U$5:$U$404,0),"")</f>
        <v/>
      </c>
      <c r="W149">
        <f>IF($V149="","",INDEX($Q$5:$Q$404,$V149))</f>
        <v/>
      </c>
      <c r="X149">
        <f>IF($V149="","",INDEX($S$5:$S$404,$V149))</f>
        <v/>
      </c>
      <c r="Y149">
        <f>IF($V149="","",INDEX($R$5:$R$404,$V149))</f>
        <v/>
      </c>
      <c r="Z149">
        <f>IF($V149="",0,IF($X149&lt;&gt;$X148,1,0))</f>
        <v/>
      </c>
      <c r="AA149">
        <f>IF($V149="",0,IF($V150="",1,IF($X150&lt;&gt;$X149,1,0)))</f>
        <v/>
      </c>
      <c r="AB149">
        <f>IF($V149="",99999+145,$AB148+1+$Z148+$AA148+$AO148)</f>
        <v/>
      </c>
      <c r="AC149">
        <f>IFERROR(MATCH(145,$AB$5:$AB$404,1),"")</f>
        <v/>
      </c>
      <c r="AD149">
        <f>IF(145=$AI$1+1,"Z",IF($AC149="","",IF(INDEX($V$5:$V$404,$AC149)="","",IF(145&gt;INDEX($AB$5:$AB$404,$AC149)+INDEX($Z$5:$Z$404,$AC149)+INDEX($AA$5:$AA$404,$AC149)+INDEX($AO$5:$AO$404,$AC149),"",IF(145=INDEX($AB$5:$AB$404,$AC149)+INDEX($Z$5:$Z$404,$AC149),"D",IF(AND(INDEX($Z$5:$Z$404,$AC149)=1,145=INDEX($AB$5:$AB$404,$AC149)),"H",IF(AND(INDEX($AO$5:$AO$404,$AC149)=1,145=INDEX($AB$5:$AB$404,$AC149)+INDEX($Z$5:$Z$404,$AC149)+INDEX($AA$5:$AA$404,$AC149)+INDEX($AO$5:$AO$404,$AC149)),"B","T")))))))</f>
        <v/>
      </c>
      <c r="AF149">
        <f>IF(OR($AD149="",$AD149="Z",$AD149="B"),"",INDEX($X$5:$X$404,$AC149))</f>
        <v/>
      </c>
      <c r="AJ149">
        <f>IF($AD149&lt;&gt;"T",0,ROUND(SUMIF(oil!$B$4:$B$63,$AF149,oil!$AE$4:$AE$63),2))</f>
        <v/>
      </c>
      <c r="AK149">
        <f>IF($S149="","",IFERROR(INDEX(อัตราค่าขนส่ง!$P$5:$P$54,MATCH($S149,อัตราค่าขนส่ง!$O$5:$O$54,0)),INDEX(รายการมาตรฐาน!$G$2:$G$3,1)))</f>
        <v/>
      </c>
      <c r="AL149">
        <f>IF($S149="","",IFERROR(MATCH($AK149,รายการมาตรฐาน!$G$2:$G$3,0),1))</f>
        <v/>
      </c>
      <c r="AM149">
        <f>IF($V149="","",INDEX($AK$5:$AK$404,$V149))</f>
        <v/>
      </c>
      <c r="AN149">
        <f>IF($V149="","",INDEX($AL$5:$AL$404,$V149))</f>
        <v/>
      </c>
      <c r="AO149">
        <f>IF(OR($V149="",$AI$2&lt;=1),0,IF($V150="",1,IF($AN150&lt;&gt;$AN149,1,0)))</f>
        <v/>
      </c>
      <c r="AP149">
        <f>IF($V149="",0,IF($AN149&lt;&gt;$AN148,1,0))</f>
        <v/>
      </c>
      <c r="AQ149">
        <f>IF(OR($AD149="",$AD149="Z"),"",INDEX($AN$5:$AN$404,$AC149))</f>
        <v/>
      </c>
      <c r="AR149">
        <f>IF($Y149="",0,COUNTIF(บันทึกรายเที่ยว!$V$6:$V$6005,$Y149))</f>
        <v/>
      </c>
      <c r="AS149">
        <f>IF($Y149="",0,ROUND(SUMIF(บันทึกรายเที่ยว!$V$6:$V$6005,$Y149,บันทึกรายเที่ยว!$M$6:$M$6005),2))</f>
        <v/>
      </c>
      <c r="AT149">
        <f>IF($Y149="",0,IFERROR(INDEX(อัตราค่าขนส่ง!$G$5:$G$204,MATCH($Y149,อัตราค่าขนส่ง!$M$5:$M$204,0)),0))</f>
        <v/>
      </c>
      <c r="AU149">
        <f>ROUND($AS149*$BD149,2)</f>
        <v/>
      </c>
      <c r="AV149">
        <f>ROUND($AU149*$BF$2/100,2)</f>
        <v/>
      </c>
      <c r="AW149">
        <f>IF($Y149="","",IFERROR(INDEX(อัตราค่าขนส่ง!$F$5:$F$204,MATCH($Y149,อัตราค่าขนส่ง!$M$5:$M$204,0)),""))</f>
        <v/>
      </c>
      <c r="AX149">
        <f>IF($W149="","",INDEX(บันทึกรายเที่ยว!$D$6:$D$6005,$W149))</f>
        <v/>
      </c>
      <c r="AY149">
        <f>IF($W149="","",INDEX(บันทึกรายเที่ยว!$R$6:$R$6005,$W149))</f>
        <v/>
      </c>
      <c r="AZ149">
        <f>IF(AND($AD149="T",$AQ149=1),N($AZ148)+1,N($AZ148))</f>
        <v/>
      </c>
      <c r="BA149">
        <f>IF($W149="","",INDEX(บันทึกรายเที่ยว!$E$6:$E$6005,$W149))</f>
        <v/>
      </c>
      <c r="BC149">
        <f>IF($Y149="",0,IFERROR(INDEX(อัตราค่าขนส่ง!$K$5:$K$204,MATCH($Y149,อัตราค่าขนส่ง!$M$5:$M$204,0)),0))</f>
        <v/>
      </c>
      <c r="BD149">
        <f>IF($Y149="",0,IFERROR(INDEX(อัตราค่าขนส่ง!$L$5:$L$204,MATCH($Y149,อัตราค่าขนส่ง!$M$5:$M$204,0)),0))</f>
        <v/>
      </c>
    </row>
    <row r="150" ht="21" customHeight="1" s="66">
      <c r="A150" s="69">
        <f>IF($AD150="","",IF($AD150="Z","รวมจ่ายทั้งสิ้น",IF($AD150="H",INDEX($X$5:$X$404,$AC150),IF($AD150="T","รวม",IF($AD150="B",IFERROR(INDEX(อัตราค่าขนส่ง!$S$5:$S$14,MATCH(INDEX($AM$5:$AM$404,$AC150),อัตราค่าขนส่ง!$R$5:$R$14,0)),"รวมกลุ่ม "&amp;INDEX($AM$5:$AM$404,$AC150)),INDEX($AY$5:$AY$404,$AC150))))))</f>
        <v/>
      </c>
      <c r="B150" s="31">
        <f>IF($AD150&lt;&gt;"D","",INDEX($AW$5:$AW$404,$AC150))</f>
        <v/>
      </c>
      <c r="C150" s="68">
        <f>IF($AD150&lt;&gt;"D","",INDEX($AX$5:$AX$404,$AC150))</f>
        <v/>
      </c>
      <c r="D150" s="70">
        <f>IF($AD150&lt;&gt;"D","",INDEX($BA$5:$BA$404,$AC150))</f>
        <v/>
      </c>
      <c r="E150" s="31">
        <f>IF($AD150="Z",SUM($AR$5:$AR$404),IF($AD150="D",INDEX($AR$5:$AR$404,$AC150),IF($AD150="T",SUMIF($X$5:$X$404,$AF150,$AR$5:$AR$404),IF($AD150="B",SUMIF($AN$5:$AN$404,$AQ150,$AR$5:$AR$404),""))))</f>
        <v/>
      </c>
      <c r="F150" s="32">
        <f>IF($AD150="Z",ROUND(SUM($AS$5:$AS$404),2),IF($AD150="D",INDEX($AS$5:$AS$404,$AC150),IF($AD150="T",ROUND(SUMIF($X$5:$X$404,$AF150,$AS$5:$AS$404),2),IF($AD150="B",ROUND(SUMIF($AN$5:$AN$404,$AQ150,$AS$5:$AS$404),2),""))))</f>
        <v/>
      </c>
      <c r="G150" s="32">
        <f>IF($AD150&lt;&gt;"D","",INDEX($AT$5:$AT$404,$AC150))</f>
        <v/>
      </c>
      <c r="H150" s="32">
        <f>IF($AD150&lt;&gt;"D","",INDEX($BC$5:$BC$404,$AC150))</f>
        <v/>
      </c>
      <c r="I150" s="32">
        <f>IF($AD150&lt;&gt;"D","",INDEX($BD$5:$BD$404,$AC150))</f>
        <v/>
      </c>
      <c r="J150" s="46">
        <f>IF($AD150&lt;&gt;"D","",IF(N($B150)=0,"",ROUND($I150/$B150,4)))</f>
        <v/>
      </c>
      <c r="K150" s="32">
        <f>IF($AD150="Z",ROUND(SUM($AU$5:$AU$404),2),IF($AD150="D",INDEX($AU$5:$AU$404,$AC150),IF($AD150="T",ROUND(SUMIF($X$5:$X$404,$AF150,$AU$5:$AU$404),2),IF($AD150="B",ROUND(SUMIF($AN$5:$AN$404,$AQ150,$AU$5:$AU$404),2),""))))</f>
        <v/>
      </c>
      <c r="L150" s="32">
        <f>IF($AD150="Z",ROUND(SUM($AV$5:$AV$404),2),IF($AD150="D",INDEX($AV$5:$AV$404,$AC150),IF($AD150="T",ROUND(SUMIF($X$5:$X$404,$AF150,$AV$5:$AV$404),2),IF($AD150="B",ROUND(SUMIF($AN$5:$AN$404,$AQ150,$AV$5:$AV$404),2),""))))</f>
        <v/>
      </c>
      <c r="M150" s="32">
        <f>IF($AD150="Z",ROUND(SUM($AJ$5:$AJ$704),2),IF($AD150="B",ROUND(SUMIF($AQ$5:$AQ$704,$AQ150,$AJ$5:$AJ$704),2),IF($AD150&lt;&gt;"T","",$AJ150)))</f>
        <v/>
      </c>
      <c r="N150" s="32">
        <f>IF(OR($AD150="D",$AD150="T",$AD150="B",$AD150="Z"),ROUND(N($K150)-N($L150)-N($M150),2),"")</f>
        <v/>
      </c>
      <c r="O150" s="32">
        <f>IF(OR($AD150="D",$AD150="T",$AD150="B",$AD150="Z"),IF(N($E150)=0,"",ROUND($F150/$E150,2)),"")</f>
        <v/>
      </c>
      <c r="Q150">
        <f>IFERROR(MATCH(146,บันทึกรายเที่ยว!$Z$6:$Z$6005,0),"")</f>
        <v/>
      </c>
      <c r="R150">
        <f>IF($Q150="","",INDEX(บันทึกรายเที่ยว!$V$6:$V$6005,$Q150))</f>
        <v/>
      </c>
      <c r="S150">
        <f>IF($Q150="","",INDEX(บันทึกรายเที่ยว!$F$6:$F$6005,$Q150))</f>
        <v/>
      </c>
      <c r="T150">
        <f>IF($Q150="","",MATCH($S150,บันทึกรายเที่ยว!$F$6:$F$6005,0))</f>
        <v/>
      </c>
      <c r="U150">
        <f>IF($Q150="","",$AL150*10000000+$T150*1000+146)</f>
        <v/>
      </c>
      <c r="V150">
        <f>IFERROR(MATCH(SMALL($U$5:$U$404,146),$U$5:$U$404,0),"")</f>
        <v/>
      </c>
      <c r="W150">
        <f>IF($V150="","",INDEX($Q$5:$Q$404,$V150))</f>
        <v/>
      </c>
      <c r="X150">
        <f>IF($V150="","",INDEX($S$5:$S$404,$V150))</f>
        <v/>
      </c>
      <c r="Y150">
        <f>IF($V150="","",INDEX($R$5:$R$404,$V150))</f>
        <v/>
      </c>
      <c r="Z150">
        <f>IF($V150="",0,IF($X150&lt;&gt;$X149,1,0))</f>
        <v/>
      </c>
      <c r="AA150">
        <f>IF($V150="",0,IF($V151="",1,IF($X151&lt;&gt;$X150,1,0)))</f>
        <v/>
      </c>
      <c r="AB150">
        <f>IF($V150="",99999+146,$AB149+1+$Z149+$AA149+$AO149)</f>
        <v/>
      </c>
      <c r="AC150">
        <f>IFERROR(MATCH(146,$AB$5:$AB$404,1),"")</f>
        <v/>
      </c>
      <c r="AD150">
        <f>IF(146=$AI$1+1,"Z",IF($AC150="","",IF(INDEX($V$5:$V$404,$AC150)="","",IF(146&gt;INDEX($AB$5:$AB$404,$AC150)+INDEX($Z$5:$Z$404,$AC150)+INDEX($AA$5:$AA$404,$AC150)+INDEX($AO$5:$AO$404,$AC150),"",IF(146=INDEX($AB$5:$AB$404,$AC150)+INDEX($Z$5:$Z$404,$AC150),"D",IF(AND(INDEX($Z$5:$Z$404,$AC150)=1,146=INDEX($AB$5:$AB$404,$AC150)),"H",IF(AND(INDEX($AO$5:$AO$404,$AC150)=1,146=INDEX($AB$5:$AB$404,$AC150)+INDEX($Z$5:$Z$404,$AC150)+INDEX($AA$5:$AA$404,$AC150)+INDEX($AO$5:$AO$404,$AC150)),"B","T")))))))</f>
        <v/>
      </c>
      <c r="AF150">
        <f>IF(OR($AD150="",$AD150="Z",$AD150="B"),"",INDEX($X$5:$X$404,$AC150))</f>
        <v/>
      </c>
      <c r="AJ150">
        <f>IF($AD150&lt;&gt;"T",0,ROUND(SUMIF(oil!$B$4:$B$63,$AF150,oil!$AE$4:$AE$63),2))</f>
        <v/>
      </c>
      <c r="AK150">
        <f>IF($S150="","",IFERROR(INDEX(อัตราค่าขนส่ง!$P$5:$P$54,MATCH($S150,อัตราค่าขนส่ง!$O$5:$O$54,0)),INDEX(รายการมาตรฐาน!$G$2:$G$3,1)))</f>
        <v/>
      </c>
      <c r="AL150">
        <f>IF($S150="","",IFERROR(MATCH($AK150,รายการมาตรฐาน!$G$2:$G$3,0),1))</f>
        <v/>
      </c>
      <c r="AM150">
        <f>IF($V150="","",INDEX($AK$5:$AK$404,$V150))</f>
        <v/>
      </c>
      <c r="AN150">
        <f>IF($V150="","",INDEX($AL$5:$AL$404,$V150))</f>
        <v/>
      </c>
      <c r="AO150">
        <f>IF(OR($V150="",$AI$2&lt;=1),0,IF($V151="",1,IF($AN151&lt;&gt;$AN150,1,0)))</f>
        <v/>
      </c>
      <c r="AP150">
        <f>IF($V150="",0,IF($AN150&lt;&gt;$AN149,1,0))</f>
        <v/>
      </c>
      <c r="AQ150">
        <f>IF(OR($AD150="",$AD150="Z"),"",INDEX($AN$5:$AN$404,$AC150))</f>
        <v/>
      </c>
      <c r="AR150">
        <f>IF($Y150="",0,COUNTIF(บันทึกรายเที่ยว!$V$6:$V$6005,$Y150))</f>
        <v/>
      </c>
      <c r="AS150">
        <f>IF($Y150="",0,ROUND(SUMIF(บันทึกรายเที่ยว!$V$6:$V$6005,$Y150,บันทึกรายเที่ยว!$M$6:$M$6005),2))</f>
        <v/>
      </c>
      <c r="AT150">
        <f>IF($Y150="",0,IFERROR(INDEX(อัตราค่าขนส่ง!$G$5:$G$204,MATCH($Y150,อัตราค่าขนส่ง!$M$5:$M$204,0)),0))</f>
        <v/>
      </c>
      <c r="AU150">
        <f>ROUND($AS150*$BD150,2)</f>
        <v/>
      </c>
      <c r="AV150">
        <f>ROUND($AU150*$BF$2/100,2)</f>
        <v/>
      </c>
      <c r="AW150">
        <f>IF($Y150="","",IFERROR(INDEX(อัตราค่าขนส่ง!$F$5:$F$204,MATCH($Y150,อัตราค่าขนส่ง!$M$5:$M$204,0)),""))</f>
        <v/>
      </c>
      <c r="AX150">
        <f>IF($W150="","",INDEX(บันทึกรายเที่ยว!$D$6:$D$6005,$W150))</f>
        <v/>
      </c>
      <c r="AY150">
        <f>IF($W150="","",INDEX(บันทึกรายเที่ยว!$R$6:$R$6005,$W150))</f>
        <v/>
      </c>
      <c r="AZ150">
        <f>IF(AND($AD150="T",$AQ150=1),N($AZ149)+1,N($AZ149))</f>
        <v/>
      </c>
      <c r="BA150">
        <f>IF($W150="","",INDEX(บันทึกรายเที่ยว!$E$6:$E$6005,$W150))</f>
        <v/>
      </c>
      <c r="BC150">
        <f>IF($Y150="",0,IFERROR(INDEX(อัตราค่าขนส่ง!$K$5:$K$204,MATCH($Y150,อัตราค่าขนส่ง!$M$5:$M$204,0)),0))</f>
        <v/>
      </c>
      <c r="BD150">
        <f>IF($Y150="",0,IFERROR(INDEX(อัตราค่าขนส่ง!$L$5:$L$204,MATCH($Y150,อัตราค่าขนส่ง!$M$5:$M$204,0)),0))</f>
        <v/>
      </c>
    </row>
    <row r="151" ht="21" customHeight="1" s="66">
      <c r="A151" s="69">
        <f>IF($AD151="","",IF($AD151="Z","รวมจ่ายทั้งสิ้น",IF($AD151="H",INDEX($X$5:$X$404,$AC151),IF($AD151="T","รวม",IF($AD151="B",IFERROR(INDEX(อัตราค่าขนส่ง!$S$5:$S$14,MATCH(INDEX($AM$5:$AM$404,$AC151),อัตราค่าขนส่ง!$R$5:$R$14,0)),"รวมกลุ่ม "&amp;INDEX($AM$5:$AM$404,$AC151)),INDEX($AY$5:$AY$404,$AC151))))))</f>
        <v/>
      </c>
      <c r="B151" s="31">
        <f>IF($AD151&lt;&gt;"D","",INDEX($AW$5:$AW$404,$AC151))</f>
        <v/>
      </c>
      <c r="C151" s="68">
        <f>IF($AD151&lt;&gt;"D","",INDEX($AX$5:$AX$404,$AC151))</f>
        <v/>
      </c>
      <c r="D151" s="70">
        <f>IF($AD151&lt;&gt;"D","",INDEX($BA$5:$BA$404,$AC151))</f>
        <v/>
      </c>
      <c r="E151" s="31">
        <f>IF($AD151="Z",SUM($AR$5:$AR$404),IF($AD151="D",INDEX($AR$5:$AR$404,$AC151),IF($AD151="T",SUMIF($X$5:$X$404,$AF151,$AR$5:$AR$404),IF($AD151="B",SUMIF($AN$5:$AN$404,$AQ151,$AR$5:$AR$404),""))))</f>
        <v/>
      </c>
      <c r="F151" s="32">
        <f>IF($AD151="Z",ROUND(SUM($AS$5:$AS$404),2),IF($AD151="D",INDEX($AS$5:$AS$404,$AC151),IF($AD151="T",ROUND(SUMIF($X$5:$X$404,$AF151,$AS$5:$AS$404),2),IF($AD151="B",ROUND(SUMIF($AN$5:$AN$404,$AQ151,$AS$5:$AS$404),2),""))))</f>
        <v/>
      </c>
      <c r="G151" s="32">
        <f>IF($AD151&lt;&gt;"D","",INDEX($AT$5:$AT$404,$AC151))</f>
        <v/>
      </c>
      <c r="H151" s="32">
        <f>IF($AD151&lt;&gt;"D","",INDEX($BC$5:$BC$404,$AC151))</f>
        <v/>
      </c>
      <c r="I151" s="32">
        <f>IF($AD151&lt;&gt;"D","",INDEX($BD$5:$BD$404,$AC151))</f>
        <v/>
      </c>
      <c r="J151" s="46">
        <f>IF($AD151&lt;&gt;"D","",IF(N($B151)=0,"",ROUND($I151/$B151,4)))</f>
        <v/>
      </c>
      <c r="K151" s="32">
        <f>IF($AD151="Z",ROUND(SUM($AU$5:$AU$404),2),IF($AD151="D",INDEX($AU$5:$AU$404,$AC151),IF($AD151="T",ROUND(SUMIF($X$5:$X$404,$AF151,$AU$5:$AU$404),2),IF($AD151="B",ROUND(SUMIF($AN$5:$AN$404,$AQ151,$AU$5:$AU$404),2),""))))</f>
        <v/>
      </c>
      <c r="L151" s="32">
        <f>IF($AD151="Z",ROUND(SUM($AV$5:$AV$404),2),IF($AD151="D",INDEX($AV$5:$AV$404,$AC151),IF($AD151="T",ROUND(SUMIF($X$5:$X$404,$AF151,$AV$5:$AV$404),2),IF($AD151="B",ROUND(SUMIF($AN$5:$AN$404,$AQ151,$AV$5:$AV$404),2),""))))</f>
        <v/>
      </c>
      <c r="M151" s="32">
        <f>IF($AD151="Z",ROUND(SUM($AJ$5:$AJ$704),2),IF($AD151="B",ROUND(SUMIF($AQ$5:$AQ$704,$AQ151,$AJ$5:$AJ$704),2),IF($AD151&lt;&gt;"T","",$AJ151)))</f>
        <v/>
      </c>
      <c r="N151" s="32">
        <f>IF(OR($AD151="D",$AD151="T",$AD151="B",$AD151="Z"),ROUND(N($K151)-N($L151)-N($M151),2),"")</f>
        <v/>
      </c>
      <c r="O151" s="32">
        <f>IF(OR($AD151="D",$AD151="T",$AD151="B",$AD151="Z"),IF(N($E151)=0,"",ROUND($F151/$E151,2)),"")</f>
        <v/>
      </c>
      <c r="Q151">
        <f>IFERROR(MATCH(147,บันทึกรายเที่ยว!$Z$6:$Z$6005,0),"")</f>
        <v/>
      </c>
      <c r="R151">
        <f>IF($Q151="","",INDEX(บันทึกรายเที่ยว!$V$6:$V$6005,$Q151))</f>
        <v/>
      </c>
      <c r="S151">
        <f>IF($Q151="","",INDEX(บันทึกรายเที่ยว!$F$6:$F$6005,$Q151))</f>
        <v/>
      </c>
      <c r="T151">
        <f>IF($Q151="","",MATCH($S151,บันทึกรายเที่ยว!$F$6:$F$6005,0))</f>
        <v/>
      </c>
      <c r="U151">
        <f>IF($Q151="","",$AL151*10000000+$T151*1000+147)</f>
        <v/>
      </c>
      <c r="V151">
        <f>IFERROR(MATCH(SMALL($U$5:$U$404,147),$U$5:$U$404,0),"")</f>
        <v/>
      </c>
      <c r="W151">
        <f>IF($V151="","",INDEX($Q$5:$Q$404,$V151))</f>
        <v/>
      </c>
      <c r="X151">
        <f>IF($V151="","",INDEX($S$5:$S$404,$V151))</f>
        <v/>
      </c>
      <c r="Y151">
        <f>IF($V151="","",INDEX($R$5:$R$404,$V151))</f>
        <v/>
      </c>
      <c r="Z151">
        <f>IF($V151="",0,IF($X151&lt;&gt;$X150,1,0))</f>
        <v/>
      </c>
      <c r="AA151">
        <f>IF($V151="",0,IF($V152="",1,IF($X152&lt;&gt;$X151,1,0)))</f>
        <v/>
      </c>
      <c r="AB151">
        <f>IF($V151="",99999+147,$AB150+1+$Z150+$AA150+$AO150)</f>
        <v/>
      </c>
      <c r="AC151">
        <f>IFERROR(MATCH(147,$AB$5:$AB$404,1),"")</f>
        <v/>
      </c>
      <c r="AD151">
        <f>IF(147=$AI$1+1,"Z",IF($AC151="","",IF(INDEX($V$5:$V$404,$AC151)="","",IF(147&gt;INDEX($AB$5:$AB$404,$AC151)+INDEX($Z$5:$Z$404,$AC151)+INDEX($AA$5:$AA$404,$AC151)+INDEX($AO$5:$AO$404,$AC151),"",IF(147=INDEX($AB$5:$AB$404,$AC151)+INDEX($Z$5:$Z$404,$AC151),"D",IF(AND(INDEX($Z$5:$Z$404,$AC151)=1,147=INDEX($AB$5:$AB$404,$AC151)),"H",IF(AND(INDEX($AO$5:$AO$404,$AC151)=1,147=INDEX($AB$5:$AB$404,$AC151)+INDEX($Z$5:$Z$404,$AC151)+INDEX($AA$5:$AA$404,$AC151)+INDEX($AO$5:$AO$404,$AC151)),"B","T")))))))</f>
        <v/>
      </c>
      <c r="AF151">
        <f>IF(OR($AD151="",$AD151="Z",$AD151="B"),"",INDEX($X$5:$X$404,$AC151))</f>
        <v/>
      </c>
      <c r="AJ151">
        <f>IF($AD151&lt;&gt;"T",0,ROUND(SUMIF(oil!$B$4:$B$63,$AF151,oil!$AE$4:$AE$63),2))</f>
        <v/>
      </c>
      <c r="AK151">
        <f>IF($S151="","",IFERROR(INDEX(อัตราค่าขนส่ง!$P$5:$P$54,MATCH($S151,อัตราค่าขนส่ง!$O$5:$O$54,0)),INDEX(รายการมาตรฐาน!$G$2:$G$3,1)))</f>
        <v/>
      </c>
      <c r="AL151">
        <f>IF($S151="","",IFERROR(MATCH($AK151,รายการมาตรฐาน!$G$2:$G$3,0),1))</f>
        <v/>
      </c>
      <c r="AM151">
        <f>IF($V151="","",INDEX($AK$5:$AK$404,$V151))</f>
        <v/>
      </c>
      <c r="AN151">
        <f>IF($V151="","",INDEX($AL$5:$AL$404,$V151))</f>
        <v/>
      </c>
      <c r="AO151">
        <f>IF(OR($V151="",$AI$2&lt;=1),0,IF($V152="",1,IF($AN152&lt;&gt;$AN151,1,0)))</f>
        <v/>
      </c>
      <c r="AP151">
        <f>IF($V151="",0,IF($AN151&lt;&gt;$AN150,1,0))</f>
        <v/>
      </c>
      <c r="AQ151">
        <f>IF(OR($AD151="",$AD151="Z"),"",INDEX($AN$5:$AN$404,$AC151))</f>
        <v/>
      </c>
      <c r="AR151">
        <f>IF($Y151="",0,COUNTIF(บันทึกรายเที่ยว!$V$6:$V$6005,$Y151))</f>
        <v/>
      </c>
      <c r="AS151">
        <f>IF($Y151="",0,ROUND(SUMIF(บันทึกรายเที่ยว!$V$6:$V$6005,$Y151,บันทึกรายเที่ยว!$M$6:$M$6005),2))</f>
        <v/>
      </c>
      <c r="AT151">
        <f>IF($Y151="",0,IFERROR(INDEX(อัตราค่าขนส่ง!$G$5:$G$204,MATCH($Y151,อัตราค่าขนส่ง!$M$5:$M$204,0)),0))</f>
        <v/>
      </c>
      <c r="AU151">
        <f>ROUND($AS151*$BD151,2)</f>
        <v/>
      </c>
      <c r="AV151">
        <f>ROUND($AU151*$BF$2/100,2)</f>
        <v/>
      </c>
      <c r="AW151">
        <f>IF($Y151="","",IFERROR(INDEX(อัตราค่าขนส่ง!$F$5:$F$204,MATCH($Y151,อัตราค่าขนส่ง!$M$5:$M$204,0)),""))</f>
        <v/>
      </c>
      <c r="AX151">
        <f>IF($W151="","",INDEX(บันทึกรายเที่ยว!$D$6:$D$6005,$W151))</f>
        <v/>
      </c>
      <c r="AY151">
        <f>IF($W151="","",INDEX(บันทึกรายเที่ยว!$R$6:$R$6005,$W151))</f>
        <v/>
      </c>
      <c r="AZ151">
        <f>IF(AND($AD151="T",$AQ151=1),N($AZ150)+1,N($AZ150))</f>
        <v/>
      </c>
      <c r="BA151">
        <f>IF($W151="","",INDEX(บันทึกรายเที่ยว!$E$6:$E$6005,$W151))</f>
        <v/>
      </c>
      <c r="BC151">
        <f>IF($Y151="",0,IFERROR(INDEX(อัตราค่าขนส่ง!$K$5:$K$204,MATCH($Y151,อัตราค่าขนส่ง!$M$5:$M$204,0)),0))</f>
        <v/>
      </c>
      <c r="BD151">
        <f>IF($Y151="",0,IFERROR(INDEX(อัตราค่าขนส่ง!$L$5:$L$204,MATCH($Y151,อัตราค่าขนส่ง!$M$5:$M$204,0)),0))</f>
        <v/>
      </c>
    </row>
    <row r="152" ht="21" customHeight="1" s="66">
      <c r="A152" s="69">
        <f>IF($AD152="","",IF($AD152="Z","รวมจ่ายทั้งสิ้น",IF($AD152="H",INDEX($X$5:$X$404,$AC152),IF($AD152="T","รวม",IF($AD152="B",IFERROR(INDEX(อัตราค่าขนส่ง!$S$5:$S$14,MATCH(INDEX($AM$5:$AM$404,$AC152),อัตราค่าขนส่ง!$R$5:$R$14,0)),"รวมกลุ่ม "&amp;INDEX($AM$5:$AM$404,$AC152)),INDEX($AY$5:$AY$404,$AC152))))))</f>
        <v/>
      </c>
      <c r="B152" s="31">
        <f>IF($AD152&lt;&gt;"D","",INDEX($AW$5:$AW$404,$AC152))</f>
        <v/>
      </c>
      <c r="C152" s="68">
        <f>IF($AD152&lt;&gt;"D","",INDEX($AX$5:$AX$404,$AC152))</f>
        <v/>
      </c>
      <c r="D152" s="70">
        <f>IF($AD152&lt;&gt;"D","",INDEX($BA$5:$BA$404,$AC152))</f>
        <v/>
      </c>
      <c r="E152" s="31">
        <f>IF($AD152="Z",SUM($AR$5:$AR$404),IF($AD152="D",INDEX($AR$5:$AR$404,$AC152),IF($AD152="T",SUMIF($X$5:$X$404,$AF152,$AR$5:$AR$404),IF($AD152="B",SUMIF($AN$5:$AN$404,$AQ152,$AR$5:$AR$404),""))))</f>
        <v/>
      </c>
      <c r="F152" s="32">
        <f>IF($AD152="Z",ROUND(SUM($AS$5:$AS$404),2),IF($AD152="D",INDEX($AS$5:$AS$404,$AC152),IF($AD152="T",ROUND(SUMIF($X$5:$X$404,$AF152,$AS$5:$AS$404),2),IF($AD152="B",ROUND(SUMIF($AN$5:$AN$404,$AQ152,$AS$5:$AS$404),2),""))))</f>
        <v/>
      </c>
      <c r="G152" s="32">
        <f>IF($AD152&lt;&gt;"D","",INDEX($AT$5:$AT$404,$AC152))</f>
        <v/>
      </c>
      <c r="H152" s="32">
        <f>IF($AD152&lt;&gt;"D","",INDEX($BC$5:$BC$404,$AC152))</f>
        <v/>
      </c>
      <c r="I152" s="32">
        <f>IF($AD152&lt;&gt;"D","",INDEX($BD$5:$BD$404,$AC152))</f>
        <v/>
      </c>
      <c r="J152" s="46">
        <f>IF($AD152&lt;&gt;"D","",IF(N($B152)=0,"",ROUND($I152/$B152,4)))</f>
        <v/>
      </c>
      <c r="K152" s="32">
        <f>IF($AD152="Z",ROUND(SUM($AU$5:$AU$404),2),IF($AD152="D",INDEX($AU$5:$AU$404,$AC152),IF($AD152="T",ROUND(SUMIF($X$5:$X$404,$AF152,$AU$5:$AU$404),2),IF($AD152="B",ROUND(SUMIF($AN$5:$AN$404,$AQ152,$AU$5:$AU$404),2),""))))</f>
        <v/>
      </c>
      <c r="L152" s="32">
        <f>IF($AD152="Z",ROUND(SUM($AV$5:$AV$404),2),IF($AD152="D",INDEX($AV$5:$AV$404,$AC152),IF($AD152="T",ROUND(SUMIF($X$5:$X$404,$AF152,$AV$5:$AV$404),2),IF($AD152="B",ROUND(SUMIF($AN$5:$AN$404,$AQ152,$AV$5:$AV$404),2),""))))</f>
        <v/>
      </c>
      <c r="M152" s="32">
        <f>IF($AD152="Z",ROUND(SUM($AJ$5:$AJ$704),2),IF($AD152="B",ROUND(SUMIF($AQ$5:$AQ$704,$AQ152,$AJ$5:$AJ$704),2),IF($AD152&lt;&gt;"T","",$AJ152)))</f>
        <v/>
      </c>
      <c r="N152" s="32">
        <f>IF(OR($AD152="D",$AD152="T",$AD152="B",$AD152="Z"),ROUND(N($K152)-N($L152)-N($M152),2),"")</f>
        <v/>
      </c>
      <c r="O152" s="32">
        <f>IF(OR($AD152="D",$AD152="T",$AD152="B",$AD152="Z"),IF(N($E152)=0,"",ROUND($F152/$E152,2)),"")</f>
        <v/>
      </c>
      <c r="Q152">
        <f>IFERROR(MATCH(148,บันทึกรายเที่ยว!$Z$6:$Z$6005,0),"")</f>
        <v/>
      </c>
      <c r="R152">
        <f>IF($Q152="","",INDEX(บันทึกรายเที่ยว!$V$6:$V$6005,$Q152))</f>
        <v/>
      </c>
      <c r="S152">
        <f>IF($Q152="","",INDEX(บันทึกรายเที่ยว!$F$6:$F$6005,$Q152))</f>
        <v/>
      </c>
      <c r="T152">
        <f>IF($Q152="","",MATCH($S152,บันทึกรายเที่ยว!$F$6:$F$6005,0))</f>
        <v/>
      </c>
      <c r="U152">
        <f>IF($Q152="","",$AL152*10000000+$T152*1000+148)</f>
        <v/>
      </c>
      <c r="V152">
        <f>IFERROR(MATCH(SMALL($U$5:$U$404,148),$U$5:$U$404,0),"")</f>
        <v/>
      </c>
      <c r="W152">
        <f>IF($V152="","",INDEX($Q$5:$Q$404,$V152))</f>
        <v/>
      </c>
      <c r="X152">
        <f>IF($V152="","",INDEX($S$5:$S$404,$V152))</f>
        <v/>
      </c>
      <c r="Y152">
        <f>IF($V152="","",INDEX($R$5:$R$404,$V152))</f>
        <v/>
      </c>
      <c r="Z152">
        <f>IF($V152="",0,IF($X152&lt;&gt;$X151,1,0))</f>
        <v/>
      </c>
      <c r="AA152">
        <f>IF($V152="",0,IF($V153="",1,IF($X153&lt;&gt;$X152,1,0)))</f>
        <v/>
      </c>
      <c r="AB152">
        <f>IF($V152="",99999+148,$AB151+1+$Z151+$AA151+$AO151)</f>
        <v/>
      </c>
      <c r="AC152">
        <f>IFERROR(MATCH(148,$AB$5:$AB$404,1),"")</f>
        <v/>
      </c>
      <c r="AD152">
        <f>IF(148=$AI$1+1,"Z",IF($AC152="","",IF(INDEX($V$5:$V$404,$AC152)="","",IF(148&gt;INDEX($AB$5:$AB$404,$AC152)+INDEX($Z$5:$Z$404,$AC152)+INDEX($AA$5:$AA$404,$AC152)+INDEX($AO$5:$AO$404,$AC152),"",IF(148=INDEX($AB$5:$AB$404,$AC152)+INDEX($Z$5:$Z$404,$AC152),"D",IF(AND(INDEX($Z$5:$Z$404,$AC152)=1,148=INDEX($AB$5:$AB$404,$AC152)),"H",IF(AND(INDEX($AO$5:$AO$404,$AC152)=1,148=INDEX($AB$5:$AB$404,$AC152)+INDEX($Z$5:$Z$404,$AC152)+INDEX($AA$5:$AA$404,$AC152)+INDEX($AO$5:$AO$404,$AC152)),"B","T")))))))</f>
        <v/>
      </c>
      <c r="AF152">
        <f>IF(OR($AD152="",$AD152="Z",$AD152="B"),"",INDEX($X$5:$X$404,$AC152))</f>
        <v/>
      </c>
      <c r="AJ152">
        <f>IF($AD152&lt;&gt;"T",0,ROUND(SUMIF(oil!$B$4:$B$63,$AF152,oil!$AE$4:$AE$63),2))</f>
        <v/>
      </c>
      <c r="AK152">
        <f>IF($S152="","",IFERROR(INDEX(อัตราค่าขนส่ง!$P$5:$P$54,MATCH($S152,อัตราค่าขนส่ง!$O$5:$O$54,0)),INDEX(รายการมาตรฐาน!$G$2:$G$3,1)))</f>
        <v/>
      </c>
      <c r="AL152">
        <f>IF($S152="","",IFERROR(MATCH($AK152,รายการมาตรฐาน!$G$2:$G$3,0),1))</f>
        <v/>
      </c>
      <c r="AM152">
        <f>IF($V152="","",INDEX($AK$5:$AK$404,$V152))</f>
        <v/>
      </c>
      <c r="AN152">
        <f>IF($V152="","",INDEX($AL$5:$AL$404,$V152))</f>
        <v/>
      </c>
      <c r="AO152">
        <f>IF(OR($V152="",$AI$2&lt;=1),0,IF($V153="",1,IF($AN153&lt;&gt;$AN152,1,0)))</f>
        <v/>
      </c>
      <c r="AP152">
        <f>IF($V152="",0,IF($AN152&lt;&gt;$AN151,1,0))</f>
        <v/>
      </c>
      <c r="AQ152">
        <f>IF(OR($AD152="",$AD152="Z"),"",INDEX($AN$5:$AN$404,$AC152))</f>
        <v/>
      </c>
      <c r="AR152">
        <f>IF($Y152="",0,COUNTIF(บันทึกรายเที่ยว!$V$6:$V$6005,$Y152))</f>
        <v/>
      </c>
      <c r="AS152">
        <f>IF($Y152="",0,ROUND(SUMIF(บันทึกรายเที่ยว!$V$6:$V$6005,$Y152,บันทึกรายเที่ยว!$M$6:$M$6005),2))</f>
        <v/>
      </c>
      <c r="AT152">
        <f>IF($Y152="",0,IFERROR(INDEX(อัตราค่าขนส่ง!$G$5:$G$204,MATCH($Y152,อัตราค่าขนส่ง!$M$5:$M$204,0)),0))</f>
        <v/>
      </c>
      <c r="AU152">
        <f>ROUND($AS152*$BD152,2)</f>
        <v/>
      </c>
      <c r="AV152">
        <f>ROUND($AU152*$BF$2/100,2)</f>
        <v/>
      </c>
      <c r="AW152">
        <f>IF($Y152="","",IFERROR(INDEX(อัตราค่าขนส่ง!$F$5:$F$204,MATCH($Y152,อัตราค่าขนส่ง!$M$5:$M$204,0)),""))</f>
        <v/>
      </c>
      <c r="AX152">
        <f>IF($W152="","",INDEX(บันทึกรายเที่ยว!$D$6:$D$6005,$W152))</f>
        <v/>
      </c>
      <c r="AY152">
        <f>IF($W152="","",INDEX(บันทึกรายเที่ยว!$R$6:$R$6005,$W152))</f>
        <v/>
      </c>
      <c r="AZ152">
        <f>IF(AND($AD152="T",$AQ152=1),N($AZ151)+1,N($AZ151))</f>
        <v/>
      </c>
      <c r="BA152">
        <f>IF($W152="","",INDEX(บันทึกรายเที่ยว!$E$6:$E$6005,$W152))</f>
        <v/>
      </c>
      <c r="BC152">
        <f>IF($Y152="",0,IFERROR(INDEX(อัตราค่าขนส่ง!$K$5:$K$204,MATCH($Y152,อัตราค่าขนส่ง!$M$5:$M$204,0)),0))</f>
        <v/>
      </c>
      <c r="BD152">
        <f>IF($Y152="",0,IFERROR(INDEX(อัตราค่าขนส่ง!$L$5:$L$204,MATCH($Y152,อัตราค่าขนส่ง!$M$5:$M$204,0)),0))</f>
        <v/>
      </c>
    </row>
    <row r="153" ht="21" customHeight="1" s="66">
      <c r="A153" s="69">
        <f>IF($AD153="","",IF($AD153="Z","รวมจ่ายทั้งสิ้น",IF($AD153="H",INDEX($X$5:$X$404,$AC153),IF($AD153="T","รวม",IF($AD153="B",IFERROR(INDEX(อัตราค่าขนส่ง!$S$5:$S$14,MATCH(INDEX($AM$5:$AM$404,$AC153),อัตราค่าขนส่ง!$R$5:$R$14,0)),"รวมกลุ่ม "&amp;INDEX($AM$5:$AM$404,$AC153)),INDEX($AY$5:$AY$404,$AC153))))))</f>
        <v/>
      </c>
      <c r="B153" s="31">
        <f>IF($AD153&lt;&gt;"D","",INDEX($AW$5:$AW$404,$AC153))</f>
        <v/>
      </c>
      <c r="C153" s="68">
        <f>IF($AD153&lt;&gt;"D","",INDEX($AX$5:$AX$404,$AC153))</f>
        <v/>
      </c>
      <c r="D153" s="70">
        <f>IF($AD153&lt;&gt;"D","",INDEX($BA$5:$BA$404,$AC153))</f>
        <v/>
      </c>
      <c r="E153" s="31">
        <f>IF($AD153="Z",SUM($AR$5:$AR$404),IF($AD153="D",INDEX($AR$5:$AR$404,$AC153),IF($AD153="T",SUMIF($X$5:$X$404,$AF153,$AR$5:$AR$404),IF($AD153="B",SUMIF($AN$5:$AN$404,$AQ153,$AR$5:$AR$404),""))))</f>
        <v/>
      </c>
      <c r="F153" s="32">
        <f>IF($AD153="Z",ROUND(SUM($AS$5:$AS$404),2),IF($AD153="D",INDEX($AS$5:$AS$404,$AC153),IF($AD153="T",ROUND(SUMIF($X$5:$X$404,$AF153,$AS$5:$AS$404),2),IF($AD153="B",ROUND(SUMIF($AN$5:$AN$404,$AQ153,$AS$5:$AS$404),2),""))))</f>
        <v/>
      </c>
      <c r="G153" s="32">
        <f>IF($AD153&lt;&gt;"D","",INDEX($AT$5:$AT$404,$AC153))</f>
        <v/>
      </c>
      <c r="H153" s="32">
        <f>IF($AD153&lt;&gt;"D","",INDEX($BC$5:$BC$404,$AC153))</f>
        <v/>
      </c>
      <c r="I153" s="32">
        <f>IF($AD153&lt;&gt;"D","",INDEX($BD$5:$BD$404,$AC153))</f>
        <v/>
      </c>
      <c r="J153" s="46">
        <f>IF($AD153&lt;&gt;"D","",IF(N($B153)=0,"",ROUND($I153/$B153,4)))</f>
        <v/>
      </c>
      <c r="K153" s="32">
        <f>IF($AD153="Z",ROUND(SUM($AU$5:$AU$404),2),IF($AD153="D",INDEX($AU$5:$AU$404,$AC153),IF($AD153="T",ROUND(SUMIF($X$5:$X$404,$AF153,$AU$5:$AU$404),2),IF($AD153="B",ROUND(SUMIF($AN$5:$AN$404,$AQ153,$AU$5:$AU$404),2),""))))</f>
        <v/>
      </c>
      <c r="L153" s="32">
        <f>IF($AD153="Z",ROUND(SUM($AV$5:$AV$404),2),IF($AD153="D",INDEX($AV$5:$AV$404,$AC153),IF($AD153="T",ROUND(SUMIF($X$5:$X$404,$AF153,$AV$5:$AV$404),2),IF($AD153="B",ROUND(SUMIF($AN$5:$AN$404,$AQ153,$AV$5:$AV$404),2),""))))</f>
        <v/>
      </c>
      <c r="M153" s="32">
        <f>IF($AD153="Z",ROUND(SUM($AJ$5:$AJ$704),2),IF($AD153="B",ROUND(SUMIF($AQ$5:$AQ$704,$AQ153,$AJ$5:$AJ$704),2),IF($AD153&lt;&gt;"T","",$AJ153)))</f>
        <v/>
      </c>
      <c r="N153" s="32">
        <f>IF(OR($AD153="D",$AD153="T",$AD153="B",$AD153="Z"),ROUND(N($K153)-N($L153)-N($M153),2),"")</f>
        <v/>
      </c>
      <c r="O153" s="32">
        <f>IF(OR($AD153="D",$AD153="T",$AD153="B",$AD153="Z"),IF(N($E153)=0,"",ROUND($F153/$E153,2)),"")</f>
        <v/>
      </c>
      <c r="Q153">
        <f>IFERROR(MATCH(149,บันทึกรายเที่ยว!$Z$6:$Z$6005,0),"")</f>
        <v/>
      </c>
      <c r="R153">
        <f>IF($Q153="","",INDEX(บันทึกรายเที่ยว!$V$6:$V$6005,$Q153))</f>
        <v/>
      </c>
      <c r="S153">
        <f>IF($Q153="","",INDEX(บันทึกรายเที่ยว!$F$6:$F$6005,$Q153))</f>
        <v/>
      </c>
      <c r="T153">
        <f>IF($Q153="","",MATCH($S153,บันทึกรายเที่ยว!$F$6:$F$6005,0))</f>
        <v/>
      </c>
      <c r="U153">
        <f>IF($Q153="","",$AL153*10000000+$T153*1000+149)</f>
        <v/>
      </c>
      <c r="V153">
        <f>IFERROR(MATCH(SMALL($U$5:$U$404,149),$U$5:$U$404,0),"")</f>
        <v/>
      </c>
      <c r="W153">
        <f>IF($V153="","",INDEX($Q$5:$Q$404,$V153))</f>
        <v/>
      </c>
      <c r="X153">
        <f>IF($V153="","",INDEX($S$5:$S$404,$V153))</f>
        <v/>
      </c>
      <c r="Y153">
        <f>IF($V153="","",INDEX($R$5:$R$404,$V153))</f>
        <v/>
      </c>
      <c r="Z153">
        <f>IF($V153="",0,IF($X153&lt;&gt;$X152,1,0))</f>
        <v/>
      </c>
      <c r="AA153">
        <f>IF($V153="",0,IF($V154="",1,IF($X154&lt;&gt;$X153,1,0)))</f>
        <v/>
      </c>
      <c r="AB153">
        <f>IF($V153="",99999+149,$AB152+1+$Z152+$AA152+$AO152)</f>
        <v/>
      </c>
      <c r="AC153">
        <f>IFERROR(MATCH(149,$AB$5:$AB$404,1),"")</f>
        <v/>
      </c>
      <c r="AD153">
        <f>IF(149=$AI$1+1,"Z",IF($AC153="","",IF(INDEX($V$5:$V$404,$AC153)="","",IF(149&gt;INDEX($AB$5:$AB$404,$AC153)+INDEX($Z$5:$Z$404,$AC153)+INDEX($AA$5:$AA$404,$AC153)+INDEX($AO$5:$AO$404,$AC153),"",IF(149=INDEX($AB$5:$AB$404,$AC153)+INDEX($Z$5:$Z$404,$AC153),"D",IF(AND(INDEX($Z$5:$Z$404,$AC153)=1,149=INDEX($AB$5:$AB$404,$AC153)),"H",IF(AND(INDEX($AO$5:$AO$404,$AC153)=1,149=INDEX($AB$5:$AB$404,$AC153)+INDEX($Z$5:$Z$404,$AC153)+INDEX($AA$5:$AA$404,$AC153)+INDEX($AO$5:$AO$404,$AC153)),"B","T")))))))</f>
        <v/>
      </c>
      <c r="AF153">
        <f>IF(OR($AD153="",$AD153="Z",$AD153="B"),"",INDEX($X$5:$X$404,$AC153))</f>
        <v/>
      </c>
      <c r="AJ153">
        <f>IF($AD153&lt;&gt;"T",0,ROUND(SUMIF(oil!$B$4:$B$63,$AF153,oil!$AE$4:$AE$63),2))</f>
        <v/>
      </c>
      <c r="AK153">
        <f>IF($S153="","",IFERROR(INDEX(อัตราค่าขนส่ง!$P$5:$P$54,MATCH($S153,อัตราค่าขนส่ง!$O$5:$O$54,0)),INDEX(รายการมาตรฐาน!$G$2:$G$3,1)))</f>
        <v/>
      </c>
      <c r="AL153">
        <f>IF($S153="","",IFERROR(MATCH($AK153,รายการมาตรฐาน!$G$2:$G$3,0),1))</f>
        <v/>
      </c>
      <c r="AM153">
        <f>IF($V153="","",INDEX($AK$5:$AK$404,$V153))</f>
        <v/>
      </c>
      <c r="AN153">
        <f>IF($V153="","",INDEX($AL$5:$AL$404,$V153))</f>
        <v/>
      </c>
      <c r="AO153">
        <f>IF(OR($V153="",$AI$2&lt;=1),0,IF($V154="",1,IF($AN154&lt;&gt;$AN153,1,0)))</f>
        <v/>
      </c>
      <c r="AP153">
        <f>IF($V153="",0,IF($AN153&lt;&gt;$AN152,1,0))</f>
        <v/>
      </c>
      <c r="AQ153">
        <f>IF(OR($AD153="",$AD153="Z"),"",INDEX($AN$5:$AN$404,$AC153))</f>
        <v/>
      </c>
      <c r="AR153">
        <f>IF($Y153="",0,COUNTIF(บันทึกรายเที่ยว!$V$6:$V$6005,$Y153))</f>
        <v/>
      </c>
      <c r="AS153">
        <f>IF($Y153="",0,ROUND(SUMIF(บันทึกรายเที่ยว!$V$6:$V$6005,$Y153,บันทึกรายเที่ยว!$M$6:$M$6005),2))</f>
        <v/>
      </c>
      <c r="AT153">
        <f>IF($Y153="",0,IFERROR(INDEX(อัตราค่าขนส่ง!$G$5:$G$204,MATCH($Y153,อัตราค่าขนส่ง!$M$5:$M$204,0)),0))</f>
        <v/>
      </c>
      <c r="AU153">
        <f>ROUND($AS153*$BD153,2)</f>
        <v/>
      </c>
      <c r="AV153">
        <f>ROUND($AU153*$BF$2/100,2)</f>
        <v/>
      </c>
      <c r="AW153">
        <f>IF($Y153="","",IFERROR(INDEX(อัตราค่าขนส่ง!$F$5:$F$204,MATCH($Y153,อัตราค่าขนส่ง!$M$5:$M$204,0)),""))</f>
        <v/>
      </c>
      <c r="AX153">
        <f>IF($W153="","",INDEX(บันทึกรายเที่ยว!$D$6:$D$6005,$W153))</f>
        <v/>
      </c>
      <c r="AY153">
        <f>IF($W153="","",INDEX(บันทึกรายเที่ยว!$R$6:$R$6005,$W153))</f>
        <v/>
      </c>
      <c r="AZ153">
        <f>IF(AND($AD153="T",$AQ153=1),N($AZ152)+1,N($AZ152))</f>
        <v/>
      </c>
      <c r="BA153">
        <f>IF($W153="","",INDEX(บันทึกรายเที่ยว!$E$6:$E$6005,$W153))</f>
        <v/>
      </c>
      <c r="BC153">
        <f>IF($Y153="",0,IFERROR(INDEX(อัตราค่าขนส่ง!$K$5:$K$204,MATCH($Y153,อัตราค่าขนส่ง!$M$5:$M$204,0)),0))</f>
        <v/>
      </c>
      <c r="BD153">
        <f>IF($Y153="",0,IFERROR(INDEX(อัตราค่าขนส่ง!$L$5:$L$204,MATCH($Y153,อัตราค่าขนส่ง!$M$5:$M$204,0)),0))</f>
        <v/>
      </c>
    </row>
    <row r="154" ht="21" customHeight="1" s="66">
      <c r="A154" s="69">
        <f>IF($AD154="","",IF($AD154="Z","รวมจ่ายทั้งสิ้น",IF($AD154="H",INDEX($X$5:$X$404,$AC154),IF($AD154="T","รวม",IF($AD154="B",IFERROR(INDEX(อัตราค่าขนส่ง!$S$5:$S$14,MATCH(INDEX($AM$5:$AM$404,$AC154),อัตราค่าขนส่ง!$R$5:$R$14,0)),"รวมกลุ่ม "&amp;INDEX($AM$5:$AM$404,$AC154)),INDEX($AY$5:$AY$404,$AC154))))))</f>
        <v/>
      </c>
      <c r="B154" s="31">
        <f>IF($AD154&lt;&gt;"D","",INDEX($AW$5:$AW$404,$AC154))</f>
        <v/>
      </c>
      <c r="C154" s="68">
        <f>IF($AD154&lt;&gt;"D","",INDEX($AX$5:$AX$404,$AC154))</f>
        <v/>
      </c>
      <c r="D154" s="70">
        <f>IF($AD154&lt;&gt;"D","",INDEX($BA$5:$BA$404,$AC154))</f>
        <v/>
      </c>
      <c r="E154" s="31">
        <f>IF($AD154="Z",SUM($AR$5:$AR$404),IF($AD154="D",INDEX($AR$5:$AR$404,$AC154),IF($AD154="T",SUMIF($X$5:$X$404,$AF154,$AR$5:$AR$404),IF($AD154="B",SUMIF($AN$5:$AN$404,$AQ154,$AR$5:$AR$404),""))))</f>
        <v/>
      </c>
      <c r="F154" s="32">
        <f>IF($AD154="Z",ROUND(SUM($AS$5:$AS$404),2),IF($AD154="D",INDEX($AS$5:$AS$404,$AC154),IF($AD154="T",ROUND(SUMIF($X$5:$X$404,$AF154,$AS$5:$AS$404),2),IF($AD154="B",ROUND(SUMIF($AN$5:$AN$404,$AQ154,$AS$5:$AS$404),2),""))))</f>
        <v/>
      </c>
      <c r="G154" s="32">
        <f>IF($AD154&lt;&gt;"D","",INDEX($AT$5:$AT$404,$AC154))</f>
        <v/>
      </c>
      <c r="H154" s="32">
        <f>IF($AD154&lt;&gt;"D","",INDEX($BC$5:$BC$404,$AC154))</f>
        <v/>
      </c>
      <c r="I154" s="32">
        <f>IF($AD154&lt;&gt;"D","",INDEX($BD$5:$BD$404,$AC154))</f>
        <v/>
      </c>
      <c r="J154" s="46">
        <f>IF($AD154&lt;&gt;"D","",IF(N($B154)=0,"",ROUND($I154/$B154,4)))</f>
        <v/>
      </c>
      <c r="K154" s="32">
        <f>IF($AD154="Z",ROUND(SUM($AU$5:$AU$404),2),IF($AD154="D",INDEX($AU$5:$AU$404,$AC154),IF($AD154="T",ROUND(SUMIF($X$5:$X$404,$AF154,$AU$5:$AU$404),2),IF($AD154="B",ROUND(SUMIF($AN$5:$AN$404,$AQ154,$AU$5:$AU$404),2),""))))</f>
        <v/>
      </c>
      <c r="L154" s="32">
        <f>IF($AD154="Z",ROUND(SUM($AV$5:$AV$404),2),IF($AD154="D",INDEX($AV$5:$AV$404,$AC154),IF($AD154="T",ROUND(SUMIF($X$5:$X$404,$AF154,$AV$5:$AV$404),2),IF($AD154="B",ROUND(SUMIF($AN$5:$AN$404,$AQ154,$AV$5:$AV$404),2),""))))</f>
        <v/>
      </c>
      <c r="M154" s="32">
        <f>IF($AD154="Z",ROUND(SUM($AJ$5:$AJ$704),2),IF($AD154="B",ROUND(SUMIF($AQ$5:$AQ$704,$AQ154,$AJ$5:$AJ$704),2),IF($AD154&lt;&gt;"T","",$AJ154)))</f>
        <v/>
      </c>
      <c r="N154" s="32">
        <f>IF(OR($AD154="D",$AD154="T",$AD154="B",$AD154="Z"),ROUND(N($K154)-N($L154)-N($M154),2),"")</f>
        <v/>
      </c>
      <c r="O154" s="32">
        <f>IF(OR($AD154="D",$AD154="T",$AD154="B",$AD154="Z"),IF(N($E154)=0,"",ROUND($F154/$E154,2)),"")</f>
        <v/>
      </c>
      <c r="Q154">
        <f>IFERROR(MATCH(150,บันทึกรายเที่ยว!$Z$6:$Z$6005,0),"")</f>
        <v/>
      </c>
      <c r="R154">
        <f>IF($Q154="","",INDEX(บันทึกรายเที่ยว!$V$6:$V$6005,$Q154))</f>
        <v/>
      </c>
      <c r="S154">
        <f>IF($Q154="","",INDEX(บันทึกรายเที่ยว!$F$6:$F$6005,$Q154))</f>
        <v/>
      </c>
      <c r="T154">
        <f>IF($Q154="","",MATCH($S154,บันทึกรายเที่ยว!$F$6:$F$6005,0))</f>
        <v/>
      </c>
      <c r="U154">
        <f>IF($Q154="","",$AL154*10000000+$T154*1000+150)</f>
        <v/>
      </c>
      <c r="V154">
        <f>IFERROR(MATCH(SMALL($U$5:$U$404,150),$U$5:$U$404,0),"")</f>
        <v/>
      </c>
      <c r="W154">
        <f>IF($V154="","",INDEX($Q$5:$Q$404,$V154))</f>
        <v/>
      </c>
      <c r="X154">
        <f>IF($V154="","",INDEX($S$5:$S$404,$V154))</f>
        <v/>
      </c>
      <c r="Y154">
        <f>IF($V154="","",INDEX($R$5:$R$404,$V154))</f>
        <v/>
      </c>
      <c r="Z154">
        <f>IF($V154="",0,IF($X154&lt;&gt;$X153,1,0))</f>
        <v/>
      </c>
      <c r="AA154">
        <f>IF($V154="",0,IF($V155="",1,IF($X155&lt;&gt;$X154,1,0)))</f>
        <v/>
      </c>
      <c r="AB154">
        <f>IF($V154="",99999+150,$AB153+1+$Z153+$AA153+$AO153)</f>
        <v/>
      </c>
      <c r="AC154">
        <f>IFERROR(MATCH(150,$AB$5:$AB$404,1),"")</f>
        <v/>
      </c>
      <c r="AD154">
        <f>IF(150=$AI$1+1,"Z",IF($AC154="","",IF(INDEX($V$5:$V$404,$AC154)="","",IF(150&gt;INDEX($AB$5:$AB$404,$AC154)+INDEX($Z$5:$Z$404,$AC154)+INDEX($AA$5:$AA$404,$AC154)+INDEX($AO$5:$AO$404,$AC154),"",IF(150=INDEX($AB$5:$AB$404,$AC154)+INDEX($Z$5:$Z$404,$AC154),"D",IF(AND(INDEX($Z$5:$Z$404,$AC154)=1,150=INDEX($AB$5:$AB$404,$AC154)),"H",IF(AND(INDEX($AO$5:$AO$404,$AC154)=1,150=INDEX($AB$5:$AB$404,$AC154)+INDEX($Z$5:$Z$404,$AC154)+INDEX($AA$5:$AA$404,$AC154)+INDEX($AO$5:$AO$404,$AC154)),"B","T")))))))</f>
        <v/>
      </c>
      <c r="AF154">
        <f>IF(OR($AD154="",$AD154="Z",$AD154="B"),"",INDEX($X$5:$X$404,$AC154))</f>
        <v/>
      </c>
      <c r="AJ154">
        <f>IF($AD154&lt;&gt;"T",0,ROUND(SUMIF(oil!$B$4:$B$63,$AF154,oil!$AE$4:$AE$63),2))</f>
        <v/>
      </c>
      <c r="AK154">
        <f>IF($S154="","",IFERROR(INDEX(อัตราค่าขนส่ง!$P$5:$P$54,MATCH($S154,อัตราค่าขนส่ง!$O$5:$O$54,0)),INDEX(รายการมาตรฐาน!$G$2:$G$3,1)))</f>
        <v/>
      </c>
      <c r="AL154">
        <f>IF($S154="","",IFERROR(MATCH($AK154,รายการมาตรฐาน!$G$2:$G$3,0),1))</f>
        <v/>
      </c>
      <c r="AM154">
        <f>IF($V154="","",INDEX($AK$5:$AK$404,$V154))</f>
        <v/>
      </c>
      <c r="AN154">
        <f>IF($V154="","",INDEX($AL$5:$AL$404,$V154))</f>
        <v/>
      </c>
      <c r="AO154">
        <f>IF(OR($V154="",$AI$2&lt;=1),0,IF($V155="",1,IF($AN155&lt;&gt;$AN154,1,0)))</f>
        <v/>
      </c>
      <c r="AP154">
        <f>IF($V154="",0,IF($AN154&lt;&gt;$AN153,1,0))</f>
        <v/>
      </c>
      <c r="AQ154">
        <f>IF(OR($AD154="",$AD154="Z"),"",INDEX($AN$5:$AN$404,$AC154))</f>
        <v/>
      </c>
      <c r="AR154">
        <f>IF($Y154="",0,COUNTIF(บันทึกรายเที่ยว!$V$6:$V$6005,$Y154))</f>
        <v/>
      </c>
      <c r="AS154">
        <f>IF($Y154="",0,ROUND(SUMIF(บันทึกรายเที่ยว!$V$6:$V$6005,$Y154,บันทึกรายเที่ยว!$M$6:$M$6005),2))</f>
        <v/>
      </c>
      <c r="AT154">
        <f>IF($Y154="",0,IFERROR(INDEX(อัตราค่าขนส่ง!$G$5:$G$204,MATCH($Y154,อัตราค่าขนส่ง!$M$5:$M$204,0)),0))</f>
        <v/>
      </c>
      <c r="AU154">
        <f>ROUND($AS154*$BD154,2)</f>
        <v/>
      </c>
      <c r="AV154">
        <f>ROUND($AU154*$BF$2/100,2)</f>
        <v/>
      </c>
      <c r="AW154">
        <f>IF($Y154="","",IFERROR(INDEX(อัตราค่าขนส่ง!$F$5:$F$204,MATCH($Y154,อัตราค่าขนส่ง!$M$5:$M$204,0)),""))</f>
        <v/>
      </c>
      <c r="AX154">
        <f>IF($W154="","",INDEX(บันทึกรายเที่ยว!$D$6:$D$6005,$W154))</f>
        <v/>
      </c>
      <c r="AY154">
        <f>IF($W154="","",INDEX(บันทึกรายเที่ยว!$R$6:$R$6005,$W154))</f>
        <v/>
      </c>
      <c r="AZ154">
        <f>IF(AND($AD154="T",$AQ154=1),N($AZ153)+1,N($AZ153))</f>
        <v/>
      </c>
      <c r="BA154">
        <f>IF($W154="","",INDEX(บันทึกรายเที่ยว!$E$6:$E$6005,$W154))</f>
        <v/>
      </c>
      <c r="BC154">
        <f>IF($Y154="",0,IFERROR(INDEX(อัตราค่าขนส่ง!$K$5:$K$204,MATCH($Y154,อัตราค่าขนส่ง!$M$5:$M$204,0)),0))</f>
        <v/>
      </c>
      <c r="BD154">
        <f>IF($Y154="",0,IFERROR(INDEX(อัตราค่าขนส่ง!$L$5:$L$204,MATCH($Y154,อัตราค่าขนส่ง!$M$5:$M$204,0)),0))</f>
        <v/>
      </c>
    </row>
    <row r="155" ht="21" customHeight="1" s="66">
      <c r="A155" s="69">
        <f>IF($AD155="","",IF($AD155="Z","รวมจ่ายทั้งสิ้น",IF($AD155="H",INDEX($X$5:$X$404,$AC155),IF($AD155="T","รวม",IF($AD155="B",IFERROR(INDEX(อัตราค่าขนส่ง!$S$5:$S$14,MATCH(INDEX($AM$5:$AM$404,$AC155),อัตราค่าขนส่ง!$R$5:$R$14,0)),"รวมกลุ่ม "&amp;INDEX($AM$5:$AM$404,$AC155)),INDEX($AY$5:$AY$404,$AC155))))))</f>
        <v/>
      </c>
      <c r="B155" s="31">
        <f>IF($AD155&lt;&gt;"D","",INDEX($AW$5:$AW$404,$AC155))</f>
        <v/>
      </c>
      <c r="C155" s="68">
        <f>IF($AD155&lt;&gt;"D","",INDEX($AX$5:$AX$404,$AC155))</f>
        <v/>
      </c>
      <c r="D155" s="70">
        <f>IF($AD155&lt;&gt;"D","",INDEX($BA$5:$BA$404,$AC155))</f>
        <v/>
      </c>
      <c r="E155" s="31">
        <f>IF($AD155="Z",SUM($AR$5:$AR$404),IF($AD155="D",INDEX($AR$5:$AR$404,$AC155),IF($AD155="T",SUMIF($X$5:$X$404,$AF155,$AR$5:$AR$404),IF($AD155="B",SUMIF($AN$5:$AN$404,$AQ155,$AR$5:$AR$404),""))))</f>
        <v/>
      </c>
      <c r="F155" s="32">
        <f>IF($AD155="Z",ROUND(SUM($AS$5:$AS$404),2),IF($AD155="D",INDEX($AS$5:$AS$404,$AC155),IF($AD155="T",ROUND(SUMIF($X$5:$X$404,$AF155,$AS$5:$AS$404),2),IF($AD155="B",ROUND(SUMIF($AN$5:$AN$404,$AQ155,$AS$5:$AS$404),2),""))))</f>
        <v/>
      </c>
      <c r="G155" s="32">
        <f>IF($AD155&lt;&gt;"D","",INDEX($AT$5:$AT$404,$AC155))</f>
        <v/>
      </c>
      <c r="H155" s="32">
        <f>IF($AD155&lt;&gt;"D","",INDEX($BC$5:$BC$404,$AC155))</f>
        <v/>
      </c>
      <c r="I155" s="32">
        <f>IF($AD155&lt;&gt;"D","",INDEX($BD$5:$BD$404,$AC155))</f>
        <v/>
      </c>
      <c r="J155" s="46">
        <f>IF($AD155&lt;&gt;"D","",IF(N($B155)=0,"",ROUND($I155/$B155,4)))</f>
        <v/>
      </c>
      <c r="K155" s="32">
        <f>IF($AD155="Z",ROUND(SUM($AU$5:$AU$404),2),IF($AD155="D",INDEX($AU$5:$AU$404,$AC155),IF($AD155="T",ROUND(SUMIF($X$5:$X$404,$AF155,$AU$5:$AU$404),2),IF($AD155="B",ROUND(SUMIF($AN$5:$AN$404,$AQ155,$AU$5:$AU$404),2),""))))</f>
        <v/>
      </c>
      <c r="L155" s="32">
        <f>IF($AD155="Z",ROUND(SUM($AV$5:$AV$404),2),IF($AD155="D",INDEX($AV$5:$AV$404,$AC155),IF($AD155="T",ROUND(SUMIF($X$5:$X$404,$AF155,$AV$5:$AV$404),2),IF($AD155="B",ROUND(SUMIF($AN$5:$AN$404,$AQ155,$AV$5:$AV$404),2),""))))</f>
        <v/>
      </c>
      <c r="M155" s="32">
        <f>IF($AD155="Z",ROUND(SUM($AJ$5:$AJ$704),2),IF($AD155="B",ROUND(SUMIF($AQ$5:$AQ$704,$AQ155,$AJ$5:$AJ$704),2),IF($AD155&lt;&gt;"T","",$AJ155)))</f>
        <v/>
      </c>
      <c r="N155" s="32">
        <f>IF(OR($AD155="D",$AD155="T",$AD155="B",$AD155="Z"),ROUND(N($K155)-N($L155)-N($M155),2),"")</f>
        <v/>
      </c>
      <c r="O155" s="32">
        <f>IF(OR($AD155="D",$AD155="T",$AD155="B",$AD155="Z"),IF(N($E155)=0,"",ROUND($F155/$E155,2)),"")</f>
        <v/>
      </c>
      <c r="Q155">
        <f>IFERROR(MATCH(151,บันทึกรายเที่ยว!$Z$6:$Z$6005,0),"")</f>
        <v/>
      </c>
      <c r="R155">
        <f>IF($Q155="","",INDEX(บันทึกรายเที่ยว!$V$6:$V$6005,$Q155))</f>
        <v/>
      </c>
      <c r="S155">
        <f>IF($Q155="","",INDEX(บันทึกรายเที่ยว!$F$6:$F$6005,$Q155))</f>
        <v/>
      </c>
      <c r="T155">
        <f>IF($Q155="","",MATCH($S155,บันทึกรายเที่ยว!$F$6:$F$6005,0))</f>
        <v/>
      </c>
      <c r="U155">
        <f>IF($Q155="","",$AL155*10000000+$T155*1000+151)</f>
        <v/>
      </c>
      <c r="V155">
        <f>IFERROR(MATCH(SMALL($U$5:$U$404,151),$U$5:$U$404,0),"")</f>
        <v/>
      </c>
      <c r="W155">
        <f>IF($V155="","",INDEX($Q$5:$Q$404,$V155))</f>
        <v/>
      </c>
      <c r="X155">
        <f>IF($V155="","",INDEX($S$5:$S$404,$V155))</f>
        <v/>
      </c>
      <c r="Y155">
        <f>IF($V155="","",INDEX($R$5:$R$404,$V155))</f>
        <v/>
      </c>
      <c r="Z155">
        <f>IF($V155="",0,IF($X155&lt;&gt;$X154,1,0))</f>
        <v/>
      </c>
      <c r="AA155">
        <f>IF($V155="",0,IF($V156="",1,IF($X156&lt;&gt;$X155,1,0)))</f>
        <v/>
      </c>
      <c r="AB155">
        <f>IF($V155="",99999+151,$AB154+1+$Z154+$AA154+$AO154)</f>
        <v/>
      </c>
      <c r="AC155">
        <f>IFERROR(MATCH(151,$AB$5:$AB$404,1),"")</f>
        <v/>
      </c>
      <c r="AD155">
        <f>IF(151=$AI$1+1,"Z",IF($AC155="","",IF(INDEX($V$5:$V$404,$AC155)="","",IF(151&gt;INDEX($AB$5:$AB$404,$AC155)+INDEX($Z$5:$Z$404,$AC155)+INDEX($AA$5:$AA$404,$AC155)+INDEX($AO$5:$AO$404,$AC155),"",IF(151=INDEX($AB$5:$AB$404,$AC155)+INDEX($Z$5:$Z$404,$AC155),"D",IF(AND(INDEX($Z$5:$Z$404,$AC155)=1,151=INDEX($AB$5:$AB$404,$AC155)),"H",IF(AND(INDEX($AO$5:$AO$404,$AC155)=1,151=INDEX($AB$5:$AB$404,$AC155)+INDEX($Z$5:$Z$404,$AC155)+INDEX($AA$5:$AA$404,$AC155)+INDEX($AO$5:$AO$404,$AC155)),"B","T")))))))</f>
        <v/>
      </c>
      <c r="AF155">
        <f>IF(OR($AD155="",$AD155="Z",$AD155="B"),"",INDEX($X$5:$X$404,$AC155))</f>
        <v/>
      </c>
      <c r="AJ155">
        <f>IF($AD155&lt;&gt;"T",0,ROUND(SUMIF(oil!$B$4:$B$63,$AF155,oil!$AE$4:$AE$63),2))</f>
        <v/>
      </c>
      <c r="AK155">
        <f>IF($S155="","",IFERROR(INDEX(อัตราค่าขนส่ง!$P$5:$P$54,MATCH($S155,อัตราค่าขนส่ง!$O$5:$O$54,0)),INDEX(รายการมาตรฐาน!$G$2:$G$3,1)))</f>
        <v/>
      </c>
      <c r="AL155">
        <f>IF($S155="","",IFERROR(MATCH($AK155,รายการมาตรฐาน!$G$2:$G$3,0),1))</f>
        <v/>
      </c>
      <c r="AM155">
        <f>IF($V155="","",INDEX($AK$5:$AK$404,$V155))</f>
        <v/>
      </c>
      <c r="AN155">
        <f>IF($V155="","",INDEX($AL$5:$AL$404,$V155))</f>
        <v/>
      </c>
      <c r="AO155">
        <f>IF(OR($V155="",$AI$2&lt;=1),0,IF($V156="",1,IF($AN156&lt;&gt;$AN155,1,0)))</f>
        <v/>
      </c>
      <c r="AP155">
        <f>IF($V155="",0,IF($AN155&lt;&gt;$AN154,1,0))</f>
        <v/>
      </c>
      <c r="AQ155">
        <f>IF(OR($AD155="",$AD155="Z"),"",INDEX($AN$5:$AN$404,$AC155))</f>
        <v/>
      </c>
      <c r="AR155">
        <f>IF($Y155="",0,COUNTIF(บันทึกรายเที่ยว!$V$6:$V$6005,$Y155))</f>
        <v/>
      </c>
      <c r="AS155">
        <f>IF($Y155="",0,ROUND(SUMIF(บันทึกรายเที่ยว!$V$6:$V$6005,$Y155,บันทึกรายเที่ยว!$M$6:$M$6005),2))</f>
        <v/>
      </c>
      <c r="AT155">
        <f>IF($Y155="",0,IFERROR(INDEX(อัตราค่าขนส่ง!$G$5:$G$204,MATCH($Y155,อัตราค่าขนส่ง!$M$5:$M$204,0)),0))</f>
        <v/>
      </c>
      <c r="AU155">
        <f>ROUND($AS155*$BD155,2)</f>
        <v/>
      </c>
      <c r="AV155">
        <f>ROUND($AU155*$BF$2/100,2)</f>
        <v/>
      </c>
      <c r="AW155">
        <f>IF($Y155="","",IFERROR(INDEX(อัตราค่าขนส่ง!$F$5:$F$204,MATCH($Y155,อัตราค่าขนส่ง!$M$5:$M$204,0)),""))</f>
        <v/>
      </c>
      <c r="AX155">
        <f>IF($W155="","",INDEX(บันทึกรายเที่ยว!$D$6:$D$6005,$W155))</f>
        <v/>
      </c>
      <c r="AY155">
        <f>IF($W155="","",INDEX(บันทึกรายเที่ยว!$R$6:$R$6005,$W155))</f>
        <v/>
      </c>
      <c r="AZ155">
        <f>IF(AND($AD155="T",$AQ155=1),N($AZ154)+1,N($AZ154))</f>
        <v/>
      </c>
      <c r="BA155">
        <f>IF($W155="","",INDEX(บันทึกรายเที่ยว!$E$6:$E$6005,$W155))</f>
        <v/>
      </c>
      <c r="BC155">
        <f>IF($Y155="",0,IFERROR(INDEX(อัตราค่าขนส่ง!$K$5:$K$204,MATCH($Y155,อัตราค่าขนส่ง!$M$5:$M$204,0)),0))</f>
        <v/>
      </c>
      <c r="BD155">
        <f>IF($Y155="",0,IFERROR(INDEX(อัตราค่าขนส่ง!$L$5:$L$204,MATCH($Y155,อัตราค่าขนส่ง!$M$5:$M$204,0)),0))</f>
        <v/>
      </c>
    </row>
    <row r="156" ht="21" customHeight="1" s="66">
      <c r="A156" s="69">
        <f>IF($AD156="","",IF($AD156="Z","รวมจ่ายทั้งสิ้น",IF($AD156="H",INDEX($X$5:$X$404,$AC156),IF($AD156="T","รวม",IF($AD156="B",IFERROR(INDEX(อัตราค่าขนส่ง!$S$5:$S$14,MATCH(INDEX($AM$5:$AM$404,$AC156),อัตราค่าขนส่ง!$R$5:$R$14,0)),"รวมกลุ่ม "&amp;INDEX($AM$5:$AM$404,$AC156)),INDEX($AY$5:$AY$404,$AC156))))))</f>
        <v/>
      </c>
      <c r="B156" s="31">
        <f>IF($AD156&lt;&gt;"D","",INDEX($AW$5:$AW$404,$AC156))</f>
        <v/>
      </c>
      <c r="C156" s="68">
        <f>IF($AD156&lt;&gt;"D","",INDEX($AX$5:$AX$404,$AC156))</f>
        <v/>
      </c>
      <c r="D156" s="70">
        <f>IF($AD156&lt;&gt;"D","",INDEX($BA$5:$BA$404,$AC156))</f>
        <v/>
      </c>
      <c r="E156" s="31">
        <f>IF($AD156="Z",SUM($AR$5:$AR$404),IF($AD156="D",INDEX($AR$5:$AR$404,$AC156),IF($AD156="T",SUMIF($X$5:$X$404,$AF156,$AR$5:$AR$404),IF($AD156="B",SUMIF($AN$5:$AN$404,$AQ156,$AR$5:$AR$404),""))))</f>
        <v/>
      </c>
      <c r="F156" s="32">
        <f>IF($AD156="Z",ROUND(SUM($AS$5:$AS$404),2),IF($AD156="D",INDEX($AS$5:$AS$404,$AC156),IF($AD156="T",ROUND(SUMIF($X$5:$X$404,$AF156,$AS$5:$AS$404),2),IF($AD156="B",ROUND(SUMIF($AN$5:$AN$404,$AQ156,$AS$5:$AS$404),2),""))))</f>
        <v/>
      </c>
      <c r="G156" s="32">
        <f>IF($AD156&lt;&gt;"D","",INDEX($AT$5:$AT$404,$AC156))</f>
        <v/>
      </c>
      <c r="H156" s="32">
        <f>IF($AD156&lt;&gt;"D","",INDEX($BC$5:$BC$404,$AC156))</f>
        <v/>
      </c>
      <c r="I156" s="32">
        <f>IF($AD156&lt;&gt;"D","",INDEX($BD$5:$BD$404,$AC156))</f>
        <v/>
      </c>
      <c r="J156" s="46">
        <f>IF($AD156&lt;&gt;"D","",IF(N($B156)=0,"",ROUND($I156/$B156,4)))</f>
        <v/>
      </c>
      <c r="K156" s="32">
        <f>IF($AD156="Z",ROUND(SUM($AU$5:$AU$404),2),IF($AD156="D",INDEX($AU$5:$AU$404,$AC156),IF($AD156="T",ROUND(SUMIF($X$5:$X$404,$AF156,$AU$5:$AU$404),2),IF($AD156="B",ROUND(SUMIF($AN$5:$AN$404,$AQ156,$AU$5:$AU$404),2),""))))</f>
        <v/>
      </c>
      <c r="L156" s="32">
        <f>IF($AD156="Z",ROUND(SUM($AV$5:$AV$404),2),IF($AD156="D",INDEX($AV$5:$AV$404,$AC156),IF($AD156="T",ROUND(SUMIF($X$5:$X$404,$AF156,$AV$5:$AV$404),2),IF($AD156="B",ROUND(SUMIF($AN$5:$AN$404,$AQ156,$AV$5:$AV$404),2),""))))</f>
        <v/>
      </c>
      <c r="M156" s="32">
        <f>IF($AD156="Z",ROUND(SUM($AJ$5:$AJ$704),2),IF($AD156="B",ROUND(SUMIF($AQ$5:$AQ$704,$AQ156,$AJ$5:$AJ$704),2),IF($AD156&lt;&gt;"T","",$AJ156)))</f>
        <v/>
      </c>
      <c r="N156" s="32">
        <f>IF(OR($AD156="D",$AD156="T",$AD156="B",$AD156="Z"),ROUND(N($K156)-N($L156)-N($M156),2),"")</f>
        <v/>
      </c>
      <c r="O156" s="32">
        <f>IF(OR($AD156="D",$AD156="T",$AD156="B",$AD156="Z"),IF(N($E156)=0,"",ROUND($F156/$E156,2)),"")</f>
        <v/>
      </c>
      <c r="Q156">
        <f>IFERROR(MATCH(152,บันทึกรายเที่ยว!$Z$6:$Z$6005,0),"")</f>
        <v/>
      </c>
      <c r="R156">
        <f>IF($Q156="","",INDEX(บันทึกรายเที่ยว!$V$6:$V$6005,$Q156))</f>
        <v/>
      </c>
      <c r="S156">
        <f>IF($Q156="","",INDEX(บันทึกรายเที่ยว!$F$6:$F$6005,$Q156))</f>
        <v/>
      </c>
      <c r="T156">
        <f>IF($Q156="","",MATCH($S156,บันทึกรายเที่ยว!$F$6:$F$6005,0))</f>
        <v/>
      </c>
      <c r="U156">
        <f>IF($Q156="","",$AL156*10000000+$T156*1000+152)</f>
        <v/>
      </c>
      <c r="V156">
        <f>IFERROR(MATCH(SMALL($U$5:$U$404,152),$U$5:$U$404,0),"")</f>
        <v/>
      </c>
      <c r="W156">
        <f>IF($V156="","",INDEX($Q$5:$Q$404,$V156))</f>
        <v/>
      </c>
      <c r="X156">
        <f>IF($V156="","",INDEX($S$5:$S$404,$V156))</f>
        <v/>
      </c>
      <c r="Y156">
        <f>IF($V156="","",INDEX($R$5:$R$404,$V156))</f>
        <v/>
      </c>
      <c r="Z156">
        <f>IF($V156="",0,IF($X156&lt;&gt;$X155,1,0))</f>
        <v/>
      </c>
      <c r="AA156">
        <f>IF($V156="",0,IF($V157="",1,IF($X157&lt;&gt;$X156,1,0)))</f>
        <v/>
      </c>
      <c r="AB156">
        <f>IF($V156="",99999+152,$AB155+1+$Z155+$AA155+$AO155)</f>
        <v/>
      </c>
      <c r="AC156">
        <f>IFERROR(MATCH(152,$AB$5:$AB$404,1),"")</f>
        <v/>
      </c>
      <c r="AD156">
        <f>IF(152=$AI$1+1,"Z",IF($AC156="","",IF(INDEX($V$5:$V$404,$AC156)="","",IF(152&gt;INDEX($AB$5:$AB$404,$AC156)+INDEX($Z$5:$Z$404,$AC156)+INDEX($AA$5:$AA$404,$AC156)+INDEX($AO$5:$AO$404,$AC156),"",IF(152=INDEX($AB$5:$AB$404,$AC156)+INDEX($Z$5:$Z$404,$AC156),"D",IF(AND(INDEX($Z$5:$Z$404,$AC156)=1,152=INDEX($AB$5:$AB$404,$AC156)),"H",IF(AND(INDEX($AO$5:$AO$404,$AC156)=1,152=INDEX($AB$5:$AB$404,$AC156)+INDEX($Z$5:$Z$404,$AC156)+INDEX($AA$5:$AA$404,$AC156)+INDEX($AO$5:$AO$404,$AC156)),"B","T")))))))</f>
        <v/>
      </c>
      <c r="AF156">
        <f>IF(OR($AD156="",$AD156="Z",$AD156="B"),"",INDEX($X$5:$X$404,$AC156))</f>
        <v/>
      </c>
      <c r="AJ156">
        <f>IF($AD156&lt;&gt;"T",0,ROUND(SUMIF(oil!$B$4:$B$63,$AF156,oil!$AE$4:$AE$63),2))</f>
        <v/>
      </c>
      <c r="AK156">
        <f>IF($S156="","",IFERROR(INDEX(อัตราค่าขนส่ง!$P$5:$P$54,MATCH($S156,อัตราค่าขนส่ง!$O$5:$O$54,0)),INDEX(รายการมาตรฐาน!$G$2:$G$3,1)))</f>
        <v/>
      </c>
      <c r="AL156">
        <f>IF($S156="","",IFERROR(MATCH($AK156,รายการมาตรฐาน!$G$2:$G$3,0),1))</f>
        <v/>
      </c>
      <c r="AM156">
        <f>IF($V156="","",INDEX($AK$5:$AK$404,$V156))</f>
        <v/>
      </c>
      <c r="AN156">
        <f>IF($V156="","",INDEX($AL$5:$AL$404,$V156))</f>
        <v/>
      </c>
      <c r="AO156">
        <f>IF(OR($V156="",$AI$2&lt;=1),0,IF($V157="",1,IF($AN157&lt;&gt;$AN156,1,0)))</f>
        <v/>
      </c>
      <c r="AP156">
        <f>IF($V156="",0,IF($AN156&lt;&gt;$AN155,1,0))</f>
        <v/>
      </c>
      <c r="AQ156">
        <f>IF(OR($AD156="",$AD156="Z"),"",INDEX($AN$5:$AN$404,$AC156))</f>
        <v/>
      </c>
      <c r="AR156">
        <f>IF($Y156="",0,COUNTIF(บันทึกรายเที่ยว!$V$6:$V$6005,$Y156))</f>
        <v/>
      </c>
      <c r="AS156">
        <f>IF($Y156="",0,ROUND(SUMIF(บันทึกรายเที่ยว!$V$6:$V$6005,$Y156,บันทึกรายเที่ยว!$M$6:$M$6005),2))</f>
        <v/>
      </c>
      <c r="AT156">
        <f>IF($Y156="",0,IFERROR(INDEX(อัตราค่าขนส่ง!$G$5:$G$204,MATCH($Y156,อัตราค่าขนส่ง!$M$5:$M$204,0)),0))</f>
        <v/>
      </c>
      <c r="AU156">
        <f>ROUND($AS156*$BD156,2)</f>
        <v/>
      </c>
      <c r="AV156">
        <f>ROUND($AU156*$BF$2/100,2)</f>
        <v/>
      </c>
      <c r="AW156">
        <f>IF($Y156="","",IFERROR(INDEX(อัตราค่าขนส่ง!$F$5:$F$204,MATCH($Y156,อัตราค่าขนส่ง!$M$5:$M$204,0)),""))</f>
        <v/>
      </c>
      <c r="AX156">
        <f>IF($W156="","",INDEX(บันทึกรายเที่ยว!$D$6:$D$6005,$W156))</f>
        <v/>
      </c>
      <c r="AY156">
        <f>IF($W156="","",INDEX(บันทึกรายเที่ยว!$R$6:$R$6005,$W156))</f>
        <v/>
      </c>
      <c r="AZ156">
        <f>IF(AND($AD156="T",$AQ156=1),N($AZ155)+1,N($AZ155))</f>
        <v/>
      </c>
      <c r="BA156">
        <f>IF($W156="","",INDEX(บันทึกรายเที่ยว!$E$6:$E$6005,$W156))</f>
        <v/>
      </c>
      <c r="BC156">
        <f>IF($Y156="",0,IFERROR(INDEX(อัตราค่าขนส่ง!$K$5:$K$204,MATCH($Y156,อัตราค่าขนส่ง!$M$5:$M$204,0)),0))</f>
        <v/>
      </c>
      <c r="BD156">
        <f>IF($Y156="",0,IFERROR(INDEX(อัตราค่าขนส่ง!$L$5:$L$204,MATCH($Y156,อัตราค่าขนส่ง!$M$5:$M$204,0)),0))</f>
        <v/>
      </c>
    </row>
    <row r="157" ht="21" customHeight="1" s="66">
      <c r="A157" s="69">
        <f>IF($AD157="","",IF($AD157="Z","รวมจ่ายทั้งสิ้น",IF($AD157="H",INDEX($X$5:$X$404,$AC157),IF($AD157="T","รวม",IF($AD157="B",IFERROR(INDEX(อัตราค่าขนส่ง!$S$5:$S$14,MATCH(INDEX($AM$5:$AM$404,$AC157),อัตราค่าขนส่ง!$R$5:$R$14,0)),"รวมกลุ่ม "&amp;INDEX($AM$5:$AM$404,$AC157)),INDEX($AY$5:$AY$404,$AC157))))))</f>
        <v/>
      </c>
      <c r="B157" s="31">
        <f>IF($AD157&lt;&gt;"D","",INDEX($AW$5:$AW$404,$AC157))</f>
        <v/>
      </c>
      <c r="C157" s="68">
        <f>IF($AD157&lt;&gt;"D","",INDEX($AX$5:$AX$404,$AC157))</f>
        <v/>
      </c>
      <c r="D157" s="70">
        <f>IF($AD157&lt;&gt;"D","",INDEX($BA$5:$BA$404,$AC157))</f>
        <v/>
      </c>
      <c r="E157" s="31">
        <f>IF($AD157="Z",SUM($AR$5:$AR$404),IF($AD157="D",INDEX($AR$5:$AR$404,$AC157),IF($AD157="T",SUMIF($X$5:$X$404,$AF157,$AR$5:$AR$404),IF($AD157="B",SUMIF($AN$5:$AN$404,$AQ157,$AR$5:$AR$404),""))))</f>
        <v/>
      </c>
      <c r="F157" s="32">
        <f>IF($AD157="Z",ROUND(SUM($AS$5:$AS$404),2),IF($AD157="D",INDEX($AS$5:$AS$404,$AC157),IF($AD157="T",ROUND(SUMIF($X$5:$X$404,$AF157,$AS$5:$AS$404),2),IF($AD157="B",ROUND(SUMIF($AN$5:$AN$404,$AQ157,$AS$5:$AS$404),2),""))))</f>
        <v/>
      </c>
      <c r="G157" s="32">
        <f>IF($AD157&lt;&gt;"D","",INDEX($AT$5:$AT$404,$AC157))</f>
        <v/>
      </c>
      <c r="H157" s="32">
        <f>IF($AD157&lt;&gt;"D","",INDEX($BC$5:$BC$404,$AC157))</f>
        <v/>
      </c>
      <c r="I157" s="32">
        <f>IF($AD157&lt;&gt;"D","",INDEX($BD$5:$BD$404,$AC157))</f>
        <v/>
      </c>
      <c r="J157" s="46">
        <f>IF($AD157&lt;&gt;"D","",IF(N($B157)=0,"",ROUND($I157/$B157,4)))</f>
        <v/>
      </c>
      <c r="K157" s="32">
        <f>IF($AD157="Z",ROUND(SUM($AU$5:$AU$404),2),IF($AD157="D",INDEX($AU$5:$AU$404,$AC157),IF($AD157="T",ROUND(SUMIF($X$5:$X$404,$AF157,$AU$5:$AU$404),2),IF($AD157="B",ROUND(SUMIF($AN$5:$AN$404,$AQ157,$AU$5:$AU$404),2),""))))</f>
        <v/>
      </c>
      <c r="L157" s="32">
        <f>IF($AD157="Z",ROUND(SUM($AV$5:$AV$404),2),IF($AD157="D",INDEX($AV$5:$AV$404,$AC157),IF($AD157="T",ROUND(SUMIF($X$5:$X$404,$AF157,$AV$5:$AV$404),2),IF($AD157="B",ROUND(SUMIF($AN$5:$AN$404,$AQ157,$AV$5:$AV$404),2),""))))</f>
        <v/>
      </c>
      <c r="M157" s="32">
        <f>IF($AD157="Z",ROUND(SUM($AJ$5:$AJ$704),2),IF($AD157="B",ROUND(SUMIF($AQ$5:$AQ$704,$AQ157,$AJ$5:$AJ$704),2),IF($AD157&lt;&gt;"T","",$AJ157)))</f>
        <v/>
      </c>
      <c r="N157" s="32">
        <f>IF(OR($AD157="D",$AD157="T",$AD157="B",$AD157="Z"),ROUND(N($K157)-N($L157)-N($M157),2),"")</f>
        <v/>
      </c>
      <c r="O157" s="32">
        <f>IF(OR($AD157="D",$AD157="T",$AD157="B",$AD157="Z"),IF(N($E157)=0,"",ROUND($F157/$E157,2)),"")</f>
        <v/>
      </c>
      <c r="Q157">
        <f>IFERROR(MATCH(153,บันทึกรายเที่ยว!$Z$6:$Z$6005,0),"")</f>
        <v/>
      </c>
      <c r="R157">
        <f>IF($Q157="","",INDEX(บันทึกรายเที่ยว!$V$6:$V$6005,$Q157))</f>
        <v/>
      </c>
      <c r="S157">
        <f>IF($Q157="","",INDEX(บันทึกรายเที่ยว!$F$6:$F$6005,$Q157))</f>
        <v/>
      </c>
      <c r="T157">
        <f>IF($Q157="","",MATCH($S157,บันทึกรายเที่ยว!$F$6:$F$6005,0))</f>
        <v/>
      </c>
      <c r="U157">
        <f>IF($Q157="","",$AL157*10000000+$T157*1000+153)</f>
        <v/>
      </c>
      <c r="V157">
        <f>IFERROR(MATCH(SMALL($U$5:$U$404,153),$U$5:$U$404,0),"")</f>
        <v/>
      </c>
      <c r="W157">
        <f>IF($V157="","",INDEX($Q$5:$Q$404,$V157))</f>
        <v/>
      </c>
      <c r="X157">
        <f>IF($V157="","",INDEX($S$5:$S$404,$V157))</f>
        <v/>
      </c>
      <c r="Y157">
        <f>IF($V157="","",INDEX($R$5:$R$404,$V157))</f>
        <v/>
      </c>
      <c r="Z157">
        <f>IF($V157="",0,IF($X157&lt;&gt;$X156,1,0))</f>
        <v/>
      </c>
      <c r="AA157">
        <f>IF($V157="",0,IF($V158="",1,IF($X158&lt;&gt;$X157,1,0)))</f>
        <v/>
      </c>
      <c r="AB157">
        <f>IF($V157="",99999+153,$AB156+1+$Z156+$AA156+$AO156)</f>
        <v/>
      </c>
      <c r="AC157">
        <f>IFERROR(MATCH(153,$AB$5:$AB$404,1),"")</f>
        <v/>
      </c>
      <c r="AD157">
        <f>IF(153=$AI$1+1,"Z",IF($AC157="","",IF(INDEX($V$5:$V$404,$AC157)="","",IF(153&gt;INDEX($AB$5:$AB$404,$AC157)+INDEX($Z$5:$Z$404,$AC157)+INDEX($AA$5:$AA$404,$AC157)+INDEX($AO$5:$AO$404,$AC157),"",IF(153=INDEX($AB$5:$AB$404,$AC157)+INDEX($Z$5:$Z$404,$AC157),"D",IF(AND(INDEX($Z$5:$Z$404,$AC157)=1,153=INDEX($AB$5:$AB$404,$AC157)),"H",IF(AND(INDEX($AO$5:$AO$404,$AC157)=1,153=INDEX($AB$5:$AB$404,$AC157)+INDEX($Z$5:$Z$404,$AC157)+INDEX($AA$5:$AA$404,$AC157)+INDEX($AO$5:$AO$404,$AC157)),"B","T")))))))</f>
        <v/>
      </c>
      <c r="AF157">
        <f>IF(OR($AD157="",$AD157="Z",$AD157="B"),"",INDEX($X$5:$X$404,$AC157))</f>
        <v/>
      </c>
      <c r="AJ157">
        <f>IF($AD157&lt;&gt;"T",0,ROUND(SUMIF(oil!$B$4:$B$63,$AF157,oil!$AE$4:$AE$63),2))</f>
        <v/>
      </c>
      <c r="AK157">
        <f>IF($S157="","",IFERROR(INDEX(อัตราค่าขนส่ง!$P$5:$P$54,MATCH($S157,อัตราค่าขนส่ง!$O$5:$O$54,0)),INDEX(รายการมาตรฐาน!$G$2:$G$3,1)))</f>
        <v/>
      </c>
      <c r="AL157">
        <f>IF($S157="","",IFERROR(MATCH($AK157,รายการมาตรฐาน!$G$2:$G$3,0),1))</f>
        <v/>
      </c>
      <c r="AM157">
        <f>IF($V157="","",INDEX($AK$5:$AK$404,$V157))</f>
        <v/>
      </c>
      <c r="AN157">
        <f>IF($V157="","",INDEX($AL$5:$AL$404,$V157))</f>
        <v/>
      </c>
      <c r="AO157">
        <f>IF(OR($V157="",$AI$2&lt;=1),0,IF($V158="",1,IF($AN158&lt;&gt;$AN157,1,0)))</f>
        <v/>
      </c>
      <c r="AP157">
        <f>IF($V157="",0,IF($AN157&lt;&gt;$AN156,1,0))</f>
        <v/>
      </c>
      <c r="AQ157">
        <f>IF(OR($AD157="",$AD157="Z"),"",INDEX($AN$5:$AN$404,$AC157))</f>
        <v/>
      </c>
      <c r="AR157">
        <f>IF($Y157="",0,COUNTIF(บันทึกรายเที่ยว!$V$6:$V$6005,$Y157))</f>
        <v/>
      </c>
      <c r="AS157">
        <f>IF($Y157="",0,ROUND(SUMIF(บันทึกรายเที่ยว!$V$6:$V$6005,$Y157,บันทึกรายเที่ยว!$M$6:$M$6005),2))</f>
        <v/>
      </c>
      <c r="AT157">
        <f>IF($Y157="",0,IFERROR(INDEX(อัตราค่าขนส่ง!$G$5:$G$204,MATCH($Y157,อัตราค่าขนส่ง!$M$5:$M$204,0)),0))</f>
        <v/>
      </c>
      <c r="AU157">
        <f>ROUND($AS157*$BD157,2)</f>
        <v/>
      </c>
      <c r="AV157">
        <f>ROUND($AU157*$BF$2/100,2)</f>
        <v/>
      </c>
      <c r="AW157">
        <f>IF($Y157="","",IFERROR(INDEX(อัตราค่าขนส่ง!$F$5:$F$204,MATCH($Y157,อัตราค่าขนส่ง!$M$5:$M$204,0)),""))</f>
        <v/>
      </c>
      <c r="AX157">
        <f>IF($W157="","",INDEX(บันทึกรายเที่ยว!$D$6:$D$6005,$W157))</f>
        <v/>
      </c>
      <c r="AY157">
        <f>IF($W157="","",INDEX(บันทึกรายเที่ยว!$R$6:$R$6005,$W157))</f>
        <v/>
      </c>
      <c r="AZ157">
        <f>IF(AND($AD157="T",$AQ157=1),N($AZ156)+1,N($AZ156))</f>
        <v/>
      </c>
      <c r="BA157">
        <f>IF($W157="","",INDEX(บันทึกรายเที่ยว!$E$6:$E$6005,$W157))</f>
        <v/>
      </c>
      <c r="BC157">
        <f>IF($Y157="",0,IFERROR(INDEX(อัตราค่าขนส่ง!$K$5:$K$204,MATCH($Y157,อัตราค่าขนส่ง!$M$5:$M$204,0)),0))</f>
        <v/>
      </c>
      <c r="BD157">
        <f>IF($Y157="",0,IFERROR(INDEX(อัตราค่าขนส่ง!$L$5:$L$204,MATCH($Y157,อัตราค่าขนส่ง!$M$5:$M$204,0)),0))</f>
        <v/>
      </c>
    </row>
    <row r="158" ht="21" customHeight="1" s="66">
      <c r="A158" s="69">
        <f>IF($AD158="","",IF($AD158="Z","รวมจ่ายทั้งสิ้น",IF($AD158="H",INDEX($X$5:$X$404,$AC158),IF($AD158="T","รวม",IF($AD158="B",IFERROR(INDEX(อัตราค่าขนส่ง!$S$5:$S$14,MATCH(INDEX($AM$5:$AM$404,$AC158),อัตราค่าขนส่ง!$R$5:$R$14,0)),"รวมกลุ่ม "&amp;INDEX($AM$5:$AM$404,$AC158)),INDEX($AY$5:$AY$404,$AC158))))))</f>
        <v/>
      </c>
      <c r="B158" s="31">
        <f>IF($AD158&lt;&gt;"D","",INDEX($AW$5:$AW$404,$AC158))</f>
        <v/>
      </c>
      <c r="C158" s="68">
        <f>IF($AD158&lt;&gt;"D","",INDEX($AX$5:$AX$404,$AC158))</f>
        <v/>
      </c>
      <c r="D158" s="70">
        <f>IF($AD158&lt;&gt;"D","",INDEX($BA$5:$BA$404,$AC158))</f>
        <v/>
      </c>
      <c r="E158" s="31">
        <f>IF($AD158="Z",SUM($AR$5:$AR$404),IF($AD158="D",INDEX($AR$5:$AR$404,$AC158),IF($AD158="T",SUMIF($X$5:$X$404,$AF158,$AR$5:$AR$404),IF($AD158="B",SUMIF($AN$5:$AN$404,$AQ158,$AR$5:$AR$404),""))))</f>
        <v/>
      </c>
      <c r="F158" s="32">
        <f>IF($AD158="Z",ROUND(SUM($AS$5:$AS$404),2),IF($AD158="D",INDEX($AS$5:$AS$404,$AC158),IF($AD158="T",ROUND(SUMIF($X$5:$X$404,$AF158,$AS$5:$AS$404),2),IF($AD158="B",ROUND(SUMIF($AN$5:$AN$404,$AQ158,$AS$5:$AS$404),2),""))))</f>
        <v/>
      </c>
      <c r="G158" s="32">
        <f>IF($AD158&lt;&gt;"D","",INDEX($AT$5:$AT$404,$AC158))</f>
        <v/>
      </c>
      <c r="H158" s="32">
        <f>IF($AD158&lt;&gt;"D","",INDEX($BC$5:$BC$404,$AC158))</f>
        <v/>
      </c>
      <c r="I158" s="32">
        <f>IF($AD158&lt;&gt;"D","",INDEX($BD$5:$BD$404,$AC158))</f>
        <v/>
      </c>
      <c r="J158" s="46">
        <f>IF($AD158&lt;&gt;"D","",IF(N($B158)=0,"",ROUND($I158/$B158,4)))</f>
        <v/>
      </c>
      <c r="K158" s="32">
        <f>IF($AD158="Z",ROUND(SUM($AU$5:$AU$404),2),IF($AD158="D",INDEX($AU$5:$AU$404,$AC158),IF($AD158="T",ROUND(SUMIF($X$5:$X$404,$AF158,$AU$5:$AU$404),2),IF($AD158="B",ROUND(SUMIF($AN$5:$AN$404,$AQ158,$AU$5:$AU$404),2),""))))</f>
        <v/>
      </c>
      <c r="L158" s="32">
        <f>IF($AD158="Z",ROUND(SUM($AV$5:$AV$404),2),IF($AD158="D",INDEX($AV$5:$AV$404,$AC158),IF($AD158="T",ROUND(SUMIF($X$5:$X$404,$AF158,$AV$5:$AV$404),2),IF($AD158="B",ROUND(SUMIF($AN$5:$AN$404,$AQ158,$AV$5:$AV$404),2),""))))</f>
        <v/>
      </c>
      <c r="M158" s="32">
        <f>IF($AD158="Z",ROUND(SUM($AJ$5:$AJ$704),2),IF($AD158="B",ROUND(SUMIF($AQ$5:$AQ$704,$AQ158,$AJ$5:$AJ$704),2),IF($AD158&lt;&gt;"T","",$AJ158)))</f>
        <v/>
      </c>
      <c r="N158" s="32">
        <f>IF(OR($AD158="D",$AD158="T",$AD158="B",$AD158="Z"),ROUND(N($K158)-N($L158)-N($M158),2),"")</f>
        <v/>
      </c>
      <c r="O158" s="32">
        <f>IF(OR($AD158="D",$AD158="T",$AD158="B",$AD158="Z"),IF(N($E158)=0,"",ROUND($F158/$E158,2)),"")</f>
        <v/>
      </c>
      <c r="Q158">
        <f>IFERROR(MATCH(154,บันทึกรายเที่ยว!$Z$6:$Z$6005,0),"")</f>
        <v/>
      </c>
      <c r="R158">
        <f>IF($Q158="","",INDEX(บันทึกรายเที่ยว!$V$6:$V$6005,$Q158))</f>
        <v/>
      </c>
      <c r="S158">
        <f>IF($Q158="","",INDEX(บันทึกรายเที่ยว!$F$6:$F$6005,$Q158))</f>
        <v/>
      </c>
      <c r="T158">
        <f>IF($Q158="","",MATCH($S158,บันทึกรายเที่ยว!$F$6:$F$6005,0))</f>
        <v/>
      </c>
      <c r="U158">
        <f>IF($Q158="","",$AL158*10000000+$T158*1000+154)</f>
        <v/>
      </c>
      <c r="V158">
        <f>IFERROR(MATCH(SMALL($U$5:$U$404,154),$U$5:$U$404,0),"")</f>
        <v/>
      </c>
      <c r="W158">
        <f>IF($V158="","",INDEX($Q$5:$Q$404,$V158))</f>
        <v/>
      </c>
      <c r="X158">
        <f>IF($V158="","",INDEX($S$5:$S$404,$V158))</f>
        <v/>
      </c>
      <c r="Y158">
        <f>IF($V158="","",INDEX($R$5:$R$404,$V158))</f>
        <v/>
      </c>
      <c r="Z158">
        <f>IF($V158="",0,IF($X158&lt;&gt;$X157,1,0))</f>
        <v/>
      </c>
      <c r="AA158">
        <f>IF($V158="",0,IF($V159="",1,IF($X159&lt;&gt;$X158,1,0)))</f>
        <v/>
      </c>
      <c r="AB158">
        <f>IF($V158="",99999+154,$AB157+1+$Z157+$AA157+$AO157)</f>
        <v/>
      </c>
      <c r="AC158">
        <f>IFERROR(MATCH(154,$AB$5:$AB$404,1),"")</f>
        <v/>
      </c>
      <c r="AD158">
        <f>IF(154=$AI$1+1,"Z",IF($AC158="","",IF(INDEX($V$5:$V$404,$AC158)="","",IF(154&gt;INDEX($AB$5:$AB$404,$AC158)+INDEX($Z$5:$Z$404,$AC158)+INDEX($AA$5:$AA$404,$AC158)+INDEX($AO$5:$AO$404,$AC158),"",IF(154=INDEX($AB$5:$AB$404,$AC158)+INDEX($Z$5:$Z$404,$AC158),"D",IF(AND(INDEX($Z$5:$Z$404,$AC158)=1,154=INDEX($AB$5:$AB$404,$AC158)),"H",IF(AND(INDEX($AO$5:$AO$404,$AC158)=1,154=INDEX($AB$5:$AB$404,$AC158)+INDEX($Z$5:$Z$404,$AC158)+INDEX($AA$5:$AA$404,$AC158)+INDEX($AO$5:$AO$404,$AC158)),"B","T")))))))</f>
        <v/>
      </c>
      <c r="AF158">
        <f>IF(OR($AD158="",$AD158="Z",$AD158="B"),"",INDEX($X$5:$X$404,$AC158))</f>
        <v/>
      </c>
      <c r="AJ158">
        <f>IF($AD158&lt;&gt;"T",0,ROUND(SUMIF(oil!$B$4:$B$63,$AF158,oil!$AE$4:$AE$63),2))</f>
        <v/>
      </c>
      <c r="AK158">
        <f>IF($S158="","",IFERROR(INDEX(อัตราค่าขนส่ง!$P$5:$P$54,MATCH($S158,อัตราค่าขนส่ง!$O$5:$O$54,0)),INDEX(รายการมาตรฐาน!$G$2:$G$3,1)))</f>
        <v/>
      </c>
      <c r="AL158">
        <f>IF($S158="","",IFERROR(MATCH($AK158,รายการมาตรฐาน!$G$2:$G$3,0),1))</f>
        <v/>
      </c>
      <c r="AM158">
        <f>IF($V158="","",INDEX($AK$5:$AK$404,$V158))</f>
        <v/>
      </c>
      <c r="AN158">
        <f>IF($V158="","",INDEX($AL$5:$AL$404,$V158))</f>
        <v/>
      </c>
      <c r="AO158">
        <f>IF(OR($V158="",$AI$2&lt;=1),0,IF($V159="",1,IF($AN159&lt;&gt;$AN158,1,0)))</f>
        <v/>
      </c>
      <c r="AP158">
        <f>IF($V158="",0,IF($AN158&lt;&gt;$AN157,1,0))</f>
        <v/>
      </c>
      <c r="AQ158">
        <f>IF(OR($AD158="",$AD158="Z"),"",INDEX($AN$5:$AN$404,$AC158))</f>
        <v/>
      </c>
      <c r="AR158">
        <f>IF($Y158="",0,COUNTIF(บันทึกรายเที่ยว!$V$6:$V$6005,$Y158))</f>
        <v/>
      </c>
      <c r="AS158">
        <f>IF($Y158="",0,ROUND(SUMIF(บันทึกรายเที่ยว!$V$6:$V$6005,$Y158,บันทึกรายเที่ยว!$M$6:$M$6005),2))</f>
        <v/>
      </c>
      <c r="AT158">
        <f>IF($Y158="",0,IFERROR(INDEX(อัตราค่าขนส่ง!$G$5:$G$204,MATCH($Y158,อัตราค่าขนส่ง!$M$5:$M$204,0)),0))</f>
        <v/>
      </c>
      <c r="AU158">
        <f>ROUND($AS158*$BD158,2)</f>
        <v/>
      </c>
      <c r="AV158">
        <f>ROUND($AU158*$BF$2/100,2)</f>
        <v/>
      </c>
      <c r="AW158">
        <f>IF($Y158="","",IFERROR(INDEX(อัตราค่าขนส่ง!$F$5:$F$204,MATCH($Y158,อัตราค่าขนส่ง!$M$5:$M$204,0)),""))</f>
        <v/>
      </c>
      <c r="AX158">
        <f>IF($W158="","",INDEX(บันทึกรายเที่ยว!$D$6:$D$6005,$W158))</f>
        <v/>
      </c>
      <c r="AY158">
        <f>IF($W158="","",INDEX(บันทึกรายเที่ยว!$R$6:$R$6005,$W158))</f>
        <v/>
      </c>
      <c r="AZ158">
        <f>IF(AND($AD158="T",$AQ158=1),N($AZ157)+1,N($AZ157))</f>
        <v/>
      </c>
      <c r="BA158">
        <f>IF($W158="","",INDEX(บันทึกรายเที่ยว!$E$6:$E$6005,$W158))</f>
        <v/>
      </c>
      <c r="BC158">
        <f>IF($Y158="",0,IFERROR(INDEX(อัตราค่าขนส่ง!$K$5:$K$204,MATCH($Y158,อัตราค่าขนส่ง!$M$5:$M$204,0)),0))</f>
        <v/>
      </c>
      <c r="BD158">
        <f>IF($Y158="",0,IFERROR(INDEX(อัตราค่าขนส่ง!$L$5:$L$204,MATCH($Y158,อัตราค่าขนส่ง!$M$5:$M$204,0)),0))</f>
        <v/>
      </c>
    </row>
    <row r="159" ht="21" customHeight="1" s="66">
      <c r="A159" s="69">
        <f>IF($AD159="","",IF($AD159="Z","รวมจ่ายทั้งสิ้น",IF($AD159="H",INDEX($X$5:$X$404,$AC159),IF($AD159="T","รวม",IF($AD159="B",IFERROR(INDEX(อัตราค่าขนส่ง!$S$5:$S$14,MATCH(INDEX($AM$5:$AM$404,$AC159),อัตราค่าขนส่ง!$R$5:$R$14,0)),"รวมกลุ่ม "&amp;INDEX($AM$5:$AM$404,$AC159)),INDEX($AY$5:$AY$404,$AC159))))))</f>
        <v/>
      </c>
      <c r="B159" s="31">
        <f>IF($AD159&lt;&gt;"D","",INDEX($AW$5:$AW$404,$AC159))</f>
        <v/>
      </c>
      <c r="C159" s="68">
        <f>IF($AD159&lt;&gt;"D","",INDEX($AX$5:$AX$404,$AC159))</f>
        <v/>
      </c>
      <c r="D159" s="70">
        <f>IF($AD159&lt;&gt;"D","",INDEX($BA$5:$BA$404,$AC159))</f>
        <v/>
      </c>
      <c r="E159" s="31">
        <f>IF($AD159="Z",SUM($AR$5:$AR$404),IF($AD159="D",INDEX($AR$5:$AR$404,$AC159),IF($AD159="T",SUMIF($X$5:$X$404,$AF159,$AR$5:$AR$404),IF($AD159="B",SUMIF($AN$5:$AN$404,$AQ159,$AR$5:$AR$404),""))))</f>
        <v/>
      </c>
      <c r="F159" s="32">
        <f>IF($AD159="Z",ROUND(SUM($AS$5:$AS$404),2),IF($AD159="D",INDEX($AS$5:$AS$404,$AC159),IF($AD159="T",ROUND(SUMIF($X$5:$X$404,$AF159,$AS$5:$AS$404),2),IF($AD159="B",ROUND(SUMIF($AN$5:$AN$404,$AQ159,$AS$5:$AS$404),2),""))))</f>
        <v/>
      </c>
      <c r="G159" s="32">
        <f>IF($AD159&lt;&gt;"D","",INDEX($AT$5:$AT$404,$AC159))</f>
        <v/>
      </c>
      <c r="H159" s="32">
        <f>IF($AD159&lt;&gt;"D","",INDEX($BC$5:$BC$404,$AC159))</f>
        <v/>
      </c>
      <c r="I159" s="32">
        <f>IF($AD159&lt;&gt;"D","",INDEX($BD$5:$BD$404,$AC159))</f>
        <v/>
      </c>
      <c r="J159" s="46">
        <f>IF($AD159&lt;&gt;"D","",IF(N($B159)=0,"",ROUND($I159/$B159,4)))</f>
        <v/>
      </c>
      <c r="K159" s="32">
        <f>IF($AD159="Z",ROUND(SUM($AU$5:$AU$404),2),IF($AD159="D",INDEX($AU$5:$AU$404,$AC159),IF($AD159="T",ROUND(SUMIF($X$5:$X$404,$AF159,$AU$5:$AU$404),2),IF($AD159="B",ROUND(SUMIF($AN$5:$AN$404,$AQ159,$AU$5:$AU$404),2),""))))</f>
        <v/>
      </c>
      <c r="L159" s="32">
        <f>IF($AD159="Z",ROUND(SUM($AV$5:$AV$404),2),IF($AD159="D",INDEX($AV$5:$AV$404,$AC159),IF($AD159="T",ROUND(SUMIF($X$5:$X$404,$AF159,$AV$5:$AV$404),2),IF($AD159="B",ROUND(SUMIF($AN$5:$AN$404,$AQ159,$AV$5:$AV$404),2),""))))</f>
        <v/>
      </c>
      <c r="M159" s="32">
        <f>IF($AD159="Z",ROUND(SUM($AJ$5:$AJ$704),2),IF($AD159="B",ROUND(SUMIF($AQ$5:$AQ$704,$AQ159,$AJ$5:$AJ$704),2),IF($AD159&lt;&gt;"T","",$AJ159)))</f>
        <v/>
      </c>
      <c r="N159" s="32">
        <f>IF(OR($AD159="D",$AD159="T",$AD159="B",$AD159="Z"),ROUND(N($K159)-N($L159)-N($M159),2),"")</f>
        <v/>
      </c>
      <c r="O159" s="32">
        <f>IF(OR($AD159="D",$AD159="T",$AD159="B",$AD159="Z"),IF(N($E159)=0,"",ROUND($F159/$E159,2)),"")</f>
        <v/>
      </c>
      <c r="Q159">
        <f>IFERROR(MATCH(155,บันทึกรายเที่ยว!$Z$6:$Z$6005,0),"")</f>
        <v/>
      </c>
      <c r="R159">
        <f>IF($Q159="","",INDEX(บันทึกรายเที่ยว!$V$6:$V$6005,$Q159))</f>
        <v/>
      </c>
      <c r="S159">
        <f>IF($Q159="","",INDEX(บันทึกรายเที่ยว!$F$6:$F$6005,$Q159))</f>
        <v/>
      </c>
      <c r="T159">
        <f>IF($Q159="","",MATCH($S159,บันทึกรายเที่ยว!$F$6:$F$6005,0))</f>
        <v/>
      </c>
      <c r="U159">
        <f>IF($Q159="","",$AL159*10000000+$T159*1000+155)</f>
        <v/>
      </c>
      <c r="V159">
        <f>IFERROR(MATCH(SMALL($U$5:$U$404,155),$U$5:$U$404,0),"")</f>
        <v/>
      </c>
      <c r="W159">
        <f>IF($V159="","",INDEX($Q$5:$Q$404,$V159))</f>
        <v/>
      </c>
      <c r="X159">
        <f>IF($V159="","",INDEX($S$5:$S$404,$V159))</f>
        <v/>
      </c>
      <c r="Y159">
        <f>IF($V159="","",INDEX($R$5:$R$404,$V159))</f>
        <v/>
      </c>
      <c r="Z159">
        <f>IF($V159="",0,IF($X159&lt;&gt;$X158,1,0))</f>
        <v/>
      </c>
      <c r="AA159">
        <f>IF($V159="",0,IF($V160="",1,IF($X160&lt;&gt;$X159,1,0)))</f>
        <v/>
      </c>
      <c r="AB159">
        <f>IF($V159="",99999+155,$AB158+1+$Z158+$AA158+$AO158)</f>
        <v/>
      </c>
      <c r="AC159">
        <f>IFERROR(MATCH(155,$AB$5:$AB$404,1),"")</f>
        <v/>
      </c>
      <c r="AD159">
        <f>IF(155=$AI$1+1,"Z",IF($AC159="","",IF(INDEX($V$5:$V$404,$AC159)="","",IF(155&gt;INDEX($AB$5:$AB$404,$AC159)+INDEX($Z$5:$Z$404,$AC159)+INDEX($AA$5:$AA$404,$AC159)+INDEX($AO$5:$AO$404,$AC159),"",IF(155=INDEX($AB$5:$AB$404,$AC159)+INDEX($Z$5:$Z$404,$AC159),"D",IF(AND(INDEX($Z$5:$Z$404,$AC159)=1,155=INDEX($AB$5:$AB$404,$AC159)),"H",IF(AND(INDEX($AO$5:$AO$404,$AC159)=1,155=INDEX($AB$5:$AB$404,$AC159)+INDEX($Z$5:$Z$404,$AC159)+INDEX($AA$5:$AA$404,$AC159)+INDEX($AO$5:$AO$404,$AC159)),"B","T")))))))</f>
        <v/>
      </c>
      <c r="AF159">
        <f>IF(OR($AD159="",$AD159="Z",$AD159="B"),"",INDEX($X$5:$X$404,$AC159))</f>
        <v/>
      </c>
      <c r="AJ159">
        <f>IF($AD159&lt;&gt;"T",0,ROUND(SUMIF(oil!$B$4:$B$63,$AF159,oil!$AE$4:$AE$63),2))</f>
        <v/>
      </c>
      <c r="AK159">
        <f>IF($S159="","",IFERROR(INDEX(อัตราค่าขนส่ง!$P$5:$P$54,MATCH($S159,อัตราค่าขนส่ง!$O$5:$O$54,0)),INDEX(รายการมาตรฐาน!$G$2:$G$3,1)))</f>
        <v/>
      </c>
      <c r="AL159">
        <f>IF($S159="","",IFERROR(MATCH($AK159,รายการมาตรฐาน!$G$2:$G$3,0),1))</f>
        <v/>
      </c>
      <c r="AM159">
        <f>IF($V159="","",INDEX($AK$5:$AK$404,$V159))</f>
        <v/>
      </c>
      <c r="AN159">
        <f>IF($V159="","",INDEX($AL$5:$AL$404,$V159))</f>
        <v/>
      </c>
      <c r="AO159">
        <f>IF(OR($V159="",$AI$2&lt;=1),0,IF($V160="",1,IF($AN160&lt;&gt;$AN159,1,0)))</f>
        <v/>
      </c>
      <c r="AP159">
        <f>IF($V159="",0,IF($AN159&lt;&gt;$AN158,1,0))</f>
        <v/>
      </c>
      <c r="AQ159">
        <f>IF(OR($AD159="",$AD159="Z"),"",INDEX($AN$5:$AN$404,$AC159))</f>
        <v/>
      </c>
      <c r="AR159">
        <f>IF($Y159="",0,COUNTIF(บันทึกรายเที่ยว!$V$6:$V$6005,$Y159))</f>
        <v/>
      </c>
      <c r="AS159">
        <f>IF($Y159="",0,ROUND(SUMIF(บันทึกรายเที่ยว!$V$6:$V$6005,$Y159,บันทึกรายเที่ยว!$M$6:$M$6005),2))</f>
        <v/>
      </c>
      <c r="AT159">
        <f>IF($Y159="",0,IFERROR(INDEX(อัตราค่าขนส่ง!$G$5:$G$204,MATCH($Y159,อัตราค่าขนส่ง!$M$5:$M$204,0)),0))</f>
        <v/>
      </c>
      <c r="AU159">
        <f>ROUND($AS159*$BD159,2)</f>
        <v/>
      </c>
      <c r="AV159">
        <f>ROUND($AU159*$BF$2/100,2)</f>
        <v/>
      </c>
      <c r="AW159">
        <f>IF($Y159="","",IFERROR(INDEX(อัตราค่าขนส่ง!$F$5:$F$204,MATCH($Y159,อัตราค่าขนส่ง!$M$5:$M$204,0)),""))</f>
        <v/>
      </c>
      <c r="AX159">
        <f>IF($W159="","",INDEX(บันทึกรายเที่ยว!$D$6:$D$6005,$W159))</f>
        <v/>
      </c>
      <c r="AY159">
        <f>IF($W159="","",INDEX(บันทึกรายเที่ยว!$R$6:$R$6005,$W159))</f>
        <v/>
      </c>
      <c r="AZ159">
        <f>IF(AND($AD159="T",$AQ159=1),N($AZ158)+1,N($AZ158))</f>
        <v/>
      </c>
      <c r="BA159">
        <f>IF($W159="","",INDEX(บันทึกรายเที่ยว!$E$6:$E$6005,$W159))</f>
        <v/>
      </c>
      <c r="BC159">
        <f>IF($Y159="",0,IFERROR(INDEX(อัตราค่าขนส่ง!$K$5:$K$204,MATCH($Y159,อัตราค่าขนส่ง!$M$5:$M$204,0)),0))</f>
        <v/>
      </c>
      <c r="BD159">
        <f>IF($Y159="",0,IFERROR(INDEX(อัตราค่าขนส่ง!$L$5:$L$204,MATCH($Y159,อัตราค่าขนส่ง!$M$5:$M$204,0)),0))</f>
        <v/>
      </c>
    </row>
    <row r="160" ht="21" customHeight="1" s="66">
      <c r="A160" s="69">
        <f>IF($AD160="","",IF($AD160="Z","รวมจ่ายทั้งสิ้น",IF($AD160="H",INDEX($X$5:$X$404,$AC160),IF($AD160="T","รวม",IF($AD160="B",IFERROR(INDEX(อัตราค่าขนส่ง!$S$5:$S$14,MATCH(INDEX($AM$5:$AM$404,$AC160),อัตราค่าขนส่ง!$R$5:$R$14,0)),"รวมกลุ่ม "&amp;INDEX($AM$5:$AM$404,$AC160)),INDEX($AY$5:$AY$404,$AC160))))))</f>
        <v/>
      </c>
      <c r="B160" s="31">
        <f>IF($AD160&lt;&gt;"D","",INDEX($AW$5:$AW$404,$AC160))</f>
        <v/>
      </c>
      <c r="C160" s="68">
        <f>IF($AD160&lt;&gt;"D","",INDEX($AX$5:$AX$404,$AC160))</f>
        <v/>
      </c>
      <c r="D160" s="70">
        <f>IF($AD160&lt;&gt;"D","",INDEX($BA$5:$BA$404,$AC160))</f>
        <v/>
      </c>
      <c r="E160" s="31">
        <f>IF($AD160="Z",SUM($AR$5:$AR$404),IF($AD160="D",INDEX($AR$5:$AR$404,$AC160),IF($AD160="T",SUMIF($X$5:$X$404,$AF160,$AR$5:$AR$404),IF($AD160="B",SUMIF($AN$5:$AN$404,$AQ160,$AR$5:$AR$404),""))))</f>
        <v/>
      </c>
      <c r="F160" s="32">
        <f>IF($AD160="Z",ROUND(SUM($AS$5:$AS$404),2),IF($AD160="D",INDEX($AS$5:$AS$404,$AC160),IF($AD160="T",ROUND(SUMIF($X$5:$X$404,$AF160,$AS$5:$AS$404),2),IF($AD160="B",ROUND(SUMIF($AN$5:$AN$404,$AQ160,$AS$5:$AS$404),2),""))))</f>
        <v/>
      </c>
      <c r="G160" s="32">
        <f>IF($AD160&lt;&gt;"D","",INDEX($AT$5:$AT$404,$AC160))</f>
        <v/>
      </c>
      <c r="H160" s="32">
        <f>IF($AD160&lt;&gt;"D","",INDEX($BC$5:$BC$404,$AC160))</f>
        <v/>
      </c>
      <c r="I160" s="32">
        <f>IF($AD160&lt;&gt;"D","",INDEX($BD$5:$BD$404,$AC160))</f>
        <v/>
      </c>
      <c r="J160" s="46">
        <f>IF($AD160&lt;&gt;"D","",IF(N($B160)=0,"",ROUND($I160/$B160,4)))</f>
        <v/>
      </c>
      <c r="K160" s="32">
        <f>IF($AD160="Z",ROUND(SUM($AU$5:$AU$404),2),IF($AD160="D",INDEX($AU$5:$AU$404,$AC160),IF($AD160="T",ROUND(SUMIF($X$5:$X$404,$AF160,$AU$5:$AU$404),2),IF($AD160="B",ROUND(SUMIF($AN$5:$AN$404,$AQ160,$AU$5:$AU$404),2),""))))</f>
        <v/>
      </c>
      <c r="L160" s="32">
        <f>IF($AD160="Z",ROUND(SUM($AV$5:$AV$404),2),IF($AD160="D",INDEX($AV$5:$AV$404,$AC160),IF($AD160="T",ROUND(SUMIF($X$5:$X$404,$AF160,$AV$5:$AV$404),2),IF($AD160="B",ROUND(SUMIF($AN$5:$AN$404,$AQ160,$AV$5:$AV$404),2),""))))</f>
        <v/>
      </c>
      <c r="M160" s="32">
        <f>IF($AD160="Z",ROUND(SUM($AJ$5:$AJ$704),2),IF($AD160="B",ROUND(SUMIF($AQ$5:$AQ$704,$AQ160,$AJ$5:$AJ$704),2),IF($AD160&lt;&gt;"T","",$AJ160)))</f>
        <v/>
      </c>
      <c r="N160" s="32">
        <f>IF(OR($AD160="D",$AD160="T",$AD160="B",$AD160="Z"),ROUND(N($K160)-N($L160)-N($M160),2),"")</f>
        <v/>
      </c>
      <c r="O160" s="32">
        <f>IF(OR($AD160="D",$AD160="T",$AD160="B",$AD160="Z"),IF(N($E160)=0,"",ROUND($F160/$E160,2)),"")</f>
        <v/>
      </c>
      <c r="Q160">
        <f>IFERROR(MATCH(156,บันทึกรายเที่ยว!$Z$6:$Z$6005,0),"")</f>
        <v/>
      </c>
      <c r="R160">
        <f>IF($Q160="","",INDEX(บันทึกรายเที่ยว!$V$6:$V$6005,$Q160))</f>
        <v/>
      </c>
      <c r="S160">
        <f>IF($Q160="","",INDEX(บันทึกรายเที่ยว!$F$6:$F$6005,$Q160))</f>
        <v/>
      </c>
      <c r="T160">
        <f>IF($Q160="","",MATCH($S160,บันทึกรายเที่ยว!$F$6:$F$6005,0))</f>
        <v/>
      </c>
      <c r="U160">
        <f>IF($Q160="","",$AL160*10000000+$T160*1000+156)</f>
        <v/>
      </c>
      <c r="V160">
        <f>IFERROR(MATCH(SMALL($U$5:$U$404,156),$U$5:$U$404,0),"")</f>
        <v/>
      </c>
      <c r="W160">
        <f>IF($V160="","",INDEX($Q$5:$Q$404,$V160))</f>
        <v/>
      </c>
      <c r="X160">
        <f>IF($V160="","",INDEX($S$5:$S$404,$V160))</f>
        <v/>
      </c>
      <c r="Y160">
        <f>IF($V160="","",INDEX($R$5:$R$404,$V160))</f>
        <v/>
      </c>
      <c r="Z160">
        <f>IF($V160="",0,IF($X160&lt;&gt;$X159,1,0))</f>
        <v/>
      </c>
      <c r="AA160">
        <f>IF($V160="",0,IF($V161="",1,IF($X161&lt;&gt;$X160,1,0)))</f>
        <v/>
      </c>
      <c r="AB160">
        <f>IF($V160="",99999+156,$AB159+1+$Z159+$AA159+$AO159)</f>
        <v/>
      </c>
      <c r="AC160">
        <f>IFERROR(MATCH(156,$AB$5:$AB$404,1),"")</f>
        <v/>
      </c>
      <c r="AD160">
        <f>IF(156=$AI$1+1,"Z",IF($AC160="","",IF(INDEX($V$5:$V$404,$AC160)="","",IF(156&gt;INDEX($AB$5:$AB$404,$AC160)+INDEX($Z$5:$Z$404,$AC160)+INDEX($AA$5:$AA$404,$AC160)+INDEX($AO$5:$AO$404,$AC160),"",IF(156=INDEX($AB$5:$AB$404,$AC160)+INDEX($Z$5:$Z$404,$AC160),"D",IF(AND(INDEX($Z$5:$Z$404,$AC160)=1,156=INDEX($AB$5:$AB$404,$AC160)),"H",IF(AND(INDEX($AO$5:$AO$404,$AC160)=1,156=INDEX($AB$5:$AB$404,$AC160)+INDEX($Z$5:$Z$404,$AC160)+INDEX($AA$5:$AA$404,$AC160)+INDEX($AO$5:$AO$404,$AC160)),"B","T")))))))</f>
        <v/>
      </c>
      <c r="AF160">
        <f>IF(OR($AD160="",$AD160="Z",$AD160="B"),"",INDEX($X$5:$X$404,$AC160))</f>
        <v/>
      </c>
      <c r="AJ160">
        <f>IF($AD160&lt;&gt;"T",0,ROUND(SUMIF(oil!$B$4:$B$63,$AF160,oil!$AE$4:$AE$63),2))</f>
        <v/>
      </c>
      <c r="AK160">
        <f>IF($S160="","",IFERROR(INDEX(อัตราค่าขนส่ง!$P$5:$P$54,MATCH($S160,อัตราค่าขนส่ง!$O$5:$O$54,0)),INDEX(รายการมาตรฐาน!$G$2:$G$3,1)))</f>
        <v/>
      </c>
      <c r="AL160">
        <f>IF($S160="","",IFERROR(MATCH($AK160,รายการมาตรฐาน!$G$2:$G$3,0),1))</f>
        <v/>
      </c>
      <c r="AM160">
        <f>IF($V160="","",INDEX($AK$5:$AK$404,$V160))</f>
        <v/>
      </c>
      <c r="AN160">
        <f>IF($V160="","",INDEX($AL$5:$AL$404,$V160))</f>
        <v/>
      </c>
      <c r="AO160">
        <f>IF(OR($V160="",$AI$2&lt;=1),0,IF($V161="",1,IF($AN161&lt;&gt;$AN160,1,0)))</f>
        <v/>
      </c>
      <c r="AP160">
        <f>IF($V160="",0,IF($AN160&lt;&gt;$AN159,1,0))</f>
        <v/>
      </c>
      <c r="AQ160">
        <f>IF(OR($AD160="",$AD160="Z"),"",INDEX($AN$5:$AN$404,$AC160))</f>
        <v/>
      </c>
      <c r="AR160">
        <f>IF($Y160="",0,COUNTIF(บันทึกรายเที่ยว!$V$6:$V$6005,$Y160))</f>
        <v/>
      </c>
      <c r="AS160">
        <f>IF($Y160="",0,ROUND(SUMIF(บันทึกรายเที่ยว!$V$6:$V$6005,$Y160,บันทึกรายเที่ยว!$M$6:$M$6005),2))</f>
        <v/>
      </c>
      <c r="AT160">
        <f>IF($Y160="",0,IFERROR(INDEX(อัตราค่าขนส่ง!$G$5:$G$204,MATCH($Y160,อัตราค่าขนส่ง!$M$5:$M$204,0)),0))</f>
        <v/>
      </c>
      <c r="AU160">
        <f>ROUND($AS160*$BD160,2)</f>
        <v/>
      </c>
      <c r="AV160">
        <f>ROUND($AU160*$BF$2/100,2)</f>
        <v/>
      </c>
      <c r="AW160">
        <f>IF($Y160="","",IFERROR(INDEX(อัตราค่าขนส่ง!$F$5:$F$204,MATCH($Y160,อัตราค่าขนส่ง!$M$5:$M$204,0)),""))</f>
        <v/>
      </c>
      <c r="AX160">
        <f>IF($W160="","",INDEX(บันทึกรายเที่ยว!$D$6:$D$6005,$W160))</f>
        <v/>
      </c>
      <c r="AY160">
        <f>IF($W160="","",INDEX(บันทึกรายเที่ยว!$R$6:$R$6005,$W160))</f>
        <v/>
      </c>
      <c r="AZ160">
        <f>IF(AND($AD160="T",$AQ160=1),N($AZ159)+1,N($AZ159))</f>
        <v/>
      </c>
      <c r="BA160">
        <f>IF($W160="","",INDEX(บันทึกรายเที่ยว!$E$6:$E$6005,$W160))</f>
        <v/>
      </c>
      <c r="BC160">
        <f>IF($Y160="",0,IFERROR(INDEX(อัตราค่าขนส่ง!$K$5:$K$204,MATCH($Y160,อัตราค่าขนส่ง!$M$5:$M$204,0)),0))</f>
        <v/>
      </c>
      <c r="BD160">
        <f>IF($Y160="",0,IFERROR(INDEX(อัตราค่าขนส่ง!$L$5:$L$204,MATCH($Y160,อัตราค่าขนส่ง!$M$5:$M$204,0)),0))</f>
        <v/>
      </c>
    </row>
    <row r="161" ht="21" customHeight="1" s="66">
      <c r="A161" s="69">
        <f>IF($AD161="","",IF($AD161="Z","รวมจ่ายทั้งสิ้น",IF($AD161="H",INDEX($X$5:$X$404,$AC161),IF($AD161="T","รวม",IF($AD161="B",IFERROR(INDEX(อัตราค่าขนส่ง!$S$5:$S$14,MATCH(INDEX($AM$5:$AM$404,$AC161),อัตราค่าขนส่ง!$R$5:$R$14,0)),"รวมกลุ่ม "&amp;INDEX($AM$5:$AM$404,$AC161)),INDEX($AY$5:$AY$404,$AC161))))))</f>
        <v/>
      </c>
      <c r="B161" s="31">
        <f>IF($AD161&lt;&gt;"D","",INDEX($AW$5:$AW$404,$AC161))</f>
        <v/>
      </c>
      <c r="C161" s="68">
        <f>IF($AD161&lt;&gt;"D","",INDEX($AX$5:$AX$404,$AC161))</f>
        <v/>
      </c>
      <c r="D161" s="70">
        <f>IF($AD161&lt;&gt;"D","",INDEX($BA$5:$BA$404,$AC161))</f>
        <v/>
      </c>
      <c r="E161" s="31">
        <f>IF($AD161="Z",SUM($AR$5:$AR$404),IF($AD161="D",INDEX($AR$5:$AR$404,$AC161),IF($AD161="T",SUMIF($X$5:$X$404,$AF161,$AR$5:$AR$404),IF($AD161="B",SUMIF($AN$5:$AN$404,$AQ161,$AR$5:$AR$404),""))))</f>
        <v/>
      </c>
      <c r="F161" s="32">
        <f>IF($AD161="Z",ROUND(SUM($AS$5:$AS$404),2),IF($AD161="D",INDEX($AS$5:$AS$404,$AC161),IF($AD161="T",ROUND(SUMIF($X$5:$X$404,$AF161,$AS$5:$AS$404),2),IF($AD161="B",ROUND(SUMIF($AN$5:$AN$404,$AQ161,$AS$5:$AS$404),2),""))))</f>
        <v/>
      </c>
      <c r="G161" s="32">
        <f>IF($AD161&lt;&gt;"D","",INDEX($AT$5:$AT$404,$AC161))</f>
        <v/>
      </c>
      <c r="H161" s="32">
        <f>IF($AD161&lt;&gt;"D","",INDEX($BC$5:$BC$404,$AC161))</f>
        <v/>
      </c>
      <c r="I161" s="32">
        <f>IF($AD161&lt;&gt;"D","",INDEX($BD$5:$BD$404,$AC161))</f>
        <v/>
      </c>
      <c r="J161" s="46">
        <f>IF($AD161&lt;&gt;"D","",IF(N($B161)=0,"",ROUND($I161/$B161,4)))</f>
        <v/>
      </c>
      <c r="K161" s="32">
        <f>IF($AD161="Z",ROUND(SUM($AU$5:$AU$404),2),IF($AD161="D",INDEX($AU$5:$AU$404,$AC161),IF($AD161="T",ROUND(SUMIF($X$5:$X$404,$AF161,$AU$5:$AU$404),2),IF($AD161="B",ROUND(SUMIF($AN$5:$AN$404,$AQ161,$AU$5:$AU$404),2),""))))</f>
        <v/>
      </c>
      <c r="L161" s="32">
        <f>IF($AD161="Z",ROUND(SUM($AV$5:$AV$404),2),IF($AD161="D",INDEX($AV$5:$AV$404,$AC161),IF($AD161="T",ROUND(SUMIF($X$5:$X$404,$AF161,$AV$5:$AV$404),2),IF($AD161="B",ROUND(SUMIF($AN$5:$AN$404,$AQ161,$AV$5:$AV$404),2),""))))</f>
        <v/>
      </c>
      <c r="M161" s="32">
        <f>IF($AD161="Z",ROUND(SUM($AJ$5:$AJ$704),2),IF($AD161="B",ROUND(SUMIF($AQ$5:$AQ$704,$AQ161,$AJ$5:$AJ$704),2),IF($AD161&lt;&gt;"T","",$AJ161)))</f>
        <v/>
      </c>
      <c r="N161" s="32">
        <f>IF(OR($AD161="D",$AD161="T",$AD161="B",$AD161="Z"),ROUND(N($K161)-N($L161)-N($M161),2),"")</f>
        <v/>
      </c>
      <c r="O161" s="32">
        <f>IF(OR($AD161="D",$AD161="T",$AD161="B",$AD161="Z"),IF(N($E161)=0,"",ROUND($F161/$E161,2)),"")</f>
        <v/>
      </c>
      <c r="Q161">
        <f>IFERROR(MATCH(157,บันทึกรายเที่ยว!$Z$6:$Z$6005,0),"")</f>
        <v/>
      </c>
      <c r="R161">
        <f>IF($Q161="","",INDEX(บันทึกรายเที่ยว!$V$6:$V$6005,$Q161))</f>
        <v/>
      </c>
      <c r="S161">
        <f>IF($Q161="","",INDEX(บันทึกรายเที่ยว!$F$6:$F$6005,$Q161))</f>
        <v/>
      </c>
      <c r="T161">
        <f>IF($Q161="","",MATCH($S161,บันทึกรายเที่ยว!$F$6:$F$6005,0))</f>
        <v/>
      </c>
      <c r="U161">
        <f>IF($Q161="","",$AL161*10000000+$T161*1000+157)</f>
        <v/>
      </c>
      <c r="V161">
        <f>IFERROR(MATCH(SMALL($U$5:$U$404,157),$U$5:$U$404,0),"")</f>
        <v/>
      </c>
      <c r="W161">
        <f>IF($V161="","",INDEX($Q$5:$Q$404,$V161))</f>
        <v/>
      </c>
      <c r="X161">
        <f>IF($V161="","",INDEX($S$5:$S$404,$V161))</f>
        <v/>
      </c>
      <c r="Y161">
        <f>IF($V161="","",INDEX($R$5:$R$404,$V161))</f>
        <v/>
      </c>
      <c r="Z161">
        <f>IF($V161="",0,IF($X161&lt;&gt;$X160,1,0))</f>
        <v/>
      </c>
      <c r="AA161">
        <f>IF($V161="",0,IF($V162="",1,IF($X162&lt;&gt;$X161,1,0)))</f>
        <v/>
      </c>
      <c r="AB161">
        <f>IF($V161="",99999+157,$AB160+1+$Z160+$AA160+$AO160)</f>
        <v/>
      </c>
      <c r="AC161">
        <f>IFERROR(MATCH(157,$AB$5:$AB$404,1),"")</f>
        <v/>
      </c>
      <c r="AD161">
        <f>IF(157=$AI$1+1,"Z",IF($AC161="","",IF(INDEX($V$5:$V$404,$AC161)="","",IF(157&gt;INDEX($AB$5:$AB$404,$AC161)+INDEX($Z$5:$Z$404,$AC161)+INDEX($AA$5:$AA$404,$AC161)+INDEX($AO$5:$AO$404,$AC161),"",IF(157=INDEX($AB$5:$AB$404,$AC161)+INDEX($Z$5:$Z$404,$AC161),"D",IF(AND(INDEX($Z$5:$Z$404,$AC161)=1,157=INDEX($AB$5:$AB$404,$AC161)),"H",IF(AND(INDEX($AO$5:$AO$404,$AC161)=1,157=INDEX($AB$5:$AB$404,$AC161)+INDEX($Z$5:$Z$404,$AC161)+INDEX($AA$5:$AA$404,$AC161)+INDEX($AO$5:$AO$404,$AC161)),"B","T")))))))</f>
        <v/>
      </c>
      <c r="AF161">
        <f>IF(OR($AD161="",$AD161="Z",$AD161="B"),"",INDEX($X$5:$X$404,$AC161))</f>
        <v/>
      </c>
      <c r="AJ161">
        <f>IF($AD161&lt;&gt;"T",0,ROUND(SUMIF(oil!$B$4:$B$63,$AF161,oil!$AE$4:$AE$63),2))</f>
        <v/>
      </c>
      <c r="AK161">
        <f>IF($S161="","",IFERROR(INDEX(อัตราค่าขนส่ง!$P$5:$P$54,MATCH($S161,อัตราค่าขนส่ง!$O$5:$O$54,0)),INDEX(รายการมาตรฐาน!$G$2:$G$3,1)))</f>
        <v/>
      </c>
      <c r="AL161">
        <f>IF($S161="","",IFERROR(MATCH($AK161,รายการมาตรฐาน!$G$2:$G$3,0),1))</f>
        <v/>
      </c>
      <c r="AM161">
        <f>IF($V161="","",INDEX($AK$5:$AK$404,$V161))</f>
        <v/>
      </c>
      <c r="AN161">
        <f>IF($V161="","",INDEX($AL$5:$AL$404,$V161))</f>
        <v/>
      </c>
      <c r="AO161">
        <f>IF(OR($V161="",$AI$2&lt;=1),0,IF($V162="",1,IF($AN162&lt;&gt;$AN161,1,0)))</f>
        <v/>
      </c>
      <c r="AP161">
        <f>IF($V161="",0,IF($AN161&lt;&gt;$AN160,1,0))</f>
        <v/>
      </c>
      <c r="AQ161">
        <f>IF(OR($AD161="",$AD161="Z"),"",INDEX($AN$5:$AN$404,$AC161))</f>
        <v/>
      </c>
      <c r="AR161">
        <f>IF($Y161="",0,COUNTIF(บันทึกรายเที่ยว!$V$6:$V$6005,$Y161))</f>
        <v/>
      </c>
      <c r="AS161">
        <f>IF($Y161="",0,ROUND(SUMIF(บันทึกรายเที่ยว!$V$6:$V$6005,$Y161,บันทึกรายเที่ยว!$M$6:$M$6005),2))</f>
        <v/>
      </c>
      <c r="AT161">
        <f>IF($Y161="",0,IFERROR(INDEX(อัตราค่าขนส่ง!$G$5:$G$204,MATCH($Y161,อัตราค่าขนส่ง!$M$5:$M$204,0)),0))</f>
        <v/>
      </c>
      <c r="AU161">
        <f>ROUND($AS161*$BD161,2)</f>
        <v/>
      </c>
      <c r="AV161">
        <f>ROUND($AU161*$BF$2/100,2)</f>
        <v/>
      </c>
      <c r="AW161">
        <f>IF($Y161="","",IFERROR(INDEX(อัตราค่าขนส่ง!$F$5:$F$204,MATCH($Y161,อัตราค่าขนส่ง!$M$5:$M$204,0)),""))</f>
        <v/>
      </c>
      <c r="AX161">
        <f>IF($W161="","",INDEX(บันทึกรายเที่ยว!$D$6:$D$6005,$W161))</f>
        <v/>
      </c>
      <c r="AY161">
        <f>IF($W161="","",INDEX(บันทึกรายเที่ยว!$R$6:$R$6005,$W161))</f>
        <v/>
      </c>
      <c r="AZ161">
        <f>IF(AND($AD161="T",$AQ161=1),N($AZ160)+1,N($AZ160))</f>
        <v/>
      </c>
      <c r="BA161">
        <f>IF($W161="","",INDEX(บันทึกรายเที่ยว!$E$6:$E$6005,$W161))</f>
        <v/>
      </c>
      <c r="BC161">
        <f>IF($Y161="",0,IFERROR(INDEX(อัตราค่าขนส่ง!$K$5:$K$204,MATCH($Y161,อัตราค่าขนส่ง!$M$5:$M$204,0)),0))</f>
        <v/>
      </c>
      <c r="BD161">
        <f>IF($Y161="",0,IFERROR(INDEX(อัตราค่าขนส่ง!$L$5:$L$204,MATCH($Y161,อัตราค่าขนส่ง!$M$5:$M$204,0)),0))</f>
        <v/>
      </c>
    </row>
    <row r="162" ht="21" customHeight="1" s="66">
      <c r="A162" s="69">
        <f>IF($AD162="","",IF($AD162="Z","รวมจ่ายทั้งสิ้น",IF($AD162="H",INDEX($X$5:$X$404,$AC162),IF($AD162="T","รวม",IF($AD162="B",IFERROR(INDEX(อัตราค่าขนส่ง!$S$5:$S$14,MATCH(INDEX($AM$5:$AM$404,$AC162),อัตราค่าขนส่ง!$R$5:$R$14,0)),"รวมกลุ่ม "&amp;INDEX($AM$5:$AM$404,$AC162)),INDEX($AY$5:$AY$404,$AC162))))))</f>
        <v/>
      </c>
      <c r="B162" s="31">
        <f>IF($AD162&lt;&gt;"D","",INDEX($AW$5:$AW$404,$AC162))</f>
        <v/>
      </c>
      <c r="C162" s="68">
        <f>IF($AD162&lt;&gt;"D","",INDEX($AX$5:$AX$404,$AC162))</f>
        <v/>
      </c>
      <c r="D162" s="70">
        <f>IF($AD162&lt;&gt;"D","",INDEX($BA$5:$BA$404,$AC162))</f>
        <v/>
      </c>
      <c r="E162" s="31">
        <f>IF($AD162="Z",SUM($AR$5:$AR$404),IF($AD162="D",INDEX($AR$5:$AR$404,$AC162),IF($AD162="T",SUMIF($X$5:$X$404,$AF162,$AR$5:$AR$404),IF($AD162="B",SUMIF($AN$5:$AN$404,$AQ162,$AR$5:$AR$404),""))))</f>
        <v/>
      </c>
      <c r="F162" s="32">
        <f>IF($AD162="Z",ROUND(SUM($AS$5:$AS$404),2),IF($AD162="D",INDEX($AS$5:$AS$404,$AC162),IF($AD162="T",ROUND(SUMIF($X$5:$X$404,$AF162,$AS$5:$AS$404),2),IF($AD162="B",ROUND(SUMIF($AN$5:$AN$404,$AQ162,$AS$5:$AS$404),2),""))))</f>
        <v/>
      </c>
      <c r="G162" s="32">
        <f>IF($AD162&lt;&gt;"D","",INDEX($AT$5:$AT$404,$AC162))</f>
        <v/>
      </c>
      <c r="H162" s="32">
        <f>IF($AD162&lt;&gt;"D","",INDEX($BC$5:$BC$404,$AC162))</f>
        <v/>
      </c>
      <c r="I162" s="32">
        <f>IF($AD162&lt;&gt;"D","",INDEX($BD$5:$BD$404,$AC162))</f>
        <v/>
      </c>
      <c r="J162" s="46">
        <f>IF($AD162&lt;&gt;"D","",IF(N($B162)=0,"",ROUND($I162/$B162,4)))</f>
        <v/>
      </c>
      <c r="K162" s="32">
        <f>IF($AD162="Z",ROUND(SUM($AU$5:$AU$404),2),IF($AD162="D",INDEX($AU$5:$AU$404,$AC162),IF($AD162="T",ROUND(SUMIF($X$5:$X$404,$AF162,$AU$5:$AU$404),2),IF($AD162="B",ROUND(SUMIF($AN$5:$AN$404,$AQ162,$AU$5:$AU$404),2),""))))</f>
        <v/>
      </c>
      <c r="L162" s="32">
        <f>IF($AD162="Z",ROUND(SUM($AV$5:$AV$404),2),IF($AD162="D",INDEX($AV$5:$AV$404,$AC162),IF($AD162="T",ROUND(SUMIF($X$5:$X$404,$AF162,$AV$5:$AV$404),2),IF($AD162="B",ROUND(SUMIF($AN$5:$AN$404,$AQ162,$AV$5:$AV$404),2),""))))</f>
        <v/>
      </c>
      <c r="M162" s="32">
        <f>IF($AD162="Z",ROUND(SUM($AJ$5:$AJ$704),2),IF($AD162="B",ROUND(SUMIF($AQ$5:$AQ$704,$AQ162,$AJ$5:$AJ$704),2),IF($AD162&lt;&gt;"T","",$AJ162)))</f>
        <v/>
      </c>
      <c r="N162" s="32">
        <f>IF(OR($AD162="D",$AD162="T",$AD162="B",$AD162="Z"),ROUND(N($K162)-N($L162)-N($M162),2),"")</f>
        <v/>
      </c>
      <c r="O162" s="32">
        <f>IF(OR($AD162="D",$AD162="T",$AD162="B",$AD162="Z"),IF(N($E162)=0,"",ROUND($F162/$E162,2)),"")</f>
        <v/>
      </c>
      <c r="Q162">
        <f>IFERROR(MATCH(158,บันทึกรายเที่ยว!$Z$6:$Z$6005,0),"")</f>
        <v/>
      </c>
      <c r="R162">
        <f>IF($Q162="","",INDEX(บันทึกรายเที่ยว!$V$6:$V$6005,$Q162))</f>
        <v/>
      </c>
      <c r="S162">
        <f>IF($Q162="","",INDEX(บันทึกรายเที่ยว!$F$6:$F$6005,$Q162))</f>
        <v/>
      </c>
      <c r="T162">
        <f>IF($Q162="","",MATCH($S162,บันทึกรายเที่ยว!$F$6:$F$6005,0))</f>
        <v/>
      </c>
      <c r="U162">
        <f>IF($Q162="","",$AL162*10000000+$T162*1000+158)</f>
        <v/>
      </c>
      <c r="V162">
        <f>IFERROR(MATCH(SMALL($U$5:$U$404,158),$U$5:$U$404,0),"")</f>
        <v/>
      </c>
      <c r="W162">
        <f>IF($V162="","",INDEX($Q$5:$Q$404,$V162))</f>
        <v/>
      </c>
      <c r="X162">
        <f>IF($V162="","",INDEX($S$5:$S$404,$V162))</f>
        <v/>
      </c>
      <c r="Y162">
        <f>IF($V162="","",INDEX($R$5:$R$404,$V162))</f>
        <v/>
      </c>
      <c r="Z162">
        <f>IF($V162="",0,IF($X162&lt;&gt;$X161,1,0))</f>
        <v/>
      </c>
      <c r="AA162">
        <f>IF($V162="",0,IF($V163="",1,IF($X163&lt;&gt;$X162,1,0)))</f>
        <v/>
      </c>
      <c r="AB162">
        <f>IF($V162="",99999+158,$AB161+1+$Z161+$AA161+$AO161)</f>
        <v/>
      </c>
      <c r="AC162">
        <f>IFERROR(MATCH(158,$AB$5:$AB$404,1),"")</f>
        <v/>
      </c>
      <c r="AD162">
        <f>IF(158=$AI$1+1,"Z",IF($AC162="","",IF(INDEX($V$5:$V$404,$AC162)="","",IF(158&gt;INDEX($AB$5:$AB$404,$AC162)+INDEX($Z$5:$Z$404,$AC162)+INDEX($AA$5:$AA$404,$AC162)+INDEX($AO$5:$AO$404,$AC162),"",IF(158=INDEX($AB$5:$AB$404,$AC162)+INDEX($Z$5:$Z$404,$AC162),"D",IF(AND(INDEX($Z$5:$Z$404,$AC162)=1,158=INDEX($AB$5:$AB$404,$AC162)),"H",IF(AND(INDEX($AO$5:$AO$404,$AC162)=1,158=INDEX($AB$5:$AB$404,$AC162)+INDEX($Z$5:$Z$404,$AC162)+INDEX($AA$5:$AA$404,$AC162)+INDEX($AO$5:$AO$404,$AC162)),"B","T")))))))</f>
        <v/>
      </c>
      <c r="AF162">
        <f>IF(OR($AD162="",$AD162="Z",$AD162="B"),"",INDEX($X$5:$X$404,$AC162))</f>
        <v/>
      </c>
      <c r="AJ162">
        <f>IF($AD162&lt;&gt;"T",0,ROUND(SUMIF(oil!$B$4:$B$63,$AF162,oil!$AE$4:$AE$63),2))</f>
        <v/>
      </c>
      <c r="AK162">
        <f>IF($S162="","",IFERROR(INDEX(อัตราค่าขนส่ง!$P$5:$P$54,MATCH($S162,อัตราค่าขนส่ง!$O$5:$O$54,0)),INDEX(รายการมาตรฐาน!$G$2:$G$3,1)))</f>
        <v/>
      </c>
      <c r="AL162">
        <f>IF($S162="","",IFERROR(MATCH($AK162,รายการมาตรฐาน!$G$2:$G$3,0),1))</f>
        <v/>
      </c>
      <c r="AM162">
        <f>IF($V162="","",INDEX($AK$5:$AK$404,$V162))</f>
        <v/>
      </c>
      <c r="AN162">
        <f>IF($V162="","",INDEX($AL$5:$AL$404,$V162))</f>
        <v/>
      </c>
      <c r="AO162">
        <f>IF(OR($V162="",$AI$2&lt;=1),0,IF($V163="",1,IF($AN163&lt;&gt;$AN162,1,0)))</f>
        <v/>
      </c>
      <c r="AP162">
        <f>IF($V162="",0,IF($AN162&lt;&gt;$AN161,1,0))</f>
        <v/>
      </c>
      <c r="AQ162">
        <f>IF(OR($AD162="",$AD162="Z"),"",INDEX($AN$5:$AN$404,$AC162))</f>
        <v/>
      </c>
      <c r="AR162">
        <f>IF($Y162="",0,COUNTIF(บันทึกรายเที่ยว!$V$6:$V$6005,$Y162))</f>
        <v/>
      </c>
      <c r="AS162">
        <f>IF($Y162="",0,ROUND(SUMIF(บันทึกรายเที่ยว!$V$6:$V$6005,$Y162,บันทึกรายเที่ยว!$M$6:$M$6005),2))</f>
        <v/>
      </c>
      <c r="AT162">
        <f>IF($Y162="",0,IFERROR(INDEX(อัตราค่าขนส่ง!$G$5:$G$204,MATCH($Y162,อัตราค่าขนส่ง!$M$5:$M$204,0)),0))</f>
        <v/>
      </c>
      <c r="AU162">
        <f>ROUND($AS162*$BD162,2)</f>
        <v/>
      </c>
      <c r="AV162">
        <f>ROUND($AU162*$BF$2/100,2)</f>
        <v/>
      </c>
      <c r="AW162">
        <f>IF($Y162="","",IFERROR(INDEX(อัตราค่าขนส่ง!$F$5:$F$204,MATCH($Y162,อัตราค่าขนส่ง!$M$5:$M$204,0)),""))</f>
        <v/>
      </c>
      <c r="AX162">
        <f>IF($W162="","",INDEX(บันทึกรายเที่ยว!$D$6:$D$6005,$W162))</f>
        <v/>
      </c>
      <c r="AY162">
        <f>IF($W162="","",INDEX(บันทึกรายเที่ยว!$R$6:$R$6005,$W162))</f>
        <v/>
      </c>
      <c r="AZ162">
        <f>IF(AND($AD162="T",$AQ162=1),N($AZ161)+1,N($AZ161))</f>
        <v/>
      </c>
      <c r="BA162">
        <f>IF($W162="","",INDEX(บันทึกรายเที่ยว!$E$6:$E$6005,$W162))</f>
        <v/>
      </c>
      <c r="BC162">
        <f>IF($Y162="",0,IFERROR(INDEX(อัตราค่าขนส่ง!$K$5:$K$204,MATCH($Y162,อัตราค่าขนส่ง!$M$5:$M$204,0)),0))</f>
        <v/>
      </c>
      <c r="BD162">
        <f>IF($Y162="",0,IFERROR(INDEX(อัตราค่าขนส่ง!$L$5:$L$204,MATCH($Y162,อัตราค่าขนส่ง!$M$5:$M$204,0)),0))</f>
        <v/>
      </c>
    </row>
    <row r="163" ht="21" customHeight="1" s="66">
      <c r="A163" s="69">
        <f>IF($AD163="","",IF($AD163="Z","รวมจ่ายทั้งสิ้น",IF($AD163="H",INDEX($X$5:$X$404,$AC163),IF($AD163="T","รวม",IF($AD163="B",IFERROR(INDEX(อัตราค่าขนส่ง!$S$5:$S$14,MATCH(INDEX($AM$5:$AM$404,$AC163),อัตราค่าขนส่ง!$R$5:$R$14,0)),"รวมกลุ่ม "&amp;INDEX($AM$5:$AM$404,$AC163)),INDEX($AY$5:$AY$404,$AC163))))))</f>
        <v/>
      </c>
      <c r="B163" s="31">
        <f>IF($AD163&lt;&gt;"D","",INDEX($AW$5:$AW$404,$AC163))</f>
        <v/>
      </c>
      <c r="C163" s="68">
        <f>IF($AD163&lt;&gt;"D","",INDEX($AX$5:$AX$404,$AC163))</f>
        <v/>
      </c>
      <c r="D163" s="70">
        <f>IF($AD163&lt;&gt;"D","",INDEX($BA$5:$BA$404,$AC163))</f>
        <v/>
      </c>
      <c r="E163" s="31">
        <f>IF($AD163="Z",SUM($AR$5:$AR$404),IF($AD163="D",INDEX($AR$5:$AR$404,$AC163),IF($AD163="T",SUMIF($X$5:$X$404,$AF163,$AR$5:$AR$404),IF($AD163="B",SUMIF($AN$5:$AN$404,$AQ163,$AR$5:$AR$404),""))))</f>
        <v/>
      </c>
      <c r="F163" s="32">
        <f>IF($AD163="Z",ROUND(SUM($AS$5:$AS$404),2),IF($AD163="D",INDEX($AS$5:$AS$404,$AC163),IF($AD163="T",ROUND(SUMIF($X$5:$X$404,$AF163,$AS$5:$AS$404),2),IF($AD163="B",ROUND(SUMIF($AN$5:$AN$404,$AQ163,$AS$5:$AS$404),2),""))))</f>
        <v/>
      </c>
      <c r="G163" s="32">
        <f>IF($AD163&lt;&gt;"D","",INDEX($AT$5:$AT$404,$AC163))</f>
        <v/>
      </c>
      <c r="H163" s="32">
        <f>IF($AD163&lt;&gt;"D","",INDEX($BC$5:$BC$404,$AC163))</f>
        <v/>
      </c>
      <c r="I163" s="32">
        <f>IF($AD163&lt;&gt;"D","",INDEX($BD$5:$BD$404,$AC163))</f>
        <v/>
      </c>
      <c r="J163" s="46">
        <f>IF($AD163&lt;&gt;"D","",IF(N($B163)=0,"",ROUND($I163/$B163,4)))</f>
        <v/>
      </c>
      <c r="K163" s="32">
        <f>IF($AD163="Z",ROUND(SUM($AU$5:$AU$404),2),IF($AD163="D",INDEX($AU$5:$AU$404,$AC163),IF($AD163="T",ROUND(SUMIF($X$5:$X$404,$AF163,$AU$5:$AU$404),2),IF($AD163="B",ROUND(SUMIF($AN$5:$AN$404,$AQ163,$AU$5:$AU$404),2),""))))</f>
        <v/>
      </c>
      <c r="L163" s="32">
        <f>IF($AD163="Z",ROUND(SUM($AV$5:$AV$404),2),IF($AD163="D",INDEX($AV$5:$AV$404,$AC163),IF($AD163="T",ROUND(SUMIF($X$5:$X$404,$AF163,$AV$5:$AV$404),2),IF($AD163="B",ROUND(SUMIF($AN$5:$AN$404,$AQ163,$AV$5:$AV$404),2),""))))</f>
        <v/>
      </c>
      <c r="M163" s="32">
        <f>IF($AD163="Z",ROUND(SUM($AJ$5:$AJ$704),2),IF($AD163="B",ROUND(SUMIF($AQ$5:$AQ$704,$AQ163,$AJ$5:$AJ$704),2),IF($AD163&lt;&gt;"T","",$AJ163)))</f>
        <v/>
      </c>
      <c r="N163" s="32">
        <f>IF(OR($AD163="D",$AD163="T",$AD163="B",$AD163="Z"),ROUND(N($K163)-N($L163)-N($M163),2),"")</f>
        <v/>
      </c>
      <c r="O163" s="32">
        <f>IF(OR($AD163="D",$AD163="T",$AD163="B",$AD163="Z"),IF(N($E163)=0,"",ROUND($F163/$E163,2)),"")</f>
        <v/>
      </c>
      <c r="Q163">
        <f>IFERROR(MATCH(159,บันทึกรายเที่ยว!$Z$6:$Z$6005,0),"")</f>
        <v/>
      </c>
      <c r="R163">
        <f>IF($Q163="","",INDEX(บันทึกรายเที่ยว!$V$6:$V$6005,$Q163))</f>
        <v/>
      </c>
      <c r="S163">
        <f>IF($Q163="","",INDEX(บันทึกรายเที่ยว!$F$6:$F$6005,$Q163))</f>
        <v/>
      </c>
      <c r="T163">
        <f>IF($Q163="","",MATCH($S163,บันทึกรายเที่ยว!$F$6:$F$6005,0))</f>
        <v/>
      </c>
      <c r="U163">
        <f>IF($Q163="","",$AL163*10000000+$T163*1000+159)</f>
        <v/>
      </c>
      <c r="V163">
        <f>IFERROR(MATCH(SMALL($U$5:$U$404,159),$U$5:$U$404,0),"")</f>
        <v/>
      </c>
      <c r="W163">
        <f>IF($V163="","",INDEX($Q$5:$Q$404,$V163))</f>
        <v/>
      </c>
      <c r="X163">
        <f>IF($V163="","",INDEX($S$5:$S$404,$V163))</f>
        <v/>
      </c>
      <c r="Y163">
        <f>IF($V163="","",INDEX($R$5:$R$404,$V163))</f>
        <v/>
      </c>
      <c r="Z163">
        <f>IF($V163="",0,IF($X163&lt;&gt;$X162,1,0))</f>
        <v/>
      </c>
      <c r="AA163">
        <f>IF($V163="",0,IF($V164="",1,IF($X164&lt;&gt;$X163,1,0)))</f>
        <v/>
      </c>
      <c r="AB163">
        <f>IF($V163="",99999+159,$AB162+1+$Z162+$AA162+$AO162)</f>
        <v/>
      </c>
      <c r="AC163">
        <f>IFERROR(MATCH(159,$AB$5:$AB$404,1),"")</f>
        <v/>
      </c>
      <c r="AD163">
        <f>IF(159=$AI$1+1,"Z",IF($AC163="","",IF(INDEX($V$5:$V$404,$AC163)="","",IF(159&gt;INDEX($AB$5:$AB$404,$AC163)+INDEX($Z$5:$Z$404,$AC163)+INDEX($AA$5:$AA$404,$AC163)+INDEX($AO$5:$AO$404,$AC163),"",IF(159=INDEX($AB$5:$AB$404,$AC163)+INDEX($Z$5:$Z$404,$AC163),"D",IF(AND(INDEX($Z$5:$Z$404,$AC163)=1,159=INDEX($AB$5:$AB$404,$AC163)),"H",IF(AND(INDEX($AO$5:$AO$404,$AC163)=1,159=INDEX($AB$5:$AB$404,$AC163)+INDEX($Z$5:$Z$404,$AC163)+INDEX($AA$5:$AA$404,$AC163)+INDEX($AO$5:$AO$404,$AC163)),"B","T")))))))</f>
        <v/>
      </c>
      <c r="AF163">
        <f>IF(OR($AD163="",$AD163="Z",$AD163="B"),"",INDEX($X$5:$X$404,$AC163))</f>
        <v/>
      </c>
      <c r="AJ163">
        <f>IF($AD163&lt;&gt;"T",0,ROUND(SUMIF(oil!$B$4:$B$63,$AF163,oil!$AE$4:$AE$63),2))</f>
        <v/>
      </c>
      <c r="AK163">
        <f>IF($S163="","",IFERROR(INDEX(อัตราค่าขนส่ง!$P$5:$P$54,MATCH($S163,อัตราค่าขนส่ง!$O$5:$O$54,0)),INDEX(รายการมาตรฐาน!$G$2:$G$3,1)))</f>
        <v/>
      </c>
      <c r="AL163">
        <f>IF($S163="","",IFERROR(MATCH($AK163,รายการมาตรฐาน!$G$2:$G$3,0),1))</f>
        <v/>
      </c>
      <c r="AM163">
        <f>IF($V163="","",INDEX($AK$5:$AK$404,$V163))</f>
        <v/>
      </c>
      <c r="AN163">
        <f>IF($V163="","",INDEX($AL$5:$AL$404,$V163))</f>
        <v/>
      </c>
      <c r="AO163">
        <f>IF(OR($V163="",$AI$2&lt;=1),0,IF($V164="",1,IF($AN164&lt;&gt;$AN163,1,0)))</f>
        <v/>
      </c>
      <c r="AP163">
        <f>IF($V163="",0,IF($AN163&lt;&gt;$AN162,1,0))</f>
        <v/>
      </c>
      <c r="AQ163">
        <f>IF(OR($AD163="",$AD163="Z"),"",INDEX($AN$5:$AN$404,$AC163))</f>
        <v/>
      </c>
      <c r="AR163">
        <f>IF($Y163="",0,COUNTIF(บันทึกรายเที่ยว!$V$6:$V$6005,$Y163))</f>
        <v/>
      </c>
      <c r="AS163">
        <f>IF($Y163="",0,ROUND(SUMIF(บันทึกรายเที่ยว!$V$6:$V$6005,$Y163,บันทึกรายเที่ยว!$M$6:$M$6005),2))</f>
        <v/>
      </c>
      <c r="AT163">
        <f>IF($Y163="",0,IFERROR(INDEX(อัตราค่าขนส่ง!$G$5:$G$204,MATCH($Y163,อัตราค่าขนส่ง!$M$5:$M$204,0)),0))</f>
        <v/>
      </c>
      <c r="AU163">
        <f>ROUND($AS163*$BD163,2)</f>
        <v/>
      </c>
      <c r="AV163">
        <f>ROUND($AU163*$BF$2/100,2)</f>
        <v/>
      </c>
      <c r="AW163">
        <f>IF($Y163="","",IFERROR(INDEX(อัตราค่าขนส่ง!$F$5:$F$204,MATCH($Y163,อัตราค่าขนส่ง!$M$5:$M$204,0)),""))</f>
        <v/>
      </c>
      <c r="AX163">
        <f>IF($W163="","",INDEX(บันทึกรายเที่ยว!$D$6:$D$6005,$W163))</f>
        <v/>
      </c>
      <c r="AY163">
        <f>IF($W163="","",INDEX(บันทึกรายเที่ยว!$R$6:$R$6005,$W163))</f>
        <v/>
      </c>
      <c r="AZ163">
        <f>IF(AND($AD163="T",$AQ163=1),N($AZ162)+1,N($AZ162))</f>
        <v/>
      </c>
      <c r="BA163">
        <f>IF($W163="","",INDEX(บันทึกรายเที่ยว!$E$6:$E$6005,$W163))</f>
        <v/>
      </c>
      <c r="BC163">
        <f>IF($Y163="",0,IFERROR(INDEX(อัตราค่าขนส่ง!$K$5:$K$204,MATCH($Y163,อัตราค่าขนส่ง!$M$5:$M$204,0)),0))</f>
        <v/>
      </c>
      <c r="BD163">
        <f>IF($Y163="",0,IFERROR(INDEX(อัตราค่าขนส่ง!$L$5:$L$204,MATCH($Y163,อัตราค่าขนส่ง!$M$5:$M$204,0)),0))</f>
        <v/>
      </c>
    </row>
    <row r="164" ht="21" customHeight="1" s="66">
      <c r="A164" s="69">
        <f>IF($AD164="","",IF($AD164="Z","รวมจ่ายทั้งสิ้น",IF($AD164="H",INDEX($X$5:$X$404,$AC164),IF($AD164="T","รวม",IF($AD164="B",IFERROR(INDEX(อัตราค่าขนส่ง!$S$5:$S$14,MATCH(INDEX($AM$5:$AM$404,$AC164),อัตราค่าขนส่ง!$R$5:$R$14,0)),"รวมกลุ่ม "&amp;INDEX($AM$5:$AM$404,$AC164)),INDEX($AY$5:$AY$404,$AC164))))))</f>
        <v/>
      </c>
      <c r="B164" s="31">
        <f>IF($AD164&lt;&gt;"D","",INDEX($AW$5:$AW$404,$AC164))</f>
        <v/>
      </c>
      <c r="C164" s="68">
        <f>IF($AD164&lt;&gt;"D","",INDEX($AX$5:$AX$404,$AC164))</f>
        <v/>
      </c>
      <c r="D164" s="70">
        <f>IF($AD164&lt;&gt;"D","",INDEX($BA$5:$BA$404,$AC164))</f>
        <v/>
      </c>
      <c r="E164" s="31">
        <f>IF($AD164="Z",SUM($AR$5:$AR$404),IF($AD164="D",INDEX($AR$5:$AR$404,$AC164),IF($AD164="T",SUMIF($X$5:$X$404,$AF164,$AR$5:$AR$404),IF($AD164="B",SUMIF($AN$5:$AN$404,$AQ164,$AR$5:$AR$404),""))))</f>
        <v/>
      </c>
      <c r="F164" s="32">
        <f>IF($AD164="Z",ROUND(SUM($AS$5:$AS$404),2),IF($AD164="D",INDEX($AS$5:$AS$404,$AC164),IF($AD164="T",ROUND(SUMIF($X$5:$X$404,$AF164,$AS$5:$AS$404),2),IF($AD164="B",ROUND(SUMIF($AN$5:$AN$404,$AQ164,$AS$5:$AS$404),2),""))))</f>
        <v/>
      </c>
      <c r="G164" s="32">
        <f>IF($AD164&lt;&gt;"D","",INDEX($AT$5:$AT$404,$AC164))</f>
        <v/>
      </c>
      <c r="H164" s="32">
        <f>IF($AD164&lt;&gt;"D","",INDEX($BC$5:$BC$404,$AC164))</f>
        <v/>
      </c>
      <c r="I164" s="32">
        <f>IF($AD164&lt;&gt;"D","",INDEX($BD$5:$BD$404,$AC164))</f>
        <v/>
      </c>
      <c r="J164" s="46">
        <f>IF($AD164&lt;&gt;"D","",IF(N($B164)=0,"",ROUND($I164/$B164,4)))</f>
        <v/>
      </c>
      <c r="K164" s="32">
        <f>IF($AD164="Z",ROUND(SUM($AU$5:$AU$404),2),IF($AD164="D",INDEX($AU$5:$AU$404,$AC164),IF($AD164="T",ROUND(SUMIF($X$5:$X$404,$AF164,$AU$5:$AU$404),2),IF($AD164="B",ROUND(SUMIF($AN$5:$AN$404,$AQ164,$AU$5:$AU$404),2),""))))</f>
        <v/>
      </c>
      <c r="L164" s="32">
        <f>IF($AD164="Z",ROUND(SUM($AV$5:$AV$404),2),IF($AD164="D",INDEX($AV$5:$AV$404,$AC164),IF($AD164="T",ROUND(SUMIF($X$5:$X$404,$AF164,$AV$5:$AV$404),2),IF($AD164="B",ROUND(SUMIF($AN$5:$AN$404,$AQ164,$AV$5:$AV$404),2),""))))</f>
        <v/>
      </c>
      <c r="M164" s="32">
        <f>IF($AD164="Z",ROUND(SUM($AJ$5:$AJ$704),2),IF($AD164="B",ROUND(SUMIF($AQ$5:$AQ$704,$AQ164,$AJ$5:$AJ$704),2),IF($AD164&lt;&gt;"T","",$AJ164)))</f>
        <v/>
      </c>
      <c r="N164" s="32">
        <f>IF(OR($AD164="D",$AD164="T",$AD164="B",$AD164="Z"),ROUND(N($K164)-N($L164)-N($M164),2),"")</f>
        <v/>
      </c>
      <c r="O164" s="32">
        <f>IF(OR($AD164="D",$AD164="T",$AD164="B",$AD164="Z"),IF(N($E164)=0,"",ROUND($F164/$E164,2)),"")</f>
        <v/>
      </c>
      <c r="Q164">
        <f>IFERROR(MATCH(160,บันทึกรายเที่ยว!$Z$6:$Z$6005,0),"")</f>
        <v/>
      </c>
      <c r="R164">
        <f>IF($Q164="","",INDEX(บันทึกรายเที่ยว!$V$6:$V$6005,$Q164))</f>
        <v/>
      </c>
      <c r="S164">
        <f>IF($Q164="","",INDEX(บันทึกรายเที่ยว!$F$6:$F$6005,$Q164))</f>
        <v/>
      </c>
      <c r="T164">
        <f>IF($Q164="","",MATCH($S164,บันทึกรายเที่ยว!$F$6:$F$6005,0))</f>
        <v/>
      </c>
      <c r="U164">
        <f>IF($Q164="","",$AL164*10000000+$T164*1000+160)</f>
        <v/>
      </c>
      <c r="V164">
        <f>IFERROR(MATCH(SMALL($U$5:$U$404,160),$U$5:$U$404,0),"")</f>
        <v/>
      </c>
      <c r="W164">
        <f>IF($V164="","",INDEX($Q$5:$Q$404,$V164))</f>
        <v/>
      </c>
      <c r="X164">
        <f>IF($V164="","",INDEX($S$5:$S$404,$V164))</f>
        <v/>
      </c>
      <c r="Y164">
        <f>IF($V164="","",INDEX($R$5:$R$404,$V164))</f>
        <v/>
      </c>
      <c r="Z164">
        <f>IF($V164="",0,IF($X164&lt;&gt;$X163,1,0))</f>
        <v/>
      </c>
      <c r="AA164">
        <f>IF($V164="",0,IF($V165="",1,IF($X165&lt;&gt;$X164,1,0)))</f>
        <v/>
      </c>
      <c r="AB164">
        <f>IF($V164="",99999+160,$AB163+1+$Z163+$AA163+$AO163)</f>
        <v/>
      </c>
      <c r="AC164">
        <f>IFERROR(MATCH(160,$AB$5:$AB$404,1),"")</f>
        <v/>
      </c>
      <c r="AD164">
        <f>IF(160=$AI$1+1,"Z",IF($AC164="","",IF(INDEX($V$5:$V$404,$AC164)="","",IF(160&gt;INDEX($AB$5:$AB$404,$AC164)+INDEX($Z$5:$Z$404,$AC164)+INDEX($AA$5:$AA$404,$AC164)+INDEX($AO$5:$AO$404,$AC164),"",IF(160=INDEX($AB$5:$AB$404,$AC164)+INDEX($Z$5:$Z$404,$AC164),"D",IF(AND(INDEX($Z$5:$Z$404,$AC164)=1,160=INDEX($AB$5:$AB$404,$AC164)),"H",IF(AND(INDEX($AO$5:$AO$404,$AC164)=1,160=INDEX($AB$5:$AB$404,$AC164)+INDEX($Z$5:$Z$404,$AC164)+INDEX($AA$5:$AA$404,$AC164)+INDEX($AO$5:$AO$404,$AC164)),"B","T")))))))</f>
        <v/>
      </c>
      <c r="AF164">
        <f>IF(OR($AD164="",$AD164="Z",$AD164="B"),"",INDEX($X$5:$X$404,$AC164))</f>
        <v/>
      </c>
      <c r="AJ164">
        <f>IF($AD164&lt;&gt;"T",0,ROUND(SUMIF(oil!$B$4:$B$63,$AF164,oil!$AE$4:$AE$63),2))</f>
        <v/>
      </c>
      <c r="AK164">
        <f>IF($S164="","",IFERROR(INDEX(อัตราค่าขนส่ง!$P$5:$P$54,MATCH($S164,อัตราค่าขนส่ง!$O$5:$O$54,0)),INDEX(รายการมาตรฐาน!$G$2:$G$3,1)))</f>
        <v/>
      </c>
      <c r="AL164">
        <f>IF($S164="","",IFERROR(MATCH($AK164,รายการมาตรฐาน!$G$2:$G$3,0),1))</f>
        <v/>
      </c>
      <c r="AM164">
        <f>IF($V164="","",INDEX($AK$5:$AK$404,$V164))</f>
        <v/>
      </c>
      <c r="AN164">
        <f>IF($V164="","",INDEX($AL$5:$AL$404,$V164))</f>
        <v/>
      </c>
      <c r="AO164">
        <f>IF(OR($V164="",$AI$2&lt;=1),0,IF($V165="",1,IF($AN165&lt;&gt;$AN164,1,0)))</f>
        <v/>
      </c>
      <c r="AP164">
        <f>IF($V164="",0,IF($AN164&lt;&gt;$AN163,1,0))</f>
        <v/>
      </c>
      <c r="AQ164">
        <f>IF(OR($AD164="",$AD164="Z"),"",INDEX($AN$5:$AN$404,$AC164))</f>
        <v/>
      </c>
      <c r="AR164">
        <f>IF($Y164="",0,COUNTIF(บันทึกรายเที่ยว!$V$6:$V$6005,$Y164))</f>
        <v/>
      </c>
      <c r="AS164">
        <f>IF($Y164="",0,ROUND(SUMIF(บันทึกรายเที่ยว!$V$6:$V$6005,$Y164,บันทึกรายเที่ยว!$M$6:$M$6005),2))</f>
        <v/>
      </c>
      <c r="AT164">
        <f>IF($Y164="",0,IFERROR(INDEX(อัตราค่าขนส่ง!$G$5:$G$204,MATCH($Y164,อัตราค่าขนส่ง!$M$5:$M$204,0)),0))</f>
        <v/>
      </c>
      <c r="AU164">
        <f>ROUND($AS164*$BD164,2)</f>
        <v/>
      </c>
      <c r="AV164">
        <f>ROUND($AU164*$BF$2/100,2)</f>
        <v/>
      </c>
      <c r="AW164">
        <f>IF($Y164="","",IFERROR(INDEX(อัตราค่าขนส่ง!$F$5:$F$204,MATCH($Y164,อัตราค่าขนส่ง!$M$5:$M$204,0)),""))</f>
        <v/>
      </c>
      <c r="AX164">
        <f>IF($W164="","",INDEX(บันทึกรายเที่ยว!$D$6:$D$6005,$W164))</f>
        <v/>
      </c>
      <c r="AY164">
        <f>IF($W164="","",INDEX(บันทึกรายเที่ยว!$R$6:$R$6005,$W164))</f>
        <v/>
      </c>
      <c r="AZ164">
        <f>IF(AND($AD164="T",$AQ164=1),N($AZ163)+1,N($AZ163))</f>
        <v/>
      </c>
      <c r="BA164">
        <f>IF($W164="","",INDEX(บันทึกรายเที่ยว!$E$6:$E$6005,$W164))</f>
        <v/>
      </c>
      <c r="BC164">
        <f>IF($Y164="",0,IFERROR(INDEX(อัตราค่าขนส่ง!$K$5:$K$204,MATCH($Y164,อัตราค่าขนส่ง!$M$5:$M$204,0)),0))</f>
        <v/>
      </c>
      <c r="BD164">
        <f>IF($Y164="",0,IFERROR(INDEX(อัตราค่าขนส่ง!$L$5:$L$204,MATCH($Y164,อัตราค่าขนส่ง!$M$5:$M$204,0)),0))</f>
        <v/>
      </c>
    </row>
    <row r="165" ht="21" customHeight="1" s="66">
      <c r="A165" s="69">
        <f>IF($AD165="","",IF($AD165="Z","รวมจ่ายทั้งสิ้น",IF($AD165="H",INDEX($X$5:$X$404,$AC165),IF($AD165="T","รวม",IF($AD165="B",IFERROR(INDEX(อัตราค่าขนส่ง!$S$5:$S$14,MATCH(INDEX($AM$5:$AM$404,$AC165),อัตราค่าขนส่ง!$R$5:$R$14,0)),"รวมกลุ่ม "&amp;INDEX($AM$5:$AM$404,$AC165)),INDEX($AY$5:$AY$404,$AC165))))))</f>
        <v/>
      </c>
      <c r="B165" s="31">
        <f>IF($AD165&lt;&gt;"D","",INDEX($AW$5:$AW$404,$AC165))</f>
        <v/>
      </c>
      <c r="C165" s="68">
        <f>IF($AD165&lt;&gt;"D","",INDEX($AX$5:$AX$404,$AC165))</f>
        <v/>
      </c>
      <c r="D165" s="70">
        <f>IF($AD165&lt;&gt;"D","",INDEX($BA$5:$BA$404,$AC165))</f>
        <v/>
      </c>
      <c r="E165" s="31">
        <f>IF($AD165="Z",SUM($AR$5:$AR$404),IF($AD165="D",INDEX($AR$5:$AR$404,$AC165),IF($AD165="T",SUMIF($X$5:$X$404,$AF165,$AR$5:$AR$404),IF($AD165="B",SUMIF($AN$5:$AN$404,$AQ165,$AR$5:$AR$404),""))))</f>
        <v/>
      </c>
      <c r="F165" s="32">
        <f>IF($AD165="Z",ROUND(SUM($AS$5:$AS$404),2),IF($AD165="D",INDEX($AS$5:$AS$404,$AC165),IF($AD165="T",ROUND(SUMIF($X$5:$X$404,$AF165,$AS$5:$AS$404),2),IF($AD165="B",ROUND(SUMIF($AN$5:$AN$404,$AQ165,$AS$5:$AS$404),2),""))))</f>
        <v/>
      </c>
      <c r="G165" s="32">
        <f>IF($AD165&lt;&gt;"D","",INDEX($AT$5:$AT$404,$AC165))</f>
        <v/>
      </c>
      <c r="H165" s="32">
        <f>IF($AD165&lt;&gt;"D","",INDEX($BC$5:$BC$404,$AC165))</f>
        <v/>
      </c>
      <c r="I165" s="32">
        <f>IF($AD165&lt;&gt;"D","",INDEX($BD$5:$BD$404,$AC165))</f>
        <v/>
      </c>
      <c r="J165" s="46">
        <f>IF($AD165&lt;&gt;"D","",IF(N($B165)=0,"",ROUND($I165/$B165,4)))</f>
        <v/>
      </c>
      <c r="K165" s="32">
        <f>IF($AD165="Z",ROUND(SUM($AU$5:$AU$404),2),IF($AD165="D",INDEX($AU$5:$AU$404,$AC165),IF($AD165="T",ROUND(SUMIF($X$5:$X$404,$AF165,$AU$5:$AU$404),2),IF($AD165="B",ROUND(SUMIF($AN$5:$AN$404,$AQ165,$AU$5:$AU$404),2),""))))</f>
        <v/>
      </c>
      <c r="L165" s="32">
        <f>IF($AD165="Z",ROUND(SUM($AV$5:$AV$404),2),IF($AD165="D",INDEX($AV$5:$AV$404,$AC165),IF($AD165="T",ROUND(SUMIF($X$5:$X$404,$AF165,$AV$5:$AV$404),2),IF($AD165="B",ROUND(SUMIF($AN$5:$AN$404,$AQ165,$AV$5:$AV$404),2),""))))</f>
        <v/>
      </c>
      <c r="M165" s="32">
        <f>IF($AD165="Z",ROUND(SUM($AJ$5:$AJ$704),2),IF($AD165="B",ROUND(SUMIF($AQ$5:$AQ$704,$AQ165,$AJ$5:$AJ$704),2),IF($AD165&lt;&gt;"T","",$AJ165)))</f>
        <v/>
      </c>
      <c r="N165" s="32">
        <f>IF(OR($AD165="D",$AD165="T",$AD165="B",$AD165="Z"),ROUND(N($K165)-N($L165)-N($M165),2),"")</f>
        <v/>
      </c>
      <c r="O165" s="32">
        <f>IF(OR($AD165="D",$AD165="T",$AD165="B",$AD165="Z"),IF(N($E165)=0,"",ROUND($F165/$E165,2)),"")</f>
        <v/>
      </c>
      <c r="Q165">
        <f>IFERROR(MATCH(161,บันทึกรายเที่ยว!$Z$6:$Z$6005,0),"")</f>
        <v/>
      </c>
      <c r="R165">
        <f>IF($Q165="","",INDEX(บันทึกรายเที่ยว!$V$6:$V$6005,$Q165))</f>
        <v/>
      </c>
      <c r="S165">
        <f>IF($Q165="","",INDEX(บันทึกรายเที่ยว!$F$6:$F$6005,$Q165))</f>
        <v/>
      </c>
      <c r="T165">
        <f>IF($Q165="","",MATCH($S165,บันทึกรายเที่ยว!$F$6:$F$6005,0))</f>
        <v/>
      </c>
      <c r="U165">
        <f>IF($Q165="","",$AL165*10000000+$T165*1000+161)</f>
        <v/>
      </c>
      <c r="V165">
        <f>IFERROR(MATCH(SMALL($U$5:$U$404,161),$U$5:$U$404,0),"")</f>
        <v/>
      </c>
      <c r="W165">
        <f>IF($V165="","",INDEX($Q$5:$Q$404,$V165))</f>
        <v/>
      </c>
      <c r="X165">
        <f>IF($V165="","",INDEX($S$5:$S$404,$V165))</f>
        <v/>
      </c>
      <c r="Y165">
        <f>IF($V165="","",INDEX($R$5:$R$404,$V165))</f>
        <v/>
      </c>
      <c r="Z165">
        <f>IF($V165="",0,IF($X165&lt;&gt;$X164,1,0))</f>
        <v/>
      </c>
      <c r="AA165">
        <f>IF($V165="",0,IF($V166="",1,IF($X166&lt;&gt;$X165,1,0)))</f>
        <v/>
      </c>
      <c r="AB165">
        <f>IF($V165="",99999+161,$AB164+1+$Z164+$AA164+$AO164)</f>
        <v/>
      </c>
      <c r="AC165">
        <f>IFERROR(MATCH(161,$AB$5:$AB$404,1),"")</f>
        <v/>
      </c>
      <c r="AD165">
        <f>IF(161=$AI$1+1,"Z",IF($AC165="","",IF(INDEX($V$5:$V$404,$AC165)="","",IF(161&gt;INDEX($AB$5:$AB$404,$AC165)+INDEX($Z$5:$Z$404,$AC165)+INDEX($AA$5:$AA$404,$AC165)+INDEX($AO$5:$AO$404,$AC165),"",IF(161=INDEX($AB$5:$AB$404,$AC165)+INDEX($Z$5:$Z$404,$AC165),"D",IF(AND(INDEX($Z$5:$Z$404,$AC165)=1,161=INDEX($AB$5:$AB$404,$AC165)),"H",IF(AND(INDEX($AO$5:$AO$404,$AC165)=1,161=INDEX($AB$5:$AB$404,$AC165)+INDEX($Z$5:$Z$404,$AC165)+INDEX($AA$5:$AA$404,$AC165)+INDEX($AO$5:$AO$404,$AC165)),"B","T")))))))</f>
        <v/>
      </c>
      <c r="AF165">
        <f>IF(OR($AD165="",$AD165="Z",$AD165="B"),"",INDEX($X$5:$X$404,$AC165))</f>
        <v/>
      </c>
      <c r="AJ165">
        <f>IF($AD165&lt;&gt;"T",0,ROUND(SUMIF(oil!$B$4:$B$63,$AF165,oil!$AE$4:$AE$63),2))</f>
        <v/>
      </c>
      <c r="AK165">
        <f>IF($S165="","",IFERROR(INDEX(อัตราค่าขนส่ง!$P$5:$P$54,MATCH($S165,อัตราค่าขนส่ง!$O$5:$O$54,0)),INDEX(รายการมาตรฐาน!$G$2:$G$3,1)))</f>
        <v/>
      </c>
      <c r="AL165">
        <f>IF($S165="","",IFERROR(MATCH($AK165,รายการมาตรฐาน!$G$2:$G$3,0),1))</f>
        <v/>
      </c>
      <c r="AM165">
        <f>IF($V165="","",INDEX($AK$5:$AK$404,$V165))</f>
        <v/>
      </c>
      <c r="AN165">
        <f>IF($V165="","",INDEX($AL$5:$AL$404,$V165))</f>
        <v/>
      </c>
      <c r="AO165">
        <f>IF(OR($V165="",$AI$2&lt;=1),0,IF($V166="",1,IF($AN166&lt;&gt;$AN165,1,0)))</f>
        <v/>
      </c>
      <c r="AP165">
        <f>IF($V165="",0,IF($AN165&lt;&gt;$AN164,1,0))</f>
        <v/>
      </c>
      <c r="AQ165">
        <f>IF(OR($AD165="",$AD165="Z"),"",INDEX($AN$5:$AN$404,$AC165))</f>
        <v/>
      </c>
      <c r="AR165">
        <f>IF($Y165="",0,COUNTIF(บันทึกรายเที่ยว!$V$6:$V$6005,$Y165))</f>
        <v/>
      </c>
      <c r="AS165">
        <f>IF($Y165="",0,ROUND(SUMIF(บันทึกรายเที่ยว!$V$6:$V$6005,$Y165,บันทึกรายเที่ยว!$M$6:$M$6005),2))</f>
        <v/>
      </c>
      <c r="AT165">
        <f>IF($Y165="",0,IFERROR(INDEX(อัตราค่าขนส่ง!$G$5:$G$204,MATCH($Y165,อัตราค่าขนส่ง!$M$5:$M$204,0)),0))</f>
        <v/>
      </c>
      <c r="AU165">
        <f>ROUND($AS165*$BD165,2)</f>
        <v/>
      </c>
      <c r="AV165">
        <f>ROUND($AU165*$BF$2/100,2)</f>
        <v/>
      </c>
      <c r="AW165">
        <f>IF($Y165="","",IFERROR(INDEX(อัตราค่าขนส่ง!$F$5:$F$204,MATCH($Y165,อัตราค่าขนส่ง!$M$5:$M$204,0)),""))</f>
        <v/>
      </c>
      <c r="AX165">
        <f>IF($W165="","",INDEX(บันทึกรายเที่ยว!$D$6:$D$6005,$W165))</f>
        <v/>
      </c>
      <c r="AY165">
        <f>IF($W165="","",INDEX(บันทึกรายเที่ยว!$R$6:$R$6005,$W165))</f>
        <v/>
      </c>
      <c r="AZ165">
        <f>IF(AND($AD165="T",$AQ165=1),N($AZ164)+1,N($AZ164))</f>
        <v/>
      </c>
      <c r="BA165">
        <f>IF($W165="","",INDEX(บันทึกรายเที่ยว!$E$6:$E$6005,$W165))</f>
        <v/>
      </c>
      <c r="BC165">
        <f>IF($Y165="",0,IFERROR(INDEX(อัตราค่าขนส่ง!$K$5:$K$204,MATCH($Y165,อัตราค่าขนส่ง!$M$5:$M$204,0)),0))</f>
        <v/>
      </c>
      <c r="BD165">
        <f>IF($Y165="",0,IFERROR(INDEX(อัตราค่าขนส่ง!$L$5:$L$204,MATCH($Y165,อัตราค่าขนส่ง!$M$5:$M$204,0)),0))</f>
        <v/>
      </c>
    </row>
    <row r="166" ht="21" customHeight="1" s="66">
      <c r="A166" s="69">
        <f>IF($AD166="","",IF($AD166="Z","รวมจ่ายทั้งสิ้น",IF($AD166="H",INDEX($X$5:$X$404,$AC166),IF($AD166="T","รวม",IF($AD166="B",IFERROR(INDEX(อัตราค่าขนส่ง!$S$5:$S$14,MATCH(INDEX($AM$5:$AM$404,$AC166),อัตราค่าขนส่ง!$R$5:$R$14,0)),"รวมกลุ่ม "&amp;INDEX($AM$5:$AM$404,$AC166)),INDEX($AY$5:$AY$404,$AC166))))))</f>
        <v/>
      </c>
      <c r="B166" s="31">
        <f>IF($AD166&lt;&gt;"D","",INDEX($AW$5:$AW$404,$AC166))</f>
        <v/>
      </c>
      <c r="C166" s="68">
        <f>IF($AD166&lt;&gt;"D","",INDEX($AX$5:$AX$404,$AC166))</f>
        <v/>
      </c>
      <c r="D166" s="70">
        <f>IF($AD166&lt;&gt;"D","",INDEX($BA$5:$BA$404,$AC166))</f>
        <v/>
      </c>
      <c r="E166" s="31">
        <f>IF($AD166="Z",SUM($AR$5:$AR$404),IF($AD166="D",INDEX($AR$5:$AR$404,$AC166),IF($AD166="T",SUMIF($X$5:$X$404,$AF166,$AR$5:$AR$404),IF($AD166="B",SUMIF($AN$5:$AN$404,$AQ166,$AR$5:$AR$404),""))))</f>
        <v/>
      </c>
      <c r="F166" s="32">
        <f>IF($AD166="Z",ROUND(SUM($AS$5:$AS$404),2),IF($AD166="D",INDEX($AS$5:$AS$404,$AC166),IF($AD166="T",ROUND(SUMIF($X$5:$X$404,$AF166,$AS$5:$AS$404),2),IF($AD166="B",ROUND(SUMIF($AN$5:$AN$404,$AQ166,$AS$5:$AS$404),2),""))))</f>
        <v/>
      </c>
      <c r="G166" s="32">
        <f>IF($AD166&lt;&gt;"D","",INDEX($AT$5:$AT$404,$AC166))</f>
        <v/>
      </c>
      <c r="H166" s="32">
        <f>IF($AD166&lt;&gt;"D","",INDEX($BC$5:$BC$404,$AC166))</f>
        <v/>
      </c>
      <c r="I166" s="32">
        <f>IF($AD166&lt;&gt;"D","",INDEX($BD$5:$BD$404,$AC166))</f>
        <v/>
      </c>
      <c r="J166" s="46">
        <f>IF($AD166&lt;&gt;"D","",IF(N($B166)=0,"",ROUND($I166/$B166,4)))</f>
        <v/>
      </c>
      <c r="K166" s="32">
        <f>IF($AD166="Z",ROUND(SUM($AU$5:$AU$404),2),IF($AD166="D",INDEX($AU$5:$AU$404,$AC166),IF($AD166="T",ROUND(SUMIF($X$5:$X$404,$AF166,$AU$5:$AU$404),2),IF($AD166="B",ROUND(SUMIF($AN$5:$AN$404,$AQ166,$AU$5:$AU$404),2),""))))</f>
        <v/>
      </c>
      <c r="L166" s="32">
        <f>IF($AD166="Z",ROUND(SUM($AV$5:$AV$404),2),IF($AD166="D",INDEX($AV$5:$AV$404,$AC166),IF($AD166="T",ROUND(SUMIF($X$5:$X$404,$AF166,$AV$5:$AV$404),2),IF($AD166="B",ROUND(SUMIF($AN$5:$AN$404,$AQ166,$AV$5:$AV$404),2),""))))</f>
        <v/>
      </c>
      <c r="M166" s="32">
        <f>IF($AD166="Z",ROUND(SUM($AJ$5:$AJ$704),2),IF($AD166="B",ROUND(SUMIF($AQ$5:$AQ$704,$AQ166,$AJ$5:$AJ$704),2),IF($AD166&lt;&gt;"T","",$AJ166)))</f>
        <v/>
      </c>
      <c r="N166" s="32">
        <f>IF(OR($AD166="D",$AD166="T",$AD166="B",$AD166="Z"),ROUND(N($K166)-N($L166)-N($M166),2),"")</f>
        <v/>
      </c>
      <c r="O166" s="32">
        <f>IF(OR($AD166="D",$AD166="T",$AD166="B",$AD166="Z"),IF(N($E166)=0,"",ROUND($F166/$E166,2)),"")</f>
        <v/>
      </c>
      <c r="Q166">
        <f>IFERROR(MATCH(162,บันทึกรายเที่ยว!$Z$6:$Z$6005,0),"")</f>
        <v/>
      </c>
      <c r="R166">
        <f>IF($Q166="","",INDEX(บันทึกรายเที่ยว!$V$6:$V$6005,$Q166))</f>
        <v/>
      </c>
      <c r="S166">
        <f>IF($Q166="","",INDEX(บันทึกรายเที่ยว!$F$6:$F$6005,$Q166))</f>
        <v/>
      </c>
      <c r="T166">
        <f>IF($Q166="","",MATCH($S166,บันทึกรายเที่ยว!$F$6:$F$6005,0))</f>
        <v/>
      </c>
      <c r="U166">
        <f>IF($Q166="","",$AL166*10000000+$T166*1000+162)</f>
        <v/>
      </c>
      <c r="V166">
        <f>IFERROR(MATCH(SMALL($U$5:$U$404,162),$U$5:$U$404,0),"")</f>
        <v/>
      </c>
      <c r="W166">
        <f>IF($V166="","",INDEX($Q$5:$Q$404,$V166))</f>
        <v/>
      </c>
      <c r="X166">
        <f>IF($V166="","",INDEX($S$5:$S$404,$V166))</f>
        <v/>
      </c>
      <c r="Y166">
        <f>IF($V166="","",INDEX($R$5:$R$404,$V166))</f>
        <v/>
      </c>
      <c r="Z166">
        <f>IF($V166="",0,IF($X166&lt;&gt;$X165,1,0))</f>
        <v/>
      </c>
      <c r="AA166">
        <f>IF($V166="",0,IF($V167="",1,IF($X167&lt;&gt;$X166,1,0)))</f>
        <v/>
      </c>
      <c r="AB166">
        <f>IF($V166="",99999+162,$AB165+1+$Z165+$AA165+$AO165)</f>
        <v/>
      </c>
      <c r="AC166">
        <f>IFERROR(MATCH(162,$AB$5:$AB$404,1),"")</f>
        <v/>
      </c>
      <c r="AD166">
        <f>IF(162=$AI$1+1,"Z",IF($AC166="","",IF(INDEX($V$5:$V$404,$AC166)="","",IF(162&gt;INDEX($AB$5:$AB$404,$AC166)+INDEX($Z$5:$Z$404,$AC166)+INDEX($AA$5:$AA$404,$AC166)+INDEX($AO$5:$AO$404,$AC166),"",IF(162=INDEX($AB$5:$AB$404,$AC166)+INDEX($Z$5:$Z$404,$AC166),"D",IF(AND(INDEX($Z$5:$Z$404,$AC166)=1,162=INDEX($AB$5:$AB$404,$AC166)),"H",IF(AND(INDEX($AO$5:$AO$404,$AC166)=1,162=INDEX($AB$5:$AB$404,$AC166)+INDEX($Z$5:$Z$404,$AC166)+INDEX($AA$5:$AA$404,$AC166)+INDEX($AO$5:$AO$404,$AC166)),"B","T")))))))</f>
        <v/>
      </c>
      <c r="AF166">
        <f>IF(OR($AD166="",$AD166="Z",$AD166="B"),"",INDEX($X$5:$X$404,$AC166))</f>
        <v/>
      </c>
      <c r="AJ166">
        <f>IF($AD166&lt;&gt;"T",0,ROUND(SUMIF(oil!$B$4:$B$63,$AF166,oil!$AE$4:$AE$63),2))</f>
        <v/>
      </c>
      <c r="AK166">
        <f>IF($S166="","",IFERROR(INDEX(อัตราค่าขนส่ง!$P$5:$P$54,MATCH($S166,อัตราค่าขนส่ง!$O$5:$O$54,0)),INDEX(รายการมาตรฐาน!$G$2:$G$3,1)))</f>
        <v/>
      </c>
      <c r="AL166">
        <f>IF($S166="","",IFERROR(MATCH($AK166,รายการมาตรฐาน!$G$2:$G$3,0),1))</f>
        <v/>
      </c>
      <c r="AM166">
        <f>IF($V166="","",INDEX($AK$5:$AK$404,$V166))</f>
        <v/>
      </c>
      <c r="AN166">
        <f>IF($V166="","",INDEX($AL$5:$AL$404,$V166))</f>
        <v/>
      </c>
      <c r="AO166">
        <f>IF(OR($V166="",$AI$2&lt;=1),0,IF($V167="",1,IF($AN167&lt;&gt;$AN166,1,0)))</f>
        <v/>
      </c>
      <c r="AP166">
        <f>IF($V166="",0,IF($AN166&lt;&gt;$AN165,1,0))</f>
        <v/>
      </c>
      <c r="AQ166">
        <f>IF(OR($AD166="",$AD166="Z"),"",INDEX($AN$5:$AN$404,$AC166))</f>
        <v/>
      </c>
      <c r="AR166">
        <f>IF($Y166="",0,COUNTIF(บันทึกรายเที่ยว!$V$6:$V$6005,$Y166))</f>
        <v/>
      </c>
      <c r="AS166">
        <f>IF($Y166="",0,ROUND(SUMIF(บันทึกรายเที่ยว!$V$6:$V$6005,$Y166,บันทึกรายเที่ยว!$M$6:$M$6005),2))</f>
        <v/>
      </c>
      <c r="AT166">
        <f>IF($Y166="",0,IFERROR(INDEX(อัตราค่าขนส่ง!$G$5:$G$204,MATCH($Y166,อัตราค่าขนส่ง!$M$5:$M$204,0)),0))</f>
        <v/>
      </c>
      <c r="AU166">
        <f>ROUND($AS166*$BD166,2)</f>
        <v/>
      </c>
      <c r="AV166">
        <f>ROUND($AU166*$BF$2/100,2)</f>
        <v/>
      </c>
      <c r="AW166">
        <f>IF($Y166="","",IFERROR(INDEX(อัตราค่าขนส่ง!$F$5:$F$204,MATCH($Y166,อัตราค่าขนส่ง!$M$5:$M$204,0)),""))</f>
        <v/>
      </c>
      <c r="AX166">
        <f>IF($W166="","",INDEX(บันทึกรายเที่ยว!$D$6:$D$6005,$W166))</f>
        <v/>
      </c>
      <c r="AY166">
        <f>IF($W166="","",INDEX(บันทึกรายเที่ยว!$R$6:$R$6005,$W166))</f>
        <v/>
      </c>
      <c r="AZ166">
        <f>IF(AND($AD166="T",$AQ166=1),N($AZ165)+1,N($AZ165))</f>
        <v/>
      </c>
      <c r="BA166">
        <f>IF($W166="","",INDEX(บันทึกรายเที่ยว!$E$6:$E$6005,$W166))</f>
        <v/>
      </c>
      <c r="BC166">
        <f>IF($Y166="",0,IFERROR(INDEX(อัตราค่าขนส่ง!$K$5:$K$204,MATCH($Y166,อัตราค่าขนส่ง!$M$5:$M$204,0)),0))</f>
        <v/>
      </c>
      <c r="BD166">
        <f>IF($Y166="",0,IFERROR(INDEX(อัตราค่าขนส่ง!$L$5:$L$204,MATCH($Y166,อัตราค่าขนส่ง!$M$5:$M$204,0)),0))</f>
        <v/>
      </c>
    </row>
    <row r="167" ht="21" customHeight="1" s="66">
      <c r="A167" s="69">
        <f>IF($AD167="","",IF($AD167="Z","รวมจ่ายทั้งสิ้น",IF($AD167="H",INDEX($X$5:$X$404,$AC167),IF($AD167="T","รวม",IF($AD167="B",IFERROR(INDEX(อัตราค่าขนส่ง!$S$5:$S$14,MATCH(INDEX($AM$5:$AM$404,$AC167),อัตราค่าขนส่ง!$R$5:$R$14,0)),"รวมกลุ่ม "&amp;INDEX($AM$5:$AM$404,$AC167)),INDEX($AY$5:$AY$404,$AC167))))))</f>
        <v/>
      </c>
      <c r="B167" s="31">
        <f>IF($AD167&lt;&gt;"D","",INDEX($AW$5:$AW$404,$AC167))</f>
        <v/>
      </c>
      <c r="C167" s="68">
        <f>IF($AD167&lt;&gt;"D","",INDEX($AX$5:$AX$404,$AC167))</f>
        <v/>
      </c>
      <c r="D167" s="70">
        <f>IF($AD167&lt;&gt;"D","",INDEX($BA$5:$BA$404,$AC167))</f>
        <v/>
      </c>
      <c r="E167" s="31">
        <f>IF($AD167="Z",SUM($AR$5:$AR$404),IF($AD167="D",INDEX($AR$5:$AR$404,$AC167),IF($AD167="T",SUMIF($X$5:$X$404,$AF167,$AR$5:$AR$404),IF($AD167="B",SUMIF($AN$5:$AN$404,$AQ167,$AR$5:$AR$404),""))))</f>
        <v/>
      </c>
      <c r="F167" s="32">
        <f>IF($AD167="Z",ROUND(SUM($AS$5:$AS$404),2),IF($AD167="D",INDEX($AS$5:$AS$404,$AC167),IF($AD167="T",ROUND(SUMIF($X$5:$X$404,$AF167,$AS$5:$AS$404),2),IF($AD167="B",ROUND(SUMIF($AN$5:$AN$404,$AQ167,$AS$5:$AS$404),2),""))))</f>
        <v/>
      </c>
      <c r="G167" s="32">
        <f>IF($AD167&lt;&gt;"D","",INDEX($AT$5:$AT$404,$AC167))</f>
        <v/>
      </c>
      <c r="H167" s="32">
        <f>IF($AD167&lt;&gt;"D","",INDEX($BC$5:$BC$404,$AC167))</f>
        <v/>
      </c>
      <c r="I167" s="32">
        <f>IF($AD167&lt;&gt;"D","",INDEX($BD$5:$BD$404,$AC167))</f>
        <v/>
      </c>
      <c r="J167" s="46">
        <f>IF($AD167&lt;&gt;"D","",IF(N($B167)=0,"",ROUND($I167/$B167,4)))</f>
        <v/>
      </c>
      <c r="K167" s="32">
        <f>IF($AD167="Z",ROUND(SUM($AU$5:$AU$404),2),IF($AD167="D",INDEX($AU$5:$AU$404,$AC167),IF($AD167="T",ROUND(SUMIF($X$5:$X$404,$AF167,$AU$5:$AU$404),2),IF($AD167="B",ROUND(SUMIF($AN$5:$AN$404,$AQ167,$AU$5:$AU$404),2),""))))</f>
        <v/>
      </c>
      <c r="L167" s="32">
        <f>IF($AD167="Z",ROUND(SUM($AV$5:$AV$404),2),IF($AD167="D",INDEX($AV$5:$AV$404,$AC167),IF($AD167="T",ROUND(SUMIF($X$5:$X$404,$AF167,$AV$5:$AV$404),2),IF($AD167="B",ROUND(SUMIF($AN$5:$AN$404,$AQ167,$AV$5:$AV$404),2),""))))</f>
        <v/>
      </c>
      <c r="M167" s="32">
        <f>IF($AD167="Z",ROUND(SUM($AJ$5:$AJ$704),2),IF($AD167="B",ROUND(SUMIF($AQ$5:$AQ$704,$AQ167,$AJ$5:$AJ$704),2),IF($AD167&lt;&gt;"T","",$AJ167)))</f>
        <v/>
      </c>
      <c r="N167" s="32">
        <f>IF(OR($AD167="D",$AD167="T",$AD167="B",$AD167="Z"),ROUND(N($K167)-N($L167)-N($M167),2),"")</f>
        <v/>
      </c>
      <c r="O167" s="32">
        <f>IF(OR($AD167="D",$AD167="T",$AD167="B",$AD167="Z"),IF(N($E167)=0,"",ROUND($F167/$E167,2)),"")</f>
        <v/>
      </c>
      <c r="Q167">
        <f>IFERROR(MATCH(163,บันทึกรายเที่ยว!$Z$6:$Z$6005,0),"")</f>
        <v/>
      </c>
      <c r="R167">
        <f>IF($Q167="","",INDEX(บันทึกรายเที่ยว!$V$6:$V$6005,$Q167))</f>
        <v/>
      </c>
      <c r="S167">
        <f>IF($Q167="","",INDEX(บันทึกรายเที่ยว!$F$6:$F$6005,$Q167))</f>
        <v/>
      </c>
      <c r="T167">
        <f>IF($Q167="","",MATCH($S167,บันทึกรายเที่ยว!$F$6:$F$6005,0))</f>
        <v/>
      </c>
      <c r="U167">
        <f>IF($Q167="","",$AL167*10000000+$T167*1000+163)</f>
        <v/>
      </c>
      <c r="V167">
        <f>IFERROR(MATCH(SMALL($U$5:$U$404,163),$U$5:$U$404,0),"")</f>
        <v/>
      </c>
      <c r="W167">
        <f>IF($V167="","",INDEX($Q$5:$Q$404,$V167))</f>
        <v/>
      </c>
      <c r="X167">
        <f>IF($V167="","",INDEX($S$5:$S$404,$V167))</f>
        <v/>
      </c>
      <c r="Y167">
        <f>IF($V167="","",INDEX($R$5:$R$404,$V167))</f>
        <v/>
      </c>
      <c r="Z167">
        <f>IF($V167="",0,IF($X167&lt;&gt;$X166,1,0))</f>
        <v/>
      </c>
      <c r="AA167">
        <f>IF($V167="",0,IF($V168="",1,IF($X168&lt;&gt;$X167,1,0)))</f>
        <v/>
      </c>
      <c r="AB167">
        <f>IF($V167="",99999+163,$AB166+1+$Z166+$AA166+$AO166)</f>
        <v/>
      </c>
      <c r="AC167">
        <f>IFERROR(MATCH(163,$AB$5:$AB$404,1),"")</f>
        <v/>
      </c>
      <c r="AD167">
        <f>IF(163=$AI$1+1,"Z",IF($AC167="","",IF(INDEX($V$5:$V$404,$AC167)="","",IF(163&gt;INDEX($AB$5:$AB$404,$AC167)+INDEX($Z$5:$Z$404,$AC167)+INDEX($AA$5:$AA$404,$AC167)+INDEX($AO$5:$AO$404,$AC167),"",IF(163=INDEX($AB$5:$AB$404,$AC167)+INDEX($Z$5:$Z$404,$AC167),"D",IF(AND(INDEX($Z$5:$Z$404,$AC167)=1,163=INDEX($AB$5:$AB$404,$AC167)),"H",IF(AND(INDEX($AO$5:$AO$404,$AC167)=1,163=INDEX($AB$5:$AB$404,$AC167)+INDEX($Z$5:$Z$404,$AC167)+INDEX($AA$5:$AA$404,$AC167)+INDEX($AO$5:$AO$404,$AC167)),"B","T")))))))</f>
        <v/>
      </c>
      <c r="AF167">
        <f>IF(OR($AD167="",$AD167="Z",$AD167="B"),"",INDEX($X$5:$X$404,$AC167))</f>
        <v/>
      </c>
      <c r="AJ167">
        <f>IF($AD167&lt;&gt;"T",0,ROUND(SUMIF(oil!$B$4:$B$63,$AF167,oil!$AE$4:$AE$63),2))</f>
        <v/>
      </c>
      <c r="AK167">
        <f>IF($S167="","",IFERROR(INDEX(อัตราค่าขนส่ง!$P$5:$P$54,MATCH($S167,อัตราค่าขนส่ง!$O$5:$O$54,0)),INDEX(รายการมาตรฐาน!$G$2:$G$3,1)))</f>
        <v/>
      </c>
      <c r="AL167">
        <f>IF($S167="","",IFERROR(MATCH($AK167,รายการมาตรฐาน!$G$2:$G$3,0),1))</f>
        <v/>
      </c>
      <c r="AM167">
        <f>IF($V167="","",INDEX($AK$5:$AK$404,$V167))</f>
        <v/>
      </c>
      <c r="AN167">
        <f>IF($V167="","",INDEX($AL$5:$AL$404,$V167))</f>
        <v/>
      </c>
      <c r="AO167">
        <f>IF(OR($V167="",$AI$2&lt;=1),0,IF($V168="",1,IF($AN168&lt;&gt;$AN167,1,0)))</f>
        <v/>
      </c>
      <c r="AP167">
        <f>IF($V167="",0,IF($AN167&lt;&gt;$AN166,1,0))</f>
        <v/>
      </c>
      <c r="AQ167">
        <f>IF(OR($AD167="",$AD167="Z"),"",INDEX($AN$5:$AN$404,$AC167))</f>
        <v/>
      </c>
      <c r="AR167">
        <f>IF($Y167="",0,COUNTIF(บันทึกรายเที่ยว!$V$6:$V$6005,$Y167))</f>
        <v/>
      </c>
      <c r="AS167">
        <f>IF($Y167="",0,ROUND(SUMIF(บันทึกรายเที่ยว!$V$6:$V$6005,$Y167,บันทึกรายเที่ยว!$M$6:$M$6005),2))</f>
        <v/>
      </c>
      <c r="AT167">
        <f>IF($Y167="",0,IFERROR(INDEX(อัตราค่าขนส่ง!$G$5:$G$204,MATCH($Y167,อัตราค่าขนส่ง!$M$5:$M$204,0)),0))</f>
        <v/>
      </c>
      <c r="AU167">
        <f>ROUND($AS167*$BD167,2)</f>
        <v/>
      </c>
      <c r="AV167">
        <f>ROUND($AU167*$BF$2/100,2)</f>
        <v/>
      </c>
      <c r="AW167">
        <f>IF($Y167="","",IFERROR(INDEX(อัตราค่าขนส่ง!$F$5:$F$204,MATCH($Y167,อัตราค่าขนส่ง!$M$5:$M$204,0)),""))</f>
        <v/>
      </c>
      <c r="AX167">
        <f>IF($W167="","",INDEX(บันทึกรายเที่ยว!$D$6:$D$6005,$W167))</f>
        <v/>
      </c>
      <c r="AY167">
        <f>IF($W167="","",INDEX(บันทึกรายเที่ยว!$R$6:$R$6005,$W167))</f>
        <v/>
      </c>
      <c r="AZ167">
        <f>IF(AND($AD167="T",$AQ167=1),N($AZ166)+1,N($AZ166))</f>
        <v/>
      </c>
      <c r="BA167">
        <f>IF($W167="","",INDEX(บันทึกรายเที่ยว!$E$6:$E$6005,$W167))</f>
        <v/>
      </c>
      <c r="BC167">
        <f>IF($Y167="",0,IFERROR(INDEX(อัตราค่าขนส่ง!$K$5:$K$204,MATCH($Y167,อัตราค่าขนส่ง!$M$5:$M$204,0)),0))</f>
        <v/>
      </c>
      <c r="BD167">
        <f>IF($Y167="",0,IFERROR(INDEX(อัตราค่าขนส่ง!$L$5:$L$204,MATCH($Y167,อัตราค่าขนส่ง!$M$5:$M$204,0)),0))</f>
        <v/>
      </c>
    </row>
    <row r="168" ht="21" customHeight="1" s="66">
      <c r="A168" s="69">
        <f>IF($AD168="","",IF($AD168="Z","รวมจ่ายทั้งสิ้น",IF($AD168="H",INDEX($X$5:$X$404,$AC168),IF($AD168="T","รวม",IF($AD168="B",IFERROR(INDEX(อัตราค่าขนส่ง!$S$5:$S$14,MATCH(INDEX($AM$5:$AM$404,$AC168),อัตราค่าขนส่ง!$R$5:$R$14,0)),"รวมกลุ่ม "&amp;INDEX($AM$5:$AM$404,$AC168)),INDEX($AY$5:$AY$404,$AC168))))))</f>
        <v/>
      </c>
      <c r="B168" s="31">
        <f>IF($AD168&lt;&gt;"D","",INDEX($AW$5:$AW$404,$AC168))</f>
        <v/>
      </c>
      <c r="C168" s="68">
        <f>IF($AD168&lt;&gt;"D","",INDEX($AX$5:$AX$404,$AC168))</f>
        <v/>
      </c>
      <c r="D168" s="70">
        <f>IF($AD168&lt;&gt;"D","",INDEX($BA$5:$BA$404,$AC168))</f>
        <v/>
      </c>
      <c r="E168" s="31">
        <f>IF($AD168="Z",SUM($AR$5:$AR$404),IF($AD168="D",INDEX($AR$5:$AR$404,$AC168),IF($AD168="T",SUMIF($X$5:$X$404,$AF168,$AR$5:$AR$404),IF($AD168="B",SUMIF($AN$5:$AN$404,$AQ168,$AR$5:$AR$404),""))))</f>
        <v/>
      </c>
      <c r="F168" s="32">
        <f>IF($AD168="Z",ROUND(SUM($AS$5:$AS$404),2),IF($AD168="D",INDEX($AS$5:$AS$404,$AC168),IF($AD168="T",ROUND(SUMIF($X$5:$X$404,$AF168,$AS$5:$AS$404),2),IF($AD168="B",ROUND(SUMIF($AN$5:$AN$404,$AQ168,$AS$5:$AS$404),2),""))))</f>
        <v/>
      </c>
      <c r="G168" s="32">
        <f>IF($AD168&lt;&gt;"D","",INDEX($AT$5:$AT$404,$AC168))</f>
        <v/>
      </c>
      <c r="H168" s="32">
        <f>IF($AD168&lt;&gt;"D","",INDEX($BC$5:$BC$404,$AC168))</f>
        <v/>
      </c>
      <c r="I168" s="32">
        <f>IF($AD168&lt;&gt;"D","",INDEX($BD$5:$BD$404,$AC168))</f>
        <v/>
      </c>
      <c r="J168" s="46">
        <f>IF($AD168&lt;&gt;"D","",IF(N($B168)=0,"",ROUND($I168/$B168,4)))</f>
        <v/>
      </c>
      <c r="K168" s="32">
        <f>IF($AD168="Z",ROUND(SUM($AU$5:$AU$404),2),IF($AD168="D",INDEX($AU$5:$AU$404,$AC168),IF($AD168="T",ROUND(SUMIF($X$5:$X$404,$AF168,$AU$5:$AU$404),2),IF($AD168="B",ROUND(SUMIF($AN$5:$AN$404,$AQ168,$AU$5:$AU$404),2),""))))</f>
        <v/>
      </c>
      <c r="L168" s="32">
        <f>IF($AD168="Z",ROUND(SUM($AV$5:$AV$404),2),IF($AD168="D",INDEX($AV$5:$AV$404,$AC168),IF($AD168="T",ROUND(SUMIF($X$5:$X$404,$AF168,$AV$5:$AV$404),2),IF($AD168="B",ROUND(SUMIF($AN$5:$AN$404,$AQ168,$AV$5:$AV$404),2),""))))</f>
        <v/>
      </c>
      <c r="M168" s="32">
        <f>IF($AD168="Z",ROUND(SUM($AJ$5:$AJ$704),2),IF($AD168="B",ROUND(SUMIF($AQ$5:$AQ$704,$AQ168,$AJ$5:$AJ$704),2),IF($AD168&lt;&gt;"T","",$AJ168)))</f>
        <v/>
      </c>
      <c r="N168" s="32">
        <f>IF(OR($AD168="D",$AD168="T",$AD168="B",$AD168="Z"),ROUND(N($K168)-N($L168)-N($M168),2),"")</f>
        <v/>
      </c>
      <c r="O168" s="32">
        <f>IF(OR($AD168="D",$AD168="T",$AD168="B",$AD168="Z"),IF(N($E168)=0,"",ROUND($F168/$E168,2)),"")</f>
        <v/>
      </c>
      <c r="Q168">
        <f>IFERROR(MATCH(164,บันทึกรายเที่ยว!$Z$6:$Z$6005,0),"")</f>
        <v/>
      </c>
      <c r="R168">
        <f>IF($Q168="","",INDEX(บันทึกรายเที่ยว!$V$6:$V$6005,$Q168))</f>
        <v/>
      </c>
      <c r="S168">
        <f>IF($Q168="","",INDEX(บันทึกรายเที่ยว!$F$6:$F$6005,$Q168))</f>
        <v/>
      </c>
      <c r="T168">
        <f>IF($Q168="","",MATCH($S168,บันทึกรายเที่ยว!$F$6:$F$6005,0))</f>
        <v/>
      </c>
      <c r="U168">
        <f>IF($Q168="","",$AL168*10000000+$T168*1000+164)</f>
        <v/>
      </c>
      <c r="V168">
        <f>IFERROR(MATCH(SMALL($U$5:$U$404,164),$U$5:$U$404,0),"")</f>
        <v/>
      </c>
      <c r="W168">
        <f>IF($V168="","",INDEX($Q$5:$Q$404,$V168))</f>
        <v/>
      </c>
      <c r="X168">
        <f>IF($V168="","",INDEX($S$5:$S$404,$V168))</f>
        <v/>
      </c>
      <c r="Y168">
        <f>IF($V168="","",INDEX($R$5:$R$404,$V168))</f>
        <v/>
      </c>
      <c r="Z168">
        <f>IF($V168="",0,IF($X168&lt;&gt;$X167,1,0))</f>
        <v/>
      </c>
      <c r="AA168">
        <f>IF($V168="",0,IF($V169="",1,IF($X169&lt;&gt;$X168,1,0)))</f>
        <v/>
      </c>
      <c r="AB168">
        <f>IF($V168="",99999+164,$AB167+1+$Z167+$AA167+$AO167)</f>
        <v/>
      </c>
      <c r="AC168">
        <f>IFERROR(MATCH(164,$AB$5:$AB$404,1),"")</f>
        <v/>
      </c>
      <c r="AD168">
        <f>IF(164=$AI$1+1,"Z",IF($AC168="","",IF(INDEX($V$5:$V$404,$AC168)="","",IF(164&gt;INDEX($AB$5:$AB$404,$AC168)+INDEX($Z$5:$Z$404,$AC168)+INDEX($AA$5:$AA$404,$AC168)+INDEX($AO$5:$AO$404,$AC168),"",IF(164=INDEX($AB$5:$AB$404,$AC168)+INDEX($Z$5:$Z$404,$AC168),"D",IF(AND(INDEX($Z$5:$Z$404,$AC168)=1,164=INDEX($AB$5:$AB$404,$AC168)),"H",IF(AND(INDEX($AO$5:$AO$404,$AC168)=1,164=INDEX($AB$5:$AB$404,$AC168)+INDEX($Z$5:$Z$404,$AC168)+INDEX($AA$5:$AA$404,$AC168)+INDEX($AO$5:$AO$404,$AC168)),"B","T")))))))</f>
        <v/>
      </c>
      <c r="AF168">
        <f>IF(OR($AD168="",$AD168="Z",$AD168="B"),"",INDEX($X$5:$X$404,$AC168))</f>
        <v/>
      </c>
      <c r="AJ168">
        <f>IF($AD168&lt;&gt;"T",0,ROUND(SUMIF(oil!$B$4:$B$63,$AF168,oil!$AE$4:$AE$63),2))</f>
        <v/>
      </c>
      <c r="AK168">
        <f>IF($S168="","",IFERROR(INDEX(อัตราค่าขนส่ง!$P$5:$P$54,MATCH($S168,อัตราค่าขนส่ง!$O$5:$O$54,0)),INDEX(รายการมาตรฐาน!$G$2:$G$3,1)))</f>
        <v/>
      </c>
      <c r="AL168">
        <f>IF($S168="","",IFERROR(MATCH($AK168,รายการมาตรฐาน!$G$2:$G$3,0),1))</f>
        <v/>
      </c>
      <c r="AM168">
        <f>IF($V168="","",INDEX($AK$5:$AK$404,$V168))</f>
        <v/>
      </c>
      <c r="AN168">
        <f>IF($V168="","",INDEX($AL$5:$AL$404,$V168))</f>
        <v/>
      </c>
      <c r="AO168">
        <f>IF(OR($V168="",$AI$2&lt;=1),0,IF($V169="",1,IF($AN169&lt;&gt;$AN168,1,0)))</f>
        <v/>
      </c>
      <c r="AP168">
        <f>IF($V168="",0,IF($AN168&lt;&gt;$AN167,1,0))</f>
        <v/>
      </c>
      <c r="AQ168">
        <f>IF(OR($AD168="",$AD168="Z"),"",INDEX($AN$5:$AN$404,$AC168))</f>
        <v/>
      </c>
      <c r="AR168">
        <f>IF($Y168="",0,COUNTIF(บันทึกรายเที่ยว!$V$6:$V$6005,$Y168))</f>
        <v/>
      </c>
      <c r="AS168">
        <f>IF($Y168="",0,ROUND(SUMIF(บันทึกรายเที่ยว!$V$6:$V$6005,$Y168,บันทึกรายเที่ยว!$M$6:$M$6005),2))</f>
        <v/>
      </c>
      <c r="AT168">
        <f>IF($Y168="",0,IFERROR(INDEX(อัตราค่าขนส่ง!$G$5:$G$204,MATCH($Y168,อัตราค่าขนส่ง!$M$5:$M$204,0)),0))</f>
        <v/>
      </c>
      <c r="AU168">
        <f>ROUND($AS168*$BD168,2)</f>
        <v/>
      </c>
      <c r="AV168">
        <f>ROUND($AU168*$BF$2/100,2)</f>
        <v/>
      </c>
      <c r="AW168">
        <f>IF($Y168="","",IFERROR(INDEX(อัตราค่าขนส่ง!$F$5:$F$204,MATCH($Y168,อัตราค่าขนส่ง!$M$5:$M$204,0)),""))</f>
        <v/>
      </c>
      <c r="AX168">
        <f>IF($W168="","",INDEX(บันทึกรายเที่ยว!$D$6:$D$6005,$W168))</f>
        <v/>
      </c>
      <c r="AY168">
        <f>IF($W168="","",INDEX(บันทึกรายเที่ยว!$R$6:$R$6005,$W168))</f>
        <v/>
      </c>
      <c r="AZ168">
        <f>IF(AND($AD168="T",$AQ168=1),N($AZ167)+1,N($AZ167))</f>
        <v/>
      </c>
      <c r="BA168">
        <f>IF($W168="","",INDEX(บันทึกรายเที่ยว!$E$6:$E$6005,$W168))</f>
        <v/>
      </c>
      <c r="BC168">
        <f>IF($Y168="",0,IFERROR(INDEX(อัตราค่าขนส่ง!$K$5:$K$204,MATCH($Y168,อัตราค่าขนส่ง!$M$5:$M$204,0)),0))</f>
        <v/>
      </c>
      <c r="BD168">
        <f>IF($Y168="",0,IFERROR(INDEX(อัตราค่าขนส่ง!$L$5:$L$204,MATCH($Y168,อัตราค่าขนส่ง!$M$5:$M$204,0)),0))</f>
        <v/>
      </c>
    </row>
    <row r="169" ht="21" customHeight="1" s="66">
      <c r="A169" s="69">
        <f>IF($AD169="","",IF($AD169="Z","รวมจ่ายทั้งสิ้น",IF($AD169="H",INDEX($X$5:$X$404,$AC169),IF($AD169="T","รวม",IF($AD169="B",IFERROR(INDEX(อัตราค่าขนส่ง!$S$5:$S$14,MATCH(INDEX($AM$5:$AM$404,$AC169),อัตราค่าขนส่ง!$R$5:$R$14,0)),"รวมกลุ่ม "&amp;INDEX($AM$5:$AM$404,$AC169)),INDEX($AY$5:$AY$404,$AC169))))))</f>
        <v/>
      </c>
      <c r="B169" s="31">
        <f>IF($AD169&lt;&gt;"D","",INDEX($AW$5:$AW$404,$AC169))</f>
        <v/>
      </c>
      <c r="C169" s="68">
        <f>IF($AD169&lt;&gt;"D","",INDEX($AX$5:$AX$404,$AC169))</f>
        <v/>
      </c>
      <c r="D169" s="70">
        <f>IF($AD169&lt;&gt;"D","",INDEX($BA$5:$BA$404,$AC169))</f>
        <v/>
      </c>
      <c r="E169" s="31">
        <f>IF($AD169="Z",SUM($AR$5:$AR$404),IF($AD169="D",INDEX($AR$5:$AR$404,$AC169),IF($AD169="T",SUMIF($X$5:$X$404,$AF169,$AR$5:$AR$404),IF($AD169="B",SUMIF($AN$5:$AN$404,$AQ169,$AR$5:$AR$404),""))))</f>
        <v/>
      </c>
      <c r="F169" s="32">
        <f>IF($AD169="Z",ROUND(SUM($AS$5:$AS$404),2),IF($AD169="D",INDEX($AS$5:$AS$404,$AC169),IF($AD169="T",ROUND(SUMIF($X$5:$X$404,$AF169,$AS$5:$AS$404),2),IF($AD169="B",ROUND(SUMIF($AN$5:$AN$404,$AQ169,$AS$5:$AS$404),2),""))))</f>
        <v/>
      </c>
      <c r="G169" s="32">
        <f>IF($AD169&lt;&gt;"D","",INDEX($AT$5:$AT$404,$AC169))</f>
        <v/>
      </c>
      <c r="H169" s="32">
        <f>IF($AD169&lt;&gt;"D","",INDEX($BC$5:$BC$404,$AC169))</f>
        <v/>
      </c>
      <c r="I169" s="32">
        <f>IF($AD169&lt;&gt;"D","",INDEX($BD$5:$BD$404,$AC169))</f>
        <v/>
      </c>
      <c r="J169" s="46">
        <f>IF($AD169&lt;&gt;"D","",IF(N($B169)=0,"",ROUND($I169/$B169,4)))</f>
        <v/>
      </c>
      <c r="K169" s="32">
        <f>IF($AD169="Z",ROUND(SUM($AU$5:$AU$404),2),IF($AD169="D",INDEX($AU$5:$AU$404,$AC169),IF($AD169="T",ROUND(SUMIF($X$5:$X$404,$AF169,$AU$5:$AU$404),2),IF($AD169="B",ROUND(SUMIF($AN$5:$AN$404,$AQ169,$AU$5:$AU$404),2),""))))</f>
        <v/>
      </c>
      <c r="L169" s="32">
        <f>IF($AD169="Z",ROUND(SUM($AV$5:$AV$404),2),IF($AD169="D",INDEX($AV$5:$AV$404,$AC169),IF($AD169="T",ROUND(SUMIF($X$5:$X$404,$AF169,$AV$5:$AV$404),2),IF($AD169="B",ROUND(SUMIF($AN$5:$AN$404,$AQ169,$AV$5:$AV$404),2),""))))</f>
        <v/>
      </c>
      <c r="M169" s="32">
        <f>IF($AD169="Z",ROUND(SUM($AJ$5:$AJ$704),2),IF($AD169="B",ROUND(SUMIF($AQ$5:$AQ$704,$AQ169,$AJ$5:$AJ$704),2),IF($AD169&lt;&gt;"T","",$AJ169)))</f>
        <v/>
      </c>
      <c r="N169" s="32">
        <f>IF(OR($AD169="D",$AD169="T",$AD169="B",$AD169="Z"),ROUND(N($K169)-N($L169)-N($M169),2),"")</f>
        <v/>
      </c>
      <c r="O169" s="32">
        <f>IF(OR($AD169="D",$AD169="T",$AD169="B",$AD169="Z"),IF(N($E169)=0,"",ROUND($F169/$E169,2)),"")</f>
        <v/>
      </c>
      <c r="Q169">
        <f>IFERROR(MATCH(165,บันทึกรายเที่ยว!$Z$6:$Z$6005,0),"")</f>
        <v/>
      </c>
      <c r="R169">
        <f>IF($Q169="","",INDEX(บันทึกรายเที่ยว!$V$6:$V$6005,$Q169))</f>
        <v/>
      </c>
      <c r="S169">
        <f>IF($Q169="","",INDEX(บันทึกรายเที่ยว!$F$6:$F$6005,$Q169))</f>
        <v/>
      </c>
      <c r="T169">
        <f>IF($Q169="","",MATCH($S169,บันทึกรายเที่ยว!$F$6:$F$6005,0))</f>
        <v/>
      </c>
      <c r="U169">
        <f>IF($Q169="","",$AL169*10000000+$T169*1000+165)</f>
        <v/>
      </c>
      <c r="V169">
        <f>IFERROR(MATCH(SMALL($U$5:$U$404,165),$U$5:$U$404,0),"")</f>
        <v/>
      </c>
      <c r="W169">
        <f>IF($V169="","",INDEX($Q$5:$Q$404,$V169))</f>
        <v/>
      </c>
      <c r="X169">
        <f>IF($V169="","",INDEX($S$5:$S$404,$V169))</f>
        <v/>
      </c>
      <c r="Y169">
        <f>IF($V169="","",INDEX($R$5:$R$404,$V169))</f>
        <v/>
      </c>
      <c r="Z169">
        <f>IF($V169="",0,IF($X169&lt;&gt;$X168,1,0))</f>
        <v/>
      </c>
      <c r="AA169">
        <f>IF($V169="",0,IF($V170="",1,IF($X170&lt;&gt;$X169,1,0)))</f>
        <v/>
      </c>
      <c r="AB169">
        <f>IF($V169="",99999+165,$AB168+1+$Z168+$AA168+$AO168)</f>
        <v/>
      </c>
      <c r="AC169">
        <f>IFERROR(MATCH(165,$AB$5:$AB$404,1),"")</f>
        <v/>
      </c>
      <c r="AD169">
        <f>IF(165=$AI$1+1,"Z",IF($AC169="","",IF(INDEX($V$5:$V$404,$AC169)="","",IF(165&gt;INDEX($AB$5:$AB$404,$AC169)+INDEX($Z$5:$Z$404,$AC169)+INDEX($AA$5:$AA$404,$AC169)+INDEX($AO$5:$AO$404,$AC169),"",IF(165=INDEX($AB$5:$AB$404,$AC169)+INDEX($Z$5:$Z$404,$AC169),"D",IF(AND(INDEX($Z$5:$Z$404,$AC169)=1,165=INDEX($AB$5:$AB$404,$AC169)),"H",IF(AND(INDEX($AO$5:$AO$404,$AC169)=1,165=INDEX($AB$5:$AB$404,$AC169)+INDEX($Z$5:$Z$404,$AC169)+INDEX($AA$5:$AA$404,$AC169)+INDEX($AO$5:$AO$404,$AC169)),"B","T")))))))</f>
        <v/>
      </c>
      <c r="AF169">
        <f>IF(OR($AD169="",$AD169="Z",$AD169="B"),"",INDEX($X$5:$X$404,$AC169))</f>
        <v/>
      </c>
      <c r="AJ169">
        <f>IF($AD169&lt;&gt;"T",0,ROUND(SUMIF(oil!$B$4:$B$63,$AF169,oil!$AE$4:$AE$63),2))</f>
        <v/>
      </c>
      <c r="AK169">
        <f>IF($S169="","",IFERROR(INDEX(อัตราค่าขนส่ง!$P$5:$P$54,MATCH($S169,อัตราค่าขนส่ง!$O$5:$O$54,0)),INDEX(รายการมาตรฐาน!$G$2:$G$3,1)))</f>
        <v/>
      </c>
      <c r="AL169">
        <f>IF($S169="","",IFERROR(MATCH($AK169,รายการมาตรฐาน!$G$2:$G$3,0),1))</f>
        <v/>
      </c>
      <c r="AM169">
        <f>IF($V169="","",INDEX($AK$5:$AK$404,$V169))</f>
        <v/>
      </c>
      <c r="AN169">
        <f>IF($V169="","",INDEX($AL$5:$AL$404,$V169))</f>
        <v/>
      </c>
      <c r="AO169">
        <f>IF(OR($V169="",$AI$2&lt;=1),0,IF($V170="",1,IF($AN170&lt;&gt;$AN169,1,0)))</f>
        <v/>
      </c>
      <c r="AP169">
        <f>IF($V169="",0,IF($AN169&lt;&gt;$AN168,1,0))</f>
        <v/>
      </c>
      <c r="AQ169">
        <f>IF(OR($AD169="",$AD169="Z"),"",INDEX($AN$5:$AN$404,$AC169))</f>
        <v/>
      </c>
      <c r="AR169">
        <f>IF($Y169="",0,COUNTIF(บันทึกรายเที่ยว!$V$6:$V$6005,$Y169))</f>
        <v/>
      </c>
      <c r="AS169">
        <f>IF($Y169="",0,ROUND(SUMIF(บันทึกรายเที่ยว!$V$6:$V$6005,$Y169,บันทึกรายเที่ยว!$M$6:$M$6005),2))</f>
        <v/>
      </c>
      <c r="AT169">
        <f>IF($Y169="",0,IFERROR(INDEX(อัตราค่าขนส่ง!$G$5:$G$204,MATCH($Y169,อัตราค่าขนส่ง!$M$5:$M$204,0)),0))</f>
        <v/>
      </c>
      <c r="AU169">
        <f>ROUND($AS169*$BD169,2)</f>
        <v/>
      </c>
      <c r="AV169">
        <f>ROUND($AU169*$BF$2/100,2)</f>
        <v/>
      </c>
      <c r="AW169">
        <f>IF($Y169="","",IFERROR(INDEX(อัตราค่าขนส่ง!$F$5:$F$204,MATCH($Y169,อัตราค่าขนส่ง!$M$5:$M$204,0)),""))</f>
        <v/>
      </c>
      <c r="AX169">
        <f>IF($W169="","",INDEX(บันทึกรายเที่ยว!$D$6:$D$6005,$W169))</f>
        <v/>
      </c>
      <c r="AY169">
        <f>IF($W169="","",INDEX(บันทึกรายเที่ยว!$R$6:$R$6005,$W169))</f>
        <v/>
      </c>
      <c r="AZ169">
        <f>IF(AND($AD169="T",$AQ169=1),N($AZ168)+1,N($AZ168))</f>
        <v/>
      </c>
      <c r="BA169">
        <f>IF($W169="","",INDEX(บันทึกรายเที่ยว!$E$6:$E$6005,$W169))</f>
        <v/>
      </c>
      <c r="BC169">
        <f>IF($Y169="",0,IFERROR(INDEX(อัตราค่าขนส่ง!$K$5:$K$204,MATCH($Y169,อัตราค่าขนส่ง!$M$5:$M$204,0)),0))</f>
        <v/>
      </c>
      <c r="BD169">
        <f>IF($Y169="",0,IFERROR(INDEX(อัตราค่าขนส่ง!$L$5:$L$204,MATCH($Y169,อัตราค่าขนส่ง!$M$5:$M$204,0)),0))</f>
        <v/>
      </c>
    </row>
    <row r="170" ht="21" customHeight="1" s="66">
      <c r="A170" s="69">
        <f>IF($AD170="","",IF($AD170="Z","รวมจ่ายทั้งสิ้น",IF($AD170="H",INDEX($X$5:$X$404,$AC170),IF($AD170="T","รวม",IF($AD170="B",IFERROR(INDEX(อัตราค่าขนส่ง!$S$5:$S$14,MATCH(INDEX($AM$5:$AM$404,$AC170),อัตราค่าขนส่ง!$R$5:$R$14,0)),"รวมกลุ่ม "&amp;INDEX($AM$5:$AM$404,$AC170)),INDEX($AY$5:$AY$404,$AC170))))))</f>
        <v/>
      </c>
      <c r="B170" s="31">
        <f>IF($AD170&lt;&gt;"D","",INDEX($AW$5:$AW$404,$AC170))</f>
        <v/>
      </c>
      <c r="C170" s="68">
        <f>IF($AD170&lt;&gt;"D","",INDEX($AX$5:$AX$404,$AC170))</f>
        <v/>
      </c>
      <c r="D170" s="70">
        <f>IF($AD170&lt;&gt;"D","",INDEX($BA$5:$BA$404,$AC170))</f>
        <v/>
      </c>
      <c r="E170" s="31">
        <f>IF($AD170="Z",SUM($AR$5:$AR$404),IF($AD170="D",INDEX($AR$5:$AR$404,$AC170),IF($AD170="T",SUMIF($X$5:$X$404,$AF170,$AR$5:$AR$404),IF($AD170="B",SUMIF($AN$5:$AN$404,$AQ170,$AR$5:$AR$404),""))))</f>
        <v/>
      </c>
      <c r="F170" s="32">
        <f>IF($AD170="Z",ROUND(SUM($AS$5:$AS$404),2),IF($AD170="D",INDEX($AS$5:$AS$404,$AC170),IF($AD170="T",ROUND(SUMIF($X$5:$X$404,$AF170,$AS$5:$AS$404),2),IF($AD170="B",ROUND(SUMIF($AN$5:$AN$404,$AQ170,$AS$5:$AS$404),2),""))))</f>
        <v/>
      </c>
      <c r="G170" s="32">
        <f>IF($AD170&lt;&gt;"D","",INDEX($AT$5:$AT$404,$AC170))</f>
        <v/>
      </c>
      <c r="H170" s="32">
        <f>IF($AD170&lt;&gt;"D","",INDEX($BC$5:$BC$404,$AC170))</f>
        <v/>
      </c>
      <c r="I170" s="32">
        <f>IF($AD170&lt;&gt;"D","",INDEX($BD$5:$BD$404,$AC170))</f>
        <v/>
      </c>
      <c r="J170" s="46">
        <f>IF($AD170&lt;&gt;"D","",IF(N($B170)=0,"",ROUND($I170/$B170,4)))</f>
        <v/>
      </c>
      <c r="K170" s="32">
        <f>IF($AD170="Z",ROUND(SUM($AU$5:$AU$404),2),IF($AD170="D",INDEX($AU$5:$AU$404,$AC170),IF($AD170="T",ROUND(SUMIF($X$5:$X$404,$AF170,$AU$5:$AU$404),2),IF($AD170="B",ROUND(SUMIF($AN$5:$AN$404,$AQ170,$AU$5:$AU$404),2),""))))</f>
        <v/>
      </c>
      <c r="L170" s="32">
        <f>IF($AD170="Z",ROUND(SUM($AV$5:$AV$404),2),IF($AD170="D",INDEX($AV$5:$AV$404,$AC170),IF($AD170="T",ROUND(SUMIF($X$5:$X$404,$AF170,$AV$5:$AV$404),2),IF($AD170="B",ROUND(SUMIF($AN$5:$AN$404,$AQ170,$AV$5:$AV$404),2),""))))</f>
        <v/>
      </c>
      <c r="M170" s="32">
        <f>IF($AD170="Z",ROUND(SUM($AJ$5:$AJ$704),2),IF($AD170="B",ROUND(SUMIF($AQ$5:$AQ$704,$AQ170,$AJ$5:$AJ$704),2),IF($AD170&lt;&gt;"T","",$AJ170)))</f>
        <v/>
      </c>
      <c r="N170" s="32">
        <f>IF(OR($AD170="D",$AD170="T",$AD170="B",$AD170="Z"),ROUND(N($K170)-N($L170)-N($M170),2),"")</f>
        <v/>
      </c>
      <c r="O170" s="32">
        <f>IF(OR($AD170="D",$AD170="T",$AD170="B",$AD170="Z"),IF(N($E170)=0,"",ROUND($F170/$E170,2)),"")</f>
        <v/>
      </c>
      <c r="Q170">
        <f>IFERROR(MATCH(166,บันทึกรายเที่ยว!$Z$6:$Z$6005,0),"")</f>
        <v/>
      </c>
      <c r="R170">
        <f>IF($Q170="","",INDEX(บันทึกรายเที่ยว!$V$6:$V$6005,$Q170))</f>
        <v/>
      </c>
      <c r="S170">
        <f>IF($Q170="","",INDEX(บันทึกรายเที่ยว!$F$6:$F$6005,$Q170))</f>
        <v/>
      </c>
      <c r="T170">
        <f>IF($Q170="","",MATCH($S170,บันทึกรายเที่ยว!$F$6:$F$6005,0))</f>
        <v/>
      </c>
      <c r="U170">
        <f>IF($Q170="","",$AL170*10000000+$T170*1000+166)</f>
        <v/>
      </c>
      <c r="V170">
        <f>IFERROR(MATCH(SMALL($U$5:$U$404,166),$U$5:$U$404,0),"")</f>
        <v/>
      </c>
      <c r="W170">
        <f>IF($V170="","",INDEX($Q$5:$Q$404,$V170))</f>
        <v/>
      </c>
      <c r="X170">
        <f>IF($V170="","",INDEX($S$5:$S$404,$V170))</f>
        <v/>
      </c>
      <c r="Y170">
        <f>IF($V170="","",INDEX($R$5:$R$404,$V170))</f>
        <v/>
      </c>
      <c r="Z170">
        <f>IF($V170="",0,IF($X170&lt;&gt;$X169,1,0))</f>
        <v/>
      </c>
      <c r="AA170">
        <f>IF($V170="",0,IF($V171="",1,IF($X171&lt;&gt;$X170,1,0)))</f>
        <v/>
      </c>
      <c r="AB170">
        <f>IF($V170="",99999+166,$AB169+1+$Z169+$AA169+$AO169)</f>
        <v/>
      </c>
      <c r="AC170">
        <f>IFERROR(MATCH(166,$AB$5:$AB$404,1),"")</f>
        <v/>
      </c>
      <c r="AD170">
        <f>IF(166=$AI$1+1,"Z",IF($AC170="","",IF(INDEX($V$5:$V$404,$AC170)="","",IF(166&gt;INDEX($AB$5:$AB$404,$AC170)+INDEX($Z$5:$Z$404,$AC170)+INDEX($AA$5:$AA$404,$AC170)+INDEX($AO$5:$AO$404,$AC170),"",IF(166=INDEX($AB$5:$AB$404,$AC170)+INDEX($Z$5:$Z$404,$AC170),"D",IF(AND(INDEX($Z$5:$Z$404,$AC170)=1,166=INDEX($AB$5:$AB$404,$AC170)),"H",IF(AND(INDEX($AO$5:$AO$404,$AC170)=1,166=INDEX($AB$5:$AB$404,$AC170)+INDEX($Z$5:$Z$404,$AC170)+INDEX($AA$5:$AA$404,$AC170)+INDEX($AO$5:$AO$404,$AC170)),"B","T")))))))</f>
        <v/>
      </c>
      <c r="AF170">
        <f>IF(OR($AD170="",$AD170="Z",$AD170="B"),"",INDEX($X$5:$X$404,$AC170))</f>
        <v/>
      </c>
      <c r="AJ170">
        <f>IF($AD170&lt;&gt;"T",0,ROUND(SUMIF(oil!$B$4:$B$63,$AF170,oil!$AE$4:$AE$63),2))</f>
        <v/>
      </c>
      <c r="AK170">
        <f>IF($S170="","",IFERROR(INDEX(อัตราค่าขนส่ง!$P$5:$P$54,MATCH($S170,อัตราค่าขนส่ง!$O$5:$O$54,0)),INDEX(รายการมาตรฐาน!$G$2:$G$3,1)))</f>
        <v/>
      </c>
      <c r="AL170">
        <f>IF($S170="","",IFERROR(MATCH($AK170,รายการมาตรฐาน!$G$2:$G$3,0),1))</f>
        <v/>
      </c>
      <c r="AM170">
        <f>IF($V170="","",INDEX($AK$5:$AK$404,$V170))</f>
        <v/>
      </c>
      <c r="AN170">
        <f>IF($V170="","",INDEX($AL$5:$AL$404,$V170))</f>
        <v/>
      </c>
      <c r="AO170">
        <f>IF(OR($V170="",$AI$2&lt;=1),0,IF($V171="",1,IF($AN171&lt;&gt;$AN170,1,0)))</f>
        <v/>
      </c>
      <c r="AP170">
        <f>IF($V170="",0,IF($AN170&lt;&gt;$AN169,1,0))</f>
        <v/>
      </c>
      <c r="AQ170">
        <f>IF(OR($AD170="",$AD170="Z"),"",INDEX($AN$5:$AN$404,$AC170))</f>
        <v/>
      </c>
      <c r="AR170">
        <f>IF($Y170="",0,COUNTIF(บันทึกรายเที่ยว!$V$6:$V$6005,$Y170))</f>
        <v/>
      </c>
      <c r="AS170">
        <f>IF($Y170="",0,ROUND(SUMIF(บันทึกรายเที่ยว!$V$6:$V$6005,$Y170,บันทึกรายเที่ยว!$M$6:$M$6005),2))</f>
        <v/>
      </c>
      <c r="AT170">
        <f>IF($Y170="",0,IFERROR(INDEX(อัตราค่าขนส่ง!$G$5:$G$204,MATCH($Y170,อัตราค่าขนส่ง!$M$5:$M$204,0)),0))</f>
        <v/>
      </c>
      <c r="AU170">
        <f>ROUND($AS170*$BD170,2)</f>
        <v/>
      </c>
      <c r="AV170">
        <f>ROUND($AU170*$BF$2/100,2)</f>
        <v/>
      </c>
      <c r="AW170">
        <f>IF($Y170="","",IFERROR(INDEX(อัตราค่าขนส่ง!$F$5:$F$204,MATCH($Y170,อัตราค่าขนส่ง!$M$5:$M$204,0)),""))</f>
        <v/>
      </c>
      <c r="AX170">
        <f>IF($W170="","",INDEX(บันทึกรายเที่ยว!$D$6:$D$6005,$W170))</f>
        <v/>
      </c>
      <c r="AY170">
        <f>IF($W170="","",INDEX(บันทึกรายเที่ยว!$R$6:$R$6005,$W170))</f>
        <v/>
      </c>
      <c r="AZ170">
        <f>IF(AND($AD170="T",$AQ170=1),N($AZ169)+1,N($AZ169))</f>
        <v/>
      </c>
      <c r="BA170">
        <f>IF($W170="","",INDEX(บันทึกรายเที่ยว!$E$6:$E$6005,$W170))</f>
        <v/>
      </c>
      <c r="BC170">
        <f>IF($Y170="",0,IFERROR(INDEX(อัตราค่าขนส่ง!$K$5:$K$204,MATCH($Y170,อัตราค่าขนส่ง!$M$5:$M$204,0)),0))</f>
        <v/>
      </c>
      <c r="BD170">
        <f>IF($Y170="",0,IFERROR(INDEX(อัตราค่าขนส่ง!$L$5:$L$204,MATCH($Y170,อัตราค่าขนส่ง!$M$5:$M$204,0)),0))</f>
        <v/>
      </c>
    </row>
    <row r="171" ht="21" customHeight="1" s="66">
      <c r="A171" s="69">
        <f>IF($AD171="","",IF($AD171="Z","รวมจ่ายทั้งสิ้น",IF($AD171="H",INDEX($X$5:$X$404,$AC171),IF($AD171="T","รวม",IF($AD171="B",IFERROR(INDEX(อัตราค่าขนส่ง!$S$5:$S$14,MATCH(INDEX($AM$5:$AM$404,$AC171),อัตราค่าขนส่ง!$R$5:$R$14,0)),"รวมกลุ่ม "&amp;INDEX($AM$5:$AM$404,$AC171)),INDEX($AY$5:$AY$404,$AC171))))))</f>
        <v/>
      </c>
      <c r="B171" s="31">
        <f>IF($AD171&lt;&gt;"D","",INDEX($AW$5:$AW$404,$AC171))</f>
        <v/>
      </c>
      <c r="C171" s="68">
        <f>IF($AD171&lt;&gt;"D","",INDEX($AX$5:$AX$404,$AC171))</f>
        <v/>
      </c>
      <c r="D171" s="70">
        <f>IF($AD171&lt;&gt;"D","",INDEX($BA$5:$BA$404,$AC171))</f>
        <v/>
      </c>
      <c r="E171" s="31">
        <f>IF($AD171="Z",SUM($AR$5:$AR$404),IF($AD171="D",INDEX($AR$5:$AR$404,$AC171),IF($AD171="T",SUMIF($X$5:$X$404,$AF171,$AR$5:$AR$404),IF($AD171="B",SUMIF($AN$5:$AN$404,$AQ171,$AR$5:$AR$404),""))))</f>
        <v/>
      </c>
      <c r="F171" s="32">
        <f>IF($AD171="Z",ROUND(SUM($AS$5:$AS$404),2),IF($AD171="D",INDEX($AS$5:$AS$404,$AC171),IF($AD171="T",ROUND(SUMIF($X$5:$X$404,$AF171,$AS$5:$AS$404),2),IF($AD171="B",ROUND(SUMIF($AN$5:$AN$404,$AQ171,$AS$5:$AS$404),2),""))))</f>
        <v/>
      </c>
      <c r="G171" s="32">
        <f>IF($AD171&lt;&gt;"D","",INDEX($AT$5:$AT$404,$AC171))</f>
        <v/>
      </c>
      <c r="H171" s="32">
        <f>IF($AD171&lt;&gt;"D","",INDEX($BC$5:$BC$404,$AC171))</f>
        <v/>
      </c>
      <c r="I171" s="32">
        <f>IF($AD171&lt;&gt;"D","",INDEX($BD$5:$BD$404,$AC171))</f>
        <v/>
      </c>
      <c r="J171" s="46">
        <f>IF($AD171&lt;&gt;"D","",IF(N($B171)=0,"",ROUND($I171/$B171,4)))</f>
        <v/>
      </c>
      <c r="K171" s="32">
        <f>IF($AD171="Z",ROUND(SUM($AU$5:$AU$404),2),IF($AD171="D",INDEX($AU$5:$AU$404,$AC171),IF($AD171="T",ROUND(SUMIF($X$5:$X$404,$AF171,$AU$5:$AU$404),2),IF($AD171="B",ROUND(SUMIF($AN$5:$AN$404,$AQ171,$AU$5:$AU$404),2),""))))</f>
        <v/>
      </c>
      <c r="L171" s="32">
        <f>IF($AD171="Z",ROUND(SUM($AV$5:$AV$404),2),IF($AD171="D",INDEX($AV$5:$AV$404,$AC171),IF($AD171="T",ROUND(SUMIF($X$5:$X$404,$AF171,$AV$5:$AV$404),2),IF($AD171="B",ROUND(SUMIF($AN$5:$AN$404,$AQ171,$AV$5:$AV$404),2),""))))</f>
        <v/>
      </c>
      <c r="M171" s="32">
        <f>IF($AD171="Z",ROUND(SUM($AJ$5:$AJ$704),2),IF($AD171="B",ROUND(SUMIF($AQ$5:$AQ$704,$AQ171,$AJ$5:$AJ$704),2),IF($AD171&lt;&gt;"T","",$AJ171)))</f>
        <v/>
      </c>
      <c r="N171" s="32">
        <f>IF(OR($AD171="D",$AD171="T",$AD171="B",$AD171="Z"),ROUND(N($K171)-N($L171)-N($M171),2),"")</f>
        <v/>
      </c>
      <c r="O171" s="32">
        <f>IF(OR($AD171="D",$AD171="T",$AD171="B",$AD171="Z"),IF(N($E171)=0,"",ROUND($F171/$E171,2)),"")</f>
        <v/>
      </c>
      <c r="Q171">
        <f>IFERROR(MATCH(167,บันทึกรายเที่ยว!$Z$6:$Z$6005,0),"")</f>
        <v/>
      </c>
      <c r="R171">
        <f>IF($Q171="","",INDEX(บันทึกรายเที่ยว!$V$6:$V$6005,$Q171))</f>
        <v/>
      </c>
      <c r="S171">
        <f>IF($Q171="","",INDEX(บันทึกรายเที่ยว!$F$6:$F$6005,$Q171))</f>
        <v/>
      </c>
      <c r="T171">
        <f>IF($Q171="","",MATCH($S171,บันทึกรายเที่ยว!$F$6:$F$6005,0))</f>
        <v/>
      </c>
      <c r="U171">
        <f>IF($Q171="","",$AL171*10000000+$T171*1000+167)</f>
        <v/>
      </c>
      <c r="V171">
        <f>IFERROR(MATCH(SMALL($U$5:$U$404,167),$U$5:$U$404,0),"")</f>
        <v/>
      </c>
      <c r="W171">
        <f>IF($V171="","",INDEX($Q$5:$Q$404,$V171))</f>
        <v/>
      </c>
      <c r="X171">
        <f>IF($V171="","",INDEX($S$5:$S$404,$V171))</f>
        <v/>
      </c>
      <c r="Y171">
        <f>IF($V171="","",INDEX($R$5:$R$404,$V171))</f>
        <v/>
      </c>
      <c r="Z171">
        <f>IF($V171="",0,IF($X171&lt;&gt;$X170,1,0))</f>
        <v/>
      </c>
      <c r="AA171">
        <f>IF($V171="",0,IF($V172="",1,IF($X172&lt;&gt;$X171,1,0)))</f>
        <v/>
      </c>
      <c r="AB171">
        <f>IF($V171="",99999+167,$AB170+1+$Z170+$AA170+$AO170)</f>
        <v/>
      </c>
      <c r="AC171">
        <f>IFERROR(MATCH(167,$AB$5:$AB$404,1),"")</f>
        <v/>
      </c>
      <c r="AD171">
        <f>IF(167=$AI$1+1,"Z",IF($AC171="","",IF(INDEX($V$5:$V$404,$AC171)="","",IF(167&gt;INDEX($AB$5:$AB$404,$AC171)+INDEX($Z$5:$Z$404,$AC171)+INDEX($AA$5:$AA$404,$AC171)+INDEX($AO$5:$AO$404,$AC171),"",IF(167=INDEX($AB$5:$AB$404,$AC171)+INDEX($Z$5:$Z$404,$AC171),"D",IF(AND(INDEX($Z$5:$Z$404,$AC171)=1,167=INDEX($AB$5:$AB$404,$AC171)),"H",IF(AND(INDEX($AO$5:$AO$404,$AC171)=1,167=INDEX($AB$5:$AB$404,$AC171)+INDEX($Z$5:$Z$404,$AC171)+INDEX($AA$5:$AA$404,$AC171)+INDEX($AO$5:$AO$404,$AC171)),"B","T")))))))</f>
        <v/>
      </c>
      <c r="AF171">
        <f>IF(OR($AD171="",$AD171="Z",$AD171="B"),"",INDEX($X$5:$X$404,$AC171))</f>
        <v/>
      </c>
      <c r="AJ171">
        <f>IF($AD171&lt;&gt;"T",0,ROUND(SUMIF(oil!$B$4:$B$63,$AF171,oil!$AE$4:$AE$63),2))</f>
        <v/>
      </c>
      <c r="AK171">
        <f>IF($S171="","",IFERROR(INDEX(อัตราค่าขนส่ง!$P$5:$P$54,MATCH($S171,อัตราค่าขนส่ง!$O$5:$O$54,0)),INDEX(รายการมาตรฐาน!$G$2:$G$3,1)))</f>
        <v/>
      </c>
      <c r="AL171">
        <f>IF($S171="","",IFERROR(MATCH($AK171,รายการมาตรฐาน!$G$2:$G$3,0),1))</f>
        <v/>
      </c>
      <c r="AM171">
        <f>IF($V171="","",INDEX($AK$5:$AK$404,$V171))</f>
        <v/>
      </c>
      <c r="AN171">
        <f>IF($V171="","",INDEX($AL$5:$AL$404,$V171))</f>
        <v/>
      </c>
      <c r="AO171">
        <f>IF(OR($V171="",$AI$2&lt;=1),0,IF($V172="",1,IF($AN172&lt;&gt;$AN171,1,0)))</f>
        <v/>
      </c>
      <c r="AP171">
        <f>IF($V171="",0,IF($AN171&lt;&gt;$AN170,1,0))</f>
        <v/>
      </c>
      <c r="AQ171">
        <f>IF(OR($AD171="",$AD171="Z"),"",INDEX($AN$5:$AN$404,$AC171))</f>
        <v/>
      </c>
      <c r="AR171">
        <f>IF($Y171="",0,COUNTIF(บันทึกรายเที่ยว!$V$6:$V$6005,$Y171))</f>
        <v/>
      </c>
      <c r="AS171">
        <f>IF($Y171="",0,ROUND(SUMIF(บันทึกรายเที่ยว!$V$6:$V$6005,$Y171,บันทึกรายเที่ยว!$M$6:$M$6005),2))</f>
        <v/>
      </c>
      <c r="AT171">
        <f>IF($Y171="",0,IFERROR(INDEX(อัตราค่าขนส่ง!$G$5:$G$204,MATCH($Y171,อัตราค่าขนส่ง!$M$5:$M$204,0)),0))</f>
        <v/>
      </c>
      <c r="AU171">
        <f>ROUND($AS171*$BD171,2)</f>
        <v/>
      </c>
      <c r="AV171">
        <f>ROUND($AU171*$BF$2/100,2)</f>
        <v/>
      </c>
      <c r="AW171">
        <f>IF($Y171="","",IFERROR(INDEX(อัตราค่าขนส่ง!$F$5:$F$204,MATCH($Y171,อัตราค่าขนส่ง!$M$5:$M$204,0)),""))</f>
        <v/>
      </c>
      <c r="AX171">
        <f>IF($W171="","",INDEX(บันทึกรายเที่ยว!$D$6:$D$6005,$W171))</f>
        <v/>
      </c>
      <c r="AY171">
        <f>IF($W171="","",INDEX(บันทึกรายเที่ยว!$R$6:$R$6005,$W171))</f>
        <v/>
      </c>
      <c r="AZ171">
        <f>IF(AND($AD171="T",$AQ171=1),N($AZ170)+1,N($AZ170))</f>
        <v/>
      </c>
      <c r="BA171">
        <f>IF($W171="","",INDEX(บันทึกรายเที่ยว!$E$6:$E$6005,$W171))</f>
        <v/>
      </c>
      <c r="BC171">
        <f>IF($Y171="",0,IFERROR(INDEX(อัตราค่าขนส่ง!$K$5:$K$204,MATCH($Y171,อัตราค่าขนส่ง!$M$5:$M$204,0)),0))</f>
        <v/>
      </c>
      <c r="BD171">
        <f>IF($Y171="",0,IFERROR(INDEX(อัตราค่าขนส่ง!$L$5:$L$204,MATCH($Y171,อัตราค่าขนส่ง!$M$5:$M$204,0)),0))</f>
        <v/>
      </c>
    </row>
    <row r="172" ht="21" customHeight="1" s="66">
      <c r="A172" s="69">
        <f>IF($AD172="","",IF($AD172="Z","รวมจ่ายทั้งสิ้น",IF($AD172="H",INDEX($X$5:$X$404,$AC172),IF($AD172="T","รวม",IF($AD172="B",IFERROR(INDEX(อัตราค่าขนส่ง!$S$5:$S$14,MATCH(INDEX($AM$5:$AM$404,$AC172),อัตราค่าขนส่ง!$R$5:$R$14,0)),"รวมกลุ่ม "&amp;INDEX($AM$5:$AM$404,$AC172)),INDEX($AY$5:$AY$404,$AC172))))))</f>
        <v/>
      </c>
      <c r="B172" s="31">
        <f>IF($AD172&lt;&gt;"D","",INDEX($AW$5:$AW$404,$AC172))</f>
        <v/>
      </c>
      <c r="C172" s="68">
        <f>IF($AD172&lt;&gt;"D","",INDEX($AX$5:$AX$404,$AC172))</f>
        <v/>
      </c>
      <c r="D172" s="70">
        <f>IF($AD172&lt;&gt;"D","",INDEX($BA$5:$BA$404,$AC172))</f>
        <v/>
      </c>
      <c r="E172" s="31">
        <f>IF($AD172="Z",SUM($AR$5:$AR$404),IF($AD172="D",INDEX($AR$5:$AR$404,$AC172),IF($AD172="T",SUMIF($X$5:$X$404,$AF172,$AR$5:$AR$404),IF($AD172="B",SUMIF($AN$5:$AN$404,$AQ172,$AR$5:$AR$404),""))))</f>
        <v/>
      </c>
      <c r="F172" s="32">
        <f>IF($AD172="Z",ROUND(SUM($AS$5:$AS$404),2),IF($AD172="D",INDEX($AS$5:$AS$404,$AC172),IF($AD172="T",ROUND(SUMIF($X$5:$X$404,$AF172,$AS$5:$AS$404),2),IF($AD172="B",ROUND(SUMIF($AN$5:$AN$404,$AQ172,$AS$5:$AS$404),2),""))))</f>
        <v/>
      </c>
      <c r="G172" s="32">
        <f>IF($AD172&lt;&gt;"D","",INDEX($AT$5:$AT$404,$AC172))</f>
        <v/>
      </c>
      <c r="H172" s="32">
        <f>IF($AD172&lt;&gt;"D","",INDEX($BC$5:$BC$404,$AC172))</f>
        <v/>
      </c>
      <c r="I172" s="32">
        <f>IF($AD172&lt;&gt;"D","",INDEX($BD$5:$BD$404,$AC172))</f>
        <v/>
      </c>
      <c r="J172" s="46">
        <f>IF($AD172&lt;&gt;"D","",IF(N($B172)=0,"",ROUND($I172/$B172,4)))</f>
        <v/>
      </c>
      <c r="K172" s="32">
        <f>IF($AD172="Z",ROUND(SUM($AU$5:$AU$404),2),IF($AD172="D",INDEX($AU$5:$AU$404,$AC172),IF($AD172="T",ROUND(SUMIF($X$5:$X$404,$AF172,$AU$5:$AU$404),2),IF($AD172="B",ROUND(SUMIF($AN$5:$AN$404,$AQ172,$AU$5:$AU$404),2),""))))</f>
        <v/>
      </c>
      <c r="L172" s="32">
        <f>IF($AD172="Z",ROUND(SUM($AV$5:$AV$404),2),IF($AD172="D",INDEX($AV$5:$AV$404,$AC172),IF($AD172="T",ROUND(SUMIF($X$5:$X$404,$AF172,$AV$5:$AV$404),2),IF($AD172="B",ROUND(SUMIF($AN$5:$AN$404,$AQ172,$AV$5:$AV$404),2),""))))</f>
        <v/>
      </c>
      <c r="M172" s="32">
        <f>IF($AD172="Z",ROUND(SUM($AJ$5:$AJ$704),2),IF($AD172="B",ROUND(SUMIF($AQ$5:$AQ$704,$AQ172,$AJ$5:$AJ$704),2),IF($AD172&lt;&gt;"T","",$AJ172)))</f>
        <v/>
      </c>
      <c r="N172" s="32">
        <f>IF(OR($AD172="D",$AD172="T",$AD172="B",$AD172="Z"),ROUND(N($K172)-N($L172)-N($M172),2),"")</f>
        <v/>
      </c>
      <c r="O172" s="32">
        <f>IF(OR($AD172="D",$AD172="T",$AD172="B",$AD172="Z"),IF(N($E172)=0,"",ROUND($F172/$E172,2)),"")</f>
        <v/>
      </c>
      <c r="Q172">
        <f>IFERROR(MATCH(168,บันทึกรายเที่ยว!$Z$6:$Z$6005,0),"")</f>
        <v/>
      </c>
      <c r="R172">
        <f>IF($Q172="","",INDEX(บันทึกรายเที่ยว!$V$6:$V$6005,$Q172))</f>
        <v/>
      </c>
      <c r="S172">
        <f>IF($Q172="","",INDEX(บันทึกรายเที่ยว!$F$6:$F$6005,$Q172))</f>
        <v/>
      </c>
      <c r="T172">
        <f>IF($Q172="","",MATCH($S172,บันทึกรายเที่ยว!$F$6:$F$6005,0))</f>
        <v/>
      </c>
      <c r="U172">
        <f>IF($Q172="","",$AL172*10000000+$T172*1000+168)</f>
        <v/>
      </c>
      <c r="V172">
        <f>IFERROR(MATCH(SMALL($U$5:$U$404,168),$U$5:$U$404,0),"")</f>
        <v/>
      </c>
      <c r="W172">
        <f>IF($V172="","",INDEX($Q$5:$Q$404,$V172))</f>
        <v/>
      </c>
      <c r="X172">
        <f>IF($V172="","",INDEX($S$5:$S$404,$V172))</f>
        <v/>
      </c>
      <c r="Y172">
        <f>IF($V172="","",INDEX($R$5:$R$404,$V172))</f>
        <v/>
      </c>
      <c r="Z172">
        <f>IF($V172="",0,IF($X172&lt;&gt;$X171,1,0))</f>
        <v/>
      </c>
      <c r="AA172">
        <f>IF($V172="",0,IF($V173="",1,IF($X173&lt;&gt;$X172,1,0)))</f>
        <v/>
      </c>
      <c r="AB172">
        <f>IF($V172="",99999+168,$AB171+1+$Z171+$AA171+$AO171)</f>
        <v/>
      </c>
      <c r="AC172">
        <f>IFERROR(MATCH(168,$AB$5:$AB$404,1),"")</f>
        <v/>
      </c>
      <c r="AD172">
        <f>IF(168=$AI$1+1,"Z",IF($AC172="","",IF(INDEX($V$5:$V$404,$AC172)="","",IF(168&gt;INDEX($AB$5:$AB$404,$AC172)+INDEX($Z$5:$Z$404,$AC172)+INDEX($AA$5:$AA$404,$AC172)+INDEX($AO$5:$AO$404,$AC172),"",IF(168=INDEX($AB$5:$AB$404,$AC172)+INDEX($Z$5:$Z$404,$AC172),"D",IF(AND(INDEX($Z$5:$Z$404,$AC172)=1,168=INDEX($AB$5:$AB$404,$AC172)),"H",IF(AND(INDEX($AO$5:$AO$404,$AC172)=1,168=INDEX($AB$5:$AB$404,$AC172)+INDEX($Z$5:$Z$404,$AC172)+INDEX($AA$5:$AA$404,$AC172)+INDEX($AO$5:$AO$404,$AC172)),"B","T")))))))</f>
        <v/>
      </c>
      <c r="AF172">
        <f>IF(OR($AD172="",$AD172="Z",$AD172="B"),"",INDEX($X$5:$X$404,$AC172))</f>
        <v/>
      </c>
      <c r="AJ172">
        <f>IF($AD172&lt;&gt;"T",0,ROUND(SUMIF(oil!$B$4:$B$63,$AF172,oil!$AE$4:$AE$63),2))</f>
        <v/>
      </c>
      <c r="AK172">
        <f>IF($S172="","",IFERROR(INDEX(อัตราค่าขนส่ง!$P$5:$P$54,MATCH($S172,อัตราค่าขนส่ง!$O$5:$O$54,0)),INDEX(รายการมาตรฐาน!$G$2:$G$3,1)))</f>
        <v/>
      </c>
      <c r="AL172">
        <f>IF($S172="","",IFERROR(MATCH($AK172,รายการมาตรฐาน!$G$2:$G$3,0),1))</f>
        <v/>
      </c>
      <c r="AM172">
        <f>IF($V172="","",INDEX($AK$5:$AK$404,$V172))</f>
        <v/>
      </c>
      <c r="AN172">
        <f>IF($V172="","",INDEX($AL$5:$AL$404,$V172))</f>
        <v/>
      </c>
      <c r="AO172">
        <f>IF(OR($V172="",$AI$2&lt;=1),0,IF($V173="",1,IF($AN173&lt;&gt;$AN172,1,0)))</f>
        <v/>
      </c>
      <c r="AP172">
        <f>IF($V172="",0,IF($AN172&lt;&gt;$AN171,1,0))</f>
        <v/>
      </c>
      <c r="AQ172">
        <f>IF(OR($AD172="",$AD172="Z"),"",INDEX($AN$5:$AN$404,$AC172))</f>
        <v/>
      </c>
      <c r="AR172">
        <f>IF($Y172="",0,COUNTIF(บันทึกรายเที่ยว!$V$6:$V$6005,$Y172))</f>
        <v/>
      </c>
      <c r="AS172">
        <f>IF($Y172="",0,ROUND(SUMIF(บันทึกรายเที่ยว!$V$6:$V$6005,$Y172,บันทึกรายเที่ยว!$M$6:$M$6005),2))</f>
        <v/>
      </c>
      <c r="AT172">
        <f>IF($Y172="",0,IFERROR(INDEX(อัตราค่าขนส่ง!$G$5:$G$204,MATCH($Y172,อัตราค่าขนส่ง!$M$5:$M$204,0)),0))</f>
        <v/>
      </c>
      <c r="AU172">
        <f>ROUND($AS172*$BD172,2)</f>
        <v/>
      </c>
      <c r="AV172">
        <f>ROUND($AU172*$BF$2/100,2)</f>
        <v/>
      </c>
      <c r="AW172">
        <f>IF($Y172="","",IFERROR(INDEX(อัตราค่าขนส่ง!$F$5:$F$204,MATCH($Y172,อัตราค่าขนส่ง!$M$5:$M$204,0)),""))</f>
        <v/>
      </c>
      <c r="AX172">
        <f>IF($W172="","",INDEX(บันทึกรายเที่ยว!$D$6:$D$6005,$W172))</f>
        <v/>
      </c>
      <c r="AY172">
        <f>IF($W172="","",INDEX(บันทึกรายเที่ยว!$R$6:$R$6005,$W172))</f>
        <v/>
      </c>
      <c r="AZ172">
        <f>IF(AND($AD172="T",$AQ172=1),N($AZ171)+1,N($AZ171))</f>
        <v/>
      </c>
      <c r="BA172">
        <f>IF($W172="","",INDEX(บันทึกรายเที่ยว!$E$6:$E$6005,$W172))</f>
        <v/>
      </c>
      <c r="BC172">
        <f>IF($Y172="",0,IFERROR(INDEX(อัตราค่าขนส่ง!$K$5:$K$204,MATCH($Y172,อัตราค่าขนส่ง!$M$5:$M$204,0)),0))</f>
        <v/>
      </c>
      <c r="BD172">
        <f>IF($Y172="",0,IFERROR(INDEX(อัตราค่าขนส่ง!$L$5:$L$204,MATCH($Y172,อัตราค่าขนส่ง!$M$5:$M$204,0)),0))</f>
        <v/>
      </c>
    </row>
    <row r="173" ht="21" customHeight="1" s="66">
      <c r="A173" s="69">
        <f>IF($AD173="","",IF($AD173="Z","รวมจ่ายทั้งสิ้น",IF($AD173="H",INDEX($X$5:$X$404,$AC173),IF($AD173="T","รวม",IF($AD173="B",IFERROR(INDEX(อัตราค่าขนส่ง!$S$5:$S$14,MATCH(INDEX($AM$5:$AM$404,$AC173),อัตราค่าขนส่ง!$R$5:$R$14,0)),"รวมกลุ่ม "&amp;INDEX($AM$5:$AM$404,$AC173)),INDEX($AY$5:$AY$404,$AC173))))))</f>
        <v/>
      </c>
      <c r="B173" s="31">
        <f>IF($AD173&lt;&gt;"D","",INDEX($AW$5:$AW$404,$AC173))</f>
        <v/>
      </c>
      <c r="C173" s="68">
        <f>IF($AD173&lt;&gt;"D","",INDEX($AX$5:$AX$404,$AC173))</f>
        <v/>
      </c>
      <c r="D173" s="70">
        <f>IF($AD173&lt;&gt;"D","",INDEX($BA$5:$BA$404,$AC173))</f>
        <v/>
      </c>
      <c r="E173" s="31">
        <f>IF($AD173="Z",SUM($AR$5:$AR$404),IF($AD173="D",INDEX($AR$5:$AR$404,$AC173),IF($AD173="T",SUMIF($X$5:$X$404,$AF173,$AR$5:$AR$404),IF($AD173="B",SUMIF($AN$5:$AN$404,$AQ173,$AR$5:$AR$404),""))))</f>
        <v/>
      </c>
      <c r="F173" s="32">
        <f>IF($AD173="Z",ROUND(SUM($AS$5:$AS$404),2),IF($AD173="D",INDEX($AS$5:$AS$404,$AC173),IF($AD173="T",ROUND(SUMIF($X$5:$X$404,$AF173,$AS$5:$AS$404),2),IF($AD173="B",ROUND(SUMIF($AN$5:$AN$404,$AQ173,$AS$5:$AS$404),2),""))))</f>
        <v/>
      </c>
      <c r="G173" s="32">
        <f>IF($AD173&lt;&gt;"D","",INDEX($AT$5:$AT$404,$AC173))</f>
        <v/>
      </c>
      <c r="H173" s="32">
        <f>IF($AD173&lt;&gt;"D","",INDEX($BC$5:$BC$404,$AC173))</f>
        <v/>
      </c>
      <c r="I173" s="32">
        <f>IF($AD173&lt;&gt;"D","",INDEX($BD$5:$BD$404,$AC173))</f>
        <v/>
      </c>
      <c r="J173" s="46">
        <f>IF($AD173&lt;&gt;"D","",IF(N($B173)=0,"",ROUND($I173/$B173,4)))</f>
        <v/>
      </c>
      <c r="K173" s="32">
        <f>IF($AD173="Z",ROUND(SUM($AU$5:$AU$404),2),IF($AD173="D",INDEX($AU$5:$AU$404,$AC173),IF($AD173="T",ROUND(SUMIF($X$5:$X$404,$AF173,$AU$5:$AU$404),2),IF($AD173="B",ROUND(SUMIF($AN$5:$AN$404,$AQ173,$AU$5:$AU$404),2),""))))</f>
        <v/>
      </c>
      <c r="L173" s="32">
        <f>IF($AD173="Z",ROUND(SUM($AV$5:$AV$404),2),IF($AD173="D",INDEX($AV$5:$AV$404,$AC173),IF($AD173="T",ROUND(SUMIF($X$5:$X$404,$AF173,$AV$5:$AV$404),2),IF($AD173="B",ROUND(SUMIF($AN$5:$AN$404,$AQ173,$AV$5:$AV$404),2),""))))</f>
        <v/>
      </c>
      <c r="M173" s="32">
        <f>IF($AD173="Z",ROUND(SUM($AJ$5:$AJ$704),2),IF($AD173="B",ROUND(SUMIF($AQ$5:$AQ$704,$AQ173,$AJ$5:$AJ$704),2),IF($AD173&lt;&gt;"T","",$AJ173)))</f>
        <v/>
      </c>
      <c r="N173" s="32">
        <f>IF(OR($AD173="D",$AD173="T",$AD173="B",$AD173="Z"),ROUND(N($K173)-N($L173)-N($M173),2),"")</f>
        <v/>
      </c>
      <c r="O173" s="32">
        <f>IF(OR($AD173="D",$AD173="T",$AD173="B",$AD173="Z"),IF(N($E173)=0,"",ROUND($F173/$E173,2)),"")</f>
        <v/>
      </c>
      <c r="Q173">
        <f>IFERROR(MATCH(169,บันทึกรายเที่ยว!$Z$6:$Z$6005,0),"")</f>
        <v/>
      </c>
      <c r="R173">
        <f>IF($Q173="","",INDEX(บันทึกรายเที่ยว!$V$6:$V$6005,$Q173))</f>
        <v/>
      </c>
      <c r="S173">
        <f>IF($Q173="","",INDEX(บันทึกรายเที่ยว!$F$6:$F$6005,$Q173))</f>
        <v/>
      </c>
      <c r="T173">
        <f>IF($Q173="","",MATCH($S173,บันทึกรายเที่ยว!$F$6:$F$6005,0))</f>
        <v/>
      </c>
      <c r="U173">
        <f>IF($Q173="","",$AL173*10000000+$T173*1000+169)</f>
        <v/>
      </c>
      <c r="V173">
        <f>IFERROR(MATCH(SMALL($U$5:$U$404,169),$U$5:$U$404,0),"")</f>
        <v/>
      </c>
      <c r="W173">
        <f>IF($V173="","",INDEX($Q$5:$Q$404,$V173))</f>
        <v/>
      </c>
      <c r="X173">
        <f>IF($V173="","",INDEX($S$5:$S$404,$V173))</f>
        <v/>
      </c>
      <c r="Y173">
        <f>IF($V173="","",INDEX($R$5:$R$404,$V173))</f>
        <v/>
      </c>
      <c r="Z173">
        <f>IF($V173="",0,IF($X173&lt;&gt;$X172,1,0))</f>
        <v/>
      </c>
      <c r="AA173">
        <f>IF($V173="",0,IF($V174="",1,IF($X174&lt;&gt;$X173,1,0)))</f>
        <v/>
      </c>
      <c r="AB173">
        <f>IF($V173="",99999+169,$AB172+1+$Z172+$AA172+$AO172)</f>
        <v/>
      </c>
      <c r="AC173">
        <f>IFERROR(MATCH(169,$AB$5:$AB$404,1),"")</f>
        <v/>
      </c>
      <c r="AD173">
        <f>IF(169=$AI$1+1,"Z",IF($AC173="","",IF(INDEX($V$5:$V$404,$AC173)="","",IF(169&gt;INDEX($AB$5:$AB$404,$AC173)+INDEX($Z$5:$Z$404,$AC173)+INDEX($AA$5:$AA$404,$AC173)+INDEX($AO$5:$AO$404,$AC173),"",IF(169=INDEX($AB$5:$AB$404,$AC173)+INDEX($Z$5:$Z$404,$AC173),"D",IF(AND(INDEX($Z$5:$Z$404,$AC173)=1,169=INDEX($AB$5:$AB$404,$AC173)),"H",IF(AND(INDEX($AO$5:$AO$404,$AC173)=1,169=INDEX($AB$5:$AB$404,$AC173)+INDEX($Z$5:$Z$404,$AC173)+INDEX($AA$5:$AA$404,$AC173)+INDEX($AO$5:$AO$404,$AC173)),"B","T")))))))</f>
        <v/>
      </c>
      <c r="AF173">
        <f>IF(OR($AD173="",$AD173="Z",$AD173="B"),"",INDEX($X$5:$X$404,$AC173))</f>
        <v/>
      </c>
      <c r="AJ173">
        <f>IF($AD173&lt;&gt;"T",0,ROUND(SUMIF(oil!$B$4:$B$63,$AF173,oil!$AE$4:$AE$63),2))</f>
        <v/>
      </c>
      <c r="AK173">
        <f>IF($S173="","",IFERROR(INDEX(อัตราค่าขนส่ง!$P$5:$P$54,MATCH($S173,อัตราค่าขนส่ง!$O$5:$O$54,0)),INDEX(รายการมาตรฐาน!$G$2:$G$3,1)))</f>
        <v/>
      </c>
      <c r="AL173">
        <f>IF($S173="","",IFERROR(MATCH($AK173,รายการมาตรฐาน!$G$2:$G$3,0),1))</f>
        <v/>
      </c>
      <c r="AM173">
        <f>IF($V173="","",INDEX($AK$5:$AK$404,$V173))</f>
        <v/>
      </c>
      <c r="AN173">
        <f>IF($V173="","",INDEX($AL$5:$AL$404,$V173))</f>
        <v/>
      </c>
      <c r="AO173">
        <f>IF(OR($V173="",$AI$2&lt;=1),0,IF($V174="",1,IF($AN174&lt;&gt;$AN173,1,0)))</f>
        <v/>
      </c>
      <c r="AP173">
        <f>IF($V173="",0,IF($AN173&lt;&gt;$AN172,1,0))</f>
        <v/>
      </c>
      <c r="AQ173">
        <f>IF(OR($AD173="",$AD173="Z"),"",INDEX($AN$5:$AN$404,$AC173))</f>
        <v/>
      </c>
      <c r="AR173">
        <f>IF($Y173="",0,COUNTIF(บันทึกรายเที่ยว!$V$6:$V$6005,$Y173))</f>
        <v/>
      </c>
      <c r="AS173">
        <f>IF($Y173="",0,ROUND(SUMIF(บันทึกรายเที่ยว!$V$6:$V$6005,$Y173,บันทึกรายเที่ยว!$M$6:$M$6005),2))</f>
        <v/>
      </c>
      <c r="AT173">
        <f>IF($Y173="",0,IFERROR(INDEX(อัตราค่าขนส่ง!$G$5:$G$204,MATCH($Y173,อัตราค่าขนส่ง!$M$5:$M$204,0)),0))</f>
        <v/>
      </c>
      <c r="AU173">
        <f>ROUND($AS173*$BD173,2)</f>
        <v/>
      </c>
      <c r="AV173">
        <f>ROUND($AU173*$BF$2/100,2)</f>
        <v/>
      </c>
      <c r="AW173">
        <f>IF($Y173="","",IFERROR(INDEX(อัตราค่าขนส่ง!$F$5:$F$204,MATCH($Y173,อัตราค่าขนส่ง!$M$5:$M$204,0)),""))</f>
        <v/>
      </c>
      <c r="AX173">
        <f>IF($W173="","",INDEX(บันทึกรายเที่ยว!$D$6:$D$6005,$W173))</f>
        <v/>
      </c>
      <c r="AY173">
        <f>IF($W173="","",INDEX(บันทึกรายเที่ยว!$R$6:$R$6005,$W173))</f>
        <v/>
      </c>
      <c r="AZ173">
        <f>IF(AND($AD173="T",$AQ173=1),N($AZ172)+1,N($AZ172))</f>
        <v/>
      </c>
      <c r="BA173">
        <f>IF($W173="","",INDEX(บันทึกรายเที่ยว!$E$6:$E$6005,$W173))</f>
        <v/>
      </c>
      <c r="BC173">
        <f>IF($Y173="",0,IFERROR(INDEX(อัตราค่าขนส่ง!$K$5:$K$204,MATCH($Y173,อัตราค่าขนส่ง!$M$5:$M$204,0)),0))</f>
        <v/>
      </c>
      <c r="BD173">
        <f>IF($Y173="",0,IFERROR(INDEX(อัตราค่าขนส่ง!$L$5:$L$204,MATCH($Y173,อัตราค่าขนส่ง!$M$5:$M$204,0)),0))</f>
        <v/>
      </c>
    </row>
    <row r="174" ht="21" customHeight="1" s="66">
      <c r="A174" s="69">
        <f>IF($AD174="","",IF($AD174="Z","รวมจ่ายทั้งสิ้น",IF($AD174="H",INDEX($X$5:$X$404,$AC174),IF($AD174="T","รวม",IF($AD174="B",IFERROR(INDEX(อัตราค่าขนส่ง!$S$5:$S$14,MATCH(INDEX($AM$5:$AM$404,$AC174),อัตราค่าขนส่ง!$R$5:$R$14,0)),"รวมกลุ่ม "&amp;INDEX($AM$5:$AM$404,$AC174)),INDEX($AY$5:$AY$404,$AC174))))))</f>
        <v/>
      </c>
      <c r="B174" s="31">
        <f>IF($AD174&lt;&gt;"D","",INDEX($AW$5:$AW$404,$AC174))</f>
        <v/>
      </c>
      <c r="C174" s="68">
        <f>IF($AD174&lt;&gt;"D","",INDEX($AX$5:$AX$404,$AC174))</f>
        <v/>
      </c>
      <c r="D174" s="70">
        <f>IF($AD174&lt;&gt;"D","",INDEX($BA$5:$BA$404,$AC174))</f>
        <v/>
      </c>
      <c r="E174" s="31">
        <f>IF($AD174="Z",SUM($AR$5:$AR$404),IF($AD174="D",INDEX($AR$5:$AR$404,$AC174),IF($AD174="T",SUMIF($X$5:$X$404,$AF174,$AR$5:$AR$404),IF($AD174="B",SUMIF($AN$5:$AN$404,$AQ174,$AR$5:$AR$404),""))))</f>
        <v/>
      </c>
      <c r="F174" s="32">
        <f>IF($AD174="Z",ROUND(SUM($AS$5:$AS$404),2),IF($AD174="D",INDEX($AS$5:$AS$404,$AC174),IF($AD174="T",ROUND(SUMIF($X$5:$X$404,$AF174,$AS$5:$AS$404),2),IF($AD174="B",ROUND(SUMIF($AN$5:$AN$404,$AQ174,$AS$5:$AS$404),2),""))))</f>
        <v/>
      </c>
      <c r="G174" s="32">
        <f>IF($AD174&lt;&gt;"D","",INDEX($AT$5:$AT$404,$AC174))</f>
        <v/>
      </c>
      <c r="H174" s="32">
        <f>IF($AD174&lt;&gt;"D","",INDEX($BC$5:$BC$404,$AC174))</f>
        <v/>
      </c>
      <c r="I174" s="32">
        <f>IF($AD174&lt;&gt;"D","",INDEX($BD$5:$BD$404,$AC174))</f>
        <v/>
      </c>
      <c r="J174" s="46">
        <f>IF($AD174&lt;&gt;"D","",IF(N($B174)=0,"",ROUND($I174/$B174,4)))</f>
        <v/>
      </c>
      <c r="K174" s="32">
        <f>IF($AD174="Z",ROUND(SUM($AU$5:$AU$404),2),IF($AD174="D",INDEX($AU$5:$AU$404,$AC174),IF($AD174="T",ROUND(SUMIF($X$5:$X$404,$AF174,$AU$5:$AU$404),2),IF($AD174="B",ROUND(SUMIF($AN$5:$AN$404,$AQ174,$AU$5:$AU$404),2),""))))</f>
        <v/>
      </c>
      <c r="L174" s="32">
        <f>IF($AD174="Z",ROUND(SUM($AV$5:$AV$404),2),IF($AD174="D",INDEX($AV$5:$AV$404,$AC174),IF($AD174="T",ROUND(SUMIF($X$5:$X$404,$AF174,$AV$5:$AV$404),2),IF($AD174="B",ROUND(SUMIF($AN$5:$AN$404,$AQ174,$AV$5:$AV$404),2),""))))</f>
        <v/>
      </c>
      <c r="M174" s="32">
        <f>IF($AD174="Z",ROUND(SUM($AJ$5:$AJ$704),2),IF($AD174="B",ROUND(SUMIF($AQ$5:$AQ$704,$AQ174,$AJ$5:$AJ$704),2),IF($AD174&lt;&gt;"T","",$AJ174)))</f>
        <v/>
      </c>
      <c r="N174" s="32">
        <f>IF(OR($AD174="D",$AD174="T",$AD174="B",$AD174="Z"),ROUND(N($K174)-N($L174)-N($M174),2),"")</f>
        <v/>
      </c>
      <c r="O174" s="32">
        <f>IF(OR($AD174="D",$AD174="T",$AD174="B",$AD174="Z"),IF(N($E174)=0,"",ROUND($F174/$E174,2)),"")</f>
        <v/>
      </c>
      <c r="Q174">
        <f>IFERROR(MATCH(170,บันทึกรายเที่ยว!$Z$6:$Z$6005,0),"")</f>
        <v/>
      </c>
      <c r="R174">
        <f>IF($Q174="","",INDEX(บันทึกรายเที่ยว!$V$6:$V$6005,$Q174))</f>
        <v/>
      </c>
      <c r="S174">
        <f>IF($Q174="","",INDEX(บันทึกรายเที่ยว!$F$6:$F$6005,$Q174))</f>
        <v/>
      </c>
      <c r="T174">
        <f>IF($Q174="","",MATCH($S174,บันทึกรายเที่ยว!$F$6:$F$6005,0))</f>
        <v/>
      </c>
      <c r="U174">
        <f>IF($Q174="","",$AL174*10000000+$T174*1000+170)</f>
        <v/>
      </c>
      <c r="V174">
        <f>IFERROR(MATCH(SMALL($U$5:$U$404,170),$U$5:$U$404,0),"")</f>
        <v/>
      </c>
      <c r="W174">
        <f>IF($V174="","",INDEX($Q$5:$Q$404,$V174))</f>
        <v/>
      </c>
      <c r="X174">
        <f>IF($V174="","",INDEX($S$5:$S$404,$V174))</f>
        <v/>
      </c>
      <c r="Y174">
        <f>IF($V174="","",INDEX($R$5:$R$404,$V174))</f>
        <v/>
      </c>
      <c r="Z174">
        <f>IF($V174="",0,IF($X174&lt;&gt;$X173,1,0))</f>
        <v/>
      </c>
      <c r="AA174">
        <f>IF($V174="",0,IF($V175="",1,IF($X175&lt;&gt;$X174,1,0)))</f>
        <v/>
      </c>
      <c r="AB174">
        <f>IF($V174="",99999+170,$AB173+1+$Z173+$AA173+$AO173)</f>
        <v/>
      </c>
      <c r="AC174">
        <f>IFERROR(MATCH(170,$AB$5:$AB$404,1),"")</f>
        <v/>
      </c>
      <c r="AD174">
        <f>IF(170=$AI$1+1,"Z",IF($AC174="","",IF(INDEX($V$5:$V$404,$AC174)="","",IF(170&gt;INDEX($AB$5:$AB$404,$AC174)+INDEX($Z$5:$Z$404,$AC174)+INDEX($AA$5:$AA$404,$AC174)+INDEX($AO$5:$AO$404,$AC174),"",IF(170=INDEX($AB$5:$AB$404,$AC174)+INDEX($Z$5:$Z$404,$AC174),"D",IF(AND(INDEX($Z$5:$Z$404,$AC174)=1,170=INDEX($AB$5:$AB$404,$AC174)),"H",IF(AND(INDEX($AO$5:$AO$404,$AC174)=1,170=INDEX($AB$5:$AB$404,$AC174)+INDEX($Z$5:$Z$404,$AC174)+INDEX($AA$5:$AA$404,$AC174)+INDEX($AO$5:$AO$404,$AC174)),"B","T")))))))</f>
        <v/>
      </c>
      <c r="AF174">
        <f>IF(OR($AD174="",$AD174="Z",$AD174="B"),"",INDEX($X$5:$X$404,$AC174))</f>
        <v/>
      </c>
      <c r="AJ174">
        <f>IF($AD174&lt;&gt;"T",0,ROUND(SUMIF(oil!$B$4:$B$63,$AF174,oil!$AE$4:$AE$63),2))</f>
        <v/>
      </c>
      <c r="AK174">
        <f>IF($S174="","",IFERROR(INDEX(อัตราค่าขนส่ง!$P$5:$P$54,MATCH($S174,อัตราค่าขนส่ง!$O$5:$O$54,0)),INDEX(รายการมาตรฐาน!$G$2:$G$3,1)))</f>
        <v/>
      </c>
      <c r="AL174">
        <f>IF($S174="","",IFERROR(MATCH($AK174,รายการมาตรฐาน!$G$2:$G$3,0),1))</f>
        <v/>
      </c>
      <c r="AM174">
        <f>IF($V174="","",INDEX($AK$5:$AK$404,$V174))</f>
        <v/>
      </c>
      <c r="AN174">
        <f>IF($V174="","",INDEX($AL$5:$AL$404,$V174))</f>
        <v/>
      </c>
      <c r="AO174">
        <f>IF(OR($V174="",$AI$2&lt;=1),0,IF($V175="",1,IF($AN175&lt;&gt;$AN174,1,0)))</f>
        <v/>
      </c>
      <c r="AP174">
        <f>IF($V174="",0,IF($AN174&lt;&gt;$AN173,1,0))</f>
        <v/>
      </c>
      <c r="AQ174">
        <f>IF(OR($AD174="",$AD174="Z"),"",INDEX($AN$5:$AN$404,$AC174))</f>
        <v/>
      </c>
      <c r="AR174">
        <f>IF($Y174="",0,COUNTIF(บันทึกรายเที่ยว!$V$6:$V$6005,$Y174))</f>
        <v/>
      </c>
      <c r="AS174">
        <f>IF($Y174="",0,ROUND(SUMIF(บันทึกรายเที่ยว!$V$6:$V$6005,$Y174,บันทึกรายเที่ยว!$M$6:$M$6005),2))</f>
        <v/>
      </c>
      <c r="AT174">
        <f>IF($Y174="",0,IFERROR(INDEX(อัตราค่าขนส่ง!$G$5:$G$204,MATCH($Y174,อัตราค่าขนส่ง!$M$5:$M$204,0)),0))</f>
        <v/>
      </c>
      <c r="AU174">
        <f>ROUND($AS174*$BD174,2)</f>
        <v/>
      </c>
      <c r="AV174">
        <f>ROUND($AU174*$BF$2/100,2)</f>
        <v/>
      </c>
      <c r="AW174">
        <f>IF($Y174="","",IFERROR(INDEX(อัตราค่าขนส่ง!$F$5:$F$204,MATCH($Y174,อัตราค่าขนส่ง!$M$5:$M$204,0)),""))</f>
        <v/>
      </c>
      <c r="AX174">
        <f>IF($W174="","",INDEX(บันทึกรายเที่ยว!$D$6:$D$6005,$W174))</f>
        <v/>
      </c>
      <c r="AY174">
        <f>IF($W174="","",INDEX(บันทึกรายเที่ยว!$R$6:$R$6005,$W174))</f>
        <v/>
      </c>
      <c r="AZ174">
        <f>IF(AND($AD174="T",$AQ174=1),N($AZ173)+1,N($AZ173))</f>
        <v/>
      </c>
      <c r="BA174">
        <f>IF($W174="","",INDEX(บันทึกรายเที่ยว!$E$6:$E$6005,$W174))</f>
        <v/>
      </c>
      <c r="BC174">
        <f>IF($Y174="",0,IFERROR(INDEX(อัตราค่าขนส่ง!$K$5:$K$204,MATCH($Y174,อัตราค่าขนส่ง!$M$5:$M$204,0)),0))</f>
        <v/>
      </c>
      <c r="BD174">
        <f>IF($Y174="",0,IFERROR(INDEX(อัตราค่าขนส่ง!$L$5:$L$204,MATCH($Y174,อัตราค่าขนส่ง!$M$5:$M$204,0)),0))</f>
        <v/>
      </c>
    </row>
    <row r="175" ht="21" customHeight="1" s="66">
      <c r="A175" s="69">
        <f>IF($AD175="","",IF($AD175="Z","รวมจ่ายทั้งสิ้น",IF($AD175="H",INDEX($X$5:$X$404,$AC175),IF($AD175="T","รวม",IF($AD175="B",IFERROR(INDEX(อัตราค่าขนส่ง!$S$5:$S$14,MATCH(INDEX($AM$5:$AM$404,$AC175),อัตราค่าขนส่ง!$R$5:$R$14,0)),"รวมกลุ่ม "&amp;INDEX($AM$5:$AM$404,$AC175)),INDEX($AY$5:$AY$404,$AC175))))))</f>
        <v/>
      </c>
      <c r="B175" s="31">
        <f>IF($AD175&lt;&gt;"D","",INDEX($AW$5:$AW$404,$AC175))</f>
        <v/>
      </c>
      <c r="C175" s="68">
        <f>IF($AD175&lt;&gt;"D","",INDEX($AX$5:$AX$404,$AC175))</f>
        <v/>
      </c>
      <c r="D175" s="70">
        <f>IF($AD175&lt;&gt;"D","",INDEX($BA$5:$BA$404,$AC175))</f>
        <v/>
      </c>
      <c r="E175" s="31">
        <f>IF($AD175="Z",SUM($AR$5:$AR$404),IF($AD175="D",INDEX($AR$5:$AR$404,$AC175),IF($AD175="T",SUMIF($X$5:$X$404,$AF175,$AR$5:$AR$404),IF($AD175="B",SUMIF($AN$5:$AN$404,$AQ175,$AR$5:$AR$404),""))))</f>
        <v/>
      </c>
      <c r="F175" s="32">
        <f>IF($AD175="Z",ROUND(SUM($AS$5:$AS$404),2),IF($AD175="D",INDEX($AS$5:$AS$404,$AC175),IF($AD175="T",ROUND(SUMIF($X$5:$X$404,$AF175,$AS$5:$AS$404),2),IF($AD175="B",ROUND(SUMIF($AN$5:$AN$404,$AQ175,$AS$5:$AS$404),2),""))))</f>
        <v/>
      </c>
      <c r="G175" s="32">
        <f>IF($AD175&lt;&gt;"D","",INDEX($AT$5:$AT$404,$AC175))</f>
        <v/>
      </c>
      <c r="H175" s="32">
        <f>IF($AD175&lt;&gt;"D","",INDEX($BC$5:$BC$404,$AC175))</f>
        <v/>
      </c>
      <c r="I175" s="32">
        <f>IF($AD175&lt;&gt;"D","",INDEX($BD$5:$BD$404,$AC175))</f>
        <v/>
      </c>
      <c r="J175" s="46">
        <f>IF($AD175&lt;&gt;"D","",IF(N($B175)=0,"",ROUND($I175/$B175,4)))</f>
        <v/>
      </c>
      <c r="K175" s="32">
        <f>IF($AD175="Z",ROUND(SUM($AU$5:$AU$404),2),IF($AD175="D",INDEX($AU$5:$AU$404,$AC175),IF($AD175="T",ROUND(SUMIF($X$5:$X$404,$AF175,$AU$5:$AU$404),2),IF($AD175="B",ROUND(SUMIF($AN$5:$AN$404,$AQ175,$AU$5:$AU$404),2),""))))</f>
        <v/>
      </c>
      <c r="L175" s="32">
        <f>IF($AD175="Z",ROUND(SUM($AV$5:$AV$404),2),IF($AD175="D",INDEX($AV$5:$AV$404,$AC175),IF($AD175="T",ROUND(SUMIF($X$5:$X$404,$AF175,$AV$5:$AV$404),2),IF($AD175="B",ROUND(SUMIF($AN$5:$AN$404,$AQ175,$AV$5:$AV$404),2),""))))</f>
        <v/>
      </c>
      <c r="M175" s="32">
        <f>IF($AD175="Z",ROUND(SUM($AJ$5:$AJ$704),2),IF($AD175="B",ROUND(SUMIF($AQ$5:$AQ$704,$AQ175,$AJ$5:$AJ$704),2),IF($AD175&lt;&gt;"T","",$AJ175)))</f>
        <v/>
      </c>
      <c r="N175" s="32">
        <f>IF(OR($AD175="D",$AD175="T",$AD175="B",$AD175="Z"),ROUND(N($K175)-N($L175)-N($M175),2),"")</f>
        <v/>
      </c>
      <c r="O175" s="32">
        <f>IF(OR($AD175="D",$AD175="T",$AD175="B",$AD175="Z"),IF(N($E175)=0,"",ROUND($F175/$E175,2)),"")</f>
        <v/>
      </c>
      <c r="Q175">
        <f>IFERROR(MATCH(171,บันทึกรายเที่ยว!$Z$6:$Z$6005,0),"")</f>
        <v/>
      </c>
      <c r="R175">
        <f>IF($Q175="","",INDEX(บันทึกรายเที่ยว!$V$6:$V$6005,$Q175))</f>
        <v/>
      </c>
      <c r="S175">
        <f>IF($Q175="","",INDEX(บันทึกรายเที่ยว!$F$6:$F$6005,$Q175))</f>
        <v/>
      </c>
      <c r="T175">
        <f>IF($Q175="","",MATCH($S175,บันทึกรายเที่ยว!$F$6:$F$6005,0))</f>
        <v/>
      </c>
      <c r="U175">
        <f>IF($Q175="","",$AL175*10000000+$T175*1000+171)</f>
        <v/>
      </c>
      <c r="V175">
        <f>IFERROR(MATCH(SMALL($U$5:$U$404,171),$U$5:$U$404,0),"")</f>
        <v/>
      </c>
      <c r="W175">
        <f>IF($V175="","",INDEX($Q$5:$Q$404,$V175))</f>
        <v/>
      </c>
      <c r="X175">
        <f>IF($V175="","",INDEX($S$5:$S$404,$V175))</f>
        <v/>
      </c>
      <c r="Y175">
        <f>IF($V175="","",INDEX($R$5:$R$404,$V175))</f>
        <v/>
      </c>
      <c r="Z175">
        <f>IF($V175="",0,IF($X175&lt;&gt;$X174,1,0))</f>
        <v/>
      </c>
      <c r="AA175">
        <f>IF($V175="",0,IF($V176="",1,IF($X176&lt;&gt;$X175,1,0)))</f>
        <v/>
      </c>
      <c r="AB175">
        <f>IF($V175="",99999+171,$AB174+1+$Z174+$AA174+$AO174)</f>
        <v/>
      </c>
      <c r="AC175">
        <f>IFERROR(MATCH(171,$AB$5:$AB$404,1),"")</f>
        <v/>
      </c>
      <c r="AD175">
        <f>IF(171=$AI$1+1,"Z",IF($AC175="","",IF(INDEX($V$5:$V$404,$AC175)="","",IF(171&gt;INDEX($AB$5:$AB$404,$AC175)+INDEX($Z$5:$Z$404,$AC175)+INDEX($AA$5:$AA$404,$AC175)+INDEX($AO$5:$AO$404,$AC175),"",IF(171=INDEX($AB$5:$AB$404,$AC175)+INDEX($Z$5:$Z$404,$AC175),"D",IF(AND(INDEX($Z$5:$Z$404,$AC175)=1,171=INDEX($AB$5:$AB$404,$AC175)),"H",IF(AND(INDEX($AO$5:$AO$404,$AC175)=1,171=INDEX($AB$5:$AB$404,$AC175)+INDEX($Z$5:$Z$404,$AC175)+INDEX($AA$5:$AA$404,$AC175)+INDEX($AO$5:$AO$404,$AC175)),"B","T")))))))</f>
        <v/>
      </c>
      <c r="AF175">
        <f>IF(OR($AD175="",$AD175="Z",$AD175="B"),"",INDEX($X$5:$X$404,$AC175))</f>
        <v/>
      </c>
      <c r="AJ175">
        <f>IF($AD175&lt;&gt;"T",0,ROUND(SUMIF(oil!$B$4:$B$63,$AF175,oil!$AE$4:$AE$63),2))</f>
        <v/>
      </c>
      <c r="AK175">
        <f>IF($S175="","",IFERROR(INDEX(อัตราค่าขนส่ง!$P$5:$P$54,MATCH($S175,อัตราค่าขนส่ง!$O$5:$O$54,0)),INDEX(รายการมาตรฐาน!$G$2:$G$3,1)))</f>
        <v/>
      </c>
      <c r="AL175">
        <f>IF($S175="","",IFERROR(MATCH($AK175,รายการมาตรฐาน!$G$2:$G$3,0),1))</f>
        <v/>
      </c>
      <c r="AM175">
        <f>IF($V175="","",INDEX($AK$5:$AK$404,$V175))</f>
        <v/>
      </c>
      <c r="AN175">
        <f>IF($V175="","",INDEX($AL$5:$AL$404,$V175))</f>
        <v/>
      </c>
      <c r="AO175">
        <f>IF(OR($V175="",$AI$2&lt;=1),0,IF($V176="",1,IF($AN176&lt;&gt;$AN175,1,0)))</f>
        <v/>
      </c>
      <c r="AP175">
        <f>IF($V175="",0,IF($AN175&lt;&gt;$AN174,1,0))</f>
        <v/>
      </c>
      <c r="AQ175">
        <f>IF(OR($AD175="",$AD175="Z"),"",INDEX($AN$5:$AN$404,$AC175))</f>
        <v/>
      </c>
      <c r="AR175">
        <f>IF($Y175="",0,COUNTIF(บันทึกรายเที่ยว!$V$6:$V$6005,$Y175))</f>
        <v/>
      </c>
      <c r="AS175">
        <f>IF($Y175="",0,ROUND(SUMIF(บันทึกรายเที่ยว!$V$6:$V$6005,$Y175,บันทึกรายเที่ยว!$M$6:$M$6005),2))</f>
        <v/>
      </c>
      <c r="AT175">
        <f>IF($Y175="",0,IFERROR(INDEX(อัตราค่าขนส่ง!$G$5:$G$204,MATCH($Y175,อัตราค่าขนส่ง!$M$5:$M$204,0)),0))</f>
        <v/>
      </c>
      <c r="AU175">
        <f>ROUND($AS175*$BD175,2)</f>
        <v/>
      </c>
      <c r="AV175">
        <f>ROUND($AU175*$BF$2/100,2)</f>
        <v/>
      </c>
      <c r="AW175">
        <f>IF($Y175="","",IFERROR(INDEX(อัตราค่าขนส่ง!$F$5:$F$204,MATCH($Y175,อัตราค่าขนส่ง!$M$5:$M$204,0)),""))</f>
        <v/>
      </c>
      <c r="AX175">
        <f>IF($W175="","",INDEX(บันทึกรายเที่ยว!$D$6:$D$6005,$W175))</f>
        <v/>
      </c>
      <c r="AY175">
        <f>IF($W175="","",INDEX(บันทึกรายเที่ยว!$R$6:$R$6005,$W175))</f>
        <v/>
      </c>
      <c r="AZ175">
        <f>IF(AND($AD175="T",$AQ175=1),N($AZ174)+1,N($AZ174))</f>
        <v/>
      </c>
      <c r="BA175">
        <f>IF($W175="","",INDEX(บันทึกรายเที่ยว!$E$6:$E$6005,$W175))</f>
        <v/>
      </c>
      <c r="BC175">
        <f>IF($Y175="",0,IFERROR(INDEX(อัตราค่าขนส่ง!$K$5:$K$204,MATCH($Y175,อัตราค่าขนส่ง!$M$5:$M$204,0)),0))</f>
        <v/>
      </c>
      <c r="BD175">
        <f>IF($Y175="",0,IFERROR(INDEX(อัตราค่าขนส่ง!$L$5:$L$204,MATCH($Y175,อัตราค่าขนส่ง!$M$5:$M$204,0)),0))</f>
        <v/>
      </c>
    </row>
    <row r="176" ht="21" customHeight="1" s="66">
      <c r="A176" s="69">
        <f>IF($AD176="","",IF($AD176="Z","รวมจ่ายทั้งสิ้น",IF($AD176="H",INDEX($X$5:$X$404,$AC176),IF($AD176="T","รวม",IF($AD176="B",IFERROR(INDEX(อัตราค่าขนส่ง!$S$5:$S$14,MATCH(INDEX($AM$5:$AM$404,$AC176),อัตราค่าขนส่ง!$R$5:$R$14,0)),"รวมกลุ่ม "&amp;INDEX($AM$5:$AM$404,$AC176)),INDEX($AY$5:$AY$404,$AC176))))))</f>
        <v/>
      </c>
      <c r="B176" s="31">
        <f>IF($AD176&lt;&gt;"D","",INDEX($AW$5:$AW$404,$AC176))</f>
        <v/>
      </c>
      <c r="C176" s="68">
        <f>IF($AD176&lt;&gt;"D","",INDEX($AX$5:$AX$404,$AC176))</f>
        <v/>
      </c>
      <c r="D176" s="70">
        <f>IF($AD176&lt;&gt;"D","",INDEX($BA$5:$BA$404,$AC176))</f>
        <v/>
      </c>
      <c r="E176" s="31">
        <f>IF($AD176="Z",SUM($AR$5:$AR$404),IF($AD176="D",INDEX($AR$5:$AR$404,$AC176),IF($AD176="T",SUMIF($X$5:$X$404,$AF176,$AR$5:$AR$404),IF($AD176="B",SUMIF($AN$5:$AN$404,$AQ176,$AR$5:$AR$404),""))))</f>
        <v/>
      </c>
      <c r="F176" s="32">
        <f>IF($AD176="Z",ROUND(SUM($AS$5:$AS$404),2),IF($AD176="D",INDEX($AS$5:$AS$404,$AC176),IF($AD176="T",ROUND(SUMIF($X$5:$X$404,$AF176,$AS$5:$AS$404),2),IF($AD176="B",ROUND(SUMIF($AN$5:$AN$404,$AQ176,$AS$5:$AS$404),2),""))))</f>
        <v/>
      </c>
      <c r="G176" s="32">
        <f>IF($AD176&lt;&gt;"D","",INDEX($AT$5:$AT$404,$AC176))</f>
        <v/>
      </c>
      <c r="H176" s="32">
        <f>IF($AD176&lt;&gt;"D","",INDEX($BC$5:$BC$404,$AC176))</f>
        <v/>
      </c>
      <c r="I176" s="32">
        <f>IF($AD176&lt;&gt;"D","",INDEX($BD$5:$BD$404,$AC176))</f>
        <v/>
      </c>
      <c r="J176" s="46">
        <f>IF($AD176&lt;&gt;"D","",IF(N($B176)=0,"",ROUND($I176/$B176,4)))</f>
        <v/>
      </c>
      <c r="K176" s="32">
        <f>IF($AD176="Z",ROUND(SUM($AU$5:$AU$404),2),IF($AD176="D",INDEX($AU$5:$AU$404,$AC176),IF($AD176="T",ROUND(SUMIF($X$5:$X$404,$AF176,$AU$5:$AU$404),2),IF($AD176="B",ROUND(SUMIF($AN$5:$AN$404,$AQ176,$AU$5:$AU$404),2),""))))</f>
        <v/>
      </c>
      <c r="L176" s="32">
        <f>IF($AD176="Z",ROUND(SUM($AV$5:$AV$404),2),IF($AD176="D",INDEX($AV$5:$AV$404,$AC176),IF($AD176="T",ROUND(SUMIF($X$5:$X$404,$AF176,$AV$5:$AV$404),2),IF($AD176="B",ROUND(SUMIF($AN$5:$AN$404,$AQ176,$AV$5:$AV$404),2),""))))</f>
        <v/>
      </c>
      <c r="M176" s="32">
        <f>IF($AD176="Z",ROUND(SUM($AJ$5:$AJ$704),2),IF($AD176="B",ROUND(SUMIF($AQ$5:$AQ$704,$AQ176,$AJ$5:$AJ$704),2),IF($AD176&lt;&gt;"T","",$AJ176)))</f>
        <v/>
      </c>
      <c r="N176" s="32">
        <f>IF(OR($AD176="D",$AD176="T",$AD176="B",$AD176="Z"),ROUND(N($K176)-N($L176)-N($M176),2),"")</f>
        <v/>
      </c>
      <c r="O176" s="32">
        <f>IF(OR($AD176="D",$AD176="T",$AD176="B",$AD176="Z"),IF(N($E176)=0,"",ROUND($F176/$E176,2)),"")</f>
        <v/>
      </c>
      <c r="Q176">
        <f>IFERROR(MATCH(172,บันทึกรายเที่ยว!$Z$6:$Z$6005,0),"")</f>
        <v/>
      </c>
      <c r="R176">
        <f>IF($Q176="","",INDEX(บันทึกรายเที่ยว!$V$6:$V$6005,$Q176))</f>
        <v/>
      </c>
      <c r="S176">
        <f>IF($Q176="","",INDEX(บันทึกรายเที่ยว!$F$6:$F$6005,$Q176))</f>
        <v/>
      </c>
      <c r="T176">
        <f>IF($Q176="","",MATCH($S176,บันทึกรายเที่ยว!$F$6:$F$6005,0))</f>
        <v/>
      </c>
      <c r="U176">
        <f>IF($Q176="","",$AL176*10000000+$T176*1000+172)</f>
        <v/>
      </c>
      <c r="V176">
        <f>IFERROR(MATCH(SMALL($U$5:$U$404,172),$U$5:$U$404,0),"")</f>
        <v/>
      </c>
      <c r="W176">
        <f>IF($V176="","",INDEX($Q$5:$Q$404,$V176))</f>
        <v/>
      </c>
      <c r="X176">
        <f>IF($V176="","",INDEX($S$5:$S$404,$V176))</f>
        <v/>
      </c>
      <c r="Y176">
        <f>IF($V176="","",INDEX($R$5:$R$404,$V176))</f>
        <v/>
      </c>
      <c r="Z176">
        <f>IF($V176="",0,IF($X176&lt;&gt;$X175,1,0))</f>
        <v/>
      </c>
      <c r="AA176">
        <f>IF($V176="",0,IF($V177="",1,IF($X177&lt;&gt;$X176,1,0)))</f>
        <v/>
      </c>
      <c r="AB176">
        <f>IF($V176="",99999+172,$AB175+1+$Z175+$AA175+$AO175)</f>
        <v/>
      </c>
      <c r="AC176">
        <f>IFERROR(MATCH(172,$AB$5:$AB$404,1),"")</f>
        <v/>
      </c>
      <c r="AD176">
        <f>IF(172=$AI$1+1,"Z",IF($AC176="","",IF(INDEX($V$5:$V$404,$AC176)="","",IF(172&gt;INDEX($AB$5:$AB$404,$AC176)+INDEX($Z$5:$Z$404,$AC176)+INDEX($AA$5:$AA$404,$AC176)+INDEX($AO$5:$AO$404,$AC176),"",IF(172=INDEX($AB$5:$AB$404,$AC176)+INDEX($Z$5:$Z$404,$AC176),"D",IF(AND(INDEX($Z$5:$Z$404,$AC176)=1,172=INDEX($AB$5:$AB$404,$AC176)),"H",IF(AND(INDEX($AO$5:$AO$404,$AC176)=1,172=INDEX($AB$5:$AB$404,$AC176)+INDEX($Z$5:$Z$404,$AC176)+INDEX($AA$5:$AA$404,$AC176)+INDEX($AO$5:$AO$404,$AC176)),"B","T")))))))</f>
        <v/>
      </c>
      <c r="AF176">
        <f>IF(OR($AD176="",$AD176="Z",$AD176="B"),"",INDEX($X$5:$X$404,$AC176))</f>
        <v/>
      </c>
      <c r="AJ176">
        <f>IF($AD176&lt;&gt;"T",0,ROUND(SUMIF(oil!$B$4:$B$63,$AF176,oil!$AE$4:$AE$63),2))</f>
        <v/>
      </c>
      <c r="AK176">
        <f>IF($S176="","",IFERROR(INDEX(อัตราค่าขนส่ง!$P$5:$P$54,MATCH($S176,อัตราค่าขนส่ง!$O$5:$O$54,0)),INDEX(รายการมาตรฐาน!$G$2:$G$3,1)))</f>
        <v/>
      </c>
      <c r="AL176">
        <f>IF($S176="","",IFERROR(MATCH($AK176,รายการมาตรฐาน!$G$2:$G$3,0),1))</f>
        <v/>
      </c>
      <c r="AM176">
        <f>IF($V176="","",INDEX($AK$5:$AK$404,$V176))</f>
        <v/>
      </c>
      <c r="AN176">
        <f>IF($V176="","",INDEX($AL$5:$AL$404,$V176))</f>
        <v/>
      </c>
      <c r="AO176">
        <f>IF(OR($V176="",$AI$2&lt;=1),0,IF($V177="",1,IF($AN177&lt;&gt;$AN176,1,0)))</f>
        <v/>
      </c>
      <c r="AP176">
        <f>IF($V176="",0,IF($AN176&lt;&gt;$AN175,1,0))</f>
        <v/>
      </c>
      <c r="AQ176">
        <f>IF(OR($AD176="",$AD176="Z"),"",INDEX($AN$5:$AN$404,$AC176))</f>
        <v/>
      </c>
      <c r="AR176">
        <f>IF($Y176="",0,COUNTIF(บันทึกรายเที่ยว!$V$6:$V$6005,$Y176))</f>
        <v/>
      </c>
      <c r="AS176">
        <f>IF($Y176="",0,ROUND(SUMIF(บันทึกรายเที่ยว!$V$6:$V$6005,$Y176,บันทึกรายเที่ยว!$M$6:$M$6005),2))</f>
        <v/>
      </c>
      <c r="AT176">
        <f>IF($Y176="",0,IFERROR(INDEX(อัตราค่าขนส่ง!$G$5:$G$204,MATCH($Y176,อัตราค่าขนส่ง!$M$5:$M$204,0)),0))</f>
        <v/>
      </c>
      <c r="AU176">
        <f>ROUND($AS176*$BD176,2)</f>
        <v/>
      </c>
      <c r="AV176">
        <f>ROUND($AU176*$BF$2/100,2)</f>
        <v/>
      </c>
      <c r="AW176">
        <f>IF($Y176="","",IFERROR(INDEX(อัตราค่าขนส่ง!$F$5:$F$204,MATCH($Y176,อัตราค่าขนส่ง!$M$5:$M$204,0)),""))</f>
        <v/>
      </c>
      <c r="AX176">
        <f>IF($W176="","",INDEX(บันทึกรายเที่ยว!$D$6:$D$6005,$W176))</f>
        <v/>
      </c>
      <c r="AY176">
        <f>IF($W176="","",INDEX(บันทึกรายเที่ยว!$R$6:$R$6005,$W176))</f>
        <v/>
      </c>
      <c r="AZ176">
        <f>IF(AND($AD176="T",$AQ176=1),N($AZ175)+1,N($AZ175))</f>
        <v/>
      </c>
      <c r="BA176">
        <f>IF($W176="","",INDEX(บันทึกรายเที่ยว!$E$6:$E$6005,$W176))</f>
        <v/>
      </c>
      <c r="BC176">
        <f>IF($Y176="",0,IFERROR(INDEX(อัตราค่าขนส่ง!$K$5:$K$204,MATCH($Y176,อัตราค่าขนส่ง!$M$5:$M$204,0)),0))</f>
        <v/>
      </c>
      <c r="BD176">
        <f>IF($Y176="",0,IFERROR(INDEX(อัตราค่าขนส่ง!$L$5:$L$204,MATCH($Y176,อัตราค่าขนส่ง!$M$5:$M$204,0)),0))</f>
        <v/>
      </c>
    </row>
    <row r="177" ht="21" customHeight="1" s="66">
      <c r="A177" s="69">
        <f>IF($AD177="","",IF($AD177="Z","รวมจ่ายทั้งสิ้น",IF($AD177="H",INDEX($X$5:$X$404,$AC177),IF($AD177="T","รวม",IF($AD177="B",IFERROR(INDEX(อัตราค่าขนส่ง!$S$5:$S$14,MATCH(INDEX($AM$5:$AM$404,$AC177),อัตราค่าขนส่ง!$R$5:$R$14,0)),"รวมกลุ่ม "&amp;INDEX($AM$5:$AM$404,$AC177)),INDEX($AY$5:$AY$404,$AC177))))))</f>
        <v/>
      </c>
      <c r="B177" s="31">
        <f>IF($AD177&lt;&gt;"D","",INDEX($AW$5:$AW$404,$AC177))</f>
        <v/>
      </c>
      <c r="C177" s="68">
        <f>IF($AD177&lt;&gt;"D","",INDEX($AX$5:$AX$404,$AC177))</f>
        <v/>
      </c>
      <c r="D177" s="70">
        <f>IF($AD177&lt;&gt;"D","",INDEX($BA$5:$BA$404,$AC177))</f>
        <v/>
      </c>
      <c r="E177" s="31">
        <f>IF($AD177="Z",SUM($AR$5:$AR$404),IF($AD177="D",INDEX($AR$5:$AR$404,$AC177),IF($AD177="T",SUMIF($X$5:$X$404,$AF177,$AR$5:$AR$404),IF($AD177="B",SUMIF($AN$5:$AN$404,$AQ177,$AR$5:$AR$404),""))))</f>
        <v/>
      </c>
      <c r="F177" s="32">
        <f>IF($AD177="Z",ROUND(SUM($AS$5:$AS$404),2),IF($AD177="D",INDEX($AS$5:$AS$404,$AC177),IF($AD177="T",ROUND(SUMIF($X$5:$X$404,$AF177,$AS$5:$AS$404),2),IF($AD177="B",ROUND(SUMIF($AN$5:$AN$404,$AQ177,$AS$5:$AS$404),2),""))))</f>
        <v/>
      </c>
      <c r="G177" s="32">
        <f>IF($AD177&lt;&gt;"D","",INDEX($AT$5:$AT$404,$AC177))</f>
        <v/>
      </c>
      <c r="H177" s="32">
        <f>IF($AD177&lt;&gt;"D","",INDEX($BC$5:$BC$404,$AC177))</f>
        <v/>
      </c>
      <c r="I177" s="32">
        <f>IF($AD177&lt;&gt;"D","",INDEX($BD$5:$BD$404,$AC177))</f>
        <v/>
      </c>
      <c r="J177" s="46">
        <f>IF($AD177&lt;&gt;"D","",IF(N($B177)=0,"",ROUND($I177/$B177,4)))</f>
        <v/>
      </c>
      <c r="K177" s="32">
        <f>IF($AD177="Z",ROUND(SUM($AU$5:$AU$404),2),IF($AD177="D",INDEX($AU$5:$AU$404,$AC177),IF($AD177="T",ROUND(SUMIF($X$5:$X$404,$AF177,$AU$5:$AU$404),2),IF($AD177="B",ROUND(SUMIF($AN$5:$AN$404,$AQ177,$AU$5:$AU$404),2),""))))</f>
        <v/>
      </c>
      <c r="L177" s="32">
        <f>IF($AD177="Z",ROUND(SUM($AV$5:$AV$404),2),IF($AD177="D",INDEX($AV$5:$AV$404,$AC177),IF($AD177="T",ROUND(SUMIF($X$5:$X$404,$AF177,$AV$5:$AV$404),2),IF($AD177="B",ROUND(SUMIF($AN$5:$AN$404,$AQ177,$AV$5:$AV$404),2),""))))</f>
        <v/>
      </c>
      <c r="M177" s="32">
        <f>IF($AD177="Z",ROUND(SUM($AJ$5:$AJ$704),2),IF($AD177="B",ROUND(SUMIF($AQ$5:$AQ$704,$AQ177,$AJ$5:$AJ$704),2),IF($AD177&lt;&gt;"T","",$AJ177)))</f>
        <v/>
      </c>
      <c r="N177" s="32">
        <f>IF(OR($AD177="D",$AD177="T",$AD177="B",$AD177="Z"),ROUND(N($K177)-N($L177)-N($M177),2),"")</f>
        <v/>
      </c>
      <c r="O177" s="32">
        <f>IF(OR($AD177="D",$AD177="T",$AD177="B",$AD177="Z"),IF(N($E177)=0,"",ROUND($F177/$E177,2)),"")</f>
        <v/>
      </c>
      <c r="Q177">
        <f>IFERROR(MATCH(173,บันทึกรายเที่ยว!$Z$6:$Z$6005,0),"")</f>
        <v/>
      </c>
      <c r="R177">
        <f>IF($Q177="","",INDEX(บันทึกรายเที่ยว!$V$6:$V$6005,$Q177))</f>
        <v/>
      </c>
      <c r="S177">
        <f>IF($Q177="","",INDEX(บันทึกรายเที่ยว!$F$6:$F$6005,$Q177))</f>
        <v/>
      </c>
      <c r="T177">
        <f>IF($Q177="","",MATCH($S177,บันทึกรายเที่ยว!$F$6:$F$6005,0))</f>
        <v/>
      </c>
      <c r="U177">
        <f>IF($Q177="","",$AL177*10000000+$T177*1000+173)</f>
        <v/>
      </c>
      <c r="V177">
        <f>IFERROR(MATCH(SMALL($U$5:$U$404,173),$U$5:$U$404,0),"")</f>
        <v/>
      </c>
      <c r="W177">
        <f>IF($V177="","",INDEX($Q$5:$Q$404,$V177))</f>
        <v/>
      </c>
      <c r="X177">
        <f>IF($V177="","",INDEX($S$5:$S$404,$V177))</f>
        <v/>
      </c>
      <c r="Y177">
        <f>IF($V177="","",INDEX($R$5:$R$404,$V177))</f>
        <v/>
      </c>
      <c r="Z177">
        <f>IF($V177="",0,IF($X177&lt;&gt;$X176,1,0))</f>
        <v/>
      </c>
      <c r="AA177">
        <f>IF($V177="",0,IF($V178="",1,IF($X178&lt;&gt;$X177,1,0)))</f>
        <v/>
      </c>
      <c r="AB177">
        <f>IF($V177="",99999+173,$AB176+1+$Z176+$AA176+$AO176)</f>
        <v/>
      </c>
      <c r="AC177">
        <f>IFERROR(MATCH(173,$AB$5:$AB$404,1),"")</f>
        <v/>
      </c>
      <c r="AD177">
        <f>IF(173=$AI$1+1,"Z",IF($AC177="","",IF(INDEX($V$5:$V$404,$AC177)="","",IF(173&gt;INDEX($AB$5:$AB$404,$AC177)+INDEX($Z$5:$Z$404,$AC177)+INDEX($AA$5:$AA$404,$AC177)+INDEX($AO$5:$AO$404,$AC177),"",IF(173=INDEX($AB$5:$AB$404,$AC177)+INDEX($Z$5:$Z$404,$AC177),"D",IF(AND(INDEX($Z$5:$Z$404,$AC177)=1,173=INDEX($AB$5:$AB$404,$AC177)),"H",IF(AND(INDEX($AO$5:$AO$404,$AC177)=1,173=INDEX($AB$5:$AB$404,$AC177)+INDEX($Z$5:$Z$404,$AC177)+INDEX($AA$5:$AA$404,$AC177)+INDEX($AO$5:$AO$404,$AC177)),"B","T")))))))</f>
        <v/>
      </c>
      <c r="AF177">
        <f>IF(OR($AD177="",$AD177="Z",$AD177="B"),"",INDEX($X$5:$X$404,$AC177))</f>
        <v/>
      </c>
      <c r="AJ177">
        <f>IF($AD177&lt;&gt;"T",0,ROUND(SUMIF(oil!$B$4:$B$63,$AF177,oil!$AE$4:$AE$63),2))</f>
        <v/>
      </c>
      <c r="AK177">
        <f>IF($S177="","",IFERROR(INDEX(อัตราค่าขนส่ง!$P$5:$P$54,MATCH($S177,อัตราค่าขนส่ง!$O$5:$O$54,0)),INDEX(รายการมาตรฐาน!$G$2:$G$3,1)))</f>
        <v/>
      </c>
      <c r="AL177">
        <f>IF($S177="","",IFERROR(MATCH($AK177,รายการมาตรฐาน!$G$2:$G$3,0),1))</f>
        <v/>
      </c>
      <c r="AM177">
        <f>IF($V177="","",INDEX($AK$5:$AK$404,$V177))</f>
        <v/>
      </c>
      <c r="AN177">
        <f>IF($V177="","",INDEX($AL$5:$AL$404,$V177))</f>
        <v/>
      </c>
      <c r="AO177">
        <f>IF(OR($V177="",$AI$2&lt;=1),0,IF($V178="",1,IF($AN178&lt;&gt;$AN177,1,0)))</f>
        <v/>
      </c>
      <c r="AP177">
        <f>IF($V177="",0,IF($AN177&lt;&gt;$AN176,1,0))</f>
        <v/>
      </c>
      <c r="AQ177">
        <f>IF(OR($AD177="",$AD177="Z"),"",INDEX($AN$5:$AN$404,$AC177))</f>
        <v/>
      </c>
      <c r="AR177">
        <f>IF($Y177="",0,COUNTIF(บันทึกรายเที่ยว!$V$6:$V$6005,$Y177))</f>
        <v/>
      </c>
      <c r="AS177">
        <f>IF($Y177="",0,ROUND(SUMIF(บันทึกรายเที่ยว!$V$6:$V$6005,$Y177,บันทึกรายเที่ยว!$M$6:$M$6005),2))</f>
        <v/>
      </c>
      <c r="AT177">
        <f>IF($Y177="",0,IFERROR(INDEX(อัตราค่าขนส่ง!$G$5:$G$204,MATCH($Y177,อัตราค่าขนส่ง!$M$5:$M$204,0)),0))</f>
        <v/>
      </c>
      <c r="AU177">
        <f>ROUND($AS177*$BD177,2)</f>
        <v/>
      </c>
      <c r="AV177">
        <f>ROUND($AU177*$BF$2/100,2)</f>
        <v/>
      </c>
      <c r="AW177">
        <f>IF($Y177="","",IFERROR(INDEX(อัตราค่าขนส่ง!$F$5:$F$204,MATCH($Y177,อัตราค่าขนส่ง!$M$5:$M$204,0)),""))</f>
        <v/>
      </c>
      <c r="AX177">
        <f>IF($W177="","",INDEX(บันทึกรายเที่ยว!$D$6:$D$6005,$W177))</f>
        <v/>
      </c>
      <c r="AY177">
        <f>IF($W177="","",INDEX(บันทึกรายเที่ยว!$R$6:$R$6005,$W177))</f>
        <v/>
      </c>
      <c r="AZ177">
        <f>IF(AND($AD177="T",$AQ177=1),N($AZ176)+1,N($AZ176))</f>
        <v/>
      </c>
      <c r="BA177">
        <f>IF($W177="","",INDEX(บันทึกรายเที่ยว!$E$6:$E$6005,$W177))</f>
        <v/>
      </c>
      <c r="BC177">
        <f>IF($Y177="",0,IFERROR(INDEX(อัตราค่าขนส่ง!$K$5:$K$204,MATCH($Y177,อัตราค่าขนส่ง!$M$5:$M$204,0)),0))</f>
        <v/>
      </c>
      <c r="BD177">
        <f>IF($Y177="",0,IFERROR(INDEX(อัตราค่าขนส่ง!$L$5:$L$204,MATCH($Y177,อัตราค่าขนส่ง!$M$5:$M$204,0)),0))</f>
        <v/>
      </c>
    </row>
    <row r="178" ht="21" customHeight="1" s="66">
      <c r="A178" s="69">
        <f>IF($AD178="","",IF($AD178="Z","รวมจ่ายทั้งสิ้น",IF($AD178="H",INDEX($X$5:$X$404,$AC178),IF($AD178="T","รวม",IF($AD178="B",IFERROR(INDEX(อัตราค่าขนส่ง!$S$5:$S$14,MATCH(INDEX($AM$5:$AM$404,$AC178),อัตราค่าขนส่ง!$R$5:$R$14,0)),"รวมกลุ่ม "&amp;INDEX($AM$5:$AM$404,$AC178)),INDEX($AY$5:$AY$404,$AC178))))))</f>
        <v/>
      </c>
      <c r="B178" s="31">
        <f>IF($AD178&lt;&gt;"D","",INDEX($AW$5:$AW$404,$AC178))</f>
        <v/>
      </c>
      <c r="C178" s="68">
        <f>IF($AD178&lt;&gt;"D","",INDEX($AX$5:$AX$404,$AC178))</f>
        <v/>
      </c>
      <c r="D178" s="70">
        <f>IF($AD178&lt;&gt;"D","",INDEX($BA$5:$BA$404,$AC178))</f>
        <v/>
      </c>
      <c r="E178" s="31">
        <f>IF($AD178="Z",SUM($AR$5:$AR$404),IF($AD178="D",INDEX($AR$5:$AR$404,$AC178),IF($AD178="T",SUMIF($X$5:$X$404,$AF178,$AR$5:$AR$404),IF($AD178="B",SUMIF($AN$5:$AN$404,$AQ178,$AR$5:$AR$404),""))))</f>
        <v/>
      </c>
      <c r="F178" s="32">
        <f>IF($AD178="Z",ROUND(SUM($AS$5:$AS$404),2),IF($AD178="D",INDEX($AS$5:$AS$404,$AC178),IF($AD178="T",ROUND(SUMIF($X$5:$X$404,$AF178,$AS$5:$AS$404),2),IF($AD178="B",ROUND(SUMIF($AN$5:$AN$404,$AQ178,$AS$5:$AS$404),2),""))))</f>
        <v/>
      </c>
      <c r="G178" s="32">
        <f>IF($AD178&lt;&gt;"D","",INDEX($AT$5:$AT$404,$AC178))</f>
        <v/>
      </c>
      <c r="H178" s="32">
        <f>IF($AD178&lt;&gt;"D","",INDEX($BC$5:$BC$404,$AC178))</f>
        <v/>
      </c>
      <c r="I178" s="32">
        <f>IF($AD178&lt;&gt;"D","",INDEX($BD$5:$BD$404,$AC178))</f>
        <v/>
      </c>
      <c r="J178" s="46">
        <f>IF($AD178&lt;&gt;"D","",IF(N($B178)=0,"",ROUND($I178/$B178,4)))</f>
        <v/>
      </c>
      <c r="K178" s="32">
        <f>IF($AD178="Z",ROUND(SUM($AU$5:$AU$404),2),IF($AD178="D",INDEX($AU$5:$AU$404,$AC178),IF($AD178="T",ROUND(SUMIF($X$5:$X$404,$AF178,$AU$5:$AU$404),2),IF($AD178="B",ROUND(SUMIF($AN$5:$AN$404,$AQ178,$AU$5:$AU$404),2),""))))</f>
        <v/>
      </c>
      <c r="L178" s="32">
        <f>IF($AD178="Z",ROUND(SUM($AV$5:$AV$404),2),IF($AD178="D",INDEX($AV$5:$AV$404,$AC178),IF($AD178="T",ROUND(SUMIF($X$5:$X$404,$AF178,$AV$5:$AV$404),2),IF($AD178="B",ROUND(SUMIF($AN$5:$AN$404,$AQ178,$AV$5:$AV$404),2),""))))</f>
        <v/>
      </c>
      <c r="M178" s="32">
        <f>IF($AD178="Z",ROUND(SUM($AJ$5:$AJ$704),2),IF($AD178="B",ROUND(SUMIF($AQ$5:$AQ$704,$AQ178,$AJ$5:$AJ$704),2),IF($AD178&lt;&gt;"T","",$AJ178)))</f>
        <v/>
      </c>
      <c r="N178" s="32">
        <f>IF(OR($AD178="D",$AD178="T",$AD178="B",$AD178="Z"),ROUND(N($K178)-N($L178)-N($M178),2),"")</f>
        <v/>
      </c>
      <c r="O178" s="32">
        <f>IF(OR($AD178="D",$AD178="T",$AD178="B",$AD178="Z"),IF(N($E178)=0,"",ROUND($F178/$E178,2)),"")</f>
        <v/>
      </c>
      <c r="Q178">
        <f>IFERROR(MATCH(174,บันทึกรายเที่ยว!$Z$6:$Z$6005,0),"")</f>
        <v/>
      </c>
      <c r="R178">
        <f>IF($Q178="","",INDEX(บันทึกรายเที่ยว!$V$6:$V$6005,$Q178))</f>
        <v/>
      </c>
      <c r="S178">
        <f>IF($Q178="","",INDEX(บันทึกรายเที่ยว!$F$6:$F$6005,$Q178))</f>
        <v/>
      </c>
      <c r="T178">
        <f>IF($Q178="","",MATCH($S178,บันทึกรายเที่ยว!$F$6:$F$6005,0))</f>
        <v/>
      </c>
      <c r="U178">
        <f>IF($Q178="","",$AL178*10000000+$T178*1000+174)</f>
        <v/>
      </c>
      <c r="V178">
        <f>IFERROR(MATCH(SMALL($U$5:$U$404,174),$U$5:$U$404,0),"")</f>
        <v/>
      </c>
      <c r="W178">
        <f>IF($V178="","",INDEX($Q$5:$Q$404,$V178))</f>
        <v/>
      </c>
      <c r="X178">
        <f>IF($V178="","",INDEX($S$5:$S$404,$V178))</f>
        <v/>
      </c>
      <c r="Y178">
        <f>IF($V178="","",INDEX($R$5:$R$404,$V178))</f>
        <v/>
      </c>
      <c r="Z178">
        <f>IF($V178="",0,IF($X178&lt;&gt;$X177,1,0))</f>
        <v/>
      </c>
      <c r="AA178">
        <f>IF($V178="",0,IF($V179="",1,IF($X179&lt;&gt;$X178,1,0)))</f>
        <v/>
      </c>
      <c r="AB178">
        <f>IF($V178="",99999+174,$AB177+1+$Z177+$AA177+$AO177)</f>
        <v/>
      </c>
      <c r="AC178">
        <f>IFERROR(MATCH(174,$AB$5:$AB$404,1),"")</f>
        <v/>
      </c>
      <c r="AD178">
        <f>IF(174=$AI$1+1,"Z",IF($AC178="","",IF(INDEX($V$5:$V$404,$AC178)="","",IF(174&gt;INDEX($AB$5:$AB$404,$AC178)+INDEX($Z$5:$Z$404,$AC178)+INDEX($AA$5:$AA$404,$AC178)+INDEX($AO$5:$AO$404,$AC178),"",IF(174=INDEX($AB$5:$AB$404,$AC178)+INDEX($Z$5:$Z$404,$AC178),"D",IF(AND(INDEX($Z$5:$Z$404,$AC178)=1,174=INDEX($AB$5:$AB$404,$AC178)),"H",IF(AND(INDEX($AO$5:$AO$404,$AC178)=1,174=INDEX($AB$5:$AB$404,$AC178)+INDEX($Z$5:$Z$404,$AC178)+INDEX($AA$5:$AA$404,$AC178)+INDEX($AO$5:$AO$404,$AC178)),"B","T")))))))</f>
        <v/>
      </c>
      <c r="AF178">
        <f>IF(OR($AD178="",$AD178="Z",$AD178="B"),"",INDEX($X$5:$X$404,$AC178))</f>
        <v/>
      </c>
      <c r="AJ178">
        <f>IF($AD178&lt;&gt;"T",0,ROUND(SUMIF(oil!$B$4:$B$63,$AF178,oil!$AE$4:$AE$63),2))</f>
        <v/>
      </c>
      <c r="AK178">
        <f>IF($S178="","",IFERROR(INDEX(อัตราค่าขนส่ง!$P$5:$P$54,MATCH($S178,อัตราค่าขนส่ง!$O$5:$O$54,0)),INDEX(รายการมาตรฐาน!$G$2:$G$3,1)))</f>
        <v/>
      </c>
      <c r="AL178">
        <f>IF($S178="","",IFERROR(MATCH($AK178,รายการมาตรฐาน!$G$2:$G$3,0),1))</f>
        <v/>
      </c>
      <c r="AM178">
        <f>IF($V178="","",INDEX($AK$5:$AK$404,$V178))</f>
        <v/>
      </c>
      <c r="AN178">
        <f>IF($V178="","",INDEX($AL$5:$AL$404,$V178))</f>
        <v/>
      </c>
      <c r="AO178">
        <f>IF(OR($V178="",$AI$2&lt;=1),0,IF($V179="",1,IF($AN179&lt;&gt;$AN178,1,0)))</f>
        <v/>
      </c>
      <c r="AP178">
        <f>IF($V178="",0,IF($AN178&lt;&gt;$AN177,1,0))</f>
        <v/>
      </c>
      <c r="AQ178">
        <f>IF(OR($AD178="",$AD178="Z"),"",INDEX($AN$5:$AN$404,$AC178))</f>
        <v/>
      </c>
      <c r="AR178">
        <f>IF($Y178="",0,COUNTIF(บันทึกรายเที่ยว!$V$6:$V$6005,$Y178))</f>
        <v/>
      </c>
      <c r="AS178">
        <f>IF($Y178="",0,ROUND(SUMIF(บันทึกรายเที่ยว!$V$6:$V$6005,$Y178,บันทึกรายเที่ยว!$M$6:$M$6005),2))</f>
        <v/>
      </c>
      <c r="AT178">
        <f>IF($Y178="",0,IFERROR(INDEX(อัตราค่าขนส่ง!$G$5:$G$204,MATCH($Y178,อัตราค่าขนส่ง!$M$5:$M$204,0)),0))</f>
        <v/>
      </c>
      <c r="AU178">
        <f>ROUND($AS178*$BD178,2)</f>
        <v/>
      </c>
      <c r="AV178">
        <f>ROUND($AU178*$BF$2/100,2)</f>
        <v/>
      </c>
      <c r="AW178">
        <f>IF($Y178="","",IFERROR(INDEX(อัตราค่าขนส่ง!$F$5:$F$204,MATCH($Y178,อัตราค่าขนส่ง!$M$5:$M$204,0)),""))</f>
        <v/>
      </c>
      <c r="AX178">
        <f>IF($W178="","",INDEX(บันทึกรายเที่ยว!$D$6:$D$6005,$W178))</f>
        <v/>
      </c>
      <c r="AY178">
        <f>IF($W178="","",INDEX(บันทึกรายเที่ยว!$R$6:$R$6005,$W178))</f>
        <v/>
      </c>
      <c r="AZ178">
        <f>IF(AND($AD178="T",$AQ178=1),N($AZ177)+1,N($AZ177))</f>
        <v/>
      </c>
      <c r="BA178">
        <f>IF($W178="","",INDEX(บันทึกรายเที่ยว!$E$6:$E$6005,$W178))</f>
        <v/>
      </c>
      <c r="BC178">
        <f>IF($Y178="",0,IFERROR(INDEX(อัตราค่าขนส่ง!$K$5:$K$204,MATCH($Y178,อัตราค่าขนส่ง!$M$5:$M$204,0)),0))</f>
        <v/>
      </c>
      <c r="BD178">
        <f>IF($Y178="",0,IFERROR(INDEX(อัตราค่าขนส่ง!$L$5:$L$204,MATCH($Y178,อัตราค่าขนส่ง!$M$5:$M$204,0)),0))</f>
        <v/>
      </c>
    </row>
    <row r="179" ht="21" customHeight="1" s="66">
      <c r="A179" s="69">
        <f>IF($AD179="","",IF($AD179="Z","รวมจ่ายทั้งสิ้น",IF($AD179="H",INDEX($X$5:$X$404,$AC179),IF($AD179="T","รวม",IF($AD179="B",IFERROR(INDEX(อัตราค่าขนส่ง!$S$5:$S$14,MATCH(INDEX($AM$5:$AM$404,$AC179),อัตราค่าขนส่ง!$R$5:$R$14,0)),"รวมกลุ่ม "&amp;INDEX($AM$5:$AM$404,$AC179)),INDEX($AY$5:$AY$404,$AC179))))))</f>
        <v/>
      </c>
      <c r="B179" s="31">
        <f>IF($AD179&lt;&gt;"D","",INDEX($AW$5:$AW$404,$AC179))</f>
        <v/>
      </c>
      <c r="C179" s="68">
        <f>IF($AD179&lt;&gt;"D","",INDEX($AX$5:$AX$404,$AC179))</f>
        <v/>
      </c>
      <c r="D179" s="70">
        <f>IF($AD179&lt;&gt;"D","",INDEX($BA$5:$BA$404,$AC179))</f>
        <v/>
      </c>
      <c r="E179" s="31">
        <f>IF($AD179="Z",SUM($AR$5:$AR$404),IF($AD179="D",INDEX($AR$5:$AR$404,$AC179),IF($AD179="T",SUMIF($X$5:$X$404,$AF179,$AR$5:$AR$404),IF($AD179="B",SUMIF($AN$5:$AN$404,$AQ179,$AR$5:$AR$404),""))))</f>
        <v/>
      </c>
      <c r="F179" s="32">
        <f>IF($AD179="Z",ROUND(SUM($AS$5:$AS$404),2),IF($AD179="D",INDEX($AS$5:$AS$404,$AC179),IF($AD179="T",ROUND(SUMIF($X$5:$X$404,$AF179,$AS$5:$AS$404),2),IF($AD179="B",ROUND(SUMIF($AN$5:$AN$404,$AQ179,$AS$5:$AS$404),2),""))))</f>
        <v/>
      </c>
      <c r="G179" s="32">
        <f>IF($AD179&lt;&gt;"D","",INDEX($AT$5:$AT$404,$AC179))</f>
        <v/>
      </c>
      <c r="H179" s="32">
        <f>IF($AD179&lt;&gt;"D","",INDEX($BC$5:$BC$404,$AC179))</f>
        <v/>
      </c>
      <c r="I179" s="32">
        <f>IF($AD179&lt;&gt;"D","",INDEX($BD$5:$BD$404,$AC179))</f>
        <v/>
      </c>
      <c r="J179" s="46">
        <f>IF($AD179&lt;&gt;"D","",IF(N($B179)=0,"",ROUND($I179/$B179,4)))</f>
        <v/>
      </c>
      <c r="K179" s="32">
        <f>IF($AD179="Z",ROUND(SUM($AU$5:$AU$404),2),IF($AD179="D",INDEX($AU$5:$AU$404,$AC179),IF($AD179="T",ROUND(SUMIF($X$5:$X$404,$AF179,$AU$5:$AU$404),2),IF($AD179="B",ROUND(SUMIF($AN$5:$AN$404,$AQ179,$AU$5:$AU$404),2),""))))</f>
        <v/>
      </c>
      <c r="L179" s="32">
        <f>IF($AD179="Z",ROUND(SUM($AV$5:$AV$404),2),IF($AD179="D",INDEX($AV$5:$AV$404,$AC179),IF($AD179="T",ROUND(SUMIF($X$5:$X$404,$AF179,$AV$5:$AV$404),2),IF($AD179="B",ROUND(SUMIF($AN$5:$AN$404,$AQ179,$AV$5:$AV$404),2),""))))</f>
        <v/>
      </c>
      <c r="M179" s="32">
        <f>IF($AD179="Z",ROUND(SUM($AJ$5:$AJ$704),2),IF($AD179="B",ROUND(SUMIF($AQ$5:$AQ$704,$AQ179,$AJ$5:$AJ$704),2),IF($AD179&lt;&gt;"T","",$AJ179)))</f>
        <v/>
      </c>
      <c r="N179" s="32">
        <f>IF(OR($AD179="D",$AD179="T",$AD179="B",$AD179="Z"),ROUND(N($K179)-N($L179)-N($M179),2),"")</f>
        <v/>
      </c>
      <c r="O179" s="32">
        <f>IF(OR($AD179="D",$AD179="T",$AD179="B",$AD179="Z"),IF(N($E179)=0,"",ROUND($F179/$E179,2)),"")</f>
        <v/>
      </c>
      <c r="Q179">
        <f>IFERROR(MATCH(175,บันทึกรายเที่ยว!$Z$6:$Z$6005,0),"")</f>
        <v/>
      </c>
      <c r="R179">
        <f>IF($Q179="","",INDEX(บันทึกรายเที่ยว!$V$6:$V$6005,$Q179))</f>
        <v/>
      </c>
      <c r="S179">
        <f>IF($Q179="","",INDEX(บันทึกรายเที่ยว!$F$6:$F$6005,$Q179))</f>
        <v/>
      </c>
      <c r="T179">
        <f>IF($Q179="","",MATCH($S179,บันทึกรายเที่ยว!$F$6:$F$6005,0))</f>
        <v/>
      </c>
      <c r="U179">
        <f>IF($Q179="","",$AL179*10000000+$T179*1000+175)</f>
        <v/>
      </c>
      <c r="V179">
        <f>IFERROR(MATCH(SMALL($U$5:$U$404,175),$U$5:$U$404,0),"")</f>
        <v/>
      </c>
      <c r="W179">
        <f>IF($V179="","",INDEX($Q$5:$Q$404,$V179))</f>
        <v/>
      </c>
      <c r="X179">
        <f>IF($V179="","",INDEX($S$5:$S$404,$V179))</f>
        <v/>
      </c>
      <c r="Y179">
        <f>IF($V179="","",INDEX($R$5:$R$404,$V179))</f>
        <v/>
      </c>
      <c r="Z179">
        <f>IF($V179="",0,IF($X179&lt;&gt;$X178,1,0))</f>
        <v/>
      </c>
      <c r="AA179">
        <f>IF($V179="",0,IF($V180="",1,IF($X180&lt;&gt;$X179,1,0)))</f>
        <v/>
      </c>
      <c r="AB179">
        <f>IF($V179="",99999+175,$AB178+1+$Z178+$AA178+$AO178)</f>
        <v/>
      </c>
      <c r="AC179">
        <f>IFERROR(MATCH(175,$AB$5:$AB$404,1),"")</f>
        <v/>
      </c>
      <c r="AD179">
        <f>IF(175=$AI$1+1,"Z",IF($AC179="","",IF(INDEX($V$5:$V$404,$AC179)="","",IF(175&gt;INDEX($AB$5:$AB$404,$AC179)+INDEX($Z$5:$Z$404,$AC179)+INDEX($AA$5:$AA$404,$AC179)+INDEX($AO$5:$AO$404,$AC179),"",IF(175=INDEX($AB$5:$AB$404,$AC179)+INDEX($Z$5:$Z$404,$AC179),"D",IF(AND(INDEX($Z$5:$Z$404,$AC179)=1,175=INDEX($AB$5:$AB$404,$AC179)),"H",IF(AND(INDEX($AO$5:$AO$404,$AC179)=1,175=INDEX($AB$5:$AB$404,$AC179)+INDEX($Z$5:$Z$404,$AC179)+INDEX($AA$5:$AA$404,$AC179)+INDEX($AO$5:$AO$404,$AC179)),"B","T")))))))</f>
        <v/>
      </c>
      <c r="AF179">
        <f>IF(OR($AD179="",$AD179="Z",$AD179="B"),"",INDEX($X$5:$X$404,$AC179))</f>
        <v/>
      </c>
      <c r="AJ179">
        <f>IF($AD179&lt;&gt;"T",0,ROUND(SUMIF(oil!$B$4:$B$63,$AF179,oil!$AE$4:$AE$63),2))</f>
        <v/>
      </c>
      <c r="AK179">
        <f>IF($S179="","",IFERROR(INDEX(อัตราค่าขนส่ง!$P$5:$P$54,MATCH($S179,อัตราค่าขนส่ง!$O$5:$O$54,0)),INDEX(รายการมาตรฐาน!$G$2:$G$3,1)))</f>
        <v/>
      </c>
      <c r="AL179">
        <f>IF($S179="","",IFERROR(MATCH($AK179,รายการมาตรฐาน!$G$2:$G$3,0),1))</f>
        <v/>
      </c>
      <c r="AM179">
        <f>IF($V179="","",INDEX($AK$5:$AK$404,$V179))</f>
        <v/>
      </c>
      <c r="AN179">
        <f>IF($V179="","",INDEX($AL$5:$AL$404,$V179))</f>
        <v/>
      </c>
      <c r="AO179">
        <f>IF(OR($V179="",$AI$2&lt;=1),0,IF($V180="",1,IF($AN180&lt;&gt;$AN179,1,0)))</f>
        <v/>
      </c>
      <c r="AP179">
        <f>IF($V179="",0,IF($AN179&lt;&gt;$AN178,1,0))</f>
        <v/>
      </c>
      <c r="AQ179">
        <f>IF(OR($AD179="",$AD179="Z"),"",INDEX($AN$5:$AN$404,$AC179))</f>
        <v/>
      </c>
      <c r="AR179">
        <f>IF($Y179="",0,COUNTIF(บันทึกรายเที่ยว!$V$6:$V$6005,$Y179))</f>
        <v/>
      </c>
      <c r="AS179">
        <f>IF($Y179="",0,ROUND(SUMIF(บันทึกรายเที่ยว!$V$6:$V$6005,$Y179,บันทึกรายเที่ยว!$M$6:$M$6005),2))</f>
        <v/>
      </c>
      <c r="AT179">
        <f>IF($Y179="",0,IFERROR(INDEX(อัตราค่าขนส่ง!$G$5:$G$204,MATCH($Y179,อัตราค่าขนส่ง!$M$5:$M$204,0)),0))</f>
        <v/>
      </c>
      <c r="AU179">
        <f>ROUND($AS179*$BD179,2)</f>
        <v/>
      </c>
      <c r="AV179">
        <f>ROUND($AU179*$BF$2/100,2)</f>
        <v/>
      </c>
      <c r="AW179">
        <f>IF($Y179="","",IFERROR(INDEX(อัตราค่าขนส่ง!$F$5:$F$204,MATCH($Y179,อัตราค่าขนส่ง!$M$5:$M$204,0)),""))</f>
        <v/>
      </c>
      <c r="AX179">
        <f>IF($W179="","",INDEX(บันทึกรายเที่ยว!$D$6:$D$6005,$W179))</f>
        <v/>
      </c>
      <c r="AY179">
        <f>IF($W179="","",INDEX(บันทึกรายเที่ยว!$R$6:$R$6005,$W179))</f>
        <v/>
      </c>
      <c r="AZ179">
        <f>IF(AND($AD179="T",$AQ179=1),N($AZ178)+1,N($AZ178))</f>
        <v/>
      </c>
      <c r="BA179">
        <f>IF($W179="","",INDEX(บันทึกรายเที่ยว!$E$6:$E$6005,$W179))</f>
        <v/>
      </c>
      <c r="BC179">
        <f>IF($Y179="",0,IFERROR(INDEX(อัตราค่าขนส่ง!$K$5:$K$204,MATCH($Y179,อัตราค่าขนส่ง!$M$5:$M$204,0)),0))</f>
        <v/>
      </c>
      <c r="BD179">
        <f>IF($Y179="",0,IFERROR(INDEX(อัตราค่าขนส่ง!$L$5:$L$204,MATCH($Y179,อัตราค่าขนส่ง!$M$5:$M$204,0)),0))</f>
        <v/>
      </c>
    </row>
    <row r="180" ht="21" customHeight="1" s="66">
      <c r="A180" s="69">
        <f>IF($AD180="","",IF($AD180="Z","รวมจ่ายทั้งสิ้น",IF($AD180="H",INDEX($X$5:$X$404,$AC180),IF($AD180="T","รวม",IF($AD180="B",IFERROR(INDEX(อัตราค่าขนส่ง!$S$5:$S$14,MATCH(INDEX($AM$5:$AM$404,$AC180),อัตราค่าขนส่ง!$R$5:$R$14,0)),"รวมกลุ่ม "&amp;INDEX($AM$5:$AM$404,$AC180)),INDEX($AY$5:$AY$404,$AC180))))))</f>
        <v/>
      </c>
      <c r="B180" s="31">
        <f>IF($AD180&lt;&gt;"D","",INDEX($AW$5:$AW$404,$AC180))</f>
        <v/>
      </c>
      <c r="C180" s="68">
        <f>IF($AD180&lt;&gt;"D","",INDEX($AX$5:$AX$404,$AC180))</f>
        <v/>
      </c>
      <c r="D180" s="70">
        <f>IF($AD180&lt;&gt;"D","",INDEX($BA$5:$BA$404,$AC180))</f>
        <v/>
      </c>
      <c r="E180" s="31">
        <f>IF($AD180="Z",SUM($AR$5:$AR$404),IF($AD180="D",INDEX($AR$5:$AR$404,$AC180),IF($AD180="T",SUMIF($X$5:$X$404,$AF180,$AR$5:$AR$404),IF($AD180="B",SUMIF($AN$5:$AN$404,$AQ180,$AR$5:$AR$404),""))))</f>
        <v/>
      </c>
      <c r="F180" s="32">
        <f>IF($AD180="Z",ROUND(SUM($AS$5:$AS$404),2),IF($AD180="D",INDEX($AS$5:$AS$404,$AC180),IF($AD180="T",ROUND(SUMIF($X$5:$X$404,$AF180,$AS$5:$AS$404),2),IF($AD180="B",ROUND(SUMIF($AN$5:$AN$404,$AQ180,$AS$5:$AS$404),2),""))))</f>
        <v/>
      </c>
      <c r="G180" s="32">
        <f>IF($AD180&lt;&gt;"D","",INDEX($AT$5:$AT$404,$AC180))</f>
        <v/>
      </c>
      <c r="H180" s="32">
        <f>IF($AD180&lt;&gt;"D","",INDEX($BC$5:$BC$404,$AC180))</f>
        <v/>
      </c>
      <c r="I180" s="32">
        <f>IF($AD180&lt;&gt;"D","",INDEX($BD$5:$BD$404,$AC180))</f>
        <v/>
      </c>
      <c r="J180" s="46">
        <f>IF($AD180&lt;&gt;"D","",IF(N($B180)=0,"",ROUND($I180/$B180,4)))</f>
        <v/>
      </c>
      <c r="K180" s="32">
        <f>IF($AD180="Z",ROUND(SUM($AU$5:$AU$404),2),IF($AD180="D",INDEX($AU$5:$AU$404,$AC180),IF($AD180="T",ROUND(SUMIF($X$5:$X$404,$AF180,$AU$5:$AU$404),2),IF($AD180="B",ROUND(SUMIF($AN$5:$AN$404,$AQ180,$AU$5:$AU$404),2),""))))</f>
        <v/>
      </c>
      <c r="L180" s="32">
        <f>IF($AD180="Z",ROUND(SUM($AV$5:$AV$404),2),IF($AD180="D",INDEX($AV$5:$AV$404,$AC180),IF($AD180="T",ROUND(SUMIF($X$5:$X$404,$AF180,$AV$5:$AV$404),2),IF($AD180="B",ROUND(SUMIF($AN$5:$AN$404,$AQ180,$AV$5:$AV$404),2),""))))</f>
        <v/>
      </c>
      <c r="M180" s="32">
        <f>IF($AD180="Z",ROUND(SUM($AJ$5:$AJ$704),2),IF($AD180="B",ROUND(SUMIF($AQ$5:$AQ$704,$AQ180,$AJ$5:$AJ$704),2),IF($AD180&lt;&gt;"T","",$AJ180)))</f>
        <v/>
      </c>
      <c r="N180" s="32">
        <f>IF(OR($AD180="D",$AD180="T",$AD180="B",$AD180="Z"),ROUND(N($K180)-N($L180)-N($M180),2),"")</f>
        <v/>
      </c>
      <c r="O180" s="32">
        <f>IF(OR($AD180="D",$AD180="T",$AD180="B",$AD180="Z"),IF(N($E180)=0,"",ROUND($F180/$E180,2)),"")</f>
        <v/>
      </c>
      <c r="Q180">
        <f>IFERROR(MATCH(176,บันทึกรายเที่ยว!$Z$6:$Z$6005,0),"")</f>
        <v/>
      </c>
      <c r="R180">
        <f>IF($Q180="","",INDEX(บันทึกรายเที่ยว!$V$6:$V$6005,$Q180))</f>
        <v/>
      </c>
      <c r="S180">
        <f>IF($Q180="","",INDEX(บันทึกรายเที่ยว!$F$6:$F$6005,$Q180))</f>
        <v/>
      </c>
      <c r="T180">
        <f>IF($Q180="","",MATCH($S180,บันทึกรายเที่ยว!$F$6:$F$6005,0))</f>
        <v/>
      </c>
      <c r="U180">
        <f>IF($Q180="","",$AL180*10000000+$T180*1000+176)</f>
        <v/>
      </c>
      <c r="V180">
        <f>IFERROR(MATCH(SMALL($U$5:$U$404,176),$U$5:$U$404,0),"")</f>
        <v/>
      </c>
      <c r="W180">
        <f>IF($V180="","",INDEX($Q$5:$Q$404,$V180))</f>
        <v/>
      </c>
      <c r="X180">
        <f>IF($V180="","",INDEX($S$5:$S$404,$V180))</f>
        <v/>
      </c>
      <c r="Y180">
        <f>IF($V180="","",INDEX($R$5:$R$404,$V180))</f>
        <v/>
      </c>
      <c r="Z180">
        <f>IF($V180="",0,IF($X180&lt;&gt;$X179,1,0))</f>
        <v/>
      </c>
      <c r="AA180">
        <f>IF($V180="",0,IF($V181="",1,IF($X181&lt;&gt;$X180,1,0)))</f>
        <v/>
      </c>
      <c r="AB180">
        <f>IF($V180="",99999+176,$AB179+1+$Z179+$AA179+$AO179)</f>
        <v/>
      </c>
      <c r="AC180">
        <f>IFERROR(MATCH(176,$AB$5:$AB$404,1),"")</f>
        <v/>
      </c>
      <c r="AD180">
        <f>IF(176=$AI$1+1,"Z",IF($AC180="","",IF(INDEX($V$5:$V$404,$AC180)="","",IF(176&gt;INDEX($AB$5:$AB$404,$AC180)+INDEX($Z$5:$Z$404,$AC180)+INDEX($AA$5:$AA$404,$AC180)+INDEX($AO$5:$AO$404,$AC180),"",IF(176=INDEX($AB$5:$AB$404,$AC180)+INDEX($Z$5:$Z$404,$AC180),"D",IF(AND(INDEX($Z$5:$Z$404,$AC180)=1,176=INDEX($AB$5:$AB$404,$AC180)),"H",IF(AND(INDEX($AO$5:$AO$404,$AC180)=1,176=INDEX($AB$5:$AB$404,$AC180)+INDEX($Z$5:$Z$404,$AC180)+INDEX($AA$5:$AA$404,$AC180)+INDEX($AO$5:$AO$404,$AC180)),"B","T")))))))</f>
        <v/>
      </c>
      <c r="AF180">
        <f>IF(OR($AD180="",$AD180="Z",$AD180="B"),"",INDEX($X$5:$X$404,$AC180))</f>
        <v/>
      </c>
      <c r="AJ180">
        <f>IF($AD180&lt;&gt;"T",0,ROUND(SUMIF(oil!$B$4:$B$63,$AF180,oil!$AE$4:$AE$63),2))</f>
        <v/>
      </c>
      <c r="AK180">
        <f>IF($S180="","",IFERROR(INDEX(อัตราค่าขนส่ง!$P$5:$P$54,MATCH($S180,อัตราค่าขนส่ง!$O$5:$O$54,0)),INDEX(รายการมาตรฐาน!$G$2:$G$3,1)))</f>
        <v/>
      </c>
      <c r="AL180">
        <f>IF($S180="","",IFERROR(MATCH($AK180,รายการมาตรฐาน!$G$2:$G$3,0),1))</f>
        <v/>
      </c>
      <c r="AM180">
        <f>IF($V180="","",INDEX($AK$5:$AK$404,$V180))</f>
        <v/>
      </c>
      <c r="AN180">
        <f>IF($V180="","",INDEX($AL$5:$AL$404,$V180))</f>
        <v/>
      </c>
      <c r="AO180">
        <f>IF(OR($V180="",$AI$2&lt;=1),0,IF($V181="",1,IF($AN181&lt;&gt;$AN180,1,0)))</f>
        <v/>
      </c>
      <c r="AP180">
        <f>IF($V180="",0,IF($AN180&lt;&gt;$AN179,1,0))</f>
        <v/>
      </c>
      <c r="AQ180">
        <f>IF(OR($AD180="",$AD180="Z"),"",INDEX($AN$5:$AN$404,$AC180))</f>
        <v/>
      </c>
      <c r="AR180">
        <f>IF($Y180="",0,COUNTIF(บันทึกรายเที่ยว!$V$6:$V$6005,$Y180))</f>
        <v/>
      </c>
      <c r="AS180">
        <f>IF($Y180="",0,ROUND(SUMIF(บันทึกรายเที่ยว!$V$6:$V$6005,$Y180,บันทึกรายเที่ยว!$M$6:$M$6005),2))</f>
        <v/>
      </c>
      <c r="AT180">
        <f>IF($Y180="",0,IFERROR(INDEX(อัตราค่าขนส่ง!$G$5:$G$204,MATCH($Y180,อัตราค่าขนส่ง!$M$5:$M$204,0)),0))</f>
        <v/>
      </c>
      <c r="AU180">
        <f>ROUND($AS180*$BD180,2)</f>
        <v/>
      </c>
      <c r="AV180">
        <f>ROUND($AU180*$BF$2/100,2)</f>
        <v/>
      </c>
      <c r="AW180">
        <f>IF($Y180="","",IFERROR(INDEX(อัตราค่าขนส่ง!$F$5:$F$204,MATCH($Y180,อัตราค่าขนส่ง!$M$5:$M$204,0)),""))</f>
        <v/>
      </c>
      <c r="AX180">
        <f>IF($W180="","",INDEX(บันทึกรายเที่ยว!$D$6:$D$6005,$W180))</f>
        <v/>
      </c>
      <c r="AY180">
        <f>IF($W180="","",INDEX(บันทึกรายเที่ยว!$R$6:$R$6005,$W180))</f>
        <v/>
      </c>
      <c r="AZ180">
        <f>IF(AND($AD180="T",$AQ180=1),N($AZ179)+1,N($AZ179))</f>
        <v/>
      </c>
      <c r="BA180">
        <f>IF($W180="","",INDEX(บันทึกรายเที่ยว!$E$6:$E$6005,$W180))</f>
        <v/>
      </c>
      <c r="BC180">
        <f>IF($Y180="",0,IFERROR(INDEX(อัตราค่าขนส่ง!$K$5:$K$204,MATCH($Y180,อัตราค่าขนส่ง!$M$5:$M$204,0)),0))</f>
        <v/>
      </c>
      <c r="BD180">
        <f>IF($Y180="",0,IFERROR(INDEX(อัตราค่าขนส่ง!$L$5:$L$204,MATCH($Y180,อัตราค่าขนส่ง!$M$5:$M$204,0)),0))</f>
        <v/>
      </c>
    </row>
    <row r="181" ht="21" customHeight="1" s="66">
      <c r="A181" s="69">
        <f>IF($AD181="","",IF($AD181="Z","รวมจ่ายทั้งสิ้น",IF($AD181="H",INDEX($X$5:$X$404,$AC181),IF($AD181="T","รวม",IF($AD181="B",IFERROR(INDEX(อัตราค่าขนส่ง!$S$5:$S$14,MATCH(INDEX($AM$5:$AM$404,$AC181),อัตราค่าขนส่ง!$R$5:$R$14,0)),"รวมกลุ่ม "&amp;INDEX($AM$5:$AM$404,$AC181)),INDEX($AY$5:$AY$404,$AC181))))))</f>
        <v/>
      </c>
      <c r="B181" s="31">
        <f>IF($AD181&lt;&gt;"D","",INDEX($AW$5:$AW$404,$AC181))</f>
        <v/>
      </c>
      <c r="C181" s="68">
        <f>IF($AD181&lt;&gt;"D","",INDEX($AX$5:$AX$404,$AC181))</f>
        <v/>
      </c>
      <c r="D181" s="70">
        <f>IF($AD181&lt;&gt;"D","",INDEX($BA$5:$BA$404,$AC181))</f>
        <v/>
      </c>
      <c r="E181" s="31">
        <f>IF($AD181="Z",SUM($AR$5:$AR$404),IF($AD181="D",INDEX($AR$5:$AR$404,$AC181),IF($AD181="T",SUMIF($X$5:$X$404,$AF181,$AR$5:$AR$404),IF($AD181="B",SUMIF($AN$5:$AN$404,$AQ181,$AR$5:$AR$404),""))))</f>
        <v/>
      </c>
      <c r="F181" s="32">
        <f>IF($AD181="Z",ROUND(SUM($AS$5:$AS$404),2),IF($AD181="D",INDEX($AS$5:$AS$404,$AC181),IF($AD181="T",ROUND(SUMIF($X$5:$X$404,$AF181,$AS$5:$AS$404),2),IF($AD181="B",ROUND(SUMIF($AN$5:$AN$404,$AQ181,$AS$5:$AS$404),2),""))))</f>
        <v/>
      </c>
      <c r="G181" s="32">
        <f>IF($AD181&lt;&gt;"D","",INDEX($AT$5:$AT$404,$AC181))</f>
        <v/>
      </c>
      <c r="H181" s="32">
        <f>IF($AD181&lt;&gt;"D","",INDEX($BC$5:$BC$404,$AC181))</f>
        <v/>
      </c>
      <c r="I181" s="32">
        <f>IF($AD181&lt;&gt;"D","",INDEX($BD$5:$BD$404,$AC181))</f>
        <v/>
      </c>
      <c r="J181" s="46">
        <f>IF($AD181&lt;&gt;"D","",IF(N($B181)=0,"",ROUND($I181/$B181,4)))</f>
        <v/>
      </c>
      <c r="K181" s="32">
        <f>IF($AD181="Z",ROUND(SUM($AU$5:$AU$404),2),IF($AD181="D",INDEX($AU$5:$AU$404,$AC181),IF($AD181="T",ROUND(SUMIF($X$5:$X$404,$AF181,$AU$5:$AU$404),2),IF($AD181="B",ROUND(SUMIF($AN$5:$AN$404,$AQ181,$AU$5:$AU$404),2),""))))</f>
        <v/>
      </c>
      <c r="L181" s="32">
        <f>IF($AD181="Z",ROUND(SUM($AV$5:$AV$404),2),IF($AD181="D",INDEX($AV$5:$AV$404,$AC181),IF($AD181="T",ROUND(SUMIF($X$5:$X$404,$AF181,$AV$5:$AV$404),2),IF($AD181="B",ROUND(SUMIF($AN$5:$AN$404,$AQ181,$AV$5:$AV$404),2),""))))</f>
        <v/>
      </c>
      <c r="M181" s="32">
        <f>IF($AD181="Z",ROUND(SUM($AJ$5:$AJ$704),2),IF($AD181="B",ROUND(SUMIF($AQ$5:$AQ$704,$AQ181,$AJ$5:$AJ$704),2),IF($AD181&lt;&gt;"T","",$AJ181)))</f>
        <v/>
      </c>
      <c r="N181" s="32">
        <f>IF(OR($AD181="D",$AD181="T",$AD181="B",$AD181="Z"),ROUND(N($K181)-N($L181)-N($M181),2),"")</f>
        <v/>
      </c>
      <c r="O181" s="32">
        <f>IF(OR($AD181="D",$AD181="T",$AD181="B",$AD181="Z"),IF(N($E181)=0,"",ROUND($F181/$E181,2)),"")</f>
        <v/>
      </c>
      <c r="Q181">
        <f>IFERROR(MATCH(177,บันทึกรายเที่ยว!$Z$6:$Z$6005,0),"")</f>
        <v/>
      </c>
      <c r="R181">
        <f>IF($Q181="","",INDEX(บันทึกรายเที่ยว!$V$6:$V$6005,$Q181))</f>
        <v/>
      </c>
      <c r="S181">
        <f>IF($Q181="","",INDEX(บันทึกรายเที่ยว!$F$6:$F$6005,$Q181))</f>
        <v/>
      </c>
      <c r="T181">
        <f>IF($Q181="","",MATCH($S181,บันทึกรายเที่ยว!$F$6:$F$6005,0))</f>
        <v/>
      </c>
      <c r="U181">
        <f>IF($Q181="","",$AL181*10000000+$T181*1000+177)</f>
        <v/>
      </c>
      <c r="V181">
        <f>IFERROR(MATCH(SMALL($U$5:$U$404,177),$U$5:$U$404,0),"")</f>
        <v/>
      </c>
      <c r="W181">
        <f>IF($V181="","",INDEX($Q$5:$Q$404,$V181))</f>
        <v/>
      </c>
      <c r="X181">
        <f>IF($V181="","",INDEX($S$5:$S$404,$V181))</f>
        <v/>
      </c>
      <c r="Y181">
        <f>IF($V181="","",INDEX($R$5:$R$404,$V181))</f>
        <v/>
      </c>
      <c r="Z181">
        <f>IF($V181="",0,IF($X181&lt;&gt;$X180,1,0))</f>
        <v/>
      </c>
      <c r="AA181">
        <f>IF($V181="",0,IF($V182="",1,IF($X182&lt;&gt;$X181,1,0)))</f>
        <v/>
      </c>
      <c r="AB181">
        <f>IF($V181="",99999+177,$AB180+1+$Z180+$AA180+$AO180)</f>
        <v/>
      </c>
      <c r="AC181">
        <f>IFERROR(MATCH(177,$AB$5:$AB$404,1),"")</f>
        <v/>
      </c>
      <c r="AD181">
        <f>IF(177=$AI$1+1,"Z",IF($AC181="","",IF(INDEX($V$5:$V$404,$AC181)="","",IF(177&gt;INDEX($AB$5:$AB$404,$AC181)+INDEX($Z$5:$Z$404,$AC181)+INDEX($AA$5:$AA$404,$AC181)+INDEX($AO$5:$AO$404,$AC181),"",IF(177=INDEX($AB$5:$AB$404,$AC181)+INDEX($Z$5:$Z$404,$AC181),"D",IF(AND(INDEX($Z$5:$Z$404,$AC181)=1,177=INDEX($AB$5:$AB$404,$AC181)),"H",IF(AND(INDEX($AO$5:$AO$404,$AC181)=1,177=INDEX($AB$5:$AB$404,$AC181)+INDEX($Z$5:$Z$404,$AC181)+INDEX($AA$5:$AA$404,$AC181)+INDEX($AO$5:$AO$404,$AC181)),"B","T")))))))</f>
        <v/>
      </c>
      <c r="AF181">
        <f>IF(OR($AD181="",$AD181="Z",$AD181="B"),"",INDEX($X$5:$X$404,$AC181))</f>
        <v/>
      </c>
      <c r="AJ181">
        <f>IF($AD181&lt;&gt;"T",0,ROUND(SUMIF(oil!$B$4:$B$63,$AF181,oil!$AE$4:$AE$63),2))</f>
        <v/>
      </c>
      <c r="AK181">
        <f>IF($S181="","",IFERROR(INDEX(อัตราค่าขนส่ง!$P$5:$P$54,MATCH($S181,อัตราค่าขนส่ง!$O$5:$O$54,0)),INDEX(รายการมาตรฐาน!$G$2:$G$3,1)))</f>
        <v/>
      </c>
      <c r="AL181">
        <f>IF($S181="","",IFERROR(MATCH($AK181,รายการมาตรฐาน!$G$2:$G$3,0),1))</f>
        <v/>
      </c>
      <c r="AM181">
        <f>IF($V181="","",INDEX($AK$5:$AK$404,$V181))</f>
        <v/>
      </c>
      <c r="AN181">
        <f>IF($V181="","",INDEX($AL$5:$AL$404,$V181))</f>
        <v/>
      </c>
      <c r="AO181">
        <f>IF(OR($V181="",$AI$2&lt;=1),0,IF($V182="",1,IF($AN182&lt;&gt;$AN181,1,0)))</f>
        <v/>
      </c>
      <c r="AP181">
        <f>IF($V181="",0,IF($AN181&lt;&gt;$AN180,1,0))</f>
        <v/>
      </c>
      <c r="AQ181">
        <f>IF(OR($AD181="",$AD181="Z"),"",INDEX($AN$5:$AN$404,$AC181))</f>
        <v/>
      </c>
      <c r="AR181">
        <f>IF($Y181="",0,COUNTIF(บันทึกรายเที่ยว!$V$6:$V$6005,$Y181))</f>
        <v/>
      </c>
      <c r="AS181">
        <f>IF($Y181="",0,ROUND(SUMIF(บันทึกรายเที่ยว!$V$6:$V$6005,$Y181,บันทึกรายเที่ยว!$M$6:$M$6005),2))</f>
        <v/>
      </c>
      <c r="AT181">
        <f>IF($Y181="",0,IFERROR(INDEX(อัตราค่าขนส่ง!$G$5:$G$204,MATCH($Y181,อัตราค่าขนส่ง!$M$5:$M$204,0)),0))</f>
        <v/>
      </c>
      <c r="AU181">
        <f>ROUND($AS181*$BD181,2)</f>
        <v/>
      </c>
      <c r="AV181">
        <f>ROUND($AU181*$BF$2/100,2)</f>
        <v/>
      </c>
      <c r="AW181">
        <f>IF($Y181="","",IFERROR(INDEX(อัตราค่าขนส่ง!$F$5:$F$204,MATCH($Y181,อัตราค่าขนส่ง!$M$5:$M$204,0)),""))</f>
        <v/>
      </c>
      <c r="AX181">
        <f>IF($W181="","",INDEX(บันทึกรายเที่ยว!$D$6:$D$6005,$W181))</f>
        <v/>
      </c>
      <c r="AY181">
        <f>IF($W181="","",INDEX(บันทึกรายเที่ยว!$R$6:$R$6005,$W181))</f>
        <v/>
      </c>
      <c r="AZ181">
        <f>IF(AND($AD181="T",$AQ181=1),N($AZ180)+1,N($AZ180))</f>
        <v/>
      </c>
      <c r="BA181">
        <f>IF($W181="","",INDEX(บันทึกรายเที่ยว!$E$6:$E$6005,$W181))</f>
        <v/>
      </c>
      <c r="BC181">
        <f>IF($Y181="",0,IFERROR(INDEX(อัตราค่าขนส่ง!$K$5:$K$204,MATCH($Y181,อัตราค่าขนส่ง!$M$5:$M$204,0)),0))</f>
        <v/>
      </c>
      <c r="BD181">
        <f>IF($Y181="",0,IFERROR(INDEX(อัตราค่าขนส่ง!$L$5:$L$204,MATCH($Y181,อัตราค่าขนส่ง!$M$5:$M$204,0)),0))</f>
        <v/>
      </c>
    </row>
    <row r="182" ht="21" customHeight="1" s="66">
      <c r="A182" s="69">
        <f>IF($AD182="","",IF($AD182="Z","รวมจ่ายทั้งสิ้น",IF($AD182="H",INDEX($X$5:$X$404,$AC182),IF($AD182="T","รวม",IF($AD182="B",IFERROR(INDEX(อัตราค่าขนส่ง!$S$5:$S$14,MATCH(INDEX($AM$5:$AM$404,$AC182),อัตราค่าขนส่ง!$R$5:$R$14,0)),"รวมกลุ่ม "&amp;INDEX($AM$5:$AM$404,$AC182)),INDEX($AY$5:$AY$404,$AC182))))))</f>
        <v/>
      </c>
      <c r="B182" s="31">
        <f>IF($AD182&lt;&gt;"D","",INDEX($AW$5:$AW$404,$AC182))</f>
        <v/>
      </c>
      <c r="C182" s="68">
        <f>IF($AD182&lt;&gt;"D","",INDEX($AX$5:$AX$404,$AC182))</f>
        <v/>
      </c>
      <c r="D182" s="70">
        <f>IF($AD182&lt;&gt;"D","",INDEX($BA$5:$BA$404,$AC182))</f>
        <v/>
      </c>
      <c r="E182" s="31">
        <f>IF($AD182="Z",SUM($AR$5:$AR$404),IF($AD182="D",INDEX($AR$5:$AR$404,$AC182),IF($AD182="T",SUMIF($X$5:$X$404,$AF182,$AR$5:$AR$404),IF($AD182="B",SUMIF($AN$5:$AN$404,$AQ182,$AR$5:$AR$404),""))))</f>
        <v/>
      </c>
      <c r="F182" s="32">
        <f>IF($AD182="Z",ROUND(SUM($AS$5:$AS$404),2),IF($AD182="D",INDEX($AS$5:$AS$404,$AC182),IF($AD182="T",ROUND(SUMIF($X$5:$X$404,$AF182,$AS$5:$AS$404),2),IF($AD182="B",ROUND(SUMIF($AN$5:$AN$404,$AQ182,$AS$5:$AS$404),2),""))))</f>
        <v/>
      </c>
      <c r="G182" s="32">
        <f>IF($AD182&lt;&gt;"D","",INDEX($AT$5:$AT$404,$AC182))</f>
        <v/>
      </c>
      <c r="H182" s="32">
        <f>IF($AD182&lt;&gt;"D","",INDEX($BC$5:$BC$404,$AC182))</f>
        <v/>
      </c>
      <c r="I182" s="32">
        <f>IF($AD182&lt;&gt;"D","",INDEX($BD$5:$BD$404,$AC182))</f>
        <v/>
      </c>
      <c r="J182" s="46">
        <f>IF($AD182&lt;&gt;"D","",IF(N($B182)=0,"",ROUND($I182/$B182,4)))</f>
        <v/>
      </c>
      <c r="K182" s="32">
        <f>IF($AD182="Z",ROUND(SUM($AU$5:$AU$404),2),IF($AD182="D",INDEX($AU$5:$AU$404,$AC182),IF($AD182="T",ROUND(SUMIF($X$5:$X$404,$AF182,$AU$5:$AU$404),2),IF($AD182="B",ROUND(SUMIF($AN$5:$AN$404,$AQ182,$AU$5:$AU$404),2),""))))</f>
        <v/>
      </c>
      <c r="L182" s="32">
        <f>IF($AD182="Z",ROUND(SUM($AV$5:$AV$404),2),IF($AD182="D",INDEX($AV$5:$AV$404,$AC182),IF($AD182="T",ROUND(SUMIF($X$5:$X$404,$AF182,$AV$5:$AV$404),2),IF($AD182="B",ROUND(SUMIF($AN$5:$AN$404,$AQ182,$AV$5:$AV$404),2),""))))</f>
        <v/>
      </c>
      <c r="M182" s="32">
        <f>IF($AD182="Z",ROUND(SUM($AJ$5:$AJ$704),2),IF($AD182="B",ROUND(SUMIF($AQ$5:$AQ$704,$AQ182,$AJ$5:$AJ$704),2),IF($AD182&lt;&gt;"T","",$AJ182)))</f>
        <v/>
      </c>
      <c r="N182" s="32">
        <f>IF(OR($AD182="D",$AD182="T",$AD182="B",$AD182="Z"),ROUND(N($K182)-N($L182)-N($M182),2),"")</f>
        <v/>
      </c>
      <c r="O182" s="32">
        <f>IF(OR($AD182="D",$AD182="T",$AD182="B",$AD182="Z"),IF(N($E182)=0,"",ROUND($F182/$E182,2)),"")</f>
        <v/>
      </c>
      <c r="Q182">
        <f>IFERROR(MATCH(178,บันทึกรายเที่ยว!$Z$6:$Z$6005,0),"")</f>
        <v/>
      </c>
      <c r="R182">
        <f>IF($Q182="","",INDEX(บันทึกรายเที่ยว!$V$6:$V$6005,$Q182))</f>
        <v/>
      </c>
      <c r="S182">
        <f>IF($Q182="","",INDEX(บันทึกรายเที่ยว!$F$6:$F$6005,$Q182))</f>
        <v/>
      </c>
      <c r="T182">
        <f>IF($Q182="","",MATCH($S182,บันทึกรายเที่ยว!$F$6:$F$6005,0))</f>
        <v/>
      </c>
      <c r="U182">
        <f>IF($Q182="","",$AL182*10000000+$T182*1000+178)</f>
        <v/>
      </c>
      <c r="V182">
        <f>IFERROR(MATCH(SMALL($U$5:$U$404,178),$U$5:$U$404,0),"")</f>
        <v/>
      </c>
      <c r="W182">
        <f>IF($V182="","",INDEX($Q$5:$Q$404,$V182))</f>
        <v/>
      </c>
      <c r="X182">
        <f>IF($V182="","",INDEX($S$5:$S$404,$V182))</f>
        <v/>
      </c>
      <c r="Y182">
        <f>IF($V182="","",INDEX($R$5:$R$404,$V182))</f>
        <v/>
      </c>
      <c r="Z182">
        <f>IF($V182="",0,IF($X182&lt;&gt;$X181,1,0))</f>
        <v/>
      </c>
      <c r="AA182">
        <f>IF($V182="",0,IF($V183="",1,IF($X183&lt;&gt;$X182,1,0)))</f>
        <v/>
      </c>
      <c r="AB182">
        <f>IF($V182="",99999+178,$AB181+1+$Z181+$AA181+$AO181)</f>
        <v/>
      </c>
      <c r="AC182">
        <f>IFERROR(MATCH(178,$AB$5:$AB$404,1),"")</f>
        <v/>
      </c>
      <c r="AD182">
        <f>IF(178=$AI$1+1,"Z",IF($AC182="","",IF(INDEX($V$5:$V$404,$AC182)="","",IF(178&gt;INDEX($AB$5:$AB$404,$AC182)+INDEX($Z$5:$Z$404,$AC182)+INDEX($AA$5:$AA$404,$AC182)+INDEX($AO$5:$AO$404,$AC182),"",IF(178=INDEX($AB$5:$AB$404,$AC182)+INDEX($Z$5:$Z$404,$AC182),"D",IF(AND(INDEX($Z$5:$Z$404,$AC182)=1,178=INDEX($AB$5:$AB$404,$AC182)),"H",IF(AND(INDEX($AO$5:$AO$404,$AC182)=1,178=INDEX($AB$5:$AB$404,$AC182)+INDEX($Z$5:$Z$404,$AC182)+INDEX($AA$5:$AA$404,$AC182)+INDEX($AO$5:$AO$404,$AC182)),"B","T")))))))</f>
        <v/>
      </c>
      <c r="AF182">
        <f>IF(OR($AD182="",$AD182="Z",$AD182="B"),"",INDEX($X$5:$X$404,$AC182))</f>
        <v/>
      </c>
      <c r="AJ182">
        <f>IF($AD182&lt;&gt;"T",0,ROUND(SUMIF(oil!$B$4:$B$63,$AF182,oil!$AE$4:$AE$63),2))</f>
        <v/>
      </c>
      <c r="AK182">
        <f>IF($S182="","",IFERROR(INDEX(อัตราค่าขนส่ง!$P$5:$P$54,MATCH($S182,อัตราค่าขนส่ง!$O$5:$O$54,0)),INDEX(รายการมาตรฐาน!$G$2:$G$3,1)))</f>
        <v/>
      </c>
      <c r="AL182">
        <f>IF($S182="","",IFERROR(MATCH($AK182,รายการมาตรฐาน!$G$2:$G$3,0),1))</f>
        <v/>
      </c>
      <c r="AM182">
        <f>IF($V182="","",INDEX($AK$5:$AK$404,$V182))</f>
        <v/>
      </c>
      <c r="AN182">
        <f>IF($V182="","",INDEX($AL$5:$AL$404,$V182))</f>
        <v/>
      </c>
      <c r="AO182">
        <f>IF(OR($V182="",$AI$2&lt;=1),0,IF($V183="",1,IF($AN183&lt;&gt;$AN182,1,0)))</f>
        <v/>
      </c>
      <c r="AP182">
        <f>IF($V182="",0,IF($AN182&lt;&gt;$AN181,1,0))</f>
        <v/>
      </c>
      <c r="AQ182">
        <f>IF(OR($AD182="",$AD182="Z"),"",INDEX($AN$5:$AN$404,$AC182))</f>
        <v/>
      </c>
      <c r="AR182">
        <f>IF($Y182="",0,COUNTIF(บันทึกรายเที่ยว!$V$6:$V$6005,$Y182))</f>
        <v/>
      </c>
      <c r="AS182">
        <f>IF($Y182="",0,ROUND(SUMIF(บันทึกรายเที่ยว!$V$6:$V$6005,$Y182,บันทึกรายเที่ยว!$M$6:$M$6005),2))</f>
        <v/>
      </c>
      <c r="AT182">
        <f>IF($Y182="",0,IFERROR(INDEX(อัตราค่าขนส่ง!$G$5:$G$204,MATCH($Y182,อัตราค่าขนส่ง!$M$5:$M$204,0)),0))</f>
        <v/>
      </c>
      <c r="AU182">
        <f>ROUND($AS182*$BD182,2)</f>
        <v/>
      </c>
      <c r="AV182">
        <f>ROUND($AU182*$BF$2/100,2)</f>
        <v/>
      </c>
      <c r="AW182">
        <f>IF($Y182="","",IFERROR(INDEX(อัตราค่าขนส่ง!$F$5:$F$204,MATCH($Y182,อัตราค่าขนส่ง!$M$5:$M$204,0)),""))</f>
        <v/>
      </c>
      <c r="AX182">
        <f>IF($W182="","",INDEX(บันทึกรายเที่ยว!$D$6:$D$6005,$W182))</f>
        <v/>
      </c>
      <c r="AY182">
        <f>IF($W182="","",INDEX(บันทึกรายเที่ยว!$R$6:$R$6005,$W182))</f>
        <v/>
      </c>
      <c r="AZ182">
        <f>IF(AND($AD182="T",$AQ182=1),N($AZ181)+1,N($AZ181))</f>
        <v/>
      </c>
      <c r="BA182">
        <f>IF($W182="","",INDEX(บันทึกรายเที่ยว!$E$6:$E$6005,$W182))</f>
        <v/>
      </c>
      <c r="BC182">
        <f>IF($Y182="",0,IFERROR(INDEX(อัตราค่าขนส่ง!$K$5:$K$204,MATCH($Y182,อัตราค่าขนส่ง!$M$5:$M$204,0)),0))</f>
        <v/>
      </c>
      <c r="BD182">
        <f>IF($Y182="",0,IFERROR(INDEX(อัตราค่าขนส่ง!$L$5:$L$204,MATCH($Y182,อัตราค่าขนส่ง!$M$5:$M$204,0)),0))</f>
        <v/>
      </c>
    </row>
    <row r="183" ht="21" customHeight="1" s="66">
      <c r="A183" s="69">
        <f>IF($AD183="","",IF($AD183="Z","รวมจ่ายทั้งสิ้น",IF($AD183="H",INDEX($X$5:$X$404,$AC183),IF($AD183="T","รวม",IF($AD183="B",IFERROR(INDEX(อัตราค่าขนส่ง!$S$5:$S$14,MATCH(INDEX($AM$5:$AM$404,$AC183),อัตราค่าขนส่ง!$R$5:$R$14,0)),"รวมกลุ่ม "&amp;INDEX($AM$5:$AM$404,$AC183)),INDEX($AY$5:$AY$404,$AC183))))))</f>
        <v/>
      </c>
      <c r="B183" s="31">
        <f>IF($AD183&lt;&gt;"D","",INDEX($AW$5:$AW$404,$AC183))</f>
        <v/>
      </c>
      <c r="C183" s="68">
        <f>IF($AD183&lt;&gt;"D","",INDEX($AX$5:$AX$404,$AC183))</f>
        <v/>
      </c>
      <c r="D183" s="70">
        <f>IF($AD183&lt;&gt;"D","",INDEX($BA$5:$BA$404,$AC183))</f>
        <v/>
      </c>
      <c r="E183" s="31">
        <f>IF($AD183="Z",SUM($AR$5:$AR$404),IF($AD183="D",INDEX($AR$5:$AR$404,$AC183),IF($AD183="T",SUMIF($X$5:$X$404,$AF183,$AR$5:$AR$404),IF($AD183="B",SUMIF($AN$5:$AN$404,$AQ183,$AR$5:$AR$404),""))))</f>
        <v/>
      </c>
      <c r="F183" s="32">
        <f>IF($AD183="Z",ROUND(SUM($AS$5:$AS$404),2),IF($AD183="D",INDEX($AS$5:$AS$404,$AC183),IF($AD183="T",ROUND(SUMIF($X$5:$X$404,$AF183,$AS$5:$AS$404),2),IF($AD183="B",ROUND(SUMIF($AN$5:$AN$404,$AQ183,$AS$5:$AS$404),2),""))))</f>
        <v/>
      </c>
      <c r="G183" s="32">
        <f>IF($AD183&lt;&gt;"D","",INDEX($AT$5:$AT$404,$AC183))</f>
        <v/>
      </c>
      <c r="H183" s="32">
        <f>IF($AD183&lt;&gt;"D","",INDEX($BC$5:$BC$404,$AC183))</f>
        <v/>
      </c>
      <c r="I183" s="32">
        <f>IF($AD183&lt;&gt;"D","",INDEX($BD$5:$BD$404,$AC183))</f>
        <v/>
      </c>
      <c r="J183" s="46">
        <f>IF($AD183&lt;&gt;"D","",IF(N($B183)=0,"",ROUND($I183/$B183,4)))</f>
        <v/>
      </c>
      <c r="K183" s="32">
        <f>IF($AD183="Z",ROUND(SUM($AU$5:$AU$404),2),IF($AD183="D",INDEX($AU$5:$AU$404,$AC183),IF($AD183="T",ROUND(SUMIF($X$5:$X$404,$AF183,$AU$5:$AU$404),2),IF($AD183="B",ROUND(SUMIF($AN$5:$AN$404,$AQ183,$AU$5:$AU$404),2),""))))</f>
        <v/>
      </c>
      <c r="L183" s="32">
        <f>IF($AD183="Z",ROUND(SUM($AV$5:$AV$404),2),IF($AD183="D",INDEX($AV$5:$AV$404,$AC183),IF($AD183="T",ROUND(SUMIF($X$5:$X$404,$AF183,$AV$5:$AV$404),2),IF($AD183="B",ROUND(SUMIF($AN$5:$AN$404,$AQ183,$AV$5:$AV$404),2),""))))</f>
        <v/>
      </c>
      <c r="M183" s="32">
        <f>IF($AD183="Z",ROUND(SUM($AJ$5:$AJ$704),2),IF($AD183="B",ROUND(SUMIF($AQ$5:$AQ$704,$AQ183,$AJ$5:$AJ$704),2),IF($AD183&lt;&gt;"T","",$AJ183)))</f>
        <v/>
      </c>
      <c r="N183" s="32">
        <f>IF(OR($AD183="D",$AD183="T",$AD183="B",$AD183="Z"),ROUND(N($K183)-N($L183)-N($M183),2),"")</f>
        <v/>
      </c>
      <c r="O183" s="32">
        <f>IF(OR($AD183="D",$AD183="T",$AD183="B",$AD183="Z"),IF(N($E183)=0,"",ROUND($F183/$E183,2)),"")</f>
        <v/>
      </c>
      <c r="Q183">
        <f>IFERROR(MATCH(179,บันทึกรายเที่ยว!$Z$6:$Z$6005,0),"")</f>
        <v/>
      </c>
      <c r="R183">
        <f>IF($Q183="","",INDEX(บันทึกรายเที่ยว!$V$6:$V$6005,$Q183))</f>
        <v/>
      </c>
      <c r="S183">
        <f>IF($Q183="","",INDEX(บันทึกรายเที่ยว!$F$6:$F$6005,$Q183))</f>
        <v/>
      </c>
      <c r="T183">
        <f>IF($Q183="","",MATCH($S183,บันทึกรายเที่ยว!$F$6:$F$6005,0))</f>
        <v/>
      </c>
      <c r="U183">
        <f>IF($Q183="","",$AL183*10000000+$T183*1000+179)</f>
        <v/>
      </c>
      <c r="V183">
        <f>IFERROR(MATCH(SMALL($U$5:$U$404,179),$U$5:$U$404,0),"")</f>
        <v/>
      </c>
      <c r="W183">
        <f>IF($V183="","",INDEX($Q$5:$Q$404,$V183))</f>
        <v/>
      </c>
      <c r="X183">
        <f>IF($V183="","",INDEX($S$5:$S$404,$V183))</f>
        <v/>
      </c>
      <c r="Y183">
        <f>IF($V183="","",INDEX($R$5:$R$404,$V183))</f>
        <v/>
      </c>
      <c r="Z183">
        <f>IF($V183="",0,IF($X183&lt;&gt;$X182,1,0))</f>
        <v/>
      </c>
      <c r="AA183">
        <f>IF($V183="",0,IF($V184="",1,IF($X184&lt;&gt;$X183,1,0)))</f>
        <v/>
      </c>
      <c r="AB183">
        <f>IF($V183="",99999+179,$AB182+1+$Z182+$AA182+$AO182)</f>
        <v/>
      </c>
      <c r="AC183">
        <f>IFERROR(MATCH(179,$AB$5:$AB$404,1),"")</f>
        <v/>
      </c>
      <c r="AD183">
        <f>IF(179=$AI$1+1,"Z",IF($AC183="","",IF(INDEX($V$5:$V$404,$AC183)="","",IF(179&gt;INDEX($AB$5:$AB$404,$AC183)+INDEX($Z$5:$Z$404,$AC183)+INDEX($AA$5:$AA$404,$AC183)+INDEX($AO$5:$AO$404,$AC183),"",IF(179=INDEX($AB$5:$AB$404,$AC183)+INDEX($Z$5:$Z$404,$AC183),"D",IF(AND(INDEX($Z$5:$Z$404,$AC183)=1,179=INDEX($AB$5:$AB$404,$AC183)),"H",IF(AND(INDEX($AO$5:$AO$404,$AC183)=1,179=INDEX($AB$5:$AB$404,$AC183)+INDEX($Z$5:$Z$404,$AC183)+INDEX($AA$5:$AA$404,$AC183)+INDEX($AO$5:$AO$404,$AC183)),"B","T")))))))</f>
        <v/>
      </c>
      <c r="AF183">
        <f>IF(OR($AD183="",$AD183="Z",$AD183="B"),"",INDEX($X$5:$X$404,$AC183))</f>
        <v/>
      </c>
      <c r="AJ183">
        <f>IF($AD183&lt;&gt;"T",0,ROUND(SUMIF(oil!$B$4:$B$63,$AF183,oil!$AE$4:$AE$63),2))</f>
        <v/>
      </c>
      <c r="AK183">
        <f>IF($S183="","",IFERROR(INDEX(อัตราค่าขนส่ง!$P$5:$P$54,MATCH($S183,อัตราค่าขนส่ง!$O$5:$O$54,0)),INDEX(รายการมาตรฐาน!$G$2:$G$3,1)))</f>
        <v/>
      </c>
      <c r="AL183">
        <f>IF($S183="","",IFERROR(MATCH($AK183,รายการมาตรฐาน!$G$2:$G$3,0),1))</f>
        <v/>
      </c>
      <c r="AM183">
        <f>IF($V183="","",INDEX($AK$5:$AK$404,$V183))</f>
        <v/>
      </c>
      <c r="AN183">
        <f>IF($V183="","",INDEX($AL$5:$AL$404,$V183))</f>
        <v/>
      </c>
      <c r="AO183">
        <f>IF(OR($V183="",$AI$2&lt;=1),0,IF($V184="",1,IF($AN184&lt;&gt;$AN183,1,0)))</f>
        <v/>
      </c>
      <c r="AP183">
        <f>IF($V183="",0,IF($AN183&lt;&gt;$AN182,1,0))</f>
        <v/>
      </c>
      <c r="AQ183">
        <f>IF(OR($AD183="",$AD183="Z"),"",INDEX($AN$5:$AN$404,$AC183))</f>
        <v/>
      </c>
      <c r="AR183">
        <f>IF($Y183="",0,COUNTIF(บันทึกรายเที่ยว!$V$6:$V$6005,$Y183))</f>
        <v/>
      </c>
      <c r="AS183">
        <f>IF($Y183="",0,ROUND(SUMIF(บันทึกรายเที่ยว!$V$6:$V$6005,$Y183,บันทึกรายเที่ยว!$M$6:$M$6005),2))</f>
        <v/>
      </c>
      <c r="AT183">
        <f>IF($Y183="",0,IFERROR(INDEX(อัตราค่าขนส่ง!$G$5:$G$204,MATCH($Y183,อัตราค่าขนส่ง!$M$5:$M$204,0)),0))</f>
        <v/>
      </c>
      <c r="AU183">
        <f>ROUND($AS183*$BD183,2)</f>
        <v/>
      </c>
      <c r="AV183">
        <f>ROUND($AU183*$BF$2/100,2)</f>
        <v/>
      </c>
      <c r="AW183">
        <f>IF($Y183="","",IFERROR(INDEX(อัตราค่าขนส่ง!$F$5:$F$204,MATCH($Y183,อัตราค่าขนส่ง!$M$5:$M$204,0)),""))</f>
        <v/>
      </c>
      <c r="AX183">
        <f>IF($W183="","",INDEX(บันทึกรายเที่ยว!$D$6:$D$6005,$W183))</f>
        <v/>
      </c>
      <c r="AY183">
        <f>IF($W183="","",INDEX(บันทึกรายเที่ยว!$R$6:$R$6005,$W183))</f>
        <v/>
      </c>
      <c r="AZ183">
        <f>IF(AND($AD183="T",$AQ183=1),N($AZ182)+1,N($AZ182))</f>
        <v/>
      </c>
      <c r="BA183">
        <f>IF($W183="","",INDEX(บันทึกรายเที่ยว!$E$6:$E$6005,$W183))</f>
        <v/>
      </c>
      <c r="BC183">
        <f>IF($Y183="",0,IFERROR(INDEX(อัตราค่าขนส่ง!$K$5:$K$204,MATCH($Y183,อัตราค่าขนส่ง!$M$5:$M$204,0)),0))</f>
        <v/>
      </c>
      <c r="BD183">
        <f>IF($Y183="",0,IFERROR(INDEX(อัตราค่าขนส่ง!$L$5:$L$204,MATCH($Y183,อัตราค่าขนส่ง!$M$5:$M$204,0)),0))</f>
        <v/>
      </c>
    </row>
    <row r="184" ht="21" customHeight="1" s="66">
      <c r="A184" s="69">
        <f>IF($AD184="","",IF($AD184="Z","รวมจ่ายทั้งสิ้น",IF($AD184="H",INDEX($X$5:$X$404,$AC184),IF($AD184="T","รวม",IF($AD184="B",IFERROR(INDEX(อัตราค่าขนส่ง!$S$5:$S$14,MATCH(INDEX($AM$5:$AM$404,$AC184),อัตราค่าขนส่ง!$R$5:$R$14,0)),"รวมกลุ่ม "&amp;INDEX($AM$5:$AM$404,$AC184)),INDEX($AY$5:$AY$404,$AC184))))))</f>
        <v/>
      </c>
      <c r="B184" s="31">
        <f>IF($AD184&lt;&gt;"D","",INDEX($AW$5:$AW$404,$AC184))</f>
        <v/>
      </c>
      <c r="C184" s="68">
        <f>IF($AD184&lt;&gt;"D","",INDEX($AX$5:$AX$404,$AC184))</f>
        <v/>
      </c>
      <c r="D184" s="70">
        <f>IF($AD184&lt;&gt;"D","",INDEX($BA$5:$BA$404,$AC184))</f>
        <v/>
      </c>
      <c r="E184" s="31">
        <f>IF($AD184="Z",SUM($AR$5:$AR$404),IF($AD184="D",INDEX($AR$5:$AR$404,$AC184),IF($AD184="T",SUMIF($X$5:$X$404,$AF184,$AR$5:$AR$404),IF($AD184="B",SUMIF($AN$5:$AN$404,$AQ184,$AR$5:$AR$404),""))))</f>
        <v/>
      </c>
      <c r="F184" s="32">
        <f>IF($AD184="Z",ROUND(SUM($AS$5:$AS$404),2),IF($AD184="D",INDEX($AS$5:$AS$404,$AC184),IF($AD184="T",ROUND(SUMIF($X$5:$X$404,$AF184,$AS$5:$AS$404),2),IF($AD184="B",ROUND(SUMIF($AN$5:$AN$404,$AQ184,$AS$5:$AS$404),2),""))))</f>
        <v/>
      </c>
      <c r="G184" s="32">
        <f>IF($AD184&lt;&gt;"D","",INDEX($AT$5:$AT$404,$AC184))</f>
        <v/>
      </c>
      <c r="H184" s="32">
        <f>IF($AD184&lt;&gt;"D","",INDEX($BC$5:$BC$404,$AC184))</f>
        <v/>
      </c>
      <c r="I184" s="32">
        <f>IF($AD184&lt;&gt;"D","",INDEX($BD$5:$BD$404,$AC184))</f>
        <v/>
      </c>
      <c r="J184" s="46">
        <f>IF($AD184&lt;&gt;"D","",IF(N($B184)=0,"",ROUND($I184/$B184,4)))</f>
        <v/>
      </c>
      <c r="K184" s="32">
        <f>IF($AD184="Z",ROUND(SUM($AU$5:$AU$404),2),IF($AD184="D",INDEX($AU$5:$AU$404,$AC184),IF($AD184="T",ROUND(SUMIF($X$5:$X$404,$AF184,$AU$5:$AU$404),2),IF($AD184="B",ROUND(SUMIF($AN$5:$AN$404,$AQ184,$AU$5:$AU$404),2),""))))</f>
        <v/>
      </c>
      <c r="L184" s="32">
        <f>IF($AD184="Z",ROUND(SUM($AV$5:$AV$404),2),IF($AD184="D",INDEX($AV$5:$AV$404,$AC184),IF($AD184="T",ROUND(SUMIF($X$5:$X$404,$AF184,$AV$5:$AV$404),2),IF($AD184="B",ROUND(SUMIF($AN$5:$AN$404,$AQ184,$AV$5:$AV$404),2),""))))</f>
        <v/>
      </c>
      <c r="M184" s="32">
        <f>IF($AD184="Z",ROUND(SUM($AJ$5:$AJ$704),2),IF($AD184="B",ROUND(SUMIF($AQ$5:$AQ$704,$AQ184,$AJ$5:$AJ$704),2),IF($AD184&lt;&gt;"T","",$AJ184)))</f>
        <v/>
      </c>
      <c r="N184" s="32">
        <f>IF(OR($AD184="D",$AD184="T",$AD184="B",$AD184="Z"),ROUND(N($K184)-N($L184)-N($M184),2),"")</f>
        <v/>
      </c>
      <c r="O184" s="32">
        <f>IF(OR($AD184="D",$AD184="T",$AD184="B",$AD184="Z"),IF(N($E184)=0,"",ROUND($F184/$E184,2)),"")</f>
        <v/>
      </c>
      <c r="Q184">
        <f>IFERROR(MATCH(180,บันทึกรายเที่ยว!$Z$6:$Z$6005,0),"")</f>
        <v/>
      </c>
      <c r="R184">
        <f>IF($Q184="","",INDEX(บันทึกรายเที่ยว!$V$6:$V$6005,$Q184))</f>
        <v/>
      </c>
      <c r="S184">
        <f>IF($Q184="","",INDEX(บันทึกรายเที่ยว!$F$6:$F$6005,$Q184))</f>
        <v/>
      </c>
      <c r="T184">
        <f>IF($Q184="","",MATCH($S184,บันทึกรายเที่ยว!$F$6:$F$6005,0))</f>
        <v/>
      </c>
      <c r="U184">
        <f>IF($Q184="","",$AL184*10000000+$T184*1000+180)</f>
        <v/>
      </c>
      <c r="V184">
        <f>IFERROR(MATCH(SMALL($U$5:$U$404,180),$U$5:$U$404,0),"")</f>
        <v/>
      </c>
      <c r="W184">
        <f>IF($V184="","",INDEX($Q$5:$Q$404,$V184))</f>
        <v/>
      </c>
      <c r="X184">
        <f>IF($V184="","",INDEX($S$5:$S$404,$V184))</f>
        <v/>
      </c>
      <c r="Y184">
        <f>IF($V184="","",INDEX($R$5:$R$404,$V184))</f>
        <v/>
      </c>
      <c r="Z184">
        <f>IF($V184="",0,IF($X184&lt;&gt;$X183,1,0))</f>
        <v/>
      </c>
      <c r="AA184">
        <f>IF($V184="",0,IF($V185="",1,IF($X185&lt;&gt;$X184,1,0)))</f>
        <v/>
      </c>
      <c r="AB184">
        <f>IF($V184="",99999+180,$AB183+1+$Z183+$AA183+$AO183)</f>
        <v/>
      </c>
      <c r="AC184">
        <f>IFERROR(MATCH(180,$AB$5:$AB$404,1),"")</f>
        <v/>
      </c>
      <c r="AD184">
        <f>IF(180=$AI$1+1,"Z",IF($AC184="","",IF(INDEX($V$5:$V$404,$AC184)="","",IF(180&gt;INDEX($AB$5:$AB$404,$AC184)+INDEX($Z$5:$Z$404,$AC184)+INDEX($AA$5:$AA$404,$AC184)+INDEX($AO$5:$AO$404,$AC184),"",IF(180=INDEX($AB$5:$AB$404,$AC184)+INDEX($Z$5:$Z$404,$AC184),"D",IF(AND(INDEX($Z$5:$Z$404,$AC184)=1,180=INDEX($AB$5:$AB$404,$AC184)),"H",IF(AND(INDEX($AO$5:$AO$404,$AC184)=1,180=INDEX($AB$5:$AB$404,$AC184)+INDEX($Z$5:$Z$404,$AC184)+INDEX($AA$5:$AA$404,$AC184)+INDEX($AO$5:$AO$404,$AC184)),"B","T")))))))</f>
        <v/>
      </c>
      <c r="AF184">
        <f>IF(OR($AD184="",$AD184="Z",$AD184="B"),"",INDEX($X$5:$X$404,$AC184))</f>
        <v/>
      </c>
      <c r="AJ184">
        <f>IF($AD184&lt;&gt;"T",0,ROUND(SUMIF(oil!$B$4:$B$63,$AF184,oil!$AE$4:$AE$63),2))</f>
        <v/>
      </c>
      <c r="AK184">
        <f>IF($S184="","",IFERROR(INDEX(อัตราค่าขนส่ง!$P$5:$P$54,MATCH($S184,อัตราค่าขนส่ง!$O$5:$O$54,0)),INDEX(รายการมาตรฐาน!$G$2:$G$3,1)))</f>
        <v/>
      </c>
      <c r="AL184">
        <f>IF($S184="","",IFERROR(MATCH($AK184,รายการมาตรฐาน!$G$2:$G$3,0),1))</f>
        <v/>
      </c>
      <c r="AM184">
        <f>IF($V184="","",INDEX($AK$5:$AK$404,$V184))</f>
        <v/>
      </c>
      <c r="AN184">
        <f>IF($V184="","",INDEX($AL$5:$AL$404,$V184))</f>
        <v/>
      </c>
      <c r="AO184">
        <f>IF(OR($V184="",$AI$2&lt;=1),0,IF($V185="",1,IF($AN185&lt;&gt;$AN184,1,0)))</f>
        <v/>
      </c>
      <c r="AP184">
        <f>IF($V184="",0,IF($AN184&lt;&gt;$AN183,1,0))</f>
        <v/>
      </c>
      <c r="AQ184">
        <f>IF(OR($AD184="",$AD184="Z"),"",INDEX($AN$5:$AN$404,$AC184))</f>
        <v/>
      </c>
      <c r="AR184">
        <f>IF($Y184="",0,COUNTIF(บันทึกรายเที่ยว!$V$6:$V$6005,$Y184))</f>
        <v/>
      </c>
      <c r="AS184">
        <f>IF($Y184="",0,ROUND(SUMIF(บันทึกรายเที่ยว!$V$6:$V$6005,$Y184,บันทึกรายเที่ยว!$M$6:$M$6005),2))</f>
        <v/>
      </c>
      <c r="AT184">
        <f>IF($Y184="",0,IFERROR(INDEX(อัตราค่าขนส่ง!$G$5:$G$204,MATCH($Y184,อัตราค่าขนส่ง!$M$5:$M$204,0)),0))</f>
        <v/>
      </c>
      <c r="AU184">
        <f>ROUND($AS184*$BD184,2)</f>
        <v/>
      </c>
      <c r="AV184">
        <f>ROUND($AU184*$BF$2/100,2)</f>
        <v/>
      </c>
      <c r="AW184">
        <f>IF($Y184="","",IFERROR(INDEX(อัตราค่าขนส่ง!$F$5:$F$204,MATCH($Y184,อัตราค่าขนส่ง!$M$5:$M$204,0)),""))</f>
        <v/>
      </c>
      <c r="AX184">
        <f>IF($W184="","",INDEX(บันทึกรายเที่ยว!$D$6:$D$6005,$W184))</f>
        <v/>
      </c>
      <c r="AY184">
        <f>IF($W184="","",INDEX(บันทึกรายเที่ยว!$R$6:$R$6005,$W184))</f>
        <v/>
      </c>
      <c r="AZ184">
        <f>IF(AND($AD184="T",$AQ184=1),N($AZ183)+1,N($AZ183))</f>
        <v/>
      </c>
      <c r="BA184">
        <f>IF($W184="","",INDEX(บันทึกรายเที่ยว!$E$6:$E$6005,$W184))</f>
        <v/>
      </c>
      <c r="BC184">
        <f>IF($Y184="",0,IFERROR(INDEX(อัตราค่าขนส่ง!$K$5:$K$204,MATCH($Y184,อัตราค่าขนส่ง!$M$5:$M$204,0)),0))</f>
        <v/>
      </c>
      <c r="BD184">
        <f>IF($Y184="",0,IFERROR(INDEX(อัตราค่าขนส่ง!$L$5:$L$204,MATCH($Y184,อัตราค่าขนส่ง!$M$5:$M$204,0)),0))</f>
        <v/>
      </c>
    </row>
    <row r="185" ht="21" customHeight="1" s="66">
      <c r="A185" s="69">
        <f>IF($AD185="","",IF($AD185="Z","รวมจ่ายทั้งสิ้น",IF($AD185="H",INDEX($X$5:$X$404,$AC185),IF($AD185="T","รวม",IF($AD185="B",IFERROR(INDEX(อัตราค่าขนส่ง!$S$5:$S$14,MATCH(INDEX($AM$5:$AM$404,$AC185),อัตราค่าขนส่ง!$R$5:$R$14,0)),"รวมกลุ่ม "&amp;INDEX($AM$5:$AM$404,$AC185)),INDEX($AY$5:$AY$404,$AC185))))))</f>
        <v/>
      </c>
      <c r="B185" s="31">
        <f>IF($AD185&lt;&gt;"D","",INDEX($AW$5:$AW$404,$AC185))</f>
        <v/>
      </c>
      <c r="C185" s="68">
        <f>IF($AD185&lt;&gt;"D","",INDEX($AX$5:$AX$404,$AC185))</f>
        <v/>
      </c>
      <c r="D185" s="70">
        <f>IF($AD185&lt;&gt;"D","",INDEX($BA$5:$BA$404,$AC185))</f>
        <v/>
      </c>
      <c r="E185" s="31">
        <f>IF($AD185="Z",SUM($AR$5:$AR$404),IF($AD185="D",INDEX($AR$5:$AR$404,$AC185),IF($AD185="T",SUMIF($X$5:$X$404,$AF185,$AR$5:$AR$404),IF($AD185="B",SUMIF($AN$5:$AN$404,$AQ185,$AR$5:$AR$404),""))))</f>
        <v/>
      </c>
      <c r="F185" s="32">
        <f>IF($AD185="Z",ROUND(SUM($AS$5:$AS$404),2),IF($AD185="D",INDEX($AS$5:$AS$404,$AC185),IF($AD185="T",ROUND(SUMIF($X$5:$X$404,$AF185,$AS$5:$AS$404),2),IF($AD185="B",ROUND(SUMIF($AN$5:$AN$404,$AQ185,$AS$5:$AS$404),2),""))))</f>
        <v/>
      </c>
      <c r="G185" s="32">
        <f>IF($AD185&lt;&gt;"D","",INDEX($AT$5:$AT$404,$AC185))</f>
        <v/>
      </c>
      <c r="H185" s="32">
        <f>IF($AD185&lt;&gt;"D","",INDEX($BC$5:$BC$404,$AC185))</f>
        <v/>
      </c>
      <c r="I185" s="32">
        <f>IF($AD185&lt;&gt;"D","",INDEX($BD$5:$BD$404,$AC185))</f>
        <v/>
      </c>
      <c r="J185" s="46">
        <f>IF($AD185&lt;&gt;"D","",IF(N($B185)=0,"",ROUND($I185/$B185,4)))</f>
        <v/>
      </c>
      <c r="K185" s="32">
        <f>IF($AD185="Z",ROUND(SUM($AU$5:$AU$404),2),IF($AD185="D",INDEX($AU$5:$AU$404,$AC185),IF($AD185="T",ROUND(SUMIF($X$5:$X$404,$AF185,$AU$5:$AU$404),2),IF($AD185="B",ROUND(SUMIF($AN$5:$AN$404,$AQ185,$AU$5:$AU$404),2),""))))</f>
        <v/>
      </c>
      <c r="L185" s="32">
        <f>IF($AD185="Z",ROUND(SUM($AV$5:$AV$404),2),IF($AD185="D",INDEX($AV$5:$AV$404,$AC185),IF($AD185="T",ROUND(SUMIF($X$5:$X$404,$AF185,$AV$5:$AV$404),2),IF($AD185="B",ROUND(SUMIF($AN$5:$AN$404,$AQ185,$AV$5:$AV$404),2),""))))</f>
        <v/>
      </c>
      <c r="M185" s="32">
        <f>IF($AD185="Z",ROUND(SUM($AJ$5:$AJ$704),2),IF($AD185="B",ROUND(SUMIF($AQ$5:$AQ$704,$AQ185,$AJ$5:$AJ$704),2),IF($AD185&lt;&gt;"T","",$AJ185)))</f>
        <v/>
      </c>
      <c r="N185" s="32">
        <f>IF(OR($AD185="D",$AD185="T",$AD185="B",$AD185="Z"),ROUND(N($K185)-N($L185)-N($M185),2),"")</f>
        <v/>
      </c>
      <c r="O185" s="32">
        <f>IF(OR($AD185="D",$AD185="T",$AD185="B",$AD185="Z"),IF(N($E185)=0,"",ROUND($F185/$E185,2)),"")</f>
        <v/>
      </c>
      <c r="Q185">
        <f>IFERROR(MATCH(181,บันทึกรายเที่ยว!$Z$6:$Z$6005,0),"")</f>
        <v/>
      </c>
      <c r="R185">
        <f>IF($Q185="","",INDEX(บันทึกรายเที่ยว!$V$6:$V$6005,$Q185))</f>
        <v/>
      </c>
      <c r="S185">
        <f>IF($Q185="","",INDEX(บันทึกรายเที่ยว!$F$6:$F$6005,$Q185))</f>
        <v/>
      </c>
      <c r="T185">
        <f>IF($Q185="","",MATCH($S185,บันทึกรายเที่ยว!$F$6:$F$6005,0))</f>
        <v/>
      </c>
      <c r="U185">
        <f>IF($Q185="","",$AL185*10000000+$T185*1000+181)</f>
        <v/>
      </c>
      <c r="V185">
        <f>IFERROR(MATCH(SMALL($U$5:$U$404,181),$U$5:$U$404,0),"")</f>
        <v/>
      </c>
      <c r="W185">
        <f>IF($V185="","",INDEX($Q$5:$Q$404,$V185))</f>
        <v/>
      </c>
      <c r="X185">
        <f>IF($V185="","",INDEX($S$5:$S$404,$V185))</f>
        <v/>
      </c>
      <c r="Y185">
        <f>IF($V185="","",INDEX($R$5:$R$404,$V185))</f>
        <v/>
      </c>
      <c r="Z185">
        <f>IF($V185="",0,IF($X185&lt;&gt;$X184,1,0))</f>
        <v/>
      </c>
      <c r="AA185">
        <f>IF($V185="",0,IF($V186="",1,IF($X186&lt;&gt;$X185,1,0)))</f>
        <v/>
      </c>
      <c r="AB185">
        <f>IF($V185="",99999+181,$AB184+1+$Z184+$AA184+$AO184)</f>
        <v/>
      </c>
      <c r="AC185">
        <f>IFERROR(MATCH(181,$AB$5:$AB$404,1),"")</f>
        <v/>
      </c>
      <c r="AD185">
        <f>IF(181=$AI$1+1,"Z",IF($AC185="","",IF(INDEX($V$5:$V$404,$AC185)="","",IF(181&gt;INDEX($AB$5:$AB$404,$AC185)+INDEX($Z$5:$Z$404,$AC185)+INDEX($AA$5:$AA$404,$AC185)+INDEX($AO$5:$AO$404,$AC185),"",IF(181=INDEX($AB$5:$AB$404,$AC185)+INDEX($Z$5:$Z$404,$AC185),"D",IF(AND(INDEX($Z$5:$Z$404,$AC185)=1,181=INDEX($AB$5:$AB$404,$AC185)),"H",IF(AND(INDEX($AO$5:$AO$404,$AC185)=1,181=INDEX($AB$5:$AB$404,$AC185)+INDEX($Z$5:$Z$404,$AC185)+INDEX($AA$5:$AA$404,$AC185)+INDEX($AO$5:$AO$404,$AC185)),"B","T")))))))</f>
        <v/>
      </c>
      <c r="AF185">
        <f>IF(OR($AD185="",$AD185="Z",$AD185="B"),"",INDEX($X$5:$X$404,$AC185))</f>
        <v/>
      </c>
      <c r="AJ185">
        <f>IF($AD185&lt;&gt;"T",0,ROUND(SUMIF(oil!$B$4:$B$63,$AF185,oil!$AE$4:$AE$63),2))</f>
        <v/>
      </c>
      <c r="AK185">
        <f>IF($S185="","",IFERROR(INDEX(อัตราค่าขนส่ง!$P$5:$P$54,MATCH($S185,อัตราค่าขนส่ง!$O$5:$O$54,0)),INDEX(รายการมาตรฐาน!$G$2:$G$3,1)))</f>
        <v/>
      </c>
      <c r="AL185">
        <f>IF($S185="","",IFERROR(MATCH($AK185,รายการมาตรฐาน!$G$2:$G$3,0),1))</f>
        <v/>
      </c>
      <c r="AM185">
        <f>IF($V185="","",INDEX($AK$5:$AK$404,$V185))</f>
        <v/>
      </c>
      <c r="AN185">
        <f>IF($V185="","",INDEX($AL$5:$AL$404,$V185))</f>
        <v/>
      </c>
      <c r="AO185">
        <f>IF(OR($V185="",$AI$2&lt;=1),0,IF($V186="",1,IF($AN186&lt;&gt;$AN185,1,0)))</f>
        <v/>
      </c>
      <c r="AP185">
        <f>IF($V185="",0,IF($AN185&lt;&gt;$AN184,1,0))</f>
        <v/>
      </c>
      <c r="AQ185">
        <f>IF(OR($AD185="",$AD185="Z"),"",INDEX($AN$5:$AN$404,$AC185))</f>
        <v/>
      </c>
      <c r="AR185">
        <f>IF($Y185="",0,COUNTIF(บันทึกรายเที่ยว!$V$6:$V$6005,$Y185))</f>
        <v/>
      </c>
      <c r="AS185">
        <f>IF($Y185="",0,ROUND(SUMIF(บันทึกรายเที่ยว!$V$6:$V$6005,$Y185,บันทึกรายเที่ยว!$M$6:$M$6005),2))</f>
        <v/>
      </c>
      <c r="AT185">
        <f>IF($Y185="",0,IFERROR(INDEX(อัตราค่าขนส่ง!$G$5:$G$204,MATCH($Y185,อัตราค่าขนส่ง!$M$5:$M$204,0)),0))</f>
        <v/>
      </c>
      <c r="AU185">
        <f>ROUND($AS185*$BD185,2)</f>
        <v/>
      </c>
      <c r="AV185">
        <f>ROUND($AU185*$BF$2/100,2)</f>
        <v/>
      </c>
      <c r="AW185">
        <f>IF($Y185="","",IFERROR(INDEX(อัตราค่าขนส่ง!$F$5:$F$204,MATCH($Y185,อัตราค่าขนส่ง!$M$5:$M$204,0)),""))</f>
        <v/>
      </c>
      <c r="AX185">
        <f>IF($W185="","",INDEX(บันทึกรายเที่ยว!$D$6:$D$6005,$W185))</f>
        <v/>
      </c>
      <c r="AY185">
        <f>IF($W185="","",INDEX(บันทึกรายเที่ยว!$R$6:$R$6005,$W185))</f>
        <v/>
      </c>
      <c r="AZ185">
        <f>IF(AND($AD185="T",$AQ185=1),N($AZ184)+1,N($AZ184))</f>
        <v/>
      </c>
      <c r="BA185">
        <f>IF($W185="","",INDEX(บันทึกรายเที่ยว!$E$6:$E$6005,$W185))</f>
        <v/>
      </c>
      <c r="BC185">
        <f>IF($Y185="",0,IFERROR(INDEX(อัตราค่าขนส่ง!$K$5:$K$204,MATCH($Y185,อัตราค่าขนส่ง!$M$5:$M$204,0)),0))</f>
        <v/>
      </c>
      <c r="BD185">
        <f>IF($Y185="",0,IFERROR(INDEX(อัตราค่าขนส่ง!$L$5:$L$204,MATCH($Y185,อัตราค่าขนส่ง!$M$5:$M$204,0)),0))</f>
        <v/>
      </c>
    </row>
    <row r="186" ht="21" customHeight="1" s="66">
      <c r="A186" s="69">
        <f>IF($AD186="","",IF($AD186="Z","รวมจ่ายทั้งสิ้น",IF($AD186="H",INDEX($X$5:$X$404,$AC186),IF($AD186="T","รวม",IF($AD186="B",IFERROR(INDEX(อัตราค่าขนส่ง!$S$5:$S$14,MATCH(INDEX($AM$5:$AM$404,$AC186),อัตราค่าขนส่ง!$R$5:$R$14,0)),"รวมกลุ่ม "&amp;INDEX($AM$5:$AM$404,$AC186)),INDEX($AY$5:$AY$404,$AC186))))))</f>
        <v/>
      </c>
      <c r="B186" s="31">
        <f>IF($AD186&lt;&gt;"D","",INDEX($AW$5:$AW$404,$AC186))</f>
        <v/>
      </c>
      <c r="C186" s="68">
        <f>IF($AD186&lt;&gt;"D","",INDEX($AX$5:$AX$404,$AC186))</f>
        <v/>
      </c>
      <c r="D186" s="70">
        <f>IF($AD186&lt;&gt;"D","",INDEX($BA$5:$BA$404,$AC186))</f>
        <v/>
      </c>
      <c r="E186" s="31">
        <f>IF($AD186="Z",SUM($AR$5:$AR$404),IF($AD186="D",INDEX($AR$5:$AR$404,$AC186),IF($AD186="T",SUMIF($X$5:$X$404,$AF186,$AR$5:$AR$404),IF($AD186="B",SUMIF($AN$5:$AN$404,$AQ186,$AR$5:$AR$404),""))))</f>
        <v/>
      </c>
      <c r="F186" s="32">
        <f>IF($AD186="Z",ROUND(SUM($AS$5:$AS$404),2),IF($AD186="D",INDEX($AS$5:$AS$404,$AC186),IF($AD186="T",ROUND(SUMIF($X$5:$X$404,$AF186,$AS$5:$AS$404),2),IF($AD186="B",ROUND(SUMIF($AN$5:$AN$404,$AQ186,$AS$5:$AS$404),2),""))))</f>
        <v/>
      </c>
      <c r="G186" s="32">
        <f>IF($AD186&lt;&gt;"D","",INDEX($AT$5:$AT$404,$AC186))</f>
        <v/>
      </c>
      <c r="H186" s="32">
        <f>IF($AD186&lt;&gt;"D","",INDEX($BC$5:$BC$404,$AC186))</f>
        <v/>
      </c>
      <c r="I186" s="32">
        <f>IF($AD186&lt;&gt;"D","",INDEX($BD$5:$BD$404,$AC186))</f>
        <v/>
      </c>
      <c r="J186" s="46">
        <f>IF($AD186&lt;&gt;"D","",IF(N($B186)=0,"",ROUND($I186/$B186,4)))</f>
        <v/>
      </c>
      <c r="K186" s="32">
        <f>IF($AD186="Z",ROUND(SUM($AU$5:$AU$404),2),IF($AD186="D",INDEX($AU$5:$AU$404,$AC186),IF($AD186="T",ROUND(SUMIF($X$5:$X$404,$AF186,$AU$5:$AU$404),2),IF($AD186="B",ROUND(SUMIF($AN$5:$AN$404,$AQ186,$AU$5:$AU$404),2),""))))</f>
        <v/>
      </c>
      <c r="L186" s="32">
        <f>IF($AD186="Z",ROUND(SUM($AV$5:$AV$404),2),IF($AD186="D",INDEX($AV$5:$AV$404,$AC186),IF($AD186="T",ROUND(SUMIF($X$5:$X$404,$AF186,$AV$5:$AV$404),2),IF($AD186="B",ROUND(SUMIF($AN$5:$AN$404,$AQ186,$AV$5:$AV$404),2),""))))</f>
        <v/>
      </c>
      <c r="M186" s="32">
        <f>IF($AD186="Z",ROUND(SUM($AJ$5:$AJ$704),2),IF($AD186="B",ROUND(SUMIF($AQ$5:$AQ$704,$AQ186,$AJ$5:$AJ$704),2),IF($AD186&lt;&gt;"T","",$AJ186)))</f>
        <v/>
      </c>
      <c r="N186" s="32">
        <f>IF(OR($AD186="D",$AD186="T",$AD186="B",$AD186="Z"),ROUND(N($K186)-N($L186)-N($M186),2),"")</f>
        <v/>
      </c>
      <c r="O186" s="32">
        <f>IF(OR($AD186="D",$AD186="T",$AD186="B",$AD186="Z"),IF(N($E186)=0,"",ROUND($F186/$E186,2)),"")</f>
        <v/>
      </c>
      <c r="Q186">
        <f>IFERROR(MATCH(182,บันทึกรายเที่ยว!$Z$6:$Z$6005,0),"")</f>
        <v/>
      </c>
      <c r="R186">
        <f>IF($Q186="","",INDEX(บันทึกรายเที่ยว!$V$6:$V$6005,$Q186))</f>
        <v/>
      </c>
      <c r="S186">
        <f>IF($Q186="","",INDEX(บันทึกรายเที่ยว!$F$6:$F$6005,$Q186))</f>
        <v/>
      </c>
      <c r="T186">
        <f>IF($Q186="","",MATCH($S186,บันทึกรายเที่ยว!$F$6:$F$6005,0))</f>
        <v/>
      </c>
      <c r="U186">
        <f>IF($Q186="","",$AL186*10000000+$T186*1000+182)</f>
        <v/>
      </c>
      <c r="V186">
        <f>IFERROR(MATCH(SMALL($U$5:$U$404,182),$U$5:$U$404,0),"")</f>
        <v/>
      </c>
      <c r="W186">
        <f>IF($V186="","",INDEX($Q$5:$Q$404,$V186))</f>
        <v/>
      </c>
      <c r="X186">
        <f>IF($V186="","",INDEX($S$5:$S$404,$V186))</f>
        <v/>
      </c>
      <c r="Y186">
        <f>IF($V186="","",INDEX($R$5:$R$404,$V186))</f>
        <v/>
      </c>
      <c r="Z186">
        <f>IF($V186="",0,IF($X186&lt;&gt;$X185,1,0))</f>
        <v/>
      </c>
      <c r="AA186">
        <f>IF($V186="",0,IF($V187="",1,IF($X187&lt;&gt;$X186,1,0)))</f>
        <v/>
      </c>
      <c r="AB186">
        <f>IF($V186="",99999+182,$AB185+1+$Z185+$AA185+$AO185)</f>
        <v/>
      </c>
      <c r="AC186">
        <f>IFERROR(MATCH(182,$AB$5:$AB$404,1),"")</f>
        <v/>
      </c>
      <c r="AD186">
        <f>IF(182=$AI$1+1,"Z",IF($AC186="","",IF(INDEX($V$5:$V$404,$AC186)="","",IF(182&gt;INDEX($AB$5:$AB$404,$AC186)+INDEX($Z$5:$Z$404,$AC186)+INDEX($AA$5:$AA$404,$AC186)+INDEX($AO$5:$AO$404,$AC186),"",IF(182=INDEX($AB$5:$AB$404,$AC186)+INDEX($Z$5:$Z$404,$AC186),"D",IF(AND(INDEX($Z$5:$Z$404,$AC186)=1,182=INDEX($AB$5:$AB$404,$AC186)),"H",IF(AND(INDEX($AO$5:$AO$404,$AC186)=1,182=INDEX($AB$5:$AB$404,$AC186)+INDEX($Z$5:$Z$404,$AC186)+INDEX($AA$5:$AA$404,$AC186)+INDEX($AO$5:$AO$404,$AC186)),"B","T")))))))</f>
        <v/>
      </c>
      <c r="AF186">
        <f>IF(OR($AD186="",$AD186="Z",$AD186="B"),"",INDEX($X$5:$X$404,$AC186))</f>
        <v/>
      </c>
      <c r="AJ186">
        <f>IF($AD186&lt;&gt;"T",0,ROUND(SUMIF(oil!$B$4:$B$63,$AF186,oil!$AE$4:$AE$63),2))</f>
        <v/>
      </c>
      <c r="AK186">
        <f>IF($S186="","",IFERROR(INDEX(อัตราค่าขนส่ง!$P$5:$P$54,MATCH($S186,อัตราค่าขนส่ง!$O$5:$O$54,0)),INDEX(รายการมาตรฐาน!$G$2:$G$3,1)))</f>
        <v/>
      </c>
      <c r="AL186">
        <f>IF($S186="","",IFERROR(MATCH($AK186,รายการมาตรฐาน!$G$2:$G$3,0),1))</f>
        <v/>
      </c>
      <c r="AM186">
        <f>IF($V186="","",INDEX($AK$5:$AK$404,$V186))</f>
        <v/>
      </c>
      <c r="AN186">
        <f>IF($V186="","",INDEX($AL$5:$AL$404,$V186))</f>
        <v/>
      </c>
      <c r="AO186">
        <f>IF(OR($V186="",$AI$2&lt;=1),0,IF($V187="",1,IF($AN187&lt;&gt;$AN186,1,0)))</f>
        <v/>
      </c>
      <c r="AP186">
        <f>IF($V186="",0,IF($AN186&lt;&gt;$AN185,1,0))</f>
        <v/>
      </c>
      <c r="AQ186">
        <f>IF(OR($AD186="",$AD186="Z"),"",INDEX($AN$5:$AN$404,$AC186))</f>
        <v/>
      </c>
      <c r="AR186">
        <f>IF($Y186="",0,COUNTIF(บันทึกรายเที่ยว!$V$6:$V$6005,$Y186))</f>
        <v/>
      </c>
      <c r="AS186">
        <f>IF($Y186="",0,ROUND(SUMIF(บันทึกรายเที่ยว!$V$6:$V$6005,$Y186,บันทึกรายเที่ยว!$M$6:$M$6005),2))</f>
        <v/>
      </c>
      <c r="AT186">
        <f>IF($Y186="",0,IFERROR(INDEX(อัตราค่าขนส่ง!$G$5:$G$204,MATCH($Y186,อัตราค่าขนส่ง!$M$5:$M$204,0)),0))</f>
        <v/>
      </c>
      <c r="AU186">
        <f>ROUND($AS186*$BD186,2)</f>
        <v/>
      </c>
      <c r="AV186">
        <f>ROUND($AU186*$BF$2/100,2)</f>
        <v/>
      </c>
      <c r="AW186">
        <f>IF($Y186="","",IFERROR(INDEX(อัตราค่าขนส่ง!$F$5:$F$204,MATCH($Y186,อัตราค่าขนส่ง!$M$5:$M$204,0)),""))</f>
        <v/>
      </c>
      <c r="AX186">
        <f>IF($W186="","",INDEX(บันทึกรายเที่ยว!$D$6:$D$6005,$W186))</f>
        <v/>
      </c>
      <c r="AY186">
        <f>IF($W186="","",INDEX(บันทึกรายเที่ยว!$R$6:$R$6005,$W186))</f>
        <v/>
      </c>
      <c r="AZ186">
        <f>IF(AND($AD186="T",$AQ186=1),N($AZ185)+1,N($AZ185))</f>
        <v/>
      </c>
      <c r="BA186">
        <f>IF($W186="","",INDEX(บันทึกรายเที่ยว!$E$6:$E$6005,$W186))</f>
        <v/>
      </c>
      <c r="BC186">
        <f>IF($Y186="",0,IFERROR(INDEX(อัตราค่าขนส่ง!$K$5:$K$204,MATCH($Y186,อัตราค่าขนส่ง!$M$5:$M$204,0)),0))</f>
        <v/>
      </c>
      <c r="BD186">
        <f>IF($Y186="",0,IFERROR(INDEX(อัตราค่าขนส่ง!$L$5:$L$204,MATCH($Y186,อัตราค่าขนส่ง!$M$5:$M$204,0)),0))</f>
        <v/>
      </c>
    </row>
    <row r="187" ht="21" customHeight="1" s="66">
      <c r="A187" s="69">
        <f>IF($AD187="","",IF($AD187="Z","รวมจ่ายทั้งสิ้น",IF($AD187="H",INDEX($X$5:$X$404,$AC187),IF($AD187="T","รวม",IF($AD187="B",IFERROR(INDEX(อัตราค่าขนส่ง!$S$5:$S$14,MATCH(INDEX($AM$5:$AM$404,$AC187),อัตราค่าขนส่ง!$R$5:$R$14,0)),"รวมกลุ่ม "&amp;INDEX($AM$5:$AM$404,$AC187)),INDEX($AY$5:$AY$404,$AC187))))))</f>
        <v/>
      </c>
      <c r="B187" s="31">
        <f>IF($AD187&lt;&gt;"D","",INDEX($AW$5:$AW$404,$AC187))</f>
        <v/>
      </c>
      <c r="C187" s="68">
        <f>IF($AD187&lt;&gt;"D","",INDEX($AX$5:$AX$404,$AC187))</f>
        <v/>
      </c>
      <c r="D187" s="70">
        <f>IF($AD187&lt;&gt;"D","",INDEX($BA$5:$BA$404,$AC187))</f>
        <v/>
      </c>
      <c r="E187" s="31">
        <f>IF($AD187="Z",SUM($AR$5:$AR$404),IF($AD187="D",INDEX($AR$5:$AR$404,$AC187),IF($AD187="T",SUMIF($X$5:$X$404,$AF187,$AR$5:$AR$404),IF($AD187="B",SUMIF($AN$5:$AN$404,$AQ187,$AR$5:$AR$404),""))))</f>
        <v/>
      </c>
      <c r="F187" s="32">
        <f>IF($AD187="Z",ROUND(SUM($AS$5:$AS$404),2),IF($AD187="D",INDEX($AS$5:$AS$404,$AC187),IF($AD187="T",ROUND(SUMIF($X$5:$X$404,$AF187,$AS$5:$AS$404),2),IF($AD187="B",ROUND(SUMIF($AN$5:$AN$404,$AQ187,$AS$5:$AS$404),2),""))))</f>
        <v/>
      </c>
      <c r="G187" s="32">
        <f>IF($AD187&lt;&gt;"D","",INDEX($AT$5:$AT$404,$AC187))</f>
        <v/>
      </c>
      <c r="H187" s="32">
        <f>IF($AD187&lt;&gt;"D","",INDEX($BC$5:$BC$404,$AC187))</f>
        <v/>
      </c>
      <c r="I187" s="32">
        <f>IF($AD187&lt;&gt;"D","",INDEX($BD$5:$BD$404,$AC187))</f>
        <v/>
      </c>
      <c r="J187" s="46">
        <f>IF($AD187&lt;&gt;"D","",IF(N($B187)=0,"",ROUND($I187/$B187,4)))</f>
        <v/>
      </c>
      <c r="K187" s="32">
        <f>IF($AD187="Z",ROUND(SUM($AU$5:$AU$404),2),IF($AD187="D",INDEX($AU$5:$AU$404,$AC187),IF($AD187="T",ROUND(SUMIF($X$5:$X$404,$AF187,$AU$5:$AU$404),2),IF($AD187="B",ROUND(SUMIF($AN$5:$AN$404,$AQ187,$AU$5:$AU$404),2),""))))</f>
        <v/>
      </c>
      <c r="L187" s="32">
        <f>IF($AD187="Z",ROUND(SUM($AV$5:$AV$404),2),IF($AD187="D",INDEX($AV$5:$AV$404,$AC187),IF($AD187="T",ROUND(SUMIF($X$5:$X$404,$AF187,$AV$5:$AV$404),2),IF($AD187="B",ROUND(SUMIF($AN$5:$AN$404,$AQ187,$AV$5:$AV$404),2),""))))</f>
        <v/>
      </c>
      <c r="M187" s="32">
        <f>IF($AD187="Z",ROUND(SUM($AJ$5:$AJ$704),2),IF($AD187="B",ROUND(SUMIF($AQ$5:$AQ$704,$AQ187,$AJ$5:$AJ$704),2),IF($AD187&lt;&gt;"T","",$AJ187)))</f>
        <v/>
      </c>
      <c r="N187" s="32">
        <f>IF(OR($AD187="D",$AD187="T",$AD187="B",$AD187="Z"),ROUND(N($K187)-N($L187)-N($M187),2),"")</f>
        <v/>
      </c>
      <c r="O187" s="32">
        <f>IF(OR($AD187="D",$AD187="T",$AD187="B",$AD187="Z"),IF(N($E187)=0,"",ROUND($F187/$E187,2)),"")</f>
        <v/>
      </c>
      <c r="Q187">
        <f>IFERROR(MATCH(183,บันทึกรายเที่ยว!$Z$6:$Z$6005,0),"")</f>
        <v/>
      </c>
      <c r="R187">
        <f>IF($Q187="","",INDEX(บันทึกรายเที่ยว!$V$6:$V$6005,$Q187))</f>
        <v/>
      </c>
      <c r="S187">
        <f>IF($Q187="","",INDEX(บันทึกรายเที่ยว!$F$6:$F$6005,$Q187))</f>
        <v/>
      </c>
      <c r="T187">
        <f>IF($Q187="","",MATCH($S187,บันทึกรายเที่ยว!$F$6:$F$6005,0))</f>
        <v/>
      </c>
      <c r="U187">
        <f>IF($Q187="","",$AL187*10000000+$T187*1000+183)</f>
        <v/>
      </c>
      <c r="V187">
        <f>IFERROR(MATCH(SMALL($U$5:$U$404,183),$U$5:$U$404,0),"")</f>
        <v/>
      </c>
      <c r="W187">
        <f>IF($V187="","",INDEX($Q$5:$Q$404,$V187))</f>
        <v/>
      </c>
      <c r="X187">
        <f>IF($V187="","",INDEX($S$5:$S$404,$V187))</f>
        <v/>
      </c>
      <c r="Y187">
        <f>IF($V187="","",INDEX($R$5:$R$404,$V187))</f>
        <v/>
      </c>
      <c r="Z187">
        <f>IF($V187="",0,IF($X187&lt;&gt;$X186,1,0))</f>
        <v/>
      </c>
      <c r="AA187">
        <f>IF($V187="",0,IF($V188="",1,IF($X188&lt;&gt;$X187,1,0)))</f>
        <v/>
      </c>
      <c r="AB187">
        <f>IF($V187="",99999+183,$AB186+1+$Z186+$AA186+$AO186)</f>
        <v/>
      </c>
      <c r="AC187">
        <f>IFERROR(MATCH(183,$AB$5:$AB$404,1),"")</f>
        <v/>
      </c>
      <c r="AD187">
        <f>IF(183=$AI$1+1,"Z",IF($AC187="","",IF(INDEX($V$5:$V$404,$AC187)="","",IF(183&gt;INDEX($AB$5:$AB$404,$AC187)+INDEX($Z$5:$Z$404,$AC187)+INDEX($AA$5:$AA$404,$AC187)+INDEX($AO$5:$AO$404,$AC187),"",IF(183=INDEX($AB$5:$AB$404,$AC187)+INDEX($Z$5:$Z$404,$AC187),"D",IF(AND(INDEX($Z$5:$Z$404,$AC187)=1,183=INDEX($AB$5:$AB$404,$AC187)),"H",IF(AND(INDEX($AO$5:$AO$404,$AC187)=1,183=INDEX($AB$5:$AB$404,$AC187)+INDEX($Z$5:$Z$404,$AC187)+INDEX($AA$5:$AA$404,$AC187)+INDEX($AO$5:$AO$404,$AC187)),"B","T")))))))</f>
        <v/>
      </c>
      <c r="AF187">
        <f>IF(OR($AD187="",$AD187="Z",$AD187="B"),"",INDEX($X$5:$X$404,$AC187))</f>
        <v/>
      </c>
      <c r="AJ187">
        <f>IF($AD187&lt;&gt;"T",0,ROUND(SUMIF(oil!$B$4:$B$63,$AF187,oil!$AE$4:$AE$63),2))</f>
        <v/>
      </c>
      <c r="AK187">
        <f>IF($S187="","",IFERROR(INDEX(อัตราค่าขนส่ง!$P$5:$P$54,MATCH($S187,อัตราค่าขนส่ง!$O$5:$O$54,0)),INDEX(รายการมาตรฐาน!$G$2:$G$3,1)))</f>
        <v/>
      </c>
      <c r="AL187">
        <f>IF($S187="","",IFERROR(MATCH($AK187,รายการมาตรฐาน!$G$2:$G$3,0),1))</f>
        <v/>
      </c>
      <c r="AM187">
        <f>IF($V187="","",INDEX($AK$5:$AK$404,$V187))</f>
        <v/>
      </c>
      <c r="AN187">
        <f>IF($V187="","",INDEX($AL$5:$AL$404,$V187))</f>
        <v/>
      </c>
      <c r="AO187">
        <f>IF(OR($V187="",$AI$2&lt;=1),0,IF($V188="",1,IF($AN188&lt;&gt;$AN187,1,0)))</f>
        <v/>
      </c>
      <c r="AP187">
        <f>IF($V187="",0,IF($AN187&lt;&gt;$AN186,1,0))</f>
        <v/>
      </c>
      <c r="AQ187">
        <f>IF(OR($AD187="",$AD187="Z"),"",INDEX($AN$5:$AN$404,$AC187))</f>
        <v/>
      </c>
      <c r="AR187">
        <f>IF($Y187="",0,COUNTIF(บันทึกรายเที่ยว!$V$6:$V$6005,$Y187))</f>
        <v/>
      </c>
      <c r="AS187">
        <f>IF($Y187="",0,ROUND(SUMIF(บันทึกรายเที่ยว!$V$6:$V$6005,$Y187,บันทึกรายเที่ยว!$M$6:$M$6005),2))</f>
        <v/>
      </c>
      <c r="AT187">
        <f>IF($Y187="",0,IFERROR(INDEX(อัตราค่าขนส่ง!$G$5:$G$204,MATCH($Y187,อัตราค่าขนส่ง!$M$5:$M$204,0)),0))</f>
        <v/>
      </c>
      <c r="AU187">
        <f>ROUND($AS187*$BD187,2)</f>
        <v/>
      </c>
      <c r="AV187">
        <f>ROUND($AU187*$BF$2/100,2)</f>
        <v/>
      </c>
      <c r="AW187">
        <f>IF($Y187="","",IFERROR(INDEX(อัตราค่าขนส่ง!$F$5:$F$204,MATCH($Y187,อัตราค่าขนส่ง!$M$5:$M$204,0)),""))</f>
        <v/>
      </c>
      <c r="AX187">
        <f>IF($W187="","",INDEX(บันทึกรายเที่ยว!$D$6:$D$6005,$W187))</f>
        <v/>
      </c>
      <c r="AY187">
        <f>IF($W187="","",INDEX(บันทึกรายเที่ยว!$R$6:$R$6005,$W187))</f>
        <v/>
      </c>
      <c r="AZ187">
        <f>IF(AND($AD187="T",$AQ187=1),N($AZ186)+1,N($AZ186))</f>
        <v/>
      </c>
      <c r="BA187">
        <f>IF($W187="","",INDEX(บันทึกรายเที่ยว!$E$6:$E$6005,$W187))</f>
        <v/>
      </c>
      <c r="BC187">
        <f>IF($Y187="",0,IFERROR(INDEX(อัตราค่าขนส่ง!$K$5:$K$204,MATCH($Y187,อัตราค่าขนส่ง!$M$5:$M$204,0)),0))</f>
        <v/>
      </c>
      <c r="BD187">
        <f>IF($Y187="",0,IFERROR(INDEX(อัตราค่าขนส่ง!$L$5:$L$204,MATCH($Y187,อัตราค่าขนส่ง!$M$5:$M$204,0)),0))</f>
        <v/>
      </c>
    </row>
    <row r="188" ht="21" customHeight="1" s="66">
      <c r="A188" s="69">
        <f>IF($AD188="","",IF($AD188="Z","รวมจ่ายทั้งสิ้น",IF($AD188="H",INDEX($X$5:$X$404,$AC188),IF($AD188="T","รวม",IF($AD188="B",IFERROR(INDEX(อัตราค่าขนส่ง!$S$5:$S$14,MATCH(INDEX($AM$5:$AM$404,$AC188),อัตราค่าขนส่ง!$R$5:$R$14,0)),"รวมกลุ่ม "&amp;INDEX($AM$5:$AM$404,$AC188)),INDEX($AY$5:$AY$404,$AC188))))))</f>
        <v/>
      </c>
      <c r="B188" s="31">
        <f>IF($AD188&lt;&gt;"D","",INDEX($AW$5:$AW$404,$AC188))</f>
        <v/>
      </c>
      <c r="C188" s="68">
        <f>IF($AD188&lt;&gt;"D","",INDEX($AX$5:$AX$404,$AC188))</f>
        <v/>
      </c>
      <c r="D188" s="70">
        <f>IF($AD188&lt;&gt;"D","",INDEX($BA$5:$BA$404,$AC188))</f>
        <v/>
      </c>
      <c r="E188" s="31">
        <f>IF($AD188="Z",SUM($AR$5:$AR$404),IF($AD188="D",INDEX($AR$5:$AR$404,$AC188),IF($AD188="T",SUMIF($X$5:$X$404,$AF188,$AR$5:$AR$404),IF($AD188="B",SUMIF($AN$5:$AN$404,$AQ188,$AR$5:$AR$404),""))))</f>
        <v/>
      </c>
      <c r="F188" s="32">
        <f>IF($AD188="Z",ROUND(SUM($AS$5:$AS$404),2),IF($AD188="D",INDEX($AS$5:$AS$404,$AC188),IF($AD188="T",ROUND(SUMIF($X$5:$X$404,$AF188,$AS$5:$AS$404),2),IF($AD188="B",ROUND(SUMIF($AN$5:$AN$404,$AQ188,$AS$5:$AS$404),2),""))))</f>
        <v/>
      </c>
      <c r="G188" s="32">
        <f>IF($AD188&lt;&gt;"D","",INDEX($AT$5:$AT$404,$AC188))</f>
        <v/>
      </c>
      <c r="H188" s="32">
        <f>IF($AD188&lt;&gt;"D","",INDEX($BC$5:$BC$404,$AC188))</f>
        <v/>
      </c>
      <c r="I188" s="32">
        <f>IF($AD188&lt;&gt;"D","",INDEX($BD$5:$BD$404,$AC188))</f>
        <v/>
      </c>
      <c r="J188" s="46">
        <f>IF($AD188&lt;&gt;"D","",IF(N($B188)=0,"",ROUND($I188/$B188,4)))</f>
        <v/>
      </c>
      <c r="K188" s="32">
        <f>IF($AD188="Z",ROUND(SUM($AU$5:$AU$404),2),IF($AD188="D",INDEX($AU$5:$AU$404,$AC188),IF($AD188="T",ROUND(SUMIF($X$5:$X$404,$AF188,$AU$5:$AU$404),2),IF($AD188="B",ROUND(SUMIF($AN$5:$AN$404,$AQ188,$AU$5:$AU$404),2),""))))</f>
        <v/>
      </c>
      <c r="L188" s="32">
        <f>IF($AD188="Z",ROUND(SUM($AV$5:$AV$404),2),IF($AD188="D",INDEX($AV$5:$AV$404,$AC188),IF($AD188="T",ROUND(SUMIF($X$5:$X$404,$AF188,$AV$5:$AV$404),2),IF($AD188="B",ROUND(SUMIF($AN$5:$AN$404,$AQ188,$AV$5:$AV$404),2),""))))</f>
        <v/>
      </c>
      <c r="M188" s="32">
        <f>IF($AD188="Z",ROUND(SUM($AJ$5:$AJ$704),2),IF($AD188="B",ROUND(SUMIF($AQ$5:$AQ$704,$AQ188,$AJ$5:$AJ$704),2),IF($AD188&lt;&gt;"T","",$AJ188)))</f>
        <v/>
      </c>
      <c r="N188" s="32">
        <f>IF(OR($AD188="D",$AD188="T",$AD188="B",$AD188="Z"),ROUND(N($K188)-N($L188)-N($M188),2),"")</f>
        <v/>
      </c>
      <c r="O188" s="32">
        <f>IF(OR($AD188="D",$AD188="T",$AD188="B",$AD188="Z"),IF(N($E188)=0,"",ROUND($F188/$E188,2)),"")</f>
        <v/>
      </c>
      <c r="Q188">
        <f>IFERROR(MATCH(184,บันทึกรายเที่ยว!$Z$6:$Z$6005,0),"")</f>
        <v/>
      </c>
      <c r="R188">
        <f>IF($Q188="","",INDEX(บันทึกรายเที่ยว!$V$6:$V$6005,$Q188))</f>
        <v/>
      </c>
      <c r="S188">
        <f>IF($Q188="","",INDEX(บันทึกรายเที่ยว!$F$6:$F$6005,$Q188))</f>
        <v/>
      </c>
      <c r="T188">
        <f>IF($Q188="","",MATCH($S188,บันทึกรายเที่ยว!$F$6:$F$6005,0))</f>
        <v/>
      </c>
      <c r="U188">
        <f>IF($Q188="","",$AL188*10000000+$T188*1000+184)</f>
        <v/>
      </c>
      <c r="V188">
        <f>IFERROR(MATCH(SMALL($U$5:$U$404,184),$U$5:$U$404,0),"")</f>
        <v/>
      </c>
      <c r="W188">
        <f>IF($V188="","",INDEX($Q$5:$Q$404,$V188))</f>
        <v/>
      </c>
      <c r="X188">
        <f>IF($V188="","",INDEX($S$5:$S$404,$V188))</f>
        <v/>
      </c>
      <c r="Y188">
        <f>IF($V188="","",INDEX($R$5:$R$404,$V188))</f>
        <v/>
      </c>
      <c r="Z188">
        <f>IF($V188="",0,IF($X188&lt;&gt;$X187,1,0))</f>
        <v/>
      </c>
      <c r="AA188">
        <f>IF($V188="",0,IF($V189="",1,IF($X189&lt;&gt;$X188,1,0)))</f>
        <v/>
      </c>
      <c r="AB188">
        <f>IF($V188="",99999+184,$AB187+1+$Z187+$AA187+$AO187)</f>
        <v/>
      </c>
      <c r="AC188">
        <f>IFERROR(MATCH(184,$AB$5:$AB$404,1),"")</f>
        <v/>
      </c>
      <c r="AD188">
        <f>IF(184=$AI$1+1,"Z",IF($AC188="","",IF(INDEX($V$5:$V$404,$AC188)="","",IF(184&gt;INDEX($AB$5:$AB$404,$AC188)+INDEX($Z$5:$Z$404,$AC188)+INDEX($AA$5:$AA$404,$AC188)+INDEX($AO$5:$AO$404,$AC188),"",IF(184=INDEX($AB$5:$AB$404,$AC188)+INDEX($Z$5:$Z$404,$AC188),"D",IF(AND(INDEX($Z$5:$Z$404,$AC188)=1,184=INDEX($AB$5:$AB$404,$AC188)),"H",IF(AND(INDEX($AO$5:$AO$404,$AC188)=1,184=INDEX($AB$5:$AB$404,$AC188)+INDEX($Z$5:$Z$404,$AC188)+INDEX($AA$5:$AA$404,$AC188)+INDEX($AO$5:$AO$404,$AC188)),"B","T")))))))</f>
        <v/>
      </c>
      <c r="AF188">
        <f>IF(OR($AD188="",$AD188="Z",$AD188="B"),"",INDEX($X$5:$X$404,$AC188))</f>
        <v/>
      </c>
      <c r="AJ188">
        <f>IF($AD188&lt;&gt;"T",0,ROUND(SUMIF(oil!$B$4:$B$63,$AF188,oil!$AE$4:$AE$63),2))</f>
        <v/>
      </c>
      <c r="AK188">
        <f>IF($S188="","",IFERROR(INDEX(อัตราค่าขนส่ง!$P$5:$P$54,MATCH($S188,อัตราค่าขนส่ง!$O$5:$O$54,0)),INDEX(รายการมาตรฐาน!$G$2:$G$3,1)))</f>
        <v/>
      </c>
      <c r="AL188">
        <f>IF($S188="","",IFERROR(MATCH($AK188,รายการมาตรฐาน!$G$2:$G$3,0),1))</f>
        <v/>
      </c>
      <c r="AM188">
        <f>IF($V188="","",INDEX($AK$5:$AK$404,$V188))</f>
        <v/>
      </c>
      <c r="AN188">
        <f>IF($V188="","",INDEX($AL$5:$AL$404,$V188))</f>
        <v/>
      </c>
      <c r="AO188">
        <f>IF(OR($V188="",$AI$2&lt;=1),0,IF($V189="",1,IF($AN189&lt;&gt;$AN188,1,0)))</f>
        <v/>
      </c>
      <c r="AP188">
        <f>IF($V188="",0,IF($AN188&lt;&gt;$AN187,1,0))</f>
        <v/>
      </c>
      <c r="AQ188">
        <f>IF(OR($AD188="",$AD188="Z"),"",INDEX($AN$5:$AN$404,$AC188))</f>
        <v/>
      </c>
      <c r="AR188">
        <f>IF($Y188="",0,COUNTIF(บันทึกรายเที่ยว!$V$6:$V$6005,$Y188))</f>
        <v/>
      </c>
      <c r="AS188">
        <f>IF($Y188="",0,ROUND(SUMIF(บันทึกรายเที่ยว!$V$6:$V$6005,$Y188,บันทึกรายเที่ยว!$M$6:$M$6005),2))</f>
        <v/>
      </c>
      <c r="AT188">
        <f>IF($Y188="",0,IFERROR(INDEX(อัตราค่าขนส่ง!$G$5:$G$204,MATCH($Y188,อัตราค่าขนส่ง!$M$5:$M$204,0)),0))</f>
        <v/>
      </c>
      <c r="AU188">
        <f>ROUND($AS188*$BD188,2)</f>
        <v/>
      </c>
      <c r="AV188">
        <f>ROUND($AU188*$BF$2/100,2)</f>
        <v/>
      </c>
      <c r="AW188">
        <f>IF($Y188="","",IFERROR(INDEX(อัตราค่าขนส่ง!$F$5:$F$204,MATCH($Y188,อัตราค่าขนส่ง!$M$5:$M$204,0)),""))</f>
        <v/>
      </c>
      <c r="AX188">
        <f>IF($W188="","",INDEX(บันทึกรายเที่ยว!$D$6:$D$6005,$W188))</f>
        <v/>
      </c>
      <c r="AY188">
        <f>IF($W188="","",INDEX(บันทึกรายเที่ยว!$R$6:$R$6005,$W188))</f>
        <v/>
      </c>
      <c r="AZ188">
        <f>IF(AND($AD188="T",$AQ188=1),N($AZ187)+1,N($AZ187))</f>
        <v/>
      </c>
      <c r="BA188">
        <f>IF($W188="","",INDEX(บันทึกรายเที่ยว!$E$6:$E$6005,$W188))</f>
        <v/>
      </c>
      <c r="BC188">
        <f>IF($Y188="",0,IFERROR(INDEX(อัตราค่าขนส่ง!$K$5:$K$204,MATCH($Y188,อัตราค่าขนส่ง!$M$5:$M$204,0)),0))</f>
        <v/>
      </c>
      <c r="BD188">
        <f>IF($Y188="",0,IFERROR(INDEX(อัตราค่าขนส่ง!$L$5:$L$204,MATCH($Y188,อัตราค่าขนส่ง!$M$5:$M$204,0)),0))</f>
        <v/>
      </c>
    </row>
    <row r="189" ht="21" customHeight="1" s="66">
      <c r="A189" s="69">
        <f>IF($AD189="","",IF($AD189="Z","รวมจ่ายทั้งสิ้น",IF($AD189="H",INDEX($X$5:$X$404,$AC189),IF($AD189="T","รวม",IF($AD189="B",IFERROR(INDEX(อัตราค่าขนส่ง!$S$5:$S$14,MATCH(INDEX($AM$5:$AM$404,$AC189),อัตราค่าขนส่ง!$R$5:$R$14,0)),"รวมกลุ่ม "&amp;INDEX($AM$5:$AM$404,$AC189)),INDEX($AY$5:$AY$404,$AC189))))))</f>
        <v/>
      </c>
      <c r="B189" s="31">
        <f>IF($AD189&lt;&gt;"D","",INDEX($AW$5:$AW$404,$AC189))</f>
        <v/>
      </c>
      <c r="C189" s="68">
        <f>IF($AD189&lt;&gt;"D","",INDEX($AX$5:$AX$404,$AC189))</f>
        <v/>
      </c>
      <c r="D189" s="70">
        <f>IF($AD189&lt;&gt;"D","",INDEX($BA$5:$BA$404,$AC189))</f>
        <v/>
      </c>
      <c r="E189" s="31">
        <f>IF($AD189="Z",SUM($AR$5:$AR$404),IF($AD189="D",INDEX($AR$5:$AR$404,$AC189),IF($AD189="T",SUMIF($X$5:$X$404,$AF189,$AR$5:$AR$404),IF($AD189="B",SUMIF($AN$5:$AN$404,$AQ189,$AR$5:$AR$404),""))))</f>
        <v/>
      </c>
      <c r="F189" s="32">
        <f>IF($AD189="Z",ROUND(SUM($AS$5:$AS$404),2),IF($AD189="D",INDEX($AS$5:$AS$404,$AC189),IF($AD189="T",ROUND(SUMIF($X$5:$X$404,$AF189,$AS$5:$AS$404),2),IF($AD189="B",ROUND(SUMIF($AN$5:$AN$404,$AQ189,$AS$5:$AS$404),2),""))))</f>
        <v/>
      </c>
      <c r="G189" s="32">
        <f>IF($AD189&lt;&gt;"D","",INDEX($AT$5:$AT$404,$AC189))</f>
        <v/>
      </c>
      <c r="H189" s="32">
        <f>IF($AD189&lt;&gt;"D","",INDEX($BC$5:$BC$404,$AC189))</f>
        <v/>
      </c>
      <c r="I189" s="32">
        <f>IF($AD189&lt;&gt;"D","",INDEX($BD$5:$BD$404,$AC189))</f>
        <v/>
      </c>
      <c r="J189" s="46">
        <f>IF($AD189&lt;&gt;"D","",IF(N($B189)=0,"",ROUND($I189/$B189,4)))</f>
        <v/>
      </c>
      <c r="K189" s="32">
        <f>IF($AD189="Z",ROUND(SUM($AU$5:$AU$404),2),IF($AD189="D",INDEX($AU$5:$AU$404,$AC189),IF($AD189="T",ROUND(SUMIF($X$5:$X$404,$AF189,$AU$5:$AU$404),2),IF($AD189="B",ROUND(SUMIF($AN$5:$AN$404,$AQ189,$AU$5:$AU$404),2),""))))</f>
        <v/>
      </c>
      <c r="L189" s="32">
        <f>IF($AD189="Z",ROUND(SUM($AV$5:$AV$404),2),IF($AD189="D",INDEX($AV$5:$AV$404,$AC189),IF($AD189="T",ROUND(SUMIF($X$5:$X$404,$AF189,$AV$5:$AV$404),2),IF($AD189="B",ROUND(SUMIF($AN$5:$AN$404,$AQ189,$AV$5:$AV$404),2),""))))</f>
        <v/>
      </c>
      <c r="M189" s="32">
        <f>IF($AD189="Z",ROUND(SUM($AJ$5:$AJ$704),2),IF($AD189="B",ROUND(SUMIF($AQ$5:$AQ$704,$AQ189,$AJ$5:$AJ$704),2),IF($AD189&lt;&gt;"T","",$AJ189)))</f>
        <v/>
      </c>
      <c r="N189" s="32">
        <f>IF(OR($AD189="D",$AD189="T",$AD189="B",$AD189="Z"),ROUND(N($K189)-N($L189)-N($M189),2),"")</f>
        <v/>
      </c>
      <c r="O189" s="32">
        <f>IF(OR($AD189="D",$AD189="T",$AD189="B",$AD189="Z"),IF(N($E189)=0,"",ROUND($F189/$E189,2)),"")</f>
        <v/>
      </c>
      <c r="Q189">
        <f>IFERROR(MATCH(185,บันทึกรายเที่ยว!$Z$6:$Z$6005,0),"")</f>
        <v/>
      </c>
      <c r="R189">
        <f>IF($Q189="","",INDEX(บันทึกรายเที่ยว!$V$6:$V$6005,$Q189))</f>
        <v/>
      </c>
      <c r="S189">
        <f>IF($Q189="","",INDEX(บันทึกรายเที่ยว!$F$6:$F$6005,$Q189))</f>
        <v/>
      </c>
      <c r="T189">
        <f>IF($Q189="","",MATCH($S189,บันทึกรายเที่ยว!$F$6:$F$6005,0))</f>
        <v/>
      </c>
      <c r="U189">
        <f>IF($Q189="","",$AL189*10000000+$T189*1000+185)</f>
        <v/>
      </c>
      <c r="V189">
        <f>IFERROR(MATCH(SMALL($U$5:$U$404,185),$U$5:$U$404,0),"")</f>
        <v/>
      </c>
      <c r="W189">
        <f>IF($V189="","",INDEX($Q$5:$Q$404,$V189))</f>
        <v/>
      </c>
      <c r="X189">
        <f>IF($V189="","",INDEX($S$5:$S$404,$V189))</f>
        <v/>
      </c>
      <c r="Y189">
        <f>IF($V189="","",INDEX($R$5:$R$404,$V189))</f>
        <v/>
      </c>
      <c r="Z189">
        <f>IF($V189="",0,IF($X189&lt;&gt;$X188,1,0))</f>
        <v/>
      </c>
      <c r="AA189">
        <f>IF($V189="",0,IF($V190="",1,IF($X190&lt;&gt;$X189,1,0)))</f>
        <v/>
      </c>
      <c r="AB189">
        <f>IF($V189="",99999+185,$AB188+1+$Z188+$AA188+$AO188)</f>
        <v/>
      </c>
      <c r="AC189">
        <f>IFERROR(MATCH(185,$AB$5:$AB$404,1),"")</f>
        <v/>
      </c>
      <c r="AD189">
        <f>IF(185=$AI$1+1,"Z",IF($AC189="","",IF(INDEX($V$5:$V$404,$AC189)="","",IF(185&gt;INDEX($AB$5:$AB$404,$AC189)+INDEX($Z$5:$Z$404,$AC189)+INDEX($AA$5:$AA$404,$AC189)+INDEX($AO$5:$AO$404,$AC189),"",IF(185=INDEX($AB$5:$AB$404,$AC189)+INDEX($Z$5:$Z$404,$AC189),"D",IF(AND(INDEX($Z$5:$Z$404,$AC189)=1,185=INDEX($AB$5:$AB$404,$AC189)),"H",IF(AND(INDEX($AO$5:$AO$404,$AC189)=1,185=INDEX($AB$5:$AB$404,$AC189)+INDEX($Z$5:$Z$404,$AC189)+INDEX($AA$5:$AA$404,$AC189)+INDEX($AO$5:$AO$404,$AC189)),"B","T")))))))</f>
        <v/>
      </c>
      <c r="AF189">
        <f>IF(OR($AD189="",$AD189="Z",$AD189="B"),"",INDEX($X$5:$X$404,$AC189))</f>
        <v/>
      </c>
      <c r="AJ189">
        <f>IF($AD189&lt;&gt;"T",0,ROUND(SUMIF(oil!$B$4:$B$63,$AF189,oil!$AE$4:$AE$63),2))</f>
        <v/>
      </c>
      <c r="AK189">
        <f>IF($S189="","",IFERROR(INDEX(อัตราค่าขนส่ง!$P$5:$P$54,MATCH($S189,อัตราค่าขนส่ง!$O$5:$O$54,0)),INDEX(รายการมาตรฐาน!$G$2:$G$3,1)))</f>
        <v/>
      </c>
      <c r="AL189">
        <f>IF($S189="","",IFERROR(MATCH($AK189,รายการมาตรฐาน!$G$2:$G$3,0),1))</f>
        <v/>
      </c>
      <c r="AM189">
        <f>IF($V189="","",INDEX($AK$5:$AK$404,$V189))</f>
        <v/>
      </c>
      <c r="AN189">
        <f>IF($V189="","",INDEX($AL$5:$AL$404,$V189))</f>
        <v/>
      </c>
      <c r="AO189">
        <f>IF(OR($V189="",$AI$2&lt;=1),0,IF($V190="",1,IF($AN190&lt;&gt;$AN189,1,0)))</f>
        <v/>
      </c>
      <c r="AP189">
        <f>IF($V189="",0,IF($AN189&lt;&gt;$AN188,1,0))</f>
        <v/>
      </c>
      <c r="AQ189">
        <f>IF(OR($AD189="",$AD189="Z"),"",INDEX($AN$5:$AN$404,$AC189))</f>
        <v/>
      </c>
      <c r="AR189">
        <f>IF($Y189="",0,COUNTIF(บันทึกรายเที่ยว!$V$6:$V$6005,$Y189))</f>
        <v/>
      </c>
      <c r="AS189">
        <f>IF($Y189="",0,ROUND(SUMIF(บันทึกรายเที่ยว!$V$6:$V$6005,$Y189,บันทึกรายเที่ยว!$M$6:$M$6005),2))</f>
        <v/>
      </c>
      <c r="AT189">
        <f>IF($Y189="",0,IFERROR(INDEX(อัตราค่าขนส่ง!$G$5:$G$204,MATCH($Y189,อัตราค่าขนส่ง!$M$5:$M$204,0)),0))</f>
        <v/>
      </c>
      <c r="AU189">
        <f>ROUND($AS189*$BD189,2)</f>
        <v/>
      </c>
      <c r="AV189">
        <f>ROUND($AU189*$BF$2/100,2)</f>
        <v/>
      </c>
      <c r="AW189">
        <f>IF($Y189="","",IFERROR(INDEX(อัตราค่าขนส่ง!$F$5:$F$204,MATCH($Y189,อัตราค่าขนส่ง!$M$5:$M$204,0)),""))</f>
        <v/>
      </c>
      <c r="AX189">
        <f>IF($W189="","",INDEX(บันทึกรายเที่ยว!$D$6:$D$6005,$W189))</f>
        <v/>
      </c>
      <c r="AY189">
        <f>IF($W189="","",INDEX(บันทึกรายเที่ยว!$R$6:$R$6005,$W189))</f>
        <v/>
      </c>
      <c r="AZ189">
        <f>IF(AND($AD189="T",$AQ189=1),N($AZ188)+1,N($AZ188))</f>
        <v/>
      </c>
      <c r="BA189">
        <f>IF($W189="","",INDEX(บันทึกรายเที่ยว!$E$6:$E$6005,$W189))</f>
        <v/>
      </c>
      <c r="BC189">
        <f>IF($Y189="",0,IFERROR(INDEX(อัตราค่าขนส่ง!$K$5:$K$204,MATCH($Y189,อัตราค่าขนส่ง!$M$5:$M$204,0)),0))</f>
        <v/>
      </c>
      <c r="BD189">
        <f>IF($Y189="",0,IFERROR(INDEX(อัตราค่าขนส่ง!$L$5:$L$204,MATCH($Y189,อัตราค่าขนส่ง!$M$5:$M$204,0)),0))</f>
        <v/>
      </c>
    </row>
    <row r="190" ht="21" customHeight="1" s="66">
      <c r="A190" s="69">
        <f>IF($AD190="","",IF($AD190="Z","รวมจ่ายทั้งสิ้น",IF($AD190="H",INDEX($X$5:$X$404,$AC190),IF($AD190="T","รวม",IF($AD190="B",IFERROR(INDEX(อัตราค่าขนส่ง!$S$5:$S$14,MATCH(INDEX($AM$5:$AM$404,$AC190),อัตราค่าขนส่ง!$R$5:$R$14,0)),"รวมกลุ่ม "&amp;INDEX($AM$5:$AM$404,$AC190)),INDEX($AY$5:$AY$404,$AC190))))))</f>
        <v/>
      </c>
      <c r="B190" s="31">
        <f>IF($AD190&lt;&gt;"D","",INDEX($AW$5:$AW$404,$AC190))</f>
        <v/>
      </c>
      <c r="C190" s="68">
        <f>IF($AD190&lt;&gt;"D","",INDEX($AX$5:$AX$404,$AC190))</f>
        <v/>
      </c>
      <c r="D190" s="70">
        <f>IF($AD190&lt;&gt;"D","",INDEX($BA$5:$BA$404,$AC190))</f>
        <v/>
      </c>
      <c r="E190" s="31">
        <f>IF($AD190="Z",SUM($AR$5:$AR$404),IF($AD190="D",INDEX($AR$5:$AR$404,$AC190),IF($AD190="T",SUMIF($X$5:$X$404,$AF190,$AR$5:$AR$404),IF($AD190="B",SUMIF($AN$5:$AN$404,$AQ190,$AR$5:$AR$404),""))))</f>
        <v/>
      </c>
      <c r="F190" s="32">
        <f>IF($AD190="Z",ROUND(SUM($AS$5:$AS$404),2),IF($AD190="D",INDEX($AS$5:$AS$404,$AC190),IF($AD190="T",ROUND(SUMIF($X$5:$X$404,$AF190,$AS$5:$AS$404),2),IF($AD190="B",ROUND(SUMIF($AN$5:$AN$404,$AQ190,$AS$5:$AS$404),2),""))))</f>
        <v/>
      </c>
      <c r="G190" s="32">
        <f>IF($AD190&lt;&gt;"D","",INDEX($AT$5:$AT$404,$AC190))</f>
        <v/>
      </c>
      <c r="H190" s="32">
        <f>IF($AD190&lt;&gt;"D","",INDEX($BC$5:$BC$404,$AC190))</f>
        <v/>
      </c>
      <c r="I190" s="32">
        <f>IF($AD190&lt;&gt;"D","",INDEX($BD$5:$BD$404,$AC190))</f>
        <v/>
      </c>
      <c r="J190" s="46">
        <f>IF($AD190&lt;&gt;"D","",IF(N($B190)=0,"",ROUND($I190/$B190,4)))</f>
        <v/>
      </c>
      <c r="K190" s="32">
        <f>IF($AD190="Z",ROUND(SUM($AU$5:$AU$404),2),IF($AD190="D",INDEX($AU$5:$AU$404,$AC190),IF($AD190="T",ROUND(SUMIF($X$5:$X$404,$AF190,$AU$5:$AU$404),2),IF($AD190="B",ROUND(SUMIF($AN$5:$AN$404,$AQ190,$AU$5:$AU$404),2),""))))</f>
        <v/>
      </c>
      <c r="L190" s="32">
        <f>IF($AD190="Z",ROUND(SUM($AV$5:$AV$404),2),IF($AD190="D",INDEX($AV$5:$AV$404,$AC190),IF($AD190="T",ROUND(SUMIF($X$5:$X$404,$AF190,$AV$5:$AV$404),2),IF($AD190="B",ROUND(SUMIF($AN$5:$AN$404,$AQ190,$AV$5:$AV$404),2),""))))</f>
        <v/>
      </c>
      <c r="M190" s="32">
        <f>IF($AD190="Z",ROUND(SUM($AJ$5:$AJ$704),2),IF($AD190="B",ROUND(SUMIF($AQ$5:$AQ$704,$AQ190,$AJ$5:$AJ$704),2),IF($AD190&lt;&gt;"T","",$AJ190)))</f>
        <v/>
      </c>
      <c r="N190" s="32">
        <f>IF(OR($AD190="D",$AD190="T",$AD190="B",$AD190="Z"),ROUND(N($K190)-N($L190)-N($M190),2),"")</f>
        <v/>
      </c>
      <c r="O190" s="32">
        <f>IF(OR($AD190="D",$AD190="T",$AD190="B",$AD190="Z"),IF(N($E190)=0,"",ROUND($F190/$E190,2)),"")</f>
        <v/>
      </c>
      <c r="Q190">
        <f>IFERROR(MATCH(186,บันทึกรายเที่ยว!$Z$6:$Z$6005,0),"")</f>
        <v/>
      </c>
      <c r="R190">
        <f>IF($Q190="","",INDEX(บันทึกรายเที่ยว!$V$6:$V$6005,$Q190))</f>
        <v/>
      </c>
      <c r="S190">
        <f>IF($Q190="","",INDEX(บันทึกรายเที่ยว!$F$6:$F$6005,$Q190))</f>
        <v/>
      </c>
      <c r="T190">
        <f>IF($Q190="","",MATCH($S190,บันทึกรายเที่ยว!$F$6:$F$6005,0))</f>
        <v/>
      </c>
      <c r="U190">
        <f>IF($Q190="","",$AL190*10000000+$T190*1000+186)</f>
        <v/>
      </c>
      <c r="V190">
        <f>IFERROR(MATCH(SMALL($U$5:$U$404,186),$U$5:$U$404,0),"")</f>
        <v/>
      </c>
      <c r="W190">
        <f>IF($V190="","",INDEX($Q$5:$Q$404,$V190))</f>
        <v/>
      </c>
      <c r="X190">
        <f>IF($V190="","",INDEX($S$5:$S$404,$V190))</f>
        <v/>
      </c>
      <c r="Y190">
        <f>IF($V190="","",INDEX($R$5:$R$404,$V190))</f>
        <v/>
      </c>
      <c r="Z190">
        <f>IF($V190="",0,IF($X190&lt;&gt;$X189,1,0))</f>
        <v/>
      </c>
      <c r="AA190">
        <f>IF($V190="",0,IF($V191="",1,IF($X191&lt;&gt;$X190,1,0)))</f>
        <v/>
      </c>
      <c r="AB190">
        <f>IF($V190="",99999+186,$AB189+1+$Z189+$AA189+$AO189)</f>
        <v/>
      </c>
      <c r="AC190">
        <f>IFERROR(MATCH(186,$AB$5:$AB$404,1),"")</f>
        <v/>
      </c>
      <c r="AD190">
        <f>IF(186=$AI$1+1,"Z",IF($AC190="","",IF(INDEX($V$5:$V$404,$AC190)="","",IF(186&gt;INDEX($AB$5:$AB$404,$AC190)+INDEX($Z$5:$Z$404,$AC190)+INDEX($AA$5:$AA$404,$AC190)+INDEX($AO$5:$AO$404,$AC190),"",IF(186=INDEX($AB$5:$AB$404,$AC190)+INDEX($Z$5:$Z$404,$AC190),"D",IF(AND(INDEX($Z$5:$Z$404,$AC190)=1,186=INDEX($AB$5:$AB$404,$AC190)),"H",IF(AND(INDEX($AO$5:$AO$404,$AC190)=1,186=INDEX($AB$5:$AB$404,$AC190)+INDEX($Z$5:$Z$404,$AC190)+INDEX($AA$5:$AA$404,$AC190)+INDEX($AO$5:$AO$404,$AC190)),"B","T")))))))</f>
        <v/>
      </c>
      <c r="AF190">
        <f>IF(OR($AD190="",$AD190="Z",$AD190="B"),"",INDEX($X$5:$X$404,$AC190))</f>
        <v/>
      </c>
      <c r="AJ190">
        <f>IF($AD190&lt;&gt;"T",0,ROUND(SUMIF(oil!$B$4:$B$63,$AF190,oil!$AE$4:$AE$63),2))</f>
        <v/>
      </c>
      <c r="AK190">
        <f>IF($S190="","",IFERROR(INDEX(อัตราค่าขนส่ง!$P$5:$P$54,MATCH($S190,อัตราค่าขนส่ง!$O$5:$O$54,0)),INDEX(รายการมาตรฐาน!$G$2:$G$3,1)))</f>
        <v/>
      </c>
      <c r="AL190">
        <f>IF($S190="","",IFERROR(MATCH($AK190,รายการมาตรฐาน!$G$2:$G$3,0),1))</f>
        <v/>
      </c>
      <c r="AM190">
        <f>IF($V190="","",INDEX($AK$5:$AK$404,$V190))</f>
        <v/>
      </c>
      <c r="AN190">
        <f>IF($V190="","",INDEX($AL$5:$AL$404,$V190))</f>
        <v/>
      </c>
      <c r="AO190">
        <f>IF(OR($V190="",$AI$2&lt;=1),0,IF($V191="",1,IF($AN191&lt;&gt;$AN190,1,0)))</f>
        <v/>
      </c>
      <c r="AP190">
        <f>IF($V190="",0,IF($AN190&lt;&gt;$AN189,1,0))</f>
        <v/>
      </c>
      <c r="AQ190">
        <f>IF(OR($AD190="",$AD190="Z"),"",INDEX($AN$5:$AN$404,$AC190))</f>
        <v/>
      </c>
      <c r="AR190">
        <f>IF($Y190="",0,COUNTIF(บันทึกรายเที่ยว!$V$6:$V$6005,$Y190))</f>
        <v/>
      </c>
      <c r="AS190">
        <f>IF($Y190="",0,ROUND(SUMIF(บันทึกรายเที่ยว!$V$6:$V$6005,$Y190,บันทึกรายเที่ยว!$M$6:$M$6005),2))</f>
        <v/>
      </c>
      <c r="AT190">
        <f>IF($Y190="",0,IFERROR(INDEX(อัตราค่าขนส่ง!$G$5:$G$204,MATCH($Y190,อัตราค่าขนส่ง!$M$5:$M$204,0)),0))</f>
        <v/>
      </c>
      <c r="AU190">
        <f>ROUND($AS190*$BD190,2)</f>
        <v/>
      </c>
      <c r="AV190">
        <f>ROUND($AU190*$BF$2/100,2)</f>
        <v/>
      </c>
      <c r="AW190">
        <f>IF($Y190="","",IFERROR(INDEX(อัตราค่าขนส่ง!$F$5:$F$204,MATCH($Y190,อัตราค่าขนส่ง!$M$5:$M$204,0)),""))</f>
        <v/>
      </c>
      <c r="AX190">
        <f>IF($W190="","",INDEX(บันทึกรายเที่ยว!$D$6:$D$6005,$W190))</f>
        <v/>
      </c>
      <c r="AY190">
        <f>IF($W190="","",INDEX(บันทึกรายเที่ยว!$R$6:$R$6005,$W190))</f>
        <v/>
      </c>
      <c r="AZ190">
        <f>IF(AND($AD190="T",$AQ190=1),N($AZ189)+1,N($AZ189))</f>
        <v/>
      </c>
      <c r="BA190">
        <f>IF($W190="","",INDEX(บันทึกรายเที่ยว!$E$6:$E$6005,$W190))</f>
        <v/>
      </c>
      <c r="BC190">
        <f>IF($Y190="",0,IFERROR(INDEX(อัตราค่าขนส่ง!$K$5:$K$204,MATCH($Y190,อัตราค่าขนส่ง!$M$5:$M$204,0)),0))</f>
        <v/>
      </c>
      <c r="BD190">
        <f>IF($Y190="",0,IFERROR(INDEX(อัตราค่าขนส่ง!$L$5:$L$204,MATCH($Y190,อัตราค่าขนส่ง!$M$5:$M$204,0)),0))</f>
        <v/>
      </c>
    </row>
    <row r="191" ht="21" customHeight="1" s="66">
      <c r="A191" s="69">
        <f>IF($AD191="","",IF($AD191="Z","รวมจ่ายทั้งสิ้น",IF($AD191="H",INDEX($X$5:$X$404,$AC191),IF($AD191="T","รวม",IF($AD191="B",IFERROR(INDEX(อัตราค่าขนส่ง!$S$5:$S$14,MATCH(INDEX($AM$5:$AM$404,$AC191),อัตราค่าขนส่ง!$R$5:$R$14,0)),"รวมกลุ่ม "&amp;INDEX($AM$5:$AM$404,$AC191)),INDEX($AY$5:$AY$404,$AC191))))))</f>
        <v/>
      </c>
      <c r="B191" s="31">
        <f>IF($AD191&lt;&gt;"D","",INDEX($AW$5:$AW$404,$AC191))</f>
        <v/>
      </c>
      <c r="C191" s="68">
        <f>IF($AD191&lt;&gt;"D","",INDEX($AX$5:$AX$404,$AC191))</f>
        <v/>
      </c>
      <c r="D191" s="70">
        <f>IF($AD191&lt;&gt;"D","",INDEX($BA$5:$BA$404,$AC191))</f>
        <v/>
      </c>
      <c r="E191" s="31">
        <f>IF($AD191="Z",SUM($AR$5:$AR$404),IF($AD191="D",INDEX($AR$5:$AR$404,$AC191),IF($AD191="T",SUMIF($X$5:$X$404,$AF191,$AR$5:$AR$404),IF($AD191="B",SUMIF($AN$5:$AN$404,$AQ191,$AR$5:$AR$404),""))))</f>
        <v/>
      </c>
      <c r="F191" s="32">
        <f>IF($AD191="Z",ROUND(SUM($AS$5:$AS$404),2),IF($AD191="D",INDEX($AS$5:$AS$404,$AC191),IF($AD191="T",ROUND(SUMIF($X$5:$X$404,$AF191,$AS$5:$AS$404),2),IF($AD191="B",ROUND(SUMIF($AN$5:$AN$404,$AQ191,$AS$5:$AS$404),2),""))))</f>
        <v/>
      </c>
      <c r="G191" s="32">
        <f>IF($AD191&lt;&gt;"D","",INDEX($AT$5:$AT$404,$AC191))</f>
        <v/>
      </c>
      <c r="H191" s="32">
        <f>IF($AD191&lt;&gt;"D","",INDEX($BC$5:$BC$404,$AC191))</f>
        <v/>
      </c>
      <c r="I191" s="32">
        <f>IF($AD191&lt;&gt;"D","",INDEX($BD$5:$BD$404,$AC191))</f>
        <v/>
      </c>
      <c r="J191" s="46">
        <f>IF($AD191&lt;&gt;"D","",IF(N($B191)=0,"",ROUND($I191/$B191,4)))</f>
        <v/>
      </c>
      <c r="K191" s="32">
        <f>IF($AD191="Z",ROUND(SUM($AU$5:$AU$404),2),IF($AD191="D",INDEX($AU$5:$AU$404,$AC191),IF($AD191="T",ROUND(SUMIF($X$5:$X$404,$AF191,$AU$5:$AU$404),2),IF($AD191="B",ROUND(SUMIF($AN$5:$AN$404,$AQ191,$AU$5:$AU$404),2),""))))</f>
        <v/>
      </c>
      <c r="L191" s="32">
        <f>IF($AD191="Z",ROUND(SUM($AV$5:$AV$404),2),IF($AD191="D",INDEX($AV$5:$AV$404,$AC191),IF($AD191="T",ROUND(SUMIF($X$5:$X$404,$AF191,$AV$5:$AV$404),2),IF($AD191="B",ROUND(SUMIF($AN$5:$AN$404,$AQ191,$AV$5:$AV$404),2),""))))</f>
        <v/>
      </c>
      <c r="M191" s="32">
        <f>IF($AD191="Z",ROUND(SUM($AJ$5:$AJ$704),2),IF($AD191="B",ROUND(SUMIF($AQ$5:$AQ$704,$AQ191,$AJ$5:$AJ$704),2),IF($AD191&lt;&gt;"T","",$AJ191)))</f>
        <v/>
      </c>
      <c r="N191" s="32">
        <f>IF(OR($AD191="D",$AD191="T",$AD191="B",$AD191="Z"),ROUND(N($K191)-N($L191)-N($M191),2),"")</f>
        <v/>
      </c>
      <c r="O191" s="32">
        <f>IF(OR($AD191="D",$AD191="T",$AD191="B",$AD191="Z"),IF(N($E191)=0,"",ROUND($F191/$E191,2)),"")</f>
        <v/>
      </c>
      <c r="Q191">
        <f>IFERROR(MATCH(187,บันทึกรายเที่ยว!$Z$6:$Z$6005,0),"")</f>
        <v/>
      </c>
      <c r="R191">
        <f>IF($Q191="","",INDEX(บันทึกรายเที่ยว!$V$6:$V$6005,$Q191))</f>
        <v/>
      </c>
      <c r="S191">
        <f>IF($Q191="","",INDEX(บันทึกรายเที่ยว!$F$6:$F$6005,$Q191))</f>
        <v/>
      </c>
      <c r="T191">
        <f>IF($Q191="","",MATCH($S191,บันทึกรายเที่ยว!$F$6:$F$6005,0))</f>
        <v/>
      </c>
      <c r="U191">
        <f>IF($Q191="","",$AL191*10000000+$T191*1000+187)</f>
        <v/>
      </c>
      <c r="V191">
        <f>IFERROR(MATCH(SMALL($U$5:$U$404,187),$U$5:$U$404,0),"")</f>
        <v/>
      </c>
      <c r="W191">
        <f>IF($V191="","",INDEX($Q$5:$Q$404,$V191))</f>
        <v/>
      </c>
      <c r="X191">
        <f>IF($V191="","",INDEX($S$5:$S$404,$V191))</f>
        <v/>
      </c>
      <c r="Y191">
        <f>IF($V191="","",INDEX($R$5:$R$404,$V191))</f>
        <v/>
      </c>
      <c r="Z191">
        <f>IF($V191="",0,IF($X191&lt;&gt;$X190,1,0))</f>
        <v/>
      </c>
      <c r="AA191">
        <f>IF($V191="",0,IF($V192="",1,IF($X192&lt;&gt;$X191,1,0)))</f>
        <v/>
      </c>
      <c r="AB191">
        <f>IF($V191="",99999+187,$AB190+1+$Z190+$AA190+$AO190)</f>
        <v/>
      </c>
      <c r="AC191">
        <f>IFERROR(MATCH(187,$AB$5:$AB$404,1),"")</f>
        <v/>
      </c>
      <c r="AD191">
        <f>IF(187=$AI$1+1,"Z",IF($AC191="","",IF(INDEX($V$5:$V$404,$AC191)="","",IF(187&gt;INDEX($AB$5:$AB$404,$AC191)+INDEX($Z$5:$Z$404,$AC191)+INDEX($AA$5:$AA$404,$AC191)+INDEX($AO$5:$AO$404,$AC191),"",IF(187=INDEX($AB$5:$AB$404,$AC191)+INDEX($Z$5:$Z$404,$AC191),"D",IF(AND(INDEX($Z$5:$Z$404,$AC191)=1,187=INDEX($AB$5:$AB$404,$AC191)),"H",IF(AND(INDEX($AO$5:$AO$404,$AC191)=1,187=INDEX($AB$5:$AB$404,$AC191)+INDEX($Z$5:$Z$404,$AC191)+INDEX($AA$5:$AA$404,$AC191)+INDEX($AO$5:$AO$404,$AC191)),"B","T")))))))</f>
        <v/>
      </c>
      <c r="AF191">
        <f>IF(OR($AD191="",$AD191="Z",$AD191="B"),"",INDEX($X$5:$X$404,$AC191))</f>
        <v/>
      </c>
      <c r="AJ191">
        <f>IF($AD191&lt;&gt;"T",0,ROUND(SUMIF(oil!$B$4:$B$63,$AF191,oil!$AE$4:$AE$63),2))</f>
        <v/>
      </c>
      <c r="AK191">
        <f>IF($S191="","",IFERROR(INDEX(อัตราค่าขนส่ง!$P$5:$P$54,MATCH($S191,อัตราค่าขนส่ง!$O$5:$O$54,0)),INDEX(รายการมาตรฐาน!$G$2:$G$3,1)))</f>
        <v/>
      </c>
      <c r="AL191">
        <f>IF($S191="","",IFERROR(MATCH($AK191,รายการมาตรฐาน!$G$2:$G$3,0),1))</f>
        <v/>
      </c>
      <c r="AM191">
        <f>IF($V191="","",INDEX($AK$5:$AK$404,$V191))</f>
        <v/>
      </c>
      <c r="AN191">
        <f>IF($V191="","",INDEX($AL$5:$AL$404,$V191))</f>
        <v/>
      </c>
      <c r="AO191">
        <f>IF(OR($V191="",$AI$2&lt;=1),0,IF($V192="",1,IF($AN192&lt;&gt;$AN191,1,0)))</f>
        <v/>
      </c>
      <c r="AP191">
        <f>IF($V191="",0,IF($AN191&lt;&gt;$AN190,1,0))</f>
        <v/>
      </c>
      <c r="AQ191">
        <f>IF(OR($AD191="",$AD191="Z"),"",INDEX($AN$5:$AN$404,$AC191))</f>
        <v/>
      </c>
      <c r="AR191">
        <f>IF($Y191="",0,COUNTIF(บันทึกรายเที่ยว!$V$6:$V$6005,$Y191))</f>
        <v/>
      </c>
      <c r="AS191">
        <f>IF($Y191="",0,ROUND(SUMIF(บันทึกรายเที่ยว!$V$6:$V$6005,$Y191,บันทึกรายเที่ยว!$M$6:$M$6005),2))</f>
        <v/>
      </c>
      <c r="AT191">
        <f>IF($Y191="",0,IFERROR(INDEX(อัตราค่าขนส่ง!$G$5:$G$204,MATCH($Y191,อัตราค่าขนส่ง!$M$5:$M$204,0)),0))</f>
        <v/>
      </c>
      <c r="AU191">
        <f>ROUND($AS191*$BD191,2)</f>
        <v/>
      </c>
      <c r="AV191">
        <f>ROUND($AU191*$BF$2/100,2)</f>
        <v/>
      </c>
      <c r="AW191">
        <f>IF($Y191="","",IFERROR(INDEX(อัตราค่าขนส่ง!$F$5:$F$204,MATCH($Y191,อัตราค่าขนส่ง!$M$5:$M$204,0)),""))</f>
        <v/>
      </c>
      <c r="AX191">
        <f>IF($W191="","",INDEX(บันทึกรายเที่ยว!$D$6:$D$6005,$W191))</f>
        <v/>
      </c>
      <c r="AY191">
        <f>IF($W191="","",INDEX(บันทึกรายเที่ยว!$R$6:$R$6005,$W191))</f>
        <v/>
      </c>
      <c r="AZ191">
        <f>IF(AND($AD191="T",$AQ191=1),N($AZ190)+1,N($AZ190))</f>
        <v/>
      </c>
      <c r="BA191">
        <f>IF($W191="","",INDEX(บันทึกรายเที่ยว!$E$6:$E$6005,$W191))</f>
        <v/>
      </c>
      <c r="BC191">
        <f>IF($Y191="",0,IFERROR(INDEX(อัตราค่าขนส่ง!$K$5:$K$204,MATCH($Y191,อัตราค่าขนส่ง!$M$5:$M$204,0)),0))</f>
        <v/>
      </c>
      <c r="BD191">
        <f>IF($Y191="",0,IFERROR(INDEX(อัตราค่าขนส่ง!$L$5:$L$204,MATCH($Y191,อัตราค่าขนส่ง!$M$5:$M$204,0)),0))</f>
        <v/>
      </c>
    </row>
    <row r="192" ht="21" customHeight="1" s="66">
      <c r="A192" s="69">
        <f>IF($AD192="","",IF($AD192="Z","รวมจ่ายทั้งสิ้น",IF($AD192="H",INDEX($X$5:$X$404,$AC192),IF($AD192="T","รวม",IF($AD192="B",IFERROR(INDEX(อัตราค่าขนส่ง!$S$5:$S$14,MATCH(INDEX($AM$5:$AM$404,$AC192),อัตราค่าขนส่ง!$R$5:$R$14,0)),"รวมกลุ่ม "&amp;INDEX($AM$5:$AM$404,$AC192)),INDEX($AY$5:$AY$404,$AC192))))))</f>
        <v/>
      </c>
      <c r="B192" s="31">
        <f>IF($AD192&lt;&gt;"D","",INDEX($AW$5:$AW$404,$AC192))</f>
        <v/>
      </c>
      <c r="C192" s="68">
        <f>IF($AD192&lt;&gt;"D","",INDEX($AX$5:$AX$404,$AC192))</f>
        <v/>
      </c>
      <c r="D192" s="70">
        <f>IF($AD192&lt;&gt;"D","",INDEX($BA$5:$BA$404,$AC192))</f>
        <v/>
      </c>
      <c r="E192" s="31">
        <f>IF($AD192="Z",SUM($AR$5:$AR$404),IF($AD192="D",INDEX($AR$5:$AR$404,$AC192),IF($AD192="T",SUMIF($X$5:$X$404,$AF192,$AR$5:$AR$404),IF($AD192="B",SUMIF($AN$5:$AN$404,$AQ192,$AR$5:$AR$404),""))))</f>
        <v/>
      </c>
      <c r="F192" s="32">
        <f>IF($AD192="Z",ROUND(SUM($AS$5:$AS$404),2),IF($AD192="D",INDEX($AS$5:$AS$404,$AC192),IF($AD192="T",ROUND(SUMIF($X$5:$X$404,$AF192,$AS$5:$AS$404),2),IF($AD192="B",ROUND(SUMIF($AN$5:$AN$404,$AQ192,$AS$5:$AS$404),2),""))))</f>
        <v/>
      </c>
      <c r="G192" s="32">
        <f>IF($AD192&lt;&gt;"D","",INDEX($AT$5:$AT$404,$AC192))</f>
        <v/>
      </c>
      <c r="H192" s="32">
        <f>IF($AD192&lt;&gt;"D","",INDEX($BC$5:$BC$404,$AC192))</f>
        <v/>
      </c>
      <c r="I192" s="32">
        <f>IF($AD192&lt;&gt;"D","",INDEX($BD$5:$BD$404,$AC192))</f>
        <v/>
      </c>
      <c r="J192" s="46">
        <f>IF($AD192&lt;&gt;"D","",IF(N($B192)=0,"",ROUND($I192/$B192,4)))</f>
        <v/>
      </c>
      <c r="K192" s="32">
        <f>IF($AD192="Z",ROUND(SUM($AU$5:$AU$404),2),IF($AD192="D",INDEX($AU$5:$AU$404,$AC192),IF($AD192="T",ROUND(SUMIF($X$5:$X$404,$AF192,$AU$5:$AU$404),2),IF($AD192="B",ROUND(SUMIF($AN$5:$AN$404,$AQ192,$AU$5:$AU$404),2),""))))</f>
        <v/>
      </c>
      <c r="L192" s="32">
        <f>IF($AD192="Z",ROUND(SUM($AV$5:$AV$404),2),IF($AD192="D",INDEX($AV$5:$AV$404,$AC192),IF($AD192="T",ROUND(SUMIF($X$5:$X$404,$AF192,$AV$5:$AV$404),2),IF($AD192="B",ROUND(SUMIF($AN$5:$AN$404,$AQ192,$AV$5:$AV$404),2),""))))</f>
        <v/>
      </c>
      <c r="M192" s="32">
        <f>IF($AD192="Z",ROUND(SUM($AJ$5:$AJ$704),2),IF($AD192="B",ROUND(SUMIF($AQ$5:$AQ$704,$AQ192,$AJ$5:$AJ$704),2),IF($AD192&lt;&gt;"T","",$AJ192)))</f>
        <v/>
      </c>
      <c r="N192" s="32">
        <f>IF(OR($AD192="D",$AD192="T",$AD192="B",$AD192="Z"),ROUND(N($K192)-N($L192)-N($M192),2),"")</f>
        <v/>
      </c>
      <c r="O192" s="32">
        <f>IF(OR($AD192="D",$AD192="T",$AD192="B",$AD192="Z"),IF(N($E192)=0,"",ROUND($F192/$E192,2)),"")</f>
        <v/>
      </c>
      <c r="Q192">
        <f>IFERROR(MATCH(188,บันทึกรายเที่ยว!$Z$6:$Z$6005,0),"")</f>
        <v/>
      </c>
      <c r="R192">
        <f>IF($Q192="","",INDEX(บันทึกรายเที่ยว!$V$6:$V$6005,$Q192))</f>
        <v/>
      </c>
      <c r="S192">
        <f>IF($Q192="","",INDEX(บันทึกรายเที่ยว!$F$6:$F$6005,$Q192))</f>
        <v/>
      </c>
      <c r="T192">
        <f>IF($Q192="","",MATCH($S192,บันทึกรายเที่ยว!$F$6:$F$6005,0))</f>
        <v/>
      </c>
      <c r="U192">
        <f>IF($Q192="","",$AL192*10000000+$T192*1000+188)</f>
        <v/>
      </c>
      <c r="V192">
        <f>IFERROR(MATCH(SMALL($U$5:$U$404,188),$U$5:$U$404,0),"")</f>
        <v/>
      </c>
      <c r="W192">
        <f>IF($V192="","",INDEX($Q$5:$Q$404,$V192))</f>
        <v/>
      </c>
      <c r="X192">
        <f>IF($V192="","",INDEX($S$5:$S$404,$V192))</f>
        <v/>
      </c>
      <c r="Y192">
        <f>IF($V192="","",INDEX($R$5:$R$404,$V192))</f>
        <v/>
      </c>
      <c r="Z192">
        <f>IF($V192="",0,IF($X192&lt;&gt;$X191,1,0))</f>
        <v/>
      </c>
      <c r="AA192">
        <f>IF($V192="",0,IF($V193="",1,IF($X193&lt;&gt;$X192,1,0)))</f>
        <v/>
      </c>
      <c r="AB192">
        <f>IF($V192="",99999+188,$AB191+1+$Z191+$AA191+$AO191)</f>
        <v/>
      </c>
      <c r="AC192">
        <f>IFERROR(MATCH(188,$AB$5:$AB$404,1),"")</f>
        <v/>
      </c>
      <c r="AD192">
        <f>IF(188=$AI$1+1,"Z",IF($AC192="","",IF(INDEX($V$5:$V$404,$AC192)="","",IF(188&gt;INDEX($AB$5:$AB$404,$AC192)+INDEX($Z$5:$Z$404,$AC192)+INDEX($AA$5:$AA$404,$AC192)+INDEX($AO$5:$AO$404,$AC192),"",IF(188=INDEX($AB$5:$AB$404,$AC192)+INDEX($Z$5:$Z$404,$AC192),"D",IF(AND(INDEX($Z$5:$Z$404,$AC192)=1,188=INDEX($AB$5:$AB$404,$AC192)),"H",IF(AND(INDEX($AO$5:$AO$404,$AC192)=1,188=INDEX($AB$5:$AB$404,$AC192)+INDEX($Z$5:$Z$404,$AC192)+INDEX($AA$5:$AA$404,$AC192)+INDEX($AO$5:$AO$404,$AC192)),"B","T")))))))</f>
        <v/>
      </c>
      <c r="AF192">
        <f>IF(OR($AD192="",$AD192="Z",$AD192="B"),"",INDEX($X$5:$X$404,$AC192))</f>
        <v/>
      </c>
      <c r="AJ192">
        <f>IF($AD192&lt;&gt;"T",0,ROUND(SUMIF(oil!$B$4:$B$63,$AF192,oil!$AE$4:$AE$63),2))</f>
        <v/>
      </c>
      <c r="AK192">
        <f>IF($S192="","",IFERROR(INDEX(อัตราค่าขนส่ง!$P$5:$P$54,MATCH($S192,อัตราค่าขนส่ง!$O$5:$O$54,0)),INDEX(รายการมาตรฐาน!$G$2:$G$3,1)))</f>
        <v/>
      </c>
      <c r="AL192">
        <f>IF($S192="","",IFERROR(MATCH($AK192,รายการมาตรฐาน!$G$2:$G$3,0),1))</f>
        <v/>
      </c>
      <c r="AM192">
        <f>IF($V192="","",INDEX($AK$5:$AK$404,$V192))</f>
        <v/>
      </c>
      <c r="AN192">
        <f>IF($V192="","",INDEX($AL$5:$AL$404,$V192))</f>
        <v/>
      </c>
      <c r="AO192">
        <f>IF(OR($V192="",$AI$2&lt;=1),0,IF($V193="",1,IF($AN193&lt;&gt;$AN192,1,0)))</f>
        <v/>
      </c>
      <c r="AP192">
        <f>IF($V192="",0,IF($AN192&lt;&gt;$AN191,1,0))</f>
        <v/>
      </c>
      <c r="AQ192">
        <f>IF(OR($AD192="",$AD192="Z"),"",INDEX($AN$5:$AN$404,$AC192))</f>
        <v/>
      </c>
      <c r="AR192">
        <f>IF($Y192="",0,COUNTIF(บันทึกรายเที่ยว!$V$6:$V$6005,$Y192))</f>
        <v/>
      </c>
      <c r="AS192">
        <f>IF($Y192="",0,ROUND(SUMIF(บันทึกรายเที่ยว!$V$6:$V$6005,$Y192,บันทึกรายเที่ยว!$M$6:$M$6005),2))</f>
        <v/>
      </c>
      <c r="AT192">
        <f>IF($Y192="",0,IFERROR(INDEX(อัตราค่าขนส่ง!$G$5:$G$204,MATCH($Y192,อัตราค่าขนส่ง!$M$5:$M$204,0)),0))</f>
        <v/>
      </c>
      <c r="AU192">
        <f>ROUND($AS192*$BD192,2)</f>
        <v/>
      </c>
      <c r="AV192">
        <f>ROUND($AU192*$BF$2/100,2)</f>
        <v/>
      </c>
      <c r="AW192">
        <f>IF($Y192="","",IFERROR(INDEX(อัตราค่าขนส่ง!$F$5:$F$204,MATCH($Y192,อัตราค่าขนส่ง!$M$5:$M$204,0)),""))</f>
        <v/>
      </c>
      <c r="AX192">
        <f>IF($W192="","",INDEX(บันทึกรายเที่ยว!$D$6:$D$6005,$W192))</f>
        <v/>
      </c>
      <c r="AY192">
        <f>IF($W192="","",INDEX(บันทึกรายเที่ยว!$R$6:$R$6005,$W192))</f>
        <v/>
      </c>
      <c r="AZ192">
        <f>IF(AND($AD192="T",$AQ192=1),N($AZ191)+1,N($AZ191))</f>
        <v/>
      </c>
      <c r="BA192">
        <f>IF($W192="","",INDEX(บันทึกรายเที่ยว!$E$6:$E$6005,$W192))</f>
        <v/>
      </c>
      <c r="BC192">
        <f>IF($Y192="",0,IFERROR(INDEX(อัตราค่าขนส่ง!$K$5:$K$204,MATCH($Y192,อัตราค่าขนส่ง!$M$5:$M$204,0)),0))</f>
        <v/>
      </c>
      <c r="BD192">
        <f>IF($Y192="",0,IFERROR(INDEX(อัตราค่าขนส่ง!$L$5:$L$204,MATCH($Y192,อัตราค่าขนส่ง!$M$5:$M$204,0)),0))</f>
        <v/>
      </c>
    </row>
    <row r="193" ht="21" customHeight="1" s="66">
      <c r="A193" s="69">
        <f>IF($AD193="","",IF($AD193="Z","รวมจ่ายทั้งสิ้น",IF($AD193="H",INDEX($X$5:$X$404,$AC193),IF($AD193="T","รวม",IF($AD193="B",IFERROR(INDEX(อัตราค่าขนส่ง!$S$5:$S$14,MATCH(INDEX($AM$5:$AM$404,$AC193),อัตราค่าขนส่ง!$R$5:$R$14,0)),"รวมกลุ่ม "&amp;INDEX($AM$5:$AM$404,$AC193)),INDEX($AY$5:$AY$404,$AC193))))))</f>
        <v/>
      </c>
      <c r="B193" s="31">
        <f>IF($AD193&lt;&gt;"D","",INDEX($AW$5:$AW$404,$AC193))</f>
        <v/>
      </c>
      <c r="C193" s="68">
        <f>IF($AD193&lt;&gt;"D","",INDEX($AX$5:$AX$404,$AC193))</f>
        <v/>
      </c>
      <c r="D193" s="70">
        <f>IF($AD193&lt;&gt;"D","",INDEX($BA$5:$BA$404,$AC193))</f>
        <v/>
      </c>
      <c r="E193" s="31">
        <f>IF($AD193="Z",SUM($AR$5:$AR$404),IF($AD193="D",INDEX($AR$5:$AR$404,$AC193),IF($AD193="T",SUMIF($X$5:$X$404,$AF193,$AR$5:$AR$404),IF($AD193="B",SUMIF($AN$5:$AN$404,$AQ193,$AR$5:$AR$404),""))))</f>
        <v/>
      </c>
      <c r="F193" s="32">
        <f>IF($AD193="Z",ROUND(SUM($AS$5:$AS$404),2),IF($AD193="D",INDEX($AS$5:$AS$404,$AC193),IF($AD193="T",ROUND(SUMIF($X$5:$X$404,$AF193,$AS$5:$AS$404),2),IF($AD193="B",ROUND(SUMIF($AN$5:$AN$404,$AQ193,$AS$5:$AS$404),2),""))))</f>
        <v/>
      </c>
      <c r="G193" s="32">
        <f>IF($AD193&lt;&gt;"D","",INDEX($AT$5:$AT$404,$AC193))</f>
        <v/>
      </c>
      <c r="H193" s="32">
        <f>IF($AD193&lt;&gt;"D","",INDEX($BC$5:$BC$404,$AC193))</f>
        <v/>
      </c>
      <c r="I193" s="32">
        <f>IF($AD193&lt;&gt;"D","",INDEX($BD$5:$BD$404,$AC193))</f>
        <v/>
      </c>
      <c r="J193" s="46">
        <f>IF($AD193&lt;&gt;"D","",IF(N($B193)=0,"",ROUND($I193/$B193,4)))</f>
        <v/>
      </c>
      <c r="K193" s="32">
        <f>IF($AD193="Z",ROUND(SUM($AU$5:$AU$404),2),IF($AD193="D",INDEX($AU$5:$AU$404,$AC193),IF($AD193="T",ROUND(SUMIF($X$5:$X$404,$AF193,$AU$5:$AU$404),2),IF($AD193="B",ROUND(SUMIF($AN$5:$AN$404,$AQ193,$AU$5:$AU$404),2),""))))</f>
        <v/>
      </c>
      <c r="L193" s="32">
        <f>IF($AD193="Z",ROUND(SUM($AV$5:$AV$404),2),IF($AD193="D",INDEX($AV$5:$AV$404,$AC193),IF($AD193="T",ROUND(SUMIF($X$5:$X$404,$AF193,$AV$5:$AV$404),2),IF($AD193="B",ROUND(SUMIF($AN$5:$AN$404,$AQ193,$AV$5:$AV$404),2),""))))</f>
        <v/>
      </c>
      <c r="M193" s="32">
        <f>IF($AD193="Z",ROUND(SUM($AJ$5:$AJ$704),2),IF($AD193="B",ROUND(SUMIF($AQ$5:$AQ$704,$AQ193,$AJ$5:$AJ$704),2),IF($AD193&lt;&gt;"T","",$AJ193)))</f>
        <v/>
      </c>
      <c r="N193" s="32">
        <f>IF(OR($AD193="D",$AD193="T",$AD193="B",$AD193="Z"),ROUND(N($K193)-N($L193)-N($M193),2),"")</f>
        <v/>
      </c>
      <c r="O193" s="32">
        <f>IF(OR($AD193="D",$AD193="T",$AD193="B",$AD193="Z"),IF(N($E193)=0,"",ROUND($F193/$E193,2)),"")</f>
        <v/>
      </c>
      <c r="Q193">
        <f>IFERROR(MATCH(189,บันทึกรายเที่ยว!$Z$6:$Z$6005,0),"")</f>
        <v/>
      </c>
      <c r="R193">
        <f>IF($Q193="","",INDEX(บันทึกรายเที่ยว!$V$6:$V$6005,$Q193))</f>
        <v/>
      </c>
      <c r="S193">
        <f>IF($Q193="","",INDEX(บันทึกรายเที่ยว!$F$6:$F$6005,$Q193))</f>
        <v/>
      </c>
      <c r="T193">
        <f>IF($Q193="","",MATCH($S193,บันทึกรายเที่ยว!$F$6:$F$6005,0))</f>
        <v/>
      </c>
      <c r="U193">
        <f>IF($Q193="","",$AL193*10000000+$T193*1000+189)</f>
        <v/>
      </c>
      <c r="V193">
        <f>IFERROR(MATCH(SMALL($U$5:$U$404,189),$U$5:$U$404,0),"")</f>
        <v/>
      </c>
      <c r="W193">
        <f>IF($V193="","",INDEX($Q$5:$Q$404,$V193))</f>
        <v/>
      </c>
      <c r="X193">
        <f>IF($V193="","",INDEX($S$5:$S$404,$V193))</f>
        <v/>
      </c>
      <c r="Y193">
        <f>IF($V193="","",INDEX($R$5:$R$404,$V193))</f>
        <v/>
      </c>
      <c r="Z193">
        <f>IF($V193="",0,IF($X193&lt;&gt;$X192,1,0))</f>
        <v/>
      </c>
      <c r="AA193">
        <f>IF($V193="",0,IF($V194="",1,IF($X194&lt;&gt;$X193,1,0)))</f>
        <v/>
      </c>
      <c r="AB193">
        <f>IF($V193="",99999+189,$AB192+1+$Z192+$AA192+$AO192)</f>
        <v/>
      </c>
      <c r="AC193">
        <f>IFERROR(MATCH(189,$AB$5:$AB$404,1),"")</f>
        <v/>
      </c>
      <c r="AD193">
        <f>IF(189=$AI$1+1,"Z",IF($AC193="","",IF(INDEX($V$5:$V$404,$AC193)="","",IF(189&gt;INDEX($AB$5:$AB$404,$AC193)+INDEX($Z$5:$Z$404,$AC193)+INDEX($AA$5:$AA$404,$AC193)+INDEX($AO$5:$AO$404,$AC193),"",IF(189=INDEX($AB$5:$AB$404,$AC193)+INDEX($Z$5:$Z$404,$AC193),"D",IF(AND(INDEX($Z$5:$Z$404,$AC193)=1,189=INDEX($AB$5:$AB$404,$AC193)),"H",IF(AND(INDEX($AO$5:$AO$404,$AC193)=1,189=INDEX($AB$5:$AB$404,$AC193)+INDEX($Z$5:$Z$404,$AC193)+INDEX($AA$5:$AA$404,$AC193)+INDEX($AO$5:$AO$404,$AC193)),"B","T")))))))</f>
        <v/>
      </c>
      <c r="AF193">
        <f>IF(OR($AD193="",$AD193="Z",$AD193="B"),"",INDEX($X$5:$X$404,$AC193))</f>
        <v/>
      </c>
      <c r="AJ193">
        <f>IF($AD193&lt;&gt;"T",0,ROUND(SUMIF(oil!$B$4:$B$63,$AF193,oil!$AE$4:$AE$63),2))</f>
        <v/>
      </c>
      <c r="AK193">
        <f>IF($S193="","",IFERROR(INDEX(อัตราค่าขนส่ง!$P$5:$P$54,MATCH($S193,อัตราค่าขนส่ง!$O$5:$O$54,0)),INDEX(รายการมาตรฐาน!$G$2:$G$3,1)))</f>
        <v/>
      </c>
      <c r="AL193">
        <f>IF($S193="","",IFERROR(MATCH($AK193,รายการมาตรฐาน!$G$2:$G$3,0),1))</f>
        <v/>
      </c>
      <c r="AM193">
        <f>IF($V193="","",INDEX($AK$5:$AK$404,$V193))</f>
        <v/>
      </c>
      <c r="AN193">
        <f>IF($V193="","",INDEX($AL$5:$AL$404,$V193))</f>
        <v/>
      </c>
      <c r="AO193">
        <f>IF(OR($V193="",$AI$2&lt;=1),0,IF($V194="",1,IF($AN194&lt;&gt;$AN193,1,0)))</f>
        <v/>
      </c>
      <c r="AP193">
        <f>IF($V193="",0,IF($AN193&lt;&gt;$AN192,1,0))</f>
        <v/>
      </c>
      <c r="AQ193">
        <f>IF(OR($AD193="",$AD193="Z"),"",INDEX($AN$5:$AN$404,$AC193))</f>
        <v/>
      </c>
      <c r="AR193">
        <f>IF($Y193="",0,COUNTIF(บันทึกรายเที่ยว!$V$6:$V$6005,$Y193))</f>
        <v/>
      </c>
      <c r="AS193">
        <f>IF($Y193="",0,ROUND(SUMIF(บันทึกรายเที่ยว!$V$6:$V$6005,$Y193,บันทึกรายเที่ยว!$M$6:$M$6005),2))</f>
        <v/>
      </c>
      <c r="AT193">
        <f>IF($Y193="",0,IFERROR(INDEX(อัตราค่าขนส่ง!$G$5:$G$204,MATCH($Y193,อัตราค่าขนส่ง!$M$5:$M$204,0)),0))</f>
        <v/>
      </c>
      <c r="AU193">
        <f>ROUND($AS193*$BD193,2)</f>
        <v/>
      </c>
      <c r="AV193">
        <f>ROUND($AU193*$BF$2/100,2)</f>
        <v/>
      </c>
      <c r="AW193">
        <f>IF($Y193="","",IFERROR(INDEX(อัตราค่าขนส่ง!$F$5:$F$204,MATCH($Y193,อัตราค่าขนส่ง!$M$5:$M$204,0)),""))</f>
        <v/>
      </c>
      <c r="AX193">
        <f>IF($W193="","",INDEX(บันทึกรายเที่ยว!$D$6:$D$6005,$W193))</f>
        <v/>
      </c>
      <c r="AY193">
        <f>IF($W193="","",INDEX(บันทึกรายเที่ยว!$R$6:$R$6005,$W193))</f>
        <v/>
      </c>
      <c r="AZ193">
        <f>IF(AND($AD193="T",$AQ193=1),N($AZ192)+1,N($AZ192))</f>
        <v/>
      </c>
      <c r="BA193">
        <f>IF($W193="","",INDEX(บันทึกรายเที่ยว!$E$6:$E$6005,$W193))</f>
        <v/>
      </c>
      <c r="BC193">
        <f>IF($Y193="",0,IFERROR(INDEX(อัตราค่าขนส่ง!$K$5:$K$204,MATCH($Y193,อัตราค่าขนส่ง!$M$5:$M$204,0)),0))</f>
        <v/>
      </c>
      <c r="BD193">
        <f>IF($Y193="",0,IFERROR(INDEX(อัตราค่าขนส่ง!$L$5:$L$204,MATCH($Y193,อัตราค่าขนส่ง!$M$5:$M$204,0)),0))</f>
        <v/>
      </c>
    </row>
    <row r="194" ht="21" customHeight="1" s="66">
      <c r="A194" s="69">
        <f>IF($AD194="","",IF($AD194="Z","รวมจ่ายทั้งสิ้น",IF($AD194="H",INDEX($X$5:$X$404,$AC194),IF($AD194="T","รวม",IF($AD194="B",IFERROR(INDEX(อัตราค่าขนส่ง!$S$5:$S$14,MATCH(INDEX($AM$5:$AM$404,$AC194),อัตราค่าขนส่ง!$R$5:$R$14,0)),"รวมกลุ่ม "&amp;INDEX($AM$5:$AM$404,$AC194)),INDEX($AY$5:$AY$404,$AC194))))))</f>
        <v/>
      </c>
      <c r="B194" s="31">
        <f>IF($AD194&lt;&gt;"D","",INDEX($AW$5:$AW$404,$AC194))</f>
        <v/>
      </c>
      <c r="C194" s="68">
        <f>IF($AD194&lt;&gt;"D","",INDEX($AX$5:$AX$404,$AC194))</f>
        <v/>
      </c>
      <c r="D194" s="70">
        <f>IF($AD194&lt;&gt;"D","",INDEX($BA$5:$BA$404,$AC194))</f>
        <v/>
      </c>
      <c r="E194" s="31">
        <f>IF($AD194="Z",SUM($AR$5:$AR$404),IF($AD194="D",INDEX($AR$5:$AR$404,$AC194),IF($AD194="T",SUMIF($X$5:$X$404,$AF194,$AR$5:$AR$404),IF($AD194="B",SUMIF($AN$5:$AN$404,$AQ194,$AR$5:$AR$404),""))))</f>
        <v/>
      </c>
      <c r="F194" s="32">
        <f>IF($AD194="Z",ROUND(SUM($AS$5:$AS$404),2),IF($AD194="D",INDEX($AS$5:$AS$404,$AC194),IF($AD194="T",ROUND(SUMIF($X$5:$X$404,$AF194,$AS$5:$AS$404),2),IF($AD194="B",ROUND(SUMIF($AN$5:$AN$404,$AQ194,$AS$5:$AS$404),2),""))))</f>
        <v/>
      </c>
      <c r="G194" s="32">
        <f>IF($AD194&lt;&gt;"D","",INDEX($AT$5:$AT$404,$AC194))</f>
        <v/>
      </c>
      <c r="H194" s="32">
        <f>IF($AD194&lt;&gt;"D","",INDEX($BC$5:$BC$404,$AC194))</f>
        <v/>
      </c>
      <c r="I194" s="32">
        <f>IF($AD194&lt;&gt;"D","",INDEX($BD$5:$BD$404,$AC194))</f>
        <v/>
      </c>
      <c r="J194" s="46">
        <f>IF($AD194&lt;&gt;"D","",IF(N($B194)=0,"",ROUND($I194/$B194,4)))</f>
        <v/>
      </c>
      <c r="K194" s="32">
        <f>IF($AD194="Z",ROUND(SUM($AU$5:$AU$404),2),IF($AD194="D",INDEX($AU$5:$AU$404,$AC194),IF($AD194="T",ROUND(SUMIF($X$5:$X$404,$AF194,$AU$5:$AU$404),2),IF($AD194="B",ROUND(SUMIF($AN$5:$AN$404,$AQ194,$AU$5:$AU$404),2),""))))</f>
        <v/>
      </c>
      <c r="L194" s="32">
        <f>IF($AD194="Z",ROUND(SUM($AV$5:$AV$404),2),IF($AD194="D",INDEX($AV$5:$AV$404,$AC194),IF($AD194="T",ROUND(SUMIF($X$5:$X$404,$AF194,$AV$5:$AV$404),2),IF($AD194="B",ROUND(SUMIF($AN$5:$AN$404,$AQ194,$AV$5:$AV$404),2),""))))</f>
        <v/>
      </c>
      <c r="M194" s="32">
        <f>IF($AD194="Z",ROUND(SUM($AJ$5:$AJ$704),2),IF($AD194="B",ROUND(SUMIF($AQ$5:$AQ$704,$AQ194,$AJ$5:$AJ$704),2),IF($AD194&lt;&gt;"T","",$AJ194)))</f>
        <v/>
      </c>
      <c r="N194" s="32">
        <f>IF(OR($AD194="D",$AD194="T",$AD194="B",$AD194="Z"),ROUND(N($K194)-N($L194)-N($M194),2),"")</f>
        <v/>
      </c>
      <c r="O194" s="32">
        <f>IF(OR($AD194="D",$AD194="T",$AD194="B",$AD194="Z"),IF(N($E194)=0,"",ROUND($F194/$E194,2)),"")</f>
        <v/>
      </c>
      <c r="Q194">
        <f>IFERROR(MATCH(190,บันทึกรายเที่ยว!$Z$6:$Z$6005,0),"")</f>
        <v/>
      </c>
      <c r="R194">
        <f>IF($Q194="","",INDEX(บันทึกรายเที่ยว!$V$6:$V$6005,$Q194))</f>
        <v/>
      </c>
      <c r="S194">
        <f>IF($Q194="","",INDEX(บันทึกรายเที่ยว!$F$6:$F$6005,$Q194))</f>
        <v/>
      </c>
      <c r="T194">
        <f>IF($Q194="","",MATCH($S194,บันทึกรายเที่ยว!$F$6:$F$6005,0))</f>
        <v/>
      </c>
      <c r="U194">
        <f>IF($Q194="","",$AL194*10000000+$T194*1000+190)</f>
        <v/>
      </c>
      <c r="V194">
        <f>IFERROR(MATCH(SMALL($U$5:$U$404,190),$U$5:$U$404,0),"")</f>
        <v/>
      </c>
      <c r="W194">
        <f>IF($V194="","",INDEX($Q$5:$Q$404,$V194))</f>
        <v/>
      </c>
      <c r="X194">
        <f>IF($V194="","",INDEX($S$5:$S$404,$V194))</f>
        <v/>
      </c>
      <c r="Y194">
        <f>IF($V194="","",INDEX($R$5:$R$404,$V194))</f>
        <v/>
      </c>
      <c r="Z194">
        <f>IF($V194="",0,IF($X194&lt;&gt;$X193,1,0))</f>
        <v/>
      </c>
      <c r="AA194">
        <f>IF($V194="",0,IF($V195="",1,IF($X195&lt;&gt;$X194,1,0)))</f>
        <v/>
      </c>
      <c r="AB194">
        <f>IF($V194="",99999+190,$AB193+1+$Z193+$AA193+$AO193)</f>
        <v/>
      </c>
      <c r="AC194">
        <f>IFERROR(MATCH(190,$AB$5:$AB$404,1),"")</f>
        <v/>
      </c>
      <c r="AD194">
        <f>IF(190=$AI$1+1,"Z",IF($AC194="","",IF(INDEX($V$5:$V$404,$AC194)="","",IF(190&gt;INDEX($AB$5:$AB$404,$AC194)+INDEX($Z$5:$Z$404,$AC194)+INDEX($AA$5:$AA$404,$AC194)+INDEX($AO$5:$AO$404,$AC194),"",IF(190=INDEX($AB$5:$AB$404,$AC194)+INDEX($Z$5:$Z$404,$AC194),"D",IF(AND(INDEX($Z$5:$Z$404,$AC194)=1,190=INDEX($AB$5:$AB$404,$AC194)),"H",IF(AND(INDEX($AO$5:$AO$404,$AC194)=1,190=INDEX($AB$5:$AB$404,$AC194)+INDEX($Z$5:$Z$404,$AC194)+INDEX($AA$5:$AA$404,$AC194)+INDEX($AO$5:$AO$404,$AC194)),"B","T")))))))</f>
        <v/>
      </c>
      <c r="AF194">
        <f>IF(OR($AD194="",$AD194="Z",$AD194="B"),"",INDEX($X$5:$X$404,$AC194))</f>
        <v/>
      </c>
      <c r="AJ194">
        <f>IF($AD194&lt;&gt;"T",0,ROUND(SUMIF(oil!$B$4:$B$63,$AF194,oil!$AE$4:$AE$63),2))</f>
        <v/>
      </c>
      <c r="AK194">
        <f>IF($S194="","",IFERROR(INDEX(อัตราค่าขนส่ง!$P$5:$P$54,MATCH($S194,อัตราค่าขนส่ง!$O$5:$O$54,0)),INDEX(รายการมาตรฐาน!$G$2:$G$3,1)))</f>
        <v/>
      </c>
      <c r="AL194">
        <f>IF($S194="","",IFERROR(MATCH($AK194,รายการมาตรฐาน!$G$2:$G$3,0),1))</f>
        <v/>
      </c>
      <c r="AM194">
        <f>IF($V194="","",INDEX($AK$5:$AK$404,$V194))</f>
        <v/>
      </c>
      <c r="AN194">
        <f>IF($V194="","",INDEX($AL$5:$AL$404,$V194))</f>
        <v/>
      </c>
      <c r="AO194">
        <f>IF(OR($V194="",$AI$2&lt;=1),0,IF($V195="",1,IF($AN195&lt;&gt;$AN194,1,0)))</f>
        <v/>
      </c>
      <c r="AP194">
        <f>IF($V194="",0,IF($AN194&lt;&gt;$AN193,1,0))</f>
        <v/>
      </c>
      <c r="AQ194">
        <f>IF(OR($AD194="",$AD194="Z"),"",INDEX($AN$5:$AN$404,$AC194))</f>
        <v/>
      </c>
      <c r="AR194">
        <f>IF($Y194="",0,COUNTIF(บันทึกรายเที่ยว!$V$6:$V$6005,$Y194))</f>
        <v/>
      </c>
      <c r="AS194">
        <f>IF($Y194="",0,ROUND(SUMIF(บันทึกรายเที่ยว!$V$6:$V$6005,$Y194,บันทึกรายเที่ยว!$M$6:$M$6005),2))</f>
        <v/>
      </c>
      <c r="AT194">
        <f>IF($Y194="",0,IFERROR(INDEX(อัตราค่าขนส่ง!$G$5:$G$204,MATCH($Y194,อัตราค่าขนส่ง!$M$5:$M$204,0)),0))</f>
        <v/>
      </c>
      <c r="AU194">
        <f>ROUND($AS194*$BD194,2)</f>
        <v/>
      </c>
      <c r="AV194">
        <f>ROUND($AU194*$BF$2/100,2)</f>
        <v/>
      </c>
      <c r="AW194">
        <f>IF($Y194="","",IFERROR(INDEX(อัตราค่าขนส่ง!$F$5:$F$204,MATCH($Y194,อัตราค่าขนส่ง!$M$5:$M$204,0)),""))</f>
        <v/>
      </c>
      <c r="AX194">
        <f>IF($W194="","",INDEX(บันทึกรายเที่ยว!$D$6:$D$6005,$W194))</f>
        <v/>
      </c>
      <c r="AY194">
        <f>IF($W194="","",INDEX(บันทึกรายเที่ยว!$R$6:$R$6005,$W194))</f>
        <v/>
      </c>
      <c r="AZ194">
        <f>IF(AND($AD194="T",$AQ194=1),N($AZ193)+1,N($AZ193))</f>
        <v/>
      </c>
      <c r="BA194">
        <f>IF($W194="","",INDEX(บันทึกรายเที่ยว!$E$6:$E$6005,$W194))</f>
        <v/>
      </c>
      <c r="BC194">
        <f>IF($Y194="",0,IFERROR(INDEX(อัตราค่าขนส่ง!$K$5:$K$204,MATCH($Y194,อัตราค่าขนส่ง!$M$5:$M$204,0)),0))</f>
        <v/>
      </c>
      <c r="BD194">
        <f>IF($Y194="",0,IFERROR(INDEX(อัตราค่าขนส่ง!$L$5:$L$204,MATCH($Y194,อัตราค่าขนส่ง!$M$5:$M$204,0)),0))</f>
        <v/>
      </c>
    </row>
    <row r="195" ht="21" customHeight="1" s="66">
      <c r="A195" s="69">
        <f>IF($AD195="","",IF($AD195="Z","รวมจ่ายทั้งสิ้น",IF($AD195="H",INDEX($X$5:$X$404,$AC195),IF($AD195="T","รวม",IF($AD195="B",IFERROR(INDEX(อัตราค่าขนส่ง!$S$5:$S$14,MATCH(INDEX($AM$5:$AM$404,$AC195),อัตราค่าขนส่ง!$R$5:$R$14,0)),"รวมกลุ่ม "&amp;INDEX($AM$5:$AM$404,$AC195)),INDEX($AY$5:$AY$404,$AC195))))))</f>
        <v/>
      </c>
      <c r="B195" s="31">
        <f>IF($AD195&lt;&gt;"D","",INDEX($AW$5:$AW$404,$AC195))</f>
        <v/>
      </c>
      <c r="C195" s="68">
        <f>IF($AD195&lt;&gt;"D","",INDEX($AX$5:$AX$404,$AC195))</f>
        <v/>
      </c>
      <c r="D195" s="70">
        <f>IF($AD195&lt;&gt;"D","",INDEX($BA$5:$BA$404,$AC195))</f>
        <v/>
      </c>
      <c r="E195" s="31">
        <f>IF($AD195="Z",SUM($AR$5:$AR$404),IF($AD195="D",INDEX($AR$5:$AR$404,$AC195),IF($AD195="T",SUMIF($X$5:$X$404,$AF195,$AR$5:$AR$404),IF($AD195="B",SUMIF($AN$5:$AN$404,$AQ195,$AR$5:$AR$404),""))))</f>
        <v/>
      </c>
      <c r="F195" s="32">
        <f>IF($AD195="Z",ROUND(SUM($AS$5:$AS$404),2),IF($AD195="D",INDEX($AS$5:$AS$404,$AC195),IF($AD195="T",ROUND(SUMIF($X$5:$X$404,$AF195,$AS$5:$AS$404),2),IF($AD195="B",ROUND(SUMIF($AN$5:$AN$404,$AQ195,$AS$5:$AS$404),2),""))))</f>
        <v/>
      </c>
      <c r="G195" s="32">
        <f>IF($AD195&lt;&gt;"D","",INDEX($AT$5:$AT$404,$AC195))</f>
        <v/>
      </c>
      <c r="H195" s="32">
        <f>IF($AD195&lt;&gt;"D","",INDEX($BC$5:$BC$404,$AC195))</f>
        <v/>
      </c>
      <c r="I195" s="32">
        <f>IF($AD195&lt;&gt;"D","",INDEX($BD$5:$BD$404,$AC195))</f>
        <v/>
      </c>
      <c r="J195" s="46">
        <f>IF($AD195&lt;&gt;"D","",IF(N($B195)=0,"",ROUND($I195/$B195,4)))</f>
        <v/>
      </c>
      <c r="K195" s="32">
        <f>IF($AD195="Z",ROUND(SUM($AU$5:$AU$404),2),IF($AD195="D",INDEX($AU$5:$AU$404,$AC195),IF($AD195="T",ROUND(SUMIF($X$5:$X$404,$AF195,$AU$5:$AU$404),2),IF($AD195="B",ROUND(SUMIF($AN$5:$AN$404,$AQ195,$AU$5:$AU$404),2),""))))</f>
        <v/>
      </c>
      <c r="L195" s="32">
        <f>IF($AD195="Z",ROUND(SUM($AV$5:$AV$404),2),IF($AD195="D",INDEX($AV$5:$AV$404,$AC195),IF($AD195="T",ROUND(SUMIF($X$5:$X$404,$AF195,$AV$5:$AV$404),2),IF($AD195="B",ROUND(SUMIF($AN$5:$AN$404,$AQ195,$AV$5:$AV$404),2),""))))</f>
        <v/>
      </c>
      <c r="M195" s="32">
        <f>IF($AD195="Z",ROUND(SUM($AJ$5:$AJ$704),2),IF($AD195="B",ROUND(SUMIF($AQ$5:$AQ$704,$AQ195,$AJ$5:$AJ$704),2),IF($AD195&lt;&gt;"T","",$AJ195)))</f>
        <v/>
      </c>
      <c r="N195" s="32">
        <f>IF(OR($AD195="D",$AD195="T",$AD195="B",$AD195="Z"),ROUND(N($K195)-N($L195)-N($M195),2),"")</f>
        <v/>
      </c>
      <c r="O195" s="32">
        <f>IF(OR($AD195="D",$AD195="T",$AD195="B",$AD195="Z"),IF(N($E195)=0,"",ROUND($F195/$E195,2)),"")</f>
        <v/>
      </c>
      <c r="Q195">
        <f>IFERROR(MATCH(191,บันทึกรายเที่ยว!$Z$6:$Z$6005,0),"")</f>
        <v/>
      </c>
      <c r="R195">
        <f>IF($Q195="","",INDEX(บันทึกรายเที่ยว!$V$6:$V$6005,$Q195))</f>
        <v/>
      </c>
      <c r="S195">
        <f>IF($Q195="","",INDEX(บันทึกรายเที่ยว!$F$6:$F$6005,$Q195))</f>
        <v/>
      </c>
      <c r="T195">
        <f>IF($Q195="","",MATCH($S195,บันทึกรายเที่ยว!$F$6:$F$6005,0))</f>
        <v/>
      </c>
      <c r="U195">
        <f>IF($Q195="","",$AL195*10000000+$T195*1000+191)</f>
        <v/>
      </c>
      <c r="V195">
        <f>IFERROR(MATCH(SMALL($U$5:$U$404,191),$U$5:$U$404,0),"")</f>
        <v/>
      </c>
      <c r="W195">
        <f>IF($V195="","",INDEX($Q$5:$Q$404,$V195))</f>
        <v/>
      </c>
      <c r="X195">
        <f>IF($V195="","",INDEX($S$5:$S$404,$V195))</f>
        <v/>
      </c>
      <c r="Y195">
        <f>IF($V195="","",INDEX($R$5:$R$404,$V195))</f>
        <v/>
      </c>
      <c r="Z195">
        <f>IF($V195="",0,IF($X195&lt;&gt;$X194,1,0))</f>
        <v/>
      </c>
      <c r="AA195">
        <f>IF($V195="",0,IF($V196="",1,IF($X196&lt;&gt;$X195,1,0)))</f>
        <v/>
      </c>
      <c r="AB195">
        <f>IF($V195="",99999+191,$AB194+1+$Z194+$AA194+$AO194)</f>
        <v/>
      </c>
      <c r="AC195">
        <f>IFERROR(MATCH(191,$AB$5:$AB$404,1),"")</f>
        <v/>
      </c>
      <c r="AD195">
        <f>IF(191=$AI$1+1,"Z",IF($AC195="","",IF(INDEX($V$5:$V$404,$AC195)="","",IF(191&gt;INDEX($AB$5:$AB$404,$AC195)+INDEX($Z$5:$Z$404,$AC195)+INDEX($AA$5:$AA$404,$AC195)+INDEX($AO$5:$AO$404,$AC195),"",IF(191=INDEX($AB$5:$AB$404,$AC195)+INDEX($Z$5:$Z$404,$AC195),"D",IF(AND(INDEX($Z$5:$Z$404,$AC195)=1,191=INDEX($AB$5:$AB$404,$AC195)),"H",IF(AND(INDEX($AO$5:$AO$404,$AC195)=1,191=INDEX($AB$5:$AB$404,$AC195)+INDEX($Z$5:$Z$404,$AC195)+INDEX($AA$5:$AA$404,$AC195)+INDEX($AO$5:$AO$404,$AC195)),"B","T")))))))</f>
        <v/>
      </c>
      <c r="AF195">
        <f>IF(OR($AD195="",$AD195="Z",$AD195="B"),"",INDEX($X$5:$X$404,$AC195))</f>
        <v/>
      </c>
      <c r="AJ195">
        <f>IF($AD195&lt;&gt;"T",0,ROUND(SUMIF(oil!$B$4:$B$63,$AF195,oil!$AE$4:$AE$63),2))</f>
        <v/>
      </c>
      <c r="AK195">
        <f>IF($S195="","",IFERROR(INDEX(อัตราค่าขนส่ง!$P$5:$P$54,MATCH($S195,อัตราค่าขนส่ง!$O$5:$O$54,0)),INDEX(รายการมาตรฐาน!$G$2:$G$3,1)))</f>
        <v/>
      </c>
      <c r="AL195">
        <f>IF($S195="","",IFERROR(MATCH($AK195,รายการมาตรฐาน!$G$2:$G$3,0),1))</f>
        <v/>
      </c>
      <c r="AM195">
        <f>IF($V195="","",INDEX($AK$5:$AK$404,$V195))</f>
        <v/>
      </c>
      <c r="AN195">
        <f>IF($V195="","",INDEX($AL$5:$AL$404,$V195))</f>
        <v/>
      </c>
      <c r="AO195">
        <f>IF(OR($V195="",$AI$2&lt;=1),0,IF($V196="",1,IF($AN196&lt;&gt;$AN195,1,0)))</f>
        <v/>
      </c>
      <c r="AP195">
        <f>IF($V195="",0,IF($AN195&lt;&gt;$AN194,1,0))</f>
        <v/>
      </c>
      <c r="AQ195">
        <f>IF(OR($AD195="",$AD195="Z"),"",INDEX($AN$5:$AN$404,$AC195))</f>
        <v/>
      </c>
      <c r="AR195">
        <f>IF($Y195="",0,COUNTIF(บันทึกรายเที่ยว!$V$6:$V$6005,$Y195))</f>
        <v/>
      </c>
      <c r="AS195">
        <f>IF($Y195="",0,ROUND(SUMIF(บันทึกรายเที่ยว!$V$6:$V$6005,$Y195,บันทึกรายเที่ยว!$M$6:$M$6005),2))</f>
        <v/>
      </c>
      <c r="AT195">
        <f>IF($Y195="",0,IFERROR(INDEX(อัตราค่าขนส่ง!$G$5:$G$204,MATCH($Y195,อัตราค่าขนส่ง!$M$5:$M$204,0)),0))</f>
        <v/>
      </c>
      <c r="AU195">
        <f>ROUND($AS195*$BD195,2)</f>
        <v/>
      </c>
      <c r="AV195">
        <f>ROUND($AU195*$BF$2/100,2)</f>
        <v/>
      </c>
      <c r="AW195">
        <f>IF($Y195="","",IFERROR(INDEX(อัตราค่าขนส่ง!$F$5:$F$204,MATCH($Y195,อัตราค่าขนส่ง!$M$5:$M$204,0)),""))</f>
        <v/>
      </c>
      <c r="AX195">
        <f>IF($W195="","",INDEX(บันทึกรายเที่ยว!$D$6:$D$6005,$W195))</f>
        <v/>
      </c>
      <c r="AY195">
        <f>IF($W195="","",INDEX(บันทึกรายเที่ยว!$R$6:$R$6005,$W195))</f>
        <v/>
      </c>
      <c r="AZ195">
        <f>IF(AND($AD195="T",$AQ195=1),N($AZ194)+1,N($AZ194))</f>
        <v/>
      </c>
      <c r="BA195">
        <f>IF($W195="","",INDEX(บันทึกรายเที่ยว!$E$6:$E$6005,$W195))</f>
        <v/>
      </c>
      <c r="BC195">
        <f>IF($Y195="",0,IFERROR(INDEX(อัตราค่าขนส่ง!$K$5:$K$204,MATCH($Y195,อัตราค่าขนส่ง!$M$5:$M$204,0)),0))</f>
        <v/>
      </c>
      <c r="BD195">
        <f>IF($Y195="",0,IFERROR(INDEX(อัตราค่าขนส่ง!$L$5:$L$204,MATCH($Y195,อัตราค่าขนส่ง!$M$5:$M$204,0)),0))</f>
        <v/>
      </c>
    </row>
    <row r="196" ht="21" customHeight="1" s="66">
      <c r="A196" s="69">
        <f>IF($AD196="","",IF($AD196="Z","รวมจ่ายทั้งสิ้น",IF($AD196="H",INDEX($X$5:$X$404,$AC196),IF($AD196="T","รวม",IF($AD196="B",IFERROR(INDEX(อัตราค่าขนส่ง!$S$5:$S$14,MATCH(INDEX($AM$5:$AM$404,$AC196),อัตราค่าขนส่ง!$R$5:$R$14,0)),"รวมกลุ่ม "&amp;INDEX($AM$5:$AM$404,$AC196)),INDEX($AY$5:$AY$404,$AC196))))))</f>
        <v/>
      </c>
      <c r="B196" s="31">
        <f>IF($AD196&lt;&gt;"D","",INDEX($AW$5:$AW$404,$AC196))</f>
        <v/>
      </c>
      <c r="C196" s="68">
        <f>IF($AD196&lt;&gt;"D","",INDEX($AX$5:$AX$404,$AC196))</f>
        <v/>
      </c>
      <c r="D196" s="70">
        <f>IF($AD196&lt;&gt;"D","",INDEX($BA$5:$BA$404,$AC196))</f>
        <v/>
      </c>
      <c r="E196" s="31">
        <f>IF($AD196="Z",SUM($AR$5:$AR$404),IF($AD196="D",INDEX($AR$5:$AR$404,$AC196),IF($AD196="T",SUMIF($X$5:$X$404,$AF196,$AR$5:$AR$404),IF($AD196="B",SUMIF($AN$5:$AN$404,$AQ196,$AR$5:$AR$404),""))))</f>
        <v/>
      </c>
      <c r="F196" s="32">
        <f>IF($AD196="Z",ROUND(SUM($AS$5:$AS$404),2),IF($AD196="D",INDEX($AS$5:$AS$404,$AC196),IF($AD196="T",ROUND(SUMIF($X$5:$X$404,$AF196,$AS$5:$AS$404),2),IF($AD196="B",ROUND(SUMIF($AN$5:$AN$404,$AQ196,$AS$5:$AS$404),2),""))))</f>
        <v/>
      </c>
      <c r="G196" s="32">
        <f>IF($AD196&lt;&gt;"D","",INDEX($AT$5:$AT$404,$AC196))</f>
        <v/>
      </c>
      <c r="H196" s="32">
        <f>IF($AD196&lt;&gt;"D","",INDEX($BC$5:$BC$404,$AC196))</f>
        <v/>
      </c>
      <c r="I196" s="32">
        <f>IF($AD196&lt;&gt;"D","",INDEX($BD$5:$BD$404,$AC196))</f>
        <v/>
      </c>
      <c r="J196" s="46">
        <f>IF($AD196&lt;&gt;"D","",IF(N($B196)=0,"",ROUND($I196/$B196,4)))</f>
        <v/>
      </c>
      <c r="K196" s="32">
        <f>IF($AD196="Z",ROUND(SUM($AU$5:$AU$404),2),IF($AD196="D",INDEX($AU$5:$AU$404,$AC196),IF($AD196="T",ROUND(SUMIF($X$5:$X$404,$AF196,$AU$5:$AU$404),2),IF($AD196="B",ROUND(SUMIF($AN$5:$AN$404,$AQ196,$AU$5:$AU$404),2),""))))</f>
        <v/>
      </c>
      <c r="L196" s="32">
        <f>IF($AD196="Z",ROUND(SUM($AV$5:$AV$404),2),IF($AD196="D",INDEX($AV$5:$AV$404,$AC196),IF($AD196="T",ROUND(SUMIF($X$5:$X$404,$AF196,$AV$5:$AV$404),2),IF($AD196="B",ROUND(SUMIF($AN$5:$AN$404,$AQ196,$AV$5:$AV$404),2),""))))</f>
        <v/>
      </c>
      <c r="M196" s="32">
        <f>IF($AD196="Z",ROUND(SUM($AJ$5:$AJ$704),2),IF($AD196="B",ROUND(SUMIF($AQ$5:$AQ$704,$AQ196,$AJ$5:$AJ$704),2),IF($AD196&lt;&gt;"T","",$AJ196)))</f>
        <v/>
      </c>
      <c r="N196" s="32">
        <f>IF(OR($AD196="D",$AD196="T",$AD196="B",$AD196="Z"),ROUND(N($K196)-N($L196)-N($M196),2),"")</f>
        <v/>
      </c>
      <c r="O196" s="32">
        <f>IF(OR($AD196="D",$AD196="T",$AD196="B",$AD196="Z"),IF(N($E196)=0,"",ROUND($F196/$E196,2)),"")</f>
        <v/>
      </c>
      <c r="Q196">
        <f>IFERROR(MATCH(192,บันทึกรายเที่ยว!$Z$6:$Z$6005,0),"")</f>
        <v/>
      </c>
      <c r="R196">
        <f>IF($Q196="","",INDEX(บันทึกรายเที่ยว!$V$6:$V$6005,$Q196))</f>
        <v/>
      </c>
      <c r="S196">
        <f>IF($Q196="","",INDEX(บันทึกรายเที่ยว!$F$6:$F$6005,$Q196))</f>
        <v/>
      </c>
      <c r="T196">
        <f>IF($Q196="","",MATCH($S196,บันทึกรายเที่ยว!$F$6:$F$6005,0))</f>
        <v/>
      </c>
      <c r="U196">
        <f>IF($Q196="","",$AL196*10000000+$T196*1000+192)</f>
        <v/>
      </c>
      <c r="V196">
        <f>IFERROR(MATCH(SMALL($U$5:$U$404,192),$U$5:$U$404,0),"")</f>
        <v/>
      </c>
      <c r="W196">
        <f>IF($V196="","",INDEX($Q$5:$Q$404,$V196))</f>
        <v/>
      </c>
      <c r="X196">
        <f>IF($V196="","",INDEX($S$5:$S$404,$V196))</f>
        <v/>
      </c>
      <c r="Y196">
        <f>IF($V196="","",INDEX($R$5:$R$404,$V196))</f>
        <v/>
      </c>
      <c r="Z196">
        <f>IF($V196="",0,IF($X196&lt;&gt;$X195,1,0))</f>
        <v/>
      </c>
      <c r="AA196">
        <f>IF($V196="",0,IF($V197="",1,IF($X197&lt;&gt;$X196,1,0)))</f>
        <v/>
      </c>
      <c r="AB196">
        <f>IF($V196="",99999+192,$AB195+1+$Z195+$AA195+$AO195)</f>
        <v/>
      </c>
      <c r="AC196">
        <f>IFERROR(MATCH(192,$AB$5:$AB$404,1),"")</f>
        <v/>
      </c>
      <c r="AD196">
        <f>IF(192=$AI$1+1,"Z",IF($AC196="","",IF(INDEX($V$5:$V$404,$AC196)="","",IF(192&gt;INDEX($AB$5:$AB$404,$AC196)+INDEX($Z$5:$Z$404,$AC196)+INDEX($AA$5:$AA$404,$AC196)+INDEX($AO$5:$AO$404,$AC196),"",IF(192=INDEX($AB$5:$AB$404,$AC196)+INDEX($Z$5:$Z$404,$AC196),"D",IF(AND(INDEX($Z$5:$Z$404,$AC196)=1,192=INDEX($AB$5:$AB$404,$AC196)),"H",IF(AND(INDEX($AO$5:$AO$404,$AC196)=1,192=INDEX($AB$5:$AB$404,$AC196)+INDEX($Z$5:$Z$404,$AC196)+INDEX($AA$5:$AA$404,$AC196)+INDEX($AO$5:$AO$404,$AC196)),"B","T")))))))</f>
        <v/>
      </c>
      <c r="AF196">
        <f>IF(OR($AD196="",$AD196="Z",$AD196="B"),"",INDEX($X$5:$X$404,$AC196))</f>
        <v/>
      </c>
      <c r="AJ196">
        <f>IF($AD196&lt;&gt;"T",0,ROUND(SUMIF(oil!$B$4:$B$63,$AF196,oil!$AE$4:$AE$63),2))</f>
        <v/>
      </c>
      <c r="AK196">
        <f>IF($S196="","",IFERROR(INDEX(อัตราค่าขนส่ง!$P$5:$P$54,MATCH($S196,อัตราค่าขนส่ง!$O$5:$O$54,0)),INDEX(รายการมาตรฐาน!$G$2:$G$3,1)))</f>
        <v/>
      </c>
      <c r="AL196">
        <f>IF($S196="","",IFERROR(MATCH($AK196,รายการมาตรฐาน!$G$2:$G$3,0),1))</f>
        <v/>
      </c>
      <c r="AM196">
        <f>IF($V196="","",INDEX($AK$5:$AK$404,$V196))</f>
        <v/>
      </c>
      <c r="AN196">
        <f>IF($V196="","",INDEX($AL$5:$AL$404,$V196))</f>
        <v/>
      </c>
      <c r="AO196">
        <f>IF(OR($V196="",$AI$2&lt;=1),0,IF($V197="",1,IF($AN197&lt;&gt;$AN196,1,0)))</f>
        <v/>
      </c>
      <c r="AP196">
        <f>IF($V196="",0,IF($AN196&lt;&gt;$AN195,1,0))</f>
        <v/>
      </c>
      <c r="AQ196">
        <f>IF(OR($AD196="",$AD196="Z"),"",INDEX($AN$5:$AN$404,$AC196))</f>
        <v/>
      </c>
      <c r="AR196">
        <f>IF($Y196="",0,COUNTIF(บันทึกรายเที่ยว!$V$6:$V$6005,$Y196))</f>
        <v/>
      </c>
      <c r="AS196">
        <f>IF($Y196="",0,ROUND(SUMIF(บันทึกรายเที่ยว!$V$6:$V$6005,$Y196,บันทึกรายเที่ยว!$M$6:$M$6005),2))</f>
        <v/>
      </c>
      <c r="AT196">
        <f>IF($Y196="",0,IFERROR(INDEX(อัตราค่าขนส่ง!$G$5:$G$204,MATCH($Y196,อัตราค่าขนส่ง!$M$5:$M$204,0)),0))</f>
        <v/>
      </c>
      <c r="AU196">
        <f>ROUND($AS196*$BD196,2)</f>
        <v/>
      </c>
      <c r="AV196">
        <f>ROUND($AU196*$BF$2/100,2)</f>
        <v/>
      </c>
      <c r="AW196">
        <f>IF($Y196="","",IFERROR(INDEX(อัตราค่าขนส่ง!$F$5:$F$204,MATCH($Y196,อัตราค่าขนส่ง!$M$5:$M$204,0)),""))</f>
        <v/>
      </c>
      <c r="AX196">
        <f>IF($W196="","",INDEX(บันทึกรายเที่ยว!$D$6:$D$6005,$W196))</f>
        <v/>
      </c>
      <c r="AY196">
        <f>IF($W196="","",INDEX(บันทึกรายเที่ยว!$R$6:$R$6005,$W196))</f>
        <v/>
      </c>
      <c r="AZ196">
        <f>IF(AND($AD196="T",$AQ196=1),N($AZ195)+1,N($AZ195))</f>
        <v/>
      </c>
      <c r="BA196">
        <f>IF($W196="","",INDEX(บันทึกรายเที่ยว!$E$6:$E$6005,$W196))</f>
        <v/>
      </c>
      <c r="BC196">
        <f>IF($Y196="",0,IFERROR(INDEX(อัตราค่าขนส่ง!$K$5:$K$204,MATCH($Y196,อัตราค่าขนส่ง!$M$5:$M$204,0)),0))</f>
        <v/>
      </c>
      <c r="BD196">
        <f>IF($Y196="",0,IFERROR(INDEX(อัตราค่าขนส่ง!$L$5:$L$204,MATCH($Y196,อัตราค่าขนส่ง!$M$5:$M$204,0)),0))</f>
        <v/>
      </c>
    </row>
    <row r="197" ht="21" customHeight="1" s="66">
      <c r="A197" s="69">
        <f>IF($AD197="","",IF($AD197="Z","รวมจ่ายทั้งสิ้น",IF($AD197="H",INDEX($X$5:$X$404,$AC197),IF($AD197="T","รวม",IF($AD197="B",IFERROR(INDEX(อัตราค่าขนส่ง!$S$5:$S$14,MATCH(INDEX($AM$5:$AM$404,$AC197),อัตราค่าขนส่ง!$R$5:$R$14,0)),"รวมกลุ่ม "&amp;INDEX($AM$5:$AM$404,$AC197)),INDEX($AY$5:$AY$404,$AC197))))))</f>
        <v/>
      </c>
      <c r="B197" s="31">
        <f>IF($AD197&lt;&gt;"D","",INDEX($AW$5:$AW$404,$AC197))</f>
        <v/>
      </c>
      <c r="C197" s="68">
        <f>IF($AD197&lt;&gt;"D","",INDEX($AX$5:$AX$404,$AC197))</f>
        <v/>
      </c>
      <c r="D197" s="70">
        <f>IF($AD197&lt;&gt;"D","",INDEX($BA$5:$BA$404,$AC197))</f>
        <v/>
      </c>
      <c r="E197" s="31">
        <f>IF($AD197="Z",SUM($AR$5:$AR$404),IF($AD197="D",INDEX($AR$5:$AR$404,$AC197),IF($AD197="T",SUMIF($X$5:$X$404,$AF197,$AR$5:$AR$404),IF($AD197="B",SUMIF($AN$5:$AN$404,$AQ197,$AR$5:$AR$404),""))))</f>
        <v/>
      </c>
      <c r="F197" s="32">
        <f>IF($AD197="Z",ROUND(SUM($AS$5:$AS$404),2),IF($AD197="D",INDEX($AS$5:$AS$404,$AC197),IF($AD197="T",ROUND(SUMIF($X$5:$X$404,$AF197,$AS$5:$AS$404),2),IF($AD197="B",ROUND(SUMIF($AN$5:$AN$404,$AQ197,$AS$5:$AS$404),2),""))))</f>
        <v/>
      </c>
      <c r="G197" s="32">
        <f>IF($AD197&lt;&gt;"D","",INDEX($AT$5:$AT$404,$AC197))</f>
        <v/>
      </c>
      <c r="H197" s="32">
        <f>IF($AD197&lt;&gt;"D","",INDEX($BC$5:$BC$404,$AC197))</f>
        <v/>
      </c>
      <c r="I197" s="32">
        <f>IF($AD197&lt;&gt;"D","",INDEX($BD$5:$BD$404,$AC197))</f>
        <v/>
      </c>
      <c r="J197" s="46">
        <f>IF($AD197&lt;&gt;"D","",IF(N($B197)=0,"",ROUND($I197/$B197,4)))</f>
        <v/>
      </c>
      <c r="K197" s="32">
        <f>IF($AD197="Z",ROUND(SUM($AU$5:$AU$404),2),IF($AD197="D",INDEX($AU$5:$AU$404,$AC197),IF($AD197="T",ROUND(SUMIF($X$5:$X$404,$AF197,$AU$5:$AU$404),2),IF($AD197="B",ROUND(SUMIF($AN$5:$AN$404,$AQ197,$AU$5:$AU$404),2),""))))</f>
        <v/>
      </c>
      <c r="L197" s="32">
        <f>IF($AD197="Z",ROUND(SUM($AV$5:$AV$404),2),IF($AD197="D",INDEX($AV$5:$AV$404,$AC197),IF($AD197="T",ROUND(SUMIF($X$5:$X$404,$AF197,$AV$5:$AV$404),2),IF($AD197="B",ROUND(SUMIF($AN$5:$AN$404,$AQ197,$AV$5:$AV$404),2),""))))</f>
        <v/>
      </c>
      <c r="M197" s="32">
        <f>IF($AD197="Z",ROUND(SUM($AJ$5:$AJ$704),2),IF($AD197="B",ROUND(SUMIF($AQ$5:$AQ$704,$AQ197,$AJ$5:$AJ$704),2),IF($AD197&lt;&gt;"T","",$AJ197)))</f>
        <v/>
      </c>
      <c r="N197" s="32">
        <f>IF(OR($AD197="D",$AD197="T",$AD197="B",$AD197="Z"),ROUND(N($K197)-N($L197)-N($M197),2),"")</f>
        <v/>
      </c>
      <c r="O197" s="32">
        <f>IF(OR($AD197="D",$AD197="T",$AD197="B",$AD197="Z"),IF(N($E197)=0,"",ROUND($F197/$E197,2)),"")</f>
        <v/>
      </c>
      <c r="Q197">
        <f>IFERROR(MATCH(193,บันทึกรายเที่ยว!$Z$6:$Z$6005,0),"")</f>
        <v/>
      </c>
      <c r="R197">
        <f>IF($Q197="","",INDEX(บันทึกรายเที่ยว!$V$6:$V$6005,$Q197))</f>
        <v/>
      </c>
      <c r="S197">
        <f>IF($Q197="","",INDEX(บันทึกรายเที่ยว!$F$6:$F$6005,$Q197))</f>
        <v/>
      </c>
      <c r="T197">
        <f>IF($Q197="","",MATCH($S197,บันทึกรายเที่ยว!$F$6:$F$6005,0))</f>
        <v/>
      </c>
      <c r="U197">
        <f>IF($Q197="","",$AL197*10000000+$T197*1000+193)</f>
        <v/>
      </c>
      <c r="V197">
        <f>IFERROR(MATCH(SMALL($U$5:$U$404,193),$U$5:$U$404,0),"")</f>
        <v/>
      </c>
      <c r="W197">
        <f>IF($V197="","",INDEX($Q$5:$Q$404,$V197))</f>
        <v/>
      </c>
      <c r="X197">
        <f>IF($V197="","",INDEX($S$5:$S$404,$V197))</f>
        <v/>
      </c>
      <c r="Y197">
        <f>IF($V197="","",INDEX($R$5:$R$404,$V197))</f>
        <v/>
      </c>
      <c r="Z197">
        <f>IF($V197="",0,IF($X197&lt;&gt;$X196,1,0))</f>
        <v/>
      </c>
      <c r="AA197">
        <f>IF($V197="",0,IF($V198="",1,IF($X198&lt;&gt;$X197,1,0)))</f>
        <v/>
      </c>
      <c r="AB197">
        <f>IF($V197="",99999+193,$AB196+1+$Z196+$AA196+$AO196)</f>
        <v/>
      </c>
      <c r="AC197">
        <f>IFERROR(MATCH(193,$AB$5:$AB$404,1),"")</f>
        <v/>
      </c>
      <c r="AD197">
        <f>IF(193=$AI$1+1,"Z",IF($AC197="","",IF(INDEX($V$5:$V$404,$AC197)="","",IF(193&gt;INDEX($AB$5:$AB$404,$AC197)+INDEX($Z$5:$Z$404,$AC197)+INDEX($AA$5:$AA$404,$AC197)+INDEX($AO$5:$AO$404,$AC197),"",IF(193=INDEX($AB$5:$AB$404,$AC197)+INDEX($Z$5:$Z$404,$AC197),"D",IF(AND(INDEX($Z$5:$Z$404,$AC197)=1,193=INDEX($AB$5:$AB$404,$AC197)),"H",IF(AND(INDEX($AO$5:$AO$404,$AC197)=1,193=INDEX($AB$5:$AB$404,$AC197)+INDEX($Z$5:$Z$404,$AC197)+INDEX($AA$5:$AA$404,$AC197)+INDEX($AO$5:$AO$404,$AC197)),"B","T")))))))</f>
        <v/>
      </c>
      <c r="AF197">
        <f>IF(OR($AD197="",$AD197="Z",$AD197="B"),"",INDEX($X$5:$X$404,$AC197))</f>
        <v/>
      </c>
      <c r="AJ197">
        <f>IF($AD197&lt;&gt;"T",0,ROUND(SUMIF(oil!$B$4:$B$63,$AF197,oil!$AE$4:$AE$63),2))</f>
        <v/>
      </c>
      <c r="AK197">
        <f>IF($S197="","",IFERROR(INDEX(อัตราค่าขนส่ง!$P$5:$P$54,MATCH($S197,อัตราค่าขนส่ง!$O$5:$O$54,0)),INDEX(รายการมาตรฐาน!$G$2:$G$3,1)))</f>
        <v/>
      </c>
      <c r="AL197">
        <f>IF($S197="","",IFERROR(MATCH($AK197,รายการมาตรฐาน!$G$2:$G$3,0),1))</f>
        <v/>
      </c>
      <c r="AM197">
        <f>IF($V197="","",INDEX($AK$5:$AK$404,$V197))</f>
        <v/>
      </c>
      <c r="AN197">
        <f>IF($V197="","",INDEX($AL$5:$AL$404,$V197))</f>
        <v/>
      </c>
      <c r="AO197">
        <f>IF(OR($V197="",$AI$2&lt;=1),0,IF($V198="",1,IF($AN198&lt;&gt;$AN197,1,0)))</f>
        <v/>
      </c>
      <c r="AP197">
        <f>IF($V197="",0,IF($AN197&lt;&gt;$AN196,1,0))</f>
        <v/>
      </c>
      <c r="AQ197">
        <f>IF(OR($AD197="",$AD197="Z"),"",INDEX($AN$5:$AN$404,$AC197))</f>
        <v/>
      </c>
      <c r="AR197">
        <f>IF($Y197="",0,COUNTIF(บันทึกรายเที่ยว!$V$6:$V$6005,$Y197))</f>
        <v/>
      </c>
      <c r="AS197">
        <f>IF($Y197="",0,ROUND(SUMIF(บันทึกรายเที่ยว!$V$6:$V$6005,$Y197,บันทึกรายเที่ยว!$M$6:$M$6005),2))</f>
        <v/>
      </c>
      <c r="AT197">
        <f>IF($Y197="",0,IFERROR(INDEX(อัตราค่าขนส่ง!$G$5:$G$204,MATCH($Y197,อัตราค่าขนส่ง!$M$5:$M$204,0)),0))</f>
        <v/>
      </c>
      <c r="AU197">
        <f>ROUND($AS197*$BD197,2)</f>
        <v/>
      </c>
      <c r="AV197">
        <f>ROUND($AU197*$BF$2/100,2)</f>
        <v/>
      </c>
      <c r="AW197">
        <f>IF($Y197="","",IFERROR(INDEX(อัตราค่าขนส่ง!$F$5:$F$204,MATCH($Y197,อัตราค่าขนส่ง!$M$5:$M$204,0)),""))</f>
        <v/>
      </c>
      <c r="AX197">
        <f>IF($W197="","",INDEX(บันทึกรายเที่ยว!$D$6:$D$6005,$W197))</f>
        <v/>
      </c>
      <c r="AY197">
        <f>IF($W197="","",INDEX(บันทึกรายเที่ยว!$R$6:$R$6005,$W197))</f>
        <v/>
      </c>
      <c r="AZ197">
        <f>IF(AND($AD197="T",$AQ197=1),N($AZ196)+1,N($AZ196))</f>
        <v/>
      </c>
      <c r="BA197">
        <f>IF($W197="","",INDEX(บันทึกรายเที่ยว!$E$6:$E$6005,$W197))</f>
        <v/>
      </c>
      <c r="BC197">
        <f>IF($Y197="",0,IFERROR(INDEX(อัตราค่าขนส่ง!$K$5:$K$204,MATCH($Y197,อัตราค่าขนส่ง!$M$5:$M$204,0)),0))</f>
        <v/>
      </c>
      <c r="BD197">
        <f>IF($Y197="",0,IFERROR(INDEX(อัตราค่าขนส่ง!$L$5:$L$204,MATCH($Y197,อัตราค่าขนส่ง!$M$5:$M$204,0)),0))</f>
        <v/>
      </c>
    </row>
    <row r="198" ht="21" customHeight="1" s="66">
      <c r="A198" s="69">
        <f>IF($AD198="","",IF($AD198="Z","รวมจ่ายทั้งสิ้น",IF($AD198="H",INDEX($X$5:$X$404,$AC198),IF($AD198="T","รวม",IF($AD198="B",IFERROR(INDEX(อัตราค่าขนส่ง!$S$5:$S$14,MATCH(INDEX($AM$5:$AM$404,$AC198),อัตราค่าขนส่ง!$R$5:$R$14,0)),"รวมกลุ่ม "&amp;INDEX($AM$5:$AM$404,$AC198)),INDEX($AY$5:$AY$404,$AC198))))))</f>
        <v/>
      </c>
      <c r="B198" s="31">
        <f>IF($AD198&lt;&gt;"D","",INDEX($AW$5:$AW$404,$AC198))</f>
        <v/>
      </c>
      <c r="C198" s="68">
        <f>IF($AD198&lt;&gt;"D","",INDEX($AX$5:$AX$404,$AC198))</f>
        <v/>
      </c>
      <c r="D198" s="70">
        <f>IF($AD198&lt;&gt;"D","",INDEX($BA$5:$BA$404,$AC198))</f>
        <v/>
      </c>
      <c r="E198" s="31">
        <f>IF($AD198="Z",SUM($AR$5:$AR$404),IF($AD198="D",INDEX($AR$5:$AR$404,$AC198),IF($AD198="T",SUMIF($X$5:$X$404,$AF198,$AR$5:$AR$404),IF($AD198="B",SUMIF($AN$5:$AN$404,$AQ198,$AR$5:$AR$404),""))))</f>
        <v/>
      </c>
      <c r="F198" s="32">
        <f>IF($AD198="Z",ROUND(SUM($AS$5:$AS$404),2),IF($AD198="D",INDEX($AS$5:$AS$404,$AC198),IF($AD198="T",ROUND(SUMIF($X$5:$X$404,$AF198,$AS$5:$AS$404),2),IF($AD198="B",ROUND(SUMIF($AN$5:$AN$404,$AQ198,$AS$5:$AS$404),2),""))))</f>
        <v/>
      </c>
      <c r="G198" s="32">
        <f>IF($AD198&lt;&gt;"D","",INDEX($AT$5:$AT$404,$AC198))</f>
        <v/>
      </c>
      <c r="H198" s="32">
        <f>IF($AD198&lt;&gt;"D","",INDEX($BC$5:$BC$404,$AC198))</f>
        <v/>
      </c>
      <c r="I198" s="32">
        <f>IF($AD198&lt;&gt;"D","",INDEX($BD$5:$BD$404,$AC198))</f>
        <v/>
      </c>
      <c r="J198" s="46">
        <f>IF($AD198&lt;&gt;"D","",IF(N($B198)=0,"",ROUND($I198/$B198,4)))</f>
        <v/>
      </c>
      <c r="K198" s="32">
        <f>IF($AD198="Z",ROUND(SUM($AU$5:$AU$404),2),IF($AD198="D",INDEX($AU$5:$AU$404,$AC198),IF($AD198="T",ROUND(SUMIF($X$5:$X$404,$AF198,$AU$5:$AU$404),2),IF($AD198="B",ROUND(SUMIF($AN$5:$AN$404,$AQ198,$AU$5:$AU$404),2),""))))</f>
        <v/>
      </c>
      <c r="L198" s="32">
        <f>IF($AD198="Z",ROUND(SUM($AV$5:$AV$404),2),IF($AD198="D",INDEX($AV$5:$AV$404,$AC198),IF($AD198="T",ROUND(SUMIF($X$5:$X$404,$AF198,$AV$5:$AV$404),2),IF($AD198="B",ROUND(SUMIF($AN$5:$AN$404,$AQ198,$AV$5:$AV$404),2),""))))</f>
        <v/>
      </c>
      <c r="M198" s="32">
        <f>IF($AD198="Z",ROUND(SUM($AJ$5:$AJ$704),2),IF($AD198="B",ROUND(SUMIF($AQ$5:$AQ$704,$AQ198,$AJ$5:$AJ$704),2),IF($AD198&lt;&gt;"T","",$AJ198)))</f>
        <v/>
      </c>
      <c r="N198" s="32">
        <f>IF(OR($AD198="D",$AD198="T",$AD198="B",$AD198="Z"),ROUND(N($K198)-N($L198)-N($M198),2),"")</f>
        <v/>
      </c>
      <c r="O198" s="32">
        <f>IF(OR($AD198="D",$AD198="T",$AD198="B",$AD198="Z"),IF(N($E198)=0,"",ROUND($F198/$E198,2)),"")</f>
        <v/>
      </c>
      <c r="Q198">
        <f>IFERROR(MATCH(194,บันทึกรายเที่ยว!$Z$6:$Z$6005,0),"")</f>
        <v/>
      </c>
      <c r="R198">
        <f>IF($Q198="","",INDEX(บันทึกรายเที่ยว!$V$6:$V$6005,$Q198))</f>
        <v/>
      </c>
      <c r="S198">
        <f>IF($Q198="","",INDEX(บันทึกรายเที่ยว!$F$6:$F$6005,$Q198))</f>
        <v/>
      </c>
      <c r="T198">
        <f>IF($Q198="","",MATCH($S198,บันทึกรายเที่ยว!$F$6:$F$6005,0))</f>
        <v/>
      </c>
      <c r="U198">
        <f>IF($Q198="","",$AL198*10000000+$T198*1000+194)</f>
        <v/>
      </c>
      <c r="V198">
        <f>IFERROR(MATCH(SMALL($U$5:$U$404,194),$U$5:$U$404,0),"")</f>
        <v/>
      </c>
      <c r="W198">
        <f>IF($V198="","",INDEX($Q$5:$Q$404,$V198))</f>
        <v/>
      </c>
      <c r="X198">
        <f>IF($V198="","",INDEX($S$5:$S$404,$V198))</f>
        <v/>
      </c>
      <c r="Y198">
        <f>IF($V198="","",INDEX($R$5:$R$404,$V198))</f>
        <v/>
      </c>
      <c r="Z198">
        <f>IF($V198="",0,IF($X198&lt;&gt;$X197,1,0))</f>
        <v/>
      </c>
      <c r="AA198">
        <f>IF($V198="",0,IF($V199="",1,IF($X199&lt;&gt;$X198,1,0)))</f>
        <v/>
      </c>
      <c r="AB198">
        <f>IF($V198="",99999+194,$AB197+1+$Z197+$AA197+$AO197)</f>
        <v/>
      </c>
      <c r="AC198">
        <f>IFERROR(MATCH(194,$AB$5:$AB$404,1),"")</f>
        <v/>
      </c>
      <c r="AD198">
        <f>IF(194=$AI$1+1,"Z",IF($AC198="","",IF(INDEX($V$5:$V$404,$AC198)="","",IF(194&gt;INDEX($AB$5:$AB$404,$AC198)+INDEX($Z$5:$Z$404,$AC198)+INDEX($AA$5:$AA$404,$AC198)+INDEX($AO$5:$AO$404,$AC198),"",IF(194=INDEX($AB$5:$AB$404,$AC198)+INDEX($Z$5:$Z$404,$AC198),"D",IF(AND(INDEX($Z$5:$Z$404,$AC198)=1,194=INDEX($AB$5:$AB$404,$AC198)),"H",IF(AND(INDEX($AO$5:$AO$404,$AC198)=1,194=INDEX($AB$5:$AB$404,$AC198)+INDEX($Z$5:$Z$404,$AC198)+INDEX($AA$5:$AA$404,$AC198)+INDEX($AO$5:$AO$404,$AC198)),"B","T")))))))</f>
        <v/>
      </c>
      <c r="AF198">
        <f>IF(OR($AD198="",$AD198="Z",$AD198="B"),"",INDEX($X$5:$X$404,$AC198))</f>
        <v/>
      </c>
      <c r="AJ198">
        <f>IF($AD198&lt;&gt;"T",0,ROUND(SUMIF(oil!$B$4:$B$63,$AF198,oil!$AE$4:$AE$63),2))</f>
        <v/>
      </c>
      <c r="AK198">
        <f>IF($S198="","",IFERROR(INDEX(อัตราค่าขนส่ง!$P$5:$P$54,MATCH($S198,อัตราค่าขนส่ง!$O$5:$O$54,0)),INDEX(รายการมาตรฐาน!$G$2:$G$3,1)))</f>
        <v/>
      </c>
      <c r="AL198">
        <f>IF($S198="","",IFERROR(MATCH($AK198,รายการมาตรฐาน!$G$2:$G$3,0),1))</f>
        <v/>
      </c>
      <c r="AM198">
        <f>IF($V198="","",INDEX($AK$5:$AK$404,$V198))</f>
        <v/>
      </c>
      <c r="AN198">
        <f>IF($V198="","",INDEX($AL$5:$AL$404,$V198))</f>
        <v/>
      </c>
      <c r="AO198">
        <f>IF(OR($V198="",$AI$2&lt;=1),0,IF($V199="",1,IF($AN199&lt;&gt;$AN198,1,0)))</f>
        <v/>
      </c>
      <c r="AP198">
        <f>IF($V198="",0,IF($AN198&lt;&gt;$AN197,1,0))</f>
        <v/>
      </c>
      <c r="AQ198">
        <f>IF(OR($AD198="",$AD198="Z"),"",INDEX($AN$5:$AN$404,$AC198))</f>
        <v/>
      </c>
      <c r="AR198">
        <f>IF($Y198="",0,COUNTIF(บันทึกรายเที่ยว!$V$6:$V$6005,$Y198))</f>
        <v/>
      </c>
      <c r="AS198">
        <f>IF($Y198="",0,ROUND(SUMIF(บันทึกรายเที่ยว!$V$6:$V$6005,$Y198,บันทึกรายเที่ยว!$M$6:$M$6005),2))</f>
        <v/>
      </c>
      <c r="AT198">
        <f>IF($Y198="",0,IFERROR(INDEX(อัตราค่าขนส่ง!$G$5:$G$204,MATCH($Y198,อัตราค่าขนส่ง!$M$5:$M$204,0)),0))</f>
        <v/>
      </c>
      <c r="AU198">
        <f>ROUND($AS198*$BD198,2)</f>
        <v/>
      </c>
      <c r="AV198">
        <f>ROUND($AU198*$BF$2/100,2)</f>
        <v/>
      </c>
      <c r="AW198">
        <f>IF($Y198="","",IFERROR(INDEX(อัตราค่าขนส่ง!$F$5:$F$204,MATCH($Y198,อัตราค่าขนส่ง!$M$5:$M$204,0)),""))</f>
        <v/>
      </c>
      <c r="AX198">
        <f>IF($W198="","",INDEX(บันทึกรายเที่ยว!$D$6:$D$6005,$W198))</f>
        <v/>
      </c>
      <c r="AY198">
        <f>IF($W198="","",INDEX(บันทึกรายเที่ยว!$R$6:$R$6005,$W198))</f>
        <v/>
      </c>
      <c r="AZ198">
        <f>IF(AND($AD198="T",$AQ198=1),N($AZ197)+1,N($AZ197))</f>
        <v/>
      </c>
      <c r="BA198">
        <f>IF($W198="","",INDEX(บันทึกรายเที่ยว!$E$6:$E$6005,$W198))</f>
        <v/>
      </c>
      <c r="BC198">
        <f>IF($Y198="",0,IFERROR(INDEX(อัตราค่าขนส่ง!$K$5:$K$204,MATCH($Y198,อัตราค่าขนส่ง!$M$5:$M$204,0)),0))</f>
        <v/>
      </c>
      <c r="BD198">
        <f>IF($Y198="",0,IFERROR(INDEX(อัตราค่าขนส่ง!$L$5:$L$204,MATCH($Y198,อัตราค่าขนส่ง!$M$5:$M$204,0)),0))</f>
        <v/>
      </c>
    </row>
    <row r="199" ht="21" customHeight="1" s="66">
      <c r="A199" s="69">
        <f>IF($AD199="","",IF($AD199="Z","รวมจ่ายทั้งสิ้น",IF($AD199="H",INDEX($X$5:$X$404,$AC199),IF($AD199="T","รวม",IF($AD199="B",IFERROR(INDEX(อัตราค่าขนส่ง!$S$5:$S$14,MATCH(INDEX($AM$5:$AM$404,$AC199),อัตราค่าขนส่ง!$R$5:$R$14,0)),"รวมกลุ่ม "&amp;INDEX($AM$5:$AM$404,$AC199)),INDEX($AY$5:$AY$404,$AC199))))))</f>
        <v/>
      </c>
      <c r="B199" s="31">
        <f>IF($AD199&lt;&gt;"D","",INDEX($AW$5:$AW$404,$AC199))</f>
        <v/>
      </c>
      <c r="C199" s="68">
        <f>IF($AD199&lt;&gt;"D","",INDEX($AX$5:$AX$404,$AC199))</f>
        <v/>
      </c>
      <c r="D199" s="70">
        <f>IF($AD199&lt;&gt;"D","",INDEX($BA$5:$BA$404,$AC199))</f>
        <v/>
      </c>
      <c r="E199" s="31">
        <f>IF($AD199="Z",SUM($AR$5:$AR$404),IF($AD199="D",INDEX($AR$5:$AR$404,$AC199),IF($AD199="T",SUMIF($X$5:$X$404,$AF199,$AR$5:$AR$404),IF($AD199="B",SUMIF($AN$5:$AN$404,$AQ199,$AR$5:$AR$404),""))))</f>
        <v/>
      </c>
      <c r="F199" s="32">
        <f>IF($AD199="Z",ROUND(SUM($AS$5:$AS$404),2),IF($AD199="D",INDEX($AS$5:$AS$404,$AC199),IF($AD199="T",ROUND(SUMIF($X$5:$X$404,$AF199,$AS$5:$AS$404),2),IF($AD199="B",ROUND(SUMIF($AN$5:$AN$404,$AQ199,$AS$5:$AS$404),2),""))))</f>
        <v/>
      </c>
      <c r="G199" s="32">
        <f>IF($AD199&lt;&gt;"D","",INDEX($AT$5:$AT$404,$AC199))</f>
        <v/>
      </c>
      <c r="H199" s="32">
        <f>IF($AD199&lt;&gt;"D","",INDEX($BC$5:$BC$404,$AC199))</f>
        <v/>
      </c>
      <c r="I199" s="32">
        <f>IF($AD199&lt;&gt;"D","",INDEX($BD$5:$BD$404,$AC199))</f>
        <v/>
      </c>
      <c r="J199" s="46">
        <f>IF($AD199&lt;&gt;"D","",IF(N($B199)=0,"",ROUND($I199/$B199,4)))</f>
        <v/>
      </c>
      <c r="K199" s="32">
        <f>IF($AD199="Z",ROUND(SUM($AU$5:$AU$404),2),IF($AD199="D",INDEX($AU$5:$AU$404,$AC199),IF($AD199="T",ROUND(SUMIF($X$5:$X$404,$AF199,$AU$5:$AU$404),2),IF($AD199="B",ROUND(SUMIF($AN$5:$AN$404,$AQ199,$AU$5:$AU$404),2),""))))</f>
        <v/>
      </c>
      <c r="L199" s="32">
        <f>IF($AD199="Z",ROUND(SUM($AV$5:$AV$404),2),IF($AD199="D",INDEX($AV$5:$AV$404,$AC199),IF($AD199="T",ROUND(SUMIF($X$5:$X$404,$AF199,$AV$5:$AV$404),2),IF($AD199="B",ROUND(SUMIF($AN$5:$AN$404,$AQ199,$AV$5:$AV$404),2),""))))</f>
        <v/>
      </c>
      <c r="M199" s="32">
        <f>IF($AD199="Z",ROUND(SUM($AJ$5:$AJ$704),2),IF($AD199="B",ROUND(SUMIF($AQ$5:$AQ$704,$AQ199,$AJ$5:$AJ$704),2),IF($AD199&lt;&gt;"T","",$AJ199)))</f>
        <v/>
      </c>
      <c r="N199" s="32">
        <f>IF(OR($AD199="D",$AD199="T",$AD199="B",$AD199="Z"),ROUND(N($K199)-N($L199)-N($M199),2),"")</f>
        <v/>
      </c>
      <c r="O199" s="32">
        <f>IF(OR($AD199="D",$AD199="T",$AD199="B",$AD199="Z"),IF(N($E199)=0,"",ROUND($F199/$E199,2)),"")</f>
        <v/>
      </c>
      <c r="Q199">
        <f>IFERROR(MATCH(195,บันทึกรายเที่ยว!$Z$6:$Z$6005,0),"")</f>
        <v/>
      </c>
      <c r="R199">
        <f>IF($Q199="","",INDEX(บันทึกรายเที่ยว!$V$6:$V$6005,$Q199))</f>
        <v/>
      </c>
      <c r="S199">
        <f>IF($Q199="","",INDEX(บันทึกรายเที่ยว!$F$6:$F$6005,$Q199))</f>
        <v/>
      </c>
      <c r="T199">
        <f>IF($Q199="","",MATCH($S199,บันทึกรายเที่ยว!$F$6:$F$6005,0))</f>
        <v/>
      </c>
      <c r="U199">
        <f>IF($Q199="","",$AL199*10000000+$T199*1000+195)</f>
        <v/>
      </c>
      <c r="V199">
        <f>IFERROR(MATCH(SMALL($U$5:$U$404,195),$U$5:$U$404,0),"")</f>
        <v/>
      </c>
      <c r="W199">
        <f>IF($V199="","",INDEX($Q$5:$Q$404,$V199))</f>
        <v/>
      </c>
      <c r="X199">
        <f>IF($V199="","",INDEX($S$5:$S$404,$V199))</f>
        <v/>
      </c>
      <c r="Y199">
        <f>IF($V199="","",INDEX($R$5:$R$404,$V199))</f>
        <v/>
      </c>
      <c r="Z199">
        <f>IF($V199="",0,IF($X199&lt;&gt;$X198,1,0))</f>
        <v/>
      </c>
      <c r="AA199">
        <f>IF($V199="",0,IF($V200="",1,IF($X200&lt;&gt;$X199,1,0)))</f>
        <v/>
      </c>
      <c r="AB199">
        <f>IF($V199="",99999+195,$AB198+1+$Z198+$AA198+$AO198)</f>
        <v/>
      </c>
      <c r="AC199">
        <f>IFERROR(MATCH(195,$AB$5:$AB$404,1),"")</f>
        <v/>
      </c>
      <c r="AD199">
        <f>IF(195=$AI$1+1,"Z",IF($AC199="","",IF(INDEX($V$5:$V$404,$AC199)="","",IF(195&gt;INDEX($AB$5:$AB$404,$AC199)+INDEX($Z$5:$Z$404,$AC199)+INDEX($AA$5:$AA$404,$AC199)+INDEX($AO$5:$AO$404,$AC199),"",IF(195=INDEX($AB$5:$AB$404,$AC199)+INDEX($Z$5:$Z$404,$AC199),"D",IF(AND(INDEX($Z$5:$Z$404,$AC199)=1,195=INDEX($AB$5:$AB$404,$AC199)),"H",IF(AND(INDEX($AO$5:$AO$404,$AC199)=1,195=INDEX($AB$5:$AB$404,$AC199)+INDEX($Z$5:$Z$404,$AC199)+INDEX($AA$5:$AA$404,$AC199)+INDEX($AO$5:$AO$404,$AC199)),"B","T")))))))</f>
        <v/>
      </c>
      <c r="AF199">
        <f>IF(OR($AD199="",$AD199="Z",$AD199="B"),"",INDEX($X$5:$X$404,$AC199))</f>
        <v/>
      </c>
      <c r="AJ199">
        <f>IF($AD199&lt;&gt;"T",0,ROUND(SUMIF(oil!$B$4:$B$63,$AF199,oil!$AE$4:$AE$63),2))</f>
        <v/>
      </c>
      <c r="AK199">
        <f>IF($S199="","",IFERROR(INDEX(อัตราค่าขนส่ง!$P$5:$P$54,MATCH($S199,อัตราค่าขนส่ง!$O$5:$O$54,0)),INDEX(รายการมาตรฐาน!$G$2:$G$3,1)))</f>
        <v/>
      </c>
      <c r="AL199">
        <f>IF($S199="","",IFERROR(MATCH($AK199,รายการมาตรฐาน!$G$2:$G$3,0),1))</f>
        <v/>
      </c>
      <c r="AM199">
        <f>IF($V199="","",INDEX($AK$5:$AK$404,$V199))</f>
        <v/>
      </c>
      <c r="AN199">
        <f>IF($V199="","",INDEX($AL$5:$AL$404,$V199))</f>
        <v/>
      </c>
      <c r="AO199">
        <f>IF(OR($V199="",$AI$2&lt;=1),0,IF($V200="",1,IF($AN200&lt;&gt;$AN199,1,0)))</f>
        <v/>
      </c>
      <c r="AP199">
        <f>IF($V199="",0,IF($AN199&lt;&gt;$AN198,1,0))</f>
        <v/>
      </c>
      <c r="AQ199">
        <f>IF(OR($AD199="",$AD199="Z"),"",INDEX($AN$5:$AN$404,$AC199))</f>
        <v/>
      </c>
      <c r="AR199">
        <f>IF($Y199="",0,COUNTIF(บันทึกรายเที่ยว!$V$6:$V$6005,$Y199))</f>
        <v/>
      </c>
      <c r="AS199">
        <f>IF($Y199="",0,ROUND(SUMIF(บันทึกรายเที่ยว!$V$6:$V$6005,$Y199,บันทึกรายเที่ยว!$M$6:$M$6005),2))</f>
        <v/>
      </c>
      <c r="AT199">
        <f>IF($Y199="",0,IFERROR(INDEX(อัตราค่าขนส่ง!$G$5:$G$204,MATCH($Y199,อัตราค่าขนส่ง!$M$5:$M$204,0)),0))</f>
        <v/>
      </c>
      <c r="AU199">
        <f>ROUND($AS199*$BD199,2)</f>
        <v/>
      </c>
      <c r="AV199">
        <f>ROUND($AU199*$BF$2/100,2)</f>
        <v/>
      </c>
      <c r="AW199">
        <f>IF($Y199="","",IFERROR(INDEX(อัตราค่าขนส่ง!$F$5:$F$204,MATCH($Y199,อัตราค่าขนส่ง!$M$5:$M$204,0)),""))</f>
        <v/>
      </c>
      <c r="AX199">
        <f>IF($W199="","",INDEX(บันทึกรายเที่ยว!$D$6:$D$6005,$W199))</f>
        <v/>
      </c>
      <c r="AY199">
        <f>IF($W199="","",INDEX(บันทึกรายเที่ยว!$R$6:$R$6005,$W199))</f>
        <v/>
      </c>
      <c r="AZ199">
        <f>IF(AND($AD199="T",$AQ199=1),N($AZ198)+1,N($AZ198))</f>
        <v/>
      </c>
      <c r="BA199">
        <f>IF($W199="","",INDEX(บันทึกรายเที่ยว!$E$6:$E$6005,$W199))</f>
        <v/>
      </c>
      <c r="BC199">
        <f>IF($Y199="",0,IFERROR(INDEX(อัตราค่าขนส่ง!$K$5:$K$204,MATCH($Y199,อัตราค่าขนส่ง!$M$5:$M$204,0)),0))</f>
        <v/>
      </c>
      <c r="BD199">
        <f>IF($Y199="",0,IFERROR(INDEX(อัตราค่าขนส่ง!$L$5:$L$204,MATCH($Y199,อัตราค่าขนส่ง!$M$5:$M$204,0)),0))</f>
        <v/>
      </c>
    </row>
    <row r="200" ht="21" customHeight="1" s="66">
      <c r="A200" s="69">
        <f>IF($AD200="","",IF($AD200="Z","รวมจ่ายทั้งสิ้น",IF($AD200="H",INDEX($X$5:$X$404,$AC200),IF($AD200="T","รวม",IF($AD200="B",IFERROR(INDEX(อัตราค่าขนส่ง!$S$5:$S$14,MATCH(INDEX($AM$5:$AM$404,$AC200),อัตราค่าขนส่ง!$R$5:$R$14,0)),"รวมกลุ่ม "&amp;INDEX($AM$5:$AM$404,$AC200)),INDEX($AY$5:$AY$404,$AC200))))))</f>
        <v/>
      </c>
      <c r="B200" s="31">
        <f>IF($AD200&lt;&gt;"D","",INDEX($AW$5:$AW$404,$AC200))</f>
        <v/>
      </c>
      <c r="C200" s="68">
        <f>IF($AD200&lt;&gt;"D","",INDEX($AX$5:$AX$404,$AC200))</f>
        <v/>
      </c>
      <c r="D200" s="70">
        <f>IF($AD200&lt;&gt;"D","",INDEX($BA$5:$BA$404,$AC200))</f>
        <v/>
      </c>
      <c r="E200" s="31">
        <f>IF($AD200="Z",SUM($AR$5:$AR$404),IF($AD200="D",INDEX($AR$5:$AR$404,$AC200),IF($AD200="T",SUMIF($X$5:$X$404,$AF200,$AR$5:$AR$404),IF($AD200="B",SUMIF($AN$5:$AN$404,$AQ200,$AR$5:$AR$404),""))))</f>
        <v/>
      </c>
      <c r="F200" s="32">
        <f>IF($AD200="Z",ROUND(SUM($AS$5:$AS$404),2),IF($AD200="D",INDEX($AS$5:$AS$404,$AC200),IF($AD200="T",ROUND(SUMIF($X$5:$X$404,$AF200,$AS$5:$AS$404),2),IF($AD200="B",ROUND(SUMIF($AN$5:$AN$404,$AQ200,$AS$5:$AS$404),2),""))))</f>
        <v/>
      </c>
      <c r="G200" s="32">
        <f>IF($AD200&lt;&gt;"D","",INDEX($AT$5:$AT$404,$AC200))</f>
        <v/>
      </c>
      <c r="H200" s="32">
        <f>IF($AD200&lt;&gt;"D","",INDEX($BC$5:$BC$404,$AC200))</f>
        <v/>
      </c>
      <c r="I200" s="32">
        <f>IF($AD200&lt;&gt;"D","",INDEX($BD$5:$BD$404,$AC200))</f>
        <v/>
      </c>
      <c r="J200" s="46">
        <f>IF($AD200&lt;&gt;"D","",IF(N($B200)=0,"",ROUND($I200/$B200,4)))</f>
        <v/>
      </c>
      <c r="K200" s="32">
        <f>IF($AD200="Z",ROUND(SUM($AU$5:$AU$404),2),IF($AD200="D",INDEX($AU$5:$AU$404,$AC200),IF($AD200="T",ROUND(SUMIF($X$5:$X$404,$AF200,$AU$5:$AU$404),2),IF($AD200="B",ROUND(SUMIF($AN$5:$AN$404,$AQ200,$AU$5:$AU$404),2),""))))</f>
        <v/>
      </c>
      <c r="L200" s="32">
        <f>IF($AD200="Z",ROUND(SUM($AV$5:$AV$404),2),IF($AD200="D",INDEX($AV$5:$AV$404,$AC200),IF($AD200="T",ROUND(SUMIF($X$5:$X$404,$AF200,$AV$5:$AV$404),2),IF($AD200="B",ROUND(SUMIF($AN$5:$AN$404,$AQ200,$AV$5:$AV$404),2),""))))</f>
        <v/>
      </c>
      <c r="M200" s="32">
        <f>IF($AD200="Z",ROUND(SUM($AJ$5:$AJ$704),2),IF($AD200="B",ROUND(SUMIF($AQ$5:$AQ$704,$AQ200,$AJ$5:$AJ$704),2),IF($AD200&lt;&gt;"T","",$AJ200)))</f>
        <v/>
      </c>
      <c r="N200" s="32">
        <f>IF(OR($AD200="D",$AD200="T",$AD200="B",$AD200="Z"),ROUND(N($K200)-N($L200)-N($M200),2),"")</f>
        <v/>
      </c>
      <c r="O200" s="32">
        <f>IF(OR($AD200="D",$AD200="T",$AD200="B",$AD200="Z"),IF(N($E200)=0,"",ROUND($F200/$E200,2)),"")</f>
        <v/>
      </c>
      <c r="Q200">
        <f>IFERROR(MATCH(196,บันทึกรายเที่ยว!$Z$6:$Z$6005,0),"")</f>
        <v/>
      </c>
      <c r="R200">
        <f>IF($Q200="","",INDEX(บันทึกรายเที่ยว!$V$6:$V$6005,$Q200))</f>
        <v/>
      </c>
      <c r="S200">
        <f>IF($Q200="","",INDEX(บันทึกรายเที่ยว!$F$6:$F$6005,$Q200))</f>
        <v/>
      </c>
      <c r="T200">
        <f>IF($Q200="","",MATCH($S200,บันทึกรายเที่ยว!$F$6:$F$6005,0))</f>
        <v/>
      </c>
      <c r="U200">
        <f>IF($Q200="","",$AL200*10000000+$T200*1000+196)</f>
        <v/>
      </c>
      <c r="V200">
        <f>IFERROR(MATCH(SMALL($U$5:$U$404,196),$U$5:$U$404,0),"")</f>
        <v/>
      </c>
      <c r="W200">
        <f>IF($V200="","",INDEX($Q$5:$Q$404,$V200))</f>
        <v/>
      </c>
      <c r="X200">
        <f>IF($V200="","",INDEX($S$5:$S$404,$V200))</f>
        <v/>
      </c>
      <c r="Y200">
        <f>IF($V200="","",INDEX($R$5:$R$404,$V200))</f>
        <v/>
      </c>
      <c r="Z200">
        <f>IF($V200="",0,IF($X200&lt;&gt;$X199,1,0))</f>
        <v/>
      </c>
      <c r="AA200">
        <f>IF($V200="",0,IF($V201="",1,IF($X201&lt;&gt;$X200,1,0)))</f>
        <v/>
      </c>
      <c r="AB200">
        <f>IF($V200="",99999+196,$AB199+1+$Z199+$AA199+$AO199)</f>
        <v/>
      </c>
      <c r="AC200">
        <f>IFERROR(MATCH(196,$AB$5:$AB$404,1),"")</f>
        <v/>
      </c>
      <c r="AD200">
        <f>IF(196=$AI$1+1,"Z",IF($AC200="","",IF(INDEX($V$5:$V$404,$AC200)="","",IF(196&gt;INDEX($AB$5:$AB$404,$AC200)+INDEX($Z$5:$Z$404,$AC200)+INDEX($AA$5:$AA$404,$AC200)+INDEX($AO$5:$AO$404,$AC200),"",IF(196=INDEX($AB$5:$AB$404,$AC200)+INDEX($Z$5:$Z$404,$AC200),"D",IF(AND(INDEX($Z$5:$Z$404,$AC200)=1,196=INDEX($AB$5:$AB$404,$AC200)),"H",IF(AND(INDEX($AO$5:$AO$404,$AC200)=1,196=INDEX($AB$5:$AB$404,$AC200)+INDEX($Z$5:$Z$404,$AC200)+INDEX($AA$5:$AA$404,$AC200)+INDEX($AO$5:$AO$404,$AC200)),"B","T")))))))</f>
        <v/>
      </c>
      <c r="AF200">
        <f>IF(OR($AD200="",$AD200="Z",$AD200="B"),"",INDEX($X$5:$X$404,$AC200))</f>
        <v/>
      </c>
      <c r="AJ200">
        <f>IF($AD200&lt;&gt;"T",0,ROUND(SUMIF(oil!$B$4:$B$63,$AF200,oil!$AE$4:$AE$63),2))</f>
        <v/>
      </c>
      <c r="AK200">
        <f>IF($S200="","",IFERROR(INDEX(อัตราค่าขนส่ง!$P$5:$P$54,MATCH($S200,อัตราค่าขนส่ง!$O$5:$O$54,0)),INDEX(รายการมาตรฐาน!$G$2:$G$3,1)))</f>
        <v/>
      </c>
      <c r="AL200">
        <f>IF($S200="","",IFERROR(MATCH($AK200,รายการมาตรฐาน!$G$2:$G$3,0),1))</f>
        <v/>
      </c>
      <c r="AM200">
        <f>IF($V200="","",INDEX($AK$5:$AK$404,$V200))</f>
        <v/>
      </c>
      <c r="AN200">
        <f>IF($V200="","",INDEX($AL$5:$AL$404,$V200))</f>
        <v/>
      </c>
      <c r="AO200">
        <f>IF(OR($V200="",$AI$2&lt;=1),0,IF($V201="",1,IF($AN201&lt;&gt;$AN200,1,0)))</f>
        <v/>
      </c>
      <c r="AP200">
        <f>IF($V200="",0,IF($AN200&lt;&gt;$AN199,1,0))</f>
        <v/>
      </c>
      <c r="AQ200">
        <f>IF(OR($AD200="",$AD200="Z"),"",INDEX($AN$5:$AN$404,$AC200))</f>
        <v/>
      </c>
      <c r="AR200">
        <f>IF($Y200="",0,COUNTIF(บันทึกรายเที่ยว!$V$6:$V$6005,$Y200))</f>
        <v/>
      </c>
      <c r="AS200">
        <f>IF($Y200="",0,ROUND(SUMIF(บันทึกรายเที่ยว!$V$6:$V$6005,$Y200,บันทึกรายเที่ยว!$M$6:$M$6005),2))</f>
        <v/>
      </c>
      <c r="AT200">
        <f>IF($Y200="",0,IFERROR(INDEX(อัตราค่าขนส่ง!$G$5:$G$204,MATCH($Y200,อัตราค่าขนส่ง!$M$5:$M$204,0)),0))</f>
        <v/>
      </c>
      <c r="AU200">
        <f>ROUND($AS200*$BD200,2)</f>
        <v/>
      </c>
      <c r="AV200">
        <f>ROUND($AU200*$BF$2/100,2)</f>
        <v/>
      </c>
      <c r="AW200">
        <f>IF($Y200="","",IFERROR(INDEX(อัตราค่าขนส่ง!$F$5:$F$204,MATCH($Y200,อัตราค่าขนส่ง!$M$5:$M$204,0)),""))</f>
        <v/>
      </c>
      <c r="AX200">
        <f>IF($W200="","",INDEX(บันทึกรายเที่ยว!$D$6:$D$6005,$W200))</f>
        <v/>
      </c>
      <c r="AY200">
        <f>IF($W200="","",INDEX(บันทึกรายเที่ยว!$R$6:$R$6005,$W200))</f>
        <v/>
      </c>
      <c r="AZ200">
        <f>IF(AND($AD200="T",$AQ200=1),N($AZ199)+1,N($AZ199))</f>
        <v/>
      </c>
      <c r="BA200">
        <f>IF($W200="","",INDEX(บันทึกรายเที่ยว!$E$6:$E$6005,$W200))</f>
        <v/>
      </c>
      <c r="BC200">
        <f>IF($Y200="",0,IFERROR(INDEX(อัตราค่าขนส่ง!$K$5:$K$204,MATCH($Y200,อัตราค่าขนส่ง!$M$5:$M$204,0)),0))</f>
        <v/>
      </c>
      <c r="BD200">
        <f>IF($Y200="",0,IFERROR(INDEX(อัตราค่าขนส่ง!$L$5:$L$204,MATCH($Y200,อัตราค่าขนส่ง!$M$5:$M$204,0)),0))</f>
        <v/>
      </c>
    </row>
    <row r="201" ht="21" customHeight="1" s="66">
      <c r="A201" s="69">
        <f>IF($AD201="","",IF($AD201="Z","รวมจ่ายทั้งสิ้น",IF($AD201="H",INDEX($X$5:$X$404,$AC201),IF($AD201="T","รวม",IF($AD201="B",IFERROR(INDEX(อัตราค่าขนส่ง!$S$5:$S$14,MATCH(INDEX($AM$5:$AM$404,$AC201),อัตราค่าขนส่ง!$R$5:$R$14,0)),"รวมกลุ่ม "&amp;INDEX($AM$5:$AM$404,$AC201)),INDEX($AY$5:$AY$404,$AC201))))))</f>
        <v/>
      </c>
      <c r="B201" s="31">
        <f>IF($AD201&lt;&gt;"D","",INDEX($AW$5:$AW$404,$AC201))</f>
        <v/>
      </c>
      <c r="C201" s="68">
        <f>IF($AD201&lt;&gt;"D","",INDEX($AX$5:$AX$404,$AC201))</f>
        <v/>
      </c>
      <c r="D201" s="70">
        <f>IF($AD201&lt;&gt;"D","",INDEX($BA$5:$BA$404,$AC201))</f>
        <v/>
      </c>
      <c r="E201" s="31">
        <f>IF($AD201="Z",SUM($AR$5:$AR$404),IF($AD201="D",INDEX($AR$5:$AR$404,$AC201),IF($AD201="T",SUMIF($X$5:$X$404,$AF201,$AR$5:$AR$404),IF($AD201="B",SUMIF($AN$5:$AN$404,$AQ201,$AR$5:$AR$404),""))))</f>
        <v/>
      </c>
      <c r="F201" s="32">
        <f>IF($AD201="Z",ROUND(SUM($AS$5:$AS$404),2),IF($AD201="D",INDEX($AS$5:$AS$404,$AC201),IF($AD201="T",ROUND(SUMIF($X$5:$X$404,$AF201,$AS$5:$AS$404),2),IF($AD201="B",ROUND(SUMIF($AN$5:$AN$404,$AQ201,$AS$5:$AS$404),2),""))))</f>
        <v/>
      </c>
      <c r="G201" s="32">
        <f>IF($AD201&lt;&gt;"D","",INDEX($AT$5:$AT$404,$AC201))</f>
        <v/>
      </c>
      <c r="H201" s="32">
        <f>IF($AD201&lt;&gt;"D","",INDEX($BC$5:$BC$404,$AC201))</f>
        <v/>
      </c>
      <c r="I201" s="32">
        <f>IF($AD201&lt;&gt;"D","",INDEX($BD$5:$BD$404,$AC201))</f>
        <v/>
      </c>
      <c r="J201" s="46">
        <f>IF($AD201&lt;&gt;"D","",IF(N($B201)=0,"",ROUND($I201/$B201,4)))</f>
        <v/>
      </c>
      <c r="K201" s="32">
        <f>IF($AD201="Z",ROUND(SUM($AU$5:$AU$404),2),IF($AD201="D",INDEX($AU$5:$AU$404,$AC201),IF($AD201="T",ROUND(SUMIF($X$5:$X$404,$AF201,$AU$5:$AU$404),2),IF($AD201="B",ROUND(SUMIF($AN$5:$AN$404,$AQ201,$AU$5:$AU$404),2),""))))</f>
        <v/>
      </c>
      <c r="L201" s="32">
        <f>IF($AD201="Z",ROUND(SUM($AV$5:$AV$404),2),IF($AD201="D",INDEX($AV$5:$AV$404,$AC201),IF($AD201="T",ROUND(SUMIF($X$5:$X$404,$AF201,$AV$5:$AV$404),2),IF($AD201="B",ROUND(SUMIF($AN$5:$AN$404,$AQ201,$AV$5:$AV$404),2),""))))</f>
        <v/>
      </c>
      <c r="M201" s="32">
        <f>IF($AD201="Z",ROUND(SUM($AJ$5:$AJ$704),2),IF($AD201="B",ROUND(SUMIF($AQ$5:$AQ$704,$AQ201,$AJ$5:$AJ$704),2),IF($AD201&lt;&gt;"T","",$AJ201)))</f>
        <v/>
      </c>
      <c r="N201" s="32">
        <f>IF(OR($AD201="D",$AD201="T",$AD201="B",$AD201="Z"),ROUND(N($K201)-N($L201)-N($M201),2),"")</f>
        <v/>
      </c>
      <c r="O201" s="32">
        <f>IF(OR($AD201="D",$AD201="T",$AD201="B",$AD201="Z"),IF(N($E201)=0,"",ROUND($F201/$E201,2)),"")</f>
        <v/>
      </c>
      <c r="Q201">
        <f>IFERROR(MATCH(197,บันทึกรายเที่ยว!$Z$6:$Z$6005,0),"")</f>
        <v/>
      </c>
      <c r="R201">
        <f>IF($Q201="","",INDEX(บันทึกรายเที่ยว!$V$6:$V$6005,$Q201))</f>
        <v/>
      </c>
      <c r="S201">
        <f>IF($Q201="","",INDEX(บันทึกรายเที่ยว!$F$6:$F$6005,$Q201))</f>
        <v/>
      </c>
      <c r="T201">
        <f>IF($Q201="","",MATCH($S201,บันทึกรายเที่ยว!$F$6:$F$6005,0))</f>
        <v/>
      </c>
      <c r="U201">
        <f>IF($Q201="","",$AL201*10000000+$T201*1000+197)</f>
        <v/>
      </c>
      <c r="V201">
        <f>IFERROR(MATCH(SMALL($U$5:$U$404,197),$U$5:$U$404,0),"")</f>
        <v/>
      </c>
      <c r="W201">
        <f>IF($V201="","",INDEX($Q$5:$Q$404,$V201))</f>
        <v/>
      </c>
      <c r="X201">
        <f>IF($V201="","",INDEX($S$5:$S$404,$V201))</f>
        <v/>
      </c>
      <c r="Y201">
        <f>IF($V201="","",INDEX($R$5:$R$404,$V201))</f>
        <v/>
      </c>
      <c r="Z201">
        <f>IF($V201="",0,IF($X201&lt;&gt;$X200,1,0))</f>
        <v/>
      </c>
      <c r="AA201">
        <f>IF($V201="",0,IF($V202="",1,IF($X202&lt;&gt;$X201,1,0)))</f>
        <v/>
      </c>
      <c r="AB201">
        <f>IF($V201="",99999+197,$AB200+1+$Z200+$AA200+$AO200)</f>
        <v/>
      </c>
      <c r="AC201">
        <f>IFERROR(MATCH(197,$AB$5:$AB$404,1),"")</f>
        <v/>
      </c>
      <c r="AD201">
        <f>IF(197=$AI$1+1,"Z",IF($AC201="","",IF(INDEX($V$5:$V$404,$AC201)="","",IF(197&gt;INDEX($AB$5:$AB$404,$AC201)+INDEX($Z$5:$Z$404,$AC201)+INDEX($AA$5:$AA$404,$AC201)+INDEX($AO$5:$AO$404,$AC201),"",IF(197=INDEX($AB$5:$AB$404,$AC201)+INDEX($Z$5:$Z$404,$AC201),"D",IF(AND(INDEX($Z$5:$Z$404,$AC201)=1,197=INDEX($AB$5:$AB$404,$AC201)),"H",IF(AND(INDEX($AO$5:$AO$404,$AC201)=1,197=INDEX($AB$5:$AB$404,$AC201)+INDEX($Z$5:$Z$404,$AC201)+INDEX($AA$5:$AA$404,$AC201)+INDEX($AO$5:$AO$404,$AC201)),"B","T")))))))</f>
        <v/>
      </c>
      <c r="AF201">
        <f>IF(OR($AD201="",$AD201="Z",$AD201="B"),"",INDEX($X$5:$X$404,$AC201))</f>
        <v/>
      </c>
      <c r="AJ201">
        <f>IF($AD201&lt;&gt;"T",0,ROUND(SUMIF(oil!$B$4:$B$63,$AF201,oil!$AE$4:$AE$63),2))</f>
        <v/>
      </c>
      <c r="AK201">
        <f>IF($S201="","",IFERROR(INDEX(อัตราค่าขนส่ง!$P$5:$P$54,MATCH($S201,อัตราค่าขนส่ง!$O$5:$O$54,0)),INDEX(รายการมาตรฐาน!$G$2:$G$3,1)))</f>
        <v/>
      </c>
      <c r="AL201">
        <f>IF($S201="","",IFERROR(MATCH($AK201,รายการมาตรฐาน!$G$2:$G$3,0),1))</f>
        <v/>
      </c>
      <c r="AM201">
        <f>IF($V201="","",INDEX($AK$5:$AK$404,$V201))</f>
        <v/>
      </c>
      <c r="AN201">
        <f>IF($V201="","",INDEX($AL$5:$AL$404,$V201))</f>
        <v/>
      </c>
      <c r="AO201">
        <f>IF(OR($V201="",$AI$2&lt;=1),0,IF($V202="",1,IF($AN202&lt;&gt;$AN201,1,0)))</f>
        <v/>
      </c>
      <c r="AP201">
        <f>IF($V201="",0,IF($AN201&lt;&gt;$AN200,1,0))</f>
        <v/>
      </c>
      <c r="AQ201">
        <f>IF(OR($AD201="",$AD201="Z"),"",INDEX($AN$5:$AN$404,$AC201))</f>
        <v/>
      </c>
      <c r="AR201">
        <f>IF($Y201="",0,COUNTIF(บันทึกรายเที่ยว!$V$6:$V$6005,$Y201))</f>
        <v/>
      </c>
      <c r="AS201">
        <f>IF($Y201="",0,ROUND(SUMIF(บันทึกรายเที่ยว!$V$6:$V$6005,$Y201,บันทึกรายเที่ยว!$M$6:$M$6005),2))</f>
        <v/>
      </c>
      <c r="AT201">
        <f>IF($Y201="",0,IFERROR(INDEX(อัตราค่าขนส่ง!$G$5:$G$204,MATCH($Y201,อัตราค่าขนส่ง!$M$5:$M$204,0)),0))</f>
        <v/>
      </c>
      <c r="AU201">
        <f>ROUND($AS201*$BD201,2)</f>
        <v/>
      </c>
      <c r="AV201">
        <f>ROUND($AU201*$BF$2/100,2)</f>
        <v/>
      </c>
      <c r="AW201">
        <f>IF($Y201="","",IFERROR(INDEX(อัตราค่าขนส่ง!$F$5:$F$204,MATCH($Y201,อัตราค่าขนส่ง!$M$5:$M$204,0)),""))</f>
        <v/>
      </c>
      <c r="AX201">
        <f>IF($W201="","",INDEX(บันทึกรายเที่ยว!$D$6:$D$6005,$W201))</f>
        <v/>
      </c>
      <c r="AY201">
        <f>IF($W201="","",INDEX(บันทึกรายเที่ยว!$R$6:$R$6005,$W201))</f>
        <v/>
      </c>
      <c r="AZ201">
        <f>IF(AND($AD201="T",$AQ201=1),N($AZ200)+1,N($AZ200))</f>
        <v/>
      </c>
      <c r="BA201">
        <f>IF($W201="","",INDEX(บันทึกรายเที่ยว!$E$6:$E$6005,$W201))</f>
        <v/>
      </c>
      <c r="BC201">
        <f>IF($Y201="",0,IFERROR(INDEX(อัตราค่าขนส่ง!$K$5:$K$204,MATCH($Y201,อัตราค่าขนส่ง!$M$5:$M$204,0)),0))</f>
        <v/>
      </c>
      <c r="BD201">
        <f>IF($Y201="",0,IFERROR(INDEX(อัตราค่าขนส่ง!$L$5:$L$204,MATCH($Y201,อัตราค่าขนส่ง!$M$5:$M$204,0)),0))</f>
        <v/>
      </c>
    </row>
    <row r="202" ht="21" customHeight="1" s="66">
      <c r="A202" s="69">
        <f>IF($AD202="","",IF($AD202="Z","รวมจ่ายทั้งสิ้น",IF($AD202="H",INDEX($X$5:$X$404,$AC202),IF($AD202="T","รวม",IF($AD202="B",IFERROR(INDEX(อัตราค่าขนส่ง!$S$5:$S$14,MATCH(INDEX($AM$5:$AM$404,$AC202),อัตราค่าขนส่ง!$R$5:$R$14,0)),"รวมกลุ่ม "&amp;INDEX($AM$5:$AM$404,$AC202)),INDEX($AY$5:$AY$404,$AC202))))))</f>
        <v/>
      </c>
      <c r="B202" s="31">
        <f>IF($AD202&lt;&gt;"D","",INDEX($AW$5:$AW$404,$AC202))</f>
        <v/>
      </c>
      <c r="C202" s="68">
        <f>IF($AD202&lt;&gt;"D","",INDEX($AX$5:$AX$404,$AC202))</f>
        <v/>
      </c>
      <c r="D202" s="70">
        <f>IF($AD202&lt;&gt;"D","",INDEX($BA$5:$BA$404,$AC202))</f>
        <v/>
      </c>
      <c r="E202" s="31">
        <f>IF($AD202="Z",SUM($AR$5:$AR$404),IF($AD202="D",INDEX($AR$5:$AR$404,$AC202),IF($AD202="T",SUMIF($X$5:$X$404,$AF202,$AR$5:$AR$404),IF($AD202="B",SUMIF($AN$5:$AN$404,$AQ202,$AR$5:$AR$404),""))))</f>
        <v/>
      </c>
      <c r="F202" s="32">
        <f>IF($AD202="Z",ROUND(SUM($AS$5:$AS$404),2),IF($AD202="D",INDEX($AS$5:$AS$404,$AC202),IF($AD202="T",ROUND(SUMIF($X$5:$X$404,$AF202,$AS$5:$AS$404),2),IF($AD202="B",ROUND(SUMIF($AN$5:$AN$404,$AQ202,$AS$5:$AS$404),2),""))))</f>
        <v/>
      </c>
      <c r="G202" s="32">
        <f>IF($AD202&lt;&gt;"D","",INDEX($AT$5:$AT$404,$AC202))</f>
        <v/>
      </c>
      <c r="H202" s="32">
        <f>IF($AD202&lt;&gt;"D","",INDEX($BC$5:$BC$404,$AC202))</f>
        <v/>
      </c>
      <c r="I202" s="32">
        <f>IF($AD202&lt;&gt;"D","",INDEX($BD$5:$BD$404,$AC202))</f>
        <v/>
      </c>
      <c r="J202" s="46">
        <f>IF($AD202&lt;&gt;"D","",IF(N($B202)=0,"",ROUND($I202/$B202,4)))</f>
        <v/>
      </c>
      <c r="K202" s="32">
        <f>IF($AD202="Z",ROUND(SUM($AU$5:$AU$404),2),IF($AD202="D",INDEX($AU$5:$AU$404,$AC202),IF($AD202="T",ROUND(SUMIF($X$5:$X$404,$AF202,$AU$5:$AU$404),2),IF($AD202="B",ROUND(SUMIF($AN$5:$AN$404,$AQ202,$AU$5:$AU$404),2),""))))</f>
        <v/>
      </c>
      <c r="L202" s="32">
        <f>IF($AD202="Z",ROUND(SUM($AV$5:$AV$404),2),IF($AD202="D",INDEX($AV$5:$AV$404,$AC202),IF($AD202="T",ROUND(SUMIF($X$5:$X$404,$AF202,$AV$5:$AV$404),2),IF($AD202="B",ROUND(SUMIF($AN$5:$AN$404,$AQ202,$AV$5:$AV$404),2),""))))</f>
        <v/>
      </c>
      <c r="M202" s="32">
        <f>IF($AD202="Z",ROUND(SUM($AJ$5:$AJ$704),2),IF($AD202="B",ROUND(SUMIF($AQ$5:$AQ$704,$AQ202,$AJ$5:$AJ$704),2),IF($AD202&lt;&gt;"T","",$AJ202)))</f>
        <v/>
      </c>
      <c r="N202" s="32">
        <f>IF(OR($AD202="D",$AD202="T",$AD202="B",$AD202="Z"),ROUND(N($K202)-N($L202)-N($M202),2),"")</f>
        <v/>
      </c>
      <c r="O202" s="32">
        <f>IF(OR($AD202="D",$AD202="T",$AD202="B",$AD202="Z"),IF(N($E202)=0,"",ROUND($F202/$E202,2)),"")</f>
        <v/>
      </c>
      <c r="Q202">
        <f>IFERROR(MATCH(198,บันทึกรายเที่ยว!$Z$6:$Z$6005,0),"")</f>
        <v/>
      </c>
      <c r="R202">
        <f>IF($Q202="","",INDEX(บันทึกรายเที่ยว!$V$6:$V$6005,$Q202))</f>
        <v/>
      </c>
      <c r="S202">
        <f>IF($Q202="","",INDEX(บันทึกรายเที่ยว!$F$6:$F$6005,$Q202))</f>
        <v/>
      </c>
      <c r="T202">
        <f>IF($Q202="","",MATCH($S202,บันทึกรายเที่ยว!$F$6:$F$6005,0))</f>
        <v/>
      </c>
      <c r="U202">
        <f>IF($Q202="","",$AL202*10000000+$T202*1000+198)</f>
        <v/>
      </c>
      <c r="V202">
        <f>IFERROR(MATCH(SMALL($U$5:$U$404,198),$U$5:$U$404,0),"")</f>
        <v/>
      </c>
      <c r="W202">
        <f>IF($V202="","",INDEX($Q$5:$Q$404,$V202))</f>
        <v/>
      </c>
      <c r="X202">
        <f>IF($V202="","",INDEX($S$5:$S$404,$V202))</f>
        <v/>
      </c>
      <c r="Y202">
        <f>IF($V202="","",INDEX($R$5:$R$404,$V202))</f>
        <v/>
      </c>
      <c r="Z202">
        <f>IF($V202="",0,IF($X202&lt;&gt;$X201,1,0))</f>
        <v/>
      </c>
      <c r="AA202">
        <f>IF($V202="",0,IF($V203="",1,IF($X203&lt;&gt;$X202,1,0)))</f>
        <v/>
      </c>
      <c r="AB202">
        <f>IF($V202="",99999+198,$AB201+1+$Z201+$AA201+$AO201)</f>
        <v/>
      </c>
      <c r="AC202">
        <f>IFERROR(MATCH(198,$AB$5:$AB$404,1),"")</f>
        <v/>
      </c>
      <c r="AD202">
        <f>IF(198=$AI$1+1,"Z",IF($AC202="","",IF(INDEX($V$5:$V$404,$AC202)="","",IF(198&gt;INDEX($AB$5:$AB$404,$AC202)+INDEX($Z$5:$Z$404,$AC202)+INDEX($AA$5:$AA$404,$AC202)+INDEX($AO$5:$AO$404,$AC202),"",IF(198=INDEX($AB$5:$AB$404,$AC202)+INDEX($Z$5:$Z$404,$AC202),"D",IF(AND(INDEX($Z$5:$Z$404,$AC202)=1,198=INDEX($AB$5:$AB$404,$AC202)),"H",IF(AND(INDEX($AO$5:$AO$404,$AC202)=1,198=INDEX($AB$5:$AB$404,$AC202)+INDEX($Z$5:$Z$404,$AC202)+INDEX($AA$5:$AA$404,$AC202)+INDEX($AO$5:$AO$404,$AC202)),"B","T")))))))</f>
        <v/>
      </c>
      <c r="AF202">
        <f>IF(OR($AD202="",$AD202="Z",$AD202="B"),"",INDEX($X$5:$X$404,$AC202))</f>
        <v/>
      </c>
      <c r="AJ202">
        <f>IF($AD202&lt;&gt;"T",0,ROUND(SUMIF(oil!$B$4:$B$63,$AF202,oil!$AE$4:$AE$63),2))</f>
        <v/>
      </c>
      <c r="AK202">
        <f>IF($S202="","",IFERROR(INDEX(อัตราค่าขนส่ง!$P$5:$P$54,MATCH($S202,อัตราค่าขนส่ง!$O$5:$O$54,0)),INDEX(รายการมาตรฐาน!$G$2:$G$3,1)))</f>
        <v/>
      </c>
      <c r="AL202">
        <f>IF($S202="","",IFERROR(MATCH($AK202,รายการมาตรฐาน!$G$2:$G$3,0),1))</f>
        <v/>
      </c>
      <c r="AM202">
        <f>IF($V202="","",INDEX($AK$5:$AK$404,$V202))</f>
        <v/>
      </c>
      <c r="AN202">
        <f>IF($V202="","",INDEX($AL$5:$AL$404,$V202))</f>
        <v/>
      </c>
      <c r="AO202">
        <f>IF(OR($V202="",$AI$2&lt;=1),0,IF($V203="",1,IF($AN203&lt;&gt;$AN202,1,0)))</f>
        <v/>
      </c>
      <c r="AP202">
        <f>IF($V202="",0,IF($AN202&lt;&gt;$AN201,1,0))</f>
        <v/>
      </c>
      <c r="AQ202">
        <f>IF(OR($AD202="",$AD202="Z"),"",INDEX($AN$5:$AN$404,$AC202))</f>
        <v/>
      </c>
      <c r="AR202">
        <f>IF($Y202="",0,COUNTIF(บันทึกรายเที่ยว!$V$6:$V$6005,$Y202))</f>
        <v/>
      </c>
      <c r="AS202">
        <f>IF($Y202="",0,ROUND(SUMIF(บันทึกรายเที่ยว!$V$6:$V$6005,$Y202,บันทึกรายเที่ยว!$M$6:$M$6005),2))</f>
        <v/>
      </c>
      <c r="AT202">
        <f>IF($Y202="",0,IFERROR(INDEX(อัตราค่าขนส่ง!$G$5:$G$204,MATCH($Y202,อัตราค่าขนส่ง!$M$5:$M$204,0)),0))</f>
        <v/>
      </c>
      <c r="AU202">
        <f>ROUND($AS202*$BD202,2)</f>
        <v/>
      </c>
      <c r="AV202">
        <f>ROUND($AU202*$BF$2/100,2)</f>
        <v/>
      </c>
      <c r="AW202">
        <f>IF($Y202="","",IFERROR(INDEX(อัตราค่าขนส่ง!$F$5:$F$204,MATCH($Y202,อัตราค่าขนส่ง!$M$5:$M$204,0)),""))</f>
        <v/>
      </c>
      <c r="AX202">
        <f>IF($W202="","",INDEX(บันทึกรายเที่ยว!$D$6:$D$6005,$W202))</f>
        <v/>
      </c>
      <c r="AY202">
        <f>IF($W202="","",INDEX(บันทึกรายเที่ยว!$R$6:$R$6005,$W202))</f>
        <v/>
      </c>
      <c r="AZ202">
        <f>IF(AND($AD202="T",$AQ202=1),N($AZ201)+1,N($AZ201))</f>
        <v/>
      </c>
      <c r="BA202">
        <f>IF($W202="","",INDEX(บันทึกรายเที่ยว!$E$6:$E$6005,$W202))</f>
        <v/>
      </c>
      <c r="BC202">
        <f>IF($Y202="",0,IFERROR(INDEX(อัตราค่าขนส่ง!$K$5:$K$204,MATCH($Y202,อัตราค่าขนส่ง!$M$5:$M$204,0)),0))</f>
        <v/>
      </c>
      <c r="BD202">
        <f>IF($Y202="",0,IFERROR(INDEX(อัตราค่าขนส่ง!$L$5:$L$204,MATCH($Y202,อัตราค่าขนส่ง!$M$5:$M$204,0)),0))</f>
        <v/>
      </c>
    </row>
    <row r="203" ht="21" customHeight="1" s="66">
      <c r="A203" s="69">
        <f>IF($AD203="","",IF($AD203="Z","รวมจ่ายทั้งสิ้น",IF($AD203="H",INDEX($X$5:$X$404,$AC203),IF($AD203="T","รวม",IF($AD203="B",IFERROR(INDEX(อัตราค่าขนส่ง!$S$5:$S$14,MATCH(INDEX($AM$5:$AM$404,$AC203),อัตราค่าขนส่ง!$R$5:$R$14,0)),"รวมกลุ่ม "&amp;INDEX($AM$5:$AM$404,$AC203)),INDEX($AY$5:$AY$404,$AC203))))))</f>
        <v/>
      </c>
      <c r="B203" s="31">
        <f>IF($AD203&lt;&gt;"D","",INDEX($AW$5:$AW$404,$AC203))</f>
        <v/>
      </c>
      <c r="C203" s="68">
        <f>IF($AD203&lt;&gt;"D","",INDEX($AX$5:$AX$404,$AC203))</f>
        <v/>
      </c>
      <c r="D203" s="70">
        <f>IF($AD203&lt;&gt;"D","",INDEX($BA$5:$BA$404,$AC203))</f>
        <v/>
      </c>
      <c r="E203" s="31">
        <f>IF($AD203="Z",SUM($AR$5:$AR$404),IF($AD203="D",INDEX($AR$5:$AR$404,$AC203),IF($AD203="T",SUMIF($X$5:$X$404,$AF203,$AR$5:$AR$404),IF($AD203="B",SUMIF($AN$5:$AN$404,$AQ203,$AR$5:$AR$404),""))))</f>
        <v/>
      </c>
      <c r="F203" s="32">
        <f>IF($AD203="Z",ROUND(SUM($AS$5:$AS$404),2),IF($AD203="D",INDEX($AS$5:$AS$404,$AC203),IF($AD203="T",ROUND(SUMIF($X$5:$X$404,$AF203,$AS$5:$AS$404),2),IF($AD203="B",ROUND(SUMIF($AN$5:$AN$404,$AQ203,$AS$5:$AS$404),2),""))))</f>
        <v/>
      </c>
      <c r="G203" s="32">
        <f>IF($AD203&lt;&gt;"D","",INDEX($AT$5:$AT$404,$AC203))</f>
        <v/>
      </c>
      <c r="H203" s="32">
        <f>IF($AD203&lt;&gt;"D","",INDEX($BC$5:$BC$404,$AC203))</f>
        <v/>
      </c>
      <c r="I203" s="32">
        <f>IF($AD203&lt;&gt;"D","",INDEX($BD$5:$BD$404,$AC203))</f>
        <v/>
      </c>
      <c r="J203" s="46">
        <f>IF($AD203&lt;&gt;"D","",IF(N($B203)=0,"",ROUND($I203/$B203,4)))</f>
        <v/>
      </c>
      <c r="K203" s="32">
        <f>IF($AD203="Z",ROUND(SUM($AU$5:$AU$404),2),IF($AD203="D",INDEX($AU$5:$AU$404,$AC203),IF($AD203="T",ROUND(SUMIF($X$5:$X$404,$AF203,$AU$5:$AU$404),2),IF($AD203="B",ROUND(SUMIF($AN$5:$AN$404,$AQ203,$AU$5:$AU$404),2),""))))</f>
        <v/>
      </c>
      <c r="L203" s="32">
        <f>IF($AD203="Z",ROUND(SUM($AV$5:$AV$404),2),IF($AD203="D",INDEX($AV$5:$AV$404,$AC203),IF($AD203="T",ROUND(SUMIF($X$5:$X$404,$AF203,$AV$5:$AV$404),2),IF($AD203="B",ROUND(SUMIF($AN$5:$AN$404,$AQ203,$AV$5:$AV$404),2),""))))</f>
        <v/>
      </c>
      <c r="M203" s="32">
        <f>IF($AD203="Z",ROUND(SUM($AJ$5:$AJ$704),2),IF($AD203="B",ROUND(SUMIF($AQ$5:$AQ$704,$AQ203,$AJ$5:$AJ$704),2),IF($AD203&lt;&gt;"T","",$AJ203)))</f>
        <v/>
      </c>
      <c r="N203" s="32">
        <f>IF(OR($AD203="D",$AD203="T",$AD203="B",$AD203="Z"),ROUND(N($K203)-N($L203)-N($M203),2),"")</f>
        <v/>
      </c>
      <c r="O203" s="32">
        <f>IF(OR($AD203="D",$AD203="T",$AD203="B",$AD203="Z"),IF(N($E203)=0,"",ROUND($F203/$E203,2)),"")</f>
        <v/>
      </c>
      <c r="Q203">
        <f>IFERROR(MATCH(199,บันทึกรายเที่ยว!$Z$6:$Z$6005,0),"")</f>
        <v/>
      </c>
      <c r="R203">
        <f>IF($Q203="","",INDEX(บันทึกรายเที่ยว!$V$6:$V$6005,$Q203))</f>
        <v/>
      </c>
      <c r="S203">
        <f>IF($Q203="","",INDEX(บันทึกรายเที่ยว!$F$6:$F$6005,$Q203))</f>
        <v/>
      </c>
      <c r="T203">
        <f>IF($Q203="","",MATCH($S203,บันทึกรายเที่ยว!$F$6:$F$6005,0))</f>
        <v/>
      </c>
      <c r="U203">
        <f>IF($Q203="","",$AL203*10000000+$T203*1000+199)</f>
        <v/>
      </c>
      <c r="V203">
        <f>IFERROR(MATCH(SMALL($U$5:$U$404,199),$U$5:$U$404,0),"")</f>
        <v/>
      </c>
      <c r="W203">
        <f>IF($V203="","",INDEX($Q$5:$Q$404,$V203))</f>
        <v/>
      </c>
      <c r="X203">
        <f>IF($V203="","",INDEX($S$5:$S$404,$V203))</f>
        <v/>
      </c>
      <c r="Y203">
        <f>IF($V203="","",INDEX($R$5:$R$404,$V203))</f>
        <v/>
      </c>
      <c r="Z203">
        <f>IF($V203="",0,IF($X203&lt;&gt;$X202,1,0))</f>
        <v/>
      </c>
      <c r="AA203">
        <f>IF($V203="",0,IF($V204="",1,IF($X204&lt;&gt;$X203,1,0)))</f>
        <v/>
      </c>
      <c r="AB203">
        <f>IF($V203="",99999+199,$AB202+1+$Z202+$AA202+$AO202)</f>
        <v/>
      </c>
      <c r="AC203">
        <f>IFERROR(MATCH(199,$AB$5:$AB$404,1),"")</f>
        <v/>
      </c>
      <c r="AD203">
        <f>IF(199=$AI$1+1,"Z",IF($AC203="","",IF(INDEX($V$5:$V$404,$AC203)="","",IF(199&gt;INDEX($AB$5:$AB$404,$AC203)+INDEX($Z$5:$Z$404,$AC203)+INDEX($AA$5:$AA$404,$AC203)+INDEX($AO$5:$AO$404,$AC203),"",IF(199=INDEX($AB$5:$AB$404,$AC203)+INDEX($Z$5:$Z$404,$AC203),"D",IF(AND(INDEX($Z$5:$Z$404,$AC203)=1,199=INDEX($AB$5:$AB$404,$AC203)),"H",IF(AND(INDEX($AO$5:$AO$404,$AC203)=1,199=INDEX($AB$5:$AB$404,$AC203)+INDEX($Z$5:$Z$404,$AC203)+INDEX($AA$5:$AA$404,$AC203)+INDEX($AO$5:$AO$404,$AC203)),"B","T")))))))</f>
        <v/>
      </c>
      <c r="AF203">
        <f>IF(OR($AD203="",$AD203="Z",$AD203="B"),"",INDEX($X$5:$X$404,$AC203))</f>
        <v/>
      </c>
      <c r="AJ203">
        <f>IF($AD203&lt;&gt;"T",0,ROUND(SUMIF(oil!$B$4:$B$63,$AF203,oil!$AE$4:$AE$63),2))</f>
        <v/>
      </c>
      <c r="AK203">
        <f>IF($S203="","",IFERROR(INDEX(อัตราค่าขนส่ง!$P$5:$P$54,MATCH($S203,อัตราค่าขนส่ง!$O$5:$O$54,0)),INDEX(รายการมาตรฐาน!$G$2:$G$3,1)))</f>
        <v/>
      </c>
      <c r="AL203">
        <f>IF($S203="","",IFERROR(MATCH($AK203,รายการมาตรฐาน!$G$2:$G$3,0),1))</f>
        <v/>
      </c>
      <c r="AM203">
        <f>IF($V203="","",INDEX($AK$5:$AK$404,$V203))</f>
        <v/>
      </c>
      <c r="AN203">
        <f>IF($V203="","",INDEX($AL$5:$AL$404,$V203))</f>
        <v/>
      </c>
      <c r="AO203">
        <f>IF(OR($V203="",$AI$2&lt;=1),0,IF($V204="",1,IF($AN204&lt;&gt;$AN203,1,0)))</f>
        <v/>
      </c>
      <c r="AP203">
        <f>IF($V203="",0,IF($AN203&lt;&gt;$AN202,1,0))</f>
        <v/>
      </c>
      <c r="AQ203">
        <f>IF(OR($AD203="",$AD203="Z"),"",INDEX($AN$5:$AN$404,$AC203))</f>
        <v/>
      </c>
      <c r="AR203">
        <f>IF($Y203="",0,COUNTIF(บันทึกรายเที่ยว!$V$6:$V$6005,$Y203))</f>
        <v/>
      </c>
      <c r="AS203">
        <f>IF($Y203="",0,ROUND(SUMIF(บันทึกรายเที่ยว!$V$6:$V$6005,$Y203,บันทึกรายเที่ยว!$M$6:$M$6005),2))</f>
        <v/>
      </c>
      <c r="AT203">
        <f>IF($Y203="",0,IFERROR(INDEX(อัตราค่าขนส่ง!$G$5:$G$204,MATCH($Y203,อัตราค่าขนส่ง!$M$5:$M$204,0)),0))</f>
        <v/>
      </c>
      <c r="AU203">
        <f>ROUND($AS203*$BD203,2)</f>
        <v/>
      </c>
      <c r="AV203">
        <f>ROUND($AU203*$BF$2/100,2)</f>
        <v/>
      </c>
      <c r="AW203">
        <f>IF($Y203="","",IFERROR(INDEX(อัตราค่าขนส่ง!$F$5:$F$204,MATCH($Y203,อัตราค่าขนส่ง!$M$5:$M$204,0)),""))</f>
        <v/>
      </c>
      <c r="AX203">
        <f>IF($W203="","",INDEX(บันทึกรายเที่ยว!$D$6:$D$6005,$W203))</f>
        <v/>
      </c>
      <c r="AY203">
        <f>IF($W203="","",INDEX(บันทึกรายเที่ยว!$R$6:$R$6005,$W203))</f>
        <v/>
      </c>
      <c r="AZ203">
        <f>IF(AND($AD203="T",$AQ203=1),N($AZ202)+1,N($AZ202))</f>
        <v/>
      </c>
      <c r="BA203">
        <f>IF($W203="","",INDEX(บันทึกรายเที่ยว!$E$6:$E$6005,$W203))</f>
        <v/>
      </c>
      <c r="BC203">
        <f>IF($Y203="",0,IFERROR(INDEX(อัตราค่าขนส่ง!$K$5:$K$204,MATCH($Y203,อัตราค่าขนส่ง!$M$5:$M$204,0)),0))</f>
        <v/>
      </c>
      <c r="BD203">
        <f>IF($Y203="",0,IFERROR(INDEX(อัตราค่าขนส่ง!$L$5:$L$204,MATCH($Y203,อัตราค่าขนส่ง!$M$5:$M$204,0)),0))</f>
        <v/>
      </c>
    </row>
    <row r="204" ht="21" customHeight="1" s="66">
      <c r="A204" s="69">
        <f>IF($AD204="","",IF($AD204="Z","รวมจ่ายทั้งสิ้น",IF($AD204="H",INDEX($X$5:$X$404,$AC204),IF($AD204="T","รวม",IF($AD204="B",IFERROR(INDEX(อัตราค่าขนส่ง!$S$5:$S$14,MATCH(INDEX($AM$5:$AM$404,$AC204),อัตราค่าขนส่ง!$R$5:$R$14,0)),"รวมกลุ่ม "&amp;INDEX($AM$5:$AM$404,$AC204)),INDEX($AY$5:$AY$404,$AC204))))))</f>
        <v/>
      </c>
      <c r="B204" s="31">
        <f>IF($AD204&lt;&gt;"D","",INDEX($AW$5:$AW$404,$AC204))</f>
        <v/>
      </c>
      <c r="C204" s="68">
        <f>IF($AD204&lt;&gt;"D","",INDEX($AX$5:$AX$404,$AC204))</f>
        <v/>
      </c>
      <c r="D204" s="70">
        <f>IF($AD204&lt;&gt;"D","",INDEX($BA$5:$BA$404,$AC204))</f>
        <v/>
      </c>
      <c r="E204" s="31">
        <f>IF($AD204="Z",SUM($AR$5:$AR$404),IF($AD204="D",INDEX($AR$5:$AR$404,$AC204),IF($AD204="T",SUMIF($X$5:$X$404,$AF204,$AR$5:$AR$404),IF($AD204="B",SUMIF($AN$5:$AN$404,$AQ204,$AR$5:$AR$404),""))))</f>
        <v/>
      </c>
      <c r="F204" s="32">
        <f>IF($AD204="Z",ROUND(SUM($AS$5:$AS$404),2),IF($AD204="D",INDEX($AS$5:$AS$404,$AC204),IF($AD204="T",ROUND(SUMIF($X$5:$X$404,$AF204,$AS$5:$AS$404),2),IF($AD204="B",ROUND(SUMIF($AN$5:$AN$404,$AQ204,$AS$5:$AS$404),2),""))))</f>
        <v/>
      </c>
      <c r="G204" s="32">
        <f>IF($AD204&lt;&gt;"D","",INDEX($AT$5:$AT$404,$AC204))</f>
        <v/>
      </c>
      <c r="H204" s="32">
        <f>IF($AD204&lt;&gt;"D","",INDEX($BC$5:$BC$404,$AC204))</f>
        <v/>
      </c>
      <c r="I204" s="32">
        <f>IF($AD204&lt;&gt;"D","",INDEX($BD$5:$BD$404,$AC204))</f>
        <v/>
      </c>
      <c r="J204" s="46">
        <f>IF($AD204&lt;&gt;"D","",IF(N($B204)=0,"",ROUND($I204/$B204,4)))</f>
        <v/>
      </c>
      <c r="K204" s="32">
        <f>IF($AD204="Z",ROUND(SUM($AU$5:$AU$404),2),IF($AD204="D",INDEX($AU$5:$AU$404,$AC204),IF($AD204="T",ROUND(SUMIF($X$5:$X$404,$AF204,$AU$5:$AU$404),2),IF($AD204="B",ROUND(SUMIF($AN$5:$AN$404,$AQ204,$AU$5:$AU$404),2),""))))</f>
        <v/>
      </c>
      <c r="L204" s="32">
        <f>IF($AD204="Z",ROUND(SUM($AV$5:$AV$404),2),IF($AD204="D",INDEX($AV$5:$AV$404,$AC204),IF($AD204="T",ROUND(SUMIF($X$5:$X$404,$AF204,$AV$5:$AV$404),2),IF($AD204="B",ROUND(SUMIF($AN$5:$AN$404,$AQ204,$AV$5:$AV$404),2),""))))</f>
        <v/>
      </c>
      <c r="M204" s="32">
        <f>IF($AD204="Z",ROUND(SUM($AJ$5:$AJ$704),2),IF($AD204="B",ROUND(SUMIF($AQ$5:$AQ$704,$AQ204,$AJ$5:$AJ$704),2),IF($AD204&lt;&gt;"T","",$AJ204)))</f>
        <v/>
      </c>
      <c r="N204" s="32">
        <f>IF(OR($AD204="D",$AD204="T",$AD204="B",$AD204="Z"),ROUND(N($K204)-N($L204)-N($M204),2),"")</f>
        <v/>
      </c>
      <c r="O204" s="32">
        <f>IF(OR($AD204="D",$AD204="T",$AD204="B",$AD204="Z"),IF(N($E204)=0,"",ROUND($F204/$E204,2)),"")</f>
        <v/>
      </c>
      <c r="Q204">
        <f>IFERROR(MATCH(200,บันทึกรายเที่ยว!$Z$6:$Z$6005,0),"")</f>
        <v/>
      </c>
      <c r="R204">
        <f>IF($Q204="","",INDEX(บันทึกรายเที่ยว!$V$6:$V$6005,$Q204))</f>
        <v/>
      </c>
      <c r="S204">
        <f>IF($Q204="","",INDEX(บันทึกรายเที่ยว!$F$6:$F$6005,$Q204))</f>
        <v/>
      </c>
      <c r="T204">
        <f>IF($Q204="","",MATCH($S204,บันทึกรายเที่ยว!$F$6:$F$6005,0))</f>
        <v/>
      </c>
      <c r="U204">
        <f>IF($Q204="","",$AL204*10000000+$T204*1000+200)</f>
        <v/>
      </c>
      <c r="V204">
        <f>IFERROR(MATCH(SMALL($U$5:$U$404,200),$U$5:$U$404,0),"")</f>
        <v/>
      </c>
      <c r="W204">
        <f>IF($V204="","",INDEX($Q$5:$Q$404,$V204))</f>
        <v/>
      </c>
      <c r="X204">
        <f>IF($V204="","",INDEX($S$5:$S$404,$V204))</f>
        <v/>
      </c>
      <c r="Y204">
        <f>IF($V204="","",INDEX($R$5:$R$404,$V204))</f>
        <v/>
      </c>
      <c r="Z204">
        <f>IF($V204="",0,IF($X204&lt;&gt;$X203,1,0))</f>
        <v/>
      </c>
      <c r="AA204">
        <f>IF($V204="",0,IF($V205="",1,IF($X205&lt;&gt;$X204,1,0)))</f>
        <v/>
      </c>
      <c r="AB204">
        <f>IF($V204="",99999+200,$AB203+1+$Z203+$AA203+$AO203)</f>
        <v/>
      </c>
      <c r="AC204">
        <f>IFERROR(MATCH(200,$AB$5:$AB$404,1),"")</f>
        <v/>
      </c>
      <c r="AD204">
        <f>IF(200=$AI$1+1,"Z",IF($AC204="","",IF(INDEX($V$5:$V$404,$AC204)="","",IF(200&gt;INDEX($AB$5:$AB$404,$AC204)+INDEX($Z$5:$Z$404,$AC204)+INDEX($AA$5:$AA$404,$AC204)+INDEX($AO$5:$AO$404,$AC204),"",IF(200=INDEX($AB$5:$AB$404,$AC204)+INDEX($Z$5:$Z$404,$AC204),"D",IF(AND(INDEX($Z$5:$Z$404,$AC204)=1,200=INDEX($AB$5:$AB$404,$AC204)),"H",IF(AND(INDEX($AO$5:$AO$404,$AC204)=1,200=INDEX($AB$5:$AB$404,$AC204)+INDEX($Z$5:$Z$404,$AC204)+INDEX($AA$5:$AA$404,$AC204)+INDEX($AO$5:$AO$404,$AC204)),"B","T")))))))</f>
        <v/>
      </c>
      <c r="AF204">
        <f>IF(OR($AD204="",$AD204="Z",$AD204="B"),"",INDEX($X$5:$X$404,$AC204))</f>
        <v/>
      </c>
      <c r="AJ204">
        <f>IF($AD204&lt;&gt;"T",0,ROUND(SUMIF(oil!$B$4:$B$63,$AF204,oil!$AE$4:$AE$63),2))</f>
        <v/>
      </c>
      <c r="AK204">
        <f>IF($S204="","",IFERROR(INDEX(อัตราค่าขนส่ง!$P$5:$P$54,MATCH($S204,อัตราค่าขนส่ง!$O$5:$O$54,0)),INDEX(รายการมาตรฐาน!$G$2:$G$3,1)))</f>
        <v/>
      </c>
      <c r="AL204">
        <f>IF($S204="","",IFERROR(MATCH($AK204,รายการมาตรฐาน!$G$2:$G$3,0),1))</f>
        <v/>
      </c>
      <c r="AM204">
        <f>IF($V204="","",INDEX($AK$5:$AK$404,$V204))</f>
        <v/>
      </c>
      <c r="AN204">
        <f>IF($V204="","",INDEX($AL$5:$AL$404,$V204))</f>
        <v/>
      </c>
      <c r="AO204">
        <f>IF(OR($V204="",$AI$2&lt;=1),0,IF($V205="",1,IF($AN205&lt;&gt;$AN204,1,0)))</f>
        <v/>
      </c>
      <c r="AP204">
        <f>IF($V204="",0,IF($AN204&lt;&gt;$AN203,1,0))</f>
        <v/>
      </c>
      <c r="AQ204">
        <f>IF(OR($AD204="",$AD204="Z"),"",INDEX($AN$5:$AN$404,$AC204))</f>
        <v/>
      </c>
      <c r="AR204">
        <f>IF($Y204="",0,COUNTIF(บันทึกรายเที่ยว!$V$6:$V$6005,$Y204))</f>
        <v/>
      </c>
      <c r="AS204">
        <f>IF($Y204="",0,ROUND(SUMIF(บันทึกรายเที่ยว!$V$6:$V$6005,$Y204,บันทึกรายเที่ยว!$M$6:$M$6005),2))</f>
        <v/>
      </c>
      <c r="AT204">
        <f>IF($Y204="",0,IFERROR(INDEX(อัตราค่าขนส่ง!$G$5:$G$204,MATCH($Y204,อัตราค่าขนส่ง!$M$5:$M$204,0)),0))</f>
        <v/>
      </c>
      <c r="AU204">
        <f>ROUND($AS204*$BD204,2)</f>
        <v/>
      </c>
      <c r="AV204">
        <f>ROUND($AU204*$BF$2/100,2)</f>
        <v/>
      </c>
      <c r="AW204">
        <f>IF($Y204="","",IFERROR(INDEX(อัตราค่าขนส่ง!$F$5:$F$204,MATCH($Y204,อัตราค่าขนส่ง!$M$5:$M$204,0)),""))</f>
        <v/>
      </c>
      <c r="AX204">
        <f>IF($W204="","",INDEX(บันทึกรายเที่ยว!$D$6:$D$6005,$W204))</f>
        <v/>
      </c>
      <c r="AY204">
        <f>IF($W204="","",INDEX(บันทึกรายเที่ยว!$R$6:$R$6005,$W204))</f>
        <v/>
      </c>
      <c r="AZ204">
        <f>IF(AND($AD204="T",$AQ204=1),N($AZ203)+1,N($AZ203))</f>
        <v/>
      </c>
      <c r="BA204">
        <f>IF($W204="","",INDEX(บันทึกรายเที่ยว!$E$6:$E$6005,$W204))</f>
        <v/>
      </c>
      <c r="BC204">
        <f>IF($Y204="",0,IFERROR(INDEX(อัตราค่าขนส่ง!$K$5:$K$204,MATCH($Y204,อัตราค่าขนส่ง!$M$5:$M$204,0)),0))</f>
        <v/>
      </c>
      <c r="BD204">
        <f>IF($Y204="",0,IFERROR(INDEX(อัตราค่าขนส่ง!$L$5:$L$204,MATCH($Y204,อัตราค่าขนส่ง!$M$5:$M$204,0)),0))</f>
        <v/>
      </c>
    </row>
    <row r="205" ht="21" customHeight="1" s="66">
      <c r="A205" s="69">
        <f>IF($AD205="","",IF($AD205="Z","รวมจ่ายทั้งสิ้น",IF($AD205="H",INDEX($X$5:$X$404,$AC205),IF($AD205="T","รวม",IF($AD205="B",IFERROR(INDEX(อัตราค่าขนส่ง!$S$5:$S$14,MATCH(INDEX($AM$5:$AM$404,$AC205),อัตราค่าขนส่ง!$R$5:$R$14,0)),"รวมกลุ่ม "&amp;INDEX($AM$5:$AM$404,$AC205)),INDEX($AY$5:$AY$404,$AC205))))))</f>
        <v/>
      </c>
      <c r="B205" s="31">
        <f>IF($AD205&lt;&gt;"D","",INDEX($AW$5:$AW$404,$AC205))</f>
        <v/>
      </c>
      <c r="C205" s="68">
        <f>IF($AD205&lt;&gt;"D","",INDEX($AX$5:$AX$404,$AC205))</f>
        <v/>
      </c>
      <c r="D205" s="70">
        <f>IF($AD205&lt;&gt;"D","",INDEX($BA$5:$BA$404,$AC205))</f>
        <v/>
      </c>
      <c r="E205" s="31">
        <f>IF($AD205="Z",SUM($AR$5:$AR$404),IF($AD205="D",INDEX($AR$5:$AR$404,$AC205),IF($AD205="T",SUMIF($X$5:$X$404,$AF205,$AR$5:$AR$404),IF($AD205="B",SUMIF($AN$5:$AN$404,$AQ205,$AR$5:$AR$404),""))))</f>
        <v/>
      </c>
      <c r="F205" s="32">
        <f>IF($AD205="Z",ROUND(SUM($AS$5:$AS$404),2),IF($AD205="D",INDEX($AS$5:$AS$404,$AC205),IF($AD205="T",ROUND(SUMIF($X$5:$X$404,$AF205,$AS$5:$AS$404),2),IF($AD205="B",ROUND(SUMIF($AN$5:$AN$404,$AQ205,$AS$5:$AS$404),2),""))))</f>
        <v/>
      </c>
      <c r="G205" s="32">
        <f>IF($AD205&lt;&gt;"D","",INDEX($AT$5:$AT$404,$AC205))</f>
        <v/>
      </c>
      <c r="H205" s="32">
        <f>IF($AD205&lt;&gt;"D","",INDEX($BC$5:$BC$404,$AC205))</f>
        <v/>
      </c>
      <c r="I205" s="32">
        <f>IF($AD205&lt;&gt;"D","",INDEX($BD$5:$BD$404,$AC205))</f>
        <v/>
      </c>
      <c r="J205" s="46">
        <f>IF($AD205&lt;&gt;"D","",IF(N($B205)=0,"",ROUND($I205/$B205,4)))</f>
        <v/>
      </c>
      <c r="K205" s="32">
        <f>IF($AD205="Z",ROUND(SUM($AU$5:$AU$404),2),IF($AD205="D",INDEX($AU$5:$AU$404,$AC205),IF($AD205="T",ROUND(SUMIF($X$5:$X$404,$AF205,$AU$5:$AU$404),2),IF($AD205="B",ROUND(SUMIF($AN$5:$AN$404,$AQ205,$AU$5:$AU$404),2),""))))</f>
        <v/>
      </c>
      <c r="L205" s="32">
        <f>IF($AD205="Z",ROUND(SUM($AV$5:$AV$404),2),IF($AD205="D",INDEX($AV$5:$AV$404,$AC205),IF($AD205="T",ROUND(SUMIF($X$5:$X$404,$AF205,$AV$5:$AV$404),2),IF($AD205="B",ROUND(SUMIF($AN$5:$AN$404,$AQ205,$AV$5:$AV$404),2),""))))</f>
        <v/>
      </c>
      <c r="M205" s="32">
        <f>IF($AD205="Z",ROUND(SUM($AJ$5:$AJ$704),2),IF($AD205="B",ROUND(SUMIF($AQ$5:$AQ$704,$AQ205,$AJ$5:$AJ$704),2),IF($AD205&lt;&gt;"T","",$AJ205)))</f>
        <v/>
      </c>
      <c r="N205" s="32">
        <f>IF(OR($AD205="D",$AD205="T",$AD205="B",$AD205="Z"),ROUND(N($K205)-N($L205)-N($M205),2),"")</f>
        <v/>
      </c>
      <c r="O205" s="32">
        <f>IF(OR($AD205="D",$AD205="T",$AD205="B",$AD205="Z"),IF(N($E205)=0,"",ROUND($F205/$E205,2)),"")</f>
        <v/>
      </c>
      <c r="Q205">
        <f>IFERROR(MATCH(201,บันทึกรายเที่ยว!$Z$6:$Z$6005,0),"")</f>
        <v/>
      </c>
      <c r="R205">
        <f>IF($Q205="","",INDEX(บันทึกรายเที่ยว!$V$6:$V$6005,$Q205))</f>
        <v/>
      </c>
      <c r="S205">
        <f>IF($Q205="","",INDEX(บันทึกรายเที่ยว!$F$6:$F$6005,$Q205))</f>
        <v/>
      </c>
      <c r="T205">
        <f>IF($Q205="","",MATCH($S205,บันทึกรายเที่ยว!$F$6:$F$6005,0))</f>
        <v/>
      </c>
      <c r="U205">
        <f>IF($Q205="","",$AL205*10000000+$T205*1000+201)</f>
        <v/>
      </c>
      <c r="V205">
        <f>IFERROR(MATCH(SMALL($U$5:$U$404,201),$U$5:$U$404,0),"")</f>
        <v/>
      </c>
      <c r="W205">
        <f>IF($V205="","",INDEX($Q$5:$Q$404,$V205))</f>
        <v/>
      </c>
      <c r="X205">
        <f>IF($V205="","",INDEX($S$5:$S$404,$V205))</f>
        <v/>
      </c>
      <c r="Y205">
        <f>IF($V205="","",INDEX($R$5:$R$404,$V205))</f>
        <v/>
      </c>
      <c r="Z205">
        <f>IF($V205="",0,IF($X205&lt;&gt;$X204,1,0))</f>
        <v/>
      </c>
      <c r="AA205">
        <f>IF($V205="",0,IF($V206="",1,IF($X206&lt;&gt;$X205,1,0)))</f>
        <v/>
      </c>
      <c r="AB205">
        <f>IF($V205="",99999+201,$AB204+1+$Z204+$AA204+$AO204)</f>
        <v/>
      </c>
      <c r="AC205">
        <f>IFERROR(MATCH(201,$AB$5:$AB$404,1),"")</f>
        <v/>
      </c>
      <c r="AD205">
        <f>IF(201=$AI$1+1,"Z",IF($AC205="","",IF(INDEX($V$5:$V$404,$AC205)="","",IF(201&gt;INDEX($AB$5:$AB$404,$AC205)+INDEX($Z$5:$Z$404,$AC205)+INDEX($AA$5:$AA$404,$AC205)+INDEX($AO$5:$AO$404,$AC205),"",IF(201=INDEX($AB$5:$AB$404,$AC205)+INDEX($Z$5:$Z$404,$AC205),"D",IF(AND(INDEX($Z$5:$Z$404,$AC205)=1,201=INDEX($AB$5:$AB$404,$AC205)),"H",IF(AND(INDEX($AO$5:$AO$404,$AC205)=1,201=INDEX($AB$5:$AB$404,$AC205)+INDEX($Z$5:$Z$404,$AC205)+INDEX($AA$5:$AA$404,$AC205)+INDEX($AO$5:$AO$404,$AC205)),"B","T")))))))</f>
        <v/>
      </c>
      <c r="AF205">
        <f>IF(OR($AD205="",$AD205="Z",$AD205="B"),"",INDEX($X$5:$X$404,$AC205))</f>
        <v/>
      </c>
      <c r="AJ205">
        <f>IF($AD205&lt;&gt;"T",0,ROUND(SUMIF(oil!$B$4:$B$63,$AF205,oil!$AE$4:$AE$63),2))</f>
        <v/>
      </c>
      <c r="AK205">
        <f>IF($S205="","",IFERROR(INDEX(อัตราค่าขนส่ง!$P$5:$P$54,MATCH($S205,อัตราค่าขนส่ง!$O$5:$O$54,0)),INDEX(รายการมาตรฐาน!$G$2:$G$3,1)))</f>
        <v/>
      </c>
      <c r="AL205">
        <f>IF($S205="","",IFERROR(MATCH($AK205,รายการมาตรฐาน!$G$2:$G$3,0),1))</f>
        <v/>
      </c>
      <c r="AM205">
        <f>IF($V205="","",INDEX($AK$5:$AK$404,$V205))</f>
        <v/>
      </c>
      <c r="AN205">
        <f>IF($V205="","",INDEX($AL$5:$AL$404,$V205))</f>
        <v/>
      </c>
      <c r="AO205">
        <f>IF(OR($V205="",$AI$2&lt;=1),0,IF($V206="",1,IF($AN206&lt;&gt;$AN205,1,0)))</f>
        <v/>
      </c>
      <c r="AP205">
        <f>IF($V205="",0,IF($AN205&lt;&gt;$AN204,1,0))</f>
        <v/>
      </c>
      <c r="AQ205">
        <f>IF(OR($AD205="",$AD205="Z"),"",INDEX($AN$5:$AN$404,$AC205))</f>
        <v/>
      </c>
      <c r="AR205">
        <f>IF($Y205="",0,COUNTIF(บันทึกรายเที่ยว!$V$6:$V$6005,$Y205))</f>
        <v/>
      </c>
      <c r="AS205">
        <f>IF($Y205="",0,ROUND(SUMIF(บันทึกรายเที่ยว!$V$6:$V$6005,$Y205,บันทึกรายเที่ยว!$M$6:$M$6005),2))</f>
        <v/>
      </c>
      <c r="AT205">
        <f>IF($Y205="",0,IFERROR(INDEX(อัตราค่าขนส่ง!$G$5:$G$204,MATCH($Y205,อัตราค่าขนส่ง!$M$5:$M$204,0)),0))</f>
        <v/>
      </c>
      <c r="AU205">
        <f>ROUND($AS205*$BD205,2)</f>
        <v/>
      </c>
      <c r="AV205">
        <f>ROUND($AU205*$BF$2/100,2)</f>
        <v/>
      </c>
      <c r="AW205">
        <f>IF($Y205="","",IFERROR(INDEX(อัตราค่าขนส่ง!$F$5:$F$204,MATCH($Y205,อัตราค่าขนส่ง!$M$5:$M$204,0)),""))</f>
        <v/>
      </c>
      <c r="AX205">
        <f>IF($W205="","",INDEX(บันทึกรายเที่ยว!$D$6:$D$6005,$W205))</f>
        <v/>
      </c>
      <c r="AY205">
        <f>IF($W205="","",INDEX(บันทึกรายเที่ยว!$R$6:$R$6005,$W205))</f>
        <v/>
      </c>
      <c r="AZ205">
        <f>IF(AND($AD205="T",$AQ205=1),N($AZ204)+1,N($AZ204))</f>
        <v/>
      </c>
      <c r="BA205">
        <f>IF($W205="","",INDEX(บันทึกรายเที่ยว!$E$6:$E$6005,$W205))</f>
        <v/>
      </c>
      <c r="BC205">
        <f>IF($Y205="",0,IFERROR(INDEX(อัตราค่าขนส่ง!$K$5:$K$204,MATCH($Y205,อัตราค่าขนส่ง!$M$5:$M$204,0)),0))</f>
        <v/>
      </c>
      <c r="BD205">
        <f>IF($Y205="",0,IFERROR(INDEX(อัตราค่าขนส่ง!$L$5:$L$204,MATCH($Y205,อัตราค่าขนส่ง!$M$5:$M$204,0)),0))</f>
        <v/>
      </c>
    </row>
    <row r="206" ht="21" customHeight="1" s="66">
      <c r="A206" s="69">
        <f>IF($AD206="","",IF($AD206="Z","รวมจ่ายทั้งสิ้น",IF($AD206="H",INDEX($X$5:$X$404,$AC206),IF($AD206="T","รวม",IF($AD206="B",IFERROR(INDEX(อัตราค่าขนส่ง!$S$5:$S$14,MATCH(INDEX($AM$5:$AM$404,$AC206),อัตราค่าขนส่ง!$R$5:$R$14,0)),"รวมกลุ่ม "&amp;INDEX($AM$5:$AM$404,$AC206)),INDEX($AY$5:$AY$404,$AC206))))))</f>
        <v/>
      </c>
      <c r="B206" s="31">
        <f>IF($AD206&lt;&gt;"D","",INDEX($AW$5:$AW$404,$AC206))</f>
        <v/>
      </c>
      <c r="C206" s="68">
        <f>IF($AD206&lt;&gt;"D","",INDEX($AX$5:$AX$404,$AC206))</f>
        <v/>
      </c>
      <c r="D206" s="70">
        <f>IF($AD206&lt;&gt;"D","",INDEX($BA$5:$BA$404,$AC206))</f>
        <v/>
      </c>
      <c r="E206" s="31">
        <f>IF($AD206="Z",SUM($AR$5:$AR$404),IF($AD206="D",INDEX($AR$5:$AR$404,$AC206),IF($AD206="T",SUMIF($X$5:$X$404,$AF206,$AR$5:$AR$404),IF($AD206="B",SUMIF($AN$5:$AN$404,$AQ206,$AR$5:$AR$404),""))))</f>
        <v/>
      </c>
      <c r="F206" s="32">
        <f>IF($AD206="Z",ROUND(SUM($AS$5:$AS$404),2),IF($AD206="D",INDEX($AS$5:$AS$404,$AC206),IF($AD206="T",ROUND(SUMIF($X$5:$X$404,$AF206,$AS$5:$AS$404),2),IF($AD206="B",ROUND(SUMIF($AN$5:$AN$404,$AQ206,$AS$5:$AS$404),2),""))))</f>
        <v/>
      </c>
      <c r="G206" s="32">
        <f>IF($AD206&lt;&gt;"D","",INDEX($AT$5:$AT$404,$AC206))</f>
        <v/>
      </c>
      <c r="H206" s="32">
        <f>IF($AD206&lt;&gt;"D","",INDEX($BC$5:$BC$404,$AC206))</f>
        <v/>
      </c>
      <c r="I206" s="32">
        <f>IF($AD206&lt;&gt;"D","",INDEX($BD$5:$BD$404,$AC206))</f>
        <v/>
      </c>
      <c r="J206" s="46">
        <f>IF($AD206&lt;&gt;"D","",IF(N($B206)=0,"",ROUND($I206/$B206,4)))</f>
        <v/>
      </c>
      <c r="K206" s="32">
        <f>IF($AD206="Z",ROUND(SUM($AU$5:$AU$404),2),IF($AD206="D",INDEX($AU$5:$AU$404,$AC206),IF($AD206="T",ROUND(SUMIF($X$5:$X$404,$AF206,$AU$5:$AU$404),2),IF($AD206="B",ROUND(SUMIF($AN$5:$AN$404,$AQ206,$AU$5:$AU$404),2),""))))</f>
        <v/>
      </c>
      <c r="L206" s="32">
        <f>IF($AD206="Z",ROUND(SUM($AV$5:$AV$404),2),IF($AD206="D",INDEX($AV$5:$AV$404,$AC206),IF($AD206="T",ROUND(SUMIF($X$5:$X$404,$AF206,$AV$5:$AV$404),2),IF($AD206="B",ROUND(SUMIF($AN$5:$AN$404,$AQ206,$AV$5:$AV$404),2),""))))</f>
        <v/>
      </c>
      <c r="M206" s="32">
        <f>IF($AD206="Z",ROUND(SUM($AJ$5:$AJ$704),2),IF($AD206="B",ROUND(SUMIF($AQ$5:$AQ$704,$AQ206,$AJ$5:$AJ$704),2),IF($AD206&lt;&gt;"T","",$AJ206)))</f>
        <v/>
      </c>
      <c r="N206" s="32">
        <f>IF(OR($AD206="D",$AD206="T",$AD206="B",$AD206="Z"),ROUND(N($K206)-N($L206)-N($M206),2),"")</f>
        <v/>
      </c>
      <c r="O206" s="32">
        <f>IF(OR($AD206="D",$AD206="T",$AD206="B",$AD206="Z"),IF(N($E206)=0,"",ROUND($F206/$E206,2)),"")</f>
        <v/>
      </c>
      <c r="Q206">
        <f>IFERROR(MATCH(202,บันทึกรายเที่ยว!$Z$6:$Z$6005,0),"")</f>
        <v/>
      </c>
      <c r="R206">
        <f>IF($Q206="","",INDEX(บันทึกรายเที่ยว!$V$6:$V$6005,$Q206))</f>
        <v/>
      </c>
      <c r="S206">
        <f>IF($Q206="","",INDEX(บันทึกรายเที่ยว!$F$6:$F$6005,$Q206))</f>
        <v/>
      </c>
      <c r="T206">
        <f>IF($Q206="","",MATCH($S206,บันทึกรายเที่ยว!$F$6:$F$6005,0))</f>
        <v/>
      </c>
      <c r="U206">
        <f>IF($Q206="","",$AL206*10000000+$T206*1000+202)</f>
        <v/>
      </c>
      <c r="V206">
        <f>IFERROR(MATCH(SMALL($U$5:$U$404,202),$U$5:$U$404,0),"")</f>
        <v/>
      </c>
      <c r="W206">
        <f>IF($V206="","",INDEX($Q$5:$Q$404,$V206))</f>
        <v/>
      </c>
      <c r="X206">
        <f>IF($V206="","",INDEX($S$5:$S$404,$V206))</f>
        <v/>
      </c>
      <c r="Y206">
        <f>IF($V206="","",INDEX($R$5:$R$404,$V206))</f>
        <v/>
      </c>
      <c r="Z206">
        <f>IF($V206="",0,IF($X206&lt;&gt;$X205,1,0))</f>
        <v/>
      </c>
      <c r="AA206">
        <f>IF($V206="",0,IF($V207="",1,IF($X207&lt;&gt;$X206,1,0)))</f>
        <v/>
      </c>
      <c r="AB206">
        <f>IF($V206="",99999+202,$AB205+1+$Z205+$AA205+$AO205)</f>
        <v/>
      </c>
      <c r="AC206">
        <f>IFERROR(MATCH(202,$AB$5:$AB$404,1),"")</f>
        <v/>
      </c>
      <c r="AD206">
        <f>IF(202=$AI$1+1,"Z",IF($AC206="","",IF(INDEX($V$5:$V$404,$AC206)="","",IF(202&gt;INDEX($AB$5:$AB$404,$AC206)+INDEX($Z$5:$Z$404,$AC206)+INDEX($AA$5:$AA$404,$AC206)+INDEX($AO$5:$AO$404,$AC206),"",IF(202=INDEX($AB$5:$AB$404,$AC206)+INDEX($Z$5:$Z$404,$AC206),"D",IF(AND(INDEX($Z$5:$Z$404,$AC206)=1,202=INDEX($AB$5:$AB$404,$AC206)),"H",IF(AND(INDEX($AO$5:$AO$404,$AC206)=1,202=INDEX($AB$5:$AB$404,$AC206)+INDEX($Z$5:$Z$404,$AC206)+INDEX($AA$5:$AA$404,$AC206)+INDEX($AO$5:$AO$404,$AC206)),"B","T")))))))</f>
        <v/>
      </c>
      <c r="AF206">
        <f>IF(OR($AD206="",$AD206="Z",$AD206="B"),"",INDEX($X$5:$X$404,$AC206))</f>
        <v/>
      </c>
      <c r="AJ206">
        <f>IF($AD206&lt;&gt;"T",0,ROUND(SUMIF(oil!$B$4:$B$63,$AF206,oil!$AE$4:$AE$63),2))</f>
        <v/>
      </c>
      <c r="AK206">
        <f>IF($S206="","",IFERROR(INDEX(อัตราค่าขนส่ง!$P$5:$P$54,MATCH($S206,อัตราค่าขนส่ง!$O$5:$O$54,0)),INDEX(รายการมาตรฐาน!$G$2:$G$3,1)))</f>
        <v/>
      </c>
      <c r="AL206">
        <f>IF($S206="","",IFERROR(MATCH($AK206,รายการมาตรฐาน!$G$2:$G$3,0),1))</f>
        <v/>
      </c>
      <c r="AM206">
        <f>IF($V206="","",INDEX($AK$5:$AK$404,$V206))</f>
        <v/>
      </c>
      <c r="AN206">
        <f>IF($V206="","",INDEX($AL$5:$AL$404,$V206))</f>
        <v/>
      </c>
      <c r="AO206">
        <f>IF(OR($V206="",$AI$2&lt;=1),0,IF($V207="",1,IF($AN207&lt;&gt;$AN206,1,0)))</f>
        <v/>
      </c>
      <c r="AP206">
        <f>IF($V206="",0,IF($AN206&lt;&gt;$AN205,1,0))</f>
        <v/>
      </c>
      <c r="AQ206">
        <f>IF(OR($AD206="",$AD206="Z"),"",INDEX($AN$5:$AN$404,$AC206))</f>
        <v/>
      </c>
      <c r="AR206">
        <f>IF($Y206="",0,COUNTIF(บันทึกรายเที่ยว!$V$6:$V$6005,$Y206))</f>
        <v/>
      </c>
      <c r="AS206">
        <f>IF($Y206="",0,ROUND(SUMIF(บันทึกรายเที่ยว!$V$6:$V$6005,$Y206,บันทึกรายเที่ยว!$M$6:$M$6005),2))</f>
        <v/>
      </c>
      <c r="AT206">
        <f>IF($Y206="",0,IFERROR(INDEX(อัตราค่าขนส่ง!$G$5:$G$204,MATCH($Y206,อัตราค่าขนส่ง!$M$5:$M$204,0)),0))</f>
        <v/>
      </c>
      <c r="AU206">
        <f>ROUND($AS206*$BD206,2)</f>
        <v/>
      </c>
      <c r="AV206">
        <f>ROUND($AU206*$BF$2/100,2)</f>
        <v/>
      </c>
      <c r="AW206">
        <f>IF($Y206="","",IFERROR(INDEX(อัตราค่าขนส่ง!$F$5:$F$204,MATCH($Y206,อัตราค่าขนส่ง!$M$5:$M$204,0)),""))</f>
        <v/>
      </c>
      <c r="AX206">
        <f>IF($W206="","",INDEX(บันทึกรายเที่ยว!$D$6:$D$6005,$W206))</f>
        <v/>
      </c>
      <c r="AY206">
        <f>IF($W206="","",INDEX(บันทึกรายเที่ยว!$R$6:$R$6005,$W206))</f>
        <v/>
      </c>
      <c r="AZ206">
        <f>IF(AND($AD206="T",$AQ206=1),N($AZ205)+1,N($AZ205))</f>
        <v/>
      </c>
      <c r="BA206">
        <f>IF($W206="","",INDEX(บันทึกรายเที่ยว!$E$6:$E$6005,$W206))</f>
        <v/>
      </c>
      <c r="BC206">
        <f>IF($Y206="",0,IFERROR(INDEX(อัตราค่าขนส่ง!$K$5:$K$204,MATCH($Y206,อัตราค่าขนส่ง!$M$5:$M$204,0)),0))</f>
        <v/>
      </c>
      <c r="BD206">
        <f>IF($Y206="",0,IFERROR(INDEX(อัตราค่าขนส่ง!$L$5:$L$204,MATCH($Y206,อัตราค่าขนส่ง!$M$5:$M$204,0)),0))</f>
        <v/>
      </c>
    </row>
    <row r="207" ht="21" customHeight="1" s="66">
      <c r="A207" s="69">
        <f>IF($AD207="","",IF($AD207="Z","รวมจ่ายทั้งสิ้น",IF($AD207="H",INDEX($X$5:$X$404,$AC207),IF($AD207="T","รวม",IF($AD207="B",IFERROR(INDEX(อัตราค่าขนส่ง!$S$5:$S$14,MATCH(INDEX($AM$5:$AM$404,$AC207),อัตราค่าขนส่ง!$R$5:$R$14,0)),"รวมกลุ่ม "&amp;INDEX($AM$5:$AM$404,$AC207)),INDEX($AY$5:$AY$404,$AC207))))))</f>
        <v/>
      </c>
      <c r="B207" s="31">
        <f>IF($AD207&lt;&gt;"D","",INDEX($AW$5:$AW$404,$AC207))</f>
        <v/>
      </c>
      <c r="C207" s="68">
        <f>IF($AD207&lt;&gt;"D","",INDEX($AX$5:$AX$404,$AC207))</f>
        <v/>
      </c>
      <c r="D207" s="70">
        <f>IF($AD207&lt;&gt;"D","",INDEX($BA$5:$BA$404,$AC207))</f>
        <v/>
      </c>
      <c r="E207" s="31">
        <f>IF($AD207="Z",SUM($AR$5:$AR$404),IF($AD207="D",INDEX($AR$5:$AR$404,$AC207),IF($AD207="T",SUMIF($X$5:$X$404,$AF207,$AR$5:$AR$404),IF($AD207="B",SUMIF($AN$5:$AN$404,$AQ207,$AR$5:$AR$404),""))))</f>
        <v/>
      </c>
      <c r="F207" s="32">
        <f>IF($AD207="Z",ROUND(SUM($AS$5:$AS$404),2),IF($AD207="D",INDEX($AS$5:$AS$404,$AC207),IF($AD207="T",ROUND(SUMIF($X$5:$X$404,$AF207,$AS$5:$AS$404),2),IF($AD207="B",ROUND(SUMIF($AN$5:$AN$404,$AQ207,$AS$5:$AS$404),2),""))))</f>
        <v/>
      </c>
      <c r="G207" s="32">
        <f>IF($AD207&lt;&gt;"D","",INDEX($AT$5:$AT$404,$AC207))</f>
        <v/>
      </c>
      <c r="H207" s="32">
        <f>IF($AD207&lt;&gt;"D","",INDEX($BC$5:$BC$404,$AC207))</f>
        <v/>
      </c>
      <c r="I207" s="32">
        <f>IF($AD207&lt;&gt;"D","",INDEX($BD$5:$BD$404,$AC207))</f>
        <v/>
      </c>
      <c r="J207" s="46">
        <f>IF($AD207&lt;&gt;"D","",IF(N($B207)=0,"",ROUND($I207/$B207,4)))</f>
        <v/>
      </c>
      <c r="K207" s="32">
        <f>IF($AD207="Z",ROUND(SUM($AU$5:$AU$404),2),IF($AD207="D",INDEX($AU$5:$AU$404,$AC207),IF($AD207="T",ROUND(SUMIF($X$5:$X$404,$AF207,$AU$5:$AU$404),2),IF($AD207="B",ROUND(SUMIF($AN$5:$AN$404,$AQ207,$AU$5:$AU$404),2),""))))</f>
        <v/>
      </c>
      <c r="L207" s="32">
        <f>IF($AD207="Z",ROUND(SUM($AV$5:$AV$404),2),IF($AD207="D",INDEX($AV$5:$AV$404,$AC207),IF($AD207="T",ROUND(SUMIF($X$5:$X$404,$AF207,$AV$5:$AV$404),2),IF($AD207="B",ROUND(SUMIF($AN$5:$AN$404,$AQ207,$AV$5:$AV$404),2),""))))</f>
        <v/>
      </c>
      <c r="M207" s="32">
        <f>IF($AD207="Z",ROUND(SUM($AJ$5:$AJ$704),2),IF($AD207="B",ROUND(SUMIF($AQ$5:$AQ$704,$AQ207,$AJ$5:$AJ$704),2),IF($AD207&lt;&gt;"T","",$AJ207)))</f>
        <v/>
      </c>
      <c r="N207" s="32">
        <f>IF(OR($AD207="D",$AD207="T",$AD207="B",$AD207="Z"),ROUND(N($K207)-N($L207)-N($M207),2),"")</f>
        <v/>
      </c>
      <c r="O207" s="32">
        <f>IF(OR($AD207="D",$AD207="T",$AD207="B",$AD207="Z"),IF(N($E207)=0,"",ROUND($F207/$E207,2)),"")</f>
        <v/>
      </c>
      <c r="Q207">
        <f>IFERROR(MATCH(203,บันทึกรายเที่ยว!$Z$6:$Z$6005,0),"")</f>
        <v/>
      </c>
      <c r="R207">
        <f>IF($Q207="","",INDEX(บันทึกรายเที่ยว!$V$6:$V$6005,$Q207))</f>
        <v/>
      </c>
      <c r="S207">
        <f>IF($Q207="","",INDEX(บันทึกรายเที่ยว!$F$6:$F$6005,$Q207))</f>
        <v/>
      </c>
      <c r="T207">
        <f>IF($Q207="","",MATCH($S207,บันทึกรายเที่ยว!$F$6:$F$6005,0))</f>
        <v/>
      </c>
      <c r="U207">
        <f>IF($Q207="","",$AL207*10000000+$T207*1000+203)</f>
        <v/>
      </c>
      <c r="V207">
        <f>IFERROR(MATCH(SMALL($U$5:$U$404,203),$U$5:$U$404,0),"")</f>
        <v/>
      </c>
      <c r="W207">
        <f>IF($V207="","",INDEX($Q$5:$Q$404,$V207))</f>
        <v/>
      </c>
      <c r="X207">
        <f>IF($V207="","",INDEX($S$5:$S$404,$V207))</f>
        <v/>
      </c>
      <c r="Y207">
        <f>IF($V207="","",INDEX($R$5:$R$404,$V207))</f>
        <v/>
      </c>
      <c r="Z207">
        <f>IF($V207="",0,IF($X207&lt;&gt;$X206,1,0))</f>
        <v/>
      </c>
      <c r="AA207">
        <f>IF($V207="",0,IF($V208="",1,IF($X208&lt;&gt;$X207,1,0)))</f>
        <v/>
      </c>
      <c r="AB207">
        <f>IF($V207="",99999+203,$AB206+1+$Z206+$AA206+$AO206)</f>
        <v/>
      </c>
      <c r="AC207">
        <f>IFERROR(MATCH(203,$AB$5:$AB$404,1),"")</f>
        <v/>
      </c>
      <c r="AD207">
        <f>IF(203=$AI$1+1,"Z",IF($AC207="","",IF(INDEX($V$5:$V$404,$AC207)="","",IF(203&gt;INDEX($AB$5:$AB$404,$AC207)+INDEX($Z$5:$Z$404,$AC207)+INDEX($AA$5:$AA$404,$AC207)+INDEX($AO$5:$AO$404,$AC207),"",IF(203=INDEX($AB$5:$AB$404,$AC207)+INDEX($Z$5:$Z$404,$AC207),"D",IF(AND(INDEX($Z$5:$Z$404,$AC207)=1,203=INDEX($AB$5:$AB$404,$AC207)),"H",IF(AND(INDEX($AO$5:$AO$404,$AC207)=1,203=INDEX($AB$5:$AB$404,$AC207)+INDEX($Z$5:$Z$404,$AC207)+INDEX($AA$5:$AA$404,$AC207)+INDEX($AO$5:$AO$404,$AC207)),"B","T")))))))</f>
        <v/>
      </c>
      <c r="AF207">
        <f>IF(OR($AD207="",$AD207="Z",$AD207="B"),"",INDEX($X$5:$X$404,$AC207))</f>
        <v/>
      </c>
      <c r="AJ207">
        <f>IF($AD207&lt;&gt;"T",0,ROUND(SUMIF(oil!$B$4:$B$63,$AF207,oil!$AE$4:$AE$63),2))</f>
        <v/>
      </c>
      <c r="AK207">
        <f>IF($S207="","",IFERROR(INDEX(อัตราค่าขนส่ง!$P$5:$P$54,MATCH($S207,อัตราค่าขนส่ง!$O$5:$O$54,0)),INDEX(รายการมาตรฐาน!$G$2:$G$3,1)))</f>
        <v/>
      </c>
      <c r="AL207">
        <f>IF($S207="","",IFERROR(MATCH($AK207,รายการมาตรฐาน!$G$2:$G$3,0),1))</f>
        <v/>
      </c>
      <c r="AM207">
        <f>IF($V207="","",INDEX($AK$5:$AK$404,$V207))</f>
        <v/>
      </c>
      <c r="AN207">
        <f>IF($V207="","",INDEX($AL$5:$AL$404,$V207))</f>
        <v/>
      </c>
      <c r="AO207">
        <f>IF(OR($V207="",$AI$2&lt;=1),0,IF($V208="",1,IF($AN208&lt;&gt;$AN207,1,0)))</f>
        <v/>
      </c>
      <c r="AP207">
        <f>IF($V207="",0,IF($AN207&lt;&gt;$AN206,1,0))</f>
        <v/>
      </c>
      <c r="AQ207">
        <f>IF(OR($AD207="",$AD207="Z"),"",INDEX($AN$5:$AN$404,$AC207))</f>
        <v/>
      </c>
      <c r="AR207">
        <f>IF($Y207="",0,COUNTIF(บันทึกรายเที่ยว!$V$6:$V$6005,$Y207))</f>
        <v/>
      </c>
      <c r="AS207">
        <f>IF($Y207="",0,ROUND(SUMIF(บันทึกรายเที่ยว!$V$6:$V$6005,$Y207,บันทึกรายเที่ยว!$M$6:$M$6005),2))</f>
        <v/>
      </c>
      <c r="AT207">
        <f>IF($Y207="",0,IFERROR(INDEX(อัตราค่าขนส่ง!$G$5:$G$204,MATCH($Y207,อัตราค่าขนส่ง!$M$5:$M$204,0)),0))</f>
        <v/>
      </c>
      <c r="AU207">
        <f>ROUND($AS207*$BD207,2)</f>
        <v/>
      </c>
      <c r="AV207">
        <f>ROUND($AU207*$BF$2/100,2)</f>
        <v/>
      </c>
      <c r="AW207">
        <f>IF($Y207="","",IFERROR(INDEX(อัตราค่าขนส่ง!$F$5:$F$204,MATCH($Y207,อัตราค่าขนส่ง!$M$5:$M$204,0)),""))</f>
        <v/>
      </c>
      <c r="AX207">
        <f>IF($W207="","",INDEX(บันทึกรายเที่ยว!$D$6:$D$6005,$W207))</f>
        <v/>
      </c>
      <c r="AY207">
        <f>IF($W207="","",INDEX(บันทึกรายเที่ยว!$R$6:$R$6005,$W207))</f>
        <v/>
      </c>
      <c r="AZ207">
        <f>IF(AND($AD207="T",$AQ207=1),N($AZ206)+1,N($AZ206))</f>
        <v/>
      </c>
      <c r="BA207">
        <f>IF($W207="","",INDEX(บันทึกรายเที่ยว!$E$6:$E$6005,$W207))</f>
        <v/>
      </c>
      <c r="BC207">
        <f>IF($Y207="",0,IFERROR(INDEX(อัตราค่าขนส่ง!$K$5:$K$204,MATCH($Y207,อัตราค่าขนส่ง!$M$5:$M$204,0)),0))</f>
        <v/>
      </c>
      <c r="BD207">
        <f>IF($Y207="",0,IFERROR(INDEX(อัตราค่าขนส่ง!$L$5:$L$204,MATCH($Y207,อัตราค่าขนส่ง!$M$5:$M$204,0)),0))</f>
        <v/>
      </c>
    </row>
    <row r="208" ht="21" customHeight="1" s="66">
      <c r="A208" s="69">
        <f>IF($AD208="","",IF($AD208="Z","รวมจ่ายทั้งสิ้น",IF($AD208="H",INDEX($X$5:$X$404,$AC208),IF($AD208="T","รวม",IF($AD208="B",IFERROR(INDEX(อัตราค่าขนส่ง!$S$5:$S$14,MATCH(INDEX($AM$5:$AM$404,$AC208),อัตราค่าขนส่ง!$R$5:$R$14,0)),"รวมกลุ่ม "&amp;INDEX($AM$5:$AM$404,$AC208)),INDEX($AY$5:$AY$404,$AC208))))))</f>
        <v/>
      </c>
      <c r="B208" s="31">
        <f>IF($AD208&lt;&gt;"D","",INDEX($AW$5:$AW$404,$AC208))</f>
        <v/>
      </c>
      <c r="C208" s="68">
        <f>IF($AD208&lt;&gt;"D","",INDEX($AX$5:$AX$404,$AC208))</f>
        <v/>
      </c>
      <c r="D208" s="70">
        <f>IF($AD208&lt;&gt;"D","",INDEX($BA$5:$BA$404,$AC208))</f>
        <v/>
      </c>
      <c r="E208" s="31">
        <f>IF($AD208="Z",SUM($AR$5:$AR$404),IF($AD208="D",INDEX($AR$5:$AR$404,$AC208),IF($AD208="T",SUMIF($X$5:$X$404,$AF208,$AR$5:$AR$404),IF($AD208="B",SUMIF($AN$5:$AN$404,$AQ208,$AR$5:$AR$404),""))))</f>
        <v/>
      </c>
      <c r="F208" s="32">
        <f>IF($AD208="Z",ROUND(SUM($AS$5:$AS$404),2),IF($AD208="D",INDEX($AS$5:$AS$404,$AC208),IF($AD208="T",ROUND(SUMIF($X$5:$X$404,$AF208,$AS$5:$AS$404),2),IF($AD208="B",ROUND(SUMIF($AN$5:$AN$404,$AQ208,$AS$5:$AS$404),2),""))))</f>
        <v/>
      </c>
      <c r="G208" s="32">
        <f>IF($AD208&lt;&gt;"D","",INDEX($AT$5:$AT$404,$AC208))</f>
        <v/>
      </c>
      <c r="H208" s="32">
        <f>IF($AD208&lt;&gt;"D","",INDEX($BC$5:$BC$404,$AC208))</f>
        <v/>
      </c>
      <c r="I208" s="32">
        <f>IF($AD208&lt;&gt;"D","",INDEX($BD$5:$BD$404,$AC208))</f>
        <v/>
      </c>
      <c r="J208" s="46">
        <f>IF($AD208&lt;&gt;"D","",IF(N($B208)=0,"",ROUND($I208/$B208,4)))</f>
        <v/>
      </c>
      <c r="K208" s="32">
        <f>IF($AD208="Z",ROUND(SUM($AU$5:$AU$404),2),IF($AD208="D",INDEX($AU$5:$AU$404,$AC208),IF($AD208="T",ROUND(SUMIF($X$5:$X$404,$AF208,$AU$5:$AU$404),2),IF($AD208="B",ROUND(SUMIF($AN$5:$AN$404,$AQ208,$AU$5:$AU$404),2),""))))</f>
        <v/>
      </c>
      <c r="L208" s="32">
        <f>IF($AD208="Z",ROUND(SUM($AV$5:$AV$404),2),IF($AD208="D",INDEX($AV$5:$AV$404,$AC208),IF($AD208="T",ROUND(SUMIF($X$5:$X$404,$AF208,$AV$5:$AV$404),2),IF($AD208="B",ROUND(SUMIF($AN$5:$AN$404,$AQ208,$AV$5:$AV$404),2),""))))</f>
        <v/>
      </c>
      <c r="M208" s="32">
        <f>IF($AD208="Z",ROUND(SUM($AJ$5:$AJ$704),2),IF($AD208="B",ROUND(SUMIF($AQ$5:$AQ$704,$AQ208,$AJ$5:$AJ$704),2),IF($AD208&lt;&gt;"T","",$AJ208)))</f>
        <v/>
      </c>
      <c r="N208" s="32">
        <f>IF(OR($AD208="D",$AD208="T",$AD208="B",$AD208="Z"),ROUND(N($K208)-N($L208)-N($M208),2),"")</f>
        <v/>
      </c>
      <c r="O208" s="32">
        <f>IF(OR($AD208="D",$AD208="T",$AD208="B",$AD208="Z"),IF(N($E208)=0,"",ROUND($F208/$E208,2)),"")</f>
        <v/>
      </c>
      <c r="Q208">
        <f>IFERROR(MATCH(204,บันทึกรายเที่ยว!$Z$6:$Z$6005,0),"")</f>
        <v/>
      </c>
      <c r="R208">
        <f>IF($Q208="","",INDEX(บันทึกรายเที่ยว!$V$6:$V$6005,$Q208))</f>
        <v/>
      </c>
      <c r="S208">
        <f>IF($Q208="","",INDEX(บันทึกรายเที่ยว!$F$6:$F$6005,$Q208))</f>
        <v/>
      </c>
      <c r="T208">
        <f>IF($Q208="","",MATCH($S208,บันทึกรายเที่ยว!$F$6:$F$6005,0))</f>
        <v/>
      </c>
      <c r="U208">
        <f>IF($Q208="","",$AL208*10000000+$T208*1000+204)</f>
        <v/>
      </c>
      <c r="V208">
        <f>IFERROR(MATCH(SMALL($U$5:$U$404,204),$U$5:$U$404,0),"")</f>
        <v/>
      </c>
      <c r="W208">
        <f>IF($V208="","",INDEX($Q$5:$Q$404,$V208))</f>
        <v/>
      </c>
      <c r="X208">
        <f>IF($V208="","",INDEX($S$5:$S$404,$V208))</f>
        <v/>
      </c>
      <c r="Y208">
        <f>IF($V208="","",INDEX($R$5:$R$404,$V208))</f>
        <v/>
      </c>
      <c r="Z208">
        <f>IF($V208="",0,IF($X208&lt;&gt;$X207,1,0))</f>
        <v/>
      </c>
      <c r="AA208">
        <f>IF($V208="",0,IF($V209="",1,IF($X209&lt;&gt;$X208,1,0)))</f>
        <v/>
      </c>
      <c r="AB208">
        <f>IF($V208="",99999+204,$AB207+1+$Z207+$AA207+$AO207)</f>
        <v/>
      </c>
      <c r="AC208">
        <f>IFERROR(MATCH(204,$AB$5:$AB$404,1),"")</f>
        <v/>
      </c>
      <c r="AD208">
        <f>IF(204=$AI$1+1,"Z",IF($AC208="","",IF(INDEX($V$5:$V$404,$AC208)="","",IF(204&gt;INDEX($AB$5:$AB$404,$AC208)+INDEX($Z$5:$Z$404,$AC208)+INDEX($AA$5:$AA$404,$AC208)+INDEX($AO$5:$AO$404,$AC208),"",IF(204=INDEX($AB$5:$AB$404,$AC208)+INDEX($Z$5:$Z$404,$AC208),"D",IF(AND(INDEX($Z$5:$Z$404,$AC208)=1,204=INDEX($AB$5:$AB$404,$AC208)),"H",IF(AND(INDEX($AO$5:$AO$404,$AC208)=1,204=INDEX($AB$5:$AB$404,$AC208)+INDEX($Z$5:$Z$404,$AC208)+INDEX($AA$5:$AA$404,$AC208)+INDEX($AO$5:$AO$404,$AC208)),"B","T")))))))</f>
        <v/>
      </c>
      <c r="AF208">
        <f>IF(OR($AD208="",$AD208="Z",$AD208="B"),"",INDEX($X$5:$X$404,$AC208))</f>
        <v/>
      </c>
      <c r="AJ208">
        <f>IF($AD208&lt;&gt;"T",0,ROUND(SUMIF(oil!$B$4:$B$63,$AF208,oil!$AE$4:$AE$63),2))</f>
        <v/>
      </c>
      <c r="AK208">
        <f>IF($S208="","",IFERROR(INDEX(อัตราค่าขนส่ง!$P$5:$P$54,MATCH($S208,อัตราค่าขนส่ง!$O$5:$O$54,0)),INDEX(รายการมาตรฐาน!$G$2:$G$3,1)))</f>
        <v/>
      </c>
      <c r="AL208">
        <f>IF($S208="","",IFERROR(MATCH($AK208,รายการมาตรฐาน!$G$2:$G$3,0),1))</f>
        <v/>
      </c>
      <c r="AM208">
        <f>IF($V208="","",INDEX($AK$5:$AK$404,$V208))</f>
        <v/>
      </c>
      <c r="AN208">
        <f>IF($V208="","",INDEX($AL$5:$AL$404,$V208))</f>
        <v/>
      </c>
      <c r="AO208">
        <f>IF(OR($V208="",$AI$2&lt;=1),0,IF($V209="",1,IF($AN209&lt;&gt;$AN208,1,0)))</f>
        <v/>
      </c>
      <c r="AP208">
        <f>IF($V208="",0,IF($AN208&lt;&gt;$AN207,1,0))</f>
        <v/>
      </c>
      <c r="AQ208">
        <f>IF(OR($AD208="",$AD208="Z"),"",INDEX($AN$5:$AN$404,$AC208))</f>
        <v/>
      </c>
      <c r="AR208">
        <f>IF($Y208="",0,COUNTIF(บันทึกรายเที่ยว!$V$6:$V$6005,$Y208))</f>
        <v/>
      </c>
      <c r="AS208">
        <f>IF($Y208="",0,ROUND(SUMIF(บันทึกรายเที่ยว!$V$6:$V$6005,$Y208,บันทึกรายเที่ยว!$M$6:$M$6005),2))</f>
        <v/>
      </c>
      <c r="AT208">
        <f>IF($Y208="",0,IFERROR(INDEX(อัตราค่าขนส่ง!$G$5:$G$204,MATCH($Y208,อัตราค่าขนส่ง!$M$5:$M$204,0)),0))</f>
        <v/>
      </c>
      <c r="AU208">
        <f>ROUND($AS208*$BD208,2)</f>
        <v/>
      </c>
      <c r="AV208">
        <f>ROUND($AU208*$BF$2/100,2)</f>
        <v/>
      </c>
      <c r="AW208">
        <f>IF($Y208="","",IFERROR(INDEX(อัตราค่าขนส่ง!$F$5:$F$204,MATCH($Y208,อัตราค่าขนส่ง!$M$5:$M$204,0)),""))</f>
        <v/>
      </c>
      <c r="AX208">
        <f>IF($W208="","",INDEX(บันทึกรายเที่ยว!$D$6:$D$6005,$W208))</f>
        <v/>
      </c>
      <c r="AY208">
        <f>IF($W208="","",INDEX(บันทึกรายเที่ยว!$R$6:$R$6005,$W208))</f>
        <v/>
      </c>
      <c r="AZ208">
        <f>IF(AND($AD208="T",$AQ208=1),N($AZ207)+1,N($AZ207))</f>
        <v/>
      </c>
      <c r="BA208">
        <f>IF($W208="","",INDEX(บันทึกรายเที่ยว!$E$6:$E$6005,$W208))</f>
        <v/>
      </c>
      <c r="BC208">
        <f>IF($Y208="",0,IFERROR(INDEX(อัตราค่าขนส่ง!$K$5:$K$204,MATCH($Y208,อัตราค่าขนส่ง!$M$5:$M$204,0)),0))</f>
        <v/>
      </c>
      <c r="BD208">
        <f>IF($Y208="",0,IFERROR(INDEX(อัตราค่าขนส่ง!$L$5:$L$204,MATCH($Y208,อัตราค่าขนส่ง!$M$5:$M$204,0)),0))</f>
        <v/>
      </c>
    </row>
    <row r="209" ht="21" customHeight="1" s="66">
      <c r="A209" s="69">
        <f>IF($AD209="","",IF($AD209="Z","รวมจ่ายทั้งสิ้น",IF($AD209="H",INDEX($X$5:$X$404,$AC209),IF($AD209="T","รวม",IF($AD209="B",IFERROR(INDEX(อัตราค่าขนส่ง!$S$5:$S$14,MATCH(INDEX($AM$5:$AM$404,$AC209),อัตราค่าขนส่ง!$R$5:$R$14,0)),"รวมกลุ่ม "&amp;INDEX($AM$5:$AM$404,$AC209)),INDEX($AY$5:$AY$404,$AC209))))))</f>
        <v/>
      </c>
      <c r="B209" s="31">
        <f>IF($AD209&lt;&gt;"D","",INDEX($AW$5:$AW$404,$AC209))</f>
        <v/>
      </c>
      <c r="C209" s="68">
        <f>IF($AD209&lt;&gt;"D","",INDEX($AX$5:$AX$404,$AC209))</f>
        <v/>
      </c>
      <c r="D209" s="70">
        <f>IF($AD209&lt;&gt;"D","",INDEX($BA$5:$BA$404,$AC209))</f>
        <v/>
      </c>
      <c r="E209" s="31">
        <f>IF($AD209="Z",SUM($AR$5:$AR$404),IF($AD209="D",INDEX($AR$5:$AR$404,$AC209),IF($AD209="T",SUMIF($X$5:$X$404,$AF209,$AR$5:$AR$404),IF($AD209="B",SUMIF($AN$5:$AN$404,$AQ209,$AR$5:$AR$404),""))))</f>
        <v/>
      </c>
      <c r="F209" s="32">
        <f>IF($AD209="Z",ROUND(SUM($AS$5:$AS$404),2),IF($AD209="D",INDEX($AS$5:$AS$404,$AC209),IF($AD209="T",ROUND(SUMIF($X$5:$X$404,$AF209,$AS$5:$AS$404),2),IF($AD209="B",ROUND(SUMIF($AN$5:$AN$404,$AQ209,$AS$5:$AS$404),2),""))))</f>
        <v/>
      </c>
      <c r="G209" s="32">
        <f>IF($AD209&lt;&gt;"D","",INDEX($AT$5:$AT$404,$AC209))</f>
        <v/>
      </c>
      <c r="H209" s="32">
        <f>IF($AD209&lt;&gt;"D","",INDEX($BC$5:$BC$404,$AC209))</f>
        <v/>
      </c>
      <c r="I209" s="32">
        <f>IF($AD209&lt;&gt;"D","",INDEX($BD$5:$BD$404,$AC209))</f>
        <v/>
      </c>
      <c r="J209" s="46">
        <f>IF($AD209&lt;&gt;"D","",IF(N($B209)=0,"",ROUND($I209/$B209,4)))</f>
        <v/>
      </c>
      <c r="K209" s="32">
        <f>IF($AD209="Z",ROUND(SUM($AU$5:$AU$404),2),IF($AD209="D",INDEX($AU$5:$AU$404,$AC209),IF($AD209="T",ROUND(SUMIF($X$5:$X$404,$AF209,$AU$5:$AU$404),2),IF($AD209="B",ROUND(SUMIF($AN$5:$AN$404,$AQ209,$AU$5:$AU$404),2),""))))</f>
        <v/>
      </c>
      <c r="L209" s="32">
        <f>IF($AD209="Z",ROUND(SUM($AV$5:$AV$404),2),IF($AD209="D",INDEX($AV$5:$AV$404,$AC209),IF($AD209="T",ROUND(SUMIF($X$5:$X$404,$AF209,$AV$5:$AV$404),2),IF($AD209="B",ROUND(SUMIF($AN$5:$AN$404,$AQ209,$AV$5:$AV$404),2),""))))</f>
        <v/>
      </c>
      <c r="M209" s="32">
        <f>IF($AD209="Z",ROUND(SUM($AJ$5:$AJ$704),2),IF($AD209="B",ROUND(SUMIF($AQ$5:$AQ$704,$AQ209,$AJ$5:$AJ$704),2),IF($AD209&lt;&gt;"T","",$AJ209)))</f>
        <v/>
      </c>
      <c r="N209" s="32">
        <f>IF(OR($AD209="D",$AD209="T",$AD209="B",$AD209="Z"),ROUND(N($K209)-N($L209)-N($M209),2),"")</f>
        <v/>
      </c>
      <c r="O209" s="32">
        <f>IF(OR($AD209="D",$AD209="T",$AD209="B",$AD209="Z"),IF(N($E209)=0,"",ROUND($F209/$E209,2)),"")</f>
        <v/>
      </c>
      <c r="Q209">
        <f>IFERROR(MATCH(205,บันทึกรายเที่ยว!$Z$6:$Z$6005,0),"")</f>
        <v/>
      </c>
      <c r="R209">
        <f>IF($Q209="","",INDEX(บันทึกรายเที่ยว!$V$6:$V$6005,$Q209))</f>
        <v/>
      </c>
      <c r="S209">
        <f>IF($Q209="","",INDEX(บันทึกรายเที่ยว!$F$6:$F$6005,$Q209))</f>
        <v/>
      </c>
      <c r="T209">
        <f>IF($Q209="","",MATCH($S209,บันทึกรายเที่ยว!$F$6:$F$6005,0))</f>
        <v/>
      </c>
      <c r="U209">
        <f>IF($Q209="","",$AL209*10000000+$T209*1000+205)</f>
        <v/>
      </c>
      <c r="V209">
        <f>IFERROR(MATCH(SMALL($U$5:$U$404,205),$U$5:$U$404,0),"")</f>
        <v/>
      </c>
      <c r="W209">
        <f>IF($V209="","",INDEX($Q$5:$Q$404,$V209))</f>
        <v/>
      </c>
      <c r="X209">
        <f>IF($V209="","",INDEX($S$5:$S$404,$V209))</f>
        <v/>
      </c>
      <c r="Y209">
        <f>IF($V209="","",INDEX($R$5:$R$404,$V209))</f>
        <v/>
      </c>
      <c r="Z209">
        <f>IF($V209="",0,IF($X209&lt;&gt;$X208,1,0))</f>
        <v/>
      </c>
      <c r="AA209">
        <f>IF($V209="",0,IF($V210="",1,IF($X210&lt;&gt;$X209,1,0)))</f>
        <v/>
      </c>
      <c r="AB209">
        <f>IF($V209="",99999+205,$AB208+1+$Z208+$AA208+$AO208)</f>
        <v/>
      </c>
      <c r="AC209">
        <f>IFERROR(MATCH(205,$AB$5:$AB$404,1),"")</f>
        <v/>
      </c>
      <c r="AD209">
        <f>IF(205=$AI$1+1,"Z",IF($AC209="","",IF(INDEX($V$5:$V$404,$AC209)="","",IF(205&gt;INDEX($AB$5:$AB$404,$AC209)+INDEX($Z$5:$Z$404,$AC209)+INDEX($AA$5:$AA$404,$AC209)+INDEX($AO$5:$AO$404,$AC209),"",IF(205=INDEX($AB$5:$AB$404,$AC209)+INDEX($Z$5:$Z$404,$AC209),"D",IF(AND(INDEX($Z$5:$Z$404,$AC209)=1,205=INDEX($AB$5:$AB$404,$AC209)),"H",IF(AND(INDEX($AO$5:$AO$404,$AC209)=1,205=INDEX($AB$5:$AB$404,$AC209)+INDEX($Z$5:$Z$404,$AC209)+INDEX($AA$5:$AA$404,$AC209)+INDEX($AO$5:$AO$404,$AC209)),"B","T")))))))</f>
        <v/>
      </c>
      <c r="AF209">
        <f>IF(OR($AD209="",$AD209="Z",$AD209="B"),"",INDEX($X$5:$X$404,$AC209))</f>
        <v/>
      </c>
      <c r="AJ209">
        <f>IF($AD209&lt;&gt;"T",0,ROUND(SUMIF(oil!$B$4:$B$63,$AF209,oil!$AE$4:$AE$63),2))</f>
        <v/>
      </c>
      <c r="AK209">
        <f>IF($S209="","",IFERROR(INDEX(อัตราค่าขนส่ง!$P$5:$P$54,MATCH($S209,อัตราค่าขนส่ง!$O$5:$O$54,0)),INDEX(รายการมาตรฐาน!$G$2:$G$3,1)))</f>
        <v/>
      </c>
      <c r="AL209">
        <f>IF($S209="","",IFERROR(MATCH($AK209,รายการมาตรฐาน!$G$2:$G$3,0),1))</f>
        <v/>
      </c>
      <c r="AM209">
        <f>IF($V209="","",INDEX($AK$5:$AK$404,$V209))</f>
        <v/>
      </c>
      <c r="AN209">
        <f>IF($V209="","",INDEX($AL$5:$AL$404,$V209))</f>
        <v/>
      </c>
      <c r="AO209">
        <f>IF(OR($V209="",$AI$2&lt;=1),0,IF($V210="",1,IF($AN210&lt;&gt;$AN209,1,0)))</f>
        <v/>
      </c>
      <c r="AP209">
        <f>IF($V209="",0,IF($AN209&lt;&gt;$AN208,1,0))</f>
        <v/>
      </c>
      <c r="AQ209">
        <f>IF(OR($AD209="",$AD209="Z"),"",INDEX($AN$5:$AN$404,$AC209))</f>
        <v/>
      </c>
      <c r="AR209">
        <f>IF($Y209="",0,COUNTIF(บันทึกรายเที่ยว!$V$6:$V$6005,$Y209))</f>
        <v/>
      </c>
      <c r="AS209">
        <f>IF($Y209="",0,ROUND(SUMIF(บันทึกรายเที่ยว!$V$6:$V$6005,$Y209,บันทึกรายเที่ยว!$M$6:$M$6005),2))</f>
        <v/>
      </c>
      <c r="AT209">
        <f>IF($Y209="",0,IFERROR(INDEX(อัตราค่าขนส่ง!$G$5:$G$204,MATCH($Y209,อัตราค่าขนส่ง!$M$5:$M$204,0)),0))</f>
        <v/>
      </c>
      <c r="AU209">
        <f>ROUND($AS209*$BD209,2)</f>
        <v/>
      </c>
      <c r="AV209">
        <f>ROUND($AU209*$BF$2/100,2)</f>
        <v/>
      </c>
      <c r="AW209">
        <f>IF($Y209="","",IFERROR(INDEX(อัตราค่าขนส่ง!$F$5:$F$204,MATCH($Y209,อัตราค่าขนส่ง!$M$5:$M$204,0)),""))</f>
        <v/>
      </c>
      <c r="AX209">
        <f>IF($W209="","",INDEX(บันทึกรายเที่ยว!$D$6:$D$6005,$W209))</f>
        <v/>
      </c>
      <c r="AY209">
        <f>IF($W209="","",INDEX(บันทึกรายเที่ยว!$R$6:$R$6005,$W209))</f>
        <v/>
      </c>
      <c r="AZ209">
        <f>IF(AND($AD209="T",$AQ209=1),N($AZ208)+1,N($AZ208))</f>
        <v/>
      </c>
      <c r="BA209">
        <f>IF($W209="","",INDEX(บันทึกรายเที่ยว!$E$6:$E$6005,$W209))</f>
        <v/>
      </c>
      <c r="BC209">
        <f>IF($Y209="",0,IFERROR(INDEX(อัตราค่าขนส่ง!$K$5:$K$204,MATCH($Y209,อัตราค่าขนส่ง!$M$5:$M$204,0)),0))</f>
        <v/>
      </c>
      <c r="BD209">
        <f>IF($Y209="",0,IFERROR(INDEX(อัตราค่าขนส่ง!$L$5:$L$204,MATCH($Y209,อัตราค่าขนส่ง!$M$5:$M$204,0)),0))</f>
        <v/>
      </c>
    </row>
    <row r="210" ht="21" customHeight="1" s="66">
      <c r="A210" s="69">
        <f>IF($AD210="","",IF($AD210="Z","รวมจ่ายทั้งสิ้น",IF($AD210="H",INDEX($X$5:$X$404,$AC210),IF($AD210="T","รวม",IF($AD210="B",IFERROR(INDEX(อัตราค่าขนส่ง!$S$5:$S$14,MATCH(INDEX($AM$5:$AM$404,$AC210),อัตราค่าขนส่ง!$R$5:$R$14,0)),"รวมกลุ่ม "&amp;INDEX($AM$5:$AM$404,$AC210)),INDEX($AY$5:$AY$404,$AC210))))))</f>
        <v/>
      </c>
      <c r="B210" s="31">
        <f>IF($AD210&lt;&gt;"D","",INDEX($AW$5:$AW$404,$AC210))</f>
        <v/>
      </c>
      <c r="C210" s="68">
        <f>IF($AD210&lt;&gt;"D","",INDEX($AX$5:$AX$404,$AC210))</f>
        <v/>
      </c>
      <c r="D210" s="70">
        <f>IF($AD210&lt;&gt;"D","",INDEX($BA$5:$BA$404,$AC210))</f>
        <v/>
      </c>
      <c r="E210" s="31">
        <f>IF($AD210="Z",SUM($AR$5:$AR$404),IF($AD210="D",INDEX($AR$5:$AR$404,$AC210),IF($AD210="T",SUMIF($X$5:$X$404,$AF210,$AR$5:$AR$404),IF($AD210="B",SUMIF($AN$5:$AN$404,$AQ210,$AR$5:$AR$404),""))))</f>
        <v/>
      </c>
      <c r="F210" s="32">
        <f>IF($AD210="Z",ROUND(SUM($AS$5:$AS$404),2),IF($AD210="D",INDEX($AS$5:$AS$404,$AC210),IF($AD210="T",ROUND(SUMIF($X$5:$X$404,$AF210,$AS$5:$AS$404),2),IF($AD210="B",ROUND(SUMIF($AN$5:$AN$404,$AQ210,$AS$5:$AS$404),2),""))))</f>
        <v/>
      </c>
      <c r="G210" s="32">
        <f>IF($AD210&lt;&gt;"D","",INDEX($AT$5:$AT$404,$AC210))</f>
        <v/>
      </c>
      <c r="H210" s="32">
        <f>IF($AD210&lt;&gt;"D","",INDEX($BC$5:$BC$404,$AC210))</f>
        <v/>
      </c>
      <c r="I210" s="32">
        <f>IF($AD210&lt;&gt;"D","",INDEX($BD$5:$BD$404,$AC210))</f>
        <v/>
      </c>
      <c r="J210" s="46">
        <f>IF($AD210&lt;&gt;"D","",IF(N($B210)=0,"",ROUND($I210/$B210,4)))</f>
        <v/>
      </c>
      <c r="K210" s="32">
        <f>IF($AD210="Z",ROUND(SUM($AU$5:$AU$404),2),IF($AD210="D",INDEX($AU$5:$AU$404,$AC210),IF($AD210="T",ROUND(SUMIF($X$5:$X$404,$AF210,$AU$5:$AU$404),2),IF($AD210="B",ROUND(SUMIF($AN$5:$AN$404,$AQ210,$AU$5:$AU$404),2),""))))</f>
        <v/>
      </c>
      <c r="L210" s="32">
        <f>IF($AD210="Z",ROUND(SUM($AV$5:$AV$404),2),IF($AD210="D",INDEX($AV$5:$AV$404,$AC210),IF($AD210="T",ROUND(SUMIF($X$5:$X$404,$AF210,$AV$5:$AV$404),2),IF($AD210="B",ROUND(SUMIF($AN$5:$AN$404,$AQ210,$AV$5:$AV$404),2),""))))</f>
        <v/>
      </c>
      <c r="M210" s="32">
        <f>IF($AD210="Z",ROUND(SUM($AJ$5:$AJ$704),2),IF($AD210="B",ROUND(SUMIF($AQ$5:$AQ$704,$AQ210,$AJ$5:$AJ$704),2),IF($AD210&lt;&gt;"T","",$AJ210)))</f>
        <v/>
      </c>
      <c r="N210" s="32">
        <f>IF(OR($AD210="D",$AD210="T",$AD210="B",$AD210="Z"),ROUND(N($K210)-N($L210)-N($M210),2),"")</f>
        <v/>
      </c>
      <c r="O210" s="32">
        <f>IF(OR($AD210="D",$AD210="T",$AD210="B",$AD210="Z"),IF(N($E210)=0,"",ROUND($F210/$E210,2)),"")</f>
        <v/>
      </c>
      <c r="Q210">
        <f>IFERROR(MATCH(206,บันทึกรายเที่ยว!$Z$6:$Z$6005,0),"")</f>
        <v/>
      </c>
      <c r="R210">
        <f>IF($Q210="","",INDEX(บันทึกรายเที่ยว!$V$6:$V$6005,$Q210))</f>
        <v/>
      </c>
      <c r="S210">
        <f>IF($Q210="","",INDEX(บันทึกรายเที่ยว!$F$6:$F$6005,$Q210))</f>
        <v/>
      </c>
      <c r="T210">
        <f>IF($Q210="","",MATCH($S210,บันทึกรายเที่ยว!$F$6:$F$6005,0))</f>
        <v/>
      </c>
      <c r="U210">
        <f>IF($Q210="","",$AL210*10000000+$T210*1000+206)</f>
        <v/>
      </c>
      <c r="V210">
        <f>IFERROR(MATCH(SMALL($U$5:$U$404,206),$U$5:$U$404,0),"")</f>
        <v/>
      </c>
      <c r="W210">
        <f>IF($V210="","",INDEX($Q$5:$Q$404,$V210))</f>
        <v/>
      </c>
      <c r="X210">
        <f>IF($V210="","",INDEX($S$5:$S$404,$V210))</f>
        <v/>
      </c>
      <c r="Y210">
        <f>IF($V210="","",INDEX($R$5:$R$404,$V210))</f>
        <v/>
      </c>
      <c r="Z210">
        <f>IF($V210="",0,IF($X210&lt;&gt;$X209,1,0))</f>
        <v/>
      </c>
      <c r="AA210">
        <f>IF($V210="",0,IF($V211="",1,IF($X211&lt;&gt;$X210,1,0)))</f>
        <v/>
      </c>
      <c r="AB210">
        <f>IF($V210="",99999+206,$AB209+1+$Z209+$AA209+$AO209)</f>
        <v/>
      </c>
      <c r="AC210">
        <f>IFERROR(MATCH(206,$AB$5:$AB$404,1),"")</f>
        <v/>
      </c>
      <c r="AD210">
        <f>IF(206=$AI$1+1,"Z",IF($AC210="","",IF(INDEX($V$5:$V$404,$AC210)="","",IF(206&gt;INDEX($AB$5:$AB$404,$AC210)+INDEX($Z$5:$Z$404,$AC210)+INDEX($AA$5:$AA$404,$AC210)+INDEX($AO$5:$AO$404,$AC210),"",IF(206=INDEX($AB$5:$AB$404,$AC210)+INDEX($Z$5:$Z$404,$AC210),"D",IF(AND(INDEX($Z$5:$Z$404,$AC210)=1,206=INDEX($AB$5:$AB$404,$AC210)),"H",IF(AND(INDEX($AO$5:$AO$404,$AC210)=1,206=INDEX($AB$5:$AB$404,$AC210)+INDEX($Z$5:$Z$404,$AC210)+INDEX($AA$5:$AA$404,$AC210)+INDEX($AO$5:$AO$404,$AC210)),"B","T")))))))</f>
        <v/>
      </c>
      <c r="AF210">
        <f>IF(OR($AD210="",$AD210="Z",$AD210="B"),"",INDEX($X$5:$X$404,$AC210))</f>
        <v/>
      </c>
      <c r="AJ210">
        <f>IF($AD210&lt;&gt;"T",0,ROUND(SUMIF(oil!$B$4:$B$63,$AF210,oil!$AE$4:$AE$63),2))</f>
        <v/>
      </c>
      <c r="AK210">
        <f>IF($S210="","",IFERROR(INDEX(อัตราค่าขนส่ง!$P$5:$P$54,MATCH($S210,อัตราค่าขนส่ง!$O$5:$O$54,0)),INDEX(รายการมาตรฐาน!$G$2:$G$3,1)))</f>
        <v/>
      </c>
      <c r="AL210">
        <f>IF($S210="","",IFERROR(MATCH($AK210,รายการมาตรฐาน!$G$2:$G$3,0),1))</f>
        <v/>
      </c>
      <c r="AM210">
        <f>IF($V210="","",INDEX($AK$5:$AK$404,$V210))</f>
        <v/>
      </c>
      <c r="AN210">
        <f>IF($V210="","",INDEX($AL$5:$AL$404,$V210))</f>
        <v/>
      </c>
      <c r="AO210">
        <f>IF(OR($V210="",$AI$2&lt;=1),0,IF($V211="",1,IF($AN211&lt;&gt;$AN210,1,0)))</f>
        <v/>
      </c>
      <c r="AP210">
        <f>IF($V210="",0,IF($AN210&lt;&gt;$AN209,1,0))</f>
        <v/>
      </c>
      <c r="AQ210">
        <f>IF(OR($AD210="",$AD210="Z"),"",INDEX($AN$5:$AN$404,$AC210))</f>
        <v/>
      </c>
      <c r="AR210">
        <f>IF($Y210="",0,COUNTIF(บันทึกรายเที่ยว!$V$6:$V$6005,$Y210))</f>
        <v/>
      </c>
      <c r="AS210">
        <f>IF($Y210="",0,ROUND(SUMIF(บันทึกรายเที่ยว!$V$6:$V$6005,$Y210,บันทึกรายเที่ยว!$M$6:$M$6005),2))</f>
        <v/>
      </c>
      <c r="AT210">
        <f>IF($Y210="",0,IFERROR(INDEX(อัตราค่าขนส่ง!$G$5:$G$204,MATCH($Y210,อัตราค่าขนส่ง!$M$5:$M$204,0)),0))</f>
        <v/>
      </c>
      <c r="AU210">
        <f>ROUND($AS210*$BD210,2)</f>
        <v/>
      </c>
      <c r="AV210">
        <f>ROUND($AU210*$BF$2/100,2)</f>
        <v/>
      </c>
      <c r="AW210">
        <f>IF($Y210="","",IFERROR(INDEX(อัตราค่าขนส่ง!$F$5:$F$204,MATCH($Y210,อัตราค่าขนส่ง!$M$5:$M$204,0)),""))</f>
        <v/>
      </c>
      <c r="AX210">
        <f>IF($W210="","",INDEX(บันทึกรายเที่ยว!$D$6:$D$6005,$W210))</f>
        <v/>
      </c>
      <c r="AY210">
        <f>IF($W210="","",INDEX(บันทึกรายเที่ยว!$R$6:$R$6005,$W210))</f>
        <v/>
      </c>
      <c r="AZ210">
        <f>IF(AND($AD210="T",$AQ210=1),N($AZ209)+1,N($AZ209))</f>
        <v/>
      </c>
      <c r="BA210">
        <f>IF($W210="","",INDEX(บันทึกรายเที่ยว!$E$6:$E$6005,$W210))</f>
        <v/>
      </c>
      <c r="BC210">
        <f>IF($Y210="",0,IFERROR(INDEX(อัตราค่าขนส่ง!$K$5:$K$204,MATCH($Y210,อัตราค่าขนส่ง!$M$5:$M$204,0)),0))</f>
        <v/>
      </c>
      <c r="BD210">
        <f>IF($Y210="",0,IFERROR(INDEX(อัตราค่าขนส่ง!$L$5:$L$204,MATCH($Y210,อัตราค่าขนส่ง!$M$5:$M$204,0)),0))</f>
        <v/>
      </c>
    </row>
    <row r="211" ht="21" customHeight="1" s="66">
      <c r="A211" s="69">
        <f>IF($AD211="","",IF($AD211="Z","รวมจ่ายทั้งสิ้น",IF($AD211="H",INDEX($X$5:$X$404,$AC211),IF($AD211="T","รวม",IF($AD211="B",IFERROR(INDEX(อัตราค่าขนส่ง!$S$5:$S$14,MATCH(INDEX($AM$5:$AM$404,$AC211),อัตราค่าขนส่ง!$R$5:$R$14,0)),"รวมกลุ่ม "&amp;INDEX($AM$5:$AM$404,$AC211)),INDEX($AY$5:$AY$404,$AC211))))))</f>
        <v/>
      </c>
      <c r="B211" s="31">
        <f>IF($AD211&lt;&gt;"D","",INDEX($AW$5:$AW$404,$AC211))</f>
        <v/>
      </c>
      <c r="C211" s="68">
        <f>IF($AD211&lt;&gt;"D","",INDEX($AX$5:$AX$404,$AC211))</f>
        <v/>
      </c>
      <c r="D211" s="70">
        <f>IF($AD211&lt;&gt;"D","",INDEX($BA$5:$BA$404,$AC211))</f>
        <v/>
      </c>
      <c r="E211" s="31">
        <f>IF($AD211="Z",SUM($AR$5:$AR$404),IF($AD211="D",INDEX($AR$5:$AR$404,$AC211),IF($AD211="T",SUMIF($X$5:$X$404,$AF211,$AR$5:$AR$404),IF($AD211="B",SUMIF($AN$5:$AN$404,$AQ211,$AR$5:$AR$404),""))))</f>
        <v/>
      </c>
      <c r="F211" s="32">
        <f>IF($AD211="Z",ROUND(SUM($AS$5:$AS$404),2),IF($AD211="D",INDEX($AS$5:$AS$404,$AC211),IF($AD211="T",ROUND(SUMIF($X$5:$X$404,$AF211,$AS$5:$AS$404),2),IF($AD211="B",ROUND(SUMIF($AN$5:$AN$404,$AQ211,$AS$5:$AS$404),2),""))))</f>
        <v/>
      </c>
      <c r="G211" s="32">
        <f>IF($AD211&lt;&gt;"D","",INDEX($AT$5:$AT$404,$AC211))</f>
        <v/>
      </c>
      <c r="H211" s="32">
        <f>IF($AD211&lt;&gt;"D","",INDEX($BC$5:$BC$404,$AC211))</f>
        <v/>
      </c>
      <c r="I211" s="32">
        <f>IF($AD211&lt;&gt;"D","",INDEX($BD$5:$BD$404,$AC211))</f>
        <v/>
      </c>
      <c r="J211" s="46">
        <f>IF($AD211&lt;&gt;"D","",IF(N($B211)=0,"",ROUND($I211/$B211,4)))</f>
        <v/>
      </c>
      <c r="K211" s="32">
        <f>IF($AD211="Z",ROUND(SUM($AU$5:$AU$404),2),IF($AD211="D",INDEX($AU$5:$AU$404,$AC211),IF($AD211="T",ROUND(SUMIF($X$5:$X$404,$AF211,$AU$5:$AU$404),2),IF($AD211="B",ROUND(SUMIF($AN$5:$AN$404,$AQ211,$AU$5:$AU$404),2),""))))</f>
        <v/>
      </c>
      <c r="L211" s="32">
        <f>IF($AD211="Z",ROUND(SUM($AV$5:$AV$404),2),IF($AD211="D",INDEX($AV$5:$AV$404,$AC211),IF($AD211="T",ROUND(SUMIF($X$5:$X$404,$AF211,$AV$5:$AV$404),2),IF($AD211="B",ROUND(SUMIF($AN$5:$AN$404,$AQ211,$AV$5:$AV$404),2),""))))</f>
        <v/>
      </c>
      <c r="M211" s="32">
        <f>IF($AD211="Z",ROUND(SUM($AJ$5:$AJ$704),2),IF($AD211="B",ROUND(SUMIF($AQ$5:$AQ$704,$AQ211,$AJ$5:$AJ$704),2),IF($AD211&lt;&gt;"T","",$AJ211)))</f>
        <v/>
      </c>
      <c r="N211" s="32">
        <f>IF(OR($AD211="D",$AD211="T",$AD211="B",$AD211="Z"),ROUND(N($K211)-N($L211)-N($M211),2),"")</f>
        <v/>
      </c>
      <c r="O211" s="32">
        <f>IF(OR($AD211="D",$AD211="T",$AD211="B",$AD211="Z"),IF(N($E211)=0,"",ROUND($F211/$E211,2)),"")</f>
        <v/>
      </c>
      <c r="Q211">
        <f>IFERROR(MATCH(207,บันทึกรายเที่ยว!$Z$6:$Z$6005,0),"")</f>
        <v/>
      </c>
      <c r="R211">
        <f>IF($Q211="","",INDEX(บันทึกรายเที่ยว!$V$6:$V$6005,$Q211))</f>
        <v/>
      </c>
      <c r="S211">
        <f>IF($Q211="","",INDEX(บันทึกรายเที่ยว!$F$6:$F$6005,$Q211))</f>
        <v/>
      </c>
      <c r="T211">
        <f>IF($Q211="","",MATCH($S211,บันทึกรายเที่ยว!$F$6:$F$6005,0))</f>
        <v/>
      </c>
      <c r="U211">
        <f>IF($Q211="","",$AL211*10000000+$T211*1000+207)</f>
        <v/>
      </c>
      <c r="V211">
        <f>IFERROR(MATCH(SMALL($U$5:$U$404,207),$U$5:$U$404,0),"")</f>
        <v/>
      </c>
      <c r="W211">
        <f>IF($V211="","",INDEX($Q$5:$Q$404,$V211))</f>
        <v/>
      </c>
      <c r="X211">
        <f>IF($V211="","",INDEX($S$5:$S$404,$V211))</f>
        <v/>
      </c>
      <c r="Y211">
        <f>IF($V211="","",INDEX($R$5:$R$404,$V211))</f>
        <v/>
      </c>
      <c r="Z211">
        <f>IF($V211="",0,IF($X211&lt;&gt;$X210,1,0))</f>
        <v/>
      </c>
      <c r="AA211">
        <f>IF($V211="",0,IF($V212="",1,IF($X212&lt;&gt;$X211,1,0)))</f>
        <v/>
      </c>
      <c r="AB211">
        <f>IF($V211="",99999+207,$AB210+1+$Z210+$AA210+$AO210)</f>
        <v/>
      </c>
      <c r="AC211">
        <f>IFERROR(MATCH(207,$AB$5:$AB$404,1),"")</f>
        <v/>
      </c>
      <c r="AD211">
        <f>IF(207=$AI$1+1,"Z",IF($AC211="","",IF(INDEX($V$5:$V$404,$AC211)="","",IF(207&gt;INDEX($AB$5:$AB$404,$AC211)+INDEX($Z$5:$Z$404,$AC211)+INDEX($AA$5:$AA$404,$AC211)+INDEX($AO$5:$AO$404,$AC211),"",IF(207=INDEX($AB$5:$AB$404,$AC211)+INDEX($Z$5:$Z$404,$AC211),"D",IF(AND(INDEX($Z$5:$Z$404,$AC211)=1,207=INDEX($AB$5:$AB$404,$AC211)),"H",IF(AND(INDEX($AO$5:$AO$404,$AC211)=1,207=INDEX($AB$5:$AB$404,$AC211)+INDEX($Z$5:$Z$404,$AC211)+INDEX($AA$5:$AA$404,$AC211)+INDEX($AO$5:$AO$404,$AC211)),"B","T")))))))</f>
        <v/>
      </c>
      <c r="AF211">
        <f>IF(OR($AD211="",$AD211="Z",$AD211="B"),"",INDEX($X$5:$X$404,$AC211))</f>
        <v/>
      </c>
      <c r="AJ211">
        <f>IF($AD211&lt;&gt;"T",0,ROUND(SUMIF(oil!$B$4:$B$63,$AF211,oil!$AE$4:$AE$63),2))</f>
        <v/>
      </c>
      <c r="AK211">
        <f>IF($S211="","",IFERROR(INDEX(อัตราค่าขนส่ง!$P$5:$P$54,MATCH($S211,อัตราค่าขนส่ง!$O$5:$O$54,0)),INDEX(รายการมาตรฐาน!$G$2:$G$3,1)))</f>
        <v/>
      </c>
      <c r="AL211">
        <f>IF($S211="","",IFERROR(MATCH($AK211,รายการมาตรฐาน!$G$2:$G$3,0),1))</f>
        <v/>
      </c>
      <c r="AM211">
        <f>IF($V211="","",INDEX($AK$5:$AK$404,$V211))</f>
        <v/>
      </c>
      <c r="AN211">
        <f>IF($V211="","",INDEX($AL$5:$AL$404,$V211))</f>
        <v/>
      </c>
      <c r="AO211">
        <f>IF(OR($V211="",$AI$2&lt;=1),0,IF($V212="",1,IF($AN212&lt;&gt;$AN211,1,0)))</f>
        <v/>
      </c>
      <c r="AP211">
        <f>IF($V211="",0,IF($AN211&lt;&gt;$AN210,1,0))</f>
        <v/>
      </c>
      <c r="AQ211">
        <f>IF(OR($AD211="",$AD211="Z"),"",INDEX($AN$5:$AN$404,$AC211))</f>
        <v/>
      </c>
      <c r="AR211">
        <f>IF($Y211="",0,COUNTIF(บันทึกรายเที่ยว!$V$6:$V$6005,$Y211))</f>
        <v/>
      </c>
      <c r="AS211">
        <f>IF($Y211="",0,ROUND(SUMIF(บันทึกรายเที่ยว!$V$6:$V$6005,$Y211,บันทึกรายเที่ยว!$M$6:$M$6005),2))</f>
        <v/>
      </c>
      <c r="AT211">
        <f>IF($Y211="",0,IFERROR(INDEX(อัตราค่าขนส่ง!$G$5:$G$204,MATCH($Y211,อัตราค่าขนส่ง!$M$5:$M$204,0)),0))</f>
        <v/>
      </c>
      <c r="AU211">
        <f>ROUND($AS211*$BD211,2)</f>
        <v/>
      </c>
      <c r="AV211">
        <f>ROUND($AU211*$BF$2/100,2)</f>
        <v/>
      </c>
      <c r="AW211">
        <f>IF($Y211="","",IFERROR(INDEX(อัตราค่าขนส่ง!$F$5:$F$204,MATCH($Y211,อัตราค่าขนส่ง!$M$5:$M$204,0)),""))</f>
        <v/>
      </c>
      <c r="AX211">
        <f>IF($W211="","",INDEX(บันทึกรายเที่ยว!$D$6:$D$6005,$W211))</f>
        <v/>
      </c>
      <c r="AY211">
        <f>IF($W211="","",INDEX(บันทึกรายเที่ยว!$R$6:$R$6005,$W211))</f>
        <v/>
      </c>
      <c r="AZ211">
        <f>IF(AND($AD211="T",$AQ211=1),N($AZ210)+1,N($AZ210))</f>
        <v/>
      </c>
      <c r="BA211">
        <f>IF($W211="","",INDEX(บันทึกรายเที่ยว!$E$6:$E$6005,$W211))</f>
        <v/>
      </c>
      <c r="BC211">
        <f>IF($Y211="",0,IFERROR(INDEX(อัตราค่าขนส่ง!$K$5:$K$204,MATCH($Y211,อัตราค่าขนส่ง!$M$5:$M$204,0)),0))</f>
        <v/>
      </c>
      <c r="BD211">
        <f>IF($Y211="",0,IFERROR(INDEX(อัตราค่าขนส่ง!$L$5:$L$204,MATCH($Y211,อัตราค่าขนส่ง!$M$5:$M$204,0)),0))</f>
        <v/>
      </c>
    </row>
    <row r="212" ht="21" customHeight="1" s="66">
      <c r="A212" s="69">
        <f>IF($AD212="","",IF($AD212="Z","รวมจ่ายทั้งสิ้น",IF($AD212="H",INDEX($X$5:$X$404,$AC212),IF($AD212="T","รวม",IF($AD212="B",IFERROR(INDEX(อัตราค่าขนส่ง!$S$5:$S$14,MATCH(INDEX($AM$5:$AM$404,$AC212),อัตราค่าขนส่ง!$R$5:$R$14,0)),"รวมกลุ่ม "&amp;INDEX($AM$5:$AM$404,$AC212)),INDEX($AY$5:$AY$404,$AC212))))))</f>
        <v/>
      </c>
      <c r="B212" s="31">
        <f>IF($AD212&lt;&gt;"D","",INDEX($AW$5:$AW$404,$AC212))</f>
        <v/>
      </c>
      <c r="C212" s="68">
        <f>IF($AD212&lt;&gt;"D","",INDEX($AX$5:$AX$404,$AC212))</f>
        <v/>
      </c>
      <c r="D212" s="70">
        <f>IF($AD212&lt;&gt;"D","",INDEX($BA$5:$BA$404,$AC212))</f>
        <v/>
      </c>
      <c r="E212" s="31">
        <f>IF($AD212="Z",SUM($AR$5:$AR$404),IF($AD212="D",INDEX($AR$5:$AR$404,$AC212),IF($AD212="T",SUMIF($X$5:$X$404,$AF212,$AR$5:$AR$404),IF($AD212="B",SUMIF($AN$5:$AN$404,$AQ212,$AR$5:$AR$404),""))))</f>
        <v/>
      </c>
      <c r="F212" s="32">
        <f>IF($AD212="Z",ROUND(SUM($AS$5:$AS$404),2),IF($AD212="D",INDEX($AS$5:$AS$404,$AC212),IF($AD212="T",ROUND(SUMIF($X$5:$X$404,$AF212,$AS$5:$AS$404),2),IF($AD212="B",ROUND(SUMIF($AN$5:$AN$404,$AQ212,$AS$5:$AS$404),2),""))))</f>
        <v/>
      </c>
      <c r="G212" s="32">
        <f>IF($AD212&lt;&gt;"D","",INDEX($AT$5:$AT$404,$AC212))</f>
        <v/>
      </c>
      <c r="H212" s="32">
        <f>IF($AD212&lt;&gt;"D","",INDEX($BC$5:$BC$404,$AC212))</f>
        <v/>
      </c>
      <c r="I212" s="32">
        <f>IF($AD212&lt;&gt;"D","",INDEX($BD$5:$BD$404,$AC212))</f>
        <v/>
      </c>
      <c r="J212" s="46">
        <f>IF($AD212&lt;&gt;"D","",IF(N($B212)=0,"",ROUND($I212/$B212,4)))</f>
        <v/>
      </c>
      <c r="K212" s="32">
        <f>IF($AD212="Z",ROUND(SUM($AU$5:$AU$404),2),IF($AD212="D",INDEX($AU$5:$AU$404,$AC212),IF($AD212="T",ROUND(SUMIF($X$5:$X$404,$AF212,$AU$5:$AU$404),2),IF($AD212="B",ROUND(SUMIF($AN$5:$AN$404,$AQ212,$AU$5:$AU$404),2),""))))</f>
        <v/>
      </c>
      <c r="L212" s="32">
        <f>IF($AD212="Z",ROUND(SUM($AV$5:$AV$404),2),IF($AD212="D",INDEX($AV$5:$AV$404,$AC212),IF($AD212="T",ROUND(SUMIF($X$5:$X$404,$AF212,$AV$5:$AV$404),2),IF($AD212="B",ROUND(SUMIF($AN$5:$AN$404,$AQ212,$AV$5:$AV$404),2),""))))</f>
        <v/>
      </c>
      <c r="M212" s="32">
        <f>IF($AD212="Z",ROUND(SUM($AJ$5:$AJ$704),2),IF($AD212="B",ROUND(SUMIF($AQ$5:$AQ$704,$AQ212,$AJ$5:$AJ$704),2),IF($AD212&lt;&gt;"T","",$AJ212)))</f>
        <v/>
      </c>
      <c r="N212" s="32">
        <f>IF(OR($AD212="D",$AD212="T",$AD212="B",$AD212="Z"),ROUND(N($K212)-N($L212)-N($M212),2),"")</f>
        <v/>
      </c>
      <c r="O212" s="32">
        <f>IF(OR($AD212="D",$AD212="T",$AD212="B",$AD212="Z"),IF(N($E212)=0,"",ROUND($F212/$E212,2)),"")</f>
        <v/>
      </c>
      <c r="Q212">
        <f>IFERROR(MATCH(208,บันทึกรายเที่ยว!$Z$6:$Z$6005,0),"")</f>
        <v/>
      </c>
      <c r="R212">
        <f>IF($Q212="","",INDEX(บันทึกรายเที่ยว!$V$6:$V$6005,$Q212))</f>
        <v/>
      </c>
      <c r="S212">
        <f>IF($Q212="","",INDEX(บันทึกรายเที่ยว!$F$6:$F$6005,$Q212))</f>
        <v/>
      </c>
      <c r="T212">
        <f>IF($Q212="","",MATCH($S212,บันทึกรายเที่ยว!$F$6:$F$6005,0))</f>
        <v/>
      </c>
      <c r="U212">
        <f>IF($Q212="","",$AL212*10000000+$T212*1000+208)</f>
        <v/>
      </c>
      <c r="V212">
        <f>IFERROR(MATCH(SMALL($U$5:$U$404,208),$U$5:$U$404,0),"")</f>
        <v/>
      </c>
      <c r="W212">
        <f>IF($V212="","",INDEX($Q$5:$Q$404,$V212))</f>
        <v/>
      </c>
      <c r="X212">
        <f>IF($V212="","",INDEX($S$5:$S$404,$V212))</f>
        <v/>
      </c>
      <c r="Y212">
        <f>IF($V212="","",INDEX($R$5:$R$404,$V212))</f>
        <v/>
      </c>
      <c r="Z212">
        <f>IF($V212="",0,IF($X212&lt;&gt;$X211,1,0))</f>
        <v/>
      </c>
      <c r="AA212">
        <f>IF($V212="",0,IF($V213="",1,IF($X213&lt;&gt;$X212,1,0)))</f>
        <v/>
      </c>
      <c r="AB212">
        <f>IF($V212="",99999+208,$AB211+1+$Z211+$AA211+$AO211)</f>
        <v/>
      </c>
      <c r="AC212">
        <f>IFERROR(MATCH(208,$AB$5:$AB$404,1),"")</f>
        <v/>
      </c>
      <c r="AD212">
        <f>IF(208=$AI$1+1,"Z",IF($AC212="","",IF(INDEX($V$5:$V$404,$AC212)="","",IF(208&gt;INDEX($AB$5:$AB$404,$AC212)+INDEX($Z$5:$Z$404,$AC212)+INDEX($AA$5:$AA$404,$AC212)+INDEX($AO$5:$AO$404,$AC212),"",IF(208=INDEX($AB$5:$AB$404,$AC212)+INDEX($Z$5:$Z$404,$AC212),"D",IF(AND(INDEX($Z$5:$Z$404,$AC212)=1,208=INDEX($AB$5:$AB$404,$AC212)),"H",IF(AND(INDEX($AO$5:$AO$404,$AC212)=1,208=INDEX($AB$5:$AB$404,$AC212)+INDEX($Z$5:$Z$404,$AC212)+INDEX($AA$5:$AA$404,$AC212)+INDEX($AO$5:$AO$404,$AC212)),"B","T")))))))</f>
        <v/>
      </c>
      <c r="AF212">
        <f>IF(OR($AD212="",$AD212="Z",$AD212="B"),"",INDEX($X$5:$X$404,$AC212))</f>
        <v/>
      </c>
      <c r="AJ212">
        <f>IF($AD212&lt;&gt;"T",0,ROUND(SUMIF(oil!$B$4:$B$63,$AF212,oil!$AE$4:$AE$63),2))</f>
        <v/>
      </c>
      <c r="AK212">
        <f>IF($S212="","",IFERROR(INDEX(อัตราค่าขนส่ง!$P$5:$P$54,MATCH($S212,อัตราค่าขนส่ง!$O$5:$O$54,0)),INDEX(รายการมาตรฐาน!$G$2:$G$3,1)))</f>
        <v/>
      </c>
      <c r="AL212">
        <f>IF($S212="","",IFERROR(MATCH($AK212,รายการมาตรฐาน!$G$2:$G$3,0),1))</f>
        <v/>
      </c>
      <c r="AM212">
        <f>IF($V212="","",INDEX($AK$5:$AK$404,$V212))</f>
        <v/>
      </c>
      <c r="AN212">
        <f>IF($V212="","",INDEX($AL$5:$AL$404,$V212))</f>
        <v/>
      </c>
      <c r="AO212">
        <f>IF(OR($V212="",$AI$2&lt;=1),0,IF($V213="",1,IF($AN213&lt;&gt;$AN212,1,0)))</f>
        <v/>
      </c>
      <c r="AP212">
        <f>IF($V212="",0,IF($AN212&lt;&gt;$AN211,1,0))</f>
        <v/>
      </c>
      <c r="AQ212">
        <f>IF(OR($AD212="",$AD212="Z"),"",INDEX($AN$5:$AN$404,$AC212))</f>
        <v/>
      </c>
      <c r="AR212">
        <f>IF($Y212="",0,COUNTIF(บันทึกรายเที่ยว!$V$6:$V$6005,$Y212))</f>
        <v/>
      </c>
      <c r="AS212">
        <f>IF($Y212="",0,ROUND(SUMIF(บันทึกรายเที่ยว!$V$6:$V$6005,$Y212,บันทึกรายเที่ยว!$M$6:$M$6005),2))</f>
        <v/>
      </c>
      <c r="AT212">
        <f>IF($Y212="",0,IFERROR(INDEX(อัตราค่าขนส่ง!$G$5:$G$204,MATCH($Y212,อัตราค่าขนส่ง!$M$5:$M$204,0)),0))</f>
        <v/>
      </c>
      <c r="AU212">
        <f>ROUND($AS212*$BD212,2)</f>
        <v/>
      </c>
      <c r="AV212">
        <f>ROUND($AU212*$BF$2/100,2)</f>
        <v/>
      </c>
      <c r="AW212">
        <f>IF($Y212="","",IFERROR(INDEX(อัตราค่าขนส่ง!$F$5:$F$204,MATCH($Y212,อัตราค่าขนส่ง!$M$5:$M$204,0)),""))</f>
        <v/>
      </c>
      <c r="AX212">
        <f>IF($W212="","",INDEX(บันทึกรายเที่ยว!$D$6:$D$6005,$W212))</f>
        <v/>
      </c>
      <c r="AY212">
        <f>IF($W212="","",INDEX(บันทึกรายเที่ยว!$R$6:$R$6005,$W212))</f>
        <v/>
      </c>
      <c r="AZ212">
        <f>IF(AND($AD212="T",$AQ212=1),N($AZ211)+1,N($AZ211))</f>
        <v/>
      </c>
      <c r="BA212">
        <f>IF($W212="","",INDEX(บันทึกรายเที่ยว!$E$6:$E$6005,$W212))</f>
        <v/>
      </c>
      <c r="BC212">
        <f>IF($Y212="",0,IFERROR(INDEX(อัตราค่าขนส่ง!$K$5:$K$204,MATCH($Y212,อัตราค่าขนส่ง!$M$5:$M$204,0)),0))</f>
        <v/>
      </c>
      <c r="BD212">
        <f>IF($Y212="",0,IFERROR(INDEX(อัตราค่าขนส่ง!$L$5:$L$204,MATCH($Y212,อัตราค่าขนส่ง!$M$5:$M$204,0)),0))</f>
        <v/>
      </c>
    </row>
    <row r="213" ht="21" customHeight="1" s="66">
      <c r="A213" s="69">
        <f>IF($AD213="","",IF($AD213="Z","รวมจ่ายทั้งสิ้น",IF($AD213="H",INDEX($X$5:$X$404,$AC213),IF($AD213="T","รวม",IF($AD213="B",IFERROR(INDEX(อัตราค่าขนส่ง!$S$5:$S$14,MATCH(INDEX($AM$5:$AM$404,$AC213),อัตราค่าขนส่ง!$R$5:$R$14,0)),"รวมกลุ่ม "&amp;INDEX($AM$5:$AM$404,$AC213)),INDEX($AY$5:$AY$404,$AC213))))))</f>
        <v/>
      </c>
      <c r="B213" s="31">
        <f>IF($AD213&lt;&gt;"D","",INDEX($AW$5:$AW$404,$AC213))</f>
        <v/>
      </c>
      <c r="C213" s="68">
        <f>IF($AD213&lt;&gt;"D","",INDEX($AX$5:$AX$404,$AC213))</f>
        <v/>
      </c>
      <c r="D213" s="70">
        <f>IF($AD213&lt;&gt;"D","",INDEX($BA$5:$BA$404,$AC213))</f>
        <v/>
      </c>
      <c r="E213" s="31">
        <f>IF($AD213="Z",SUM($AR$5:$AR$404),IF($AD213="D",INDEX($AR$5:$AR$404,$AC213),IF($AD213="T",SUMIF($X$5:$X$404,$AF213,$AR$5:$AR$404),IF($AD213="B",SUMIF($AN$5:$AN$404,$AQ213,$AR$5:$AR$404),""))))</f>
        <v/>
      </c>
      <c r="F213" s="32">
        <f>IF($AD213="Z",ROUND(SUM($AS$5:$AS$404),2),IF($AD213="D",INDEX($AS$5:$AS$404,$AC213),IF($AD213="T",ROUND(SUMIF($X$5:$X$404,$AF213,$AS$5:$AS$404),2),IF($AD213="B",ROUND(SUMIF($AN$5:$AN$404,$AQ213,$AS$5:$AS$404),2),""))))</f>
        <v/>
      </c>
      <c r="G213" s="32">
        <f>IF($AD213&lt;&gt;"D","",INDEX($AT$5:$AT$404,$AC213))</f>
        <v/>
      </c>
      <c r="H213" s="32">
        <f>IF($AD213&lt;&gt;"D","",INDEX($BC$5:$BC$404,$AC213))</f>
        <v/>
      </c>
      <c r="I213" s="32">
        <f>IF($AD213&lt;&gt;"D","",INDEX($BD$5:$BD$404,$AC213))</f>
        <v/>
      </c>
      <c r="J213" s="46">
        <f>IF($AD213&lt;&gt;"D","",IF(N($B213)=0,"",ROUND($I213/$B213,4)))</f>
        <v/>
      </c>
      <c r="K213" s="32">
        <f>IF($AD213="Z",ROUND(SUM($AU$5:$AU$404),2),IF($AD213="D",INDEX($AU$5:$AU$404,$AC213),IF($AD213="T",ROUND(SUMIF($X$5:$X$404,$AF213,$AU$5:$AU$404),2),IF($AD213="B",ROUND(SUMIF($AN$5:$AN$404,$AQ213,$AU$5:$AU$404),2),""))))</f>
        <v/>
      </c>
      <c r="L213" s="32">
        <f>IF($AD213="Z",ROUND(SUM($AV$5:$AV$404),2),IF($AD213="D",INDEX($AV$5:$AV$404,$AC213),IF($AD213="T",ROUND(SUMIF($X$5:$X$404,$AF213,$AV$5:$AV$404),2),IF($AD213="B",ROUND(SUMIF($AN$5:$AN$404,$AQ213,$AV$5:$AV$404),2),""))))</f>
        <v/>
      </c>
      <c r="M213" s="32">
        <f>IF($AD213="Z",ROUND(SUM($AJ$5:$AJ$704),2),IF($AD213="B",ROUND(SUMIF($AQ$5:$AQ$704,$AQ213,$AJ$5:$AJ$704),2),IF($AD213&lt;&gt;"T","",$AJ213)))</f>
        <v/>
      </c>
      <c r="N213" s="32">
        <f>IF(OR($AD213="D",$AD213="T",$AD213="B",$AD213="Z"),ROUND(N($K213)-N($L213)-N($M213),2),"")</f>
        <v/>
      </c>
      <c r="O213" s="32">
        <f>IF(OR($AD213="D",$AD213="T",$AD213="B",$AD213="Z"),IF(N($E213)=0,"",ROUND($F213/$E213,2)),"")</f>
        <v/>
      </c>
      <c r="Q213">
        <f>IFERROR(MATCH(209,บันทึกรายเที่ยว!$Z$6:$Z$6005,0),"")</f>
        <v/>
      </c>
      <c r="R213">
        <f>IF($Q213="","",INDEX(บันทึกรายเที่ยว!$V$6:$V$6005,$Q213))</f>
        <v/>
      </c>
      <c r="S213">
        <f>IF($Q213="","",INDEX(บันทึกรายเที่ยว!$F$6:$F$6005,$Q213))</f>
        <v/>
      </c>
      <c r="T213">
        <f>IF($Q213="","",MATCH($S213,บันทึกรายเที่ยว!$F$6:$F$6005,0))</f>
        <v/>
      </c>
      <c r="U213">
        <f>IF($Q213="","",$AL213*10000000+$T213*1000+209)</f>
        <v/>
      </c>
      <c r="V213">
        <f>IFERROR(MATCH(SMALL($U$5:$U$404,209),$U$5:$U$404,0),"")</f>
        <v/>
      </c>
      <c r="W213">
        <f>IF($V213="","",INDEX($Q$5:$Q$404,$V213))</f>
        <v/>
      </c>
      <c r="X213">
        <f>IF($V213="","",INDEX($S$5:$S$404,$V213))</f>
        <v/>
      </c>
      <c r="Y213">
        <f>IF($V213="","",INDEX($R$5:$R$404,$V213))</f>
        <v/>
      </c>
      <c r="Z213">
        <f>IF($V213="",0,IF($X213&lt;&gt;$X212,1,0))</f>
        <v/>
      </c>
      <c r="AA213">
        <f>IF($V213="",0,IF($V214="",1,IF($X214&lt;&gt;$X213,1,0)))</f>
        <v/>
      </c>
      <c r="AB213">
        <f>IF($V213="",99999+209,$AB212+1+$Z212+$AA212+$AO212)</f>
        <v/>
      </c>
      <c r="AC213">
        <f>IFERROR(MATCH(209,$AB$5:$AB$404,1),"")</f>
        <v/>
      </c>
      <c r="AD213">
        <f>IF(209=$AI$1+1,"Z",IF($AC213="","",IF(INDEX($V$5:$V$404,$AC213)="","",IF(209&gt;INDEX($AB$5:$AB$404,$AC213)+INDEX($Z$5:$Z$404,$AC213)+INDEX($AA$5:$AA$404,$AC213)+INDEX($AO$5:$AO$404,$AC213),"",IF(209=INDEX($AB$5:$AB$404,$AC213)+INDEX($Z$5:$Z$404,$AC213),"D",IF(AND(INDEX($Z$5:$Z$404,$AC213)=1,209=INDEX($AB$5:$AB$404,$AC213)),"H",IF(AND(INDEX($AO$5:$AO$404,$AC213)=1,209=INDEX($AB$5:$AB$404,$AC213)+INDEX($Z$5:$Z$404,$AC213)+INDEX($AA$5:$AA$404,$AC213)+INDEX($AO$5:$AO$404,$AC213)),"B","T")))))))</f>
        <v/>
      </c>
      <c r="AF213">
        <f>IF(OR($AD213="",$AD213="Z",$AD213="B"),"",INDEX($X$5:$X$404,$AC213))</f>
        <v/>
      </c>
      <c r="AJ213">
        <f>IF($AD213&lt;&gt;"T",0,ROUND(SUMIF(oil!$B$4:$B$63,$AF213,oil!$AE$4:$AE$63),2))</f>
        <v/>
      </c>
      <c r="AK213">
        <f>IF($S213="","",IFERROR(INDEX(อัตราค่าขนส่ง!$P$5:$P$54,MATCH($S213,อัตราค่าขนส่ง!$O$5:$O$54,0)),INDEX(รายการมาตรฐาน!$G$2:$G$3,1)))</f>
        <v/>
      </c>
      <c r="AL213">
        <f>IF($S213="","",IFERROR(MATCH($AK213,รายการมาตรฐาน!$G$2:$G$3,0),1))</f>
        <v/>
      </c>
      <c r="AM213">
        <f>IF($V213="","",INDEX($AK$5:$AK$404,$V213))</f>
        <v/>
      </c>
      <c r="AN213">
        <f>IF($V213="","",INDEX($AL$5:$AL$404,$V213))</f>
        <v/>
      </c>
      <c r="AO213">
        <f>IF(OR($V213="",$AI$2&lt;=1),0,IF($V214="",1,IF($AN214&lt;&gt;$AN213,1,0)))</f>
        <v/>
      </c>
      <c r="AP213">
        <f>IF($V213="",0,IF($AN213&lt;&gt;$AN212,1,0))</f>
        <v/>
      </c>
      <c r="AQ213">
        <f>IF(OR($AD213="",$AD213="Z"),"",INDEX($AN$5:$AN$404,$AC213))</f>
        <v/>
      </c>
      <c r="AR213">
        <f>IF($Y213="",0,COUNTIF(บันทึกรายเที่ยว!$V$6:$V$6005,$Y213))</f>
        <v/>
      </c>
      <c r="AS213">
        <f>IF($Y213="",0,ROUND(SUMIF(บันทึกรายเที่ยว!$V$6:$V$6005,$Y213,บันทึกรายเที่ยว!$M$6:$M$6005),2))</f>
        <v/>
      </c>
      <c r="AT213">
        <f>IF($Y213="",0,IFERROR(INDEX(อัตราค่าขนส่ง!$G$5:$G$204,MATCH($Y213,อัตราค่าขนส่ง!$M$5:$M$204,0)),0))</f>
        <v/>
      </c>
      <c r="AU213">
        <f>ROUND($AS213*$BD213,2)</f>
        <v/>
      </c>
      <c r="AV213">
        <f>ROUND($AU213*$BF$2/100,2)</f>
        <v/>
      </c>
      <c r="AW213">
        <f>IF($Y213="","",IFERROR(INDEX(อัตราค่าขนส่ง!$F$5:$F$204,MATCH($Y213,อัตราค่าขนส่ง!$M$5:$M$204,0)),""))</f>
        <v/>
      </c>
      <c r="AX213">
        <f>IF($W213="","",INDEX(บันทึกรายเที่ยว!$D$6:$D$6005,$W213))</f>
        <v/>
      </c>
      <c r="AY213">
        <f>IF($W213="","",INDEX(บันทึกรายเที่ยว!$R$6:$R$6005,$W213))</f>
        <v/>
      </c>
      <c r="AZ213">
        <f>IF(AND($AD213="T",$AQ213=1),N($AZ212)+1,N($AZ212))</f>
        <v/>
      </c>
      <c r="BA213">
        <f>IF($W213="","",INDEX(บันทึกรายเที่ยว!$E$6:$E$6005,$W213))</f>
        <v/>
      </c>
      <c r="BC213">
        <f>IF($Y213="",0,IFERROR(INDEX(อัตราค่าขนส่ง!$K$5:$K$204,MATCH($Y213,อัตราค่าขนส่ง!$M$5:$M$204,0)),0))</f>
        <v/>
      </c>
      <c r="BD213">
        <f>IF($Y213="",0,IFERROR(INDEX(อัตราค่าขนส่ง!$L$5:$L$204,MATCH($Y213,อัตราค่าขนส่ง!$M$5:$M$204,0)),0))</f>
        <v/>
      </c>
    </row>
    <row r="214" ht="21" customHeight="1" s="66">
      <c r="A214" s="69">
        <f>IF($AD214="","",IF($AD214="Z","รวมจ่ายทั้งสิ้น",IF($AD214="H",INDEX($X$5:$X$404,$AC214),IF($AD214="T","รวม",IF($AD214="B",IFERROR(INDEX(อัตราค่าขนส่ง!$S$5:$S$14,MATCH(INDEX($AM$5:$AM$404,$AC214),อัตราค่าขนส่ง!$R$5:$R$14,0)),"รวมกลุ่ม "&amp;INDEX($AM$5:$AM$404,$AC214)),INDEX($AY$5:$AY$404,$AC214))))))</f>
        <v/>
      </c>
      <c r="B214" s="31">
        <f>IF($AD214&lt;&gt;"D","",INDEX($AW$5:$AW$404,$AC214))</f>
        <v/>
      </c>
      <c r="C214" s="68">
        <f>IF($AD214&lt;&gt;"D","",INDEX($AX$5:$AX$404,$AC214))</f>
        <v/>
      </c>
      <c r="D214" s="70">
        <f>IF($AD214&lt;&gt;"D","",INDEX($BA$5:$BA$404,$AC214))</f>
        <v/>
      </c>
      <c r="E214" s="31">
        <f>IF($AD214="Z",SUM($AR$5:$AR$404),IF($AD214="D",INDEX($AR$5:$AR$404,$AC214),IF($AD214="T",SUMIF($X$5:$X$404,$AF214,$AR$5:$AR$404),IF($AD214="B",SUMIF($AN$5:$AN$404,$AQ214,$AR$5:$AR$404),""))))</f>
        <v/>
      </c>
      <c r="F214" s="32">
        <f>IF($AD214="Z",ROUND(SUM($AS$5:$AS$404),2),IF($AD214="D",INDEX($AS$5:$AS$404,$AC214),IF($AD214="T",ROUND(SUMIF($X$5:$X$404,$AF214,$AS$5:$AS$404),2),IF($AD214="B",ROUND(SUMIF($AN$5:$AN$404,$AQ214,$AS$5:$AS$404),2),""))))</f>
        <v/>
      </c>
      <c r="G214" s="32">
        <f>IF($AD214&lt;&gt;"D","",INDEX($AT$5:$AT$404,$AC214))</f>
        <v/>
      </c>
      <c r="H214" s="32">
        <f>IF($AD214&lt;&gt;"D","",INDEX($BC$5:$BC$404,$AC214))</f>
        <v/>
      </c>
      <c r="I214" s="32">
        <f>IF($AD214&lt;&gt;"D","",INDEX($BD$5:$BD$404,$AC214))</f>
        <v/>
      </c>
      <c r="J214" s="46">
        <f>IF($AD214&lt;&gt;"D","",IF(N($B214)=0,"",ROUND($I214/$B214,4)))</f>
        <v/>
      </c>
      <c r="K214" s="32">
        <f>IF($AD214="Z",ROUND(SUM($AU$5:$AU$404),2),IF($AD214="D",INDEX($AU$5:$AU$404,$AC214),IF($AD214="T",ROUND(SUMIF($X$5:$X$404,$AF214,$AU$5:$AU$404),2),IF($AD214="B",ROUND(SUMIF($AN$5:$AN$404,$AQ214,$AU$5:$AU$404),2),""))))</f>
        <v/>
      </c>
      <c r="L214" s="32">
        <f>IF($AD214="Z",ROUND(SUM($AV$5:$AV$404),2),IF($AD214="D",INDEX($AV$5:$AV$404,$AC214),IF($AD214="T",ROUND(SUMIF($X$5:$X$404,$AF214,$AV$5:$AV$404),2),IF($AD214="B",ROUND(SUMIF($AN$5:$AN$404,$AQ214,$AV$5:$AV$404),2),""))))</f>
        <v/>
      </c>
      <c r="M214" s="32">
        <f>IF($AD214="Z",ROUND(SUM($AJ$5:$AJ$704),2),IF($AD214="B",ROUND(SUMIF($AQ$5:$AQ$704,$AQ214,$AJ$5:$AJ$704),2),IF($AD214&lt;&gt;"T","",$AJ214)))</f>
        <v/>
      </c>
      <c r="N214" s="32">
        <f>IF(OR($AD214="D",$AD214="T",$AD214="B",$AD214="Z"),ROUND(N($K214)-N($L214)-N($M214),2),"")</f>
        <v/>
      </c>
      <c r="O214" s="32">
        <f>IF(OR($AD214="D",$AD214="T",$AD214="B",$AD214="Z"),IF(N($E214)=0,"",ROUND($F214/$E214,2)),"")</f>
        <v/>
      </c>
      <c r="Q214">
        <f>IFERROR(MATCH(210,บันทึกรายเที่ยว!$Z$6:$Z$6005,0),"")</f>
        <v/>
      </c>
      <c r="R214">
        <f>IF($Q214="","",INDEX(บันทึกรายเที่ยว!$V$6:$V$6005,$Q214))</f>
        <v/>
      </c>
      <c r="S214">
        <f>IF($Q214="","",INDEX(บันทึกรายเที่ยว!$F$6:$F$6005,$Q214))</f>
        <v/>
      </c>
      <c r="T214">
        <f>IF($Q214="","",MATCH($S214,บันทึกรายเที่ยว!$F$6:$F$6005,0))</f>
        <v/>
      </c>
      <c r="U214">
        <f>IF($Q214="","",$AL214*10000000+$T214*1000+210)</f>
        <v/>
      </c>
      <c r="V214">
        <f>IFERROR(MATCH(SMALL($U$5:$U$404,210),$U$5:$U$404,0),"")</f>
        <v/>
      </c>
      <c r="W214">
        <f>IF($V214="","",INDEX($Q$5:$Q$404,$V214))</f>
        <v/>
      </c>
      <c r="X214">
        <f>IF($V214="","",INDEX($S$5:$S$404,$V214))</f>
        <v/>
      </c>
      <c r="Y214">
        <f>IF($V214="","",INDEX($R$5:$R$404,$V214))</f>
        <v/>
      </c>
      <c r="Z214">
        <f>IF($V214="",0,IF($X214&lt;&gt;$X213,1,0))</f>
        <v/>
      </c>
      <c r="AA214">
        <f>IF($V214="",0,IF($V215="",1,IF($X215&lt;&gt;$X214,1,0)))</f>
        <v/>
      </c>
      <c r="AB214">
        <f>IF($V214="",99999+210,$AB213+1+$Z213+$AA213+$AO213)</f>
        <v/>
      </c>
      <c r="AC214">
        <f>IFERROR(MATCH(210,$AB$5:$AB$404,1),"")</f>
        <v/>
      </c>
      <c r="AD214">
        <f>IF(210=$AI$1+1,"Z",IF($AC214="","",IF(INDEX($V$5:$V$404,$AC214)="","",IF(210&gt;INDEX($AB$5:$AB$404,$AC214)+INDEX($Z$5:$Z$404,$AC214)+INDEX($AA$5:$AA$404,$AC214)+INDEX($AO$5:$AO$404,$AC214),"",IF(210=INDEX($AB$5:$AB$404,$AC214)+INDEX($Z$5:$Z$404,$AC214),"D",IF(AND(INDEX($Z$5:$Z$404,$AC214)=1,210=INDEX($AB$5:$AB$404,$AC214)),"H",IF(AND(INDEX($AO$5:$AO$404,$AC214)=1,210=INDEX($AB$5:$AB$404,$AC214)+INDEX($Z$5:$Z$404,$AC214)+INDEX($AA$5:$AA$404,$AC214)+INDEX($AO$5:$AO$404,$AC214)),"B","T")))))))</f>
        <v/>
      </c>
      <c r="AF214">
        <f>IF(OR($AD214="",$AD214="Z",$AD214="B"),"",INDEX($X$5:$X$404,$AC214))</f>
        <v/>
      </c>
      <c r="AJ214">
        <f>IF($AD214&lt;&gt;"T",0,ROUND(SUMIF(oil!$B$4:$B$63,$AF214,oil!$AE$4:$AE$63),2))</f>
        <v/>
      </c>
      <c r="AK214">
        <f>IF($S214="","",IFERROR(INDEX(อัตราค่าขนส่ง!$P$5:$P$54,MATCH($S214,อัตราค่าขนส่ง!$O$5:$O$54,0)),INDEX(รายการมาตรฐาน!$G$2:$G$3,1)))</f>
        <v/>
      </c>
      <c r="AL214">
        <f>IF($S214="","",IFERROR(MATCH($AK214,รายการมาตรฐาน!$G$2:$G$3,0),1))</f>
        <v/>
      </c>
      <c r="AM214">
        <f>IF($V214="","",INDEX($AK$5:$AK$404,$V214))</f>
        <v/>
      </c>
      <c r="AN214">
        <f>IF($V214="","",INDEX($AL$5:$AL$404,$V214))</f>
        <v/>
      </c>
      <c r="AO214">
        <f>IF(OR($V214="",$AI$2&lt;=1),0,IF($V215="",1,IF($AN215&lt;&gt;$AN214,1,0)))</f>
        <v/>
      </c>
      <c r="AP214">
        <f>IF($V214="",0,IF($AN214&lt;&gt;$AN213,1,0))</f>
        <v/>
      </c>
      <c r="AQ214">
        <f>IF(OR($AD214="",$AD214="Z"),"",INDEX($AN$5:$AN$404,$AC214))</f>
        <v/>
      </c>
      <c r="AR214">
        <f>IF($Y214="",0,COUNTIF(บันทึกรายเที่ยว!$V$6:$V$6005,$Y214))</f>
        <v/>
      </c>
      <c r="AS214">
        <f>IF($Y214="",0,ROUND(SUMIF(บันทึกรายเที่ยว!$V$6:$V$6005,$Y214,บันทึกรายเที่ยว!$M$6:$M$6005),2))</f>
        <v/>
      </c>
      <c r="AT214">
        <f>IF($Y214="",0,IFERROR(INDEX(อัตราค่าขนส่ง!$G$5:$G$204,MATCH($Y214,อัตราค่าขนส่ง!$M$5:$M$204,0)),0))</f>
        <v/>
      </c>
      <c r="AU214">
        <f>ROUND($AS214*$BD214,2)</f>
        <v/>
      </c>
      <c r="AV214">
        <f>ROUND($AU214*$BF$2/100,2)</f>
        <v/>
      </c>
      <c r="AW214">
        <f>IF($Y214="","",IFERROR(INDEX(อัตราค่าขนส่ง!$F$5:$F$204,MATCH($Y214,อัตราค่าขนส่ง!$M$5:$M$204,0)),""))</f>
        <v/>
      </c>
      <c r="AX214">
        <f>IF($W214="","",INDEX(บันทึกรายเที่ยว!$D$6:$D$6005,$W214))</f>
        <v/>
      </c>
      <c r="AY214">
        <f>IF($W214="","",INDEX(บันทึกรายเที่ยว!$R$6:$R$6005,$W214))</f>
        <v/>
      </c>
      <c r="AZ214">
        <f>IF(AND($AD214="T",$AQ214=1),N($AZ213)+1,N($AZ213))</f>
        <v/>
      </c>
      <c r="BA214">
        <f>IF($W214="","",INDEX(บันทึกรายเที่ยว!$E$6:$E$6005,$W214))</f>
        <v/>
      </c>
      <c r="BC214">
        <f>IF($Y214="",0,IFERROR(INDEX(อัตราค่าขนส่ง!$K$5:$K$204,MATCH($Y214,อัตราค่าขนส่ง!$M$5:$M$204,0)),0))</f>
        <v/>
      </c>
      <c r="BD214">
        <f>IF($Y214="",0,IFERROR(INDEX(อัตราค่าขนส่ง!$L$5:$L$204,MATCH($Y214,อัตราค่าขนส่ง!$M$5:$M$204,0)),0))</f>
        <v/>
      </c>
    </row>
    <row r="215" ht="21" customHeight="1" s="66">
      <c r="A215" s="69">
        <f>IF($AD215="","",IF($AD215="Z","รวมจ่ายทั้งสิ้น",IF($AD215="H",INDEX($X$5:$X$404,$AC215),IF($AD215="T","รวม",IF($AD215="B",IFERROR(INDEX(อัตราค่าขนส่ง!$S$5:$S$14,MATCH(INDEX($AM$5:$AM$404,$AC215),อัตราค่าขนส่ง!$R$5:$R$14,0)),"รวมกลุ่ม "&amp;INDEX($AM$5:$AM$404,$AC215)),INDEX($AY$5:$AY$404,$AC215))))))</f>
        <v/>
      </c>
      <c r="B215" s="31">
        <f>IF($AD215&lt;&gt;"D","",INDEX($AW$5:$AW$404,$AC215))</f>
        <v/>
      </c>
      <c r="C215" s="68">
        <f>IF($AD215&lt;&gt;"D","",INDEX($AX$5:$AX$404,$AC215))</f>
        <v/>
      </c>
      <c r="D215" s="70">
        <f>IF($AD215&lt;&gt;"D","",INDEX($BA$5:$BA$404,$AC215))</f>
        <v/>
      </c>
      <c r="E215" s="31">
        <f>IF($AD215="Z",SUM($AR$5:$AR$404),IF($AD215="D",INDEX($AR$5:$AR$404,$AC215),IF($AD215="T",SUMIF($X$5:$X$404,$AF215,$AR$5:$AR$404),IF($AD215="B",SUMIF($AN$5:$AN$404,$AQ215,$AR$5:$AR$404),""))))</f>
        <v/>
      </c>
      <c r="F215" s="32">
        <f>IF($AD215="Z",ROUND(SUM($AS$5:$AS$404),2),IF($AD215="D",INDEX($AS$5:$AS$404,$AC215),IF($AD215="T",ROUND(SUMIF($X$5:$X$404,$AF215,$AS$5:$AS$404),2),IF($AD215="B",ROUND(SUMIF($AN$5:$AN$404,$AQ215,$AS$5:$AS$404),2),""))))</f>
        <v/>
      </c>
      <c r="G215" s="32">
        <f>IF($AD215&lt;&gt;"D","",INDEX($AT$5:$AT$404,$AC215))</f>
        <v/>
      </c>
      <c r="H215" s="32">
        <f>IF($AD215&lt;&gt;"D","",INDEX($BC$5:$BC$404,$AC215))</f>
        <v/>
      </c>
      <c r="I215" s="32">
        <f>IF($AD215&lt;&gt;"D","",INDEX($BD$5:$BD$404,$AC215))</f>
        <v/>
      </c>
      <c r="J215" s="46">
        <f>IF($AD215&lt;&gt;"D","",IF(N($B215)=0,"",ROUND($I215/$B215,4)))</f>
        <v/>
      </c>
      <c r="K215" s="32">
        <f>IF($AD215="Z",ROUND(SUM($AU$5:$AU$404),2),IF($AD215="D",INDEX($AU$5:$AU$404,$AC215),IF($AD215="T",ROUND(SUMIF($X$5:$X$404,$AF215,$AU$5:$AU$404),2),IF($AD215="B",ROUND(SUMIF($AN$5:$AN$404,$AQ215,$AU$5:$AU$404),2),""))))</f>
        <v/>
      </c>
      <c r="L215" s="32">
        <f>IF($AD215="Z",ROUND(SUM($AV$5:$AV$404),2),IF($AD215="D",INDEX($AV$5:$AV$404,$AC215),IF($AD215="T",ROUND(SUMIF($X$5:$X$404,$AF215,$AV$5:$AV$404),2),IF($AD215="B",ROUND(SUMIF($AN$5:$AN$404,$AQ215,$AV$5:$AV$404),2),""))))</f>
        <v/>
      </c>
      <c r="M215" s="32">
        <f>IF($AD215="Z",ROUND(SUM($AJ$5:$AJ$704),2),IF($AD215="B",ROUND(SUMIF($AQ$5:$AQ$704,$AQ215,$AJ$5:$AJ$704),2),IF($AD215&lt;&gt;"T","",$AJ215)))</f>
        <v/>
      </c>
      <c r="N215" s="32">
        <f>IF(OR($AD215="D",$AD215="T",$AD215="B",$AD215="Z"),ROUND(N($K215)-N($L215)-N($M215),2),"")</f>
        <v/>
      </c>
      <c r="O215" s="32">
        <f>IF(OR($AD215="D",$AD215="T",$AD215="B",$AD215="Z"),IF(N($E215)=0,"",ROUND($F215/$E215,2)),"")</f>
        <v/>
      </c>
      <c r="Q215">
        <f>IFERROR(MATCH(211,บันทึกรายเที่ยว!$Z$6:$Z$6005,0),"")</f>
        <v/>
      </c>
      <c r="R215">
        <f>IF($Q215="","",INDEX(บันทึกรายเที่ยว!$V$6:$V$6005,$Q215))</f>
        <v/>
      </c>
      <c r="S215">
        <f>IF($Q215="","",INDEX(บันทึกรายเที่ยว!$F$6:$F$6005,$Q215))</f>
        <v/>
      </c>
      <c r="T215">
        <f>IF($Q215="","",MATCH($S215,บันทึกรายเที่ยว!$F$6:$F$6005,0))</f>
        <v/>
      </c>
      <c r="U215">
        <f>IF($Q215="","",$AL215*10000000+$T215*1000+211)</f>
        <v/>
      </c>
      <c r="V215">
        <f>IFERROR(MATCH(SMALL($U$5:$U$404,211),$U$5:$U$404,0),"")</f>
        <v/>
      </c>
      <c r="W215">
        <f>IF($V215="","",INDEX($Q$5:$Q$404,$V215))</f>
        <v/>
      </c>
      <c r="X215">
        <f>IF($V215="","",INDEX($S$5:$S$404,$V215))</f>
        <v/>
      </c>
      <c r="Y215">
        <f>IF($V215="","",INDEX($R$5:$R$404,$V215))</f>
        <v/>
      </c>
      <c r="Z215">
        <f>IF($V215="",0,IF($X215&lt;&gt;$X214,1,0))</f>
        <v/>
      </c>
      <c r="AA215">
        <f>IF($V215="",0,IF($V216="",1,IF($X216&lt;&gt;$X215,1,0)))</f>
        <v/>
      </c>
      <c r="AB215">
        <f>IF($V215="",99999+211,$AB214+1+$Z214+$AA214+$AO214)</f>
        <v/>
      </c>
      <c r="AC215">
        <f>IFERROR(MATCH(211,$AB$5:$AB$404,1),"")</f>
        <v/>
      </c>
      <c r="AD215">
        <f>IF(211=$AI$1+1,"Z",IF($AC215="","",IF(INDEX($V$5:$V$404,$AC215)="","",IF(211&gt;INDEX($AB$5:$AB$404,$AC215)+INDEX($Z$5:$Z$404,$AC215)+INDEX($AA$5:$AA$404,$AC215)+INDEX($AO$5:$AO$404,$AC215),"",IF(211=INDEX($AB$5:$AB$404,$AC215)+INDEX($Z$5:$Z$404,$AC215),"D",IF(AND(INDEX($Z$5:$Z$404,$AC215)=1,211=INDEX($AB$5:$AB$404,$AC215)),"H",IF(AND(INDEX($AO$5:$AO$404,$AC215)=1,211=INDEX($AB$5:$AB$404,$AC215)+INDEX($Z$5:$Z$404,$AC215)+INDEX($AA$5:$AA$404,$AC215)+INDEX($AO$5:$AO$404,$AC215)),"B","T")))))))</f>
        <v/>
      </c>
      <c r="AF215">
        <f>IF(OR($AD215="",$AD215="Z",$AD215="B"),"",INDEX($X$5:$X$404,$AC215))</f>
        <v/>
      </c>
      <c r="AJ215">
        <f>IF($AD215&lt;&gt;"T",0,ROUND(SUMIF(oil!$B$4:$B$63,$AF215,oil!$AE$4:$AE$63),2))</f>
        <v/>
      </c>
      <c r="AK215">
        <f>IF($S215="","",IFERROR(INDEX(อัตราค่าขนส่ง!$P$5:$P$54,MATCH($S215,อัตราค่าขนส่ง!$O$5:$O$54,0)),INDEX(รายการมาตรฐาน!$G$2:$G$3,1)))</f>
        <v/>
      </c>
      <c r="AL215">
        <f>IF($S215="","",IFERROR(MATCH($AK215,รายการมาตรฐาน!$G$2:$G$3,0),1))</f>
        <v/>
      </c>
      <c r="AM215">
        <f>IF($V215="","",INDEX($AK$5:$AK$404,$V215))</f>
        <v/>
      </c>
      <c r="AN215">
        <f>IF($V215="","",INDEX($AL$5:$AL$404,$V215))</f>
        <v/>
      </c>
      <c r="AO215">
        <f>IF(OR($V215="",$AI$2&lt;=1),0,IF($V216="",1,IF($AN216&lt;&gt;$AN215,1,0)))</f>
        <v/>
      </c>
      <c r="AP215">
        <f>IF($V215="",0,IF($AN215&lt;&gt;$AN214,1,0))</f>
        <v/>
      </c>
      <c r="AQ215">
        <f>IF(OR($AD215="",$AD215="Z"),"",INDEX($AN$5:$AN$404,$AC215))</f>
        <v/>
      </c>
      <c r="AR215">
        <f>IF($Y215="",0,COUNTIF(บันทึกรายเที่ยว!$V$6:$V$6005,$Y215))</f>
        <v/>
      </c>
      <c r="AS215">
        <f>IF($Y215="",0,ROUND(SUMIF(บันทึกรายเที่ยว!$V$6:$V$6005,$Y215,บันทึกรายเที่ยว!$M$6:$M$6005),2))</f>
        <v/>
      </c>
      <c r="AT215">
        <f>IF($Y215="",0,IFERROR(INDEX(อัตราค่าขนส่ง!$G$5:$G$204,MATCH($Y215,อัตราค่าขนส่ง!$M$5:$M$204,0)),0))</f>
        <v/>
      </c>
      <c r="AU215">
        <f>ROUND($AS215*$BD215,2)</f>
        <v/>
      </c>
      <c r="AV215">
        <f>ROUND($AU215*$BF$2/100,2)</f>
        <v/>
      </c>
      <c r="AW215">
        <f>IF($Y215="","",IFERROR(INDEX(อัตราค่าขนส่ง!$F$5:$F$204,MATCH($Y215,อัตราค่าขนส่ง!$M$5:$M$204,0)),""))</f>
        <v/>
      </c>
      <c r="AX215">
        <f>IF($W215="","",INDEX(บันทึกรายเที่ยว!$D$6:$D$6005,$W215))</f>
        <v/>
      </c>
      <c r="AY215">
        <f>IF($W215="","",INDEX(บันทึกรายเที่ยว!$R$6:$R$6005,$W215))</f>
        <v/>
      </c>
      <c r="AZ215">
        <f>IF(AND($AD215="T",$AQ215=1),N($AZ214)+1,N($AZ214))</f>
        <v/>
      </c>
      <c r="BA215">
        <f>IF($W215="","",INDEX(บันทึกรายเที่ยว!$E$6:$E$6005,$W215))</f>
        <v/>
      </c>
      <c r="BC215">
        <f>IF($Y215="",0,IFERROR(INDEX(อัตราค่าขนส่ง!$K$5:$K$204,MATCH($Y215,อัตราค่าขนส่ง!$M$5:$M$204,0)),0))</f>
        <v/>
      </c>
      <c r="BD215">
        <f>IF($Y215="",0,IFERROR(INDEX(อัตราค่าขนส่ง!$L$5:$L$204,MATCH($Y215,อัตราค่าขนส่ง!$M$5:$M$204,0)),0))</f>
        <v/>
      </c>
    </row>
    <row r="216" ht="21" customHeight="1" s="66">
      <c r="A216" s="69">
        <f>IF($AD216="","",IF($AD216="Z","รวมจ่ายทั้งสิ้น",IF($AD216="H",INDEX($X$5:$X$404,$AC216),IF($AD216="T","รวม",IF($AD216="B",IFERROR(INDEX(อัตราค่าขนส่ง!$S$5:$S$14,MATCH(INDEX($AM$5:$AM$404,$AC216),อัตราค่าขนส่ง!$R$5:$R$14,0)),"รวมกลุ่ม "&amp;INDEX($AM$5:$AM$404,$AC216)),INDEX($AY$5:$AY$404,$AC216))))))</f>
        <v/>
      </c>
      <c r="B216" s="31">
        <f>IF($AD216&lt;&gt;"D","",INDEX($AW$5:$AW$404,$AC216))</f>
        <v/>
      </c>
      <c r="C216" s="68">
        <f>IF($AD216&lt;&gt;"D","",INDEX($AX$5:$AX$404,$AC216))</f>
        <v/>
      </c>
      <c r="D216" s="70">
        <f>IF($AD216&lt;&gt;"D","",INDEX($BA$5:$BA$404,$AC216))</f>
        <v/>
      </c>
      <c r="E216" s="31">
        <f>IF($AD216="Z",SUM($AR$5:$AR$404),IF($AD216="D",INDEX($AR$5:$AR$404,$AC216),IF($AD216="T",SUMIF($X$5:$X$404,$AF216,$AR$5:$AR$404),IF($AD216="B",SUMIF($AN$5:$AN$404,$AQ216,$AR$5:$AR$404),""))))</f>
        <v/>
      </c>
      <c r="F216" s="32">
        <f>IF($AD216="Z",ROUND(SUM($AS$5:$AS$404),2),IF($AD216="D",INDEX($AS$5:$AS$404,$AC216),IF($AD216="T",ROUND(SUMIF($X$5:$X$404,$AF216,$AS$5:$AS$404),2),IF($AD216="B",ROUND(SUMIF($AN$5:$AN$404,$AQ216,$AS$5:$AS$404),2),""))))</f>
        <v/>
      </c>
      <c r="G216" s="32">
        <f>IF($AD216&lt;&gt;"D","",INDEX($AT$5:$AT$404,$AC216))</f>
        <v/>
      </c>
      <c r="H216" s="32">
        <f>IF($AD216&lt;&gt;"D","",INDEX($BC$5:$BC$404,$AC216))</f>
        <v/>
      </c>
      <c r="I216" s="32">
        <f>IF($AD216&lt;&gt;"D","",INDEX($BD$5:$BD$404,$AC216))</f>
        <v/>
      </c>
      <c r="J216" s="46">
        <f>IF($AD216&lt;&gt;"D","",IF(N($B216)=0,"",ROUND($I216/$B216,4)))</f>
        <v/>
      </c>
      <c r="K216" s="32">
        <f>IF($AD216="Z",ROUND(SUM($AU$5:$AU$404),2),IF($AD216="D",INDEX($AU$5:$AU$404,$AC216),IF($AD216="T",ROUND(SUMIF($X$5:$X$404,$AF216,$AU$5:$AU$404),2),IF($AD216="B",ROUND(SUMIF($AN$5:$AN$404,$AQ216,$AU$5:$AU$404),2),""))))</f>
        <v/>
      </c>
      <c r="L216" s="32">
        <f>IF($AD216="Z",ROUND(SUM($AV$5:$AV$404),2),IF($AD216="D",INDEX($AV$5:$AV$404,$AC216),IF($AD216="T",ROUND(SUMIF($X$5:$X$404,$AF216,$AV$5:$AV$404),2),IF($AD216="B",ROUND(SUMIF($AN$5:$AN$404,$AQ216,$AV$5:$AV$404),2),""))))</f>
        <v/>
      </c>
      <c r="M216" s="32">
        <f>IF($AD216="Z",ROUND(SUM($AJ$5:$AJ$704),2),IF($AD216="B",ROUND(SUMIF($AQ$5:$AQ$704,$AQ216,$AJ$5:$AJ$704),2),IF($AD216&lt;&gt;"T","",$AJ216)))</f>
        <v/>
      </c>
      <c r="N216" s="32">
        <f>IF(OR($AD216="D",$AD216="T",$AD216="B",$AD216="Z"),ROUND(N($K216)-N($L216)-N($M216),2),"")</f>
        <v/>
      </c>
      <c r="O216" s="32">
        <f>IF(OR($AD216="D",$AD216="T",$AD216="B",$AD216="Z"),IF(N($E216)=0,"",ROUND($F216/$E216,2)),"")</f>
        <v/>
      </c>
      <c r="Q216">
        <f>IFERROR(MATCH(212,บันทึกรายเที่ยว!$Z$6:$Z$6005,0),"")</f>
        <v/>
      </c>
      <c r="R216">
        <f>IF($Q216="","",INDEX(บันทึกรายเที่ยว!$V$6:$V$6005,$Q216))</f>
        <v/>
      </c>
      <c r="S216">
        <f>IF($Q216="","",INDEX(บันทึกรายเที่ยว!$F$6:$F$6005,$Q216))</f>
        <v/>
      </c>
      <c r="T216">
        <f>IF($Q216="","",MATCH($S216,บันทึกรายเที่ยว!$F$6:$F$6005,0))</f>
        <v/>
      </c>
      <c r="U216">
        <f>IF($Q216="","",$AL216*10000000+$T216*1000+212)</f>
        <v/>
      </c>
      <c r="V216">
        <f>IFERROR(MATCH(SMALL($U$5:$U$404,212),$U$5:$U$404,0),"")</f>
        <v/>
      </c>
      <c r="W216">
        <f>IF($V216="","",INDEX($Q$5:$Q$404,$V216))</f>
        <v/>
      </c>
      <c r="X216">
        <f>IF($V216="","",INDEX($S$5:$S$404,$V216))</f>
        <v/>
      </c>
      <c r="Y216">
        <f>IF($V216="","",INDEX($R$5:$R$404,$V216))</f>
        <v/>
      </c>
      <c r="Z216">
        <f>IF($V216="",0,IF($X216&lt;&gt;$X215,1,0))</f>
        <v/>
      </c>
      <c r="AA216">
        <f>IF($V216="",0,IF($V217="",1,IF($X217&lt;&gt;$X216,1,0)))</f>
        <v/>
      </c>
      <c r="AB216">
        <f>IF($V216="",99999+212,$AB215+1+$Z215+$AA215+$AO215)</f>
        <v/>
      </c>
      <c r="AC216">
        <f>IFERROR(MATCH(212,$AB$5:$AB$404,1),"")</f>
        <v/>
      </c>
      <c r="AD216">
        <f>IF(212=$AI$1+1,"Z",IF($AC216="","",IF(INDEX($V$5:$V$404,$AC216)="","",IF(212&gt;INDEX($AB$5:$AB$404,$AC216)+INDEX($Z$5:$Z$404,$AC216)+INDEX($AA$5:$AA$404,$AC216)+INDEX($AO$5:$AO$404,$AC216),"",IF(212=INDEX($AB$5:$AB$404,$AC216)+INDEX($Z$5:$Z$404,$AC216),"D",IF(AND(INDEX($Z$5:$Z$404,$AC216)=1,212=INDEX($AB$5:$AB$404,$AC216)),"H",IF(AND(INDEX($AO$5:$AO$404,$AC216)=1,212=INDEX($AB$5:$AB$404,$AC216)+INDEX($Z$5:$Z$404,$AC216)+INDEX($AA$5:$AA$404,$AC216)+INDEX($AO$5:$AO$404,$AC216)),"B","T")))))))</f>
        <v/>
      </c>
      <c r="AF216">
        <f>IF(OR($AD216="",$AD216="Z",$AD216="B"),"",INDEX($X$5:$X$404,$AC216))</f>
        <v/>
      </c>
      <c r="AJ216">
        <f>IF($AD216&lt;&gt;"T",0,ROUND(SUMIF(oil!$B$4:$B$63,$AF216,oil!$AE$4:$AE$63),2))</f>
        <v/>
      </c>
      <c r="AK216">
        <f>IF($S216="","",IFERROR(INDEX(อัตราค่าขนส่ง!$P$5:$P$54,MATCH($S216,อัตราค่าขนส่ง!$O$5:$O$54,0)),INDEX(รายการมาตรฐาน!$G$2:$G$3,1)))</f>
        <v/>
      </c>
      <c r="AL216">
        <f>IF($S216="","",IFERROR(MATCH($AK216,รายการมาตรฐาน!$G$2:$G$3,0),1))</f>
        <v/>
      </c>
      <c r="AM216">
        <f>IF($V216="","",INDEX($AK$5:$AK$404,$V216))</f>
        <v/>
      </c>
      <c r="AN216">
        <f>IF($V216="","",INDEX($AL$5:$AL$404,$V216))</f>
        <v/>
      </c>
      <c r="AO216">
        <f>IF(OR($V216="",$AI$2&lt;=1),0,IF($V217="",1,IF($AN217&lt;&gt;$AN216,1,0)))</f>
        <v/>
      </c>
      <c r="AP216">
        <f>IF($V216="",0,IF($AN216&lt;&gt;$AN215,1,0))</f>
        <v/>
      </c>
      <c r="AQ216">
        <f>IF(OR($AD216="",$AD216="Z"),"",INDEX($AN$5:$AN$404,$AC216))</f>
        <v/>
      </c>
      <c r="AR216">
        <f>IF($Y216="",0,COUNTIF(บันทึกรายเที่ยว!$V$6:$V$6005,$Y216))</f>
        <v/>
      </c>
      <c r="AS216">
        <f>IF($Y216="",0,ROUND(SUMIF(บันทึกรายเที่ยว!$V$6:$V$6005,$Y216,บันทึกรายเที่ยว!$M$6:$M$6005),2))</f>
        <v/>
      </c>
      <c r="AT216">
        <f>IF($Y216="",0,IFERROR(INDEX(อัตราค่าขนส่ง!$G$5:$G$204,MATCH($Y216,อัตราค่าขนส่ง!$M$5:$M$204,0)),0))</f>
        <v/>
      </c>
      <c r="AU216">
        <f>ROUND($AS216*$BD216,2)</f>
        <v/>
      </c>
      <c r="AV216">
        <f>ROUND($AU216*$BF$2/100,2)</f>
        <v/>
      </c>
      <c r="AW216">
        <f>IF($Y216="","",IFERROR(INDEX(อัตราค่าขนส่ง!$F$5:$F$204,MATCH($Y216,อัตราค่าขนส่ง!$M$5:$M$204,0)),""))</f>
        <v/>
      </c>
      <c r="AX216">
        <f>IF($W216="","",INDEX(บันทึกรายเที่ยว!$D$6:$D$6005,$W216))</f>
        <v/>
      </c>
      <c r="AY216">
        <f>IF($W216="","",INDEX(บันทึกรายเที่ยว!$R$6:$R$6005,$W216))</f>
        <v/>
      </c>
      <c r="AZ216">
        <f>IF(AND($AD216="T",$AQ216=1),N($AZ215)+1,N($AZ215))</f>
        <v/>
      </c>
      <c r="BA216">
        <f>IF($W216="","",INDEX(บันทึกรายเที่ยว!$E$6:$E$6005,$W216))</f>
        <v/>
      </c>
      <c r="BC216">
        <f>IF($Y216="",0,IFERROR(INDEX(อัตราค่าขนส่ง!$K$5:$K$204,MATCH($Y216,อัตราค่าขนส่ง!$M$5:$M$204,0)),0))</f>
        <v/>
      </c>
      <c r="BD216">
        <f>IF($Y216="",0,IFERROR(INDEX(อัตราค่าขนส่ง!$L$5:$L$204,MATCH($Y216,อัตราค่าขนส่ง!$M$5:$M$204,0)),0))</f>
        <v/>
      </c>
    </row>
    <row r="217" ht="21" customHeight="1" s="66">
      <c r="A217" s="69">
        <f>IF($AD217="","",IF($AD217="Z","รวมจ่ายทั้งสิ้น",IF($AD217="H",INDEX($X$5:$X$404,$AC217),IF($AD217="T","รวม",IF($AD217="B",IFERROR(INDEX(อัตราค่าขนส่ง!$S$5:$S$14,MATCH(INDEX($AM$5:$AM$404,$AC217),อัตราค่าขนส่ง!$R$5:$R$14,0)),"รวมกลุ่ม "&amp;INDEX($AM$5:$AM$404,$AC217)),INDEX($AY$5:$AY$404,$AC217))))))</f>
        <v/>
      </c>
      <c r="B217" s="31">
        <f>IF($AD217&lt;&gt;"D","",INDEX($AW$5:$AW$404,$AC217))</f>
        <v/>
      </c>
      <c r="C217" s="68">
        <f>IF($AD217&lt;&gt;"D","",INDEX($AX$5:$AX$404,$AC217))</f>
        <v/>
      </c>
      <c r="D217" s="70">
        <f>IF($AD217&lt;&gt;"D","",INDEX($BA$5:$BA$404,$AC217))</f>
        <v/>
      </c>
      <c r="E217" s="31">
        <f>IF($AD217="Z",SUM($AR$5:$AR$404),IF($AD217="D",INDEX($AR$5:$AR$404,$AC217),IF($AD217="T",SUMIF($X$5:$X$404,$AF217,$AR$5:$AR$404),IF($AD217="B",SUMIF($AN$5:$AN$404,$AQ217,$AR$5:$AR$404),""))))</f>
        <v/>
      </c>
      <c r="F217" s="32">
        <f>IF($AD217="Z",ROUND(SUM($AS$5:$AS$404),2),IF($AD217="D",INDEX($AS$5:$AS$404,$AC217),IF($AD217="T",ROUND(SUMIF($X$5:$X$404,$AF217,$AS$5:$AS$404),2),IF($AD217="B",ROUND(SUMIF($AN$5:$AN$404,$AQ217,$AS$5:$AS$404),2),""))))</f>
        <v/>
      </c>
      <c r="G217" s="32">
        <f>IF($AD217&lt;&gt;"D","",INDEX($AT$5:$AT$404,$AC217))</f>
        <v/>
      </c>
      <c r="H217" s="32">
        <f>IF($AD217&lt;&gt;"D","",INDEX($BC$5:$BC$404,$AC217))</f>
        <v/>
      </c>
      <c r="I217" s="32">
        <f>IF($AD217&lt;&gt;"D","",INDEX($BD$5:$BD$404,$AC217))</f>
        <v/>
      </c>
      <c r="J217" s="46">
        <f>IF($AD217&lt;&gt;"D","",IF(N($B217)=0,"",ROUND($I217/$B217,4)))</f>
        <v/>
      </c>
      <c r="K217" s="32">
        <f>IF($AD217="Z",ROUND(SUM($AU$5:$AU$404),2),IF($AD217="D",INDEX($AU$5:$AU$404,$AC217),IF($AD217="T",ROUND(SUMIF($X$5:$X$404,$AF217,$AU$5:$AU$404),2),IF($AD217="B",ROUND(SUMIF($AN$5:$AN$404,$AQ217,$AU$5:$AU$404),2),""))))</f>
        <v/>
      </c>
      <c r="L217" s="32">
        <f>IF($AD217="Z",ROUND(SUM($AV$5:$AV$404),2),IF($AD217="D",INDEX($AV$5:$AV$404,$AC217),IF($AD217="T",ROUND(SUMIF($X$5:$X$404,$AF217,$AV$5:$AV$404),2),IF($AD217="B",ROUND(SUMIF($AN$5:$AN$404,$AQ217,$AV$5:$AV$404),2),""))))</f>
        <v/>
      </c>
      <c r="M217" s="32">
        <f>IF($AD217="Z",ROUND(SUM($AJ$5:$AJ$704),2),IF($AD217="B",ROUND(SUMIF($AQ$5:$AQ$704,$AQ217,$AJ$5:$AJ$704),2),IF($AD217&lt;&gt;"T","",$AJ217)))</f>
        <v/>
      </c>
      <c r="N217" s="32">
        <f>IF(OR($AD217="D",$AD217="T",$AD217="B",$AD217="Z"),ROUND(N($K217)-N($L217)-N($M217),2),"")</f>
        <v/>
      </c>
      <c r="O217" s="32">
        <f>IF(OR($AD217="D",$AD217="T",$AD217="B",$AD217="Z"),IF(N($E217)=0,"",ROUND($F217/$E217,2)),"")</f>
        <v/>
      </c>
      <c r="Q217">
        <f>IFERROR(MATCH(213,บันทึกรายเที่ยว!$Z$6:$Z$6005,0),"")</f>
        <v/>
      </c>
      <c r="R217">
        <f>IF($Q217="","",INDEX(บันทึกรายเที่ยว!$V$6:$V$6005,$Q217))</f>
        <v/>
      </c>
      <c r="S217">
        <f>IF($Q217="","",INDEX(บันทึกรายเที่ยว!$F$6:$F$6005,$Q217))</f>
        <v/>
      </c>
      <c r="T217">
        <f>IF($Q217="","",MATCH($S217,บันทึกรายเที่ยว!$F$6:$F$6005,0))</f>
        <v/>
      </c>
      <c r="U217">
        <f>IF($Q217="","",$AL217*10000000+$T217*1000+213)</f>
        <v/>
      </c>
      <c r="V217">
        <f>IFERROR(MATCH(SMALL($U$5:$U$404,213),$U$5:$U$404,0),"")</f>
        <v/>
      </c>
      <c r="W217">
        <f>IF($V217="","",INDEX($Q$5:$Q$404,$V217))</f>
        <v/>
      </c>
      <c r="X217">
        <f>IF($V217="","",INDEX($S$5:$S$404,$V217))</f>
        <v/>
      </c>
      <c r="Y217">
        <f>IF($V217="","",INDEX($R$5:$R$404,$V217))</f>
        <v/>
      </c>
      <c r="Z217">
        <f>IF($V217="",0,IF($X217&lt;&gt;$X216,1,0))</f>
        <v/>
      </c>
      <c r="AA217">
        <f>IF($V217="",0,IF($V218="",1,IF($X218&lt;&gt;$X217,1,0)))</f>
        <v/>
      </c>
      <c r="AB217">
        <f>IF($V217="",99999+213,$AB216+1+$Z216+$AA216+$AO216)</f>
        <v/>
      </c>
      <c r="AC217">
        <f>IFERROR(MATCH(213,$AB$5:$AB$404,1),"")</f>
        <v/>
      </c>
      <c r="AD217">
        <f>IF(213=$AI$1+1,"Z",IF($AC217="","",IF(INDEX($V$5:$V$404,$AC217)="","",IF(213&gt;INDEX($AB$5:$AB$404,$AC217)+INDEX($Z$5:$Z$404,$AC217)+INDEX($AA$5:$AA$404,$AC217)+INDEX($AO$5:$AO$404,$AC217),"",IF(213=INDEX($AB$5:$AB$404,$AC217)+INDEX($Z$5:$Z$404,$AC217),"D",IF(AND(INDEX($Z$5:$Z$404,$AC217)=1,213=INDEX($AB$5:$AB$404,$AC217)),"H",IF(AND(INDEX($AO$5:$AO$404,$AC217)=1,213=INDEX($AB$5:$AB$404,$AC217)+INDEX($Z$5:$Z$404,$AC217)+INDEX($AA$5:$AA$404,$AC217)+INDEX($AO$5:$AO$404,$AC217)),"B","T")))))))</f>
        <v/>
      </c>
      <c r="AF217">
        <f>IF(OR($AD217="",$AD217="Z",$AD217="B"),"",INDEX($X$5:$X$404,$AC217))</f>
        <v/>
      </c>
      <c r="AJ217">
        <f>IF($AD217&lt;&gt;"T",0,ROUND(SUMIF(oil!$B$4:$B$63,$AF217,oil!$AE$4:$AE$63),2))</f>
        <v/>
      </c>
      <c r="AK217">
        <f>IF($S217="","",IFERROR(INDEX(อัตราค่าขนส่ง!$P$5:$P$54,MATCH($S217,อัตราค่าขนส่ง!$O$5:$O$54,0)),INDEX(รายการมาตรฐาน!$G$2:$G$3,1)))</f>
        <v/>
      </c>
      <c r="AL217">
        <f>IF($S217="","",IFERROR(MATCH($AK217,รายการมาตรฐาน!$G$2:$G$3,0),1))</f>
        <v/>
      </c>
      <c r="AM217">
        <f>IF($V217="","",INDEX($AK$5:$AK$404,$V217))</f>
        <v/>
      </c>
      <c r="AN217">
        <f>IF($V217="","",INDEX($AL$5:$AL$404,$V217))</f>
        <v/>
      </c>
      <c r="AO217">
        <f>IF(OR($V217="",$AI$2&lt;=1),0,IF($V218="",1,IF($AN218&lt;&gt;$AN217,1,0)))</f>
        <v/>
      </c>
      <c r="AP217">
        <f>IF($V217="",0,IF($AN217&lt;&gt;$AN216,1,0))</f>
        <v/>
      </c>
      <c r="AQ217">
        <f>IF(OR($AD217="",$AD217="Z"),"",INDEX($AN$5:$AN$404,$AC217))</f>
        <v/>
      </c>
      <c r="AR217">
        <f>IF($Y217="",0,COUNTIF(บันทึกรายเที่ยว!$V$6:$V$6005,$Y217))</f>
        <v/>
      </c>
      <c r="AS217">
        <f>IF($Y217="",0,ROUND(SUMIF(บันทึกรายเที่ยว!$V$6:$V$6005,$Y217,บันทึกรายเที่ยว!$M$6:$M$6005),2))</f>
        <v/>
      </c>
      <c r="AT217">
        <f>IF($Y217="",0,IFERROR(INDEX(อัตราค่าขนส่ง!$G$5:$G$204,MATCH($Y217,อัตราค่าขนส่ง!$M$5:$M$204,0)),0))</f>
        <v/>
      </c>
      <c r="AU217">
        <f>ROUND($AS217*$BD217,2)</f>
        <v/>
      </c>
      <c r="AV217">
        <f>ROUND($AU217*$BF$2/100,2)</f>
        <v/>
      </c>
      <c r="AW217">
        <f>IF($Y217="","",IFERROR(INDEX(อัตราค่าขนส่ง!$F$5:$F$204,MATCH($Y217,อัตราค่าขนส่ง!$M$5:$M$204,0)),""))</f>
        <v/>
      </c>
      <c r="AX217">
        <f>IF($W217="","",INDEX(บันทึกรายเที่ยว!$D$6:$D$6005,$W217))</f>
        <v/>
      </c>
      <c r="AY217">
        <f>IF($W217="","",INDEX(บันทึกรายเที่ยว!$R$6:$R$6005,$W217))</f>
        <v/>
      </c>
      <c r="AZ217">
        <f>IF(AND($AD217="T",$AQ217=1),N($AZ216)+1,N($AZ216))</f>
        <v/>
      </c>
      <c r="BA217">
        <f>IF($W217="","",INDEX(บันทึกรายเที่ยว!$E$6:$E$6005,$W217))</f>
        <v/>
      </c>
      <c r="BC217">
        <f>IF($Y217="",0,IFERROR(INDEX(อัตราค่าขนส่ง!$K$5:$K$204,MATCH($Y217,อัตราค่าขนส่ง!$M$5:$M$204,0)),0))</f>
        <v/>
      </c>
      <c r="BD217">
        <f>IF($Y217="",0,IFERROR(INDEX(อัตราค่าขนส่ง!$L$5:$L$204,MATCH($Y217,อัตราค่าขนส่ง!$M$5:$M$204,0)),0))</f>
        <v/>
      </c>
    </row>
    <row r="218" ht="21" customHeight="1" s="66">
      <c r="A218" s="69">
        <f>IF($AD218="","",IF($AD218="Z","รวมจ่ายทั้งสิ้น",IF($AD218="H",INDEX($X$5:$X$404,$AC218),IF($AD218="T","รวม",IF($AD218="B",IFERROR(INDEX(อัตราค่าขนส่ง!$S$5:$S$14,MATCH(INDEX($AM$5:$AM$404,$AC218),อัตราค่าขนส่ง!$R$5:$R$14,0)),"รวมกลุ่ม "&amp;INDEX($AM$5:$AM$404,$AC218)),INDEX($AY$5:$AY$404,$AC218))))))</f>
        <v/>
      </c>
      <c r="B218" s="31">
        <f>IF($AD218&lt;&gt;"D","",INDEX($AW$5:$AW$404,$AC218))</f>
        <v/>
      </c>
      <c r="C218" s="68">
        <f>IF($AD218&lt;&gt;"D","",INDEX($AX$5:$AX$404,$AC218))</f>
        <v/>
      </c>
      <c r="D218" s="70">
        <f>IF($AD218&lt;&gt;"D","",INDEX($BA$5:$BA$404,$AC218))</f>
        <v/>
      </c>
      <c r="E218" s="31">
        <f>IF($AD218="Z",SUM($AR$5:$AR$404),IF($AD218="D",INDEX($AR$5:$AR$404,$AC218),IF($AD218="T",SUMIF($X$5:$X$404,$AF218,$AR$5:$AR$404),IF($AD218="B",SUMIF($AN$5:$AN$404,$AQ218,$AR$5:$AR$404),""))))</f>
        <v/>
      </c>
      <c r="F218" s="32">
        <f>IF($AD218="Z",ROUND(SUM($AS$5:$AS$404),2),IF($AD218="D",INDEX($AS$5:$AS$404,$AC218),IF($AD218="T",ROUND(SUMIF($X$5:$X$404,$AF218,$AS$5:$AS$404),2),IF($AD218="B",ROUND(SUMIF($AN$5:$AN$404,$AQ218,$AS$5:$AS$404),2),""))))</f>
        <v/>
      </c>
      <c r="G218" s="32">
        <f>IF($AD218&lt;&gt;"D","",INDEX($AT$5:$AT$404,$AC218))</f>
        <v/>
      </c>
      <c r="H218" s="32">
        <f>IF($AD218&lt;&gt;"D","",INDEX($BC$5:$BC$404,$AC218))</f>
        <v/>
      </c>
      <c r="I218" s="32">
        <f>IF($AD218&lt;&gt;"D","",INDEX($BD$5:$BD$404,$AC218))</f>
        <v/>
      </c>
      <c r="J218" s="46">
        <f>IF($AD218&lt;&gt;"D","",IF(N($B218)=0,"",ROUND($I218/$B218,4)))</f>
        <v/>
      </c>
      <c r="K218" s="32">
        <f>IF($AD218="Z",ROUND(SUM($AU$5:$AU$404),2),IF($AD218="D",INDEX($AU$5:$AU$404,$AC218),IF($AD218="T",ROUND(SUMIF($X$5:$X$404,$AF218,$AU$5:$AU$404),2),IF($AD218="B",ROUND(SUMIF($AN$5:$AN$404,$AQ218,$AU$5:$AU$404),2),""))))</f>
        <v/>
      </c>
      <c r="L218" s="32">
        <f>IF($AD218="Z",ROUND(SUM($AV$5:$AV$404),2),IF($AD218="D",INDEX($AV$5:$AV$404,$AC218),IF($AD218="T",ROUND(SUMIF($X$5:$X$404,$AF218,$AV$5:$AV$404),2),IF($AD218="B",ROUND(SUMIF($AN$5:$AN$404,$AQ218,$AV$5:$AV$404),2),""))))</f>
        <v/>
      </c>
      <c r="M218" s="32">
        <f>IF($AD218="Z",ROUND(SUM($AJ$5:$AJ$704),2),IF($AD218="B",ROUND(SUMIF($AQ$5:$AQ$704,$AQ218,$AJ$5:$AJ$704),2),IF($AD218&lt;&gt;"T","",$AJ218)))</f>
        <v/>
      </c>
      <c r="N218" s="32">
        <f>IF(OR($AD218="D",$AD218="T",$AD218="B",$AD218="Z"),ROUND(N($K218)-N($L218)-N($M218),2),"")</f>
        <v/>
      </c>
      <c r="O218" s="32">
        <f>IF(OR($AD218="D",$AD218="T",$AD218="B",$AD218="Z"),IF(N($E218)=0,"",ROUND($F218/$E218,2)),"")</f>
        <v/>
      </c>
      <c r="Q218">
        <f>IFERROR(MATCH(214,บันทึกรายเที่ยว!$Z$6:$Z$6005,0),"")</f>
        <v/>
      </c>
      <c r="R218">
        <f>IF($Q218="","",INDEX(บันทึกรายเที่ยว!$V$6:$V$6005,$Q218))</f>
        <v/>
      </c>
      <c r="S218">
        <f>IF($Q218="","",INDEX(บันทึกรายเที่ยว!$F$6:$F$6005,$Q218))</f>
        <v/>
      </c>
      <c r="T218">
        <f>IF($Q218="","",MATCH($S218,บันทึกรายเที่ยว!$F$6:$F$6005,0))</f>
        <v/>
      </c>
      <c r="U218">
        <f>IF($Q218="","",$AL218*10000000+$T218*1000+214)</f>
        <v/>
      </c>
      <c r="V218">
        <f>IFERROR(MATCH(SMALL($U$5:$U$404,214),$U$5:$U$404,0),"")</f>
        <v/>
      </c>
      <c r="W218">
        <f>IF($V218="","",INDEX($Q$5:$Q$404,$V218))</f>
        <v/>
      </c>
      <c r="X218">
        <f>IF($V218="","",INDEX($S$5:$S$404,$V218))</f>
        <v/>
      </c>
      <c r="Y218">
        <f>IF($V218="","",INDEX($R$5:$R$404,$V218))</f>
        <v/>
      </c>
      <c r="Z218">
        <f>IF($V218="",0,IF($X218&lt;&gt;$X217,1,0))</f>
        <v/>
      </c>
      <c r="AA218">
        <f>IF($V218="",0,IF($V219="",1,IF($X219&lt;&gt;$X218,1,0)))</f>
        <v/>
      </c>
      <c r="AB218">
        <f>IF($V218="",99999+214,$AB217+1+$Z217+$AA217+$AO217)</f>
        <v/>
      </c>
      <c r="AC218">
        <f>IFERROR(MATCH(214,$AB$5:$AB$404,1),"")</f>
        <v/>
      </c>
      <c r="AD218">
        <f>IF(214=$AI$1+1,"Z",IF($AC218="","",IF(INDEX($V$5:$V$404,$AC218)="","",IF(214&gt;INDEX($AB$5:$AB$404,$AC218)+INDEX($Z$5:$Z$404,$AC218)+INDEX($AA$5:$AA$404,$AC218)+INDEX($AO$5:$AO$404,$AC218),"",IF(214=INDEX($AB$5:$AB$404,$AC218)+INDEX($Z$5:$Z$404,$AC218),"D",IF(AND(INDEX($Z$5:$Z$404,$AC218)=1,214=INDEX($AB$5:$AB$404,$AC218)),"H",IF(AND(INDEX($AO$5:$AO$404,$AC218)=1,214=INDEX($AB$5:$AB$404,$AC218)+INDEX($Z$5:$Z$404,$AC218)+INDEX($AA$5:$AA$404,$AC218)+INDEX($AO$5:$AO$404,$AC218)),"B","T")))))))</f>
        <v/>
      </c>
      <c r="AF218">
        <f>IF(OR($AD218="",$AD218="Z",$AD218="B"),"",INDEX($X$5:$X$404,$AC218))</f>
        <v/>
      </c>
      <c r="AJ218">
        <f>IF($AD218&lt;&gt;"T",0,ROUND(SUMIF(oil!$B$4:$B$63,$AF218,oil!$AE$4:$AE$63),2))</f>
        <v/>
      </c>
      <c r="AK218">
        <f>IF($S218="","",IFERROR(INDEX(อัตราค่าขนส่ง!$P$5:$P$54,MATCH($S218,อัตราค่าขนส่ง!$O$5:$O$54,0)),INDEX(รายการมาตรฐาน!$G$2:$G$3,1)))</f>
        <v/>
      </c>
      <c r="AL218">
        <f>IF($S218="","",IFERROR(MATCH($AK218,รายการมาตรฐาน!$G$2:$G$3,0),1))</f>
        <v/>
      </c>
      <c r="AM218">
        <f>IF($V218="","",INDEX($AK$5:$AK$404,$V218))</f>
        <v/>
      </c>
      <c r="AN218">
        <f>IF($V218="","",INDEX($AL$5:$AL$404,$V218))</f>
        <v/>
      </c>
      <c r="AO218">
        <f>IF(OR($V218="",$AI$2&lt;=1),0,IF($V219="",1,IF($AN219&lt;&gt;$AN218,1,0)))</f>
        <v/>
      </c>
      <c r="AP218">
        <f>IF($V218="",0,IF($AN218&lt;&gt;$AN217,1,0))</f>
        <v/>
      </c>
      <c r="AQ218">
        <f>IF(OR($AD218="",$AD218="Z"),"",INDEX($AN$5:$AN$404,$AC218))</f>
        <v/>
      </c>
      <c r="AR218">
        <f>IF($Y218="",0,COUNTIF(บันทึกรายเที่ยว!$V$6:$V$6005,$Y218))</f>
        <v/>
      </c>
      <c r="AS218">
        <f>IF($Y218="",0,ROUND(SUMIF(บันทึกรายเที่ยว!$V$6:$V$6005,$Y218,บันทึกรายเที่ยว!$M$6:$M$6005),2))</f>
        <v/>
      </c>
      <c r="AT218">
        <f>IF($Y218="",0,IFERROR(INDEX(อัตราค่าขนส่ง!$G$5:$G$204,MATCH($Y218,อัตราค่าขนส่ง!$M$5:$M$204,0)),0))</f>
        <v/>
      </c>
      <c r="AU218">
        <f>ROUND($AS218*$BD218,2)</f>
        <v/>
      </c>
      <c r="AV218">
        <f>ROUND($AU218*$BF$2/100,2)</f>
        <v/>
      </c>
      <c r="AW218">
        <f>IF($Y218="","",IFERROR(INDEX(อัตราค่าขนส่ง!$F$5:$F$204,MATCH($Y218,อัตราค่าขนส่ง!$M$5:$M$204,0)),""))</f>
        <v/>
      </c>
      <c r="AX218">
        <f>IF($W218="","",INDEX(บันทึกรายเที่ยว!$D$6:$D$6005,$W218))</f>
        <v/>
      </c>
      <c r="AY218">
        <f>IF($W218="","",INDEX(บันทึกรายเที่ยว!$R$6:$R$6005,$W218))</f>
        <v/>
      </c>
      <c r="AZ218">
        <f>IF(AND($AD218="T",$AQ218=1),N($AZ217)+1,N($AZ217))</f>
        <v/>
      </c>
      <c r="BA218">
        <f>IF($W218="","",INDEX(บันทึกรายเที่ยว!$E$6:$E$6005,$W218))</f>
        <v/>
      </c>
      <c r="BC218">
        <f>IF($Y218="",0,IFERROR(INDEX(อัตราค่าขนส่ง!$K$5:$K$204,MATCH($Y218,อัตราค่าขนส่ง!$M$5:$M$204,0)),0))</f>
        <v/>
      </c>
      <c r="BD218">
        <f>IF($Y218="",0,IFERROR(INDEX(อัตราค่าขนส่ง!$L$5:$L$204,MATCH($Y218,อัตราค่าขนส่ง!$M$5:$M$204,0)),0))</f>
        <v/>
      </c>
    </row>
    <row r="219" ht="21" customHeight="1" s="66">
      <c r="A219" s="69">
        <f>IF($AD219="","",IF($AD219="Z","รวมจ่ายทั้งสิ้น",IF($AD219="H",INDEX($X$5:$X$404,$AC219),IF($AD219="T","รวม",IF($AD219="B",IFERROR(INDEX(อัตราค่าขนส่ง!$S$5:$S$14,MATCH(INDEX($AM$5:$AM$404,$AC219),อัตราค่าขนส่ง!$R$5:$R$14,0)),"รวมกลุ่ม "&amp;INDEX($AM$5:$AM$404,$AC219)),INDEX($AY$5:$AY$404,$AC219))))))</f>
        <v/>
      </c>
      <c r="B219" s="31">
        <f>IF($AD219&lt;&gt;"D","",INDEX($AW$5:$AW$404,$AC219))</f>
        <v/>
      </c>
      <c r="C219" s="68">
        <f>IF($AD219&lt;&gt;"D","",INDEX($AX$5:$AX$404,$AC219))</f>
        <v/>
      </c>
      <c r="D219" s="70">
        <f>IF($AD219&lt;&gt;"D","",INDEX($BA$5:$BA$404,$AC219))</f>
        <v/>
      </c>
      <c r="E219" s="31">
        <f>IF($AD219="Z",SUM($AR$5:$AR$404),IF($AD219="D",INDEX($AR$5:$AR$404,$AC219),IF($AD219="T",SUMIF($X$5:$X$404,$AF219,$AR$5:$AR$404),IF($AD219="B",SUMIF($AN$5:$AN$404,$AQ219,$AR$5:$AR$404),""))))</f>
        <v/>
      </c>
      <c r="F219" s="32">
        <f>IF($AD219="Z",ROUND(SUM($AS$5:$AS$404),2),IF($AD219="D",INDEX($AS$5:$AS$404,$AC219),IF($AD219="T",ROUND(SUMIF($X$5:$X$404,$AF219,$AS$5:$AS$404),2),IF($AD219="B",ROUND(SUMIF($AN$5:$AN$404,$AQ219,$AS$5:$AS$404),2),""))))</f>
        <v/>
      </c>
      <c r="G219" s="32">
        <f>IF($AD219&lt;&gt;"D","",INDEX($AT$5:$AT$404,$AC219))</f>
        <v/>
      </c>
      <c r="H219" s="32">
        <f>IF($AD219&lt;&gt;"D","",INDEX($BC$5:$BC$404,$AC219))</f>
        <v/>
      </c>
      <c r="I219" s="32">
        <f>IF($AD219&lt;&gt;"D","",INDEX($BD$5:$BD$404,$AC219))</f>
        <v/>
      </c>
      <c r="J219" s="46">
        <f>IF($AD219&lt;&gt;"D","",IF(N($B219)=0,"",ROUND($I219/$B219,4)))</f>
        <v/>
      </c>
      <c r="K219" s="32">
        <f>IF($AD219="Z",ROUND(SUM($AU$5:$AU$404),2),IF($AD219="D",INDEX($AU$5:$AU$404,$AC219),IF($AD219="T",ROUND(SUMIF($X$5:$X$404,$AF219,$AU$5:$AU$404),2),IF($AD219="B",ROUND(SUMIF($AN$5:$AN$404,$AQ219,$AU$5:$AU$404),2),""))))</f>
        <v/>
      </c>
      <c r="L219" s="32">
        <f>IF($AD219="Z",ROUND(SUM($AV$5:$AV$404),2),IF($AD219="D",INDEX($AV$5:$AV$404,$AC219),IF($AD219="T",ROUND(SUMIF($X$5:$X$404,$AF219,$AV$5:$AV$404),2),IF($AD219="B",ROUND(SUMIF($AN$5:$AN$404,$AQ219,$AV$5:$AV$404),2),""))))</f>
        <v/>
      </c>
      <c r="M219" s="32">
        <f>IF($AD219="Z",ROUND(SUM($AJ$5:$AJ$704),2),IF($AD219="B",ROUND(SUMIF($AQ$5:$AQ$704,$AQ219,$AJ$5:$AJ$704),2),IF($AD219&lt;&gt;"T","",$AJ219)))</f>
        <v/>
      </c>
      <c r="N219" s="32">
        <f>IF(OR($AD219="D",$AD219="T",$AD219="B",$AD219="Z"),ROUND(N($K219)-N($L219)-N($M219),2),"")</f>
        <v/>
      </c>
      <c r="O219" s="32">
        <f>IF(OR($AD219="D",$AD219="T",$AD219="B",$AD219="Z"),IF(N($E219)=0,"",ROUND($F219/$E219,2)),"")</f>
        <v/>
      </c>
      <c r="Q219">
        <f>IFERROR(MATCH(215,บันทึกรายเที่ยว!$Z$6:$Z$6005,0),"")</f>
        <v/>
      </c>
      <c r="R219">
        <f>IF($Q219="","",INDEX(บันทึกรายเที่ยว!$V$6:$V$6005,$Q219))</f>
        <v/>
      </c>
      <c r="S219">
        <f>IF($Q219="","",INDEX(บันทึกรายเที่ยว!$F$6:$F$6005,$Q219))</f>
        <v/>
      </c>
      <c r="T219">
        <f>IF($Q219="","",MATCH($S219,บันทึกรายเที่ยว!$F$6:$F$6005,0))</f>
        <v/>
      </c>
      <c r="U219">
        <f>IF($Q219="","",$AL219*10000000+$T219*1000+215)</f>
        <v/>
      </c>
      <c r="V219">
        <f>IFERROR(MATCH(SMALL($U$5:$U$404,215),$U$5:$U$404,0),"")</f>
        <v/>
      </c>
      <c r="W219">
        <f>IF($V219="","",INDEX($Q$5:$Q$404,$V219))</f>
        <v/>
      </c>
      <c r="X219">
        <f>IF($V219="","",INDEX($S$5:$S$404,$V219))</f>
        <v/>
      </c>
      <c r="Y219">
        <f>IF($V219="","",INDEX($R$5:$R$404,$V219))</f>
        <v/>
      </c>
      <c r="Z219">
        <f>IF($V219="",0,IF($X219&lt;&gt;$X218,1,0))</f>
        <v/>
      </c>
      <c r="AA219">
        <f>IF($V219="",0,IF($V220="",1,IF($X220&lt;&gt;$X219,1,0)))</f>
        <v/>
      </c>
      <c r="AB219">
        <f>IF($V219="",99999+215,$AB218+1+$Z218+$AA218+$AO218)</f>
        <v/>
      </c>
      <c r="AC219">
        <f>IFERROR(MATCH(215,$AB$5:$AB$404,1),"")</f>
        <v/>
      </c>
      <c r="AD219">
        <f>IF(215=$AI$1+1,"Z",IF($AC219="","",IF(INDEX($V$5:$V$404,$AC219)="","",IF(215&gt;INDEX($AB$5:$AB$404,$AC219)+INDEX($Z$5:$Z$404,$AC219)+INDEX($AA$5:$AA$404,$AC219)+INDEX($AO$5:$AO$404,$AC219),"",IF(215=INDEX($AB$5:$AB$404,$AC219)+INDEX($Z$5:$Z$404,$AC219),"D",IF(AND(INDEX($Z$5:$Z$404,$AC219)=1,215=INDEX($AB$5:$AB$404,$AC219)),"H",IF(AND(INDEX($AO$5:$AO$404,$AC219)=1,215=INDEX($AB$5:$AB$404,$AC219)+INDEX($Z$5:$Z$404,$AC219)+INDEX($AA$5:$AA$404,$AC219)+INDEX($AO$5:$AO$404,$AC219)),"B","T")))))))</f>
        <v/>
      </c>
      <c r="AF219">
        <f>IF(OR($AD219="",$AD219="Z",$AD219="B"),"",INDEX($X$5:$X$404,$AC219))</f>
        <v/>
      </c>
      <c r="AJ219">
        <f>IF($AD219&lt;&gt;"T",0,ROUND(SUMIF(oil!$B$4:$B$63,$AF219,oil!$AE$4:$AE$63),2))</f>
        <v/>
      </c>
      <c r="AK219">
        <f>IF($S219="","",IFERROR(INDEX(อัตราค่าขนส่ง!$P$5:$P$54,MATCH($S219,อัตราค่าขนส่ง!$O$5:$O$54,0)),INDEX(รายการมาตรฐาน!$G$2:$G$3,1)))</f>
        <v/>
      </c>
      <c r="AL219">
        <f>IF($S219="","",IFERROR(MATCH($AK219,รายการมาตรฐาน!$G$2:$G$3,0),1))</f>
        <v/>
      </c>
      <c r="AM219">
        <f>IF($V219="","",INDEX($AK$5:$AK$404,$V219))</f>
        <v/>
      </c>
      <c r="AN219">
        <f>IF($V219="","",INDEX($AL$5:$AL$404,$V219))</f>
        <v/>
      </c>
      <c r="AO219">
        <f>IF(OR($V219="",$AI$2&lt;=1),0,IF($V220="",1,IF($AN220&lt;&gt;$AN219,1,0)))</f>
        <v/>
      </c>
      <c r="AP219">
        <f>IF($V219="",0,IF($AN219&lt;&gt;$AN218,1,0))</f>
        <v/>
      </c>
      <c r="AQ219">
        <f>IF(OR($AD219="",$AD219="Z"),"",INDEX($AN$5:$AN$404,$AC219))</f>
        <v/>
      </c>
      <c r="AR219">
        <f>IF($Y219="",0,COUNTIF(บันทึกรายเที่ยว!$V$6:$V$6005,$Y219))</f>
        <v/>
      </c>
      <c r="AS219">
        <f>IF($Y219="",0,ROUND(SUMIF(บันทึกรายเที่ยว!$V$6:$V$6005,$Y219,บันทึกรายเที่ยว!$M$6:$M$6005),2))</f>
        <v/>
      </c>
      <c r="AT219">
        <f>IF($Y219="",0,IFERROR(INDEX(อัตราค่าขนส่ง!$G$5:$G$204,MATCH($Y219,อัตราค่าขนส่ง!$M$5:$M$204,0)),0))</f>
        <v/>
      </c>
      <c r="AU219">
        <f>ROUND($AS219*$BD219,2)</f>
        <v/>
      </c>
      <c r="AV219">
        <f>ROUND($AU219*$BF$2/100,2)</f>
        <v/>
      </c>
      <c r="AW219">
        <f>IF($Y219="","",IFERROR(INDEX(อัตราค่าขนส่ง!$F$5:$F$204,MATCH($Y219,อัตราค่าขนส่ง!$M$5:$M$204,0)),""))</f>
        <v/>
      </c>
      <c r="AX219">
        <f>IF($W219="","",INDEX(บันทึกรายเที่ยว!$D$6:$D$6005,$W219))</f>
        <v/>
      </c>
      <c r="AY219">
        <f>IF($W219="","",INDEX(บันทึกรายเที่ยว!$R$6:$R$6005,$W219))</f>
        <v/>
      </c>
      <c r="AZ219">
        <f>IF(AND($AD219="T",$AQ219=1),N($AZ218)+1,N($AZ218))</f>
        <v/>
      </c>
      <c r="BA219">
        <f>IF($W219="","",INDEX(บันทึกรายเที่ยว!$E$6:$E$6005,$W219))</f>
        <v/>
      </c>
      <c r="BC219">
        <f>IF($Y219="",0,IFERROR(INDEX(อัตราค่าขนส่ง!$K$5:$K$204,MATCH($Y219,อัตราค่าขนส่ง!$M$5:$M$204,0)),0))</f>
        <v/>
      </c>
      <c r="BD219">
        <f>IF($Y219="",0,IFERROR(INDEX(อัตราค่าขนส่ง!$L$5:$L$204,MATCH($Y219,อัตราค่าขนส่ง!$M$5:$M$204,0)),0))</f>
        <v/>
      </c>
    </row>
    <row r="220" ht="21" customHeight="1" s="66">
      <c r="A220" s="69">
        <f>IF($AD220="","",IF($AD220="Z","รวมจ่ายทั้งสิ้น",IF($AD220="H",INDEX($X$5:$X$404,$AC220),IF($AD220="T","รวม",IF($AD220="B",IFERROR(INDEX(อัตราค่าขนส่ง!$S$5:$S$14,MATCH(INDEX($AM$5:$AM$404,$AC220),อัตราค่าขนส่ง!$R$5:$R$14,0)),"รวมกลุ่ม "&amp;INDEX($AM$5:$AM$404,$AC220)),INDEX($AY$5:$AY$404,$AC220))))))</f>
        <v/>
      </c>
      <c r="B220" s="31">
        <f>IF($AD220&lt;&gt;"D","",INDEX($AW$5:$AW$404,$AC220))</f>
        <v/>
      </c>
      <c r="C220" s="68">
        <f>IF($AD220&lt;&gt;"D","",INDEX($AX$5:$AX$404,$AC220))</f>
        <v/>
      </c>
      <c r="D220" s="70">
        <f>IF($AD220&lt;&gt;"D","",INDEX($BA$5:$BA$404,$AC220))</f>
        <v/>
      </c>
      <c r="E220" s="31">
        <f>IF($AD220="Z",SUM($AR$5:$AR$404),IF($AD220="D",INDEX($AR$5:$AR$404,$AC220),IF($AD220="T",SUMIF($X$5:$X$404,$AF220,$AR$5:$AR$404),IF($AD220="B",SUMIF($AN$5:$AN$404,$AQ220,$AR$5:$AR$404),""))))</f>
        <v/>
      </c>
      <c r="F220" s="32">
        <f>IF($AD220="Z",ROUND(SUM($AS$5:$AS$404),2),IF($AD220="D",INDEX($AS$5:$AS$404,$AC220),IF($AD220="T",ROUND(SUMIF($X$5:$X$404,$AF220,$AS$5:$AS$404),2),IF($AD220="B",ROUND(SUMIF($AN$5:$AN$404,$AQ220,$AS$5:$AS$404),2),""))))</f>
        <v/>
      </c>
      <c r="G220" s="32">
        <f>IF($AD220&lt;&gt;"D","",INDEX($AT$5:$AT$404,$AC220))</f>
        <v/>
      </c>
      <c r="H220" s="32">
        <f>IF($AD220&lt;&gt;"D","",INDEX($BC$5:$BC$404,$AC220))</f>
        <v/>
      </c>
      <c r="I220" s="32">
        <f>IF($AD220&lt;&gt;"D","",INDEX($BD$5:$BD$404,$AC220))</f>
        <v/>
      </c>
      <c r="J220" s="46">
        <f>IF($AD220&lt;&gt;"D","",IF(N($B220)=0,"",ROUND($I220/$B220,4)))</f>
        <v/>
      </c>
      <c r="K220" s="32">
        <f>IF($AD220="Z",ROUND(SUM($AU$5:$AU$404),2),IF($AD220="D",INDEX($AU$5:$AU$404,$AC220),IF($AD220="T",ROUND(SUMIF($X$5:$X$404,$AF220,$AU$5:$AU$404),2),IF($AD220="B",ROUND(SUMIF($AN$5:$AN$404,$AQ220,$AU$5:$AU$404),2),""))))</f>
        <v/>
      </c>
      <c r="L220" s="32">
        <f>IF($AD220="Z",ROUND(SUM($AV$5:$AV$404),2),IF($AD220="D",INDEX($AV$5:$AV$404,$AC220),IF($AD220="T",ROUND(SUMIF($X$5:$X$404,$AF220,$AV$5:$AV$404),2),IF($AD220="B",ROUND(SUMIF($AN$5:$AN$404,$AQ220,$AV$5:$AV$404),2),""))))</f>
        <v/>
      </c>
      <c r="M220" s="32">
        <f>IF($AD220="Z",ROUND(SUM($AJ$5:$AJ$704),2),IF($AD220="B",ROUND(SUMIF($AQ$5:$AQ$704,$AQ220,$AJ$5:$AJ$704),2),IF($AD220&lt;&gt;"T","",$AJ220)))</f>
        <v/>
      </c>
      <c r="N220" s="32">
        <f>IF(OR($AD220="D",$AD220="T",$AD220="B",$AD220="Z"),ROUND(N($K220)-N($L220)-N($M220),2),"")</f>
        <v/>
      </c>
      <c r="O220" s="32">
        <f>IF(OR($AD220="D",$AD220="T",$AD220="B",$AD220="Z"),IF(N($E220)=0,"",ROUND($F220/$E220,2)),"")</f>
        <v/>
      </c>
      <c r="Q220">
        <f>IFERROR(MATCH(216,บันทึกรายเที่ยว!$Z$6:$Z$6005,0),"")</f>
        <v/>
      </c>
      <c r="R220">
        <f>IF($Q220="","",INDEX(บันทึกรายเที่ยว!$V$6:$V$6005,$Q220))</f>
        <v/>
      </c>
      <c r="S220">
        <f>IF($Q220="","",INDEX(บันทึกรายเที่ยว!$F$6:$F$6005,$Q220))</f>
        <v/>
      </c>
      <c r="T220">
        <f>IF($Q220="","",MATCH($S220,บันทึกรายเที่ยว!$F$6:$F$6005,0))</f>
        <v/>
      </c>
      <c r="U220">
        <f>IF($Q220="","",$AL220*10000000+$T220*1000+216)</f>
        <v/>
      </c>
      <c r="V220">
        <f>IFERROR(MATCH(SMALL($U$5:$U$404,216),$U$5:$U$404,0),"")</f>
        <v/>
      </c>
      <c r="W220">
        <f>IF($V220="","",INDEX($Q$5:$Q$404,$V220))</f>
        <v/>
      </c>
      <c r="X220">
        <f>IF($V220="","",INDEX($S$5:$S$404,$V220))</f>
        <v/>
      </c>
      <c r="Y220">
        <f>IF($V220="","",INDEX($R$5:$R$404,$V220))</f>
        <v/>
      </c>
      <c r="Z220">
        <f>IF($V220="",0,IF($X220&lt;&gt;$X219,1,0))</f>
        <v/>
      </c>
      <c r="AA220">
        <f>IF($V220="",0,IF($V221="",1,IF($X221&lt;&gt;$X220,1,0)))</f>
        <v/>
      </c>
      <c r="AB220">
        <f>IF($V220="",99999+216,$AB219+1+$Z219+$AA219+$AO219)</f>
        <v/>
      </c>
      <c r="AC220">
        <f>IFERROR(MATCH(216,$AB$5:$AB$404,1),"")</f>
        <v/>
      </c>
      <c r="AD220">
        <f>IF(216=$AI$1+1,"Z",IF($AC220="","",IF(INDEX($V$5:$V$404,$AC220)="","",IF(216&gt;INDEX($AB$5:$AB$404,$AC220)+INDEX($Z$5:$Z$404,$AC220)+INDEX($AA$5:$AA$404,$AC220)+INDEX($AO$5:$AO$404,$AC220),"",IF(216=INDEX($AB$5:$AB$404,$AC220)+INDEX($Z$5:$Z$404,$AC220),"D",IF(AND(INDEX($Z$5:$Z$404,$AC220)=1,216=INDEX($AB$5:$AB$404,$AC220)),"H",IF(AND(INDEX($AO$5:$AO$404,$AC220)=1,216=INDEX($AB$5:$AB$404,$AC220)+INDEX($Z$5:$Z$404,$AC220)+INDEX($AA$5:$AA$404,$AC220)+INDEX($AO$5:$AO$404,$AC220)),"B","T")))))))</f>
        <v/>
      </c>
      <c r="AF220">
        <f>IF(OR($AD220="",$AD220="Z",$AD220="B"),"",INDEX($X$5:$X$404,$AC220))</f>
        <v/>
      </c>
      <c r="AJ220">
        <f>IF($AD220&lt;&gt;"T",0,ROUND(SUMIF(oil!$B$4:$B$63,$AF220,oil!$AE$4:$AE$63),2))</f>
        <v/>
      </c>
      <c r="AK220">
        <f>IF($S220="","",IFERROR(INDEX(อัตราค่าขนส่ง!$P$5:$P$54,MATCH($S220,อัตราค่าขนส่ง!$O$5:$O$54,0)),INDEX(รายการมาตรฐาน!$G$2:$G$3,1)))</f>
        <v/>
      </c>
      <c r="AL220">
        <f>IF($S220="","",IFERROR(MATCH($AK220,รายการมาตรฐาน!$G$2:$G$3,0),1))</f>
        <v/>
      </c>
      <c r="AM220">
        <f>IF($V220="","",INDEX($AK$5:$AK$404,$V220))</f>
        <v/>
      </c>
      <c r="AN220">
        <f>IF($V220="","",INDEX($AL$5:$AL$404,$V220))</f>
        <v/>
      </c>
      <c r="AO220">
        <f>IF(OR($V220="",$AI$2&lt;=1),0,IF($V221="",1,IF($AN221&lt;&gt;$AN220,1,0)))</f>
        <v/>
      </c>
      <c r="AP220">
        <f>IF($V220="",0,IF($AN220&lt;&gt;$AN219,1,0))</f>
        <v/>
      </c>
      <c r="AQ220">
        <f>IF(OR($AD220="",$AD220="Z"),"",INDEX($AN$5:$AN$404,$AC220))</f>
        <v/>
      </c>
      <c r="AR220">
        <f>IF($Y220="",0,COUNTIF(บันทึกรายเที่ยว!$V$6:$V$6005,$Y220))</f>
        <v/>
      </c>
      <c r="AS220">
        <f>IF($Y220="",0,ROUND(SUMIF(บันทึกรายเที่ยว!$V$6:$V$6005,$Y220,บันทึกรายเที่ยว!$M$6:$M$6005),2))</f>
        <v/>
      </c>
      <c r="AT220">
        <f>IF($Y220="",0,IFERROR(INDEX(อัตราค่าขนส่ง!$G$5:$G$204,MATCH($Y220,อัตราค่าขนส่ง!$M$5:$M$204,0)),0))</f>
        <v/>
      </c>
      <c r="AU220">
        <f>ROUND($AS220*$BD220,2)</f>
        <v/>
      </c>
      <c r="AV220">
        <f>ROUND($AU220*$BF$2/100,2)</f>
        <v/>
      </c>
      <c r="AW220">
        <f>IF($Y220="","",IFERROR(INDEX(อัตราค่าขนส่ง!$F$5:$F$204,MATCH($Y220,อัตราค่าขนส่ง!$M$5:$M$204,0)),""))</f>
        <v/>
      </c>
      <c r="AX220">
        <f>IF($W220="","",INDEX(บันทึกรายเที่ยว!$D$6:$D$6005,$W220))</f>
        <v/>
      </c>
      <c r="AY220">
        <f>IF($W220="","",INDEX(บันทึกรายเที่ยว!$R$6:$R$6005,$W220))</f>
        <v/>
      </c>
      <c r="AZ220">
        <f>IF(AND($AD220="T",$AQ220=1),N($AZ219)+1,N($AZ219))</f>
        <v/>
      </c>
      <c r="BA220">
        <f>IF($W220="","",INDEX(บันทึกรายเที่ยว!$E$6:$E$6005,$W220))</f>
        <v/>
      </c>
      <c r="BC220">
        <f>IF($Y220="",0,IFERROR(INDEX(อัตราค่าขนส่ง!$K$5:$K$204,MATCH($Y220,อัตราค่าขนส่ง!$M$5:$M$204,0)),0))</f>
        <v/>
      </c>
      <c r="BD220">
        <f>IF($Y220="",0,IFERROR(INDEX(อัตราค่าขนส่ง!$L$5:$L$204,MATCH($Y220,อัตราค่าขนส่ง!$M$5:$M$204,0)),0))</f>
        <v/>
      </c>
    </row>
    <row r="221" ht="21" customHeight="1" s="66">
      <c r="A221" s="69">
        <f>IF($AD221="","",IF($AD221="Z","รวมจ่ายทั้งสิ้น",IF($AD221="H",INDEX($X$5:$X$404,$AC221),IF($AD221="T","รวม",IF($AD221="B",IFERROR(INDEX(อัตราค่าขนส่ง!$S$5:$S$14,MATCH(INDEX($AM$5:$AM$404,$AC221),อัตราค่าขนส่ง!$R$5:$R$14,0)),"รวมกลุ่ม "&amp;INDEX($AM$5:$AM$404,$AC221)),INDEX($AY$5:$AY$404,$AC221))))))</f>
        <v/>
      </c>
      <c r="B221" s="31">
        <f>IF($AD221&lt;&gt;"D","",INDEX($AW$5:$AW$404,$AC221))</f>
        <v/>
      </c>
      <c r="C221" s="68">
        <f>IF($AD221&lt;&gt;"D","",INDEX($AX$5:$AX$404,$AC221))</f>
        <v/>
      </c>
      <c r="D221" s="70">
        <f>IF($AD221&lt;&gt;"D","",INDEX($BA$5:$BA$404,$AC221))</f>
        <v/>
      </c>
      <c r="E221" s="31">
        <f>IF($AD221="Z",SUM($AR$5:$AR$404),IF($AD221="D",INDEX($AR$5:$AR$404,$AC221),IF($AD221="T",SUMIF($X$5:$X$404,$AF221,$AR$5:$AR$404),IF($AD221="B",SUMIF($AN$5:$AN$404,$AQ221,$AR$5:$AR$404),""))))</f>
        <v/>
      </c>
      <c r="F221" s="32">
        <f>IF($AD221="Z",ROUND(SUM($AS$5:$AS$404),2),IF($AD221="D",INDEX($AS$5:$AS$404,$AC221),IF($AD221="T",ROUND(SUMIF($X$5:$X$404,$AF221,$AS$5:$AS$404),2),IF($AD221="B",ROUND(SUMIF($AN$5:$AN$404,$AQ221,$AS$5:$AS$404),2),""))))</f>
        <v/>
      </c>
      <c r="G221" s="32">
        <f>IF($AD221&lt;&gt;"D","",INDEX($AT$5:$AT$404,$AC221))</f>
        <v/>
      </c>
      <c r="H221" s="32">
        <f>IF($AD221&lt;&gt;"D","",INDEX($BC$5:$BC$404,$AC221))</f>
        <v/>
      </c>
      <c r="I221" s="32">
        <f>IF($AD221&lt;&gt;"D","",INDEX($BD$5:$BD$404,$AC221))</f>
        <v/>
      </c>
      <c r="J221" s="46">
        <f>IF($AD221&lt;&gt;"D","",IF(N($B221)=0,"",ROUND($I221/$B221,4)))</f>
        <v/>
      </c>
      <c r="K221" s="32">
        <f>IF($AD221="Z",ROUND(SUM($AU$5:$AU$404),2),IF($AD221="D",INDEX($AU$5:$AU$404,$AC221),IF($AD221="T",ROUND(SUMIF($X$5:$X$404,$AF221,$AU$5:$AU$404),2),IF($AD221="B",ROUND(SUMIF($AN$5:$AN$404,$AQ221,$AU$5:$AU$404),2),""))))</f>
        <v/>
      </c>
      <c r="L221" s="32">
        <f>IF($AD221="Z",ROUND(SUM($AV$5:$AV$404),2),IF($AD221="D",INDEX($AV$5:$AV$404,$AC221),IF($AD221="T",ROUND(SUMIF($X$5:$X$404,$AF221,$AV$5:$AV$404),2),IF($AD221="B",ROUND(SUMIF($AN$5:$AN$404,$AQ221,$AV$5:$AV$404),2),""))))</f>
        <v/>
      </c>
      <c r="M221" s="32">
        <f>IF($AD221="Z",ROUND(SUM($AJ$5:$AJ$704),2),IF($AD221="B",ROUND(SUMIF($AQ$5:$AQ$704,$AQ221,$AJ$5:$AJ$704),2),IF($AD221&lt;&gt;"T","",$AJ221)))</f>
        <v/>
      </c>
      <c r="N221" s="32">
        <f>IF(OR($AD221="D",$AD221="T",$AD221="B",$AD221="Z"),ROUND(N($K221)-N($L221)-N($M221),2),"")</f>
        <v/>
      </c>
      <c r="O221" s="32">
        <f>IF(OR($AD221="D",$AD221="T",$AD221="B",$AD221="Z"),IF(N($E221)=0,"",ROUND($F221/$E221,2)),"")</f>
        <v/>
      </c>
      <c r="Q221">
        <f>IFERROR(MATCH(217,บันทึกรายเที่ยว!$Z$6:$Z$6005,0),"")</f>
        <v/>
      </c>
      <c r="R221">
        <f>IF($Q221="","",INDEX(บันทึกรายเที่ยว!$V$6:$V$6005,$Q221))</f>
        <v/>
      </c>
      <c r="S221">
        <f>IF($Q221="","",INDEX(บันทึกรายเที่ยว!$F$6:$F$6005,$Q221))</f>
        <v/>
      </c>
      <c r="T221">
        <f>IF($Q221="","",MATCH($S221,บันทึกรายเที่ยว!$F$6:$F$6005,0))</f>
        <v/>
      </c>
      <c r="U221">
        <f>IF($Q221="","",$AL221*10000000+$T221*1000+217)</f>
        <v/>
      </c>
      <c r="V221">
        <f>IFERROR(MATCH(SMALL($U$5:$U$404,217),$U$5:$U$404,0),"")</f>
        <v/>
      </c>
      <c r="W221">
        <f>IF($V221="","",INDEX($Q$5:$Q$404,$V221))</f>
        <v/>
      </c>
      <c r="X221">
        <f>IF($V221="","",INDEX($S$5:$S$404,$V221))</f>
        <v/>
      </c>
      <c r="Y221">
        <f>IF($V221="","",INDEX($R$5:$R$404,$V221))</f>
        <v/>
      </c>
      <c r="Z221">
        <f>IF($V221="",0,IF($X221&lt;&gt;$X220,1,0))</f>
        <v/>
      </c>
      <c r="AA221">
        <f>IF($V221="",0,IF($V222="",1,IF($X222&lt;&gt;$X221,1,0)))</f>
        <v/>
      </c>
      <c r="AB221">
        <f>IF($V221="",99999+217,$AB220+1+$Z220+$AA220+$AO220)</f>
        <v/>
      </c>
      <c r="AC221">
        <f>IFERROR(MATCH(217,$AB$5:$AB$404,1),"")</f>
        <v/>
      </c>
      <c r="AD221">
        <f>IF(217=$AI$1+1,"Z",IF($AC221="","",IF(INDEX($V$5:$V$404,$AC221)="","",IF(217&gt;INDEX($AB$5:$AB$404,$AC221)+INDEX($Z$5:$Z$404,$AC221)+INDEX($AA$5:$AA$404,$AC221)+INDEX($AO$5:$AO$404,$AC221),"",IF(217=INDEX($AB$5:$AB$404,$AC221)+INDEX($Z$5:$Z$404,$AC221),"D",IF(AND(INDEX($Z$5:$Z$404,$AC221)=1,217=INDEX($AB$5:$AB$404,$AC221)),"H",IF(AND(INDEX($AO$5:$AO$404,$AC221)=1,217=INDEX($AB$5:$AB$404,$AC221)+INDEX($Z$5:$Z$404,$AC221)+INDEX($AA$5:$AA$404,$AC221)+INDEX($AO$5:$AO$404,$AC221)),"B","T")))))))</f>
        <v/>
      </c>
      <c r="AF221">
        <f>IF(OR($AD221="",$AD221="Z",$AD221="B"),"",INDEX($X$5:$X$404,$AC221))</f>
        <v/>
      </c>
      <c r="AJ221">
        <f>IF($AD221&lt;&gt;"T",0,ROUND(SUMIF(oil!$B$4:$B$63,$AF221,oil!$AE$4:$AE$63),2))</f>
        <v/>
      </c>
      <c r="AK221">
        <f>IF($S221="","",IFERROR(INDEX(อัตราค่าขนส่ง!$P$5:$P$54,MATCH($S221,อัตราค่าขนส่ง!$O$5:$O$54,0)),INDEX(รายการมาตรฐาน!$G$2:$G$3,1)))</f>
        <v/>
      </c>
      <c r="AL221">
        <f>IF($S221="","",IFERROR(MATCH($AK221,รายการมาตรฐาน!$G$2:$G$3,0),1))</f>
        <v/>
      </c>
      <c r="AM221">
        <f>IF($V221="","",INDEX($AK$5:$AK$404,$V221))</f>
        <v/>
      </c>
      <c r="AN221">
        <f>IF($V221="","",INDEX($AL$5:$AL$404,$V221))</f>
        <v/>
      </c>
      <c r="AO221">
        <f>IF(OR($V221="",$AI$2&lt;=1),0,IF($V222="",1,IF($AN222&lt;&gt;$AN221,1,0)))</f>
        <v/>
      </c>
      <c r="AP221">
        <f>IF($V221="",0,IF($AN221&lt;&gt;$AN220,1,0))</f>
        <v/>
      </c>
      <c r="AQ221">
        <f>IF(OR($AD221="",$AD221="Z"),"",INDEX($AN$5:$AN$404,$AC221))</f>
        <v/>
      </c>
      <c r="AR221">
        <f>IF($Y221="",0,COUNTIF(บันทึกรายเที่ยว!$V$6:$V$6005,$Y221))</f>
        <v/>
      </c>
      <c r="AS221">
        <f>IF($Y221="",0,ROUND(SUMIF(บันทึกรายเที่ยว!$V$6:$V$6005,$Y221,บันทึกรายเที่ยว!$M$6:$M$6005),2))</f>
        <v/>
      </c>
      <c r="AT221">
        <f>IF($Y221="",0,IFERROR(INDEX(อัตราค่าขนส่ง!$G$5:$G$204,MATCH($Y221,อัตราค่าขนส่ง!$M$5:$M$204,0)),0))</f>
        <v/>
      </c>
      <c r="AU221">
        <f>ROUND($AS221*$BD221,2)</f>
        <v/>
      </c>
      <c r="AV221">
        <f>ROUND($AU221*$BF$2/100,2)</f>
        <v/>
      </c>
      <c r="AW221">
        <f>IF($Y221="","",IFERROR(INDEX(อัตราค่าขนส่ง!$F$5:$F$204,MATCH($Y221,อัตราค่าขนส่ง!$M$5:$M$204,0)),""))</f>
        <v/>
      </c>
      <c r="AX221">
        <f>IF($W221="","",INDEX(บันทึกรายเที่ยว!$D$6:$D$6005,$W221))</f>
        <v/>
      </c>
      <c r="AY221">
        <f>IF($W221="","",INDEX(บันทึกรายเที่ยว!$R$6:$R$6005,$W221))</f>
        <v/>
      </c>
      <c r="AZ221">
        <f>IF(AND($AD221="T",$AQ221=1),N($AZ220)+1,N($AZ220))</f>
        <v/>
      </c>
      <c r="BA221">
        <f>IF($W221="","",INDEX(บันทึกรายเที่ยว!$E$6:$E$6005,$W221))</f>
        <v/>
      </c>
      <c r="BC221">
        <f>IF($Y221="",0,IFERROR(INDEX(อัตราค่าขนส่ง!$K$5:$K$204,MATCH($Y221,อัตราค่าขนส่ง!$M$5:$M$204,0)),0))</f>
        <v/>
      </c>
      <c r="BD221">
        <f>IF($Y221="",0,IFERROR(INDEX(อัตราค่าขนส่ง!$L$5:$L$204,MATCH($Y221,อัตราค่าขนส่ง!$M$5:$M$204,0)),0))</f>
        <v/>
      </c>
    </row>
    <row r="222" ht="21" customHeight="1" s="66">
      <c r="A222" s="69">
        <f>IF($AD222="","",IF($AD222="Z","รวมจ่ายทั้งสิ้น",IF($AD222="H",INDEX($X$5:$X$404,$AC222),IF($AD222="T","รวม",IF($AD222="B",IFERROR(INDEX(อัตราค่าขนส่ง!$S$5:$S$14,MATCH(INDEX($AM$5:$AM$404,$AC222),อัตราค่าขนส่ง!$R$5:$R$14,0)),"รวมกลุ่ม "&amp;INDEX($AM$5:$AM$404,$AC222)),INDEX($AY$5:$AY$404,$AC222))))))</f>
        <v/>
      </c>
      <c r="B222" s="31">
        <f>IF($AD222&lt;&gt;"D","",INDEX($AW$5:$AW$404,$AC222))</f>
        <v/>
      </c>
      <c r="C222" s="68">
        <f>IF($AD222&lt;&gt;"D","",INDEX($AX$5:$AX$404,$AC222))</f>
        <v/>
      </c>
      <c r="D222" s="70">
        <f>IF($AD222&lt;&gt;"D","",INDEX($BA$5:$BA$404,$AC222))</f>
        <v/>
      </c>
      <c r="E222" s="31">
        <f>IF($AD222="Z",SUM($AR$5:$AR$404),IF($AD222="D",INDEX($AR$5:$AR$404,$AC222),IF($AD222="T",SUMIF($X$5:$X$404,$AF222,$AR$5:$AR$404),IF($AD222="B",SUMIF($AN$5:$AN$404,$AQ222,$AR$5:$AR$404),""))))</f>
        <v/>
      </c>
      <c r="F222" s="32">
        <f>IF($AD222="Z",ROUND(SUM($AS$5:$AS$404),2),IF($AD222="D",INDEX($AS$5:$AS$404,$AC222),IF($AD222="T",ROUND(SUMIF($X$5:$X$404,$AF222,$AS$5:$AS$404),2),IF($AD222="B",ROUND(SUMIF($AN$5:$AN$404,$AQ222,$AS$5:$AS$404),2),""))))</f>
        <v/>
      </c>
      <c r="G222" s="32">
        <f>IF($AD222&lt;&gt;"D","",INDEX($AT$5:$AT$404,$AC222))</f>
        <v/>
      </c>
      <c r="H222" s="32">
        <f>IF($AD222&lt;&gt;"D","",INDEX($BC$5:$BC$404,$AC222))</f>
        <v/>
      </c>
      <c r="I222" s="32">
        <f>IF($AD222&lt;&gt;"D","",INDEX($BD$5:$BD$404,$AC222))</f>
        <v/>
      </c>
      <c r="J222" s="46">
        <f>IF($AD222&lt;&gt;"D","",IF(N($B222)=0,"",ROUND($I222/$B222,4)))</f>
        <v/>
      </c>
      <c r="K222" s="32">
        <f>IF($AD222="Z",ROUND(SUM($AU$5:$AU$404),2),IF($AD222="D",INDEX($AU$5:$AU$404,$AC222),IF($AD222="T",ROUND(SUMIF($X$5:$X$404,$AF222,$AU$5:$AU$404),2),IF($AD222="B",ROUND(SUMIF($AN$5:$AN$404,$AQ222,$AU$5:$AU$404),2),""))))</f>
        <v/>
      </c>
      <c r="L222" s="32">
        <f>IF($AD222="Z",ROUND(SUM($AV$5:$AV$404),2),IF($AD222="D",INDEX($AV$5:$AV$404,$AC222),IF($AD222="T",ROUND(SUMIF($X$5:$X$404,$AF222,$AV$5:$AV$404),2),IF($AD222="B",ROUND(SUMIF($AN$5:$AN$404,$AQ222,$AV$5:$AV$404),2),""))))</f>
        <v/>
      </c>
      <c r="M222" s="32">
        <f>IF($AD222="Z",ROUND(SUM($AJ$5:$AJ$704),2),IF($AD222="B",ROUND(SUMIF($AQ$5:$AQ$704,$AQ222,$AJ$5:$AJ$704),2),IF($AD222&lt;&gt;"T","",$AJ222)))</f>
        <v/>
      </c>
      <c r="N222" s="32">
        <f>IF(OR($AD222="D",$AD222="T",$AD222="B",$AD222="Z"),ROUND(N($K222)-N($L222)-N($M222),2),"")</f>
        <v/>
      </c>
      <c r="O222" s="32">
        <f>IF(OR($AD222="D",$AD222="T",$AD222="B",$AD222="Z"),IF(N($E222)=0,"",ROUND($F222/$E222,2)),"")</f>
        <v/>
      </c>
      <c r="Q222">
        <f>IFERROR(MATCH(218,บันทึกรายเที่ยว!$Z$6:$Z$6005,0),"")</f>
        <v/>
      </c>
      <c r="R222">
        <f>IF($Q222="","",INDEX(บันทึกรายเที่ยว!$V$6:$V$6005,$Q222))</f>
        <v/>
      </c>
      <c r="S222">
        <f>IF($Q222="","",INDEX(บันทึกรายเที่ยว!$F$6:$F$6005,$Q222))</f>
        <v/>
      </c>
      <c r="T222">
        <f>IF($Q222="","",MATCH($S222,บันทึกรายเที่ยว!$F$6:$F$6005,0))</f>
        <v/>
      </c>
      <c r="U222">
        <f>IF($Q222="","",$AL222*10000000+$T222*1000+218)</f>
        <v/>
      </c>
      <c r="V222">
        <f>IFERROR(MATCH(SMALL($U$5:$U$404,218),$U$5:$U$404,0),"")</f>
        <v/>
      </c>
      <c r="W222">
        <f>IF($V222="","",INDEX($Q$5:$Q$404,$V222))</f>
        <v/>
      </c>
      <c r="X222">
        <f>IF($V222="","",INDEX($S$5:$S$404,$V222))</f>
        <v/>
      </c>
      <c r="Y222">
        <f>IF($V222="","",INDEX($R$5:$R$404,$V222))</f>
        <v/>
      </c>
      <c r="Z222">
        <f>IF($V222="",0,IF($X222&lt;&gt;$X221,1,0))</f>
        <v/>
      </c>
      <c r="AA222">
        <f>IF($V222="",0,IF($V223="",1,IF($X223&lt;&gt;$X222,1,0)))</f>
        <v/>
      </c>
      <c r="AB222">
        <f>IF($V222="",99999+218,$AB221+1+$Z221+$AA221+$AO221)</f>
        <v/>
      </c>
      <c r="AC222">
        <f>IFERROR(MATCH(218,$AB$5:$AB$404,1),"")</f>
        <v/>
      </c>
      <c r="AD222">
        <f>IF(218=$AI$1+1,"Z",IF($AC222="","",IF(INDEX($V$5:$V$404,$AC222)="","",IF(218&gt;INDEX($AB$5:$AB$404,$AC222)+INDEX($Z$5:$Z$404,$AC222)+INDEX($AA$5:$AA$404,$AC222)+INDEX($AO$5:$AO$404,$AC222),"",IF(218=INDEX($AB$5:$AB$404,$AC222)+INDEX($Z$5:$Z$404,$AC222),"D",IF(AND(INDEX($Z$5:$Z$404,$AC222)=1,218=INDEX($AB$5:$AB$404,$AC222)),"H",IF(AND(INDEX($AO$5:$AO$404,$AC222)=1,218=INDEX($AB$5:$AB$404,$AC222)+INDEX($Z$5:$Z$404,$AC222)+INDEX($AA$5:$AA$404,$AC222)+INDEX($AO$5:$AO$404,$AC222)),"B","T")))))))</f>
        <v/>
      </c>
      <c r="AF222">
        <f>IF(OR($AD222="",$AD222="Z",$AD222="B"),"",INDEX($X$5:$X$404,$AC222))</f>
        <v/>
      </c>
      <c r="AJ222">
        <f>IF($AD222&lt;&gt;"T",0,ROUND(SUMIF(oil!$B$4:$B$63,$AF222,oil!$AE$4:$AE$63),2))</f>
        <v/>
      </c>
      <c r="AK222">
        <f>IF($S222="","",IFERROR(INDEX(อัตราค่าขนส่ง!$P$5:$P$54,MATCH($S222,อัตราค่าขนส่ง!$O$5:$O$54,0)),INDEX(รายการมาตรฐาน!$G$2:$G$3,1)))</f>
        <v/>
      </c>
      <c r="AL222">
        <f>IF($S222="","",IFERROR(MATCH($AK222,รายการมาตรฐาน!$G$2:$G$3,0),1))</f>
        <v/>
      </c>
      <c r="AM222">
        <f>IF($V222="","",INDEX($AK$5:$AK$404,$V222))</f>
        <v/>
      </c>
      <c r="AN222">
        <f>IF($V222="","",INDEX($AL$5:$AL$404,$V222))</f>
        <v/>
      </c>
      <c r="AO222">
        <f>IF(OR($V222="",$AI$2&lt;=1),0,IF($V223="",1,IF($AN223&lt;&gt;$AN222,1,0)))</f>
        <v/>
      </c>
      <c r="AP222">
        <f>IF($V222="",0,IF($AN222&lt;&gt;$AN221,1,0))</f>
        <v/>
      </c>
      <c r="AQ222">
        <f>IF(OR($AD222="",$AD222="Z"),"",INDEX($AN$5:$AN$404,$AC222))</f>
        <v/>
      </c>
      <c r="AR222">
        <f>IF($Y222="",0,COUNTIF(บันทึกรายเที่ยว!$V$6:$V$6005,$Y222))</f>
        <v/>
      </c>
      <c r="AS222">
        <f>IF($Y222="",0,ROUND(SUMIF(บันทึกรายเที่ยว!$V$6:$V$6005,$Y222,บันทึกรายเที่ยว!$M$6:$M$6005),2))</f>
        <v/>
      </c>
      <c r="AT222">
        <f>IF($Y222="",0,IFERROR(INDEX(อัตราค่าขนส่ง!$G$5:$G$204,MATCH($Y222,อัตราค่าขนส่ง!$M$5:$M$204,0)),0))</f>
        <v/>
      </c>
      <c r="AU222">
        <f>ROUND($AS222*$BD222,2)</f>
        <v/>
      </c>
      <c r="AV222">
        <f>ROUND($AU222*$BF$2/100,2)</f>
        <v/>
      </c>
      <c r="AW222">
        <f>IF($Y222="","",IFERROR(INDEX(อัตราค่าขนส่ง!$F$5:$F$204,MATCH($Y222,อัตราค่าขนส่ง!$M$5:$M$204,0)),""))</f>
        <v/>
      </c>
      <c r="AX222">
        <f>IF($W222="","",INDEX(บันทึกรายเที่ยว!$D$6:$D$6005,$W222))</f>
        <v/>
      </c>
      <c r="AY222">
        <f>IF($W222="","",INDEX(บันทึกรายเที่ยว!$R$6:$R$6005,$W222))</f>
        <v/>
      </c>
      <c r="AZ222">
        <f>IF(AND($AD222="T",$AQ222=1),N($AZ221)+1,N($AZ221))</f>
        <v/>
      </c>
      <c r="BA222">
        <f>IF($W222="","",INDEX(บันทึกรายเที่ยว!$E$6:$E$6005,$W222))</f>
        <v/>
      </c>
      <c r="BC222">
        <f>IF($Y222="",0,IFERROR(INDEX(อัตราค่าขนส่ง!$K$5:$K$204,MATCH($Y222,อัตราค่าขนส่ง!$M$5:$M$204,0)),0))</f>
        <v/>
      </c>
      <c r="BD222">
        <f>IF($Y222="",0,IFERROR(INDEX(อัตราค่าขนส่ง!$L$5:$L$204,MATCH($Y222,อัตราค่าขนส่ง!$M$5:$M$204,0)),0))</f>
        <v/>
      </c>
    </row>
    <row r="223" ht="21" customHeight="1" s="66">
      <c r="A223" s="69">
        <f>IF($AD223="","",IF($AD223="Z","รวมจ่ายทั้งสิ้น",IF($AD223="H",INDEX($X$5:$X$404,$AC223),IF($AD223="T","รวม",IF($AD223="B",IFERROR(INDEX(อัตราค่าขนส่ง!$S$5:$S$14,MATCH(INDEX($AM$5:$AM$404,$AC223),อัตราค่าขนส่ง!$R$5:$R$14,0)),"รวมกลุ่ม "&amp;INDEX($AM$5:$AM$404,$AC223)),INDEX($AY$5:$AY$404,$AC223))))))</f>
        <v/>
      </c>
      <c r="B223" s="31">
        <f>IF($AD223&lt;&gt;"D","",INDEX($AW$5:$AW$404,$AC223))</f>
        <v/>
      </c>
      <c r="C223" s="68">
        <f>IF($AD223&lt;&gt;"D","",INDEX($AX$5:$AX$404,$AC223))</f>
        <v/>
      </c>
      <c r="D223" s="70">
        <f>IF($AD223&lt;&gt;"D","",INDEX($BA$5:$BA$404,$AC223))</f>
        <v/>
      </c>
      <c r="E223" s="31">
        <f>IF($AD223="Z",SUM($AR$5:$AR$404),IF($AD223="D",INDEX($AR$5:$AR$404,$AC223),IF($AD223="T",SUMIF($X$5:$X$404,$AF223,$AR$5:$AR$404),IF($AD223="B",SUMIF($AN$5:$AN$404,$AQ223,$AR$5:$AR$404),""))))</f>
        <v/>
      </c>
      <c r="F223" s="32">
        <f>IF($AD223="Z",ROUND(SUM($AS$5:$AS$404),2),IF($AD223="D",INDEX($AS$5:$AS$404,$AC223),IF($AD223="T",ROUND(SUMIF($X$5:$X$404,$AF223,$AS$5:$AS$404),2),IF($AD223="B",ROUND(SUMIF($AN$5:$AN$404,$AQ223,$AS$5:$AS$404),2),""))))</f>
        <v/>
      </c>
      <c r="G223" s="32">
        <f>IF($AD223&lt;&gt;"D","",INDEX($AT$5:$AT$404,$AC223))</f>
        <v/>
      </c>
      <c r="H223" s="32">
        <f>IF($AD223&lt;&gt;"D","",INDEX($BC$5:$BC$404,$AC223))</f>
        <v/>
      </c>
      <c r="I223" s="32">
        <f>IF($AD223&lt;&gt;"D","",INDEX($BD$5:$BD$404,$AC223))</f>
        <v/>
      </c>
      <c r="J223" s="46">
        <f>IF($AD223&lt;&gt;"D","",IF(N($B223)=0,"",ROUND($I223/$B223,4)))</f>
        <v/>
      </c>
      <c r="K223" s="32">
        <f>IF($AD223="Z",ROUND(SUM($AU$5:$AU$404),2),IF($AD223="D",INDEX($AU$5:$AU$404,$AC223),IF($AD223="T",ROUND(SUMIF($X$5:$X$404,$AF223,$AU$5:$AU$404),2),IF($AD223="B",ROUND(SUMIF($AN$5:$AN$404,$AQ223,$AU$5:$AU$404),2),""))))</f>
        <v/>
      </c>
      <c r="L223" s="32">
        <f>IF($AD223="Z",ROUND(SUM($AV$5:$AV$404),2),IF($AD223="D",INDEX($AV$5:$AV$404,$AC223),IF($AD223="T",ROUND(SUMIF($X$5:$X$404,$AF223,$AV$5:$AV$404),2),IF($AD223="B",ROUND(SUMIF($AN$5:$AN$404,$AQ223,$AV$5:$AV$404),2),""))))</f>
        <v/>
      </c>
      <c r="M223" s="32">
        <f>IF($AD223="Z",ROUND(SUM($AJ$5:$AJ$704),2),IF($AD223="B",ROUND(SUMIF($AQ$5:$AQ$704,$AQ223,$AJ$5:$AJ$704),2),IF($AD223&lt;&gt;"T","",$AJ223)))</f>
        <v/>
      </c>
      <c r="N223" s="32">
        <f>IF(OR($AD223="D",$AD223="T",$AD223="B",$AD223="Z"),ROUND(N($K223)-N($L223)-N($M223),2),"")</f>
        <v/>
      </c>
      <c r="O223" s="32">
        <f>IF(OR($AD223="D",$AD223="T",$AD223="B",$AD223="Z"),IF(N($E223)=0,"",ROUND($F223/$E223,2)),"")</f>
        <v/>
      </c>
      <c r="Q223">
        <f>IFERROR(MATCH(219,บันทึกรายเที่ยว!$Z$6:$Z$6005,0),"")</f>
        <v/>
      </c>
      <c r="R223">
        <f>IF($Q223="","",INDEX(บันทึกรายเที่ยว!$V$6:$V$6005,$Q223))</f>
        <v/>
      </c>
      <c r="S223">
        <f>IF($Q223="","",INDEX(บันทึกรายเที่ยว!$F$6:$F$6005,$Q223))</f>
        <v/>
      </c>
      <c r="T223">
        <f>IF($Q223="","",MATCH($S223,บันทึกรายเที่ยว!$F$6:$F$6005,0))</f>
        <v/>
      </c>
      <c r="U223">
        <f>IF($Q223="","",$AL223*10000000+$T223*1000+219)</f>
        <v/>
      </c>
      <c r="V223">
        <f>IFERROR(MATCH(SMALL($U$5:$U$404,219),$U$5:$U$404,0),"")</f>
        <v/>
      </c>
      <c r="W223">
        <f>IF($V223="","",INDEX($Q$5:$Q$404,$V223))</f>
        <v/>
      </c>
      <c r="X223">
        <f>IF($V223="","",INDEX($S$5:$S$404,$V223))</f>
        <v/>
      </c>
      <c r="Y223">
        <f>IF($V223="","",INDEX($R$5:$R$404,$V223))</f>
        <v/>
      </c>
      <c r="Z223">
        <f>IF($V223="",0,IF($X223&lt;&gt;$X222,1,0))</f>
        <v/>
      </c>
      <c r="AA223">
        <f>IF($V223="",0,IF($V224="",1,IF($X224&lt;&gt;$X223,1,0)))</f>
        <v/>
      </c>
      <c r="AB223">
        <f>IF($V223="",99999+219,$AB222+1+$Z222+$AA222+$AO222)</f>
        <v/>
      </c>
      <c r="AC223">
        <f>IFERROR(MATCH(219,$AB$5:$AB$404,1),"")</f>
        <v/>
      </c>
      <c r="AD223">
        <f>IF(219=$AI$1+1,"Z",IF($AC223="","",IF(INDEX($V$5:$V$404,$AC223)="","",IF(219&gt;INDEX($AB$5:$AB$404,$AC223)+INDEX($Z$5:$Z$404,$AC223)+INDEX($AA$5:$AA$404,$AC223)+INDEX($AO$5:$AO$404,$AC223),"",IF(219=INDEX($AB$5:$AB$404,$AC223)+INDEX($Z$5:$Z$404,$AC223),"D",IF(AND(INDEX($Z$5:$Z$404,$AC223)=1,219=INDEX($AB$5:$AB$404,$AC223)),"H",IF(AND(INDEX($AO$5:$AO$404,$AC223)=1,219=INDEX($AB$5:$AB$404,$AC223)+INDEX($Z$5:$Z$404,$AC223)+INDEX($AA$5:$AA$404,$AC223)+INDEX($AO$5:$AO$404,$AC223)),"B","T")))))))</f>
        <v/>
      </c>
      <c r="AF223">
        <f>IF(OR($AD223="",$AD223="Z",$AD223="B"),"",INDEX($X$5:$X$404,$AC223))</f>
        <v/>
      </c>
      <c r="AJ223">
        <f>IF($AD223&lt;&gt;"T",0,ROUND(SUMIF(oil!$B$4:$B$63,$AF223,oil!$AE$4:$AE$63),2))</f>
        <v/>
      </c>
      <c r="AK223">
        <f>IF($S223="","",IFERROR(INDEX(อัตราค่าขนส่ง!$P$5:$P$54,MATCH($S223,อัตราค่าขนส่ง!$O$5:$O$54,0)),INDEX(รายการมาตรฐาน!$G$2:$G$3,1)))</f>
        <v/>
      </c>
      <c r="AL223">
        <f>IF($S223="","",IFERROR(MATCH($AK223,รายการมาตรฐาน!$G$2:$G$3,0),1))</f>
        <v/>
      </c>
      <c r="AM223">
        <f>IF($V223="","",INDEX($AK$5:$AK$404,$V223))</f>
        <v/>
      </c>
      <c r="AN223">
        <f>IF($V223="","",INDEX($AL$5:$AL$404,$V223))</f>
        <v/>
      </c>
      <c r="AO223">
        <f>IF(OR($V223="",$AI$2&lt;=1),0,IF($V224="",1,IF($AN224&lt;&gt;$AN223,1,0)))</f>
        <v/>
      </c>
      <c r="AP223">
        <f>IF($V223="",0,IF($AN223&lt;&gt;$AN222,1,0))</f>
        <v/>
      </c>
      <c r="AQ223">
        <f>IF(OR($AD223="",$AD223="Z"),"",INDEX($AN$5:$AN$404,$AC223))</f>
        <v/>
      </c>
      <c r="AR223">
        <f>IF($Y223="",0,COUNTIF(บันทึกรายเที่ยว!$V$6:$V$6005,$Y223))</f>
        <v/>
      </c>
      <c r="AS223">
        <f>IF($Y223="",0,ROUND(SUMIF(บันทึกรายเที่ยว!$V$6:$V$6005,$Y223,บันทึกรายเที่ยว!$M$6:$M$6005),2))</f>
        <v/>
      </c>
      <c r="AT223">
        <f>IF($Y223="",0,IFERROR(INDEX(อัตราค่าขนส่ง!$G$5:$G$204,MATCH($Y223,อัตราค่าขนส่ง!$M$5:$M$204,0)),0))</f>
        <v/>
      </c>
      <c r="AU223">
        <f>ROUND($AS223*$BD223,2)</f>
        <v/>
      </c>
      <c r="AV223">
        <f>ROUND($AU223*$BF$2/100,2)</f>
        <v/>
      </c>
      <c r="AW223">
        <f>IF($Y223="","",IFERROR(INDEX(อัตราค่าขนส่ง!$F$5:$F$204,MATCH($Y223,อัตราค่าขนส่ง!$M$5:$M$204,0)),""))</f>
        <v/>
      </c>
      <c r="AX223">
        <f>IF($W223="","",INDEX(บันทึกรายเที่ยว!$D$6:$D$6005,$W223))</f>
        <v/>
      </c>
      <c r="AY223">
        <f>IF($W223="","",INDEX(บันทึกรายเที่ยว!$R$6:$R$6005,$W223))</f>
        <v/>
      </c>
      <c r="AZ223">
        <f>IF(AND($AD223="T",$AQ223=1),N($AZ222)+1,N($AZ222))</f>
        <v/>
      </c>
      <c r="BA223">
        <f>IF($W223="","",INDEX(บันทึกรายเที่ยว!$E$6:$E$6005,$W223))</f>
        <v/>
      </c>
      <c r="BC223">
        <f>IF($Y223="",0,IFERROR(INDEX(อัตราค่าขนส่ง!$K$5:$K$204,MATCH($Y223,อัตราค่าขนส่ง!$M$5:$M$204,0)),0))</f>
        <v/>
      </c>
      <c r="BD223">
        <f>IF($Y223="",0,IFERROR(INDEX(อัตราค่าขนส่ง!$L$5:$L$204,MATCH($Y223,อัตราค่าขนส่ง!$M$5:$M$204,0)),0))</f>
        <v/>
      </c>
    </row>
    <row r="224" ht="21" customHeight="1" s="66">
      <c r="A224" s="69">
        <f>IF($AD224="","",IF($AD224="Z","รวมจ่ายทั้งสิ้น",IF($AD224="H",INDEX($X$5:$X$404,$AC224),IF($AD224="T","รวม",IF($AD224="B",IFERROR(INDEX(อัตราค่าขนส่ง!$S$5:$S$14,MATCH(INDEX($AM$5:$AM$404,$AC224),อัตราค่าขนส่ง!$R$5:$R$14,0)),"รวมกลุ่ม "&amp;INDEX($AM$5:$AM$404,$AC224)),INDEX($AY$5:$AY$404,$AC224))))))</f>
        <v/>
      </c>
      <c r="B224" s="31">
        <f>IF($AD224&lt;&gt;"D","",INDEX($AW$5:$AW$404,$AC224))</f>
        <v/>
      </c>
      <c r="C224" s="68">
        <f>IF($AD224&lt;&gt;"D","",INDEX($AX$5:$AX$404,$AC224))</f>
        <v/>
      </c>
      <c r="D224" s="70">
        <f>IF($AD224&lt;&gt;"D","",INDEX($BA$5:$BA$404,$AC224))</f>
        <v/>
      </c>
      <c r="E224" s="31">
        <f>IF($AD224="Z",SUM($AR$5:$AR$404),IF($AD224="D",INDEX($AR$5:$AR$404,$AC224),IF($AD224="T",SUMIF($X$5:$X$404,$AF224,$AR$5:$AR$404),IF($AD224="B",SUMIF($AN$5:$AN$404,$AQ224,$AR$5:$AR$404),""))))</f>
        <v/>
      </c>
      <c r="F224" s="32">
        <f>IF($AD224="Z",ROUND(SUM($AS$5:$AS$404),2),IF($AD224="D",INDEX($AS$5:$AS$404,$AC224),IF($AD224="T",ROUND(SUMIF($X$5:$X$404,$AF224,$AS$5:$AS$404),2),IF($AD224="B",ROUND(SUMIF($AN$5:$AN$404,$AQ224,$AS$5:$AS$404),2),""))))</f>
        <v/>
      </c>
      <c r="G224" s="32">
        <f>IF($AD224&lt;&gt;"D","",INDEX($AT$5:$AT$404,$AC224))</f>
        <v/>
      </c>
      <c r="H224" s="32">
        <f>IF($AD224&lt;&gt;"D","",INDEX($BC$5:$BC$404,$AC224))</f>
        <v/>
      </c>
      <c r="I224" s="32">
        <f>IF($AD224&lt;&gt;"D","",INDEX($BD$5:$BD$404,$AC224))</f>
        <v/>
      </c>
      <c r="J224" s="46">
        <f>IF($AD224&lt;&gt;"D","",IF(N($B224)=0,"",ROUND($I224/$B224,4)))</f>
        <v/>
      </c>
      <c r="K224" s="32">
        <f>IF($AD224="Z",ROUND(SUM($AU$5:$AU$404),2),IF($AD224="D",INDEX($AU$5:$AU$404,$AC224),IF($AD224="T",ROUND(SUMIF($X$5:$X$404,$AF224,$AU$5:$AU$404),2),IF($AD224="B",ROUND(SUMIF($AN$5:$AN$404,$AQ224,$AU$5:$AU$404),2),""))))</f>
        <v/>
      </c>
      <c r="L224" s="32">
        <f>IF($AD224="Z",ROUND(SUM($AV$5:$AV$404),2),IF($AD224="D",INDEX($AV$5:$AV$404,$AC224),IF($AD224="T",ROUND(SUMIF($X$5:$X$404,$AF224,$AV$5:$AV$404),2),IF($AD224="B",ROUND(SUMIF($AN$5:$AN$404,$AQ224,$AV$5:$AV$404),2),""))))</f>
        <v/>
      </c>
      <c r="M224" s="32">
        <f>IF($AD224="Z",ROUND(SUM($AJ$5:$AJ$704),2),IF($AD224="B",ROUND(SUMIF($AQ$5:$AQ$704,$AQ224,$AJ$5:$AJ$704),2),IF($AD224&lt;&gt;"T","",$AJ224)))</f>
        <v/>
      </c>
      <c r="N224" s="32">
        <f>IF(OR($AD224="D",$AD224="T",$AD224="B",$AD224="Z"),ROUND(N($K224)-N($L224)-N($M224),2),"")</f>
        <v/>
      </c>
      <c r="O224" s="32">
        <f>IF(OR($AD224="D",$AD224="T",$AD224="B",$AD224="Z"),IF(N($E224)=0,"",ROUND($F224/$E224,2)),"")</f>
        <v/>
      </c>
      <c r="Q224">
        <f>IFERROR(MATCH(220,บันทึกรายเที่ยว!$Z$6:$Z$6005,0),"")</f>
        <v/>
      </c>
      <c r="R224">
        <f>IF($Q224="","",INDEX(บันทึกรายเที่ยว!$V$6:$V$6005,$Q224))</f>
        <v/>
      </c>
      <c r="S224">
        <f>IF($Q224="","",INDEX(บันทึกรายเที่ยว!$F$6:$F$6005,$Q224))</f>
        <v/>
      </c>
      <c r="T224">
        <f>IF($Q224="","",MATCH($S224,บันทึกรายเที่ยว!$F$6:$F$6005,0))</f>
        <v/>
      </c>
      <c r="U224">
        <f>IF($Q224="","",$AL224*10000000+$T224*1000+220)</f>
        <v/>
      </c>
      <c r="V224">
        <f>IFERROR(MATCH(SMALL($U$5:$U$404,220),$U$5:$U$404,0),"")</f>
        <v/>
      </c>
      <c r="W224">
        <f>IF($V224="","",INDEX($Q$5:$Q$404,$V224))</f>
        <v/>
      </c>
      <c r="X224">
        <f>IF($V224="","",INDEX($S$5:$S$404,$V224))</f>
        <v/>
      </c>
      <c r="Y224">
        <f>IF($V224="","",INDEX($R$5:$R$404,$V224))</f>
        <v/>
      </c>
      <c r="Z224">
        <f>IF($V224="",0,IF($X224&lt;&gt;$X223,1,0))</f>
        <v/>
      </c>
      <c r="AA224">
        <f>IF($V224="",0,IF($V225="",1,IF($X225&lt;&gt;$X224,1,0)))</f>
        <v/>
      </c>
      <c r="AB224">
        <f>IF($V224="",99999+220,$AB223+1+$Z223+$AA223+$AO223)</f>
        <v/>
      </c>
      <c r="AC224">
        <f>IFERROR(MATCH(220,$AB$5:$AB$404,1),"")</f>
        <v/>
      </c>
      <c r="AD224">
        <f>IF(220=$AI$1+1,"Z",IF($AC224="","",IF(INDEX($V$5:$V$404,$AC224)="","",IF(220&gt;INDEX($AB$5:$AB$404,$AC224)+INDEX($Z$5:$Z$404,$AC224)+INDEX($AA$5:$AA$404,$AC224)+INDEX($AO$5:$AO$404,$AC224),"",IF(220=INDEX($AB$5:$AB$404,$AC224)+INDEX($Z$5:$Z$404,$AC224),"D",IF(AND(INDEX($Z$5:$Z$404,$AC224)=1,220=INDEX($AB$5:$AB$404,$AC224)),"H",IF(AND(INDEX($AO$5:$AO$404,$AC224)=1,220=INDEX($AB$5:$AB$404,$AC224)+INDEX($Z$5:$Z$404,$AC224)+INDEX($AA$5:$AA$404,$AC224)+INDEX($AO$5:$AO$404,$AC224)),"B","T")))))))</f>
        <v/>
      </c>
      <c r="AF224">
        <f>IF(OR($AD224="",$AD224="Z",$AD224="B"),"",INDEX($X$5:$X$404,$AC224))</f>
        <v/>
      </c>
      <c r="AJ224">
        <f>IF($AD224&lt;&gt;"T",0,ROUND(SUMIF(oil!$B$4:$B$63,$AF224,oil!$AE$4:$AE$63),2))</f>
        <v/>
      </c>
      <c r="AK224">
        <f>IF($S224="","",IFERROR(INDEX(อัตราค่าขนส่ง!$P$5:$P$54,MATCH($S224,อัตราค่าขนส่ง!$O$5:$O$54,0)),INDEX(รายการมาตรฐาน!$G$2:$G$3,1)))</f>
        <v/>
      </c>
      <c r="AL224">
        <f>IF($S224="","",IFERROR(MATCH($AK224,รายการมาตรฐาน!$G$2:$G$3,0),1))</f>
        <v/>
      </c>
      <c r="AM224">
        <f>IF($V224="","",INDEX($AK$5:$AK$404,$V224))</f>
        <v/>
      </c>
      <c r="AN224">
        <f>IF($V224="","",INDEX($AL$5:$AL$404,$V224))</f>
        <v/>
      </c>
      <c r="AO224">
        <f>IF(OR($V224="",$AI$2&lt;=1),0,IF($V225="",1,IF($AN225&lt;&gt;$AN224,1,0)))</f>
        <v/>
      </c>
      <c r="AP224">
        <f>IF($V224="",0,IF($AN224&lt;&gt;$AN223,1,0))</f>
        <v/>
      </c>
      <c r="AQ224">
        <f>IF(OR($AD224="",$AD224="Z"),"",INDEX($AN$5:$AN$404,$AC224))</f>
        <v/>
      </c>
      <c r="AR224">
        <f>IF($Y224="",0,COUNTIF(บันทึกรายเที่ยว!$V$6:$V$6005,$Y224))</f>
        <v/>
      </c>
      <c r="AS224">
        <f>IF($Y224="",0,ROUND(SUMIF(บันทึกรายเที่ยว!$V$6:$V$6005,$Y224,บันทึกรายเที่ยว!$M$6:$M$6005),2))</f>
        <v/>
      </c>
      <c r="AT224">
        <f>IF($Y224="",0,IFERROR(INDEX(อัตราค่าขนส่ง!$G$5:$G$204,MATCH($Y224,อัตราค่าขนส่ง!$M$5:$M$204,0)),0))</f>
        <v/>
      </c>
      <c r="AU224">
        <f>ROUND($AS224*$BD224,2)</f>
        <v/>
      </c>
      <c r="AV224">
        <f>ROUND($AU224*$BF$2/100,2)</f>
        <v/>
      </c>
      <c r="AW224">
        <f>IF($Y224="","",IFERROR(INDEX(อัตราค่าขนส่ง!$F$5:$F$204,MATCH($Y224,อัตราค่าขนส่ง!$M$5:$M$204,0)),""))</f>
        <v/>
      </c>
      <c r="AX224">
        <f>IF($W224="","",INDEX(บันทึกรายเที่ยว!$D$6:$D$6005,$W224))</f>
        <v/>
      </c>
      <c r="AY224">
        <f>IF($W224="","",INDEX(บันทึกรายเที่ยว!$R$6:$R$6005,$W224))</f>
        <v/>
      </c>
      <c r="AZ224">
        <f>IF(AND($AD224="T",$AQ224=1),N($AZ223)+1,N($AZ223))</f>
        <v/>
      </c>
      <c r="BA224">
        <f>IF($W224="","",INDEX(บันทึกรายเที่ยว!$E$6:$E$6005,$W224))</f>
        <v/>
      </c>
      <c r="BC224">
        <f>IF($Y224="",0,IFERROR(INDEX(อัตราค่าขนส่ง!$K$5:$K$204,MATCH($Y224,อัตราค่าขนส่ง!$M$5:$M$204,0)),0))</f>
        <v/>
      </c>
      <c r="BD224">
        <f>IF($Y224="",0,IFERROR(INDEX(อัตราค่าขนส่ง!$L$5:$L$204,MATCH($Y224,อัตราค่าขนส่ง!$M$5:$M$204,0)),0))</f>
        <v/>
      </c>
    </row>
    <row r="225" ht="21" customHeight="1" s="66">
      <c r="A225" s="69">
        <f>IF($AD225="","",IF($AD225="Z","รวมจ่ายทั้งสิ้น",IF($AD225="H",INDEX($X$5:$X$404,$AC225),IF($AD225="T","รวม",IF($AD225="B",IFERROR(INDEX(อัตราค่าขนส่ง!$S$5:$S$14,MATCH(INDEX($AM$5:$AM$404,$AC225),อัตราค่าขนส่ง!$R$5:$R$14,0)),"รวมกลุ่ม "&amp;INDEX($AM$5:$AM$404,$AC225)),INDEX($AY$5:$AY$404,$AC225))))))</f>
        <v/>
      </c>
      <c r="B225" s="31">
        <f>IF($AD225&lt;&gt;"D","",INDEX($AW$5:$AW$404,$AC225))</f>
        <v/>
      </c>
      <c r="C225" s="68">
        <f>IF($AD225&lt;&gt;"D","",INDEX($AX$5:$AX$404,$AC225))</f>
        <v/>
      </c>
      <c r="D225" s="70">
        <f>IF($AD225&lt;&gt;"D","",INDEX($BA$5:$BA$404,$AC225))</f>
        <v/>
      </c>
      <c r="E225" s="31">
        <f>IF($AD225="Z",SUM($AR$5:$AR$404),IF($AD225="D",INDEX($AR$5:$AR$404,$AC225),IF($AD225="T",SUMIF($X$5:$X$404,$AF225,$AR$5:$AR$404),IF($AD225="B",SUMIF($AN$5:$AN$404,$AQ225,$AR$5:$AR$404),""))))</f>
        <v/>
      </c>
      <c r="F225" s="32">
        <f>IF($AD225="Z",ROUND(SUM($AS$5:$AS$404),2),IF($AD225="D",INDEX($AS$5:$AS$404,$AC225),IF($AD225="T",ROUND(SUMIF($X$5:$X$404,$AF225,$AS$5:$AS$404),2),IF($AD225="B",ROUND(SUMIF($AN$5:$AN$404,$AQ225,$AS$5:$AS$404),2),""))))</f>
        <v/>
      </c>
      <c r="G225" s="32">
        <f>IF($AD225&lt;&gt;"D","",INDEX($AT$5:$AT$404,$AC225))</f>
        <v/>
      </c>
      <c r="H225" s="32">
        <f>IF($AD225&lt;&gt;"D","",INDEX($BC$5:$BC$404,$AC225))</f>
        <v/>
      </c>
      <c r="I225" s="32">
        <f>IF($AD225&lt;&gt;"D","",INDEX($BD$5:$BD$404,$AC225))</f>
        <v/>
      </c>
      <c r="J225" s="46">
        <f>IF($AD225&lt;&gt;"D","",IF(N($B225)=0,"",ROUND($I225/$B225,4)))</f>
        <v/>
      </c>
      <c r="K225" s="32">
        <f>IF($AD225="Z",ROUND(SUM($AU$5:$AU$404),2),IF($AD225="D",INDEX($AU$5:$AU$404,$AC225),IF($AD225="T",ROUND(SUMIF($X$5:$X$404,$AF225,$AU$5:$AU$404),2),IF($AD225="B",ROUND(SUMIF($AN$5:$AN$404,$AQ225,$AU$5:$AU$404),2),""))))</f>
        <v/>
      </c>
      <c r="L225" s="32">
        <f>IF($AD225="Z",ROUND(SUM($AV$5:$AV$404),2),IF($AD225="D",INDEX($AV$5:$AV$404,$AC225),IF($AD225="T",ROUND(SUMIF($X$5:$X$404,$AF225,$AV$5:$AV$404),2),IF($AD225="B",ROUND(SUMIF($AN$5:$AN$404,$AQ225,$AV$5:$AV$404),2),""))))</f>
        <v/>
      </c>
      <c r="M225" s="32">
        <f>IF($AD225="Z",ROUND(SUM($AJ$5:$AJ$704),2),IF($AD225="B",ROUND(SUMIF($AQ$5:$AQ$704,$AQ225,$AJ$5:$AJ$704),2),IF($AD225&lt;&gt;"T","",$AJ225)))</f>
        <v/>
      </c>
      <c r="N225" s="32">
        <f>IF(OR($AD225="D",$AD225="T",$AD225="B",$AD225="Z"),ROUND(N($K225)-N($L225)-N($M225),2),"")</f>
        <v/>
      </c>
      <c r="O225" s="32">
        <f>IF(OR($AD225="D",$AD225="T",$AD225="B",$AD225="Z"),IF(N($E225)=0,"",ROUND($F225/$E225,2)),"")</f>
        <v/>
      </c>
      <c r="Q225">
        <f>IFERROR(MATCH(221,บันทึกรายเที่ยว!$Z$6:$Z$6005,0),"")</f>
        <v/>
      </c>
      <c r="R225">
        <f>IF($Q225="","",INDEX(บันทึกรายเที่ยว!$V$6:$V$6005,$Q225))</f>
        <v/>
      </c>
      <c r="S225">
        <f>IF($Q225="","",INDEX(บันทึกรายเที่ยว!$F$6:$F$6005,$Q225))</f>
        <v/>
      </c>
      <c r="T225">
        <f>IF($Q225="","",MATCH($S225,บันทึกรายเที่ยว!$F$6:$F$6005,0))</f>
        <v/>
      </c>
      <c r="U225">
        <f>IF($Q225="","",$AL225*10000000+$T225*1000+221)</f>
        <v/>
      </c>
      <c r="V225">
        <f>IFERROR(MATCH(SMALL($U$5:$U$404,221),$U$5:$U$404,0),"")</f>
        <v/>
      </c>
      <c r="W225">
        <f>IF($V225="","",INDEX($Q$5:$Q$404,$V225))</f>
        <v/>
      </c>
      <c r="X225">
        <f>IF($V225="","",INDEX($S$5:$S$404,$V225))</f>
        <v/>
      </c>
      <c r="Y225">
        <f>IF($V225="","",INDEX($R$5:$R$404,$V225))</f>
        <v/>
      </c>
      <c r="Z225">
        <f>IF($V225="",0,IF($X225&lt;&gt;$X224,1,0))</f>
        <v/>
      </c>
      <c r="AA225">
        <f>IF($V225="",0,IF($V226="",1,IF($X226&lt;&gt;$X225,1,0)))</f>
        <v/>
      </c>
      <c r="AB225">
        <f>IF($V225="",99999+221,$AB224+1+$Z224+$AA224+$AO224)</f>
        <v/>
      </c>
      <c r="AC225">
        <f>IFERROR(MATCH(221,$AB$5:$AB$404,1),"")</f>
        <v/>
      </c>
      <c r="AD225">
        <f>IF(221=$AI$1+1,"Z",IF($AC225="","",IF(INDEX($V$5:$V$404,$AC225)="","",IF(221&gt;INDEX($AB$5:$AB$404,$AC225)+INDEX($Z$5:$Z$404,$AC225)+INDEX($AA$5:$AA$404,$AC225)+INDEX($AO$5:$AO$404,$AC225),"",IF(221=INDEX($AB$5:$AB$404,$AC225)+INDEX($Z$5:$Z$404,$AC225),"D",IF(AND(INDEX($Z$5:$Z$404,$AC225)=1,221=INDEX($AB$5:$AB$404,$AC225)),"H",IF(AND(INDEX($AO$5:$AO$404,$AC225)=1,221=INDEX($AB$5:$AB$404,$AC225)+INDEX($Z$5:$Z$404,$AC225)+INDEX($AA$5:$AA$404,$AC225)+INDEX($AO$5:$AO$404,$AC225)),"B","T")))))))</f>
        <v/>
      </c>
      <c r="AF225">
        <f>IF(OR($AD225="",$AD225="Z",$AD225="B"),"",INDEX($X$5:$X$404,$AC225))</f>
        <v/>
      </c>
      <c r="AJ225">
        <f>IF($AD225&lt;&gt;"T",0,ROUND(SUMIF(oil!$B$4:$B$63,$AF225,oil!$AE$4:$AE$63),2))</f>
        <v/>
      </c>
      <c r="AK225">
        <f>IF($S225="","",IFERROR(INDEX(อัตราค่าขนส่ง!$P$5:$P$54,MATCH($S225,อัตราค่าขนส่ง!$O$5:$O$54,0)),INDEX(รายการมาตรฐาน!$G$2:$G$3,1)))</f>
        <v/>
      </c>
      <c r="AL225">
        <f>IF($S225="","",IFERROR(MATCH($AK225,รายการมาตรฐาน!$G$2:$G$3,0),1))</f>
        <v/>
      </c>
      <c r="AM225">
        <f>IF($V225="","",INDEX($AK$5:$AK$404,$V225))</f>
        <v/>
      </c>
      <c r="AN225">
        <f>IF($V225="","",INDEX($AL$5:$AL$404,$V225))</f>
        <v/>
      </c>
      <c r="AO225">
        <f>IF(OR($V225="",$AI$2&lt;=1),0,IF($V226="",1,IF($AN226&lt;&gt;$AN225,1,0)))</f>
        <v/>
      </c>
      <c r="AP225">
        <f>IF($V225="",0,IF($AN225&lt;&gt;$AN224,1,0))</f>
        <v/>
      </c>
      <c r="AQ225">
        <f>IF(OR($AD225="",$AD225="Z"),"",INDEX($AN$5:$AN$404,$AC225))</f>
        <v/>
      </c>
      <c r="AR225">
        <f>IF($Y225="",0,COUNTIF(บันทึกรายเที่ยว!$V$6:$V$6005,$Y225))</f>
        <v/>
      </c>
      <c r="AS225">
        <f>IF($Y225="",0,ROUND(SUMIF(บันทึกรายเที่ยว!$V$6:$V$6005,$Y225,บันทึกรายเที่ยว!$M$6:$M$6005),2))</f>
        <v/>
      </c>
      <c r="AT225">
        <f>IF($Y225="",0,IFERROR(INDEX(อัตราค่าขนส่ง!$G$5:$G$204,MATCH($Y225,อัตราค่าขนส่ง!$M$5:$M$204,0)),0))</f>
        <v/>
      </c>
      <c r="AU225">
        <f>ROUND($AS225*$BD225,2)</f>
        <v/>
      </c>
      <c r="AV225">
        <f>ROUND($AU225*$BF$2/100,2)</f>
        <v/>
      </c>
      <c r="AW225">
        <f>IF($Y225="","",IFERROR(INDEX(อัตราค่าขนส่ง!$F$5:$F$204,MATCH($Y225,อัตราค่าขนส่ง!$M$5:$M$204,0)),""))</f>
        <v/>
      </c>
      <c r="AX225">
        <f>IF($W225="","",INDEX(บันทึกรายเที่ยว!$D$6:$D$6005,$W225))</f>
        <v/>
      </c>
      <c r="AY225">
        <f>IF($W225="","",INDEX(บันทึกรายเที่ยว!$R$6:$R$6005,$W225))</f>
        <v/>
      </c>
      <c r="AZ225">
        <f>IF(AND($AD225="T",$AQ225=1),N($AZ224)+1,N($AZ224))</f>
        <v/>
      </c>
      <c r="BA225">
        <f>IF($W225="","",INDEX(บันทึกรายเที่ยว!$E$6:$E$6005,$W225))</f>
        <v/>
      </c>
      <c r="BC225">
        <f>IF($Y225="",0,IFERROR(INDEX(อัตราค่าขนส่ง!$K$5:$K$204,MATCH($Y225,อัตราค่าขนส่ง!$M$5:$M$204,0)),0))</f>
        <v/>
      </c>
      <c r="BD225">
        <f>IF($Y225="",0,IFERROR(INDEX(อัตราค่าขนส่ง!$L$5:$L$204,MATCH($Y225,อัตราค่าขนส่ง!$M$5:$M$204,0)),0))</f>
        <v/>
      </c>
    </row>
    <row r="226" ht="21" customHeight="1" s="66">
      <c r="A226" s="69">
        <f>IF($AD226="","",IF($AD226="Z","รวมจ่ายทั้งสิ้น",IF($AD226="H",INDEX($X$5:$X$404,$AC226),IF($AD226="T","รวม",IF($AD226="B",IFERROR(INDEX(อัตราค่าขนส่ง!$S$5:$S$14,MATCH(INDEX($AM$5:$AM$404,$AC226),อัตราค่าขนส่ง!$R$5:$R$14,0)),"รวมกลุ่ม "&amp;INDEX($AM$5:$AM$404,$AC226)),INDEX($AY$5:$AY$404,$AC226))))))</f>
        <v/>
      </c>
      <c r="B226" s="31">
        <f>IF($AD226&lt;&gt;"D","",INDEX($AW$5:$AW$404,$AC226))</f>
        <v/>
      </c>
      <c r="C226" s="68">
        <f>IF($AD226&lt;&gt;"D","",INDEX($AX$5:$AX$404,$AC226))</f>
        <v/>
      </c>
      <c r="D226" s="70">
        <f>IF($AD226&lt;&gt;"D","",INDEX($BA$5:$BA$404,$AC226))</f>
        <v/>
      </c>
      <c r="E226" s="31">
        <f>IF($AD226="Z",SUM($AR$5:$AR$404),IF($AD226="D",INDEX($AR$5:$AR$404,$AC226),IF($AD226="T",SUMIF($X$5:$X$404,$AF226,$AR$5:$AR$404),IF($AD226="B",SUMIF($AN$5:$AN$404,$AQ226,$AR$5:$AR$404),""))))</f>
        <v/>
      </c>
      <c r="F226" s="32">
        <f>IF($AD226="Z",ROUND(SUM($AS$5:$AS$404),2),IF($AD226="D",INDEX($AS$5:$AS$404,$AC226),IF($AD226="T",ROUND(SUMIF($X$5:$X$404,$AF226,$AS$5:$AS$404),2),IF($AD226="B",ROUND(SUMIF($AN$5:$AN$404,$AQ226,$AS$5:$AS$404),2),""))))</f>
        <v/>
      </c>
      <c r="G226" s="32">
        <f>IF($AD226&lt;&gt;"D","",INDEX($AT$5:$AT$404,$AC226))</f>
        <v/>
      </c>
      <c r="H226" s="32">
        <f>IF($AD226&lt;&gt;"D","",INDEX($BC$5:$BC$404,$AC226))</f>
        <v/>
      </c>
      <c r="I226" s="32">
        <f>IF($AD226&lt;&gt;"D","",INDEX($BD$5:$BD$404,$AC226))</f>
        <v/>
      </c>
      <c r="J226" s="46">
        <f>IF($AD226&lt;&gt;"D","",IF(N($B226)=0,"",ROUND($I226/$B226,4)))</f>
        <v/>
      </c>
      <c r="K226" s="32">
        <f>IF($AD226="Z",ROUND(SUM($AU$5:$AU$404),2),IF($AD226="D",INDEX($AU$5:$AU$404,$AC226),IF($AD226="T",ROUND(SUMIF($X$5:$X$404,$AF226,$AU$5:$AU$404),2),IF($AD226="B",ROUND(SUMIF($AN$5:$AN$404,$AQ226,$AU$5:$AU$404),2),""))))</f>
        <v/>
      </c>
      <c r="L226" s="32">
        <f>IF($AD226="Z",ROUND(SUM($AV$5:$AV$404),2),IF($AD226="D",INDEX($AV$5:$AV$404,$AC226),IF($AD226="T",ROUND(SUMIF($X$5:$X$404,$AF226,$AV$5:$AV$404),2),IF($AD226="B",ROUND(SUMIF($AN$5:$AN$404,$AQ226,$AV$5:$AV$404),2),""))))</f>
        <v/>
      </c>
      <c r="M226" s="32">
        <f>IF($AD226="Z",ROUND(SUM($AJ$5:$AJ$704),2),IF($AD226="B",ROUND(SUMIF($AQ$5:$AQ$704,$AQ226,$AJ$5:$AJ$704),2),IF($AD226&lt;&gt;"T","",$AJ226)))</f>
        <v/>
      </c>
      <c r="N226" s="32">
        <f>IF(OR($AD226="D",$AD226="T",$AD226="B",$AD226="Z"),ROUND(N($K226)-N($L226)-N($M226),2),"")</f>
        <v/>
      </c>
      <c r="O226" s="32">
        <f>IF(OR($AD226="D",$AD226="T",$AD226="B",$AD226="Z"),IF(N($E226)=0,"",ROUND($F226/$E226,2)),"")</f>
        <v/>
      </c>
      <c r="Q226">
        <f>IFERROR(MATCH(222,บันทึกรายเที่ยว!$Z$6:$Z$6005,0),"")</f>
        <v/>
      </c>
      <c r="R226">
        <f>IF($Q226="","",INDEX(บันทึกรายเที่ยว!$V$6:$V$6005,$Q226))</f>
        <v/>
      </c>
      <c r="S226">
        <f>IF($Q226="","",INDEX(บันทึกรายเที่ยว!$F$6:$F$6005,$Q226))</f>
        <v/>
      </c>
      <c r="T226">
        <f>IF($Q226="","",MATCH($S226,บันทึกรายเที่ยว!$F$6:$F$6005,0))</f>
        <v/>
      </c>
      <c r="U226">
        <f>IF($Q226="","",$AL226*10000000+$T226*1000+222)</f>
        <v/>
      </c>
      <c r="V226">
        <f>IFERROR(MATCH(SMALL($U$5:$U$404,222),$U$5:$U$404,0),"")</f>
        <v/>
      </c>
      <c r="W226">
        <f>IF($V226="","",INDEX($Q$5:$Q$404,$V226))</f>
        <v/>
      </c>
      <c r="X226">
        <f>IF($V226="","",INDEX($S$5:$S$404,$V226))</f>
        <v/>
      </c>
      <c r="Y226">
        <f>IF($V226="","",INDEX($R$5:$R$404,$V226))</f>
        <v/>
      </c>
      <c r="Z226">
        <f>IF($V226="",0,IF($X226&lt;&gt;$X225,1,0))</f>
        <v/>
      </c>
      <c r="AA226">
        <f>IF($V226="",0,IF($V227="",1,IF($X227&lt;&gt;$X226,1,0)))</f>
        <v/>
      </c>
      <c r="AB226">
        <f>IF($V226="",99999+222,$AB225+1+$Z225+$AA225+$AO225)</f>
        <v/>
      </c>
      <c r="AC226">
        <f>IFERROR(MATCH(222,$AB$5:$AB$404,1),"")</f>
        <v/>
      </c>
      <c r="AD226">
        <f>IF(222=$AI$1+1,"Z",IF($AC226="","",IF(INDEX($V$5:$V$404,$AC226)="","",IF(222&gt;INDEX($AB$5:$AB$404,$AC226)+INDEX($Z$5:$Z$404,$AC226)+INDEX($AA$5:$AA$404,$AC226)+INDEX($AO$5:$AO$404,$AC226),"",IF(222=INDEX($AB$5:$AB$404,$AC226)+INDEX($Z$5:$Z$404,$AC226),"D",IF(AND(INDEX($Z$5:$Z$404,$AC226)=1,222=INDEX($AB$5:$AB$404,$AC226)),"H",IF(AND(INDEX($AO$5:$AO$404,$AC226)=1,222=INDEX($AB$5:$AB$404,$AC226)+INDEX($Z$5:$Z$404,$AC226)+INDEX($AA$5:$AA$404,$AC226)+INDEX($AO$5:$AO$404,$AC226)),"B","T")))))))</f>
        <v/>
      </c>
      <c r="AF226">
        <f>IF(OR($AD226="",$AD226="Z",$AD226="B"),"",INDEX($X$5:$X$404,$AC226))</f>
        <v/>
      </c>
      <c r="AJ226">
        <f>IF($AD226&lt;&gt;"T",0,ROUND(SUMIF(oil!$B$4:$B$63,$AF226,oil!$AE$4:$AE$63),2))</f>
        <v/>
      </c>
      <c r="AK226">
        <f>IF($S226="","",IFERROR(INDEX(อัตราค่าขนส่ง!$P$5:$P$54,MATCH($S226,อัตราค่าขนส่ง!$O$5:$O$54,0)),INDEX(รายการมาตรฐาน!$G$2:$G$3,1)))</f>
        <v/>
      </c>
      <c r="AL226">
        <f>IF($S226="","",IFERROR(MATCH($AK226,รายการมาตรฐาน!$G$2:$G$3,0),1))</f>
        <v/>
      </c>
      <c r="AM226">
        <f>IF($V226="","",INDEX($AK$5:$AK$404,$V226))</f>
        <v/>
      </c>
      <c r="AN226">
        <f>IF($V226="","",INDEX($AL$5:$AL$404,$V226))</f>
        <v/>
      </c>
      <c r="AO226">
        <f>IF(OR($V226="",$AI$2&lt;=1),0,IF($V227="",1,IF($AN227&lt;&gt;$AN226,1,0)))</f>
        <v/>
      </c>
      <c r="AP226">
        <f>IF($V226="",0,IF($AN226&lt;&gt;$AN225,1,0))</f>
        <v/>
      </c>
      <c r="AQ226">
        <f>IF(OR($AD226="",$AD226="Z"),"",INDEX($AN$5:$AN$404,$AC226))</f>
        <v/>
      </c>
      <c r="AR226">
        <f>IF($Y226="",0,COUNTIF(บันทึกรายเที่ยว!$V$6:$V$6005,$Y226))</f>
        <v/>
      </c>
      <c r="AS226">
        <f>IF($Y226="",0,ROUND(SUMIF(บันทึกรายเที่ยว!$V$6:$V$6005,$Y226,บันทึกรายเที่ยว!$M$6:$M$6005),2))</f>
        <v/>
      </c>
      <c r="AT226">
        <f>IF($Y226="",0,IFERROR(INDEX(อัตราค่าขนส่ง!$G$5:$G$204,MATCH($Y226,อัตราค่าขนส่ง!$M$5:$M$204,0)),0))</f>
        <v/>
      </c>
      <c r="AU226">
        <f>ROUND($AS226*$BD226,2)</f>
        <v/>
      </c>
      <c r="AV226">
        <f>ROUND($AU226*$BF$2/100,2)</f>
        <v/>
      </c>
      <c r="AW226">
        <f>IF($Y226="","",IFERROR(INDEX(อัตราค่าขนส่ง!$F$5:$F$204,MATCH($Y226,อัตราค่าขนส่ง!$M$5:$M$204,0)),""))</f>
        <v/>
      </c>
      <c r="AX226">
        <f>IF($W226="","",INDEX(บันทึกรายเที่ยว!$D$6:$D$6005,$W226))</f>
        <v/>
      </c>
      <c r="AY226">
        <f>IF($W226="","",INDEX(บันทึกรายเที่ยว!$R$6:$R$6005,$W226))</f>
        <v/>
      </c>
      <c r="AZ226">
        <f>IF(AND($AD226="T",$AQ226=1),N($AZ225)+1,N($AZ225))</f>
        <v/>
      </c>
      <c r="BA226">
        <f>IF($W226="","",INDEX(บันทึกรายเที่ยว!$E$6:$E$6005,$W226))</f>
        <v/>
      </c>
      <c r="BC226">
        <f>IF($Y226="",0,IFERROR(INDEX(อัตราค่าขนส่ง!$K$5:$K$204,MATCH($Y226,อัตราค่าขนส่ง!$M$5:$M$204,0)),0))</f>
        <v/>
      </c>
      <c r="BD226">
        <f>IF($Y226="",0,IFERROR(INDEX(อัตราค่าขนส่ง!$L$5:$L$204,MATCH($Y226,อัตราค่าขนส่ง!$M$5:$M$204,0)),0))</f>
        <v/>
      </c>
    </row>
    <row r="227" ht="21" customHeight="1" s="66">
      <c r="A227" s="69">
        <f>IF($AD227="","",IF($AD227="Z","รวมจ่ายทั้งสิ้น",IF($AD227="H",INDEX($X$5:$X$404,$AC227),IF($AD227="T","รวม",IF($AD227="B",IFERROR(INDEX(อัตราค่าขนส่ง!$S$5:$S$14,MATCH(INDEX($AM$5:$AM$404,$AC227),อัตราค่าขนส่ง!$R$5:$R$14,0)),"รวมกลุ่ม "&amp;INDEX($AM$5:$AM$404,$AC227)),INDEX($AY$5:$AY$404,$AC227))))))</f>
        <v/>
      </c>
      <c r="B227" s="31">
        <f>IF($AD227&lt;&gt;"D","",INDEX($AW$5:$AW$404,$AC227))</f>
        <v/>
      </c>
      <c r="C227" s="68">
        <f>IF($AD227&lt;&gt;"D","",INDEX($AX$5:$AX$404,$AC227))</f>
        <v/>
      </c>
      <c r="D227" s="70">
        <f>IF($AD227&lt;&gt;"D","",INDEX($BA$5:$BA$404,$AC227))</f>
        <v/>
      </c>
      <c r="E227" s="31">
        <f>IF($AD227="Z",SUM($AR$5:$AR$404),IF($AD227="D",INDEX($AR$5:$AR$404,$AC227),IF($AD227="T",SUMIF($X$5:$X$404,$AF227,$AR$5:$AR$404),IF($AD227="B",SUMIF($AN$5:$AN$404,$AQ227,$AR$5:$AR$404),""))))</f>
        <v/>
      </c>
      <c r="F227" s="32">
        <f>IF($AD227="Z",ROUND(SUM($AS$5:$AS$404),2),IF($AD227="D",INDEX($AS$5:$AS$404,$AC227),IF($AD227="T",ROUND(SUMIF($X$5:$X$404,$AF227,$AS$5:$AS$404),2),IF($AD227="B",ROUND(SUMIF($AN$5:$AN$404,$AQ227,$AS$5:$AS$404),2),""))))</f>
        <v/>
      </c>
      <c r="G227" s="32">
        <f>IF($AD227&lt;&gt;"D","",INDEX($AT$5:$AT$404,$AC227))</f>
        <v/>
      </c>
      <c r="H227" s="32">
        <f>IF($AD227&lt;&gt;"D","",INDEX($BC$5:$BC$404,$AC227))</f>
        <v/>
      </c>
      <c r="I227" s="32">
        <f>IF($AD227&lt;&gt;"D","",INDEX($BD$5:$BD$404,$AC227))</f>
        <v/>
      </c>
      <c r="J227" s="46">
        <f>IF($AD227&lt;&gt;"D","",IF(N($B227)=0,"",ROUND($I227/$B227,4)))</f>
        <v/>
      </c>
      <c r="K227" s="32">
        <f>IF($AD227="Z",ROUND(SUM($AU$5:$AU$404),2),IF($AD227="D",INDEX($AU$5:$AU$404,$AC227),IF($AD227="T",ROUND(SUMIF($X$5:$X$404,$AF227,$AU$5:$AU$404),2),IF($AD227="B",ROUND(SUMIF($AN$5:$AN$404,$AQ227,$AU$5:$AU$404),2),""))))</f>
        <v/>
      </c>
      <c r="L227" s="32">
        <f>IF($AD227="Z",ROUND(SUM($AV$5:$AV$404),2),IF($AD227="D",INDEX($AV$5:$AV$404,$AC227),IF($AD227="T",ROUND(SUMIF($X$5:$X$404,$AF227,$AV$5:$AV$404),2),IF($AD227="B",ROUND(SUMIF($AN$5:$AN$404,$AQ227,$AV$5:$AV$404),2),""))))</f>
        <v/>
      </c>
      <c r="M227" s="32">
        <f>IF($AD227="Z",ROUND(SUM($AJ$5:$AJ$704),2),IF($AD227="B",ROUND(SUMIF($AQ$5:$AQ$704,$AQ227,$AJ$5:$AJ$704),2),IF($AD227&lt;&gt;"T","",$AJ227)))</f>
        <v/>
      </c>
      <c r="N227" s="32">
        <f>IF(OR($AD227="D",$AD227="T",$AD227="B",$AD227="Z"),ROUND(N($K227)-N($L227)-N($M227),2),"")</f>
        <v/>
      </c>
      <c r="O227" s="32">
        <f>IF(OR($AD227="D",$AD227="T",$AD227="B",$AD227="Z"),IF(N($E227)=0,"",ROUND($F227/$E227,2)),"")</f>
        <v/>
      </c>
      <c r="Q227">
        <f>IFERROR(MATCH(223,บันทึกรายเที่ยว!$Z$6:$Z$6005,0),"")</f>
        <v/>
      </c>
      <c r="R227">
        <f>IF($Q227="","",INDEX(บันทึกรายเที่ยว!$V$6:$V$6005,$Q227))</f>
        <v/>
      </c>
      <c r="S227">
        <f>IF($Q227="","",INDEX(บันทึกรายเที่ยว!$F$6:$F$6005,$Q227))</f>
        <v/>
      </c>
      <c r="T227">
        <f>IF($Q227="","",MATCH($S227,บันทึกรายเที่ยว!$F$6:$F$6005,0))</f>
        <v/>
      </c>
      <c r="U227">
        <f>IF($Q227="","",$AL227*10000000+$T227*1000+223)</f>
        <v/>
      </c>
      <c r="V227">
        <f>IFERROR(MATCH(SMALL($U$5:$U$404,223),$U$5:$U$404,0),"")</f>
        <v/>
      </c>
      <c r="W227">
        <f>IF($V227="","",INDEX($Q$5:$Q$404,$V227))</f>
        <v/>
      </c>
      <c r="X227">
        <f>IF($V227="","",INDEX($S$5:$S$404,$V227))</f>
        <v/>
      </c>
      <c r="Y227">
        <f>IF($V227="","",INDEX($R$5:$R$404,$V227))</f>
        <v/>
      </c>
      <c r="Z227">
        <f>IF($V227="",0,IF($X227&lt;&gt;$X226,1,0))</f>
        <v/>
      </c>
      <c r="AA227">
        <f>IF($V227="",0,IF($V228="",1,IF($X228&lt;&gt;$X227,1,0)))</f>
        <v/>
      </c>
      <c r="AB227">
        <f>IF($V227="",99999+223,$AB226+1+$Z226+$AA226+$AO226)</f>
        <v/>
      </c>
      <c r="AC227">
        <f>IFERROR(MATCH(223,$AB$5:$AB$404,1),"")</f>
        <v/>
      </c>
      <c r="AD227">
        <f>IF(223=$AI$1+1,"Z",IF($AC227="","",IF(INDEX($V$5:$V$404,$AC227)="","",IF(223&gt;INDEX($AB$5:$AB$404,$AC227)+INDEX($Z$5:$Z$404,$AC227)+INDEX($AA$5:$AA$404,$AC227)+INDEX($AO$5:$AO$404,$AC227),"",IF(223=INDEX($AB$5:$AB$404,$AC227)+INDEX($Z$5:$Z$404,$AC227),"D",IF(AND(INDEX($Z$5:$Z$404,$AC227)=1,223=INDEX($AB$5:$AB$404,$AC227)),"H",IF(AND(INDEX($AO$5:$AO$404,$AC227)=1,223=INDEX($AB$5:$AB$404,$AC227)+INDEX($Z$5:$Z$404,$AC227)+INDEX($AA$5:$AA$404,$AC227)+INDEX($AO$5:$AO$404,$AC227)),"B","T")))))))</f>
        <v/>
      </c>
      <c r="AF227">
        <f>IF(OR($AD227="",$AD227="Z",$AD227="B"),"",INDEX($X$5:$X$404,$AC227))</f>
        <v/>
      </c>
      <c r="AJ227">
        <f>IF($AD227&lt;&gt;"T",0,ROUND(SUMIF(oil!$B$4:$B$63,$AF227,oil!$AE$4:$AE$63),2))</f>
        <v/>
      </c>
      <c r="AK227">
        <f>IF($S227="","",IFERROR(INDEX(อัตราค่าขนส่ง!$P$5:$P$54,MATCH($S227,อัตราค่าขนส่ง!$O$5:$O$54,0)),INDEX(รายการมาตรฐาน!$G$2:$G$3,1)))</f>
        <v/>
      </c>
      <c r="AL227">
        <f>IF($S227="","",IFERROR(MATCH($AK227,รายการมาตรฐาน!$G$2:$G$3,0),1))</f>
        <v/>
      </c>
      <c r="AM227">
        <f>IF($V227="","",INDEX($AK$5:$AK$404,$V227))</f>
        <v/>
      </c>
      <c r="AN227">
        <f>IF($V227="","",INDEX($AL$5:$AL$404,$V227))</f>
        <v/>
      </c>
      <c r="AO227">
        <f>IF(OR($V227="",$AI$2&lt;=1),0,IF($V228="",1,IF($AN228&lt;&gt;$AN227,1,0)))</f>
        <v/>
      </c>
      <c r="AP227">
        <f>IF($V227="",0,IF($AN227&lt;&gt;$AN226,1,0))</f>
        <v/>
      </c>
      <c r="AQ227">
        <f>IF(OR($AD227="",$AD227="Z"),"",INDEX($AN$5:$AN$404,$AC227))</f>
        <v/>
      </c>
      <c r="AR227">
        <f>IF($Y227="",0,COUNTIF(บันทึกรายเที่ยว!$V$6:$V$6005,$Y227))</f>
        <v/>
      </c>
      <c r="AS227">
        <f>IF($Y227="",0,ROUND(SUMIF(บันทึกรายเที่ยว!$V$6:$V$6005,$Y227,บันทึกรายเที่ยว!$M$6:$M$6005),2))</f>
        <v/>
      </c>
      <c r="AT227">
        <f>IF($Y227="",0,IFERROR(INDEX(อัตราค่าขนส่ง!$G$5:$G$204,MATCH($Y227,อัตราค่าขนส่ง!$M$5:$M$204,0)),0))</f>
        <v/>
      </c>
      <c r="AU227">
        <f>ROUND($AS227*$BD227,2)</f>
        <v/>
      </c>
      <c r="AV227">
        <f>ROUND($AU227*$BF$2/100,2)</f>
        <v/>
      </c>
      <c r="AW227">
        <f>IF($Y227="","",IFERROR(INDEX(อัตราค่าขนส่ง!$F$5:$F$204,MATCH($Y227,อัตราค่าขนส่ง!$M$5:$M$204,0)),""))</f>
        <v/>
      </c>
      <c r="AX227">
        <f>IF($W227="","",INDEX(บันทึกรายเที่ยว!$D$6:$D$6005,$W227))</f>
        <v/>
      </c>
      <c r="AY227">
        <f>IF($W227="","",INDEX(บันทึกรายเที่ยว!$R$6:$R$6005,$W227))</f>
        <v/>
      </c>
      <c r="AZ227">
        <f>IF(AND($AD227="T",$AQ227=1),N($AZ226)+1,N($AZ226))</f>
        <v/>
      </c>
      <c r="BA227">
        <f>IF($W227="","",INDEX(บันทึกรายเที่ยว!$E$6:$E$6005,$W227))</f>
        <v/>
      </c>
      <c r="BC227">
        <f>IF($Y227="",0,IFERROR(INDEX(อัตราค่าขนส่ง!$K$5:$K$204,MATCH($Y227,อัตราค่าขนส่ง!$M$5:$M$204,0)),0))</f>
        <v/>
      </c>
      <c r="BD227">
        <f>IF($Y227="",0,IFERROR(INDEX(อัตราค่าขนส่ง!$L$5:$L$204,MATCH($Y227,อัตราค่าขนส่ง!$M$5:$M$204,0)),0))</f>
        <v/>
      </c>
    </row>
    <row r="228" ht="21" customHeight="1" s="66">
      <c r="A228" s="69">
        <f>IF($AD228="","",IF($AD228="Z","รวมจ่ายทั้งสิ้น",IF($AD228="H",INDEX($X$5:$X$404,$AC228),IF($AD228="T","รวม",IF($AD228="B",IFERROR(INDEX(อัตราค่าขนส่ง!$S$5:$S$14,MATCH(INDEX($AM$5:$AM$404,$AC228),อัตราค่าขนส่ง!$R$5:$R$14,0)),"รวมกลุ่ม "&amp;INDEX($AM$5:$AM$404,$AC228)),INDEX($AY$5:$AY$404,$AC228))))))</f>
        <v/>
      </c>
      <c r="B228" s="31">
        <f>IF($AD228&lt;&gt;"D","",INDEX($AW$5:$AW$404,$AC228))</f>
        <v/>
      </c>
      <c r="C228" s="68">
        <f>IF($AD228&lt;&gt;"D","",INDEX($AX$5:$AX$404,$AC228))</f>
        <v/>
      </c>
      <c r="D228" s="70">
        <f>IF($AD228&lt;&gt;"D","",INDEX($BA$5:$BA$404,$AC228))</f>
        <v/>
      </c>
      <c r="E228" s="31">
        <f>IF($AD228="Z",SUM($AR$5:$AR$404),IF($AD228="D",INDEX($AR$5:$AR$404,$AC228),IF($AD228="T",SUMIF($X$5:$X$404,$AF228,$AR$5:$AR$404),IF($AD228="B",SUMIF($AN$5:$AN$404,$AQ228,$AR$5:$AR$404),""))))</f>
        <v/>
      </c>
      <c r="F228" s="32">
        <f>IF($AD228="Z",ROUND(SUM($AS$5:$AS$404),2),IF($AD228="D",INDEX($AS$5:$AS$404,$AC228),IF($AD228="T",ROUND(SUMIF($X$5:$X$404,$AF228,$AS$5:$AS$404),2),IF($AD228="B",ROUND(SUMIF($AN$5:$AN$404,$AQ228,$AS$5:$AS$404),2),""))))</f>
        <v/>
      </c>
      <c r="G228" s="32">
        <f>IF($AD228&lt;&gt;"D","",INDEX($AT$5:$AT$404,$AC228))</f>
        <v/>
      </c>
      <c r="H228" s="32">
        <f>IF($AD228&lt;&gt;"D","",INDEX($BC$5:$BC$404,$AC228))</f>
        <v/>
      </c>
      <c r="I228" s="32">
        <f>IF($AD228&lt;&gt;"D","",INDEX($BD$5:$BD$404,$AC228))</f>
        <v/>
      </c>
      <c r="J228" s="46">
        <f>IF($AD228&lt;&gt;"D","",IF(N($B228)=0,"",ROUND($I228/$B228,4)))</f>
        <v/>
      </c>
      <c r="K228" s="32">
        <f>IF($AD228="Z",ROUND(SUM($AU$5:$AU$404),2),IF($AD228="D",INDEX($AU$5:$AU$404,$AC228),IF($AD228="T",ROUND(SUMIF($X$5:$X$404,$AF228,$AU$5:$AU$404),2),IF($AD228="B",ROUND(SUMIF($AN$5:$AN$404,$AQ228,$AU$5:$AU$404),2),""))))</f>
        <v/>
      </c>
      <c r="L228" s="32">
        <f>IF($AD228="Z",ROUND(SUM($AV$5:$AV$404),2),IF($AD228="D",INDEX($AV$5:$AV$404,$AC228),IF($AD228="T",ROUND(SUMIF($X$5:$X$404,$AF228,$AV$5:$AV$404),2),IF($AD228="B",ROUND(SUMIF($AN$5:$AN$404,$AQ228,$AV$5:$AV$404),2),""))))</f>
        <v/>
      </c>
      <c r="M228" s="32">
        <f>IF($AD228="Z",ROUND(SUM($AJ$5:$AJ$704),2),IF($AD228="B",ROUND(SUMIF($AQ$5:$AQ$704,$AQ228,$AJ$5:$AJ$704),2),IF($AD228&lt;&gt;"T","",$AJ228)))</f>
        <v/>
      </c>
      <c r="N228" s="32">
        <f>IF(OR($AD228="D",$AD228="T",$AD228="B",$AD228="Z"),ROUND(N($K228)-N($L228)-N($M228),2),"")</f>
        <v/>
      </c>
      <c r="O228" s="32">
        <f>IF(OR($AD228="D",$AD228="T",$AD228="B",$AD228="Z"),IF(N($E228)=0,"",ROUND($F228/$E228,2)),"")</f>
        <v/>
      </c>
      <c r="Q228">
        <f>IFERROR(MATCH(224,บันทึกรายเที่ยว!$Z$6:$Z$6005,0),"")</f>
        <v/>
      </c>
      <c r="R228">
        <f>IF($Q228="","",INDEX(บันทึกรายเที่ยว!$V$6:$V$6005,$Q228))</f>
        <v/>
      </c>
      <c r="S228">
        <f>IF($Q228="","",INDEX(บันทึกรายเที่ยว!$F$6:$F$6005,$Q228))</f>
        <v/>
      </c>
      <c r="T228">
        <f>IF($Q228="","",MATCH($S228,บันทึกรายเที่ยว!$F$6:$F$6005,0))</f>
        <v/>
      </c>
      <c r="U228">
        <f>IF($Q228="","",$AL228*10000000+$T228*1000+224)</f>
        <v/>
      </c>
      <c r="V228">
        <f>IFERROR(MATCH(SMALL($U$5:$U$404,224),$U$5:$U$404,0),"")</f>
        <v/>
      </c>
      <c r="W228">
        <f>IF($V228="","",INDEX($Q$5:$Q$404,$V228))</f>
        <v/>
      </c>
      <c r="X228">
        <f>IF($V228="","",INDEX($S$5:$S$404,$V228))</f>
        <v/>
      </c>
      <c r="Y228">
        <f>IF($V228="","",INDEX($R$5:$R$404,$V228))</f>
        <v/>
      </c>
      <c r="Z228">
        <f>IF($V228="",0,IF($X228&lt;&gt;$X227,1,0))</f>
        <v/>
      </c>
      <c r="AA228">
        <f>IF($V228="",0,IF($V229="",1,IF($X229&lt;&gt;$X228,1,0)))</f>
        <v/>
      </c>
      <c r="AB228">
        <f>IF($V228="",99999+224,$AB227+1+$Z227+$AA227+$AO227)</f>
        <v/>
      </c>
      <c r="AC228">
        <f>IFERROR(MATCH(224,$AB$5:$AB$404,1),"")</f>
        <v/>
      </c>
      <c r="AD228">
        <f>IF(224=$AI$1+1,"Z",IF($AC228="","",IF(INDEX($V$5:$V$404,$AC228)="","",IF(224&gt;INDEX($AB$5:$AB$404,$AC228)+INDEX($Z$5:$Z$404,$AC228)+INDEX($AA$5:$AA$404,$AC228)+INDEX($AO$5:$AO$404,$AC228),"",IF(224=INDEX($AB$5:$AB$404,$AC228)+INDEX($Z$5:$Z$404,$AC228),"D",IF(AND(INDEX($Z$5:$Z$404,$AC228)=1,224=INDEX($AB$5:$AB$404,$AC228)),"H",IF(AND(INDEX($AO$5:$AO$404,$AC228)=1,224=INDEX($AB$5:$AB$404,$AC228)+INDEX($Z$5:$Z$404,$AC228)+INDEX($AA$5:$AA$404,$AC228)+INDEX($AO$5:$AO$404,$AC228)),"B","T")))))))</f>
        <v/>
      </c>
      <c r="AF228">
        <f>IF(OR($AD228="",$AD228="Z",$AD228="B"),"",INDEX($X$5:$X$404,$AC228))</f>
        <v/>
      </c>
      <c r="AJ228">
        <f>IF($AD228&lt;&gt;"T",0,ROUND(SUMIF(oil!$B$4:$B$63,$AF228,oil!$AE$4:$AE$63),2))</f>
        <v/>
      </c>
      <c r="AK228">
        <f>IF($S228="","",IFERROR(INDEX(อัตราค่าขนส่ง!$P$5:$P$54,MATCH($S228,อัตราค่าขนส่ง!$O$5:$O$54,0)),INDEX(รายการมาตรฐาน!$G$2:$G$3,1)))</f>
        <v/>
      </c>
      <c r="AL228">
        <f>IF($S228="","",IFERROR(MATCH($AK228,รายการมาตรฐาน!$G$2:$G$3,0),1))</f>
        <v/>
      </c>
      <c r="AM228">
        <f>IF($V228="","",INDEX($AK$5:$AK$404,$V228))</f>
        <v/>
      </c>
      <c r="AN228">
        <f>IF($V228="","",INDEX($AL$5:$AL$404,$V228))</f>
        <v/>
      </c>
      <c r="AO228">
        <f>IF(OR($V228="",$AI$2&lt;=1),0,IF($V229="",1,IF($AN229&lt;&gt;$AN228,1,0)))</f>
        <v/>
      </c>
      <c r="AP228">
        <f>IF($V228="",0,IF($AN228&lt;&gt;$AN227,1,0))</f>
        <v/>
      </c>
      <c r="AQ228">
        <f>IF(OR($AD228="",$AD228="Z"),"",INDEX($AN$5:$AN$404,$AC228))</f>
        <v/>
      </c>
      <c r="AR228">
        <f>IF($Y228="",0,COUNTIF(บันทึกรายเที่ยว!$V$6:$V$6005,$Y228))</f>
        <v/>
      </c>
      <c r="AS228">
        <f>IF($Y228="",0,ROUND(SUMIF(บันทึกรายเที่ยว!$V$6:$V$6005,$Y228,บันทึกรายเที่ยว!$M$6:$M$6005),2))</f>
        <v/>
      </c>
      <c r="AT228">
        <f>IF($Y228="",0,IFERROR(INDEX(อัตราค่าขนส่ง!$G$5:$G$204,MATCH($Y228,อัตราค่าขนส่ง!$M$5:$M$204,0)),0))</f>
        <v/>
      </c>
      <c r="AU228">
        <f>ROUND($AS228*$BD228,2)</f>
        <v/>
      </c>
      <c r="AV228">
        <f>ROUND($AU228*$BF$2/100,2)</f>
        <v/>
      </c>
      <c r="AW228">
        <f>IF($Y228="","",IFERROR(INDEX(อัตราค่าขนส่ง!$F$5:$F$204,MATCH($Y228,อัตราค่าขนส่ง!$M$5:$M$204,0)),""))</f>
        <v/>
      </c>
      <c r="AX228">
        <f>IF($W228="","",INDEX(บันทึกรายเที่ยว!$D$6:$D$6005,$W228))</f>
        <v/>
      </c>
      <c r="AY228">
        <f>IF($W228="","",INDEX(บันทึกรายเที่ยว!$R$6:$R$6005,$W228))</f>
        <v/>
      </c>
      <c r="AZ228">
        <f>IF(AND($AD228="T",$AQ228=1),N($AZ227)+1,N($AZ227))</f>
        <v/>
      </c>
      <c r="BA228">
        <f>IF($W228="","",INDEX(บันทึกรายเที่ยว!$E$6:$E$6005,$W228))</f>
        <v/>
      </c>
      <c r="BC228">
        <f>IF($Y228="",0,IFERROR(INDEX(อัตราค่าขนส่ง!$K$5:$K$204,MATCH($Y228,อัตราค่าขนส่ง!$M$5:$M$204,0)),0))</f>
        <v/>
      </c>
      <c r="BD228">
        <f>IF($Y228="",0,IFERROR(INDEX(อัตราค่าขนส่ง!$L$5:$L$204,MATCH($Y228,อัตราค่าขนส่ง!$M$5:$M$204,0)),0))</f>
        <v/>
      </c>
    </row>
    <row r="229" ht="21" customHeight="1" s="66">
      <c r="A229" s="69">
        <f>IF($AD229="","",IF($AD229="Z","รวมจ่ายทั้งสิ้น",IF($AD229="H",INDEX($X$5:$X$404,$AC229),IF($AD229="T","รวม",IF($AD229="B",IFERROR(INDEX(อัตราค่าขนส่ง!$S$5:$S$14,MATCH(INDEX($AM$5:$AM$404,$AC229),อัตราค่าขนส่ง!$R$5:$R$14,0)),"รวมกลุ่ม "&amp;INDEX($AM$5:$AM$404,$AC229)),INDEX($AY$5:$AY$404,$AC229))))))</f>
        <v/>
      </c>
      <c r="B229" s="31">
        <f>IF($AD229&lt;&gt;"D","",INDEX($AW$5:$AW$404,$AC229))</f>
        <v/>
      </c>
      <c r="C229" s="68">
        <f>IF($AD229&lt;&gt;"D","",INDEX($AX$5:$AX$404,$AC229))</f>
        <v/>
      </c>
      <c r="D229" s="70">
        <f>IF($AD229&lt;&gt;"D","",INDEX($BA$5:$BA$404,$AC229))</f>
        <v/>
      </c>
      <c r="E229" s="31">
        <f>IF($AD229="Z",SUM($AR$5:$AR$404),IF($AD229="D",INDEX($AR$5:$AR$404,$AC229),IF($AD229="T",SUMIF($X$5:$X$404,$AF229,$AR$5:$AR$404),IF($AD229="B",SUMIF($AN$5:$AN$404,$AQ229,$AR$5:$AR$404),""))))</f>
        <v/>
      </c>
      <c r="F229" s="32">
        <f>IF($AD229="Z",ROUND(SUM($AS$5:$AS$404),2),IF($AD229="D",INDEX($AS$5:$AS$404,$AC229),IF($AD229="T",ROUND(SUMIF($X$5:$X$404,$AF229,$AS$5:$AS$404),2),IF($AD229="B",ROUND(SUMIF($AN$5:$AN$404,$AQ229,$AS$5:$AS$404),2),""))))</f>
        <v/>
      </c>
      <c r="G229" s="32">
        <f>IF($AD229&lt;&gt;"D","",INDEX($AT$5:$AT$404,$AC229))</f>
        <v/>
      </c>
      <c r="H229" s="32">
        <f>IF($AD229&lt;&gt;"D","",INDEX($BC$5:$BC$404,$AC229))</f>
        <v/>
      </c>
      <c r="I229" s="32">
        <f>IF($AD229&lt;&gt;"D","",INDEX($BD$5:$BD$404,$AC229))</f>
        <v/>
      </c>
      <c r="J229" s="46">
        <f>IF($AD229&lt;&gt;"D","",IF(N($B229)=0,"",ROUND($I229/$B229,4)))</f>
        <v/>
      </c>
      <c r="K229" s="32">
        <f>IF($AD229="Z",ROUND(SUM($AU$5:$AU$404),2),IF($AD229="D",INDEX($AU$5:$AU$404,$AC229),IF($AD229="T",ROUND(SUMIF($X$5:$X$404,$AF229,$AU$5:$AU$404),2),IF($AD229="B",ROUND(SUMIF($AN$5:$AN$404,$AQ229,$AU$5:$AU$404),2),""))))</f>
        <v/>
      </c>
      <c r="L229" s="32">
        <f>IF($AD229="Z",ROUND(SUM($AV$5:$AV$404),2),IF($AD229="D",INDEX($AV$5:$AV$404,$AC229),IF($AD229="T",ROUND(SUMIF($X$5:$X$404,$AF229,$AV$5:$AV$404),2),IF($AD229="B",ROUND(SUMIF($AN$5:$AN$404,$AQ229,$AV$5:$AV$404),2),""))))</f>
        <v/>
      </c>
      <c r="M229" s="32">
        <f>IF($AD229="Z",ROUND(SUM($AJ$5:$AJ$704),2),IF($AD229="B",ROUND(SUMIF($AQ$5:$AQ$704,$AQ229,$AJ$5:$AJ$704),2),IF($AD229&lt;&gt;"T","",$AJ229)))</f>
        <v/>
      </c>
      <c r="N229" s="32">
        <f>IF(OR($AD229="D",$AD229="T",$AD229="B",$AD229="Z"),ROUND(N($K229)-N($L229)-N($M229),2),"")</f>
        <v/>
      </c>
      <c r="O229" s="32">
        <f>IF(OR($AD229="D",$AD229="T",$AD229="B",$AD229="Z"),IF(N($E229)=0,"",ROUND($F229/$E229,2)),"")</f>
        <v/>
      </c>
      <c r="Q229">
        <f>IFERROR(MATCH(225,บันทึกรายเที่ยว!$Z$6:$Z$6005,0),"")</f>
        <v/>
      </c>
      <c r="R229">
        <f>IF($Q229="","",INDEX(บันทึกรายเที่ยว!$V$6:$V$6005,$Q229))</f>
        <v/>
      </c>
      <c r="S229">
        <f>IF($Q229="","",INDEX(บันทึกรายเที่ยว!$F$6:$F$6005,$Q229))</f>
        <v/>
      </c>
      <c r="T229">
        <f>IF($Q229="","",MATCH($S229,บันทึกรายเที่ยว!$F$6:$F$6005,0))</f>
        <v/>
      </c>
      <c r="U229">
        <f>IF($Q229="","",$AL229*10000000+$T229*1000+225)</f>
        <v/>
      </c>
      <c r="V229">
        <f>IFERROR(MATCH(SMALL($U$5:$U$404,225),$U$5:$U$404,0),"")</f>
        <v/>
      </c>
      <c r="W229">
        <f>IF($V229="","",INDEX($Q$5:$Q$404,$V229))</f>
        <v/>
      </c>
      <c r="X229">
        <f>IF($V229="","",INDEX($S$5:$S$404,$V229))</f>
        <v/>
      </c>
      <c r="Y229">
        <f>IF($V229="","",INDEX($R$5:$R$404,$V229))</f>
        <v/>
      </c>
      <c r="Z229">
        <f>IF($V229="",0,IF($X229&lt;&gt;$X228,1,0))</f>
        <v/>
      </c>
      <c r="AA229">
        <f>IF($V229="",0,IF($V230="",1,IF($X230&lt;&gt;$X229,1,0)))</f>
        <v/>
      </c>
      <c r="AB229">
        <f>IF($V229="",99999+225,$AB228+1+$Z228+$AA228+$AO228)</f>
        <v/>
      </c>
      <c r="AC229">
        <f>IFERROR(MATCH(225,$AB$5:$AB$404,1),"")</f>
        <v/>
      </c>
      <c r="AD229">
        <f>IF(225=$AI$1+1,"Z",IF($AC229="","",IF(INDEX($V$5:$V$404,$AC229)="","",IF(225&gt;INDEX($AB$5:$AB$404,$AC229)+INDEX($Z$5:$Z$404,$AC229)+INDEX($AA$5:$AA$404,$AC229)+INDEX($AO$5:$AO$404,$AC229),"",IF(225=INDEX($AB$5:$AB$404,$AC229)+INDEX($Z$5:$Z$404,$AC229),"D",IF(AND(INDEX($Z$5:$Z$404,$AC229)=1,225=INDEX($AB$5:$AB$404,$AC229)),"H",IF(AND(INDEX($AO$5:$AO$404,$AC229)=1,225=INDEX($AB$5:$AB$404,$AC229)+INDEX($Z$5:$Z$404,$AC229)+INDEX($AA$5:$AA$404,$AC229)+INDEX($AO$5:$AO$404,$AC229)),"B","T")))))))</f>
        <v/>
      </c>
      <c r="AF229">
        <f>IF(OR($AD229="",$AD229="Z",$AD229="B"),"",INDEX($X$5:$X$404,$AC229))</f>
        <v/>
      </c>
      <c r="AJ229">
        <f>IF($AD229&lt;&gt;"T",0,ROUND(SUMIF(oil!$B$4:$B$63,$AF229,oil!$AE$4:$AE$63),2))</f>
        <v/>
      </c>
      <c r="AK229">
        <f>IF($S229="","",IFERROR(INDEX(อัตราค่าขนส่ง!$P$5:$P$54,MATCH($S229,อัตราค่าขนส่ง!$O$5:$O$54,0)),INDEX(รายการมาตรฐาน!$G$2:$G$3,1)))</f>
        <v/>
      </c>
      <c r="AL229">
        <f>IF($S229="","",IFERROR(MATCH($AK229,รายการมาตรฐาน!$G$2:$G$3,0),1))</f>
        <v/>
      </c>
      <c r="AM229">
        <f>IF($V229="","",INDEX($AK$5:$AK$404,$V229))</f>
        <v/>
      </c>
      <c r="AN229">
        <f>IF($V229="","",INDEX($AL$5:$AL$404,$V229))</f>
        <v/>
      </c>
      <c r="AO229">
        <f>IF(OR($V229="",$AI$2&lt;=1),0,IF($V230="",1,IF($AN230&lt;&gt;$AN229,1,0)))</f>
        <v/>
      </c>
      <c r="AP229">
        <f>IF($V229="",0,IF($AN229&lt;&gt;$AN228,1,0))</f>
        <v/>
      </c>
      <c r="AQ229">
        <f>IF(OR($AD229="",$AD229="Z"),"",INDEX($AN$5:$AN$404,$AC229))</f>
        <v/>
      </c>
      <c r="AR229">
        <f>IF($Y229="",0,COUNTIF(บันทึกรายเที่ยว!$V$6:$V$6005,$Y229))</f>
        <v/>
      </c>
      <c r="AS229">
        <f>IF($Y229="",0,ROUND(SUMIF(บันทึกรายเที่ยว!$V$6:$V$6005,$Y229,บันทึกรายเที่ยว!$M$6:$M$6005),2))</f>
        <v/>
      </c>
      <c r="AT229">
        <f>IF($Y229="",0,IFERROR(INDEX(อัตราค่าขนส่ง!$G$5:$G$204,MATCH($Y229,อัตราค่าขนส่ง!$M$5:$M$204,0)),0))</f>
        <v/>
      </c>
      <c r="AU229">
        <f>ROUND($AS229*$BD229,2)</f>
        <v/>
      </c>
      <c r="AV229">
        <f>ROUND($AU229*$BF$2/100,2)</f>
        <v/>
      </c>
      <c r="AW229">
        <f>IF($Y229="","",IFERROR(INDEX(อัตราค่าขนส่ง!$F$5:$F$204,MATCH($Y229,อัตราค่าขนส่ง!$M$5:$M$204,0)),""))</f>
        <v/>
      </c>
      <c r="AX229">
        <f>IF($W229="","",INDEX(บันทึกรายเที่ยว!$D$6:$D$6005,$W229))</f>
        <v/>
      </c>
      <c r="AY229">
        <f>IF($W229="","",INDEX(บันทึกรายเที่ยว!$R$6:$R$6005,$W229))</f>
        <v/>
      </c>
      <c r="AZ229">
        <f>IF(AND($AD229="T",$AQ229=1),N($AZ228)+1,N($AZ228))</f>
        <v/>
      </c>
      <c r="BA229">
        <f>IF($W229="","",INDEX(บันทึกรายเที่ยว!$E$6:$E$6005,$W229))</f>
        <v/>
      </c>
      <c r="BC229">
        <f>IF($Y229="",0,IFERROR(INDEX(อัตราค่าขนส่ง!$K$5:$K$204,MATCH($Y229,อัตราค่าขนส่ง!$M$5:$M$204,0)),0))</f>
        <v/>
      </c>
      <c r="BD229">
        <f>IF($Y229="",0,IFERROR(INDEX(อัตราค่าขนส่ง!$L$5:$L$204,MATCH($Y229,อัตราค่าขนส่ง!$M$5:$M$204,0)),0))</f>
        <v/>
      </c>
    </row>
    <row r="230" ht="21" customHeight="1" s="66">
      <c r="A230" s="69">
        <f>IF($AD230="","",IF($AD230="Z","รวมจ่ายทั้งสิ้น",IF($AD230="H",INDEX($X$5:$X$404,$AC230),IF($AD230="T","รวม",IF($AD230="B",IFERROR(INDEX(อัตราค่าขนส่ง!$S$5:$S$14,MATCH(INDEX($AM$5:$AM$404,$AC230),อัตราค่าขนส่ง!$R$5:$R$14,0)),"รวมกลุ่ม "&amp;INDEX($AM$5:$AM$404,$AC230)),INDEX($AY$5:$AY$404,$AC230))))))</f>
        <v/>
      </c>
      <c r="B230" s="31">
        <f>IF($AD230&lt;&gt;"D","",INDEX($AW$5:$AW$404,$AC230))</f>
        <v/>
      </c>
      <c r="C230" s="68">
        <f>IF($AD230&lt;&gt;"D","",INDEX($AX$5:$AX$404,$AC230))</f>
        <v/>
      </c>
      <c r="D230" s="70">
        <f>IF($AD230&lt;&gt;"D","",INDEX($BA$5:$BA$404,$AC230))</f>
        <v/>
      </c>
      <c r="E230" s="31">
        <f>IF($AD230="Z",SUM($AR$5:$AR$404),IF($AD230="D",INDEX($AR$5:$AR$404,$AC230),IF($AD230="T",SUMIF($X$5:$X$404,$AF230,$AR$5:$AR$404),IF($AD230="B",SUMIF($AN$5:$AN$404,$AQ230,$AR$5:$AR$404),""))))</f>
        <v/>
      </c>
      <c r="F230" s="32">
        <f>IF($AD230="Z",ROUND(SUM($AS$5:$AS$404),2),IF($AD230="D",INDEX($AS$5:$AS$404,$AC230),IF($AD230="T",ROUND(SUMIF($X$5:$X$404,$AF230,$AS$5:$AS$404),2),IF($AD230="B",ROUND(SUMIF($AN$5:$AN$404,$AQ230,$AS$5:$AS$404),2),""))))</f>
        <v/>
      </c>
      <c r="G230" s="32">
        <f>IF($AD230&lt;&gt;"D","",INDEX($AT$5:$AT$404,$AC230))</f>
        <v/>
      </c>
      <c r="H230" s="32">
        <f>IF($AD230&lt;&gt;"D","",INDEX($BC$5:$BC$404,$AC230))</f>
        <v/>
      </c>
      <c r="I230" s="32">
        <f>IF($AD230&lt;&gt;"D","",INDEX($BD$5:$BD$404,$AC230))</f>
        <v/>
      </c>
      <c r="J230" s="46">
        <f>IF($AD230&lt;&gt;"D","",IF(N($B230)=0,"",ROUND($I230/$B230,4)))</f>
        <v/>
      </c>
      <c r="K230" s="32">
        <f>IF($AD230="Z",ROUND(SUM($AU$5:$AU$404),2),IF($AD230="D",INDEX($AU$5:$AU$404,$AC230),IF($AD230="T",ROUND(SUMIF($X$5:$X$404,$AF230,$AU$5:$AU$404),2),IF($AD230="B",ROUND(SUMIF($AN$5:$AN$404,$AQ230,$AU$5:$AU$404),2),""))))</f>
        <v/>
      </c>
      <c r="L230" s="32">
        <f>IF($AD230="Z",ROUND(SUM($AV$5:$AV$404),2),IF($AD230="D",INDEX($AV$5:$AV$404,$AC230),IF($AD230="T",ROUND(SUMIF($X$5:$X$404,$AF230,$AV$5:$AV$404),2),IF($AD230="B",ROUND(SUMIF($AN$5:$AN$404,$AQ230,$AV$5:$AV$404),2),""))))</f>
        <v/>
      </c>
      <c r="M230" s="32">
        <f>IF($AD230="Z",ROUND(SUM($AJ$5:$AJ$704),2),IF($AD230="B",ROUND(SUMIF($AQ$5:$AQ$704,$AQ230,$AJ$5:$AJ$704),2),IF($AD230&lt;&gt;"T","",$AJ230)))</f>
        <v/>
      </c>
      <c r="N230" s="32">
        <f>IF(OR($AD230="D",$AD230="T",$AD230="B",$AD230="Z"),ROUND(N($K230)-N($L230)-N($M230),2),"")</f>
        <v/>
      </c>
      <c r="O230" s="32">
        <f>IF(OR($AD230="D",$AD230="T",$AD230="B",$AD230="Z"),IF(N($E230)=0,"",ROUND($F230/$E230,2)),"")</f>
        <v/>
      </c>
      <c r="Q230">
        <f>IFERROR(MATCH(226,บันทึกรายเที่ยว!$Z$6:$Z$6005,0),"")</f>
        <v/>
      </c>
      <c r="R230">
        <f>IF($Q230="","",INDEX(บันทึกรายเที่ยว!$V$6:$V$6005,$Q230))</f>
        <v/>
      </c>
      <c r="S230">
        <f>IF($Q230="","",INDEX(บันทึกรายเที่ยว!$F$6:$F$6005,$Q230))</f>
        <v/>
      </c>
      <c r="T230">
        <f>IF($Q230="","",MATCH($S230,บันทึกรายเที่ยว!$F$6:$F$6005,0))</f>
        <v/>
      </c>
      <c r="U230">
        <f>IF($Q230="","",$AL230*10000000+$T230*1000+226)</f>
        <v/>
      </c>
      <c r="V230">
        <f>IFERROR(MATCH(SMALL($U$5:$U$404,226),$U$5:$U$404,0),"")</f>
        <v/>
      </c>
      <c r="W230">
        <f>IF($V230="","",INDEX($Q$5:$Q$404,$V230))</f>
        <v/>
      </c>
      <c r="X230">
        <f>IF($V230="","",INDEX($S$5:$S$404,$V230))</f>
        <v/>
      </c>
      <c r="Y230">
        <f>IF($V230="","",INDEX($R$5:$R$404,$V230))</f>
        <v/>
      </c>
      <c r="Z230">
        <f>IF($V230="",0,IF($X230&lt;&gt;$X229,1,0))</f>
        <v/>
      </c>
      <c r="AA230">
        <f>IF($V230="",0,IF($V231="",1,IF($X231&lt;&gt;$X230,1,0)))</f>
        <v/>
      </c>
      <c r="AB230">
        <f>IF($V230="",99999+226,$AB229+1+$Z229+$AA229+$AO229)</f>
        <v/>
      </c>
      <c r="AC230">
        <f>IFERROR(MATCH(226,$AB$5:$AB$404,1),"")</f>
        <v/>
      </c>
      <c r="AD230">
        <f>IF(226=$AI$1+1,"Z",IF($AC230="","",IF(INDEX($V$5:$V$404,$AC230)="","",IF(226&gt;INDEX($AB$5:$AB$404,$AC230)+INDEX($Z$5:$Z$404,$AC230)+INDEX($AA$5:$AA$404,$AC230)+INDEX($AO$5:$AO$404,$AC230),"",IF(226=INDEX($AB$5:$AB$404,$AC230)+INDEX($Z$5:$Z$404,$AC230),"D",IF(AND(INDEX($Z$5:$Z$404,$AC230)=1,226=INDEX($AB$5:$AB$404,$AC230)),"H",IF(AND(INDEX($AO$5:$AO$404,$AC230)=1,226=INDEX($AB$5:$AB$404,$AC230)+INDEX($Z$5:$Z$404,$AC230)+INDEX($AA$5:$AA$404,$AC230)+INDEX($AO$5:$AO$404,$AC230)),"B","T")))))))</f>
        <v/>
      </c>
      <c r="AF230">
        <f>IF(OR($AD230="",$AD230="Z",$AD230="B"),"",INDEX($X$5:$X$404,$AC230))</f>
        <v/>
      </c>
      <c r="AJ230">
        <f>IF($AD230&lt;&gt;"T",0,ROUND(SUMIF(oil!$B$4:$B$63,$AF230,oil!$AE$4:$AE$63),2))</f>
        <v/>
      </c>
      <c r="AK230">
        <f>IF($S230="","",IFERROR(INDEX(อัตราค่าขนส่ง!$P$5:$P$54,MATCH($S230,อัตราค่าขนส่ง!$O$5:$O$54,0)),INDEX(รายการมาตรฐาน!$G$2:$G$3,1)))</f>
        <v/>
      </c>
      <c r="AL230">
        <f>IF($S230="","",IFERROR(MATCH($AK230,รายการมาตรฐาน!$G$2:$G$3,0),1))</f>
        <v/>
      </c>
      <c r="AM230">
        <f>IF($V230="","",INDEX($AK$5:$AK$404,$V230))</f>
        <v/>
      </c>
      <c r="AN230">
        <f>IF($V230="","",INDEX($AL$5:$AL$404,$V230))</f>
        <v/>
      </c>
      <c r="AO230">
        <f>IF(OR($V230="",$AI$2&lt;=1),0,IF($V231="",1,IF($AN231&lt;&gt;$AN230,1,0)))</f>
        <v/>
      </c>
      <c r="AP230">
        <f>IF($V230="",0,IF($AN230&lt;&gt;$AN229,1,0))</f>
        <v/>
      </c>
      <c r="AQ230">
        <f>IF(OR($AD230="",$AD230="Z"),"",INDEX($AN$5:$AN$404,$AC230))</f>
        <v/>
      </c>
      <c r="AR230">
        <f>IF($Y230="",0,COUNTIF(บันทึกรายเที่ยว!$V$6:$V$6005,$Y230))</f>
        <v/>
      </c>
      <c r="AS230">
        <f>IF($Y230="",0,ROUND(SUMIF(บันทึกรายเที่ยว!$V$6:$V$6005,$Y230,บันทึกรายเที่ยว!$M$6:$M$6005),2))</f>
        <v/>
      </c>
      <c r="AT230">
        <f>IF($Y230="",0,IFERROR(INDEX(อัตราค่าขนส่ง!$G$5:$G$204,MATCH($Y230,อัตราค่าขนส่ง!$M$5:$M$204,0)),0))</f>
        <v/>
      </c>
      <c r="AU230">
        <f>ROUND($AS230*$BD230,2)</f>
        <v/>
      </c>
      <c r="AV230">
        <f>ROUND($AU230*$BF$2/100,2)</f>
        <v/>
      </c>
      <c r="AW230">
        <f>IF($Y230="","",IFERROR(INDEX(อัตราค่าขนส่ง!$F$5:$F$204,MATCH($Y230,อัตราค่าขนส่ง!$M$5:$M$204,0)),""))</f>
        <v/>
      </c>
      <c r="AX230">
        <f>IF($W230="","",INDEX(บันทึกรายเที่ยว!$D$6:$D$6005,$W230))</f>
        <v/>
      </c>
      <c r="AY230">
        <f>IF($W230="","",INDEX(บันทึกรายเที่ยว!$R$6:$R$6005,$W230))</f>
        <v/>
      </c>
      <c r="AZ230">
        <f>IF(AND($AD230="T",$AQ230=1),N($AZ229)+1,N($AZ229))</f>
        <v/>
      </c>
      <c r="BA230">
        <f>IF($W230="","",INDEX(บันทึกรายเที่ยว!$E$6:$E$6005,$W230))</f>
        <v/>
      </c>
      <c r="BC230">
        <f>IF($Y230="",0,IFERROR(INDEX(อัตราค่าขนส่ง!$K$5:$K$204,MATCH($Y230,อัตราค่าขนส่ง!$M$5:$M$204,0)),0))</f>
        <v/>
      </c>
      <c r="BD230">
        <f>IF($Y230="",0,IFERROR(INDEX(อัตราค่าขนส่ง!$L$5:$L$204,MATCH($Y230,อัตราค่าขนส่ง!$M$5:$M$204,0)),0))</f>
        <v/>
      </c>
    </row>
    <row r="231" ht="21" customHeight="1" s="66">
      <c r="A231" s="69">
        <f>IF($AD231="","",IF($AD231="Z","รวมจ่ายทั้งสิ้น",IF($AD231="H",INDEX($X$5:$X$404,$AC231),IF($AD231="T","รวม",IF($AD231="B",IFERROR(INDEX(อัตราค่าขนส่ง!$S$5:$S$14,MATCH(INDEX($AM$5:$AM$404,$AC231),อัตราค่าขนส่ง!$R$5:$R$14,0)),"รวมกลุ่ม "&amp;INDEX($AM$5:$AM$404,$AC231)),INDEX($AY$5:$AY$404,$AC231))))))</f>
        <v/>
      </c>
      <c r="B231" s="31">
        <f>IF($AD231&lt;&gt;"D","",INDEX($AW$5:$AW$404,$AC231))</f>
        <v/>
      </c>
      <c r="C231" s="68">
        <f>IF($AD231&lt;&gt;"D","",INDEX($AX$5:$AX$404,$AC231))</f>
        <v/>
      </c>
      <c r="D231" s="70">
        <f>IF($AD231&lt;&gt;"D","",INDEX($BA$5:$BA$404,$AC231))</f>
        <v/>
      </c>
      <c r="E231" s="31">
        <f>IF($AD231="Z",SUM($AR$5:$AR$404),IF($AD231="D",INDEX($AR$5:$AR$404,$AC231),IF($AD231="T",SUMIF($X$5:$X$404,$AF231,$AR$5:$AR$404),IF($AD231="B",SUMIF($AN$5:$AN$404,$AQ231,$AR$5:$AR$404),""))))</f>
        <v/>
      </c>
      <c r="F231" s="32">
        <f>IF($AD231="Z",ROUND(SUM($AS$5:$AS$404),2),IF($AD231="D",INDEX($AS$5:$AS$404,$AC231),IF($AD231="T",ROUND(SUMIF($X$5:$X$404,$AF231,$AS$5:$AS$404),2),IF($AD231="B",ROUND(SUMIF($AN$5:$AN$404,$AQ231,$AS$5:$AS$404),2),""))))</f>
        <v/>
      </c>
      <c r="G231" s="32">
        <f>IF($AD231&lt;&gt;"D","",INDEX($AT$5:$AT$404,$AC231))</f>
        <v/>
      </c>
      <c r="H231" s="32">
        <f>IF($AD231&lt;&gt;"D","",INDEX($BC$5:$BC$404,$AC231))</f>
        <v/>
      </c>
      <c r="I231" s="32">
        <f>IF($AD231&lt;&gt;"D","",INDEX($BD$5:$BD$404,$AC231))</f>
        <v/>
      </c>
      <c r="J231" s="46">
        <f>IF($AD231&lt;&gt;"D","",IF(N($B231)=0,"",ROUND($I231/$B231,4)))</f>
        <v/>
      </c>
      <c r="K231" s="32">
        <f>IF($AD231="Z",ROUND(SUM($AU$5:$AU$404),2),IF($AD231="D",INDEX($AU$5:$AU$404,$AC231),IF($AD231="T",ROUND(SUMIF($X$5:$X$404,$AF231,$AU$5:$AU$404),2),IF($AD231="B",ROUND(SUMIF($AN$5:$AN$404,$AQ231,$AU$5:$AU$404),2),""))))</f>
        <v/>
      </c>
      <c r="L231" s="32">
        <f>IF($AD231="Z",ROUND(SUM($AV$5:$AV$404),2),IF($AD231="D",INDEX($AV$5:$AV$404,$AC231),IF($AD231="T",ROUND(SUMIF($X$5:$X$404,$AF231,$AV$5:$AV$404),2),IF($AD231="B",ROUND(SUMIF($AN$5:$AN$404,$AQ231,$AV$5:$AV$404),2),""))))</f>
        <v/>
      </c>
      <c r="M231" s="32">
        <f>IF($AD231="Z",ROUND(SUM($AJ$5:$AJ$704),2),IF($AD231="B",ROUND(SUMIF($AQ$5:$AQ$704,$AQ231,$AJ$5:$AJ$704),2),IF($AD231&lt;&gt;"T","",$AJ231)))</f>
        <v/>
      </c>
      <c r="N231" s="32">
        <f>IF(OR($AD231="D",$AD231="T",$AD231="B",$AD231="Z"),ROUND(N($K231)-N($L231)-N($M231),2),"")</f>
        <v/>
      </c>
      <c r="O231" s="32">
        <f>IF(OR($AD231="D",$AD231="T",$AD231="B",$AD231="Z"),IF(N($E231)=0,"",ROUND($F231/$E231,2)),"")</f>
        <v/>
      </c>
      <c r="Q231">
        <f>IFERROR(MATCH(227,บันทึกรายเที่ยว!$Z$6:$Z$6005,0),"")</f>
        <v/>
      </c>
      <c r="R231">
        <f>IF($Q231="","",INDEX(บันทึกรายเที่ยว!$V$6:$V$6005,$Q231))</f>
        <v/>
      </c>
      <c r="S231">
        <f>IF($Q231="","",INDEX(บันทึกรายเที่ยว!$F$6:$F$6005,$Q231))</f>
        <v/>
      </c>
      <c r="T231">
        <f>IF($Q231="","",MATCH($S231,บันทึกรายเที่ยว!$F$6:$F$6005,0))</f>
        <v/>
      </c>
      <c r="U231">
        <f>IF($Q231="","",$AL231*10000000+$T231*1000+227)</f>
        <v/>
      </c>
      <c r="V231">
        <f>IFERROR(MATCH(SMALL($U$5:$U$404,227),$U$5:$U$404,0),"")</f>
        <v/>
      </c>
      <c r="W231">
        <f>IF($V231="","",INDEX($Q$5:$Q$404,$V231))</f>
        <v/>
      </c>
      <c r="X231">
        <f>IF($V231="","",INDEX($S$5:$S$404,$V231))</f>
        <v/>
      </c>
      <c r="Y231">
        <f>IF($V231="","",INDEX($R$5:$R$404,$V231))</f>
        <v/>
      </c>
      <c r="Z231">
        <f>IF($V231="",0,IF($X231&lt;&gt;$X230,1,0))</f>
        <v/>
      </c>
      <c r="AA231">
        <f>IF($V231="",0,IF($V232="",1,IF($X232&lt;&gt;$X231,1,0)))</f>
        <v/>
      </c>
      <c r="AB231">
        <f>IF($V231="",99999+227,$AB230+1+$Z230+$AA230+$AO230)</f>
        <v/>
      </c>
      <c r="AC231">
        <f>IFERROR(MATCH(227,$AB$5:$AB$404,1),"")</f>
        <v/>
      </c>
      <c r="AD231">
        <f>IF(227=$AI$1+1,"Z",IF($AC231="","",IF(INDEX($V$5:$V$404,$AC231)="","",IF(227&gt;INDEX($AB$5:$AB$404,$AC231)+INDEX($Z$5:$Z$404,$AC231)+INDEX($AA$5:$AA$404,$AC231)+INDEX($AO$5:$AO$404,$AC231),"",IF(227=INDEX($AB$5:$AB$404,$AC231)+INDEX($Z$5:$Z$404,$AC231),"D",IF(AND(INDEX($Z$5:$Z$404,$AC231)=1,227=INDEX($AB$5:$AB$404,$AC231)),"H",IF(AND(INDEX($AO$5:$AO$404,$AC231)=1,227=INDEX($AB$5:$AB$404,$AC231)+INDEX($Z$5:$Z$404,$AC231)+INDEX($AA$5:$AA$404,$AC231)+INDEX($AO$5:$AO$404,$AC231)),"B","T")))))))</f>
        <v/>
      </c>
      <c r="AF231">
        <f>IF(OR($AD231="",$AD231="Z",$AD231="B"),"",INDEX($X$5:$X$404,$AC231))</f>
        <v/>
      </c>
      <c r="AJ231">
        <f>IF($AD231&lt;&gt;"T",0,ROUND(SUMIF(oil!$B$4:$B$63,$AF231,oil!$AE$4:$AE$63),2))</f>
        <v/>
      </c>
      <c r="AK231">
        <f>IF($S231="","",IFERROR(INDEX(อัตราค่าขนส่ง!$P$5:$P$54,MATCH($S231,อัตราค่าขนส่ง!$O$5:$O$54,0)),INDEX(รายการมาตรฐาน!$G$2:$G$3,1)))</f>
        <v/>
      </c>
      <c r="AL231">
        <f>IF($S231="","",IFERROR(MATCH($AK231,รายการมาตรฐาน!$G$2:$G$3,0),1))</f>
        <v/>
      </c>
      <c r="AM231">
        <f>IF($V231="","",INDEX($AK$5:$AK$404,$V231))</f>
        <v/>
      </c>
      <c r="AN231">
        <f>IF($V231="","",INDEX($AL$5:$AL$404,$V231))</f>
        <v/>
      </c>
      <c r="AO231">
        <f>IF(OR($V231="",$AI$2&lt;=1),0,IF($V232="",1,IF($AN232&lt;&gt;$AN231,1,0)))</f>
        <v/>
      </c>
      <c r="AP231">
        <f>IF($V231="",0,IF($AN231&lt;&gt;$AN230,1,0))</f>
        <v/>
      </c>
      <c r="AQ231">
        <f>IF(OR($AD231="",$AD231="Z"),"",INDEX($AN$5:$AN$404,$AC231))</f>
        <v/>
      </c>
      <c r="AR231">
        <f>IF($Y231="",0,COUNTIF(บันทึกรายเที่ยว!$V$6:$V$6005,$Y231))</f>
        <v/>
      </c>
      <c r="AS231">
        <f>IF($Y231="",0,ROUND(SUMIF(บันทึกรายเที่ยว!$V$6:$V$6005,$Y231,บันทึกรายเที่ยว!$M$6:$M$6005),2))</f>
        <v/>
      </c>
      <c r="AT231">
        <f>IF($Y231="",0,IFERROR(INDEX(อัตราค่าขนส่ง!$G$5:$G$204,MATCH($Y231,อัตราค่าขนส่ง!$M$5:$M$204,0)),0))</f>
        <v/>
      </c>
      <c r="AU231">
        <f>ROUND($AS231*$BD231,2)</f>
        <v/>
      </c>
      <c r="AV231">
        <f>ROUND($AU231*$BF$2/100,2)</f>
        <v/>
      </c>
      <c r="AW231">
        <f>IF($Y231="","",IFERROR(INDEX(อัตราค่าขนส่ง!$F$5:$F$204,MATCH($Y231,อัตราค่าขนส่ง!$M$5:$M$204,0)),""))</f>
        <v/>
      </c>
      <c r="AX231">
        <f>IF($W231="","",INDEX(บันทึกรายเที่ยว!$D$6:$D$6005,$W231))</f>
        <v/>
      </c>
      <c r="AY231">
        <f>IF($W231="","",INDEX(บันทึกรายเที่ยว!$R$6:$R$6005,$W231))</f>
        <v/>
      </c>
      <c r="AZ231">
        <f>IF(AND($AD231="T",$AQ231=1),N($AZ230)+1,N($AZ230))</f>
        <v/>
      </c>
      <c r="BA231">
        <f>IF($W231="","",INDEX(บันทึกรายเที่ยว!$E$6:$E$6005,$W231))</f>
        <v/>
      </c>
      <c r="BC231">
        <f>IF($Y231="",0,IFERROR(INDEX(อัตราค่าขนส่ง!$K$5:$K$204,MATCH($Y231,อัตราค่าขนส่ง!$M$5:$M$204,0)),0))</f>
        <v/>
      </c>
      <c r="BD231">
        <f>IF($Y231="",0,IFERROR(INDEX(อัตราค่าขนส่ง!$L$5:$L$204,MATCH($Y231,อัตราค่าขนส่ง!$M$5:$M$204,0)),0))</f>
        <v/>
      </c>
    </row>
    <row r="232" ht="21" customHeight="1" s="66">
      <c r="A232" s="69">
        <f>IF($AD232="","",IF($AD232="Z","รวมจ่ายทั้งสิ้น",IF($AD232="H",INDEX($X$5:$X$404,$AC232),IF($AD232="T","รวม",IF($AD232="B",IFERROR(INDEX(อัตราค่าขนส่ง!$S$5:$S$14,MATCH(INDEX($AM$5:$AM$404,$AC232),อัตราค่าขนส่ง!$R$5:$R$14,0)),"รวมกลุ่ม "&amp;INDEX($AM$5:$AM$404,$AC232)),INDEX($AY$5:$AY$404,$AC232))))))</f>
        <v/>
      </c>
      <c r="B232" s="31">
        <f>IF($AD232&lt;&gt;"D","",INDEX($AW$5:$AW$404,$AC232))</f>
        <v/>
      </c>
      <c r="C232" s="68">
        <f>IF($AD232&lt;&gt;"D","",INDEX($AX$5:$AX$404,$AC232))</f>
        <v/>
      </c>
      <c r="D232" s="70">
        <f>IF($AD232&lt;&gt;"D","",INDEX($BA$5:$BA$404,$AC232))</f>
        <v/>
      </c>
      <c r="E232" s="31">
        <f>IF($AD232="Z",SUM($AR$5:$AR$404),IF($AD232="D",INDEX($AR$5:$AR$404,$AC232),IF($AD232="T",SUMIF($X$5:$X$404,$AF232,$AR$5:$AR$404),IF($AD232="B",SUMIF($AN$5:$AN$404,$AQ232,$AR$5:$AR$404),""))))</f>
        <v/>
      </c>
      <c r="F232" s="32">
        <f>IF($AD232="Z",ROUND(SUM($AS$5:$AS$404),2),IF($AD232="D",INDEX($AS$5:$AS$404,$AC232),IF($AD232="T",ROUND(SUMIF($X$5:$X$404,$AF232,$AS$5:$AS$404),2),IF($AD232="B",ROUND(SUMIF($AN$5:$AN$404,$AQ232,$AS$5:$AS$404),2),""))))</f>
        <v/>
      </c>
      <c r="G232" s="32">
        <f>IF($AD232&lt;&gt;"D","",INDEX($AT$5:$AT$404,$AC232))</f>
        <v/>
      </c>
      <c r="H232" s="32">
        <f>IF($AD232&lt;&gt;"D","",INDEX($BC$5:$BC$404,$AC232))</f>
        <v/>
      </c>
      <c r="I232" s="32">
        <f>IF($AD232&lt;&gt;"D","",INDEX($BD$5:$BD$404,$AC232))</f>
        <v/>
      </c>
      <c r="J232" s="46">
        <f>IF($AD232&lt;&gt;"D","",IF(N($B232)=0,"",ROUND($I232/$B232,4)))</f>
        <v/>
      </c>
      <c r="K232" s="32">
        <f>IF($AD232="Z",ROUND(SUM($AU$5:$AU$404),2),IF($AD232="D",INDEX($AU$5:$AU$404,$AC232),IF($AD232="T",ROUND(SUMIF($X$5:$X$404,$AF232,$AU$5:$AU$404),2),IF($AD232="B",ROUND(SUMIF($AN$5:$AN$404,$AQ232,$AU$5:$AU$404),2),""))))</f>
        <v/>
      </c>
      <c r="L232" s="32">
        <f>IF($AD232="Z",ROUND(SUM($AV$5:$AV$404),2),IF($AD232="D",INDEX($AV$5:$AV$404,$AC232),IF($AD232="T",ROUND(SUMIF($X$5:$X$404,$AF232,$AV$5:$AV$404),2),IF($AD232="B",ROUND(SUMIF($AN$5:$AN$404,$AQ232,$AV$5:$AV$404),2),""))))</f>
        <v/>
      </c>
      <c r="M232" s="32">
        <f>IF($AD232="Z",ROUND(SUM($AJ$5:$AJ$704),2),IF($AD232="B",ROUND(SUMIF($AQ$5:$AQ$704,$AQ232,$AJ$5:$AJ$704),2),IF($AD232&lt;&gt;"T","",$AJ232)))</f>
        <v/>
      </c>
      <c r="N232" s="32">
        <f>IF(OR($AD232="D",$AD232="T",$AD232="B",$AD232="Z"),ROUND(N($K232)-N($L232)-N($M232),2),"")</f>
        <v/>
      </c>
      <c r="O232" s="32">
        <f>IF(OR($AD232="D",$AD232="T",$AD232="B",$AD232="Z"),IF(N($E232)=0,"",ROUND($F232/$E232,2)),"")</f>
        <v/>
      </c>
      <c r="Q232">
        <f>IFERROR(MATCH(228,บันทึกรายเที่ยว!$Z$6:$Z$6005,0),"")</f>
        <v/>
      </c>
      <c r="R232">
        <f>IF($Q232="","",INDEX(บันทึกรายเที่ยว!$V$6:$V$6005,$Q232))</f>
        <v/>
      </c>
      <c r="S232">
        <f>IF($Q232="","",INDEX(บันทึกรายเที่ยว!$F$6:$F$6005,$Q232))</f>
        <v/>
      </c>
      <c r="T232">
        <f>IF($Q232="","",MATCH($S232,บันทึกรายเที่ยว!$F$6:$F$6005,0))</f>
        <v/>
      </c>
      <c r="U232">
        <f>IF($Q232="","",$AL232*10000000+$T232*1000+228)</f>
        <v/>
      </c>
      <c r="V232">
        <f>IFERROR(MATCH(SMALL($U$5:$U$404,228),$U$5:$U$404,0),"")</f>
        <v/>
      </c>
      <c r="W232">
        <f>IF($V232="","",INDEX($Q$5:$Q$404,$V232))</f>
        <v/>
      </c>
      <c r="X232">
        <f>IF($V232="","",INDEX($S$5:$S$404,$V232))</f>
        <v/>
      </c>
      <c r="Y232">
        <f>IF($V232="","",INDEX($R$5:$R$404,$V232))</f>
        <v/>
      </c>
      <c r="Z232">
        <f>IF($V232="",0,IF($X232&lt;&gt;$X231,1,0))</f>
        <v/>
      </c>
      <c r="AA232">
        <f>IF($V232="",0,IF($V233="",1,IF($X233&lt;&gt;$X232,1,0)))</f>
        <v/>
      </c>
      <c r="AB232">
        <f>IF($V232="",99999+228,$AB231+1+$Z231+$AA231+$AO231)</f>
        <v/>
      </c>
      <c r="AC232">
        <f>IFERROR(MATCH(228,$AB$5:$AB$404,1),"")</f>
        <v/>
      </c>
      <c r="AD232">
        <f>IF(228=$AI$1+1,"Z",IF($AC232="","",IF(INDEX($V$5:$V$404,$AC232)="","",IF(228&gt;INDEX($AB$5:$AB$404,$AC232)+INDEX($Z$5:$Z$404,$AC232)+INDEX($AA$5:$AA$404,$AC232)+INDEX($AO$5:$AO$404,$AC232),"",IF(228=INDEX($AB$5:$AB$404,$AC232)+INDEX($Z$5:$Z$404,$AC232),"D",IF(AND(INDEX($Z$5:$Z$404,$AC232)=1,228=INDEX($AB$5:$AB$404,$AC232)),"H",IF(AND(INDEX($AO$5:$AO$404,$AC232)=1,228=INDEX($AB$5:$AB$404,$AC232)+INDEX($Z$5:$Z$404,$AC232)+INDEX($AA$5:$AA$404,$AC232)+INDEX($AO$5:$AO$404,$AC232)),"B","T")))))))</f>
        <v/>
      </c>
      <c r="AF232">
        <f>IF(OR($AD232="",$AD232="Z",$AD232="B"),"",INDEX($X$5:$X$404,$AC232))</f>
        <v/>
      </c>
      <c r="AJ232">
        <f>IF($AD232&lt;&gt;"T",0,ROUND(SUMIF(oil!$B$4:$B$63,$AF232,oil!$AE$4:$AE$63),2))</f>
        <v/>
      </c>
      <c r="AK232">
        <f>IF($S232="","",IFERROR(INDEX(อัตราค่าขนส่ง!$P$5:$P$54,MATCH($S232,อัตราค่าขนส่ง!$O$5:$O$54,0)),INDEX(รายการมาตรฐาน!$G$2:$G$3,1)))</f>
        <v/>
      </c>
      <c r="AL232">
        <f>IF($S232="","",IFERROR(MATCH($AK232,รายการมาตรฐาน!$G$2:$G$3,0),1))</f>
        <v/>
      </c>
      <c r="AM232">
        <f>IF($V232="","",INDEX($AK$5:$AK$404,$V232))</f>
        <v/>
      </c>
      <c r="AN232">
        <f>IF($V232="","",INDEX($AL$5:$AL$404,$V232))</f>
        <v/>
      </c>
      <c r="AO232">
        <f>IF(OR($V232="",$AI$2&lt;=1),0,IF($V233="",1,IF($AN233&lt;&gt;$AN232,1,0)))</f>
        <v/>
      </c>
      <c r="AP232">
        <f>IF($V232="",0,IF($AN232&lt;&gt;$AN231,1,0))</f>
        <v/>
      </c>
      <c r="AQ232">
        <f>IF(OR($AD232="",$AD232="Z"),"",INDEX($AN$5:$AN$404,$AC232))</f>
        <v/>
      </c>
      <c r="AR232">
        <f>IF($Y232="",0,COUNTIF(บันทึกรายเที่ยว!$V$6:$V$6005,$Y232))</f>
        <v/>
      </c>
      <c r="AS232">
        <f>IF($Y232="",0,ROUND(SUMIF(บันทึกรายเที่ยว!$V$6:$V$6005,$Y232,บันทึกรายเที่ยว!$M$6:$M$6005),2))</f>
        <v/>
      </c>
      <c r="AT232">
        <f>IF($Y232="",0,IFERROR(INDEX(อัตราค่าขนส่ง!$G$5:$G$204,MATCH($Y232,อัตราค่าขนส่ง!$M$5:$M$204,0)),0))</f>
        <v/>
      </c>
      <c r="AU232">
        <f>ROUND($AS232*$BD232,2)</f>
        <v/>
      </c>
      <c r="AV232">
        <f>ROUND($AU232*$BF$2/100,2)</f>
        <v/>
      </c>
      <c r="AW232">
        <f>IF($Y232="","",IFERROR(INDEX(อัตราค่าขนส่ง!$F$5:$F$204,MATCH($Y232,อัตราค่าขนส่ง!$M$5:$M$204,0)),""))</f>
        <v/>
      </c>
      <c r="AX232">
        <f>IF($W232="","",INDEX(บันทึกรายเที่ยว!$D$6:$D$6005,$W232))</f>
        <v/>
      </c>
      <c r="AY232">
        <f>IF($W232="","",INDEX(บันทึกรายเที่ยว!$R$6:$R$6005,$W232))</f>
        <v/>
      </c>
      <c r="AZ232">
        <f>IF(AND($AD232="T",$AQ232=1),N($AZ231)+1,N($AZ231))</f>
        <v/>
      </c>
      <c r="BA232">
        <f>IF($W232="","",INDEX(บันทึกรายเที่ยว!$E$6:$E$6005,$W232))</f>
        <v/>
      </c>
      <c r="BC232">
        <f>IF($Y232="",0,IFERROR(INDEX(อัตราค่าขนส่ง!$K$5:$K$204,MATCH($Y232,อัตราค่าขนส่ง!$M$5:$M$204,0)),0))</f>
        <v/>
      </c>
      <c r="BD232">
        <f>IF($Y232="",0,IFERROR(INDEX(อัตราค่าขนส่ง!$L$5:$L$204,MATCH($Y232,อัตราค่าขนส่ง!$M$5:$M$204,0)),0))</f>
        <v/>
      </c>
    </row>
    <row r="233" ht="21" customHeight="1" s="66">
      <c r="A233" s="69">
        <f>IF($AD233="","",IF($AD233="Z","รวมจ่ายทั้งสิ้น",IF($AD233="H",INDEX($X$5:$X$404,$AC233),IF($AD233="T","รวม",IF($AD233="B",IFERROR(INDEX(อัตราค่าขนส่ง!$S$5:$S$14,MATCH(INDEX($AM$5:$AM$404,$AC233),อัตราค่าขนส่ง!$R$5:$R$14,0)),"รวมกลุ่ม "&amp;INDEX($AM$5:$AM$404,$AC233)),INDEX($AY$5:$AY$404,$AC233))))))</f>
        <v/>
      </c>
      <c r="B233" s="31">
        <f>IF($AD233&lt;&gt;"D","",INDEX($AW$5:$AW$404,$AC233))</f>
        <v/>
      </c>
      <c r="C233" s="68">
        <f>IF($AD233&lt;&gt;"D","",INDEX($AX$5:$AX$404,$AC233))</f>
        <v/>
      </c>
      <c r="D233" s="70">
        <f>IF($AD233&lt;&gt;"D","",INDEX($BA$5:$BA$404,$AC233))</f>
        <v/>
      </c>
      <c r="E233" s="31">
        <f>IF($AD233="Z",SUM($AR$5:$AR$404),IF($AD233="D",INDEX($AR$5:$AR$404,$AC233),IF($AD233="T",SUMIF($X$5:$X$404,$AF233,$AR$5:$AR$404),IF($AD233="B",SUMIF($AN$5:$AN$404,$AQ233,$AR$5:$AR$404),""))))</f>
        <v/>
      </c>
      <c r="F233" s="32">
        <f>IF($AD233="Z",ROUND(SUM($AS$5:$AS$404),2),IF($AD233="D",INDEX($AS$5:$AS$404,$AC233),IF($AD233="T",ROUND(SUMIF($X$5:$X$404,$AF233,$AS$5:$AS$404),2),IF($AD233="B",ROUND(SUMIF($AN$5:$AN$404,$AQ233,$AS$5:$AS$404),2),""))))</f>
        <v/>
      </c>
      <c r="G233" s="32">
        <f>IF($AD233&lt;&gt;"D","",INDEX($AT$5:$AT$404,$AC233))</f>
        <v/>
      </c>
      <c r="H233" s="32">
        <f>IF($AD233&lt;&gt;"D","",INDEX($BC$5:$BC$404,$AC233))</f>
        <v/>
      </c>
      <c r="I233" s="32">
        <f>IF($AD233&lt;&gt;"D","",INDEX($BD$5:$BD$404,$AC233))</f>
        <v/>
      </c>
      <c r="J233" s="46">
        <f>IF($AD233&lt;&gt;"D","",IF(N($B233)=0,"",ROUND($I233/$B233,4)))</f>
        <v/>
      </c>
      <c r="K233" s="32">
        <f>IF($AD233="Z",ROUND(SUM($AU$5:$AU$404),2),IF($AD233="D",INDEX($AU$5:$AU$404,$AC233),IF($AD233="T",ROUND(SUMIF($X$5:$X$404,$AF233,$AU$5:$AU$404),2),IF($AD233="B",ROUND(SUMIF($AN$5:$AN$404,$AQ233,$AU$5:$AU$404),2),""))))</f>
        <v/>
      </c>
      <c r="L233" s="32">
        <f>IF($AD233="Z",ROUND(SUM($AV$5:$AV$404),2),IF($AD233="D",INDEX($AV$5:$AV$404,$AC233),IF($AD233="T",ROUND(SUMIF($X$5:$X$404,$AF233,$AV$5:$AV$404),2),IF($AD233="B",ROUND(SUMIF($AN$5:$AN$404,$AQ233,$AV$5:$AV$404),2),""))))</f>
        <v/>
      </c>
      <c r="M233" s="32">
        <f>IF($AD233="Z",ROUND(SUM($AJ$5:$AJ$704),2),IF($AD233="B",ROUND(SUMIF($AQ$5:$AQ$704,$AQ233,$AJ$5:$AJ$704),2),IF($AD233&lt;&gt;"T","",$AJ233)))</f>
        <v/>
      </c>
      <c r="N233" s="32">
        <f>IF(OR($AD233="D",$AD233="T",$AD233="B",$AD233="Z"),ROUND(N($K233)-N($L233)-N($M233),2),"")</f>
        <v/>
      </c>
      <c r="O233" s="32">
        <f>IF(OR($AD233="D",$AD233="T",$AD233="B",$AD233="Z"),IF(N($E233)=0,"",ROUND($F233/$E233,2)),"")</f>
        <v/>
      </c>
      <c r="Q233">
        <f>IFERROR(MATCH(229,บันทึกรายเที่ยว!$Z$6:$Z$6005,0),"")</f>
        <v/>
      </c>
      <c r="R233">
        <f>IF($Q233="","",INDEX(บันทึกรายเที่ยว!$V$6:$V$6005,$Q233))</f>
        <v/>
      </c>
      <c r="S233">
        <f>IF($Q233="","",INDEX(บันทึกรายเที่ยว!$F$6:$F$6005,$Q233))</f>
        <v/>
      </c>
      <c r="T233">
        <f>IF($Q233="","",MATCH($S233,บันทึกรายเที่ยว!$F$6:$F$6005,0))</f>
        <v/>
      </c>
      <c r="U233">
        <f>IF($Q233="","",$AL233*10000000+$T233*1000+229)</f>
        <v/>
      </c>
      <c r="V233">
        <f>IFERROR(MATCH(SMALL($U$5:$U$404,229),$U$5:$U$404,0),"")</f>
        <v/>
      </c>
      <c r="W233">
        <f>IF($V233="","",INDEX($Q$5:$Q$404,$V233))</f>
        <v/>
      </c>
      <c r="X233">
        <f>IF($V233="","",INDEX($S$5:$S$404,$V233))</f>
        <v/>
      </c>
      <c r="Y233">
        <f>IF($V233="","",INDEX($R$5:$R$404,$V233))</f>
        <v/>
      </c>
      <c r="Z233">
        <f>IF($V233="",0,IF($X233&lt;&gt;$X232,1,0))</f>
        <v/>
      </c>
      <c r="AA233">
        <f>IF($V233="",0,IF($V234="",1,IF($X234&lt;&gt;$X233,1,0)))</f>
        <v/>
      </c>
      <c r="AB233">
        <f>IF($V233="",99999+229,$AB232+1+$Z232+$AA232+$AO232)</f>
        <v/>
      </c>
      <c r="AC233">
        <f>IFERROR(MATCH(229,$AB$5:$AB$404,1),"")</f>
        <v/>
      </c>
      <c r="AD233">
        <f>IF(229=$AI$1+1,"Z",IF($AC233="","",IF(INDEX($V$5:$V$404,$AC233)="","",IF(229&gt;INDEX($AB$5:$AB$404,$AC233)+INDEX($Z$5:$Z$404,$AC233)+INDEX($AA$5:$AA$404,$AC233)+INDEX($AO$5:$AO$404,$AC233),"",IF(229=INDEX($AB$5:$AB$404,$AC233)+INDEX($Z$5:$Z$404,$AC233),"D",IF(AND(INDEX($Z$5:$Z$404,$AC233)=1,229=INDEX($AB$5:$AB$404,$AC233)),"H",IF(AND(INDEX($AO$5:$AO$404,$AC233)=1,229=INDEX($AB$5:$AB$404,$AC233)+INDEX($Z$5:$Z$404,$AC233)+INDEX($AA$5:$AA$404,$AC233)+INDEX($AO$5:$AO$404,$AC233)),"B","T")))))))</f>
        <v/>
      </c>
      <c r="AF233">
        <f>IF(OR($AD233="",$AD233="Z",$AD233="B"),"",INDEX($X$5:$X$404,$AC233))</f>
        <v/>
      </c>
      <c r="AJ233">
        <f>IF($AD233&lt;&gt;"T",0,ROUND(SUMIF(oil!$B$4:$B$63,$AF233,oil!$AE$4:$AE$63),2))</f>
        <v/>
      </c>
      <c r="AK233">
        <f>IF($S233="","",IFERROR(INDEX(อัตราค่าขนส่ง!$P$5:$P$54,MATCH($S233,อัตราค่าขนส่ง!$O$5:$O$54,0)),INDEX(รายการมาตรฐาน!$G$2:$G$3,1)))</f>
        <v/>
      </c>
      <c r="AL233">
        <f>IF($S233="","",IFERROR(MATCH($AK233,รายการมาตรฐาน!$G$2:$G$3,0),1))</f>
        <v/>
      </c>
      <c r="AM233">
        <f>IF($V233="","",INDEX($AK$5:$AK$404,$V233))</f>
        <v/>
      </c>
      <c r="AN233">
        <f>IF($V233="","",INDEX($AL$5:$AL$404,$V233))</f>
        <v/>
      </c>
      <c r="AO233">
        <f>IF(OR($V233="",$AI$2&lt;=1),0,IF($V234="",1,IF($AN234&lt;&gt;$AN233,1,0)))</f>
        <v/>
      </c>
      <c r="AP233">
        <f>IF($V233="",0,IF($AN233&lt;&gt;$AN232,1,0))</f>
        <v/>
      </c>
      <c r="AQ233">
        <f>IF(OR($AD233="",$AD233="Z"),"",INDEX($AN$5:$AN$404,$AC233))</f>
        <v/>
      </c>
      <c r="AR233">
        <f>IF($Y233="",0,COUNTIF(บันทึกรายเที่ยว!$V$6:$V$6005,$Y233))</f>
        <v/>
      </c>
      <c r="AS233">
        <f>IF($Y233="",0,ROUND(SUMIF(บันทึกรายเที่ยว!$V$6:$V$6005,$Y233,บันทึกรายเที่ยว!$M$6:$M$6005),2))</f>
        <v/>
      </c>
      <c r="AT233">
        <f>IF($Y233="",0,IFERROR(INDEX(อัตราค่าขนส่ง!$G$5:$G$204,MATCH($Y233,อัตราค่าขนส่ง!$M$5:$M$204,0)),0))</f>
        <v/>
      </c>
      <c r="AU233">
        <f>ROUND($AS233*$BD233,2)</f>
        <v/>
      </c>
      <c r="AV233">
        <f>ROUND($AU233*$BF$2/100,2)</f>
        <v/>
      </c>
      <c r="AW233">
        <f>IF($Y233="","",IFERROR(INDEX(อัตราค่าขนส่ง!$F$5:$F$204,MATCH($Y233,อัตราค่าขนส่ง!$M$5:$M$204,0)),""))</f>
        <v/>
      </c>
      <c r="AX233">
        <f>IF($W233="","",INDEX(บันทึกรายเที่ยว!$D$6:$D$6005,$W233))</f>
        <v/>
      </c>
      <c r="AY233">
        <f>IF($W233="","",INDEX(บันทึกรายเที่ยว!$R$6:$R$6005,$W233))</f>
        <v/>
      </c>
      <c r="AZ233">
        <f>IF(AND($AD233="T",$AQ233=1),N($AZ232)+1,N($AZ232))</f>
        <v/>
      </c>
      <c r="BA233">
        <f>IF($W233="","",INDEX(บันทึกรายเที่ยว!$E$6:$E$6005,$W233))</f>
        <v/>
      </c>
      <c r="BC233">
        <f>IF($Y233="",0,IFERROR(INDEX(อัตราค่าขนส่ง!$K$5:$K$204,MATCH($Y233,อัตราค่าขนส่ง!$M$5:$M$204,0)),0))</f>
        <v/>
      </c>
      <c r="BD233">
        <f>IF($Y233="",0,IFERROR(INDEX(อัตราค่าขนส่ง!$L$5:$L$204,MATCH($Y233,อัตราค่าขนส่ง!$M$5:$M$204,0)),0))</f>
        <v/>
      </c>
    </row>
    <row r="234" ht="21" customHeight="1" s="66">
      <c r="A234" s="69">
        <f>IF($AD234="","",IF($AD234="Z","รวมจ่ายทั้งสิ้น",IF($AD234="H",INDEX($X$5:$X$404,$AC234),IF($AD234="T","รวม",IF($AD234="B",IFERROR(INDEX(อัตราค่าขนส่ง!$S$5:$S$14,MATCH(INDEX($AM$5:$AM$404,$AC234),อัตราค่าขนส่ง!$R$5:$R$14,0)),"รวมกลุ่ม "&amp;INDEX($AM$5:$AM$404,$AC234)),INDEX($AY$5:$AY$404,$AC234))))))</f>
        <v/>
      </c>
      <c r="B234" s="31">
        <f>IF($AD234&lt;&gt;"D","",INDEX($AW$5:$AW$404,$AC234))</f>
        <v/>
      </c>
      <c r="C234" s="68">
        <f>IF($AD234&lt;&gt;"D","",INDEX($AX$5:$AX$404,$AC234))</f>
        <v/>
      </c>
      <c r="D234" s="70">
        <f>IF($AD234&lt;&gt;"D","",INDEX($BA$5:$BA$404,$AC234))</f>
        <v/>
      </c>
      <c r="E234" s="31">
        <f>IF($AD234="Z",SUM($AR$5:$AR$404),IF($AD234="D",INDEX($AR$5:$AR$404,$AC234),IF($AD234="T",SUMIF($X$5:$X$404,$AF234,$AR$5:$AR$404),IF($AD234="B",SUMIF($AN$5:$AN$404,$AQ234,$AR$5:$AR$404),""))))</f>
        <v/>
      </c>
      <c r="F234" s="32">
        <f>IF($AD234="Z",ROUND(SUM($AS$5:$AS$404),2),IF($AD234="D",INDEX($AS$5:$AS$404,$AC234),IF($AD234="T",ROUND(SUMIF($X$5:$X$404,$AF234,$AS$5:$AS$404),2),IF($AD234="B",ROUND(SUMIF($AN$5:$AN$404,$AQ234,$AS$5:$AS$404),2),""))))</f>
        <v/>
      </c>
      <c r="G234" s="32">
        <f>IF($AD234&lt;&gt;"D","",INDEX($AT$5:$AT$404,$AC234))</f>
        <v/>
      </c>
      <c r="H234" s="32">
        <f>IF($AD234&lt;&gt;"D","",INDEX($BC$5:$BC$404,$AC234))</f>
        <v/>
      </c>
      <c r="I234" s="32">
        <f>IF($AD234&lt;&gt;"D","",INDEX($BD$5:$BD$404,$AC234))</f>
        <v/>
      </c>
      <c r="J234" s="46">
        <f>IF($AD234&lt;&gt;"D","",IF(N($B234)=0,"",ROUND($I234/$B234,4)))</f>
        <v/>
      </c>
      <c r="K234" s="32">
        <f>IF($AD234="Z",ROUND(SUM($AU$5:$AU$404),2),IF($AD234="D",INDEX($AU$5:$AU$404,$AC234),IF($AD234="T",ROUND(SUMIF($X$5:$X$404,$AF234,$AU$5:$AU$404),2),IF($AD234="B",ROUND(SUMIF($AN$5:$AN$404,$AQ234,$AU$5:$AU$404),2),""))))</f>
        <v/>
      </c>
      <c r="L234" s="32">
        <f>IF($AD234="Z",ROUND(SUM($AV$5:$AV$404),2),IF($AD234="D",INDEX($AV$5:$AV$404,$AC234),IF($AD234="T",ROUND(SUMIF($X$5:$X$404,$AF234,$AV$5:$AV$404),2),IF($AD234="B",ROUND(SUMIF($AN$5:$AN$404,$AQ234,$AV$5:$AV$404),2),""))))</f>
        <v/>
      </c>
      <c r="M234" s="32">
        <f>IF($AD234="Z",ROUND(SUM($AJ$5:$AJ$704),2),IF($AD234="B",ROUND(SUMIF($AQ$5:$AQ$704,$AQ234,$AJ$5:$AJ$704),2),IF($AD234&lt;&gt;"T","",$AJ234)))</f>
        <v/>
      </c>
      <c r="N234" s="32">
        <f>IF(OR($AD234="D",$AD234="T",$AD234="B",$AD234="Z"),ROUND(N($K234)-N($L234)-N($M234),2),"")</f>
        <v/>
      </c>
      <c r="O234" s="32">
        <f>IF(OR($AD234="D",$AD234="T",$AD234="B",$AD234="Z"),IF(N($E234)=0,"",ROUND($F234/$E234,2)),"")</f>
        <v/>
      </c>
      <c r="Q234">
        <f>IFERROR(MATCH(230,บันทึกรายเที่ยว!$Z$6:$Z$6005,0),"")</f>
        <v/>
      </c>
      <c r="R234">
        <f>IF($Q234="","",INDEX(บันทึกรายเที่ยว!$V$6:$V$6005,$Q234))</f>
        <v/>
      </c>
      <c r="S234">
        <f>IF($Q234="","",INDEX(บันทึกรายเที่ยว!$F$6:$F$6005,$Q234))</f>
        <v/>
      </c>
      <c r="T234">
        <f>IF($Q234="","",MATCH($S234,บันทึกรายเที่ยว!$F$6:$F$6005,0))</f>
        <v/>
      </c>
      <c r="U234">
        <f>IF($Q234="","",$AL234*10000000+$T234*1000+230)</f>
        <v/>
      </c>
      <c r="V234">
        <f>IFERROR(MATCH(SMALL($U$5:$U$404,230),$U$5:$U$404,0),"")</f>
        <v/>
      </c>
      <c r="W234">
        <f>IF($V234="","",INDEX($Q$5:$Q$404,$V234))</f>
        <v/>
      </c>
      <c r="X234">
        <f>IF($V234="","",INDEX($S$5:$S$404,$V234))</f>
        <v/>
      </c>
      <c r="Y234">
        <f>IF($V234="","",INDEX($R$5:$R$404,$V234))</f>
        <v/>
      </c>
      <c r="Z234">
        <f>IF($V234="",0,IF($X234&lt;&gt;$X233,1,0))</f>
        <v/>
      </c>
      <c r="AA234">
        <f>IF($V234="",0,IF($V235="",1,IF($X235&lt;&gt;$X234,1,0)))</f>
        <v/>
      </c>
      <c r="AB234">
        <f>IF($V234="",99999+230,$AB233+1+$Z233+$AA233+$AO233)</f>
        <v/>
      </c>
      <c r="AC234">
        <f>IFERROR(MATCH(230,$AB$5:$AB$404,1),"")</f>
        <v/>
      </c>
      <c r="AD234">
        <f>IF(230=$AI$1+1,"Z",IF($AC234="","",IF(INDEX($V$5:$V$404,$AC234)="","",IF(230&gt;INDEX($AB$5:$AB$404,$AC234)+INDEX($Z$5:$Z$404,$AC234)+INDEX($AA$5:$AA$404,$AC234)+INDEX($AO$5:$AO$404,$AC234),"",IF(230=INDEX($AB$5:$AB$404,$AC234)+INDEX($Z$5:$Z$404,$AC234),"D",IF(AND(INDEX($Z$5:$Z$404,$AC234)=1,230=INDEX($AB$5:$AB$404,$AC234)),"H",IF(AND(INDEX($AO$5:$AO$404,$AC234)=1,230=INDEX($AB$5:$AB$404,$AC234)+INDEX($Z$5:$Z$404,$AC234)+INDEX($AA$5:$AA$404,$AC234)+INDEX($AO$5:$AO$404,$AC234)),"B","T")))))))</f>
        <v/>
      </c>
      <c r="AF234">
        <f>IF(OR($AD234="",$AD234="Z",$AD234="B"),"",INDEX($X$5:$X$404,$AC234))</f>
        <v/>
      </c>
      <c r="AJ234">
        <f>IF($AD234&lt;&gt;"T",0,ROUND(SUMIF(oil!$B$4:$B$63,$AF234,oil!$AE$4:$AE$63),2))</f>
        <v/>
      </c>
      <c r="AK234">
        <f>IF($S234="","",IFERROR(INDEX(อัตราค่าขนส่ง!$P$5:$P$54,MATCH($S234,อัตราค่าขนส่ง!$O$5:$O$54,0)),INDEX(รายการมาตรฐาน!$G$2:$G$3,1)))</f>
        <v/>
      </c>
      <c r="AL234">
        <f>IF($S234="","",IFERROR(MATCH($AK234,รายการมาตรฐาน!$G$2:$G$3,0),1))</f>
        <v/>
      </c>
      <c r="AM234">
        <f>IF($V234="","",INDEX($AK$5:$AK$404,$V234))</f>
        <v/>
      </c>
      <c r="AN234">
        <f>IF($V234="","",INDEX($AL$5:$AL$404,$V234))</f>
        <v/>
      </c>
      <c r="AO234">
        <f>IF(OR($V234="",$AI$2&lt;=1),0,IF($V235="",1,IF($AN235&lt;&gt;$AN234,1,0)))</f>
        <v/>
      </c>
      <c r="AP234">
        <f>IF($V234="",0,IF($AN234&lt;&gt;$AN233,1,0))</f>
        <v/>
      </c>
      <c r="AQ234">
        <f>IF(OR($AD234="",$AD234="Z"),"",INDEX($AN$5:$AN$404,$AC234))</f>
        <v/>
      </c>
      <c r="AR234">
        <f>IF($Y234="",0,COUNTIF(บันทึกรายเที่ยว!$V$6:$V$6005,$Y234))</f>
        <v/>
      </c>
      <c r="AS234">
        <f>IF($Y234="",0,ROUND(SUMIF(บันทึกรายเที่ยว!$V$6:$V$6005,$Y234,บันทึกรายเที่ยว!$M$6:$M$6005),2))</f>
        <v/>
      </c>
      <c r="AT234">
        <f>IF($Y234="",0,IFERROR(INDEX(อัตราค่าขนส่ง!$G$5:$G$204,MATCH($Y234,อัตราค่าขนส่ง!$M$5:$M$204,0)),0))</f>
        <v/>
      </c>
      <c r="AU234">
        <f>ROUND($AS234*$BD234,2)</f>
        <v/>
      </c>
      <c r="AV234">
        <f>ROUND($AU234*$BF$2/100,2)</f>
        <v/>
      </c>
      <c r="AW234">
        <f>IF($Y234="","",IFERROR(INDEX(อัตราค่าขนส่ง!$F$5:$F$204,MATCH($Y234,อัตราค่าขนส่ง!$M$5:$M$204,0)),""))</f>
        <v/>
      </c>
      <c r="AX234">
        <f>IF($W234="","",INDEX(บันทึกรายเที่ยว!$D$6:$D$6005,$W234))</f>
        <v/>
      </c>
      <c r="AY234">
        <f>IF($W234="","",INDEX(บันทึกรายเที่ยว!$R$6:$R$6005,$W234))</f>
        <v/>
      </c>
      <c r="AZ234">
        <f>IF(AND($AD234="T",$AQ234=1),N($AZ233)+1,N($AZ233))</f>
        <v/>
      </c>
      <c r="BA234">
        <f>IF($W234="","",INDEX(บันทึกรายเที่ยว!$E$6:$E$6005,$W234))</f>
        <v/>
      </c>
      <c r="BC234">
        <f>IF($Y234="",0,IFERROR(INDEX(อัตราค่าขนส่ง!$K$5:$K$204,MATCH($Y234,อัตราค่าขนส่ง!$M$5:$M$204,0)),0))</f>
        <v/>
      </c>
      <c r="BD234">
        <f>IF($Y234="",0,IFERROR(INDEX(อัตราค่าขนส่ง!$L$5:$L$204,MATCH($Y234,อัตราค่าขนส่ง!$M$5:$M$204,0)),0))</f>
        <v/>
      </c>
    </row>
    <row r="235" ht="21" customHeight="1" s="66">
      <c r="A235" s="69">
        <f>IF($AD235="","",IF($AD235="Z","รวมจ่ายทั้งสิ้น",IF($AD235="H",INDEX($X$5:$X$404,$AC235),IF($AD235="T","รวม",IF($AD235="B",IFERROR(INDEX(อัตราค่าขนส่ง!$S$5:$S$14,MATCH(INDEX($AM$5:$AM$404,$AC235),อัตราค่าขนส่ง!$R$5:$R$14,0)),"รวมกลุ่ม "&amp;INDEX($AM$5:$AM$404,$AC235)),INDEX($AY$5:$AY$404,$AC235))))))</f>
        <v/>
      </c>
      <c r="B235" s="31">
        <f>IF($AD235&lt;&gt;"D","",INDEX($AW$5:$AW$404,$AC235))</f>
        <v/>
      </c>
      <c r="C235" s="68">
        <f>IF($AD235&lt;&gt;"D","",INDEX($AX$5:$AX$404,$AC235))</f>
        <v/>
      </c>
      <c r="D235" s="70">
        <f>IF($AD235&lt;&gt;"D","",INDEX($BA$5:$BA$404,$AC235))</f>
        <v/>
      </c>
      <c r="E235" s="31">
        <f>IF($AD235="Z",SUM($AR$5:$AR$404),IF($AD235="D",INDEX($AR$5:$AR$404,$AC235),IF($AD235="T",SUMIF($X$5:$X$404,$AF235,$AR$5:$AR$404),IF($AD235="B",SUMIF($AN$5:$AN$404,$AQ235,$AR$5:$AR$404),""))))</f>
        <v/>
      </c>
      <c r="F235" s="32">
        <f>IF($AD235="Z",ROUND(SUM($AS$5:$AS$404),2),IF($AD235="D",INDEX($AS$5:$AS$404,$AC235),IF($AD235="T",ROUND(SUMIF($X$5:$X$404,$AF235,$AS$5:$AS$404),2),IF($AD235="B",ROUND(SUMIF($AN$5:$AN$404,$AQ235,$AS$5:$AS$404),2),""))))</f>
        <v/>
      </c>
      <c r="G235" s="32">
        <f>IF($AD235&lt;&gt;"D","",INDEX($AT$5:$AT$404,$AC235))</f>
        <v/>
      </c>
      <c r="H235" s="32">
        <f>IF($AD235&lt;&gt;"D","",INDEX($BC$5:$BC$404,$AC235))</f>
        <v/>
      </c>
      <c r="I235" s="32">
        <f>IF($AD235&lt;&gt;"D","",INDEX($BD$5:$BD$404,$AC235))</f>
        <v/>
      </c>
      <c r="J235" s="46">
        <f>IF($AD235&lt;&gt;"D","",IF(N($B235)=0,"",ROUND($I235/$B235,4)))</f>
        <v/>
      </c>
      <c r="K235" s="32">
        <f>IF($AD235="Z",ROUND(SUM($AU$5:$AU$404),2),IF($AD235="D",INDEX($AU$5:$AU$404,$AC235),IF($AD235="T",ROUND(SUMIF($X$5:$X$404,$AF235,$AU$5:$AU$404),2),IF($AD235="B",ROUND(SUMIF($AN$5:$AN$404,$AQ235,$AU$5:$AU$404),2),""))))</f>
        <v/>
      </c>
      <c r="L235" s="32">
        <f>IF($AD235="Z",ROUND(SUM($AV$5:$AV$404),2),IF($AD235="D",INDEX($AV$5:$AV$404,$AC235),IF($AD235="T",ROUND(SUMIF($X$5:$X$404,$AF235,$AV$5:$AV$404),2),IF($AD235="B",ROUND(SUMIF($AN$5:$AN$404,$AQ235,$AV$5:$AV$404),2),""))))</f>
        <v/>
      </c>
      <c r="M235" s="32">
        <f>IF($AD235="Z",ROUND(SUM($AJ$5:$AJ$704),2),IF($AD235="B",ROUND(SUMIF($AQ$5:$AQ$704,$AQ235,$AJ$5:$AJ$704),2),IF($AD235&lt;&gt;"T","",$AJ235)))</f>
        <v/>
      </c>
      <c r="N235" s="32">
        <f>IF(OR($AD235="D",$AD235="T",$AD235="B",$AD235="Z"),ROUND(N($K235)-N($L235)-N($M235),2),"")</f>
        <v/>
      </c>
      <c r="O235" s="32">
        <f>IF(OR($AD235="D",$AD235="T",$AD235="B",$AD235="Z"),IF(N($E235)=0,"",ROUND($F235/$E235,2)),"")</f>
        <v/>
      </c>
      <c r="Q235">
        <f>IFERROR(MATCH(231,บันทึกรายเที่ยว!$Z$6:$Z$6005,0),"")</f>
        <v/>
      </c>
      <c r="R235">
        <f>IF($Q235="","",INDEX(บันทึกรายเที่ยว!$V$6:$V$6005,$Q235))</f>
        <v/>
      </c>
      <c r="S235">
        <f>IF($Q235="","",INDEX(บันทึกรายเที่ยว!$F$6:$F$6005,$Q235))</f>
        <v/>
      </c>
      <c r="T235">
        <f>IF($Q235="","",MATCH($S235,บันทึกรายเที่ยว!$F$6:$F$6005,0))</f>
        <v/>
      </c>
      <c r="U235">
        <f>IF($Q235="","",$AL235*10000000+$T235*1000+231)</f>
        <v/>
      </c>
      <c r="V235">
        <f>IFERROR(MATCH(SMALL($U$5:$U$404,231),$U$5:$U$404,0),"")</f>
        <v/>
      </c>
      <c r="W235">
        <f>IF($V235="","",INDEX($Q$5:$Q$404,$V235))</f>
        <v/>
      </c>
      <c r="X235">
        <f>IF($V235="","",INDEX($S$5:$S$404,$V235))</f>
        <v/>
      </c>
      <c r="Y235">
        <f>IF($V235="","",INDEX($R$5:$R$404,$V235))</f>
        <v/>
      </c>
      <c r="Z235">
        <f>IF($V235="",0,IF($X235&lt;&gt;$X234,1,0))</f>
        <v/>
      </c>
      <c r="AA235">
        <f>IF($V235="",0,IF($V236="",1,IF($X236&lt;&gt;$X235,1,0)))</f>
        <v/>
      </c>
      <c r="AB235">
        <f>IF($V235="",99999+231,$AB234+1+$Z234+$AA234+$AO234)</f>
        <v/>
      </c>
      <c r="AC235">
        <f>IFERROR(MATCH(231,$AB$5:$AB$404,1),"")</f>
        <v/>
      </c>
      <c r="AD235">
        <f>IF(231=$AI$1+1,"Z",IF($AC235="","",IF(INDEX($V$5:$V$404,$AC235)="","",IF(231&gt;INDEX($AB$5:$AB$404,$AC235)+INDEX($Z$5:$Z$404,$AC235)+INDEX($AA$5:$AA$404,$AC235)+INDEX($AO$5:$AO$404,$AC235),"",IF(231=INDEX($AB$5:$AB$404,$AC235)+INDEX($Z$5:$Z$404,$AC235),"D",IF(AND(INDEX($Z$5:$Z$404,$AC235)=1,231=INDEX($AB$5:$AB$404,$AC235)),"H",IF(AND(INDEX($AO$5:$AO$404,$AC235)=1,231=INDEX($AB$5:$AB$404,$AC235)+INDEX($Z$5:$Z$404,$AC235)+INDEX($AA$5:$AA$404,$AC235)+INDEX($AO$5:$AO$404,$AC235)),"B","T")))))))</f>
        <v/>
      </c>
      <c r="AF235">
        <f>IF(OR($AD235="",$AD235="Z",$AD235="B"),"",INDEX($X$5:$X$404,$AC235))</f>
        <v/>
      </c>
      <c r="AJ235">
        <f>IF($AD235&lt;&gt;"T",0,ROUND(SUMIF(oil!$B$4:$B$63,$AF235,oil!$AE$4:$AE$63),2))</f>
        <v/>
      </c>
      <c r="AK235">
        <f>IF($S235="","",IFERROR(INDEX(อัตราค่าขนส่ง!$P$5:$P$54,MATCH($S235,อัตราค่าขนส่ง!$O$5:$O$54,0)),INDEX(รายการมาตรฐาน!$G$2:$G$3,1)))</f>
        <v/>
      </c>
      <c r="AL235">
        <f>IF($S235="","",IFERROR(MATCH($AK235,รายการมาตรฐาน!$G$2:$G$3,0),1))</f>
        <v/>
      </c>
      <c r="AM235">
        <f>IF($V235="","",INDEX($AK$5:$AK$404,$V235))</f>
        <v/>
      </c>
      <c r="AN235">
        <f>IF($V235="","",INDEX($AL$5:$AL$404,$V235))</f>
        <v/>
      </c>
      <c r="AO235">
        <f>IF(OR($V235="",$AI$2&lt;=1),0,IF($V236="",1,IF($AN236&lt;&gt;$AN235,1,0)))</f>
        <v/>
      </c>
      <c r="AP235">
        <f>IF($V235="",0,IF($AN235&lt;&gt;$AN234,1,0))</f>
        <v/>
      </c>
      <c r="AQ235">
        <f>IF(OR($AD235="",$AD235="Z"),"",INDEX($AN$5:$AN$404,$AC235))</f>
        <v/>
      </c>
      <c r="AR235">
        <f>IF($Y235="",0,COUNTIF(บันทึกรายเที่ยว!$V$6:$V$6005,$Y235))</f>
        <v/>
      </c>
      <c r="AS235">
        <f>IF($Y235="",0,ROUND(SUMIF(บันทึกรายเที่ยว!$V$6:$V$6005,$Y235,บันทึกรายเที่ยว!$M$6:$M$6005),2))</f>
        <v/>
      </c>
      <c r="AT235">
        <f>IF($Y235="",0,IFERROR(INDEX(อัตราค่าขนส่ง!$G$5:$G$204,MATCH($Y235,อัตราค่าขนส่ง!$M$5:$M$204,0)),0))</f>
        <v/>
      </c>
      <c r="AU235">
        <f>ROUND($AS235*$BD235,2)</f>
        <v/>
      </c>
      <c r="AV235">
        <f>ROUND($AU235*$BF$2/100,2)</f>
        <v/>
      </c>
      <c r="AW235">
        <f>IF($Y235="","",IFERROR(INDEX(อัตราค่าขนส่ง!$F$5:$F$204,MATCH($Y235,อัตราค่าขนส่ง!$M$5:$M$204,0)),""))</f>
        <v/>
      </c>
      <c r="AX235">
        <f>IF($W235="","",INDEX(บันทึกรายเที่ยว!$D$6:$D$6005,$W235))</f>
        <v/>
      </c>
      <c r="AY235">
        <f>IF($W235="","",INDEX(บันทึกรายเที่ยว!$R$6:$R$6005,$W235))</f>
        <v/>
      </c>
      <c r="AZ235">
        <f>IF(AND($AD235="T",$AQ235=1),N($AZ234)+1,N($AZ234))</f>
        <v/>
      </c>
      <c r="BA235">
        <f>IF($W235="","",INDEX(บันทึกรายเที่ยว!$E$6:$E$6005,$W235))</f>
        <v/>
      </c>
      <c r="BC235">
        <f>IF($Y235="",0,IFERROR(INDEX(อัตราค่าขนส่ง!$K$5:$K$204,MATCH($Y235,อัตราค่าขนส่ง!$M$5:$M$204,0)),0))</f>
        <v/>
      </c>
      <c r="BD235">
        <f>IF($Y235="",0,IFERROR(INDEX(อัตราค่าขนส่ง!$L$5:$L$204,MATCH($Y235,อัตราค่าขนส่ง!$M$5:$M$204,0)),0))</f>
        <v/>
      </c>
    </row>
    <row r="236" ht="21" customHeight="1" s="66">
      <c r="A236" s="69">
        <f>IF($AD236="","",IF($AD236="Z","รวมจ่ายทั้งสิ้น",IF($AD236="H",INDEX($X$5:$X$404,$AC236),IF($AD236="T","รวม",IF($AD236="B",IFERROR(INDEX(อัตราค่าขนส่ง!$S$5:$S$14,MATCH(INDEX($AM$5:$AM$404,$AC236),อัตราค่าขนส่ง!$R$5:$R$14,0)),"รวมกลุ่ม "&amp;INDEX($AM$5:$AM$404,$AC236)),INDEX($AY$5:$AY$404,$AC236))))))</f>
        <v/>
      </c>
      <c r="B236" s="31">
        <f>IF($AD236&lt;&gt;"D","",INDEX($AW$5:$AW$404,$AC236))</f>
        <v/>
      </c>
      <c r="C236" s="68">
        <f>IF($AD236&lt;&gt;"D","",INDEX($AX$5:$AX$404,$AC236))</f>
        <v/>
      </c>
      <c r="D236" s="70">
        <f>IF($AD236&lt;&gt;"D","",INDEX($BA$5:$BA$404,$AC236))</f>
        <v/>
      </c>
      <c r="E236" s="31">
        <f>IF($AD236="Z",SUM($AR$5:$AR$404),IF($AD236="D",INDEX($AR$5:$AR$404,$AC236),IF($AD236="T",SUMIF($X$5:$X$404,$AF236,$AR$5:$AR$404),IF($AD236="B",SUMIF($AN$5:$AN$404,$AQ236,$AR$5:$AR$404),""))))</f>
        <v/>
      </c>
      <c r="F236" s="32">
        <f>IF($AD236="Z",ROUND(SUM($AS$5:$AS$404),2),IF($AD236="D",INDEX($AS$5:$AS$404,$AC236),IF($AD236="T",ROUND(SUMIF($X$5:$X$404,$AF236,$AS$5:$AS$404),2),IF($AD236="B",ROUND(SUMIF($AN$5:$AN$404,$AQ236,$AS$5:$AS$404),2),""))))</f>
        <v/>
      </c>
      <c r="G236" s="32">
        <f>IF($AD236&lt;&gt;"D","",INDEX($AT$5:$AT$404,$AC236))</f>
        <v/>
      </c>
      <c r="H236" s="32">
        <f>IF($AD236&lt;&gt;"D","",INDEX($BC$5:$BC$404,$AC236))</f>
        <v/>
      </c>
      <c r="I236" s="32">
        <f>IF($AD236&lt;&gt;"D","",INDEX($BD$5:$BD$404,$AC236))</f>
        <v/>
      </c>
      <c r="J236" s="46">
        <f>IF($AD236&lt;&gt;"D","",IF(N($B236)=0,"",ROUND($I236/$B236,4)))</f>
        <v/>
      </c>
      <c r="K236" s="32">
        <f>IF($AD236="Z",ROUND(SUM($AU$5:$AU$404),2),IF($AD236="D",INDEX($AU$5:$AU$404,$AC236),IF($AD236="T",ROUND(SUMIF($X$5:$X$404,$AF236,$AU$5:$AU$404),2),IF($AD236="B",ROUND(SUMIF($AN$5:$AN$404,$AQ236,$AU$5:$AU$404),2),""))))</f>
        <v/>
      </c>
      <c r="L236" s="32">
        <f>IF($AD236="Z",ROUND(SUM($AV$5:$AV$404),2),IF($AD236="D",INDEX($AV$5:$AV$404,$AC236),IF($AD236="T",ROUND(SUMIF($X$5:$X$404,$AF236,$AV$5:$AV$404),2),IF($AD236="B",ROUND(SUMIF($AN$5:$AN$404,$AQ236,$AV$5:$AV$404),2),""))))</f>
        <v/>
      </c>
      <c r="M236" s="32">
        <f>IF($AD236="Z",ROUND(SUM($AJ$5:$AJ$704),2),IF($AD236="B",ROUND(SUMIF($AQ$5:$AQ$704,$AQ236,$AJ$5:$AJ$704),2),IF($AD236&lt;&gt;"T","",$AJ236)))</f>
        <v/>
      </c>
      <c r="N236" s="32">
        <f>IF(OR($AD236="D",$AD236="T",$AD236="B",$AD236="Z"),ROUND(N($K236)-N($L236)-N($M236),2),"")</f>
        <v/>
      </c>
      <c r="O236" s="32">
        <f>IF(OR($AD236="D",$AD236="T",$AD236="B",$AD236="Z"),IF(N($E236)=0,"",ROUND($F236/$E236,2)),"")</f>
        <v/>
      </c>
      <c r="Q236">
        <f>IFERROR(MATCH(232,บันทึกรายเที่ยว!$Z$6:$Z$6005,0),"")</f>
        <v/>
      </c>
      <c r="R236">
        <f>IF($Q236="","",INDEX(บันทึกรายเที่ยว!$V$6:$V$6005,$Q236))</f>
        <v/>
      </c>
      <c r="S236">
        <f>IF($Q236="","",INDEX(บันทึกรายเที่ยว!$F$6:$F$6005,$Q236))</f>
        <v/>
      </c>
      <c r="T236">
        <f>IF($Q236="","",MATCH($S236,บันทึกรายเที่ยว!$F$6:$F$6005,0))</f>
        <v/>
      </c>
      <c r="U236">
        <f>IF($Q236="","",$AL236*10000000+$T236*1000+232)</f>
        <v/>
      </c>
      <c r="V236">
        <f>IFERROR(MATCH(SMALL($U$5:$U$404,232),$U$5:$U$404,0),"")</f>
        <v/>
      </c>
      <c r="W236">
        <f>IF($V236="","",INDEX($Q$5:$Q$404,$V236))</f>
        <v/>
      </c>
      <c r="X236">
        <f>IF($V236="","",INDEX($S$5:$S$404,$V236))</f>
        <v/>
      </c>
      <c r="Y236">
        <f>IF($V236="","",INDEX($R$5:$R$404,$V236))</f>
        <v/>
      </c>
      <c r="Z236">
        <f>IF($V236="",0,IF($X236&lt;&gt;$X235,1,0))</f>
        <v/>
      </c>
      <c r="AA236">
        <f>IF($V236="",0,IF($V237="",1,IF($X237&lt;&gt;$X236,1,0)))</f>
        <v/>
      </c>
      <c r="AB236">
        <f>IF($V236="",99999+232,$AB235+1+$Z235+$AA235+$AO235)</f>
        <v/>
      </c>
      <c r="AC236">
        <f>IFERROR(MATCH(232,$AB$5:$AB$404,1),"")</f>
        <v/>
      </c>
      <c r="AD236">
        <f>IF(232=$AI$1+1,"Z",IF($AC236="","",IF(INDEX($V$5:$V$404,$AC236)="","",IF(232&gt;INDEX($AB$5:$AB$404,$AC236)+INDEX($Z$5:$Z$404,$AC236)+INDEX($AA$5:$AA$404,$AC236)+INDEX($AO$5:$AO$404,$AC236),"",IF(232=INDEX($AB$5:$AB$404,$AC236)+INDEX($Z$5:$Z$404,$AC236),"D",IF(AND(INDEX($Z$5:$Z$404,$AC236)=1,232=INDEX($AB$5:$AB$404,$AC236)),"H",IF(AND(INDEX($AO$5:$AO$404,$AC236)=1,232=INDEX($AB$5:$AB$404,$AC236)+INDEX($Z$5:$Z$404,$AC236)+INDEX($AA$5:$AA$404,$AC236)+INDEX($AO$5:$AO$404,$AC236)),"B","T")))))))</f>
        <v/>
      </c>
      <c r="AF236">
        <f>IF(OR($AD236="",$AD236="Z",$AD236="B"),"",INDEX($X$5:$X$404,$AC236))</f>
        <v/>
      </c>
      <c r="AJ236">
        <f>IF($AD236&lt;&gt;"T",0,ROUND(SUMIF(oil!$B$4:$B$63,$AF236,oil!$AE$4:$AE$63),2))</f>
        <v/>
      </c>
      <c r="AK236">
        <f>IF($S236="","",IFERROR(INDEX(อัตราค่าขนส่ง!$P$5:$P$54,MATCH($S236,อัตราค่าขนส่ง!$O$5:$O$54,0)),INDEX(รายการมาตรฐาน!$G$2:$G$3,1)))</f>
        <v/>
      </c>
      <c r="AL236">
        <f>IF($S236="","",IFERROR(MATCH($AK236,รายการมาตรฐาน!$G$2:$G$3,0),1))</f>
        <v/>
      </c>
      <c r="AM236">
        <f>IF($V236="","",INDEX($AK$5:$AK$404,$V236))</f>
        <v/>
      </c>
      <c r="AN236">
        <f>IF($V236="","",INDEX($AL$5:$AL$404,$V236))</f>
        <v/>
      </c>
      <c r="AO236">
        <f>IF(OR($V236="",$AI$2&lt;=1),0,IF($V237="",1,IF($AN237&lt;&gt;$AN236,1,0)))</f>
        <v/>
      </c>
      <c r="AP236">
        <f>IF($V236="",0,IF($AN236&lt;&gt;$AN235,1,0))</f>
        <v/>
      </c>
      <c r="AQ236">
        <f>IF(OR($AD236="",$AD236="Z"),"",INDEX($AN$5:$AN$404,$AC236))</f>
        <v/>
      </c>
      <c r="AR236">
        <f>IF($Y236="",0,COUNTIF(บันทึกรายเที่ยว!$V$6:$V$6005,$Y236))</f>
        <v/>
      </c>
      <c r="AS236">
        <f>IF($Y236="",0,ROUND(SUMIF(บันทึกรายเที่ยว!$V$6:$V$6005,$Y236,บันทึกรายเที่ยว!$M$6:$M$6005),2))</f>
        <v/>
      </c>
      <c r="AT236">
        <f>IF($Y236="",0,IFERROR(INDEX(อัตราค่าขนส่ง!$G$5:$G$204,MATCH($Y236,อัตราค่าขนส่ง!$M$5:$M$204,0)),0))</f>
        <v/>
      </c>
      <c r="AU236">
        <f>ROUND($AS236*$BD236,2)</f>
        <v/>
      </c>
      <c r="AV236">
        <f>ROUND($AU236*$BF$2/100,2)</f>
        <v/>
      </c>
      <c r="AW236">
        <f>IF($Y236="","",IFERROR(INDEX(อัตราค่าขนส่ง!$F$5:$F$204,MATCH($Y236,อัตราค่าขนส่ง!$M$5:$M$204,0)),""))</f>
        <v/>
      </c>
      <c r="AX236">
        <f>IF($W236="","",INDEX(บันทึกรายเที่ยว!$D$6:$D$6005,$W236))</f>
        <v/>
      </c>
      <c r="AY236">
        <f>IF($W236="","",INDEX(บันทึกรายเที่ยว!$R$6:$R$6005,$W236))</f>
        <v/>
      </c>
      <c r="AZ236">
        <f>IF(AND($AD236="T",$AQ236=1),N($AZ235)+1,N($AZ235))</f>
        <v/>
      </c>
      <c r="BA236">
        <f>IF($W236="","",INDEX(บันทึกรายเที่ยว!$E$6:$E$6005,$W236))</f>
        <v/>
      </c>
      <c r="BC236">
        <f>IF($Y236="",0,IFERROR(INDEX(อัตราค่าขนส่ง!$K$5:$K$204,MATCH($Y236,อัตราค่าขนส่ง!$M$5:$M$204,0)),0))</f>
        <v/>
      </c>
      <c r="BD236">
        <f>IF($Y236="",0,IFERROR(INDEX(อัตราค่าขนส่ง!$L$5:$L$204,MATCH($Y236,อัตราค่าขนส่ง!$M$5:$M$204,0)),0))</f>
        <v/>
      </c>
    </row>
    <row r="237" ht="21" customHeight="1" s="66">
      <c r="A237" s="69">
        <f>IF($AD237="","",IF($AD237="Z","รวมจ่ายทั้งสิ้น",IF($AD237="H",INDEX($X$5:$X$404,$AC237),IF($AD237="T","รวม",IF($AD237="B",IFERROR(INDEX(อัตราค่าขนส่ง!$S$5:$S$14,MATCH(INDEX($AM$5:$AM$404,$AC237),อัตราค่าขนส่ง!$R$5:$R$14,0)),"รวมกลุ่ม "&amp;INDEX($AM$5:$AM$404,$AC237)),INDEX($AY$5:$AY$404,$AC237))))))</f>
        <v/>
      </c>
      <c r="B237" s="31">
        <f>IF($AD237&lt;&gt;"D","",INDEX($AW$5:$AW$404,$AC237))</f>
        <v/>
      </c>
      <c r="C237" s="68">
        <f>IF($AD237&lt;&gt;"D","",INDEX($AX$5:$AX$404,$AC237))</f>
        <v/>
      </c>
      <c r="D237" s="70">
        <f>IF($AD237&lt;&gt;"D","",INDEX($BA$5:$BA$404,$AC237))</f>
        <v/>
      </c>
      <c r="E237" s="31">
        <f>IF($AD237="Z",SUM($AR$5:$AR$404),IF($AD237="D",INDEX($AR$5:$AR$404,$AC237),IF($AD237="T",SUMIF($X$5:$X$404,$AF237,$AR$5:$AR$404),IF($AD237="B",SUMIF($AN$5:$AN$404,$AQ237,$AR$5:$AR$404),""))))</f>
        <v/>
      </c>
      <c r="F237" s="32">
        <f>IF($AD237="Z",ROUND(SUM($AS$5:$AS$404),2),IF($AD237="D",INDEX($AS$5:$AS$404,$AC237),IF($AD237="T",ROUND(SUMIF($X$5:$X$404,$AF237,$AS$5:$AS$404),2),IF($AD237="B",ROUND(SUMIF($AN$5:$AN$404,$AQ237,$AS$5:$AS$404),2),""))))</f>
        <v/>
      </c>
      <c r="G237" s="32">
        <f>IF($AD237&lt;&gt;"D","",INDEX($AT$5:$AT$404,$AC237))</f>
        <v/>
      </c>
      <c r="H237" s="32">
        <f>IF($AD237&lt;&gt;"D","",INDEX($BC$5:$BC$404,$AC237))</f>
        <v/>
      </c>
      <c r="I237" s="32">
        <f>IF($AD237&lt;&gt;"D","",INDEX($BD$5:$BD$404,$AC237))</f>
        <v/>
      </c>
      <c r="J237" s="46">
        <f>IF($AD237&lt;&gt;"D","",IF(N($B237)=0,"",ROUND($I237/$B237,4)))</f>
        <v/>
      </c>
      <c r="K237" s="32">
        <f>IF($AD237="Z",ROUND(SUM($AU$5:$AU$404),2),IF($AD237="D",INDEX($AU$5:$AU$404,$AC237),IF($AD237="T",ROUND(SUMIF($X$5:$X$404,$AF237,$AU$5:$AU$404),2),IF($AD237="B",ROUND(SUMIF($AN$5:$AN$404,$AQ237,$AU$5:$AU$404),2),""))))</f>
        <v/>
      </c>
      <c r="L237" s="32">
        <f>IF($AD237="Z",ROUND(SUM($AV$5:$AV$404),2),IF($AD237="D",INDEX($AV$5:$AV$404,$AC237),IF($AD237="T",ROUND(SUMIF($X$5:$X$404,$AF237,$AV$5:$AV$404),2),IF($AD237="B",ROUND(SUMIF($AN$5:$AN$404,$AQ237,$AV$5:$AV$404),2),""))))</f>
        <v/>
      </c>
      <c r="M237" s="32">
        <f>IF($AD237="Z",ROUND(SUM($AJ$5:$AJ$704),2),IF($AD237="B",ROUND(SUMIF($AQ$5:$AQ$704,$AQ237,$AJ$5:$AJ$704),2),IF($AD237&lt;&gt;"T","",$AJ237)))</f>
        <v/>
      </c>
      <c r="N237" s="32">
        <f>IF(OR($AD237="D",$AD237="T",$AD237="B",$AD237="Z"),ROUND(N($K237)-N($L237)-N($M237),2),"")</f>
        <v/>
      </c>
      <c r="O237" s="32">
        <f>IF(OR($AD237="D",$AD237="T",$AD237="B",$AD237="Z"),IF(N($E237)=0,"",ROUND($F237/$E237,2)),"")</f>
        <v/>
      </c>
      <c r="Q237">
        <f>IFERROR(MATCH(233,บันทึกรายเที่ยว!$Z$6:$Z$6005,0),"")</f>
        <v/>
      </c>
      <c r="R237">
        <f>IF($Q237="","",INDEX(บันทึกรายเที่ยว!$V$6:$V$6005,$Q237))</f>
        <v/>
      </c>
      <c r="S237">
        <f>IF($Q237="","",INDEX(บันทึกรายเที่ยว!$F$6:$F$6005,$Q237))</f>
        <v/>
      </c>
      <c r="T237">
        <f>IF($Q237="","",MATCH($S237,บันทึกรายเที่ยว!$F$6:$F$6005,0))</f>
        <v/>
      </c>
      <c r="U237">
        <f>IF($Q237="","",$AL237*10000000+$T237*1000+233)</f>
        <v/>
      </c>
      <c r="V237">
        <f>IFERROR(MATCH(SMALL($U$5:$U$404,233),$U$5:$U$404,0),"")</f>
        <v/>
      </c>
      <c r="W237">
        <f>IF($V237="","",INDEX($Q$5:$Q$404,$V237))</f>
        <v/>
      </c>
      <c r="X237">
        <f>IF($V237="","",INDEX($S$5:$S$404,$V237))</f>
        <v/>
      </c>
      <c r="Y237">
        <f>IF($V237="","",INDEX($R$5:$R$404,$V237))</f>
        <v/>
      </c>
      <c r="Z237">
        <f>IF($V237="",0,IF($X237&lt;&gt;$X236,1,0))</f>
        <v/>
      </c>
      <c r="AA237">
        <f>IF($V237="",0,IF($V238="",1,IF($X238&lt;&gt;$X237,1,0)))</f>
        <v/>
      </c>
      <c r="AB237">
        <f>IF($V237="",99999+233,$AB236+1+$Z236+$AA236+$AO236)</f>
        <v/>
      </c>
      <c r="AC237">
        <f>IFERROR(MATCH(233,$AB$5:$AB$404,1),"")</f>
        <v/>
      </c>
      <c r="AD237">
        <f>IF(233=$AI$1+1,"Z",IF($AC237="","",IF(INDEX($V$5:$V$404,$AC237)="","",IF(233&gt;INDEX($AB$5:$AB$404,$AC237)+INDEX($Z$5:$Z$404,$AC237)+INDEX($AA$5:$AA$404,$AC237)+INDEX($AO$5:$AO$404,$AC237),"",IF(233=INDEX($AB$5:$AB$404,$AC237)+INDEX($Z$5:$Z$404,$AC237),"D",IF(AND(INDEX($Z$5:$Z$404,$AC237)=1,233=INDEX($AB$5:$AB$404,$AC237)),"H",IF(AND(INDEX($AO$5:$AO$404,$AC237)=1,233=INDEX($AB$5:$AB$404,$AC237)+INDEX($Z$5:$Z$404,$AC237)+INDEX($AA$5:$AA$404,$AC237)+INDEX($AO$5:$AO$404,$AC237)),"B","T")))))))</f>
        <v/>
      </c>
      <c r="AF237">
        <f>IF(OR($AD237="",$AD237="Z",$AD237="B"),"",INDEX($X$5:$X$404,$AC237))</f>
        <v/>
      </c>
      <c r="AJ237">
        <f>IF($AD237&lt;&gt;"T",0,ROUND(SUMIF(oil!$B$4:$B$63,$AF237,oil!$AE$4:$AE$63),2))</f>
        <v/>
      </c>
      <c r="AK237">
        <f>IF($S237="","",IFERROR(INDEX(อัตราค่าขนส่ง!$P$5:$P$54,MATCH($S237,อัตราค่าขนส่ง!$O$5:$O$54,0)),INDEX(รายการมาตรฐาน!$G$2:$G$3,1)))</f>
        <v/>
      </c>
      <c r="AL237">
        <f>IF($S237="","",IFERROR(MATCH($AK237,รายการมาตรฐาน!$G$2:$G$3,0),1))</f>
        <v/>
      </c>
      <c r="AM237">
        <f>IF($V237="","",INDEX($AK$5:$AK$404,$V237))</f>
        <v/>
      </c>
      <c r="AN237">
        <f>IF($V237="","",INDEX($AL$5:$AL$404,$V237))</f>
        <v/>
      </c>
      <c r="AO237">
        <f>IF(OR($V237="",$AI$2&lt;=1),0,IF($V238="",1,IF($AN238&lt;&gt;$AN237,1,0)))</f>
        <v/>
      </c>
      <c r="AP237">
        <f>IF($V237="",0,IF($AN237&lt;&gt;$AN236,1,0))</f>
        <v/>
      </c>
      <c r="AQ237">
        <f>IF(OR($AD237="",$AD237="Z"),"",INDEX($AN$5:$AN$404,$AC237))</f>
        <v/>
      </c>
      <c r="AR237">
        <f>IF($Y237="",0,COUNTIF(บันทึกรายเที่ยว!$V$6:$V$6005,$Y237))</f>
        <v/>
      </c>
      <c r="AS237">
        <f>IF($Y237="",0,ROUND(SUMIF(บันทึกรายเที่ยว!$V$6:$V$6005,$Y237,บันทึกรายเที่ยว!$M$6:$M$6005),2))</f>
        <v/>
      </c>
      <c r="AT237">
        <f>IF($Y237="",0,IFERROR(INDEX(อัตราค่าขนส่ง!$G$5:$G$204,MATCH($Y237,อัตราค่าขนส่ง!$M$5:$M$204,0)),0))</f>
        <v/>
      </c>
      <c r="AU237">
        <f>ROUND($AS237*$BD237,2)</f>
        <v/>
      </c>
      <c r="AV237">
        <f>ROUND($AU237*$BF$2/100,2)</f>
        <v/>
      </c>
      <c r="AW237">
        <f>IF($Y237="","",IFERROR(INDEX(อัตราค่าขนส่ง!$F$5:$F$204,MATCH($Y237,อัตราค่าขนส่ง!$M$5:$M$204,0)),""))</f>
        <v/>
      </c>
      <c r="AX237">
        <f>IF($W237="","",INDEX(บันทึกรายเที่ยว!$D$6:$D$6005,$W237))</f>
        <v/>
      </c>
      <c r="AY237">
        <f>IF($W237="","",INDEX(บันทึกรายเที่ยว!$R$6:$R$6005,$W237))</f>
        <v/>
      </c>
      <c r="AZ237">
        <f>IF(AND($AD237="T",$AQ237=1),N($AZ236)+1,N($AZ236))</f>
        <v/>
      </c>
      <c r="BA237">
        <f>IF($W237="","",INDEX(บันทึกรายเที่ยว!$E$6:$E$6005,$W237))</f>
        <v/>
      </c>
      <c r="BC237">
        <f>IF($Y237="",0,IFERROR(INDEX(อัตราค่าขนส่ง!$K$5:$K$204,MATCH($Y237,อัตราค่าขนส่ง!$M$5:$M$204,0)),0))</f>
        <v/>
      </c>
      <c r="BD237">
        <f>IF($Y237="",0,IFERROR(INDEX(อัตราค่าขนส่ง!$L$5:$L$204,MATCH($Y237,อัตราค่าขนส่ง!$M$5:$M$204,0)),0))</f>
        <v/>
      </c>
    </row>
    <row r="238" ht="21" customHeight="1" s="66">
      <c r="A238" s="69">
        <f>IF($AD238="","",IF($AD238="Z","รวมจ่ายทั้งสิ้น",IF($AD238="H",INDEX($X$5:$X$404,$AC238),IF($AD238="T","รวม",IF($AD238="B",IFERROR(INDEX(อัตราค่าขนส่ง!$S$5:$S$14,MATCH(INDEX($AM$5:$AM$404,$AC238),อัตราค่าขนส่ง!$R$5:$R$14,0)),"รวมกลุ่ม "&amp;INDEX($AM$5:$AM$404,$AC238)),INDEX($AY$5:$AY$404,$AC238))))))</f>
        <v/>
      </c>
      <c r="B238" s="31">
        <f>IF($AD238&lt;&gt;"D","",INDEX($AW$5:$AW$404,$AC238))</f>
        <v/>
      </c>
      <c r="C238" s="68">
        <f>IF($AD238&lt;&gt;"D","",INDEX($AX$5:$AX$404,$AC238))</f>
        <v/>
      </c>
      <c r="D238" s="70">
        <f>IF($AD238&lt;&gt;"D","",INDEX($BA$5:$BA$404,$AC238))</f>
        <v/>
      </c>
      <c r="E238" s="31">
        <f>IF($AD238="Z",SUM($AR$5:$AR$404),IF($AD238="D",INDEX($AR$5:$AR$404,$AC238),IF($AD238="T",SUMIF($X$5:$X$404,$AF238,$AR$5:$AR$404),IF($AD238="B",SUMIF($AN$5:$AN$404,$AQ238,$AR$5:$AR$404),""))))</f>
        <v/>
      </c>
      <c r="F238" s="32">
        <f>IF($AD238="Z",ROUND(SUM($AS$5:$AS$404),2),IF($AD238="D",INDEX($AS$5:$AS$404,$AC238),IF($AD238="T",ROUND(SUMIF($X$5:$X$404,$AF238,$AS$5:$AS$404),2),IF($AD238="B",ROUND(SUMIF($AN$5:$AN$404,$AQ238,$AS$5:$AS$404),2),""))))</f>
        <v/>
      </c>
      <c r="G238" s="32">
        <f>IF($AD238&lt;&gt;"D","",INDEX($AT$5:$AT$404,$AC238))</f>
        <v/>
      </c>
      <c r="H238" s="32">
        <f>IF($AD238&lt;&gt;"D","",INDEX($BC$5:$BC$404,$AC238))</f>
        <v/>
      </c>
      <c r="I238" s="32">
        <f>IF($AD238&lt;&gt;"D","",INDEX($BD$5:$BD$404,$AC238))</f>
        <v/>
      </c>
      <c r="J238" s="46">
        <f>IF($AD238&lt;&gt;"D","",IF(N($B238)=0,"",ROUND($I238/$B238,4)))</f>
        <v/>
      </c>
      <c r="K238" s="32">
        <f>IF($AD238="Z",ROUND(SUM($AU$5:$AU$404),2),IF($AD238="D",INDEX($AU$5:$AU$404,$AC238),IF($AD238="T",ROUND(SUMIF($X$5:$X$404,$AF238,$AU$5:$AU$404),2),IF($AD238="B",ROUND(SUMIF($AN$5:$AN$404,$AQ238,$AU$5:$AU$404),2),""))))</f>
        <v/>
      </c>
      <c r="L238" s="32">
        <f>IF($AD238="Z",ROUND(SUM($AV$5:$AV$404),2),IF($AD238="D",INDEX($AV$5:$AV$404,$AC238),IF($AD238="T",ROUND(SUMIF($X$5:$X$404,$AF238,$AV$5:$AV$404),2),IF($AD238="B",ROUND(SUMIF($AN$5:$AN$404,$AQ238,$AV$5:$AV$404),2),""))))</f>
        <v/>
      </c>
      <c r="M238" s="32">
        <f>IF($AD238="Z",ROUND(SUM($AJ$5:$AJ$704),2),IF($AD238="B",ROUND(SUMIF($AQ$5:$AQ$704,$AQ238,$AJ$5:$AJ$704),2),IF($AD238&lt;&gt;"T","",$AJ238)))</f>
        <v/>
      </c>
      <c r="N238" s="32">
        <f>IF(OR($AD238="D",$AD238="T",$AD238="B",$AD238="Z"),ROUND(N($K238)-N($L238)-N($M238),2),"")</f>
        <v/>
      </c>
      <c r="O238" s="32">
        <f>IF(OR($AD238="D",$AD238="T",$AD238="B",$AD238="Z"),IF(N($E238)=0,"",ROUND($F238/$E238,2)),"")</f>
        <v/>
      </c>
      <c r="Q238">
        <f>IFERROR(MATCH(234,บันทึกรายเที่ยว!$Z$6:$Z$6005,0),"")</f>
        <v/>
      </c>
      <c r="R238">
        <f>IF($Q238="","",INDEX(บันทึกรายเที่ยว!$V$6:$V$6005,$Q238))</f>
        <v/>
      </c>
      <c r="S238">
        <f>IF($Q238="","",INDEX(บันทึกรายเที่ยว!$F$6:$F$6005,$Q238))</f>
        <v/>
      </c>
      <c r="T238">
        <f>IF($Q238="","",MATCH($S238,บันทึกรายเที่ยว!$F$6:$F$6005,0))</f>
        <v/>
      </c>
      <c r="U238">
        <f>IF($Q238="","",$AL238*10000000+$T238*1000+234)</f>
        <v/>
      </c>
      <c r="V238">
        <f>IFERROR(MATCH(SMALL($U$5:$U$404,234),$U$5:$U$404,0),"")</f>
        <v/>
      </c>
      <c r="W238">
        <f>IF($V238="","",INDEX($Q$5:$Q$404,$V238))</f>
        <v/>
      </c>
      <c r="X238">
        <f>IF($V238="","",INDEX($S$5:$S$404,$V238))</f>
        <v/>
      </c>
      <c r="Y238">
        <f>IF($V238="","",INDEX($R$5:$R$404,$V238))</f>
        <v/>
      </c>
      <c r="Z238">
        <f>IF($V238="",0,IF($X238&lt;&gt;$X237,1,0))</f>
        <v/>
      </c>
      <c r="AA238">
        <f>IF($V238="",0,IF($V239="",1,IF($X239&lt;&gt;$X238,1,0)))</f>
        <v/>
      </c>
      <c r="AB238">
        <f>IF($V238="",99999+234,$AB237+1+$Z237+$AA237+$AO237)</f>
        <v/>
      </c>
      <c r="AC238">
        <f>IFERROR(MATCH(234,$AB$5:$AB$404,1),"")</f>
        <v/>
      </c>
      <c r="AD238">
        <f>IF(234=$AI$1+1,"Z",IF($AC238="","",IF(INDEX($V$5:$V$404,$AC238)="","",IF(234&gt;INDEX($AB$5:$AB$404,$AC238)+INDEX($Z$5:$Z$404,$AC238)+INDEX($AA$5:$AA$404,$AC238)+INDEX($AO$5:$AO$404,$AC238),"",IF(234=INDEX($AB$5:$AB$404,$AC238)+INDEX($Z$5:$Z$404,$AC238),"D",IF(AND(INDEX($Z$5:$Z$404,$AC238)=1,234=INDEX($AB$5:$AB$404,$AC238)),"H",IF(AND(INDEX($AO$5:$AO$404,$AC238)=1,234=INDEX($AB$5:$AB$404,$AC238)+INDEX($Z$5:$Z$404,$AC238)+INDEX($AA$5:$AA$404,$AC238)+INDEX($AO$5:$AO$404,$AC238)),"B","T")))))))</f>
        <v/>
      </c>
      <c r="AF238">
        <f>IF(OR($AD238="",$AD238="Z",$AD238="B"),"",INDEX($X$5:$X$404,$AC238))</f>
        <v/>
      </c>
      <c r="AJ238">
        <f>IF($AD238&lt;&gt;"T",0,ROUND(SUMIF(oil!$B$4:$B$63,$AF238,oil!$AE$4:$AE$63),2))</f>
        <v/>
      </c>
      <c r="AK238">
        <f>IF($S238="","",IFERROR(INDEX(อัตราค่าขนส่ง!$P$5:$P$54,MATCH($S238,อัตราค่าขนส่ง!$O$5:$O$54,0)),INDEX(รายการมาตรฐาน!$G$2:$G$3,1)))</f>
        <v/>
      </c>
      <c r="AL238">
        <f>IF($S238="","",IFERROR(MATCH($AK238,รายการมาตรฐาน!$G$2:$G$3,0),1))</f>
        <v/>
      </c>
      <c r="AM238">
        <f>IF($V238="","",INDEX($AK$5:$AK$404,$V238))</f>
        <v/>
      </c>
      <c r="AN238">
        <f>IF($V238="","",INDEX($AL$5:$AL$404,$V238))</f>
        <v/>
      </c>
      <c r="AO238">
        <f>IF(OR($V238="",$AI$2&lt;=1),0,IF($V239="",1,IF($AN239&lt;&gt;$AN238,1,0)))</f>
        <v/>
      </c>
      <c r="AP238">
        <f>IF($V238="",0,IF($AN238&lt;&gt;$AN237,1,0))</f>
        <v/>
      </c>
      <c r="AQ238">
        <f>IF(OR($AD238="",$AD238="Z"),"",INDEX($AN$5:$AN$404,$AC238))</f>
        <v/>
      </c>
      <c r="AR238">
        <f>IF($Y238="",0,COUNTIF(บันทึกรายเที่ยว!$V$6:$V$6005,$Y238))</f>
        <v/>
      </c>
      <c r="AS238">
        <f>IF($Y238="",0,ROUND(SUMIF(บันทึกรายเที่ยว!$V$6:$V$6005,$Y238,บันทึกรายเที่ยว!$M$6:$M$6005),2))</f>
        <v/>
      </c>
      <c r="AT238">
        <f>IF($Y238="",0,IFERROR(INDEX(อัตราค่าขนส่ง!$G$5:$G$204,MATCH($Y238,อัตราค่าขนส่ง!$M$5:$M$204,0)),0))</f>
        <v/>
      </c>
      <c r="AU238">
        <f>ROUND($AS238*$BD238,2)</f>
        <v/>
      </c>
      <c r="AV238">
        <f>ROUND($AU238*$BF$2/100,2)</f>
        <v/>
      </c>
      <c r="AW238">
        <f>IF($Y238="","",IFERROR(INDEX(อัตราค่าขนส่ง!$F$5:$F$204,MATCH($Y238,อัตราค่าขนส่ง!$M$5:$M$204,0)),""))</f>
        <v/>
      </c>
      <c r="AX238">
        <f>IF($W238="","",INDEX(บันทึกรายเที่ยว!$D$6:$D$6005,$W238))</f>
        <v/>
      </c>
      <c r="AY238">
        <f>IF($W238="","",INDEX(บันทึกรายเที่ยว!$R$6:$R$6005,$W238))</f>
        <v/>
      </c>
      <c r="AZ238">
        <f>IF(AND($AD238="T",$AQ238=1),N($AZ237)+1,N($AZ237))</f>
        <v/>
      </c>
      <c r="BA238">
        <f>IF($W238="","",INDEX(บันทึกรายเที่ยว!$E$6:$E$6005,$W238))</f>
        <v/>
      </c>
      <c r="BC238">
        <f>IF($Y238="",0,IFERROR(INDEX(อัตราค่าขนส่ง!$K$5:$K$204,MATCH($Y238,อัตราค่าขนส่ง!$M$5:$M$204,0)),0))</f>
        <v/>
      </c>
      <c r="BD238">
        <f>IF($Y238="",0,IFERROR(INDEX(อัตราค่าขนส่ง!$L$5:$L$204,MATCH($Y238,อัตราค่าขนส่ง!$M$5:$M$204,0)),0))</f>
        <v/>
      </c>
    </row>
    <row r="239" ht="21" customHeight="1" s="66">
      <c r="A239" s="69">
        <f>IF($AD239="","",IF($AD239="Z","รวมจ่ายทั้งสิ้น",IF($AD239="H",INDEX($X$5:$X$404,$AC239),IF($AD239="T","รวม",IF($AD239="B",IFERROR(INDEX(อัตราค่าขนส่ง!$S$5:$S$14,MATCH(INDEX($AM$5:$AM$404,$AC239),อัตราค่าขนส่ง!$R$5:$R$14,0)),"รวมกลุ่ม "&amp;INDEX($AM$5:$AM$404,$AC239)),INDEX($AY$5:$AY$404,$AC239))))))</f>
        <v/>
      </c>
      <c r="B239" s="31">
        <f>IF($AD239&lt;&gt;"D","",INDEX($AW$5:$AW$404,$AC239))</f>
        <v/>
      </c>
      <c r="C239" s="68">
        <f>IF($AD239&lt;&gt;"D","",INDEX($AX$5:$AX$404,$AC239))</f>
        <v/>
      </c>
      <c r="D239" s="70">
        <f>IF($AD239&lt;&gt;"D","",INDEX($BA$5:$BA$404,$AC239))</f>
        <v/>
      </c>
      <c r="E239" s="31">
        <f>IF($AD239="Z",SUM($AR$5:$AR$404),IF($AD239="D",INDEX($AR$5:$AR$404,$AC239),IF($AD239="T",SUMIF($X$5:$X$404,$AF239,$AR$5:$AR$404),IF($AD239="B",SUMIF($AN$5:$AN$404,$AQ239,$AR$5:$AR$404),""))))</f>
        <v/>
      </c>
      <c r="F239" s="32">
        <f>IF($AD239="Z",ROUND(SUM($AS$5:$AS$404),2),IF($AD239="D",INDEX($AS$5:$AS$404,$AC239),IF($AD239="T",ROUND(SUMIF($X$5:$X$404,$AF239,$AS$5:$AS$404),2),IF($AD239="B",ROUND(SUMIF($AN$5:$AN$404,$AQ239,$AS$5:$AS$404),2),""))))</f>
        <v/>
      </c>
      <c r="G239" s="32">
        <f>IF($AD239&lt;&gt;"D","",INDEX($AT$5:$AT$404,$AC239))</f>
        <v/>
      </c>
      <c r="H239" s="32">
        <f>IF($AD239&lt;&gt;"D","",INDEX($BC$5:$BC$404,$AC239))</f>
        <v/>
      </c>
      <c r="I239" s="32">
        <f>IF($AD239&lt;&gt;"D","",INDEX($BD$5:$BD$404,$AC239))</f>
        <v/>
      </c>
      <c r="J239" s="46">
        <f>IF($AD239&lt;&gt;"D","",IF(N($B239)=0,"",ROUND($I239/$B239,4)))</f>
        <v/>
      </c>
      <c r="K239" s="32">
        <f>IF($AD239="Z",ROUND(SUM($AU$5:$AU$404),2),IF($AD239="D",INDEX($AU$5:$AU$404,$AC239),IF($AD239="T",ROUND(SUMIF($X$5:$X$404,$AF239,$AU$5:$AU$404),2),IF($AD239="B",ROUND(SUMIF($AN$5:$AN$404,$AQ239,$AU$5:$AU$404),2),""))))</f>
        <v/>
      </c>
      <c r="L239" s="32">
        <f>IF($AD239="Z",ROUND(SUM($AV$5:$AV$404),2),IF($AD239="D",INDEX($AV$5:$AV$404,$AC239),IF($AD239="T",ROUND(SUMIF($X$5:$X$404,$AF239,$AV$5:$AV$404),2),IF($AD239="B",ROUND(SUMIF($AN$5:$AN$404,$AQ239,$AV$5:$AV$404),2),""))))</f>
        <v/>
      </c>
      <c r="M239" s="32">
        <f>IF($AD239="Z",ROUND(SUM($AJ$5:$AJ$704),2),IF($AD239="B",ROUND(SUMIF($AQ$5:$AQ$704,$AQ239,$AJ$5:$AJ$704),2),IF($AD239&lt;&gt;"T","",$AJ239)))</f>
        <v/>
      </c>
      <c r="N239" s="32">
        <f>IF(OR($AD239="D",$AD239="T",$AD239="B",$AD239="Z"),ROUND(N($K239)-N($L239)-N($M239),2),"")</f>
        <v/>
      </c>
      <c r="O239" s="32">
        <f>IF(OR($AD239="D",$AD239="T",$AD239="B",$AD239="Z"),IF(N($E239)=0,"",ROUND($F239/$E239,2)),"")</f>
        <v/>
      </c>
      <c r="Q239">
        <f>IFERROR(MATCH(235,บันทึกรายเที่ยว!$Z$6:$Z$6005,0),"")</f>
        <v/>
      </c>
      <c r="R239">
        <f>IF($Q239="","",INDEX(บันทึกรายเที่ยว!$V$6:$V$6005,$Q239))</f>
        <v/>
      </c>
      <c r="S239">
        <f>IF($Q239="","",INDEX(บันทึกรายเที่ยว!$F$6:$F$6005,$Q239))</f>
        <v/>
      </c>
      <c r="T239">
        <f>IF($Q239="","",MATCH($S239,บันทึกรายเที่ยว!$F$6:$F$6005,0))</f>
        <v/>
      </c>
      <c r="U239">
        <f>IF($Q239="","",$AL239*10000000+$T239*1000+235)</f>
        <v/>
      </c>
      <c r="V239">
        <f>IFERROR(MATCH(SMALL($U$5:$U$404,235),$U$5:$U$404,0),"")</f>
        <v/>
      </c>
      <c r="W239">
        <f>IF($V239="","",INDEX($Q$5:$Q$404,$V239))</f>
        <v/>
      </c>
      <c r="X239">
        <f>IF($V239="","",INDEX($S$5:$S$404,$V239))</f>
        <v/>
      </c>
      <c r="Y239">
        <f>IF($V239="","",INDEX($R$5:$R$404,$V239))</f>
        <v/>
      </c>
      <c r="Z239">
        <f>IF($V239="",0,IF($X239&lt;&gt;$X238,1,0))</f>
        <v/>
      </c>
      <c r="AA239">
        <f>IF($V239="",0,IF($V240="",1,IF($X240&lt;&gt;$X239,1,0)))</f>
        <v/>
      </c>
      <c r="AB239">
        <f>IF($V239="",99999+235,$AB238+1+$Z238+$AA238+$AO238)</f>
        <v/>
      </c>
      <c r="AC239">
        <f>IFERROR(MATCH(235,$AB$5:$AB$404,1),"")</f>
        <v/>
      </c>
      <c r="AD239">
        <f>IF(235=$AI$1+1,"Z",IF($AC239="","",IF(INDEX($V$5:$V$404,$AC239)="","",IF(235&gt;INDEX($AB$5:$AB$404,$AC239)+INDEX($Z$5:$Z$404,$AC239)+INDEX($AA$5:$AA$404,$AC239)+INDEX($AO$5:$AO$404,$AC239),"",IF(235=INDEX($AB$5:$AB$404,$AC239)+INDEX($Z$5:$Z$404,$AC239),"D",IF(AND(INDEX($Z$5:$Z$404,$AC239)=1,235=INDEX($AB$5:$AB$404,$AC239)),"H",IF(AND(INDEX($AO$5:$AO$404,$AC239)=1,235=INDEX($AB$5:$AB$404,$AC239)+INDEX($Z$5:$Z$404,$AC239)+INDEX($AA$5:$AA$404,$AC239)+INDEX($AO$5:$AO$404,$AC239)),"B","T")))))))</f>
        <v/>
      </c>
      <c r="AF239">
        <f>IF(OR($AD239="",$AD239="Z",$AD239="B"),"",INDEX($X$5:$X$404,$AC239))</f>
        <v/>
      </c>
      <c r="AJ239">
        <f>IF($AD239&lt;&gt;"T",0,ROUND(SUMIF(oil!$B$4:$B$63,$AF239,oil!$AE$4:$AE$63),2))</f>
        <v/>
      </c>
      <c r="AK239">
        <f>IF($S239="","",IFERROR(INDEX(อัตราค่าขนส่ง!$P$5:$P$54,MATCH($S239,อัตราค่าขนส่ง!$O$5:$O$54,0)),INDEX(รายการมาตรฐาน!$G$2:$G$3,1)))</f>
        <v/>
      </c>
      <c r="AL239">
        <f>IF($S239="","",IFERROR(MATCH($AK239,รายการมาตรฐาน!$G$2:$G$3,0),1))</f>
        <v/>
      </c>
      <c r="AM239">
        <f>IF($V239="","",INDEX($AK$5:$AK$404,$V239))</f>
        <v/>
      </c>
      <c r="AN239">
        <f>IF($V239="","",INDEX($AL$5:$AL$404,$V239))</f>
        <v/>
      </c>
      <c r="AO239">
        <f>IF(OR($V239="",$AI$2&lt;=1),0,IF($V240="",1,IF($AN240&lt;&gt;$AN239,1,0)))</f>
        <v/>
      </c>
      <c r="AP239">
        <f>IF($V239="",0,IF($AN239&lt;&gt;$AN238,1,0))</f>
        <v/>
      </c>
      <c r="AQ239">
        <f>IF(OR($AD239="",$AD239="Z"),"",INDEX($AN$5:$AN$404,$AC239))</f>
        <v/>
      </c>
      <c r="AR239">
        <f>IF($Y239="",0,COUNTIF(บันทึกรายเที่ยว!$V$6:$V$6005,$Y239))</f>
        <v/>
      </c>
      <c r="AS239">
        <f>IF($Y239="",0,ROUND(SUMIF(บันทึกรายเที่ยว!$V$6:$V$6005,$Y239,บันทึกรายเที่ยว!$M$6:$M$6005),2))</f>
        <v/>
      </c>
      <c r="AT239">
        <f>IF($Y239="",0,IFERROR(INDEX(อัตราค่าขนส่ง!$G$5:$G$204,MATCH($Y239,อัตราค่าขนส่ง!$M$5:$M$204,0)),0))</f>
        <v/>
      </c>
      <c r="AU239">
        <f>ROUND($AS239*$BD239,2)</f>
        <v/>
      </c>
      <c r="AV239">
        <f>ROUND($AU239*$BF$2/100,2)</f>
        <v/>
      </c>
      <c r="AW239">
        <f>IF($Y239="","",IFERROR(INDEX(อัตราค่าขนส่ง!$F$5:$F$204,MATCH($Y239,อัตราค่าขนส่ง!$M$5:$M$204,0)),""))</f>
        <v/>
      </c>
      <c r="AX239">
        <f>IF($W239="","",INDEX(บันทึกรายเที่ยว!$D$6:$D$6005,$W239))</f>
        <v/>
      </c>
      <c r="AY239">
        <f>IF($W239="","",INDEX(บันทึกรายเที่ยว!$R$6:$R$6005,$W239))</f>
        <v/>
      </c>
      <c r="AZ239">
        <f>IF(AND($AD239="T",$AQ239=1),N($AZ238)+1,N($AZ238))</f>
        <v/>
      </c>
      <c r="BA239">
        <f>IF($W239="","",INDEX(บันทึกรายเที่ยว!$E$6:$E$6005,$W239))</f>
        <v/>
      </c>
      <c r="BC239">
        <f>IF($Y239="",0,IFERROR(INDEX(อัตราค่าขนส่ง!$K$5:$K$204,MATCH($Y239,อัตราค่าขนส่ง!$M$5:$M$204,0)),0))</f>
        <v/>
      </c>
      <c r="BD239">
        <f>IF($Y239="",0,IFERROR(INDEX(อัตราค่าขนส่ง!$L$5:$L$204,MATCH($Y239,อัตราค่าขนส่ง!$M$5:$M$204,0)),0))</f>
        <v/>
      </c>
    </row>
    <row r="240" ht="21" customHeight="1" s="66">
      <c r="A240" s="69">
        <f>IF($AD240="","",IF($AD240="Z","รวมจ่ายทั้งสิ้น",IF($AD240="H",INDEX($X$5:$X$404,$AC240),IF($AD240="T","รวม",IF($AD240="B",IFERROR(INDEX(อัตราค่าขนส่ง!$S$5:$S$14,MATCH(INDEX($AM$5:$AM$404,$AC240),อัตราค่าขนส่ง!$R$5:$R$14,0)),"รวมกลุ่ม "&amp;INDEX($AM$5:$AM$404,$AC240)),INDEX($AY$5:$AY$404,$AC240))))))</f>
        <v/>
      </c>
      <c r="B240" s="31">
        <f>IF($AD240&lt;&gt;"D","",INDEX($AW$5:$AW$404,$AC240))</f>
        <v/>
      </c>
      <c r="C240" s="68">
        <f>IF($AD240&lt;&gt;"D","",INDEX($AX$5:$AX$404,$AC240))</f>
        <v/>
      </c>
      <c r="D240" s="70">
        <f>IF($AD240&lt;&gt;"D","",INDEX($BA$5:$BA$404,$AC240))</f>
        <v/>
      </c>
      <c r="E240" s="31">
        <f>IF($AD240="Z",SUM($AR$5:$AR$404),IF($AD240="D",INDEX($AR$5:$AR$404,$AC240),IF($AD240="T",SUMIF($X$5:$X$404,$AF240,$AR$5:$AR$404),IF($AD240="B",SUMIF($AN$5:$AN$404,$AQ240,$AR$5:$AR$404),""))))</f>
        <v/>
      </c>
      <c r="F240" s="32">
        <f>IF($AD240="Z",ROUND(SUM($AS$5:$AS$404),2),IF($AD240="D",INDEX($AS$5:$AS$404,$AC240),IF($AD240="T",ROUND(SUMIF($X$5:$X$404,$AF240,$AS$5:$AS$404),2),IF($AD240="B",ROUND(SUMIF($AN$5:$AN$404,$AQ240,$AS$5:$AS$404),2),""))))</f>
        <v/>
      </c>
      <c r="G240" s="32">
        <f>IF($AD240&lt;&gt;"D","",INDEX($AT$5:$AT$404,$AC240))</f>
        <v/>
      </c>
      <c r="H240" s="32">
        <f>IF($AD240&lt;&gt;"D","",INDEX($BC$5:$BC$404,$AC240))</f>
        <v/>
      </c>
      <c r="I240" s="32">
        <f>IF($AD240&lt;&gt;"D","",INDEX($BD$5:$BD$404,$AC240))</f>
        <v/>
      </c>
      <c r="J240" s="46">
        <f>IF($AD240&lt;&gt;"D","",IF(N($B240)=0,"",ROUND($I240/$B240,4)))</f>
        <v/>
      </c>
      <c r="K240" s="32">
        <f>IF($AD240="Z",ROUND(SUM($AU$5:$AU$404),2),IF($AD240="D",INDEX($AU$5:$AU$404,$AC240),IF($AD240="T",ROUND(SUMIF($X$5:$X$404,$AF240,$AU$5:$AU$404),2),IF($AD240="B",ROUND(SUMIF($AN$5:$AN$404,$AQ240,$AU$5:$AU$404),2),""))))</f>
        <v/>
      </c>
      <c r="L240" s="32">
        <f>IF($AD240="Z",ROUND(SUM($AV$5:$AV$404),2),IF($AD240="D",INDEX($AV$5:$AV$404,$AC240),IF($AD240="T",ROUND(SUMIF($X$5:$X$404,$AF240,$AV$5:$AV$404),2),IF($AD240="B",ROUND(SUMIF($AN$5:$AN$404,$AQ240,$AV$5:$AV$404),2),""))))</f>
        <v/>
      </c>
      <c r="M240" s="32">
        <f>IF($AD240="Z",ROUND(SUM($AJ$5:$AJ$704),2),IF($AD240="B",ROUND(SUMIF($AQ$5:$AQ$704,$AQ240,$AJ$5:$AJ$704),2),IF($AD240&lt;&gt;"T","",$AJ240)))</f>
        <v/>
      </c>
      <c r="N240" s="32">
        <f>IF(OR($AD240="D",$AD240="T",$AD240="B",$AD240="Z"),ROUND(N($K240)-N($L240)-N($M240),2),"")</f>
        <v/>
      </c>
      <c r="O240" s="32">
        <f>IF(OR($AD240="D",$AD240="T",$AD240="B",$AD240="Z"),IF(N($E240)=0,"",ROUND($F240/$E240,2)),"")</f>
        <v/>
      </c>
      <c r="Q240">
        <f>IFERROR(MATCH(236,บันทึกรายเที่ยว!$Z$6:$Z$6005,0),"")</f>
        <v/>
      </c>
      <c r="R240">
        <f>IF($Q240="","",INDEX(บันทึกรายเที่ยว!$V$6:$V$6005,$Q240))</f>
        <v/>
      </c>
      <c r="S240">
        <f>IF($Q240="","",INDEX(บันทึกรายเที่ยว!$F$6:$F$6005,$Q240))</f>
        <v/>
      </c>
      <c r="T240">
        <f>IF($Q240="","",MATCH($S240,บันทึกรายเที่ยว!$F$6:$F$6005,0))</f>
        <v/>
      </c>
      <c r="U240">
        <f>IF($Q240="","",$AL240*10000000+$T240*1000+236)</f>
        <v/>
      </c>
      <c r="V240">
        <f>IFERROR(MATCH(SMALL($U$5:$U$404,236),$U$5:$U$404,0),"")</f>
        <v/>
      </c>
      <c r="W240">
        <f>IF($V240="","",INDEX($Q$5:$Q$404,$V240))</f>
        <v/>
      </c>
      <c r="X240">
        <f>IF($V240="","",INDEX($S$5:$S$404,$V240))</f>
        <v/>
      </c>
      <c r="Y240">
        <f>IF($V240="","",INDEX($R$5:$R$404,$V240))</f>
        <v/>
      </c>
      <c r="Z240">
        <f>IF($V240="",0,IF($X240&lt;&gt;$X239,1,0))</f>
        <v/>
      </c>
      <c r="AA240">
        <f>IF($V240="",0,IF($V241="",1,IF($X241&lt;&gt;$X240,1,0)))</f>
        <v/>
      </c>
      <c r="AB240">
        <f>IF($V240="",99999+236,$AB239+1+$Z239+$AA239+$AO239)</f>
        <v/>
      </c>
      <c r="AC240">
        <f>IFERROR(MATCH(236,$AB$5:$AB$404,1),"")</f>
        <v/>
      </c>
      <c r="AD240">
        <f>IF(236=$AI$1+1,"Z",IF($AC240="","",IF(INDEX($V$5:$V$404,$AC240)="","",IF(236&gt;INDEX($AB$5:$AB$404,$AC240)+INDEX($Z$5:$Z$404,$AC240)+INDEX($AA$5:$AA$404,$AC240)+INDEX($AO$5:$AO$404,$AC240),"",IF(236=INDEX($AB$5:$AB$404,$AC240)+INDEX($Z$5:$Z$404,$AC240),"D",IF(AND(INDEX($Z$5:$Z$404,$AC240)=1,236=INDEX($AB$5:$AB$404,$AC240)),"H",IF(AND(INDEX($AO$5:$AO$404,$AC240)=1,236=INDEX($AB$5:$AB$404,$AC240)+INDEX($Z$5:$Z$404,$AC240)+INDEX($AA$5:$AA$404,$AC240)+INDEX($AO$5:$AO$404,$AC240)),"B","T")))))))</f>
        <v/>
      </c>
      <c r="AF240">
        <f>IF(OR($AD240="",$AD240="Z",$AD240="B"),"",INDEX($X$5:$X$404,$AC240))</f>
        <v/>
      </c>
      <c r="AJ240">
        <f>IF($AD240&lt;&gt;"T",0,ROUND(SUMIF(oil!$B$4:$B$63,$AF240,oil!$AE$4:$AE$63),2))</f>
        <v/>
      </c>
      <c r="AK240">
        <f>IF($S240="","",IFERROR(INDEX(อัตราค่าขนส่ง!$P$5:$P$54,MATCH($S240,อัตราค่าขนส่ง!$O$5:$O$54,0)),INDEX(รายการมาตรฐาน!$G$2:$G$3,1)))</f>
        <v/>
      </c>
      <c r="AL240">
        <f>IF($S240="","",IFERROR(MATCH($AK240,รายการมาตรฐาน!$G$2:$G$3,0),1))</f>
        <v/>
      </c>
      <c r="AM240">
        <f>IF($V240="","",INDEX($AK$5:$AK$404,$V240))</f>
        <v/>
      </c>
      <c r="AN240">
        <f>IF($V240="","",INDEX($AL$5:$AL$404,$V240))</f>
        <v/>
      </c>
      <c r="AO240">
        <f>IF(OR($V240="",$AI$2&lt;=1),0,IF($V241="",1,IF($AN241&lt;&gt;$AN240,1,0)))</f>
        <v/>
      </c>
      <c r="AP240">
        <f>IF($V240="",0,IF($AN240&lt;&gt;$AN239,1,0))</f>
        <v/>
      </c>
      <c r="AQ240">
        <f>IF(OR($AD240="",$AD240="Z"),"",INDEX($AN$5:$AN$404,$AC240))</f>
        <v/>
      </c>
      <c r="AR240">
        <f>IF($Y240="",0,COUNTIF(บันทึกรายเที่ยว!$V$6:$V$6005,$Y240))</f>
        <v/>
      </c>
      <c r="AS240">
        <f>IF($Y240="",0,ROUND(SUMIF(บันทึกรายเที่ยว!$V$6:$V$6005,$Y240,บันทึกรายเที่ยว!$M$6:$M$6005),2))</f>
        <v/>
      </c>
      <c r="AT240">
        <f>IF($Y240="",0,IFERROR(INDEX(อัตราค่าขนส่ง!$G$5:$G$204,MATCH($Y240,อัตราค่าขนส่ง!$M$5:$M$204,0)),0))</f>
        <v/>
      </c>
      <c r="AU240">
        <f>ROUND($AS240*$BD240,2)</f>
        <v/>
      </c>
      <c r="AV240">
        <f>ROUND($AU240*$BF$2/100,2)</f>
        <v/>
      </c>
      <c r="AW240">
        <f>IF($Y240="","",IFERROR(INDEX(อัตราค่าขนส่ง!$F$5:$F$204,MATCH($Y240,อัตราค่าขนส่ง!$M$5:$M$204,0)),""))</f>
        <v/>
      </c>
      <c r="AX240">
        <f>IF($W240="","",INDEX(บันทึกรายเที่ยว!$D$6:$D$6005,$W240))</f>
        <v/>
      </c>
      <c r="AY240">
        <f>IF($W240="","",INDEX(บันทึกรายเที่ยว!$R$6:$R$6005,$W240))</f>
        <v/>
      </c>
      <c r="AZ240">
        <f>IF(AND($AD240="T",$AQ240=1),N($AZ239)+1,N($AZ239))</f>
        <v/>
      </c>
      <c r="BA240">
        <f>IF($W240="","",INDEX(บันทึกรายเที่ยว!$E$6:$E$6005,$W240))</f>
        <v/>
      </c>
      <c r="BC240">
        <f>IF($Y240="",0,IFERROR(INDEX(อัตราค่าขนส่ง!$K$5:$K$204,MATCH($Y240,อัตราค่าขนส่ง!$M$5:$M$204,0)),0))</f>
        <v/>
      </c>
      <c r="BD240">
        <f>IF($Y240="",0,IFERROR(INDEX(อัตราค่าขนส่ง!$L$5:$L$204,MATCH($Y240,อัตราค่าขนส่ง!$M$5:$M$204,0)),0))</f>
        <v/>
      </c>
    </row>
    <row r="241" ht="21" customHeight="1" s="66">
      <c r="A241" s="69">
        <f>IF($AD241="","",IF($AD241="Z","รวมจ่ายทั้งสิ้น",IF($AD241="H",INDEX($X$5:$X$404,$AC241),IF($AD241="T","รวม",IF($AD241="B",IFERROR(INDEX(อัตราค่าขนส่ง!$S$5:$S$14,MATCH(INDEX($AM$5:$AM$404,$AC241),อัตราค่าขนส่ง!$R$5:$R$14,0)),"รวมกลุ่ม "&amp;INDEX($AM$5:$AM$404,$AC241)),INDEX($AY$5:$AY$404,$AC241))))))</f>
        <v/>
      </c>
      <c r="B241" s="31">
        <f>IF($AD241&lt;&gt;"D","",INDEX($AW$5:$AW$404,$AC241))</f>
        <v/>
      </c>
      <c r="C241" s="68">
        <f>IF($AD241&lt;&gt;"D","",INDEX($AX$5:$AX$404,$AC241))</f>
        <v/>
      </c>
      <c r="D241" s="70">
        <f>IF($AD241&lt;&gt;"D","",INDEX($BA$5:$BA$404,$AC241))</f>
        <v/>
      </c>
      <c r="E241" s="31">
        <f>IF($AD241="Z",SUM($AR$5:$AR$404),IF($AD241="D",INDEX($AR$5:$AR$404,$AC241),IF($AD241="T",SUMIF($X$5:$X$404,$AF241,$AR$5:$AR$404),IF($AD241="B",SUMIF($AN$5:$AN$404,$AQ241,$AR$5:$AR$404),""))))</f>
        <v/>
      </c>
      <c r="F241" s="32">
        <f>IF($AD241="Z",ROUND(SUM($AS$5:$AS$404),2),IF($AD241="D",INDEX($AS$5:$AS$404,$AC241),IF($AD241="T",ROUND(SUMIF($X$5:$X$404,$AF241,$AS$5:$AS$404),2),IF($AD241="B",ROUND(SUMIF($AN$5:$AN$404,$AQ241,$AS$5:$AS$404),2),""))))</f>
        <v/>
      </c>
      <c r="G241" s="32">
        <f>IF($AD241&lt;&gt;"D","",INDEX($AT$5:$AT$404,$AC241))</f>
        <v/>
      </c>
      <c r="H241" s="32">
        <f>IF($AD241&lt;&gt;"D","",INDEX($BC$5:$BC$404,$AC241))</f>
        <v/>
      </c>
      <c r="I241" s="32">
        <f>IF($AD241&lt;&gt;"D","",INDEX($BD$5:$BD$404,$AC241))</f>
        <v/>
      </c>
      <c r="J241" s="46">
        <f>IF($AD241&lt;&gt;"D","",IF(N($B241)=0,"",ROUND($I241/$B241,4)))</f>
        <v/>
      </c>
      <c r="K241" s="32">
        <f>IF($AD241="Z",ROUND(SUM($AU$5:$AU$404),2),IF($AD241="D",INDEX($AU$5:$AU$404,$AC241),IF($AD241="T",ROUND(SUMIF($X$5:$X$404,$AF241,$AU$5:$AU$404),2),IF($AD241="B",ROUND(SUMIF($AN$5:$AN$404,$AQ241,$AU$5:$AU$404),2),""))))</f>
        <v/>
      </c>
      <c r="L241" s="32">
        <f>IF($AD241="Z",ROUND(SUM($AV$5:$AV$404),2),IF($AD241="D",INDEX($AV$5:$AV$404,$AC241),IF($AD241="T",ROUND(SUMIF($X$5:$X$404,$AF241,$AV$5:$AV$404),2),IF($AD241="B",ROUND(SUMIF($AN$5:$AN$404,$AQ241,$AV$5:$AV$404),2),""))))</f>
        <v/>
      </c>
      <c r="M241" s="32">
        <f>IF($AD241="Z",ROUND(SUM($AJ$5:$AJ$704),2),IF($AD241="B",ROUND(SUMIF($AQ$5:$AQ$704,$AQ241,$AJ$5:$AJ$704),2),IF($AD241&lt;&gt;"T","",$AJ241)))</f>
        <v/>
      </c>
      <c r="N241" s="32">
        <f>IF(OR($AD241="D",$AD241="T",$AD241="B",$AD241="Z"),ROUND(N($K241)-N($L241)-N($M241),2),"")</f>
        <v/>
      </c>
      <c r="O241" s="32">
        <f>IF(OR($AD241="D",$AD241="T",$AD241="B",$AD241="Z"),IF(N($E241)=0,"",ROUND($F241/$E241,2)),"")</f>
        <v/>
      </c>
      <c r="Q241">
        <f>IFERROR(MATCH(237,บันทึกรายเที่ยว!$Z$6:$Z$6005,0),"")</f>
        <v/>
      </c>
      <c r="R241">
        <f>IF($Q241="","",INDEX(บันทึกรายเที่ยว!$V$6:$V$6005,$Q241))</f>
        <v/>
      </c>
      <c r="S241">
        <f>IF($Q241="","",INDEX(บันทึกรายเที่ยว!$F$6:$F$6005,$Q241))</f>
        <v/>
      </c>
      <c r="T241">
        <f>IF($Q241="","",MATCH($S241,บันทึกรายเที่ยว!$F$6:$F$6005,0))</f>
        <v/>
      </c>
      <c r="U241">
        <f>IF($Q241="","",$AL241*10000000+$T241*1000+237)</f>
        <v/>
      </c>
      <c r="V241">
        <f>IFERROR(MATCH(SMALL($U$5:$U$404,237),$U$5:$U$404,0),"")</f>
        <v/>
      </c>
      <c r="W241">
        <f>IF($V241="","",INDEX($Q$5:$Q$404,$V241))</f>
        <v/>
      </c>
      <c r="X241">
        <f>IF($V241="","",INDEX($S$5:$S$404,$V241))</f>
        <v/>
      </c>
      <c r="Y241">
        <f>IF($V241="","",INDEX($R$5:$R$404,$V241))</f>
        <v/>
      </c>
      <c r="Z241">
        <f>IF($V241="",0,IF($X241&lt;&gt;$X240,1,0))</f>
        <v/>
      </c>
      <c r="AA241">
        <f>IF($V241="",0,IF($V242="",1,IF($X242&lt;&gt;$X241,1,0)))</f>
        <v/>
      </c>
      <c r="AB241">
        <f>IF($V241="",99999+237,$AB240+1+$Z240+$AA240+$AO240)</f>
        <v/>
      </c>
      <c r="AC241">
        <f>IFERROR(MATCH(237,$AB$5:$AB$404,1),"")</f>
        <v/>
      </c>
      <c r="AD241">
        <f>IF(237=$AI$1+1,"Z",IF($AC241="","",IF(INDEX($V$5:$V$404,$AC241)="","",IF(237&gt;INDEX($AB$5:$AB$404,$AC241)+INDEX($Z$5:$Z$404,$AC241)+INDEX($AA$5:$AA$404,$AC241)+INDEX($AO$5:$AO$404,$AC241),"",IF(237=INDEX($AB$5:$AB$404,$AC241)+INDEX($Z$5:$Z$404,$AC241),"D",IF(AND(INDEX($Z$5:$Z$404,$AC241)=1,237=INDEX($AB$5:$AB$404,$AC241)),"H",IF(AND(INDEX($AO$5:$AO$404,$AC241)=1,237=INDEX($AB$5:$AB$404,$AC241)+INDEX($Z$5:$Z$404,$AC241)+INDEX($AA$5:$AA$404,$AC241)+INDEX($AO$5:$AO$404,$AC241)),"B","T")))))))</f>
        <v/>
      </c>
      <c r="AF241">
        <f>IF(OR($AD241="",$AD241="Z",$AD241="B"),"",INDEX($X$5:$X$404,$AC241))</f>
        <v/>
      </c>
      <c r="AJ241">
        <f>IF($AD241&lt;&gt;"T",0,ROUND(SUMIF(oil!$B$4:$B$63,$AF241,oil!$AE$4:$AE$63),2))</f>
        <v/>
      </c>
      <c r="AK241">
        <f>IF($S241="","",IFERROR(INDEX(อัตราค่าขนส่ง!$P$5:$P$54,MATCH($S241,อัตราค่าขนส่ง!$O$5:$O$54,0)),INDEX(รายการมาตรฐาน!$G$2:$G$3,1)))</f>
        <v/>
      </c>
      <c r="AL241">
        <f>IF($S241="","",IFERROR(MATCH($AK241,รายการมาตรฐาน!$G$2:$G$3,0),1))</f>
        <v/>
      </c>
      <c r="AM241">
        <f>IF($V241="","",INDEX($AK$5:$AK$404,$V241))</f>
        <v/>
      </c>
      <c r="AN241">
        <f>IF($V241="","",INDEX($AL$5:$AL$404,$V241))</f>
        <v/>
      </c>
      <c r="AO241">
        <f>IF(OR($V241="",$AI$2&lt;=1),0,IF($V242="",1,IF($AN242&lt;&gt;$AN241,1,0)))</f>
        <v/>
      </c>
      <c r="AP241">
        <f>IF($V241="",0,IF($AN241&lt;&gt;$AN240,1,0))</f>
        <v/>
      </c>
      <c r="AQ241">
        <f>IF(OR($AD241="",$AD241="Z"),"",INDEX($AN$5:$AN$404,$AC241))</f>
        <v/>
      </c>
      <c r="AR241">
        <f>IF($Y241="",0,COUNTIF(บันทึกรายเที่ยว!$V$6:$V$6005,$Y241))</f>
        <v/>
      </c>
      <c r="AS241">
        <f>IF($Y241="",0,ROUND(SUMIF(บันทึกรายเที่ยว!$V$6:$V$6005,$Y241,บันทึกรายเที่ยว!$M$6:$M$6005),2))</f>
        <v/>
      </c>
      <c r="AT241">
        <f>IF($Y241="",0,IFERROR(INDEX(อัตราค่าขนส่ง!$G$5:$G$204,MATCH($Y241,อัตราค่าขนส่ง!$M$5:$M$204,0)),0))</f>
        <v/>
      </c>
      <c r="AU241">
        <f>ROUND($AS241*$BD241,2)</f>
        <v/>
      </c>
      <c r="AV241">
        <f>ROUND($AU241*$BF$2/100,2)</f>
        <v/>
      </c>
      <c r="AW241">
        <f>IF($Y241="","",IFERROR(INDEX(อัตราค่าขนส่ง!$F$5:$F$204,MATCH($Y241,อัตราค่าขนส่ง!$M$5:$M$204,0)),""))</f>
        <v/>
      </c>
      <c r="AX241">
        <f>IF($W241="","",INDEX(บันทึกรายเที่ยว!$D$6:$D$6005,$W241))</f>
        <v/>
      </c>
      <c r="AY241">
        <f>IF($W241="","",INDEX(บันทึกรายเที่ยว!$R$6:$R$6005,$W241))</f>
        <v/>
      </c>
      <c r="AZ241">
        <f>IF(AND($AD241="T",$AQ241=1),N($AZ240)+1,N($AZ240))</f>
        <v/>
      </c>
      <c r="BA241">
        <f>IF($W241="","",INDEX(บันทึกรายเที่ยว!$E$6:$E$6005,$W241))</f>
        <v/>
      </c>
      <c r="BC241">
        <f>IF($Y241="",0,IFERROR(INDEX(อัตราค่าขนส่ง!$K$5:$K$204,MATCH($Y241,อัตราค่าขนส่ง!$M$5:$M$204,0)),0))</f>
        <v/>
      </c>
      <c r="BD241">
        <f>IF($Y241="",0,IFERROR(INDEX(อัตราค่าขนส่ง!$L$5:$L$204,MATCH($Y241,อัตราค่าขนส่ง!$M$5:$M$204,0)),0))</f>
        <v/>
      </c>
    </row>
    <row r="242" ht="21" customHeight="1" s="66">
      <c r="A242" s="69">
        <f>IF($AD242="","",IF($AD242="Z","รวมจ่ายทั้งสิ้น",IF($AD242="H",INDEX($X$5:$X$404,$AC242),IF($AD242="T","รวม",IF($AD242="B",IFERROR(INDEX(อัตราค่าขนส่ง!$S$5:$S$14,MATCH(INDEX($AM$5:$AM$404,$AC242),อัตราค่าขนส่ง!$R$5:$R$14,0)),"รวมกลุ่ม "&amp;INDEX($AM$5:$AM$404,$AC242)),INDEX($AY$5:$AY$404,$AC242))))))</f>
        <v/>
      </c>
      <c r="B242" s="31">
        <f>IF($AD242&lt;&gt;"D","",INDEX($AW$5:$AW$404,$AC242))</f>
        <v/>
      </c>
      <c r="C242" s="68">
        <f>IF($AD242&lt;&gt;"D","",INDEX($AX$5:$AX$404,$AC242))</f>
        <v/>
      </c>
      <c r="D242" s="70">
        <f>IF($AD242&lt;&gt;"D","",INDEX($BA$5:$BA$404,$AC242))</f>
        <v/>
      </c>
      <c r="E242" s="31">
        <f>IF($AD242="Z",SUM($AR$5:$AR$404),IF($AD242="D",INDEX($AR$5:$AR$404,$AC242),IF($AD242="T",SUMIF($X$5:$X$404,$AF242,$AR$5:$AR$404),IF($AD242="B",SUMIF($AN$5:$AN$404,$AQ242,$AR$5:$AR$404),""))))</f>
        <v/>
      </c>
      <c r="F242" s="32">
        <f>IF($AD242="Z",ROUND(SUM($AS$5:$AS$404),2),IF($AD242="D",INDEX($AS$5:$AS$404,$AC242),IF($AD242="T",ROUND(SUMIF($X$5:$X$404,$AF242,$AS$5:$AS$404),2),IF($AD242="B",ROUND(SUMIF($AN$5:$AN$404,$AQ242,$AS$5:$AS$404),2),""))))</f>
        <v/>
      </c>
      <c r="G242" s="32">
        <f>IF($AD242&lt;&gt;"D","",INDEX($AT$5:$AT$404,$AC242))</f>
        <v/>
      </c>
      <c r="H242" s="32">
        <f>IF($AD242&lt;&gt;"D","",INDEX($BC$5:$BC$404,$AC242))</f>
        <v/>
      </c>
      <c r="I242" s="32">
        <f>IF($AD242&lt;&gt;"D","",INDEX($BD$5:$BD$404,$AC242))</f>
        <v/>
      </c>
      <c r="J242" s="46">
        <f>IF($AD242&lt;&gt;"D","",IF(N($B242)=0,"",ROUND($I242/$B242,4)))</f>
        <v/>
      </c>
      <c r="K242" s="32">
        <f>IF($AD242="Z",ROUND(SUM($AU$5:$AU$404),2),IF($AD242="D",INDEX($AU$5:$AU$404,$AC242),IF($AD242="T",ROUND(SUMIF($X$5:$X$404,$AF242,$AU$5:$AU$404),2),IF($AD242="B",ROUND(SUMIF($AN$5:$AN$404,$AQ242,$AU$5:$AU$404),2),""))))</f>
        <v/>
      </c>
      <c r="L242" s="32">
        <f>IF($AD242="Z",ROUND(SUM($AV$5:$AV$404),2),IF($AD242="D",INDEX($AV$5:$AV$404,$AC242),IF($AD242="T",ROUND(SUMIF($X$5:$X$404,$AF242,$AV$5:$AV$404),2),IF($AD242="B",ROUND(SUMIF($AN$5:$AN$404,$AQ242,$AV$5:$AV$404),2),""))))</f>
        <v/>
      </c>
      <c r="M242" s="32">
        <f>IF($AD242="Z",ROUND(SUM($AJ$5:$AJ$704),2),IF($AD242="B",ROUND(SUMIF($AQ$5:$AQ$704,$AQ242,$AJ$5:$AJ$704),2),IF($AD242&lt;&gt;"T","",$AJ242)))</f>
        <v/>
      </c>
      <c r="N242" s="32">
        <f>IF(OR($AD242="D",$AD242="T",$AD242="B",$AD242="Z"),ROUND(N($K242)-N($L242)-N($M242),2),"")</f>
        <v/>
      </c>
      <c r="O242" s="32">
        <f>IF(OR($AD242="D",$AD242="T",$AD242="B",$AD242="Z"),IF(N($E242)=0,"",ROUND($F242/$E242,2)),"")</f>
        <v/>
      </c>
      <c r="Q242">
        <f>IFERROR(MATCH(238,บันทึกรายเที่ยว!$Z$6:$Z$6005,0),"")</f>
        <v/>
      </c>
      <c r="R242">
        <f>IF($Q242="","",INDEX(บันทึกรายเที่ยว!$V$6:$V$6005,$Q242))</f>
        <v/>
      </c>
      <c r="S242">
        <f>IF($Q242="","",INDEX(บันทึกรายเที่ยว!$F$6:$F$6005,$Q242))</f>
        <v/>
      </c>
      <c r="T242">
        <f>IF($Q242="","",MATCH($S242,บันทึกรายเที่ยว!$F$6:$F$6005,0))</f>
        <v/>
      </c>
      <c r="U242">
        <f>IF($Q242="","",$AL242*10000000+$T242*1000+238)</f>
        <v/>
      </c>
      <c r="V242">
        <f>IFERROR(MATCH(SMALL($U$5:$U$404,238),$U$5:$U$404,0),"")</f>
        <v/>
      </c>
      <c r="W242">
        <f>IF($V242="","",INDEX($Q$5:$Q$404,$V242))</f>
        <v/>
      </c>
      <c r="X242">
        <f>IF($V242="","",INDEX($S$5:$S$404,$V242))</f>
        <v/>
      </c>
      <c r="Y242">
        <f>IF($V242="","",INDEX($R$5:$R$404,$V242))</f>
        <v/>
      </c>
      <c r="Z242">
        <f>IF($V242="",0,IF($X242&lt;&gt;$X241,1,0))</f>
        <v/>
      </c>
      <c r="AA242">
        <f>IF($V242="",0,IF($V243="",1,IF($X243&lt;&gt;$X242,1,0)))</f>
        <v/>
      </c>
      <c r="AB242">
        <f>IF($V242="",99999+238,$AB241+1+$Z241+$AA241+$AO241)</f>
        <v/>
      </c>
      <c r="AC242">
        <f>IFERROR(MATCH(238,$AB$5:$AB$404,1),"")</f>
        <v/>
      </c>
      <c r="AD242">
        <f>IF(238=$AI$1+1,"Z",IF($AC242="","",IF(INDEX($V$5:$V$404,$AC242)="","",IF(238&gt;INDEX($AB$5:$AB$404,$AC242)+INDEX($Z$5:$Z$404,$AC242)+INDEX($AA$5:$AA$404,$AC242)+INDEX($AO$5:$AO$404,$AC242),"",IF(238=INDEX($AB$5:$AB$404,$AC242)+INDEX($Z$5:$Z$404,$AC242),"D",IF(AND(INDEX($Z$5:$Z$404,$AC242)=1,238=INDEX($AB$5:$AB$404,$AC242)),"H",IF(AND(INDEX($AO$5:$AO$404,$AC242)=1,238=INDEX($AB$5:$AB$404,$AC242)+INDEX($Z$5:$Z$404,$AC242)+INDEX($AA$5:$AA$404,$AC242)+INDEX($AO$5:$AO$404,$AC242)),"B","T")))))))</f>
        <v/>
      </c>
      <c r="AF242">
        <f>IF(OR($AD242="",$AD242="Z",$AD242="B"),"",INDEX($X$5:$X$404,$AC242))</f>
        <v/>
      </c>
      <c r="AJ242">
        <f>IF($AD242&lt;&gt;"T",0,ROUND(SUMIF(oil!$B$4:$B$63,$AF242,oil!$AE$4:$AE$63),2))</f>
        <v/>
      </c>
      <c r="AK242">
        <f>IF($S242="","",IFERROR(INDEX(อัตราค่าขนส่ง!$P$5:$P$54,MATCH($S242,อัตราค่าขนส่ง!$O$5:$O$54,0)),INDEX(รายการมาตรฐาน!$G$2:$G$3,1)))</f>
        <v/>
      </c>
      <c r="AL242">
        <f>IF($S242="","",IFERROR(MATCH($AK242,รายการมาตรฐาน!$G$2:$G$3,0),1))</f>
        <v/>
      </c>
      <c r="AM242">
        <f>IF($V242="","",INDEX($AK$5:$AK$404,$V242))</f>
        <v/>
      </c>
      <c r="AN242">
        <f>IF($V242="","",INDEX($AL$5:$AL$404,$V242))</f>
        <v/>
      </c>
      <c r="AO242">
        <f>IF(OR($V242="",$AI$2&lt;=1),0,IF($V243="",1,IF($AN243&lt;&gt;$AN242,1,0)))</f>
        <v/>
      </c>
      <c r="AP242">
        <f>IF($V242="",0,IF($AN242&lt;&gt;$AN241,1,0))</f>
        <v/>
      </c>
      <c r="AQ242">
        <f>IF(OR($AD242="",$AD242="Z"),"",INDEX($AN$5:$AN$404,$AC242))</f>
        <v/>
      </c>
      <c r="AR242">
        <f>IF($Y242="",0,COUNTIF(บันทึกรายเที่ยว!$V$6:$V$6005,$Y242))</f>
        <v/>
      </c>
      <c r="AS242">
        <f>IF($Y242="",0,ROUND(SUMIF(บันทึกรายเที่ยว!$V$6:$V$6005,$Y242,บันทึกรายเที่ยว!$M$6:$M$6005),2))</f>
        <v/>
      </c>
      <c r="AT242">
        <f>IF($Y242="",0,IFERROR(INDEX(อัตราค่าขนส่ง!$G$5:$G$204,MATCH($Y242,อัตราค่าขนส่ง!$M$5:$M$204,0)),0))</f>
        <v/>
      </c>
      <c r="AU242">
        <f>ROUND($AS242*$BD242,2)</f>
        <v/>
      </c>
      <c r="AV242">
        <f>ROUND($AU242*$BF$2/100,2)</f>
        <v/>
      </c>
      <c r="AW242">
        <f>IF($Y242="","",IFERROR(INDEX(อัตราค่าขนส่ง!$F$5:$F$204,MATCH($Y242,อัตราค่าขนส่ง!$M$5:$M$204,0)),""))</f>
        <v/>
      </c>
      <c r="AX242">
        <f>IF($W242="","",INDEX(บันทึกรายเที่ยว!$D$6:$D$6005,$W242))</f>
        <v/>
      </c>
      <c r="AY242">
        <f>IF($W242="","",INDEX(บันทึกรายเที่ยว!$R$6:$R$6005,$W242))</f>
        <v/>
      </c>
      <c r="AZ242">
        <f>IF(AND($AD242="T",$AQ242=1),N($AZ241)+1,N($AZ241))</f>
        <v/>
      </c>
      <c r="BA242">
        <f>IF($W242="","",INDEX(บันทึกรายเที่ยว!$E$6:$E$6005,$W242))</f>
        <v/>
      </c>
      <c r="BC242">
        <f>IF($Y242="",0,IFERROR(INDEX(อัตราค่าขนส่ง!$K$5:$K$204,MATCH($Y242,อัตราค่าขนส่ง!$M$5:$M$204,0)),0))</f>
        <v/>
      </c>
      <c r="BD242">
        <f>IF($Y242="",0,IFERROR(INDEX(อัตราค่าขนส่ง!$L$5:$L$204,MATCH($Y242,อัตราค่าขนส่ง!$M$5:$M$204,0)),0))</f>
        <v/>
      </c>
    </row>
    <row r="243" ht="21" customHeight="1" s="66">
      <c r="A243" s="69">
        <f>IF($AD243="","",IF($AD243="Z","รวมจ่ายทั้งสิ้น",IF($AD243="H",INDEX($X$5:$X$404,$AC243),IF($AD243="T","รวม",IF($AD243="B",IFERROR(INDEX(อัตราค่าขนส่ง!$S$5:$S$14,MATCH(INDEX($AM$5:$AM$404,$AC243),อัตราค่าขนส่ง!$R$5:$R$14,0)),"รวมกลุ่ม "&amp;INDEX($AM$5:$AM$404,$AC243)),INDEX($AY$5:$AY$404,$AC243))))))</f>
        <v/>
      </c>
      <c r="B243" s="31">
        <f>IF($AD243&lt;&gt;"D","",INDEX($AW$5:$AW$404,$AC243))</f>
        <v/>
      </c>
      <c r="C243" s="68">
        <f>IF($AD243&lt;&gt;"D","",INDEX($AX$5:$AX$404,$AC243))</f>
        <v/>
      </c>
      <c r="D243" s="70">
        <f>IF($AD243&lt;&gt;"D","",INDEX($BA$5:$BA$404,$AC243))</f>
        <v/>
      </c>
      <c r="E243" s="31">
        <f>IF($AD243="Z",SUM($AR$5:$AR$404),IF($AD243="D",INDEX($AR$5:$AR$404,$AC243),IF($AD243="T",SUMIF($X$5:$X$404,$AF243,$AR$5:$AR$404),IF($AD243="B",SUMIF($AN$5:$AN$404,$AQ243,$AR$5:$AR$404),""))))</f>
        <v/>
      </c>
      <c r="F243" s="32">
        <f>IF($AD243="Z",ROUND(SUM($AS$5:$AS$404),2),IF($AD243="D",INDEX($AS$5:$AS$404,$AC243),IF($AD243="T",ROUND(SUMIF($X$5:$X$404,$AF243,$AS$5:$AS$404),2),IF($AD243="B",ROUND(SUMIF($AN$5:$AN$404,$AQ243,$AS$5:$AS$404),2),""))))</f>
        <v/>
      </c>
      <c r="G243" s="32">
        <f>IF($AD243&lt;&gt;"D","",INDEX($AT$5:$AT$404,$AC243))</f>
        <v/>
      </c>
      <c r="H243" s="32">
        <f>IF($AD243&lt;&gt;"D","",INDEX($BC$5:$BC$404,$AC243))</f>
        <v/>
      </c>
      <c r="I243" s="32">
        <f>IF($AD243&lt;&gt;"D","",INDEX($BD$5:$BD$404,$AC243))</f>
        <v/>
      </c>
      <c r="J243" s="46">
        <f>IF($AD243&lt;&gt;"D","",IF(N($B243)=0,"",ROUND($I243/$B243,4)))</f>
        <v/>
      </c>
      <c r="K243" s="32">
        <f>IF($AD243="Z",ROUND(SUM($AU$5:$AU$404),2),IF($AD243="D",INDEX($AU$5:$AU$404,$AC243),IF($AD243="T",ROUND(SUMIF($X$5:$X$404,$AF243,$AU$5:$AU$404),2),IF($AD243="B",ROUND(SUMIF($AN$5:$AN$404,$AQ243,$AU$5:$AU$404),2),""))))</f>
        <v/>
      </c>
      <c r="L243" s="32">
        <f>IF($AD243="Z",ROUND(SUM($AV$5:$AV$404),2),IF($AD243="D",INDEX($AV$5:$AV$404,$AC243),IF($AD243="T",ROUND(SUMIF($X$5:$X$404,$AF243,$AV$5:$AV$404),2),IF($AD243="B",ROUND(SUMIF($AN$5:$AN$404,$AQ243,$AV$5:$AV$404),2),""))))</f>
        <v/>
      </c>
      <c r="M243" s="32">
        <f>IF($AD243="Z",ROUND(SUM($AJ$5:$AJ$704),2),IF($AD243="B",ROUND(SUMIF($AQ$5:$AQ$704,$AQ243,$AJ$5:$AJ$704),2),IF($AD243&lt;&gt;"T","",$AJ243)))</f>
        <v/>
      </c>
      <c r="N243" s="32">
        <f>IF(OR($AD243="D",$AD243="T",$AD243="B",$AD243="Z"),ROUND(N($K243)-N($L243)-N($M243),2),"")</f>
        <v/>
      </c>
      <c r="O243" s="32">
        <f>IF(OR($AD243="D",$AD243="T",$AD243="B",$AD243="Z"),IF(N($E243)=0,"",ROUND($F243/$E243,2)),"")</f>
        <v/>
      </c>
      <c r="Q243">
        <f>IFERROR(MATCH(239,บันทึกรายเที่ยว!$Z$6:$Z$6005,0),"")</f>
        <v/>
      </c>
      <c r="R243">
        <f>IF($Q243="","",INDEX(บันทึกรายเที่ยว!$V$6:$V$6005,$Q243))</f>
        <v/>
      </c>
      <c r="S243">
        <f>IF($Q243="","",INDEX(บันทึกรายเที่ยว!$F$6:$F$6005,$Q243))</f>
        <v/>
      </c>
      <c r="T243">
        <f>IF($Q243="","",MATCH($S243,บันทึกรายเที่ยว!$F$6:$F$6005,0))</f>
        <v/>
      </c>
      <c r="U243">
        <f>IF($Q243="","",$AL243*10000000+$T243*1000+239)</f>
        <v/>
      </c>
      <c r="V243">
        <f>IFERROR(MATCH(SMALL($U$5:$U$404,239),$U$5:$U$404,0),"")</f>
        <v/>
      </c>
      <c r="W243">
        <f>IF($V243="","",INDEX($Q$5:$Q$404,$V243))</f>
        <v/>
      </c>
      <c r="X243">
        <f>IF($V243="","",INDEX($S$5:$S$404,$V243))</f>
        <v/>
      </c>
      <c r="Y243">
        <f>IF($V243="","",INDEX($R$5:$R$404,$V243))</f>
        <v/>
      </c>
      <c r="Z243">
        <f>IF($V243="",0,IF($X243&lt;&gt;$X242,1,0))</f>
        <v/>
      </c>
      <c r="AA243">
        <f>IF($V243="",0,IF($V244="",1,IF($X244&lt;&gt;$X243,1,0)))</f>
        <v/>
      </c>
      <c r="AB243">
        <f>IF($V243="",99999+239,$AB242+1+$Z242+$AA242+$AO242)</f>
        <v/>
      </c>
      <c r="AC243">
        <f>IFERROR(MATCH(239,$AB$5:$AB$404,1),"")</f>
        <v/>
      </c>
      <c r="AD243">
        <f>IF(239=$AI$1+1,"Z",IF($AC243="","",IF(INDEX($V$5:$V$404,$AC243)="","",IF(239&gt;INDEX($AB$5:$AB$404,$AC243)+INDEX($Z$5:$Z$404,$AC243)+INDEX($AA$5:$AA$404,$AC243)+INDEX($AO$5:$AO$404,$AC243),"",IF(239=INDEX($AB$5:$AB$404,$AC243)+INDEX($Z$5:$Z$404,$AC243),"D",IF(AND(INDEX($Z$5:$Z$404,$AC243)=1,239=INDEX($AB$5:$AB$404,$AC243)),"H",IF(AND(INDEX($AO$5:$AO$404,$AC243)=1,239=INDEX($AB$5:$AB$404,$AC243)+INDEX($Z$5:$Z$404,$AC243)+INDEX($AA$5:$AA$404,$AC243)+INDEX($AO$5:$AO$404,$AC243)),"B","T")))))))</f>
        <v/>
      </c>
      <c r="AF243">
        <f>IF(OR($AD243="",$AD243="Z",$AD243="B"),"",INDEX($X$5:$X$404,$AC243))</f>
        <v/>
      </c>
      <c r="AJ243">
        <f>IF($AD243&lt;&gt;"T",0,ROUND(SUMIF(oil!$B$4:$B$63,$AF243,oil!$AE$4:$AE$63),2))</f>
        <v/>
      </c>
      <c r="AK243">
        <f>IF($S243="","",IFERROR(INDEX(อัตราค่าขนส่ง!$P$5:$P$54,MATCH($S243,อัตราค่าขนส่ง!$O$5:$O$54,0)),INDEX(รายการมาตรฐาน!$G$2:$G$3,1)))</f>
        <v/>
      </c>
      <c r="AL243">
        <f>IF($S243="","",IFERROR(MATCH($AK243,รายการมาตรฐาน!$G$2:$G$3,0),1))</f>
        <v/>
      </c>
      <c r="AM243">
        <f>IF($V243="","",INDEX($AK$5:$AK$404,$V243))</f>
        <v/>
      </c>
      <c r="AN243">
        <f>IF($V243="","",INDEX($AL$5:$AL$404,$V243))</f>
        <v/>
      </c>
      <c r="AO243">
        <f>IF(OR($V243="",$AI$2&lt;=1),0,IF($V244="",1,IF($AN244&lt;&gt;$AN243,1,0)))</f>
        <v/>
      </c>
      <c r="AP243">
        <f>IF($V243="",0,IF($AN243&lt;&gt;$AN242,1,0))</f>
        <v/>
      </c>
      <c r="AQ243">
        <f>IF(OR($AD243="",$AD243="Z"),"",INDEX($AN$5:$AN$404,$AC243))</f>
        <v/>
      </c>
      <c r="AR243">
        <f>IF($Y243="",0,COUNTIF(บันทึกรายเที่ยว!$V$6:$V$6005,$Y243))</f>
        <v/>
      </c>
      <c r="AS243">
        <f>IF($Y243="",0,ROUND(SUMIF(บันทึกรายเที่ยว!$V$6:$V$6005,$Y243,บันทึกรายเที่ยว!$M$6:$M$6005),2))</f>
        <v/>
      </c>
      <c r="AT243">
        <f>IF($Y243="",0,IFERROR(INDEX(อัตราค่าขนส่ง!$G$5:$G$204,MATCH($Y243,อัตราค่าขนส่ง!$M$5:$M$204,0)),0))</f>
        <v/>
      </c>
      <c r="AU243">
        <f>ROUND($AS243*$BD243,2)</f>
        <v/>
      </c>
      <c r="AV243">
        <f>ROUND($AU243*$BF$2/100,2)</f>
        <v/>
      </c>
      <c r="AW243">
        <f>IF($Y243="","",IFERROR(INDEX(อัตราค่าขนส่ง!$F$5:$F$204,MATCH($Y243,อัตราค่าขนส่ง!$M$5:$M$204,0)),""))</f>
        <v/>
      </c>
      <c r="AX243">
        <f>IF($W243="","",INDEX(บันทึกรายเที่ยว!$D$6:$D$6005,$W243))</f>
        <v/>
      </c>
      <c r="AY243">
        <f>IF($W243="","",INDEX(บันทึกรายเที่ยว!$R$6:$R$6005,$W243))</f>
        <v/>
      </c>
      <c r="AZ243">
        <f>IF(AND($AD243="T",$AQ243=1),N($AZ242)+1,N($AZ242))</f>
        <v/>
      </c>
      <c r="BA243">
        <f>IF($W243="","",INDEX(บันทึกรายเที่ยว!$E$6:$E$6005,$W243))</f>
        <v/>
      </c>
      <c r="BC243">
        <f>IF($Y243="",0,IFERROR(INDEX(อัตราค่าขนส่ง!$K$5:$K$204,MATCH($Y243,อัตราค่าขนส่ง!$M$5:$M$204,0)),0))</f>
        <v/>
      </c>
      <c r="BD243">
        <f>IF($Y243="",0,IFERROR(INDEX(อัตราค่าขนส่ง!$L$5:$L$204,MATCH($Y243,อัตราค่าขนส่ง!$M$5:$M$204,0)),0))</f>
        <v/>
      </c>
    </row>
    <row r="244" ht="21" customHeight="1" s="66">
      <c r="A244" s="69">
        <f>IF($AD244="","",IF($AD244="Z","รวมจ่ายทั้งสิ้น",IF($AD244="H",INDEX($X$5:$X$404,$AC244),IF($AD244="T","รวม",IF($AD244="B",IFERROR(INDEX(อัตราค่าขนส่ง!$S$5:$S$14,MATCH(INDEX($AM$5:$AM$404,$AC244),อัตราค่าขนส่ง!$R$5:$R$14,0)),"รวมกลุ่ม "&amp;INDEX($AM$5:$AM$404,$AC244)),INDEX($AY$5:$AY$404,$AC244))))))</f>
        <v/>
      </c>
      <c r="B244" s="31">
        <f>IF($AD244&lt;&gt;"D","",INDEX($AW$5:$AW$404,$AC244))</f>
        <v/>
      </c>
      <c r="C244" s="68">
        <f>IF($AD244&lt;&gt;"D","",INDEX($AX$5:$AX$404,$AC244))</f>
        <v/>
      </c>
      <c r="D244" s="70">
        <f>IF($AD244&lt;&gt;"D","",INDEX($BA$5:$BA$404,$AC244))</f>
        <v/>
      </c>
      <c r="E244" s="31">
        <f>IF($AD244="Z",SUM($AR$5:$AR$404),IF($AD244="D",INDEX($AR$5:$AR$404,$AC244),IF($AD244="T",SUMIF($X$5:$X$404,$AF244,$AR$5:$AR$404),IF($AD244="B",SUMIF($AN$5:$AN$404,$AQ244,$AR$5:$AR$404),""))))</f>
        <v/>
      </c>
      <c r="F244" s="32">
        <f>IF($AD244="Z",ROUND(SUM($AS$5:$AS$404),2),IF($AD244="D",INDEX($AS$5:$AS$404,$AC244),IF($AD244="T",ROUND(SUMIF($X$5:$X$404,$AF244,$AS$5:$AS$404),2),IF($AD244="B",ROUND(SUMIF($AN$5:$AN$404,$AQ244,$AS$5:$AS$404),2),""))))</f>
        <v/>
      </c>
      <c r="G244" s="32">
        <f>IF($AD244&lt;&gt;"D","",INDEX($AT$5:$AT$404,$AC244))</f>
        <v/>
      </c>
      <c r="H244" s="32">
        <f>IF($AD244&lt;&gt;"D","",INDEX($BC$5:$BC$404,$AC244))</f>
        <v/>
      </c>
      <c r="I244" s="32">
        <f>IF($AD244&lt;&gt;"D","",INDEX($BD$5:$BD$404,$AC244))</f>
        <v/>
      </c>
      <c r="J244" s="46">
        <f>IF($AD244&lt;&gt;"D","",IF(N($B244)=0,"",ROUND($I244/$B244,4)))</f>
        <v/>
      </c>
      <c r="K244" s="32">
        <f>IF($AD244="Z",ROUND(SUM($AU$5:$AU$404),2),IF($AD244="D",INDEX($AU$5:$AU$404,$AC244),IF($AD244="T",ROUND(SUMIF($X$5:$X$404,$AF244,$AU$5:$AU$404),2),IF($AD244="B",ROUND(SUMIF($AN$5:$AN$404,$AQ244,$AU$5:$AU$404),2),""))))</f>
        <v/>
      </c>
      <c r="L244" s="32">
        <f>IF($AD244="Z",ROUND(SUM($AV$5:$AV$404),2),IF($AD244="D",INDEX($AV$5:$AV$404,$AC244),IF($AD244="T",ROUND(SUMIF($X$5:$X$404,$AF244,$AV$5:$AV$404),2),IF($AD244="B",ROUND(SUMIF($AN$5:$AN$404,$AQ244,$AV$5:$AV$404),2),""))))</f>
        <v/>
      </c>
      <c r="M244" s="32">
        <f>IF($AD244="Z",ROUND(SUM($AJ$5:$AJ$704),2),IF($AD244="B",ROUND(SUMIF($AQ$5:$AQ$704,$AQ244,$AJ$5:$AJ$704),2),IF($AD244&lt;&gt;"T","",$AJ244)))</f>
        <v/>
      </c>
      <c r="N244" s="32">
        <f>IF(OR($AD244="D",$AD244="T",$AD244="B",$AD244="Z"),ROUND(N($K244)-N($L244)-N($M244),2),"")</f>
        <v/>
      </c>
      <c r="O244" s="32">
        <f>IF(OR($AD244="D",$AD244="T",$AD244="B",$AD244="Z"),IF(N($E244)=0,"",ROUND($F244/$E244,2)),"")</f>
        <v/>
      </c>
      <c r="Q244">
        <f>IFERROR(MATCH(240,บันทึกรายเที่ยว!$Z$6:$Z$6005,0),"")</f>
        <v/>
      </c>
      <c r="R244">
        <f>IF($Q244="","",INDEX(บันทึกรายเที่ยว!$V$6:$V$6005,$Q244))</f>
        <v/>
      </c>
      <c r="S244">
        <f>IF($Q244="","",INDEX(บันทึกรายเที่ยว!$F$6:$F$6005,$Q244))</f>
        <v/>
      </c>
      <c r="T244">
        <f>IF($Q244="","",MATCH($S244,บันทึกรายเที่ยว!$F$6:$F$6005,0))</f>
        <v/>
      </c>
      <c r="U244">
        <f>IF($Q244="","",$AL244*10000000+$T244*1000+240)</f>
        <v/>
      </c>
      <c r="V244">
        <f>IFERROR(MATCH(SMALL($U$5:$U$404,240),$U$5:$U$404,0),"")</f>
        <v/>
      </c>
      <c r="W244">
        <f>IF($V244="","",INDEX($Q$5:$Q$404,$V244))</f>
        <v/>
      </c>
      <c r="X244">
        <f>IF($V244="","",INDEX($S$5:$S$404,$V244))</f>
        <v/>
      </c>
      <c r="Y244">
        <f>IF($V244="","",INDEX($R$5:$R$404,$V244))</f>
        <v/>
      </c>
      <c r="Z244">
        <f>IF($V244="",0,IF($X244&lt;&gt;$X243,1,0))</f>
        <v/>
      </c>
      <c r="AA244">
        <f>IF($V244="",0,IF($V245="",1,IF($X245&lt;&gt;$X244,1,0)))</f>
        <v/>
      </c>
      <c r="AB244">
        <f>IF($V244="",99999+240,$AB243+1+$Z243+$AA243+$AO243)</f>
        <v/>
      </c>
      <c r="AC244">
        <f>IFERROR(MATCH(240,$AB$5:$AB$404,1),"")</f>
        <v/>
      </c>
      <c r="AD244">
        <f>IF(240=$AI$1+1,"Z",IF($AC244="","",IF(INDEX($V$5:$V$404,$AC244)="","",IF(240&gt;INDEX($AB$5:$AB$404,$AC244)+INDEX($Z$5:$Z$404,$AC244)+INDEX($AA$5:$AA$404,$AC244)+INDEX($AO$5:$AO$404,$AC244),"",IF(240=INDEX($AB$5:$AB$404,$AC244)+INDEX($Z$5:$Z$404,$AC244),"D",IF(AND(INDEX($Z$5:$Z$404,$AC244)=1,240=INDEX($AB$5:$AB$404,$AC244)),"H",IF(AND(INDEX($AO$5:$AO$404,$AC244)=1,240=INDEX($AB$5:$AB$404,$AC244)+INDEX($Z$5:$Z$404,$AC244)+INDEX($AA$5:$AA$404,$AC244)+INDEX($AO$5:$AO$404,$AC244)),"B","T")))))))</f>
        <v/>
      </c>
      <c r="AF244">
        <f>IF(OR($AD244="",$AD244="Z",$AD244="B"),"",INDEX($X$5:$X$404,$AC244))</f>
        <v/>
      </c>
      <c r="AJ244">
        <f>IF($AD244&lt;&gt;"T",0,ROUND(SUMIF(oil!$B$4:$B$63,$AF244,oil!$AE$4:$AE$63),2))</f>
        <v/>
      </c>
      <c r="AK244">
        <f>IF($S244="","",IFERROR(INDEX(อัตราค่าขนส่ง!$P$5:$P$54,MATCH($S244,อัตราค่าขนส่ง!$O$5:$O$54,0)),INDEX(รายการมาตรฐาน!$G$2:$G$3,1)))</f>
        <v/>
      </c>
      <c r="AL244">
        <f>IF($S244="","",IFERROR(MATCH($AK244,รายการมาตรฐาน!$G$2:$G$3,0),1))</f>
        <v/>
      </c>
      <c r="AM244">
        <f>IF($V244="","",INDEX($AK$5:$AK$404,$V244))</f>
        <v/>
      </c>
      <c r="AN244">
        <f>IF($V244="","",INDEX($AL$5:$AL$404,$V244))</f>
        <v/>
      </c>
      <c r="AO244">
        <f>IF(OR($V244="",$AI$2&lt;=1),0,IF($V245="",1,IF($AN245&lt;&gt;$AN244,1,0)))</f>
        <v/>
      </c>
      <c r="AP244">
        <f>IF($V244="",0,IF($AN244&lt;&gt;$AN243,1,0))</f>
        <v/>
      </c>
      <c r="AQ244">
        <f>IF(OR($AD244="",$AD244="Z"),"",INDEX($AN$5:$AN$404,$AC244))</f>
        <v/>
      </c>
      <c r="AR244">
        <f>IF($Y244="",0,COUNTIF(บันทึกรายเที่ยว!$V$6:$V$6005,$Y244))</f>
        <v/>
      </c>
      <c r="AS244">
        <f>IF($Y244="",0,ROUND(SUMIF(บันทึกรายเที่ยว!$V$6:$V$6005,$Y244,บันทึกรายเที่ยว!$M$6:$M$6005),2))</f>
        <v/>
      </c>
      <c r="AT244">
        <f>IF($Y244="",0,IFERROR(INDEX(อัตราค่าขนส่ง!$G$5:$G$204,MATCH($Y244,อัตราค่าขนส่ง!$M$5:$M$204,0)),0))</f>
        <v/>
      </c>
      <c r="AU244">
        <f>ROUND($AS244*$BD244,2)</f>
        <v/>
      </c>
      <c r="AV244">
        <f>ROUND($AU244*$BF$2/100,2)</f>
        <v/>
      </c>
      <c r="AW244">
        <f>IF($Y244="","",IFERROR(INDEX(อัตราค่าขนส่ง!$F$5:$F$204,MATCH($Y244,อัตราค่าขนส่ง!$M$5:$M$204,0)),""))</f>
        <v/>
      </c>
      <c r="AX244">
        <f>IF($W244="","",INDEX(บันทึกรายเที่ยว!$D$6:$D$6005,$W244))</f>
        <v/>
      </c>
      <c r="AY244">
        <f>IF($W244="","",INDEX(บันทึกรายเที่ยว!$R$6:$R$6005,$W244))</f>
        <v/>
      </c>
      <c r="AZ244">
        <f>IF(AND($AD244="T",$AQ244=1),N($AZ243)+1,N($AZ243))</f>
        <v/>
      </c>
      <c r="BA244">
        <f>IF($W244="","",INDEX(บันทึกรายเที่ยว!$E$6:$E$6005,$W244))</f>
        <v/>
      </c>
      <c r="BC244">
        <f>IF($Y244="",0,IFERROR(INDEX(อัตราค่าขนส่ง!$K$5:$K$204,MATCH($Y244,อัตราค่าขนส่ง!$M$5:$M$204,0)),0))</f>
        <v/>
      </c>
      <c r="BD244">
        <f>IF($Y244="",0,IFERROR(INDEX(อัตราค่าขนส่ง!$L$5:$L$204,MATCH($Y244,อัตราค่าขนส่ง!$M$5:$M$204,0)),0))</f>
        <v/>
      </c>
    </row>
    <row r="245" ht="21" customHeight="1" s="66">
      <c r="A245" s="69">
        <f>IF($AD245="","",IF($AD245="Z","รวมจ่ายทั้งสิ้น",IF($AD245="H",INDEX($X$5:$X$404,$AC245),IF($AD245="T","รวม",IF($AD245="B",IFERROR(INDEX(อัตราค่าขนส่ง!$S$5:$S$14,MATCH(INDEX($AM$5:$AM$404,$AC245),อัตราค่าขนส่ง!$R$5:$R$14,0)),"รวมกลุ่ม "&amp;INDEX($AM$5:$AM$404,$AC245)),INDEX($AY$5:$AY$404,$AC245))))))</f>
        <v/>
      </c>
      <c r="B245" s="31">
        <f>IF($AD245&lt;&gt;"D","",INDEX($AW$5:$AW$404,$AC245))</f>
        <v/>
      </c>
      <c r="C245" s="68">
        <f>IF($AD245&lt;&gt;"D","",INDEX($AX$5:$AX$404,$AC245))</f>
        <v/>
      </c>
      <c r="D245" s="70">
        <f>IF($AD245&lt;&gt;"D","",INDEX($BA$5:$BA$404,$AC245))</f>
        <v/>
      </c>
      <c r="E245" s="31">
        <f>IF($AD245="Z",SUM($AR$5:$AR$404),IF($AD245="D",INDEX($AR$5:$AR$404,$AC245),IF($AD245="T",SUMIF($X$5:$X$404,$AF245,$AR$5:$AR$404),IF($AD245="B",SUMIF($AN$5:$AN$404,$AQ245,$AR$5:$AR$404),""))))</f>
        <v/>
      </c>
      <c r="F245" s="32">
        <f>IF($AD245="Z",ROUND(SUM($AS$5:$AS$404),2),IF($AD245="D",INDEX($AS$5:$AS$404,$AC245),IF($AD245="T",ROUND(SUMIF($X$5:$X$404,$AF245,$AS$5:$AS$404),2),IF($AD245="B",ROUND(SUMIF($AN$5:$AN$404,$AQ245,$AS$5:$AS$404),2),""))))</f>
        <v/>
      </c>
      <c r="G245" s="32">
        <f>IF($AD245&lt;&gt;"D","",INDEX($AT$5:$AT$404,$AC245))</f>
        <v/>
      </c>
      <c r="H245" s="32">
        <f>IF($AD245&lt;&gt;"D","",INDEX($BC$5:$BC$404,$AC245))</f>
        <v/>
      </c>
      <c r="I245" s="32">
        <f>IF($AD245&lt;&gt;"D","",INDEX($BD$5:$BD$404,$AC245))</f>
        <v/>
      </c>
      <c r="J245" s="46">
        <f>IF($AD245&lt;&gt;"D","",IF(N($B245)=0,"",ROUND($I245/$B245,4)))</f>
        <v/>
      </c>
      <c r="K245" s="32">
        <f>IF($AD245="Z",ROUND(SUM($AU$5:$AU$404),2),IF($AD245="D",INDEX($AU$5:$AU$404,$AC245),IF($AD245="T",ROUND(SUMIF($X$5:$X$404,$AF245,$AU$5:$AU$404),2),IF($AD245="B",ROUND(SUMIF($AN$5:$AN$404,$AQ245,$AU$5:$AU$404),2),""))))</f>
        <v/>
      </c>
      <c r="L245" s="32">
        <f>IF($AD245="Z",ROUND(SUM($AV$5:$AV$404),2),IF($AD245="D",INDEX($AV$5:$AV$404,$AC245),IF($AD245="T",ROUND(SUMIF($X$5:$X$404,$AF245,$AV$5:$AV$404),2),IF($AD245="B",ROUND(SUMIF($AN$5:$AN$404,$AQ245,$AV$5:$AV$404),2),""))))</f>
        <v/>
      </c>
      <c r="M245" s="32">
        <f>IF($AD245="Z",ROUND(SUM($AJ$5:$AJ$704),2),IF($AD245="B",ROUND(SUMIF($AQ$5:$AQ$704,$AQ245,$AJ$5:$AJ$704),2),IF($AD245&lt;&gt;"T","",$AJ245)))</f>
        <v/>
      </c>
      <c r="N245" s="32">
        <f>IF(OR($AD245="D",$AD245="T",$AD245="B",$AD245="Z"),ROUND(N($K245)-N($L245)-N($M245),2),"")</f>
        <v/>
      </c>
      <c r="O245" s="32">
        <f>IF(OR($AD245="D",$AD245="T",$AD245="B",$AD245="Z"),IF(N($E245)=0,"",ROUND($F245/$E245,2)),"")</f>
        <v/>
      </c>
      <c r="Q245">
        <f>IFERROR(MATCH(241,บันทึกรายเที่ยว!$Z$6:$Z$6005,0),"")</f>
        <v/>
      </c>
      <c r="R245">
        <f>IF($Q245="","",INDEX(บันทึกรายเที่ยว!$V$6:$V$6005,$Q245))</f>
        <v/>
      </c>
      <c r="S245">
        <f>IF($Q245="","",INDEX(บันทึกรายเที่ยว!$F$6:$F$6005,$Q245))</f>
        <v/>
      </c>
      <c r="T245">
        <f>IF($Q245="","",MATCH($S245,บันทึกรายเที่ยว!$F$6:$F$6005,0))</f>
        <v/>
      </c>
      <c r="U245">
        <f>IF($Q245="","",$AL245*10000000+$T245*1000+241)</f>
        <v/>
      </c>
      <c r="V245">
        <f>IFERROR(MATCH(SMALL($U$5:$U$404,241),$U$5:$U$404,0),"")</f>
        <v/>
      </c>
      <c r="W245">
        <f>IF($V245="","",INDEX($Q$5:$Q$404,$V245))</f>
        <v/>
      </c>
      <c r="X245">
        <f>IF($V245="","",INDEX($S$5:$S$404,$V245))</f>
        <v/>
      </c>
      <c r="Y245">
        <f>IF($V245="","",INDEX($R$5:$R$404,$V245))</f>
        <v/>
      </c>
      <c r="Z245">
        <f>IF($V245="",0,IF($X245&lt;&gt;$X244,1,0))</f>
        <v/>
      </c>
      <c r="AA245">
        <f>IF($V245="",0,IF($V246="",1,IF($X246&lt;&gt;$X245,1,0)))</f>
        <v/>
      </c>
      <c r="AB245">
        <f>IF($V245="",99999+241,$AB244+1+$Z244+$AA244+$AO244)</f>
        <v/>
      </c>
      <c r="AC245">
        <f>IFERROR(MATCH(241,$AB$5:$AB$404,1),"")</f>
        <v/>
      </c>
      <c r="AD245">
        <f>IF(241=$AI$1+1,"Z",IF($AC245="","",IF(INDEX($V$5:$V$404,$AC245)="","",IF(241&gt;INDEX($AB$5:$AB$404,$AC245)+INDEX($Z$5:$Z$404,$AC245)+INDEX($AA$5:$AA$404,$AC245)+INDEX($AO$5:$AO$404,$AC245),"",IF(241=INDEX($AB$5:$AB$404,$AC245)+INDEX($Z$5:$Z$404,$AC245),"D",IF(AND(INDEX($Z$5:$Z$404,$AC245)=1,241=INDEX($AB$5:$AB$404,$AC245)),"H",IF(AND(INDEX($AO$5:$AO$404,$AC245)=1,241=INDEX($AB$5:$AB$404,$AC245)+INDEX($Z$5:$Z$404,$AC245)+INDEX($AA$5:$AA$404,$AC245)+INDEX($AO$5:$AO$404,$AC245)),"B","T")))))))</f>
        <v/>
      </c>
      <c r="AF245">
        <f>IF(OR($AD245="",$AD245="Z",$AD245="B"),"",INDEX($X$5:$X$404,$AC245))</f>
        <v/>
      </c>
      <c r="AJ245">
        <f>IF($AD245&lt;&gt;"T",0,ROUND(SUMIF(oil!$B$4:$B$63,$AF245,oil!$AE$4:$AE$63),2))</f>
        <v/>
      </c>
      <c r="AK245">
        <f>IF($S245="","",IFERROR(INDEX(อัตราค่าขนส่ง!$P$5:$P$54,MATCH($S245,อัตราค่าขนส่ง!$O$5:$O$54,0)),INDEX(รายการมาตรฐาน!$G$2:$G$3,1)))</f>
        <v/>
      </c>
      <c r="AL245">
        <f>IF($S245="","",IFERROR(MATCH($AK245,รายการมาตรฐาน!$G$2:$G$3,0),1))</f>
        <v/>
      </c>
      <c r="AM245">
        <f>IF($V245="","",INDEX($AK$5:$AK$404,$V245))</f>
        <v/>
      </c>
      <c r="AN245">
        <f>IF($V245="","",INDEX($AL$5:$AL$404,$V245))</f>
        <v/>
      </c>
      <c r="AO245">
        <f>IF(OR($V245="",$AI$2&lt;=1),0,IF($V246="",1,IF($AN246&lt;&gt;$AN245,1,0)))</f>
        <v/>
      </c>
      <c r="AP245">
        <f>IF($V245="",0,IF($AN245&lt;&gt;$AN244,1,0))</f>
        <v/>
      </c>
      <c r="AQ245">
        <f>IF(OR($AD245="",$AD245="Z"),"",INDEX($AN$5:$AN$404,$AC245))</f>
        <v/>
      </c>
      <c r="AR245">
        <f>IF($Y245="",0,COUNTIF(บันทึกรายเที่ยว!$V$6:$V$6005,$Y245))</f>
        <v/>
      </c>
      <c r="AS245">
        <f>IF($Y245="",0,ROUND(SUMIF(บันทึกรายเที่ยว!$V$6:$V$6005,$Y245,บันทึกรายเที่ยว!$M$6:$M$6005),2))</f>
        <v/>
      </c>
      <c r="AT245">
        <f>IF($Y245="",0,IFERROR(INDEX(อัตราค่าขนส่ง!$G$5:$G$204,MATCH($Y245,อัตราค่าขนส่ง!$M$5:$M$204,0)),0))</f>
        <v/>
      </c>
      <c r="AU245">
        <f>ROUND($AS245*$BD245,2)</f>
        <v/>
      </c>
      <c r="AV245">
        <f>ROUND($AU245*$BF$2/100,2)</f>
        <v/>
      </c>
      <c r="AW245">
        <f>IF($Y245="","",IFERROR(INDEX(อัตราค่าขนส่ง!$F$5:$F$204,MATCH($Y245,อัตราค่าขนส่ง!$M$5:$M$204,0)),""))</f>
        <v/>
      </c>
      <c r="AX245">
        <f>IF($W245="","",INDEX(บันทึกรายเที่ยว!$D$6:$D$6005,$W245))</f>
        <v/>
      </c>
      <c r="AY245">
        <f>IF($W245="","",INDEX(บันทึกรายเที่ยว!$R$6:$R$6005,$W245))</f>
        <v/>
      </c>
      <c r="AZ245">
        <f>IF(AND($AD245="T",$AQ245=1),N($AZ244)+1,N($AZ244))</f>
        <v/>
      </c>
      <c r="BA245">
        <f>IF($W245="","",INDEX(บันทึกรายเที่ยว!$E$6:$E$6005,$W245))</f>
        <v/>
      </c>
      <c r="BC245">
        <f>IF($Y245="",0,IFERROR(INDEX(อัตราค่าขนส่ง!$K$5:$K$204,MATCH($Y245,อัตราค่าขนส่ง!$M$5:$M$204,0)),0))</f>
        <v/>
      </c>
      <c r="BD245">
        <f>IF($Y245="",0,IFERROR(INDEX(อัตราค่าขนส่ง!$L$5:$L$204,MATCH($Y245,อัตราค่าขนส่ง!$M$5:$M$204,0)),0))</f>
        <v/>
      </c>
    </row>
    <row r="246" ht="21" customHeight="1" s="66">
      <c r="A246" s="69">
        <f>IF($AD246="","",IF($AD246="Z","รวมจ่ายทั้งสิ้น",IF($AD246="H",INDEX($X$5:$X$404,$AC246),IF($AD246="T","รวม",IF($AD246="B",IFERROR(INDEX(อัตราค่าขนส่ง!$S$5:$S$14,MATCH(INDEX($AM$5:$AM$404,$AC246),อัตราค่าขนส่ง!$R$5:$R$14,0)),"รวมกลุ่ม "&amp;INDEX($AM$5:$AM$404,$AC246)),INDEX($AY$5:$AY$404,$AC246))))))</f>
        <v/>
      </c>
      <c r="B246" s="31">
        <f>IF($AD246&lt;&gt;"D","",INDEX($AW$5:$AW$404,$AC246))</f>
        <v/>
      </c>
      <c r="C246" s="68">
        <f>IF($AD246&lt;&gt;"D","",INDEX($AX$5:$AX$404,$AC246))</f>
        <v/>
      </c>
      <c r="D246" s="70">
        <f>IF($AD246&lt;&gt;"D","",INDEX($BA$5:$BA$404,$AC246))</f>
        <v/>
      </c>
      <c r="E246" s="31">
        <f>IF($AD246="Z",SUM($AR$5:$AR$404),IF($AD246="D",INDEX($AR$5:$AR$404,$AC246),IF($AD246="T",SUMIF($X$5:$X$404,$AF246,$AR$5:$AR$404),IF($AD246="B",SUMIF($AN$5:$AN$404,$AQ246,$AR$5:$AR$404),""))))</f>
        <v/>
      </c>
      <c r="F246" s="32">
        <f>IF($AD246="Z",ROUND(SUM($AS$5:$AS$404),2),IF($AD246="D",INDEX($AS$5:$AS$404,$AC246),IF($AD246="T",ROUND(SUMIF($X$5:$X$404,$AF246,$AS$5:$AS$404),2),IF($AD246="B",ROUND(SUMIF($AN$5:$AN$404,$AQ246,$AS$5:$AS$404),2),""))))</f>
        <v/>
      </c>
      <c r="G246" s="32">
        <f>IF($AD246&lt;&gt;"D","",INDEX($AT$5:$AT$404,$AC246))</f>
        <v/>
      </c>
      <c r="H246" s="32">
        <f>IF($AD246&lt;&gt;"D","",INDEX($BC$5:$BC$404,$AC246))</f>
        <v/>
      </c>
      <c r="I246" s="32">
        <f>IF($AD246&lt;&gt;"D","",INDEX($BD$5:$BD$404,$AC246))</f>
        <v/>
      </c>
      <c r="J246" s="46">
        <f>IF($AD246&lt;&gt;"D","",IF(N($B246)=0,"",ROUND($I246/$B246,4)))</f>
        <v/>
      </c>
      <c r="K246" s="32">
        <f>IF($AD246="Z",ROUND(SUM($AU$5:$AU$404),2),IF($AD246="D",INDEX($AU$5:$AU$404,$AC246),IF($AD246="T",ROUND(SUMIF($X$5:$X$404,$AF246,$AU$5:$AU$404),2),IF($AD246="B",ROUND(SUMIF($AN$5:$AN$404,$AQ246,$AU$5:$AU$404),2),""))))</f>
        <v/>
      </c>
      <c r="L246" s="32">
        <f>IF($AD246="Z",ROUND(SUM($AV$5:$AV$404),2),IF($AD246="D",INDEX($AV$5:$AV$404,$AC246),IF($AD246="T",ROUND(SUMIF($X$5:$X$404,$AF246,$AV$5:$AV$404),2),IF($AD246="B",ROUND(SUMIF($AN$5:$AN$404,$AQ246,$AV$5:$AV$404),2),""))))</f>
        <v/>
      </c>
      <c r="M246" s="32">
        <f>IF($AD246="Z",ROUND(SUM($AJ$5:$AJ$704),2),IF($AD246="B",ROUND(SUMIF($AQ$5:$AQ$704,$AQ246,$AJ$5:$AJ$704),2),IF($AD246&lt;&gt;"T","",$AJ246)))</f>
        <v/>
      </c>
      <c r="N246" s="32">
        <f>IF(OR($AD246="D",$AD246="T",$AD246="B",$AD246="Z"),ROUND(N($K246)-N($L246)-N($M246),2),"")</f>
        <v/>
      </c>
      <c r="O246" s="32">
        <f>IF(OR($AD246="D",$AD246="T",$AD246="B",$AD246="Z"),IF(N($E246)=0,"",ROUND($F246/$E246,2)),"")</f>
        <v/>
      </c>
      <c r="Q246">
        <f>IFERROR(MATCH(242,บันทึกรายเที่ยว!$Z$6:$Z$6005,0),"")</f>
        <v/>
      </c>
      <c r="R246">
        <f>IF($Q246="","",INDEX(บันทึกรายเที่ยว!$V$6:$V$6005,$Q246))</f>
        <v/>
      </c>
      <c r="S246">
        <f>IF($Q246="","",INDEX(บันทึกรายเที่ยว!$F$6:$F$6005,$Q246))</f>
        <v/>
      </c>
      <c r="T246">
        <f>IF($Q246="","",MATCH($S246,บันทึกรายเที่ยว!$F$6:$F$6005,0))</f>
        <v/>
      </c>
      <c r="U246">
        <f>IF($Q246="","",$AL246*10000000+$T246*1000+242)</f>
        <v/>
      </c>
      <c r="V246">
        <f>IFERROR(MATCH(SMALL($U$5:$U$404,242),$U$5:$U$404,0),"")</f>
        <v/>
      </c>
      <c r="W246">
        <f>IF($V246="","",INDEX($Q$5:$Q$404,$V246))</f>
        <v/>
      </c>
      <c r="X246">
        <f>IF($V246="","",INDEX($S$5:$S$404,$V246))</f>
        <v/>
      </c>
      <c r="Y246">
        <f>IF($V246="","",INDEX($R$5:$R$404,$V246))</f>
        <v/>
      </c>
      <c r="Z246">
        <f>IF($V246="",0,IF($X246&lt;&gt;$X245,1,0))</f>
        <v/>
      </c>
      <c r="AA246">
        <f>IF($V246="",0,IF($V247="",1,IF($X247&lt;&gt;$X246,1,0)))</f>
        <v/>
      </c>
      <c r="AB246">
        <f>IF($V246="",99999+242,$AB245+1+$Z245+$AA245+$AO245)</f>
        <v/>
      </c>
      <c r="AC246">
        <f>IFERROR(MATCH(242,$AB$5:$AB$404,1),"")</f>
        <v/>
      </c>
      <c r="AD246">
        <f>IF(242=$AI$1+1,"Z",IF($AC246="","",IF(INDEX($V$5:$V$404,$AC246)="","",IF(242&gt;INDEX($AB$5:$AB$404,$AC246)+INDEX($Z$5:$Z$404,$AC246)+INDEX($AA$5:$AA$404,$AC246)+INDEX($AO$5:$AO$404,$AC246),"",IF(242=INDEX($AB$5:$AB$404,$AC246)+INDEX($Z$5:$Z$404,$AC246),"D",IF(AND(INDEX($Z$5:$Z$404,$AC246)=1,242=INDEX($AB$5:$AB$404,$AC246)),"H",IF(AND(INDEX($AO$5:$AO$404,$AC246)=1,242=INDEX($AB$5:$AB$404,$AC246)+INDEX($Z$5:$Z$404,$AC246)+INDEX($AA$5:$AA$404,$AC246)+INDEX($AO$5:$AO$404,$AC246)),"B","T")))))))</f>
        <v/>
      </c>
      <c r="AF246">
        <f>IF(OR($AD246="",$AD246="Z",$AD246="B"),"",INDEX($X$5:$X$404,$AC246))</f>
        <v/>
      </c>
      <c r="AJ246">
        <f>IF($AD246&lt;&gt;"T",0,ROUND(SUMIF(oil!$B$4:$B$63,$AF246,oil!$AE$4:$AE$63),2))</f>
        <v/>
      </c>
      <c r="AK246">
        <f>IF($S246="","",IFERROR(INDEX(อัตราค่าขนส่ง!$P$5:$P$54,MATCH($S246,อัตราค่าขนส่ง!$O$5:$O$54,0)),INDEX(รายการมาตรฐาน!$G$2:$G$3,1)))</f>
        <v/>
      </c>
      <c r="AL246">
        <f>IF($S246="","",IFERROR(MATCH($AK246,รายการมาตรฐาน!$G$2:$G$3,0),1))</f>
        <v/>
      </c>
      <c r="AM246">
        <f>IF($V246="","",INDEX($AK$5:$AK$404,$V246))</f>
        <v/>
      </c>
      <c r="AN246">
        <f>IF($V246="","",INDEX($AL$5:$AL$404,$V246))</f>
        <v/>
      </c>
      <c r="AO246">
        <f>IF(OR($V246="",$AI$2&lt;=1),0,IF($V247="",1,IF($AN247&lt;&gt;$AN246,1,0)))</f>
        <v/>
      </c>
      <c r="AP246">
        <f>IF($V246="",0,IF($AN246&lt;&gt;$AN245,1,0))</f>
        <v/>
      </c>
      <c r="AQ246">
        <f>IF(OR($AD246="",$AD246="Z"),"",INDEX($AN$5:$AN$404,$AC246))</f>
        <v/>
      </c>
      <c r="AR246">
        <f>IF($Y246="",0,COUNTIF(บันทึกรายเที่ยว!$V$6:$V$6005,$Y246))</f>
        <v/>
      </c>
      <c r="AS246">
        <f>IF($Y246="",0,ROUND(SUMIF(บันทึกรายเที่ยว!$V$6:$V$6005,$Y246,บันทึกรายเที่ยว!$M$6:$M$6005),2))</f>
        <v/>
      </c>
      <c r="AT246">
        <f>IF($Y246="",0,IFERROR(INDEX(อัตราค่าขนส่ง!$G$5:$G$204,MATCH($Y246,อัตราค่าขนส่ง!$M$5:$M$204,0)),0))</f>
        <v/>
      </c>
      <c r="AU246">
        <f>ROUND($AS246*$BD246,2)</f>
        <v/>
      </c>
      <c r="AV246">
        <f>ROUND($AU246*$BF$2/100,2)</f>
        <v/>
      </c>
      <c r="AW246">
        <f>IF($Y246="","",IFERROR(INDEX(อัตราค่าขนส่ง!$F$5:$F$204,MATCH($Y246,อัตราค่าขนส่ง!$M$5:$M$204,0)),""))</f>
        <v/>
      </c>
      <c r="AX246">
        <f>IF($W246="","",INDEX(บันทึกรายเที่ยว!$D$6:$D$6005,$W246))</f>
        <v/>
      </c>
      <c r="AY246">
        <f>IF($W246="","",INDEX(บันทึกรายเที่ยว!$R$6:$R$6005,$W246))</f>
        <v/>
      </c>
      <c r="AZ246">
        <f>IF(AND($AD246="T",$AQ246=1),N($AZ245)+1,N($AZ245))</f>
        <v/>
      </c>
      <c r="BA246">
        <f>IF($W246="","",INDEX(บันทึกรายเที่ยว!$E$6:$E$6005,$W246))</f>
        <v/>
      </c>
      <c r="BC246">
        <f>IF($Y246="",0,IFERROR(INDEX(อัตราค่าขนส่ง!$K$5:$K$204,MATCH($Y246,อัตราค่าขนส่ง!$M$5:$M$204,0)),0))</f>
        <v/>
      </c>
      <c r="BD246">
        <f>IF($Y246="",0,IFERROR(INDEX(อัตราค่าขนส่ง!$L$5:$L$204,MATCH($Y246,อัตราค่าขนส่ง!$M$5:$M$204,0)),0))</f>
        <v/>
      </c>
    </row>
    <row r="247" ht="21" customHeight="1" s="66">
      <c r="A247" s="69">
        <f>IF($AD247="","",IF($AD247="Z","รวมจ่ายทั้งสิ้น",IF($AD247="H",INDEX($X$5:$X$404,$AC247),IF($AD247="T","รวม",IF($AD247="B",IFERROR(INDEX(อัตราค่าขนส่ง!$S$5:$S$14,MATCH(INDEX($AM$5:$AM$404,$AC247),อัตราค่าขนส่ง!$R$5:$R$14,0)),"รวมกลุ่ม "&amp;INDEX($AM$5:$AM$404,$AC247)),INDEX($AY$5:$AY$404,$AC247))))))</f>
        <v/>
      </c>
      <c r="B247" s="31">
        <f>IF($AD247&lt;&gt;"D","",INDEX($AW$5:$AW$404,$AC247))</f>
        <v/>
      </c>
      <c r="C247" s="68">
        <f>IF($AD247&lt;&gt;"D","",INDEX($AX$5:$AX$404,$AC247))</f>
        <v/>
      </c>
      <c r="D247" s="70">
        <f>IF($AD247&lt;&gt;"D","",INDEX($BA$5:$BA$404,$AC247))</f>
        <v/>
      </c>
      <c r="E247" s="31">
        <f>IF($AD247="Z",SUM($AR$5:$AR$404),IF($AD247="D",INDEX($AR$5:$AR$404,$AC247),IF($AD247="T",SUMIF($X$5:$X$404,$AF247,$AR$5:$AR$404),IF($AD247="B",SUMIF($AN$5:$AN$404,$AQ247,$AR$5:$AR$404),""))))</f>
        <v/>
      </c>
      <c r="F247" s="32">
        <f>IF($AD247="Z",ROUND(SUM($AS$5:$AS$404),2),IF($AD247="D",INDEX($AS$5:$AS$404,$AC247),IF($AD247="T",ROUND(SUMIF($X$5:$X$404,$AF247,$AS$5:$AS$404),2),IF($AD247="B",ROUND(SUMIF($AN$5:$AN$404,$AQ247,$AS$5:$AS$404),2),""))))</f>
        <v/>
      </c>
      <c r="G247" s="32">
        <f>IF($AD247&lt;&gt;"D","",INDEX($AT$5:$AT$404,$AC247))</f>
        <v/>
      </c>
      <c r="H247" s="32">
        <f>IF($AD247&lt;&gt;"D","",INDEX($BC$5:$BC$404,$AC247))</f>
        <v/>
      </c>
      <c r="I247" s="32">
        <f>IF($AD247&lt;&gt;"D","",INDEX($BD$5:$BD$404,$AC247))</f>
        <v/>
      </c>
      <c r="J247" s="46">
        <f>IF($AD247&lt;&gt;"D","",IF(N($B247)=0,"",ROUND($I247/$B247,4)))</f>
        <v/>
      </c>
      <c r="K247" s="32">
        <f>IF($AD247="Z",ROUND(SUM($AU$5:$AU$404),2),IF($AD247="D",INDEX($AU$5:$AU$404,$AC247),IF($AD247="T",ROUND(SUMIF($X$5:$X$404,$AF247,$AU$5:$AU$404),2),IF($AD247="B",ROUND(SUMIF($AN$5:$AN$404,$AQ247,$AU$5:$AU$404),2),""))))</f>
        <v/>
      </c>
      <c r="L247" s="32">
        <f>IF($AD247="Z",ROUND(SUM($AV$5:$AV$404),2),IF($AD247="D",INDEX($AV$5:$AV$404,$AC247),IF($AD247="T",ROUND(SUMIF($X$5:$X$404,$AF247,$AV$5:$AV$404),2),IF($AD247="B",ROUND(SUMIF($AN$5:$AN$404,$AQ247,$AV$5:$AV$404),2),""))))</f>
        <v/>
      </c>
      <c r="M247" s="32">
        <f>IF($AD247="Z",ROUND(SUM($AJ$5:$AJ$704),2),IF($AD247="B",ROUND(SUMIF($AQ$5:$AQ$704,$AQ247,$AJ$5:$AJ$704),2),IF($AD247&lt;&gt;"T","",$AJ247)))</f>
        <v/>
      </c>
      <c r="N247" s="32">
        <f>IF(OR($AD247="D",$AD247="T",$AD247="B",$AD247="Z"),ROUND(N($K247)-N($L247)-N($M247),2),"")</f>
        <v/>
      </c>
      <c r="O247" s="32">
        <f>IF(OR($AD247="D",$AD247="T",$AD247="B",$AD247="Z"),IF(N($E247)=0,"",ROUND($F247/$E247,2)),"")</f>
        <v/>
      </c>
      <c r="Q247">
        <f>IFERROR(MATCH(243,บันทึกรายเที่ยว!$Z$6:$Z$6005,0),"")</f>
        <v/>
      </c>
      <c r="R247">
        <f>IF($Q247="","",INDEX(บันทึกรายเที่ยว!$V$6:$V$6005,$Q247))</f>
        <v/>
      </c>
      <c r="S247">
        <f>IF($Q247="","",INDEX(บันทึกรายเที่ยว!$F$6:$F$6005,$Q247))</f>
        <v/>
      </c>
      <c r="T247">
        <f>IF($Q247="","",MATCH($S247,บันทึกรายเที่ยว!$F$6:$F$6005,0))</f>
        <v/>
      </c>
      <c r="U247">
        <f>IF($Q247="","",$AL247*10000000+$T247*1000+243)</f>
        <v/>
      </c>
      <c r="V247">
        <f>IFERROR(MATCH(SMALL($U$5:$U$404,243),$U$5:$U$404,0),"")</f>
        <v/>
      </c>
      <c r="W247">
        <f>IF($V247="","",INDEX($Q$5:$Q$404,$V247))</f>
        <v/>
      </c>
      <c r="X247">
        <f>IF($V247="","",INDEX($S$5:$S$404,$V247))</f>
        <v/>
      </c>
      <c r="Y247">
        <f>IF($V247="","",INDEX($R$5:$R$404,$V247))</f>
        <v/>
      </c>
      <c r="Z247">
        <f>IF($V247="",0,IF($X247&lt;&gt;$X246,1,0))</f>
        <v/>
      </c>
      <c r="AA247">
        <f>IF($V247="",0,IF($V248="",1,IF($X248&lt;&gt;$X247,1,0)))</f>
        <v/>
      </c>
      <c r="AB247">
        <f>IF($V247="",99999+243,$AB246+1+$Z246+$AA246+$AO246)</f>
        <v/>
      </c>
      <c r="AC247">
        <f>IFERROR(MATCH(243,$AB$5:$AB$404,1),"")</f>
        <v/>
      </c>
      <c r="AD247">
        <f>IF(243=$AI$1+1,"Z",IF($AC247="","",IF(INDEX($V$5:$V$404,$AC247)="","",IF(243&gt;INDEX($AB$5:$AB$404,$AC247)+INDEX($Z$5:$Z$404,$AC247)+INDEX($AA$5:$AA$404,$AC247)+INDEX($AO$5:$AO$404,$AC247),"",IF(243=INDEX($AB$5:$AB$404,$AC247)+INDEX($Z$5:$Z$404,$AC247),"D",IF(AND(INDEX($Z$5:$Z$404,$AC247)=1,243=INDEX($AB$5:$AB$404,$AC247)),"H",IF(AND(INDEX($AO$5:$AO$404,$AC247)=1,243=INDEX($AB$5:$AB$404,$AC247)+INDEX($Z$5:$Z$404,$AC247)+INDEX($AA$5:$AA$404,$AC247)+INDEX($AO$5:$AO$404,$AC247)),"B","T")))))))</f>
        <v/>
      </c>
      <c r="AF247">
        <f>IF(OR($AD247="",$AD247="Z",$AD247="B"),"",INDEX($X$5:$X$404,$AC247))</f>
        <v/>
      </c>
      <c r="AJ247">
        <f>IF($AD247&lt;&gt;"T",0,ROUND(SUMIF(oil!$B$4:$B$63,$AF247,oil!$AE$4:$AE$63),2))</f>
        <v/>
      </c>
      <c r="AK247">
        <f>IF($S247="","",IFERROR(INDEX(อัตราค่าขนส่ง!$P$5:$P$54,MATCH($S247,อัตราค่าขนส่ง!$O$5:$O$54,0)),INDEX(รายการมาตรฐาน!$G$2:$G$3,1)))</f>
        <v/>
      </c>
      <c r="AL247">
        <f>IF($S247="","",IFERROR(MATCH($AK247,รายการมาตรฐาน!$G$2:$G$3,0),1))</f>
        <v/>
      </c>
      <c r="AM247">
        <f>IF($V247="","",INDEX($AK$5:$AK$404,$V247))</f>
        <v/>
      </c>
      <c r="AN247">
        <f>IF($V247="","",INDEX($AL$5:$AL$404,$V247))</f>
        <v/>
      </c>
      <c r="AO247">
        <f>IF(OR($V247="",$AI$2&lt;=1),0,IF($V248="",1,IF($AN248&lt;&gt;$AN247,1,0)))</f>
        <v/>
      </c>
      <c r="AP247">
        <f>IF($V247="",0,IF($AN247&lt;&gt;$AN246,1,0))</f>
        <v/>
      </c>
      <c r="AQ247">
        <f>IF(OR($AD247="",$AD247="Z"),"",INDEX($AN$5:$AN$404,$AC247))</f>
        <v/>
      </c>
      <c r="AR247">
        <f>IF($Y247="",0,COUNTIF(บันทึกรายเที่ยว!$V$6:$V$6005,$Y247))</f>
        <v/>
      </c>
      <c r="AS247">
        <f>IF($Y247="",0,ROUND(SUMIF(บันทึกรายเที่ยว!$V$6:$V$6005,$Y247,บันทึกรายเที่ยว!$M$6:$M$6005),2))</f>
        <v/>
      </c>
      <c r="AT247">
        <f>IF($Y247="",0,IFERROR(INDEX(อัตราค่าขนส่ง!$G$5:$G$204,MATCH($Y247,อัตราค่าขนส่ง!$M$5:$M$204,0)),0))</f>
        <v/>
      </c>
      <c r="AU247">
        <f>ROUND($AS247*$BD247,2)</f>
        <v/>
      </c>
      <c r="AV247">
        <f>ROUND($AU247*$BF$2/100,2)</f>
        <v/>
      </c>
      <c r="AW247">
        <f>IF($Y247="","",IFERROR(INDEX(อัตราค่าขนส่ง!$F$5:$F$204,MATCH($Y247,อัตราค่าขนส่ง!$M$5:$M$204,0)),""))</f>
        <v/>
      </c>
      <c r="AX247">
        <f>IF($W247="","",INDEX(บันทึกรายเที่ยว!$D$6:$D$6005,$W247))</f>
        <v/>
      </c>
      <c r="AY247">
        <f>IF($W247="","",INDEX(บันทึกรายเที่ยว!$R$6:$R$6005,$W247))</f>
        <v/>
      </c>
      <c r="AZ247">
        <f>IF(AND($AD247="T",$AQ247=1),N($AZ246)+1,N($AZ246))</f>
        <v/>
      </c>
      <c r="BA247">
        <f>IF($W247="","",INDEX(บันทึกรายเที่ยว!$E$6:$E$6005,$W247))</f>
        <v/>
      </c>
      <c r="BC247">
        <f>IF($Y247="",0,IFERROR(INDEX(อัตราค่าขนส่ง!$K$5:$K$204,MATCH($Y247,อัตราค่าขนส่ง!$M$5:$M$204,0)),0))</f>
        <v/>
      </c>
      <c r="BD247">
        <f>IF($Y247="",0,IFERROR(INDEX(อัตราค่าขนส่ง!$L$5:$L$204,MATCH($Y247,อัตราค่าขนส่ง!$M$5:$M$204,0)),0))</f>
        <v/>
      </c>
    </row>
    <row r="248" ht="21" customHeight="1" s="66">
      <c r="A248" s="69">
        <f>IF($AD248="","",IF($AD248="Z","รวมจ่ายทั้งสิ้น",IF($AD248="H",INDEX($X$5:$X$404,$AC248),IF($AD248="T","รวม",IF($AD248="B",IFERROR(INDEX(อัตราค่าขนส่ง!$S$5:$S$14,MATCH(INDEX($AM$5:$AM$404,$AC248),อัตราค่าขนส่ง!$R$5:$R$14,0)),"รวมกลุ่ม "&amp;INDEX($AM$5:$AM$404,$AC248)),INDEX($AY$5:$AY$404,$AC248))))))</f>
        <v/>
      </c>
      <c r="B248" s="31">
        <f>IF($AD248&lt;&gt;"D","",INDEX($AW$5:$AW$404,$AC248))</f>
        <v/>
      </c>
      <c r="C248" s="68">
        <f>IF($AD248&lt;&gt;"D","",INDEX($AX$5:$AX$404,$AC248))</f>
        <v/>
      </c>
      <c r="D248" s="70">
        <f>IF($AD248&lt;&gt;"D","",INDEX($BA$5:$BA$404,$AC248))</f>
        <v/>
      </c>
      <c r="E248" s="31">
        <f>IF($AD248="Z",SUM($AR$5:$AR$404),IF($AD248="D",INDEX($AR$5:$AR$404,$AC248),IF($AD248="T",SUMIF($X$5:$X$404,$AF248,$AR$5:$AR$404),IF($AD248="B",SUMIF($AN$5:$AN$404,$AQ248,$AR$5:$AR$404),""))))</f>
        <v/>
      </c>
      <c r="F248" s="32">
        <f>IF($AD248="Z",ROUND(SUM($AS$5:$AS$404),2),IF($AD248="D",INDEX($AS$5:$AS$404,$AC248),IF($AD248="T",ROUND(SUMIF($X$5:$X$404,$AF248,$AS$5:$AS$404),2),IF($AD248="B",ROUND(SUMIF($AN$5:$AN$404,$AQ248,$AS$5:$AS$404),2),""))))</f>
        <v/>
      </c>
      <c r="G248" s="32">
        <f>IF($AD248&lt;&gt;"D","",INDEX($AT$5:$AT$404,$AC248))</f>
        <v/>
      </c>
      <c r="H248" s="32">
        <f>IF($AD248&lt;&gt;"D","",INDEX($BC$5:$BC$404,$AC248))</f>
        <v/>
      </c>
      <c r="I248" s="32">
        <f>IF($AD248&lt;&gt;"D","",INDEX($BD$5:$BD$404,$AC248))</f>
        <v/>
      </c>
      <c r="J248" s="46">
        <f>IF($AD248&lt;&gt;"D","",IF(N($B248)=0,"",ROUND($I248/$B248,4)))</f>
        <v/>
      </c>
      <c r="K248" s="32">
        <f>IF($AD248="Z",ROUND(SUM($AU$5:$AU$404),2),IF($AD248="D",INDEX($AU$5:$AU$404,$AC248),IF($AD248="T",ROUND(SUMIF($X$5:$X$404,$AF248,$AU$5:$AU$404),2),IF($AD248="B",ROUND(SUMIF($AN$5:$AN$404,$AQ248,$AU$5:$AU$404),2),""))))</f>
        <v/>
      </c>
      <c r="L248" s="32">
        <f>IF($AD248="Z",ROUND(SUM($AV$5:$AV$404),2),IF($AD248="D",INDEX($AV$5:$AV$404,$AC248),IF($AD248="T",ROUND(SUMIF($X$5:$X$404,$AF248,$AV$5:$AV$404),2),IF($AD248="B",ROUND(SUMIF($AN$5:$AN$404,$AQ248,$AV$5:$AV$404),2),""))))</f>
        <v/>
      </c>
      <c r="M248" s="32">
        <f>IF($AD248="Z",ROUND(SUM($AJ$5:$AJ$704),2),IF($AD248="B",ROUND(SUMIF($AQ$5:$AQ$704,$AQ248,$AJ$5:$AJ$704),2),IF($AD248&lt;&gt;"T","",$AJ248)))</f>
        <v/>
      </c>
      <c r="N248" s="32">
        <f>IF(OR($AD248="D",$AD248="T",$AD248="B",$AD248="Z"),ROUND(N($K248)-N($L248)-N($M248),2),"")</f>
        <v/>
      </c>
      <c r="O248" s="32">
        <f>IF(OR($AD248="D",$AD248="T",$AD248="B",$AD248="Z"),IF(N($E248)=0,"",ROUND($F248/$E248,2)),"")</f>
        <v/>
      </c>
      <c r="Q248">
        <f>IFERROR(MATCH(244,บันทึกรายเที่ยว!$Z$6:$Z$6005,0),"")</f>
        <v/>
      </c>
      <c r="R248">
        <f>IF($Q248="","",INDEX(บันทึกรายเที่ยว!$V$6:$V$6005,$Q248))</f>
        <v/>
      </c>
      <c r="S248">
        <f>IF($Q248="","",INDEX(บันทึกรายเที่ยว!$F$6:$F$6005,$Q248))</f>
        <v/>
      </c>
      <c r="T248">
        <f>IF($Q248="","",MATCH($S248,บันทึกรายเที่ยว!$F$6:$F$6005,0))</f>
        <v/>
      </c>
      <c r="U248">
        <f>IF($Q248="","",$AL248*10000000+$T248*1000+244)</f>
        <v/>
      </c>
      <c r="V248">
        <f>IFERROR(MATCH(SMALL($U$5:$U$404,244),$U$5:$U$404,0),"")</f>
        <v/>
      </c>
      <c r="W248">
        <f>IF($V248="","",INDEX($Q$5:$Q$404,$V248))</f>
        <v/>
      </c>
      <c r="X248">
        <f>IF($V248="","",INDEX($S$5:$S$404,$V248))</f>
        <v/>
      </c>
      <c r="Y248">
        <f>IF($V248="","",INDEX($R$5:$R$404,$V248))</f>
        <v/>
      </c>
      <c r="Z248">
        <f>IF($V248="",0,IF($X248&lt;&gt;$X247,1,0))</f>
        <v/>
      </c>
      <c r="AA248">
        <f>IF($V248="",0,IF($V249="",1,IF($X249&lt;&gt;$X248,1,0)))</f>
        <v/>
      </c>
      <c r="AB248">
        <f>IF($V248="",99999+244,$AB247+1+$Z247+$AA247+$AO247)</f>
        <v/>
      </c>
      <c r="AC248">
        <f>IFERROR(MATCH(244,$AB$5:$AB$404,1),"")</f>
        <v/>
      </c>
      <c r="AD248">
        <f>IF(244=$AI$1+1,"Z",IF($AC248="","",IF(INDEX($V$5:$V$404,$AC248)="","",IF(244&gt;INDEX($AB$5:$AB$404,$AC248)+INDEX($Z$5:$Z$404,$AC248)+INDEX($AA$5:$AA$404,$AC248)+INDEX($AO$5:$AO$404,$AC248),"",IF(244=INDEX($AB$5:$AB$404,$AC248)+INDEX($Z$5:$Z$404,$AC248),"D",IF(AND(INDEX($Z$5:$Z$404,$AC248)=1,244=INDEX($AB$5:$AB$404,$AC248)),"H",IF(AND(INDEX($AO$5:$AO$404,$AC248)=1,244=INDEX($AB$5:$AB$404,$AC248)+INDEX($Z$5:$Z$404,$AC248)+INDEX($AA$5:$AA$404,$AC248)+INDEX($AO$5:$AO$404,$AC248)),"B","T")))))))</f>
        <v/>
      </c>
      <c r="AF248">
        <f>IF(OR($AD248="",$AD248="Z",$AD248="B"),"",INDEX($X$5:$X$404,$AC248))</f>
        <v/>
      </c>
      <c r="AJ248">
        <f>IF($AD248&lt;&gt;"T",0,ROUND(SUMIF(oil!$B$4:$B$63,$AF248,oil!$AE$4:$AE$63),2))</f>
        <v/>
      </c>
      <c r="AK248">
        <f>IF($S248="","",IFERROR(INDEX(อัตราค่าขนส่ง!$P$5:$P$54,MATCH($S248,อัตราค่าขนส่ง!$O$5:$O$54,0)),INDEX(รายการมาตรฐาน!$G$2:$G$3,1)))</f>
        <v/>
      </c>
      <c r="AL248">
        <f>IF($S248="","",IFERROR(MATCH($AK248,รายการมาตรฐาน!$G$2:$G$3,0),1))</f>
        <v/>
      </c>
      <c r="AM248">
        <f>IF($V248="","",INDEX($AK$5:$AK$404,$V248))</f>
        <v/>
      </c>
      <c r="AN248">
        <f>IF($V248="","",INDEX($AL$5:$AL$404,$V248))</f>
        <v/>
      </c>
      <c r="AO248">
        <f>IF(OR($V248="",$AI$2&lt;=1),0,IF($V249="",1,IF($AN249&lt;&gt;$AN248,1,0)))</f>
        <v/>
      </c>
      <c r="AP248">
        <f>IF($V248="",0,IF($AN248&lt;&gt;$AN247,1,0))</f>
        <v/>
      </c>
      <c r="AQ248">
        <f>IF(OR($AD248="",$AD248="Z"),"",INDEX($AN$5:$AN$404,$AC248))</f>
        <v/>
      </c>
      <c r="AR248">
        <f>IF($Y248="",0,COUNTIF(บันทึกรายเที่ยว!$V$6:$V$6005,$Y248))</f>
        <v/>
      </c>
      <c r="AS248">
        <f>IF($Y248="",0,ROUND(SUMIF(บันทึกรายเที่ยว!$V$6:$V$6005,$Y248,บันทึกรายเที่ยว!$M$6:$M$6005),2))</f>
        <v/>
      </c>
      <c r="AT248">
        <f>IF($Y248="",0,IFERROR(INDEX(อัตราค่าขนส่ง!$G$5:$G$204,MATCH($Y248,อัตราค่าขนส่ง!$M$5:$M$204,0)),0))</f>
        <v/>
      </c>
      <c r="AU248">
        <f>ROUND($AS248*$BD248,2)</f>
        <v/>
      </c>
      <c r="AV248">
        <f>ROUND($AU248*$BF$2/100,2)</f>
        <v/>
      </c>
      <c r="AW248">
        <f>IF($Y248="","",IFERROR(INDEX(อัตราค่าขนส่ง!$F$5:$F$204,MATCH($Y248,อัตราค่าขนส่ง!$M$5:$M$204,0)),""))</f>
        <v/>
      </c>
      <c r="AX248">
        <f>IF($W248="","",INDEX(บันทึกรายเที่ยว!$D$6:$D$6005,$W248))</f>
        <v/>
      </c>
      <c r="AY248">
        <f>IF($W248="","",INDEX(บันทึกรายเที่ยว!$R$6:$R$6005,$W248))</f>
        <v/>
      </c>
      <c r="AZ248">
        <f>IF(AND($AD248="T",$AQ248=1),N($AZ247)+1,N($AZ247))</f>
        <v/>
      </c>
      <c r="BA248">
        <f>IF($W248="","",INDEX(บันทึกรายเที่ยว!$E$6:$E$6005,$W248))</f>
        <v/>
      </c>
      <c r="BC248">
        <f>IF($Y248="",0,IFERROR(INDEX(อัตราค่าขนส่ง!$K$5:$K$204,MATCH($Y248,อัตราค่าขนส่ง!$M$5:$M$204,0)),0))</f>
        <v/>
      </c>
      <c r="BD248">
        <f>IF($Y248="",0,IFERROR(INDEX(อัตราค่าขนส่ง!$L$5:$L$204,MATCH($Y248,อัตราค่าขนส่ง!$M$5:$M$204,0)),0))</f>
        <v/>
      </c>
    </row>
    <row r="249" ht="21" customHeight="1" s="66">
      <c r="A249" s="69">
        <f>IF($AD249="","",IF($AD249="Z","รวมจ่ายทั้งสิ้น",IF($AD249="H",INDEX($X$5:$X$404,$AC249),IF($AD249="T","รวม",IF($AD249="B",IFERROR(INDEX(อัตราค่าขนส่ง!$S$5:$S$14,MATCH(INDEX($AM$5:$AM$404,$AC249),อัตราค่าขนส่ง!$R$5:$R$14,0)),"รวมกลุ่ม "&amp;INDEX($AM$5:$AM$404,$AC249)),INDEX($AY$5:$AY$404,$AC249))))))</f>
        <v/>
      </c>
      <c r="B249" s="31">
        <f>IF($AD249&lt;&gt;"D","",INDEX($AW$5:$AW$404,$AC249))</f>
        <v/>
      </c>
      <c r="C249" s="68">
        <f>IF($AD249&lt;&gt;"D","",INDEX($AX$5:$AX$404,$AC249))</f>
        <v/>
      </c>
      <c r="D249" s="70">
        <f>IF($AD249&lt;&gt;"D","",INDEX($BA$5:$BA$404,$AC249))</f>
        <v/>
      </c>
      <c r="E249" s="31">
        <f>IF($AD249="Z",SUM($AR$5:$AR$404),IF($AD249="D",INDEX($AR$5:$AR$404,$AC249),IF($AD249="T",SUMIF($X$5:$X$404,$AF249,$AR$5:$AR$404),IF($AD249="B",SUMIF($AN$5:$AN$404,$AQ249,$AR$5:$AR$404),""))))</f>
        <v/>
      </c>
      <c r="F249" s="32">
        <f>IF($AD249="Z",ROUND(SUM($AS$5:$AS$404),2),IF($AD249="D",INDEX($AS$5:$AS$404,$AC249),IF($AD249="T",ROUND(SUMIF($X$5:$X$404,$AF249,$AS$5:$AS$404),2),IF($AD249="B",ROUND(SUMIF($AN$5:$AN$404,$AQ249,$AS$5:$AS$404),2),""))))</f>
        <v/>
      </c>
      <c r="G249" s="32">
        <f>IF($AD249&lt;&gt;"D","",INDEX($AT$5:$AT$404,$AC249))</f>
        <v/>
      </c>
      <c r="H249" s="32">
        <f>IF($AD249&lt;&gt;"D","",INDEX($BC$5:$BC$404,$AC249))</f>
        <v/>
      </c>
      <c r="I249" s="32">
        <f>IF($AD249&lt;&gt;"D","",INDEX($BD$5:$BD$404,$AC249))</f>
        <v/>
      </c>
      <c r="J249" s="46">
        <f>IF($AD249&lt;&gt;"D","",IF(N($B249)=0,"",ROUND($I249/$B249,4)))</f>
        <v/>
      </c>
      <c r="K249" s="32">
        <f>IF($AD249="Z",ROUND(SUM($AU$5:$AU$404),2),IF($AD249="D",INDEX($AU$5:$AU$404,$AC249),IF($AD249="T",ROUND(SUMIF($X$5:$X$404,$AF249,$AU$5:$AU$404),2),IF($AD249="B",ROUND(SUMIF($AN$5:$AN$404,$AQ249,$AU$5:$AU$404),2),""))))</f>
        <v/>
      </c>
      <c r="L249" s="32">
        <f>IF($AD249="Z",ROUND(SUM($AV$5:$AV$404),2),IF($AD249="D",INDEX($AV$5:$AV$404,$AC249),IF($AD249="T",ROUND(SUMIF($X$5:$X$404,$AF249,$AV$5:$AV$404),2),IF($AD249="B",ROUND(SUMIF($AN$5:$AN$404,$AQ249,$AV$5:$AV$404),2),""))))</f>
        <v/>
      </c>
      <c r="M249" s="32">
        <f>IF($AD249="Z",ROUND(SUM($AJ$5:$AJ$704),2),IF($AD249="B",ROUND(SUMIF($AQ$5:$AQ$704,$AQ249,$AJ$5:$AJ$704),2),IF($AD249&lt;&gt;"T","",$AJ249)))</f>
        <v/>
      </c>
      <c r="N249" s="32">
        <f>IF(OR($AD249="D",$AD249="T",$AD249="B",$AD249="Z"),ROUND(N($K249)-N($L249)-N($M249),2),"")</f>
        <v/>
      </c>
      <c r="O249" s="32">
        <f>IF(OR($AD249="D",$AD249="T",$AD249="B",$AD249="Z"),IF(N($E249)=0,"",ROUND($F249/$E249,2)),"")</f>
        <v/>
      </c>
      <c r="Q249">
        <f>IFERROR(MATCH(245,บันทึกรายเที่ยว!$Z$6:$Z$6005,0),"")</f>
        <v/>
      </c>
      <c r="R249">
        <f>IF($Q249="","",INDEX(บันทึกรายเที่ยว!$V$6:$V$6005,$Q249))</f>
        <v/>
      </c>
      <c r="S249">
        <f>IF($Q249="","",INDEX(บันทึกรายเที่ยว!$F$6:$F$6005,$Q249))</f>
        <v/>
      </c>
      <c r="T249">
        <f>IF($Q249="","",MATCH($S249,บันทึกรายเที่ยว!$F$6:$F$6005,0))</f>
        <v/>
      </c>
      <c r="U249">
        <f>IF($Q249="","",$AL249*10000000+$T249*1000+245)</f>
        <v/>
      </c>
      <c r="V249">
        <f>IFERROR(MATCH(SMALL($U$5:$U$404,245),$U$5:$U$404,0),"")</f>
        <v/>
      </c>
      <c r="W249">
        <f>IF($V249="","",INDEX($Q$5:$Q$404,$V249))</f>
        <v/>
      </c>
      <c r="X249">
        <f>IF($V249="","",INDEX($S$5:$S$404,$V249))</f>
        <v/>
      </c>
      <c r="Y249">
        <f>IF($V249="","",INDEX($R$5:$R$404,$V249))</f>
        <v/>
      </c>
      <c r="Z249">
        <f>IF($V249="",0,IF($X249&lt;&gt;$X248,1,0))</f>
        <v/>
      </c>
      <c r="AA249">
        <f>IF($V249="",0,IF($V250="",1,IF($X250&lt;&gt;$X249,1,0)))</f>
        <v/>
      </c>
      <c r="AB249">
        <f>IF($V249="",99999+245,$AB248+1+$Z248+$AA248+$AO248)</f>
        <v/>
      </c>
      <c r="AC249">
        <f>IFERROR(MATCH(245,$AB$5:$AB$404,1),"")</f>
        <v/>
      </c>
      <c r="AD249">
        <f>IF(245=$AI$1+1,"Z",IF($AC249="","",IF(INDEX($V$5:$V$404,$AC249)="","",IF(245&gt;INDEX($AB$5:$AB$404,$AC249)+INDEX($Z$5:$Z$404,$AC249)+INDEX($AA$5:$AA$404,$AC249)+INDEX($AO$5:$AO$404,$AC249),"",IF(245=INDEX($AB$5:$AB$404,$AC249)+INDEX($Z$5:$Z$404,$AC249),"D",IF(AND(INDEX($Z$5:$Z$404,$AC249)=1,245=INDEX($AB$5:$AB$404,$AC249)),"H",IF(AND(INDEX($AO$5:$AO$404,$AC249)=1,245=INDEX($AB$5:$AB$404,$AC249)+INDEX($Z$5:$Z$404,$AC249)+INDEX($AA$5:$AA$404,$AC249)+INDEX($AO$5:$AO$404,$AC249)),"B","T")))))))</f>
        <v/>
      </c>
      <c r="AF249">
        <f>IF(OR($AD249="",$AD249="Z",$AD249="B"),"",INDEX($X$5:$X$404,$AC249))</f>
        <v/>
      </c>
      <c r="AJ249">
        <f>IF($AD249&lt;&gt;"T",0,ROUND(SUMIF(oil!$B$4:$B$63,$AF249,oil!$AE$4:$AE$63),2))</f>
        <v/>
      </c>
      <c r="AK249">
        <f>IF($S249="","",IFERROR(INDEX(อัตราค่าขนส่ง!$P$5:$P$54,MATCH($S249,อัตราค่าขนส่ง!$O$5:$O$54,0)),INDEX(รายการมาตรฐาน!$G$2:$G$3,1)))</f>
        <v/>
      </c>
      <c r="AL249">
        <f>IF($S249="","",IFERROR(MATCH($AK249,รายการมาตรฐาน!$G$2:$G$3,0),1))</f>
        <v/>
      </c>
      <c r="AM249">
        <f>IF($V249="","",INDEX($AK$5:$AK$404,$V249))</f>
        <v/>
      </c>
      <c r="AN249">
        <f>IF($V249="","",INDEX($AL$5:$AL$404,$V249))</f>
        <v/>
      </c>
      <c r="AO249">
        <f>IF(OR($V249="",$AI$2&lt;=1),0,IF($V250="",1,IF($AN250&lt;&gt;$AN249,1,0)))</f>
        <v/>
      </c>
      <c r="AP249">
        <f>IF($V249="",0,IF($AN249&lt;&gt;$AN248,1,0))</f>
        <v/>
      </c>
      <c r="AQ249">
        <f>IF(OR($AD249="",$AD249="Z"),"",INDEX($AN$5:$AN$404,$AC249))</f>
        <v/>
      </c>
      <c r="AR249">
        <f>IF($Y249="",0,COUNTIF(บันทึกรายเที่ยว!$V$6:$V$6005,$Y249))</f>
        <v/>
      </c>
      <c r="AS249">
        <f>IF($Y249="",0,ROUND(SUMIF(บันทึกรายเที่ยว!$V$6:$V$6005,$Y249,บันทึกรายเที่ยว!$M$6:$M$6005),2))</f>
        <v/>
      </c>
      <c r="AT249">
        <f>IF($Y249="",0,IFERROR(INDEX(อัตราค่าขนส่ง!$G$5:$G$204,MATCH($Y249,อัตราค่าขนส่ง!$M$5:$M$204,0)),0))</f>
        <v/>
      </c>
      <c r="AU249">
        <f>ROUND($AS249*$BD249,2)</f>
        <v/>
      </c>
      <c r="AV249">
        <f>ROUND($AU249*$BF$2/100,2)</f>
        <v/>
      </c>
      <c r="AW249">
        <f>IF($Y249="","",IFERROR(INDEX(อัตราค่าขนส่ง!$F$5:$F$204,MATCH($Y249,อัตราค่าขนส่ง!$M$5:$M$204,0)),""))</f>
        <v/>
      </c>
      <c r="AX249">
        <f>IF($W249="","",INDEX(บันทึกรายเที่ยว!$D$6:$D$6005,$W249))</f>
        <v/>
      </c>
      <c r="AY249">
        <f>IF($W249="","",INDEX(บันทึกรายเที่ยว!$R$6:$R$6005,$W249))</f>
        <v/>
      </c>
      <c r="AZ249">
        <f>IF(AND($AD249="T",$AQ249=1),N($AZ248)+1,N($AZ248))</f>
        <v/>
      </c>
      <c r="BA249">
        <f>IF($W249="","",INDEX(บันทึกรายเที่ยว!$E$6:$E$6005,$W249))</f>
        <v/>
      </c>
      <c r="BC249">
        <f>IF($Y249="",0,IFERROR(INDEX(อัตราค่าขนส่ง!$K$5:$K$204,MATCH($Y249,อัตราค่าขนส่ง!$M$5:$M$204,0)),0))</f>
        <v/>
      </c>
      <c r="BD249">
        <f>IF($Y249="",0,IFERROR(INDEX(อัตราค่าขนส่ง!$L$5:$L$204,MATCH($Y249,อัตราค่าขนส่ง!$M$5:$M$204,0)),0))</f>
        <v/>
      </c>
    </row>
    <row r="250" ht="21" customHeight="1" s="66">
      <c r="A250" s="69">
        <f>IF($AD250="","",IF($AD250="Z","รวมจ่ายทั้งสิ้น",IF($AD250="H",INDEX($X$5:$X$404,$AC250),IF($AD250="T","รวม",IF($AD250="B",IFERROR(INDEX(อัตราค่าขนส่ง!$S$5:$S$14,MATCH(INDEX($AM$5:$AM$404,$AC250),อัตราค่าขนส่ง!$R$5:$R$14,0)),"รวมกลุ่ม "&amp;INDEX($AM$5:$AM$404,$AC250)),INDEX($AY$5:$AY$404,$AC250))))))</f>
        <v/>
      </c>
      <c r="B250" s="31">
        <f>IF($AD250&lt;&gt;"D","",INDEX($AW$5:$AW$404,$AC250))</f>
        <v/>
      </c>
      <c r="C250" s="68">
        <f>IF($AD250&lt;&gt;"D","",INDEX($AX$5:$AX$404,$AC250))</f>
        <v/>
      </c>
      <c r="D250" s="70">
        <f>IF($AD250&lt;&gt;"D","",INDEX($BA$5:$BA$404,$AC250))</f>
        <v/>
      </c>
      <c r="E250" s="31">
        <f>IF($AD250="Z",SUM($AR$5:$AR$404),IF($AD250="D",INDEX($AR$5:$AR$404,$AC250),IF($AD250="T",SUMIF($X$5:$X$404,$AF250,$AR$5:$AR$404),IF($AD250="B",SUMIF($AN$5:$AN$404,$AQ250,$AR$5:$AR$404),""))))</f>
        <v/>
      </c>
      <c r="F250" s="32">
        <f>IF($AD250="Z",ROUND(SUM($AS$5:$AS$404),2),IF($AD250="D",INDEX($AS$5:$AS$404,$AC250),IF($AD250="T",ROUND(SUMIF($X$5:$X$404,$AF250,$AS$5:$AS$404),2),IF($AD250="B",ROUND(SUMIF($AN$5:$AN$404,$AQ250,$AS$5:$AS$404),2),""))))</f>
        <v/>
      </c>
      <c r="G250" s="32">
        <f>IF($AD250&lt;&gt;"D","",INDEX($AT$5:$AT$404,$AC250))</f>
        <v/>
      </c>
      <c r="H250" s="32">
        <f>IF($AD250&lt;&gt;"D","",INDEX($BC$5:$BC$404,$AC250))</f>
        <v/>
      </c>
      <c r="I250" s="32">
        <f>IF($AD250&lt;&gt;"D","",INDEX($BD$5:$BD$404,$AC250))</f>
        <v/>
      </c>
      <c r="J250" s="46">
        <f>IF($AD250&lt;&gt;"D","",IF(N($B250)=0,"",ROUND($I250/$B250,4)))</f>
        <v/>
      </c>
      <c r="K250" s="32">
        <f>IF($AD250="Z",ROUND(SUM($AU$5:$AU$404),2),IF($AD250="D",INDEX($AU$5:$AU$404,$AC250),IF($AD250="T",ROUND(SUMIF($X$5:$X$404,$AF250,$AU$5:$AU$404),2),IF($AD250="B",ROUND(SUMIF($AN$5:$AN$404,$AQ250,$AU$5:$AU$404),2),""))))</f>
        <v/>
      </c>
      <c r="L250" s="32">
        <f>IF($AD250="Z",ROUND(SUM($AV$5:$AV$404),2),IF($AD250="D",INDEX($AV$5:$AV$404,$AC250),IF($AD250="T",ROUND(SUMIF($X$5:$X$404,$AF250,$AV$5:$AV$404),2),IF($AD250="B",ROUND(SUMIF($AN$5:$AN$404,$AQ250,$AV$5:$AV$404),2),""))))</f>
        <v/>
      </c>
      <c r="M250" s="32">
        <f>IF($AD250="Z",ROUND(SUM($AJ$5:$AJ$704),2),IF($AD250="B",ROUND(SUMIF($AQ$5:$AQ$704,$AQ250,$AJ$5:$AJ$704),2),IF($AD250&lt;&gt;"T","",$AJ250)))</f>
        <v/>
      </c>
      <c r="N250" s="32">
        <f>IF(OR($AD250="D",$AD250="T",$AD250="B",$AD250="Z"),ROUND(N($K250)-N($L250)-N($M250),2),"")</f>
        <v/>
      </c>
      <c r="O250" s="32">
        <f>IF(OR($AD250="D",$AD250="T",$AD250="B",$AD250="Z"),IF(N($E250)=0,"",ROUND($F250/$E250,2)),"")</f>
        <v/>
      </c>
      <c r="Q250">
        <f>IFERROR(MATCH(246,บันทึกรายเที่ยว!$Z$6:$Z$6005,0),"")</f>
        <v/>
      </c>
      <c r="R250">
        <f>IF($Q250="","",INDEX(บันทึกรายเที่ยว!$V$6:$V$6005,$Q250))</f>
        <v/>
      </c>
      <c r="S250">
        <f>IF($Q250="","",INDEX(บันทึกรายเที่ยว!$F$6:$F$6005,$Q250))</f>
        <v/>
      </c>
      <c r="T250">
        <f>IF($Q250="","",MATCH($S250,บันทึกรายเที่ยว!$F$6:$F$6005,0))</f>
        <v/>
      </c>
      <c r="U250">
        <f>IF($Q250="","",$AL250*10000000+$T250*1000+246)</f>
        <v/>
      </c>
      <c r="V250">
        <f>IFERROR(MATCH(SMALL($U$5:$U$404,246),$U$5:$U$404,0),"")</f>
        <v/>
      </c>
      <c r="W250">
        <f>IF($V250="","",INDEX($Q$5:$Q$404,$V250))</f>
        <v/>
      </c>
      <c r="X250">
        <f>IF($V250="","",INDEX($S$5:$S$404,$V250))</f>
        <v/>
      </c>
      <c r="Y250">
        <f>IF($V250="","",INDEX($R$5:$R$404,$V250))</f>
        <v/>
      </c>
      <c r="Z250">
        <f>IF($V250="",0,IF($X250&lt;&gt;$X249,1,0))</f>
        <v/>
      </c>
      <c r="AA250">
        <f>IF($V250="",0,IF($V251="",1,IF($X251&lt;&gt;$X250,1,0)))</f>
        <v/>
      </c>
      <c r="AB250">
        <f>IF($V250="",99999+246,$AB249+1+$Z249+$AA249+$AO249)</f>
        <v/>
      </c>
      <c r="AC250">
        <f>IFERROR(MATCH(246,$AB$5:$AB$404,1),"")</f>
        <v/>
      </c>
      <c r="AD250">
        <f>IF(246=$AI$1+1,"Z",IF($AC250="","",IF(INDEX($V$5:$V$404,$AC250)="","",IF(246&gt;INDEX($AB$5:$AB$404,$AC250)+INDEX($Z$5:$Z$404,$AC250)+INDEX($AA$5:$AA$404,$AC250)+INDEX($AO$5:$AO$404,$AC250),"",IF(246=INDEX($AB$5:$AB$404,$AC250)+INDEX($Z$5:$Z$404,$AC250),"D",IF(AND(INDEX($Z$5:$Z$404,$AC250)=1,246=INDEX($AB$5:$AB$404,$AC250)),"H",IF(AND(INDEX($AO$5:$AO$404,$AC250)=1,246=INDEX($AB$5:$AB$404,$AC250)+INDEX($Z$5:$Z$404,$AC250)+INDEX($AA$5:$AA$404,$AC250)+INDEX($AO$5:$AO$404,$AC250)),"B","T")))))))</f>
        <v/>
      </c>
      <c r="AF250">
        <f>IF(OR($AD250="",$AD250="Z",$AD250="B"),"",INDEX($X$5:$X$404,$AC250))</f>
        <v/>
      </c>
      <c r="AJ250">
        <f>IF($AD250&lt;&gt;"T",0,ROUND(SUMIF(oil!$B$4:$B$63,$AF250,oil!$AE$4:$AE$63),2))</f>
        <v/>
      </c>
      <c r="AK250">
        <f>IF($S250="","",IFERROR(INDEX(อัตราค่าขนส่ง!$P$5:$P$54,MATCH($S250,อัตราค่าขนส่ง!$O$5:$O$54,0)),INDEX(รายการมาตรฐาน!$G$2:$G$3,1)))</f>
        <v/>
      </c>
      <c r="AL250">
        <f>IF($S250="","",IFERROR(MATCH($AK250,รายการมาตรฐาน!$G$2:$G$3,0),1))</f>
        <v/>
      </c>
      <c r="AM250">
        <f>IF($V250="","",INDEX($AK$5:$AK$404,$V250))</f>
        <v/>
      </c>
      <c r="AN250">
        <f>IF($V250="","",INDEX($AL$5:$AL$404,$V250))</f>
        <v/>
      </c>
      <c r="AO250">
        <f>IF(OR($V250="",$AI$2&lt;=1),0,IF($V251="",1,IF($AN251&lt;&gt;$AN250,1,0)))</f>
        <v/>
      </c>
      <c r="AP250">
        <f>IF($V250="",0,IF($AN250&lt;&gt;$AN249,1,0))</f>
        <v/>
      </c>
      <c r="AQ250">
        <f>IF(OR($AD250="",$AD250="Z"),"",INDEX($AN$5:$AN$404,$AC250))</f>
        <v/>
      </c>
      <c r="AR250">
        <f>IF($Y250="",0,COUNTIF(บันทึกรายเที่ยว!$V$6:$V$6005,$Y250))</f>
        <v/>
      </c>
      <c r="AS250">
        <f>IF($Y250="",0,ROUND(SUMIF(บันทึกรายเที่ยว!$V$6:$V$6005,$Y250,บันทึกรายเที่ยว!$M$6:$M$6005),2))</f>
        <v/>
      </c>
      <c r="AT250">
        <f>IF($Y250="",0,IFERROR(INDEX(อัตราค่าขนส่ง!$G$5:$G$204,MATCH($Y250,อัตราค่าขนส่ง!$M$5:$M$204,0)),0))</f>
        <v/>
      </c>
      <c r="AU250">
        <f>ROUND($AS250*$BD250,2)</f>
        <v/>
      </c>
      <c r="AV250">
        <f>ROUND($AU250*$BF$2/100,2)</f>
        <v/>
      </c>
      <c r="AW250">
        <f>IF($Y250="","",IFERROR(INDEX(อัตราค่าขนส่ง!$F$5:$F$204,MATCH($Y250,อัตราค่าขนส่ง!$M$5:$M$204,0)),""))</f>
        <v/>
      </c>
      <c r="AX250">
        <f>IF($W250="","",INDEX(บันทึกรายเที่ยว!$D$6:$D$6005,$W250))</f>
        <v/>
      </c>
      <c r="AY250">
        <f>IF($W250="","",INDEX(บันทึกรายเที่ยว!$R$6:$R$6005,$W250))</f>
        <v/>
      </c>
      <c r="AZ250">
        <f>IF(AND($AD250="T",$AQ250=1),N($AZ249)+1,N($AZ249))</f>
        <v/>
      </c>
      <c r="BA250">
        <f>IF($W250="","",INDEX(บันทึกรายเที่ยว!$E$6:$E$6005,$W250))</f>
        <v/>
      </c>
      <c r="BC250">
        <f>IF($Y250="",0,IFERROR(INDEX(อัตราค่าขนส่ง!$K$5:$K$204,MATCH($Y250,อัตราค่าขนส่ง!$M$5:$M$204,0)),0))</f>
        <v/>
      </c>
      <c r="BD250">
        <f>IF($Y250="",0,IFERROR(INDEX(อัตราค่าขนส่ง!$L$5:$L$204,MATCH($Y250,อัตราค่าขนส่ง!$M$5:$M$204,0)),0))</f>
        <v/>
      </c>
    </row>
    <row r="251" ht="21" customHeight="1" s="66">
      <c r="A251" s="69">
        <f>IF($AD251="","",IF($AD251="Z","รวมจ่ายทั้งสิ้น",IF($AD251="H",INDEX($X$5:$X$404,$AC251),IF($AD251="T","รวม",IF($AD251="B",IFERROR(INDEX(อัตราค่าขนส่ง!$S$5:$S$14,MATCH(INDEX($AM$5:$AM$404,$AC251),อัตราค่าขนส่ง!$R$5:$R$14,0)),"รวมกลุ่ม "&amp;INDEX($AM$5:$AM$404,$AC251)),INDEX($AY$5:$AY$404,$AC251))))))</f>
        <v/>
      </c>
      <c r="B251" s="31">
        <f>IF($AD251&lt;&gt;"D","",INDEX($AW$5:$AW$404,$AC251))</f>
        <v/>
      </c>
      <c r="C251" s="68">
        <f>IF($AD251&lt;&gt;"D","",INDEX($AX$5:$AX$404,$AC251))</f>
        <v/>
      </c>
      <c r="D251" s="70">
        <f>IF($AD251&lt;&gt;"D","",INDEX($BA$5:$BA$404,$AC251))</f>
        <v/>
      </c>
      <c r="E251" s="31">
        <f>IF($AD251="Z",SUM($AR$5:$AR$404),IF($AD251="D",INDEX($AR$5:$AR$404,$AC251),IF($AD251="T",SUMIF($X$5:$X$404,$AF251,$AR$5:$AR$404),IF($AD251="B",SUMIF($AN$5:$AN$404,$AQ251,$AR$5:$AR$404),""))))</f>
        <v/>
      </c>
      <c r="F251" s="32">
        <f>IF($AD251="Z",ROUND(SUM($AS$5:$AS$404),2),IF($AD251="D",INDEX($AS$5:$AS$404,$AC251),IF($AD251="T",ROUND(SUMIF($X$5:$X$404,$AF251,$AS$5:$AS$404),2),IF($AD251="B",ROUND(SUMIF($AN$5:$AN$404,$AQ251,$AS$5:$AS$404),2),""))))</f>
        <v/>
      </c>
      <c r="G251" s="32">
        <f>IF($AD251&lt;&gt;"D","",INDEX($AT$5:$AT$404,$AC251))</f>
        <v/>
      </c>
      <c r="H251" s="32">
        <f>IF($AD251&lt;&gt;"D","",INDEX($BC$5:$BC$404,$AC251))</f>
        <v/>
      </c>
      <c r="I251" s="32">
        <f>IF($AD251&lt;&gt;"D","",INDEX($BD$5:$BD$404,$AC251))</f>
        <v/>
      </c>
      <c r="J251" s="46">
        <f>IF($AD251&lt;&gt;"D","",IF(N($B251)=0,"",ROUND($I251/$B251,4)))</f>
        <v/>
      </c>
      <c r="K251" s="32">
        <f>IF($AD251="Z",ROUND(SUM($AU$5:$AU$404),2),IF($AD251="D",INDEX($AU$5:$AU$404,$AC251),IF($AD251="T",ROUND(SUMIF($X$5:$X$404,$AF251,$AU$5:$AU$404),2),IF($AD251="B",ROUND(SUMIF($AN$5:$AN$404,$AQ251,$AU$5:$AU$404),2),""))))</f>
        <v/>
      </c>
      <c r="L251" s="32">
        <f>IF($AD251="Z",ROUND(SUM($AV$5:$AV$404),2),IF($AD251="D",INDEX($AV$5:$AV$404,$AC251),IF($AD251="T",ROUND(SUMIF($X$5:$X$404,$AF251,$AV$5:$AV$404),2),IF($AD251="B",ROUND(SUMIF($AN$5:$AN$404,$AQ251,$AV$5:$AV$404),2),""))))</f>
        <v/>
      </c>
      <c r="M251" s="32">
        <f>IF($AD251="Z",ROUND(SUM($AJ$5:$AJ$704),2),IF($AD251="B",ROUND(SUMIF($AQ$5:$AQ$704,$AQ251,$AJ$5:$AJ$704),2),IF($AD251&lt;&gt;"T","",$AJ251)))</f>
        <v/>
      </c>
      <c r="N251" s="32">
        <f>IF(OR($AD251="D",$AD251="T",$AD251="B",$AD251="Z"),ROUND(N($K251)-N($L251)-N($M251),2),"")</f>
        <v/>
      </c>
      <c r="O251" s="32">
        <f>IF(OR($AD251="D",$AD251="T",$AD251="B",$AD251="Z"),IF(N($E251)=0,"",ROUND($F251/$E251,2)),"")</f>
        <v/>
      </c>
      <c r="Q251">
        <f>IFERROR(MATCH(247,บันทึกรายเที่ยว!$Z$6:$Z$6005,0),"")</f>
        <v/>
      </c>
      <c r="R251">
        <f>IF($Q251="","",INDEX(บันทึกรายเที่ยว!$V$6:$V$6005,$Q251))</f>
        <v/>
      </c>
      <c r="S251">
        <f>IF($Q251="","",INDEX(บันทึกรายเที่ยว!$F$6:$F$6005,$Q251))</f>
        <v/>
      </c>
      <c r="T251">
        <f>IF($Q251="","",MATCH($S251,บันทึกรายเที่ยว!$F$6:$F$6005,0))</f>
        <v/>
      </c>
      <c r="U251">
        <f>IF($Q251="","",$AL251*10000000+$T251*1000+247)</f>
        <v/>
      </c>
      <c r="V251">
        <f>IFERROR(MATCH(SMALL($U$5:$U$404,247),$U$5:$U$404,0),"")</f>
        <v/>
      </c>
      <c r="W251">
        <f>IF($V251="","",INDEX($Q$5:$Q$404,$V251))</f>
        <v/>
      </c>
      <c r="X251">
        <f>IF($V251="","",INDEX($S$5:$S$404,$V251))</f>
        <v/>
      </c>
      <c r="Y251">
        <f>IF($V251="","",INDEX($R$5:$R$404,$V251))</f>
        <v/>
      </c>
      <c r="Z251">
        <f>IF($V251="",0,IF($X251&lt;&gt;$X250,1,0))</f>
        <v/>
      </c>
      <c r="AA251">
        <f>IF($V251="",0,IF($V252="",1,IF($X252&lt;&gt;$X251,1,0)))</f>
        <v/>
      </c>
      <c r="AB251">
        <f>IF($V251="",99999+247,$AB250+1+$Z250+$AA250+$AO250)</f>
        <v/>
      </c>
      <c r="AC251">
        <f>IFERROR(MATCH(247,$AB$5:$AB$404,1),"")</f>
        <v/>
      </c>
      <c r="AD251">
        <f>IF(247=$AI$1+1,"Z",IF($AC251="","",IF(INDEX($V$5:$V$404,$AC251)="","",IF(247&gt;INDEX($AB$5:$AB$404,$AC251)+INDEX($Z$5:$Z$404,$AC251)+INDEX($AA$5:$AA$404,$AC251)+INDEX($AO$5:$AO$404,$AC251),"",IF(247=INDEX($AB$5:$AB$404,$AC251)+INDEX($Z$5:$Z$404,$AC251),"D",IF(AND(INDEX($Z$5:$Z$404,$AC251)=1,247=INDEX($AB$5:$AB$404,$AC251)),"H",IF(AND(INDEX($AO$5:$AO$404,$AC251)=1,247=INDEX($AB$5:$AB$404,$AC251)+INDEX($Z$5:$Z$404,$AC251)+INDEX($AA$5:$AA$404,$AC251)+INDEX($AO$5:$AO$404,$AC251)),"B","T")))))))</f>
        <v/>
      </c>
      <c r="AF251">
        <f>IF(OR($AD251="",$AD251="Z",$AD251="B"),"",INDEX($X$5:$X$404,$AC251))</f>
        <v/>
      </c>
      <c r="AJ251">
        <f>IF($AD251&lt;&gt;"T",0,ROUND(SUMIF(oil!$B$4:$B$63,$AF251,oil!$AE$4:$AE$63),2))</f>
        <v/>
      </c>
      <c r="AK251">
        <f>IF($S251="","",IFERROR(INDEX(อัตราค่าขนส่ง!$P$5:$P$54,MATCH($S251,อัตราค่าขนส่ง!$O$5:$O$54,0)),INDEX(รายการมาตรฐาน!$G$2:$G$3,1)))</f>
        <v/>
      </c>
      <c r="AL251">
        <f>IF($S251="","",IFERROR(MATCH($AK251,รายการมาตรฐาน!$G$2:$G$3,0),1))</f>
        <v/>
      </c>
      <c r="AM251">
        <f>IF($V251="","",INDEX($AK$5:$AK$404,$V251))</f>
        <v/>
      </c>
      <c r="AN251">
        <f>IF($V251="","",INDEX($AL$5:$AL$404,$V251))</f>
        <v/>
      </c>
      <c r="AO251">
        <f>IF(OR($V251="",$AI$2&lt;=1),0,IF($V252="",1,IF($AN252&lt;&gt;$AN251,1,0)))</f>
        <v/>
      </c>
      <c r="AP251">
        <f>IF($V251="",0,IF($AN251&lt;&gt;$AN250,1,0))</f>
        <v/>
      </c>
      <c r="AQ251">
        <f>IF(OR($AD251="",$AD251="Z"),"",INDEX($AN$5:$AN$404,$AC251))</f>
        <v/>
      </c>
      <c r="AR251">
        <f>IF($Y251="",0,COUNTIF(บันทึกรายเที่ยว!$V$6:$V$6005,$Y251))</f>
        <v/>
      </c>
      <c r="AS251">
        <f>IF($Y251="",0,ROUND(SUMIF(บันทึกรายเที่ยว!$V$6:$V$6005,$Y251,บันทึกรายเที่ยว!$M$6:$M$6005),2))</f>
        <v/>
      </c>
      <c r="AT251">
        <f>IF($Y251="",0,IFERROR(INDEX(อัตราค่าขนส่ง!$G$5:$G$204,MATCH($Y251,อัตราค่าขนส่ง!$M$5:$M$204,0)),0))</f>
        <v/>
      </c>
      <c r="AU251">
        <f>ROUND($AS251*$BD251,2)</f>
        <v/>
      </c>
      <c r="AV251">
        <f>ROUND($AU251*$BF$2/100,2)</f>
        <v/>
      </c>
      <c r="AW251">
        <f>IF($Y251="","",IFERROR(INDEX(อัตราค่าขนส่ง!$F$5:$F$204,MATCH($Y251,อัตราค่าขนส่ง!$M$5:$M$204,0)),""))</f>
        <v/>
      </c>
      <c r="AX251">
        <f>IF($W251="","",INDEX(บันทึกรายเที่ยว!$D$6:$D$6005,$W251))</f>
        <v/>
      </c>
      <c r="AY251">
        <f>IF($W251="","",INDEX(บันทึกรายเที่ยว!$R$6:$R$6005,$W251))</f>
        <v/>
      </c>
      <c r="AZ251">
        <f>IF(AND($AD251="T",$AQ251=1),N($AZ250)+1,N($AZ250))</f>
        <v/>
      </c>
      <c r="BA251">
        <f>IF($W251="","",INDEX(บันทึกรายเที่ยว!$E$6:$E$6005,$W251))</f>
        <v/>
      </c>
      <c r="BC251">
        <f>IF($Y251="",0,IFERROR(INDEX(อัตราค่าขนส่ง!$K$5:$K$204,MATCH($Y251,อัตราค่าขนส่ง!$M$5:$M$204,0)),0))</f>
        <v/>
      </c>
      <c r="BD251">
        <f>IF($Y251="",0,IFERROR(INDEX(อัตราค่าขนส่ง!$L$5:$L$204,MATCH($Y251,อัตราค่าขนส่ง!$M$5:$M$204,0)),0))</f>
        <v/>
      </c>
    </row>
    <row r="252" ht="21" customHeight="1" s="66">
      <c r="A252" s="69">
        <f>IF($AD252="","",IF($AD252="Z","รวมจ่ายทั้งสิ้น",IF($AD252="H",INDEX($X$5:$X$404,$AC252),IF($AD252="T","รวม",IF($AD252="B",IFERROR(INDEX(อัตราค่าขนส่ง!$S$5:$S$14,MATCH(INDEX($AM$5:$AM$404,$AC252),อัตราค่าขนส่ง!$R$5:$R$14,0)),"รวมกลุ่ม "&amp;INDEX($AM$5:$AM$404,$AC252)),INDEX($AY$5:$AY$404,$AC252))))))</f>
        <v/>
      </c>
      <c r="B252" s="31">
        <f>IF($AD252&lt;&gt;"D","",INDEX($AW$5:$AW$404,$AC252))</f>
        <v/>
      </c>
      <c r="C252" s="68">
        <f>IF($AD252&lt;&gt;"D","",INDEX($AX$5:$AX$404,$AC252))</f>
        <v/>
      </c>
      <c r="D252" s="70">
        <f>IF($AD252&lt;&gt;"D","",INDEX($BA$5:$BA$404,$AC252))</f>
        <v/>
      </c>
      <c r="E252" s="31">
        <f>IF($AD252="Z",SUM($AR$5:$AR$404),IF($AD252="D",INDEX($AR$5:$AR$404,$AC252),IF($AD252="T",SUMIF($X$5:$X$404,$AF252,$AR$5:$AR$404),IF($AD252="B",SUMIF($AN$5:$AN$404,$AQ252,$AR$5:$AR$404),""))))</f>
        <v/>
      </c>
      <c r="F252" s="32">
        <f>IF($AD252="Z",ROUND(SUM($AS$5:$AS$404),2),IF($AD252="D",INDEX($AS$5:$AS$404,$AC252),IF($AD252="T",ROUND(SUMIF($X$5:$X$404,$AF252,$AS$5:$AS$404),2),IF($AD252="B",ROUND(SUMIF($AN$5:$AN$404,$AQ252,$AS$5:$AS$404),2),""))))</f>
        <v/>
      </c>
      <c r="G252" s="32">
        <f>IF($AD252&lt;&gt;"D","",INDEX($AT$5:$AT$404,$AC252))</f>
        <v/>
      </c>
      <c r="H252" s="32">
        <f>IF($AD252&lt;&gt;"D","",INDEX($BC$5:$BC$404,$AC252))</f>
        <v/>
      </c>
      <c r="I252" s="32">
        <f>IF($AD252&lt;&gt;"D","",INDEX($BD$5:$BD$404,$AC252))</f>
        <v/>
      </c>
      <c r="J252" s="46">
        <f>IF($AD252&lt;&gt;"D","",IF(N($B252)=0,"",ROUND($I252/$B252,4)))</f>
        <v/>
      </c>
      <c r="K252" s="32">
        <f>IF($AD252="Z",ROUND(SUM($AU$5:$AU$404),2),IF($AD252="D",INDEX($AU$5:$AU$404,$AC252),IF($AD252="T",ROUND(SUMIF($X$5:$X$404,$AF252,$AU$5:$AU$404),2),IF($AD252="B",ROUND(SUMIF($AN$5:$AN$404,$AQ252,$AU$5:$AU$404),2),""))))</f>
        <v/>
      </c>
      <c r="L252" s="32">
        <f>IF($AD252="Z",ROUND(SUM($AV$5:$AV$404),2),IF($AD252="D",INDEX($AV$5:$AV$404,$AC252),IF($AD252="T",ROUND(SUMIF($X$5:$X$404,$AF252,$AV$5:$AV$404),2),IF($AD252="B",ROUND(SUMIF($AN$5:$AN$404,$AQ252,$AV$5:$AV$404),2),""))))</f>
        <v/>
      </c>
      <c r="M252" s="32">
        <f>IF($AD252="Z",ROUND(SUM($AJ$5:$AJ$704),2),IF($AD252="B",ROUND(SUMIF($AQ$5:$AQ$704,$AQ252,$AJ$5:$AJ$704),2),IF($AD252&lt;&gt;"T","",$AJ252)))</f>
        <v/>
      </c>
      <c r="N252" s="32">
        <f>IF(OR($AD252="D",$AD252="T",$AD252="B",$AD252="Z"),ROUND(N($K252)-N($L252)-N($M252),2),"")</f>
        <v/>
      </c>
      <c r="O252" s="32">
        <f>IF(OR($AD252="D",$AD252="T",$AD252="B",$AD252="Z"),IF(N($E252)=0,"",ROUND($F252/$E252,2)),"")</f>
        <v/>
      </c>
      <c r="Q252">
        <f>IFERROR(MATCH(248,บันทึกรายเที่ยว!$Z$6:$Z$6005,0),"")</f>
        <v/>
      </c>
      <c r="R252">
        <f>IF($Q252="","",INDEX(บันทึกรายเที่ยว!$V$6:$V$6005,$Q252))</f>
        <v/>
      </c>
      <c r="S252">
        <f>IF($Q252="","",INDEX(บันทึกรายเที่ยว!$F$6:$F$6005,$Q252))</f>
        <v/>
      </c>
      <c r="T252">
        <f>IF($Q252="","",MATCH($S252,บันทึกรายเที่ยว!$F$6:$F$6005,0))</f>
        <v/>
      </c>
      <c r="U252">
        <f>IF($Q252="","",$AL252*10000000+$T252*1000+248)</f>
        <v/>
      </c>
      <c r="V252">
        <f>IFERROR(MATCH(SMALL($U$5:$U$404,248),$U$5:$U$404,0),"")</f>
        <v/>
      </c>
      <c r="W252">
        <f>IF($V252="","",INDEX($Q$5:$Q$404,$V252))</f>
        <v/>
      </c>
      <c r="X252">
        <f>IF($V252="","",INDEX($S$5:$S$404,$V252))</f>
        <v/>
      </c>
      <c r="Y252">
        <f>IF($V252="","",INDEX($R$5:$R$404,$V252))</f>
        <v/>
      </c>
      <c r="Z252">
        <f>IF($V252="",0,IF($X252&lt;&gt;$X251,1,0))</f>
        <v/>
      </c>
      <c r="AA252">
        <f>IF($V252="",0,IF($V253="",1,IF($X253&lt;&gt;$X252,1,0)))</f>
        <v/>
      </c>
      <c r="AB252">
        <f>IF($V252="",99999+248,$AB251+1+$Z251+$AA251+$AO251)</f>
        <v/>
      </c>
      <c r="AC252">
        <f>IFERROR(MATCH(248,$AB$5:$AB$404,1),"")</f>
        <v/>
      </c>
      <c r="AD252">
        <f>IF(248=$AI$1+1,"Z",IF($AC252="","",IF(INDEX($V$5:$V$404,$AC252)="","",IF(248&gt;INDEX($AB$5:$AB$404,$AC252)+INDEX($Z$5:$Z$404,$AC252)+INDEX($AA$5:$AA$404,$AC252)+INDEX($AO$5:$AO$404,$AC252),"",IF(248=INDEX($AB$5:$AB$404,$AC252)+INDEX($Z$5:$Z$404,$AC252),"D",IF(AND(INDEX($Z$5:$Z$404,$AC252)=1,248=INDEX($AB$5:$AB$404,$AC252)),"H",IF(AND(INDEX($AO$5:$AO$404,$AC252)=1,248=INDEX($AB$5:$AB$404,$AC252)+INDEX($Z$5:$Z$404,$AC252)+INDEX($AA$5:$AA$404,$AC252)+INDEX($AO$5:$AO$404,$AC252)),"B","T")))))))</f>
        <v/>
      </c>
      <c r="AF252">
        <f>IF(OR($AD252="",$AD252="Z",$AD252="B"),"",INDEX($X$5:$X$404,$AC252))</f>
        <v/>
      </c>
      <c r="AJ252">
        <f>IF($AD252&lt;&gt;"T",0,ROUND(SUMIF(oil!$B$4:$B$63,$AF252,oil!$AE$4:$AE$63),2))</f>
        <v/>
      </c>
      <c r="AK252">
        <f>IF($S252="","",IFERROR(INDEX(อัตราค่าขนส่ง!$P$5:$P$54,MATCH($S252,อัตราค่าขนส่ง!$O$5:$O$54,0)),INDEX(รายการมาตรฐาน!$G$2:$G$3,1)))</f>
        <v/>
      </c>
      <c r="AL252">
        <f>IF($S252="","",IFERROR(MATCH($AK252,รายการมาตรฐาน!$G$2:$G$3,0),1))</f>
        <v/>
      </c>
      <c r="AM252">
        <f>IF($V252="","",INDEX($AK$5:$AK$404,$V252))</f>
        <v/>
      </c>
      <c r="AN252">
        <f>IF($V252="","",INDEX($AL$5:$AL$404,$V252))</f>
        <v/>
      </c>
      <c r="AO252">
        <f>IF(OR($V252="",$AI$2&lt;=1),0,IF($V253="",1,IF($AN253&lt;&gt;$AN252,1,0)))</f>
        <v/>
      </c>
      <c r="AP252">
        <f>IF($V252="",0,IF($AN252&lt;&gt;$AN251,1,0))</f>
        <v/>
      </c>
      <c r="AQ252">
        <f>IF(OR($AD252="",$AD252="Z"),"",INDEX($AN$5:$AN$404,$AC252))</f>
        <v/>
      </c>
      <c r="AR252">
        <f>IF($Y252="",0,COUNTIF(บันทึกรายเที่ยว!$V$6:$V$6005,$Y252))</f>
        <v/>
      </c>
      <c r="AS252">
        <f>IF($Y252="",0,ROUND(SUMIF(บันทึกรายเที่ยว!$V$6:$V$6005,$Y252,บันทึกรายเที่ยว!$M$6:$M$6005),2))</f>
        <v/>
      </c>
      <c r="AT252">
        <f>IF($Y252="",0,IFERROR(INDEX(อัตราค่าขนส่ง!$G$5:$G$204,MATCH($Y252,อัตราค่าขนส่ง!$M$5:$M$204,0)),0))</f>
        <v/>
      </c>
      <c r="AU252">
        <f>ROUND($AS252*$BD252,2)</f>
        <v/>
      </c>
      <c r="AV252">
        <f>ROUND($AU252*$BF$2/100,2)</f>
        <v/>
      </c>
      <c r="AW252">
        <f>IF($Y252="","",IFERROR(INDEX(อัตราค่าขนส่ง!$F$5:$F$204,MATCH($Y252,อัตราค่าขนส่ง!$M$5:$M$204,0)),""))</f>
        <v/>
      </c>
      <c r="AX252">
        <f>IF($W252="","",INDEX(บันทึกรายเที่ยว!$D$6:$D$6005,$W252))</f>
        <v/>
      </c>
      <c r="AY252">
        <f>IF($W252="","",INDEX(บันทึกรายเที่ยว!$R$6:$R$6005,$W252))</f>
        <v/>
      </c>
      <c r="AZ252">
        <f>IF(AND($AD252="T",$AQ252=1),N($AZ251)+1,N($AZ251))</f>
        <v/>
      </c>
      <c r="BA252">
        <f>IF($W252="","",INDEX(บันทึกรายเที่ยว!$E$6:$E$6005,$W252))</f>
        <v/>
      </c>
      <c r="BC252">
        <f>IF($Y252="",0,IFERROR(INDEX(อัตราค่าขนส่ง!$K$5:$K$204,MATCH($Y252,อัตราค่าขนส่ง!$M$5:$M$204,0)),0))</f>
        <v/>
      </c>
      <c r="BD252">
        <f>IF($Y252="",0,IFERROR(INDEX(อัตราค่าขนส่ง!$L$5:$L$204,MATCH($Y252,อัตราค่าขนส่ง!$M$5:$M$204,0)),0))</f>
        <v/>
      </c>
    </row>
    <row r="253" ht="21" customHeight="1" s="66">
      <c r="A253" s="69">
        <f>IF($AD253="","",IF($AD253="Z","รวมจ่ายทั้งสิ้น",IF($AD253="H",INDEX($X$5:$X$404,$AC253),IF($AD253="T","รวม",IF($AD253="B",IFERROR(INDEX(อัตราค่าขนส่ง!$S$5:$S$14,MATCH(INDEX($AM$5:$AM$404,$AC253),อัตราค่าขนส่ง!$R$5:$R$14,0)),"รวมกลุ่ม "&amp;INDEX($AM$5:$AM$404,$AC253)),INDEX($AY$5:$AY$404,$AC253))))))</f>
        <v/>
      </c>
      <c r="B253" s="31">
        <f>IF($AD253&lt;&gt;"D","",INDEX($AW$5:$AW$404,$AC253))</f>
        <v/>
      </c>
      <c r="C253" s="68">
        <f>IF($AD253&lt;&gt;"D","",INDEX($AX$5:$AX$404,$AC253))</f>
        <v/>
      </c>
      <c r="D253" s="70">
        <f>IF($AD253&lt;&gt;"D","",INDEX($BA$5:$BA$404,$AC253))</f>
        <v/>
      </c>
      <c r="E253" s="31">
        <f>IF($AD253="Z",SUM($AR$5:$AR$404),IF($AD253="D",INDEX($AR$5:$AR$404,$AC253),IF($AD253="T",SUMIF($X$5:$X$404,$AF253,$AR$5:$AR$404),IF($AD253="B",SUMIF($AN$5:$AN$404,$AQ253,$AR$5:$AR$404),""))))</f>
        <v/>
      </c>
      <c r="F253" s="32">
        <f>IF($AD253="Z",ROUND(SUM($AS$5:$AS$404),2),IF($AD253="D",INDEX($AS$5:$AS$404,$AC253),IF($AD253="T",ROUND(SUMIF($X$5:$X$404,$AF253,$AS$5:$AS$404),2),IF($AD253="B",ROUND(SUMIF($AN$5:$AN$404,$AQ253,$AS$5:$AS$404),2),""))))</f>
        <v/>
      </c>
      <c r="G253" s="32">
        <f>IF($AD253&lt;&gt;"D","",INDEX($AT$5:$AT$404,$AC253))</f>
        <v/>
      </c>
      <c r="H253" s="32">
        <f>IF($AD253&lt;&gt;"D","",INDEX($BC$5:$BC$404,$AC253))</f>
        <v/>
      </c>
      <c r="I253" s="32">
        <f>IF($AD253&lt;&gt;"D","",INDEX($BD$5:$BD$404,$AC253))</f>
        <v/>
      </c>
      <c r="J253" s="46">
        <f>IF($AD253&lt;&gt;"D","",IF(N($B253)=0,"",ROUND($I253/$B253,4)))</f>
        <v/>
      </c>
      <c r="K253" s="32">
        <f>IF($AD253="Z",ROUND(SUM($AU$5:$AU$404),2),IF($AD253="D",INDEX($AU$5:$AU$404,$AC253),IF($AD253="T",ROUND(SUMIF($X$5:$X$404,$AF253,$AU$5:$AU$404),2),IF($AD253="B",ROUND(SUMIF($AN$5:$AN$404,$AQ253,$AU$5:$AU$404),2),""))))</f>
        <v/>
      </c>
      <c r="L253" s="32">
        <f>IF($AD253="Z",ROUND(SUM($AV$5:$AV$404),2),IF($AD253="D",INDEX($AV$5:$AV$404,$AC253),IF($AD253="T",ROUND(SUMIF($X$5:$X$404,$AF253,$AV$5:$AV$404),2),IF($AD253="B",ROUND(SUMIF($AN$5:$AN$404,$AQ253,$AV$5:$AV$404),2),""))))</f>
        <v/>
      </c>
      <c r="M253" s="32">
        <f>IF($AD253="Z",ROUND(SUM($AJ$5:$AJ$704),2),IF($AD253="B",ROUND(SUMIF($AQ$5:$AQ$704,$AQ253,$AJ$5:$AJ$704),2),IF($AD253&lt;&gt;"T","",$AJ253)))</f>
        <v/>
      </c>
      <c r="N253" s="32">
        <f>IF(OR($AD253="D",$AD253="T",$AD253="B",$AD253="Z"),ROUND(N($K253)-N($L253)-N($M253),2),"")</f>
        <v/>
      </c>
      <c r="O253" s="32">
        <f>IF(OR($AD253="D",$AD253="T",$AD253="B",$AD253="Z"),IF(N($E253)=0,"",ROUND($F253/$E253,2)),"")</f>
        <v/>
      </c>
      <c r="Q253">
        <f>IFERROR(MATCH(249,บันทึกรายเที่ยว!$Z$6:$Z$6005,0),"")</f>
        <v/>
      </c>
      <c r="R253">
        <f>IF($Q253="","",INDEX(บันทึกรายเที่ยว!$V$6:$V$6005,$Q253))</f>
        <v/>
      </c>
      <c r="S253">
        <f>IF($Q253="","",INDEX(บันทึกรายเที่ยว!$F$6:$F$6005,$Q253))</f>
        <v/>
      </c>
      <c r="T253">
        <f>IF($Q253="","",MATCH($S253,บันทึกรายเที่ยว!$F$6:$F$6005,0))</f>
        <v/>
      </c>
      <c r="U253">
        <f>IF($Q253="","",$AL253*10000000+$T253*1000+249)</f>
        <v/>
      </c>
      <c r="V253">
        <f>IFERROR(MATCH(SMALL($U$5:$U$404,249),$U$5:$U$404,0),"")</f>
        <v/>
      </c>
      <c r="W253">
        <f>IF($V253="","",INDEX($Q$5:$Q$404,$V253))</f>
        <v/>
      </c>
      <c r="X253">
        <f>IF($V253="","",INDEX($S$5:$S$404,$V253))</f>
        <v/>
      </c>
      <c r="Y253">
        <f>IF($V253="","",INDEX($R$5:$R$404,$V253))</f>
        <v/>
      </c>
      <c r="Z253">
        <f>IF($V253="",0,IF($X253&lt;&gt;$X252,1,0))</f>
        <v/>
      </c>
      <c r="AA253">
        <f>IF($V253="",0,IF($V254="",1,IF($X254&lt;&gt;$X253,1,0)))</f>
        <v/>
      </c>
      <c r="AB253">
        <f>IF($V253="",99999+249,$AB252+1+$Z252+$AA252+$AO252)</f>
        <v/>
      </c>
      <c r="AC253">
        <f>IFERROR(MATCH(249,$AB$5:$AB$404,1),"")</f>
        <v/>
      </c>
      <c r="AD253">
        <f>IF(249=$AI$1+1,"Z",IF($AC253="","",IF(INDEX($V$5:$V$404,$AC253)="","",IF(249&gt;INDEX($AB$5:$AB$404,$AC253)+INDEX($Z$5:$Z$404,$AC253)+INDEX($AA$5:$AA$404,$AC253)+INDEX($AO$5:$AO$404,$AC253),"",IF(249=INDEX($AB$5:$AB$404,$AC253)+INDEX($Z$5:$Z$404,$AC253),"D",IF(AND(INDEX($Z$5:$Z$404,$AC253)=1,249=INDEX($AB$5:$AB$404,$AC253)),"H",IF(AND(INDEX($AO$5:$AO$404,$AC253)=1,249=INDEX($AB$5:$AB$404,$AC253)+INDEX($Z$5:$Z$404,$AC253)+INDEX($AA$5:$AA$404,$AC253)+INDEX($AO$5:$AO$404,$AC253)),"B","T")))))))</f>
        <v/>
      </c>
      <c r="AF253">
        <f>IF(OR($AD253="",$AD253="Z",$AD253="B"),"",INDEX($X$5:$X$404,$AC253))</f>
        <v/>
      </c>
      <c r="AJ253">
        <f>IF($AD253&lt;&gt;"T",0,ROUND(SUMIF(oil!$B$4:$B$63,$AF253,oil!$AE$4:$AE$63),2))</f>
        <v/>
      </c>
      <c r="AK253">
        <f>IF($S253="","",IFERROR(INDEX(อัตราค่าขนส่ง!$P$5:$P$54,MATCH($S253,อัตราค่าขนส่ง!$O$5:$O$54,0)),INDEX(รายการมาตรฐาน!$G$2:$G$3,1)))</f>
        <v/>
      </c>
      <c r="AL253">
        <f>IF($S253="","",IFERROR(MATCH($AK253,รายการมาตรฐาน!$G$2:$G$3,0),1))</f>
        <v/>
      </c>
      <c r="AM253">
        <f>IF($V253="","",INDEX($AK$5:$AK$404,$V253))</f>
        <v/>
      </c>
      <c r="AN253">
        <f>IF($V253="","",INDEX($AL$5:$AL$404,$V253))</f>
        <v/>
      </c>
      <c r="AO253">
        <f>IF(OR($V253="",$AI$2&lt;=1),0,IF($V254="",1,IF($AN254&lt;&gt;$AN253,1,0)))</f>
        <v/>
      </c>
      <c r="AP253">
        <f>IF($V253="",0,IF($AN253&lt;&gt;$AN252,1,0))</f>
        <v/>
      </c>
      <c r="AQ253">
        <f>IF(OR($AD253="",$AD253="Z"),"",INDEX($AN$5:$AN$404,$AC253))</f>
        <v/>
      </c>
      <c r="AR253">
        <f>IF($Y253="",0,COUNTIF(บันทึกรายเที่ยว!$V$6:$V$6005,$Y253))</f>
        <v/>
      </c>
      <c r="AS253">
        <f>IF($Y253="",0,ROUND(SUMIF(บันทึกรายเที่ยว!$V$6:$V$6005,$Y253,บันทึกรายเที่ยว!$M$6:$M$6005),2))</f>
        <v/>
      </c>
      <c r="AT253">
        <f>IF($Y253="",0,IFERROR(INDEX(อัตราค่าขนส่ง!$G$5:$G$204,MATCH($Y253,อัตราค่าขนส่ง!$M$5:$M$204,0)),0))</f>
        <v/>
      </c>
      <c r="AU253">
        <f>ROUND($AS253*$BD253,2)</f>
        <v/>
      </c>
      <c r="AV253">
        <f>ROUND($AU253*$BF$2/100,2)</f>
        <v/>
      </c>
      <c r="AW253">
        <f>IF($Y253="","",IFERROR(INDEX(อัตราค่าขนส่ง!$F$5:$F$204,MATCH($Y253,อัตราค่าขนส่ง!$M$5:$M$204,0)),""))</f>
        <v/>
      </c>
      <c r="AX253">
        <f>IF($W253="","",INDEX(บันทึกรายเที่ยว!$D$6:$D$6005,$W253))</f>
        <v/>
      </c>
      <c r="AY253">
        <f>IF($W253="","",INDEX(บันทึกรายเที่ยว!$R$6:$R$6005,$W253))</f>
        <v/>
      </c>
      <c r="AZ253">
        <f>IF(AND($AD253="T",$AQ253=1),N($AZ252)+1,N($AZ252))</f>
        <v/>
      </c>
      <c r="BA253">
        <f>IF($W253="","",INDEX(บันทึกรายเที่ยว!$E$6:$E$6005,$W253))</f>
        <v/>
      </c>
      <c r="BC253">
        <f>IF($Y253="",0,IFERROR(INDEX(อัตราค่าขนส่ง!$K$5:$K$204,MATCH($Y253,อัตราค่าขนส่ง!$M$5:$M$204,0)),0))</f>
        <v/>
      </c>
      <c r="BD253">
        <f>IF($Y253="",0,IFERROR(INDEX(อัตราค่าขนส่ง!$L$5:$L$204,MATCH($Y253,อัตราค่าขนส่ง!$M$5:$M$204,0)),0))</f>
        <v/>
      </c>
    </row>
    <row r="254" ht="21" customHeight="1" s="66">
      <c r="A254" s="69">
        <f>IF($AD254="","",IF($AD254="Z","รวมจ่ายทั้งสิ้น",IF($AD254="H",INDEX($X$5:$X$404,$AC254),IF($AD254="T","รวม",IF($AD254="B",IFERROR(INDEX(อัตราค่าขนส่ง!$S$5:$S$14,MATCH(INDEX($AM$5:$AM$404,$AC254),อัตราค่าขนส่ง!$R$5:$R$14,0)),"รวมกลุ่ม "&amp;INDEX($AM$5:$AM$404,$AC254)),INDEX($AY$5:$AY$404,$AC254))))))</f>
        <v/>
      </c>
      <c r="B254" s="31">
        <f>IF($AD254&lt;&gt;"D","",INDEX($AW$5:$AW$404,$AC254))</f>
        <v/>
      </c>
      <c r="C254" s="68">
        <f>IF($AD254&lt;&gt;"D","",INDEX($AX$5:$AX$404,$AC254))</f>
        <v/>
      </c>
      <c r="D254" s="70">
        <f>IF($AD254&lt;&gt;"D","",INDEX($BA$5:$BA$404,$AC254))</f>
        <v/>
      </c>
      <c r="E254" s="31">
        <f>IF($AD254="Z",SUM($AR$5:$AR$404),IF($AD254="D",INDEX($AR$5:$AR$404,$AC254),IF($AD254="T",SUMIF($X$5:$X$404,$AF254,$AR$5:$AR$404),IF($AD254="B",SUMIF($AN$5:$AN$404,$AQ254,$AR$5:$AR$404),""))))</f>
        <v/>
      </c>
      <c r="F254" s="32">
        <f>IF($AD254="Z",ROUND(SUM($AS$5:$AS$404),2),IF($AD254="D",INDEX($AS$5:$AS$404,$AC254),IF($AD254="T",ROUND(SUMIF($X$5:$X$404,$AF254,$AS$5:$AS$404),2),IF($AD254="B",ROUND(SUMIF($AN$5:$AN$404,$AQ254,$AS$5:$AS$404),2),""))))</f>
        <v/>
      </c>
      <c r="G254" s="32">
        <f>IF($AD254&lt;&gt;"D","",INDEX($AT$5:$AT$404,$AC254))</f>
        <v/>
      </c>
      <c r="H254" s="32">
        <f>IF($AD254&lt;&gt;"D","",INDEX($BC$5:$BC$404,$AC254))</f>
        <v/>
      </c>
      <c r="I254" s="32">
        <f>IF($AD254&lt;&gt;"D","",INDEX($BD$5:$BD$404,$AC254))</f>
        <v/>
      </c>
      <c r="J254" s="46">
        <f>IF($AD254&lt;&gt;"D","",IF(N($B254)=0,"",ROUND($I254/$B254,4)))</f>
        <v/>
      </c>
      <c r="K254" s="32">
        <f>IF($AD254="Z",ROUND(SUM($AU$5:$AU$404),2),IF($AD254="D",INDEX($AU$5:$AU$404,$AC254),IF($AD254="T",ROUND(SUMIF($X$5:$X$404,$AF254,$AU$5:$AU$404),2),IF($AD254="B",ROUND(SUMIF($AN$5:$AN$404,$AQ254,$AU$5:$AU$404),2),""))))</f>
        <v/>
      </c>
      <c r="L254" s="32">
        <f>IF($AD254="Z",ROUND(SUM($AV$5:$AV$404),2),IF($AD254="D",INDEX($AV$5:$AV$404,$AC254),IF($AD254="T",ROUND(SUMIF($X$5:$X$404,$AF254,$AV$5:$AV$404),2),IF($AD254="B",ROUND(SUMIF($AN$5:$AN$404,$AQ254,$AV$5:$AV$404),2),""))))</f>
        <v/>
      </c>
      <c r="M254" s="32">
        <f>IF($AD254="Z",ROUND(SUM($AJ$5:$AJ$704),2),IF($AD254="B",ROUND(SUMIF($AQ$5:$AQ$704,$AQ254,$AJ$5:$AJ$704),2),IF($AD254&lt;&gt;"T","",$AJ254)))</f>
        <v/>
      </c>
      <c r="N254" s="32">
        <f>IF(OR($AD254="D",$AD254="T",$AD254="B",$AD254="Z"),ROUND(N($K254)-N($L254)-N($M254),2),"")</f>
        <v/>
      </c>
      <c r="O254" s="32">
        <f>IF(OR($AD254="D",$AD254="T",$AD254="B",$AD254="Z"),IF(N($E254)=0,"",ROUND($F254/$E254,2)),"")</f>
        <v/>
      </c>
      <c r="Q254">
        <f>IFERROR(MATCH(250,บันทึกรายเที่ยว!$Z$6:$Z$6005,0),"")</f>
        <v/>
      </c>
      <c r="R254">
        <f>IF($Q254="","",INDEX(บันทึกรายเที่ยว!$V$6:$V$6005,$Q254))</f>
        <v/>
      </c>
      <c r="S254">
        <f>IF($Q254="","",INDEX(บันทึกรายเที่ยว!$F$6:$F$6005,$Q254))</f>
        <v/>
      </c>
      <c r="T254">
        <f>IF($Q254="","",MATCH($S254,บันทึกรายเที่ยว!$F$6:$F$6005,0))</f>
        <v/>
      </c>
      <c r="U254">
        <f>IF($Q254="","",$AL254*10000000+$T254*1000+250)</f>
        <v/>
      </c>
      <c r="V254">
        <f>IFERROR(MATCH(SMALL($U$5:$U$404,250),$U$5:$U$404,0),"")</f>
        <v/>
      </c>
      <c r="W254">
        <f>IF($V254="","",INDEX($Q$5:$Q$404,$V254))</f>
        <v/>
      </c>
      <c r="X254">
        <f>IF($V254="","",INDEX($S$5:$S$404,$V254))</f>
        <v/>
      </c>
      <c r="Y254">
        <f>IF($V254="","",INDEX($R$5:$R$404,$V254))</f>
        <v/>
      </c>
      <c r="Z254">
        <f>IF($V254="",0,IF($X254&lt;&gt;$X253,1,0))</f>
        <v/>
      </c>
      <c r="AA254">
        <f>IF($V254="",0,IF($V255="",1,IF($X255&lt;&gt;$X254,1,0)))</f>
        <v/>
      </c>
      <c r="AB254">
        <f>IF($V254="",99999+250,$AB253+1+$Z253+$AA253+$AO253)</f>
        <v/>
      </c>
      <c r="AC254">
        <f>IFERROR(MATCH(250,$AB$5:$AB$404,1),"")</f>
        <v/>
      </c>
      <c r="AD254">
        <f>IF(250=$AI$1+1,"Z",IF($AC254="","",IF(INDEX($V$5:$V$404,$AC254)="","",IF(250&gt;INDEX($AB$5:$AB$404,$AC254)+INDEX($Z$5:$Z$404,$AC254)+INDEX($AA$5:$AA$404,$AC254)+INDEX($AO$5:$AO$404,$AC254),"",IF(250=INDEX($AB$5:$AB$404,$AC254)+INDEX($Z$5:$Z$404,$AC254),"D",IF(AND(INDEX($Z$5:$Z$404,$AC254)=1,250=INDEX($AB$5:$AB$404,$AC254)),"H",IF(AND(INDEX($AO$5:$AO$404,$AC254)=1,250=INDEX($AB$5:$AB$404,$AC254)+INDEX($Z$5:$Z$404,$AC254)+INDEX($AA$5:$AA$404,$AC254)+INDEX($AO$5:$AO$404,$AC254)),"B","T")))))))</f>
        <v/>
      </c>
      <c r="AF254">
        <f>IF(OR($AD254="",$AD254="Z",$AD254="B"),"",INDEX($X$5:$X$404,$AC254))</f>
        <v/>
      </c>
      <c r="AJ254">
        <f>IF($AD254&lt;&gt;"T",0,ROUND(SUMIF(oil!$B$4:$B$63,$AF254,oil!$AE$4:$AE$63),2))</f>
        <v/>
      </c>
      <c r="AK254">
        <f>IF($S254="","",IFERROR(INDEX(อัตราค่าขนส่ง!$P$5:$P$54,MATCH($S254,อัตราค่าขนส่ง!$O$5:$O$54,0)),INDEX(รายการมาตรฐาน!$G$2:$G$3,1)))</f>
        <v/>
      </c>
      <c r="AL254">
        <f>IF($S254="","",IFERROR(MATCH($AK254,รายการมาตรฐาน!$G$2:$G$3,0),1))</f>
        <v/>
      </c>
      <c r="AM254">
        <f>IF($V254="","",INDEX($AK$5:$AK$404,$V254))</f>
        <v/>
      </c>
      <c r="AN254">
        <f>IF($V254="","",INDEX($AL$5:$AL$404,$V254))</f>
        <v/>
      </c>
      <c r="AO254">
        <f>IF(OR($V254="",$AI$2&lt;=1),0,IF($V255="",1,IF($AN255&lt;&gt;$AN254,1,0)))</f>
        <v/>
      </c>
      <c r="AP254">
        <f>IF($V254="",0,IF($AN254&lt;&gt;$AN253,1,0))</f>
        <v/>
      </c>
      <c r="AQ254">
        <f>IF(OR($AD254="",$AD254="Z"),"",INDEX($AN$5:$AN$404,$AC254))</f>
        <v/>
      </c>
      <c r="AR254">
        <f>IF($Y254="",0,COUNTIF(บันทึกรายเที่ยว!$V$6:$V$6005,$Y254))</f>
        <v/>
      </c>
      <c r="AS254">
        <f>IF($Y254="",0,ROUND(SUMIF(บันทึกรายเที่ยว!$V$6:$V$6005,$Y254,บันทึกรายเที่ยว!$M$6:$M$6005),2))</f>
        <v/>
      </c>
      <c r="AT254">
        <f>IF($Y254="",0,IFERROR(INDEX(อัตราค่าขนส่ง!$G$5:$G$204,MATCH($Y254,อัตราค่าขนส่ง!$M$5:$M$204,0)),0))</f>
        <v/>
      </c>
      <c r="AU254">
        <f>ROUND($AS254*$BD254,2)</f>
        <v/>
      </c>
      <c r="AV254">
        <f>ROUND($AU254*$BF$2/100,2)</f>
        <v/>
      </c>
      <c r="AW254">
        <f>IF($Y254="","",IFERROR(INDEX(อัตราค่าขนส่ง!$F$5:$F$204,MATCH($Y254,อัตราค่าขนส่ง!$M$5:$M$204,0)),""))</f>
        <v/>
      </c>
      <c r="AX254">
        <f>IF($W254="","",INDEX(บันทึกรายเที่ยว!$D$6:$D$6005,$W254))</f>
        <v/>
      </c>
      <c r="AY254">
        <f>IF($W254="","",INDEX(บันทึกรายเที่ยว!$R$6:$R$6005,$W254))</f>
        <v/>
      </c>
      <c r="AZ254">
        <f>IF(AND($AD254="T",$AQ254=1),N($AZ253)+1,N($AZ253))</f>
        <v/>
      </c>
      <c r="BA254">
        <f>IF($W254="","",INDEX(บันทึกรายเที่ยว!$E$6:$E$6005,$W254))</f>
        <v/>
      </c>
      <c r="BC254">
        <f>IF($Y254="",0,IFERROR(INDEX(อัตราค่าขนส่ง!$K$5:$K$204,MATCH($Y254,อัตราค่าขนส่ง!$M$5:$M$204,0)),0))</f>
        <v/>
      </c>
      <c r="BD254">
        <f>IF($Y254="",0,IFERROR(INDEX(อัตราค่าขนส่ง!$L$5:$L$204,MATCH($Y254,อัตราค่าขนส่ง!$M$5:$M$204,0)),0))</f>
        <v/>
      </c>
    </row>
    <row r="255" ht="21" customHeight="1" s="66">
      <c r="A255" s="69">
        <f>IF($AD255="","",IF($AD255="Z","รวมจ่ายทั้งสิ้น",IF($AD255="H",INDEX($X$5:$X$404,$AC255),IF($AD255="T","รวม",IF($AD255="B",IFERROR(INDEX(อัตราค่าขนส่ง!$S$5:$S$14,MATCH(INDEX($AM$5:$AM$404,$AC255),อัตราค่าขนส่ง!$R$5:$R$14,0)),"รวมกลุ่ม "&amp;INDEX($AM$5:$AM$404,$AC255)),INDEX($AY$5:$AY$404,$AC255))))))</f>
        <v/>
      </c>
      <c r="B255" s="31">
        <f>IF($AD255&lt;&gt;"D","",INDEX($AW$5:$AW$404,$AC255))</f>
        <v/>
      </c>
      <c r="C255" s="68">
        <f>IF($AD255&lt;&gt;"D","",INDEX($AX$5:$AX$404,$AC255))</f>
        <v/>
      </c>
      <c r="D255" s="70">
        <f>IF($AD255&lt;&gt;"D","",INDEX($BA$5:$BA$404,$AC255))</f>
        <v/>
      </c>
      <c r="E255" s="31">
        <f>IF($AD255="Z",SUM($AR$5:$AR$404),IF($AD255="D",INDEX($AR$5:$AR$404,$AC255),IF($AD255="T",SUMIF($X$5:$X$404,$AF255,$AR$5:$AR$404),IF($AD255="B",SUMIF($AN$5:$AN$404,$AQ255,$AR$5:$AR$404),""))))</f>
        <v/>
      </c>
      <c r="F255" s="32">
        <f>IF($AD255="Z",ROUND(SUM($AS$5:$AS$404),2),IF($AD255="D",INDEX($AS$5:$AS$404,$AC255),IF($AD255="T",ROUND(SUMIF($X$5:$X$404,$AF255,$AS$5:$AS$404),2),IF($AD255="B",ROUND(SUMIF($AN$5:$AN$404,$AQ255,$AS$5:$AS$404),2),""))))</f>
        <v/>
      </c>
      <c r="G255" s="32">
        <f>IF($AD255&lt;&gt;"D","",INDEX($AT$5:$AT$404,$AC255))</f>
        <v/>
      </c>
      <c r="H255" s="32">
        <f>IF($AD255&lt;&gt;"D","",INDEX($BC$5:$BC$404,$AC255))</f>
        <v/>
      </c>
      <c r="I255" s="32">
        <f>IF($AD255&lt;&gt;"D","",INDEX($BD$5:$BD$404,$AC255))</f>
        <v/>
      </c>
      <c r="J255" s="46">
        <f>IF($AD255&lt;&gt;"D","",IF(N($B255)=0,"",ROUND($I255/$B255,4)))</f>
        <v/>
      </c>
      <c r="K255" s="32">
        <f>IF($AD255="Z",ROUND(SUM($AU$5:$AU$404),2),IF($AD255="D",INDEX($AU$5:$AU$404,$AC255),IF($AD255="T",ROUND(SUMIF($X$5:$X$404,$AF255,$AU$5:$AU$404),2),IF($AD255="B",ROUND(SUMIF($AN$5:$AN$404,$AQ255,$AU$5:$AU$404),2),""))))</f>
        <v/>
      </c>
      <c r="L255" s="32">
        <f>IF($AD255="Z",ROUND(SUM($AV$5:$AV$404),2),IF($AD255="D",INDEX($AV$5:$AV$404,$AC255),IF($AD255="T",ROUND(SUMIF($X$5:$X$404,$AF255,$AV$5:$AV$404),2),IF($AD255="B",ROUND(SUMIF($AN$5:$AN$404,$AQ255,$AV$5:$AV$404),2),""))))</f>
        <v/>
      </c>
      <c r="M255" s="32">
        <f>IF($AD255="Z",ROUND(SUM($AJ$5:$AJ$704),2),IF($AD255="B",ROUND(SUMIF($AQ$5:$AQ$704,$AQ255,$AJ$5:$AJ$704),2),IF($AD255&lt;&gt;"T","",$AJ255)))</f>
        <v/>
      </c>
      <c r="N255" s="32">
        <f>IF(OR($AD255="D",$AD255="T",$AD255="B",$AD255="Z"),ROUND(N($K255)-N($L255)-N($M255),2),"")</f>
        <v/>
      </c>
      <c r="O255" s="32">
        <f>IF(OR($AD255="D",$AD255="T",$AD255="B",$AD255="Z"),IF(N($E255)=0,"",ROUND($F255/$E255,2)),"")</f>
        <v/>
      </c>
      <c r="Q255">
        <f>IFERROR(MATCH(251,บันทึกรายเที่ยว!$Z$6:$Z$6005,0),"")</f>
        <v/>
      </c>
      <c r="R255">
        <f>IF($Q255="","",INDEX(บันทึกรายเที่ยว!$V$6:$V$6005,$Q255))</f>
        <v/>
      </c>
      <c r="S255">
        <f>IF($Q255="","",INDEX(บันทึกรายเที่ยว!$F$6:$F$6005,$Q255))</f>
        <v/>
      </c>
      <c r="T255">
        <f>IF($Q255="","",MATCH($S255,บันทึกรายเที่ยว!$F$6:$F$6005,0))</f>
        <v/>
      </c>
      <c r="U255">
        <f>IF($Q255="","",$AL255*10000000+$T255*1000+251)</f>
        <v/>
      </c>
      <c r="V255">
        <f>IFERROR(MATCH(SMALL($U$5:$U$404,251),$U$5:$U$404,0),"")</f>
        <v/>
      </c>
      <c r="W255">
        <f>IF($V255="","",INDEX($Q$5:$Q$404,$V255))</f>
        <v/>
      </c>
      <c r="X255">
        <f>IF($V255="","",INDEX($S$5:$S$404,$V255))</f>
        <v/>
      </c>
      <c r="Y255">
        <f>IF($V255="","",INDEX($R$5:$R$404,$V255))</f>
        <v/>
      </c>
      <c r="Z255">
        <f>IF($V255="",0,IF($X255&lt;&gt;$X254,1,0))</f>
        <v/>
      </c>
      <c r="AA255">
        <f>IF($V255="",0,IF($V256="",1,IF($X256&lt;&gt;$X255,1,0)))</f>
        <v/>
      </c>
      <c r="AB255">
        <f>IF($V255="",99999+251,$AB254+1+$Z254+$AA254+$AO254)</f>
        <v/>
      </c>
      <c r="AC255">
        <f>IFERROR(MATCH(251,$AB$5:$AB$404,1),"")</f>
        <v/>
      </c>
      <c r="AD255">
        <f>IF(251=$AI$1+1,"Z",IF($AC255="","",IF(INDEX($V$5:$V$404,$AC255)="","",IF(251&gt;INDEX($AB$5:$AB$404,$AC255)+INDEX($Z$5:$Z$404,$AC255)+INDEX($AA$5:$AA$404,$AC255)+INDEX($AO$5:$AO$404,$AC255),"",IF(251=INDEX($AB$5:$AB$404,$AC255)+INDEX($Z$5:$Z$404,$AC255),"D",IF(AND(INDEX($Z$5:$Z$404,$AC255)=1,251=INDEX($AB$5:$AB$404,$AC255)),"H",IF(AND(INDEX($AO$5:$AO$404,$AC255)=1,251=INDEX($AB$5:$AB$404,$AC255)+INDEX($Z$5:$Z$404,$AC255)+INDEX($AA$5:$AA$404,$AC255)+INDEX($AO$5:$AO$404,$AC255)),"B","T")))))))</f>
        <v/>
      </c>
      <c r="AF255">
        <f>IF(OR($AD255="",$AD255="Z",$AD255="B"),"",INDEX($X$5:$X$404,$AC255))</f>
        <v/>
      </c>
      <c r="AJ255">
        <f>IF($AD255&lt;&gt;"T",0,ROUND(SUMIF(oil!$B$4:$B$63,$AF255,oil!$AE$4:$AE$63),2))</f>
        <v/>
      </c>
      <c r="AK255">
        <f>IF($S255="","",IFERROR(INDEX(อัตราค่าขนส่ง!$P$5:$P$54,MATCH($S255,อัตราค่าขนส่ง!$O$5:$O$54,0)),INDEX(รายการมาตรฐาน!$G$2:$G$3,1)))</f>
        <v/>
      </c>
      <c r="AL255">
        <f>IF($S255="","",IFERROR(MATCH($AK255,รายการมาตรฐาน!$G$2:$G$3,0),1))</f>
        <v/>
      </c>
      <c r="AM255">
        <f>IF($V255="","",INDEX($AK$5:$AK$404,$V255))</f>
        <v/>
      </c>
      <c r="AN255">
        <f>IF($V255="","",INDEX($AL$5:$AL$404,$V255))</f>
        <v/>
      </c>
      <c r="AO255">
        <f>IF(OR($V255="",$AI$2&lt;=1),0,IF($V256="",1,IF($AN256&lt;&gt;$AN255,1,0)))</f>
        <v/>
      </c>
      <c r="AP255">
        <f>IF($V255="",0,IF($AN255&lt;&gt;$AN254,1,0))</f>
        <v/>
      </c>
      <c r="AQ255">
        <f>IF(OR($AD255="",$AD255="Z"),"",INDEX($AN$5:$AN$404,$AC255))</f>
        <v/>
      </c>
      <c r="AR255">
        <f>IF($Y255="",0,COUNTIF(บันทึกรายเที่ยว!$V$6:$V$6005,$Y255))</f>
        <v/>
      </c>
      <c r="AS255">
        <f>IF($Y255="",0,ROUND(SUMIF(บันทึกรายเที่ยว!$V$6:$V$6005,$Y255,บันทึกรายเที่ยว!$M$6:$M$6005),2))</f>
        <v/>
      </c>
      <c r="AT255">
        <f>IF($Y255="",0,IFERROR(INDEX(อัตราค่าขนส่ง!$G$5:$G$204,MATCH($Y255,อัตราค่าขนส่ง!$M$5:$M$204,0)),0))</f>
        <v/>
      </c>
      <c r="AU255">
        <f>ROUND($AS255*$BD255,2)</f>
        <v/>
      </c>
      <c r="AV255">
        <f>ROUND($AU255*$BF$2/100,2)</f>
        <v/>
      </c>
      <c r="AW255">
        <f>IF($Y255="","",IFERROR(INDEX(อัตราค่าขนส่ง!$F$5:$F$204,MATCH($Y255,อัตราค่าขนส่ง!$M$5:$M$204,0)),""))</f>
        <v/>
      </c>
      <c r="AX255">
        <f>IF($W255="","",INDEX(บันทึกรายเที่ยว!$D$6:$D$6005,$W255))</f>
        <v/>
      </c>
      <c r="AY255">
        <f>IF($W255="","",INDEX(บันทึกรายเที่ยว!$R$6:$R$6005,$W255))</f>
        <v/>
      </c>
      <c r="AZ255">
        <f>IF(AND($AD255="T",$AQ255=1),N($AZ254)+1,N($AZ254))</f>
        <v/>
      </c>
      <c r="BA255">
        <f>IF($W255="","",INDEX(บันทึกรายเที่ยว!$E$6:$E$6005,$W255))</f>
        <v/>
      </c>
      <c r="BC255">
        <f>IF($Y255="",0,IFERROR(INDEX(อัตราค่าขนส่ง!$K$5:$K$204,MATCH($Y255,อัตราค่าขนส่ง!$M$5:$M$204,0)),0))</f>
        <v/>
      </c>
      <c r="BD255">
        <f>IF($Y255="",0,IFERROR(INDEX(อัตราค่าขนส่ง!$L$5:$L$204,MATCH($Y255,อัตราค่าขนส่ง!$M$5:$M$204,0)),0))</f>
        <v/>
      </c>
    </row>
    <row r="256" ht="21" customHeight="1" s="66">
      <c r="A256" s="69">
        <f>IF($AD256="","",IF($AD256="Z","รวมจ่ายทั้งสิ้น",IF($AD256="H",INDEX($X$5:$X$404,$AC256),IF($AD256="T","รวม",IF($AD256="B",IFERROR(INDEX(อัตราค่าขนส่ง!$S$5:$S$14,MATCH(INDEX($AM$5:$AM$404,$AC256),อัตราค่าขนส่ง!$R$5:$R$14,0)),"รวมกลุ่ม "&amp;INDEX($AM$5:$AM$404,$AC256)),INDEX($AY$5:$AY$404,$AC256))))))</f>
        <v/>
      </c>
      <c r="B256" s="31">
        <f>IF($AD256&lt;&gt;"D","",INDEX($AW$5:$AW$404,$AC256))</f>
        <v/>
      </c>
      <c r="C256" s="68">
        <f>IF($AD256&lt;&gt;"D","",INDEX($AX$5:$AX$404,$AC256))</f>
        <v/>
      </c>
      <c r="D256" s="70">
        <f>IF($AD256&lt;&gt;"D","",INDEX($BA$5:$BA$404,$AC256))</f>
        <v/>
      </c>
      <c r="E256" s="31">
        <f>IF($AD256="Z",SUM($AR$5:$AR$404),IF($AD256="D",INDEX($AR$5:$AR$404,$AC256),IF($AD256="T",SUMIF($X$5:$X$404,$AF256,$AR$5:$AR$404),IF($AD256="B",SUMIF($AN$5:$AN$404,$AQ256,$AR$5:$AR$404),""))))</f>
        <v/>
      </c>
      <c r="F256" s="32">
        <f>IF($AD256="Z",ROUND(SUM($AS$5:$AS$404),2),IF($AD256="D",INDEX($AS$5:$AS$404,$AC256),IF($AD256="T",ROUND(SUMIF($X$5:$X$404,$AF256,$AS$5:$AS$404),2),IF($AD256="B",ROUND(SUMIF($AN$5:$AN$404,$AQ256,$AS$5:$AS$404),2),""))))</f>
        <v/>
      </c>
      <c r="G256" s="32">
        <f>IF($AD256&lt;&gt;"D","",INDEX($AT$5:$AT$404,$AC256))</f>
        <v/>
      </c>
      <c r="H256" s="32">
        <f>IF($AD256&lt;&gt;"D","",INDEX($BC$5:$BC$404,$AC256))</f>
        <v/>
      </c>
      <c r="I256" s="32">
        <f>IF($AD256&lt;&gt;"D","",INDEX($BD$5:$BD$404,$AC256))</f>
        <v/>
      </c>
      <c r="J256" s="46">
        <f>IF($AD256&lt;&gt;"D","",IF(N($B256)=0,"",ROUND($I256/$B256,4)))</f>
        <v/>
      </c>
      <c r="K256" s="32">
        <f>IF($AD256="Z",ROUND(SUM($AU$5:$AU$404),2),IF($AD256="D",INDEX($AU$5:$AU$404,$AC256),IF($AD256="T",ROUND(SUMIF($X$5:$X$404,$AF256,$AU$5:$AU$404),2),IF($AD256="B",ROUND(SUMIF($AN$5:$AN$404,$AQ256,$AU$5:$AU$404),2),""))))</f>
        <v/>
      </c>
      <c r="L256" s="32">
        <f>IF($AD256="Z",ROUND(SUM($AV$5:$AV$404),2),IF($AD256="D",INDEX($AV$5:$AV$404,$AC256),IF($AD256="T",ROUND(SUMIF($X$5:$X$404,$AF256,$AV$5:$AV$404),2),IF($AD256="B",ROUND(SUMIF($AN$5:$AN$404,$AQ256,$AV$5:$AV$404),2),""))))</f>
        <v/>
      </c>
      <c r="M256" s="32">
        <f>IF($AD256="Z",ROUND(SUM($AJ$5:$AJ$704),2),IF($AD256="B",ROUND(SUMIF($AQ$5:$AQ$704,$AQ256,$AJ$5:$AJ$704),2),IF($AD256&lt;&gt;"T","",$AJ256)))</f>
        <v/>
      </c>
      <c r="N256" s="32">
        <f>IF(OR($AD256="D",$AD256="T",$AD256="B",$AD256="Z"),ROUND(N($K256)-N($L256)-N($M256),2),"")</f>
        <v/>
      </c>
      <c r="O256" s="32">
        <f>IF(OR($AD256="D",$AD256="T",$AD256="B",$AD256="Z"),IF(N($E256)=0,"",ROUND($F256/$E256,2)),"")</f>
        <v/>
      </c>
      <c r="Q256">
        <f>IFERROR(MATCH(252,บันทึกรายเที่ยว!$Z$6:$Z$6005,0),"")</f>
        <v/>
      </c>
      <c r="R256">
        <f>IF($Q256="","",INDEX(บันทึกรายเที่ยว!$V$6:$V$6005,$Q256))</f>
        <v/>
      </c>
      <c r="S256">
        <f>IF($Q256="","",INDEX(บันทึกรายเที่ยว!$F$6:$F$6005,$Q256))</f>
        <v/>
      </c>
      <c r="T256">
        <f>IF($Q256="","",MATCH($S256,บันทึกรายเที่ยว!$F$6:$F$6005,0))</f>
        <v/>
      </c>
      <c r="U256">
        <f>IF($Q256="","",$AL256*10000000+$T256*1000+252)</f>
        <v/>
      </c>
      <c r="V256">
        <f>IFERROR(MATCH(SMALL($U$5:$U$404,252),$U$5:$U$404,0),"")</f>
        <v/>
      </c>
      <c r="W256">
        <f>IF($V256="","",INDEX($Q$5:$Q$404,$V256))</f>
        <v/>
      </c>
      <c r="X256">
        <f>IF($V256="","",INDEX($S$5:$S$404,$V256))</f>
        <v/>
      </c>
      <c r="Y256">
        <f>IF($V256="","",INDEX($R$5:$R$404,$V256))</f>
        <v/>
      </c>
      <c r="Z256">
        <f>IF($V256="",0,IF($X256&lt;&gt;$X255,1,0))</f>
        <v/>
      </c>
      <c r="AA256">
        <f>IF($V256="",0,IF($V257="",1,IF($X257&lt;&gt;$X256,1,0)))</f>
        <v/>
      </c>
      <c r="AB256">
        <f>IF($V256="",99999+252,$AB255+1+$Z255+$AA255+$AO255)</f>
        <v/>
      </c>
      <c r="AC256">
        <f>IFERROR(MATCH(252,$AB$5:$AB$404,1),"")</f>
        <v/>
      </c>
      <c r="AD256">
        <f>IF(252=$AI$1+1,"Z",IF($AC256="","",IF(INDEX($V$5:$V$404,$AC256)="","",IF(252&gt;INDEX($AB$5:$AB$404,$AC256)+INDEX($Z$5:$Z$404,$AC256)+INDEX($AA$5:$AA$404,$AC256)+INDEX($AO$5:$AO$404,$AC256),"",IF(252=INDEX($AB$5:$AB$404,$AC256)+INDEX($Z$5:$Z$404,$AC256),"D",IF(AND(INDEX($Z$5:$Z$404,$AC256)=1,252=INDEX($AB$5:$AB$404,$AC256)),"H",IF(AND(INDEX($AO$5:$AO$404,$AC256)=1,252=INDEX($AB$5:$AB$404,$AC256)+INDEX($Z$5:$Z$404,$AC256)+INDEX($AA$5:$AA$404,$AC256)+INDEX($AO$5:$AO$404,$AC256)),"B","T")))))))</f>
        <v/>
      </c>
      <c r="AF256">
        <f>IF(OR($AD256="",$AD256="Z",$AD256="B"),"",INDEX($X$5:$X$404,$AC256))</f>
        <v/>
      </c>
      <c r="AJ256">
        <f>IF($AD256&lt;&gt;"T",0,ROUND(SUMIF(oil!$B$4:$B$63,$AF256,oil!$AE$4:$AE$63),2))</f>
        <v/>
      </c>
      <c r="AK256">
        <f>IF($S256="","",IFERROR(INDEX(อัตราค่าขนส่ง!$P$5:$P$54,MATCH($S256,อัตราค่าขนส่ง!$O$5:$O$54,0)),INDEX(รายการมาตรฐาน!$G$2:$G$3,1)))</f>
        <v/>
      </c>
      <c r="AL256">
        <f>IF($S256="","",IFERROR(MATCH($AK256,รายการมาตรฐาน!$G$2:$G$3,0),1))</f>
        <v/>
      </c>
      <c r="AM256">
        <f>IF($V256="","",INDEX($AK$5:$AK$404,$V256))</f>
        <v/>
      </c>
      <c r="AN256">
        <f>IF($V256="","",INDEX($AL$5:$AL$404,$V256))</f>
        <v/>
      </c>
      <c r="AO256">
        <f>IF(OR($V256="",$AI$2&lt;=1),0,IF($V257="",1,IF($AN257&lt;&gt;$AN256,1,0)))</f>
        <v/>
      </c>
      <c r="AP256">
        <f>IF($V256="",0,IF($AN256&lt;&gt;$AN255,1,0))</f>
        <v/>
      </c>
      <c r="AQ256">
        <f>IF(OR($AD256="",$AD256="Z"),"",INDEX($AN$5:$AN$404,$AC256))</f>
        <v/>
      </c>
      <c r="AR256">
        <f>IF($Y256="",0,COUNTIF(บันทึกรายเที่ยว!$V$6:$V$6005,$Y256))</f>
        <v/>
      </c>
      <c r="AS256">
        <f>IF($Y256="",0,ROUND(SUMIF(บันทึกรายเที่ยว!$V$6:$V$6005,$Y256,บันทึกรายเที่ยว!$M$6:$M$6005),2))</f>
        <v/>
      </c>
      <c r="AT256">
        <f>IF($Y256="",0,IFERROR(INDEX(อัตราค่าขนส่ง!$G$5:$G$204,MATCH($Y256,อัตราค่าขนส่ง!$M$5:$M$204,0)),0))</f>
        <v/>
      </c>
      <c r="AU256">
        <f>ROUND($AS256*$BD256,2)</f>
        <v/>
      </c>
      <c r="AV256">
        <f>ROUND($AU256*$BF$2/100,2)</f>
        <v/>
      </c>
      <c r="AW256">
        <f>IF($Y256="","",IFERROR(INDEX(อัตราค่าขนส่ง!$F$5:$F$204,MATCH($Y256,อัตราค่าขนส่ง!$M$5:$M$204,0)),""))</f>
        <v/>
      </c>
      <c r="AX256">
        <f>IF($W256="","",INDEX(บันทึกรายเที่ยว!$D$6:$D$6005,$W256))</f>
        <v/>
      </c>
      <c r="AY256">
        <f>IF($W256="","",INDEX(บันทึกรายเที่ยว!$R$6:$R$6005,$W256))</f>
        <v/>
      </c>
      <c r="AZ256">
        <f>IF(AND($AD256="T",$AQ256=1),N($AZ255)+1,N($AZ255))</f>
        <v/>
      </c>
      <c r="BA256">
        <f>IF($W256="","",INDEX(บันทึกรายเที่ยว!$E$6:$E$6005,$W256))</f>
        <v/>
      </c>
      <c r="BC256">
        <f>IF($Y256="",0,IFERROR(INDEX(อัตราค่าขนส่ง!$K$5:$K$204,MATCH($Y256,อัตราค่าขนส่ง!$M$5:$M$204,0)),0))</f>
        <v/>
      </c>
      <c r="BD256">
        <f>IF($Y256="",0,IFERROR(INDEX(อัตราค่าขนส่ง!$L$5:$L$204,MATCH($Y256,อัตราค่าขนส่ง!$M$5:$M$204,0)),0))</f>
        <v/>
      </c>
    </row>
    <row r="257" ht="21" customHeight="1" s="66">
      <c r="A257" s="69">
        <f>IF($AD257="","",IF($AD257="Z","รวมจ่ายทั้งสิ้น",IF($AD257="H",INDEX($X$5:$X$404,$AC257),IF($AD257="T","รวม",IF($AD257="B",IFERROR(INDEX(อัตราค่าขนส่ง!$S$5:$S$14,MATCH(INDEX($AM$5:$AM$404,$AC257),อัตราค่าขนส่ง!$R$5:$R$14,0)),"รวมกลุ่ม "&amp;INDEX($AM$5:$AM$404,$AC257)),INDEX($AY$5:$AY$404,$AC257))))))</f>
        <v/>
      </c>
      <c r="B257" s="31">
        <f>IF($AD257&lt;&gt;"D","",INDEX($AW$5:$AW$404,$AC257))</f>
        <v/>
      </c>
      <c r="C257" s="68">
        <f>IF($AD257&lt;&gt;"D","",INDEX($AX$5:$AX$404,$AC257))</f>
        <v/>
      </c>
      <c r="D257" s="70">
        <f>IF($AD257&lt;&gt;"D","",INDEX($BA$5:$BA$404,$AC257))</f>
        <v/>
      </c>
      <c r="E257" s="31">
        <f>IF($AD257="Z",SUM($AR$5:$AR$404),IF($AD257="D",INDEX($AR$5:$AR$404,$AC257),IF($AD257="T",SUMIF($X$5:$X$404,$AF257,$AR$5:$AR$404),IF($AD257="B",SUMIF($AN$5:$AN$404,$AQ257,$AR$5:$AR$404),""))))</f>
        <v/>
      </c>
      <c r="F257" s="32">
        <f>IF($AD257="Z",ROUND(SUM($AS$5:$AS$404),2),IF($AD257="D",INDEX($AS$5:$AS$404,$AC257),IF($AD257="T",ROUND(SUMIF($X$5:$X$404,$AF257,$AS$5:$AS$404),2),IF($AD257="B",ROUND(SUMIF($AN$5:$AN$404,$AQ257,$AS$5:$AS$404),2),""))))</f>
        <v/>
      </c>
      <c r="G257" s="32">
        <f>IF($AD257&lt;&gt;"D","",INDEX($AT$5:$AT$404,$AC257))</f>
        <v/>
      </c>
      <c r="H257" s="32">
        <f>IF($AD257&lt;&gt;"D","",INDEX($BC$5:$BC$404,$AC257))</f>
        <v/>
      </c>
      <c r="I257" s="32">
        <f>IF($AD257&lt;&gt;"D","",INDEX($BD$5:$BD$404,$AC257))</f>
        <v/>
      </c>
      <c r="J257" s="46">
        <f>IF($AD257&lt;&gt;"D","",IF(N($B257)=0,"",ROUND($I257/$B257,4)))</f>
        <v/>
      </c>
      <c r="K257" s="32">
        <f>IF($AD257="Z",ROUND(SUM($AU$5:$AU$404),2),IF($AD257="D",INDEX($AU$5:$AU$404,$AC257),IF($AD257="T",ROUND(SUMIF($X$5:$X$404,$AF257,$AU$5:$AU$404),2),IF($AD257="B",ROUND(SUMIF($AN$5:$AN$404,$AQ257,$AU$5:$AU$404),2),""))))</f>
        <v/>
      </c>
      <c r="L257" s="32">
        <f>IF($AD257="Z",ROUND(SUM($AV$5:$AV$404),2),IF($AD257="D",INDEX($AV$5:$AV$404,$AC257),IF($AD257="T",ROUND(SUMIF($X$5:$X$404,$AF257,$AV$5:$AV$404),2),IF($AD257="B",ROUND(SUMIF($AN$5:$AN$404,$AQ257,$AV$5:$AV$404),2),""))))</f>
        <v/>
      </c>
      <c r="M257" s="32">
        <f>IF($AD257="Z",ROUND(SUM($AJ$5:$AJ$704),2),IF($AD257="B",ROUND(SUMIF($AQ$5:$AQ$704,$AQ257,$AJ$5:$AJ$704),2),IF($AD257&lt;&gt;"T","",$AJ257)))</f>
        <v/>
      </c>
      <c r="N257" s="32">
        <f>IF(OR($AD257="D",$AD257="T",$AD257="B",$AD257="Z"),ROUND(N($K257)-N($L257)-N($M257),2),"")</f>
        <v/>
      </c>
      <c r="O257" s="32">
        <f>IF(OR($AD257="D",$AD257="T",$AD257="B",$AD257="Z"),IF(N($E257)=0,"",ROUND($F257/$E257,2)),"")</f>
        <v/>
      </c>
      <c r="Q257">
        <f>IFERROR(MATCH(253,บันทึกรายเที่ยว!$Z$6:$Z$6005,0),"")</f>
        <v/>
      </c>
      <c r="R257">
        <f>IF($Q257="","",INDEX(บันทึกรายเที่ยว!$V$6:$V$6005,$Q257))</f>
        <v/>
      </c>
      <c r="S257">
        <f>IF($Q257="","",INDEX(บันทึกรายเที่ยว!$F$6:$F$6005,$Q257))</f>
        <v/>
      </c>
      <c r="T257">
        <f>IF($Q257="","",MATCH($S257,บันทึกรายเที่ยว!$F$6:$F$6005,0))</f>
        <v/>
      </c>
      <c r="U257">
        <f>IF($Q257="","",$AL257*10000000+$T257*1000+253)</f>
        <v/>
      </c>
      <c r="V257">
        <f>IFERROR(MATCH(SMALL($U$5:$U$404,253),$U$5:$U$404,0),"")</f>
        <v/>
      </c>
      <c r="W257">
        <f>IF($V257="","",INDEX($Q$5:$Q$404,$V257))</f>
        <v/>
      </c>
      <c r="X257">
        <f>IF($V257="","",INDEX($S$5:$S$404,$V257))</f>
        <v/>
      </c>
      <c r="Y257">
        <f>IF($V257="","",INDEX($R$5:$R$404,$V257))</f>
        <v/>
      </c>
      <c r="Z257">
        <f>IF($V257="",0,IF($X257&lt;&gt;$X256,1,0))</f>
        <v/>
      </c>
      <c r="AA257">
        <f>IF($V257="",0,IF($V258="",1,IF($X258&lt;&gt;$X257,1,0)))</f>
        <v/>
      </c>
      <c r="AB257">
        <f>IF($V257="",99999+253,$AB256+1+$Z256+$AA256+$AO256)</f>
        <v/>
      </c>
      <c r="AC257">
        <f>IFERROR(MATCH(253,$AB$5:$AB$404,1),"")</f>
        <v/>
      </c>
      <c r="AD257">
        <f>IF(253=$AI$1+1,"Z",IF($AC257="","",IF(INDEX($V$5:$V$404,$AC257)="","",IF(253&gt;INDEX($AB$5:$AB$404,$AC257)+INDEX($Z$5:$Z$404,$AC257)+INDEX($AA$5:$AA$404,$AC257)+INDEX($AO$5:$AO$404,$AC257),"",IF(253=INDEX($AB$5:$AB$404,$AC257)+INDEX($Z$5:$Z$404,$AC257),"D",IF(AND(INDEX($Z$5:$Z$404,$AC257)=1,253=INDEX($AB$5:$AB$404,$AC257)),"H",IF(AND(INDEX($AO$5:$AO$404,$AC257)=1,253=INDEX($AB$5:$AB$404,$AC257)+INDEX($Z$5:$Z$404,$AC257)+INDEX($AA$5:$AA$404,$AC257)+INDEX($AO$5:$AO$404,$AC257)),"B","T")))))))</f>
        <v/>
      </c>
      <c r="AF257">
        <f>IF(OR($AD257="",$AD257="Z",$AD257="B"),"",INDEX($X$5:$X$404,$AC257))</f>
        <v/>
      </c>
      <c r="AJ257">
        <f>IF($AD257&lt;&gt;"T",0,ROUND(SUMIF(oil!$B$4:$B$63,$AF257,oil!$AE$4:$AE$63),2))</f>
        <v/>
      </c>
      <c r="AK257">
        <f>IF($S257="","",IFERROR(INDEX(อัตราค่าขนส่ง!$P$5:$P$54,MATCH($S257,อัตราค่าขนส่ง!$O$5:$O$54,0)),INDEX(รายการมาตรฐาน!$G$2:$G$3,1)))</f>
        <v/>
      </c>
      <c r="AL257">
        <f>IF($S257="","",IFERROR(MATCH($AK257,รายการมาตรฐาน!$G$2:$G$3,0),1))</f>
        <v/>
      </c>
      <c r="AM257">
        <f>IF($V257="","",INDEX($AK$5:$AK$404,$V257))</f>
        <v/>
      </c>
      <c r="AN257">
        <f>IF($V257="","",INDEX($AL$5:$AL$404,$V257))</f>
        <v/>
      </c>
      <c r="AO257">
        <f>IF(OR($V257="",$AI$2&lt;=1),0,IF($V258="",1,IF($AN258&lt;&gt;$AN257,1,0)))</f>
        <v/>
      </c>
      <c r="AP257">
        <f>IF($V257="",0,IF($AN257&lt;&gt;$AN256,1,0))</f>
        <v/>
      </c>
      <c r="AQ257">
        <f>IF(OR($AD257="",$AD257="Z"),"",INDEX($AN$5:$AN$404,$AC257))</f>
        <v/>
      </c>
      <c r="AR257">
        <f>IF($Y257="",0,COUNTIF(บันทึกรายเที่ยว!$V$6:$V$6005,$Y257))</f>
        <v/>
      </c>
      <c r="AS257">
        <f>IF($Y257="",0,ROUND(SUMIF(บันทึกรายเที่ยว!$V$6:$V$6005,$Y257,บันทึกรายเที่ยว!$M$6:$M$6005),2))</f>
        <v/>
      </c>
      <c r="AT257">
        <f>IF($Y257="",0,IFERROR(INDEX(อัตราค่าขนส่ง!$G$5:$G$204,MATCH($Y257,อัตราค่าขนส่ง!$M$5:$M$204,0)),0))</f>
        <v/>
      </c>
      <c r="AU257">
        <f>ROUND($AS257*$BD257,2)</f>
        <v/>
      </c>
      <c r="AV257">
        <f>ROUND($AU257*$BF$2/100,2)</f>
        <v/>
      </c>
      <c r="AW257">
        <f>IF($Y257="","",IFERROR(INDEX(อัตราค่าขนส่ง!$F$5:$F$204,MATCH($Y257,อัตราค่าขนส่ง!$M$5:$M$204,0)),""))</f>
        <v/>
      </c>
      <c r="AX257">
        <f>IF($W257="","",INDEX(บันทึกรายเที่ยว!$D$6:$D$6005,$W257))</f>
        <v/>
      </c>
      <c r="AY257">
        <f>IF($W257="","",INDEX(บันทึกรายเที่ยว!$R$6:$R$6005,$W257))</f>
        <v/>
      </c>
      <c r="AZ257">
        <f>IF(AND($AD257="T",$AQ257=1),N($AZ256)+1,N($AZ256))</f>
        <v/>
      </c>
      <c r="BA257">
        <f>IF($W257="","",INDEX(บันทึกรายเที่ยว!$E$6:$E$6005,$W257))</f>
        <v/>
      </c>
      <c r="BC257">
        <f>IF($Y257="",0,IFERROR(INDEX(อัตราค่าขนส่ง!$K$5:$K$204,MATCH($Y257,อัตราค่าขนส่ง!$M$5:$M$204,0)),0))</f>
        <v/>
      </c>
      <c r="BD257">
        <f>IF($Y257="",0,IFERROR(INDEX(อัตราค่าขนส่ง!$L$5:$L$204,MATCH($Y257,อัตราค่าขนส่ง!$M$5:$M$204,0)),0))</f>
        <v/>
      </c>
    </row>
    <row r="258" ht="21" customHeight="1" s="66">
      <c r="A258" s="69">
        <f>IF($AD258="","",IF($AD258="Z","รวมจ่ายทั้งสิ้น",IF($AD258="H",INDEX($X$5:$X$404,$AC258),IF($AD258="T","รวม",IF($AD258="B",IFERROR(INDEX(อัตราค่าขนส่ง!$S$5:$S$14,MATCH(INDEX($AM$5:$AM$404,$AC258),อัตราค่าขนส่ง!$R$5:$R$14,0)),"รวมกลุ่ม "&amp;INDEX($AM$5:$AM$404,$AC258)),INDEX($AY$5:$AY$404,$AC258))))))</f>
        <v/>
      </c>
      <c r="B258" s="31">
        <f>IF($AD258&lt;&gt;"D","",INDEX($AW$5:$AW$404,$AC258))</f>
        <v/>
      </c>
      <c r="C258" s="68">
        <f>IF($AD258&lt;&gt;"D","",INDEX($AX$5:$AX$404,$AC258))</f>
        <v/>
      </c>
      <c r="D258" s="70">
        <f>IF($AD258&lt;&gt;"D","",INDEX($BA$5:$BA$404,$AC258))</f>
        <v/>
      </c>
      <c r="E258" s="31">
        <f>IF($AD258="Z",SUM($AR$5:$AR$404),IF($AD258="D",INDEX($AR$5:$AR$404,$AC258),IF($AD258="T",SUMIF($X$5:$X$404,$AF258,$AR$5:$AR$404),IF($AD258="B",SUMIF($AN$5:$AN$404,$AQ258,$AR$5:$AR$404),""))))</f>
        <v/>
      </c>
      <c r="F258" s="32">
        <f>IF($AD258="Z",ROUND(SUM($AS$5:$AS$404),2),IF($AD258="D",INDEX($AS$5:$AS$404,$AC258),IF($AD258="T",ROUND(SUMIF($X$5:$X$404,$AF258,$AS$5:$AS$404),2),IF($AD258="B",ROUND(SUMIF($AN$5:$AN$404,$AQ258,$AS$5:$AS$404),2),""))))</f>
        <v/>
      </c>
      <c r="G258" s="32">
        <f>IF($AD258&lt;&gt;"D","",INDEX($AT$5:$AT$404,$AC258))</f>
        <v/>
      </c>
      <c r="H258" s="32">
        <f>IF($AD258&lt;&gt;"D","",INDEX($BC$5:$BC$404,$AC258))</f>
        <v/>
      </c>
      <c r="I258" s="32">
        <f>IF($AD258&lt;&gt;"D","",INDEX($BD$5:$BD$404,$AC258))</f>
        <v/>
      </c>
      <c r="J258" s="46">
        <f>IF($AD258&lt;&gt;"D","",IF(N($B258)=0,"",ROUND($I258/$B258,4)))</f>
        <v/>
      </c>
      <c r="K258" s="32">
        <f>IF($AD258="Z",ROUND(SUM($AU$5:$AU$404),2),IF($AD258="D",INDEX($AU$5:$AU$404,$AC258),IF($AD258="T",ROUND(SUMIF($X$5:$X$404,$AF258,$AU$5:$AU$404),2),IF($AD258="B",ROUND(SUMIF($AN$5:$AN$404,$AQ258,$AU$5:$AU$404),2),""))))</f>
        <v/>
      </c>
      <c r="L258" s="32">
        <f>IF($AD258="Z",ROUND(SUM($AV$5:$AV$404),2),IF($AD258="D",INDEX($AV$5:$AV$404,$AC258),IF($AD258="T",ROUND(SUMIF($X$5:$X$404,$AF258,$AV$5:$AV$404),2),IF($AD258="B",ROUND(SUMIF($AN$5:$AN$404,$AQ258,$AV$5:$AV$404),2),""))))</f>
        <v/>
      </c>
      <c r="M258" s="32">
        <f>IF($AD258="Z",ROUND(SUM($AJ$5:$AJ$704),2),IF($AD258="B",ROUND(SUMIF($AQ$5:$AQ$704,$AQ258,$AJ$5:$AJ$704),2),IF($AD258&lt;&gt;"T","",$AJ258)))</f>
        <v/>
      </c>
      <c r="N258" s="32">
        <f>IF(OR($AD258="D",$AD258="T",$AD258="B",$AD258="Z"),ROUND(N($K258)-N($L258)-N($M258),2),"")</f>
        <v/>
      </c>
      <c r="O258" s="32">
        <f>IF(OR($AD258="D",$AD258="T",$AD258="B",$AD258="Z"),IF(N($E258)=0,"",ROUND($F258/$E258,2)),"")</f>
        <v/>
      </c>
      <c r="Q258">
        <f>IFERROR(MATCH(254,บันทึกรายเที่ยว!$Z$6:$Z$6005,0),"")</f>
        <v/>
      </c>
      <c r="R258">
        <f>IF($Q258="","",INDEX(บันทึกรายเที่ยว!$V$6:$V$6005,$Q258))</f>
        <v/>
      </c>
      <c r="S258">
        <f>IF($Q258="","",INDEX(บันทึกรายเที่ยว!$F$6:$F$6005,$Q258))</f>
        <v/>
      </c>
      <c r="T258">
        <f>IF($Q258="","",MATCH($S258,บันทึกรายเที่ยว!$F$6:$F$6005,0))</f>
        <v/>
      </c>
      <c r="U258">
        <f>IF($Q258="","",$AL258*10000000+$T258*1000+254)</f>
        <v/>
      </c>
      <c r="V258">
        <f>IFERROR(MATCH(SMALL($U$5:$U$404,254),$U$5:$U$404,0),"")</f>
        <v/>
      </c>
      <c r="W258">
        <f>IF($V258="","",INDEX($Q$5:$Q$404,$V258))</f>
        <v/>
      </c>
      <c r="X258">
        <f>IF($V258="","",INDEX($S$5:$S$404,$V258))</f>
        <v/>
      </c>
      <c r="Y258">
        <f>IF($V258="","",INDEX($R$5:$R$404,$V258))</f>
        <v/>
      </c>
      <c r="Z258">
        <f>IF($V258="",0,IF($X258&lt;&gt;$X257,1,0))</f>
        <v/>
      </c>
      <c r="AA258">
        <f>IF($V258="",0,IF($V259="",1,IF($X259&lt;&gt;$X258,1,0)))</f>
        <v/>
      </c>
      <c r="AB258">
        <f>IF($V258="",99999+254,$AB257+1+$Z257+$AA257+$AO257)</f>
        <v/>
      </c>
      <c r="AC258">
        <f>IFERROR(MATCH(254,$AB$5:$AB$404,1),"")</f>
        <v/>
      </c>
      <c r="AD258">
        <f>IF(254=$AI$1+1,"Z",IF($AC258="","",IF(INDEX($V$5:$V$404,$AC258)="","",IF(254&gt;INDEX($AB$5:$AB$404,$AC258)+INDEX($Z$5:$Z$404,$AC258)+INDEX($AA$5:$AA$404,$AC258)+INDEX($AO$5:$AO$404,$AC258),"",IF(254=INDEX($AB$5:$AB$404,$AC258)+INDEX($Z$5:$Z$404,$AC258),"D",IF(AND(INDEX($Z$5:$Z$404,$AC258)=1,254=INDEX($AB$5:$AB$404,$AC258)),"H",IF(AND(INDEX($AO$5:$AO$404,$AC258)=1,254=INDEX($AB$5:$AB$404,$AC258)+INDEX($Z$5:$Z$404,$AC258)+INDEX($AA$5:$AA$404,$AC258)+INDEX($AO$5:$AO$404,$AC258)),"B","T")))))))</f>
        <v/>
      </c>
      <c r="AF258">
        <f>IF(OR($AD258="",$AD258="Z",$AD258="B"),"",INDEX($X$5:$X$404,$AC258))</f>
        <v/>
      </c>
      <c r="AJ258">
        <f>IF($AD258&lt;&gt;"T",0,ROUND(SUMIF(oil!$B$4:$B$63,$AF258,oil!$AE$4:$AE$63),2))</f>
        <v/>
      </c>
      <c r="AK258">
        <f>IF($S258="","",IFERROR(INDEX(อัตราค่าขนส่ง!$P$5:$P$54,MATCH($S258,อัตราค่าขนส่ง!$O$5:$O$54,0)),INDEX(รายการมาตรฐาน!$G$2:$G$3,1)))</f>
        <v/>
      </c>
      <c r="AL258">
        <f>IF($S258="","",IFERROR(MATCH($AK258,รายการมาตรฐาน!$G$2:$G$3,0),1))</f>
        <v/>
      </c>
      <c r="AM258">
        <f>IF($V258="","",INDEX($AK$5:$AK$404,$V258))</f>
        <v/>
      </c>
      <c r="AN258">
        <f>IF($V258="","",INDEX($AL$5:$AL$404,$V258))</f>
        <v/>
      </c>
      <c r="AO258">
        <f>IF(OR($V258="",$AI$2&lt;=1),0,IF($V259="",1,IF($AN259&lt;&gt;$AN258,1,0)))</f>
        <v/>
      </c>
      <c r="AP258">
        <f>IF($V258="",0,IF($AN258&lt;&gt;$AN257,1,0))</f>
        <v/>
      </c>
      <c r="AQ258">
        <f>IF(OR($AD258="",$AD258="Z"),"",INDEX($AN$5:$AN$404,$AC258))</f>
        <v/>
      </c>
      <c r="AR258">
        <f>IF($Y258="",0,COUNTIF(บันทึกรายเที่ยว!$V$6:$V$6005,$Y258))</f>
        <v/>
      </c>
      <c r="AS258">
        <f>IF($Y258="",0,ROUND(SUMIF(บันทึกรายเที่ยว!$V$6:$V$6005,$Y258,บันทึกรายเที่ยว!$M$6:$M$6005),2))</f>
        <v/>
      </c>
      <c r="AT258">
        <f>IF($Y258="",0,IFERROR(INDEX(อัตราค่าขนส่ง!$G$5:$G$204,MATCH($Y258,อัตราค่าขนส่ง!$M$5:$M$204,0)),0))</f>
        <v/>
      </c>
      <c r="AU258">
        <f>ROUND($AS258*$BD258,2)</f>
        <v/>
      </c>
      <c r="AV258">
        <f>ROUND($AU258*$BF$2/100,2)</f>
        <v/>
      </c>
      <c r="AW258">
        <f>IF($Y258="","",IFERROR(INDEX(อัตราค่าขนส่ง!$F$5:$F$204,MATCH($Y258,อัตราค่าขนส่ง!$M$5:$M$204,0)),""))</f>
        <v/>
      </c>
      <c r="AX258">
        <f>IF($W258="","",INDEX(บันทึกรายเที่ยว!$D$6:$D$6005,$W258))</f>
        <v/>
      </c>
      <c r="AY258">
        <f>IF($W258="","",INDEX(บันทึกรายเที่ยว!$R$6:$R$6005,$W258))</f>
        <v/>
      </c>
      <c r="AZ258">
        <f>IF(AND($AD258="T",$AQ258=1),N($AZ257)+1,N($AZ257))</f>
        <v/>
      </c>
      <c r="BA258">
        <f>IF($W258="","",INDEX(บันทึกรายเที่ยว!$E$6:$E$6005,$W258))</f>
        <v/>
      </c>
      <c r="BC258">
        <f>IF($Y258="",0,IFERROR(INDEX(อัตราค่าขนส่ง!$K$5:$K$204,MATCH($Y258,อัตราค่าขนส่ง!$M$5:$M$204,0)),0))</f>
        <v/>
      </c>
      <c r="BD258">
        <f>IF($Y258="",0,IFERROR(INDEX(อัตราค่าขนส่ง!$L$5:$L$204,MATCH($Y258,อัตราค่าขนส่ง!$M$5:$M$204,0)),0))</f>
        <v/>
      </c>
    </row>
    <row r="259" ht="21" customHeight="1" s="66">
      <c r="A259" s="69">
        <f>IF($AD259="","",IF($AD259="Z","รวมจ่ายทั้งสิ้น",IF($AD259="H",INDEX($X$5:$X$404,$AC259),IF($AD259="T","รวม",IF($AD259="B",IFERROR(INDEX(อัตราค่าขนส่ง!$S$5:$S$14,MATCH(INDEX($AM$5:$AM$404,$AC259),อัตราค่าขนส่ง!$R$5:$R$14,0)),"รวมกลุ่ม "&amp;INDEX($AM$5:$AM$404,$AC259)),INDEX($AY$5:$AY$404,$AC259))))))</f>
        <v/>
      </c>
      <c r="B259" s="31">
        <f>IF($AD259&lt;&gt;"D","",INDEX($AW$5:$AW$404,$AC259))</f>
        <v/>
      </c>
      <c r="C259" s="68">
        <f>IF($AD259&lt;&gt;"D","",INDEX($AX$5:$AX$404,$AC259))</f>
        <v/>
      </c>
      <c r="D259" s="70">
        <f>IF($AD259&lt;&gt;"D","",INDEX($BA$5:$BA$404,$AC259))</f>
        <v/>
      </c>
      <c r="E259" s="31">
        <f>IF($AD259="Z",SUM($AR$5:$AR$404),IF($AD259="D",INDEX($AR$5:$AR$404,$AC259),IF($AD259="T",SUMIF($X$5:$X$404,$AF259,$AR$5:$AR$404),IF($AD259="B",SUMIF($AN$5:$AN$404,$AQ259,$AR$5:$AR$404),""))))</f>
        <v/>
      </c>
      <c r="F259" s="32">
        <f>IF($AD259="Z",ROUND(SUM($AS$5:$AS$404),2),IF($AD259="D",INDEX($AS$5:$AS$404,$AC259),IF($AD259="T",ROUND(SUMIF($X$5:$X$404,$AF259,$AS$5:$AS$404),2),IF($AD259="B",ROUND(SUMIF($AN$5:$AN$404,$AQ259,$AS$5:$AS$404),2),""))))</f>
        <v/>
      </c>
      <c r="G259" s="32">
        <f>IF($AD259&lt;&gt;"D","",INDEX($AT$5:$AT$404,$AC259))</f>
        <v/>
      </c>
      <c r="H259" s="32">
        <f>IF($AD259&lt;&gt;"D","",INDEX($BC$5:$BC$404,$AC259))</f>
        <v/>
      </c>
      <c r="I259" s="32">
        <f>IF($AD259&lt;&gt;"D","",INDEX($BD$5:$BD$404,$AC259))</f>
        <v/>
      </c>
      <c r="J259" s="46">
        <f>IF($AD259&lt;&gt;"D","",IF(N($B259)=0,"",ROUND($I259/$B259,4)))</f>
        <v/>
      </c>
      <c r="K259" s="32">
        <f>IF($AD259="Z",ROUND(SUM($AU$5:$AU$404),2),IF($AD259="D",INDEX($AU$5:$AU$404,$AC259),IF($AD259="T",ROUND(SUMIF($X$5:$X$404,$AF259,$AU$5:$AU$404),2),IF($AD259="B",ROUND(SUMIF($AN$5:$AN$404,$AQ259,$AU$5:$AU$404),2),""))))</f>
        <v/>
      </c>
      <c r="L259" s="32">
        <f>IF($AD259="Z",ROUND(SUM($AV$5:$AV$404),2),IF($AD259="D",INDEX($AV$5:$AV$404,$AC259),IF($AD259="T",ROUND(SUMIF($X$5:$X$404,$AF259,$AV$5:$AV$404),2),IF($AD259="B",ROUND(SUMIF($AN$5:$AN$404,$AQ259,$AV$5:$AV$404),2),""))))</f>
        <v/>
      </c>
      <c r="M259" s="32">
        <f>IF($AD259="Z",ROUND(SUM($AJ$5:$AJ$704),2),IF($AD259="B",ROUND(SUMIF($AQ$5:$AQ$704,$AQ259,$AJ$5:$AJ$704),2),IF($AD259&lt;&gt;"T","",$AJ259)))</f>
        <v/>
      </c>
      <c r="N259" s="32">
        <f>IF(OR($AD259="D",$AD259="T",$AD259="B",$AD259="Z"),ROUND(N($K259)-N($L259)-N($M259),2),"")</f>
        <v/>
      </c>
      <c r="O259" s="32">
        <f>IF(OR($AD259="D",$AD259="T",$AD259="B",$AD259="Z"),IF(N($E259)=0,"",ROUND($F259/$E259,2)),"")</f>
        <v/>
      </c>
      <c r="Q259">
        <f>IFERROR(MATCH(255,บันทึกรายเที่ยว!$Z$6:$Z$6005,0),"")</f>
        <v/>
      </c>
      <c r="R259">
        <f>IF($Q259="","",INDEX(บันทึกรายเที่ยว!$V$6:$V$6005,$Q259))</f>
        <v/>
      </c>
      <c r="S259">
        <f>IF($Q259="","",INDEX(บันทึกรายเที่ยว!$F$6:$F$6005,$Q259))</f>
        <v/>
      </c>
      <c r="T259">
        <f>IF($Q259="","",MATCH($S259,บันทึกรายเที่ยว!$F$6:$F$6005,0))</f>
        <v/>
      </c>
      <c r="U259">
        <f>IF($Q259="","",$AL259*10000000+$T259*1000+255)</f>
        <v/>
      </c>
      <c r="V259">
        <f>IFERROR(MATCH(SMALL($U$5:$U$404,255),$U$5:$U$404,0),"")</f>
        <v/>
      </c>
      <c r="W259">
        <f>IF($V259="","",INDEX($Q$5:$Q$404,$V259))</f>
        <v/>
      </c>
      <c r="X259">
        <f>IF($V259="","",INDEX($S$5:$S$404,$V259))</f>
        <v/>
      </c>
      <c r="Y259">
        <f>IF($V259="","",INDEX($R$5:$R$404,$V259))</f>
        <v/>
      </c>
      <c r="Z259">
        <f>IF($V259="",0,IF($X259&lt;&gt;$X258,1,0))</f>
        <v/>
      </c>
      <c r="AA259">
        <f>IF($V259="",0,IF($V260="",1,IF($X260&lt;&gt;$X259,1,0)))</f>
        <v/>
      </c>
      <c r="AB259">
        <f>IF($V259="",99999+255,$AB258+1+$Z258+$AA258+$AO258)</f>
        <v/>
      </c>
      <c r="AC259">
        <f>IFERROR(MATCH(255,$AB$5:$AB$404,1),"")</f>
        <v/>
      </c>
      <c r="AD259">
        <f>IF(255=$AI$1+1,"Z",IF($AC259="","",IF(INDEX($V$5:$V$404,$AC259)="","",IF(255&gt;INDEX($AB$5:$AB$404,$AC259)+INDEX($Z$5:$Z$404,$AC259)+INDEX($AA$5:$AA$404,$AC259)+INDEX($AO$5:$AO$404,$AC259),"",IF(255=INDEX($AB$5:$AB$404,$AC259)+INDEX($Z$5:$Z$404,$AC259),"D",IF(AND(INDEX($Z$5:$Z$404,$AC259)=1,255=INDEX($AB$5:$AB$404,$AC259)),"H",IF(AND(INDEX($AO$5:$AO$404,$AC259)=1,255=INDEX($AB$5:$AB$404,$AC259)+INDEX($Z$5:$Z$404,$AC259)+INDEX($AA$5:$AA$404,$AC259)+INDEX($AO$5:$AO$404,$AC259)),"B","T")))))))</f>
        <v/>
      </c>
      <c r="AF259">
        <f>IF(OR($AD259="",$AD259="Z",$AD259="B"),"",INDEX($X$5:$X$404,$AC259))</f>
        <v/>
      </c>
      <c r="AJ259">
        <f>IF($AD259&lt;&gt;"T",0,ROUND(SUMIF(oil!$B$4:$B$63,$AF259,oil!$AE$4:$AE$63),2))</f>
        <v/>
      </c>
      <c r="AK259">
        <f>IF($S259="","",IFERROR(INDEX(อัตราค่าขนส่ง!$P$5:$P$54,MATCH($S259,อัตราค่าขนส่ง!$O$5:$O$54,0)),INDEX(รายการมาตรฐาน!$G$2:$G$3,1)))</f>
        <v/>
      </c>
      <c r="AL259">
        <f>IF($S259="","",IFERROR(MATCH($AK259,รายการมาตรฐาน!$G$2:$G$3,0),1))</f>
        <v/>
      </c>
      <c r="AM259">
        <f>IF($V259="","",INDEX($AK$5:$AK$404,$V259))</f>
        <v/>
      </c>
      <c r="AN259">
        <f>IF($V259="","",INDEX($AL$5:$AL$404,$V259))</f>
        <v/>
      </c>
      <c r="AO259">
        <f>IF(OR($V259="",$AI$2&lt;=1),0,IF($V260="",1,IF($AN260&lt;&gt;$AN259,1,0)))</f>
        <v/>
      </c>
      <c r="AP259">
        <f>IF($V259="",0,IF($AN259&lt;&gt;$AN258,1,0))</f>
        <v/>
      </c>
      <c r="AQ259">
        <f>IF(OR($AD259="",$AD259="Z"),"",INDEX($AN$5:$AN$404,$AC259))</f>
        <v/>
      </c>
      <c r="AR259">
        <f>IF($Y259="",0,COUNTIF(บันทึกรายเที่ยว!$V$6:$V$6005,$Y259))</f>
        <v/>
      </c>
      <c r="AS259">
        <f>IF($Y259="",0,ROUND(SUMIF(บันทึกรายเที่ยว!$V$6:$V$6005,$Y259,บันทึกรายเที่ยว!$M$6:$M$6005),2))</f>
        <v/>
      </c>
      <c r="AT259">
        <f>IF($Y259="",0,IFERROR(INDEX(อัตราค่าขนส่ง!$G$5:$G$204,MATCH($Y259,อัตราค่าขนส่ง!$M$5:$M$204,0)),0))</f>
        <v/>
      </c>
      <c r="AU259">
        <f>ROUND($AS259*$BD259,2)</f>
        <v/>
      </c>
      <c r="AV259">
        <f>ROUND($AU259*$BF$2/100,2)</f>
        <v/>
      </c>
      <c r="AW259">
        <f>IF($Y259="","",IFERROR(INDEX(อัตราค่าขนส่ง!$F$5:$F$204,MATCH($Y259,อัตราค่าขนส่ง!$M$5:$M$204,0)),""))</f>
        <v/>
      </c>
      <c r="AX259">
        <f>IF($W259="","",INDEX(บันทึกรายเที่ยว!$D$6:$D$6005,$W259))</f>
        <v/>
      </c>
      <c r="AY259">
        <f>IF($W259="","",INDEX(บันทึกรายเที่ยว!$R$6:$R$6005,$W259))</f>
        <v/>
      </c>
      <c r="AZ259">
        <f>IF(AND($AD259="T",$AQ259=1),N($AZ258)+1,N($AZ258))</f>
        <v/>
      </c>
      <c r="BA259">
        <f>IF($W259="","",INDEX(บันทึกรายเที่ยว!$E$6:$E$6005,$W259))</f>
        <v/>
      </c>
      <c r="BC259">
        <f>IF($Y259="",0,IFERROR(INDEX(อัตราค่าขนส่ง!$K$5:$K$204,MATCH($Y259,อัตราค่าขนส่ง!$M$5:$M$204,0)),0))</f>
        <v/>
      </c>
      <c r="BD259">
        <f>IF($Y259="",0,IFERROR(INDEX(อัตราค่าขนส่ง!$L$5:$L$204,MATCH($Y259,อัตราค่าขนส่ง!$M$5:$M$204,0)),0))</f>
        <v/>
      </c>
    </row>
    <row r="260" ht="21" customHeight="1" s="66">
      <c r="A260" s="69">
        <f>IF($AD260="","",IF($AD260="Z","รวมจ่ายทั้งสิ้น",IF($AD260="H",INDEX($X$5:$X$404,$AC260),IF($AD260="T","รวม",IF($AD260="B",IFERROR(INDEX(อัตราค่าขนส่ง!$S$5:$S$14,MATCH(INDEX($AM$5:$AM$404,$AC260),อัตราค่าขนส่ง!$R$5:$R$14,0)),"รวมกลุ่ม "&amp;INDEX($AM$5:$AM$404,$AC260)),INDEX($AY$5:$AY$404,$AC260))))))</f>
        <v/>
      </c>
      <c r="B260" s="31">
        <f>IF($AD260&lt;&gt;"D","",INDEX($AW$5:$AW$404,$AC260))</f>
        <v/>
      </c>
      <c r="C260" s="68">
        <f>IF($AD260&lt;&gt;"D","",INDEX($AX$5:$AX$404,$AC260))</f>
        <v/>
      </c>
      <c r="D260" s="70">
        <f>IF($AD260&lt;&gt;"D","",INDEX($BA$5:$BA$404,$AC260))</f>
        <v/>
      </c>
      <c r="E260" s="31">
        <f>IF($AD260="Z",SUM($AR$5:$AR$404),IF($AD260="D",INDEX($AR$5:$AR$404,$AC260),IF($AD260="T",SUMIF($X$5:$X$404,$AF260,$AR$5:$AR$404),IF($AD260="B",SUMIF($AN$5:$AN$404,$AQ260,$AR$5:$AR$404),""))))</f>
        <v/>
      </c>
      <c r="F260" s="32">
        <f>IF($AD260="Z",ROUND(SUM($AS$5:$AS$404),2),IF($AD260="D",INDEX($AS$5:$AS$404,$AC260),IF($AD260="T",ROUND(SUMIF($X$5:$X$404,$AF260,$AS$5:$AS$404),2),IF($AD260="B",ROUND(SUMIF($AN$5:$AN$404,$AQ260,$AS$5:$AS$404),2),""))))</f>
        <v/>
      </c>
      <c r="G260" s="32">
        <f>IF($AD260&lt;&gt;"D","",INDEX($AT$5:$AT$404,$AC260))</f>
        <v/>
      </c>
      <c r="H260" s="32">
        <f>IF($AD260&lt;&gt;"D","",INDEX($BC$5:$BC$404,$AC260))</f>
        <v/>
      </c>
      <c r="I260" s="32">
        <f>IF($AD260&lt;&gt;"D","",INDEX($BD$5:$BD$404,$AC260))</f>
        <v/>
      </c>
      <c r="J260" s="46">
        <f>IF($AD260&lt;&gt;"D","",IF(N($B260)=0,"",ROUND($I260/$B260,4)))</f>
        <v/>
      </c>
      <c r="K260" s="32">
        <f>IF($AD260="Z",ROUND(SUM($AU$5:$AU$404),2),IF($AD260="D",INDEX($AU$5:$AU$404,$AC260),IF($AD260="T",ROUND(SUMIF($X$5:$X$404,$AF260,$AU$5:$AU$404),2),IF($AD260="B",ROUND(SUMIF($AN$5:$AN$404,$AQ260,$AU$5:$AU$404),2),""))))</f>
        <v/>
      </c>
      <c r="L260" s="32">
        <f>IF($AD260="Z",ROUND(SUM($AV$5:$AV$404),2),IF($AD260="D",INDEX($AV$5:$AV$404,$AC260),IF($AD260="T",ROUND(SUMIF($X$5:$X$404,$AF260,$AV$5:$AV$404),2),IF($AD260="B",ROUND(SUMIF($AN$5:$AN$404,$AQ260,$AV$5:$AV$404),2),""))))</f>
        <v/>
      </c>
      <c r="M260" s="32">
        <f>IF($AD260="Z",ROUND(SUM($AJ$5:$AJ$704),2),IF($AD260="B",ROUND(SUMIF($AQ$5:$AQ$704,$AQ260,$AJ$5:$AJ$704),2),IF($AD260&lt;&gt;"T","",$AJ260)))</f>
        <v/>
      </c>
      <c r="N260" s="32">
        <f>IF(OR($AD260="D",$AD260="T",$AD260="B",$AD260="Z"),ROUND(N($K260)-N($L260)-N($M260),2),"")</f>
        <v/>
      </c>
      <c r="O260" s="32">
        <f>IF(OR($AD260="D",$AD260="T",$AD260="B",$AD260="Z"),IF(N($E260)=0,"",ROUND($F260/$E260,2)),"")</f>
        <v/>
      </c>
      <c r="Q260">
        <f>IFERROR(MATCH(256,บันทึกรายเที่ยว!$Z$6:$Z$6005,0),"")</f>
        <v/>
      </c>
      <c r="R260">
        <f>IF($Q260="","",INDEX(บันทึกรายเที่ยว!$V$6:$V$6005,$Q260))</f>
        <v/>
      </c>
      <c r="S260">
        <f>IF($Q260="","",INDEX(บันทึกรายเที่ยว!$F$6:$F$6005,$Q260))</f>
        <v/>
      </c>
      <c r="T260">
        <f>IF($Q260="","",MATCH($S260,บันทึกรายเที่ยว!$F$6:$F$6005,0))</f>
        <v/>
      </c>
      <c r="U260">
        <f>IF($Q260="","",$AL260*10000000+$T260*1000+256)</f>
        <v/>
      </c>
      <c r="V260">
        <f>IFERROR(MATCH(SMALL($U$5:$U$404,256),$U$5:$U$404,0),"")</f>
        <v/>
      </c>
      <c r="W260">
        <f>IF($V260="","",INDEX($Q$5:$Q$404,$V260))</f>
        <v/>
      </c>
      <c r="X260">
        <f>IF($V260="","",INDEX($S$5:$S$404,$V260))</f>
        <v/>
      </c>
      <c r="Y260">
        <f>IF($V260="","",INDEX($R$5:$R$404,$V260))</f>
        <v/>
      </c>
      <c r="Z260">
        <f>IF($V260="",0,IF($X260&lt;&gt;$X259,1,0))</f>
        <v/>
      </c>
      <c r="AA260">
        <f>IF($V260="",0,IF($V261="",1,IF($X261&lt;&gt;$X260,1,0)))</f>
        <v/>
      </c>
      <c r="AB260">
        <f>IF($V260="",99999+256,$AB259+1+$Z259+$AA259+$AO259)</f>
        <v/>
      </c>
      <c r="AC260">
        <f>IFERROR(MATCH(256,$AB$5:$AB$404,1),"")</f>
        <v/>
      </c>
      <c r="AD260">
        <f>IF(256=$AI$1+1,"Z",IF($AC260="","",IF(INDEX($V$5:$V$404,$AC260)="","",IF(256&gt;INDEX($AB$5:$AB$404,$AC260)+INDEX($Z$5:$Z$404,$AC260)+INDEX($AA$5:$AA$404,$AC260)+INDEX($AO$5:$AO$404,$AC260),"",IF(256=INDEX($AB$5:$AB$404,$AC260)+INDEX($Z$5:$Z$404,$AC260),"D",IF(AND(INDEX($Z$5:$Z$404,$AC260)=1,256=INDEX($AB$5:$AB$404,$AC260)),"H",IF(AND(INDEX($AO$5:$AO$404,$AC260)=1,256=INDEX($AB$5:$AB$404,$AC260)+INDEX($Z$5:$Z$404,$AC260)+INDEX($AA$5:$AA$404,$AC260)+INDEX($AO$5:$AO$404,$AC260)),"B","T")))))))</f>
        <v/>
      </c>
      <c r="AF260">
        <f>IF(OR($AD260="",$AD260="Z",$AD260="B"),"",INDEX($X$5:$X$404,$AC260))</f>
        <v/>
      </c>
      <c r="AJ260">
        <f>IF($AD260&lt;&gt;"T",0,ROUND(SUMIF(oil!$B$4:$B$63,$AF260,oil!$AE$4:$AE$63),2))</f>
        <v/>
      </c>
      <c r="AK260">
        <f>IF($S260="","",IFERROR(INDEX(อัตราค่าขนส่ง!$P$5:$P$54,MATCH($S260,อัตราค่าขนส่ง!$O$5:$O$54,0)),INDEX(รายการมาตรฐาน!$G$2:$G$3,1)))</f>
        <v/>
      </c>
      <c r="AL260">
        <f>IF($S260="","",IFERROR(MATCH($AK260,รายการมาตรฐาน!$G$2:$G$3,0),1))</f>
        <v/>
      </c>
      <c r="AM260">
        <f>IF($V260="","",INDEX($AK$5:$AK$404,$V260))</f>
        <v/>
      </c>
      <c r="AN260">
        <f>IF($V260="","",INDEX($AL$5:$AL$404,$V260))</f>
        <v/>
      </c>
      <c r="AO260">
        <f>IF(OR($V260="",$AI$2&lt;=1),0,IF($V261="",1,IF($AN261&lt;&gt;$AN260,1,0)))</f>
        <v/>
      </c>
      <c r="AP260">
        <f>IF($V260="",0,IF($AN260&lt;&gt;$AN259,1,0))</f>
        <v/>
      </c>
      <c r="AQ260">
        <f>IF(OR($AD260="",$AD260="Z"),"",INDEX($AN$5:$AN$404,$AC260))</f>
        <v/>
      </c>
      <c r="AR260">
        <f>IF($Y260="",0,COUNTIF(บันทึกรายเที่ยว!$V$6:$V$6005,$Y260))</f>
        <v/>
      </c>
      <c r="AS260">
        <f>IF($Y260="",0,ROUND(SUMIF(บันทึกรายเที่ยว!$V$6:$V$6005,$Y260,บันทึกรายเที่ยว!$M$6:$M$6005),2))</f>
        <v/>
      </c>
      <c r="AT260">
        <f>IF($Y260="",0,IFERROR(INDEX(อัตราค่าขนส่ง!$G$5:$G$204,MATCH($Y260,อัตราค่าขนส่ง!$M$5:$M$204,0)),0))</f>
        <v/>
      </c>
      <c r="AU260">
        <f>ROUND($AS260*$BD260,2)</f>
        <v/>
      </c>
      <c r="AV260">
        <f>ROUND($AU260*$BF$2/100,2)</f>
        <v/>
      </c>
      <c r="AW260">
        <f>IF($Y260="","",IFERROR(INDEX(อัตราค่าขนส่ง!$F$5:$F$204,MATCH($Y260,อัตราค่าขนส่ง!$M$5:$M$204,0)),""))</f>
        <v/>
      </c>
      <c r="AX260">
        <f>IF($W260="","",INDEX(บันทึกรายเที่ยว!$D$6:$D$6005,$W260))</f>
        <v/>
      </c>
      <c r="AY260">
        <f>IF($W260="","",INDEX(บันทึกรายเที่ยว!$R$6:$R$6005,$W260))</f>
        <v/>
      </c>
      <c r="AZ260">
        <f>IF(AND($AD260="T",$AQ260=1),N($AZ259)+1,N($AZ259))</f>
        <v/>
      </c>
      <c r="BA260">
        <f>IF($W260="","",INDEX(บันทึกรายเที่ยว!$E$6:$E$6005,$W260))</f>
        <v/>
      </c>
      <c r="BC260">
        <f>IF($Y260="",0,IFERROR(INDEX(อัตราค่าขนส่ง!$K$5:$K$204,MATCH($Y260,อัตราค่าขนส่ง!$M$5:$M$204,0)),0))</f>
        <v/>
      </c>
      <c r="BD260">
        <f>IF($Y260="",0,IFERROR(INDEX(อัตราค่าขนส่ง!$L$5:$L$204,MATCH($Y260,อัตราค่าขนส่ง!$M$5:$M$204,0)),0))</f>
        <v/>
      </c>
    </row>
    <row r="261" ht="21" customHeight="1" s="66">
      <c r="A261" s="69">
        <f>IF($AD261="","",IF($AD261="Z","รวมจ่ายทั้งสิ้น",IF($AD261="H",INDEX($X$5:$X$404,$AC261),IF($AD261="T","รวม",IF($AD261="B",IFERROR(INDEX(อัตราค่าขนส่ง!$S$5:$S$14,MATCH(INDEX($AM$5:$AM$404,$AC261),อัตราค่าขนส่ง!$R$5:$R$14,0)),"รวมกลุ่ม "&amp;INDEX($AM$5:$AM$404,$AC261)),INDEX($AY$5:$AY$404,$AC261))))))</f>
        <v/>
      </c>
      <c r="B261" s="31">
        <f>IF($AD261&lt;&gt;"D","",INDEX($AW$5:$AW$404,$AC261))</f>
        <v/>
      </c>
      <c r="C261" s="68">
        <f>IF($AD261&lt;&gt;"D","",INDEX($AX$5:$AX$404,$AC261))</f>
        <v/>
      </c>
      <c r="D261" s="70">
        <f>IF($AD261&lt;&gt;"D","",INDEX($BA$5:$BA$404,$AC261))</f>
        <v/>
      </c>
      <c r="E261" s="31">
        <f>IF($AD261="Z",SUM($AR$5:$AR$404),IF($AD261="D",INDEX($AR$5:$AR$404,$AC261),IF($AD261="T",SUMIF($X$5:$X$404,$AF261,$AR$5:$AR$404),IF($AD261="B",SUMIF($AN$5:$AN$404,$AQ261,$AR$5:$AR$404),""))))</f>
        <v/>
      </c>
      <c r="F261" s="32">
        <f>IF($AD261="Z",ROUND(SUM($AS$5:$AS$404),2),IF($AD261="D",INDEX($AS$5:$AS$404,$AC261),IF($AD261="T",ROUND(SUMIF($X$5:$X$404,$AF261,$AS$5:$AS$404),2),IF($AD261="B",ROUND(SUMIF($AN$5:$AN$404,$AQ261,$AS$5:$AS$404),2),""))))</f>
        <v/>
      </c>
      <c r="G261" s="32">
        <f>IF($AD261&lt;&gt;"D","",INDEX($AT$5:$AT$404,$AC261))</f>
        <v/>
      </c>
      <c r="H261" s="32">
        <f>IF($AD261&lt;&gt;"D","",INDEX($BC$5:$BC$404,$AC261))</f>
        <v/>
      </c>
      <c r="I261" s="32">
        <f>IF($AD261&lt;&gt;"D","",INDEX($BD$5:$BD$404,$AC261))</f>
        <v/>
      </c>
      <c r="J261" s="46">
        <f>IF($AD261&lt;&gt;"D","",IF(N($B261)=0,"",ROUND($I261/$B261,4)))</f>
        <v/>
      </c>
      <c r="K261" s="32">
        <f>IF($AD261="Z",ROUND(SUM($AU$5:$AU$404),2),IF($AD261="D",INDEX($AU$5:$AU$404,$AC261),IF($AD261="T",ROUND(SUMIF($X$5:$X$404,$AF261,$AU$5:$AU$404),2),IF($AD261="B",ROUND(SUMIF($AN$5:$AN$404,$AQ261,$AU$5:$AU$404),2),""))))</f>
        <v/>
      </c>
      <c r="L261" s="32">
        <f>IF($AD261="Z",ROUND(SUM($AV$5:$AV$404),2),IF($AD261="D",INDEX($AV$5:$AV$404,$AC261),IF($AD261="T",ROUND(SUMIF($X$5:$X$404,$AF261,$AV$5:$AV$404),2),IF($AD261="B",ROUND(SUMIF($AN$5:$AN$404,$AQ261,$AV$5:$AV$404),2),""))))</f>
        <v/>
      </c>
      <c r="M261" s="32">
        <f>IF($AD261="Z",ROUND(SUM($AJ$5:$AJ$704),2),IF($AD261="B",ROUND(SUMIF($AQ$5:$AQ$704,$AQ261,$AJ$5:$AJ$704),2),IF($AD261&lt;&gt;"T","",$AJ261)))</f>
        <v/>
      </c>
      <c r="N261" s="32">
        <f>IF(OR($AD261="D",$AD261="T",$AD261="B",$AD261="Z"),ROUND(N($K261)-N($L261)-N($M261),2),"")</f>
        <v/>
      </c>
      <c r="O261" s="32">
        <f>IF(OR($AD261="D",$AD261="T",$AD261="B",$AD261="Z"),IF(N($E261)=0,"",ROUND($F261/$E261,2)),"")</f>
        <v/>
      </c>
      <c r="Q261">
        <f>IFERROR(MATCH(257,บันทึกรายเที่ยว!$Z$6:$Z$6005,0),"")</f>
        <v/>
      </c>
      <c r="R261">
        <f>IF($Q261="","",INDEX(บันทึกรายเที่ยว!$V$6:$V$6005,$Q261))</f>
        <v/>
      </c>
      <c r="S261">
        <f>IF($Q261="","",INDEX(บันทึกรายเที่ยว!$F$6:$F$6005,$Q261))</f>
        <v/>
      </c>
      <c r="T261">
        <f>IF($Q261="","",MATCH($S261,บันทึกรายเที่ยว!$F$6:$F$6005,0))</f>
        <v/>
      </c>
      <c r="U261">
        <f>IF($Q261="","",$AL261*10000000+$T261*1000+257)</f>
        <v/>
      </c>
      <c r="V261">
        <f>IFERROR(MATCH(SMALL($U$5:$U$404,257),$U$5:$U$404,0),"")</f>
        <v/>
      </c>
      <c r="W261">
        <f>IF($V261="","",INDEX($Q$5:$Q$404,$V261))</f>
        <v/>
      </c>
      <c r="X261">
        <f>IF($V261="","",INDEX($S$5:$S$404,$V261))</f>
        <v/>
      </c>
      <c r="Y261">
        <f>IF($V261="","",INDEX($R$5:$R$404,$V261))</f>
        <v/>
      </c>
      <c r="Z261">
        <f>IF($V261="",0,IF($X261&lt;&gt;$X260,1,0))</f>
        <v/>
      </c>
      <c r="AA261">
        <f>IF($V261="",0,IF($V262="",1,IF($X262&lt;&gt;$X261,1,0)))</f>
        <v/>
      </c>
      <c r="AB261">
        <f>IF($V261="",99999+257,$AB260+1+$Z260+$AA260+$AO260)</f>
        <v/>
      </c>
      <c r="AC261">
        <f>IFERROR(MATCH(257,$AB$5:$AB$404,1),"")</f>
        <v/>
      </c>
      <c r="AD261">
        <f>IF(257=$AI$1+1,"Z",IF($AC261="","",IF(INDEX($V$5:$V$404,$AC261)="","",IF(257&gt;INDEX($AB$5:$AB$404,$AC261)+INDEX($Z$5:$Z$404,$AC261)+INDEX($AA$5:$AA$404,$AC261)+INDEX($AO$5:$AO$404,$AC261),"",IF(257=INDEX($AB$5:$AB$404,$AC261)+INDEX($Z$5:$Z$404,$AC261),"D",IF(AND(INDEX($Z$5:$Z$404,$AC261)=1,257=INDEX($AB$5:$AB$404,$AC261)),"H",IF(AND(INDEX($AO$5:$AO$404,$AC261)=1,257=INDEX($AB$5:$AB$404,$AC261)+INDEX($Z$5:$Z$404,$AC261)+INDEX($AA$5:$AA$404,$AC261)+INDEX($AO$5:$AO$404,$AC261)),"B","T")))))))</f>
        <v/>
      </c>
      <c r="AF261">
        <f>IF(OR($AD261="",$AD261="Z",$AD261="B"),"",INDEX($X$5:$X$404,$AC261))</f>
        <v/>
      </c>
      <c r="AJ261">
        <f>IF($AD261&lt;&gt;"T",0,ROUND(SUMIF(oil!$B$4:$B$63,$AF261,oil!$AE$4:$AE$63),2))</f>
        <v/>
      </c>
      <c r="AK261">
        <f>IF($S261="","",IFERROR(INDEX(อัตราค่าขนส่ง!$P$5:$P$54,MATCH($S261,อัตราค่าขนส่ง!$O$5:$O$54,0)),INDEX(รายการมาตรฐาน!$G$2:$G$3,1)))</f>
        <v/>
      </c>
      <c r="AL261">
        <f>IF($S261="","",IFERROR(MATCH($AK261,รายการมาตรฐาน!$G$2:$G$3,0),1))</f>
        <v/>
      </c>
      <c r="AM261">
        <f>IF($V261="","",INDEX($AK$5:$AK$404,$V261))</f>
        <v/>
      </c>
      <c r="AN261">
        <f>IF($V261="","",INDEX($AL$5:$AL$404,$V261))</f>
        <v/>
      </c>
      <c r="AO261">
        <f>IF(OR($V261="",$AI$2&lt;=1),0,IF($V262="",1,IF($AN262&lt;&gt;$AN261,1,0)))</f>
        <v/>
      </c>
      <c r="AP261">
        <f>IF($V261="",0,IF($AN261&lt;&gt;$AN260,1,0))</f>
        <v/>
      </c>
      <c r="AQ261">
        <f>IF(OR($AD261="",$AD261="Z"),"",INDEX($AN$5:$AN$404,$AC261))</f>
        <v/>
      </c>
      <c r="AR261">
        <f>IF($Y261="",0,COUNTIF(บันทึกรายเที่ยว!$V$6:$V$6005,$Y261))</f>
        <v/>
      </c>
      <c r="AS261">
        <f>IF($Y261="",0,ROUND(SUMIF(บันทึกรายเที่ยว!$V$6:$V$6005,$Y261,บันทึกรายเที่ยว!$M$6:$M$6005),2))</f>
        <v/>
      </c>
      <c r="AT261">
        <f>IF($Y261="",0,IFERROR(INDEX(อัตราค่าขนส่ง!$G$5:$G$204,MATCH($Y261,อัตราค่าขนส่ง!$M$5:$M$204,0)),0))</f>
        <v/>
      </c>
      <c r="AU261">
        <f>ROUND($AS261*$BD261,2)</f>
        <v/>
      </c>
      <c r="AV261">
        <f>ROUND($AU261*$BF$2/100,2)</f>
        <v/>
      </c>
      <c r="AW261">
        <f>IF($Y261="","",IFERROR(INDEX(อัตราค่าขนส่ง!$F$5:$F$204,MATCH($Y261,อัตราค่าขนส่ง!$M$5:$M$204,0)),""))</f>
        <v/>
      </c>
      <c r="AX261">
        <f>IF($W261="","",INDEX(บันทึกรายเที่ยว!$D$6:$D$6005,$W261))</f>
        <v/>
      </c>
      <c r="AY261">
        <f>IF($W261="","",INDEX(บันทึกรายเที่ยว!$R$6:$R$6005,$W261))</f>
        <v/>
      </c>
      <c r="AZ261">
        <f>IF(AND($AD261="T",$AQ261=1),N($AZ260)+1,N($AZ260))</f>
        <v/>
      </c>
      <c r="BA261">
        <f>IF($W261="","",INDEX(บันทึกรายเที่ยว!$E$6:$E$6005,$W261))</f>
        <v/>
      </c>
      <c r="BC261">
        <f>IF($Y261="",0,IFERROR(INDEX(อัตราค่าขนส่ง!$K$5:$K$204,MATCH($Y261,อัตราค่าขนส่ง!$M$5:$M$204,0)),0))</f>
        <v/>
      </c>
      <c r="BD261">
        <f>IF($Y261="",0,IFERROR(INDEX(อัตราค่าขนส่ง!$L$5:$L$204,MATCH($Y261,อัตราค่าขนส่ง!$M$5:$M$204,0)),0))</f>
        <v/>
      </c>
    </row>
    <row r="262" ht="21" customHeight="1" s="66">
      <c r="A262" s="69">
        <f>IF($AD262="","",IF($AD262="Z","รวมจ่ายทั้งสิ้น",IF($AD262="H",INDEX($X$5:$X$404,$AC262),IF($AD262="T","รวม",IF($AD262="B",IFERROR(INDEX(อัตราค่าขนส่ง!$S$5:$S$14,MATCH(INDEX($AM$5:$AM$404,$AC262),อัตราค่าขนส่ง!$R$5:$R$14,0)),"รวมกลุ่ม "&amp;INDEX($AM$5:$AM$404,$AC262)),INDEX($AY$5:$AY$404,$AC262))))))</f>
        <v/>
      </c>
      <c r="B262" s="31">
        <f>IF($AD262&lt;&gt;"D","",INDEX($AW$5:$AW$404,$AC262))</f>
        <v/>
      </c>
      <c r="C262" s="68">
        <f>IF($AD262&lt;&gt;"D","",INDEX($AX$5:$AX$404,$AC262))</f>
        <v/>
      </c>
      <c r="D262" s="70">
        <f>IF($AD262&lt;&gt;"D","",INDEX($BA$5:$BA$404,$AC262))</f>
        <v/>
      </c>
      <c r="E262" s="31">
        <f>IF($AD262="Z",SUM($AR$5:$AR$404),IF($AD262="D",INDEX($AR$5:$AR$404,$AC262),IF($AD262="T",SUMIF($X$5:$X$404,$AF262,$AR$5:$AR$404),IF($AD262="B",SUMIF($AN$5:$AN$404,$AQ262,$AR$5:$AR$404),""))))</f>
        <v/>
      </c>
      <c r="F262" s="32">
        <f>IF($AD262="Z",ROUND(SUM($AS$5:$AS$404),2),IF($AD262="D",INDEX($AS$5:$AS$404,$AC262),IF($AD262="T",ROUND(SUMIF($X$5:$X$404,$AF262,$AS$5:$AS$404),2),IF($AD262="B",ROUND(SUMIF($AN$5:$AN$404,$AQ262,$AS$5:$AS$404),2),""))))</f>
        <v/>
      </c>
      <c r="G262" s="32">
        <f>IF($AD262&lt;&gt;"D","",INDEX($AT$5:$AT$404,$AC262))</f>
        <v/>
      </c>
      <c r="H262" s="32">
        <f>IF($AD262&lt;&gt;"D","",INDEX($BC$5:$BC$404,$AC262))</f>
        <v/>
      </c>
      <c r="I262" s="32">
        <f>IF($AD262&lt;&gt;"D","",INDEX($BD$5:$BD$404,$AC262))</f>
        <v/>
      </c>
      <c r="J262" s="46">
        <f>IF($AD262&lt;&gt;"D","",IF(N($B262)=0,"",ROUND($I262/$B262,4)))</f>
        <v/>
      </c>
      <c r="K262" s="32">
        <f>IF($AD262="Z",ROUND(SUM($AU$5:$AU$404),2),IF($AD262="D",INDEX($AU$5:$AU$404,$AC262),IF($AD262="T",ROUND(SUMIF($X$5:$X$404,$AF262,$AU$5:$AU$404),2),IF($AD262="B",ROUND(SUMIF($AN$5:$AN$404,$AQ262,$AU$5:$AU$404),2),""))))</f>
        <v/>
      </c>
      <c r="L262" s="32">
        <f>IF($AD262="Z",ROUND(SUM($AV$5:$AV$404),2),IF($AD262="D",INDEX($AV$5:$AV$404,$AC262),IF($AD262="T",ROUND(SUMIF($X$5:$X$404,$AF262,$AV$5:$AV$404),2),IF($AD262="B",ROUND(SUMIF($AN$5:$AN$404,$AQ262,$AV$5:$AV$404),2),""))))</f>
        <v/>
      </c>
      <c r="M262" s="32">
        <f>IF($AD262="Z",ROUND(SUM($AJ$5:$AJ$704),2),IF($AD262="B",ROUND(SUMIF($AQ$5:$AQ$704,$AQ262,$AJ$5:$AJ$704),2),IF($AD262&lt;&gt;"T","",$AJ262)))</f>
        <v/>
      </c>
      <c r="N262" s="32">
        <f>IF(OR($AD262="D",$AD262="T",$AD262="B",$AD262="Z"),ROUND(N($K262)-N($L262)-N($M262),2),"")</f>
        <v/>
      </c>
      <c r="O262" s="32">
        <f>IF(OR($AD262="D",$AD262="T",$AD262="B",$AD262="Z"),IF(N($E262)=0,"",ROUND($F262/$E262,2)),"")</f>
        <v/>
      </c>
      <c r="Q262">
        <f>IFERROR(MATCH(258,บันทึกรายเที่ยว!$Z$6:$Z$6005,0),"")</f>
        <v/>
      </c>
      <c r="R262">
        <f>IF($Q262="","",INDEX(บันทึกรายเที่ยว!$V$6:$V$6005,$Q262))</f>
        <v/>
      </c>
      <c r="S262">
        <f>IF($Q262="","",INDEX(บันทึกรายเที่ยว!$F$6:$F$6005,$Q262))</f>
        <v/>
      </c>
      <c r="T262">
        <f>IF($Q262="","",MATCH($S262,บันทึกรายเที่ยว!$F$6:$F$6005,0))</f>
        <v/>
      </c>
      <c r="U262">
        <f>IF($Q262="","",$AL262*10000000+$T262*1000+258)</f>
        <v/>
      </c>
      <c r="V262">
        <f>IFERROR(MATCH(SMALL($U$5:$U$404,258),$U$5:$U$404,0),"")</f>
        <v/>
      </c>
      <c r="W262">
        <f>IF($V262="","",INDEX($Q$5:$Q$404,$V262))</f>
        <v/>
      </c>
      <c r="X262">
        <f>IF($V262="","",INDEX($S$5:$S$404,$V262))</f>
        <v/>
      </c>
      <c r="Y262">
        <f>IF($V262="","",INDEX($R$5:$R$404,$V262))</f>
        <v/>
      </c>
      <c r="Z262">
        <f>IF($V262="",0,IF($X262&lt;&gt;$X261,1,0))</f>
        <v/>
      </c>
      <c r="AA262">
        <f>IF($V262="",0,IF($V263="",1,IF($X263&lt;&gt;$X262,1,0)))</f>
        <v/>
      </c>
      <c r="AB262">
        <f>IF($V262="",99999+258,$AB261+1+$Z261+$AA261+$AO261)</f>
        <v/>
      </c>
      <c r="AC262">
        <f>IFERROR(MATCH(258,$AB$5:$AB$404,1),"")</f>
        <v/>
      </c>
      <c r="AD262">
        <f>IF(258=$AI$1+1,"Z",IF($AC262="","",IF(INDEX($V$5:$V$404,$AC262)="","",IF(258&gt;INDEX($AB$5:$AB$404,$AC262)+INDEX($Z$5:$Z$404,$AC262)+INDEX($AA$5:$AA$404,$AC262)+INDEX($AO$5:$AO$404,$AC262),"",IF(258=INDEX($AB$5:$AB$404,$AC262)+INDEX($Z$5:$Z$404,$AC262),"D",IF(AND(INDEX($Z$5:$Z$404,$AC262)=1,258=INDEX($AB$5:$AB$404,$AC262)),"H",IF(AND(INDEX($AO$5:$AO$404,$AC262)=1,258=INDEX($AB$5:$AB$404,$AC262)+INDEX($Z$5:$Z$404,$AC262)+INDEX($AA$5:$AA$404,$AC262)+INDEX($AO$5:$AO$404,$AC262)),"B","T")))))))</f>
        <v/>
      </c>
      <c r="AF262">
        <f>IF(OR($AD262="",$AD262="Z",$AD262="B"),"",INDEX($X$5:$X$404,$AC262))</f>
        <v/>
      </c>
      <c r="AJ262">
        <f>IF($AD262&lt;&gt;"T",0,ROUND(SUMIF(oil!$B$4:$B$63,$AF262,oil!$AE$4:$AE$63),2))</f>
        <v/>
      </c>
      <c r="AK262">
        <f>IF($S262="","",IFERROR(INDEX(อัตราค่าขนส่ง!$P$5:$P$54,MATCH($S262,อัตราค่าขนส่ง!$O$5:$O$54,0)),INDEX(รายการมาตรฐาน!$G$2:$G$3,1)))</f>
        <v/>
      </c>
      <c r="AL262">
        <f>IF($S262="","",IFERROR(MATCH($AK262,รายการมาตรฐาน!$G$2:$G$3,0),1))</f>
        <v/>
      </c>
      <c r="AM262">
        <f>IF($V262="","",INDEX($AK$5:$AK$404,$V262))</f>
        <v/>
      </c>
      <c r="AN262">
        <f>IF($V262="","",INDEX($AL$5:$AL$404,$V262))</f>
        <v/>
      </c>
      <c r="AO262">
        <f>IF(OR($V262="",$AI$2&lt;=1),0,IF($V263="",1,IF($AN263&lt;&gt;$AN262,1,0)))</f>
        <v/>
      </c>
      <c r="AP262">
        <f>IF($V262="",0,IF($AN262&lt;&gt;$AN261,1,0))</f>
        <v/>
      </c>
      <c r="AQ262">
        <f>IF(OR($AD262="",$AD262="Z"),"",INDEX($AN$5:$AN$404,$AC262))</f>
        <v/>
      </c>
      <c r="AR262">
        <f>IF($Y262="",0,COUNTIF(บันทึกรายเที่ยว!$V$6:$V$6005,$Y262))</f>
        <v/>
      </c>
      <c r="AS262">
        <f>IF($Y262="",0,ROUND(SUMIF(บันทึกรายเที่ยว!$V$6:$V$6005,$Y262,บันทึกรายเที่ยว!$M$6:$M$6005),2))</f>
        <v/>
      </c>
      <c r="AT262">
        <f>IF($Y262="",0,IFERROR(INDEX(อัตราค่าขนส่ง!$G$5:$G$204,MATCH($Y262,อัตราค่าขนส่ง!$M$5:$M$204,0)),0))</f>
        <v/>
      </c>
      <c r="AU262">
        <f>ROUND($AS262*$BD262,2)</f>
        <v/>
      </c>
      <c r="AV262">
        <f>ROUND($AU262*$BF$2/100,2)</f>
        <v/>
      </c>
      <c r="AW262">
        <f>IF($Y262="","",IFERROR(INDEX(อัตราค่าขนส่ง!$F$5:$F$204,MATCH($Y262,อัตราค่าขนส่ง!$M$5:$M$204,0)),""))</f>
        <v/>
      </c>
      <c r="AX262">
        <f>IF($W262="","",INDEX(บันทึกรายเที่ยว!$D$6:$D$6005,$W262))</f>
        <v/>
      </c>
      <c r="AY262">
        <f>IF($W262="","",INDEX(บันทึกรายเที่ยว!$R$6:$R$6005,$W262))</f>
        <v/>
      </c>
      <c r="AZ262">
        <f>IF(AND($AD262="T",$AQ262=1),N($AZ261)+1,N($AZ261))</f>
        <v/>
      </c>
      <c r="BA262">
        <f>IF($W262="","",INDEX(บันทึกรายเที่ยว!$E$6:$E$6005,$W262))</f>
        <v/>
      </c>
      <c r="BC262">
        <f>IF($Y262="",0,IFERROR(INDEX(อัตราค่าขนส่ง!$K$5:$K$204,MATCH($Y262,อัตราค่าขนส่ง!$M$5:$M$204,0)),0))</f>
        <v/>
      </c>
      <c r="BD262">
        <f>IF($Y262="",0,IFERROR(INDEX(อัตราค่าขนส่ง!$L$5:$L$204,MATCH($Y262,อัตราค่าขนส่ง!$M$5:$M$204,0)),0))</f>
        <v/>
      </c>
    </row>
    <row r="263" ht="21" customHeight="1" s="66">
      <c r="A263" s="69">
        <f>IF($AD263="","",IF($AD263="Z","รวมจ่ายทั้งสิ้น",IF($AD263="H",INDEX($X$5:$X$404,$AC263),IF($AD263="T","รวม",IF($AD263="B",IFERROR(INDEX(อัตราค่าขนส่ง!$S$5:$S$14,MATCH(INDEX($AM$5:$AM$404,$AC263),อัตราค่าขนส่ง!$R$5:$R$14,0)),"รวมกลุ่ม "&amp;INDEX($AM$5:$AM$404,$AC263)),INDEX($AY$5:$AY$404,$AC263))))))</f>
        <v/>
      </c>
      <c r="B263" s="31">
        <f>IF($AD263&lt;&gt;"D","",INDEX($AW$5:$AW$404,$AC263))</f>
        <v/>
      </c>
      <c r="C263" s="68">
        <f>IF($AD263&lt;&gt;"D","",INDEX($AX$5:$AX$404,$AC263))</f>
        <v/>
      </c>
      <c r="D263" s="70">
        <f>IF($AD263&lt;&gt;"D","",INDEX($BA$5:$BA$404,$AC263))</f>
        <v/>
      </c>
      <c r="E263" s="31">
        <f>IF($AD263="Z",SUM($AR$5:$AR$404),IF($AD263="D",INDEX($AR$5:$AR$404,$AC263),IF($AD263="T",SUMIF($X$5:$X$404,$AF263,$AR$5:$AR$404),IF($AD263="B",SUMIF($AN$5:$AN$404,$AQ263,$AR$5:$AR$404),""))))</f>
        <v/>
      </c>
      <c r="F263" s="32">
        <f>IF($AD263="Z",ROUND(SUM($AS$5:$AS$404),2),IF($AD263="D",INDEX($AS$5:$AS$404,$AC263),IF($AD263="T",ROUND(SUMIF($X$5:$X$404,$AF263,$AS$5:$AS$404),2),IF($AD263="B",ROUND(SUMIF($AN$5:$AN$404,$AQ263,$AS$5:$AS$404),2),""))))</f>
        <v/>
      </c>
      <c r="G263" s="32">
        <f>IF($AD263&lt;&gt;"D","",INDEX($AT$5:$AT$404,$AC263))</f>
        <v/>
      </c>
      <c r="H263" s="32">
        <f>IF($AD263&lt;&gt;"D","",INDEX($BC$5:$BC$404,$AC263))</f>
        <v/>
      </c>
      <c r="I263" s="32">
        <f>IF($AD263&lt;&gt;"D","",INDEX($BD$5:$BD$404,$AC263))</f>
        <v/>
      </c>
      <c r="J263" s="46">
        <f>IF($AD263&lt;&gt;"D","",IF(N($B263)=0,"",ROUND($I263/$B263,4)))</f>
        <v/>
      </c>
      <c r="K263" s="32">
        <f>IF($AD263="Z",ROUND(SUM($AU$5:$AU$404),2),IF($AD263="D",INDEX($AU$5:$AU$404,$AC263),IF($AD263="T",ROUND(SUMIF($X$5:$X$404,$AF263,$AU$5:$AU$404),2),IF($AD263="B",ROUND(SUMIF($AN$5:$AN$404,$AQ263,$AU$5:$AU$404),2),""))))</f>
        <v/>
      </c>
      <c r="L263" s="32">
        <f>IF($AD263="Z",ROUND(SUM($AV$5:$AV$404),2),IF($AD263="D",INDEX($AV$5:$AV$404,$AC263),IF($AD263="T",ROUND(SUMIF($X$5:$X$404,$AF263,$AV$5:$AV$404),2),IF($AD263="B",ROUND(SUMIF($AN$5:$AN$404,$AQ263,$AV$5:$AV$404),2),""))))</f>
        <v/>
      </c>
      <c r="M263" s="32">
        <f>IF($AD263="Z",ROUND(SUM($AJ$5:$AJ$704),2),IF($AD263="B",ROUND(SUMIF($AQ$5:$AQ$704,$AQ263,$AJ$5:$AJ$704),2),IF($AD263&lt;&gt;"T","",$AJ263)))</f>
        <v/>
      </c>
      <c r="N263" s="32">
        <f>IF(OR($AD263="D",$AD263="T",$AD263="B",$AD263="Z"),ROUND(N($K263)-N($L263)-N($M263),2),"")</f>
        <v/>
      </c>
      <c r="O263" s="32">
        <f>IF(OR($AD263="D",$AD263="T",$AD263="B",$AD263="Z"),IF(N($E263)=0,"",ROUND($F263/$E263,2)),"")</f>
        <v/>
      </c>
      <c r="Q263">
        <f>IFERROR(MATCH(259,บันทึกรายเที่ยว!$Z$6:$Z$6005,0),"")</f>
        <v/>
      </c>
      <c r="R263">
        <f>IF($Q263="","",INDEX(บันทึกรายเที่ยว!$V$6:$V$6005,$Q263))</f>
        <v/>
      </c>
      <c r="S263">
        <f>IF($Q263="","",INDEX(บันทึกรายเที่ยว!$F$6:$F$6005,$Q263))</f>
        <v/>
      </c>
      <c r="T263">
        <f>IF($Q263="","",MATCH($S263,บันทึกรายเที่ยว!$F$6:$F$6005,0))</f>
        <v/>
      </c>
      <c r="U263">
        <f>IF($Q263="","",$AL263*10000000+$T263*1000+259)</f>
        <v/>
      </c>
      <c r="V263">
        <f>IFERROR(MATCH(SMALL($U$5:$U$404,259),$U$5:$U$404,0),"")</f>
        <v/>
      </c>
      <c r="W263">
        <f>IF($V263="","",INDEX($Q$5:$Q$404,$V263))</f>
        <v/>
      </c>
      <c r="X263">
        <f>IF($V263="","",INDEX($S$5:$S$404,$V263))</f>
        <v/>
      </c>
      <c r="Y263">
        <f>IF($V263="","",INDEX($R$5:$R$404,$V263))</f>
        <v/>
      </c>
      <c r="Z263">
        <f>IF($V263="",0,IF($X263&lt;&gt;$X262,1,0))</f>
        <v/>
      </c>
      <c r="AA263">
        <f>IF($V263="",0,IF($V264="",1,IF($X264&lt;&gt;$X263,1,0)))</f>
        <v/>
      </c>
      <c r="AB263">
        <f>IF($V263="",99999+259,$AB262+1+$Z262+$AA262+$AO262)</f>
        <v/>
      </c>
      <c r="AC263">
        <f>IFERROR(MATCH(259,$AB$5:$AB$404,1),"")</f>
        <v/>
      </c>
      <c r="AD263">
        <f>IF(259=$AI$1+1,"Z",IF($AC263="","",IF(INDEX($V$5:$V$404,$AC263)="","",IF(259&gt;INDEX($AB$5:$AB$404,$AC263)+INDEX($Z$5:$Z$404,$AC263)+INDEX($AA$5:$AA$404,$AC263)+INDEX($AO$5:$AO$404,$AC263),"",IF(259=INDEX($AB$5:$AB$404,$AC263)+INDEX($Z$5:$Z$404,$AC263),"D",IF(AND(INDEX($Z$5:$Z$404,$AC263)=1,259=INDEX($AB$5:$AB$404,$AC263)),"H",IF(AND(INDEX($AO$5:$AO$404,$AC263)=1,259=INDEX($AB$5:$AB$404,$AC263)+INDEX($Z$5:$Z$404,$AC263)+INDEX($AA$5:$AA$404,$AC263)+INDEX($AO$5:$AO$404,$AC263)),"B","T")))))))</f>
        <v/>
      </c>
      <c r="AF263">
        <f>IF(OR($AD263="",$AD263="Z",$AD263="B"),"",INDEX($X$5:$X$404,$AC263))</f>
        <v/>
      </c>
      <c r="AJ263">
        <f>IF($AD263&lt;&gt;"T",0,ROUND(SUMIF(oil!$B$4:$B$63,$AF263,oil!$AE$4:$AE$63),2))</f>
        <v/>
      </c>
      <c r="AK263">
        <f>IF($S263="","",IFERROR(INDEX(อัตราค่าขนส่ง!$P$5:$P$54,MATCH($S263,อัตราค่าขนส่ง!$O$5:$O$54,0)),INDEX(รายการมาตรฐาน!$G$2:$G$3,1)))</f>
        <v/>
      </c>
      <c r="AL263">
        <f>IF($S263="","",IFERROR(MATCH($AK263,รายการมาตรฐาน!$G$2:$G$3,0),1))</f>
        <v/>
      </c>
      <c r="AM263">
        <f>IF($V263="","",INDEX($AK$5:$AK$404,$V263))</f>
        <v/>
      </c>
      <c r="AN263">
        <f>IF($V263="","",INDEX($AL$5:$AL$404,$V263))</f>
        <v/>
      </c>
      <c r="AO263">
        <f>IF(OR($V263="",$AI$2&lt;=1),0,IF($V264="",1,IF($AN264&lt;&gt;$AN263,1,0)))</f>
        <v/>
      </c>
      <c r="AP263">
        <f>IF($V263="",0,IF($AN263&lt;&gt;$AN262,1,0))</f>
        <v/>
      </c>
      <c r="AQ263">
        <f>IF(OR($AD263="",$AD263="Z"),"",INDEX($AN$5:$AN$404,$AC263))</f>
        <v/>
      </c>
      <c r="AR263">
        <f>IF($Y263="",0,COUNTIF(บันทึกรายเที่ยว!$V$6:$V$6005,$Y263))</f>
        <v/>
      </c>
      <c r="AS263">
        <f>IF($Y263="",0,ROUND(SUMIF(บันทึกรายเที่ยว!$V$6:$V$6005,$Y263,บันทึกรายเที่ยว!$M$6:$M$6005),2))</f>
        <v/>
      </c>
      <c r="AT263">
        <f>IF($Y263="",0,IFERROR(INDEX(อัตราค่าขนส่ง!$G$5:$G$204,MATCH($Y263,อัตราค่าขนส่ง!$M$5:$M$204,0)),0))</f>
        <v/>
      </c>
      <c r="AU263">
        <f>ROUND($AS263*$BD263,2)</f>
        <v/>
      </c>
      <c r="AV263">
        <f>ROUND($AU263*$BF$2/100,2)</f>
        <v/>
      </c>
      <c r="AW263">
        <f>IF($Y263="","",IFERROR(INDEX(อัตราค่าขนส่ง!$F$5:$F$204,MATCH($Y263,อัตราค่าขนส่ง!$M$5:$M$204,0)),""))</f>
        <v/>
      </c>
      <c r="AX263">
        <f>IF($W263="","",INDEX(บันทึกรายเที่ยว!$D$6:$D$6005,$W263))</f>
        <v/>
      </c>
      <c r="AY263">
        <f>IF($W263="","",INDEX(บันทึกรายเที่ยว!$R$6:$R$6005,$W263))</f>
        <v/>
      </c>
      <c r="AZ263">
        <f>IF(AND($AD263="T",$AQ263=1),N($AZ262)+1,N($AZ262))</f>
        <v/>
      </c>
      <c r="BA263">
        <f>IF($W263="","",INDEX(บันทึกรายเที่ยว!$E$6:$E$6005,$W263))</f>
        <v/>
      </c>
      <c r="BC263">
        <f>IF($Y263="",0,IFERROR(INDEX(อัตราค่าขนส่ง!$K$5:$K$204,MATCH($Y263,อัตราค่าขนส่ง!$M$5:$M$204,0)),0))</f>
        <v/>
      </c>
      <c r="BD263">
        <f>IF($Y263="",0,IFERROR(INDEX(อัตราค่าขนส่ง!$L$5:$L$204,MATCH($Y263,อัตราค่าขนส่ง!$M$5:$M$204,0)),0))</f>
        <v/>
      </c>
    </row>
    <row r="264" ht="21" customHeight="1" s="66">
      <c r="A264" s="69">
        <f>IF($AD264="","",IF($AD264="Z","รวมจ่ายทั้งสิ้น",IF($AD264="H",INDEX($X$5:$X$404,$AC264),IF($AD264="T","รวม",IF($AD264="B",IFERROR(INDEX(อัตราค่าขนส่ง!$S$5:$S$14,MATCH(INDEX($AM$5:$AM$404,$AC264),อัตราค่าขนส่ง!$R$5:$R$14,0)),"รวมกลุ่ม "&amp;INDEX($AM$5:$AM$404,$AC264)),INDEX($AY$5:$AY$404,$AC264))))))</f>
        <v/>
      </c>
      <c r="B264" s="31">
        <f>IF($AD264&lt;&gt;"D","",INDEX($AW$5:$AW$404,$AC264))</f>
        <v/>
      </c>
      <c r="C264" s="68">
        <f>IF($AD264&lt;&gt;"D","",INDEX($AX$5:$AX$404,$AC264))</f>
        <v/>
      </c>
      <c r="D264" s="70">
        <f>IF($AD264&lt;&gt;"D","",INDEX($BA$5:$BA$404,$AC264))</f>
        <v/>
      </c>
      <c r="E264" s="31">
        <f>IF($AD264="Z",SUM($AR$5:$AR$404),IF($AD264="D",INDEX($AR$5:$AR$404,$AC264),IF($AD264="T",SUMIF($X$5:$X$404,$AF264,$AR$5:$AR$404),IF($AD264="B",SUMIF($AN$5:$AN$404,$AQ264,$AR$5:$AR$404),""))))</f>
        <v/>
      </c>
      <c r="F264" s="32">
        <f>IF($AD264="Z",ROUND(SUM($AS$5:$AS$404),2),IF($AD264="D",INDEX($AS$5:$AS$404,$AC264),IF($AD264="T",ROUND(SUMIF($X$5:$X$404,$AF264,$AS$5:$AS$404),2),IF($AD264="B",ROUND(SUMIF($AN$5:$AN$404,$AQ264,$AS$5:$AS$404),2),""))))</f>
        <v/>
      </c>
      <c r="G264" s="32">
        <f>IF($AD264&lt;&gt;"D","",INDEX($AT$5:$AT$404,$AC264))</f>
        <v/>
      </c>
      <c r="H264" s="32">
        <f>IF($AD264&lt;&gt;"D","",INDEX($BC$5:$BC$404,$AC264))</f>
        <v/>
      </c>
      <c r="I264" s="32">
        <f>IF($AD264&lt;&gt;"D","",INDEX($BD$5:$BD$404,$AC264))</f>
        <v/>
      </c>
      <c r="J264" s="46">
        <f>IF($AD264&lt;&gt;"D","",IF(N($B264)=0,"",ROUND($I264/$B264,4)))</f>
        <v/>
      </c>
      <c r="K264" s="32">
        <f>IF($AD264="Z",ROUND(SUM($AU$5:$AU$404),2),IF($AD264="D",INDEX($AU$5:$AU$404,$AC264),IF($AD264="T",ROUND(SUMIF($X$5:$X$404,$AF264,$AU$5:$AU$404),2),IF($AD264="B",ROUND(SUMIF($AN$5:$AN$404,$AQ264,$AU$5:$AU$404),2),""))))</f>
        <v/>
      </c>
      <c r="L264" s="32">
        <f>IF($AD264="Z",ROUND(SUM($AV$5:$AV$404),2),IF($AD264="D",INDEX($AV$5:$AV$404,$AC264),IF($AD264="T",ROUND(SUMIF($X$5:$X$404,$AF264,$AV$5:$AV$404),2),IF($AD264="B",ROUND(SUMIF($AN$5:$AN$404,$AQ264,$AV$5:$AV$404),2),""))))</f>
        <v/>
      </c>
      <c r="M264" s="32">
        <f>IF($AD264="Z",ROUND(SUM($AJ$5:$AJ$704),2),IF($AD264="B",ROUND(SUMIF($AQ$5:$AQ$704,$AQ264,$AJ$5:$AJ$704),2),IF($AD264&lt;&gt;"T","",$AJ264)))</f>
        <v/>
      </c>
      <c r="N264" s="32">
        <f>IF(OR($AD264="D",$AD264="T",$AD264="B",$AD264="Z"),ROUND(N($K264)-N($L264)-N($M264),2),"")</f>
        <v/>
      </c>
      <c r="O264" s="32">
        <f>IF(OR($AD264="D",$AD264="T",$AD264="B",$AD264="Z"),IF(N($E264)=0,"",ROUND($F264/$E264,2)),"")</f>
        <v/>
      </c>
      <c r="Q264">
        <f>IFERROR(MATCH(260,บันทึกรายเที่ยว!$Z$6:$Z$6005,0),"")</f>
        <v/>
      </c>
      <c r="R264">
        <f>IF($Q264="","",INDEX(บันทึกรายเที่ยว!$V$6:$V$6005,$Q264))</f>
        <v/>
      </c>
      <c r="S264">
        <f>IF($Q264="","",INDEX(บันทึกรายเที่ยว!$F$6:$F$6005,$Q264))</f>
        <v/>
      </c>
      <c r="T264">
        <f>IF($Q264="","",MATCH($S264,บันทึกรายเที่ยว!$F$6:$F$6005,0))</f>
        <v/>
      </c>
      <c r="U264">
        <f>IF($Q264="","",$AL264*10000000+$T264*1000+260)</f>
        <v/>
      </c>
      <c r="V264">
        <f>IFERROR(MATCH(SMALL($U$5:$U$404,260),$U$5:$U$404,0),"")</f>
        <v/>
      </c>
      <c r="W264">
        <f>IF($V264="","",INDEX($Q$5:$Q$404,$V264))</f>
        <v/>
      </c>
      <c r="X264">
        <f>IF($V264="","",INDEX($S$5:$S$404,$V264))</f>
        <v/>
      </c>
      <c r="Y264">
        <f>IF($V264="","",INDEX($R$5:$R$404,$V264))</f>
        <v/>
      </c>
      <c r="Z264">
        <f>IF($V264="",0,IF($X264&lt;&gt;$X263,1,0))</f>
        <v/>
      </c>
      <c r="AA264">
        <f>IF($V264="",0,IF($V265="",1,IF($X265&lt;&gt;$X264,1,0)))</f>
        <v/>
      </c>
      <c r="AB264">
        <f>IF($V264="",99999+260,$AB263+1+$Z263+$AA263+$AO263)</f>
        <v/>
      </c>
      <c r="AC264">
        <f>IFERROR(MATCH(260,$AB$5:$AB$404,1),"")</f>
        <v/>
      </c>
      <c r="AD264">
        <f>IF(260=$AI$1+1,"Z",IF($AC264="","",IF(INDEX($V$5:$V$404,$AC264)="","",IF(260&gt;INDEX($AB$5:$AB$404,$AC264)+INDEX($Z$5:$Z$404,$AC264)+INDEX($AA$5:$AA$404,$AC264)+INDEX($AO$5:$AO$404,$AC264),"",IF(260=INDEX($AB$5:$AB$404,$AC264)+INDEX($Z$5:$Z$404,$AC264),"D",IF(AND(INDEX($Z$5:$Z$404,$AC264)=1,260=INDEX($AB$5:$AB$404,$AC264)),"H",IF(AND(INDEX($AO$5:$AO$404,$AC264)=1,260=INDEX($AB$5:$AB$404,$AC264)+INDEX($Z$5:$Z$404,$AC264)+INDEX($AA$5:$AA$404,$AC264)+INDEX($AO$5:$AO$404,$AC264)),"B","T")))))))</f>
        <v/>
      </c>
      <c r="AF264">
        <f>IF(OR($AD264="",$AD264="Z",$AD264="B"),"",INDEX($X$5:$X$404,$AC264))</f>
        <v/>
      </c>
      <c r="AJ264">
        <f>IF($AD264&lt;&gt;"T",0,ROUND(SUMIF(oil!$B$4:$B$63,$AF264,oil!$AE$4:$AE$63),2))</f>
        <v/>
      </c>
      <c r="AK264">
        <f>IF($S264="","",IFERROR(INDEX(อัตราค่าขนส่ง!$P$5:$P$54,MATCH($S264,อัตราค่าขนส่ง!$O$5:$O$54,0)),INDEX(รายการมาตรฐาน!$G$2:$G$3,1)))</f>
        <v/>
      </c>
      <c r="AL264">
        <f>IF($S264="","",IFERROR(MATCH($AK264,รายการมาตรฐาน!$G$2:$G$3,0),1))</f>
        <v/>
      </c>
      <c r="AM264">
        <f>IF($V264="","",INDEX($AK$5:$AK$404,$V264))</f>
        <v/>
      </c>
      <c r="AN264">
        <f>IF($V264="","",INDEX($AL$5:$AL$404,$V264))</f>
        <v/>
      </c>
      <c r="AO264">
        <f>IF(OR($V264="",$AI$2&lt;=1),0,IF($V265="",1,IF($AN265&lt;&gt;$AN264,1,0)))</f>
        <v/>
      </c>
      <c r="AP264">
        <f>IF($V264="",0,IF($AN264&lt;&gt;$AN263,1,0))</f>
        <v/>
      </c>
      <c r="AQ264">
        <f>IF(OR($AD264="",$AD264="Z"),"",INDEX($AN$5:$AN$404,$AC264))</f>
        <v/>
      </c>
      <c r="AR264">
        <f>IF($Y264="",0,COUNTIF(บันทึกรายเที่ยว!$V$6:$V$6005,$Y264))</f>
        <v/>
      </c>
      <c r="AS264">
        <f>IF($Y264="",0,ROUND(SUMIF(บันทึกรายเที่ยว!$V$6:$V$6005,$Y264,บันทึกรายเที่ยว!$M$6:$M$6005),2))</f>
        <v/>
      </c>
      <c r="AT264">
        <f>IF($Y264="",0,IFERROR(INDEX(อัตราค่าขนส่ง!$G$5:$G$204,MATCH($Y264,อัตราค่าขนส่ง!$M$5:$M$204,0)),0))</f>
        <v/>
      </c>
      <c r="AU264">
        <f>ROUND($AS264*$BD264,2)</f>
        <v/>
      </c>
      <c r="AV264">
        <f>ROUND($AU264*$BF$2/100,2)</f>
        <v/>
      </c>
      <c r="AW264">
        <f>IF($Y264="","",IFERROR(INDEX(อัตราค่าขนส่ง!$F$5:$F$204,MATCH($Y264,อัตราค่าขนส่ง!$M$5:$M$204,0)),""))</f>
        <v/>
      </c>
      <c r="AX264">
        <f>IF($W264="","",INDEX(บันทึกรายเที่ยว!$D$6:$D$6005,$W264))</f>
        <v/>
      </c>
      <c r="AY264">
        <f>IF($W264="","",INDEX(บันทึกรายเที่ยว!$R$6:$R$6005,$W264))</f>
        <v/>
      </c>
      <c r="AZ264">
        <f>IF(AND($AD264="T",$AQ264=1),N($AZ263)+1,N($AZ263))</f>
        <v/>
      </c>
      <c r="BA264">
        <f>IF($W264="","",INDEX(บันทึกรายเที่ยว!$E$6:$E$6005,$W264))</f>
        <v/>
      </c>
      <c r="BC264">
        <f>IF($Y264="",0,IFERROR(INDEX(อัตราค่าขนส่ง!$K$5:$K$204,MATCH($Y264,อัตราค่าขนส่ง!$M$5:$M$204,0)),0))</f>
        <v/>
      </c>
      <c r="BD264">
        <f>IF($Y264="",0,IFERROR(INDEX(อัตราค่าขนส่ง!$L$5:$L$204,MATCH($Y264,อัตราค่าขนส่ง!$M$5:$M$204,0)),0))</f>
        <v/>
      </c>
    </row>
    <row r="265" ht="21" customHeight="1" s="66">
      <c r="A265" s="69">
        <f>IF($AD265="","",IF($AD265="Z","รวมจ่ายทั้งสิ้น",IF($AD265="H",INDEX($X$5:$X$404,$AC265),IF($AD265="T","รวม",IF($AD265="B",IFERROR(INDEX(อัตราค่าขนส่ง!$S$5:$S$14,MATCH(INDEX($AM$5:$AM$404,$AC265),อัตราค่าขนส่ง!$R$5:$R$14,0)),"รวมกลุ่ม "&amp;INDEX($AM$5:$AM$404,$AC265)),INDEX($AY$5:$AY$404,$AC265))))))</f>
        <v/>
      </c>
      <c r="B265" s="31">
        <f>IF($AD265&lt;&gt;"D","",INDEX($AW$5:$AW$404,$AC265))</f>
        <v/>
      </c>
      <c r="C265" s="68">
        <f>IF($AD265&lt;&gt;"D","",INDEX($AX$5:$AX$404,$AC265))</f>
        <v/>
      </c>
      <c r="D265" s="70">
        <f>IF($AD265&lt;&gt;"D","",INDEX($BA$5:$BA$404,$AC265))</f>
        <v/>
      </c>
      <c r="E265" s="31">
        <f>IF($AD265="Z",SUM($AR$5:$AR$404),IF($AD265="D",INDEX($AR$5:$AR$404,$AC265),IF($AD265="T",SUMIF($X$5:$X$404,$AF265,$AR$5:$AR$404),IF($AD265="B",SUMIF($AN$5:$AN$404,$AQ265,$AR$5:$AR$404),""))))</f>
        <v/>
      </c>
      <c r="F265" s="32">
        <f>IF($AD265="Z",ROUND(SUM($AS$5:$AS$404),2),IF($AD265="D",INDEX($AS$5:$AS$404,$AC265),IF($AD265="T",ROUND(SUMIF($X$5:$X$404,$AF265,$AS$5:$AS$404),2),IF($AD265="B",ROUND(SUMIF($AN$5:$AN$404,$AQ265,$AS$5:$AS$404),2),""))))</f>
        <v/>
      </c>
      <c r="G265" s="32">
        <f>IF($AD265&lt;&gt;"D","",INDEX($AT$5:$AT$404,$AC265))</f>
        <v/>
      </c>
      <c r="H265" s="32">
        <f>IF($AD265&lt;&gt;"D","",INDEX($BC$5:$BC$404,$AC265))</f>
        <v/>
      </c>
      <c r="I265" s="32">
        <f>IF($AD265&lt;&gt;"D","",INDEX($BD$5:$BD$404,$AC265))</f>
        <v/>
      </c>
      <c r="J265" s="46">
        <f>IF($AD265&lt;&gt;"D","",IF(N($B265)=0,"",ROUND($I265/$B265,4)))</f>
        <v/>
      </c>
      <c r="K265" s="32">
        <f>IF($AD265="Z",ROUND(SUM($AU$5:$AU$404),2),IF($AD265="D",INDEX($AU$5:$AU$404,$AC265),IF($AD265="T",ROUND(SUMIF($X$5:$X$404,$AF265,$AU$5:$AU$404),2),IF($AD265="B",ROUND(SUMIF($AN$5:$AN$404,$AQ265,$AU$5:$AU$404),2),""))))</f>
        <v/>
      </c>
      <c r="L265" s="32">
        <f>IF($AD265="Z",ROUND(SUM($AV$5:$AV$404),2),IF($AD265="D",INDEX($AV$5:$AV$404,$AC265),IF($AD265="T",ROUND(SUMIF($X$5:$X$404,$AF265,$AV$5:$AV$404),2),IF($AD265="B",ROUND(SUMIF($AN$5:$AN$404,$AQ265,$AV$5:$AV$404),2),""))))</f>
        <v/>
      </c>
      <c r="M265" s="32">
        <f>IF($AD265="Z",ROUND(SUM($AJ$5:$AJ$704),2),IF($AD265="B",ROUND(SUMIF($AQ$5:$AQ$704,$AQ265,$AJ$5:$AJ$704),2),IF($AD265&lt;&gt;"T","",$AJ265)))</f>
        <v/>
      </c>
      <c r="N265" s="32">
        <f>IF(OR($AD265="D",$AD265="T",$AD265="B",$AD265="Z"),ROUND(N($K265)-N($L265)-N($M265),2),"")</f>
        <v/>
      </c>
      <c r="O265" s="32">
        <f>IF(OR($AD265="D",$AD265="T",$AD265="B",$AD265="Z"),IF(N($E265)=0,"",ROUND($F265/$E265,2)),"")</f>
        <v/>
      </c>
      <c r="Q265">
        <f>IFERROR(MATCH(261,บันทึกรายเที่ยว!$Z$6:$Z$6005,0),"")</f>
        <v/>
      </c>
      <c r="R265">
        <f>IF($Q265="","",INDEX(บันทึกรายเที่ยว!$V$6:$V$6005,$Q265))</f>
        <v/>
      </c>
      <c r="S265">
        <f>IF($Q265="","",INDEX(บันทึกรายเที่ยว!$F$6:$F$6005,$Q265))</f>
        <v/>
      </c>
      <c r="T265">
        <f>IF($Q265="","",MATCH($S265,บันทึกรายเที่ยว!$F$6:$F$6005,0))</f>
        <v/>
      </c>
      <c r="U265">
        <f>IF($Q265="","",$AL265*10000000+$T265*1000+261)</f>
        <v/>
      </c>
      <c r="V265">
        <f>IFERROR(MATCH(SMALL($U$5:$U$404,261),$U$5:$U$404,0),"")</f>
        <v/>
      </c>
      <c r="W265">
        <f>IF($V265="","",INDEX($Q$5:$Q$404,$V265))</f>
        <v/>
      </c>
      <c r="X265">
        <f>IF($V265="","",INDEX($S$5:$S$404,$V265))</f>
        <v/>
      </c>
      <c r="Y265">
        <f>IF($V265="","",INDEX($R$5:$R$404,$V265))</f>
        <v/>
      </c>
      <c r="Z265">
        <f>IF($V265="",0,IF($X265&lt;&gt;$X264,1,0))</f>
        <v/>
      </c>
      <c r="AA265">
        <f>IF($V265="",0,IF($V266="",1,IF($X266&lt;&gt;$X265,1,0)))</f>
        <v/>
      </c>
      <c r="AB265">
        <f>IF($V265="",99999+261,$AB264+1+$Z264+$AA264+$AO264)</f>
        <v/>
      </c>
      <c r="AC265">
        <f>IFERROR(MATCH(261,$AB$5:$AB$404,1),"")</f>
        <v/>
      </c>
      <c r="AD265">
        <f>IF(261=$AI$1+1,"Z",IF($AC265="","",IF(INDEX($V$5:$V$404,$AC265)="","",IF(261&gt;INDEX($AB$5:$AB$404,$AC265)+INDEX($Z$5:$Z$404,$AC265)+INDEX($AA$5:$AA$404,$AC265)+INDEX($AO$5:$AO$404,$AC265),"",IF(261=INDEX($AB$5:$AB$404,$AC265)+INDEX($Z$5:$Z$404,$AC265),"D",IF(AND(INDEX($Z$5:$Z$404,$AC265)=1,261=INDEX($AB$5:$AB$404,$AC265)),"H",IF(AND(INDEX($AO$5:$AO$404,$AC265)=1,261=INDEX($AB$5:$AB$404,$AC265)+INDEX($Z$5:$Z$404,$AC265)+INDEX($AA$5:$AA$404,$AC265)+INDEX($AO$5:$AO$404,$AC265)),"B","T")))))))</f>
        <v/>
      </c>
      <c r="AF265">
        <f>IF(OR($AD265="",$AD265="Z",$AD265="B"),"",INDEX($X$5:$X$404,$AC265))</f>
        <v/>
      </c>
      <c r="AJ265">
        <f>IF($AD265&lt;&gt;"T",0,ROUND(SUMIF(oil!$B$4:$B$63,$AF265,oil!$AE$4:$AE$63),2))</f>
        <v/>
      </c>
      <c r="AK265">
        <f>IF($S265="","",IFERROR(INDEX(อัตราค่าขนส่ง!$P$5:$P$54,MATCH($S265,อัตราค่าขนส่ง!$O$5:$O$54,0)),INDEX(รายการมาตรฐาน!$G$2:$G$3,1)))</f>
        <v/>
      </c>
      <c r="AL265">
        <f>IF($S265="","",IFERROR(MATCH($AK265,รายการมาตรฐาน!$G$2:$G$3,0),1))</f>
        <v/>
      </c>
      <c r="AM265">
        <f>IF($V265="","",INDEX($AK$5:$AK$404,$V265))</f>
        <v/>
      </c>
      <c r="AN265">
        <f>IF($V265="","",INDEX($AL$5:$AL$404,$V265))</f>
        <v/>
      </c>
      <c r="AO265">
        <f>IF(OR($V265="",$AI$2&lt;=1),0,IF($V266="",1,IF($AN266&lt;&gt;$AN265,1,0)))</f>
        <v/>
      </c>
      <c r="AP265">
        <f>IF($V265="",0,IF($AN265&lt;&gt;$AN264,1,0))</f>
        <v/>
      </c>
      <c r="AQ265">
        <f>IF(OR($AD265="",$AD265="Z"),"",INDEX($AN$5:$AN$404,$AC265))</f>
        <v/>
      </c>
      <c r="AR265">
        <f>IF($Y265="",0,COUNTIF(บันทึกรายเที่ยว!$V$6:$V$6005,$Y265))</f>
        <v/>
      </c>
      <c r="AS265">
        <f>IF($Y265="",0,ROUND(SUMIF(บันทึกรายเที่ยว!$V$6:$V$6005,$Y265,บันทึกรายเที่ยว!$M$6:$M$6005),2))</f>
        <v/>
      </c>
      <c r="AT265">
        <f>IF($Y265="",0,IFERROR(INDEX(อัตราค่าขนส่ง!$G$5:$G$204,MATCH($Y265,อัตราค่าขนส่ง!$M$5:$M$204,0)),0))</f>
        <v/>
      </c>
      <c r="AU265">
        <f>ROUND($AS265*$BD265,2)</f>
        <v/>
      </c>
      <c r="AV265">
        <f>ROUND($AU265*$BF$2/100,2)</f>
        <v/>
      </c>
      <c r="AW265">
        <f>IF($Y265="","",IFERROR(INDEX(อัตราค่าขนส่ง!$F$5:$F$204,MATCH($Y265,อัตราค่าขนส่ง!$M$5:$M$204,0)),""))</f>
        <v/>
      </c>
      <c r="AX265">
        <f>IF($W265="","",INDEX(บันทึกรายเที่ยว!$D$6:$D$6005,$W265))</f>
        <v/>
      </c>
      <c r="AY265">
        <f>IF($W265="","",INDEX(บันทึกรายเที่ยว!$R$6:$R$6005,$W265))</f>
        <v/>
      </c>
      <c r="AZ265">
        <f>IF(AND($AD265="T",$AQ265=1),N($AZ264)+1,N($AZ264))</f>
        <v/>
      </c>
      <c r="BA265">
        <f>IF($W265="","",INDEX(บันทึกรายเที่ยว!$E$6:$E$6005,$W265))</f>
        <v/>
      </c>
      <c r="BC265">
        <f>IF($Y265="",0,IFERROR(INDEX(อัตราค่าขนส่ง!$K$5:$K$204,MATCH($Y265,อัตราค่าขนส่ง!$M$5:$M$204,0)),0))</f>
        <v/>
      </c>
      <c r="BD265">
        <f>IF($Y265="",0,IFERROR(INDEX(อัตราค่าขนส่ง!$L$5:$L$204,MATCH($Y265,อัตราค่าขนส่ง!$M$5:$M$204,0)),0))</f>
        <v/>
      </c>
    </row>
    <row r="266" ht="21" customHeight="1" s="66">
      <c r="A266" s="69">
        <f>IF($AD266="","",IF($AD266="Z","รวมจ่ายทั้งสิ้น",IF($AD266="H",INDEX($X$5:$X$404,$AC266),IF($AD266="T","รวม",IF($AD266="B",IFERROR(INDEX(อัตราค่าขนส่ง!$S$5:$S$14,MATCH(INDEX($AM$5:$AM$404,$AC266),อัตราค่าขนส่ง!$R$5:$R$14,0)),"รวมกลุ่ม "&amp;INDEX($AM$5:$AM$404,$AC266)),INDEX($AY$5:$AY$404,$AC266))))))</f>
        <v/>
      </c>
      <c r="B266" s="31">
        <f>IF($AD266&lt;&gt;"D","",INDEX($AW$5:$AW$404,$AC266))</f>
        <v/>
      </c>
      <c r="C266" s="68">
        <f>IF($AD266&lt;&gt;"D","",INDEX($AX$5:$AX$404,$AC266))</f>
        <v/>
      </c>
      <c r="D266" s="70">
        <f>IF($AD266&lt;&gt;"D","",INDEX($BA$5:$BA$404,$AC266))</f>
        <v/>
      </c>
      <c r="E266" s="31">
        <f>IF($AD266="Z",SUM($AR$5:$AR$404),IF($AD266="D",INDEX($AR$5:$AR$404,$AC266),IF($AD266="T",SUMIF($X$5:$X$404,$AF266,$AR$5:$AR$404),IF($AD266="B",SUMIF($AN$5:$AN$404,$AQ266,$AR$5:$AR$404),""))))</f>
        <v/>
      </c>
      <c r="F266" s="32">
        <f>IF($AD266="Z",ROUND(SUM($AS$5:$AS$404),2),IF($AD266="D",INDEX($AS$5:$AS$404,$AC266),IF($AD266="T",ROUND(SUMIF($X$5:$X$404,$AF266,$AS$5:$AS$404),2),IF($AD266="B",ROUND(SUMIF($AN$5:$AN$404,$AQ266,$AS$5:$AS$404),2),""))))</f>
        <v/>
      </c>
      <c r="G266" s="32">
        <f>IF($AD266&lt;&gt;"D","",INDEX($AT$5:$AT$404,$AC266))</f>
        <v/>
      </c>
      <c r="H266" s="32">
        <f>IF($AD266&lt;&gt;"D","",INDEX($BC$5:$BC$404,$AC266))</f>
        <v/>
      </c>
      <c r="I266" s="32">
        <f>IF($AD266&lt;&gt;"D","",INDEX($BD$5:$BD$404,$AC266))</f>
        <v/>
      </c>
      <c r="J266" s="46">
        <f>IF($AD266&lt;&gt;"D","",IF(N($B266)=0,"",ROUND($I266/$B266,4)))</f>
        <v/>
      </c>
      <c r="K266" s="32">
        <f>IF($AD266="Z",ROUND(SUM($AU$5:$AU$404),2),IF($AD266="D",INDEX($AU$5:$AU$404,$AC266),IF($AD266="T",ROUND(SUMIF($X$5:$X$404,$AF266,$AU$5:$AU$404),2),IF($AD266="B",ROUND(SUMIF($AN$5:$AN$404,$AQ266,$AU$5:$AU$404),2),""))))</f>
        <v/>
      </c>
      <c r="L266" s="32">
        <f>IF($AD266="Z",ROUND(SUM($AV$5:$AV$404),2),IF($AD266="D",INDEX($AV$5:$AV$404,$AC266),IF($AD266="T",ROUND(SUMIF($X$5:$X$404,$AF266,$AV$5:$AV$404),2),IF($AD266="B",ROUND(SUMIF($AN$5:$AN$404,$AQ266,$AV$5:$AV$404),2),""))))</f>
        <v/>
      </c>
      <c r="M266" s="32">
        <f>IF($AD266="Z",ROUND(SUM($AJ$5:$AJ$704),2),IF($AD266="B",ROUND(SUMIF($AQ$5:$AQ$704,$AQ266,$AJ$5:$AJ$704),2),IF($AD266&lt;&gt;"T","",$AJ266)))</f>
        <v/>
      </c>
      <c r="N266" s="32">
        <f>IF(OR($AD266="D",$AD266="T",$AD266="B",$AD266="Z"),ROUND(N($K266)-N($L266)-N($M266),2),"")</f>
        <v/>
      </c>
      <c r="O266" s="32">
        <f>IF(OR($AD266="D",$AD266="T",$AD266="B",$AD266="Z"),IF(N($E266)=0,"",ROUND($F266/$E266,2)),"")</f>
        <v/>
      </c>
      <c r="Q266">
        <f>IFERROR(MATCH(262,บันทึกรายเที่ยว!$Z$6:$Z$6005,0),"")</f>
        <v/>
      </c>
      <c r="R266">
        <f>IF($Q266="","",INDEX(บันทึกรายเที่ยว!$V$6:$V$6005,$Q266))</f>
        <v/>
      </c>
      <c r="S266">
        <f>IF($Q266="","",INDEX(บันทึกรายเที่ยว!$F$6:$F$6005,$Q266))</f>
        <v/>
      </c>
      <c r="T266">
        <f>IF($Q266="","",MATCH($S266,บันทึกรายเที่ยว!$F$6:$F$6005,0))</f>
        <v/>
      </c>
      <c r="U266">
        <f>IF($Q266="","",$AL266*10000000+$T266*1000+262)</f>
        <v/>
      </c>
      <c r="V266">
        <f>IFERROR(MATCH(SMALL($U$5:$U$404,262),$U$5:$U$404,0),"")</f>
        <v/>
      </c>
      <c r="W266">
        <f>IF($V266="","",INDEX($Q$5:$Q$404,$V266))</f>
        <v/>
      </c>
      <c r="X266">
        <f>IF($V266="","",INDEX($S$5:$S$404,$V266))</f>
        <v/>
      </c>
      <c r="Y266">
        <f>IF($V266="","",INDEX($R$5:$R$404,$V266))</f>
        <v/>
      </c>
      <c r="Z266">
        <f>IF($V266="",0,IF($X266&lt;&gt;$X265,1,0))</f>
        <v/>
      </c>
      <c r="AA266">
        <f>IF($V266="",0,IF($V267="",1,IF($X267&lt;&gt;$X266,1,0)))</f>
        <v/>
      </c>
      <c r="AB266">
        <f>IF($V266="",99999+262,$AB265+1+$Z265+$AA265+$AO265)</f>
        <v/>
      </c>
      <c r="AC266">
        <f>IFERROR(MATCH(262,$AB$5:$AB$404,1),"")</f>
        <v/>
      </c>
      <c r="AD266">
        <f>IF(262=$AI$1+1,"Z",IF($AC266="","",IF(INDEX($V$5:$V$404,$AC266)="","",IF(262&gt;INDEX($AB$5:$AB$404,$AC266)+INDEX($Z$5:$Z$404,$AC266)+INDEX($AA$5:$AA$404,$AC266)+INDEX($AO$5:$AO$404,$AC266),"",IF(262=INDEX($AB$5:$AB$404,$AC266)+INDEX($Z$5:$Z$404,$AC266),"D",IF(AND(INDEX($Z$5:$Z$404,$AC266)=1,262=INDEX($AB$5:$AB$404,$AC266)),"H",IF(AND(INDEX($AO$5:$AO$404,$AC266)=1,262=INDEX($AB$5:$AB$404,$AC266)+INDEX($Z$5:$Z$404,$AC266)+INDEX($AA$5:$AA$404,$AC266)+INDEX($AO$5:$AO$404,$AC266)),"B","T")))))))</f>
        <v/>
      </c>
      <c r="AF266">
        <f>IF(OR($AD266="",$AD266="Z",$AD266="B"),"",INDEX($X$5:$X$404,$AC266))</f>
        <v/>
      </c>
      <c r="AJ266">
        <f>IF($AD266&lt;&gt;"T",0,ROUND(SUMIF(oil!$B$4:$B$63,$AF266,oil!$AE$4:$AE$63),2))</f>
        <v/>
      </c>
      <c r="AK266">
        <f>IF($S266="","",IFERROR(INDEX(อัตราค่าขนส่ง!$P$5:$P$54,MATCH($S266,อัตราค่าขนส่ง!$O$5:$O$54,0)),INDEX(รายการมาตรฐาน!$G$2:$G$3,1)))</f>
        <v/>
      </c>
      <c r="AL266">
        <f>IF($S266="","",IFERROR(MATCH($AK266,รายการมาตรฐาน!$G$2:$G$3,0),1))</f>
        <v/>
      </c>
      <c r="AM266">
        <f>IF($V266="","",INDEX($AK$5:$AK$404,$V266))</f>
        <v/>
      </c>
      <c r="AN266">
        <f>IF($V266="","",INDEX($AL$5:$AL$404,$V266))</f>
        <v/>
      </c>
      <c r="AO266">
        <f>IF(OR($V266="",$AI$2&lt;=1),0,IF($V267="",1,IF($AN267&lt;&gt;$AN266,1,0)))</f>
        <v/>
      </c>
      <c r="AP266">
        <f>IF($V266="",0,IF($AN266&lt;&gt;$AN265,1,0))</f>
        <v/>
      </c>
      <c r="AQ266">
        <f>IF(OR($AD266="",$AD266="Z"),"",INDEX($AN$5:$AN$404,$AC266))</f>
        <v/>
      </c>
      <c r="AR266">
        <f>IF($Y266="",0,COUNTIF(บันทึกรายเที่ยว!$V$6:$V$6005,$Y266))</f>
        <v/>
      </c>
      <c r="AS266">
        <f>IF($Y266="",0,ROUND(SUMIF(บันทึกรายเที่ยว!$V$6:$V$6005,$Y266,บันทึกรายเที่ยว!$M$6:$M$6005),2))</f>
        <v/>
      </c>
      <c r="AT266">
        <f>IF($Y266="",0,IFERROR(INDEX(อัตราค่าขนส่ง!$G$5:$G$204,MATCH($Y266,อัตราค่าขนส่ง!$M$5:$M$204,0)),0))</f>
        <v/>
      </c>
      <c r="AU266">
        <f>ROUND($AS266*$BD266,2)</f>
        <v/>
      </c>
      <c r="AV266">
        <f>ROUND($AU266*$BF$2/100,2)</f>
        <v/>
      </c>
      <c r="AW266">
        <f>IF($Y266="","",IFERROR(INDEX(อัตราค่าขนส่ง!$F$5:$F$204,MATCH($Y266,อัตราค่าขนส่ง!$M$5:$M$204,0)),""))</f>
        <v/>
      </c>
      <c r="AX266">
        <f>IF($W266="","",INDEX(บันทึกรายเที่ยว!$D$6:$D$6005,$W266))</f>
        <v/>
      </c>
      <c r="AY266">
        <f>IF($W266="","",INDEX(บันทึกรายเที่ยว!$R$6:$R$6005,$W266))</f>
        <v/>
      </c>
      <c r="AZ266">
        <f>IF(AND($AD266="T",$AQ266=1),N($AZ265)+1,N($AZ265))</f>
        <v/>
      </c>
      <c r="BA266">
        <f>IF($W266="","",INDEX(บันทึกรายเที่ยว!$E$6:$E$6005,$W266))</f>
        <v/>
      </c>
      <c r="BC266">
        <f>IF($Y266="",0,IFERROR(INDEX(อัตราค่าขนส่ง!$K$5:$K$204,MATCH($Y266,อัตราค่าขนส่ง!$M$5:$M$204,0)),0))</f>
        <v/>
      </c>
      <c r="BD266">
        <f>IF($Y266="",0,IFERROR(INDEX(อัตราค่าขนส่ง!$L$5:$L$204,MATCH($Y266,อัตราค่าขนส่ง!$M$5:$M$204,0)),0))</f>
        <v/>
      </c>
    </row>
    <row r="267" ht="21" customHeight="1" s="66">
      <c r="A267" s="69">
        <f>IF($AD267="","",IF($AD267="Z","รวมจ่ายทั้งสิ้น",IF($AD267="H",INDEX($X$5:$X$404,$AC267),IF($AD267="T","รวม",IF($AD267="B",IFERROR(INDEX(อัตราค่าขนส่ง!$S$5:$S$14,MATCH(INDEX($AM$5:$AM$404,$AC267),อัตราค่าขนส่ง!$R$5:$R$14,0)),"รวมกลุ่ม "&amp;INDEX($AM$5:$AM$404,$AC267)),INDEX($AY$5:$AY$404,$AC267))))))</f>
        <v/>
      </c>
      <c r="B267" s="31">
        <f>IF($AD267&lt;&gt;"D","",INDEX($AW$5:$AW$404,$AC267))</f>
        <v/>
      </c>
      <c r="C267" s="68">
        <f>IF($AD267&lt;&gt;"D","",INDEX($AX$5:$AX$404,$AC267))</f>
        <v/>
      </c>
      <c r="D267" s="70">
        <f>IF($AD267&lt;&gt;"D","",INDEX($BA$5:$BA$404,$AC267))</f>
        <v/>
      </c>
      <c r="E267" s="31">
        <f>IF($AD267="Z",SUM($AR$5:$AR$404),IF($AD267="D",INDEX($AR$5:$AR$404,$AC267),IF($AD267="T",SUMIF($X$5:$X$404,$AF267,$AR$5:$AR$404),IF($AD267="B",SUMIF($AN$5:$AN$404,$AQ267,$AR$5:$AR$404),""))))</f>
        <v/>
      </c>
      <c r="F267" s="32">
        <f>IF($AD267="Z",ROUND(SUM($AS$5:$AS$404),2),IF($AD267="D",INDEX($AS$5:$AS$404,$AC267),IF($AD267="T",ROUND(SUMIF($X$5:$X$404,$AF267,$AS$5:$AS$404),2),IF($AD267="B",ROUND(SUMIF($AN$5:$AN$404,$AQ267,$AS$5:$AS$404),2),""))))</f>
        <v/>
      </c>
      <c r="G267" s="32">
        <f>IF($AD267&lt;&gt;"D","",INDEX($AT$5:$AT$404,$AC267))</f>
        <v/>
      </c>
      <c r="H267" s="32">
        <f>IF($AD267&lt;&gt;"D","",INDEX($BC$5:$BC$404,$AC267))</f>
        <v/>
      </c>
      <c r="I267" s="32">
        <f>IF($AD267&lt;&gt;"D","",INDEX($BD$5:$BD$404,$AC267))</f>
        <v/>
      </c>
      <c r="J267" s="46">
        <f>IF($AD267&lt;&gt;"D","",IF(N($B267)=0,"",ROUND($I267/$B267,4)))</f>
        <v/>
      </c>
      <c r="K267" s="32">
        <f>IF($AD267="Z",ROUND(SUM($AU$5:$AU$404),2),IF($AD267="D",INDEX($AU$5:$AU$404,$AC267),IF($AD267="T",ROUND(SUMIF($X$5:$X$404,$AF267,$AU$5:$AU$404),2),IF($AD267="B",ROUND(SUMIF($AN$5:$AN$404,$AQ267,$AU$5:$AU$404),2),""))))</f>
        <v/>
      </c>
      <c r="L267" s="32">
        <f>IF($AD267="Z",ROUND(SUM($AV$5:$AV$404),2),IF($AD267="D",INDEX($AV$5:$AV$404,$AC267),IF($AD267="T",ROUND(SUMIF($X$5:$X$404,$AF267,$AV$5:$AV$404),2),IF($AD267="B",ROUND(SUMIF($AN$5:$AN$404,$AQ267,$AV$5:$AV$404),2),""))))</f>
        <v/>
      </c>
      <c r="M267" s="32">
        <f>IF($AD267="Z",ROUND(SUM($AJ$5:$AJ$704),2),IF($AD267="B",ROUND(SUMIF($AQ$5:$AQ$704,$AQ267,$AJ$5:$AJ$704),2),IF($AD267&lt;&gt;"T","",$AJ267)))</f>
        <v/>
      </c>
      <c r="N267" s="32">
        <f>IF(OR($AD267="D",$AD267="T",$AD267="B",$AD267="Z"),ROUND(N($K267)-N($L267)-N($M267),2),"")</f>
        <v/>
      </c>
      <c r="O267" s="32">
        <f>IF(OR($AD267="D",$AD267="T",$AD267="B",$AD267="Z"),IF(N($E267)=0,"",ROUND($F267/$E267,2)),"")</f>
        <v/>
      </c>
      <c r="Q267">
        <f>IFERROR(MATCH(263,บันทึกรายเที่ยว!$Z$6:$Z$6005,0),"")</f>
        <v/>
      </c>
      <c r="R267">
        <f>IF($Q267="","",INDEX(บันทึกรายเที่ยว!$V$6:$V$6005,$Q267))</f>
        <v/>
      </c>
      <c r="S267">
        <f>IF($Q267="","",INDEX(บันทึกรายเที่ยว!$F$6:$F$6005,$Q267))</f>
        <v/>
      </c>
      <c r="T267">
        <f>IF($Q267="","",MATCH($S267,บันทึกรายเที่ยว!$F$6:$F$6005,0))</f>
        <v/>
      </c>
      <c r="U267">
        <f>IF($Q267="","",$AL267*10000000+$T267*1000+263)</f>
        <v/>
      </c>
      <c r="V267">
        <f>IFERROR(MATCH(SMALL($U$5:$U$404,263),$U$5:$U$404,0),"")</f>
        <v/>
      </c>
      <c r="W267">
        <f>IF($V267="","",INDEX($Q$5:$Q$404,$V267))</f>
        <v/>
      </c>
      <c r="X267">
        <f>IF($V267="","",INDEX($S$5:$S$404,$V267))</f>
        <v/>
      </c>
      <c r="Y267">
        <f>IF($V267="","",INDEX($R$5:$R$404,$V267))</f>
        <v/>
      </c>
      <c r="Z267">
        <f>IF($V267="",0,IF($X267&lt;&gt;$X266,1,0))</f>
        <v/>
      </c>
      <c r="AA267">
        <f>IF($V267="",0,IF($V268="",1,IF($X268&lt;&gt;$X267,1,0)))</f>
        <v/>
      </c>
      <c r="AB267">
        <f>IF($V267="",99999+263,$AB266+1+$Z266+$AA266+$AO266)</f>
        <v/>
      </c>
      <c r="AC267">
        <f>IFERROR(MATCH(263,$AB$5:$AB$404,1),"")</f>
        <v/>
      </c>
      <c r="AD267">
        <f>IF(263=$AI$1+1,"Z",IF($AC267="","",IF(INDEX($V$5:$V$404,$AC267)="","",IF(263&gt;INDEX($AB$5:$AB$404,$AC267)+INDEX($Z$5:$Z$404,$AC267)+INDEX($AA$5:$AA$404,$AC267)+INDEX($AO$5:$AO$404,$AC267),"",IF(263=INDEX($AB$5:$AB$404,$AC267)+INDEX($Z$5:$Z$404,$AC267),"D",IF(AND(INDEX($Z$5:$Z$404,$AC267)=1,263=INDEX($AB$5:$AB$404,$AC267)),"H",IF(AND(INDEX($AO$5:$AO$404,$AC267)=1,263=INDEX($AB$5:$AB$404,$AC267)+INDEX($Z$5:$Z$404,$AC267)+INDEX($AA$5:$AA$404,$AC267)+INDEX($AO$5:$AO$404,$AC267)),"B","T")))))))</f>
        <v/>
      </c>
      <c r="AF267">
        <f>IF(OR($AD267="",$AD267="Z",$AD267="B"),"",INDEX($X$5:$X$404,$AC267))</f>
        <v/>
      </c>
      <c r="AJ267">
        <f>IF($AD267&lt;&gt;"T",0,ROUND(SUMIF(oil!$B$4:$B$63,$AF267,oil!$AE$4:$AE$63),2))</f>
        <v/>
      </c>
      <c r="AK267">
        <f>IF($S267="","",IFERROR(INDEX(อัตราค่าขนส่ง!$P$5:$P$54,MATCH($S267,อัตราค่าขนส่ง!$O$5:$O$54,0)),INDEX(รายการมาตรฐาน!$G$2:$G$3,1)))</f>
        <v/>
      </c>
      <c r="AL267">
        <f>IF($S267="","",IFERROR(MATCH($AK267,รายการมาตรฐาน!$G$2:$G$3,0),1))</f>
        <v/>
      </c>
      <c r="AM267">
        <f>IF($V267="","",INDEX($AK$5:$AK$404,$V267))</f>
        <v/>
      </c>
      <c r="AN267">
        <f>IF($V267="","",INDEX($AL$5:$AL$404,$V267))</f>
        <v/>
      </c>
      <c r="AO267">
        <f>IF(OR($V267="",$AI$2&lt;=1),0,IF($V268="",1,IF($AN268&lt;&gt;$AN267,1,0)))</f>
        <v/>
      </c>
      <c r="AP267">
        <f>IF($V267="",0,IF($AN267&lt;&gt;$AN266,1,0))</f>
        <v/>
      </c>
      <c r="AQ267">
        <f>IF(OR($AD267="",$AD267="Z"),"",INDEX($AN$5:$AN$404,$AC267))</f>
        <v/>
      </c>
      <c r="AR267">
        <f>IF($Y267="",0,COUNTIF(บันทึกรายเที่ยว!$V$6:$V$6005,$Y267))</f>
        <v/>
      </c>
      <c r="AS267">
        <f>IF($Y267="",0,ROUND(SUMIF(บันทึกรายเที่ยว!$V$6:$V$6005,$Y267,บันทึกรายเที่ยว!$M$6:$M$6005),2))</f>
        <v/>
      </c>
      <c r="AT267">
        <f>IF($Y267="",0,IFERROR(INDEX(อัตราค่าขนส่ง!$G$5:$G$204,MATCH($Y267,อัตราค่าขนส่ง!$M$5:$M$204,0)),0))</f>
        <v/>
      </c>
      <c r="AU267">
        <f>ROUND($AS267*$BD267,2)</f>
        <v/>
      </c>
      <c r="AV267">
        <f>ROUND($AU267*$BF$2/100,2)</f>
        <v/>
      </c>
      <c r="AW267">
        <f>IF($Y267="","",IFERROR(INDEX(อัตราค่าขนส่ง!$F$5:$F$204,MATCH($Y267,อัตราค่าขนส่ง!$M$5:$M$204,0)),""))</f>
        <v/>
      </c>
      <c r="AX267">
        <f>IF($W267="","",INDEX(บันทึกรายเที่ยว!$D$6:$D$6005,$W267))</f>
        <v/>
      </c>
      <c r="AY267">
        <f>IF($W267="","",INDEX(บันทึกรายเที่ยว!$R$6:$R$6005,$W267))</f>
        <v/>
      </c>
      <c r="AZ267">
        <f>IF(AND($AD267="T",$AQ267=1),N($AZ266)+1,N($AZ266))</f>
        <v/>
      </c>
      <c r="BA267">
        <f>IF($W267="","",INDEX(บันทึกรายเที่ยว!$E$6:$E$6005,$W267))</f>
        <v/>
      </c>
      <c r="BC267">
        <f>IF($Y267="",0,IFERROR(INDEX(อัตราค่าขนส่ง!$K$5:$K$204,MATCH($Y267,อัตราค่าขนส่ง!$M$5:$M$204,0)),0))</f>
        <v/>
      </c>
      <c r="BD267">
        <f>IF($Y267="",0,IFERROR(INDEX(อัตราค่าขนส่ง!$L$5:$L$204,MATCH($Y267,อัตราค่าขนส่ง!$M$5:$M$204,0)),0))</f>
        <v/>
      </c>
    </row>
    <row r="268" ht="21" customHeight="1" s="66">
      <c r="A268" s="69">
        <f>IF($AD268="","",IF($AD268="Z","รวมจ่ายทั้งสิ้น",IF($AD268="H",INDEX($X$5:$X$404,$AC268),IF($AD268="T","รวม",IF($AD268="B",IFERROR(INDEX(อัตราค่าขนส่ง!$S$5:$S$14,MATCH(INDEX($AM$5:$AM$404,$AC268),อัตราค่าขนส่ง!$R$5:$R$14,0)),"รวมกลุ่ม "&amp;INDEX($AM$5:$AM$404,$AC268)),INDEX($AY$5:$AY$404,$AC268))))))</f>
        <v/>
      </c>
      <c r="B268" s="31">
        <f>IF($AD268&lt;&gt;"D","",INDEX($AW$5:$AW$404,$AC268))</f>
        <v/>
      </c>
      <c r="C268" s="68">
        <f>IF($AD268&lt;&gt;"D","",INDEX($AX$5:$AX$404,$AC268))</f>
        <v/>
      </c>
      <c r="D268" s="70">
        <f>IF($AD268&lt;&gt;"D","",INDEX($BA$5:$BA$404,$AC268))</f>
        <v/>
      </c>
      <c r="E268" s="31">
        <f>IF($AD268="Z",SUM($AR$5:$AR$404),IF($AD268="D",INDEX($AR$5:$AR$404,$AC268),IF($AD268="T",SUMIF($X$5:$X$404,$AF268,$AR$5:$AR$404),IF($AD268="B",SUMIF($AN$5:$AN$404,$AQ268,$AR$5:$AR$404),""))))</f>
        <v/>
      </c>
      <c r="F268" s="32">
        <f>IF($AD268="Z",ROUND(SUM($AS$5:$AS$404),2),IF($AD268="D",INDEX($AS$5:$AS$404,$AC268),IF($AD268="T",ROUND(SUMIF($X$5:$X$404,$AF268,$AS$5:$AS$404),2),IF($AD268="B",ROUND(SUMIF($AN$5:$AN$404,$AQ268,$AS$5:$AS$404),2),""))))</f>
        <v/>
      </c>
      <c r="G268" s="32">
        <f>IF($AD268&lt;&gt;"D","",INDEX($AT$5:$AT$404,$AC268))</f>
        <v/>
      </c>
      <c r="H268" s="32">
        <f>IF($AD268&lt;&gt;"D","",INDEX($BC$5:$BC$404,$AC268))</f>
        <v/>
      </c>
      <c r="I268" s="32">
        <f>IF($AD268&lt;&gt;"D","",INDEX($BD$5:$BD$404,$AC268))</f>
        <v/>
      </c>
      <c r="J268" s="46">
        <f>IF($AD268&lt;&gt;"D","",IF(N($B268)=0,"",ROUND($I268/$B268,4)))</f>
        <v/>
      </c>
      <c r="K268" s="32">
        <f>IF($AD268="Z",ROUND(SUM($AU$5:$AU$404),2),IF($AD268="D",INDEX($AU$5:$AU$404,$AC268),IF($AD268="T",ROUND(SUMIF($X$5:$X$404,$AF268,$AU$5:$AU$404),2),IF($AD268="B",ROUND(SUMIF($AN$5:$AN$404,$AQ268,$AU$5:$AU$404),2),""))))</f>
        <v/>
      </c>
      <c r="L268" s="32">
        <f>IF($AD268="Z",ROUND(SUM($AV$5:$AV$404),2),IF($AD268="D",INDEX($AV$5:$AV$404,$AC268),IF($AD268="T",ROUND(SUMIF($X$5:$X$404,$AF268,$AV$5:$AV$404),2),IF($AD268="B",ROUND(SUMIF($AN$5:$AN$404,$AQ268,$AV$5:$AV$404),2),""))))</f>
        <v/>
      </c>
      <c r="M268" s="32">
        <f>IF($AD268="Z",ROUND(SUM($AJ$5:$AJ$704),2),IF($AD268="B",ROUND(SUMIF($AQ$5:$AQ$704,$AQ268,$AJ$5:$AJ$704),2),IF($AD268&lt;&gt;"T","",$AJ268)))</f>
        <v/>
      </c>
      <c r="N268" s="32">
        <f>IF(OR($AD268="D",$AD268="T",$AD268="B",$AD268="Z"),ROUND(N($K268)-N($L268)-N($M268),2),"")</f>
        <v/>
      </c>
      <c r="O268" s="32">
        <f>IF(OR($AD268="D",$AD268="T",$AD268="B",$AD268="Z"),IF(N($E268)=0,"",ROUND($F268/$E268,2)),"")</f>
        <v/>
      </c>
      <c r="Q268">
        <f>IFERROR(MATCH(264,บันทึกรายเที่ยว!$Z$6:$Z$6005,0),"")</f>
        <v/>
      </c>
      <c r="R268">
        <f>IF($Q268="","",INDEX(บันทึกรายเที่ยว!$V$6:$V$6005,$Q268))</f>
        <v/>
      </c>
      <c r="S268">
        <f>IF($Q268="","",INDEX(บันทึกรายเที่ยว!$F$6:$F$6005,$Q268))</f>
        <v/>
      </c>
      <c r="T268">
        <f>IF($Q268="","",MATCH($S268,บันทึกรายเที่ยว!$F$6:$F$6005,0))</f>
        <v/>
      </c>
      <c r="U268">
        <f>IF($Q268="","",$AL268*10000000+$T268*1000+264)</f>
        <v/>
      </c>
      <c r="V268">
        <f>IFERROR(MATCH(SMALL($U$5:$U$404,264),$U$5:$U$404,0),"")</f>
        <v/>
      </c>
      <c r="W268">
        <f>IF($V268="","",INDEX($Q$5:$Q$404,$V268))</f>
        <v/>
      </c>
      <c r="X268">
        <f>IF($V268="","",INDEX($S$5:$S$404,$V268))</f>
        <v/>
      </c>
      <c r="Y268">
        <f>IF($V268="","",INDEX($R$5:$R$404,$V268))</f>
        <v/>
      </c>
      <c r="Z268">
        <f>IF($V268="",0,IF($X268&lt;&gt;$X267,1,0))</f>
        <v/>
      </c>
      <c r="AA268">
        <f>IF($V268="",0,IF($V269="",1,IF($X269&lt;&gt;$X268,1,0)))</f>
        <v/>
      </c>
      <c r="AB268">
        <f>IF($V268="",99999+264,$AB267+1+$Z267+$AA267+$AO267)</f>
        <v/>
      </c>
      <c r="AC268">
        <f>IFERROR(MATCH(264,$AB$5:$AB$404,1),"")</f>
        <v/>
      </c>
      <c r="AD268">
        <f>IF(264=$AI$1+1,"Z",IF($AC268="","",IF(INDEX($V$5:$V$404,$AC268)="","",IF(264&gt;INDEX($AB$5:$AB$404,$AC268)+INDEX($Z$5:$Z$404,$AC268)+INDEX($AA$5:$AA$404,$AC268)+INDEX($AO$5:$AO$404,$AC268),"",IF(264=INDEX($AB$5:$AB$404,$AC268)+INDEX($Z$5:$Z$404,$AC268),"D",IF(AND(INDEX($Z$5:$Z$404,$AC268)=1,264=INDEX($AB$5:$AB$404,$AC268)),"H",IF(AND(INDEX($AO$5:$AO$404,$AC268)=1,264=INDEX($AB$5:$AB$404,$AC268)+INDEX($Z$5:$Z$404,$AC268)+INDEX($AA$5:$AA$404,$AC268)+INDEX($AO$5:$AO$404,$AC268)),"B","T")))))))</f>
        <v/>
      </c>
      <c r="AF268">
        <f>IF(OR($AD268="",$AD268="Z",$AD268="B"),"",INDEX($X$5:$X$404,$AC268))</f>
        <v/>
      </c>
      <c r="AJ268">
        <f>IF($AD268&lt;&gt;"T",0,ROUND(SUMIF(oil!$B$4:$B$63,$AF268,oil!$AE$4:$AE$63),2))</f>
        <v/>
      </c>
      <c r="AK268">
        <f>IF($S268="","",IFERROR(INDEX(อัตราค่าขนส่ง!$P$5:$P$54,MATCH($S268,อัตราค่าขนส่ง!$O$5:$O$54,0)),INDEX(รายการมาตรฐาน!$G$2:$G$3,1)))</f>
        <v/>
      </c>
      <c r="AL268">
        <f>IF($S268="","",IFERROR(MATCH($AK268,รายการมาตรฐาน!$G$2:$G$3,0),1))</f>
        <v/>
      </c>
      <c r="AM268">
        <f>IF($V268="","",INDEX($AK$5:$AK$404,$V268))</f>
        <v/>
      </c>
      <c r="AN268">
        <f>IF($V268="","",INDEX($AL$5:$AL$404,$V268))</f>
        <v/>
      </c>
      <c r="AO268">
        <f>IF(OR($V268="",$AI$2&lt;=1),0,IF($V269="",1,IF($AN269&lt;&gt;$AN268,1,0)))</f>
        <v/>
      </c>
      <c r="AP268">
        <f>IF($V268="",0,IF($AN268&lt;&gt;$AN267,1,0))</f>
        <v/>
      </c>
      <c r="AQ268">
        <f>IF(OR($AD268="",$AD268="Z"),"",INDEX($AN$5:$AN$404,$AC268))</f>
        <v/>
      </c>
      <c r="AR268">
        <f>IF($Y268="",0,COUNTIF(บันทึกรายเที่ยว!$V$6:$V$6005,$Y268))</f>
        <v/>
      </c>
      <c r="AS268">
        <f>IF($Y268="",0,ROUND(SUMIF(บันทึกรายเที่ยว!$V$6:$V$6005,$Y268,บันทึกรายเที่ยว!$M$6:$M$6005),2))</f>
        <v/>
      </c>
      <c r="AT268">
        <f>IF($Y268="",0,IFERROR(INDEX(อัตราค่าขนส่ง!$G$5:$G$204,MATCH($Y268,อัตราค่าขนส่ง!$M$5:$M$204,0)),0))</f>
        <v/>
      </c>
      <c r="AU268">
        <f>ROUND($AS268*$BD268,2)</f>
        <v/>
      </c>
      <c r="AV268">
        <f>ROUND($AU268*$BF$2/100,2)</f>
        <v/>
      </c>
      <c r="AW268">
        <f>IF($Y268="","",IFERROR(INDEX(อัตราค่าขนส่ง!$F$5:$F$204,MATCH($Y268,อัตราค่าขนส่ง!$M$5:$M$204,0)),""))</f>
        <v/>
      </c>
      <c r="AX268">
        <f>IF($W268="","",INDEX(บันทึกรายเที่ยว!$D$6:$D$6005,$W268))</f>
        <v/>
      </c>
      <c r="AY268">
        <f>IF($W268="","",INDEX(บันทึกรายเที่ยว!$R$6:$R$6005,$W268))</f>
        <v/>
      </c>
      <c r="AZ268">
        <f>IF(AND($AD268="T",$AQ268=1),N($AZ267)+1,N($AZ267))</f>
        <v/>
      </c>
      <c r="BA268">
        <f>IF($W268="","",INDEX(บันทึกรายเที่ยว!$E$6:$E$6005,$W268))</f>
        <v/>
      </c>
      <c r="BC268">
        <f>IF($Y268="",0,IFERROR(INDEX(อัตราค่าขนส่ง!$K$5:$K$204,MATCH($Y268,อัตราค่าขนส่ง!$M$5:$M$204,0)),0))</f>
        <v/>
      </c>
      <c r="BD268">
        <f>IF($Y268="",0,IFERROR(INDEX(อัตราค่าขนส่ง!$L$5:$L$204,MATCH($Y268,อัตราค่าขนส่ง!$M$5:$M$204,0)),0))</f>
        <v/>
      </c>
    </row>
    <row r="269" ht="21" customHeight="1" s="66">
      <c r="A269" s="69">
        <f>IF($AD269="","",IF($AD269="Z","รวมจ่ายทั้งสิ้น",IF($AD269="H",INDEX($X$5:$X$404,$AC269),IF($AD269="T","รวม",IF($AD269="B",IFERROR(INDEX(อัตราค่าขนส่ง!$S$5:$S$14,MATCH(INDEX($AM$5:$AM$404,$AC269),อัตราค่าขนส่ง!$R$5:$R$14,0)),"รวมกลุ่ม "&amp;INDEX($AM$5:$AM$404,$AC269)),INDEX($AY$5:$AY$404,$AC269))))))</f>
        <v/>
      </c>
      <c r="B269" s="31">
        <f>IF($AD269&lt;&gt;"D","",INDEX($AW$5:$AW$404,$AC269))</f>
        <v/>
      </c>
      <c r="C269" s="68">
        <f>IF($AD269&lt;&gt;"D","",INDEX($AX$5:$AX$404,$AC269))</f>
        <v/>
      </c>
      <c r="D269" s="70">
        <f>IF($AD269&lt;&gt;"D","",INDEX($BA$5:$BA$404,$AC269))</f>
        <v/>
      </c>
      <c r="E269" s="31">
        <f>IF($AD269="Z",SUM($AR$5:$AR$404),IF($AD269="D",INDEX($AR$5:$AR$404,$AC269),IF($AD269="T",SUMIF($X$5:$X$404,$AF269,$AR$5:$AR$404),IF($AD269="B",SUMIF($AN$5:$AN$404,$AQ269,$AR$5:$AR$404),""))))</f>
        <v/>
      </c>
      <c r="F269" s="32">
        <f>IF($AD269="Z",ROUND(SUM($AS$5:$AS$404),2),IF($AD269="D",INDEX($AS$5:$AS$404,$AC269),IF($AD269="T",ROUND(SUMIF($X$5:$X$404,$AF269,$AS$5:$AS$404),2),IF($AD269="B",ROUND(SUMIF($AN$5:$AN$404,$AQ269,$AS$5:$AS$404),2),""))))</f>
        <v/>
      </c>
      <c r="G269" s="32">
        <f>IF($AD269&lt;&gt;"D","",INDEX($AT$5:$AT$404,$AC269))</f>
        <v/>
      </c>
      <c r="H269" s="32">
        <f>IF($AD269&lt;&gt;"D","",INDEX($BC$5:$BC$404,$AC269))</f>
        <v/>
      </c>
      <c r="I269" s="32">
        <f>IF($AD269&lt;&gt;"D","",INDEX($BD$5:$BD$404,$AC269))</f>
        <v/>
      </c>
      <c r="J269" s="46">
        <f>IF($AD269&lt;&gt;"D","",IF(N($B269)=0,"",ROUND($I269/$B269,4)))</f>
        <v/>
      </c>
      <c r="K269" s="32">
        <f>IF($AD269="Z",ROUND(SUM($AU$5:$AU$404),2),IF($AD269="D",INDEX($AU$5:$AU$404,$AC269),IF($AD269="T",ROUND(SUMIF($X$5:$X$404,$AF269,$AU$5:$AU$404),2),IF($AD269="B",ROUND(SUMIF($AN$5:$AN$404,$AQ269,$AU$5:$AU$404),2),""))))</f>
        <v/>
      </c>
      <c r="L269" s="32">
        <f>IF($AD269="Z",ROUND(SUM($AV$5:$AV$404),2),IF($AD269="D",INDEX($AV$5:$AV$404,$AC269),IF($AD269="T",ROUND(SUMIF($X$5:$X$404,$AF269,$AV$5:$AV$404),2),IF($AD269="B",ROUND(SUMIF($AN$5:$AN$404,$AQ269,$AV$5:$AV$404),2),""))))</f>
        <v/>
      </c>
      <c r="M269" s="32">
        <f>IF($AD269="Z",ROUND(SUM($AJ$5:$AJ$704),2),IF($AD269="B",ROUND(SUMIF($AQ$5:$AQ$704,$AQ269,$AJ$5:$AJ$704),2),IF($AD269&lt;&gt;"T","",$AJ269)))</f>
        <v/>
      </c>
      <c r="N269" s="32">
        <f>IF(OR($AD269="D",$AD269="T",$AD269="B",$AD269="Z"),ROUND(N($K269)-N($L269)-N($M269),2),"")</f>
        <v/>
      </c>
      <c r="O269" s="32">
        <f>IF(OR($AD269="D",$AD269="T",$AD269="B",$AD269="Z"),IF(N($E269)=0,"",ROUND($F269/$E269,2)),"")</f>
        <v/>
      </c>
      <c r="Q269">
        <f>IFERROR(MATCH(265,บันทึกรายเที่ยว!$Z$6:$Z$6005,0),"")</f>
        <v/>
      </c>
      <c r="R269">
        <f>IF($Q269="","",INDEX(บันทึกรายเที่ยว!$V$6:$V$6005,$Q269))</f>
        <v/>
      </c>
      <c r="S269">
        <f>IF($Q269="","",INDEX(บันทึกรายเที่ยว!$F$6:$F$6005,$Q269))</f>
        <v/>
      </c>
      <c r="T269">
        <f>IF($Q269="","",MATCH($S269,บันทึกรายเที่ยว!$F$6:$F$6005,0))</f>
        <v/>
      </c>
      <c r="U269">
        <f>IF($Q269="","",$AL269*10000000+$T269*1000+265)</f>
        <v/>
      </c>
      <c r="V269">
        <f>IFERROR(MATCH(SMALL($U$5:$U$404,265),$U$5:$U$404,0),"")</f>
        <v/>
      </c>
      <c r="W269">
        <f>IF($V269="","",INDEX($Q$5:$Q$404,$V269))</f>
        <v/>
      </c>
      <c r="X269">
        <f>IF($V269="","",INDEX($S$5:$S$404,$V269))</f>
        <v/>
      </c>
      <c r="Y269">
        <f>IF($V269="","",INDEX($R$5:$R$404,$V269))</f>
        <v/>
      </c>
      <c r="Z269">
        <f>IF($V269="",0,IF($X269&lt;&gt;$X268,1,0))</f>
        <v/>
      </c>
      <c r="AA269">
        <f>IF($V269="",0,IF($V270="",1,IF($X270&lt;&gt;$X269,1,0)))</f>
        <v/>
      </c>
      <c r="AB269">
        <f>IF($V269="",99999+265,$AB268+1+$Z268+$AA268+$AO268)</f>
        <v/>
      </c>
      <c r="AC269">
        <f>IFERROR(MATCH(265,$AB$5:$AB$404,1),"")</f>
        <v/>
      </c>
      <c r="AD269">
        <f>IF(265=$AI$1+1,"Z",IF($AC269="","",IF(INDEX($V$5:$V$404,$AC269)="","",IF(265&gt;INDEX($AB$5:$AB$404,$AC269)+INDEX($Z$5:$Z$404,$AC269)+INDEX($AA$5:$AA$404,$AC269)+INDEX($AO$5:$AO$404,$AC269),"",IF(265=INDEX($AB$5:$AB$404,$AC269)+INDEX($Z$5:$Z$404,$AC269),"D",IF(AND(INDEX($Z$5:$Z$404,$AC269)=1,265=INDEX($AB$5:$AB$404,$AC269)),"H",IF(AND(INDEX($AO$5:$AO$404,$AC269)=1,265=INDEX($AB$5:$AB$404,$AC269)+INDEX($Z$5:$Z$404,$AC269)+INDEX($AA$5:$AA$404,$AC269)+INDEX($AO$5:$AO$404,$AC269)),"B","T")))))))</f>
        <v/>
      </c>
      <c r="AF269">
        <f>IF(OR($AD269="",$AD269="Z",$AD269="B"),"",INDEX($X$5:$X$404,$AC269))</f>
        <v/>
      </c>
      <c r="AJ269">
        <f>IF($AD269&lt;&gt;"T",0,ROUND(SUMIF(oil!$B$4:$B$63,$AF269,oil!$AE$4:$AE$63),2))</f>
        <v/>
      </c>
      <c r="AK269">
        <f>IF($S269="","",IFERROR(INDEX(อัตราค่าขนส่ง!$P$5:$P$54,MATCH($S269,อัตราค่าขนส่ง!$O$5:$O$54,0)),INDEX(รายการมาตรฐาน!$G$2:$G$3,1)))</f>
        <v/>
      </c>
      <c r="AL269">
        <f>IF($S269="","",IFERROR(MATCH($AK269,รายการมาตรฐาน!$G$2:$G$3,0),1))</f>
        <v/>
      </c>
      <c r="AM269">
        <f>IF($V269="","",INDEX($AK$5:$AK$404,$V269))</f>
        <v/>
      </c>
      <c r="AN269">
        <f>IF($V269="","",INDEX($AL$5:$AL$404,$V269))</f>
        <v/>
      </c>
      <c r="AO269">
        <f>IF(OR($V269="",$AI$2&lt;=1),0,IF($V270="",1,IF($AN270&lt;&gt;$AN269,1,0)))</f>
        <v/>
      </c>
      <c r="AP269">
        <f>IF($V269="",0,IF($AN269&lt;&gt;$AN268,1,0))</f>
        <v/>
      </c>
      <c r="AQ269">
        <f>IF(OR($AD269="",$AD269="Z"),"",INDEX($AN$5:$AN$404,$AC269))</f>
        <v/>
      </c>
      <c r="AR269">
        <f>IF($Y269="",0,COUNTIF(บันทึกรายเที่ยว!$V$6:$V$6005,$Y269))</f>
        <v/>
      </c>
      <c r="AS269">
        <f>IF($Y269="",0,ROUND(SUMIF(บันทึกรายเที่ยว!$V$6:$V$6005,$Y269,บันทึกรายเที่ยว!$M$6:$M$6005),2))</f>
        <v/>
      </c>
      <c r="AT269">
        <f>IF($Y269="",0,IFERROR(INDEX(อัตราค่าขนส่ง!$G$5:$G$204,MATCH($Y269,อัตราค่าขนส่ง!$M$5:$M$204,0)),0))</f>
        <v/>
      </c>
      <c r="AU269">
        <f>ROUND($AS269*$BD269,2)</f>
        <v/>
      </c>
      <c r="AV269">
        <f>ROUND($AU269*$BF$2/100,2)</f>
        <v/>
      </c>
      <c r="AW269">
        <f>IF($Y269="","",IFERROR(INDEX(อัตราค่าขนส่ง!$F$5:$F$204,MATCH($Y269,อัตราค่าขนส่ง!$M$5:$M$204,0)),""))</f>
        <v/>
      </c>
      <c r="AX269">
        <f>IF($W269="","",INDEX(บันทึกรายเที่ยว!$D$6:$D$6005,$W269))</f>
        <v/>
      </c>
      <c r="AY269">
        <f>IF($W269="","",INDEX(บันทึกรายเที่ยว!$R$6:$R$6005,$W269))</f>
        <v/>
      </c>
      <c r="AZ269">
        <f>IF(AND($AD269="T",$AQ269=1),N($AZ268)+1,N($AZ268))</f>
        <v/>
      </c>
      <c r="BA269">
        <f>IF($W269="","",INDEX(บันทึกรายเที่ยว!$E$6:$E$6005,$W269))</f>
        <v/>
      </c>
      <c r="BC269">
        <f>IF($Y269="",0,IFERROR(INDEX(อัตราค่าขนส่ง!$K$5:$K$204,MATCH($Y269,อัตราค่าขนส่ง!$M$5:$M$204,0)),0))</f>
        <v/>
      </c>
      <c r="BD269">
        <f>IF($Y269="",0,IFERROR(INDEX(อัตราค่าขนส่ง!$L$5:$L$204,MATCH($Y269,อัตราค่าขนส่ง!$M$5:$M$204,0)),0))</f>
        <v/>
      </c>
    </row>
    <row r="270" ht="21" customHeight="1" s="66">
      <c r="A270" s="69">
        <f>IF($AD270="","",IF($AD270="Z","รวมจ่ายทั้งสิ้น",IF($AD270="H",INDEX($X$5:$X$404,$AC270),IF($AD270="T","รวม",IF($AD270="B",IFERROR(INDEX(อัตราค่าขนส่ง!$S$5:$S$14,MATCH(INDEX($AM$5:$AM$404,$AC270),อัตราค่าขนส่ง!$R$5:$R$14,0)),"รวมกลุ่ม "&amp;INDEX($AM$5:$AM$404,$AC270)),INDEX($AY$5:$AY$404,$AC270))))))</f>
        <v/>
      </c>
      <c r="B270" s="31">
        <f>IF($AD270&lt;&gt;"D","",INDEX($AW$5:$AW$404,$AC270))</f>
        <v/>
      </c>
      <c r="C270" s="68">
        <f>IF($AD270&lt;&gt;"D","",INDEX($AX$5:$AX$404,$AC270))</f>
        <v/>
      </c>
      <c r="D270" s="70">
        <f>IF($AD270&lt;&gt;"D","",INDEX($BA$5:$BA$404,$AC270))</f>
        <v/>
      </c>
      <c r="E270" s="31">
        <f>IF($AD270="Z",SUM($AR$5:$AR$404),IF($AD270="D",INDEX($AR$5:$AR$404,$AC270),IF($AD270="T",SUMIF($X$5:$X$404,$AF270,$AR$5:$AR$404),IF($AD270="B",SUMIF($AN$5:$AN$404,$AQ270,$AR$5:$AR$404),""))))</f>
        <v/>
      </c>
      <c r="F270" s="32">
        <f>IF($AD270="Z",ROUND(SUM($AS$5:$AS$404),2),IF($AD270="D",INDEX($AS$5:$AS$404,$AC270),IF($AD270="T",ROUND(SUMIF($X$5:$X$404,$AF270,$AS$5:$AS$404),2),IF($AD270="B",ROUND(SUMIF($AN$5:$AN$404,$AQ270,$AS$5:$AS$404),2),""))))</f>
        <v/>
      </c>
      <c r="G270" s="32">
        <f>IF($AD270&lt;&gt;"D","",INDEX($AT$5:$AT$404,$AC270))</f>
        <v/>
      </c>
      <c r="H270" s="32">
        <f>IF($AD270&lt;&gt;"D","",INDEX($BC$5:$BC$404,$AC270))</f>
        <v/>
      </c>
      <c r="I270" s="32">
        <f>IF($AD270&lt;&gt;"D","",INDEX($BD$5:$BD$404,$AC270))</f>
        <v/>
      </c>
      <c r="J270" s="46">
        <f>IF($AD270&lt;&gt;"D","",IF(N($B270)=0,"",ROUND($I270/$B270,4)))</f>
        <v/>
      </c>
      <c r="K270" s="32">
        <f>IF($AD270="Z",ROUND(SUM($AU$5:$AU$404),2),IF($AD270="D",INDEX($AU$5:$AU$404,$AC270),IF($AD270="T",ROUND(SUMIF($X$5:$X$404,$AF270,$AU$5:$AU$404),2),IF($AD270="B",ROUND(SUMIF($AN$5:$AN$404,$AQ270,$AU$5:$AU$404),2),""))))</f>
        <v/>
      </c>
      <c r="L270" s="32">
        <f>IF($AD270="Z",ROUND(SUM($AV$5:$AV$404),2),IF($AD270="D",INDEX($AV$5:$AV$404,$AC270),IF($AD270="T",ROUND(SUMIF($X$5:$X$404,$AF270,$AV$5:$AV$404),2),IF($AD270="B",ROUND(SUMIF($AN$5:$AN$404,$AQ270,$AV$5:$AV$404),2),""))))</f>
        <v/>
      </c>
      <c r="M270" s="32">
        <f>IF($AD270="Z",ROUND(SUM($AJ$5:$AJ$704),2),IF($AD270="B",ROUND(SUMIF($AQ$5:$AQ$704,$AQ270,$AJ$5:$AJ$704),2),IF($AD270&lt;&gt;"T","",$AJ270)))</f>
        <v/>
      </c>
      <c r="N270" s="32">
        <f>IF(OR($AD270="D",$AD270="T",$AD270="B",$AD270="Z"),ROUND(N($K270)-N($L270)-N($M270),2),"")</f>
        <v/>
      </c>
      <c r="O270" s="32">
        <f>IF(OR($AD270="D",$AD270="T",$AD270="B",$AD270="Z"),IF(N($E270)=0,"",ROUND($F270/$E270,2)),"")</f>
        <v/>
      </c>
      <c r="Q270">
        <f>IFERROR(MATCH(266,บันทึกรายเที่ยว!$Z$6:$Z$6005,0),"")</f>
        <v/>
      </c>
      <c r="R270">
        <f>IF($Q270="","",INDEX(บันทึกรายเที่ยว!$V$6:$V$6005,$Q270))</f>
        <v/>
      </c>
      <c r="S270">
        <f>IF($Q270="","",INDEX(บันทึกรายเที่ยว!$F$6:$F$6005,$Q270))</f>
        <v/>
      </c>
      <c r="T270">
        <f>IF($Q270="","",MATCH($S270,บันทึกรายเที่ยว!$F$6:$F$6005,0))</f>
        <v/>
      </c>
      <c r="U270">
        <f>IF($Q270="","",$AL270*10000000+$T270*1000+266)</f>
        <v/>
      </c>
      <c r="V270">
        <f>IFERROR(MATCH(SMALL($U$5:$U$404,266),$U$5:$U$404,0),"")</f>
        <v/>
      </c>
      <c r="W270">
        <f>IF($V270="","",INDEX($Q$5:$Q$404,$V270))</f>
        <v/>
      </c>
      <c r="X270">
        <f>IF($V270="","",INDEX($S$5:$S$404,$V270))</f>
        <v/>
      </c>
      <c r="Y270">
        <f>IF($V270="","",INDEX($R$5:$R$404,$V270))</f>
        <v/>
      </c>
      <c r="Z270">
        <f>IF($V270="",0,IF($X270&lt;&gt;$X269,1,0))</f>
        <v/>
      </c>
      <c r="AA270">
        <f>IF($V270="",0,IF($V271="",1,IF($X271&lt;&gt;$X270,1,0)))</f>
        <v/>
      </c>
      <c r="AB270">
        <f>IF($V270="",99999+266,$AB269+1+$Z269+$AA269+$AO269)</f>
        <v/>
      </c>
      <c r="AC270">
        <f>IFERROR(MATCH(266,$AB$5:$AB$404,1),"")</f>
        <v/>
      </c>
      <c r="AD270">
        <f>IF(266=$AI$1+1,"Z",IF($AC270="","",IF(INDEX($V$5:$V$404,$AC270)="","",IF(266&gt;INDEX($AB$5:$AB$404,$AC270)+INDEX($Z$5:$Z$404,$AC270)+INDEX($AA$5:$AA$404,$AC270)+INDEX($AO$5:$AO$404,$AC270),"",IF(266=INDEX($AB$5:$AB$404,$AC270)+INDEX($Z$5:$Z$404,$AC270),"D",IF(AND(INDEX($Z$5:$Z$404,$AC270)=1,266=INDEX($AB$5:$AB$404,$AC270)),"H",IF(AND(INDEX($AO$5:$AO$404,$AC270)=1,266=INDEX($AB$5:$AB$404,$AC270)+INDEX($Z$5:$Z$404,$AC270)+INDEX($AA$5:$AA$404,$AC270)+INDEX($AO$5:$AO$404,$AC270)),"B","T")))))))</f>
        <v/>
      </c>
      <c r="AF270">
        <f>IF(OR($AD270="",$AD270="Z",$AD270="B"),"",INDEX($X$5:$X$404,$AC270))</f>
        <v/>
      </c>
      <c r="AJ270">
        <f>IF($AD270&lt;&gt;"T",0,ROUND(SUMIF(oil!$B$4:$B$63,$AF270,oil!$AE$4:$AE$63),2))</f>
        <v/>
      </c>
      <c r="AK270">
        <f>IF($S270="","",IFERROR(INDEX(อัตราค่าขนส่ง!$P$5:$P$54,MATCH($S270,อัตราค่าขนส่ง!$O$5:$O$54,0)),INDEX(รายการมาตรฐาน!$G$2:$G$3,1)))</f>
        <v/>
      </c>
      <c r="AL270">
        <f>IF($S270="","",IFERROR(MATCH($AK270,รายการมาตรฐาน!$G$2:$G$3,0),1))</f>
        <v/>
      </c>
      <c r="AM270">
        <f>IF($V270="","",INDEX($AK$5:$AK$404,$V270))</f>
        <v/>
      </c>
      <c r="AN270">
        <f>IF($V270="","",INDEX($AL$5:$AL$404,$V270))</f>
        <v/>
      </c>
      <c r="AO270">
        <f>IF(OR($V270="",$AI$2&lt;=1),0,IF($V271="",1,IF($AN271&lt;&gt;$AN270,1,0)))</f>
        <v/>
      </c>
      <c r="AP270">
        <f>IF($V270="",0,IF($AN270&lt;&gt;$AN269,1,0))</f>
        <v/>
      </c>
      <c r="AQ270">
        <f>IF(OR($AD270="",$AD270="Z"),"",INDEX($AN$5:$AN$404,$AC270))</f>
        <v/>
      </c>
      <c r="AR270">
        <f>IF($Y270="",0,COUNTIF(บันทึกรายเที่ยว!$V$6:$V$6005,$Y270))</f>
        <v/>
      </c>
      <c r="AS270">
        <f>IF($Y270="",0,ROUND(SUMIF(บันทึกรายเที่ยว!$V$6:$V$6005,$Y270,บันทึกรายเที่ยว!$M$6:$M$6005),2))</f>
        <v/>
      </c>
      <c r="AT270">
        <f>IF($Y270="",0,IFERROR(INDEX(อัตราค่าขนส่ง!$G$5:$G$204,MATCH($Y270,อัตราค่าขนส่ง!$M$5:$M$204,0)),0))</f>
        <v/>
      </c>
      <c r="AU270">
        <f>ROUND($AS270*$BD270,2)</f>
        <v/>
      </c>
      <c r="AV270">
        <f>ROUND($AU270*$BF$2/100,2)</f>
        <v/>
      </c>
      <c r="AW270">
        <f>IF($Y270="","",IFERROR(INDEX(อัตราค่าขนส่ง!$F$5:$F$204,MATCH($Y270,อัตราค่าขนส่ง!$M$5:$M$204,0)),""))</f>
        <v/>
      </c>
      <c r="AX270">
        <f>IF($W270="","",INDEX(บันทึกรายเที่ยว!$D$6:$D$6005,$W270))</f>
        <v/>
      </c>
      <c r="AY270">
        <f>IF($W270="","",INDEX(บันทึกรายเที่ยว!$R$6:$R$6005,$W270))</f>
        <v/>
      </c>
      <c r="AZ270">
        <f>IF(AND($AD270="T",$AQ270=1),N($AZ269)+1,N($AZ269))</f>
        <v/>
      </c>
      <c r="BA270">
        <f>IF($W270="","",INDEX(บันทึกรายเที่ยว!$E$6:$E$6005,$W270))</f>
        <v/>
      </c>
      <c r="BC270">
        <f>IF($Y270="",0,IFERROR(INDEX(อัตราค่าขนส่ง!$K$5:$K$204,MATCH($Y270,อัตราค่าขนส่ง!$M$5:$M$204,0)),0))</f>
        <v/>
      </c>
      <c r="BD270">
        <f>IF($Y270="",0,IFERROR(INDEX(อัตราค่าขนส่ง!$L$5:$L$204,MATCH($Y270,อัตราค่าขนส่ง!$M$5:$M$204,0)),0))</f>
        <v/>
      </c>
    </row>
    <row r="271" ht="21" customHeight="1" s="66">
      <c r="A271" s="69">
        <f>IF($AD271="","",IF($AD271="Z","รวมจ่ายทั้งสิ้น",IF($AD271="H",INDEX($X$5:$X$404,$AC271),IF($AD271="T","รวม",IF($AD271="B",IFERROR(INDEX(อัตราค่าขนส่ง!$S$5:$S$14,MATCH(INDEX($AM$5:$AM$404,$AC271),อัตราค่าขนส่ง!$R$5:$R$14,0)),"รวมกลุ่ม "&amp;INDEX($AM$5:$AM$404,$AC271)),INDEX($AY$5:$AY$404,$AC271))))))</f>
        <v/>
      </c>
      <c r="B271" s="31">
        <f>IF($AD271&lt;&gt;"D","",INDEX($AW$5:$AW$404,$AC271))</f>
        <v/>
      </c>
      <c r="C271" s="68">
        <f>IF($AD271&lt;&gt;"D","",INDEX($AX$5:$AX$404,$AC271))</f>
        <v/>
      </c>
      <c r="D271" s="70">
        <f>IF($AD271&lt;&gt;"D","",INDEX($BA$5:$BA$404,$AC271))</f>
        <v/>
      </c>
      <c r="E271" s="31">
        <f>IF($AD271="Z",SUM($AR$5:$AR$404),IF($AD271="D",INDEX($AR$5:$AR$404,$AC271),IF($AD271="T",SUMIF($X$5:$X$404,$AF271,$AR$5:$AR$404),IF($AD271="B",SUMIF($AN$5:$AN$404,$AQ271,$AR$5:$AR$404),""))))</f>
        <v/>
      </c>
      <c r="F271" s="32">
        <f>IF($AD271="Z",ROUND(SUM($AS$5:$AS$404),2),IF($AD271="D",INDEX($AS$5:$AS$404,$AC271),IF($AD271="T",ROUND(SUMIF($X$5:$X$404,$AF271,$AS$5:$AS$404),2),IF($AD271="B",ROUND(SUMIF($AN$5:$AN$404,$AQ271,$AS$5:$AS$404),2),""))))</f>
        <v/>
      </c>
      <c r="G271" s="32">
        <f>IF($AD271&lt;&gt;"D","",INDEX($AT$5:$AT$404,$AC271))</f>
        <v/>
      </c>
      <c r="H271" s="32">
        <f>IF($AD271&lt;&gt;"D","",INDEX($BC$5:$BC$404,$AC271))</f>
        <v/>
      </c>
      <c r="I271" s="32">
        <f>IF($AD271&lt;&gt;"D","",INDEX($BD$5:$BD$404,$AC271))</f>
        <v/>
      </c>
      <c r="J271" s="46">
        <f>IF($AD271&lt;&gt;"D","",IF(N($B271)=0,"",ROUND($I271/$B271,4)))</f>
        <v/>
      </c>
      <c r="K271" s="32">
        <f>IF($AD271="Z",ROUND(SUM($AU$5:$AU$404),2),IF($AD271="D",INDEX($AU$5:$AU$404,$AC271),IF($AD271="T",ROUND(SUMIF($X$5:$X$404,$AF271,$AU$5:$AU$404),2),IF($AD271="B",ROUND(SUMIF($AN$5:$AN$404,$AQ271,$AU$5:$AU$404),2),""))))</f>
        <v/>
      </c>
      <c r="L271" s="32">
        <f>IF($AD271="Z",ROUND(SUM($AV$5:$AV$404),2),IF($AD271="D",INDEX($AV$5:$AV$404,$AC271),IF($AD271="T",ROUND(SUMIF($X$5:$X$404,$AF271,$AV$5:$AV$404),2),IF($AD271="B",ROUND(SUMIF($AN$5:$AN$404,$AQ271,$AV$5:$AV$404),2),""))))</f>
        <v/>
      </c>
      <c r="M271" s="32">
        <f>IF($AD271="Z",ROUND(SUM($AJ$5:$AJ$704),2),IF($AD271="B",ROUND(SUMIF($AQ$5:$AQ$704,$AQ271,$AJ$5:$AJ$704),2),IF($AD271&lt;&gt;"T","",$AJ271)))</f>
        <v/>
      </c>
      <c r="N271" s="32">
        <f>IF(OR($AD271="D",$AD271="T",$AD271="B",$AD271="Z"),ROUND(N($K271)-N($L271)-N($M271),2),"")</f>
        <v/>
      </c>
      <c r="O271" s="32">
        <f>IF(OR($AD271="D",$AD271="T",$AD271="B",$AD271="Z"),IF(N($E271)=0,"",ROUND($F271/$E271,2)),"")</f>
        <v/>
      </c>
      <c r="Q271">
        <f>IFERROR(MATCH(267,บันทึกรายเที่ยว!$Z$6:$Z$6005,0),"")</f>
        <v/>
      </c>
      <c r="R271">
        <f>IF($Q271="","",INDEX(บันทึกรายเที่ยว!$V$6:$V$6005,$Q271))</f>
        <v/>
      </c>
      <c r="S271">
        <f>IF($Q271="","",INDEX(บันทึกรายเที่ยว!$F$6:$F$6005,$Q271))</f>
        <v/>
      </c>
      <c r="T271">
        <f>IF($Q271="","",MATCH($S271,บันทึกรายเที่ยว!$F$6:$F$6005,0))</f>
        <v/>
      </c>
      <c r="U271">
        <f>IF($Q271="","",$AL271*10000000+$T271*1000+267)</f>
        <v/>
      </c>
      <c r="V271">
        <f>IFERROR(MATCH(SMALL($U$5:$U$404,267),$U$5:$U$404,0),"")</f>
        <v/>
      </c>
      <c r="W271">
        <f>IF($V271="","",INDEX($Q$5:$Q$404,$V271))</f>
        <v/>
      </c>
      <c r="X271">
        <f>IF($V271="","",INDEX($S$5:$S$404,$V271))</f>
        <v/>
      </c>
      <c r="Y271">
        <f>IF($V271="","",INDEX($R$5:$R$404,$V271))</f>
        <v/>
      </c>
      <c r="Z271">
        <f>IF($V271="",0,IF($X271&lt;&gt;$X270,1,0))</f>
        <v/>
      </c>
      <c r="AA271">
        <f>IF($V271="",0,IF($V272="",1,IF($X272&lt;&gt;$X271,1,0)))</f>
        <v/>
      </c>
      <c r="AB271">
        <f>IF($V271="",99999+267,$AB270+1+$Z270+$AA270+$AO270)</f>
        <v/>
      </c>
      <c r="AC271">
        <f>IFERROR(MATCH(267,$AB$5:$AB$404,1),"")</f>
        <v/>
      </c>
      <c r="AD271">
        <f>IF(267=$AI$1+1,"Z",IF($AC271="","",IF(INDEX($V$5:$V$404,$AC271)="","",IF(267&gt;INDEX($AB$5:$AB$404,$AC271)+INDEX($Z$5:$Z$404,$AC271)+INDEX($AA$5:$AA$404,$AC271)+INDEX($AO$5:$AO$404,$AC271),"",IF(267=INDEX($AB$5:$AB$404,$AC271)+INDEX($Z$5:$Z$404,$AC271),"D",IF(AND(INDEX($Z$5:$Z$404,$AC271)=1,267=INDEX($AB$5:$AB$404,$AC271)),"H",IF(AND(INDEX($AO$5:$AO$404,$AC271)=1,267=INDEX($AB$5:$AB$404,$AC271)+INDEX($Z$5:$Z$404,$AC271)+INDEX($AA$5:$AA$404,$AC271)+INDEX($AO$5:$AO$404,$AC271)),"B","T")))))))</f>
        <v/>
      </c>
      <c r="AF271">
        <f>IF(OR($AD271="",$AD271="Z",$AD271="B"),"",INDEX($X$5:$X$404,$AC271))</f>
        <v/>
      </c>
      <c r="AJ271">
        <f>IF($AD271&lt;&gt;"T",0,ROUND(SUMIF(oil!$B$4:$B$63,$AF271,oil!$AE$4:$AE$63),2))</f>
        <v/>
      </c>
      <c r="AK271">
        <f>IF($S271="","",IFERROR(INDEX(อัตราค่าขนส่ง!$P$5:$P$54,MATCH($S271,อัตราค่าขนส่ง!$O$5:$O$54,0)),INDEX(รายการมาตรฐาน!$G$2:$G$3,1)))</f>
        <v/>
      </c>
      <c r="AL271">
        <f>IF($S271="","",IFERROR(MATCH($AK271,รายการมาตรฐาน!$G$2:$G$3,0),1))</f>
        <v/>
      </c>
      <c r="AM271">
        <f>IF($V271="","",INDEX($AK$5:$AK$404,$V271))</f>
        <v/>
      </c>
      <c r="AN271">
        <f>IF($V271="","",INDEX($AL$5:$AL$404,$V271))</f>
        <v/>
      </c>
      <c r="AO271">
        <f>IF(OR($V271="",$AI$2&lt;=1),0,IF($V272="",1,IF($AN272&lt;&gt;$AN271,1,0)))</f>
        <v/>
      </c>
      <c r="AP271">
        <f>IF($V271="",0,IF($AN271&lt;&gt;$AN270,1,0))</f>
        <v/>
      </c>
      <c r="AQ271">
        <f>IF(OR($AD271="",$AD271="Z"),"",INDEX($AN$5:$AN$404,$AC271))</f>
        <v/>
      </c>
      <c r="AR271">
        <f>IF($Y271="",0,COUNTIF(บันทึกรายเที่ยว!$V$6:$V$6005,$Y271))</f>
        <v/>
      </c>
      <c r="AS271">
        <f>IF($Y271="",0,ROUND(SUMIF(บันทึกรายเที่ยว!$V$6:$V$6005,$Y271,บันทึกรายเที่ยว!$M$6:$M$6005),2))</f>
        <v/>
      </c>
      <c r="AT271">
        <f>IF($Y271="",0,IFERROR(INDEX(อัตราค่าขนส่ง!$G$5:$G$204,MATCH($Y271,อัตราค่าขนส่ง!$M$5:$M$204,0)),0))</f>
        <v/>
      </c>
      <c r="AU271">
        <f>ROUND($AS271*$BD271,2)</f>
        <v/>
      </c>
      <c r="AV271">
        <f>ROUND($AU271*$BF$2/100,2)</f>
        <v/>
      </c>
      <c r="AW271">
        <f>IF($Y271="","",IFERROR(INDEX(อัตราค่าขนส่ง!$F$5:$F$204,MATCH($Y271,อัตราค่าขนส่ง!$M$5:$M$204,0)),""))</f>
        <v/>
      </c>
      <c r="AX271">
        <f>IF($W271="","",INDEX(บันทึกรายเที่ยว!$D$6:$D$6005,$W271))</f>
        <v/>
      </c>
      <c r="AY271">
        <f>IF($W271="","",INDEX(บันทึกรายเที่ยว!$R$6:$R$6005,$W271))</f>
        <v/>
      </c>
      <c r="AZ271">
        <f>IF(AND($AD271="T",$AQ271=1),N($AZ270)+1,N($AZ270))</f>
        <v/>
      </c>
      <c r="BA271">
        <f>IF($W271="","",INDEX(บันทึกรายเที่ยว!$E$6:$E$6005,$W271))</f>
        <v/>
      </c>
      <c r="BC271">
        <f>IF($Y271="",0,IFERROR(INDEX(อัตราค่าขนส่ง!$K$5:$K$204,MATCH($Y271,อัตราค่าขนส่ง!$M$5:$M$204,0)),0))</f>
        <v/>
      </c>
      <c r="BD271">
        <f>IF($Y271="",0,IFERROR(INDEX(อัตราค่าขนส่ง!$L$5:$L$204,MATCH($Y271,อัตราค่าขนส่ง!$M$5:$M$204,0)),0))</f>
        <v/>
      </c>
    </row>
    <row r="272" ht="21" customHeight="1" s="66">
      <c r="A272" s="69">
        <f>IF($AD272="","",IF($AD272="Z","รวมจ่ายทั้งสิ้น",IF($AD272="H",INDEX($X$5:$X$404,$AC272),IF($AD272="T","รวม",IF($AD272="B",IFERROR(INDEX(อัตราค่าขนส่ง!$S$5:$S$14,MATCH(INDEX($AM$5:$AM$404,$AC272),อัตราค่าขนส่ง!$R$5:$R$14,0)),"รวมกลุ่ม "&amp;INDEX($AM$5:$AM$404,$AC272)),INDEX($AY$5:$AY$404,$AC272))))))</f>
        <v/>
      </c>
      <c r="B272" s="31">
        <f>IF($AD272&lt;&gt;"D","",INDEX($AW$5:$AW$404,$AC272))</f>
        <v/>
      </c>
      <c r="C272" s="68">
        <f>IF($AD272&lt;&gt;"D","",INDEX($AX$5:$AX$404,$AC272))</f>
        <v/>
      </c>
      <c r="D272" s="70">
        <f>IF($AD272&lt;&gt;"D","",INDEX($BA$5:$BA$404,$AC272))</f>
        <v/>
      </c>
      <c r="E272" s="31">
        <f>IF($AD272="Z",SUM($AR$5:$AR$404),IF($AD272="D",INDEX($AR$5:$AR$404,$AC272),IF($AD272="T",SUMIF($X$5:$X$404,$AF272,$AR$5:$AR$404),IF($AD272="B",SUMIF($AN$5:$AN$404,$AQ272,$AR$5:$AR$404),""))))</f>
        <v/>
      </c>
      <c r="F272" s="32">
        <f>IF($AD272="Z",ROUND(SUM($AS$5:$AS$404),2),IF($AD272="D",INDEX($AS$5:$AS$404,$AC272),IF($AD272="T",ROUND(SUMIF($X$5:$X$404,$AF272,$AS$5:$AS$404),2),IF($AD272="B",ROUND(SUMIF($AN$5:$AN$404,$AQ272,$AS$5:$AS$404),2),""))))</f>
        <v/>
      </c>
      <c r="G272" s="32">
        <f>IF($AD272&lt;&gt;"D","",INDEX($AT$5:$AT$404,$AC272))</f>
        <v/>
      </c>
      <c r="H272" s="32">
        <f>IF($AD272&lt;&gt;"D","",INDEX($BC$5:$BC$404,$AC272))</f>
        <v/>
      </c>
      <c r="I272" s="32">
        <f>IF($AD272&lt;&gt;"D","",INDEX($BD$5:$BD$404,$AC272))</f>
        <v/>
      </c>
      <c r="J272" s="46">
        <f>IF($AD272&lt;&gt;"D","",IF(N($B272)=0,"",ROUND($I272/$B272,4)))</f>
        <v/>
      </c>
      <c r="K272" s="32">
        <f>IF($AD272="Z",ROUND(SUM($AU$5:$AU$404),2),IF($AD272="D",INDEX($AU$5:$AU$404,$AC272),IF($AD272="T",ROUND(SUMIF($X$5:$X$404,$AF272,$AU$5:$AU$404),2),IF($AD272="B",ROUND(SUMIF($AN$5:$AN$404,$AQ272,$AU$5:$AU$404),2),""))))</f>
        <v/>
      </c>
      <c r="L272" s="32">
        <f>IF($AD272="Z",ROUND(SUM($AV$5:$AV$404),2),IF($AD272="D",INDEX($AV$5:$AV$404,$AC272),IF($AD272="T",ROUND(SUMIF($X$5:$X$404,$AF272,$AV$5:$AV$404),2),IF($AD272="B",ROUND(SUMIF($AN$5:$AN$404,$AQ272,$AV$5:$AV$404),2),""))))</f>
        <v/>
      </c>
      <c r="M272" s="32">
        <f>IF($AD272="Z",ROUND(SUM($AJ$5:$AJ$704),2),IF($AD272="B",ROUND(SUMIF($AQ$5:$AQ$704,$AQ272,$AJ$5:$AJ$704),2),IF($AD272&lt;&gt;"T","",$AJ272)))</f>
        <v/>
      </c>
      <c r="N272" s="32">
        <f>IF(OR($AD272="D",$AD272="T",$AD272="B",$AD272="Z"),ROUND(N($K272)-N($L272)-N($M272),2),"")</f>
        <v/>
      </c>
      <c r="O272" s="32">
        <f>IF(OR($AD272="D",$AD272="T",$AD272="B",$AD272="Z"),IF(N($E272)=0,"",ROUND($F272/$E272,2)),"")</f>
        <v/>
      </c>
      <c r="Q272">
        <f>IFERROR(MATCH(268,บันทึกรายเที่ยว!$Z$6:$Z$6005,0),"")</f>
        <v/>
      </c>
      <c r="R272">
        <f>IF($Q272="","",INDEX(บันทึกรายเที่ยว!$V$6:$V$6005,$Q272))</f>
        <v/>
      </c>
      <c r="S272">
        <f>IF($Q272="","",INDEX(บันทึกรายเที่ยว!$F$6:$F$6005,$Q272))</f>
        <v/>
      </c>
      <c r="T272">
        <f>IF($Q272="","",MATCH($S272,บันทึกรายเที่ยว!$F$6:$F$6005,0))</f>
        <v/>
      </c>
      <c r="U272">
        <f>IF($Q272="","",$AL272*10000000+$T272*1000+268)</f>
        <v/>
      </c>
      <c r="V272">
        <f>IFERROR(MATCH(SMALL($U$5:$U$404,268),$U$5:$U$404,0),"")</f>
        <v/>
      </c>
      <c r="W272">
        <f>IF($V272="","",INDEX($Q$5:$Q$404,$V272))</f>
        <v/>
      </c>
      <c r="X272">
        <f>IF($V272="","",INDEX($S$5:$S$404,$V272))</f>
        <v/>
      </c>
      <c r="Y272">
        <f>IF($V272="","",INDEX($R$5:$R$404,$V272))</f>
        <v/>
      </c>
      <c r="Z272">
        <f>IF($V272="",0,IF($X272&lt;&gt;$X271,1,0))</f>
        <v/>
      </c>
      <c r="AA272">
        <f>IF($V272="",0,IF($V273="",1,IF($X273&lt;&gt;$X272,1,0)))</f>
        <v/>
      </c>
      <c r="AB272">
        <f>IF($V272="",99999+268,$AB271+1+$Z271+$AA271+$AO271)</f>
        <v/>
      </c>
      <c r="AC272">
        <f>IFERROR(MATCH(268,$AB$5:$AB$404,1),"")</f>
        <v/>
      </c>
      <c r="AD272">
        <f>IF(268=$AI$1+1,"Z",IF($AC272="","",IF(INDEX($V$5:$V$404,$AC272)="","",IF(268&gt;INDEX($AB$5:$AB$404,$AC272)+INDEX($Z$5:$Z$404,$AC272)+INDEX($AA$5:$AA$404,$AC272)+INDEX($AO$5:$AO$404,$AC272),"",IF(268=INDEX($AB$5:$AB$404,$AC272)+INDEX($Z$5:$Z$404,$AC272),"D",IF(AND(INDEX($Z$5:$Z$404,$AC272)=1,268=INDEX($AB$5:$AB$404,$AC272)),"H",IF(AND(INDEX($AO$5:$AO$404,$AC272)=1,268=INDEX($AB$5:$AB$404,$AC272)+INDEX($Z$5:$Z$404,$AC272)+INDEX($AA$5:$AA$404,$AC272)+INDEX($AO$5:$AO$404,$AC272)),"B","T")))))))</f>
        <v/>
      </c>
      <c r="AF272">
        <f>IF(OR($AD272="",$AD272="Z",$AD272="B"),"",INDEX($X$5:$X$404,$AC272))</f>
        <v/>
      </c>
      <c r="AJ272">
        <f>IF($AD272&lt;&gt;"T",0,ROUND(SUMIF(oil!$B$4:$B$63,$AF272,oil!$AE$4:$AE$63),2))</f>
        <v/>
      </c>
      <c r="AK272">
        <f>IF($S272="","",IFERROR(INDEX(อัตราค่าขนส่ง!$P$5:$P$54,MATCH($S272,อัตราค่าขนส่ง!$O$5:$O$54,0)),INDEX(รายการมาตรฐาน!$G$2:$G$3,1)))</f>
        <v/>
      </c>
      <c r="AL272">
        <f>IF($S272="","",IFERROR(MATCH($AK272,รายการมาตรฐาน!$G$2:$G$3,0),1))</f>
        <v/>
      </c>
      <c r="AM272">
        <f>IF($V272="","",INDEX($AK$5:$AK$404,$V272))</f>
        <v/>
      </c>
      <c r="AN272">
        <f>IF($V272="","",INDEX($AL$5:$AL$404,$V272))</f>
        <v/>
      </c>
      <c r="AO272">
        <f>IF(OR($V272="",$AI$2&lt;=1),0,IF($V273="",1,IF($AN273&lt;&gt;$AN272,1,0)))</f>
        <v/>
      </c>
      <c r="AP272">
        <f>IF($V272="",0,IF($AN272&lt;&gt;$AN271,1,0))</f>
        <v/>
      </c>
      <c r="AQ272">
        <f>IF(OR($AD272="",$AD272="Z"),"",INDEX($AN$5:$AN$404,$AC272))</f>
        <v/>
      </c>
      <c r="AR272">
        <f>IF($Y272="",0,COUNTIF(บันทึกรายเที่ยว!$V$6:$V$6005,$Y272))</f>
        <v/>
      </c>
      <c r="AS272">
        <f>IF($Y272="",0,ROUND(SUMIF(บันทึกรายเที่ยว!$V$6:$V$6005,$Y272,บันทึกรายเที่ยว!$M$6:$M$6005),2))</f>
        <v/>
      </c>
      <c r="AT272">
        <f>IF($Y272="",0,IFERROR(INDEX(อัตราค่าขนส่ง!$G$5:$G$204,MATCH($Y272,อัตราค่าขนส่ง!$M$5:$M$204,0)),0))</f>
        <v/>
      </c>
      <c r="AU272">
        <f>ROUND($AS272*$BD272,2)</f>
        <v/>
      </c>
      <c r="AV272">
        <f>ROUND($AU272*$BF$2/100,2)</f>
        <v/>
      </c>
      <c r="AW272">
        <f>IF($Y272="","",IFERROR(INDEX(อัตราค่าขนส่ง!$F$5:$F$204,MATCH($Y272,อัตราค่าขนส่ง!$M$5:$M$204,0)),""))</f>
        <v/>
      </c>
      <c r="AX272">
        <f>IF($W272="","",INDEX(บันทึกรายเที่ยว!$D$6:$D$6005,$W272))</f>
        <v/>
      </c>
      <c r="AY272">
        <f>IF($W272="","",INDEX(บันทึกรายเที่ยว!$R$6:$R$6005,$W272))</f>
        <v/>
      </c>
      <c r="AZ272">
        <f>IF(AND($AD272="T",$AQ272=1),N($AZ271)+1,N($AZ271))</f>
        <v/>
      </c>
      <c r="BA272">
        <f>IF($W272="","",INDEX(บันทึกรายเที่ยว!$E$6:$E$6005,$W272))</f>
        <v/>
      </c>
      <c r="BC272">
        <f>IF($Y272="",0,IFERROR(INDEX(อัตราค่าขนส่ง!$K$5:$K$204,MATCH($Y272,อัตราค่าขนส่ง!$M$5:$M$204,0)),0))</f>
        <v/>
      </c>
      <c r="BD272">
        <f>IF($Y272="",0,IFERROR(INDEX(อัตราค่าขนส่ง!$L$5:$L$204,MATCH($Y272,อัตราค่าขนส่ง!$M$5:$M$204,0)),0))</f>
        <v/>
      </c>
    </row>
    <row r="273" ht="21" customHeight="1" s="66">
      <c r="A273" s="69">
        <f>IF($AD273="","",IF($AD273="Z","รวมจ่ายทั้งสิ้น",IF($AD273="H",INDEX($X$5:$X$404,$AC273),IF($AD273="T","รวม",IF($AD273="B",IFERROR(INDEX(อัตราค่าขนส่ง!$S$5:$S$14,MATCH(INDEX($AM$5:$AM$404,$AC273),อัตราค่าขนส่ง!$R$5:$R$14,0)),"รวมกลุ่ม "&amp;INDEX($AM$5:$AM$404,$AC273)),INDEX($AY$5:$AY$404,$AC273))))))</f>
        <v/>
      </c>
      <c r="B273" s="31">
        <f>IF($AD273&lt;&gt;"D","",INDEX($AW$5:$AW$404,$AC273))</f>
        <v/>
      </c>
      <c r="C273" s="68">
        <f>IF($AD273&lt;&gt;"D","",INDEX($AX$5:$AX$404,$AC273))</f>
        <v/>
      </c>
      <c r="D273" s="70">
        <f>IF($AD273&lt;&gt;"D","",INDEX($BA$5:$BA$404,$AC273))</f>
        <v/>
      </c>
      <c r="E273" s="31">
        <f>IF($AD273="Z",SUM($AR$5:$AR$404),IF($AD273="D",INDEX($AR$5:$AR$404,$AC273),IF($AD273="T",SUMIF($X$5:$X$404,$AF273,$AR$5:$AR$404),IF($AD273="B",SUMIF($AN$5:$AN$404,$AQ273,$AR$5:$AR$404),""))))</f>
        <v/>
      </c>
      <c r="F273" s="32">
        <f>IF($AD273="Z",ROUND(SUM($AS$5:$AS$404),2),IF($AD273="D",INDEX($AS$5:$AS$404,$AC273),IF($AD273="T",ROUND(SUMIF($X$5:$X$404,$AF273,$AS$5:$AS$404),2),IF($AD273="B",ROUND(SUMIF($AN$5:$AN$404,$AQ273,$AS$5:$AS$404),2),""))))</f>
        <v/>
      </c>
      <c r="G273" s="32">
        <f>IF($AD273&lt;&gt;"D","",INDEX($AT$5:$AT$404,$AC273))</f>
        <v/>
      </c>
      <c r="H273" s="32">
        <f>IF($AD273&lt;&gt;"D","",INDEX($BC$5:$BC$404,$AC273))</f>
        <v/>
      </c>
      <c r="I273" s="32">
        <f>IF($AD273&lt;&gt;"D","",INDEX($BD$5:$BD$404,$AC273))</f>
        <v/>
      </c>
      <c r="J273" s="46">
        <f>IF($AD273&lt;&gt;"D","",IF(N($B273)=0,"",ROUND($I273/$B273,4)))</f>
        <v/>
      </c>
      <c r="K273" s="32">
        <f>IF($AD273="Z",ROUND(SUM($AU$5:$AU$404),2),IF($AD273="D",INDEX($AU$5:$AU$404,$AC273),IF($AD273="T",ROUND(SUMIF($X$5:$X$404,$AF273,$AU$5:$AU$404),2),IF($AD273="B",ROUND(SUMIF($AN$5:$AN$404,$AQ273,$AU$5:$AU$404),2),""))))</f>
        <v/>
      </c>
      <c r="L273" s="32">
        <f>IF($AD273="Z",ROUND(SUM($AV$5:$AV$404),2),IF($AD273="D",INDEX($AV$5:$AV$404,$AC273),IF($AD273="T",ROUND(SUMIF($X$5:$X$404,$AF273,$AV$5:$AV$404),2),IF($AD273="B",ROUND(SUMIF($AN$5:$AN$404,$AQ273,$AV$5:$AV$404),2),""))))</f>
        <v/>
      </c>
      <c r="M273" s="32">
        <f>IF($AD273="Z",ROUND(SUM($AJ$5:$AJ$704),2),IF($AD273="B",ROUND(SUMIF($AQ$5:$AQ$704,$AQ273,$AJ$5:$AJ$704),2),IF($AD273&lt;&gt;"T","",$AJ273)))</f>
        <v/>
      </c>
      <c r="N273" s="32">
        <f>IF(OR($AD273="D",$AD273="T",$AD273="B",$AD273="Z"),ROUND(N($K273)-N($L273)-N($M273),2),"")</f>
        <v/>
      </c>
      <c r="O273" s="32">
        <f>IF(OR($AD273="D",$AD273="T",$AD273="B",$AD273="Z"),IF(N($E273)=0,"",ROUND($F273/$E273,2)),"")</f>
        <v/>
      </c>
      <c r="Q273">
        <f>IFERROR(MATCH(269,บันทึกรายเที่ยว!$Z$6:$Z$6005,0),"")</f>
        <v/>
      </c>
      <c r="R273">
        <f>IF($Q273="","",INDEX(บันทึกรายเที่ยว!$V$6:$V$6005,$Q273))</f>
        <v/>
      </c>
      <c r="S273">
        <f>IF($Q273="","",INDEX(บันทึกรายเที่ยว!$F$6:$F$6005,$Q273))</f>
        <v/>
      </c>
      <c r="T273">
        <f>IF($Q273="","",MATCH($S273,บันทึกรายเที่ยว!$F$6:$F$6005,0))</f>
        <v/>
      </c>
      <c r="U273">
        <f>IF($Q273="","",$AL273*10000000+$T273*1000+269)</f>
        <v/>
      </c>
      <c r="V273">
        <f>IFERROR(MATCH(SMALL($U$5:$U$404,269),$U$5:$U$404,0),"")</f>
        <v/>
      </c>
      <c r="W273">
        <f>IF($V273="","",INDEX($Q$5:$Q$404,$V273))</f>
        <v/>
      </c>
      <c r="X273">
        <f>IF($V273="","",INDEX($S$5:$S$404,$V273))</f>
        <v/>
      </c>
      <c r="Y273">
        <f>IF($V273="","",INDEX($R$5:$R$404,$V273))</f>
        <v/>
      </c>
      <c r="Z273">
        <f>IF($V273="",0,IF($X273&lt;&gt;$X272,1,0))</f>
        <v/>
      </c>
      <c r="AA273">
        <f>IF($V273="",0,IF($V274="",1,IF($X274&lt;&gt;$X273,1,0)))</f>
        <v/>
      </c>
      <c r="AB273">
        <f>IF($V273="",99999+269,$AB272+1+$Z272+$AA272+$AO272)</f>
        <v/>
      </c>
      <c r="AC273">
        <f>IFERROR(MATCH(269,$AB$5:$AB$404,1),"")</f>
        <v/>
      </c>
      <c r="AD273">
        <f>IF(269=$AI$1+1,"Z",IF($AC273="","",IF(INDEX($V$5:$V$404,$AC273)="","",IF(269&gt;INDEX($AB$5:$AB$404,$AC273)+INDEX($Z$5:$Z$404,$AC273)+INDEX($AA$5:$AA$404,$AC273)+INDEX($AO$5:$AO$404,$AC273),"",IF(269=INDEX($AB$5:$AB$404,$AC273)+INDEX($Z$5:$Z$404,$AC273),"D",IF(AND(INDEX($Z$5:$Z$404,$AC273)=1,269=INDEX($AB$5:$AB$404,$AC273)),"H",IF(AND(INDEX($AO$5:$AO$404,$AC273)=1,269=INDEX($AB$5:$AB$404,$AC273)+INDEX($Z$5:$Z$404,$AC273)+INDEX($AA$5:$AA$404,$AC273)+INDEX($AO$5:$AO$404,$AC273)),"B","T")))))))</f>
        <v/>
      </c>
      <c r="AF273">
        <f>IF(OR($AD273="",$AD273="Z",$AD273="B"),"",INDEX($X$5:$X$404,$AC273))</f>
        <v/>
      </c>
      <c r="AJ273">
        <f>IF($AD273&lt;&gt;"T",0,ROUND(SUMIF(oil!$B$4:$B$63,$AF273,oil!$AE$4:$AE$63),2))</f>
        <v/>
      </c>
      <c r="AK273">
        <f>IF($S273="","",IFERROR(INDEX(อัตราค่าขนส่ง!$P$5:$P$54,MATCH($S273,อัตราค่าขนส่ง!$O$5:$O$54,0)),INDEX(รายการมาตรฐาน!$G$2:$G$3,1)))</f>
        <v/>
      </c>
      <c r="AL273">
        <f>IF($S273="","",IFERROR(MATCH($AK273,รายการมาตรฐาน!$G$2:$G$3,0),1))</f>
        <v/>
      </c>
      <c r="AM273">
        <f>IF($V273="","",INDEX($AK$5:$AK$404,$V273))</f>
        <v/>
      </c>
      <c r="AN273">
        <f>IF($V273="","",INDEX($AL$5:$AL$404,$V273))</f>
        <v/>
      </c>
      <c r="AO273">
        <f>IF(OR($V273="",$AI$2&lt;=1),0,IF($V274="",1,IF($AN274&lt;&gt;$AN273,1,0)))</f>
        <v/>
      </c>
      <c r="AP273">
        <f>IF($V273="",0,IF($AN273&lt;&gt;$AN272,1,0))</f>
        <v/>
      </c>
      <c r="AQ273">
        <f>IF(OR($AD273="",$AD273="Z"),"",INDEX($AN$5:$AN$404,$AC273))</f>
        <v/>
      </c>
      <c r="AR273">
        <f>IF($Y273="",0,COUNTIF(บันทึกรายเที่ยว!$V$6:$V$6005,$Y273))</f>
        <v/>
      </c>
      <c r="AS273">
        <f>IF($Y273="",0,ROUND(SUMIF(บันทึกรายเที่ยว!$V$6:$V$6005,$Y273,บันทึกรายเที่ยว!$M$6:$M$6005),2))</f>
        <v/>
      </c>
      <c r="AT273">
        <f>IF($Y273="",0,IFERROR(INDEX(อัตราค่าขนส่ง!$G$5:$G$204,MATCH($Y273,อัตราค่าขนส่ง!$M$5:$M$204,0)),0))</f>
        <v/>
      </c>
      <c r="AU273">
        <f>ROUND($AS273*$BD273,2)</f>
        <v/>
      </c>
      <c r="AV273">
        <f>ROUND($AU273*$BF$2/100,2)</f>
        <v/>
      </c>
      <c r="AW273">
        <f>IF($Y273="","",IFERROR(INDEX(อัตราค่าขนส่ง!$F$5:$F$204,MATCH($Y273,อัตราค่าขนส่ง!$M$5:$M$204,0)),""))</f>
        <v/>
      </c>
      <c r="AX273">
        <f>IF($W273="","",INDEX(บันทึกรายเที่ยว!$D$6:$D$6005,$W273))</f>
        <v/>
      </c>
      <c r="AY273">
        <f>IF($W273="","",INDEX(บันทึกรายเที่ยว!$R$6:$R$6005,$W273))</f>
        <v/>
      </c>
      <c r="AZ273">
        <f>IF(AND($AD273="T",$AQ273=1),N($AZ272)+1,N($AZ272))</f>
        <v/>
      </c>
      <c r="BA273">
        <f>IF($W273="","",INDEX(บันทึกรายเที่ยว!$E$6:$E$6005,$W273))</f>
        <v/>
      </c>
      <c r="BC273">
        <f>IF($Y273="",0,IFERROR(INDEX(อัตราค่าขนส่ง!$K$5:$K$204,MATCH($Y273,อัตราค่าขนส่ง!$M$5:$M$204,0)),0))</f>
        <v/>
      </c>
      <c r="BD273">
        <f>IF($Y273="",0,IFERROR(INDEX(อัตราค่าขนส่ง!$L$5:$L$204,MATCH($Y273,อัตราค่าขนส่ง!$M$5:$M$204,0)),0))</f>
        <v/>
      </c>
    </row>
    <row r="274" ht="21" customHeight="1" s="66">
      <c r="A274" s="69">
        <f>IF($AD274="","",IF($AD274="Z","รวมจ่ายทั้งสิ้น",IF($AD274="H",INDEX($X$5:$X$404,$AC274),IF($AD274="T","รวม",IF($AD274="B",IFERROR(INDEX(อัตราค่าขนส่ง!$S$5:$S$14,MATCH(INDEX($AM$5:$AM$404,$AC274),อัตราค่าขนส่ง!$R$5:$R$14,0)),"รวมกลุ่ม "&amp;INDEX($AM$5:$AM$404,$AC274)),INDEX($AY$5:$AY$404,$AC274))))))</f>
        <v/>
      </c>
      <c r="B274" s="31">
        <f>IF($AD274&lt;&gt;"D","",INDEX($AW$5:$AW$404,$AC274))</f>
        <v/>
      </c>
      <c r="C274" s="68">
        <f>IF($AD274&lt;&gt;"D","",INDEX($AX$5:$AX$404,$AC274))</f>
        <v/>
      </c>
      <c r="D274" s="70">
        <f>IF($AD274&lt;&gt;"D","",INDEX($BA$5:$BA$404,$AC274))</f>
        <v/>
      </c>
      <c r="E274" s="31">
        <f>IF($AD274="Z",SUM($AR$5:$AR$404),IF($AD274="D",INDEX($AR$5:$AR$404,$AC274),IF($AD274="T",SUMIF($X$5:$X$404,$AF274,$AR$5:$AR$404),IF($AD274="B",SUMIF($AN$5:$AN$404,$AQ274,$AR$5:$AR$404),""))))</f>
        <v/>
      </c>
      <c r="F274" s="32">
        <f>IF($AD274="Z",ROUND(SUM($AS$5:$AS$404),2),IF($AD274="D",INDEX($AS$5:$AS$404,$AC274),IF($AD274="T",ROUND(SUMIF($X$5:$X$404,$AF274,$AS$5:$AS$404),2),IF($AD274="B",ROUND(SUMIF($AN$5:$AN$404,$AQ274,$AS$5:$AS$404),2),""))))</f>
        <v/>
      </c>
      <c r="G274" s="32">
        <f>IF($AD274&lt;&gt;"D","",INDEX($AT$5:$AT$404,$AC274))</f>
        <v/>
      </c>
      <c r="H274" s="32">
        <f>IF($AD274&lt;&gt;"D","",INDEX($BC$5:$BC$404,$AC274))</f>
        <v/>
      </c>
      <c r="I274" s="32">
        <f>IF($AD274&lt;&gt;"D","",INDEX($BD$5:$BD$404,$AC274))</f>
        <v/>
      </c>
      <c r="J274" s="46">
        <f>IF($AD274&lt;&gt;"D","",IF(N($B274)=0,"",ROUND($I274/$B274,4)))</f>
        <v/>
      </c>
      <c r="K274" s="32">
        <f>IF($AD274="Z",ROUND(SUM($AU$5:$AU$404),2),IF($AD274="D",INDEX($AU$5:$AU$404,$AC274),IF($AD274="T",ROUND(SUMIF($X$5:$X$404,$AF274,$AU$5:$AU$404),2),IF($AD274="B",ROUND(SUMIF($AN$5:$AN$404,$AQ274,$AU$5:$AU$404),2),""))))</f>
        <v/>
      </c>
      <c r="L274" s="32">
        <f>IF($AD274="Z",ROUND(SUM($AV$5:$AV$404),2),IF($AD274="D",INDEX($AV$5:$AV$404,$AC274),IF($AD274="T",ROUND(SUMIF($X$5:$X$404,$AF274,$AV$5:$AV$404),2),IF($AD274="B",ROUND(SUMIF($AN$5:$AN$404,$AQ274,$AV$5:$AV$404),2),""))))</f>
        <v/>
      </c>
      <c r="M274" s="32">
        <f>IF($AD274="Z",ROUND(SUM($AJ$5:$AJ$704),2),IF($AD274="B",ROUND(SUMIF($AQ$5:$AQ$704,$AQ274,$AJ$5:$AJ$704),2),IF($AD274&lt;&gt;"T","",$AJ274)))</f>
        <v/>
      </c>
      <c r="N274" s="32">
        <f>IF(OR($AD274="D",$AD274="T",$AD274="B",$AD274="Z"),ROUND(N($K274)-N($L274)-N($M274),2),"")</f>
        <v/>
      </c>
      <c r="O274" s="32">
        <f>IF(OR($AD274="D",$AD274="T",$AD274="B",$AD274="Z"),IF(N($E274)=0,"",ROUND($F274/$E274,2)),"")</f>
        <v/>
      </c>
      <c r="Q274">
        <f>IFERROR(MATCH(270,บันทึกรายเที่ยว!$Z$6:$Z$6005,0),"")</f>
        <v/>
      </c>
      <c r="R274">
        <f>IF($Q274="","",INDEX(บันทึกรายเที่ยว!$V$6:$V$6005,$Q274))</f>
        <v/>
      </c>
      <c r="S274">
        <f>IF($Q274="","",INDEX(บันทึกรายเที่ยว!$F$6:$F$6005,$Q274))</f>
        <v/>
      </c>
      <c r="T274">
        <f>IF($Q274="","",MATCH($S274,บันทึกรายเที่ยว!$F$6:$F$6005,0))</f>
        <v/>
      </c>
      <c r="U274">
        <f>IF($Q274="","",$AL274*10000000+$T274*1000+270)</f>
        <v/>
      </c>
      <c r="V274">
        <f>IFERROR(MATCH(SMALL($U$5:$U$404,270),$U$5:$U$404,0),"")</f>
        <v/>
      </c>
      <c r="W274">
        <f>IF($V274="","",INDEX($Q$5:$Q$404,$V274))</f>
        <v/>
      </c>
      <c r="X274">
        <f>IF($V274="","",INDEX($S$5:$S$404,$V274))</f>
        <v/>
      </c>
      <c r="Y274">
        <f>IF($V274="","",INDEX($R$5:$R$404,$V274))</f>
        <v/>
      </c>
      <c r="Z274">
        <f>IF($V274="",0,IF($X274&lt;&gt;$X273,1,0))</f>
        <v/>
      </c>
      <c r="AA274">
        <f>IF($V274="",0,IF($V275="",1,IF($X275&lt;&gt;$X274,1,0)))</f>
        <v/>
      </c>
      <c r="AB274">
        <f>IF($V274="",99999+270,$AB273+1+$Z273+$AA273+$AO273)</f>
        <v/>
      </c>
      <c r="AC274">
        <f>IFERROR(MATCH(270,$AB$5:$AB$404,1),"")</f>
        <v/>
      </c>
      <c r="AD274">
        <f>IF(270=$AI$1+1,"Z",IF($AC274="","",IF(INDEX($V$5:$V$404,$AC274)="","",IF(270&gt;INDEX($AB$5:$AB$404,$AC274)+INDEX($Z$5:$Z$404,$AC274)+INDEX($AA$5:$AA$404,$AC274)+INDEX($AO$5:$AO$404,$AC274),"",IF(270=INDEX($AB$5:$AB$404,$AC274)+INDEX($Z$5:$Z$404,$AC274),"D",IF(AND(INDEX($Z$5:$Z$404,$AC274)=1,270=INDEX($AB$5:$AB$404,$AC274)),"H",IF(AND(INDEX($AO$5:$AO$404,$AC274)=1,270=INDEX($AB$5:$AB$404,$AC274)+INDEX($Z$5:$Z$404,$AC274)+INDEX($AA$5:$AA$404,$AC274)+INDEX($AO$5:$AO$404,$AC274)),"B","T")))))))</f>
        <v/>
      </c>
      <c r="AF274">
        <f>IF(OR($AD274="",$AD274="Z",$AD274="B"),"",INDEX($X$5:$X$404,$AC274))</f>
        <v/>
      </c>
      <c r="AJ274">
        <f>IF($AD274&lt;&gt;"T",0,ROUND(SUMIF(oil!$B$4:$B$63,$AF274,oil!$AE$4:$AE$63),2))</f>
        <v/>
      </c>
      <c r="AK274">
        <f>IF($S274="","",IFERROR(INDEX(อัตราค่าขนส่ง!$P$5:$P$54,MATCH($S274,อัตราค่าขนส่ง!$O$5:$O$54,0)),INDEX(รายการมาตรฐาน!$G$2:$G$3,1)))</f>
        <v/>
      </c>
      <c r="AL274">
        <f>IF($S274="","",IFERROR(MATCH($AK274,รายการมาตรฐาน!$G$2:$G$3,0),1))</f>
        <v/>
      </c>
      <c r="AM274">
        <f>IF($V274="","",INDEX($AK$5:$AK$404,$V274))</f>
        <v/>
      </c>
      <c r="AN274">
        <f>IF($V274="","",INDEX($AL$5:$AL$404,$V274))</f>
        <v/>
      </c>
      <c r="AO274">
        <f>IF(OR($V274="",$AI$2&lt;=1),0,IF($V275="",1,IF($AN275&lt;&gt;$AN274,1,0)))</f>
        <v/>
      </c>
      <c r="AP274">
        <f>IF($V274="",0,IF($AN274&lt;&gt;$AN273,1,0))</f>
        <v/>
      </c>
      <c r="AQ274">
        <f>IF(OR($AD274="",$AD274="Z"),"",INDEX($AN$5:$AN$404,$AC274))</f>
        <v/>
      </c>
      <c r="AR274">
        <f>IF($Y274="",0,COUNTIF(บันทึกรายเที่ยว!$V$6:$V$6005,$Y274))</f>
        <v/>
      </c>
      <c r="AS274">
        <f>IF($Y274="",0,ROUND(SUMIF(บันทึกรายเที่ยว!$V$6:$V$6005,$Y274,บันทึกรายเที่ยว!$M$6:$M$6005),2))</f>
        <v/>
      </c>
      <c r="AT274">
        <f>IF($Y274="",0,IFERROR(INDEX(อัตราค่าขนส่ง!$G$5:$G$204,MATCH($Y274,อัตราค่าขนส่ง!$M$5:$M$204,0)),0))</f>
        <v/>
      </c>
      <c r="AU274">
        <f>ROUND($AS274*$BD274,2)</f>
        <v/>
      </c>
      <c r="AV274">
        <f>ROUND($AU274*$BF$2/100,2)</f>
        <v/>
      </c>
      <c r="AW274">
        <f>IF($Y274="","",IFERROR(INDEX(อัตราค่าขนส่ง!$F$5:$F$204,MATCH($Y274,อัตราค่าขนส่ง!$M$5:$M$204,0)),""))</f>
        <v/>
      </c>
      <c r="AX274">
        <f>IF($W274="","",INDEX(บันทึกรายเที่ยว!$D$6:$D$6005,$W274))</f>
        <v/>
      </c>
      <c r="AY274">
        <f>IF($W274="","",INDEX(บันทึกรายเที่ยว!$R$6:$R$6005,$W274))</f>
        <v/>
      </c>
      <c r="AZ274">
        <f>IF(AND($AD274="T",$AQ274=1),N($AZ273)+1,N($AZ273))</f>
        <v/>
      </c>
      <c r="BA274">
        <f>IF($W274="","",INDEX(บันทึกรายเที่ยว!$E$6:$E$6005,$W274))</f>
        <v/>
      </c>
      <c r="BC274">
        <f>IF($Y274="",0,IFERROR(INDEX(อัตราค่าขนส่ง!$K$5:$K$204,MATCH($Y274,อัตราค่าขนส่ง!$M$5:$M$204,0)),0))</f>
        <v/>
      </c>
      <c r="BD274">
        <f>IF($Y274="",0,IFERROR(INDEX(อัตราค่าขนส่ง!$L$5:$L$204,MATCH($Y274,อัตราค่าขนส่ง!$M$5:$M$204,0)),0))</f>
        <v/>
      </c>
    </row>
    <row r="275" ht="21" customHeight="1" s="66">
      <c r="A275" s="69">
        <f>IF($AD275="","",IF($AD275="Z","รวมจ่ายทั้งสิ้น",IF($AD275="H",INDEX($X$5:$X$404,$AC275),IF($AD275="T","รวม",IF($AD275="B",IFERROR(INDEX(อัตราค่าขนส่ง!$S$5:$S$14,MATCH(INDEX($AM$5:$AM$404,$AC275),อัตราค่าขนส่ง!$R$5:$R$14,0)),"รวมกลุ่ม "&amp;INDEX($AM$5:$AM$404,$AC275)),INDEX($AY$5:$AY$404,$AC275))))))</f>
        <v/>
      </c>
      <c r="B275" s="31">
        <f>IF($AD275&lt;&gt;"D","",INDEX($AW$5:$AW$404,$AC275))</f>
        <v/>
      </c>
      <c r="C275" s="68">
        <f>IF($AD275&lt;&gt;"D","",INDEX($AX$5:$AX$404,$AC275))</f>
        <v/>
      </c>
      <c r="D275" s="70">
        <f>IF($AD275&lt;&gt;"D","",INDEX($BA$5:$BA$404,$AC275))</f>
        <v/>
      </c>
      <c r="E275" s="31">
        <f>IF($AD275="Z",SUM($AR$5:$AR$404),IF($AD275="D",INDEX($AR$5:$AR$404,$AC275),IF($AD275="T",SUMIF($X$5:$X$404,$AF275,$AR$5:$AR$404),IF($AD275="B",SUMIF($AN$5:$AN$404,$AQ275,$AR$5:$AR$404),""))))</f>
        <v/>
      </c>
      <c r="F275" s="32">
        <f>IF($AD275="Z",ROUND(SUM($AS$5:$AS$404),2),IF($AD275="D",INDEX($AS$5:$AS$404,$AC275),IF($AD275="T",ROUND(SUMIF($X$5:$X$404,$AF275,$AS$5:$AS$404),2),IF($AD275="B",ROUND(SUMIF($AN$5:$AN$404,$AQ275,$AS$5:$AS$404),2),""))))</f>
        <v/>
      </c>
      <c r="G275" s="32">
        <f>IF($AD275&lt;&gt;"D","",INDEX($AT$5:$AT$404,$AC275))</f>
        <v/>
      </c>
      <c r="H275" s="32">
        <f>IF($AD275&lt;&gt;"D","",INDEX($BC$5:$BC$404,$AC275))</f>
        <v/>
      </c>
      <c r="I275" s="32">
        <f>IF($AD275&lt;&gt;"D","",INDEX($BD$5:$BD$404,$AC275))</f>
        <v/>
      </c>
      <c r="J275" s="46">
        <f>IF($AD275&lt;&gt;"D","",IF(N($B275)=0,"",ROUND($I275/$B275,4)))</f>
        <v/>
      </c>
      <c r="K275" s="32">
        <f>IF($AD275="Z",ROUND(SUM($AU$5:$AU$404),2),IF($AD275="D",INDEX($AU$5:$AU$404,$AC275),IF($AD275="T",ROUND(SUMIF($X$5:$X$404,$AF275,$AU$5:$AU$404),2),IF($AD275="B",ROUND(SUMIF($AN$5:$AN$404,$AQ275,$AU$5:$AU$404),2),""))))</f>
        <v/>
      </c>
      <c r="L275" s="32">
        <f>IF($AD275="Z",ROUND(SUM($AV$5:$AV$404),2),IF($AD275="D",INDEX($AV$5:$AV$404,$AC275),IF($AD275="T",ROUND(SUMIF($X$5:$X$404,$AF275,$AV$5:$AV$404),2),IF($AD275="B",ROUND(SUMIF($AN$5:$AN$404,$AQ275,$AV$5:$AV$404),2),""))))</f>
        <v/>
      </c>
      <c r="M275" s="32">
        <f>IF($AD275="Z",ROUND(SUM($AJ$5:$AJ$704),2),IF($AD275="B",ROUND(SUMIF($AQ$5:$AQ$704,$AQ275,$AJ$5:$AJ$704),2),IF($AD275&lt;&gt;"T","",$AJ275)))</f>
        <v/>
      </c>
      <c r="N275" s="32">
        <f>IF(OR($AD275="D",$AD275="T",$AD275="B",$AD275="Z"),ROUND(N($K275)-N($L275)-N($M275),2),"")</f>
        <v/>
      </c>
      <c r="O275" s="32">
        <f>IF(OR($AD275="D",$AD275="T",$AD275="B",$AD275="Z"),IF(N($E275)=0,"",ROUND($F275/$E275,2)),"")</f>
        <v/>
      </c>
      <c r="Q275">
        <f>IFERROR(MATCH(271,บันทึกรายเที่ยว!$Z$6:$Z$6005,0),"")</f>
        <v/>
      </c>
      <c r="R275">
        <f>IF($Q275="","",INDEX(บันทึกรายเที่ยว!$V$6:$V$6005,$Q275))</f>
        <v/>
      </c>
      <c r="S275">
        <f>IF($Q275="","",INDEX(บันทึกรายเที่ยว!$F$6:$F$6005,$Q275))</f>
        <v/>
      </c>
      <c r="T275">
        <f>IF($Q275="","",MATCH($S275,บันทึกรายเที่ยว!$F$6:$F$6005,0))</f>
        <v/>
      </c>
      <c r="U275">
        <f>IF($Q275="","",$AL275*10000000+$T275*1000+271)</f>
        <v/>
      </c>
      <c r="V275">
        <f>IFERROR(MATCH(SMALL($U$5:$U$404,271),$U$5:$U$404,0),"")</f>
        <v/>
      </c>
      <c r="W275">
        <f>IF($V275="","",INDEX($Q$5:$Q$404,$V275))</f>
        <v/>
      </c>
      <c r="X275">
        <f>IF($V275="","",INDEX($S$5:$S$404,$V275))</f>
        <v/>
      </c>
      <c r="Y275">
        <f>IF($V275="","",INDEX($R$5:$R$404,$V275))</f>
        <v/>
      </c>
      <c r="Z275">
        <f>IF($V275="",0,IF($X275&lt;&gt;$X274,1,0))</f>
        <v/>
      </c>
      <c r="AA275">
        <f>IF($V275="",0,IF($V276="",1,IF($X276&lt;&gt;$X275,1,0)))</f>
        <v/>
      </c>
      <c r="AB275">
        <f>IF($V275="",99999+271,$AB274+1+$Z274+$AA274+$AO274)</f>
        <v/>
      </c>
      <c r="AC275">
        <f>IFERROR(MATCH(271,$AB$5:$AB$404,1),"")</f>
        <v/>
      </c>
      <c r="AD275">
        <f>IF(271=$AI$1+1,"Z",IF($AC275="","",IF(INDEX($V$5:$V$404,$AC275)="","",IF(271&gt;INDEX($AB$5:$AB$404,$AC275)+INDEX($Z$5:$Z$404,$AC275)+INDEX($AA$5:$AA$404,$AC275)+INDEX($AO$5:$AO$404,$AC275),"",IF(271=INDEX($AB$5:$AB$404,$AC275)+INDEX($Z$5:$Z$404,$AC275),"D",IF(AND(INDEX($Z$5:$Z$404,$AC275)=1,271=INDEX($AB$5:$AB$404,$AC275)),"H",IF(AND(INDEX($AO$5:$AO$404,$AC275)=1,271=INDEX($AB$5:$AB$404,$AC275)+INDEX($Z$5:$Z$404,$AC275)+INDEX($AA$5:$AA$404,$AC275)+INDEX($AO$5:$AO$404,$AC275)),"B","T")))))))</f>
        <v/>
      </c>
      <c r="AF275">
        <f>IF(OR($AD275="",$AD275="Z",$AD275="B"),"",INDEX($X$5:$X$404,$AC275))</f>
        <v/>
      </c>
      <c r="AJ275">
        <f>IF($AD275&lt;&gt;"T",0,ROUND(SUMIF(oil!$B$4:$B$63,$AF275,oil!$AE$4:$AE$63),2))</f>
        <v/>
      </c>
      <c r="AK275">
        <f>IF($S275="","",IFERROR(INDEX(อัตราค่าขนส่ง!$P$5:$P$54,MATCH($S275,อัตราค่าขนส่ง!$O$5:$O$54,0)),INDEX(รายการมาตรฐาน!$G$2:$G$3,1)))</f>
        <v/>
      </c>
      <c r="AL275">
        <f>IF($S275="","",IFERROR(MATCH($AK275,รายการมาตรฐาน!$G$2:$G$3,0),1))</f>
        <v/>
      </c>
      <c r="AM275">
        <f>IF($V275="","",INDEX($AK$5:$AK$404,$V275))</f>
        <v/>
      </c>
      <c r="AN275">
        <f>IF($V275="","",INDEX($AL$5:$AL$404,$V275))</f>
        <v/>
      </c>
      <c r="AO275">
        <f>IF(OR($V275="",$AI$2&lt;=1),0,IF($V276="",1,IF($AN276&lt;&gt;$AN275,1,0)))</f>
        <v/>
      </c>
      <c r="AP275">
        <f>IF($V275="",0,IF($AN275&lt;&gt;$AN274,1,0))</f>
        <v/>
      </c>
      <c r="AQ275">
        <f>IF(OR($AD275="",$AD275="Z"),"",INDEX($AN$5:$AN$404,$AC275))</f>
        <v/>
      </c>
      <c r="AR275">
        <f>IF($Y275="",0,COUNTIF(บันทึกรายเที่ยว!$V$6:$V$6005,$Y275))</f>
        <v/>
      </c>
      <c r="AS275">
        <f>IF($Y275="",0,ROUND(SUMIF(บันทึกรายเที่ยว!$V$6:$V$6005,$Y275,บันทึกรายเที่ยว!$M$6:$M$6005),2))</f>
        <v/>
      </c>
      <c r="AT275">
        <f>IF($Y275="",0,IFERROR(INDEX(อัตราค่าขนส่ง!$G$5:$G$204,MATCH($Y275,อัตราค่าขนส่ง!$M$5:$M$204,0)),0))</f>
        <v/>
      </c>
      <c r="AU275">
        <f>ROUND($AS275*$BD275,2)</f>
        <v/>
      </c>
      <c r="AV275">
        <f>ROUND($AU275*$BF$2/100,2)</f>
        <v/>
      </c>
      <c r="AW275">
        <f>IF($Y275="","",IFERROR(INDEX(อัตราค่าขนส่ง!$F$5:$F$204,MATCH($Y275,อัตราค่าขนส่ง!$M$5:$M$204,0)),""))</f>
        <v/>
      </c>
      <c r="AX275">
        <f>IF($W275="","",INDEX(บันทึกรายเที่ยว!$D$6:$D$6005,$W275))</f>
        <v/>
      </c>
      <c r="AY275">
        <f>IF($W275="","",INDEX(บันทึกรายเที่ยว!$R$6:$R$6005,$W275))</f>
        <v/>
      </c>
      <c r="AZ275">
        <f>IF(AND($AD275="T",$AQ275=1),N($AZ274)+1,N($AZ274))</f>
        <v/>
      </c>
      <c r="BA275">
        <f>IF($W275="","",INDEX(บันทึกรายเที่ยว!$E$6:$E$6005,$W275))</f>
        <v/>
      </c>
      <c r="BC275">
        <f>IF($Y275="",0,IFERROR(INDEX(อัตราค่าขนส่ง!$K$5:$K$204,MATCH($Y275,อัตราค่าขนส่ง!$M$5:$M$204,0)),0))</f>
        <v/>
      </c>
      <c r="BD275">
        <f>IF($Y275="",0,IFERROR(INDEX(อัตราค่าขนส่ง!$L$5:$L$204,MATCH($Y275,อัตราค่าขนส่ง!$M$5:$M$204,0)),0))</f>
        <v/>
      </c>
    </row>
    <row r="276" ht="21" customHeight="1" s="66">
      <c r="A276" s="69">
        <f>IF($AD276="","",IF($AD276="Z","รวมจ่ายทั้งสิ้น",IF($AD276="H",INDEX($X$5:$X$404,$AC276),IF($AD276="T","รวม",IF($AD276="B",IFERROR(INDEX(อัตราค่าขนส่ง!$S$5:$S$14,MATCH(INDEX($AM$5:$AM$404,$AC276),อัตราค่าขนส่ง!$R$5:$R$14,0)),"รวมกลุ่ม "&amp;INDEX($AM$5:$AM$404,$AC276)),INDEX($AY$5:$AY$404,$AC276))))))</f>
        <v/>
      </c>
      <c r="B276" s="31">
        <f>IF($AD276&lt;&gt;"D","",INDEX($AW$5:$AW$404,$AC276))</f>
        <v/>
      </c>
      <c r="C276" s="68">
        <f>IF($AD276&lt;&gt;"D","",INDEX($AX$5:$AX$404,$AC276))</f>
        <v/>
      </c>
      <c r="D276" s="70">
        <f>IF($AD276&lt;&gt;"D","",INDEX($BA$5:$BA$404,$AC276))</f>
        <v/>
      </c>
      <c r="E276" s="31">
        <f>IF($AD276="Z",SUM($AR$5:$AR$404),IF($AD276="D",INDEX($AR$5:$AR$404,$AC276),IF($AD276="T",SUMIF($X$5:$X$404,$AF276,$AR$5:$AR$404),IF($AD276="B",SUMIF($AN$5:$AN$404,$AQ276,$AR$5:$AR$404),""))))</f>
        <v/>
      </c>
      <c r="F276" s="32">
        <f>IF($AD276="Z",ROUND(SUM($AS$5:$AS$404),2),IF($AD276="D",INDEX($AS$5:$AS$404,$AC276),IF($AD276="T",ROUND(SUMIF($X$5:$X$404,$AF276,$AS$5:$AS$404),2),IF($AD276="B",ROUND(SUMIF($AN$5:$AN$404,$AQ276,$AS$5:$AS$404),2),""))))</f>
        <v/>
      </c>
      <c r="G276" s="32">
        <f>IF($AD276&lt;&gt;"D","",INDEX($AT$5:$AT$404,$AC276))</f>
        <v/>
      </c>
      <c r="H276" s="32">
        <f>IF($AD276&lt;&gt;"D","",INDEX($BC$5:$BC$404,$AC276))</f>
        <v/>
      </c>
      <c r="I276" s="32">
        <f>IF($AD276&lt;&gt;"D","",INDEX($BD$5:$BD$404,$AC276))</f>
        <v/>
      </c>
      <c r="J276" s="46">
        <f>IF($AD276&lt;&gt;"D","",IF(N($B276)=0,"",ROUND($I276/$B276,4)))</f>
        <v/>
      </c>
      <c r="K276" s="32">
        <f>IF($AD276="Z",ROUND(SUM($AU$5:$AU$404),2),IF($AD276="D",INDEX($AU$5:$AU$404,$AC276),IF($AD276="T",ROUND(SUMIF($X$5:$X$404,$AF276,$AU$5:$AU$404),2),IF($AD276="B",ROUND(SUMIF($AN$5:$AN$404,$AQ276,$AU$5:$AU$404),2),""))))</f>
        <v/>
      </c>
      <c r="L276" s="32">
        <f>IF($AD276="Z",ROUND(SUM($AV$5:$AV$404),2),IF($AD276="D",INDEX($AV$5:$AV$404,$AC276),IF($AD276="T",ROUND(SUMIF($X$5:$X$404,$AF276,$AV$5:$AV$404),2),IF($AD276="B",ROUND(SUMIF($AN$5:$AN$404,$AQ276,$AV$5:$AV$404),2),""))))</f>
        <v/>
      </c>
      <c r="M276" s="32">
        <f>IF($AD276="Z",ROUND(SUM($AJ$5:$AJ$704),2),IF($AD276="B",ROUND(SUMIF($AQ$5:$AQ$704,$AQ276,$AJ$5:$AJ$704),2),IF($AD276&lt;&gt;"T","",$AJ276)))</f>
        <v/>
      </c>
      <c r="N276" s="32">
        <f>IF(OR($AD276="D",$AD276="T",$AD276="B",$AD276="Z"),ROUND(N($K276)-N($L276)-N($M276),2),"")</f>
        <v/>
      </c>
      <c r="O276" s="32">
        <f>IF(OR($AD276="D",$AD276="T",$AD276="B",$AD276="Z"),IF(N($E276)=0,"",ROUND($F276/$E276,2)),"")</f>
        <v/>
      </c>
      <c r="Q276">
        <f>IFERROR(MATCH(272,บันทึกรายเที่ยว!$Z$6:$Z$6005,0),"")</f>
        <v/>
      </c>
      <c r="R276">
        <f>IF($Q276="","",INDEX(บันทึกรายเที่ยว!$V$6:$V$6005,$Q276))</f>
        <v/>
      </c>
      <c r="S276">
        <f>IF($Q276="","",INDEX(บันทึกรายเที่ยว!$F$6:$F$6005,$Q276))</f>
        <v/>
      </c>
      <c r="T276">
        <f>IF($Q276="","",MATCH($S276,บันทึกรายเที่ยว!$F$6:$F$6005,0))</f>
        <v/>
      </c>
      <c r="U276">
        <f>IF($Q276="","",$AL276*10000000+$T276*1000+272)</f>
        <v/>
      </c>
      <c r="V276">
        <f>IFERROR(MATCH(SMALL($U$5:$U$404,272),$U$5:$U$404,0),"")</f>
        <v/>
      </c>
      <c r="W276">
        <f>IF($V276="","",INDEX($Q$5:$Q$404,$V276))</f>
        <v/>
      </c>
      <c r="X276">
        <f>IF($V276="","",INDEX($S$5:$S$404,$V276))</f>
        <v/>
      </c>
      <c r="Y276">
        <f>IF($V276="","",INDEX($R$5:$R$404,$V276))</f>
        <v/>
      </c>
      <c r="Z276">
        <f>IF($V276="",0,IF($X276&lt;&gt;$X275,1,0))</f>
        <v/>
      </c>
      <c r="AA276">
        <f>IF($V276="",0,IF($V277="",1,IF($X277&lt;&gt;$X276,1,0)))</f>
        <v/>
      </c>
      <c r="AB276">
        <f>IF($V276="",99999+272,$AB275+1+$Z275+$AA275+$AO275)</f>
        <v/>
      </c>
      <c r="AC276">
        <f>IFERROR(MATCH(272,$AB$5:$AB$404,1),"")</f>
        <v/>
      </c>
      <c r="AD276">
        <f>IF(272=$AI$1+1,"Z",IF($AC276="","",IF(INDEX($V$5:$V$404,$AC276)="","",IF(272&gt;INDEX($AB$5:$AB$404,$AC276)+INDEX($Z$5:$Z$404,$AC276)+INDEX($AA$5:$AA$404,$AC276)+INDEX($AO$5:$AO$404,$AC276),"",IF(272=INDEX($AB$5:$AB$404,$AC276)+INDEX($Z$5:$Z$404,$AC276),"D",IF(AND(INDEX($Z$5:$Z$404,$AC276)=1,272=INDEX($AB$5:$AB$404,$AC276)),"H",IF(AND(INDEX($AO$5:$AO$404,$AC276)=1,272=INDEX($AB$5:$AB$404,$AC276)+INDEX($Z$5:$Z$404,$AC276)+INDEX($AA$5:$AA$404,$AC276)+INDEX($AO$5:$AO$404,$AC276)),"B","T")))))))</f>
        <v/>
      </c>
      <c r="AF276">
        <f>IF(OR($AD276="",$AD276="Z",$AD276="B"),"",INDEX($X$5:$X$404,$AC276))</f>
        <v/>
      </c>
      <c r="AJ276">
        <f>IF($AD276&lt;&gt;"T",0,ROUND(SUMIF(oil!$B$4:$B$63,$AF276,oil!$AE$4:$AE$63),2))</f>
        <v/>
      </c>
      <c r="AK276">
        <f>IF($S276="","",IFERROR(INDEX(อัตราค่าขนส่ง!$P$5:$P$54,MATCH($S276,อัตราค่าขนส่ง!$O$5:$O$54,0)),INDEX(รายการมาตรฐาน!$G$2:$G$3,1)))</f>
        <v/>
      </c>
      <c r="AL276">
        <f>IF($S276="","",IFERROR(MATCH($AK276,รายการมาตรฐาน!$G$2:$G$3,0),1))</f>
        <v/>
      </c>
      <c r="AM276">
        <f>IF($V276="","",INDEX($AK$5:$AK$404,$V276))</f>
        <v/>
      </c>
      <c r="AN276">
        <f>IF($V276="","",INDEX($AL$5:$AL$404,$V276))</f>
        <v/>
      </c>
      <c r="AO276">
        <f>IF(OR($V276="",$AI$2&lt;=1),0,IF($V277="",1,IF($AN277&lt;&gt;$AN276,1,0)))</f>
        <v/>
      </c>
      <c r="AP276">
        <f>IF($V276="",0,IF($AN276&lt;&gt;$AN275,1,0))</f>
        <v/>
      </c>
      <c r="AQ276">
        <f>IF(OR($AD276="",$AD276="Z"),"",INDEX($AN$5:$AN$404,$AC276))</f>
        <v/>
      </c>
      <c r="AR276">
        <f>IF($Y276="",0,COUNTIF(บันทึกรายเที่ยว!$V$6:$V$6005,$Y276))</f>
        <v/>
      </c>
      <c r="AS276">
        <f>IF($Y276="",0,ROUND(SUMIF(บันทึกรายเที่ยว!$V$6:$V$6005,$Y276,บันทึกรายเที่ยว!$M$6:$M$6005),2))</f>
        <v/>
      </c>
      <c r="AT276">
        <f>IF($Y276="",0,IFERROR(INDEX(อัตราค่าขนส่ง!$G$5:$G$204,MATCH($Y276,อัตราค่าขนส่ง!$M$5:$M$204,0)),0))</f>
        <v/>
      </c>
      <c r="AU276">
        <f>ROUND($AS276*$BD276,2)</f>
        <v/>
      </c>
      <c r="AV276">
        <f>ROUND($AU276*$BF$2/100,2)</f>
        <v/>
      </c>
      <c r="AW276">
        <f>IF($Y276="","",IFERROR(INDEX(อัตราค่าขนส่ง!$F$5:$F$204,MATCH($Y276,อัตราค่าขนส่ง!$M$5:$M$204,0)),""))</f>
        <v/>
      </c>
      <c r="AX276">
        <f>IF($W276="","",INDEX(บันทึกรายเที่ยว!$D$6:$D$6005,$W276))</f>
        <v/>
      </c>
      <c r="AY276">
        <f>IF($W276="","",INDEX(บันทึกรายเที่ยว!$R$6:$R$6005,$W276))</f>
        <v/>
      </c>
      <c r="AZ276">
        <f>IF(AND($AD276="T",$AQ276=1),N($AZ275)+1,N($AZ275))</f>
        <v/>
      </c>
      <c r="BA276">
        <f>IF($W276="","",INDEX(บันทึกรายเที่ยว!$E$6:$E$6005,$W276))</f>
        <v/>
      </c>
      <c r="BC276">
        <f>IF($Y276="",0,IFERROR(INDEX(อัตราค่าขนส่ง!$K$5:$K$204,MATCH($Y276,อัตราค่าขนส่ง!$M$5:$M$204,0)),0))</f>
        <v/>
      </c>
      <c r="BD276">
        <f>IF($Y276="",0,IFERROR(INDEX(อัตราค่าขนส่ง!$L$5:$L$204,MATCH($Y276,อัตราค่าขนส่ง!$M$5:$M$204,0)),0))</f>
        <v/>
      </c>
    </row>
    <row r="277" ht="21" customHeight="1" s="66">
      <c r="A277" s="69">
        <f>IF($AD277="","",IF($AD277="Z","รวมจ่ายทั้งสิ้น",IF($AD277="H",INDEX($X$5:$X$404,$AC277),IF($AD277="T","รวม",IF($AD277="B",IFERROR(INDEX(อัตราค่าขนส่ง!$S$5:$S$14,MATCH(INDEX($AM$5:$AM$404,$AC277),อัตราค่าขนส่ง!$R$5:$R$14,0)),"รวมกลุ่ม "&amp;INDEX($AM$5:$AM$404,$AC277)),INDEX($AY$5:$AY$404,$AC277))))))</f>
        <v/>
      </c>
      <c r="B277" s="31">
        <f>IF($AD277&lt;&gt;"D","",INDEX($AW$5:$AW$404,$AC277))</f>
        <v/>
      </c>
      <c r="C277" s="68">
        <f>IF($AD277&lt;&gt;"D","",INDEX($AX$5:$AX$404,$AC277))</f>
        <v/>
      </c>
      <c r="D277" s="70">
        <f>IF($AD277&lt;&gt;"D","",INDEX($BA$5:$BA$404,$AC277))</f>
        <v/>
      </c>
      <c r="E277" s="31">
        <f>IF($AD277="Z",SUM($AR$5:$AR$404),IF($AD277="D",INDEX($AR$5:$AR$404,$AC277),IF($AD277="T",SUMIF($X$5:$X$404,$AF277,$AR$5:$AR$404),IF($AD277="B",SUMIF($AN$5:$AN$404,$AQ277,$AR$5:$AR$404),""))))</f>
        <v/>
      </c>
      <c r="F277" s="32">
        <f>IF($AD277="Z",ROUND(SUM($AS$5:$AS$404),2),IF($AD277="D",INDEX($AS$5:$AS$404,$AC277),IF($AD277="T",ROUND(SUMIF($X$5:$X$404,$AF277,$AS$5:$AS$404),2),IF($AD277="B",ROUND(SUMIF($AN$5:$AN$404,$AQ277,$AS$5:$AS$404),2),""))))</f>
        <v/>
      </c>
      <c r="G277" s="32">
        <f>IF($AD277&lt;&gt;"D","",INDEX($AT$5:$AT$404,$AC277))</f>
        <v/>
      </c>
      <c r="H277" s="32">
        <f>IF($AD277&lt;&gt;"D","",INDEX($BC$5:$BC$404,$AC277))</f>
        <v/>
      </c>
      <c r="I277" s="32">
        <f>IF($AD277&lt;&gt;"D","",INDEX($BD$5:$BD$404,$AC277))</f>
        <v/>
      </c>
      <c r="J277" s="46">
        <f>IF($AD277&lt;&gt;"D","",IF(N($B277)=0,"",ROUND($I277/$B277,4)))</f>
        <v/>
      </c>
      <c r="K277" s="32">
        <f>IF($AD277="Z",ROUND(SUM($AU$5:$AU$404),2),IF($AD277="D",INDEX($AU$5:$AU$404,$AC277),IF($AD277="T",ROUND(SUMIF($X$5:$X$404,$AF277,$AU$5:$AU$404),2),IF($AD277="B",ROUND(SUMIF($AN$5:$AN$404,$AQ277,$AU$5:$AU$404),2),""))))</f>
        <v/>
      </c>
      <c r="L277" s="32">
        <f>IF($AD277="Z",ROUND(SUM($AV$5:$AV$404),2),IF($AD277="D",INDEX($AV$5:$AV$404,$AC277),IF($AD277="T",ROUND(SUMIF($X$5:$X$404,$AF277,$AV$5:$AV$404),2),IF($AD277="B",ROUND(SUMIF($AN$5:$AN$404,$AQ277,$AV$5:$AV$404),2),""))))</f>
        <v/>
      </c>
      <c r="M277" s="32">
        <f>IF($AD277="Z",ROUND(SUM($AJ$5:$AJ$704),2),IF($AD277="B",ROUND(SUMIF($AQ$5:$AQ$704,$AQ277,$AJ$5:$AJ$704),2),IF($AD277&lt;&gt;"T","",$AJ277)))</f>
        <v/>
      </c>
      <c r="N277" s="32">
        <f>IF(OR($AD277="D",$AD277="T",$AD277="B",$AD277="Z"),ROUND(N($K277)-N($L277)-N($M277),2),"")</f>
        <v/>
      </c>
      <c r="O277" s="32">
        <f>IF(OR($AD277="D",$AD277="T",$AD277="B",$AD277="Z"),IF(N($E277)=0,"",ROUND($F277/$E277,2)),"")</f>
        <v/>
      </c>
      <c r="Q277">
        <f>IFERROR(MATCH(273,บันทึกรายเที่ยว!$Z$6:$Z$6005,0),"")</f>
        <v/>
      </c>
      <c r="R277">
        <f>IF($Q277="","",INDEX(บันทึกรายเที่ยว!$V$6:$V$6005,$Q277))</f>
        <v/>
      </c>
      <c r="S277">
        <f>IF($Q277="","",INDEX(บันทึกรายเที่ยว!$F$6:$F$6005,$Q277))</f>
        <v/>
      </c>
      <c r="T277">
        <f>IF($Q277="","",MATCH($S277,บันทึกรายเที่ยว!$F$6:$F$6005,0))</f>
        <v/>
      </c>
      <c r="U277">
        <f>IF($Q277="","",$AL277*10000000+$T277*1000+273)</f>
        <v/>
      </c>
      <c r="V277">
        <f>IFERROR(MATCH(SMALL($U$5:$U$404,273),$U$5:$U$404,0),"")</f>
        <v/>
      </c>
      <c r="W277">
        <f>IF($V277="","",INDEX($Q$5:$Q$404,$V277))</f>
        <v/>
      </c>
      <c r="X277">
        <f>IF($V277="","",INDEX($S$5:$S$404,$V277))</f>
        <v/>
      </c>
      <c r="Y277">
        <f>IF($V277="","",INDEX($R$5:$R$404,$V277))</f>
        <v/>
      </c>
      <c r="Z277">
        <f>IF($V277="",0,IF($X277&lt;&gt;$X276,1,0))</f>
        <v/>
      </c>
      <c r="AA277">
        <f>IF($V277="",0,IF($V278="",1,IF($X278&lt;&gt;$X277,1,0)))</f>
        <v/>
      </c>
      <c r="AB277">
        <f>IF($V277="",99999+273,$AB276+1+$Z276+$AA276+$AO276)</f>
        <v/>
      </c>
      <c r="AC277">
        <f>IFERROR(MATCH(273,$AB$5:$AB$404,1),"")</f>
        <v/>
      </c>
      <c r="AD277">
        <f>IF(273=$AI$1+1,"Z",IF($AC277="","",IF(INDEX($V$5:$V$404,$AC277)="","",IF(273&gt;INDEX($AB$5:$AB$404,$AC277)+INDEX($Z$5:$Z$404,$AC277)+INDEX($AA$5:$AA$404,$AC277)+INDEX($AO$5:$AO$404,$AC277),"",IF(273=INDEX($AB$5:$AB$404,$AC277)+INDEX($Z$5:$Z$404,$AC277),"D",IF(AND(INDEX($Z$5:$Z$404,$AC277)=1,273=INDEX($AB$5:$AB$404,$AC277)),"H",IF(AND(INDEX($AO$5:$AO$404,$AC277)=1,273=INDEX($AB$5:$AB$404,$AC277)+INDEX($Z$5:$Z$404,$AC277)+INDEX($AA$5:$AA$404,$AC277)+INDEX($AO$5:$AO$404,$AC277)),"B","T")))))))</f>
        <v/>
      </c>
      <c r="AF277">
        <f>IF(OR($AD277="",$AD277="Z",$AD277="B"),"",INDEX($X$5:$X$404,$AC277))</f>
        <v/>
      </c>
      <c r="AJ277">
        <f>IF($AD277&lt;&gt;"T",0,ROUND(SUMIF(oil!$B$4:$B$63,$AF277,oil!$AE$4:$AE$63),2))</f>
        <v/>
      </c>
      <c r="AK277">
        <f>IF($S277="","",IFERROR(INDEX(อัตราค่าขนส่ง!$P$5:$P$54,MATCH($S277,อัตราค่าขนส่ง!$O$5:$O$54,0)),INDEX(รายการมาตรฐาน!$G$2:$G$3,1)))</f>
        <v/>
      </c>
      <c r="AL277">
        <f>IF($S277="","",IFERROR(MATCH($AK277,รายการมาตรฐาน!$G$2:$G$3,0),1))</f>
        <v/>
      </c>
      <c r="AM277">
        <f>IF($V277="","",INDEX($AK$5:$AK$404,$V277))</f>
        <v/>
      </c>
      <c r="AN277">
        <f>IF($V277="","",INDEX($AL$5:$AL$404,$V277))</f>
        <v/>
      </c>
      <c r="AO277">
        <f>IF(OR($V277="",$AI$2&lt;=1),0,IF($V278="",1,IF($AN278&lt;&gt;$AN277,1,0)))</f>
        <v/>
      </c>
      <c r="AP277">
        <f>IF($V277="",0,IF($AN277&lt;&gt;$AN276,1,0))</f>
        <v/>
      </c>
      <c r="AQ277">
        <f>IF(OR($AD277="",$AD277="Z"),"",INDEX($AN$5:$AN$404,$AC277))</f>
        <v/>
      </c>
      <c r="AR277">
        <f>IF($Y277="",0,COUNTIF(บันทึกรายเที่ยว!$V$6:$V$6005,$Y277))</f>
        <v/>
      </c>
      <c r="AS277">
        <f>IF($Y277="",0,ROUND(SUMIF(บันทึกรายเที่ยว!$V$6:$V$6005,$Y277,บันทึกรายเที่ยว!$M$6:$M$6005),2))</f>
        <v/>
      </c>
      <c r="AT277">
        <f>IF($Y277="",0,IFERROR(INDEX(อัตราค่าขนส่ง!$G$5:$G$204,MATCH($Y277,อัตราค่าขนส่ง!$M$5:$M$204,0)),0))</f>
        <v/>
      </c>
      <c r="AU277">
        <f>ROUND($AS277*$BD277,2)</f>
        <v/>
      </c>
      <c r="AV277">
        <f>ROUND($AU277*$BF$2/100,2)</f>
        <v/>
      </c>
      <c r="AW277">
        <f>IF($Y277="","",IFERROR(INDEX(อัตราค่าขนส่ง!$F$5:$F$204,MATCH($Y277,อัตราค่าขนส่ง!$M$5:$M$204,0)),""))</f>
        <v/>
      </c>
      <c r="AX277">
        <f>IF($W277="","",INDEX(บันทึกรายเที่ยว!$D$6:$D$6005,$W277))</f>
        <v/>
      </c>
      <c r="AY277">
        <f>IF($W277="","",INDEX(บันทึกรายเที่ยว!$R$6:$R$6005,$W277))</f>
        <v/>
      </c>
      <c r="AZ277">
        <f>IF(AND($AD277="T",$AQ277=1),N($AZ276)+1,N($AZ276))</f>
        <v/>
      </c>
      <c r="BA277">
        <f>IF($W277="","",INDEX(บันทึกรายเที่ยว!$E$6:$E$6005,$W277))</f>
        <v/>
      </c>
      <c r="BC277">
        <f>IF($Y277="",0,IFERROR(INDEX(อัตราค่าขนส่ง!$K$5:$K$204,MATCH($Y277,อัตราค่าขนส่ง!$M$5:$M$204,0)),0))</f>
        <v/>
      </c>
      <c r="BD277">
        <f>IF($Y277="",0,IFERROR(INDEX(อัตราค่าขนส่ง!$L$5:$L$204,MATCH($Y277,อัตราค่าขนส่ง!$M$5:$M$204,0)),0))</f>
        <v/>
      </c>
    </row>
    <row r="278" ht="21" customHeight="1" s="66">
      <c r="A278" s="69">
        <f>IF($AD278="","",IF($AD278="Z","รวมจ่ายทั้งสิ้น",IF($AD278="H",INDEX($X$5:$X$404,$AC278),IF($AD278="T","รวม",IF($AD278="B",IFERROR(INDEX(อัตราค่าขนส่ง!$S$5:$S$14,MATCH(INDEX($AM$5:$AM$404,$AC278),อัตราค่าขนส่ง!$R$5:$R$14,0)),"รวมกลุ่ม "&amp;INDEX($AM$5:$AM$404,$AC278)),INDEX($AY$5:$AY$404,$AC278))))))</f>
        <v/>
      </c>
      <c r="B278" s="31">
        <f>IF($AD278&lt;&gt;"D","",INDEX($AW$5:$AW$404,$AC278))</f>
        <v/>
      </c>
      <c r="C278" s="68">
        <f>IF($AD278&lt;&gt;"D","",INDEX($AX$5:$AX$404,$AC278))</f>
        <v/>
      </c>
      <c r="D278" s="70">
        <f>IF($AD278&lt;&gt;"D","",INDEX($BA$5:$BA$404,$AC278))</f>
        <v/>
      </c>
      <c r="E278" s="31">
        <f>IF($AD278="Z",SUM($AR$5:$AR$404),IF($AD278="D",INDEX($AR$5:$AR$404,$AC278),IF($AD278="T",SUMIF($X$5:$X$404,$AF278,$AR$5:$AR$404),IF($AD278="B",SUMIF($AN$5:$AN$404,$AQ278,$AR$5:$AR$404),""))))</f>
        <v/>
      </c>
      <c r="F278" s="32">
        <f>IF($AD278="Z",ROUND(SUM($AS$5:$AS$404),2),IF($AD278="D",INDEX($AS$5:$AS$404,$AC278),IF($AD278="T",ROUND(SUMIF($X$5:$X$404,$AF278,$AS$5:$AS$404),2),IF($AD278="B",ROUND(SUMIF($AN$5:$AN$404,$AQ278,$AS$5:$AS$404),2),""))))</f>
        <v/>
      </c>
      <c r="G278" s="32">
        <f>IF($AD278&lt;&gt;"D","",INDEX($AT$5:$AT$404,$AC278))</f>
        <v/>
      </c>
      <c r="H278" s="32">
        <f>IF($AD278&lt;&gt;"D","",INDEX($BC$5:$BC$404,$AC278))</f>
        <v/>
      </c>
      <c r="I278" s="32">
        <f>IF($AD278&lt;&gt;"D","",INDEX($BD$5:$BD$404,$AC278))</f>
        <v/>
      </c>
      <c r="J278" s="46">
        <f>IF($AD278&lt;&gt;"D","",IF(N($B278)=0,"",ROUND($I278/$B278,4)))</f>
        <v/>
      </c>
      <c r="K278" s="32">
        <f>IF($AD278="Z",ROUND(SUM($AU$5:$AU$404),2),IF($AD278="D",INDEX($AU$5:$AU$404,$AC278),IF($AD278="T",ROUND(SUMIF($X$5:$X$404,$AF278,$AU$5:$AU$404),2),IF($AD278="B",ROUND(SUMIF($AN$5:$AN$404,$AQ278,$AU$5:$AU$404),2),""))))</f>
        <v/>
      </c>
      <c r="L278" s="32">
        <f>IF($AD278="Z",ROUND(SUM($AV$5:$AV$404),2),IF($AD278="D",INDEX($AV$5:$AV$404,$AC278),IF($AD278="T",ROUND(SUMIF($X$5:$X$404,$AF278,$AV$5:$AV$404),2),IF($AD278="B",ROUND(SUMIF($AN$5:$AN$404,$AQ278,$AV$5:$AV$404),2),""))))</f>
        <v/>
      </c>
      <c r="M278" s="32">
        <f>IF($AD278="Z",ROUND(SUM($AJ$5:$AJ$704),2),IF($AD278="B",ROUND(SUMIF($AQ$5:$AQ$704,$AQ278,$AJ$5:$AJ$704),2),IF($AD278&lt;&gt;"T","",$AJ278)))</f>
        <v/>
      </c>
      <c r="N278" s="32">
        <f>IF(OR($AD278="D",$AD278="T",$AD278="B",$AD278="Z"),ROUND(N($K278)-N($L278)-N($M278),2),"")</f>
        <v/>
      </c>
      <c r="O278" s="32">
        <f>IF(OR($AD278="D",$AD278="T",$AD278="B",$AD278="Z"),IF(N($E278)=0,"",ROUND($F278/$E278,2)),"")</f>
        <v/>
      </c>
      <c r="Q278">
        <f>IFERROR(MATCH(274,บันทึกรายเที่ยว!$Z$6:$Z$6005,0),"")</f>
        <v/>
      </c>
      <c r="R278">
        <f>IF($Q278="","",INDEX(บันทึกรายเที่ยว!$V$6:$V$6005,$Q278))</f>
        <v/>
      </c>
      <c r="S278">
        <f>IF($Q278="","",INDEX(บันทึกรายเที่ยว!$F$6:$F$6005,$Q278))</f>
        <v/>
      </c>
      <c r="T278">
        <f>IF($Q278="","",MATCH($S278,บันทึกรายเที่ยว!$F$6:$F$6005,0))</f>
        <v/>
      </c>
      <c r="U278">
        <f>IF($Q278="","",$AL278*10000000+$T278*1000+274)</f>
        <v/>
      </c>
      <c r="V278">
        <f>IFERROR(MATCH(SMALL($U$5:$U$404,274),$U$5:$U$404,0),"")</f>
        <v/>
      </c>
      <c r="W278">
        <f>IF($V278="","",INDEX($Q$5:$Q$404,$V278))</f>
        <v/>
      </c>
      <c r="X278">
        <f>IF($V278="","",INDEX($S$5:$S$404,$V278))</f>
        <v/>
      </c>
      <c r="Y278">
        <f>IF($V278="","",INDEX($R$5:$R$404,$V278))</f>
        <v/>
      </c>
      <c r="Z278">
        <f>IF($V278="",0,IF($X278&lt;&gt;$X277,1,0))</f>
        <v/>
      </c>
      <c r="AA278">
        <f>IF($V278="",0,IF($V279="",1,IF($X279&lt;&gt;$X278,1,0)))</f>
        <v/>
      </c>
      <c r="AB278">
        <f>IF($V278="",99999+274,$AB277+1+$Z277+$AA277+$AO277)</f>
        <v/>
      </c>
      <c r="AC278">
        <f>IFERROR(MATCH(274,$AB$5:$AB$404,1),"")</f>
        <v/>
      </c>
      <c r="AD278">
        <f>IF(274=$AI$1+1,"Z",IF($AC278="","",IF(INDEX($V$5:$V$404,$AC278)="","",IF(274&gt;INDEX($AB$5:$AB$404,$AC278)+INDEX($Z$5:$Z$404,$AC278)+INDEX($AA$5:$AA$404,$AC278)+INDEX($AO$5:$AO$404,$AC278),"",IF(274=INDEX($AB$5:$AB$404,$AC278)+INDEX($Z$5:$Z$404,$AC278),"D",IF(AND(INDEX($Z$5:$Z$404,$AC278)=1,274=INDEX($AB$5:$AB$404,$AC278)),"H",IF(AND(INDEX($AO$5:$AO$404,$AC278)=1,274=INDEX($AB$5:$AB$404,$AC278)+INDEX($Z$5:$Z$404,$AC278)+INDEX($AA$5:$AA$404,$AC278)+INDEX($AO$5:$AO$404,$AC278)),"B","T")))))))</f>
        <v/>
      </c>
      <c r="AF278">
        <f>IF(OR($AD278="",$AD278="Z",$AD278="B"),"",INDEX($X$5:$X$404,$AC278))</f>
        <v/>
      </c>
      <c r="AJ278">
        <f>IF($AD278&lt;&gt;"T",0,ROUND(SUMIF(oil!$B$4:$B$63,$AF278,oil!$AE$4:$AE$63),2))</f>
        <v/>
      </c>
      <c r="AK278">
        <f>IF($S278="","",IFERROR(INDEX(อัตราค่าขนส่ง!$P$5:$P$54,MATCH($S278,อัตราค่าขนส่ง!$O$5:$O$54,0)),INDEX(รายการมาตรฐาน!$G$2:$G$3,1)))</f>
        <v/>
      </c>
      <c r="AL278">
        <f>IF($S278="","",IFERROR(MATCH($AK278,รายการมาตรฐาน!$G$2:$G$3,0),1))</f>
        <v/>
      </c>
      <c r="AM278">
        <f>IF($V278="","",INDEX($AK$5:$AK$404,$V278))</f>
        <v/>
      </c>
      <c r="AN278">
        <f>IF($V278="","",INDEX($AL$5:$AL$404,$V278))</f>
        <v/>
      </c>
      <c r="AO278">
        <f>IF(OR($V278="",$AI$2&lt;=1),0,IF($V279="",1,IF($AN279&lt;&gt;$AN278,1,0)))</f>
        <v/>
      </c>
      <c r="AP278">
        <f>IF($V278="",0,IF($AN278&lt;&gt;$AN277,1,0))</f>
        <v/>
      </c>
      <c r="AQ278">
        <f>IF(OR($AD278="",$AD278="Z"),"",INDEX($AN$5:$AN$404,$AC278))</f>
        <v/>
      </c>
      <c r="AR278">
        <f>IF($Y278="",0,COUNTIF(บันทึกรายเที่ยว!$V$6:$V$6005,$Y278))</f>
        <v/>
      </c>
      <c r="AS278">
        <f>IF($Y278="",0,ROUND(SUMIF(บันทึกรายเที่ยว!$V$6:$V$6005,$Y278,บันทึกรายเที่ยว!$M$6:$M$6005),2))</f>
        <v/>
      </c>
      <c r="AT278">
        <f>IF($Y278="",0,IFERROR(INDEX(อัตราค่าขนส่ง!$G$5:$G$204,MATCH($Y278,อัตราค่าขนส่ง!$M$5:$M$204,0)),0))</f>
        <v/>
      </c>
      <c r="AU278">
        <f>ROUND($AS278*$BD278,2)</f>
        <v/>
      </c>
      <c r="AV278">
        <f>ROUND($AU278*$BF$2/100,2)</f>
        <v/>
      </c>
      <c r="AW278">
        <f>IF($Y278="","",IFERROR(INDEX(อัตราค่าขนส่ง!$F$5:$F$204,MATCH($Y278,อัตราค่าขนส่ง!$M$5:$M$204,0)),""))</f>
        <v/>
      </c>
      <c r="AX278">
        <f>IF($W278="","",INDEX(บันทึกรายเที่ยว!$D$6:$D$6005,$W278))</f>
        <v/>
      </c>
      <c r="AY278">
        <f>IF($W278="","",INDEX(บันทึกรายเที่ยว!$R$6:$R$6005,$W278))</f>
        <v/>
      </c>
      <c r="AZ278">
        <f>IF(AND($AD278="T",$AQ278=1),N($AZ277)+1,N($AZ277))</f>
        <v/>
      </c>
      <c r="BA278">
        <f>IF($W278="","",INDEX(บันทึกรายเที่ยว!$E$6:$E$6005,$W278))</f>
        <v/>
      </c>
      <c r="BC278">
        <f>IF($Y278="",0,IFERROR(INDEX(อัตราค่าขนส่ง!$K$5:$K$204,MATCH($Y278,อัตราค่าขนส่ง!$M$5:$M$204,0)),0))</f>
        <v/>
      </c>
      <c r="BD278">
        <f>IF($Y278="",0,IFERROR(INDEX(อัตราค่าขนส่ง!$L$5:$L$204,MATCH($Y278,อัตราค่าขนส่ง!$M$5:$M$204,0)),0))</f>
        <v/>
      </c>
    </row>
    <row r="279" ht="21" customHeight="1" s="66">
      <c r="A279" s="69">
        <f>IF($AD279="","",IF($AD279="Z","รวมจ่ายทั้งสิ้น",IF($AD279="H",INDEX($X$5:$X$404,$AC279),IF($AD279="T","รวม",IF($AD279="B",IFERROR(INDEX(อัตราค่าขนส่ง!$S$5:$S$14,MATCH(INDEX($AM$5:$AM$404,$AC279),อัตราค่าขนส่ง!$R$5:$R$14,0)),"รวมกลุ่ม "&amp;INDEX($AM$5:$AM$404,$AC279)),INDEX($AY$5:$AY$404,$AC279))))))</f>
        <v/>
      </c>
      <c r="B279" s="31">
        <f>IF($AD279&lt;&gt;"D","",INDEX($AW$5:$AW$404,$AC279))</f>
        <v/>
      </c>
      <c r="C279" s="68">
        <f>IF($AD279&lt;&gt;"D","",INDEX($AX$5:$AX$404,$AC279))</f>
        <v/>
      </c>
      <c r="D279" s="70">
        <f>IF($AD279&lt;&gt;"D","",INDEX($BA$5:$BA$404,$AC279))</f>
        <v/>
      </c>
      <c r="E279" s="31">
        <f>IF($AD279="Z",SUM($AR$5:$AR$404),IF($AD279="D",INDEX($AR$5:$AR$404,$AC279),IF($AD279="T",SUMIF($X$5:$X$404,$AF279,$AR$5:$AR$404),IF($AD279="B",SUMIF($AN$5:$AN$404,$AQ279,$AR$5:$AR$404),""))))</f>
        <v/>
      </c>
      <c r="F279" s="32">
        <f>IF($AD279="Z",ROUND(SUM($AS$5:$AS$404),2),IF($AD279="D",INDEX($AS$5:$AS$404,$AC279),IF($AD279="T",ROUND(SUMIF($X$5:$X$404,$AF279,$AS$5:$AS$404),2),IF($AD279="B",ROUND(SUMIF($AN$5:$AN$404,$AQ279,$AS$5:$AS$404),2),""))))</f>
        <v/>
      </c>
      <c r="G279" s="32">
        <f>IF($AD279&lt;&gt;"D","",INDEX($AT$5:$AT$404,$AC279))</f>
        <v/>
      </c>
      <c r="H279" s="32">
        <f>IF($AD279&lt;&gt;"D","",INDEX($BC$5:$BC$404,$AC279))</f>
        <v/>
      </c>
      <c r="I279" s="32">
        <f>IF($AD279&lt;&gt;"D","",INDEX($BD$5:$BD$404,$AC279))</f>
        <v/>
      </c>
      <c r="J279" s="46">
        <f>IF($AD279&lt;&gt;"D","",IF(N($B279)=0,"",ROUND($I279/$B279,4)))</f>
        <v/>
      </c>
      <c r="K279" s="32">
        <f>IF($AD279="Z",ROUND(SUM($AU$5:$AU$404),2),IF($AD279="D",INDEX($AU$5:$AU$404,$AC279),IF($AD279="T",ROUND(SUMIF($X$5:$X$404,$AF279,$AU$5:$AU$404),2),IF($AD279="B",ROUND(SUMIF($AN$5:$AN$404,$AQ279,$AU$5:$AU$404),2),""))))</f>
        <v/>
      </c>
      <c r="L279" s="32">
        <f>IF($AD279="Z",ROUND(SUM($AV$5:$AV$404),2),IF($AD279="D",INDEX($AV$5:$AV$404,$AC279),IF($AD279="T",ROUND(SUMIF($X$5:$X$404,$AF279,$AV$5:$AV$404),2),IF($AD279="B",ROUND(SUMIF($AN$5:$AN$404,$AQ279,$AV$5:$AV$404),2),""))))</f>
        <v/>
      </c>
      <c r="M279" s="32">
        <f>IF($AD279="Z",ROUND(SUM($AJ$5:$AJ$704),2),IF($AD279="B",ROUND(SUMIF($AQ$5:$AQ$704,$AQ279,$AJ$5:$AJ$704),2),IF($AD279&lt;&gt;"T","",$AJ279)))</f>
        <v/>
      </c>
      <c r="N279" s="32">
        <f>IF(OR($AD279="D",$AD279="T",$AD279="B",$AD279="Z"),ROUND(N($K279)-N($L279)-N($M279),2),"")</f>
        <v/>
      </c>
      <c r="O279" s="32">
        <f>IF(OR($AD279="D",$AD279="T",$AD279="B",$AD279="Z"),IF(N($E279)=0,"",ROUND($F279/$E279,2)),"")</f>
        <v/>
      </c>
      <c r="Q279">
        <f>IFERROR(MATCH(275,บันทึกรายเที่ยว!$Z$6:$Z$6005,0),"")</f>
        <v/>
      </c>
      <c r="R279">
        <f>IF($Q279="","",INDEX(บันทึกรายเที่ยว!$V$6:$V$6005,$Q279))</f>
        <v/>
      </c>
      <c r="S279">
        <f>IF($Q279="","",INDEX(บันทึกรายเที่ยว!$F$6:$F$6005,$Q279))</f>
        <v/>
      </c>
      <c r="T279">
        <f>IF($Q279="","",MATCH($S279,บันทึกรายเที่ยว!$F$6:$F$6005,0))</f>
        <v/>
      </c>
      <c r="U279">
        <f>IF($Q279="","",$AL279*10000000+$T279*1000+275)</f>
        <v/>
      </c>
      <c r="V279">
        <f>IFERROR(MATCH(SMALL($U$5:$U$404,275),$U$5:$U$404,0),"")</f>
        <v/>
      </c>
      <c r="W279">
        <f>IF($V279="","",INDEX($Q$5:$Q$404,$V279))</f>
        <v/>
      </c>
      <c r="X279">
        <f>IF($V279="","",INDEX($S$5:$S$404,$V279))</f>
        <v/>
      </c>
      <c r="Y279">
        <f>IF($V279="","",INDEX($R$5:$R$404,$V279))</f>
        <v/>
      </c>
      <c r="Z279">
        <f>IF($V279="",0,IF($X279&lt;&gt;$X278,1,0))</f>
        <v/>
      </c>
      <c r="AA279">
        <f>IF($V279="",0,IF($V280="",1,IF($X280&lt;&gt;$X279,1,0)))</f>
        <v/>
      </c>
      <c r="AB279">
        <f>IF($V279="",99999+275,$AB278+1+$Z278+$AA278+$AO278)</f>
        <v/>
      </c>
      <c r="AC279">
        <f>IFERROR(MATCH(275,$AB$5:$AB$404,1),"")</f>
        <v/>
      </c>
      <c r="AD279">
        <f>IF(275=$AI$1+1,"Z",IF($AC279="","",IF(INDEX($V$5:$V$404,$AC279)="","",IF(275&gt;INDEX($AB$5:$AB$404,$AC279)+INDEX($Z$5:$Z$404,$AC279)+INDEX($AA$5:$AA$404,$AC279)+INDEX($AO$5:$AO$404,$AC279),"",IF(275=INDEX($AB$5:$AB$404,$AC279)+INDEX($Z$5:$Z$404,$AC279),"D",IF(AND(INDEX($Z$5:$Z$404,$AC279)=1,275=INDEX($AB$5:$AB$404,$AC279)),"H",IF(AND(INDEX($AO$5:$AO$404,$AC279)=1,275=INDEX($AB$5:$AB$404,$AC279)+INDEX($Z$5:$Z$404,$AC279)+INDEX($AA$5:$AA$404,$AC279)+INDEX($AO$5:$AO$404,$AC279)),"B","T")))))))</f>
        <v/>
      </c>
      <c r="AF279">
        <f>IF(OR($AD279="",$AD279="Z",$AD279="B"),"",INDEX($X$5:$X$404,$AC279))</f>
        <v/>
      </c>
      <c r="AJ279">
        <f>IF($AD279&lt;&gt;"T",0,ROUND(SUMIF(oil!$B$4:$B$63,$AF279,oil!$AE$4:$AE$63),2))</f>
        <v/>
      </c>
      <c r="AK279">
        <f>IF($S279="","",IFERROR(INDEX(อัตราค่าขนส่ง!$P$5:$P$54,MATCH($S279,อัตราค่าขนส่ง!$O$5:$O$54,0)),INDEX(รายการมาตรฐาน!$G$2:$G$3,1)))</f>
        <v/>
      </c>
      <c r="AL279">
        <f>IF($S279="","",IFERROR(MATCH($AK279,รายการมาตรฐาน!$G$2:$G$3,0),1))</f>
        <v/>
      </c>
      <c r="AM279">
        <f>IF($V279="","",INDEX($AK$5:$AK$404,$V279))</f>
        <v/>
      </c>
      <c r="AN279">
        <f>IF($V279="","",INDEX($AL$5:$AL$404,$V279))</f>
        <v/>
      </c>
      <c r="AO279">
        <f>IF(OR($V279="",$AI$2&lt;=1),0,IF($V280="",1,IF($AN280&lt;&gt;$AN279,1,0)))</f>
        <v/>
      </c>
      <c r="AP279">
        <f>IF($V279="",0,IF($AN279&lt;&gt;$AN278,1,0))</f>
        <v/>
      </c>
      <c r="AQ279">
        <f>IF(OR($AD279="",$AD279="Z"),"",INDEX($AN$5:$AN$404,$AC279))</f>
        <v/>
      </c>
      <c r="AR279">
        <f>IF($Y279="",0,COUNTIF(บันทึกรายเที่ยว!$V$6:$V$6005,$Y279))</f>
        <v/>
      </c>
      <c r="AS279">
        <f>IF($Y279="",0,ROUND(SUMIF(บันทึกรายเที่ยว!$V$6:$V$6005,$Y279,บันทึกรายเที่ยว!$M$6:$M$6005),2))</f>
        <v/>
      </c>
      <c r="AT279">
        <f>IF($Y279="",0,IFERROR(INDEX(อัตราค่าขนส่ง!$G$5:$G$204,MATCH($Y279,อัตราค่าขนส่ง!$M$5:$M$204,0)),0))</f>
        <v/>
      </c>
      <c r="AU279">
        <f>ROUND($AS279*$BD279,2)</f>
        <v/>
      </c>
      <c r="AV279">
        <f>ROUND($AU279*$BF$2/100,2)</f>
        <v/>
      </c>
      <c r="AW279">
        <f>IF($Y279="","",IFERROR(INDEX(อัตราค่าขนส่ง!$F$5:$F$204,MATCH($Y279,อัตราค่าขนส่ง!$M$5:$M$204,0)),""))</f>
        <v/>
      </c>
      <c r="AX279">
        <f>IF($W279="","",INDEX(บันทึกรายเที่ยว!$D$6:$D$6005,$W279))</f>
        <v/>
      </c>
      <c r="AY279">
        <f>IF($W279="","",INDEX(บันทึกรายเที่ยว!$R$6:$R$6005,$W279))</f>
        <v/>
      </c>
      <c r="AZ279">
        <f>IF(AND($AD279="T",$AQ279=1),N($AZ278)+1,N($AZ278))</f>
        <v/>
      </c>
      <c r="BA279">
        <f>IF($W279="","",INDEX(บันทึกรายเที่ยว!$E$6:$E$6005,$W279))</f>
        <v/>
      </c>
      <c r="BC279">
        <f>IF($Y279="",0,IFERROR(INDEX(อัตราค่าขนส่ง!$K$5:$K$204,MATCH($Y279,อัตราค่าขนส่ง!$M$5:$M$204,0)),0))</f>
        <v/>
      </c>
      <c r="BD279">
        <f>IF($Y279="",0,IFERROR(INDEX(อัตราค่าขนส่ง!$L$5:$L$204,MATCH($Y279,อัตราค่าขนส่ง!$M$5:$M$204,0)),0))</f>
        <v/>
      </c>
    </row>
    <row r="280" ht="21" customHeight="1" s="66">
      <c r="A280" s="69">
        <f>IF($AD280="","",IF($AD280="Z","รวมจ่ายทั้งสิ้น",IF($AD280="H",INDEX($X$5:$X$404,$AC280),IF($AD280="T","รวม",IF($AD280="B",IFERROR(INDEX(อัตราค่าขนส่ง!$S$5:$S$14,MATCH(INDEX($AM$5:$AM$404,$AC280),อัตราค่าขนส่ง!$R$5:$R$14,0)),"รวมกลุ่ม "&amp;INDEX($AM$5:$AM$404,$AC280)),INDEX($AY$5:$AY$404,$AC280))))))</f>
        <v/>
      </c>
      <c r="B280" s="31">
        <f>IF($AD280&lt;&gt;"D","",INDEX($AW$5:$AW$404,$AC280))</f>
        <v/>
      </c>
      <c r="C280" s="68">
        <f>IF($AD280&lt;&gt;"D","",INDEX($AX$5:$AX$404,$AC280))</f>
        <v/>
      </c>
      <c r="D280" s="70">
        <f>IF($AD280&lt;&gt;"D","",INDEX($BA$5:$BA$404,$AC280))</f>
        <v/>
      </c>
      <c r="E280" s="31">
        <f>IF($AD280="Z",SUM($AR$5:$AR$404),IF($AD280="D",INDEX($AR$5:$AR$404,$AC280),IF($AD280="T",SUMIF($X$5:$X$404,$AF280,$AR$5:$AR$404),IF($AD280="B",SUMIF($AN$5:$AN$404,$AQ280,$AR$5:$AR$404),""))))</f>
        <v/>
      </c>
      <c r="F280" s="32">
        <f>IF($AD280="Z",ROUND(SUM($AS$5:$AS$404),2),IF($AD280="D",INDEX($AS$5:$AS$404,$AC280),IF($AD280="T",ROUND(SUMIF($X$5:$X$404,$AF280,$AS$5:$AS$404),2),IF($AD280="B",ROUND(SUMIF($AN$5:$AN$404,$AQ280,$AS$5:$AS$404),2),""))))</f>
        <v/>
      </c>
      <c r="G280" s="32">
        <f>IF($AD280&lt;&gt;"D","",INDEX($AT$5:$AT$404,$AC280))</f>
        <v/>
      </c>
      <c r="H280" s="32">
        <f>IF($AD280&lt;&gt;"D","",INDEX($BC$5:$BC$404,$AC280))</f>
        <v/>
      </c>
      <c r="I280" s="32">
        <f>IF($AD280&lt;&gt;"D","",INDEX($BD$5:$BD$404,$AC280))</f>
        <v/>
      </c>
      <c r="J280" s="46">
        <f>IF($AD280&lt;&gt;"D","",IF(N($B280)=0,"",ROUND($I280/$B280,4)))</f>
        <v/>
      </c>
      <c r="K280" s="32">
        <f>IF($AD280="Z",ROUND(SUM($AU$5:$AU$404),2),IF($AD280="D",INDEX($AU$5:$AU$404,$AC280),IF($AD280="T",ROUND(SUMIF($X$5:$X$404,$AF280,$AU$5:$AU$404),2),IF($AD280="B",ROUND(SUMIF($AN$5:$AN$404,$AQ280,$AU$5:$AU$404),2),""))))</f>
        <v/>
      </c>
      <c r="L280" s="32">
        <f>IF($AD280="Z",ROUND(SUM($AV$5:$AV$404),2),IF($AD280="D",INDEX($AV$5:$AV$404,$AC280),IF($AD280="T",ROUND(SUMIF($X$5:$X$404,$AF280,$AV$5:$AV$404),2),IF($AD280="B",ROUND(SUMIF($AN$5:$AN$404,$AQ280,$AV$5:$AV$404),2),""))))</f>
        <v/>
      </c>
      <c r="M280" s="32">
        <f>IF($AD280="Z",ROUND(SUM($AJ$5:$AJ$704),2),IF($AD280="B",ROUND(SUMIF($AQ$5:$AQ$704,$AQ280,$AJ$5:$AJ$704),2),IF($AD280&lt;&gt;"T","",$AJ280)))</f>
        <v/>
      </c>
      <c r="N280" s="32">
        <f>IF(OR($AD280="D",$AD280="T",$AD280="B",$AD280="Z"),ROUND(N($K280)-N($L280)-N($M280),2),"")</f>
        <v/>
      </c>
      <c r="O280" s="32">
        <f>IF(OR($AD280="D",$AD280="T",$AD280="B",$AD280="Z"),IF(N($E280)=0,"",ROUND($F280/$E280,2)),"")</f>
        <v/>
      </c>
      <c r="Q280">
        <f>IFERROR(MATCH(276,บันทึกรายเที่ยว!$Z$6:$Z$6005,0),"")</f>
        <v/>
      </c>
      <c r="R280">
        <f>IF($Q280="","",INDEX(บันทึกรายเที่ยว!$V$6:$V$6005,$Q280))</f>
        <v/>
      </c>
      <c r="S280">
        <f>IF($Q280="","",INDEX(บันทึกรายเที่ยว!$F$6:$F$6005,$Q280))</f>
        <v/>
      </c>
      <c r="T280">
        <f>IF($Q280="","",MATCH($S280,บันทึกรายเที่ยว!$F$6:$F$6005,0))</f>
        <v/>
      </c>
      <c r="U280">
        <f>IF($Q280="","",$AL280*10000000+$T280*1000+276)</f>
        <v/>
      </c>
      <c r="V280">
        <f>IFERROR(MATCH(SMALL($U$5:$U$404,276),$U$5:$U$404,0),"")</f>
        <v/>
      </c>
      <c r="W280">
        <f>IF($V280="","",INDEX($Q$5:$Q$404,$V280))</f>
        <v/>
      </c>
      <c r="X280">
        <f>IF($V280="","",INDEX($S$5:$S$404,$V280))</f>
        <v/>
      </c>
      <c r="Y280">
        <f>IF($V280="","",INDEX($R$5:$R$404,$V280))</f>
        <v/>
      </c>
      <c r="Z280">
        <f>IF($V280="",0,IF($X280&lt;&gt;$X279,1,0))</f>
        <v/>
      </c>
      <c r="AA280">
        <f>IF($V280="",0,IF($V281="",1,IF($X281&lt;&gt;$X280,1,0)))</f>
        <v/>
      </c>
      <c r="AB280">
        <f>IF($V280="",99999+276,$AB279+1+$Z279+$AA279+$AO279)</f>
        <v/>
      </c>
      <c r="AC280">
        <f>IFERROR(MATCH(276,$AB$5:$AB$404,1),"")</f>
        <v/>
      </c>
      <c r="AD280">
        <f>IF(276=$AI$1+1,"Z",IF($AC280="","",IF(INDEX($V$5:$V$404,$AC280)="","",IF(276&gt;INDEX($AB$5:$AB$404,$AC280)+INDEX($Z$5:$Z$404,$AC280)+INDEX($AA$5:$AA$404,$AC280)+INDEX($AO$5:$AO$404,$AC280),"",IF(276=INDEX($AB$5:$AB$404,$AC280)+INDEX($Z$5:$Z$404,$AC280),"D",IF(AND(INDEX($Z$5:$Z$404,$AC280)=1,276=INDEX($AB$5:$AB$404,$AC280)),"H",IF(AND(INDEX($AO$5:$AO$404,$AC280)=1,276=INDEX($AB$5:$AB$404,$AC280)+INDEX($Z$5:$Z$404,$AC280)+INDEX($AA$5:$AA$404,$AC280)+INDEX($AO$5:$AO$404,$AC280)),"B","T")))))))</f>
        <v/>
      </c>
      <c r="AF280">
        <f>IF(OR($AD280="",$AD280="Z",$AD280="B"),"",INDEX($X$5:$X$404,$AC280))</f>
        <v/>
      </c>
      <c r="AJ280">
        <f>IF($AD280&lt;&gt;"T",0,ROUND(SUMIF(oil!$B$4:$B$63,$AF280,oil!$AE$4:$AE$63),2))</f>
        <v/>
      </c>
      <c r="AK280">
        <f>IF($S280="","",IFERROR(INDEX(อัตราค่าขนส่ง!$P$5:$P$54,MATCH($S280,อัตราค่าขนส่ง!$O$5:$O$54,0)),INDEX(รายการมาตรฐาน!$G$2:$G$3,1)))</f>
        <v/>
      </c>
      <c r="AL280">
        <f>IF($S280="","",IFERROR(MATCH($AK280,รายการมาตรฐาน!$G$2:$G$3,0),1))</f>
        <v/>
      </c>
      <c r="AM280">
        <f>IF($V280="","",INDEX($AK$5:$AK$404,$V280))</f>
        <v/>
      </c>
      <c r="AN280">
        <f>IF($V280="","",INDEX($AL$5:$AL$404,$V280))</f>
        <v/>
      </c>
      <c r="AO280">
        <f>IF(OR($V280="",$AI$2&lt;=1),0,IF($V281="",1,IF($AN281&lt;&gt;$AN280,1,0)))</f>
        <v/>
      </c>
      <c r="AP280">
        <f>IF($V280="",0,IF($AN280&lt;&gt;$AN279,1,0))</f>
        <v/>
      </c>
      <c r="AQ280">
        <f>IF(OR($AD280="",$AD280="Z"),"",INDEX($AN$5:$AN$404,$AC280))</f>
        <v/>
      </c>
      <c r="AR280">
        <f>IF($Y280="",0,COUNTIF(บันทึกรายเที่ยว!$V$6:$V$6005,$Y280))</f>
        <v/>
      </c>
      <c r="AS280">
        <f>IF($Y280="",0,ROUND(SUMIF(บันทึกรายเที่ยว!$V$6:$V$6005,$Y280,บันทึกรายเที่ยว!$M$6:$M$6005),2))</f>
        <v/>
      </c>
      <c r="AT280">
        <f>IF($Y280="",0,IFERROR(INDEX(อัตราค่าขนส่ง!$G$5:$G$204,MATCH($Y280,อัตราค่าขนส่ง!$M$5:$M$204,0)),0))</f>
        <v/>
      </c>
      <c r="AU280">
        <f>ROUND($AS280*$BD280,2)</f>
        <v/>
      </c>
      <c r="AV280">
        <f>ROUND($AU280*$BF$2/100,2)</f>
        <v/>
      </c>
      <c r="AW280">
        <f>IF($Y280="","",IFERROR(INDEX(อัตราค่าขนส่ง!$F$5:$F$204,MATCH($Y280,อัตราค่าขนส่ง!$M$5:$M$204,0)),""))</f>
        <v/>
      </c>
      <c r="AX280">
        <f>IF($W280="","",INDEX(บันทึกรายเที่ยว!$D$6:$D$6005,$W280))</f>
        <v/>
      </c>
      <c r="AY280">
        <f>IF($W280="","",INDEX(บันทึกรายเที่ยว!$R$6:$R$6005,$W280))</f>
        <v/>
      </c>
      <c r="AZ280">
        <f>IF(AND($AD280="T",$AQ280=1),N($AZ279)+1,N($AZ279))</f>
        <v/>
      </c>
      <c r="BA280">
        <f>IF($W280="","",INDEX(บันทึกรายเที่ยว!$E$6:$E$6005,$W280))</f>
        <v/>
      </c>
      <c r="BC280">
        <f>IF($Y280="",0,IFERROR(INDEX(อัตราค่าขนส่ง!$K$5:$K$204,MATCH($Y280,อัตราค่าขนส่ง!$M$5:$M$204,0)),0))</f>
        <v/>
      </c>
      <c r="BD280">
        <f>IF($Y280="",0,IFERROR(INDEX(อัตราค่าขนส่ง!$L$5:$L$204,MATCH($Y280,อัตราค่าขนส่ง!$M$5:$M$204,0)),0))</f>
        <v/>
      </c>
    </row>
    <row r="281" ht="21" customHeight="1" s="66">
      <c r="A281" s="69">
        <f>IF($AD281="","",IF($AD281="Z","รวมจ่ายทั้งสิ้น",IF($AD281="H",INDEX($X$5:$X$404,$AC281),IF($AD281="T","รวม",IF($AD281="B",IFERROR(INDEX(อัตราค่าขนส่ง!$S$5:$S$14,MATCH(INDEX($AM$5:$AM$404,$AC281),อัตราค่าขนส่ง!$R$5:$R$14,0)),"รวมกลุ่ม "&amp;INDEX($AM$5:$AM$404,$AC281)),INDEX($AY$5:$AY$404,$AC281))))))</f>
        <v/>
      </c>
      <c r="B281" s="31">
        <f>IF($AD281&lt;&gt;"D","",INDEX($AW$5:$AW$404,$AC281))</f>
        <v/>
      </c>
      <c r="C281" s="68">
        <f>IF($AD281&lt;&gt;"D","",INDEX($AX$5:$AX$404,$AC281))</f>
        <v/>
      </c>
      <c r="D281" s="70">
        <f>IF($AD281&lt;&gt;"D","",INDEX($BA$5:$BA$404,$AC281))</f>
        <v/>
      </c>
      <c r="E281" s="31">
        <f>IF($AD281="Z",SUM($AR$5:$AR$404),IF($AD281="D",INDEX($AR$5:$AR$404,$AC281),IF($AD281="T",SUMIF($X$5:$X$404,$AF281,$AR$5:$AR$404),IF($AD281="B",SUMIF($AN$5:$AN$404,$AQ281,$AR$5:$AR$404),""))))</f>
        <v/>
      </c>
      <c r="F281" s="32">
        <f>IF($AD281="Z",ROUND(SUM($AS$5:$AS$404),2),IF($AD281="D",INDEX($AS$5:$AS$404,$AC281),IF($AD281="T",ROUND(SUMIF($X$5:$X$404,$AF281,$AS$5:$AS$404),2),IF($AD281="B",ROUND(SUMIF($AN$5:$AN$404,$AQ281,$AS$5:$AS$404),2),""))))</f>
        <v/>
      </c>
      <c r="G281" s="32">
        <f>IF($AD281&lt;&gt;"D","",INDEX($AT$5:$AT$404,$AC281))</f>
        <v/>
      </c>
      <c r="H281" s="32">
        <f>IF($AD281&lt;&gt;"D","",INDEX($BC$5:$BC$404,$AC281))</f>
        <v/>
      </c>
      <c r="I281" s="32">
        <f>IF($AD281&lt;&gt;"D","",INDEX($BD$5:$BD$404,$AC281))</f>
        <v/>
      </c>
      <c r="J281" s="46">
        <f>IF($AD281&lt;&gt;"D","",IF(N($B281)=0,"",ROUND($I281/$B281,4)))</f>
        <v/>
      </c>
      <c r="K281" s="32">
        <f>IF($AD281="Z",ROUND(SUM($AU$5:$AU$404),2),IF($AD281="D",INDEX($AU$5:$AU$404,$AC281),IF($AD281="T",ROUND(SUMIF($X$5:$X$404,$AF281,$AU$5:$AU$404),2),IF($AD281="B",ROUND(SUMIF($AN$5:$AN$404,$AQ281,$AU$5:$AU$404),2),""))))</f>
        <v/>
      </c>
      <c r="L281" s="32">
        <f>IF($AD281="Z",ROUND(SUM($AV$5:$AV$404),2),IF($AD281="D",INDEX($AV$5:$AV$404,$AC281),IF($AD281="T",ROUND(SUMIF($X$5:$X$404,$AF281,$AV$5:$AV$404),2),IF($AD281="B",ROUND(SUMIF($AN$5:$AN$404,$AQ281,$AV$5:$AV$404),2),""))))</f>
        <v/>
      </c>
      <c r="M281" s="32">
        <f>IF($AD281="Z",ROUND(SUM($AJ$5:$AJ$704),2),IF($AD281="B",ROUND(SUMIF($AQ$5:$AQ$704,$AQ281,$AJ$5:$AJ$704),2),IF($AD281&lt;&gt;"T","",$AJ281)))</f>
        <v/>
      </c>
      <c r="N281" s="32">
        <f>IF(OR($AD281="D",$AD281="T",$AD281="B",$AD281="Z"),ROUND(N($K281)-N($L281)-N($M281),2),"")</f>
        <v/>
      </c>
      <c r="O281" s="32">
        <f>IF(OR($AD281="D",$AD281="T",$AD281="B",$AD281="Z"),IF(N($E281)=0,"",ROUND($F281/$E281,2)),"")</f>
        <v/>
      </c>
      <c r="Q281">
        <f>IFERROR(MATCH(277,บันทึกรายเที่ยว!$Z$6:$Z$6005,0),"")</f>
        <v/>
      </c>
      <c r="R281">
        <f>IF($Q281="","",INDEX(บันทึกรายเที่ยว!$V$6:$V$6005,$Q281))</f>
        <v/>
      </c>
      <c r="S281">
        <f>IF($Q281="","",INDEX(บันทึกรายเที่ยว!$F$6:$F$6005,$Q281))</f>
        <v/>
      </c>
      <c r="T281">
        <f>IF($Q281="","",MATCH($S281,บันทึกรายเที่ยว!$F$6:$F$6005,0))</f>
        <v/>
      </c>
      <c r="U281">
        <f>IF($Q281="","",$AL281*10000000+$T281*1000+277)</f>
        <v/>
      </c>
      <c r="V281">
        <f>IFERROR(MATCH(SMALL($U$5:$U$404,277),$U$5:$U$404,0),"")</f>
        <v/>
      </c>
      <c r="W281">
        <f>IF($V281="","",INDEX($Q$5:$Q$404,$V281))</f>
        <v/>
      </c>
      <c r="X281">
        <f>IF($V281="","",INDEX($S$5:$S$404,$V281))</f>
        <v/>
      </c>
      <c r="Y281">
        <f>IF($V281="","",INDEX($R$5:$R$404,$V281))</f>
        <v/>
      </c>
      <c r="Z281">
        <f>IF($V281="",0,IF($X281&lt;&gt;$X280,1,0))</f>
        <v/>
      </c>
      <c r="AA281">
        <f>IF($V281="",0,IF($V282="",1,IF($X282&lt;&gt;$X281,1,0)))</f>
        <v/>
      </c>
      <c r="AB281">
        <f>IF($V281="",99999+277,$AB280+1+$Z280+$AA280+$AO280)</f>
        <v/>
      </c>
      <c r="AC281">
        <f>IFERROR(MATCH(277,$AB$5:$AB$404,1),"")</f>
        <v/>
      </c>
      <c r="AD281">
        <f>IF(277=$AI$1+1,"Z",IF($AC281="","",IF(INDEX($V$5:$V$404,$AC281)="","",IF(277&gt;INDEX($AB$5:$AB$404,$AC281)+INDEX($Z$5:$Z$404,$AC281)+INDEX($AA$5:$AA$404,$AC281)+INDEX($AO$5:$AO$404,$AC281),"",IF(277=INDEX($AB$5:$AB$404,$AC281)+INDEX($Z$5:$Z$404,$AC281),"D",IF(AND(INDEX($Z$5:$Z$404,$AC281)=1,277=INDEX($AB$5:$AB$404,$AC281)),"H",IF(AND(INDEX($AO$5:$AO$404,$AC281)=1,277=INDEX($AB$5:$AB$404,$AC281)+INDEX($Z$5:$Z$404,$AC281)+INDEX($AA$5:$AA$404,$AC281)+INDEX($AO$5:$AO$404,$AC281)),"B","T")))))))</f>
        <v/>
      </c>
      <c r="AF281">
        <f>IF(OR($AD281="",$AD281="Z",$AD281="B"),"",INDEX($X$5:$X$404,$AC281))</f>
        <v/>
      </c>
      <c r="AJ281">
        <f>IF($AD281&lt;&gt;"T",0,ROUND(SUMIF(oil!$B$4:$B$63,$AF281,oil!$AE$4:$AE$63),2))</f>
        <v/>
      </c>
      <c r="AK281">
        <f>IF($S281="","",IFERROR(INDEX(อัตราค่าขนส่ง!$P$5:$P$54,MATCH($S281,อัตราค่าขนส่ง!$O$5:$O$54,0)),INDEX(รายการมาตรฐาน!$G$2:$G$3,1)))</f>
        <v/>
      </c>
      <c r="AL281">
        <f>IF($S281="","",IFERROR(MATCH($AK281,รายการมาตรฐาน!$G$2:$G$3,0),1))</f>
        <v/>
      </c>
      <c r="AM281">
        <f>IF($V281="","",INDEX($AK$5:$AK$404,$V281))</f>
        <v/>
      </c>
      <c r="AN281">
        <f>IF($V281="","",INDEX($AL$5:$AL$404,$V281))</f>
        <v/>
      </c>
      <c r="AO281">
        <f>IF(OR($V281="",$AI$2&lt;=1),0,IF($V282="",1,IF($AN282&lt;&gt;$AN281,1,0)))</f>
        <v/>
      </c>
      <c r="AP281">
        <f>IF($V281="",0,IF($AN281&lt;&gt;$AN280,1,0))</f>
        <v/>
      </c>
      <c r="AQ281">
        <f>IF(OR($AD281="",$AD281="Z"),"",INDEX($AN$5:$AN$404,$AC281))</f>
        <v/>
      </c>
      <c r="AR281">
        <f>IF($Y281="",0,COUNTIF(บันทึกรายเที่ยว!$V$6:$V$6005,$Y281))</f>
        <v/>
      </c>
      <c r="AS281">
        <f>IF($Y281="",0,ROUND(SUMIF(บันทึกรายเที่ยว!$V$6:$V$6005,$Y281,บันทึกรายเที่ยว!$M$6:$M$6005),2))</f>
        <v/>
      </c>
      <c r="AT281">
        <f>IF($Y281="",0,IFERROR(INDEX(อัตราค่าขนส่ง!$G$5:$G$204,MATCH($Y281,อัตราค่าขนส่ง!$M$5:$M$204,0)),0))</f>
        <v/>
      </c>
      <c r="AU281">
        <f>ROUND($AS281*$BD281,2)</f>
        <v/>
      </c>
      <c r="AV281">
        <f>ROUND($AU281*$BF$2/100,2)</f>
        <v/>
      </c>
      <c r="AW281">
        <f>IF($Y281="","",IFERROR(INDEX(อัตราค่าขนส่ง!$F$5:$F$204,MATCH($Y281,อัตราค่าขนส่ง!$M$5:$M$204,0)),""))</f>
        <v/>
      </c>
      <c r="AX281">
        <f>IF($W281="","",INDEX(บันทึกรายเที่ยว!$D$6:$D$6005,$W281))</f>
        <v/>
      </c>
      <c r="AY281">
        <f>IF($W281="","",INDEX(บันทึกรายเที่ยว!$R$6:$R$6005,$W281))</f>
        <v/>
      </c>
      <c r="AZ281">
        <f>IF(AND($AD281="T",$AQ281=1),N($AZ280)+1,N($AZ280))</f>
        <v/>
      </c>
      <c r="BA281">
        <f>IF($W281="","",INDEX(บันทึกรายเที่ยว!$E$6:$E$6005,$W281))</f>
        <v/>
      </c>
      <c r="BC281">
        <f>IF($Y281="",0,IFERROR(INDEX(อัตราค่าขนส่ง!$K$5:$K$204,MATCH($Y281,อัตราค่าขนส่ง!$M$5:$M$204,0)),0))</f>
        <v/>
      </c>
      <c r="BD281">
        <f>IF($Y281="",0,IFERROR(INDEX(อัตราค่าขนส่ง!$L$5:$L$204,MATCH($Y281,อัตราค่าขนส่ง!$M$5:$M$204,0)),0))</f>
        <v/>
      </c>
    </row>
    <row r="282" ht="21" customHeight="1" s="66">
      <c r="A282" s="69">
        <f>IF($AD282="","",IF($AD282="Z","รวมจ่ายทั้งสิ้น",IF($AD282="H",INDEX($X$5:$X$404,$AC282),IF($AD282="T","รวม",IF($AD282="B",IFERROR(INDEX(อัตราค่าขนส่ง!$S$5:$S$14,MATCH(INDEX($AM$5:$AM$404,$AC282),อัตราค่าขนส่ง!$R$5:$R$14,0)),"รวมกลุ่ม "&amp;INDEX($AM$5:$AM$404,$AC282)),INDEX($AY$5:$AY$404,$AC282))))))</f>
        <v/>
      </c>
      <c r="B282" s="31">
        <f>IF($AD282&lt;&gt;"D","",INDEX($AW$5:$AW$404,$AC282))</f>
        <v/>
      </c>
      <c r="C282" s="68">
        <f>IF($AD282&lt;&gt;"D","",INDEX($AX$5:$AX$404,$AC282))</f>
        <v/>
      </c>
      <c r="D282" s="70">
        <f>IF($AD282&lt;&gt;"D","",INDEX($BA$5:$BA$404,$AC282))</f>
        <v/>
      </c>
      <c r="E282" s="31">
        <f>IF($AD282="Z",SUM($AR$5:$AR$404),IF($AD282="D",INDEX($AR$5:$AR$404,$AC282),IF($AD282="T",SUMIF($X$5:$X$404,$AF282,$AR$5:$AR$404),IF($AD282="B",SUMIF($AN$5:$AN$404,$AQ282,$AR$5:$AR$404),""))))</f>
        <v/>
      </c>
      <c r="F282" s="32">
        <f>IF($AD282="Z",ROUND(SUM($AS$5:$AS$404),2),IF($AD282="D",INDEX($AS$5:$AS$404,$AC282),IF($AD282="T",ROUND(SUMIF($X$5:$X$404,$AF282,$AS$5:$AS$404),2),IF($AD282="B",ROUND(SUMIF($AN$5:$AN$404,$AQ282,$AS$5:$AS$404),2),""))))</f>
        <v/>
      </c>
      <c r="G282" s="32">
        <f>IF($AD282&lt;&gt;"D","",INDEX($AT$5:$AT$404,$AC282))</f>
        <v/>
      </c>
      <c r="H282" s="32">
        <f>IF($AD282&lt;&gt;"D","",INDEX($BC$5:$BC$404,$AC282))</f>
        <v/>
      </c>
      <c r="I282" s="32">
        <f>IF($AD282&lt;&gt;"D","",INDEX($BD$5:$BD$404,$AC282))</f>
        <v/>
      </c>
      <c r="J282" s="46">
        <f>IF($AD282&lt;&gt;"D","",IF(N($B282)=0,"",ROUND($I282/$B282,4)))</f>
        <v/>
      </c>
      <c r="K282" s="32">
        <f>IF($AD282="Z",ROUND(SUM($AU$5:$AU$404),2),IF($AD282="D",INDEX($AU$5:$AU$404,$AC282),IF($AD282="T",ROUND(SUMIF($X$5:$X$404,$AF282,$AU$5:$AU$404),2),IF($AD282="B",ROUND(SUMIF($AN$5:$AN$404,$AQ282,$AU$5:$AU$404),2),""))))</f>
        <v/>
      </c>
      <c r="L282" s="32">
        <f>IF($AD282="Z",ROUND(SUM($AV$5:$AV$404),2),IF($AD282="D",INDEX($AV$5:$AV$404,$AC282),IF($AD282="T",ROUND(SUMIF($X$5:$X$404,$AF282,$AV$5:$AV$404),2),IF($AD282="B",ROUND(SUMIF($AN$5:$AN$404,$AQ282,$AV$5:$AV$404),2),""))))</f>
        <v/>
      </c>
      <c r="M282" s="32">
        <f>IF($AD282="Z",ROUND(SUM($AJ$5:$AJ$704),2),IF($AD282="B",ROUND(SUMIF($AQ$5:$AQ$704,$AQ282,$AJ$5:$AJ$704),2),IF($AD282&lt;&gt;"T","",$AJ282)))</f>
        <v/>
      </c>
      <c r="N282" s="32">
        <f>IF(OR($AD282="D",$AD282="T",$AD282="B",$AD282="Z"),ROUND(N($K282)-N($L282)-N($M282),2),"")</f>
        <v/>
      </c>
      <c r="O282" s="32">
        <f>IF(OR($AD282="D",$AD282="T",$AD282="B",$AD282="Z"),IF(N($E282)=0,"",ROUND($F282/$E282,2)),"")</f>
        <v/>
      </c>
      <c r="Q282">
        <f>IFERROR(MATCH(278,บันทึกรายเที่ยว!$Z$6:$Z$6005,0),"")</f>
        <v/>
      </c>
      <c r="R282">
        <f>IF($Q282="","",INDEX(บันทึกรายเที่ยว!$V$6:$V$6005,$Q282))</f>
        <v/>
      </c>
      <c r="S282">
        <f>IF($Q282="","",INDEX(บันทึกรายเที่ยว!$F$6:$F$6005,$Q282))</f>
        <v/>
      </c>
      <c r="T282">
        <f>IF($Q282="","",MATCH($S282,บันทึกรายเที่ยว!$F$6:$F$6005,0))</f>
        <v/>
      </c>
      <c r="U282">
        <f>IF($Q282="","",$AL282*10000000+$T282*1000+278)</f>
        <v/>
      </c>
      <c r="V282">
        <f>IFERROR(MATCH(SMALL($U$5:$U$404,278),$U$5:$U$404,0),"")</f>
        <v/>
      </c>
      <c r="W282">
        <f>IF($V282="","",INDEX($Q$5:$Q$404,$V282))</f>
        <v/>
      </c>
      <c r="X282">
        <f>IF($V282="","",INDEX($S$5:$S$404,$V282))</f>
        <v/>
      </c>
      <c r="Y282">
        <f>IF($V282="","",INDEX($R$5:$R$404,$V282))</f>
        <v/>
      </c>
      <c r="Z282">
        <f>IF($V282="",0,IF($X282&lt;&gt;$X281,1,0))</f>
        <v/>
      </c>
      <c r="AA282">
        <f>IF($V282="",0,IF($V283="",1,IF($X283&lt;&gt;$X282,1,0)))</f>
        <v/>
      </c>
      <c r="AB282">
        <f>IF($V282="",99999+278,$AB281+1+$Z281+$AA281+$AO281)</f>
        <v/>
      </c>
      <c r="AC282">
        <f>IFERROR(MATCH(278,$AB$5:$AB$404,1),"")</f>
        <v/>
      </c>
      <c r="AD282">
        <f>IF(278=$AI$1+1,"Z",IF($AC282="","",IF(INDEX($V$5:$V$404,$AC282)="","",IF(278&gt;INDEX($AB$5:$AB$404,$AC282)+INDEX($Z$5:$Z$404,$AC282)+INDEX($AA$5:$AA$404,$AC282)+INDEX($AO$5:$AO$404,$AC282),"",IF(278=INDEX($AB$5:$AB$404,$AC282)+INDEX($Z$5:$Z$404,$AC282),"D",IF(AND(INDEX($Z$5:$Z$404,$AC282)=1,278=INDEX($AB$5:$AB$404,$AC282)),"H",IF(AND(INDEX($AO$5:$AO$404,$AC282)=1,278=INDEX($AB$5:$AB$404,$AC282)+INDEX($Z$5:$Z$404,$AC282)+INDEX($AA$5:$AA$404,$AC282)+INDEX($AO$5:$AO$404,$AC282)),"B","T")))))))</f>
        <v/>
      </c>
      <c r="AF282">
        <f>IF(OR($AD282="",$AD282="Z",$AD282="B"),"",INDEX($X$5:$X$404,$AC282))</f>
        <v/>
      </c>
      <c r="AJ282">
        <f>IF($AD282&lt;&gt;"T",0,ROUND(SUMIF(oil!$B$4:$B$63,$AF282,oil!$AE$4:$AE$63),2))</f>
        <v/>
      </c>
      <c r="AK282">
        <f>IF($S282="","",IFERROR(INDEX(อัตราค่าขนส่ง!$P$5:$P$54,MATCH($S282,อัตราค่าขนส่ง!$O$5:$O$54,0)),INDEX(รายการมาตรฐาน!$G$2:$G$3,1)))</f>
        <v/>
      </c>
      <c r="AL282">
        <f>IF($S282="","",IFERROR(MATCH($AK282,รายการมาตรฐาน!$G$2:$G$3,0),1))</f>
        <v/>
      </c>
      <c r="AM282">
        <f>IF($V282="","",INDEX($AK$5:$AK$404,$V282))</f>
        <v/>
      </c>
      <c r="AN282">
        <f>IF($V282="","",INDEX($AL$5:$AL$404,$V282))</f>
        <v/>
      </c>
      <c r="AO282">
        <f>IF(OR($V282="",$AI$2&lt;=1),0,IF($V283="",1,IF($AN283&lt;&gt;$AN282,1,0)))</f>
        <v/>
      </c>
      <c r="AP282">
        <f>IF($V282="",0,IF($AN282&lt;&gt;$AN281,1,0))</f>
        <v/>
      </c>
      <c r="AQ282">
        <f>IF(OR($AD282="",$AD282="Z"),"",INDEX($AN$5:$AN$404,$AC282))</f>
        <v/>
      </c>
      <c r="AR282">
        <f>IF($Y282="",0,COUNTIF(บันทึกรายเที่ยว!$V$6:$V$6005,$Y282))</f>
        <v/>
      </c>
      <c r="AS282">
        <f>IF($Y282="",0,ROUND(SUMIF(บันทึกรายเที่ยว!$V$6:$V$6005,$Y282,บันทึกรายเที่ยว!$M$6:$M$6005),2))</f>
        <v/>
      </c>
      <c r="AT282">
        <f>IF($Y282="",0,IFERROR(INDEX(อัตราค่าขนส่ง!$G$5:$G$204,MATCH($Y282,อัตราค่าขนส่ง!$M$5:$M$204,0)),0))</f>
        <v/>
      </c>
      <c r="AU282">
        <f>ROUND($AS282*$BD282,2)</f>
        <v/>
      </c>
      <c r="AV282">
        <f>ROUND($AU282*$BF$2/100,2)</f>
        <v/>
      </c>
      <c r="AW282">
        <f>IF($Y282="","",IFERROR(INDEX(อัตราค่าขนส่ง!$F$5:$F$204,MATCH($Y282,อัตราค่าขนส่ง!$M$5:$M$204,0)),""))</f>
        <v/>
      </c>
      <c r="AX282">
        <f>IF($W282="","",INDEX(บันทึกรายเที่ยว!$D$6:$D$6005,$W282))</f>
        <v/>
      </c>
      <c r="AY282">
        <f>IF($W282="","",INDEX(บันทึกรายเที่ยว!$R$6:$R$6005,$W282))</f>
        <v/>
      </c>
      <c r="AZ282">
        <f>IF(AND($AD282="T",$AQ282=1),N($AZ281)+1,N($AZ281))</f>
        <v/>
      </c>
      <c r="BA282">
        <f>IF($W282="","",INDEX(บันทึกรายเที่ยว!$E$6:$E$6005,$W282))</f>
        <v/>
      </c>
      <c r="BC282">
        <f>IF($Y282="",0,IFERROR(INDEX(อัตราค่าขนส่ง!$K$5:$K$204,MATCH($Y282,อัตราค่าขนส่ง!$M$5:$M$204,0)),0))</f>
        <v/>
      </c>
      <c r="BD282">
        <f>IF($Y282="",0,IFERROR(INDEX(อัตราค่าขนส่ง!$L$5:$L$204,MATCH($Y282,อัตราค่าขนส่ง!$M$5:$M$204,0)),0))</f>
        <v/>
      </c>
    </row>
    <row r="283" ht="21" customHeight="1" s="66">
      <c r="A283" s="69">
        <f>IF($AD283="","",IF($AD283="Z","รวมจ่ายทั้งสิ้น",IF($AD283="H",INDEX($X$5:$X$404,$AC283),IF($AD283="T","รวม",IF($AD283="B",IFERROR(INDEX(อัตราค่าขนส่ง!$S$5:$S$14,MATCH(INDEX($AM$5:$AM$404,$AC283),อัตราค่าขนส่ง!$R$5:$R$14,0)),"รวมกลุ่ม "&amp;INDEX($AM$5:$AM$404,$AC283)),INDEX($AY$5:$AY$404,$AC283))))))</f>
        <v/>
      </c>
      <c r="B283" s="31">
        <f>IF($AD283&lt;&gt;"D","",INDEX($AW$5:$AW$404,$AC283))</f>
        <v/>
      </c>
      <c r="C283" s="68">
        <f>IF($AD283&lt;&gt;"D","",INDEX($AX$5:$AX$404,$AC283))</f>
        <v/>
      </c>
      <c r="D283" s="70">
        <f>IF($AD283&lt;&gt;"D","",INDEX($BA$5:$BA$404,$AC283))</f>
        <v/>
      </c>
      <c r="E283" s="31">
        <f>IF($AD283="Z",SUM($AR$5:$AR$404),IF($AD283="D",INDEX($AR$5:$AR$404,$AC283),IF($AD283="T",SUMIF($X$5:$X$404,$AF283,$AR$5:$AR$404),IF($AD283="B",SUMIF($AN$5:$AN$404,$AQ283,$AR$5:$AR$404),""))))</f>
        <v/>
      </c>
      <c r="F283" s="32">
        <f>IF($AD283="Z",ROUND(SUM($AS$5:$AS$404),2),IF($AD283="D",INDEX($AS$5:$AS$404,$AC283),IF($AD283="T",ROUND(SUMIF($X$5:$X$404,$AF283,$AS$5:$AS$404),2),IF($AD283="B",ROUND(SUMIF($AN$5:$AN$404,$AQ283,$AS$5:$AS$404),2),""))))</f>
        <v/>
      </c>
      <c r="G283" s="32">
        <f>IF($AD283&lt;&gt;"D","",INDEX($AT$5:$AT$404,$AC283))</f>
        <v/>
      </c>
      <c r="H283" s="32">
        <f>IF($AD283&lt;&gt;"D","",INDEX($BC$5:$BC$404,$AC283))</f>
        <v/>
      </c>
      <c r="I283" s="32">
        <f>IF($AD283&lt;&gt;"D","",INDEX($BD$5:$BD$404,$AC283))</f>
        <v/>
      </c>
      <c r="J283" s="46">
        <f>IF($AD283&lt;&gt;"D","",IF(N($B283)=0,"",ROUND($I283/$B283,4)))</f>
        <v/>
      </c>
      <c r="K283" s="32">
        <f>IF($AD283="Z",ROUND(SUM($AU$5:$AU$404),2),IF($AD283="D",INDEX($AU$5:$AU$404,$AC283),IF($AD283="T",ROUND(SUMIF($X$5:$X$404,$AF283,$AU$5:$AU$404),2),IF($AD283="B",ROUND(SUMIF($AN$5:$AN$404,$AQ283,$AU$5:$AU$404),2),""))))</f>
        <v/>
      </c>
      <c r="L283" s="32">
        <f>IF($AD283="Z",ROUND(SUM($AV$5:$AV$404),2),IF($AD283="D",INDEX($AV$5:$AV$404,$AC283),IF($AD283="T",ROUND(SUMIF($X$5:$X$404,$AF283,$AV$5:$AV$404),2),IF($AD283="B",ROUND(SUMIF($AN$5:$AN$404,$AQ283,$AV$5:$AV$404),2),""))))</f>
        <v/>
      </c>
      <c r="M283" s="32">
        <f>IF($AD283="Z",ROUND(SUM($AJ$5:$AJ$704),2),IF($AD283="B",ROUND(SUMIF($AQ$5:$AQ$704,$AQ283,$AJ$5:$AJ$704),2),IF($AD283&lt;&gt;"T","",$AJ283)))</f>
        <v/>
      </c>
      <c r="N283" s="32">
        <f>IF(OR($AD283="D",$AD283="T",$AD283="B",$AD283="Z"),ROUND(N($K283)-N($L283)-N($M283),2),"")</f>
        <v/>
      </c>
      <c r="O283" s="32">
        <f>IF(OR($AD283="D",$AD283="T",$AD283="B",$AD283="Z"),IF(N($E283)=0,"",ROUND($F283/$E283,2)),"")</f>
        <v/>
      </c>
      <c r="Q283">
        <f>IFERROR(MATCH(279,บันทึกรายเที่ยว!$Z$6:$Z$6005,0),"")</f>
        <v/>
      </c>
      <c r="R283">
        <f>IF($Q283="","",INDEX(บันทึกรายเที่ยว!$V$6:$V$6005,$Q283))</f>
        <v/>
      </c>
      <c r="S283">
        <f>IF($Q283="","",INDEX(บันทึกรายเที่ยว!$F$6:$F$6005,$Q283))</f>
        <v/>
      </c>
      <c r="T283">
        <f>IF($Q283="","",MATCH($S283,บันทึกรายเที่ยว!$F$6:$F$6005,0))</f>
        <v/>
      </c>
      <c r="U283">
        <f>IF($Q283="","",$AL283*10000000+$T283*1000+279)</f>
        <v/>
      </c>
      <c r="V283">
        <f>IFERROR(MATCH(SMALL($U$5:$U$404,279),$U$5:$U$404,0),"")</f>
        <v/>
      </c>
      <c r="W283">
        <f>IF($V283="","",INDEX($Q$5:$Q$404,$V283))</f>
        <v/>
      </c>
      <c r="X283">
        <f>IF($V283="","",INDEX($S$5:$S$404,$V283))</f>
        <v/>
      </c>
      <c r="Y283">
        <f>IF($V283="","",INDEX($R$5:$R$404,$V283))</f>
        <v/>
      </c>
      <c r="Z283">
        <f>IF($V283="",0,IF($X283&lt;&gt;$X282,1,0))</f>
        <v/>
      </c>
      <c r="AA283">
        <f>IF($V283="",0,IF($V284="",1,IF($X284&lt;&gt;$X283,1,0)))</f>
        <v/>
      </c>
      <c r="AB283">
        <f>IF($V283="",99999+279,$AB282+1+$Z282+$AA282+$AO282)</f>
        <v/>
      </c>
      <c r="AC283">
        <f>IFERROR(MATCH(279,$AB$5:$AB$404,1),"")</f>
        <v/>
      </c>
      <c r="AD283">
        <f>IF(279=$AI$1+1,"Z",IF($AC283="","",IF(INDEX($V$5:$V$404,$AC283)="","",IF(279&gt;INDEX($AB$5:$AB$404,$AC283)+INDEX($Z$5:$Z$404,$AC283)+INDEX($AA$5:$AA$404,$AC283)+INDEX($AO$5:$AO$404,$AC283),"",IF(279=INDEX($AB$5:$AB$404,$AC283)+INDEX($Z$5:$Z$404,$AC283),"D",IF(AND(INDEX($Z$5:$Z$404,$AC283)=1,279=INDEX($AB$5:$AB$404,$AC283)),"H",IF(AND(INDEX($AO$5:$AO$404,$AC283)=1,279=INDEX($AB$5:$AB$404,$AC283)+INDEX($Z$5:$Z$404,$AC283)+INDEX($AA$5:$AA$404,$AC283)+INDEX($AO$5:$AO$404,$AC283)),"B","T")))))))</f>
        <v/>
      </c>
      <c r="AF283">
        <f>IF(OR($AD283="",$AD283="Z",$AD283="B"),"",INDEX($X$5:$X$404,$AC283))</f>
        <v/>
      </c>
      <c r="AJ283">
        <f>IF($AD283&lt;&gt;"T",0,ROUND(SUMIF(oil!$B$4:$B$63,$AF283,oil!$AE$4:$AE$63),2))</f>
        <v/>
      </c>
      <c r="AK283">
        <f>IF($S283="","",IFERROR(INDEX(อัตราค่าขนส่ง!$P$5:$P$54,MATCH($S283,อัตราค่าขนส่ง!$O$5:$O$54,0)),INDEX(รายการมาตรฐาน!$G$2:$G$3,1)))</f>
        <v/>
      </c>
      <c r="AL283">
        <f>IF($S283="","",IFERROR(MATCH($AK283,รายการมาตรฐาน!$G$2:$G$3,0),1))</f>
        <v/>
      </c>
      <c r="AM283">
        <f>IF($V283="","",INDEX($AK$5:$AK$404,$V283))</f>
        <v/>
      </c>
      <c r="AN283">
        <f>IF($V283="","",INDEX($AL$5:$AL$404,$V283))</f>
        <v/>
      </c>
      <c r="AO283">
        <f>IF(OR($V283="",$AI$2&lt;=1),0,IF($V284="",1,IF($AN284&lt;&gt;$AN283,1,0)))</f>
        <v/>
      </c>
      <c r="AP283">
        <f>IF($V283="",0,IF($AN283&lt;&gt;$AN282,1,0))</f>
        <v/>
      </c>
      <c r="AQ283">
        <f>IF(OR($AD283="",$AD283="Z"),"",INDEX($AN$5:$AN$404,$AC283))</f>
        <v/>
      </c>
      <c r="AR283">
        <f>IF($Y283="",0,COUNTIF(บันทึกรายเที่ยว!$V$6:$V$6005,$Y283))</f>
        <v/>
      </c>
      <c r="AS283">
        <f>IF($Y283="",0,ROUND(SUMIF(บันทึกรายเที่ยว!$V$6:$V$6005,$Y283,บันทึกรายเที่ยว!$M$6:$M$6005),2))</f>
        <v/>
      </c>
      <c r="AT283">
        <f>IF($Y283="",0,IFERROR(INDEX(อัตราค่าขนส่ง!$G$5:$G$204,MATCH($Y283,อัตราค่าขนส่ง!$M$5:$M$204,0)),0))</f>
        <v/>
      </c>
      <c r="AU283">
        <f>ROUND($AS283*$BD283,2)</f>
        <v/>
      </c>
      <c r="AV283">
        <f>ROUND($AU283*$BF$2/100,2)</f>
        <v/>
      </c>
      <c r="AW283">
        <f>IF($Y283="","",IFERROR(INDEX(อัตราค่าขนส่ง!$F$5:$F$204,MATCH($Y283,อัตราค่าขนส่ง!$M$5:$M$204,0)),""))</f>
        <v/>
      </c>
      <c r="AX283">
        <f>IF($W283="","",INDEX(บันทึกรายเที่ยว!$D$6:$D$6005,$W283))</f>
        <v/>
      </c>
      <c r="AY283">
        <f>IF($W283="","",INDEX(บันทึกรายเที่ยว!$R$6:$R$6005,$W283))</f>
        <v/>
      </c>
      <c r="AZ283">
        <f>IF(AND($AD283="T",$AQ283=1),N($AZ282)+1,N($AZ282))</f>
        <v/>
      </c>
      <c r="BA283">
        <f>IF($W283="","",INDEX(บันทึกรายเที่ยว!$E$6:$E$6005,$W283))</f>
        <v/>
      </c>
      <c r="BC283">
        <f>IF($Y283="",0,IFERROR(INDEX(อัตราค่าขนส่ง!$K$5:$K$204,MATCH($Y283,อัตราค่าขนส่ง!$M$5:$M$204,0)),0))</f>
        <v/>
      </c>
      <c r="BD283">
        <f>IF($Y283="",0,IFERROR(INDEX(อัตราค่าขนส่ง!$L$5:$L$204,MATCH($Y283,อัตราค่าขนส่ง!$M$5:$M$204,0)),0))</f>
        <v/>
      </c>
    </row>
    <row r="284" ht="21" customHeight="1" s="66">
      <c r="A284" s="69">
        <f>IF($AD284="","",IF($AD284="Z","รวมจ่ายทั้งสิ้น",IF($AD284="H",INDEX($X$5:$X$404,$AC284),IF($AD284="T","รวม",IF($AD284="B",IFERROR(INDEX(อัตราค่าขนส่ง!$S$5:$S$14,MATCH(INDEX($AM$5:$AM$404,$AC284),อัตราค่าขนส่ง!$R$5:$R$14,0)),"รวมกลุ่ม "&amp;INDEX($AM$5:$AM$404,$AC284)),INDEX($AY$5:$AY$404,$AC284))))))</f>
        <v/>
      </c>
      <c r="B284" s="31">
        <f>IF($AD284&lt;&gt;"D","",INDEX($AW$5:$AW$404,$AC284))</f>
        <v/>
      </c>
      <c r="C284" s="68">
        <f>IF($AD284&lt;&gt;"D","",INDEX($AX$5:$AX$404,$AC284))</f>
        <v/>
      </c>
      <c r="D284" s="70">
        <f>IF($AD284&lt;&gt;"D","",INDEX($BA$5:$BA$404,$AC284))</f>
        <v/>
      </c>
      <c r="E284" s="31">
        <f>IF($AD284="Z",SUM($AR$5:$AR$404),IF($AD284="D",INDEX($AR$5:$AR$404,$AC284),IF($AD284="T",SUMIF($X$5:$X$404,$AF284,$AR$5:$AR$404),IF($AD284="B",SUMIF($AN$5:$AN$404,$AQ284,$AR$5:$AR$404),""))))</f>
        <v/>
      </c>
      <c r="F284" s="32">
        <f>IF($AD284="Z",ROUND(SUM($AS$5:$AS$404),2),IF($AD284="D",INDEX($AS$5:$AS$404,$AC284),IF($AD284="T",ROUND(SUMIF($X$5:$X$404,$AF284,$AS$5:$AS$404),2),IF($AD284="B",ROUND(SUMIF($AN$5:$AN$404,$AQ284,$AS$5:$AS$404),2),""))))</f>
        <v/>
      </c>
      <c r="G284" s="32">
        <f>IF($AD284&lt;&gt;"D","",INDEX($AT$5:$AT$404,$AC284))</f>
        <v/>
      </c>
      <c r="H284" s="32">
        <f>IF($AD284&lt;&gt;"D","",INDEX($BC$5:$BC$404,$AC284))</f>
        <v/>
      </c>
      <c r="I284" s="32">
        <f>IF($AD284&lt;&gt;"D","",INDEX($BD$5:$BD$404,$AC284))</f>
        <v/>
      </c>
      <c r="J284" s="46">
        <f>IF($AD284&lt;&gt;"D","",IF(N($B284)=0,"",ROUND($I284/$B284,4)))</f>
        <v/>
      </c>
      <c r="K284" s="32">
        <f>IF($AD284="Z",ROUND(SUM($AU$5:$AU$404),2),IF($AD284="D",INDEX($AU$5:$AU$404,$AC284),IF($AD284="T",ROUND(SUMIF($X$5:$X$404,$AF284,$AU$5:$AU$404),2),IF($AD284="B",ROUND(SUMIF($AN$5:$AN$404,$AQ284,$AU$5:$AU$404),2),""))))</f>
        <v/>
      </c>
      <c r="L284" s="32">
        <f>IF($AD284="Z",ROUND(SUM($AV$5:$AV$404),2),IF($AD284="D",INDEX($AV$5:$AV$404,$AC284),IF($AD284="T",ROUND(SUMIF($X$5:$X$404,$AF284,$AV$5:$AV$404),2),IF($AD284="B",ROUND(SUMIF($AN$5:$AN$404,$AQ284,$AV$5:$AV$404),2),""))))</f>
        <v/>
      </c>
      <c r="M284" s="32">
        <f>IF($AD284="Z",ROUND(SUM($AJ$5:$AJ$704),2),IF($AD284="B",ROUND(SUMIF($AQ$5:$AQ$704,$AQ284,$AJ$5:$AJ$704),2),IF($AD284&lt;&gt;"T","",$AJ284)))</f>
        <v/>
      </c>
      <c r="N284" s="32">
        <f>IF(OR($AD284="D",$AD284="T",$AD284="B",$AD284="Z"),ROUND(N($K284)-N($L284)-N($M284),2),"")</f>
        <v/>
      </c>
      <c r="O284" s="32">
        <f>IF(OR($AD284="D",$AD284="T",$AD284="B",$AD284="Z"),IF(N($E284)=0,"",ROUND($F284/$E284,2)),"")</f>
        <v/>
      </c>
      <c r="Q284">
        <f>IFERROR(MATCH(280,บันทึกรายเที่ยว!$Z$6:$Z$6005,0),"")</f>
        <v/>
      </c>
      <c r="R284">
        <f>IF($Q284="","",INDEX(บันทึกรายเที่ยว!$V$6:$V$6005,$Q284))</f>
        <v/>
      </c>
      <c r="S284">
        <f>IF($Q284="","",INDEX(บันทึกรายเที่ยว!$F$6:$F$6005,$Q284))</f>
        <v/>
      </c>
      <c r="T284">
        <f>IF($Q284="","",MATCH($S284,บันทึกรายเที่ยว!$F$6:$F$6005,0))</f>
        <v/>
      </c>
      <c r="U284">
        <f>IF($Q284="","",$AL284*10000000+$T284*1000+280)</f>
        <v/>
      </c>
      <c r="V284">
        <f>IFERROR(MATCH(SMALL($U$5:$U$404,280),$U$5:$U$404,0),"")</f>
        <v/>
      </c>
      <c r="W284">
        <f>IF($V284="","",INDEX($Q$5:$Q$404,$V284))</f>
        <v/>
      </c>
      <c r="X284">
        <f>IF($V284="","",INDEX($S$5:$S$404,$V284))</f>
        <v/>
      </c>
      <c r="Y284">
        <f>IF($V284="","",INDEX($R$5:$R$404,$V284))</f>
        <v/>
      </c>
      <c r="Z284">
        <f>IF($V284="",0,IF($X284&lt;&gt;$X283,1,0))</f>
        <v/>
      </c>
      <c r="AA284">
        <f>IF($V284="",0,IF($V285="",1,IF($X285&lt;&gt;$X284,1,0)))</f>
        <v/>
      </c>
      <c r="AB284">
        <f>IF($V284="",99999+280,$AB283+1+$Z283+$AA283+$AO283)</f>
        <v/>
      </c>
      <c r="AC284">
        <f>IFERROR(MATCH(280,$AB$5:$AB$404,1),"")</f>
        <v/>
      </c>
      <c r="AD284">
        <f>IF(280=$AI$1+1,"Z",IF($AC284="","",IF(INDEX($V$5:$V$404,$AC284)="","",IF(280&gt;INDEX($AB$5:$AB$404,$AC284)+INDEX($Z$5:$Z$404,$AC284)+INDEX($AA$5:$AA$404,$AC284)+INDEX($AO$5:$AO$404,$AC284),"",IF(280=INDEX($AB$5:$AB$404,$AC284)+INDEX($Z$5:$Z$404,$AC284),"D",IF(AND(INDEX($Z$5:$Z$404,$AC284)=1,280=INDEX($AB$5:$AB$404,$AC284)),"H",IF(AND(INDEX($AO$5:$AO$404,$AC284)=1,280=INDEX($AB$5:$AB$404,$AC284)+INDEX($Z$5:$Z$404,$AC284)+INDEX($AA$5:$AA$404,$AC284)+INDEX($AO$5:$AO$404,$AC284)),"B","T")))))))</f>
        <v/>
      </c>
      <c r="AF284">
        <f>IF(OR($AD284="",$AD284="Z",$AD284="B"),"",INDEX($X$5:$X$404,$AC284))</f>
        <v/>
      </c>
      <c r="AJ284">
        <f>IF($AD284&lt;&gt;"T",0,ROUND(SUMIF(oil!$B$4:$B$63,$AF284,oil!$AE$4:$AE$63),2))</f>
        <v/>
      </c>
      <c r="AK284">
        <f>IF($S284="","",IFERROR(INDEX(อัตราค่าขนส่ง!$P$5:$P$54,MATCH($S284,อัตราค่าขนส่ง!$O$5:$O$54,0)),INDEX(รายการมาตรฐาน!$G$2:$G$3,1)))</f>
        <v/>
      </c>
      <c r="AL284">
        <f>IF($S284="","",IFERROR(MATCH($AK284,รายการมาตรฐาน!$G$2:$G$3,0),1))</f>
        <v/>
      </c>
      <c r="AM284">
        <f>IF($V284="","",INDEX($AK$5:$AK$404,$V284))</f>
        <v/>
      </c>
      <c r="AN284">
        <f>IF($V284="","",INDEX($AL$5:$AL$404,$V284))</f>
        <v/>
      </c>
      <c r="AO284">
        <f>IF(OR($V284="",$AI$2&lt;=1),0,IF($V285="",1,IF($AN285&lt;&gt;$AN284,1,0)))</f>
        <v/>
      </c>
      <c r="AP284">
        <f>IF($V284="",0,IF($AN284&lt;&gt;$AN283,1,0))</f>
        <v/>
      </c>
      <c r="AQ284">
        <f>IF(OR($AD284="",$AD284="Z"),"",INDEX($AN$5:$AN$404,$AC284))</f>
        <v/>
      </c>
      <c r="AR284">
        <f>IF($Y284="",0,COUNTIF(บันทึกรายเที่ยว!$V$6:$V$6005,$Y284))</f>
        <v/>
      </c>
      <c r="AS284">
        <f>IF($Y284="",0,ROUND(SUMIF(บันทึกรายเที่ยว!$V$6:$V$6005,$Y284,บันทึกรายเที่ยว!$M$6:$M$6005),2))</f>
        <v/>
      </c>
      <c r="AT284">
        <f>IF($Y284="",0,IFERROR(INDEX(อัตราค่าขนส่ง!$G$5:$G$204,MATCH($Y284,อัตราค่าขนส่ง!$M$5:$M$204,0)),0))</f>
        <v/>
      </c>
      <c r="AU284">
        <f>ROUND($AS284*$BD284,2)</f>
        <v/>
      </c>
      <c r="AV284">
        <f>ROUND($AU284*$BF$2/100,2)</f>
        <v/>
      </c>
      <c r="AW284">
        <f>IF($Y284="","",IFERROR(INDEX(อัตราค่าขนส่ง!$F$5:$F$204,MATCH($Y284,อัตราค่าขนส่ง!$M$5:$M$204,0)),""))</f>
        <v/>
      </c>
      <c r="AX284">
        <f>IF($W284="","",INDEX(บันทึกรายเที่ยว!$D$6:$D$6005,$W284))</f>
        <v/>
      </c>
      <c r="AY284">
        <f>IF($W284="","",INDEX(บันทึกรายเที่ยว!$R$6:$R$6005,$W284))</f>
        <v/>
      </c>
      <c r="AZ284">
        <f>IF(AND($AD284="T",$AQ284=1),N($AZ283)+1,N($AZ283))</f>
        <v/>
      </c>
      <c r="BA284">
        <f>IF($W284="","",INDEX(บันทึกรายเที่ยว!$E$6:$E$6005,$W284))</f>
        <v/>
      </c>
      <c r="BC284">
        <f>IF($Y284="",0,IFERROR(INDEX(อัตราค่าขนส่ง!$K$5:$K$204,MATCH($Y284,อัตราค่าขนส่ง!$M$5:$M$204,0)),0))</f>
        <v/>
      </c>
      <c r="BD284">
        <f>IF($Y284="",0,IFERROR(INDEX(อัตราค่าขนส่ง!$L$5:$L$204,MATCH($Y284,อัตราค่าขนส่ง!$M$5:$M$204,0)),0))</f>
        <v/>
      </c>
    </row>
    <row r="285" ht="21" customHeight="1" s="66">
      <c r="A285" s="69">
        <f>IF($AD285="","",IF($AD285="Z","รวมจ่ายทั้งสิ้น",IF($AD285="H",INDEX($X$5:$X$404,$AC285),IF($AD285="T","รวม",IF($AD285="B",IFERROR(INDEX(อัตราค่าขนส่ง!$S$5:$S$14,MATCH(INDEX($AM$5:$AM$404,$AC285),อัตราค่าขนส่ง!$R$5:$R$14,0)),"รวมกลุ่ม "&amp;INDEX($AM$5:$AM$404,$AC285)),INDEX($AY$5:$AY$404,$AC285))))))</f>
        <v/>
      </c>
      <c r="B285" s="31">
        <f>IF($AD285&lt;&gt;"D","",INDEX($AW$5:$AW$404,$AC285))</f>
        <v/>
      </c>
      <c r="C285" s="68">
        <f>IF($AD285&lt;&gt;"D","",INDEX($AX$5:$AX$404,$AC285))</f>
        <v/>
      </c>
      <c r="D285" s="70">
        <f>IF($AD285&lt;&gt;"D","",INDEX($BA$5:$BA$404,$AC285))</f>
        <v/>
      </c>
      <c r="E285" s="31">
        <f>IF($AD285="Z",SUM($AR$5:$AR$404),IF($AD285="D",INDEX($AR$5:$AR$404,$AC285),IF($AD285="T",SUMIF($X$5:$X$404,$AF285,$AR$5:$AR$404),IF($AD285="B",SUMIF($AN$5:$AN$404,$AQ285,$AR$5:$AR$404),""))))</f>
        <v/>
      </c>
      <c r="F285" s="32">
        <f>IF($AD285="Z",ROUND(SUM($AS$5:$AS$404),2),IF($AD285="D",INDEX($AS$5:$AS$404,$AC285),IF($AD285="T",ROUND(SUMIF($X$5:$X$404,$AF285,$AS$5:$AS$404),2),IF($AD285="B",ROUND(SUMIF($AN$5:$AN$404,$AQ285,$AS$5:$AS$404),2),""))))</f>
        <v/>
      </c>
      <c r="G285" s="32">
        <f>IF($AD285&lt;&gt;"D","",INDEX($AT$5:$AT$404,$AC285))</f>
        <v/>
      </c>
      <c r="H285" s="32">
        <f>IF($AD285&lt;&gt;"D","",INDEX($BC$5:$BC$404,$AC285))</f>
        <v/>
      </c>
      <c r="I285" s="32">
        <f>IF($AD285&lt;&gt;"D","",INDEX($BD$5:$BD$404,$AC285))</f>
        <v/>
      </c>
      <c r="J285" s="46">
        <f>IF($AD285&lt;&gt;"D","",IF(N($B285)=0,"",ROUND($I285/$B285,4)))</f>
        <v/>
      </c>
      <c r="K285" s="32">
        <f>IF($AD285="Z",ROUND(SUM($AU$5:$AU$404),2),IF($AD285="D",INDEX($AU$5:$AU$404,$AC285),IF($AD285="T",ROUND(SUMIF($X$5:$X$404,$AF285,$AU$5:$AU$404),2),IF($AD285="B",ROUND(SUMIF($AN$5:$AN$404,$AQ285,$AU$5:$AU$404),2),""))))</f>
        <v/>
      </c>
      <c r="L285" s="32">
        <f>IF($AD285="Z",ROUND(SUM($AV$5:$AV$404),2),IF($AD285="D",INDEX($AV$5:$AV$404,$AC285),IF($AD285="T",ROUND(SUMIF($X$5:$X$404,$AF285,$AV$5:$AV$404),2),IF($AD285="B",ROUND(SUMIF($AN$5:$AN$404,$AQ285,$AV$5:$AV$404),2),""))))</f>
        <v/>
      </c>
      <c r="M285" s="32">
        <f>IF($AD285="Z",ROUND(SUM($AJ$5:$AJ$704),2),IF($AD285="B",ROUND(SUMIF($AQ$5:$AQ$704,$AQ285,$AJ$5:$AJ$704),2),IF($AD285&lt;&gt;"T","",$AJ285)))</f>
        <v/>
      </c>
      <c r="N285" s="32">
        <f>IF(OR($AD285="D",$AD285="T",$AD285="B",$AD285="Z"),ROUND(N($K285)-N($L285)-N($M285),2),"")</f>
        <v/>
      </c>
      <c r="O285" s="32">
        <f>IF(OR($AD285="D",$AD285="T",$AD285="B",$AD285="Z"),IF(N($E285)=0,"",ROUND($F285/$E285,2)),"")</f>
        <v/>
      </c>
      <c r="Q285">
        <f>IFERROR(MATCH(281,บันทึกรายเที่ยว!$Z$6:$Z$6005,0),"")</f>
        <v/>
      </c>
      <c r="R285">
        <f>IF($Q285="","",INDEX(บันทึกรายเที่ยว!$V$6:$V$6005,$Q285))</f>
        <v/>
      </c>
      <c r="S285">
        <f>IF($Q285="","",INDEX(บันทึกรายเที่ยว!$F$6:$F$6005,$Q285))</f>
        <v/>
      </c>
      <c r="T285">
        <f>IF($Q285="","",MATCH($S285,บันทึกรายเที่ยว!$F$6:$F$6005,0))</f>
        <v/>
      </c>
      <c r="U285">
        <f>IF($Q285="","",$AL285*10000000+$T285*1000+281)</f>
        <v/>
      </c>
      <c r="V285">
        <f>IFERROR(MATCH(SMALL($U$5:$U$404,281),$U$5:$U$404,0),"")</f>
        <v/>
      </c>
      <c r="W285">
        <f>IF($V285="","",INDEX($Q$5:$Q$404,$V285))</f>
        <v/>
      </c>
      <c r="X285">
        <f>IF($V285="","",INDEX($S$5:$S$404,$V285))</f>
        <v/>
      </c>
      <c r="Y285">
        <f>IF($V285="","",INDEX($R$5:$R$404,$V285))</f>
        <v/>
      </c>
      <c r="Z285">
        <f>IF($V285="",0,IF($X285&lt;&gt;$X284,1,0))</f>
        <v/>
      </c>
      <c r="AA285">
        <f>IF($V285="",0,IF($V286="",1,IF($X286&lt;&gt;$X285,1,0)))</f>
        <v/>
      </c>
      <c r="AB285">
        <f>IF($V285="",99999+281,$AB284+1+$Z284+$AA284+$AO284)</f>
        <v/>
      </c>
      <c r="AC285">
        <f>IFERROR(MATCH(281,$AB$5:$AB$404,1),"")</f>
        <v/>
      </c>
      <c r="AD285">
        <f>IF(281=$AI$1+1,"Z",IF($AC285="","",IF(INDEX($V$5:$V$404,$AC285)="","",IF(281&gt;INDEX($AB$5:$AB$404,$AC285)+INDEX($Z$5:$Z$404,$AC285)+INDEX($AA$5:$AA$404,$AC285)+INDEX($AO$5:$AO$404,$AC285),"",IF(281=INDEX($AB$5:$AB$404,$AC285)+INDEX($Z$5:$Z$404,$AC285),"D",IF(AND(INDEX($Z$5:$Z$404,$AC285)=1,281=INDEX($AB$5:$AB$404,$AC285)),"H",IF(AND(INDEX($AO$5:$AO$404,$AC285)=1,281=INDEX($AB$5:$AB$404,$AC285)+INDEX($Z$5:$Z$404,$AC285)+INDEX($AA$5:$AA$404,$AC285)+INDEX($AO$5:$AO$404,$AC285)),"B","T")))))))</f>
        <v/>
      </c>
      <c r="AF285">
        <f>IF(OR($AD285="",$AD285="Z",$AD285="B"),"",INDEX($X$5:$X$404,$AC285))</f>
        <v/>
      </c>
      <c r="AJ285">
        <f>IF($AD285&lt;&gt;"T",0,ROUND(SUMIF(oil!$B$4:$B$63,$AF285,oil!$AE$4:$AE$63),2))</f>
        <v/>
      </c>
      <c r="AK285">
        <f>IF($S285="","",IFERROR(INDEX(อัตราค่าขนส่ง!$P$5:$P$54,MATCH($S285,อัตราค่าขนส่ง!$O$5:$O$54,0)),INDEX(รายการมาตรฐาน!$G$2:$G$3,1)))</f>
        <v/>
      </c>
      <c r="AL285">
        <f>IF($S285="","",IFERROR(MATCH($AK285,รายการมาตรฐาน!$G$2:$G$3,0),1))</f>
        <v/>
      </c>
      <c r="AM285">
        <f>IF($V285="","",INDEX($AK$5:$AK$404,$V285))</f>
        <v/>
      </c>
      <c r="AN285">
        <f>IF($V285="","",INDEX($AL$5:$AL$404,$V285))</f>
        <v/>
      </c>
      <c r="AO285">
        <f>IF(OR($V285="",$AI$2&lt;=1),0,IF($V286="",1,IF($AN286&lt;&gt;$AN285,1,0)))</f>
        <v/>
      </c>
      <c r="AP285">
        <f>IF($V285="",0,IF($AN285&lt;&gt;$AN284,1,0))</f>
        <v/>
      </c>
      <c r="AQ285">
        <f>IF(OR($AD285="",$AD285="Z"),"",INDEX($AN$5:$AN$404,$AC285))</f>
        <v/>
      </c>
      <c r="AR285">
        <f>IF($Y285="",0,COUNTIF(บันทึกรายเที่ยว!$V$6:$V$6005,$Y285))</f>
        <v/>
      </c>
      <c r="AS285">
        <f>IF($Y285="",0,ROUND(SUMIF(บันทึกรายเที่ยว!$V$6:$V$6005,$Y285,บันทึกรายเที่ยว!$M$6:$M$6005),2))</f>
        <v/>
      </c>
      <c r="AT285">
        <f>IF($Y285="",0,IFERROR(INDEX(อัตราค่าขนส่ง!$G$5:$G$204,MATCH($Y285,อัตราค่าขนส่ง!$M$5:$M$204,0)),0))</f>
        <v/>
      </c>
      <c r="AU285">
        <f>ROUND($AS285*$BD285,2)</f>
        <v/>
      </c>
      <c r="AV285">
        <f>ROUND($AU285*$BF$2/100,2)</f>
        <v/>
      </c>
      <c r="AW285">
        <f>IF($Y285="","",IFERROR(INDEX(อัตราค่าขนส่ง!$F$5:$F$204,MATCH($Y285,อัตราค่าขนส่ง!$M$5:$M$204,0)),""))</f>
        <v/>
      </c>
      <c r="AX285">
        <f>IF($W285="","",INDEX(บันทึกรายเที่ยว!$D$6:$D$6005,$W285))</f>
        <v/>
      </c>
      <c r="AY285">
        <f>IF($W285="","",INDEX(บันทึกรายเที่ยว!$R$6:$R$6005,$W285))</f>
        <v/>
      </c>
      <c r="AZ285">
        <f>IF(AND($AD285="T",$AQ285=1),N($AZ284)+1,N($AZ284))</f>
        <v/>
      </c>
      <c r="BA285">
        <f>IF($W285="","",INDEX(บันทึกรายเที่ยว!$E$6:$E$6005,$W285))</f>
        <v/>
      </c>
      <c r="BC285">
        <f>IF($Y285="",0,IFERROR(INDEX(อัตราค่าขนส่ง!$K$5:$K$204,MATCH($Y285,อัตราค่าขนส่ง!$M$5:$M$204,0)),0))</f>
        <v/>
      </c>
      <c r="BD285">
        <f>IF($Y285="",0,IFERROR(INDEX(อัตราค่าขนส่ง!$L$5:$L$204,MATCH($Y285,อัตราค่าขนส่ง!$M$5:$M$204,0)),0))</f>
        <v/>
      </c>
    </row>
    <row r="286" ht="21" customHeight="1" s="66">
      <c r="A286" s="69">
        <f>IF($AD286="","",IF($AD286="Z","รวมจ่ายทั้งสิ้น",IF($AD286="H",INDEX($X$5:$X$404,$AC286),IF($AD286="T","รวม",IF($AD286="B",IFERROR(INDEX(อัตราค่าขนส่ง!$S$5:$S$14,MATCH(INDEX($AM$5:$AM$404,$AC286),อัตราค่าขนส่ง!$R$5:$R$14,0)),"รวมกลุ่ม "&amp;INDEX($AM$5:$AM$404,$AC286)),INDEX($AY$5:$AY$404,$AC286))))))</f>
        <v/>
      </c>
      <c r="B286" s="31">
        <f>IF($AD286&lt;&gt;"D","",INDEX($AW$5:$AW$404,$AC286))</f>
        <v/>
      </c>
      <c r="C286" s="68">
        <f>IF($AD286&lt;&gt;"D","",INDEX($AX$5:$AX$404,$AC286))</f>
        <v/>
      </c>
      <c r="D286" s="70">
        <f>IF($AD286&lt;&gt;"D","",INDEX($BA$5:$BA$404,$AC286))</f>
        <v/>
      </c>
      <c r="E286" s="31">
        <f>IF($AD286="Z",SUM($AR$5:$AR$404),IF($AD286="D",INDEX($AR$5:$AR$404,$AC286),IF($AD286="T",SUMIF($X$5:$X$404,$AF286,$AR$5:$AR$404),IF($AD286="B",SUMIF($AN$5:$AN$404,$AQ286,$AR$5:$AR$404),""))))</f>
        <v/>
      </c>
      <c r="F286" s="32">
        <f>IF($AD286="Z",ROUND(SUM($AS$5:$AS$404),2),IF($AD286="D",INDEX($AS$5:$AS$404,$AC286),IF($AD286="T",ROUND(SUMIF($X$5:$X$404,$AF286,$AS$5:$AS$404),2),IF($AD286="B",ROUND(SUMIF($AN$5:$AN$404,$AQ286,$AS$5:$AS$404),2),""))))</f>
        <v/>
      </c>
      <c r="G286" s="32">
        <f>IF($AD286&lt;&gt;"D","",INDEX($AT$5:$AT$404,$AC286))</f>
        <v/>
      </c>
      <c r="H286" s="32">
        <f>IF($AD286&lt;&gt;"D","",INDEX($BC$5:$BC$404,$AC286))</f>
        <v/>
      </c>
      <c r="I286" s="32">
        <f>IF($AD286&lt;&gt;"D","",INDEX($BD$5:$BD$404,$AC286))</f>
        <v/>
      </c>
      <c r="J286" s="46">
        <f>IF($AD286&lt;&gt;"D","",IF(N($B286)=0,"",ROUND($I286/$B286,4)))</f>
        <v/>
      </c>
      <c r="K286" s="32">
        <f>IF($AD286="Z",ROUND(SUM($AU$5:$AU$404),2),IF($AD286="D",INDEX($AU$5:$AU$404,$AC286),IF($AD286="T",ROUND(SUMIF($X$5:$X$404,$AF286,$AU$5:$AU$404),2),IF($AD286="B",ROUND(SUMIF($AN$5:$AN$404,$AQ286,$AU$5:$AU$404),2),""))))</f>
        <v/>
      </c>
      <c r="L286" s="32">
        <f>IF($AD286="Z",ROUND(SUM($AV$5:$AV$404),2),IF($AD286="D",INDEX($AV$5:$AV$404,$AC286),IF($AD286="T",ROUND(SUMIF($X$5:$X$404,$AF286,$AV$5:$AV$404),2),IF($AD286="B",ROUND(SUMIF($AN$5:$AN$404,$AQ286,$AV$5:$AV$404),2),""))))</f>
        <v/>
      </c>
      <c r="M286" s="32">
        <f>IF($AD286="Z",ROUND(SUM($AJ$5:$AJ$704),2),IF($AD286="B",ROUND(SUMIF($AQ$5:$AQ$704,$AQ286,$AJ$5:$AJ$704),2),IF($AD286&lt;&gt;"T","",$AJ286)))</f>
        <v/>
      </c>
      <c r="N286" s="32">
        <f>IF(OR($AD286="D",$AD286="T",$AD286="B",$AD286="Z"),ROUND(N($K286)-N($L286)-N($M286),2),"")</f>
        <v/>
      </c>
      <c r="O286" s="32">
        <f>IF(OR($AD286="D",$AD286="T",$AD286="B",$AD286="Z"),IF(N($E286)=0,"",ROUND($F286/$E286,2)),"")</f>
        <v/>
      </c>
      <c r="Q286">
        <f>IFERROR(MATCH(282,บันทึกรายเที่ยว!$Z$6:$Z$6005,0),"")</f>
        <v/>
      </c>
      <c r="R286">
        <f>IF($Q286="","",INDEX(บันทึกรายเที่ยว!$V$6:$V$6005,$Q286))</f>
        <v/>
      </c>
      <c r="S286">
        <f>IF($Q286="","",INDEX(บันทึกรายเที่ยว!$F$6:$F$6005,$Q286))</f>
        <v/>
      </c>
      <c r="T286">
        <f>IF($Q286="","",MATCH($S286,บันทึกรายเที่ยว!$F$6:$F$6005,0))</f>
        <v/>
      </c>
      <c r="U286">
        <f>IF($Q286="","",$AL286*10000000+$T286*1000+282)</f>
        <v/>
      </c>
      <c r="V286">
        <f>IFERROR(MATCH(SMALL($U$5:$U$404,282),$U$5:$U$404,0),"")</f>
        <v/>
      </c>
      <c r="W286">
        <f>IF($V286="","",INDEX($Q$5:$Q$404,$V286))</f>
        <v/>
      </c>
      <c r="X286">
        <f>IF($V286="","",INDEX($S$5:$S$404,$V286))</f>
        <v/>
      </c>
      <c r="Y286">
        <f>IF($V286="","",INDEX($R$5:$R$404,$V286))</f>
        <v/>
      </c>
      <c r="Z286">
        <f>IF($V286="",0,IF($X286&lt;&gt;$X285,1,0))</f>
        <v/>
      </c>
      <c r="AA286">
        <f>IF($V286="",0,IF($V287="",1,IF($X287&lt;&gt;$X286,1,0)))</f>
        <v/>
      </c>
      <c r="AB286">
        <f>IF($V286="",99999+282,$AB285+1+$Z285+$AA285+$AO285)</f>
        <v/>
      </c>
      <c r="AC286">
        <f>IFERROR(MATCH(282,$AB$5:$AB$404,1),"")</f>
        <v/>
      </c>
      <c r="AD286">
        <f>IF(282=$AI$1+1,"Z",IF($AC286="","",IF(INDEX($V$5:$V$404,$AC286)="","",IF(282&gt;INDEX($AB$5:$AB$404,$AC286)+INDEX($Z$5:$Z$404,$AC286)+INDEX($AA$5:$AA$404,$AC286)+INDEX($AO$5:$AO$404,$AC286),"",IF(282=INDEX($AB$5:$AB$404,$AC286)+INDEX($Z$5:$Z$404,$AC286),"D",IF(AND(INDEX($Z$5:$Z$404,$AC286)=1,282=INDEX($AB$5:$AB$404,$AC286)),"H",IF(AND(INDEX($AO$5:$AO$404,$AC286)=1,282=INDEX($AB$5:$AB$404,$AC286)+INDEX($Z$5:$Z$404,$AC286)+INDEX($AA$5:$AA$404,$AC286)+INDEX($AO$5:$AO$404,$AC286)),"B","T")))))))</f>
        <v/>
      </c>
      <c r="AF286">
        <f>IF(OR($AD286="",$AD286="Z",$AD286="B"),"",INDEX($X$5:$X$404,$AC286))</f>
        <v/>
      </c>
      <c r="AJ286">
        <f>IF($AD286&lt;&gt;"T",0,ROUND(SUMIF(oil!$B$4:$B$63,$AF286,oil!$AE$4:$AE$63),2))</f>
        <v/>
      </c>
      <c r="AK286">
        <f>IF($S286="","",IFERROR(INDEX(อัตราค่าขนส่ง!$P$5:$P$54,MATCH($S286,อัตราค่าขนส่ง!$O$5:$O$54,0)),INDEX(รายการมาตรฐาน!$G$2:$G$3,1)))</f>
        <v/>
      </c>
      <c r="AL286">
        <f>IF($S286="","",IFERROR(MATCH($AK286,รายการมาตรฐาน!$G$2:$G$3,0),1))</f>
        <v/>
      </c>
      <c r="AM286">
        <f>IF($V286="","",INDEX($AK$5:$AK$404,$V286))</f>
        <v/>
      </c>
      <c r="AN286">
        <f>IF($V286="","",INDEX($AL$5:$AL$404,$V286))</f>
        <v/>
      </c>
      <c r="AO286">
        <f>IF(OR($V286="",$AI$2&lt;=1),0,IF($V287="",1,IF($AN287&lt;&gt;$AN286,1,0)))</f>
        <v/>
      </c>
      <c r="AP286">
        <f>IF($V286="",0,IF($AN286&lt;&gt;$AN285,1,0))</f>
        <v/>
      </c>
      <c r="AQ286">
        <f>IF(OR($AD286="",$AD286="Z"),"",INDEX($AN$5:$AN$404,$AC286))</f>
        <v/>
      </c>
      <c r="AR286">
        <f>IF($Y286="",0,COUNTIF(บันทึกรายเที่ยว!$V$6:$V$6005,$Y286))</f>
        <v/>
      </c>
      <c r="AS286">
        <f>IF($Y286="",0,ROUND(SUMIF(บันทึกรายเที่ยว!$V$6:$V$6005,$Y286,บันทึกรายเที่ยว!$M$6:$M$6005),2))</f>
        <v/>
      </c>
      <c r="AT286">
        <f>IF($Y286="",0,IFERROR(INDEX(อัตราค่าขนส่ง!$G$5:$G$204,MATCH($Y286,อัตราค่าขนส่ง!$M$5:$M$204,0)),0))</f>
        <v/>
      </c>
      <c r="AU286">
        <f>ROUND($AS286*$BD286,2)</f>
        <v/>
      </c>
      <c r="AV286">
        <f>ROUND($AU286*$BF$2/100,2)</f>
        <v/>
      </c>
      <c r="AW286">
        <f>IF($Y286="","",IFERROR(INDEX(อัตราค่าขนส่ง!$F$5:$F$204,MATCH($Y286,อัตราค่าขนส่ง!$M$5:$M$204,0)),""))</f>
        <v/>
      </c>
      <c r="AX286">
        <f>IF($W286="","",INDEX(บันทึกรายเที่ยว!$D$6:$D$6005,$W286))</f>
        <v/>
      </c>
      <c r="AY286">
        <f>IF($W286="","",INDEX(บันทึกรายเที่ยว!$R$6:$R$6005,$W286))</f>
        <v/>
      </c>
      <c r="AZ286">
        <f>IF(AND($AD286="T",$AQ286=1),N($AZ285)+1,N($AZ285))</f>
        <v/>
      </c>
      <c r="BA286">
        <f>IF($W286="","",INDEX(บันทึกรายเที่ยว!$E$6:$E$6005,$W286))</f>
        <v/>
      </c>
      <c r="BC286">
        <f>IF($Y286="",0,IFERROR(INDEX(อัตราค่าขนส่ง!$K$5:$K$204,MATCH($Y286,อัตราค่าขนส่ง!$M$5:$M$204,0)),0))</f>
        <v/>
      </c>
      <c r="BD286">
        <f>IF($Y286="",0,IFERROR(INDEX(อัตราค่าขนส่ง!$L$5:$L$204,MATCH($Y286,อัตราค่าขนส่ง!$M$5:$M$204,0)),0))</f>
        <v/>
      </c>
    </row>
    <row r="287" ht="21" customHeight="1" s="66">
      <c r="A287" s="69">
        <f>IF($AD287="","",IF($AD287="Z","รวมจ่ายทั้งสิ้น",IF($AD287="H",INDEX($X$5:$X$404,$AC287),IF($AD287="T","รวม",IF($AD287="B",IFERROR(INDEX(อัตราค่าขนส่ง!$S$5:$S$14,MATCH(INDEX($AM$5:$AM$404,$AC287),อัตราค่าขนส่ง!$R$5:$R$14,0)),"รวมกลุ่ม "&amp;INDEX($AM$5:$AM$404,$AC287)),INDEX($AY$5:$AY$404,$AC287))))))</f>
        <v/>
      </c>
      <c r="B287" s="31">
        <f>IF($AD287&lt;&gt;"D","",INDEX($AW$5:$AW$404,$AC287))</f>
        <v/>
      </c>
      <c r="C287" s="68">
        <f>IF($AD287&lt;&gt;"D","",INDEX($AX$5:$AX$404,$AC287))</f>
        <v/>
      </c>
      <c r="D287" s="70">
        <f>IF($AD287&lt;&gt;"D","",INDEX($BA$5:$BA$404,$AC287))</f>
        <v/>
      </c>
      <c r="E287" s="31">
        <f>IF($AD287="Z",SUM($AR$5:$AR$404),IF($AD287="D",INDEX($AR$5:$AR$404,$AC287),IF($AD287="T",SUMIF($X$5:$X$404,$AF287,$AR$5:$AR$404),IF($AD287="B",SUMIF($AN$5:$AN$404,$AQ287,$AR$5:$AR$404),""))))</f>
        <v/>
      </c>
      <c r="F287" s="32">
        <f>IF($AD287="Z",ROUND(SUM($AS$5:$AS$404),2),IF($AD287="D",INDEX($AS$5:$AS$404,$AC287),IF($AD287="T",ROUND(SUMIF($X$5:$X$404,$AF287,$AS$5:$AS$404),2),IF($AD287="B",ROUND(SUMIF($AN$5:$AN$404,$AQ287,$AS$5:$AS$404),2),""))))</f>
        <v/>
      </c>
      <c r="G287" s="32">
        <f>IF($AD287&lt;&gt;"D","",INDEX($AT$5:$AT$404,$AC287))</f>
        <v/>
      </c>
      <c r="H287" s="32">
        <f>IF($AD287&lt;&gt;"D","",INDEX($BC$5:$BC$404,$AC287))</f>
        <v/>
      </c>
      <c r="I287" s="32">
        <f>IF($AD287&lt;&gt;"D","",INDEX($BD$5:$BD$404,$AC287))</f>
        <v/>
      </c>
      <c r="J287" s="46">
        <f>IF($AD287&lt;&gt;"D","",IF(N($B287)=0,"",ROUND($I287/$B287,4)))</f>
        <v/>
      </c>
      <c r="K287" s="32">
        <f>IF($AD287="Z",ROUND(SUM($AU$5:$AU$404),2),IF($AD287="D",INDEX($AU$5:$AU$404,$AC287),IF($AD287="T",ROUND(SUMIF($X$5:$X$404,$AF287,$AU$5:$AU$404),2),IF($AD287="B",ROUND(SUMIF($AN$5:$AN$404,$AQ287,$AU$5:$AU$404),2),""))))</f>
        <v/>
      </c>
      <c r="L287" s="32">
        <f>IF($AD287="Z",ROUND(SUM($AV$5:$AV$404),2),IF($AD287="D",INDEX($AV$5:$AV$404,$AC287),IF($AD287="T",ROUND(SUMIF($X$5:$X$404,$AF287,$AV$5:$AV$404),2),IF($AD287="B",ROUND(SUMIF($AN$5:$AN$404,$AQ287,$AV$5:$AV$404),2),""))))</f>
        <v/>
      </c>
      <c r="M287" s="32">
        <f>IF($AD287="Z",ROUND(SUM($AJ$5:$AJ$704),2),IF($AD287="B",ROUND(SUMIF($AQ$5:$AQ$704,$AQ287,$AJ$5:$AJ$704),2),IF($AD287&lt;&gt;"T","",$AJ287)))</f>
        <v/>
      </c>
      <c r="N287" s="32">
        <f>IF(OR($AD287="D",$AD287="T",$AD287="B",$AD287="Z"),ROUND(N($K287)-N($L287)-N($M287),2),"")</f>
        <v/>
      </c>
      <c r="O287" s="32">
        <f>IF(OR($AD287="D",$AD287="T",$AD287="B",$AD287="Z"),IF(N($E287)=0,"",ROUND($F287/$E287,2)),"")</f>
        <v/>
      </c>
      <c r="Q287">
        <f>IFERROR(MATCH(283,บันทึกรายเที่ยว!$Z$6:$Z$6005,0),"")</f>
        <v/>
      </c>
      <c r="R287">
        <f>IF($Q287="","",INDEX(บันทึกรายเที่ยว!$V$6:$V$6005,$Q287))</f>
        <v/>
      </c>
      <c r="S287">
        <f>IF($Q287="","",INDEX(บันทึกรายเที่ยว!$F$6:$F$6005,$Q287))</f>
        <v/>
      </c>
      <c r="T287">
        <f>IF($Q287="","",MATCH($S287,บันทึกรายเที่ยว!$F$6:$F$6005,0))</f>
        <v/>
      </c>
      <c r="U287">
        <f>IF($Q287="","",$AL287*10000000+$T287*1000+283)</f>
        <v/>
      </c>
      <c r="V287">
        <f>IFERROR(MATCH(SMALL($U$5:$U$404,283),$U$5:$U$404,0),"")</f>
        <v/>
      </c>
      <c r="W287">
        <f>IF($V287="","",INDEX($Q$5:$Q$404,$V287))</f>
        <v/>
      </c>
      <c r="X287">
        <f>IF($V287="","",INDEX($S$5:$S$404,$V287))</f>
        <v/>
      </c>
      <c r="Y287">
        <f>IF($V287="","",INDEX($R$5:$R$404,$V287))</f>
        <v/>
      </c>
      <c r="Z287">
        <f>IF($V287="",0,IF($X287&lt;&gt;$X286,1,0))</f>
        <v/>
      </c>
      <c r="AA287">
        <f>IF($V287="",0,IF($V288="",1,IF($X288&lt;&gt;$X287,1,0)))</f>
        <v/>
      </c>
      <c r="AB287">
        <f>IF($V287="",99999+283,$AB286+1+$Z286+$AA286+$AO286)</f>
        <v/>
      </c>
      <c r="AC287">
        <f>IFERROR(MATCH(283,$AB$5:$AB$404,1),"")</f>
        <v/>
      </c>
      <c r="AD287">
        <f>IF(283=$AI$1+1,"Z",IF($AC287="","",IF(INDEX($V$5:$V$404,$AC287)="","",IF(283&gt;INDEX($AB$5:$AB$404,$AC287)+INDEX($Z$5:$Z$404,$AC287)+INDEX($AA$5:$AA$404,$AC287)+INDEX($AO$5:$AO$404,$AC287),"",IF(283=INDEX($AB$5:$AB$404,$AC287)+INDEX($Z$5:$Z$404,$AC287),"D",IF(AND(INDEX($Z$5:$Z$404,$AC287)=1,283=INDEX($AB$5:$AB$404,$AC287)),"H",IF(AND(INDEX($AO$5:$AO$404,$AC287)=1,283=INDEX($AB$5:$AB$404,$AC287)+INDEX($Z$5:$Z$404,$AC287)+INDEX($AA$5:$AA$404,$AC287)+INDEX($AO$5:$AO$404,$AC287)),"B","T")))))))</f>
        <v/>
      </c>
      <c r="AF287">
        <f>IF(OR($AD287="",$AD287="Z",$AD287="B"),"",INDEX($X$5:$X$404,$AC287))</f>
        <v/>
      </c>
      <c r="AJ287">
        <f>IF($AD287&lt;&gt;"T",0,ROUND(SUMIF(oil!$B$4:$B$63,$AF287,oil!$AE$4:$AE$63),2))</f>
        <v/>
      </c>
      <c r="AK287">
        <f>IF($S287="","",IFERROR(INDEX(อัตราค่าขนส่ง!$P$5:$P$54,MATCH($S287,อัตราค่าขนส่ง!$O$5:$O$54,0)),INDEX(รายการมาตรฐาน!$G$2:$G$3,1)))</f>
        <v/>
      </c>
      <c r="AL287">
        <f>IF($S287="","",IFERROR(MATCH($AK287,รายการมาตรฐาน!$G$2:$G$3,0),1))</f>
        <v/>
      </c>
      <c r="AM287">
        <f>IF($V287="","",INDEX($AK$5:$AK$404,$V287))</f>
        <v/>
      </c>
      <c r="AN287">
        <f>IF($V287="","",INDEX($AL$5:$AL$404,$V287))</f>
        <v/>
      </c>
      <c r="AO287">
        <f>IF(OR($V287="",$AI$2&lt;=1),0,IF($V288="",1,IF($AN288&lt;&gt;$AN287,1,0)))</f>
        <v/>
      </c>
      <c r="AP287">
        <f>IF($V287="",0,IF($AN287&lt;&gt;$AN286,1,0))</f>
        <v/>
      </c>
      <c r="AQ287">
        <f>IF(OR($AD287="",$AD287="Z"),"",INDEX($AN$5:$AN$404,$AC287))</f>
        <v/>
      </c>
      <c r="AR287">
        <f>IF($Y287="",0,COUNTIF(บันทึกรายเที่ยว!$V$6:$V$6005,$Y287))</f>
        <v/>
      </c>
      <c r="AS287">
        <f>IF($Y287="",0,ROUND(SUMIF(บันทึกรายเที่ยว!$V$6:$V$6005,$Y287,บันทึกรายเที่ยว!$M$6:$M$6005),2))</f>
        <v/>
      </c>
      <c r="AT287">
        <f>IF($Y287="",0,IFERROR(INDEX(อัตราค่าขนส่ง!$G$5:$G$204,MATCH($Y287,อัตราค่าขนส่ง!$M$5:$M$204,0)),0))</f>
        <v/>
      </c>
      <c r="AU287">
        <f>ROUND($AS287*$BD287,2)</f>
        <v/>
      </c>
      <c r="AV287">
        <f>ROUND($AU287*$BF$2/100,2)</f>
        <v/>
      </c>
      <c r="AW287">
        <f>IF($Y287="","",IFERROR(INDEX(อัตราค่าขนส่ง!$F$5:$F$204,MATCH($Y287,อัตราค่าขนส่ง!$M$5:$M$204,0)),""))</f>
        <v/>
      </c>
      <c r="AX287">
        <f>IF($W287="","",INDEX(บันทึกรายเที่ยว!$D$6:$D$6005,$W287))</f>
        <v/>
      </c>
      <c r="AY287">
        <f>IF($W287="","",INDEX(บันทึกรายเที่ยว!$R$6:$R$6005,$W287))</f>
        <v/>
      </c>
      <c r="AZ287">
        <f>IF(AND($AD287="T",$AQ287=1),N($AZ286)+1,N($AZ286))</f>
        <v/>
      </c>
      <c r="BA287">
        <f>IF($W287="","",INDEX(บันทึกรายเที่ยว!$E$6:$E$6005,$W287))</f>
        <v/>
      </c>
      <c r="BC287">
        <f>IF($Y287="",0,IFERROR(INDEX(อัตราค่าขนส่ง!$K$5:$K$204,MATCH($Y287,อัตราค่าขนส่ง!$M$5:$M$204,0)),0))</f>
        <v/>
      </c>
      <c r="BD287">
        <f>IF($Y287="",0,IFERROR(INDEX(อัตราค่าขนส่ง!$L$5:$L$204,MATCH($Y287,อัตราค่าขนส่ง!$M$5:$M$204,0)),0))</f>
        <v/>
      </c>
    </row>
    <row r="288" ht="21" customHeight="1" s="66">
      <c r="A288" s="69">
        <f>IF($AD288="","",IF($AD288="Z","รวมจ่ายทั้งสิ้น",IF($AD288="H",INDEX($X$5:$X$404,$AC288),IF($AD288="T","รวม",IF($AD288="B",IFERROR(INDEX(อัตราค่าขนส่ง!$S$5:$S$14,MATCH(INDEX($AM$5:$AM$404,$AC288),อัตราค่าขนส่ง!$R$5:$R$14,0)),"รวมกลุ่ม "&amp;INDEX($AM$5:$AM$404,$AC288)),INDEX($AY$5:$AY$404,$AC288))))))</f>
        <v/>
      </c>
      <c r="B288" s="31">
        <f>IF($AD288&lt;&gt;"D","",INDEX($AW$5:$AW$404,$AC288))</f>
        <v/>
      </c>
      <c r="C288" s="68">
        <f>IF($AD288&lt;&gt;"D","",INDEX($AX$5:$AX$404,$AC288))</f>
        <v/>
      </c>
      <c r="D288" s="70">
        <f>IF($AD288&lt;&gt;"D","",INDEX($BA$5:$BA$404,$AC288))</f>
        <v/>
      </c>
      <c r="E288" s="31">
        <f>IF($AD288="Z",SUM($AR$5:$AR$404),IF($AD288="D",INDEX($AR$5:$AR$404,$AC288),IF($AD288="T",SUMIF($X$5:$X$404,$AF288,$AR$5:$AR$404),IF($AD288="B",SUMIF($AN$5:$AN$404,$AQ288,$AR$5:$AR$404),""))))</f>
        <v/>
      </c>
      <c r="F288" s="32">
        <f>IF($AD288="Z",ROUND(SUM($AS$5:$AS$404),2),IF($AD288="D",INDEX($AS$5:$AS$404,$AC288),IF($AD288="T",ROUND(SUMIF($X$5:$X$404,$AF288,$AS$5:$AS$404),2),IF($AD288="B",ROUND(SUMIF($AN$5:$AN$404,$AQ288,$AS$5:$AS$404),2),""))))</f>
        <v/>
      </c>
      <c r="G288" s="32">
        <f>IF($AD288&lt;&gt;"D","",INDEX($AT$5:$AT$404,$AC288))</f>
        <v/>
      </c>
      <c r="H288" s="32">
        <f>IF($AD288&lt;&gt;"D","",INDEX($BC$5:$BC$404,$AC288))</f>
        <v/>
      </c>
      <c r="I288" s="32">
        <f>IF($AD288&lt;&gt;"D","",INDEX($BD$5:$BD$404,$AC288))</f>
        <v/>
      </c>
      <c r="J288" s="46">
        <f>IF($AD288&lt;&gt;"D","",IF(N($B288)=0,"",ROUND($I288/$B288,4)))</f>
        <v/>
      </c>
      <c r="K288" s="32">
        <f>IF($AD288="Z",ROUND(SUM($AU$5:$AU$404),2),IF($AD288="D",INDEX($AU$5:$AU$404,$AC288),IF($AD288="T",ROUND(SUMIF($X$5:$X$404,$AF288,$AU$5:$AU$404),2),IF($AD288="B",ROUND(SUMIF($AN$5:$AN$404,$AQ288,$AU$5:$AU$404),2),""))))</f>
        <v/>
      </c>
      <c r="L288" s="32">
        <f>IF($AD288="Z",ROUND(SUM($AV$5:$AV$404),2),IF($AD288="D",INDEX($AV$5:$AV$404,$AC288),IF($AD288="T",ROUND(SUMIF($X$5:$X$404,$AF288,$AV$5:$AV$404),2),IF($AD288="B",ROUND(SUMIF($AN$5:$AN$404,$AQ288,$AV$5:$AV$404),2),""))))</f>
        <v/>
      </c>
      <c r="M288" s="32">
        <f>IF($AD288="Z",ROUND(SUM($AJ$5:$AJ$704),2),IF($AD288="B",ROUND(SUMIF($AQ$5:$AQ$704,$AQ288,$AJ$5:$AJ$704),2),IF($AD288&lt;&gt;"T","",$AJ288)))</f>
        <v/>
      </c>
      <c r="N288" s="32">
        <f>IF(OR($AD288="D",$AD288="T",$AD288="B",$AD288="Z"),ROUND(N($K288)-N($L288)-N($M288),2),"")</f>
        <v/>
      </c>
      <c r="O288" s="32">
        <f>IF(OR($AD288="D",$AD288="T",$AD288="B",$AD288="Z"),IF(N($E288)=0,"",ROUND($F288/$E288,2)),"")</f>
        <v/>
      </c>
      <c r="Q288">
        <f>IFERROR(MATCH(284,บันทึกรายเที่ยว!$Z$6:$Z$6005,0),"")</f>
        <v/>
      </c>
      <c r="R288">
        <f>IF($Q288="","",INDEX(บันทึกรายเที่ยว!$V$6:$V$6005,$Q288))</f>
        <v/>
      </c>
      <c r="S288">
        <f>IF($Q288="","",INDEX(บันทึกรายเที่ยว!$F$6:$F$6005,$Q288))</f>
        <v/>
      </c>
      <c r="T288">
        <f>IF($Q288="","",MATCH($S288,บันทึกรายเที่ยว!$F$6:$F$6005,0))</f>
        <v/>
      </c>
      <c r="U288">
        <f>IF($Q288="","",$AL288*10000000+$T288*1000+284)</f>
        <v/>
      </c>
      <c r="V288">
        <f>IFERROR(MATCH(SMALL($U$5:$U$404,284),$U$5:$U$404,0),"")</f>
        <v/>
      </c>
      <c r="W288">
        <f>IF($V288="","",INDEX($Q$5:$Q$404,$V288))</f>
        <v/>
      </c>
      <c r="X288">
        <f>IF($V288="","",INDEX($S$5:$S$404,$V288))</f>
        <v/>
      </c>
      <c r="Y288">
        <f>IF($V288="","",INDEX($R$5:$R$404,$V288))</f>
        <v/>
      </c>
      <c r="Z288">
        <f>IF($V288="",0,IF($X288&lt;&gt;$X287,1,0))</f>
        <v/>
      </c>
      <c r="AA288">
        <f>IF($V288="",0,IF($V289="",1,IF($X289&lt;&gt;$X288,1,0)))</f>
        <v/>
      </c>
      <c r="AB288">
        <f>IF($V288="",99999+284,$AB287+1+$Z287+$AA287+$AO287)</f>
        <v/>
      </c>
      <c r="AC288">
        <f>IFERROR(MATCH(284,$AB$5:$AB$404,1),"")</f>
        <v/>
      </c>
      <c r="AD288">
        <f>IF(284=$AI$1+1,"Z",IF($AC288="","",IF(INDEX($V$5:$V$404,$AC288)="","",IF(284&gt;INDEX($AB$5:$AB$404,$AC288)+INDEX($Z$5:$Z$404,$AC288)+INDEX($AA$5:$AA$404,$AC288)+INDEX($AO$5:$AO$404,$AC288),"",IF(284=INDEX($AB$5:$AB$404,$AC288)+INDEX($Z$5:$Z$404,$AC288),"D",IF(AND(INDEX($Z$5:$Z$404,$AC288)=1,284=INDEX($AB$5:$AB$404,$AC288)),"H",IF(AND(INDEX($AO$5:$AO$404,$AC288)=1,284=INDEX($AB$5:$AB$404,$AC288)+INDEX($Z$5:$Z$404,$AC288)+INDEX($AA$5:$AA$404,$AC288)+INDEX($AO$5:$AO$404,$AC288)),"B","T")))))))</f>
        <v/>
      </c>
      <c r="AF288">
        <f>IF(OR($AD288="",$AD288="Z",$AD288="B"),"",INDEX($X$5:$X$404,$AC288))</f>
        <v/>
      </c>
      <c r="AJ288">
        <f>IF($AD288&lt;&gt;"T",0,ROUND(SUMIF(oil!$B$4:$B$63,$AF288,oil!$AE$4:$AE$63),2))</f>
        <v/>
      </c>
      <c r="AK288">
        <f>IF($S288="","",IFERROR(INDEX(อัตราค่าขนส่ง!$P$5:$P$54,MATCH($S288,อัตราค่าขนส่ง!$O$5:$O$54,0)),INDEX(รายการมาตรฐาน!$G$2:$G$3,1)))</f>
        <v/>
      </c>
      <c r="AL288">
        <f>IF($S288="","",IFERROR(MATCH($AK288,รายการมาตรฐาน!$G$2:$G$3,0),1))</f>
        <v/>
      </c>
      <c r="AM288">
        <f>IF($V288="","",INDEX($AK$5:$AK$404,$V288))</f>
        <v/>
      </c>
      <c r="AN288">
        <f>IF($V288="","",INDEX($AL$5:$AL$404,$V288))</f>
        <v/>
      </c>
      <c r="AO288">
        <f>IF(OR($V288="",$AI$2&lt;=1),0,IF($V289="",1,IF($AN289&lt;&gt;$AN288,1,0)))</f>
        <v/>
      </c>
      <c r="AP288">
        <f>IF($V288="",0,IF($AN288&lt;&gt;$AN287,1,0))</f>
        <v/>
      </c>
      <c r="AQ288">
        <f>IF(OR($AD288="",$AD288="Z"),"",INDEX($AN$5:$AN$404,$AC288))</f>
        <v/>
      </c>
      <c r="AR288">
        <f>IF($Y288="",0,COUNTIF(บันทึกรายเที่ยว!$V$6:$V$6005,$Y288))</f>
        <v/>
      </c>
      <c r="AS288">
        <f>IF($Y288="",0,ROUND(SUMIF(บันทึกรายเที่ยว!$V$6:$V$6005,$Y288,บันทึกรายเที่ยว!$M$6:$M$6005),2))</f>
        <v/>
      </c>
      <c r="AT288">
        <f>IF($Y288="",0,IFERROR(INDEX(อัตราค่าขนส่ง!$G$5:$G$204,MATCH($Y288,อัตราค่าขนส่ง!$M$5:$M$204,0)),0))</f>
        <v/>
      </c>
      <c r="AU288">
        <f>ROUND($AS288*$BD288,2)</f>
        <v/>
      </c>
      <c r="AV288">
        <f>ROUND($AU288*$BF$2/100,2)</f>
        <v/>
      </c>
      <c r="AW288">
        <f>IF($Y288="","",IFERROR(INDEX(อัตราค่าขนส่ง!$F$5:$F$204,MATCH($Y288,อัตราค่าขนส่ง!$M$5:$M$204,0)),""))</f>
        <v/>
      </c>
      <c r="AX288">
        <f>IF($W288="","",INDEX(บันทึกรายเที่ยว!$D$6:$D$6005,$W288))</f>
        <v/>
      </c>
      <c r="AY288">
        <f>IF($W288="","",INDEX(บันทึกรายเที่ยว!$R$6:$R$6005,$W288))</f>
        <v/>
      </c>
      <c r="AZ288">
        <f>IF(AND($AD288="T",$AQ288=1),N($AZ287)+1,N($AZ287))</f>
        <v/>
      </c>
      <c r="BA288">
        <f>IF($W288="","",INDEX(บันทึกรายเที่ยว!$E$6:$E$6005,$W288))</f>
        <v/>
      </c>
      <c r="BC288">
        <f>IF($Y288="",0,IFERROR(INDEX(อัตราค่าขนส่ง!$K$5:$K$204,MATCH($Y288,อัตราค่าขนส่ง!$M$5:$M$204,0)),0))</f>
        <v/>
      </c>
      <c r="BD288">
        <f>IF($Y288="",0,IFERROR(INDEX(อัตราค่าขนส่ง!$L$5:$L$204,MATCH($Y288,อัตราค่าขนส่ง!$M$5:$M$204,0)),0))</f>
        <v/>
      </c>
    </row>
    <row r="289" ht="21" customHeight="1" s="66">
      <c r="A289" s="69">
        <f>IF($AD289="","",IF($AD289="Z","รวมจ่ายทั้งสิ้น",IF($AD289="H",INDEX($X$5:$X$404,$AC289),IF($AD289="T","รวม",IF($AD289="B",IFERROR(INDEX(อัตราค่าขนส่ง!$S$5:$S$14,MATCH(INDEX($AM$5:$AM$404,$AC289),อัตราค่าขนส่ง!$R$5:$R$14,0)),"รวมกลุ่ม "&amp;INDEX($AM$5:$AM$404,$AC289)),INDEX($AY$5:$AY$404,$AC289))))))</f>
        <v/>
      </c>
      <c r="B289" s="31">
        <f>IF($AD289&lt;&gt;"D","",INDEX($AW$5:$AW$404,$AC289))</f>
        <v/>
      </c>
      <c r="C289" s="68">
        <f>IF($AD289&lt;&gt;"D","",INDEX($AX$5:$AX$404,$AC289))</f>
        <v/>
      </c>
      <c r="D289" s="70">
        <f>IF($AD289&lt;&gt;"D","",INDEX($BA$5:$BA$404,$AC289))</f>
        <v/>
      </c>
      <c r="E289" s="31">
        <f>IF($AD289="Z",SUM($AR$5:$AR$404),IF($AD289="D",INDEX($AR$5:$AR$404,$AC289),IF($AD289="T",SUMIF($X$5:$X$404,$AF289,$AR$5:$AR$404),IF($AD289="B",SUMIF($AN$5:$AN$404,$AQ289,$AR$5:$AR$404),""))))</f>
        <v/>
      </c>
      <c r="F289" s="32">
        <f>IF($AD289="Z",ROUND(SUM($AS$5:$AS$404),2),IF($AD289="D",INDEX($AS$5:$AS$404,$AC289),IF($AD289="T",ROUND(SUMIF($X$5:$X$404,$AF289,$AS$5:$AS$404),2),IF($AD289="B",ROUND(SUMIF($AN$5:$AN$404,$AQ289,$AS$5:$AS$404),2),""))))</f>
        <v/>
      </c>
      <c r="G289" s="32">
        <f>IF($AD289&lt;&gt;"D","",INDEX($AT$5:$AT$404,$AC289))</f>
        <v/>
      </c>
      <c r="H289" s="32">
        <f>IF($AD289&lt;&gt;"D","",INDEX($BC$5:$BC$404,$AC289))</f>
        <v/>
      </c>
      <c r="I289" s="32">
        <f>IF($AD289&lt;&gt;"D","",INDEX($BD$5:$BD$404,$AC289))</f>
        <v/>
      </c>
      <c r="J289" s="46">
        <f>IF($AD289&lt;&gt;"D","",IF(N($B289)=0,"",ROUND($I289/$B289,4)))</f>
        <v/>
      </c>
      <c r="K289" s="32">
        <f>IF($AD289="Z",ROUND(SUM($AU$5:$AU$404),2),IF($AD289="D",INDEX($AU$5:$AU$404,$AC289),IF($AD289="T",ROUND(SUMIF($X$5:$X$404,$AF289,$AU$5:$AU$404),2),IF($AD289="B",ROUND(SUMIF($AN$5:$AN$404,$AQ289,$AU$5:$AU$404),2),""))))</f>
        <v/>
      </c>
      <c r="L289" s="32">
        <f>IF($AD289="Z",ROUND(SUM($AV$5:$AV$404),2),IF($AD289="D",INDEX($AV$5:$AV$404,$AC289),IF($AD289="T",ROUND(SUMIF($X$5:$X$404,$AF289,$AV$5:$AV$404),2),IF($AD289="B",ROUND(SUMIF($AN$5:$AN$404,$AQ289,$AV$5:$AV$404),2),""))))</f>
        <v/>
      </c>
      <c r="M289" s="32">
        <f>IF($AD289="Z",ROUND(SUM($AJ$5:$AJ$704),2),IF($AD289="B",ROUND(SUMIF($AQ$5:$AQ$704,$AQ289,$AJ$5:$AJ$704),2),IF($AD289&lt;&gt;"T","",$AJ289)))</f>
        <v/>
      </c>
      <c r="N289" s="32">
        <f>IF(OR($AD289="D",$AD289="T",$AD289="B",$AD289="Z"),ROUND(N($K289)-N($L289)-N($M289),2),"")</f>
        <v/>
      </c>
      <c r="O289" s="32">
        <f>IF(OR($AD289="D",$AD289="T",$AD289="B",$AD289="Z"),IF(N($E289)=0,"",ROUND($F289/$E289,2)),"")</f>
        <v/>
      </c>
      <c r="Q289">
        <f>IFERROR(MATCH(285,บันทึกรายเที่ยว!$Z$6:$Z$6005,0),"")</f>
        <v/>
      </c>
      <c r="R289">
        <f>IF($Q289="","",INDEX(บันทึกรายเที่ยว!$V$6:$V$6005,$Q289))</f>
        <v/>
      </c>
      <c r="S289">
        <f>IF($Q289="","",INDEX(บันทึกรายเที่ยว!$F$6:$F$6005,$Q289))</f>
        <v/>
      </c>
      <c r="T289">
        <f>IF($Q289="","",MATCH($S289,บันทึกรายเที่ยว!$F$6:$F$6005,0))</f>
        <v/>
      </c>
      <c r="U289">
        <f>IF($Q289="","",$AL289*10000000+$T289*1000+285)</f>
        <v/>
      </c>
      <c r="V289">
        <f>IFERROR(MATCH(SMALL($U$5:$U$404,285),$U$5:$U$404,0),"")</f>
        <v/>
      </c>
      <c r="W289">
        <f>IF($V289="","",INDEX($Q$5:$Q$404,$V289))</f>
        <v/>
      </c>
      <c r="X289">
        <f>IF($V289="","",INDEX($S$5:$S$404,$V289))</f>
        <v/>
      </c>
      <c r="Y289">
        <f>IF($V289="","",INDEX($R$5:$R$404,$V289))</f>
        <v/>
      </c>
      <c r="Z289">
        <f>IF($V289="",0,IF($X289&lt;&gt;$X288,1,0))</f>
        <v/>
      </c>
      <c r="AA289">
        <f>IF($V289="",0,IF($V290="",1,IF($X290&lt;&gt;$X289,1,0)))</f>
        <v/>
      </c>
      <c r="AB289">
        <f>IF($V289="",99999+285,$AB288+1+$Z288+$AA288+$AO288)</f>
        <v/>
      </c>
      <c r="AC289">
        <f>IFERROR(MATCH(285,$AB$5:$AB$404,1),"")</f>
        <v/>
      </c>
      <c r="AD289">
        <f>IF(285=$AI$1+1,"Z",IF($AC289="","",IF(INDEX($V$5:$V$404,$AC289)="","",IF(285&gt;INDEX($AB$5:$AB$404,$AC289)+INDEX($Z$5:$Z$404,$AC289)+INDEX($AA$5:$AA$404,$AC289)+INDEX($AO$5:$AO$404,$AC289),"",IF(285=INDEX($AB$5:$AB$404,$AC289)+INDEX($Z$5:$Z$404,$AC289),"D",IF(AND(INDEX($Z$5:$Z$404,$AC289)=1,285=INDEX($AB$5:$AB$404,$AC289)),"H",IF(AND(INDEX($AO$5:$AO$404,$AC289)=1,285=INDEX($AB$5:$AB$404,$AC289)+INDEX($Z$5:$Z$404,$AC289)+INDEX($AA$5:$AA$404,$AC289)+INDEX($AO$5:$AO$404,$AC289)),"B","T")))))))</f>
        <v/>
      </c>
      <c r="AF289">
        <f>IF(OR($AD289="",$AD289="Z",$AD289="B"),"",INDEX($X$5:$X$404,$AC289))</f>
        <v/>
      </c>
      <c r="AJ289">
        <f>IF($AD289&lt;&gt;"T",0,ROUND(SUMIF(oil!$B$4:$B$63,$AF289,oil!$AE$4:$AE$63),2))</f>
        <v/>
      </c>
      <c r="AK289">
        <f>IF($S289="","",IFERROR(INDEX(อัตราค่าขนส่ง!$P$5:$P$54,MATCH($S289,อัตราค่าขนส่ง!$O$5:$O$54,0)),INDEX(รายการมาตรฐาน!$G$2:$G$3,1)))</f>
        <v/>
      </c>
      <c r="AL289">
        <f>IF($S289="","",IFERROR(MATCH($AK289,รายการมาตรฐาน!$G$2:$G$3,0),1))</f>
        <v/>
      </c>
      <c r="AM289">
        <f>IF($V289="","",INDEX($AK$5:$AK$404,$V289))</f>
        <v/>
      </c>
      <c r="AN289">
        <f>IF($V289="","",INDEX($AL$5:$AL$404,$V289))</f>
        <v/>
      </c>
      <c r="AO289">
        <f>IF(OR($V289="",$AI$2&lt;=1),0,IF($V290="",1,IF($AN290&lt;&gt;$AN289,1,0)))</f>
        <v/>
      </c>
      <c r="AP289">
        <f>IF($V289="",0,IF($AN289&lt;&gt;$AN288,1,0))</f>
        <v/>
      </c>
      <c r="AQ289">
        <f>IF(OR($AD289="",$AD289="Z"),"",INDEX($AN$5:$AN$404,$AC289))</f>
        <v/>
      </c>
      <c r="AR289">
        <f>IF($Y289="",0,COUNTIF(บันทึกรายเที่ยว!$V$6:$V$6005,$Y289))</f>
        <v/>
      </c>
      <c r="AS289">
        <f>IF($Y289="",0,ROUND(SUMIF(บันทึกรายเที่ยว!$V$6:$V$6005,$Y289,บันทึกรายเที่ยว!$M$6:$M$6005),2))</f>
        <v/>
      </c>
      <c r="AT289">
        <f>IF($Y289="",0,IFERROR(INDEX(อัตราค่าขนส่ง!$G$5:$G$204,MATCH($Y289,อัตราค่าขนส่ง!$M$5:$M$204,0)),0))</f>
        <v/>
      </c>
      <c r="AU289">
        <f>ROUND($AS289*$BD289,2)</f>
        <v/>
      </c>
      <c r="AV289">
        <f>ROUND($AU289*$BF$2/100,2)</f>
        <v/>
      </c>
      <c r="AW289">
        <f>IF($Y289="","",IFERROR(INDEX(อัตราค่าขนส่ง!$F$5:$F$204,MATCH($Y289,อัตราค่าขนส่ง!$M$5:$M$204,0)),""))</f>
        <v/>
      </c>
      <c r="AX289">
        <f>IF($W289="","",INDEX(บันทึกรายเที่ยว!$D$6:$D$6005,$W289))</f>
        <v/>
      </c>
      <c r="AY289">
        <f>IF($W289="","",INDEX(บันทึกรายเที่ยว!$R$6:$R$6005,$W289))</f>
        <v/>
      </c>
      <c r="AZ289">
        <f>IF(AND($AD289="T",$AQ289=1),N($AZ288)+1,N($AZ288))</f>
        <v/>
      </c>
      <c r="BA289">
        <f>IF($W289="","",INDEX(บันทึกรายเที่ยว!$E$6:$E$6005,$W289))</f>
        <v/>
      </c>
      <c r="BC289">
        <f>IF($Y289="",0,IFERROR(INDEX(อัตราค่าขนส่ง!$K$5:$K$204,MATCH($Y289,อัตราค่าขนส่ง!$M$5:$M$204,0)),0))</f>
        <v/>
      </c>
      <c r="BD289">
        <f>IF($Y289="",0,IFERROR(INDEX(อัตราค่าขนส่ง!$L$5:$L$204,MATCH($Y289,อัตราค่าขนส่ง!$M$5:$M$204,0)),0))</f>
        <v/>
      </c>
    </row>
    <row r="290" ht="21" customHeight="1" s="66">
      <c r="A290" s="69">
        <f>IF($AD290="","",IF($AD290="Z","รวมจ่ายทั้งสิ้น",IF($AD290="H",INDEX($X$5:$X$404,$AC290),IF($AD290="T","รวม",IF($AD290="B",IFERROR(INDEX(อัตราค่าขนส่ง!$S$5:$S$14,MATCH(INDEX($AM$5:$AM$404,$AC290),อัตราค่าขนส่ง!$R$5:$R$14,0)),"รวมกลุ่ม "&amp;INDEX($AM$5:$AM$404,$AC290)),INDEX($AY$5:$AY$404,$AC290))))))</f>
        <v/>
      </c>
      <c r="B290" s="31">
        <f>IF($AD290&lt;&gt;"D","",INDEX($AW$5:$AW$404,$AC290))</f>
        <v/>
      </c>
      <c r="C290" s="68">
        <f>IF($AD290&lt;&gt;"D","",INDEX($AX$5:$AX$404,$AC290))</f>
        <v/>
      </c>
      <c r="D290" s="70">
        <f>IF($AD290&lt;&gt;"D","",INDEX($BA$5:$BA$404,$AC290))</f>
        <v/>
      </c>
      <c r="E290" s="31">
        <f>IF($AD290="Z",SUM($AR$5:$AR$404),IF($AD290="D",INDEX($AR$5:$AR$404,$AC290),IF($AD290="T",SUMIF($X$5:$X$404,$AF290,$AR$5:$AR$404),IF($AD290="B",SUMIF($AN$5:$AN$404,$AQ290,$AR$5:$AR$404),""))))</f>
        <v/>
      </c>
      <c r="F290" s="32">
        <f>IF($AD290="Z",ROUND(SUM($AS$5:$AS$404),2),IF($AD290="D",INDEX($AS$5:$AS$404,$AC290),IF($AD290="T",ROUND(SUMIF($X$5:$X$404,$AF290,$AS$5:$AS$404),2),IF($AD290="B",ROUND(SUMIF($AN$5:$AN$404,$AQ290,$AS$5:$AS$404),2),""))))</f>
        <v/>
      </c>
      <c r="G290" s="32">
        <f>IF($AD290&lt;&gt;"D","",INDEX($AT$5:$AT$404,$AC290))</f>
        <v/>
      </c>
      <c r="H290" s="32">
        <f>IF($AD290&lt;&gt;"D","",INDEX($BC$5:$BC$404,$AC290))</f>
        <v/>
      </c>
      <c r="I290" s="32">
        <f>IF($AD290&lt;&gt;"D","",INDEX($BD$5:$BD$404,$AC290))</f>
        <v/>
      </c>
      <c r="J290" s="46">
        <f>IF($AD290&lt;&gt;"D","",IF(N($B290)=0,"",ROUND($I290/$B290,4)))</f>
        <v/>
      </c>
      <c r="K290" s="32">
        <f>IF($AD290="Z",ROUND(SUM($AU$5:$AU$404),2),IF($AD290="D",INDEX($AU$5:$AU$404,$AC290),IF($AD290="T",ROUND(SUMIF($X$5:$X$404,$AF290,$AU$5:$AU$404),2),IF($AD290="B",ROUND(SUMIF($AN$5:$AN$404,$AQ290,$AU$5:$AU$404),2),""))))</f>
        <v/>
      </c>
      <c r="L290" s="32">
        <f>IF($AD290="Z",ROUND(SUM($AV$5:$AV$404),2),IF($AD290="D",INDEX($AV$5:$AV$404,$AC290),IF($AD290="T",ROUND(SUMIF($X$5:$X$404,$AF290,$AV$5:$AV$404),2),IF($AD290="B",ROUND(SUMIF($AN$5:$AN$404,$AQ290,$AV$5:$AV$404),2),""))))</f>
        <v/>
      </c>
      <c r="M290" s="32">
        <f>IF($AD290="Z",ROUND(SUM($AJ$5:$AJ$704),2),IF($AD290="B",ROUND(SUMIF($AQ$5:$AQ$704,$AQ290,$AJ$5:$AJ$704),2),IF($AD290&lt;&gt;"T","",$AJ290)))</f>
        <v/>
      </c>
      <c r="N290" s="32">
        <f>IF(OR($AD290="D",$AD290="T",$AD290="B",$AD290="Z"),ROUND(N($K290)-N($L290)-N($M290),2),"")</f>
        <v/>
      </c>
      <c r="O290" s="32">
        <f>IF(OR($AD290="D",$AD290="T",$AD290="B",$AD290="Z"),IF(N($E290)=0,"",ROUND($F290/$E290,2)),"")</f>
        <v/>
      </c>
      <c r="Q290">
        <f>IFERROR(MATCH(286,บันทึกรายเที่ยว!$Z$6:$Z$6005,0),"")</f>
        <v/>
      </c>
      <c r="R290">
        <f>IF($Q290="","",INDEX(บันทึกรายเที่ยว!$V$6:$V$6005,$Q290))</f>
        <v/>
      </c>
      <c r="S290">
        <f>IF($Q290="","",INDEX(บันทึกรายเที่ยว!$F$6:$F$6005,$Q290))</f>
        <v/>
      </c>
      <c r="T290">
        <f>IF($Q290="","",MATCH($S290,บันทึกรายเที่ยว!$F$6:$F$6005,0))</f>
        <v/>
      </c>
      <c r="U290">
        <f>IF($Q290="","",$AL290*10000000+$T290*1000+286)</f>
        <v/>
      </c>
      <c r="V290">
        <f>IFERROR(MATCH(SMALL($U$5:$U$404,286),$U$5:$U$404,0),"")</f>
        <v/>
      </c>
      <c r="W290">
        <f>IF($V290="","",INDEX($Q$5:$Q$404,$V290))</f>
        <v/>
      </c>
      <c r="X290">
        <f>IF($V290="","",INDEX($S$5:$S$404,$V290))</f>
        <v/>
      </c>
      <c r="Y290">
        <f>IF($V290="","",INDEX($R$5:$R$404,$V290))</f>
        <v/>
      </c>
      <c r="Z290">
        <f>IF($V290="",0,IF($X290&lt;&gt;$X289,1,0))</f>
        <v/>
      </c>
      <c r="AA290">
        <f>IF($V290="",0,IF($V291="",1,IF($X291&lt;&gt;$X290,1,0)))</f>
        <v/>
      </c>
      <c r="AB290">
        <f>IF($V290="",99999+286,$AB289+1+$Z289+$AA289+$AO289)</f>
        <v/>
      </c>
      <c r="AC290">
        <f>IFERROR(MATCH(286,$AB$5:$AB$404,1),"")</f>
        <v/>
      </c>
      <c r="AD290">
        <f>IF(286=$AI$1+1,"Z",IF($AC290="","",IF(INDEX($V$5:$V$404,$AC290)="","",IF(286&gt;INDEX($AB$5:$AB$404,$AC290)+INDEX($Z$5:$Z$404,$AC290)+INDEX($AA$5:$AA$404,$AC290)+INDEX($AO$5:$AO$404,$AC290),"",IF(286=INDEX($AB$5:$AB$404,$AC290)+INDEX($Z$5:$Z$404,$AC290),"D",IF(AND(INDEX($Z$5:$Z$404,$AC290)=1,286=INDEX($AB$5:$AB$404,$AC290)),"H",IF(AND(INDEX($AO$5:$AO$404,$AC290)=1,286=INDEX($AB$5:$AB$404,$AC290)+INDEX($Z$5:$Z$404,$AC290)+INDEX($AA$5:$AA$404,$AC290)+INDEX($AO$5:$AO$404,$AC290)),"B","T")))))))</f>
        <v/>
      </c>
      <c r="AF290">
        <f>IF(OR($AD290="",$AD290="Z",$AD290="B"),"",INDEX($X$5:$X$404,$AC290))</f>
        <v/>
      </c>
      <c r="AJ290">
        <f>IF($AD290&lt;&gt;"T",0,ROUND(SUMIF(oil!$B$4:$B$63,$AF290,oil!$AE$4:$AE$63),2))</f>
        <v/>
      </c>
      <c r="AK290">
        <f>IF($S290="","",IFERROR(INDEX(อัตราค่าขนส่ง!$P$5:$P$54,MATCH($S290,อัตราค่าขนส่ง!$O$5:$O$54,0)),INDEX(รายการมาตรฐาน!$G$2:$G$3,1)))</f>
        <v/>
      </c>
      <c r="AL290">
        <f>IF($S290="","",IFERROR(MATCH($AK290,รายการมาตรฐาน!$G$2:$G$3,0),1))</f>
        <v/>
      </c>
      <c r="AM290">
        <f>IF($V290="","",INDEX($AK$5:$AK$404,$V290))</f>
        <v/>
      </c>
      <c r="AN290">
        <f>IF($V290="","",INDEX($AL$5:$AL$404,$V290))</f>
        <v/>
      </c>
      <c r="AO290">
        <f>IF(OR($V290="",$AI$2&lt;=1),0,IF($V291="",1,IF($AN291&lt;&gt;$AN290,1,0)))</f>
        <v/>
      </c>
      <c r="AP290">
        <f>IF($V290="",0,IF($AN290&lt;&gt;$AN289,1,0))</f>
        <v/>
      </c>
      <c r="AQ290">
        <f>IF(OR($AD290="",$AD290="Z"),"",INDEX($AN$5:$AN$404,$AC290))</f>
        <v/>
      </c>
      <c r="AR290">
        <f>IF($Y290="",0,COUNTIF(บันทึกรายเที่ยว!$V$6:$V$6005,$Y290))</f>
        <v/>
      </c>
      <c r="AS290">
        <f>IF($Y290="",0,ROUND(SUMIF(บันทึกรายเที่ยว!$V$6:$V$6005,$Y290,บันทึกรายเที่ยว!$M$6:$M$6005),2))</f>
        <v/>
      </c>
      <c r="AT290">
        <f>IF($Y290="",0,IFERROR(INDEX(อัตราค่าขนส่ง!$G$5:$G$204,MATCH($Y290,อัตราค่าขนส่ง!$M$5:$M$204,0)),0))</f>
        <v/>
      </c>
      <c r="AU290">
        <f>ROUND($AS290*$BD290,2)</f>
        <v/>
      </c>
      <c r="AV290">
        <f>ROUND($AU290*$BF$2/100,2)</f>
        <v/>
      </c>
      <c r="AW290">
        <f>IF($Y290="","",IFERROR(INDEX(อัตราค่าขนส่ง!$F$5:$F$204,MATCH($Y290,อัตราค่าขนส่ง!$M$5:$M$204,0)),""))</f>
        <v/>
      </c>
      <c r="AX290">
        <f>IF($W290="","",INDEX(บันทึกรายเที่ยว!$D$6:$D$6005,$W290))</f>
        <v/>
      </c>
      <c r="AY290">
        <f>IF($W290="","",INDEX(บันทึกรายเที่ยว!$R$6:$R$6005,$W290))</f>
        <v/>
      </c>
      <c r="AZ290">
        <f>IF(AND($AD290="T",$AQ290=1),N($AZ289)+1,N($AZ289))</f>
        <v/>
      </c>
      <c r="BA290">
        <f>IF($W290="","",INDEX(บันทึกรายเที่ยว!$E$6:$E$6005,$W290))</f>
        <v/>
      </c>
      <c r="BC290">
        <f>IF($Y290="",0,IFERROR(INDEX(อัตราค่าขนส่ง!$K$5:$K$204,MATCH($Y290,อัตราค่าขนส่ง!$M$5:$M$204,0)),0))</f>
        <v/>
      </c>
      <c r="BD290">
        <f>IF($Y290="",0,IFERROR(INDEX(อัตราค่าขนส่ง!$L$5:$L$204,MATCH($Y290,อัตราค่าขนส่ง!$M$5:$M$204,0)),0))</f>
        <v/>
      </c>
    </row>
    <row r="291" ht="21" customHeight="1" s="66">
      <c r="A291" s="69">
        <f>IF($AD291="","",IF($AD291="Z","รวมจ่ายทั้งสิ้น",IF($AD291="H",INDEX($X$5:$X$404,$AC291),IF($AD291="T","รวม",IF($AD291="B",IFERROR(INDEX(อัตราค่าขนส่ง!$S$5:$S$14,MATCH(INDEX($AM$5:$AM$404,$AC291),อัตราค่าขนส่ง!$R$5:$R$14,0)),"รวมกลุ่ม "&amp;INDEX($AM$5:$AM$404,$AC291)),INDEX($AY$5:$AY$404,$AC291))))))</f>
        <v/>
      </c>
      <c r="B291" s="31">
        <f>IF($AD291&lt;&gt;"D","",INDEX($AW$5:$AW$404,$AC291))</f>
        <v/>
      </c>
      <c r="C291" s="68">
        <f>IF($AD291&lt;&gt;"D","",INDEX($AX$5:$AX$404,$AC291))</f>
        <v/>
      </c>
      <c r="D291" s="70">
        <f>IF($AD291&lt;&gt;"D","",INDEX($BA$5:$BA$404,$AC291))</f>
        <v/>
      </c>
      <c r="E291" s="31">
        <f>IF($AD291="Z",SUM($AR$5:$AR$404),IF($AD291="D",INDEX($AR$5:$AR$404,$AC291),IF($AD291="T",SUMIF($X$5:$X$404,$AF291,$AR$5:$AR$404),IF($AD291="B",SUMIF($AN$5:$AN$404,$AQ291,$AR$5:$AR$404),""))))</f>
        <v/>
      </c>
      <c r="F291" s="32">
        <f>IF($AD291="Z",ROUND(SUM($AS$5:$AS$404),2),IF($AD291="D",INDEX($AS$5:$AS$404,$AC291),IF($AD291="T",ROUND(SUMIF($X$5:$X$404,$AF291,$AS$5:$AS$404),2),IF($AD291="B",ROUND(SUMIF($AN$5:$AN$404,$AQ291,$AS$5:$AS$404),2),""))))</f>
        <v/>
      </c>
      <c r="G291" s="32">
        <f>IF($AD291&lt;&gt;"D","",INDEX($AT$5:$AT$404,$AC291))</f>
        <v/>
      </c>
      <c r="H291" s="32">
        <f>IF($AD291&lt;&gt;"D","",INDEX($BC$5:$BC$404,$AC291))</f>
        <v/>
      </c>
      <c r="I291" s="32">
        <f>IF($AD291&lt;&gt;"D","",INDEX($BD$5:$BD$404,$AC291))</f>
        <v/>
      </c>
      <c r="J291" s="46">
        <f>IF($AD291&lt;&gt;"D","",IF(N($B291)=0,"",ROUND($I291/$B291,4)))</f>
        <v/>
      </c>
      <c r="K291" s="32">
        <f>IF($AD291="Z",ROUND(SUM($AU$5:$AU$404),2),IF($AD291="D",INDEX($AU$5:$AU$404,$AC291),IF($AD291="T",ROUND(SUMIF($X$5:$X$404,$AF291,$AU$5:$AU$404),2),IF($AD291="B",ROUND(SUMIF($AN$5:$AN$404,$AQ291,$AU$5:$AU$404),2),""))))</f>
        <v/>
      </c>
      <c r="L291" s="32">
        <f>IF($AD291="Z",ROUND(SUM($AV$5:$AV$404),2),IF($AD291="D",INDEX($AV$5:$AV$404,$AC291),IF($AD291="T",ROUND(SUMIF($X$5:$X$404,$AF291,$AV$5:$AV$404),2),IF($AD291="B",ROUND(SUMIF($AN$5:$AN$404,$AQ291,$AV$5:$AV$404),2),""))))</f>
        <v/>
      </c>
      <c r="M291" s="32">
        <f>IF($AD291="Z",ROUND(SUM($AJ$5:$AJ$704),2),IF($AD291="B",ROUND(SUMIF($AQ$5:$AQ$704,$AQ291,$AJ$5:$AJ$704),2),IF($AD291&lt;&gt;"T","",$AJ291)))</f>
        <v/>
      </c>
      <c r="N291" s="32">
        <f>IF(OR($AD291="D",$AD291="T",$AD291="B",$AD291="Z"),ROUND(N($K291)-N($L291)-N($M291),2),"")</f>
        <v/>
      </c>
      <c r="O291" s="32">
        <f>IF(OR($AD291="D",$AD291="T",$AD291="B",$AD291="Z"),IF(N($E291)=0,"",ROUND($F291/$E291,2)),"")</f>
        <v/>
      </c>
      <c r="Q291">
        <f>IFERROR(MATCH(287,บันทึกรายเที่ยว!$Z$6:$Z$6005,0),"")</f>
        <v/>
      </c>
      <c r="R291">
        <f>IF($Q291="","",INDEX(บันทึกรายเที่ยว!$V$6:$V$6005,$Q291))</f>
        <v/>
      </c>
      <c r="S291">
        <f>IF($Q291="","",INDEX(บันทึกรายเที่ยว!$F$6:$F$6005,$Q291))</f>
        <v/>
      </c>
      <c r="T291">
        <f>IF($Q291="","",MATCH($S291,บันทึกรายเที่ยว!$F$6:$F$6005,0))</f>
        <v/>
      </c>
      <c r="U291">
        <f>IF($Q291="","",$AL291*10000000+$T291*1000+287)</f>
        <v/>
      </c>
      <c r="V291">
        <f>IFERROR(MATCH(SMALL($U$5:$U$404,287),$U$5:$U$404,0),"")</f>
        <v/>
      </c>
      <c r="W291">
        <f>IF($V291="","",INDEX($Q$5:$Q$404,$V291))</f>
        <v/>
      </c>
      <c r="X291">
        <f>IF($V291="","",INDEX($S$5:$S$404,$V291))</f>
        <v/>
      </c>
      <c r="Y291">
        <f>IF($V291="","",INDEX($R$5:$R$404,$V291))</f>
        <v/>
      </c>
      <c r="Z291">
        <f>IF($V291="",0,IF($X291&lt;&gt;$X290,1,0))</f>
        <v/>
      </c>
      <c r="AA291">
        <f>IF($V291="",0,IF($V292="",1,IF($X292&lt;&gt;$X291,1,0)))</f>
        <v/>
      </c>
      <c r="AB291">
        <f>IF($V291="",99999+287,$AB290+1+$Z290+$AA290+$AO290)</f>
        <v/>
      </c>
      <c r="AC291">
        <f>IFERROR(MATCH(287,$AB$5:$AB$404,1),"")</f>
        <v/>
      </c>
      <c r="AD291">
        <f>IF(287=$AI$1+1,"Z",IF($AC291="","",IF(INDEX($V$5:$V$404,$AC291)="","",IF(287&gt;INDEX($AB$5:$AB$404,$AC291)+INDEX($Z$5:$Z$404,$AC291)+INDEX($AA$5:$AA$404,$AC291)+INDEX($AO$5:$AO$404,$AC291),"",IF(287=INDEX($AB$5:$AB$404,$AC291)+INDEX($Z$5:$Z$404,$AC291),"D",IF(AND(INDEX($Z$5:$Z$404,$AC291)=1,287=INDEX($AB$5:$AB$404,$AC291)),"H",IF(AND(INDEX($AO$5:$AO$404,$AC291)=1,287=INDEX($AB$5:$AB$404,$AC291)+INDEX($Z$5:$Z$404,$AC291)+INDEX($AA$5:$AA$404,$AC291)+INDEX($AO$5:$AO$404,$AC291)),"B","T")))))))</f>
        <v/>
      </c>
      <c r="AF291">
        <f>IF(OR($AD291="",$AD291="Z",$AD291="B"),"",INDEX($X$5:$X$404,$AC291))</f>
        <v/>
      </c>
      <c r="AJ291">
        <f>IF($AD291&lt;&gt;"T",0,ROUND(SUMIF(oil!$B$4:$B$63,$AF291,oil!$AE$4:$AE$63),2))</f>
        <v/>
      </c>
      <c r="AK291">
        <f>IF($S291="","",IFERROR(INDEX(อัตราค่าขนส่ง!$P$5:$P$54,MATCH($S291,อัตราค่าขนส่ง!$O$5:$O$54,0)),INDEX(รายการมาตรฐาน!$G$2:$G$3,1)))</f>
        <v/>
      </c>
      <c r="AL291">
        <f>IF($S291="","",IFERROR(MATCH($AK291,รายการมาตรฐาน!$G$2:$G$3,0),1))</f>
        <v/>
      </c>
      <c r="AM291">
        <f>IF($V291="","",INDEX($AK$5:$AK$404,$V291))</f>
        <v/>
      </c>
      <c r="AN291">
        <f>IF($V291="","",INDEX($AL$5:$AL$404,$V291))</f>
        <v/>
      </c>
      <c r="AO291">
        <f>IF(OR($V291="",$AI$2&lt;=1),0,IF($V292="",1,IF($AN292&lt;&gt;$AN291,1,0)))</f>
        <v/>
      </c>
      <c r="AP291">
        <f>IF($V291="",0,IF($AN291&lt;&gt;$AN290,1,0))</f>
        <v/>
      </c>
      <c r="AQ291">
        <f>IF(OR($AD291="",$AD291="Z"),"",INDEX($AN$5:$AN$404,$AC291))</f>
        <v/>
      </c>
      <c r="AR291">
        <f>IF($Y291="",0,COUNTIF(บันทึกรายเที่ยว!$V$6:$V$6005,$Y291))</f>
        <v/>
      </c>
      <c r="AS291">
        <f>IF($Y291="",0,ROUND(SUMIF(บันทึกรายเที่ยว!$V$6:$V$6005,$Y291,บันทึกรายเที่ยว!$M$6:$M$6005),2))</f>
        <v/>
      </c>
      <c r="AT291">
        <f>IF($Y291="",0,IFERROR(INDEX(อัตราค่าขนส่ง!$G$5:$G$204,MATCH($Y291,อัตราค่าขนส่ง!$M$5:$M$204,0)),0))</f>
        <v/>
      </c>
      <c r="AU291">
        <f>ROUND($AS291*$BD291,2)</f>
        <v/>
      </c>
      <c r="AV291">
        <f>ROUND($AU291*$BF$2/100,2)</f>
        <v/>
      </c>
      <c r="AW291">
        <f>IF($Y291="","",IFERROR(INDEX(อัตราค่าขนส่ง!$F$5:$F$204,MATCH($Y291,อัตราค่าขนส่ง!$M$5:$M$204,0)),""))</f>
        <v/>
      </c>
      <c r="AX291">
        <f>IF($W291="","",INDEX(บันทึกรายเที่ยว!$D$6:$D$6005,$W291))</f>
        <v/>
      </c>
      <c r="AY291">
        <f>IF($W291="","",INDEX(บันทึกรายเที่ยว!$R$6:$R$6005,$W291))</f>
        <v/>
      </c>
      <c r="AZ291">
        <f>IF(AND($AD291="T",$AQ291=1),N($AZ290)+1,N($AZ290))</f>
        <v/>
      </c>
      <c r="BA291">
        <f>IF($W291="","",INDEX(บันทึกรายเที่ยว!$E$6:$E$6005,$W291))</f>
        <v/>
      </c>
      <c r="BC291">
        <f>IF($Y291="",0,IFERROR(INDEX(อัตราค่าขนส่ง!$K$5:$K$204,MATCH($Y291,อัตราค่าขนส่ง!$M$5:$M$204,0)),0))</f>
        <v/>
      </c>
      <c r="BD291">
        <f>IF($Y291="",0,IFERROR(INDEX(อัตราค่าขนส่ง!$L$5:$L$204,MATCH($Y291,อัตราค่าขนส่ง!$M$5:$M$204,0)),0))</f>
        <v/>
      </c>
    </row>
    <row r="292" ht="21" customHeight="1" s="66">
      <c r="A292" s="69">
        <f>IF($AD292="","",IF($AD292="Z","รวมจ่ายทั้งสิ้น",IF($AD292="H",INDEX($X$5:$X$404,$AC292),IF($AD292="T","รวม",IF($AD292="B",IFERROR(INDEX(อัตราค่าขนส่ง!$S$5:$S$14,MATCH(INDEX($AM$5:$AM$404,$AC292),อัตราค่าขนส่ง!$R$5:$R$14,0)),"รวมกลุ่ม "&amp;INDEX($AM$5:$AM$404,$AC292)),INDEX($AY$5:$AY$404,$AC292))))))</f>
        <v/>
      </c>
      <c r="B292" s="31">
        <f>IF($AD292&lt;&gt;"D","",INDEX($AW$5:$AW$404,$AC292))</f>
        <v/>
      </c>
      <c r="C292" s="68">
        <f>IF($AD292&lt;&gt;"D","",INDEX($AX$5:$AX$404,$AC292))</f>
        <v/>
      </c>
      <c r="D292" s="70">
        <f>IF($AD292&lt;&gt;"D","",INDEX($BA$5:$BA$404,$AC292))</f>
        <v/>
      </c>
      <c r="E292" s="31">
        <f>IF($AD292="Z",SUM($AR$5:$AR$404),IF($AD292="D",INDEX($AR$5:$AR$404,$AC292),IF($AD292="T",SUMIF($X$5:$X$404,$AF292,$AR$5:$AR$404),IF($AD292="B",SUMIF($AN$5:$AN$404,$AQ292,$AR$5:$AR$404),""))))</f>
        <v/>
      </c>
      <c r="F292" s="32">
        <f>IF($AD292="Z",ROUND(SUM($AS$5:$AS$404),2),IF($AD292="D",INDEX($AS$5:$AS$404,$AC292),IF($AD292="T",ROUND(SUMIF($X$5:$X$404,$AF292,$AS$5:$AS$404),2),IF($AD292="B",ROUND(SUMIF($AN$5:$AN$404,$AQ292,$AS$5:$AS$404),2),""))))</f>
        <v/>
      </c>
      <c r="G292" s="32">
        <f>IF($AD292&lt;&gt;"D","",INDEX($AT$5:$AT$404,$AC292))</f>
        <v/>
      </c>
      <c r="H292" s="32">
        <f>IF($AD292&lt;&gt;"D","",INDEX($BC$5:$BC$404,$AC292))</f>
        <v/>
      </c>
      <c r="I292" s="32">
        <f>IF($AD292&lt;&gt;"D","",INDEX($BD$5:$BD$404,$AC292))</f>
        <v/>
      </c>
      <c r="J292" s="46">
        <f>IF($AD292&lt;&gt;"D","",IF(N($B292)=0,"",ROUND($I292/$B292,4)))</f>
        <v/>
      </c>
      <c r="K292" s="32">
        <f>IF($AD292="Z",ROUND(SUM($AU$5:$AU$404),2),IF($AD292="D",INDEX($AU$5:$AU$404,$AC292),IF($AD292="T",ROUND(SUMIF($X$5:$X$404,$AF292,$AU$5:$AU$404),2),IF($AD292="B",ROUND(SUMIF($AN$5:$AN$404,$AQ292,$AU$5:$AU$404),2),""))))</f>
        <v/>
      </c>
      <c r="L292" s="32">
        <f>IF($AD292="Z",ROUND(SUM($AV$5:$AV$404),2),IF($AD292="D",INDEX($AV$5:$AV$404,$AC292),IF($AD292="T",ROUND(SUMIF($X$5:$X$404,$AF292,$AV$5:$AV$404),2),IF($AD292="B",ROUND(SUMIF($AN$5:$AN$404,$AQ292,$AV$5:$AV$404),2),""))))</f>
        <v/>
      </c>
      <c r="M292" s="32">
        <f>IF($AD292="Z",ROUND(SUM($AJ$5:$AJ$704),2),IF($AD292="B",ROUND(SUMIF($AQ$5:$AQ$704,$AQ292,$AJ$5:$AJ$704),2),IF($AD292&lt;&gt;"T","",$AJ292)))</f>
        <v/>
      </c>
      <c r="N292" s="32">
        <f>IF(OR($AD292="D",$AD292="T",$AD292="B",$AD292="Z"),ROUND(N($K292)-N($L292)-N($M292),2),"")</f>
        <v/>
      </c>
      <c r="O292" s="32">
        <f>IF(OR($AD292="D",$AD292="T",$AD292="B",$AD292="Z"),IF(N($E292)=0,"",ROUND($F292/$E292,2)),"")</f>
        <v/>
      </c>
      <c r="Q292">
        <f>IFERROR(MATCH(288,บันทึกรายเที่ยว!$Z$6:$Z$6005,0),"")</f>
        <v/>
      </c>
      <c r="R292">
        <f>IF($Q292="","",INDEX(บันทึกรายเที่ยว!$V$6:$V$6005,$Q292))</f>
        <v/>
      </c>
      <c r="S292">
        <f>IF($Q292="","",INDEX(บันทึกรายเที่ยว!$F$6:$F$6005,$Q292))</f>
        <v/>
      </c>
      <c r="T292">
        <f>IF($Q292="","",MATCH($S292,บันทึกรายเที่ยว!$F$6:$F$6005,0))</f>
        <v/>
      </c>
      <c r="U292">
        <f>IF($Q292="","",$AL292*10000000+$T292*1000+288)</f>
        <v/>
      </c>
      <c r="V292">
        <f>IFERROR(MATCH(SMALL($U$5:$U$404,288),$U$5:$U$404,0),"")</f>
        <v/>
      </c>
      <c r="W292">
        <f>IF($V292="","",INDEX($Q$5:$Q$404,$V292))</f>
        <v/>
      </c>
      <c r="X292">
        <f>IF($V292="","",INDEX($S$5:$S$404,$V292))</f>
        <v/>
      </c>
      <c r="Y292">
        <f>IF($V292="","",INDEX($R$5:$R$404,$V292))</f>
        <v/>
      </c>
      <c r="Z292">
        <f>IF($V292="",0,IF($X292&lt;&gt;$X291,1,0))</f>
        <v/>
      </c>
      <c r="AA292">
        <f>IF($V292="",0,IF($V293="",1,IF($X293&lt;&gt;$X292,1,0)))</f>
        <v/>
      </c>
      <c r="AB292">
        <f>IF($V292="",99999+288,$AB291+1+$Z291+$AA291+$AO291)</f>
        <v/>
      </c>
      <c r="AC292">
        <f>IFERROR(MATCH(288,$AB$5:$AB$404,1),"")</f>
        <v/>
      </c>
      <c r="AD292">
        <f>IF(288=$AI$1+1,"Z",IF($AC292="","",IF(INDEX($V$5:$V$404,$AC292)="","",IF(288&gt;INDEX($AB$5:$AB$404,$AC292)+INDEX($Z$5:$Z$404,$AC292)+INDEX($AA$5:$AA$404,$AC292)+INDEX($AO$5:$AO$404,$AC292),"",IF(288=INDEX($AB$5:$AB$404,$AC292)+INDEX($Z$5:$Z$404,$AC292),"D",IF(AND(INDEX($Z$5:$Z$404,$AC292)=1,288=INDEX($AB$5:$AB$404,$AC292)),"H",IF(AND(INDEX($AO$5:$AO$404,$AC292)=1,288=INDEX($AB$5:$AB$404,$AC292)+INDEX($Z$5:$Z$404,$AC292)+INDEX($AA$5:$AA$404,$AC292)+INDEX($AO$5:$AO$404,$AC292)),"B","T")))))))</f>
        <v/>
      </c>
      <c r="AF292">
        <f>IF(OR($AD292="",$AD292="Z",$AD292="B"),"",INDEX($X$5:$X$404,$AC292))</f>
        <v/>
      </c>
      <c r="AJ292">
        <f>IF($AD292&lt;&gt;"T",0,ROUND(SUMIF(oil!$B$4:$B$63,$AF292,oil!$AE$4:$AE$63),2))</f>
        <v/>
      </c>
      <c r="AK292">
        <f>IF($S292="","",IFERROR(INDEX(อัตราค่าขนส่ง!$P$5:$P$54,MATCH($S292,อัตราค่าขนส่ง!$O$5:$O$54,0)),INDEX(รายการมาตรฐาน!$G$2:$G$3,1)))</f>
        <v/>
      </c>
      <c r="AL292">
        <f>IF($S292="","",IFERROR(MATCH($AK292,รายการมาตรฐาน!$G$2:$G$3,0),1))</f>
        <v/>
      </c>
      <c r="AM292">
        <f>IF($V292="","",INDEX($AK$5:$AK$404,$V292))</f>
        <v/>
      </c>
      <c r="AN292">
        <f>IF($V292="","",INDEX($AL$5:$AL$404,$V292))</f>
        <v/>
      </c>
      <c r="AO292">
        <f>IF(OR($V292="",$AI$2&lt;=1),0,IF($V293="",1,IF($AN293&lt;&gt;$AN292,1,0)))</f>
        <v/>
      </c>
      <c r="AP292">
        <f>IF($V292="",0,IF($AN292&lt;&gt;$AN291,1,0))</f>
        <v/>
      </c>
      <c r="AQ292">
        <f>IF(OR($AD292="",$AD292="Z"),"",INDEX($AN$5:$AN$404,$AC292))</f>
        <v/>
      </c>
      <c r="AR292">
        <f>IF($Y292="",0,COUNTIF(บันทึกรายเที่ยว!$V$6:$V$6005,$Y292))</f>
        <v/>
      </c>
      <c r="AS292">
        <f>IF($Y292="",0,ROUND(SUMIF(บันทึกรายเที่ยว!$V$6:$V$6005,$Y292,บันทึกรายเที่ยว!$M$6:$M$6005),2))</f>
        <v/>
      </c>
      <c r="AT292">
        <f>IF($Y292="",0,IFERROR(INDEX(อัตราค่าขนส่ง!$G$5:$G$204,MATCH($Y292,อัตราค่าขนส่ง!$M$5:$M$204,0)),0))</f>
        <v/>
      </c>
      <c r="AU292">
        <f>ROUND($AS292*$BD292,2)</f>
        <v/>
      </c>
      <c r="AV292">
        <f>ROUND($AU292*$BF$2/100,2)</f>
        <v/>
      </c>
      <c r="AW292">
        <f>IF($Y292="","",IFERROR(INDEX(อัตราค่าขนส่ง!$F$5:$F$204,MATCH($Y292,อัตราค่าขนส่ง!$M$5:$M$204,0)),""))</f>
        <v/>
      </c>
      <c r="AX292">
        <f>IF($W292="","",INDEX(บันทึกรายเที่ยว!$D$6:$D$6005,$W292))</f>
        <v/>
      </c>
      <c r="AY292">
        <f>IF($W292="","",INDEX(บันทึกรายเที่ยว!$R$6:$R$6005,$W292))</f>
        <v/>
      </c>
      <c r="AZ292">
        <f>IF(AND($AD292="T",$AQ292=1),N($AZ291)+1,N($AZ291))</f>
        <v/>
      </c>
      <c r="BA292">
        <f>IF($W292="","",INDEX(บันทึกรายเที่ยว!$E$6:$E$6005,$W292))</f>
        <v/>
      </c>
      <c r="BC292">
        <f>IF($Y292="",0,IFERROR(INDEX(อัตราค่าขนส่ง!$K$5:$K$204,MATCH($Y292,อัตราค่าขนส่ง!$M$5:$M$204,0)),0))</f>
        <v/>
      </c>
      <c r="BD292">
        <f>IF($Y292="",0,IFERROR(INDEX(อัตราค่าขนส่ง!$L$5:$L$204,MATCH($Y292,อัตราค่าขนส่ง!$M$5:$M$204,0)),0))</f>
        <v/>
      </c>
    </row>
    <row r="293" ht="21" customHeight="1" s="66">
      <c r="A293" s="69">
        <f>IF($AD293="","",IF($AD293="Z","รวมจ่ายทั้งสิ้น",IF($AD293="H",INDEX($X$5:$X$404,$AC293),IF($AD293="T","รวม",IF($AD293="B",IFERROR(INDEX(อัตราค่าขนส่ง!$S$5:$S$14,MATCH(INDEX($AM$5:$AM$404,$AC293),อัตราค่าขนส่ง!$R$5:$R$14,0)),"รวมกลุ่ม "&amp;INDEX($AM$5:$AM$404,$AC293)),INDEX($AY$5:$AY$404,$AC293))))))</f>
        <v/>
      </c>
      <c r="B293" s="31">
        <f>IF($AD293&lt;&gt;"D","",INDEX($AW$5:$AW$404,$AC293))</f>
        <v/>
      </c>
      <c r="C293" s="68">
        <f>IF($AD293&lt;&gt;"D","",INDEX($AX$5:$AX$404,$AC293))</f>
        <v/>
      </c>
      <c r="D293" s="70">
        <f>IF($AD293&lt;&gt;"D","",INDEX($BA$5:$BA$404,$AC293))</f>
        <v/>
      </c>
      <c r="E293" s="31">
        <f>IF($AD293="Z",SUM($AR$5:$AR$404),IF($AD293="D",INDEX($AR$5:$AR$404,$AC293),IF($AD293="T",SUMIF($X$5:$X$404,$AF293,$AR$5:$AR$404),IF($AD293="B",SUMIF($AN$5:$AN$404,$AQ293,$AR$5:$AR$404),""))))</f>
        <v/>
      </c>
      <c r="F293" s="32">
        <f>IF($AD293="Z",ROUND(SUM($AS$5:$AS$404),2),IF($AD293="D",INDEX($AS$5:$AS$404,$AC293),IF($AD293="T",ROUND(SUMIF($X$5:$X$404,$AF293,$AS$5:$AS$404),2),IF($AD293="B",ROUND(SUMIF($AN$5:$AN$404,$AQ293,$AS$5:$AS$404),2),""))))</f>
        <v/>
      </c>
      <c r="G293" s="32">
        <f>IF($AD293&lt;&gt;"D","",INDEX($AT$5:$AT$404,$AC293))</f>
        <v/>
      </c>
      <c r="H293" s="32">
        <f>IF($AD293&lt;&gt;"D","",INDEX($BC$5:$BC$404,$AC293))</f>
        <v/>
      </c>
      <c r="I293" s="32">
        <f>IF($AD293&lt;&gt;"D","",INDEX($BD$5:$BD$404,$AC293))</f>
        <v/>
      </c>
      <c r="J293" s="46">
        <f>IF($AD293&lt;&gt;"D","",IF(N($B293)=0,"",ROUND($I293/$B293,4)))</f>
        <v/>
      </c>
      <c r="K293" s="32">
        <f>IF($AD293="Z",ROUND(SUM($AU$5:$AU$404),2),IF($AD293="D",INDEX($AU$5:$AU$404,$AC293),IF($AD293="T",ROUND(SUMIF($X$5:$X$404,$AF293,$AU$5:$AU$404),2),IF($AD293="B",ROUND(SUMIF($AN$5:$AN$404,$AQ293,$AU$5:$AU$404),2),""))))</f>
        <v/>
      </c>
      <c r="L293" s="32">
        <f>IF($AD293="Z",ROUND(SUM($AV$5:$AV$404),2),IF($AD293="D",INDEX($AV$5:$AV$404,$AC293),IF($AD293="T",ROUND(SUMIF($X$5:$X$404,$AF293,$AV$5:$AV$404),2),IF($AD293="B",ROUND(SUMIF($AN$5:$AN$404,$AQ293,$AV$5:$AV$404),2),""))))</f>
        <v/>
      </c>
      <c r="M293" s="32">
        <f>IF($AD293="Z",ROUND(SUM($AJ$5:$AJ$704),2),IF($AD293="B",ROUND(SUMIF($AQ$5:$AQ$704,$AQ293,$AJ$5:$AJ$704),2),IF($AD293&lt;&gt;"T","",$AJ293)))</f>
        <v/>
      </c>
      <c r="N293" s="32">
        <f>IF(OR($AD293="D",$AD293="T",$AD293="B",$AD293="Z"),ROUND(N($K293)-N($L293)-N($M293),2),"")</f>
        <v/>
      </c>
      <c r="O293" s="32">
        <f>IF(OR($AD293="D",$AD293="T",$AD293="B",$AD293="Z"),IF(N($E293)=0,"",ROUND($F293/$E293,2)),"")</f>
        <v/>
      </c>
      <c r="Q293">
        <f>IFERROR(MATCH(289,บันทึกรายเที่ยว!$Z$6:$Z$6005,0),"")</f>
        <v/>
      </c>
      <c r="R293">
        <f>IF($Q293="","",INDEX(บันทึกรายเที่ยว!$V$6:$V$6005,$Q293))</f>
        <v/>
      </c>
      <c r="S293">
        <f>IF($Q293="","",INDEX(บันทึกรายเที่ยว!$F$6:$F$6005,$Q293))</f>
        <v/>
      </c>
      <c r="T293">
        <f>IF($Q293="","",MATCH($S293,บันทึกรายเที่ยว!$F$6:$F$6005,0))</f>
        <v/>
      </c>
      <c r="U293">
        <f>IF($Q293="","",$AL293*10000000+$T293*1000+289)</f>
        <v/>
      </c>
      <c r="V293">
        <f>IFERROR(MATCH(SMALL($U$5:$U$404,289),$U$5:$U$404,0),"")</f>
        <v/>
      </c>
      <c r="W293">
        <f>IF($V293="","",INDEX($Q$5:$Q$404,$V293))</f>
        <v/>
      </c>
      <c r="X293">
        <f>IF($V293="","",INDEX($S$5:$S$404,$V293))</f>
        <v/>
      </c>
      <c r="Y293">
        <f>IF($V293="","",INDEX($R$5:$R$404,$V293))</f>
        <v/>
      </c>
      <c r="Z293">
        <f>IF($V293="",0,IF($X293&lt;&gt;$X292,1,0))</f>
        <v/>
      </c>
      <c r="AA293">
        <f>IF($V293="",0,IF($V294="",1,IF($X294&lt;&gt;$X293,1,0)))</f>
        <v/>
      </c>
      <c r="AB293">
        <f>IF($V293="",99999+289,$AB292+1+$Z292+$AA292+$AO292)</f>
        <v/>
      </c>
      <c r="AC293">
        <f>IFERROR(MATCH(289,$AB$5:$AB$404,1),"")</f>
        <v/>
      </c>
      <c r="AD293">
        <f>IF(289=$AI$1+1,"Z",IF($AC293="","",IF(INDEX($V$5:$V$404,$AC293)="","",IF(289&gt;INDEX($AB$5:$AB$404,$AC293)+INDEX($Z$5:$Z$404,$AC293)+INDEX($AA$5:$AA$404,$AC293)+INDEX($AO$5:$AO$404,$AC293),"",IF(289=INDEX($AB$5:$AB$404,$AC293)+INDEX($Z$5:$Z$404,$AC293),"D",IF(AND(INDEX($Z$5:$Z$404,$AC293)=1,289=INDEX($AB$5:$AB$404,$AC293)),"H",IF(AND(INDEX($AO$5:$AO$404,$AC293)=1,289=INDEX($AB$5:$AB$404,$AC293)+INDEX($Z$5:$Z$404,$AC293)+INDEX($AA$5:$AA$404,$AC293)+INDEX($AO$5:$AO$404,$AC293)),"B","T")))))))</f>
        <v/>
      </c>
      <c r="AF293">
        <f>IF(OR($AD293="",$AD293="Z",$AD293="B"),"",INDEX($X$5:$X$404,$AC293))</f>
        <v/>
      </c>
      <c r="AJ293">
        <f>IF($AD293&lt;&gt;"T",0,ROUND(SUMIF(oil!$B$4:$B$63,$AF293,oil!$AE$4:$AE$63),2))</f>
        <v/>
      </c>
      <c r="AK293">
        <f>IF($S293="","",IFERROR(INDEX(อัตราค่าขนส่ง!$P$5:$P$54,MATCH($S293,อัตราค่าขนส่ง!$O$5:$O$54,0)),INDEX(รายการมาตรฐาน!$G$2:$G$3,1)))</f>
        <v/>
      </c>
      <c r="AL293">
        <f>IF($S293="","",IFERROR(MATCH($AK293,รายการมาตรฐาน!$G$2:$G$3,0),1))</f>
        <v/>
      </c>
      <c r="AM293">
        <f>IF($V293="","",INDEX($AK$5:$AK$404,$V293))</f>
        <v/>
      </c>
      <c r="AN293">
        <f>IF($V293="","",INDEX($AL$5:$AL$404,$V293))</f>
        <v/>
      </c>
      <c r="AO293">
        <f>IF(OR($V293="",$AI$2&lt;=1),0,IF($V294="",1,IF($AN294&lt;&gt;$AN293,1,0)))</f>
        <v/>
      </c>
      <c r="AP293">
        <f>IF($V293="",0,IF($AN293&lt;&gt;$AN292,1,0))</f>
        <v/>
      </c>
      <c r="AQ293">
        <f>IF(OR($AD293="",$AD293="Z"),"",INDEX($AN$5:$AN$404,$AC293))</f>
        <v/>
      </c>
      <c r="AR293">
        <f>IF($Y293="",0,COUNTIF(บันทึกรายเที่ยว!$V$6:$V$6005,$Y293))</f>
        <v/>
      </c>
      <c r="AS293">
        <f>IF($Y293="",0,ROUND(SUMIF(บันทึกรายเที่ยว!$V$6:$V$6005,$Y293,บันทึกรายเที่ยว!$M$6:$M$6005),2))</f>
        <v/>
      </c>
      <c r="AT293">
        <f>IF($Y293="",0,IFERROR(INDEX(อัตราค่าขนส่ง!$G$5:$G$204,MATCH($Y293,อัตราค่าขนส่ง!$M$5:$M$204,0)),0))</f>
        <v/>
      </c>
      <c r="AU293">
        <f>ROUND($AS293*$BD293,2)</f>
        <v/>
      </c>
      <c r="AV293">
        <f>ROUND($AU293*$BF$2/100,2)</f>
        <v/>
      </c>
      <c r="AW293">
        <f>IF($Y293="","",IFERROR(INDEX(อัตราค่าขนส่ง!$F$5:$F$204,MATCH($Y293,อัตราค่าขนส่ง!$M$5:$M$204,0)),""))</f>
        <v/>
      </c>
      <c r="AX293">
        <f>IF($W293="","",INDEX(บันทึกรายเที่ยว!$D$6:$D$6005,$W293))</f>
        <v/>
      </c>
      <c r="AY293">
        <f>IF($W293="","",INDEX(บันทึกรายเที่ยว!$R$6:$R$6005,$W293))</f>
        <v/>
      </c>
      <c r="AZ293">
        <f>IF(AND($AD293="T",$AQ293=1),N($AZ292)+1,N($AZ292))</f>
        <v/>
      </c>
      <c r="BA293">
        <f>IF($W293="","",INDEX(บันทึกรายเที่ยว!$E$6:$E$6005,$W293))</f>
        <v/>
      </c>
      <c r="BC293">
        <f>IF($Y293="",0,IFERROR(INDEX(อัตราค่าขนส่ง!$K$5:$K$204,MATCH($Y293,อัตราค่าขนส่ง!$M$5:$M$204,0)),0))</f>
        <v/>
      </c>
      <c r="BD293">
        <f>IF($Y293="",0,IFERROR(INDEX(อัตราค่าขนส่ง!$L$5:$L$204,MATCH($Y293,อัตราค่าขนส่ง!$M$5:$M$204,0)),0))</f>
        <v/>
      </c>
    </row>
    <row r="294" ht="21" customHeight="1" s="66">
      <c r="A294" s="69">
        <f>IF($AD294="","",IF($AD294="Z","รวมจ่ายทั้งสิ้น",IF($AD294="H",INDEX($X$5:$X$404,$AC294),IF($AD294="T","รวม",IF($AD294="B",IFERROR(INDEX(อัตราค่าขนส่ง!$S$5:$S$14,MATCH(INDEX($AM$5:$AM$404,$AC294),อัตราค่าขนส่ง!$R$5:$R$14,0)),"รวมกลุ่ม "&amp;INDEX($AM$5:$AM$404,$AC294)),INDEX($AY$5:$AY$404,$AC294))))))</f>
        <v/>
      </c>
      <c r="B294" s="31">
        <f>IF($AD294&lt;&gt;"D","",INDEX($AW$5:$AW$404,$AC294))</f>
        <v/>
      </c>
      <c r="C294" s="68">
        <f>IF($AD294&lt;&gt;"D","",INDEX($AX$5:$AX$404,$AC294))</f>
        <v/>
      </c>
      <c r="D294" s="70">
        <f>IF($AD294&lt;&gt;"D","",INDEX($BA$5:$BA$404,$AC294))</f>
        <v/>
      </c>
      <c r="E294" s="31">
        <f>IF($AD294="Z",SUM($AR$5:$AR$404),IF($AD294="D",INDEX($AR$5:$AR$404,$AC294),IF($AD294="T",SUMIF($X$5:$X$404,$AF294,$AR$5:$AR$404),IF($AD294="B",SUMIF($AN$5:$AN$404,$AQ294,$AR$5:$AR$404),""))))</f>
        <v/>
      </c>
      <c r="F294" s="32">
        <f>IF($AD294="Z",ROUND(SUM($AS$5:$AS$404),2),IF($AD294="D",INDEX($AS$5:$AS$404,$AC294),IF($AD294="T",ROUND(SUMIF($X$5:$X$404,$AF294,$AS$5:$AS$404),2),IF($AD294="B",ROUND(SUMIF($AN$5:$AN$404,$AQ294,$AS$5:$AS$404),2),""))))</f>
        <v/>
      </c>
      <c r="G294" s="32">
        <f>IF($AD294&lt;&gt;"D","",INDEX($AT$5:$AT$404,$AC294))</f>
        <v/>
      </c>
      <c r="H294" s="32">
        <f>IF($AD294&lt;&gt;"D","",INDEX($BC$5:$BC$404,$AC294))</f>
        <v/>
      </c>
      <c r="I294" s="32">
        <f>IF($AD294&lt;&gt;"D","",INDEX($BD$5:$BD$404,$AC294))</f>
        <v/>
      </c>
      <c r="J294" s="46">
        <f>IF($AD294&lt;&gt;"D","",IF(N($B294)=0,"",ROUND($I294/$B294,4)))</f>
        <v/>
      </c>
      <c r="K294" s="32">
        <f>IF($AD294="Z",ROUND(SUM($AU$5:$AU$404),2),IF($AD294="D",INDEX($AU$5:$AU$404,$AC294),IF($AD294="T",ROUND(SUMIF($X$5:$X$404,$AF294,$AU$5:$AU$404),2),IF($AD294="B",ROUND(SUMIF($AN$5:$AN$404,$AQ294,$AU$5:$AU$404),2),""))))</f>
        <v/>
      </c>
      <c r="L294" s="32">
        <f>IF($AD294="Z",ROUND(SUM($AV$5:$AV$404),2),IF($AD294="D",INDEX($AV$5:$AV$404,$AC294),IF($AD294="T",ROUND(SUMIF($X$5:$X$404,$AF294,$AV$5:$AV$404),2),IF($AD294="B",ROUND(SUMIF($AN$5:$AN$404,$AQ294,$AV$5:$AV$404),2),""))))</f>
        <v/>
      </c>
      <c r="M294" s="32">
        <f>IF($AD294="Z",ROUND(SUM($AJ$5:$AJ$704),2),IF($AD294="B",ROUND(SUMIF($AQ$5:$AQ$704,$AQ294,$AJ$5:$AJ$704),2),IF($AD294&lt;&gt;"T","",$AJ294)))</f>
        <v/>
      </c>
      <c r="N294" s="32">
        <f>IF(OR($AD294="D",$AD294="T",$AD294="B",$AD294="Z"),ROUND(N($K294)-N($L294)-N($M294),2),"")</f>
        <v/>
      </c>
      <c r="O294" s="32">
        <f>IF(OR($AD294="D",$AD294="T",$AD294="B",$AD294="Z"),IF(N($E294)=0,"",ROUND($F294/$E294,2)),"")</f>
        <v/>
      </c>
      <c r="Q294">
        <f>IFERROR(MATCH(290,บันทึกรายเที่ยว!$Z$6:$Z$6005,0),"")</f>
        <v/>
      </c>
      <c r="R294">
        <f>IF($Q294="","",INDEX(บันทึกรายเที่ยว!$V$6:$V$6005,$Q294))</f>
        <v/>
      </c>
      <c r="S294">
        <f>IF($Q294="","",INDEX(บันทึกรายเที่ยว!$F$6:$F$6005,$Q294))</f>
        <v/>
      </c>
      <c r="T294">
        <f>IF($Q294="","",MATCH($S294,บันทึกรายเที่ยว!$F$6:$F$6005,0))</f>
        <v/>
      </c>
      <c r="U294">
        <f>IF($Q294="","",$AL294*10000000+$T294*1000+290)</f>
        <v/>
      </c>
      <c r="V294">
        <f>IFERROR(MATCH(SMALL($U$5:$U$404,290),$U$5:$U$404,0),"")</f>
        <v/>
      </c>
      <c r="W294">
        <f>IF($V294="","",INDEX($Q$5:$Q$404,$V294))</f>
        <v/>
      </c>
      <c r="X294">
        <f>IF($V294="","",INDEX($S$5:$S$404,$V294))</f>
        <v/>
      </c>
      <c r="Y294">
        <f>IF($V294="","",INDEX($R$5:$R$404,$V294))</f>
        <v/>
      </c>
      <c r="Z294">
        <f>IF($V294="",0,IF($X294&lt;&gt;$X293,1,0))</f>
        <v/>
      </c>
      <c r="AA294">
        <f>IF($V294="",0,IF($V295="",1,IF($X295&lt;&gt;$X294,1,0)))</f>
        <v/>
      </c>
      <c r="AB294">
        <f>IF($V294="",99999+290,$AB293+1+$Z293+$AA293+$AO293)</f>
        <v/>
      </c>
      <c r="AC294">
        <f>IFERROR(MATCH(290,$AB$5:$AB$404,1),"")</f>
        <v/>
      </c>
      <c r="AD294">
        <f>IF(290=$AI$1+1,"Z",IF($AC294="","",IF(INDEX($V$5:$V$404,$AC294)="","",IF(290&gt;INDEX($AB$5:$AB$404,$AC294)+INDEX($Z$5:$Z$404,$AC294)+INDEX($AA$5:$AA$404,$AC294)+INDEX($AO$5:$AO$404,$AC294),"",IF(290=INDEX($AB$5:$AB$404,$AC294)+INDEX($Z$5:$Z$404,$AC294),"D",IF(AND(INDEX($Z$5:$Z$404,$AC294)=1,290=INDEX($AB$5:$AB$404,$AC294)),"H",IF(AND(INDEX($AO$5:$AO$404,$AC294)=1,290=INDEX($AB$5:$AB$404,$AC294)+INDEX($Z$5:$Z$404,$AC294)+INDEX($AA$5:$AA$404,$AC294)+INDEX($AO$5:$AO$404,$AC294)),"B","T")))))))</f>
        <v/>
      </c>
      <c r="AF294">
        <f>IF(OR($AD294="",$AD294="Z",$AD294="B"),"",INDEX($X$5:$X$404,$AC294))</f>
        <v/>
      </c>
      <c r="AJ294">
        <f>IF($AD294&lt;&gt;"T",0,ROUND(SUMIF(oil!$B$4:$B$63,$AF294,oil!$AE$4:$AE$63),2))</f>
        <v/>
      </c>
      <c r="AK294">
        <f>IF($S294="","",IFERROR(INDEX(อัตราค่าขนส่ง!$P$5:$P$54,MATCH($S294,อัตราค่าขนส่ง!$O$5:$O$54,0)),INDEX(รายการมาตรฐาน!$G$2:$G$3,1)))</f>
        <v/>
      </c>
      <c r="AL294">
        <f>IF($S294="","",IFERROR(MATCH($AK294,รายการมาตรฐาน!$G$2:$G$3,0),1))</f>
        <v/>
      </c>
      <c r="AM294">
        <f>IF($V294="","",INDEX($AK$5:$AK$404,$V294))</f>
        <v/>
      </c>
      <c r="AN294">
        <f>IF($V294="","",INDEX($AL$5:$AL$404,$V294))</f>
        <v/>
      </c>
      <c r="AO294">
        <f>IF(OR($V294="",$AI$2&lt;=1),0,IF($V295="",1,IF($AN295&lt;&gt;$AN294,1,0)))</f>
        <v/>
      </c>
      <c r="AP294">
        <f>IF($V294="",0,IF($AN294&lt;&gt;$AN293,1,0))</f>
        <v/>
      </c>
      <c r="AQ294">
        <f>IF(OR($AD294="",$AD294="Z"),"",INDEX($AN$5:$AN$404,$AC294))</f>
        <v/>
      </c>
      <c r="AR294">
        <f>IF($Y294="",0,COUNTIF(บันทึกรายเที่ยว!$V$6:$V$6005,$Y294))</f>
        <v/>
      </c>
      <c r="AS294">
        <f>IF($Y294="",0,ROUND(SUMIF(บันทึกรายเที่ยว!$V$6:$V$6005,$Y294,บันทึกรายเที่ยว!$M$6:$M$6005),2))</f>
        <v/>
      </c>
      <c r="AT294">
        <f>IF($Y294="",0,IFERROR(INDEX(อัตราค่าขนส่ง!$G$5:$G$204,MATCH($Y294,อัตราค่าขนส่ง!$M$5:$M$204,0)),0))</f>
        <v/>
      </c>
      <c r="AU294">
        <f>ROUND($AS294*$BD294,2)</f>
        <v/>
      </c>
      <c r="AV294">
        <f>ROUND($AU294*$BF$2/100,2)</f>
        <v/>
      </c>
      <c r="AW294">
        <f>IF($Y294="","",IFERROR(INDEX(อัตราค่าขนส่ง!$F$5:$F$204,MATCH($Y294,อัตราค่าขนส่ง!$M$5:$M$204,0)),""))</f>
        <v/>
      </c>
      <c r="AX294">
        <f>IF($W294="","",INDEX(บันทึกรายเที่ยว!$D$6:$D$6005,$W294))</f>
        <v/>
      </c>
      <c r="AY294">
        <f>IF($W294="","",INDEX(บันทึกรายเที่ยว!$R$6:$R$6005,$W294))</f>
        <v/>
      </c>
      <c r="AZ294">
        <f>IF(AND($AD294="T",$AQ294=1),N($AZ293)+1,N($AZ293))</f>
        <v/>
      </c>
      <c r="BA294">
        <f>IF($W294="","",INDEX(บันทึกรายเที่ยว!$E$6:$E$6005,$W294))</f>
        <v/>
      </c>
      <c r="BC294">
        <f>IF($Y294="",0,IFERROR(INDEX(อัตราค่าขนส่ง!$K$5:$K$204,MATCH($Y294,อัตราค่าขนส่ง!$M$5:$M$204,0)),0))</f>
        <v/>
      </c>
      <c r="BD294">
        <f>IF($Y294="",0,IFERROR(INDEX(อัตราค่าขนส่ง!$L$5:$L$204,MATCH($Y294,อัตราค่าขนส่ง!$M$5:$M$204,0)),0))</f>
        <v/>
      </c>
    </row>
    <row r="295" ht="21" customHeight="1" s="66">
      <c r="A295" s="69">
        <f>IF($AD295="","",IF($AD295="Z","รวมจ่ายทั้งสิ้น",IF($AD295="H",INDEX($X$5:$X$404,$AC295),IF($AD295="T","รวม",IF($AD295="B",IFERROR(INDEX(อัตราค่าขนส่ง!$S$5:$S$14,MATCH(INDEX($AM$5:$AM$404,$AC295),อัตราค่าขนส่ง!$R$5:$R$14,0)),"รวมกลุ่ม "&amp;INDEX($AM$5:$AM$404,$AC295)),INDEX($AY$5:$AY$404,$AC295))))))</f>
        <v/>
      </c>
      <c r="B295" s="31">
        <f>IF($AD295&lt;&gt;"D","",INDEX($AW$5:$AW$404,$AC295))</f>
        <v/>
      </c>
      <c r="C295" s="68">
        <f>IF($AD295&lt;&gt;"D","",INDEX($AX$5:$AX$404,$AC295))</f>
        <v/>
      </c>
      <c r="D295" s="70">
        <f>IF($AD295&lt;&gt;"D","",INDEX($BA$5:$BA$404,$AC295))</f>
        <v/>
      </c>
      <c r="E295" s="31">
        <f>IF($AD295="Z",SUM($AR$5:$AR$404),IF($AD295="D",INDEX($AR$5:$AR$404,$AC295),IF($AD295="T",SUMIF($X$5:$X$404,$AF295,$AR$5:$AR$404),IF($AD295="B",SUMIF($AN$5:$AN$404,$AQ295,$AR$5:$AR$404),""))))</f>
        <v/>
      </c>
      <c r="F295" s="32">
        <f>IF($AD295="Z",ROUND(SUM($AS$5:$AS$404),2),IF($AD295="D",INDEX($AS$5:$AS$404,$AC295),IF($AD295="T",ROUND(SUMIF($X$5:$X$404,$AF295,$AS$5:$AS$404),2),IF($AD295="B",ROUND(SUMIF($AN$5:$AN$404,$AQ295,$AS$5:$AS$404),2),""))))</f>
        <v/>
      </c>
      <c r="G295" s="32">
        <f>IF($AD295&lt;&gt;"D","",INDEX($AT$5:$AT$404,$AC295))</f>
        <v/>
      </c>
      <c r="H295" s="32">
        <f>IF($AD295&lt;&gt;"D","",INDEX($BC$5:$BC$404,$AC295))</f>
        <v/>
      </c>
      <c r="I295" s="32">
        <f>IF($AD295&lt;&gt;"D","",INDEX($BD$5:$BD$404,$AC295))</f>
        <v/>
      </c>
      <c r="J295" s="46">
        <f>IF($AD295&lt;&gt;"D","",IF(N($B295)=0,"",ROUND($I295/$B295,4)))</f>
        <v/>
      </c>
      <c r="K295" s="32">
        <f>IF($AD295="Z",ROUND(SUM($AU$5:$AU$404),2),IF($AD295="D",INDEX($AU$5:$AU$404,$AC295),IF($AD295="T",ROUND(SUMIF($X$5:$X$404,$AF295,$AU$5:$AU$404),2),IF($AD295="B",ROUND(SUMIF($AN$5:$AN$404,$AQ295,$AU$5:$AU$404),2),""))))</f>
        <v/>
      </c>
      <c r="L295" s="32">
        <f>IF($AD295="Z",ROUND(SUM($AV$5:$AV$404),2),IF($AD295="D",INDEX($AV$5:$AV$404,$AC295),IF($AD295="T",ROUND(SUMIF($X$5:$X$404,$AF295,$AV$5:$AV$404),2),IF($AD295="B",ROUND(SUMIF($AN$5:$AN$404,$AQ295,$AV$5:$AV$404),2),""))))</f>
        <v/>
      </c>
      <c r="M295" s="32">
        <f>IF($AD295="Z",ROUND(SUM($AJ$5:$AJ$704),2),IF($AD295="B",ROUND(SUMIF($AQ$5:$AQ$704,$AQ295,$AJ$5:$AJ$704),2),IF($AD295&lt;&gt;"T","",$AJ295)))</f>
        <v/>
      </c>
      <c r="N295" s="32">
        <f>IF(OR($AD295="D",$AD295="T",$AD295="B",$AD295="Z"),ROUND(N($K295)-N($L295)-N($M295),2),"")</f>
        <v/>
      </c>
      <c r="O295" s="32">
        <f>IF(OR($AD295="D",$AD295="T",$AD295="B",$AD295="Z"),IF(N($E295)=0,"",ROUND($F295/$E295,2)),"")</f>
        <v/>
      </c>
      <c r="Q295">
        <f>IFERROR(MATCH(291,บันทึกรายเที่ยว!$Z$6:$Z$6005,0),"")</f>
        <v/>
      </c>
      <c r="R295">
        <f>IF($Q295="","",INDEX(บันทึกรายเที่ยว!$V$6:$V$6005,$Q295))</f>
        <v/>
      </c>
      <c r="S295">
        <f>IF($Q295="","",INDEX(บันทึกรายเที่ยว!$F$6:$F$6005,$Q295))</f>
        <v/>
      </c>
      <c r="T295">
        <f>IF($Q295="","",MATCH($S295,บันทึกรายเที่ยว!$F$6:$F$6005,0))</f>
        <v/>
      </c>
      <c r="U295">
        <f>IF($Q295="","",$AL295*10000000+$T295*1000+291)</f>
        <v/>
      </c>
      <c r="V295">
        <f>IFERROR(MATCH(SMALL($U$5:$U$404,291),$U$5:$U$404,0),"")</f>
        <v/>
      </c>
      <c r="W295">
        <f>IF($V295="","",INDEX($Q$5:$Q$404,$V295))</f>
        <v/>
      </c>
      <c r="X295">
        <f>IF($V295="","",INDEX($S$5:$S$404,$V295))</f>
        <v/>
      </c>
      <c r="Y295">
        <f>IF($V295="","",INDEX($R$5:$R$404,$V295))</f>
        <v/>
      </c>
      <c r="Z295">
        <f>IF($V295="",0,IF($X295&lt;&gt;$X294,1,0))</f>
        <v/>
      </c>
      <c r="AA295">
        <f>IF($V295="",0,IF($V296="",1,IF($X296&lt;&gt;$X295,1,0)))</f>
        <v/>
      </c>
      <c r="AB295">
        <f>IF($V295="",99999+291,$AB294+1+$Z294+$AA294+$AO294)</f>
        <v/>
      </c>
      <c r="AC295">
        <f>IFERROR(MATCH(291,$AB$5:$AB$404,1),"")</f>
        <v/>
      </c>
      <c r="AD295">
        <f>IF(291=$AI$1+1,"Z",IF($AC295="","",IF(INDEX($V$5:$V$404,$AC295)="","",IF(291&gt;INDEX($AB$5:$AB$404,$AC295)+INDEX($Z$5:$Z$404,$AC295)+INDEX($AA$5:$AA$404,$AC295)+INDEX($AO$5:$AO$404,$AC295),"",IF(291=INDEX($AB$5:$AB$404,$AC295)+INDEX($Z$5:$Z$404,$AC295),"D",IF(AND(INDEX($Z$5:$Z$404,$AC295)=1,291=INDEX($AB$5:$AB$404,$AC295)),"H",IF(AND(INDEX($AO$5:$AO$404,$AC295)=1,291=INDEX($AB$5:$AB$404,$AC295)+INDEX($Z$5:$Z$404,$AC295)+INDEX($AA$5:$AA$404,$AC295)+INDEX($AO$5:$AO$404,$AC295)),"B","T")))))))</f>
        <v/>
      </c>
      <c r="AF295">
        <f>IF(OR($AD295="",$AD295="Z",$AD295="B"),"",INDEX($X$5:$X$404,$AC295))</f>
        <v/>
      </c>
      <c r="AJ295">
        <f>IF($AD295&lt;&gt;"T",0,ROUND(SUMIF(oil!$B$4:$B$63,$AF295,oil!$AE$4:$AE$63),2))</f>
        <v/>
      </c>
      <c r="AK295">
        <f>IF($S295="","",IFERROR(INDEX(อัตราค่าขนส่ง!$P$5:$P$54,MATCH($S295,อัตราค่าขนส่ง!$O$5:$O$54,0)),INDEX(รายการมาตรฐาน!$G$2:$G$3,1)))</f>
        <v/>
      </c>
      <c r="AL295">
        <f>IF($S295="","",IFERROR(MATCH($AK295,รายการมาตรฐาน!$G$2:$G$3,0),1))</f>
        <v/>
      </c>
      <c r="AM295">
        <f>IF($V295="","",INDEX($AK$5:$AK$404,$V295))</f>
        <v/>
      </c>
      <c r="AN295">
        <f>IF($V295="","",INDEX($AL$5:$AL$404,$V295))</f>
        <v/>
      </c>
      <c r="AO295">
        <f>IF(OR($V295="",$AI$2&lt;=1),0,IF($V296="",1,IF($AN296&lt;&gt;$AN295,1,0)))</f>
        <v/>
      </c>
      <c r="AP295">
        <f>IF($V295="",0,IF($AN295&lt;&gt;$AN294,1,0))</f>
        <v/>
      </c>
      <c r="AQ295">
        <f>IF(OR($AD295="",$AD295="Z"),"",INDEX($AN$5:$AN$404,$AC295))</f>
        <v/>
      </c>
      <c r="AR295">
        <f>IF($Y295="",0,COUNTIF(บันทึกรายเที่ยว!$V$6:$V$6005,$Y295))</f>
        <v/>
      </c>
      <c r="AS295">
        <f>IF($Y295="",0,ROUND(SUMIF(บันทึกรายเที่ยว!$V$6:$V$6005,$Y295,บันทึกรายเที่ยว!$M$6:$M$6005),2))</f>
        <v/>
      </c>
      <c r="AT295">
        <f>IF($Y295="",0,IFERROR(INDEX(อัตราค่าขนส่ง!$G$5:$G$204,MATCH($Y295,อัตราค่าขนส่ง!$M$5:$M$204,0)),0))</f>
        <v/>
      </c>
      <c r="AU295">
        <f>ROUND($AS295*$BD295,2)</f>
        <v/>
      </c>
      <c r="AV295">
        <f>ROUND($AU295*$BF$2/100,2)</f>
        <v/>
      </c>
      <c r="AW295">
        <f>IF($Y295="","",IFERROR(INDEX(อัตราค่าขนส่ง!$F$5:$F$204,MATCH($Y295,อัตราค่าขนส่ง!$M$5:$M$204,0)),""))</f>
        <v/>
      </c>
      <c r="AX295">
        <f>IF($W295="","",INDEX(บันทึกรายเที่ยว!$D$6:$D$6005,$W295))</f>
        <v/>
      </c>
      <c r="AY295">
        <f>IF($W295="","",INDEX(บันทึกรายเที่ยว!$R$6:$R$6005,$W295))</f>
        <v/>
      </c>
      <c r="AZ295">
        <f>IF(AND($AD295="T",$AQ295=1),N($AZ294)+1,N($AZ294))</f>
        <v/>
      </c>
      <c r="BA295">
        <f>IF($W295="","",INDEX(บันทึกรายเที่ยว!$E$6:$E$6005,$W295))</f>
        <v/>
      </c>
      <c r="BC295">
        <f>IF($Y295="",0,IFERROR(INDEX(อัตราค่าขนส่ง!$K$5:$K$204,MATCH($Y295,อัตราค่าขนส่ง!$M$5:$M$204,0)),0))</f>
        <v/>
      </c>
      <c r="BD295">
        <f>IF($Y295="",0,IFERROR(INDEX(อัตราค่าขนส่ง!$L$5:$L$204,MATCH($Y295,อัตราค่าขนส่ง!$M$5:$M$204,0)),0))</f>
        <v/>
      </c>
    </row>
    <row r="296" ht="21" customHeight="1" s="66">
      <c r="A296" s="69">
        <f>IF($AD296="","",IF($AD296="Z","รวมจ่ายทั้งสิ้น",IF($AD296="H",INDEX($X$5:$X$404,$AC296),IF($AD296="T","รวม",IF($AD296="B",IFERROR(INDEX(อัตราค่าขนส่ง!$S$5:$S$14,MATCH(INDEX($AM$5:$AM$404,$AC296),อัตราค่าขนส่ง!$R$5:$R$14,0)),"รวมกลุ่ม "&amp;INDEX($AM$5:$AM$404,$AC296)),INDEX($AY$5:$AY$404,$AC296))))))</f>
        <v/>
      </c>
      <c r="B296" s="31">
        <f>IF($AD296&lt;&gt;"D","",INDEX($AW$5:$AW$404,$AC296))</f>
        <v/>
      </c>
      <c r="C296" s="68">
        <f>IF($AD296&lt;&gt;"D","",INDEX($AX$5:$AX$404,$AC296))</f>
        <v/>
      </c>
      <c r="D296" s="70">
        <f>IF($AD296&lt;&gt;"D","",INDEX($BA$5:$BA$404,$AC296))</f>
        <v/>
      </c>
      <c r="E296" s="31">
        <f>IF($AD296="Z",SUM($AR$5:$AR$404),IF($AD296="D",INDEX($AR$5:$AR$404,$AC296),IF($AD296="T",SUMIF($X$5:$X$404,$AF296,$AR$5:$AR$404),IF($AD296="B",SUMIF($AN$5:$AN$404,$AQ296,$AR$5:$AR$404),""))))</f>
        <v/>
      </c>
      <c r="F296" s="32">
        <f>IF($AD296="Z",ROUND(SUM($AS$5:$AS$404),2),IF($AD296="D",INDEX($AS$5:$AS$404,$AC296),IF($AD296="T",ROUND(SUMIF($X$5:$X$404,$AF296,$AS$5:$AS$404),2),IF($AD296="B",ROUND(SUMIF($AN$5:$AN$404,$AQ296,$AS$5:$AS$404),2),""))))</f>
        <v/>
      </c>
      <c r="G296" s="32">
        <f>IF($AD296&lt;&gt;"D","",INDEX($AT$5:$AT$404,$AC296))</f>
        <v/>
      </c>
      <c r="H296" s="32">
        <f>IF($AD296&lt;&gt;"D","",INDEX($BC$5:$BC$404,$AC296))</f>
        <v/>
      </c>
      <c r="I296" s="32">
        <f>IF($AD296&lt;&gt;"D","",INDEX($BD$5:$BD$404,$AC296))</f>
        <v/>
      </c>
      <c r="J296" s="46">
        <f>IF($AD296&lt;&gt;"D","",IF(N($B296)=0,"",ROUND($I296/$B296,4)))</f>
        <v/>
      </c>
      <c r="K296" s="32">
        <f>IF($AD296="Z",ROUND(SUM($AU$5:$AU$404),2),IF($AD296="D",INDEX($AU$5:$AU$404,$AC296),IF($AD296="T",ROUND(SUMIF($X$5:$X$404,$AF296,$AU$5:$AU$404),2),IF($AD296="B",ROUND(SUMIF($AN$5:$AN$404,$AQ296,$AU$5:$AU$404),2),""))))</f>
        <v/>
      </c>
      <c r="L296" s="32">
        <f>IF($AD296="Z",ROUND(SUM($AV$5:$AV$404),2),IF($AD296="D",INDEX($AV$5:$AV$404,$AC296),IF($AD296="T",ROUND(SUMIF($X$5:$X$404,$AF296,$AV$5:$AV$404),2),IF($AD296="B",ROUND(SUMIF($AN$5:$AN$404,$AQ296,$AV$5:$AV$404),2),""))))</f>
        <v/>
      </c>
      <c r="M296" s="32">
        <f>IF($AD296="Z",ROUND(SUM($AJ$5:$AJ$704),2),IF($AD296="B",ROUND(SUMIF($AQ$5:$AQ$704,$AQ296,$AJ$5:$AJ$704),2),IF($AD296&lt;&gt;"T","",$AJ296)))</f>
        <v/>
      </c>
      <c r="N296" s="32">
        <f>IF(OR($AD296="D",$AD296="T",$AD296="B",$AD296="Z"),ROUND(N($K296)-N($L296)-N($M296),2),"")</f>
        <v/>
      </c>
      <c r="O296" s="32">
        <f>IF(OR($AD296="D",$AD296="T",$AD296="B",$AD296="Z"),IF(N($E296)=0,"",ROUND($F296/$E296,2)),"")</f>
        <v/>
      </c>
      <c r="Q296">
        <f>IFERROR(MATCH(292,บันทึกรายเที่ยว!$Z$6:$Z$6005,0),"")</f>
        <v/>
      </c>
      <c r="R296">
        <f>IF($Q296="","",INDEX(บันทึกรายเที่ยว!$V$6:$V$6005,$Q296))</f>
        <v/>
      </c>
      <c r="S296">
        <f>IF($Q296="","",INDEX(บันทึกรายเที่ยว!$F$6:$F$6005,$Q296))</f>
        <v/>
      </c>
      <c r="T296">
        <f>IF($Q296="","",MATCH($S296,บันทึกรายเที่ยว!$F$6:$F$6005,0))</f>
        <v/>
      </c>
      <c r="U296">
        <f>IF($Q296="","",$AL296*10000000+$T296*1000+292)</f>
        <v/>
      </c>
      <c r="V296">
        <f>IFERROR(MATCH(SMALL($U$5:$U$404,292),$U$5:$U$404,0),"")</f>
        <v/>
      </c>
      <c r="W296">
        <f>IF($V296="","",INDEX($Q$5:$Q$404,$V296))</f>
        <v/>
      </c>
      <c r="X296">
        <f>IF($V296="","",INDEX($S$5:$S$404,$V296))</f>
        <v/>
      </c>
      <c r="Y296">
        <f>IF($V296="","",INDEX($R$5:$R$404,$V296))</f>
        <v/>
      </c>
      <c r="Z296">
        <f>IF($V296="",0,IF($X296&lt;&gt;$X295,1,0))</f>
        <v/>
      </c>
      <c r="AA296">
        <f>IF($V296="",0,IF($V297="",1,IF($X297&lt;&gt;$X296,1,0)))</f>
        <v/>
      </c>
      <c r="AB296">
        <f>IF($V296="",99999+292,$AB295+1+$Z295+$AA295+$AO295)</f>
        <v/>
      </c>
      <c r="AC296">
        <f>IFERROR(MATCH(292,$AB$5:$AB$404,1),"")</f>
        <v/>
      </c>
      <c r="AD296">
        <f>IF(292=$AI$1+1,"Z",IF($AC296="","",IF(INDEX($V$5:$V$404,$AC296)="","",IF(292&gt;INDEX($AB$5:$AB$404,$AC296)+INDEX($Z$5:$Z$404,$AC296)+INDEX($AA$5:$AA$404,$AC296)+INDEX($AO$5:$AO$404,$AC296),"",IF(292=INDEX($AB$5:$AB$404,$AC296)+INDEX($Z$5:$Z$404,$AC296),"D",IF(AND(INDEX($Z$5:$Z$404,$AC296)=1,292=INDEX($AB$5:$AB$404,$AC296)),"H",IF(AND(INDEX($AO$5:$AO$404,$AC296)=1,292=INDEX($AB$5:$AB$404,$AC296)+INDEX($Z$5:$Z$404,$AC296)+INDEX($AA$5:$AA$404,$AC296)+INDEX($AO$5:$AO$404,$AC296)),"B","T")))))))</f>
        <v/>
      </c>
      <c r="AF296">
        <f>IF(OR($AD296="",$AD296="Z",$AD296="B"),"",INDEX($X$5:$X$404,$AC296))</f>
        <v/>
      </c>
      <c r="AJ296">
        <f>IF($AD296&lt;&gt;"T",0,ROUND(SUMIF(oil!$B$4:$B$63,$AF296,oil!$AE$4:$AE$63),2))</f>
        <v/>
      </c>
      <c r="AK296">
        <f>IF($S296="","",IFERROR(INDEX(อัตราค่าขนส่ง!$P$5:$P$54,MATCH($S296,อัตราค่าขนส่ง!$O$5:$O$54,0)),INDEX(รายการมาตรฐาน!$G$2:$G$3,1)))</f>
        <v/>
      </c>
      <c r="AL296">
        <f>IF($S296="","",IFERROR(MATCH($AK296,รายการมาตรฐาน!$G$2:$G$3,0),1))</f>
        <v/>
      </c>
      <c r="AM296">
        <f>IF($V296="","",INDEX($AK$5:$AK$404,$V296))</f>
        <v/>
      </c>
      <c r="AN296">
        <f>IF($V296="","",INDEX($AL$5:$AL$404,$V296))</f>
        <v/>
      </c>
      <c r="AO296">
        <f>IF(OR($V296="",$AI$2&lt;=1),0,IF($V297="",1,IF($AN297&lt;&gt;$AN296,1,0)))</f>
        <v/>
      </c>
      <c r="AP296">
        <f>IF($V296="",0,IF($AN296&lt;&gt;$AN295,1,0))</f>
        <v/>
      </c>
      <c r="AQ296">
        <f>IF(OR($AD296="",$AD296="Z"),"",INDEX($AN$5:$AN$404,$AC296))</f>
        <v/>
      </c>
      <c r="AR296">
        <f>IF($Y296="",0,COUNTIF(บันทึกรายเที่ยว!$V$6:$V$6005,$Y296))</f>
        <v/>
      </c>
      <c r="AS296">
        <f>IF($Y296="",0,ROUND(SUMIF(บันทึกรายเที่ยว!$V$6:$V$6005,$Y296,บันทึกรายเที่ยว!$M$6:$M$6005),2))</f>
        <v/>
      </c>
      <c r="AT296">
        <f>IF($Y296="",0,IFERROR(INDEX(อัตราค่าขนส่ง!$G$5:$G$204,MATCH($Y296,อัตราค่าขนส่ง!$M$5:$M$204,0)),0))</f>
        <v/>
      </c>
      <c r="AU296">
        <f>ROUND($AS296*$BD296,2)</f>
        <v/>
      </c>
      <c r="AV296">
        <f>ROUND($AU296*$BF$2/100,2)</f>
        <v/>
      </c>
      <c r="AW296">
        <f>IF($Y296="","",IFERROR(INDEX(อัตราค่าขนส่ง!$F$5:$F$204,MATCH($Y296,อัตราค่าขนส่ง!$M$5:$M$204,0)),""))</f>
        <v/>
      </c>
      <c r="AX296">
        <f>IF($W296="","",INDEX(บันทึกรายเที่ยว!$D$6:$D$6005,$W296))</f>
        <v/>
      </c>
      <c r="AY296">
        <f>IF($W296="","",INDEX(บันทึกรายเที่ยว!$R$6:$R$6005,$W296))</f>
        <v/>
      </c>
      <c r="AZ296">
        <f>IF(AND($AD296="T",$AQ296=1),N($AZ295)+1,N($AZ295))</f>
        <v/>
      </c>
      <c r="BA296">
        <f>IF($W296="","",INDEX(บันทึกรายเที่ยว!$E$6:$E$6005,$W296))</f>
        <v/>
      </c>
      <c r="BC296">
        <f>IF($Y296="",0,IFERROR(INDEX(อัตราค่าขนส่ง!$K$5:$K$204,MATCH($Y296,อัตราค่าขนส่ง!$M$5:$M$204,0)),0))</f>
        <v/>
      </c>
      <c r="BD296">
        <f>IF($Y296="",0,IFERROR(INDEX(อัตราค่าขนส่ง!$L$5:$L$204,MATCH($Y296,อัตราค่าขนส่ง!$M$5:$M$204,0)),0))</f>
        <v/>
      </c>
    </row>
    <row r="297" ht="21" customHeight="1" s="66">
      <c r="A297" s="69">
        <f>IF($AD297="","",IF($AD297="Z","รวมจ่ายทั้งสิ้น",IF($AD297="H",INDEX($X$5:$X$404,$AC297),IF($AD297="T","รวม",IF($AD297="B",IFERROR(INDEX(อัตราค่าขนส่ง!$S$5:$S$14,MATCH(INDEX($AM$5:$AM$404,$AC297),อัตราค่าขนส่ง!$R$5:$R$14,0)),"รวมกลุ่ม "&amp;INDEX($AM$5:$AM$404,$AC297)),INDEX($AY$5:$AY$404,$AC297))))))</f>
        <v/>
      </c>
      <c r="B297" s="31">
        <f>IF($AD297&lt;&gt;"D","",INDEX($AW$5:$AW$404,$AC297))</f>
        <v/>
      </c>
      <c r="C297" s="68">
        <f>IF($AD297&lt;&gt;"D","",INDEX($AX$5:$AX$404,$AC297))</f>
        <v/>
      </c>
      <c r="D297" s="70">
        <f>IF($AD297&lt;&gt;"D","",INDEX($BA$5:$BA$404,$AC297))</f>
        <v/>
      </c>
      <c r="E297" s="31">
        <f>IF($AD297="Z",SUM($AR$5:$AR$404),IF($AD297="D",INDEX($AR$5:$AR$404,$AC297),IF($AD297="T",SUMIF($X$5:$X$404,$AF297,$AR$5:$AR$404),IF($AD297="B",SUMIF($AN$5:$AN$404,$AQ297,$AR$5:$AR$404),""))))</f>
        <v/>
      </c>
      <c r="F297" s="32">
        <f>IF($AD297="Z",ROUND(SUM($AS$5:$AS$404),2),IF($AD297="D",INDEX($AS$5:$AS$404,$AC297),IF($AD297="T",ROUND(SUMIF($X$5:$X$404,$AF297,$AS$5:$AS$404),2),IF($AD297="B",ROUND(SUMIF($AN$5:$AN$404,$AQ297,$AS$5:$AS$404),2),""))))</f>
        <v/>
      </c>
      <c r="G297" s="32">
        <f>IF($AD297&lt;&gt;"D","",INDEX($AT$5:$AT$404,$AC297))</f>
        <v/>
      </c>
      <c r="H297" s="32">
        <f>IF($AD297&lt;&gt;"D","",INDEX($BC$5:$BC$404,$AC297))</f>
        <v/>
      </c>
      <c r="I297" s="32">
        <f>IF($AD297&lt;&gt;"D","",INDEX($BD$5:$BD$404,$AC297))</f>
        <v/>
      </c>
      <c r="J297" s="46">
        <f>IF($AD297&lt;&gt;"D","",IF(N($B297)=0,"",ROUND($I297/$B297,4)))</f>
        <v/>
      </c>
      <c r="K297" s="32">
        <f>IF($AD297="Z",ROUND(SUM($AU$5:$AU$404),2),IF($AD297="D",INDEX($AU$5:$AU$404,$AC297),IF($AD297="T",ROUND(SUMIF($X$5:$X$404,$AF297,$AU$5:$AU$404),2),IF($AD297="B",ROUND(SUMIF($AN$5:$AN$404,$AQ297,$AU$5:$AU$404),2),""))))</f>
        <v/>
      </c>
      <c r="L297" s="32">
        <f>IF($AD297="Z",ROUND(SUM($AV$5:$AV$404),2),IF($AD297="D",INDEX($AV$5:$AV$404,$AC297),IF($AD297="T",ROUND(SUMIF($X$5:$X$404,$AF297,$AV$5:$AV$404),2),IF($AD297="B",ROUND(SUMIF($AN$5:$AN$404,$AQ297,$AV$5:$AV$404),2),""))))</f>
        <v/>
      </c>
      <c r="M297" s="32">
        <f>IF($AD297="Z",ROUND(SUM($AJ$5:$AJ$704),2),IF($AD297="B",ROUND(SUMIF($AQ$5:$AQ$704,$AQ297,$AJ$5:$AJ$704),2),IF($AD297&lt;&gt;"T","",$AJ297)))</f>
        <v/>
      </c>
      <c r="N297" s="32">
        <f>IF(OR($AD297="D",$AD297="T",$AD297="B",$AD297="Z"),ROUND(N($K297)-N($L297)-N($M297),2),"")</f>
        <v/>
      </c>
      <c r="O297" s="32">
        <f>IF(OR($AD297="D",$AD297="T",$AD297="B",$AD297="Z"),IF(N($E297)=0,"",ROUND($F297/$E297,2)),"")</f>
        <v/>
      </c>
      <c r="Q297">
        <f>IFERROR(MATCH(293,บันทึกรายเที่ยว!$Z$6:$Z$6005,0),"")</f>
        <v/>
      </c>
      <c r="R297">
        <f>IF($Q297="","",INDEX(บันทึกรายเที่ยว!$V$6:$V$6005,$Q297))</f>
        <v/>
      </c>
      <c r="S297">
        <f>IF($Q297="","",INDEX(บันทึกรายเที่ยว!$F$6:$F$6005,$Q297))</f>
        <v/>
      </c>
      <c r="T297">
        <f>IF($Q297="","",MATCH($S297,บันทึกรายเที่ยว!$F$6:$F$6005,0))</f>
        <v/>
      </c>
      <c r="U297">
        <f>IF($Q297="","",$AL297*10000000+$T297*1000+293)</f>
        <v/>
      </c>
      <c r="V297">
        <f>IFERROR(MATCH(SMALL($U$5:$U$404,293),$U$5:$U$404,0),"")</f>
        <v/>
      </c>
      <c r="W297">
        <f>IF($V297="","",INDEX($Q$5:$Q$404,$V297))</f>
        <v/>
      </c>
      <c r="X297">
        <f>IF($V297="","",INDEX($S$5:$S$404,$V297))</f>
        <v/>
      </c>
      <c r="Y297">
        <f>IF($V297="","",INDEX($R$5:$R$404,$V297))</f>
        <v/>
      </c>
      <c r="Z297">
        <f>IF($V297="",0,IF($X297&lt;&gt;$X296,1,0))</f>
        <v/>
      </c>
      <c r="AA297">
        <f>IF($V297="",0,IF($V298="",1,IF($X298&lt;&gt;$X297,1,0)))</f>
        <v/>
      </c>
      <c r="AB297">
        <f>IF($V297="",99999+293,$AB296+1+$Z296+$AA296+$AO296)</f>
        <v/>
      </c>
      <c r="AC297">
        <f>IFERROR(MATCH(293,$AB$5:$AB$404,1),"")</f>
        <v/>
      </c>
      <c r="AD297">
        <f>IF(293=$AI$1+1,"Z",IF($AC297="","",IF(INDEX($V$5:$V$404,$AC297)="","",IF(293&gt;INDEX($AB$5:$AB$404,$AC297)+INDEX($Z$5:$Z$404,$AC297)+INDEX($AA$5:$AA$404,$AC297)+INDEX($AO$5:$AO$404,$AC297),"",IF(293=INDEX($AB$5:$AB$404,$AC297)+INDEX($Z$5:$Z$404,$AC297),"D",IF(AND(INDEX($Z$5:$Z$404,$AC297)=1,293=INDEX($AB$5:$AB$404,$AC297)),"H",IF(AND(INDEX($AO$5:$AO$404,$AC297)=1,293=INDEX($AB$5:$AB$404,$AC297)+INDEX($Z$5:$Z$404,$AC297)+INDEX($AA$5:$AA$404,$AC297)+INDEX($AO$5:$AO$404,$AC297)),"B","T")))))))</f>
        <v/>
      </c>
      <c r="AF297">
        <f>IF(OR($AD297="",$AD297="Z",$AD297="B"),"",INDEX($X$5:$X$404,$AC297))</f>
        <v/>
      </c>
      <c r="AJ297">
        <f>IF($AD297&lt;&gt;"T",0,ROUND(SUMIF(oil!$B$4:$B$63,$AF297,oil!$AE$4:$AE$63),2))</f>
        <v/>
      </c>
      <c r="AK297">
        <f>IF($S297="","",IFERROR(INDEX(อัตราค่าขนส่ง!$P$5:$P$54,MATCH($S297,อัตราค่าขนส่ง!$O$5:$O$54,0)),INDEX(รายการมาตรฐาน!$G$2:$G$3,1)))</f>
        <v/>
      </c>
      <c r="AL297">
        <f>IF($S297="","",IFERROR(MATCH($AK297,รายการมาตรฐาน!$G$2:$G$3,0),1))</f>
        <v/>
      </c>
      <c r="AM297">
        <f>IF($V297="","",INDEX($AK$5:$AK$404,$V297))</f>
        <v/>
      </c>
      <c r="AN297">
        <f>IF($V297="","",INDEX($AL$5:$AL$404,$V297))</f>
        <v/>
      </c>
      <c r="AO297">
        <f>IF(OR($V297="",$AI$2&lt;=1),0,IF($V298="",1,IF($AN298&lt;&gt;$AN297,1,0)))</f>
        <v/>
      </c>
      <c r="AP297">
        <f>IF($V297="",0,IF($AN297&lt;&gt;$AN296,1,0))</f>
        <v/>
      </c>
      <c r="AQ297">
        <f>IF(OR($AD297="",$AD297="Z"),"",INDEX($AN$5:$AN$404,$AC297))</f>
        <v/>
      </c>
      <c r="AR297">
        <f>IF($Y297="",0,COUNTIF(บันทึกรายเที่ยว!$V$6:$V$6005,$Y297))</f>
        <v/>
      </c>
      <c r="AS297">
        <f>IF($Y297="",0,ROUND(SUMIF(บันทึกรายเที่ยว!$V$6:$V$6005,$Y297,บันทึกรายเที่ยว!$M$6:$M$6005),2))</f>
        <v/>
      </c>
      <c r="AT297">
        <f>IF($Y297="",0,IFERROR(INDEX(อัตราค่าขนส่ง!$G$5:$G$204,MATCH($Y297,อัตราค่าขนส่ง!$M$5:$M$204,0)),0))</f>
        <v/>
      </c>
      <c r="AU297">
        <f>ROUND($AS297*$BD297,2)</f>
        <v/>
      </c>
      <c r="AV297">
        <f>ROUND($AU297*$BF$2/100,2)</f>
        <v/>
      </c>
      <c r="AW297">
        <f>IF($Y297="","",IFERROR(INDEX(อัตราค่าขนส่ง!$F$5:$F$204,MATCH($Y297,อัตราค่าขนส่ง!$M$5:$M$204,0)),""))</f>
        <v/>
      </c>
      <c r="AX297">
        <f>IF($W297="","",INDEX(บันทึกรายเที่ยว!$D$6:$D$6005,$W297))</f>
        <v/>
      </c>
      <c r="AY297">
        <f>IF($W297="","",INDEX(บันทึกรายเที่ยว!$R$6:$R$6005,$W297))</f>
        <v/>
      </c>
      <c r="AZ297">
        <f>IF(AND($AD297="T",$AQ297=1),N($AZ296)+1,N($AZ296))</f>
        <v/>
      </c>
      <c r="BA297">
        <f>IF($W297="","",INDEX(บันทึกรายเที่ยว!$E$6:$E$6005,$W297))</f>
        <v/>
      </c>
      <c r="BC297">
        <f>IF($Y297="",0,IFERROR(INDEX(อัตราค่าขนส่ง!$K$5:$K$204,MATCH($Y297,อัตราค่าขนส่ง!$M$5:$M$204,0)),0))</f>
        <v/>
      </c>
      <c r="BD297">
        <f>IF($Y297="",0,IFERROR(INDEX(อัตราค่าขนส่ง!$L$5:$L$204,MATCH($Y297,อัตราค่าขนส่ง!$M$5:$M$204,0)),0))</f>
        <v/>
      </c>
    </row>
    <row r="298" ht="21" customHeight="1" s="66">
      <c r="A298" s="69">
        <f>IF($AD298="","",IF($AD298="Z","รวมจ่ายทั้งสิ้น",IF($AD298="H",INDEX($X$5:$X$404,$AC298),IF($AD298="T","รวม",IF($AD298="B",IFERROR(INDEX(อัตราค่าขนส่ง!$S$5:$S$14,MATCH(INDEX($AM$5:$AM$404,$AC298),อัตราค่าขนส่ง!$R$5:$R$14,0)),"รวมกลุ่ม "&amp;INDEX($AM$5:$AM$404,$AC298)),INDEX($AY$5:$AY$404,$AC298))))))</f>
        <v/>
      </c>
      <c r="B298" s="31">
        <f>IF($AD298&lt;&gt;"D","",INDEX($AW$5:$AW$404,$AC298))</f>
        <v/>
      </c>
      <c r="C298" s="68">
        <f>IF($AD298&lt;&gt;"D","",INDEX($AX$5:$AX$404,$AC298))</f>
        <v/>
      </c>
      <c r="D298" s="70">
        <f>IF($AD298&lt;&gt;"D","",INDEX($BA$5:$BA$404,$AC298))</f>
        <v/>
      </c>
      <c r="E298" s="31">
        <f>IF($AD298="Z",SUM($AR$5:$AR$404),IF($AD298="D",INDEX($AR$5:$AR$404,$AC298),IF($AD298="T",SUMIF($X$5:$X$404,$AF298,$AR$5:$AR$404),IF($AD298="B",SUMIF($AN$5:$AN$404,$AQ298,$AR$5:$AR$404),""))))</f>
        <v/>
      </c>
      <c r="F298" s="32">
        <f>IF($AD298="Z",ROUND(SUM($AS$5:$AS$404),2),IF($AD298="D",INDEX($AS$5:$AS$404,$AC298),IF($AD298="T",ROUND(SUMIF($X$5:$X$404,$AF298,$AS$5:$AS$404),2),IF($AD298="B",ROUND(SUMIF($AN$5:$AN$404,$AQ298,$AS$5:$AS$404),2),""))))</f>
        <v/>
      </c>
      <c r="G298" s="32">
        <f>IF($AD298&lt;&gt;"D","",INDEX($AT$5:$AT$404,$AC298))</f>
        <v/>
      </c>
      <c r="H298" s="32">
        <f>IF($AD298&lt;&gt;"D","",INDEX($BC$5:$BC$404,$AC298))</f>
        <v/>
      </c>
      <c r="I298" s="32">
        <f>IF($AD298&lt;&gt;"D","",INDEX($BD$5:$BD$404,$AC298))</f>
        <v/>
      </c>
      <c r="J298" s="46">
        <f>IF($AD298&lt;&gt;"D","",IF(N($B298)=0,"",ROUND($I298/$B298,4)))</f>
        <v/>
      </c>
      <c r="K298" s="32">
        <f>IF($AD298="Z",ROUND(SUM($AU$5:$AU$404),2),IF($AD298="D",INDEX($AU$5:$AU$404,$AC298),IF($AD298="T",ROUND(SUMIF($X$5:$X$404,$AF298,$AU$5:$AU$404),2),IF($AD298="B",ROUND(SUMIF($AN$5:$AN$404,$AQ298,$AU$5:$AU$404),2),""))))</f>
        <v/>
      </c>
      <c r="L298" s="32">
        <f>IF($AD298="Z",ROUND(SUM($AV$5:$AV$404),2),IF($AD298="D",INDEX($AV$5:$AV$404,$AC298),IF($AD298="T",ROUND(SUMIF($X$5:$X$404,$AF298,$AV$5:$AV$404),2),IF($AD298="B",ROUND(SUMIF($AN$5:$AN$404,$AQ298,$AV$5:$AV$404),2),""))))</f>
        <v/>
      </c>
      <c r="M298" s="32">
        <f>IF($AD298="Z",ROUND(SUM($AJ$5:$AJ$704),2),IF($AD298="B",ROUND(SUMIF($AQ$5:$AQ$704,$AQ298,$AJ$5:$AJ$704),2),IF($AD298&lt;&gt;"T","",$AJ298)))</f>
        <v/>
      </c>
      <c r="N298" s="32">
        <f>IF(OR($AD298="D",$AD298="T",$AD298="B",$AD298="Z"),ROUND(N($K298)-N($L298)-N($M298),2),"")</f>
        <v/>
      </c>
      <c r="O298" s="32">
        <f>IF(OR($AD298="D",$AD298="T",$AD298="B",$AD298="Z"),IF(N($E298)=0,"",ROUND($F298/$E298,2)),"")</f>
        <v/>
      </c>
      <c r="Q298">
        <f>IFERROR(MATCH(294,บันทึกรายเที่ยว!$Z$6:$Z$6005,0),"")</f>
        <v/>
      </c>
      <c r="R298">
        <f>IF($Q298="","",INDEX(บันทึกรายเที่ยว!$V$6:$V$6005,$Q298))</f>
        <v/>
      </c>
      <c r="S298">
        <f>IF($Q298="","",INDEX(บันทึกรายเที่ยว!$F$6:$F$6005,$Q298))</f>
        <v/>
      </c>
      <c r="T298">
        <f>IF($Q298="","",MATCH($S298,บันทึกรายเที่ยว!$F$6:$F$6005,0))</f>
        <v/>
      </c>
      <c r="U298">
        <f>IF($Q298="","",$AL298*10000000+$T298*1000+294)</f>
        <v/>
      </c>
      <c r="V298">
        <f>IFERROR(MATCH(SMALL($U$5:$U$404,294),$U$5:$U$404,0),"")</f>
        <v/>
      </c>
      <c r="W298">
        <f>IF($V298="","",INDEX($Q$5:$Q$404,$V298))</f>
        <v/>
      </c>
      <c r="X298">
        <f>IF($V298="","",INDEX($S$5:$S$404,$V298))</f>
        <v/>
      </c>
      <c r="Y298">
        <f>IF($V298="","",INDEX($R$5:$R$404,$V298))</f>
        <v/>
      </c>
      <c r="Z298">
        <f>IF($V298="",0,IF($X298&lt;&gt;$X297,1,0))</f>
        <v/>
      </c>
      <c r="AA298">
        <f>IF($V298="",0,IF($V299="",1,IF($X299&lt;&gt;$X298,1,0)))</f>
        <v/>
      </c>
      <c r="AB298">
        <f>IF($V298="",99999+294,$AB297+1+$Z297+$AA297+$AO297)</f>
        <v/>
      </c>
      <c r="AC298">
        <f>IFERROR(MATCH(294,$AB$5:$AB$404,1),"")</f>
        <v/>
      </c>
      <c r="AD298">
        <f>IF(294=$AI$1+1,"Z",IF($AC298="","",IF(INDEX($V$5:$V$404,$AC298)="","",IF(294&gt;INDEX($AB$5:$AB$404,$AC298)+INDEX($Z$5:$Z$404,$AC298)+INDEX($AA$5:$AA$404,$AC298)+INDEX($AO$5:$AO$404,$AC298),"",IF(294=INDEX($AB$5:$AB$404,$AC298)+INDEX($Z$5:$Z$404,$AC298),"D",IF(AND(INDEX($Z$5:$Z$404,$AC298)=1,294=INDEX($AB$5:$AB$404,$AC298)),"H",IF(AND(INDEX($AO$5:$AO$404,$AC298)=1,294=INDEX($AB$5:$AB$404,$AC298)+INDEX($Z$5:$Z$404,$AC298)+INDEX($AA$5:$AA$404,$AC298)+INDEX($AO$5:$AO$404,$AC298)),"B","T")))))))</f>
        <v/>
      </c>
      <c r="AF298">
        <f>IF(OR($AD298="",$AD298="Z",$AD298="B"),"",INDEX($X$5:$X$404,$AC298))</f>
        <v/>
      </c>
      <c r="AJ298">
        <f>IF($AD298&lt;&gt;"T",0,ROUND(SUMIF(oil!$B$4:$B$63,$AF298,oil!$AE$4:$AE$63),2))</f>
        <v/>
      </c>
      <c r="AK298">
        <f>IF($S298="","",IFERROR(INDEX(อัตราค่าขนส่ง!$P$5:$P$54,MATCH($S298,อัตราค่าขนส่ง!$O$5:$O$54,0)),INDEX(รายการมาตรฐาน!$G$2:$G$3,1)))</f>
        <v/>
      </c>
      <c r="AL298">
        <f>IF($S298="","",IFERROR(MATCH($AK298,รายการมาตรฐาน!$G$2:$G$3,0),1))</f>
        <v/>
      </c>
      <c r="AM298">
        <f>IF($V298="","",INDEX($AK$5:$AK$404,$V298))</f>
        <v/>
      </c>
      <c r="AN298">
        <f>IF($V298="","",INDEX($AL$5:$AL$404,$V298))</f>
        <v/>
      </c>
      <c r="AO298">
        <f>IF(OR($V298="",$AI$2&lt;=1),0,IF($V299="",1,IF($AN299&lt;&gt;$AN298,1,0)))</f>
        <v/>
      </c>
      <c r="AP298">
        <f>IF($V298="",0,IF($AN298&lt;&gt;$AN297,1,0))</f>
        <v/>
      </c>
      <c r="AQ298">
        <f>IF(OR($AD298="",$AD298="Z"),"",INDEX($AN$5:$AN$404,$AC298))</f>
        <v/>
      </c>
      <c r="AR298">
        <f>IF($Y298="",0,COUNTIF(บันทึกรายเที่ยว!$V$6:$V$6005,$Y298))</f>
        <v/>
      </c>
      <c r="AS298">
        <f>IF($Y298="",0,ROUND(SUMIF(บันทึกรายเที่ยว!$V$6:$V$6005,$Y298,บันทึกรายเที่ยว!$M$6:$M$6005),2))</f>
        <v/>
      </c>
      <c r="AT298">
        <f>IF($Y298="",0,IFERROR(INDEX(อัตราค่าขนส่ง!$G$5:$G$204,MATCH($Y298,อัตราค่าขนส่ง!$M$5:$M$204,0)),0))</f>
        <v/>
      </c>
      <c r="AU298">
        <f>ROUND($AS298*$BD298,2)</f>
        <v/>
      </c>
      <c r="AV298">
        <f>ROUND($AU298*$BF$2/100,2)</f>
        <v/>
      </c>
      <c r="AW298">
        <f>IF($Y298="","",IFERROR(INDEX(อัตราค่าขนส่ง!$F$5:$F$204,MATCH($Y298,อัตราค่าขนส่ง!$M$5:$M$204,0)),""))</f>
        <v/>
      </c>
      <c r="AX298">
        <f>IF($W298="","",INDEX(บันทึกรายเที่ยว!$D$6:$D$6005,$W298))</f>
        <v/>
      </c>
      <c r="AY298">
        <f>IF($W298="","",INDEX(บันทึกรายเที่ยว!$R$6:$R$6005,$W298))</f>
        <v/>
      </c>
      <c r="AZ298">
        <f>IF(AND($AD298="T",$AQ298=1),N($AZ297)+1,N($AZ297))</f>
        <v/>
      </c>
      <c r="BA298">
        <f>IF($W298="","",INDEX(บันทึกรายเที่ยว!$E$6:$E$6005,$W298))</f>
        <v/>
      </c>
      <c r="BC298">
        <f>IF($Y298="",0,IFERROR(INDEX(อัตราค่าขนส่ง!$K$5:$K$204,MATCH($Y298,อัตราค่าขนส่ง!$M$5:$M$204,0)),0))</f>
        <v/>
      </c>
      <c r="BD298">
        <f>IF($Y298="",0,IFERROR(INDEX(อัตราค่าขนส่ง!$L$5:$L$204,MATCH($Y298,อัตราค่าขนส่ง!$M$5:$M$204,0)),0))</f>
        <v/>
      </c>
    </row>
    <row r="299" ht="21" customHeight="1" s="66">
      <c r="A299" s="69">
        <f>IF($AD299="","",IF($AD299="Z","รวมจ่ายทั้งสิ้น",IF($AD299="H",INDEX($X$5:$X$404,$AC299),IF($AD299="T","รวม",IF($AD299="B",IFERROR(INDEX(อัตราค่าขนส่ง!$S$5:$S$14,MATCH(INDEX($AM$5:$AM$404,$AC299),อัตราค่าขนส่ง!$R$5:$R$14,0)),"รวมกลุ่ม "&amp;INDEX($AM$5:$AM$404,$AC299)),INDEX($AY$5:$AY$404,$AC299))))))</f>
        <v/>
      </c>
      <c r="B299" s="31">
        <f>IF($AD299&lt;&gt;"D","",INDEX($AW$5:$AW$404,$AC299))</f>
        <v/>
      </c>
      <c r="C299" s="68">
        <f>IF($AD299&lt;&gt;"D","",INDEX($AX$5:$AX$404,$AC299))</f>
        <v/>
      </c>
      <c r="D299" s="70">
        <f>IF($AD299&lt;&gt;"D","",INDEX($BA$5:$BA$404,$AC299))</f>
        <v/>
      </c>
      <c r="E299" s="31">
        <f>IF($AD299="Z",SUM($AR$5:$AR$404),IF($AD299="D",INDEX($AR$5:$AR$404,$AC299),IF($AD299="T",SUMIF($X$5:$X$404,$AF299,$AR$5:$AR$404),IF($AD299="B",SUMIF($AN$5:$AN$404,$AQ299,$AR$5:$AR$404),""))))</f>
        <v/>
      </c>
      <c r="F299" s="32">
        <f>IF($AD299="Z",ROUND(SUM($AS$5:$AS$404),2),IF($AD299="D",INDEX($AS$5:$AS$404,$AC299),IF($AD299="T",ROUND(SUMIF($X$5:$X$404,$AF299,$AS$5:$AS$404),2),IF($AD299="B",ROUND(SUMIF($AN$5:$AN$404,$AQ299,$AS$5:$AS$404),2),""))))</f>
        <v/>
      </c>
      <c r="G299" s="32">
        <f>IF($AD299&lt;&gt;"D","",INDEX($AT$5:$AT$404,$AC299))</f>
        <v/>
      </c>
      <c r="H299" s="32">
        <f>IF($AD299&lt;&gt;"D","",INDEX($BC$5:$BC$404,$AC299))</f>
        <v/>
      </c>
      <c r="I299" s="32">
        <f>IF($AD299&lt;&gt;"D","",INDEX($BD$5:$BD$404,$AC299))</f>
        <v/>
      </c>
      <c r="J299" s="46">
        <f>IF($AD299&lt;&gt;"D","",IF(N($B299)=0,"",ROUND($I299/$B299,4)))</f>
        <v/>
      </c>
      <c r="K299" s="32">
        <f>IF($AD299="Z",ROUND(SUM($AU$5:$AU$404),2),IF($AD299="D",INDEX($AU$5:$AU$404,$AC299),IF($AD299="T",ROUND(SUMIF($X$5:$X$404,$AF299,$AU$5:$AU$404),2),IF($AD299="B",ROUND(SUMIF($AN$5:$AN$404,$AQ299,$AU$5:$AU$404),2),""))))</f>
        <v/>
      </c>
      <c r="L299" s="32">
        <f>IF($AD299="Z",ROUND(SUM($AV$5:$AV$404),2),IF($AD299="D",INDEX($AV$5:$AV$404,$AC299),IF($AD299="T",ROUND(SUMIF($X$5:$X$404,$AF299,$AV$5:$AV$404),2),IF($AD299="B",ROUND(SUMIF($AN$5:$AN$404,$AQ299,$AV$5:$AV$404),2),""))))</f>
        <v/>
      </c>
      <c r="M299" s="32">
        <f>IF($AD299="Z",ROUND(SUM($AJ$5:$AJ$704),2),IF($AD299="B",ROUND(SUMIF($AQ$5:$AQ$704,$AQ299,$AJ$5:$AJ$704),2),IF($AD299&lt;&gt;"T","",$AJ299)))</f>
        <v/>
      </c>
      <c r="N299" s="32">
        <f>IF(OR($AD299="D",$AD299="T",$AD299="B",$AD299="Z"),ROUND(N($K299)-N($L299)-N($M299),2),"")</f>
        <v/>
      </c>
      <c r="O299" s="32">
        <f>IF(OR($AD299="D",$AD299="T",$AD299="B",$AD299="Z"),IF(N($E299)=0,"",ROUND($F299/$E299,2)),"")</f>
        <v/>
      </c>
      <c r="Q299">
        <f>IFERROR(MATCH(295,บันทึกรายเที่ยว!$Z$6:$Z$6005,0),"")</f>
        <v/>
      </c>
      <c r="R299">
        <f>IF($Q299="","",INDEX(บันทึกรายเที่ยว!$V$6:$V$6005,$Q299))</f>
        <v/>
      </c>
      <c r="S299">
        <f>IF($Q299="","",INDEX(บันทึกรายเที่ยว!$F$6:$F$6005,$Q299))</f>
        <v/>
      </c>
      <c r="T299">
        <f>IF($Q299="","",MATCH($S299,บันทึกรายเที่ยว!$F$6:$F$6005,0))</f>
        <v/>
      </c>
      <c r="U299">
        <f>IF($Q299="","",$AL299*10000000+$T299*1000+295)</f>
        <v/>
      </c>
      <c r="V299">
        <f>IFERROR(MATCH(SMALL($U$5:$U$404,295),$U$5:$U$404,0),"")</f>
        <v/>
      </c>
      <c r="W299">
        <f>IF($V299="","",INDEX($Q$5:$Q$404,$V299))</f>
        <v/>
      </c>
      <c r="X299">
        <f>IF($V299="","",INDEX($S$5:$S$404,$V299))</f>
        <v/>
      </c>
      <c r="Y299">
        <f>IF($V299="","",INDEX($R$5:$R$404,$V299))</f>
        <v/>
      </c>
      <c r="Z299">
        <f>IF($V299="",0,IF($X299&lt;&gt;$X298,1,0))</f>
        <v/>
      </c>
      <c r="AA299">
        <f>IF($V299="",0,IF($V300="",1,IF($X300&lt;&gt;$X299,1,0)))</f>
        <v/>
      </c>
      <c r="AB299">
        <f>IF($V299="",99999+295,$AB298+1+$Z298+$AA298+$AO298)</f>
        <v/>
      </c>
      <c r="AC299">
        <f>IFERROR(MATCH(295,$AB$5:$AB$404,1),"")</f>
        <v/>
      </c>
      <c r="AD299">
        <f>IF(295=$AI$1+1,"Z",IF($AC299="","",IF(INDEX($V$5:$V$404,$AC299)="","",IF(295&gt;INDEX($AB$5:$AB$404,$AC299)+INDEX($Z$5:$Z$404,$AC299)+INDEX($AA$5:$AA$404,$AC299)+INDEX($AO$5:$AO$404,$AC299),"",IF(295=INDEX($AB$5:$AB$404,$AC299)+INDEX($Z$5:$Z$404,$AC299),"D",IF(AND(INDEX($Z$5:$Z$404,$AC299)=1,295=INDEX($AB$5:$AB$404,$AC299)),"H",IF(AND(INDEX($AO$5:$AO$404,$AC299)=1,295=INDEX($AB$5:$AB$404,$AC299)+INDEX($Z$5:$Z$404,$AC299)+INDEX($AA$5:$AA$404,$AC299)+INDEX($AO$5:$AO$404,$AC299)),"B","T")))))))</f>
        <v/>
      </c>
      <c r="AF299">
        <f>IF(OR($AD299="",$AD299="Z",$AD299="B"),"",INDEX($X$5:$X$404,$AC299))</f>
        <v/>
      </c>
      <c r="AJ299">
        <f>IF($AD299&lt;&gt;"T",0,ROUND(SUMIF(oil!$B$4:$B$63,$AF299,oil!$AE$4:$AE$63),2))</f>
        <v/>
      </c>
      <c r="AK299">
        <f>IF($S299="","",IFERROR(INDEX(อัตราค่าขนส่ง!$P$5:$P$54,MATCH($S299,อัตราค่าขนส่ง!$O$5:$O$54,0)),INDEX(รายการมาตรฐาน!$G$2:$G$3,1)))</f>
        <v/>
      </c>
      <c r="AL299">
        <f>IF($S299="","",IFERROR(MATCH($AK299,รายการมาตรฐาน!$G$2:$G$3,0),1))</f>
        <v/>
      </c>
      <c r="AM299">
        <f>IF($V299="","",INDEX($AK$5:$AK$404,$V299))</f>
        <v/>
      </c>
      <c r="AN299">
        <f>IF($V299="","",INDEX($AL$5:$AL$404,$V299))</f>
        <v/>
      </c>
      <c r="AO299">
        <f>IF(OR($V299="",$AI$2&lt;=1),0,IF($V300="",1,IF($AN300&lt;&gt;$AN299,1,0)))</f>
        <v/>
      </c>
      <c r="AP299">
        <f>IF($V299="",0,IF($AN299&lt;&gt;$AN298,1,0))</f>
        <v/>
      </c>
      <c r="AQ299">
        <f>IF(OR($AD299="",$AD299="Z"),"",INDEX($AN$5:$AN$404,$AC299))</f>
        <v/>
      </c>
      <c r="AR299">
        <f>IF($Y299="",0,COUNTIF(บันทึกรายเที่ยว!$V$6:$V$6005,$Y299))</f>
        <v/>
      </c>
      <c r="AS299">
        <f>IF($Y299="",0,ROUND(SUMIF(บันทึกรายเที่ยว!$V$6:$V$6005,$Y299,บันทึกรายเที่ยว!$M$6:$M$6005),2))</f>
        <v/>
      </c>
      <c r="AT299">
        <f>IF($Y299="",0,IFERROR(INDEX(อัตราค่าขนส่ง!$G$5:$G$204,MATCH($Y299,อัตราค่าขนส่ง!$M$5:$M$204,0)),0))</f>
        <v/>
      </c>
      <c r="AU299">
        <f>ROUND($AS299*$BD299,2)</f>
        <v/>
      </c>
      <c r="AV299">
        <f>ROUND($AU299*$BF$2/100,2)</f>
        <v/>
      </c>
      <c r="AW299">
        <f>IF($Y299="","",IFERROR(INDEX(อัตราค่าขนส่ง!$F$5:$F$204,MATCH($Y299,อัตราค่าขนส่ง!$M$5:$M$204,0)),""))</f>
        <v/>
      </c>
      <c r="AX299">
        <f>IF($W299="","",INDEX(บันทึกรายเที่ยว!$D$6:$D$6005,$W299))</f>
        <v/>
      </c>
      <c r="AY299">
        <f>IF($W299="","",INDEX(บันทึกรายเที่ยว!$R$6:$R$6005,$W299))</f>
        <v/>
      </c>
      <c r="AZ299">
        <f>IF(AND($AD299="T",$AQ299=1),N($AZ298)+1,N($AZ298))</f>
        <v/>
      </c>
      <c r="BA299">
        <f>IF($W299="","",INDEX(บันทึกรายเที่ยว!$E$6:$E$6005,$W299))</f>
        <v/>
      </c>
      <c r="BC299">
        <f>IF($Y299="",0,IFERROR(INDEX(อัตราค่าขนส่ง!$K$5:$K$204,MATCH($Y299,อัตราค่าขนส่ง!$M$5:$M$204,0)),0))</f>
        <v/>
      </c>
      <c r="BD299">
        <f>IF($Y299="",0,IFERROR(INDEX(อัตราค่าขนส่ง!$L$5:$L$204,MATCH($Y299,อัตราค่าขนส่ง!$M$5:$M$204,0)),0))</f>
        <v/>
      </c>
    </row>
    <row r="300" ht="21" customHeight="1" s="66">
      <c r="A300" s="69">
        <f>IF($AD300="","",IF($AD300="Z","รวมจ่ายทั้งสิ้น",IF($AD300="H",INDEX($X$5:$X$404,$AC300),IF($AD300="T","รวม",IF($AD300="B",IFERROR(INDEX(อัตราค่าขนส่ง!$S$5:$S$14,MATCH(INDEX($AM$5:$AM$404,$AC300),อัตราค่าขนส่ง!$R$5:$R$14,0)),"รวมกลุ่ม "&amp;INDEX($AM$5:$AM$404,$AC300)),INDEX($AY$5:$AY$404,$AC300))))))</f>
        <v/>
      </c>
      <c r="B300" s="31">
        <f>IF($AD300&lt;&gt;"D","",INDEX($AW$5:$AW$404,$AC300))</f>
        <v/>
      </c>
      <c r="C300" s="68">
        <f>IF($AD300&lt;&gt;"D","",INDEX($AX$5:$AX$404,$AC300))</f>
        <v/>
      </c>
      <c r="D300" s="70">
        <f>IF($AD300&lt;&gt;"D","",INDEX($BA$5:$BA$404,$AC300))</f>
        <v/>
      </c>
      <c r="E300" s="31">
        <f>IF($AD300="Z",SUM($AR$5:$AR$404),IF($AD300="D",INDEX($AR$5:$AR$404,$AC300),IF($AD300="T",SUMIF($X$5:$X$404,$AF300,$AR$5:$AR$404),IF($AD300="B",SUMIF($AN$5:$AN$404,$AQ300,$AR$5:$AR$404),""))))</f>
        <v/>
      </c>
      <c r="F300" s="32">
        <f>IF($AD300="Z",ROUND(SUM($AS$5:$AS$404),2),IF($AD300="D",INDEX($AS$5:$AS$404,$AC300),IF($AD300="T",ROUND(SUMIF($X$5:$X$404,$AF300,$AS$5:$AS$404),2),IF($AD300="B",ROUND(SUMIF($AN$5:$AN$404,$AQ300,$AS$5:$AS$404),2),""))))</f>
        <v/>
      </c>
      <c r="G300" s="32">
        <f>IF($AD300&lt;&gt;"D","",INDEX($AT$5:$AT$404,$AC300))</f>
        <v/>
      </c>
      <c r="H300" s="32">
        <f>IF($AD300&lt;&gt;"D","",INDEX($BC$5:$BC$404,$AC300))</f>
        <v/>
      </c>
      <c r="I300" s="32">
        <f>IF($AD300&lt;&gt;"D","",INDEX($BD$5:$BD$404,$AC300))</f>
        <v/>
      </c>
      <c r="J300" s="46">
        <f>IF($AD300&lt;&gt;"D","",IF(N($B300)=0,"",ROUND($I300/$B300,4)))</f>
        <v/>
      </c>
      <c r="K300" s="32">
        <f>IF($AD300="Z",ROUND(SUM($AU$5:$AU$404),2),IF($AD300="D",INDEX($AU$5:$AU$404,$AC300),IF($AD300="T",ROUND(SUMIF($X$5:$X$404,$AF300,$AU$5:$AU$404),2),IF($AD300="B",ROUND(SUMIF($AN$5:$AN$404,$AQ300,$AU$5:$AU$404),2),""))))</f>
        <v/>
      </c>
      <c r="L300" s="32">
        <f>IF($AD300="Z",ROUND(SUM($AV$5:$AV$404),2),IF($AD300="D",INDEX($AV$5:$AV$404,$AC300),IF($AD300="T",ROUND(SUMIF($X$5:$X$404,$AF300,$AV$5:$AV$404),2),IF($AD300="B",ROUND(SUMIF($AN$5:$AN$404,$AQ300,$AV$5:$AV$404),2),""))))</f>
        <v/>
      </c>
      <c r="M300" s="32">
        <f>IF($AD300="Z",ROUND(SUM($AJ$5:$AJ$704),2),IF($AD300="B",ROUND(SUMIF($AQ$5:$AQ$704,$AQ300,$AJ$5:$AJ$704),2),IF($AD300&lt;&gt;"T","",$AJ300)))</f>
        <v/>
      </c>
      <c r="N300" s="32">
        <f>IF(OR($AD300="D",$AD300="T",$AD300="B",$AD300="Z"),ROUND(N($K300)-N($L300)-N($M300),2),"")</f>
        <v/>
      </c>
      <c r="O300" s="32">
        <f>IF(OR($AD300="D",$AD300="T",$AD300="B",$AD300="Z"),IF(N($E300)=0,"",ROUND($F300/$E300,2)),"")</f>
        <v/>
      </c>
      <c r="Q300">
        <f>IFERROR(MATCH(296,บันทึกรายเที่ยว!$Z$6:$Z$6005,0),"")</f>
        <v/>
      </c>
      <c r="R300">
        <f>IF($Q300="","",INDEX(บันทึกรายเที่ยว!$V$6:$V$6005,$Q300))</f>
        <v/>
      </c>
      <c r="S300">
        <f>IF($Q300="","",INDEX(บันทึกรายเที่ยว!$F$6:$F$6005,$Q300))</f>
        <v/>
      </c>
      <c r="T300">
        <f>IF($Q300="","",MATCH($S300,บันทึกรายเที่ยว!$F$6:$F$6005,0))</f>
        <v/>
      </c>
      <c r="U300">
        <f>IF($Q300="","",$AL300*10000000+$T300*1000+296)</f>
        <v/>
      </c>
      <c r="V300">
        <f>IFERROR(MATCH(SMALL($U$5:$U$404,296),$U$5:$U$404,0),"")</f>
        <v/>
      </c>
      <c r="W300">
        <f>IF($V300="","",INDEX($Q$5:$Q$404,$V300))</f>
        <v/>
      </c>
      <c r="X300">
        <f>IF($V300="","",INDEX($S$5:$S$404,$V300))</f>
        <v/>
      </c>
      <c r="Y300">
        <f>IF($V300="","",INDEX($R$5:$R$404,$V300))</f>
        <v/>
      </c>
      <c r="Z300">
        <f>IF($V300="",0,IF($X300&lt;&gt;$X299,1,0))</f>
        <v/>
      </c>
      <c r="AA300">
        <f>IF($V300="",0,IF($V301="",1,IF($X301&lt;&gt;$X300,1,0)))</f>
        <v/>
      </c>
      <c r="AB300">
        <f>IF($V300="",99999+296,$AB299+1+$Z299+$AA299+$AO299)</f>
        <v/>
      </c>
      <c r="AC300">
        <f>IFERROR(MATCH(296,$AB$5:$AB$404,1),"")</f>
        <v/>
      </c>
      <c r="AD300">
        <f>IF(296=$AI$1+1,"Z",IF($AC300="","",IF(INDEX($V$5:$V$404,$AC300)="","",IF(296&gt;INDEX($AB$5:$AB$404,$AC300)+INDEX($Z$5:$Z$404,$AC300)+INDEX($AA$5:$AA$404,$AC300)+INDEX($AO$5:$AO$404,$AC300),"",IF(296=INDEX($AB$5:$AB$404,$AC300)+INDEX($Z$5:$Z$404,$AC300),"D",IF(AND(INDEX($Z$5:$Z$404,$AC300)=1,296=INDEX($AB$5:$AB$404,$AC300)),"H",IF(AND(INDEX($AO$5:$AO$404,$AC300)=1,296=INDEX($AB$5:$AB$404,$AC300)+INDEX($Z$5:$Z$404,$AC300)+INDEX($AA$5:$AA$404,$AC300)+INDEX($AO$5:$AO$404,$AC300)),"B","T")))))))</f>
        <v/>
      </c>
      <c r="AF300">
        <f>IF(OR($AD300="",$AD300="Z",$AD300="B"),"",INDEX($X$5:$X$404,$AC300))</f>
        <v/>
      </c>
      <c r="AJ300">
        <f>IF($AD300&lt;&gt;"T",0,ROUND(SUMIF(oil!$B$4:$B$63,$AF300,oil!$AE$4:$AE$63),2))</f>
        <v/>
      </c>
      <c r="AK300">
        <f>IF($S300="","",IFERROR(INDEX(อัตราค่าขนส่ง!$P$5:$P$54,MATCH($S300,อัตราค่าขนส่ง!$O$5:$O$54,0)),INDEX(รายการมาตรฐาน!$G$2:$G$3,1)))</f>
        <v/>
      </c>
      <c r="AL300">
        <f>IF($S300="","",IFERROR(MATCH($AK300,รายการมาตรฐาน!$G$2:$G$3,0),1))</f>
        <v/>
      </c>
      <c r="AM300">
        <f>IF($V300="","",INDEX($AK$5:$AK$404,$V300))</f>
        <v/>
      </c>
      <c r="AN300">
        <f>IF($V300="","",INDEX($AL$5:$AL$404,$V300))</f>
        <v/>
      </c>
      <c r="AO300">
        <f>IF(OR($V300="",$AI$2&lt;=1),0,IF($V301="",1,IF($AN301&lt;&gt;$AN300,1,0)))</f>
        <v/>
      </c>
      <c r="AP300">
        <f>IF($V300="",0,IF($AN300&lt;&gt;$AN299,1,0))</f>
        <v/>
      </c>
      <c r="AQ300">
        <f>IF(OR($AD300="",$AD300="Z"),"",INDEX($AN$5:$AN$404,$AC300))</f>
        <v/>
      </c>
      <c r="AR300">
        <f>IF($Y300="",0,COUNTIF(บันทึกรายเที่ยว!$V$6:$V$6005,$Y300))</f>
        <v/>
      </c>
      <c r="AS300">
        <f>IF($Y300="",0,ROUND(SUMIF(บันทึกรายเที่ยว!$V$6:$V$6005,$Y300,บันทึกรายเที่ยว!$M$6:$M$6005),2))</f>
        <v/>
      </c>
      <c r="AT300">
        <f>IF($Y300="",0,IFERROR(INDEX(อัตราค่าขนส่ง!$G$5:$G$204,MATCH($Y300,อัตราค่าขนส่ง!$M$5:$M$204,0)),0))</f>
        <v/>
      </c>
      <c r="AU300">
        <f>ROUND($AS300*$BD300,2)</f>
        <v/>
      </c>
      <c r="AV300">
        <f>ROUND($AU300*$BF$2/100,2)</f>
        <v/>
      </c>
      <c r="AW300">
        <f>IF($Y300="","",IFERROR(INDEX(อัตราค่าขนส่ง!$F$5:$F$204,MATCH($Y300,อัตราค่าขนส่ง!$M$5:$M$204,0)),""))</f>
        <v/>
      </c>
      <c r="AX300">
        <f>IF($W300="","",INDEX(บันทึกรายเที่ยว!$D$6:$D$6005,$W300))</f>
        <v/>
      </c>
      <c r="AY300">
        <f>IF($W300="","",INDEX(บันทึกรายเที่ยว!$R$6:$R$6005,$W300))</f>
        <v/>
      </c>
      <c r="AZ300">
        <f>IF(AND($AD300="T",$AQ300=1),N($AZ299)+1,N($AZ299))</f>
        <v/>
      </c>
      <c r="BA300">
        <f>IF($W300="","",INDEX(บันทึกรายเที่ยว!$E$6:$E$6005,$W300))</f>
        <v/>
      </c>
      <c r="BC300">
        <f>IF($Y300="",0,IFERROR(INDEX(อัตราค่าขนส่ง!$K$5:$K$204,MATCH($Y300,อัตราค่าขนส่ง!$M$5:$M$204,0)),0))</f>
        <v/>
      </c>
      <c r="BD300">
        <f>IF($Y300="",0,IFERROR(INDEX(อัตราค่าขนส่ง!$L$5:$L$204,MATCH($Y300,อัตราค่าขนส่ง!$M$5:$M$204,0)),0))</f>
        <v/>
      </c>
    </row>
    <row r="301" ht="21" customHeight="1" s="66">
      <c r="A301" s="69">
        <f>IF($AD301="","",IF($AD301="Z","รวมจ่ายทั้งสิ้น",IF($AD301="H",INDEX($X$5:$X$404,$AC301),IF($AD301="T","รวม",IF($AD301="B",IFERROR(INDEX(อัตราค่าขนส่ง!$S$5:$S$14,MATCH(INDEX($AM$5:$AM$404,$AC301),อัตราค่าขนส่ง!$R$5:$R$14,0)),"รวมกลุ่ม "&amp;INDEX($AM$5:$AM$404,$AC301)),INDEX($AY$5:$AY$404,$AC301))))))</f>
        <v/>
      </c>
      <c r="B301" s="31">
        <f>IF($AD301&lt;&gt;"D","",INDEX($AW$5:$AW$404,$AC301))</f>
        <v/>
      </c>
      <c r="C301" s="68">
        <f>IF($AD301&lt;&gt;"D","",INDEX($AX$5:$AX$404,$AC301))</f>
        <v/>
      </c>
      <c r="D301" s="70">
        <f>IF($AD301&lt;&gt;"D","",INDEX($BA$5:$BA$404,$AC301))</f>
        <v/>
      </c>
      <c r="E301" s="31">
        <f>IF($AD301="Z",SUM($AR$5:$AR$404),IF($AD301="D",INDEX($AR$5:$AR$404,$AC301),IF($AD301="T",SUMIF($X$5:$X$404,$AF301,$AR$5:$AR$404),IF($AD301="B",SUMIF($AN$5:$AN$404,$AQ301,$AR$5:$AR$404),""))))</f>
        <v/>
      </c>
      <c r="F301" s="32">
        <f>IF($AD301="Z",ROUND(SUM($AS$5:$AS$404),2),IF($AD301="D",INDEX($AS$5:$AS$404,$AC301),IF($AD301="T",ROUND(SUMIF($X$5:$X$404,$AF301,$AS$5:$AS$404),2),IF($AD301="B",ROUND(SUMIF($AN$5:$AN$404,$AQ301,$AS$5:$AS$404),2),""))))</f>
        <v/>
      </c>
      <c r="G301" s="32">
        <f>IF($AD301&lt;&gt;"D","",INDEX($AT$5:$AT$404,$AC301))</f>
        <v/>
      </c>
      <c r="H301" s="32">
        <f>IF($AD301&lt;&gt;"D","",INDEX($BC$5:$BC$404,$AC301))</f>
        <v/>
      </c>
      <c r="I301" s="32">
        <f>IF($AD301&lt;&gt;"D","",INDEX($BD$5:$BD$404,$AC301))</f>
        <v/>
      </c>
      <c r="J301" s="46">
        <f>IF($AD301&lt;&gt;"D","",IF(N($B301)=0,"",ROUND($I301/$B301,4)))</f>
        <v/>
      </c>
      <c r="K301" s="32">
        <f>IF($AD301="Z",ROUND(SUM($AU$5:$AU$404),2),IF($AD301="D",INDEX($AU$5:$AU$404,$AC301),IF($AD301="T",ROUND(SUMIF($X$5:$X$404,$AF301,$AU$5:$AU$404),2),IF($AD301="B",ROUND(SUMIF($AN$5:$AN$404,$AQ301,$AU$5:$AU$404),2),""))))</f>
        <v/>
      </c>
      <c r="L301" s="32">
        <f>IF($AD301="Z",ROUND(SUM($AV$5:$AV$404),2),IF($AD301="D",INDEX($AV$5:$AV$404,$AC301),IF($AD301="T",ROUND(SUMIF($X$5:$X$404,$AF301,$AV$5:$AV$404),2),IF($AD301="B",ROUND(SUMIF($AN$5:$AN$404,$AQ301,$AV$5:$AV$404),2),""))))</f>
        <v/>
      </c>
      <c r="M301" s="32">
        <f>IF($AD301="Z",ROUND(SUM($AJ$5:$AJ$704),2),IF($AD301="B",ROUND(SUMIF($AQ$5:$AQ$704,$AQ301,$AJ$5:$AJ$704),2),IF($AD301&lt;&gt;"T","",$AJ301)))</f>
        <v/>
      </c>
      <c r="N301" s="32">
        <f>IF(OR($AD301="D",$AD301="T",$AD301="B",$AD301="Z"),ROUND(N($K301)-N($L301)-N($M301),2),"")</f>
        <v/>
      </c>
      <c r="O301" s="32">
        <f>IF(OR($AD301="D",$AD301="T",$AD301="B",$AD301="Z"),IF(N($E301)=0,"",ROUND($F301/$E301,2)),"")</f>
        <v/>
      </c>
      <c r="Q301">
        <f>IFERROR(MATCH(297,บันทึกรายเที่ยว!$Z$6:$Z$6005,0),"")</f>
        <v/>
      </c>
      <c r="R301">
        <f>IF($Q301="","",INDEX(บันทึกรายเที่ยว!$V$6:$V$6005,$Q301))</f>
        <v/>
      </c>
      <c r="S301">
        <f>IF($Q301="","",INDEX(บันทึกรายเที่ยว!$F$6:$F$6005,$Q301))</f>
        <v/>
      </c>
      <c r="T301">
        <f>IF($Q301="","",MATCH($S301,บันทึกรายเที่ยว!$F$6:$F$6005,0))</f>
        <v/>
      </c>
      <c r="U301">
        <f>IF($Q301="","",$AL301*10000000+$T301*1000+297)</f>
        <v/>
      </c>
      <c r="V301">
        <f>IFERROR(MATCH(SMALL($U$5:$U$404,297),$U$5:$U$404,0),"")</f>
        <v/>
      </c>
      <c r="W301">
        <f>IF($V301="","",INDEX($Q$5:$Q$404,$V301))</f>
        <v/>
      </c>
      <c r="X301">
        <f>IF($V301="","",INDEX($S$5:$S$404,$V301))</f>
        <v/>
      </c>
      <c r="Y301">
        <f>IF($V301="","",INDEX($R$5:$R$404,$V301))</f>
        <v/>
      </c>
      <c r="Z301">
        <f>IF($V301="",0,IF($X301&lt;&gt;$X300,1,0))</f>
        <v/>
      </c>
      <c r="AA301">
        <f>IF($V301="",0,IF($V302="",1,IF($X302&lt;&gt;$X301,1,0)))</f>
        <v/>
      </c>
      <c r="AB301">
        <f>IF($V301="",99999+297,$AB300+1+$Z300+$AA300+$AO300)</f>
        <v/>
      </c>
      <c r="AC301">
        <f>IFERROR(MATCH(297,$AB$5:$AB$404,1),"")</f>
        <v/>
      </c>
      <c r="AD301">
        <f>IF(297=$AI$1+1,"Z",IF($AC301="","",IF(INDEX($V$5:$V$404,$AC301)="","",IF(297&gt;INDEX($AB$5:$AB$404,$AC301)+INDEX($Z$5:$Z$404,$AC301)+INDEX($AA$5:$AA$404,$AC301)+INDEX($AO$5:$AO$404,$AC301),"",IF(297=INDEX($AB$5:$AB$404,$AC301)+INDEX($Z$5:$Z$404,$AC301),"D",IF(AND(INDEX($Z$5:$Z$404,$AC301)=1,297=INDEX($AB$5:$AB$404,$AC301)),"H",IF(AND(INDEX($AO$5:$AO$404,$AC301)=1,297=INDEX($AB$5:$AB$404,$AC301)+INDEX($Z$5:$Z$404,$AC301)+INDEX($AA$5:$AA$404,$AC301)+INDEX($AO$5:$AO$404,$AC301)),"B","T")))))))</f>
        <v/>
      </c>
      <c r="AF301">
        <f>IF(OR($AD301="",$AD301="Z",$AD301="B"),"",INDEX($X$5:$X$404,$AC301))</f>
        <v/>
      </c>
      <c r="AJ301">
        <f>IF($AD301&lt;&gt;"T",0,ROUND(SUMIF(oil!$B$4:$B$63,$AF301,oil!$AE$4:$AE$63),2))</f>
        <v/>
      </c>
      <c r="AK301">
        <f>IF($S301="","",IFERROR(INDEX(อัตราค่าขนส่ง!$P$5:$P$54,MATCH($S301,อัตราค่าขนส่ง!$O$5:$O$54,0)),INDEX(รายการมาตรฐาน!$G$2:$G$3,1)))</f>
        <v/>
      </c>
      <c r="AL301">
        <f>IF($S301="","",IFERROR(MATCH($AK301,รายการมาตรฐาน!$G$2:$G$3,0),1))</f>
        <v/>
      </c>
      <c r="AM301">
        <f>IF($V301="","",INDEX($AK$5:$AK$404,$V301))</f>
        <v/>
      </c>
      <c r="AN301">
        <f>IF($V301="","",INDEX($AL$5:$AL$404,$V301))</f>
        <v/>
      </c>
      <c r="AO301">
        <f>IF(OR($V301="",$AI$2&lt;=1),0,IF($V302="",1,IF($AN302&lt;&gt;$AN301,1,0)))</f>
        <v/>
      </c>
      <c r="AP301">
        <f>IF($V301="",0,IF($AN301&lt;&gt;$AN300,1,0))</f>
        <v/>
      </c>
      <c r="AQ301">
        <f>IF(OR($AD301="",$AD301="Z"),"",INDEX($AN$5:$AN$404,$AC301))</f>
        <v/>
      </c>
      <c r="AR301">
        <f>IF($Y301="",0,COUNTIF(บันทึกรายเที่ยว!$V$6:$V$6005,$Y301))</f>
        <v/>
      </c>
      <c r="AS301">
        <f>IF($Y301="",0,ROUND(SUMIF(บันทึกรายเที่ยว!$V$6:$V$6005,$Y301,บันทึกรายเที่ยว!$M$6:$M$6005),2))</f>
        <v/>
      </c>
      <c r="AT301">
        <f>IF($Y301="",0,IFERROR(INDEX(อัตราค่าขนส่ง!$G$5:$G$204,MATCH($Y301,อัตราค่าขนส่ง!$M$5:$M$204,0)),0))</f>
        <v/>
      </c>
      <c r="AU301">
        <f>ROUND($AS301*$BD301,2)</f>
        <v/>
      </c>
      <c r="AV301">
        <f>ROUND($AU301*$BF$2/100,2)</f>
        <v/>
      </c>
      <c r="AW301">
        <f>IF($Y301="","",IFERROR(INDEX(อัตราค่าขนส่ง!$F$5:$F$204,MATCH($Y301,อัตราค่าขนส่ง!$M$5:$M$204,0)),""))</f>
        <v/>
      </c>
      <c r="AX301">
        <f>IF($W301="","",INDEX(บันทึกรายเที่ยว!$D$6:$D$6005,$W301))</f>
        <v/>
      </c>
      <c r="AY301">
        <f>IF($W301="","",INDEX(บันทึกรายเที่ยว!$R$6:$R$6005,$W301))</f>
        <v/>
      </c>
      <c r="AZ301">
        <f>IF(AND($AD301="T",$AQ301=1),N($AZ300)+1,N($AZ300))</f>
        <v/>
      </c>
      <c r="BA301">
        <f>IF($W301="","",INDEX(บันทึกรายเที่ยว!$E$6:$E$6005,$W301))</f>
        <v/>
      </c>
      <c r="BC301">
        <f>IF($Y301="",0,IFERROR(INDEX(อัตราค่าขนส่ง!$K$5:$K$204,MATCH($Y301,อัตราค่าขนส่ง!$M$5:$M$204,0)),0))</f>
        <v/>
      </c>
      <c r="BD301">
        <f>IF($Y301="",0,IFERROR(INDEX(อัตราค่าขนส่ง!$L$5:$L$204,MATCH($Y301,อัตราค่าขนส่ง!$M$5:$M$204,0)),0))</f>
        <v/>
      </c>
    </row>
    <row r="302" ht="21" customHeight="1" s="66">
      <c r="A302" s="69">
        <f>IF($AD302="","",IF($AD302="Z","รวมจ่ายทั้งสิ้น",IF($AD302="H",INDEX($X$5:$X$404,$AC302),IF($AD302="T","รวม",IF($AD302="B",IFERROR(INDEX(อัตราค่าขนส่ง!$S$5:$S$14,MATCH(INDEX($AM$5:$AM$404,$AC302),อัตราค่าขนส่ง!$R$5:$R$14,0)),"รวมกลุ่ม "&amp;INDEX($AM$5:$AM$404,$AC302)),INDEX($AY$5:$AY$404,$AC302))))))</f>
        <v/>
      </c>
      <c r="B302" s="31">
        <f>IF($AD302&lt;&gt;"D","",INDEX($AW$5:$AW$404,$AC302))</f>
        <v/>
      </c>
      <c r="C302" s="68">
        <f>IF($AD302&lt;&gt;"D","",INDEX($AX$5:$AX$404,$AC302))</f>
        <v/>
      </c>
      <c r="D302" s="70">
        <f>IF($AD302&lt;&gt;"D","",INDEX($BA$5:$BA$404,$AC302))</f>
        <v/>
      </c>
      <c r="E302" s="31">
        <f>IF($AD302="Z",SUM($AR$5:$AR$404),IF($AD302="D",INDEX($AR$5:$AR$404,$AC302),IF($AD302="T",SUMIF($X$5:$X$404,$AF302,$AR$5:$AR$404),IF($AD302="B",SUMIF($AN$5:$AN$404,$AQ302,$AR$5:$AR$404),""))))</f>
        <v/>
      </c>
      <c r="F302" s="32">
        <f>IF($AD302="Z",ROUND(SUM($AS$5:$AS$404),2),IF($AD302="D",INDEX($AS$5:$AS$404,$AC302),IF($AD302="T",ROUND(SUMIF($X$5:$X$404,$AF302,$AS$5:$AS$404),2),IF($AD302="B",ROUND(SUMIF($AN$5:$AN$404,$AQ302,$AS$5:$AS$404),2),""))))</f>
        <v/>
      </c>
      <c r="G302" s="32">
        <f>IF($AD302&lt;&gt;"D","",INDEX($AT$5:$AT$404,$AC302))</f>
        <v/>
      </c>
      <c r="H302" s="32">
        <f>IF($AD302&lt;&gt;"D","",INDEX($BC$5:$BC$404,$AC302))</f>
        <v/>
      </c>
      <c r="I302" s="32">
        <f>IF($AD302&lt;&gt;"D","",INDEX($BD$5:$BD$404,$AC302))</f>
        <v/>
      </c>
      <c r="J302" s="46">
        <f>IF($AD302&lt;&gt;"D","",IF(N($B302)=0,"",ROUND($I302/$B302,4)))</f>
        <v/>
      </c>
      <c r="K302" s="32">
        <f>IF($AD302="Z",ROUND(SUM($AU$5:$AU$404),2),IF($AD302="D",INDEX($AU$5:$AU$404,$AC302),IF($AD302="T",ROUND(SUMIF($X$5:$X$404,$AF302,$AU$5:$AU$404),2),IF($AD302="B",ROUND(SUMIF($AN$5:$AN$404,$AQ302,$AU$5:$AU$404),2),""))))</f>
        <v/>
      </c>
      <c r="L302" s="32">
        <f>IF($AD302="Z",ROUND(SUM($AV$5:$AV$404),2),IF($AD302="D",INDEX($AV$5:$AV$404,$AC302),IF($AD302="T",ROUND(SUMIF($X$5:$X$404,$AF302,$AV$5:$AV$404),2),IF($AD302="B",ROUND(SUMIF($AN$5:$AN$404,$AQ302,$AV$5:$AV$404),2),""))))</f>
        <v/>
      </c>
      <c r="M302" s="32">
        <f>IF($AD302="Z",ROUND(SUM($AJ$5:$AJ$704),2),IF($AD302="B",ROUND(SUMIF($AQ$5:$AQ$704,$AQ302,$AJ$5:$AJ$704),2),IF($AD302&lt;&gt;"T","",$AJ302)))</f>
        <v/>
      </c>
      <c r="N302" s="32">
        <f>IF(OR($AD302="D",$AD302="T",$AD302="B",$AD302="Z"),ROUND(N($K302)-N($L302)-N($M302),2),"")</f>
        <v/>
      </c>
      <c r="O302" s="32">
        <f>IF(OR($AD302="D",$AD302="T",$AD302="B",$AD302="Z"),IF(N($E302)=0,"",ROUND($F302/$E302,2)),"")</f>
        <v/>
      </c>
      <c r="Q302">
        <f>IFERROR(MATCH(298,บันทึกรายเที่ยว!$Z$6:$Z$6005,0),"")</f>
        <v/>
      </c>
      <c r="R302">
        <f>IF($Q302="","",INDEX(บันทึกรายเที่ยว!$V$6:$V$6005,$Q302))</f>
        <v/>
      </c>
      <c r="S302">
        <f>IF($Q302="","",INDEX(บันทึกรายเที่ยว!$F$6:$F$6005,$Q302))</f>
        <v/>
      </c>
      <c r="T302">
        <f>IF($Q302="","",MATCH($S302,บันทึกรายเที่ยว!$F$6:$F$6005,0))</f>
        <v/>
      </c>
      <c r="U302">
        <f>IF($Q302="","",$AL302*10000000+$T302*1000+298)</f>
        <v/>
      </c>
      <c r="V302">
        <f>IFERROR(MATCH(SMALL($U$5:$U$404,298),$U$5:$U$404,0),"")</f>
        <v/>
      </c>
      <c r="W302">
        <f>IF($V302="","",INDEX($Q$5:$Q$404,$V302))</f>
        <v/>
      </c>
      <c r="X302">
        <f>IF($V302="","",INDEX($S$5:$S$404,$V302))</f>
        <v/>
      </c>
      <c r="Y302">
        <f>IF($V302="","",INDEX($R$5:$R$404,$V302))</f>
        <v/>
      </c>
      <c r="Z302">
        <f>IF($V302="",0,IF($X302&lt;&gt;$X301,1,0))</f>
        <v/>
      </c>
      <c r="AA302">
        <f>IF($V302="",0,IF($V303="",1,IF($X303&lt;&gt;$X302,1,0)))</f>
        <v/>
      </c>
      <c r="AB302">
        <f>IF($V302="",99999+298,$AB301+1+$Z301+$AA301+$AO301)</f>
        <v/>
      </c>
      <c r="AC302">
        <f>IFERROR(MATCH(298,$AB$5:$AB$404,1),"")</f>
        <v/>
      </c>
      <c r="AD302">
        <f>IF(298=$AI$1+1,"Z",IF($AC302="","",IF(INDEX($V$5:$V$404,$AC302)="","",IF(298&gt;INDEX($AB$5:$AB$404,$AC302)+INDEX($Z$5:$Z$404,$AC302)+INDEX($AA$5:$AA$404,$AC302)+INDEX($AO$5:$AO$404,$AC302),"",IF(298=INDEX($AB$5:$AB$404,$AC302)+INDEX($Z$5:$Z$404,$AC302),"D",IF(AND(INDEX($Z$5:$Z$404,$AC302)=1,298=INDEX($AB$5:$AB$404,$AC302)),"H",IF(AND(INDEX($AO$5:$AO$404,$AC302)=1,298=INDEX($AB$5:$AB$404,$AC302)+INDEX($Z$5:$Z$404,$AC302)+INDEX($AA$5:$AA$404,$AC302)+INDEX($AO$5:$AO$404,$AC302)),"B","T")))))))</f>
        <v/>
      </c>
      <c r="AF302">
        <f>IF(OR($AD302="",$AD302="Z",$AD302="B"),"",INDEX($X$5:$X$404,$AC302))</f>
        <v/>
      </c>
      <c r="AJ302">
        <f>IF($AD302&lt;&gt;"T",0,ROUND(SUMIF(oil!$B$4:$B$63,$AF302,oil!$AE$4:$AE$63),2))</f>
        <v/>
      </c>
      <c r="AK302">
        <f>IF($S302="","",IFERROR(INDEX(อัตราค่าขนส่ง!$P$5:$P$54,MATCH($S302,อัตราค่าขนส่ง!$O$5:$O$54,0)),INDEX(รายการมาตรฐาน!$G$2:$G$3,1)))</f>
        <v/>
      </c>
      <c r="AL302">
        <f>IF($S302="","",IFERROR(MATCH($AK302,รายการมาตรฐาน!$G$2:$G$3,0),1))</f>
        <v/>
      </c>
      <c r="AM302">
        <f>IF($V302="","",INDEX($AK$5:$AK$404,$V302))</f>
        <v/>
      </c>
      <c r="AN302">
        <f>IF($V302="","",INDEX($AL$5:$AL$404,$V302))</f>
        <v/>
      </c>
      <c r="AO302">
        <f>IF(OR($V302="",$AI$2&lt;=1),0,IF($V303="",1,IF($AN303&lt;&gt;$AN302,1,0)))</f>
        <v/>
      </c>
      <c r="AP302">
        <f>IF($V302="",0,IF($AN302&lt;&gt;$AN301,1,0))</f>
        <v/>
      </c>
      <c r="AQ302">
        <f>IF(OR($AD302="",$AD302="Z"),"",INDEX($AN$5:$AN$404,$AC302))</f>
        <v/>
      </c>
      <c r="AR302">
        <f>IF($Y302="",0,COUNTIF(บันทึกรายเที่ยว!$V$6:$V$6005,$Y302))</f>
        <v/>
      </c>
      <c r="AS302">
        <f>IF($Y302="",0,ROUND(SUMIF(บันทึกรายเที่ยว!$V$6:$V$6005,$Y302,บันทึกรายเที่ยว!$M$6:$M$6005),2))</f>
        <v/>
      </c>
      <c r="AT302">
        <f>IF($Y302="",0,IFERROR(INDEX(อัตราค่าขนส่ง!$G$5:$G$204,MATCH($Y302,อัตราค่าขนส่ง!$M$5:$M$204,0)),0))</f>
        <v/>
      </c>
      <c r="AU302">
        <f>ROUND($AS302*$BD302,2)</f>
        <v/>
      </c>
      <c r="AV302">
        <f>ROUND($AU302*$BF$2/100,2)</f>
        <v/>
      </c>
      <c r="AW302">
        <f>IF($Y302="","",IFERROR(INDEX(อัตราค่าขนส่ง!$F$5:$F$204,MATCH($Y302,อัตราค่าขนส่ง!$M$5:$M$204,0)),""))</f>
        <v/>
      </c>
      <c r="AX302">
        <f>IF($W302="","",INDEX(บันทึกรายเที่ยว!$D$6:$D$6005,$W302))</f>
        <v/>
      </c>
      <c r="AY302">
        <f>IF($W302="","",INDEX(บันทึกรายเที่ยว!$R$6:$R$6005,$W302))</f>
        <v/>
      </c>
      <c r="AZ302">
        <f>IF(AND($AD302="T",$AQ302=1),N($AZ301)+1,N($AZ301))</f>
        <v/>
      </c>
      <c r="BA302">
        <f>IF($W302="","",INDEX(บันทึกรายเที่ยว!$E$6:$E$6005,$W302))</f>
        <v/>
      </c>
      <c r="BC302">
        <f>IF($Y302="",0,IFERROR(INDEX(อัตราค่าขนส่ง!$K$5:$K$204,MATCH($Y302,อัตราค่าขนส่ง!$M$5:$M$204,0)),0))</f>
        <v/>
      </c>
      <c r="BD302">
        <f>IF($Y302="",0,IFERROR(INDEX(อัตราค่าขนส่ง!$L$5:$L$204,MATCH($Y302,อัตราค่าขนส่ง!$M$5:$M$204,0)),0))</f>
        <v/>
      </c>
    </row>
    <row r="303" ht="21" customHeight="1" s="66">
      <c r="A303" s="69">
        <f>IF($AD303="","",IF($AD303="Z","รวมจ่ายทั้งสิ้น",IF($AD303="H",INDEX($X$5:$X$404,$AC303),IF($AD303="T","รวม",IF($AD303="B",IFERROR(INDEX(อัตราค่าขนส่ง!$S$5:$S$14,MATCH(INDEX($AM$5:$AM$404,$AC303),อัตราค่าขนส่ง!$R$5:$R$14,0)),"รวมกลุ่ม "&amp;INDEX($AM$5:$AM$404,$AC303)),INDEX($AY$5:$AY$404,$AC303))))))</f>
        <v/>
      </c>
      <c r="B303" s="31">
        <f>IF($AD303&lt;&gt;"D","",INDEX($AW$5:$AW$404,$AC303))</f>
        <v/>
      </c>
      <c r="C303" s="68">
        <f>IF($AD303&lt;&gt;"D","",INDEX($AX$5:$AX$404,$AC303))</f>
        <v/>
      </c>
      <c r="D303" s="70">
        <f>IF($AD303&lt;&gt;"D","",INDEX($BA$5:$BA$404,$AC303))</f>
        <v/>
      </c>
      <c r="E303" s="31">
        <f>IF($AD303="Z",SUM($AR$5:$AR$404),IF($AD303="D",INDEX($AR$5:$AR$404,$AC303),IF($AD303="T",SUMIF($X$5:$X$404,$AF303,$AR$5:$AR$404),IF($AD303="B",SUMIF($AN$5:$AN$404,$AQ303,$AR$5:$AR$404),""))))</f>
        <v/>
      </c>
      <c r="F303" s="32">
        <f>IF($AD303="Z",ROUND(SUM($AS$5:$AS$404),2),IF($AD303="D",INDEX($AS$5:$AS$404,$AC303),IF($AD303="T",ROUND(SUMIF($X$5:$X$404,$AF303,$AS$5:$AS$404),2),IF($AD303="B",ROUND(SUMIF($AN$5:$AN$404,$AQ303,$AS$5:$AS$404),2),""))))</f>
        <v/>
      </c>
      <c r="G303" s="32">
        <f>IF($AD303&lt;&gt;"D","",INDEX($AT$5:$AT$404,$AC303))</f>
        <v/>
      </c>
      <c r="H303" s="32">
        <f>IF($AD303&lt;&gt;"D","",INDEX($BC$5:$BC$404,$AC303))</f>
        <v/>
      </c>
      <c r="I303" s="32">
        <f>IF($AD303&lt;&gt;"D","",INDEX($BD$5:$BD$404,$AC303))</f>
        <v/>
      </c>
      <c r="J303" s="46">
        <f>IF($AD303&lt;&gt;"D","",IF(N($B303)=0,"",ROUND($I303/$B303,4)))</f>
        <v/>
      </c>
      <c r="K303" s="32">
        <f>IF($AD303="Z",ROUND(SUM($AU$5:$AU$404),2),IF($AD303="D",INDEX($AU$5:$AU$404,$AC303),IF($AD303="T",ROUND(SUMIF($X$5:$X$404,$AF303,$AU$5:$AU$404),2),IF($AD303="B",ROUND(SUMIF($AN$5:$AN$404,$AQ303,$AU$5:$AU$404),2),""))))</f>
        <v/>
      </c>
      <c r="L303" s="32">
        <f>IF($AD303="Z",ROUND(SUM($AV$5:$AV$404),2),IF($AD303="D",INDEX($AV$5:$AV$404,$AC303),IF($AD303="T",ROUND(SUMIF($X$5:$X$404,$AF303,$AV$5:$AV$404),2),IF($AD303="B",ROUND(SUMIF($AN$5:$AN$404,$AQ303,$AV$5:$AV$404),2),""))))</f>
        <v/>
      </c>
      <c r="M303" s="32">
        <f>IF($AD303="Z",ROUND(SUM($AJ$5:$AJ$704),2),IF($AD303="B",ROUND(SUMIF($AQ$5:$AQ$704,$AQ303,$AJ$5:$AJ$704),2),IF($AD303&lt;&gt;"T","",$AJ303)))</f>
        <v/>
      </c>
      <c r="N303" s="32">
        <f>IF(OR($AD303="D",$AD303="T",$AD303="B",$AD303="Z"),ROUND(N($K303)-N($L303)-N($M303),2),"")</f>
        <v/>
      </c>
      <c r="O303" s="32">
        <f>IF(OR($AD303="D",$AD303="T",$AD303="B",$AD303="Z"),IF(N($E303)=0,"",ROUND($F303/$E303,2)),"")</f>
        <v/>
      </c>
      <c r="Q303">
        <f>IFERROR(MATCH(299,บันทึกรายเที่ยว!$Z$6:$Z$6005,0),"")</f>
        <v/>
      </c>
      <c r="R303">
        <f>IF($Q303="","",INDEX(บันทึกรายเที่ยว!$V$6:$V$6005,$Q303))</f>
        <v/>
      </c>
      <c r="S303">
        <f>IF($Q303="","",INDEX(บันทึกรายเที่ยว!$F$6:$F$6005,$Q303))</f>
        <v/>
      </c>
      <c r="T303">
        <f>IF($Q303="","",MATCH($S303,บันทึกรายเที่ยว!$F$6:$F$6005,0))</f>
        <v/>
      </c>
      <c r="U303">
        <f>IF($Q303="","",$AL303*10000000+$T303*1000+299)</f>
        <v/>
      </c>
      <c r="V303">
        <f>IFERROR(MATCH(SMALL($U$5:$U$404,299),$U$5:$U$404,0),"")</f>
        <v/>
      </c>
      <c r="W303">
        <f>IF($V303="","",INDEX($Q$5:$Q$404,$V303))</f>
        <v/>
      </c>
      <c r="X303">
        <f>IF($V303="","",INDEX($S$5:$S$404,$V303))</f>
        <v/>
      </c>
      <c r="Y303">
        <f>IF($V303="","",INDEX($R$5:$R$404,$V303))</f>
        <v/>
      </c>
      <c r="Z303">
        <f>IF($V303="",0,IF($X303&lt;&gt;$X302,1,0))</f>
        <v/>
      </c>
      <c r="AA303">
        <f>IF($V303="",0,IF($V304="",1,IF($X304&lt;&gt;$X303,1,0)))</f>
        <v/>
      </c>
      <c r="AB303">
        <f>IF($V303="",99999+299,$AB302+1+$Z302+$AA302+$AO302)</f>
        <v/>
      </c>
      <c r="AC303">
        <f>IFERROR(MATCH(299,$AB$5:$AB$404,1),"")</f>
        <v/>
      </c>
      <c r="AD303">
        <f>IF(299=$AI$1+1,"Z",IF($AC303="","",IF(INDEX($V$5:$V$404,$AC303)="","",IF(299&gt;INDEX($AB$5:$AB$404,$AC303)+INDEX($Z$5:$Z$404,$AC303)+INDEX($AA$5:$AA$404,$AC303)+INDEX($AO$5:$AO$404,$AC303),"",IF(299=INDEX($AB$5:$AB$404,$AC303)+INDEX($Z$5:$Z$404,$AC303),"D",IF(AND(INDEX($Z$5:$Z$404,$AC303)=1,299=INDEX($AB$5:$AB$404,$AC303)),"H",IF(AND(INDEX($AO$5:$AO$404,$AC303)=1,299=INDEX($AB$5:$AB$404,$AC303)+INDEX($Z$5:$Z$404,$AC303)+INDEX($AA$5:$AA$404,$AC303)+INDEX($AO$5:$AO$404,$AC303)),"B","T")))))))</f>
        <v/>
      </c>
      <c r="AF303">
        <f>IF(OR($AD303="",$AD303="Z",$AD303="B"),"",INDEX($X$5:$X$404,$AC303))</f>
        <v/>
      </c>
      <c r="AJ303">
        <f>IF($AD303&lt;&gt;"T",0,ROUND(SUMIF(oil!$B$4:$B$63,$AF303,oil!$AE$4:$AE$63),2))</f>
        <v/>
      </c>
      <c r="AK303">
        <f>IF($S303="","",IFERROR(INDEX(อัตราค่าขนส่ง!$P$5:$P$54,MATCH($S303,อัตราค่าขนส่ง!$O$5:$O$54,0)),INDEX(รายการมาตรฐาน!$G$2:$G$3,1)))</f>
        <v/>
      </c>
      <c r="AL303">
        <f>IF($S303="","",IFERROR(MATCH($AK303,รายการมาตรฐาน!$G$2:$G$3,0),1))</f>
        <v/>
      </c>
      <c r="AM303">
        <f>IF($V303="","",INDEX($AK$5:$AK$404,$V303))</f>
        <v/>
      </c>
      <c r="AN303">
        <f>IF($V303="","",INDEX($AL$5:$AL$404,$V303))</f>
        <v/>
      </c>
      <c r="AO303">
        <f>IF(OR($V303="",$AI$2&lt;=1),0,IF($V304="",1,IF($AN304&lt;&gt;$AN303,1,0)))</f>
        <v/>
      </c>
      <c r="AP303">
        <f>IF($V303="",0,IF($AN303&lt;&gt;$AN302,1,0))</f>
        <v/>
      </c>
      <c r="AQ303">
        <f>IF(OR($AD303="",$AD303="Z"),"",INDEX($AN$5:$AN$404,$AC303))</f>
        <v/>
      </c>
      <c r="AR303">
        <f>IF($Y303="",0,COUNTIF(บันทึกรายเที่ยว!$V$6:$V$6005,$Y303))</f>
        <v/>
      </c>
      <c r="AS303">
        <f>IF($Y303="",0,ROUND(SUMIF(บันทึกรายเที่ยว!$V$6:$V$6005,$Y303,บันทึกรายเที่ยว!$M$6:$M$6005),2))</f>
        <v/>
      </c>
      <c r="AT303">
        <f>IF($Y303="",0,IFERROR(INDEX(อัตราค่าขนส่ง!$G$5:$G$204,MATCH($Y303,อัตราค่าขนส่ง!$M$5:$M$204,0)),0))</f>
        <v/>
      </c>
      <c r="AU303">
        <f>ROUND($AS303*$BD303,2)</f>
        <v/>
      </c>
      <c r="AV303">
        <f>ROUND($AU303*$BF$2/100,2)</f>
        <v/>
      </c>
      <c r="AW303">
        <f>IF($Y303="","",IFERROR(INDEX(อัตราค่าขนส่ง!$F$5:$F$204,MATCH($Y303,อัตราค่าขนส่ง!$M$5:$M$204,0)),""))</f>
        <v/>
      </c>
      <c r="AX303">
        <f>IF($W303="","",INDEX(บันทึกรายเที่ยว!$D$6:$D$6005,$W303))</f>
        <v/>
      </c>
      <c r="AY303">
        <f>IF($W303="","",INDEX(บันทึกรายเที่ยว!$R$6:$R$6005,$W303))</f>
        <v/>
      </c>
      <c r="AZ303">
        <f>IF(AND($AD303="T",$AQ303=1),N($AZ302)+1,N($AZ302))</f>
        <v/>
      </c>
      <c r="BA303">
        <f>IF($W303="","",INDEX(บันทึกรายเที่ยว!$E$6:$E$6005,$W303))</f>
        <v/>
      </c>
      <c r="BC303">
        <f>IF($Y303="",0,IFERROR(INDEX(อัตราค่าขนส่ง!$K$5:$K$204,MATCH($Y303,อัตราค่าขนส่ง!$M$5:$M$204,0)),0))</f>
        <v/>
      </c>
      <c r="BD303">
        <f>IF($Y303="",0,IFERROR(INDEX(อัตราค่าขนส่ง!$L$5:$L$204,MATCH($Y303,อัตราค่าขนส่ง!$M$5:$M$204,0)),0))</f>
        <v/>
      </c>
    </row>
    <row r="304" ht="21" customHeight="1" s="66">
      <c r="A304" s="69">
        <f>IF($AD304="","",IF($AD304="Z","รวมจ่ายทั้งสิ้น",IF($AD304="H",INDEX($X$5:$X$404,$AC304),IF($AD304="T","รวม",IF($AD304="B",IFERROR(INDEX(อัตราค่าขนส่ง!$S$5:$S$14,MATCH(INDEX($AM$5:$AM$404,$AC304),อัตราค่าขนส่ง!$R$5:$R$14,0)),"รวมกลุ่ม "&amp;INDEX($AM$5:$AM$404,$AC304)),INDEX($AY$5:$AY$404,$AC304))))))</f>
        <v/>
      </c>
      <c r="B304" s="31">
        <f>IF($AD304&lt;&gt;"D","",INDEX($AW$5:$AW$404,$AC304))</f>
        <v/>
      </c>
      <c r="C304" s="68">
        <f>IF($AD304&lt;&gt;"D","",INDEX($AX$5:$AX$404,$AC304))</f>
        <v/>
      </c>
      <c r="D304" s="70">
        <f>IF($AD304&lt;&gt;"D","",INDEX($BA$5:$BA$404,$AC304))</f>
        <v/>
      </c>
      <c r="E304" s="31">
        <f>IF($AD304="Z",SUM($AR$5:$AR$404),IF($AD304="D",INDEX($AR$5:$AR$404,$AC304),IF($AD304="T",SUMIF($X$5:$X$404,$AF304,$AR$5:$AR$404),IF($AD304="B",SUMIF($AN$5:$AN$404,$AQ304,$AR$5:$AR$404),""))))</f>
        <v/>
      </c>
      <c r="F304" s="32">
        <f>IF($AD304="Z",ROUND(SUM($AS$5:$AS$404),2),IF($AD304="D",INDEX($AS$5:$AS$404,$AC304),IF($AD304="T",ROUND(SUMIF($X$5:$X$404,$AF304,$AS$5:$AS$404),2),IF($AD304="B",ROUND(SUMIF($AN$5:$AN$404,$AQ304,$AS$5:$AS$404),2),""))))</f>
        <v/>
      </c>
      <c r="G304" s="32">
        <f>IF($AD304&lt;&gt;"D","",INDEX($AT$5:$AT$404,$AC304))</f>
        <v/>
      </c>
      <c r="H304" s="32">
        <f>IF($AD304&lt;&gt;"D","",INDEX($BC$5:$BC$404,$AC304))</f>
        <v/>
      </c>
      <c r="I304" s="32">
        <f>IF($AD304&lt;&gt;"D","",INDEX($BD$5:$BD$404,$AC304))</f>
        <v/>
      </c>
      <c r="J304" s="46">
        <f>IF($AD304&lt;&gt;"D","",IF(N($B304)=0,"",ROUND($I304/$B304,4)))</f>
        <v/>
      </c>
      <c r="K304" s="32">
        <f>IF($AD304="Z",ROUND(SUM($AU$5:$AU$404),2),IF($AD304="D",INDEX($AU$5:$AU$404,$AC304),IF($AD304="T",ROUND(SUMIF($X$5:$X$404,$AF304,$AU$5:$AU$404),2),IF($AD304="B",ROUND(SUMIF($AN$5:$AN$404,$AQ304,$AU$5:$AU$404),2),""))))</f>
        <v/>
      </c>
      <c r="L304" s="32">
        <f>IF($AD304="Z",ROUND(SUM($AV$5:$AV$404),2),IF($AD304="D",INDEX($AV$5:$AV$404,$AC304),IF($AD304="T",ROUND(SUMIF($X$5:$X$404,$AF304,$AV$5:$AV$404),2),IF($AD304="B",ROUND(SUMIF($AN$5:$AN$404,$AQ304,$AV$5:$AV$404),2),""))))</f>
        <v/>
      </c>
      <c r="M304" s="32">
        <f>IF($AD304="Z",ROUND(SUM($AJ$5:$AJ$704),2),IF($AD304="B",ROUND(SUMIF($AQ$5:$AQ$704,$AQ304,$AJ$5:$AJ$704),2),IF($AD304&lt;&gt;"T","",$AJ304)))</f>
        <v/>
      </c>
      <c r="N304" s="32">
        <f>IF(OR($AD304="D",$AD304="T",$AD304="B",$AD304="Z"),ROUND(N($K304)-N($L304)-N($M304),2),"")</f>
        <v/>
      </c>
      <c r="O304" s="32">
        <f>IF(OR($AD304="D",$AD304="T",$AD304="B",$AD304="Z"),IF(N($E304)=0,"",ROUND($F304/$E304,2)),"")</f>
        <v/>
      </c>
      <c r="Q304">
        <f>IFERROR(MATCH(300,บันทึกรายเที่ยว!$Z$6:$Z$6005,0),"")</f>
        <v/>
      </c>
      <c r="R304">
        <f>IF($Q304="","",INDEX(บันทึกรายเที่ยว!$V$6:$V$6005,$Q304))</f>
        <v/>
      </c>
      <c r="S304">
        <f>IF($Q304="","",INDEX(บันทึกรายเที่ยว!$F$6:$F$6005,$Q304))</f>
        <v/>
      </c>
      <c r="T304">
        <f>IF($Q304="","",MATCH($S304,บันทึกรายเที่ยว!$F$6:$F$6005,0))</f>
        <v/>
      </c>
      <c r="U304">
        <f>IF($Q304="","",$AL304*10000000+$T304*1000+300)</f>
        <v/>
      </c>
      <c r="V304">
        <f>IFERROR(MATCH(SMALL($U$5:$U$404,300),$U$5:$U$404,0),"")</f>
        <v/>
      </c>
      <c r="W304">
        <f>IF($V304="","",INDEX($Q$5:$Q$404,$V304))</f>
        <v/>
      </c>
      <c r="X304">
        <f>IF($V304="","",INDEX($S$5:$S$404,$V304))</f>
        <v/>
      </c>
      <c r="Y304">
        <f>IF($V304="","",INDEX($R$5:$R$404,$V304))</f>
        <v/>
      </c>
      <c r="Z304">
        <f>IF($V304="",0,IF($X304&lt;&gt;$X303,1,0))</f>
        <v/>
      </c>
      <c r="AA304">
        <f>IF($V304="",0,IF($V305="",1,IF($X305&lt;&gt;$X304,1,0)))</f>
        <v/>
      </c>
      <c r="AB304">
        <f>IF($V304="",99999+300,$AB303+1+$Z303+$AA303+$AO303)</f>
        <v/>
      </c>
      <c r="AC304">
        <f>IFERROR(MATCH(300,$AB$5:$AB$404,1),"")</f>
        <v/>
      </c>
      <c r="AD304">
        <f>IF(300=$AI$1+1,"Z",IF($AC304="","",IF(INDEX($V$5:$V$404,$AC304)="","",IF(300&gt;INDEX($AB$5:$AB$404,$AC304)+INDEX($Z$5:$Z$404,$AC304)+INDEX($AA$5:$AA$404,$AC304)+INDEX($AO$5:$AO$404,$AC304),"",IF(300=INDEX($AB$5:$AB$404,$AC304)+INDEX($Z$5:$Z$404,$AC304),"D",IF(AND(INDEX($Z$5:$Z$404,$AC304)=1,300=INDEX($AB$5:$AB$404,$AC304)),"H",IF(AND(INDEX($AO$5:$AO$404,$AC304)=1,300=INDEX($AB$5:$AB$404,$AC304)+INDEX($Z$5:$Z$404,$AC304)+INDEX($AA$5:$AA$404,$AC304)+INDEX($AO$5:$AO$404,$AC304)),"B","T")))))))</f>
        <v/>
      </c>
      <c r="AF304">
        <f>IF(OR($AD304="",$AD304="Z",$AD304="B"),"",INDEX($X$5:$X$404,$AC304))</f>
        <v/>
      </c>
      <c r="AJ304">
        <f>IF($AD304&lt;&gt;"T",0,ROUND(SUMIF(oil!$B$4:$B$63,$AF304,oil!$AE$4:$AE$63),2))</f>
        <v/>
      </c>
      <c r="AK304">
        <f>IF($S304="","",IFERROR(INDEX(อัตราค่าขนส่ง!$P$5:$P$54,MATCH($S304,อัตราค่าขนส่ง!$O$5:$O$54,0)),INDEX(รายการมาตรฐาน!$G$2:$G$3,1)))</f>
        <v/>
      </c>
      <c r="AL304">
        <f>IF($S304="","",IFERROR(MATCH($AK304,รายการมาตรฐาน!$G$2:$G$3,0),1))</f>
        <v/>
      </c>
      <c r="AM304">
        <f>IF($V304="","",INDEX($AK$5:$AK$404,$V304))</f>
        <v/>
      </c>
      <c r="AN304">
        <f>IF($V304="","",INDEX($AL$5:$AL$404,$V304))</f>
        <v/>
      </c>
      <c r="AO304">
        <f>IF(OR($V304="",$AI$2&lt;=1),0,IF($V305="",1,IF($AN305&lt;&gt;$AN304,1,0)))</f>
        <v/>
      </c>
      <c r="AP304">
        <f>IF($V304="",0,IF($AN304&lt;&gt;$AN303,1,0))</f>
        <v/>
      </c>
      <c r="AQ304">
        <f>IF(OR($AD304="",$AD304="Z"),"",INDEX($AN$5:$AN$404,$AC304))</f>
        <v/>
      </c>
      <c r="AR304">
        <f>IF($Y304="",0,COUNTIF(บันทึกรายเที่ยว!$V$6:$V$6005,$Y304))</f>
        <v/>
      </c>
      <c r="AS304">
        <f>IF($Y304="",0,ROUND(SUMIF(บันทึกรายเที่ยว!$V$6:$V$6005,$Y304,บันทึกรายเที่ยว!$M$6:$M$6005),2))</f>
        <v/>
      </c>
      <c r="AT304">
        <f>IF($Y304="",0,IFERROR(INDEX(อัตราค่าขนส่ง!$G$5:$G$204,MATCH($Y304,อัตราค่าขนส่ง!$M$5:$M$204,0)),0))</f>
        <v/>
      </c>
      <c r="AU304">
        <f>ROUND($AS304*$BD304,2)</f>
        <v/>
      </c>
      <c r="AV304">
        <f>ROUND($AU304*$BF$2/100,2)</f>
        <v/>
      </c>
      <c r="AW304">
        <f>IF($Y304="","",IFERROR(INDEX(อัตราค่าขนส่ง!$F$5:$F$204,MATCH($Y304,อัตราค่าขนส่ง!$M$5:$M$204,0)),""))</f>
        <v/>
      </c>
      <c r="AX304">
        <f>IF($W304="","",INDEX(บันทึกรายเที่ยว!$D$6:$D$6005,$W304))</f>
        <v/>
      </c>
      <c r="AY304">
        <f>IF($W304="","",INDEX(บันทึกรายเที่ยว!$R$6:$R$6005,$W304))</f>
        <v/>
      </c>
      <c r="AZ304">
        <f>IF(AND($AD304="T",$AQ304=1),N($AZ303)+1,N($AZ303))</f>
        <v/>
      </c>
      <c r="BA304">
        <f>IF($W304="","",INDEX(บันทึกรายเที่ยว!$E$6:$E$6005,$W304))</f>
        <v/>
      </c>
      <c r="BC304">
        <f>IF($Y304="",0,IFERROR(INDEX(อัตราค่าขนส่ง!$K$5:$K$204,MATCH($Y304,อัตราค่าขนส่ง!$M$5:$M$204,0)),0))</f>
        <v/>
      </c>
      <c r="BD304">
        <f>IF($Y304="",0,IFERROR(INDEX(อัตราค่าขนส่ง!$L$5:$L$204,MATCH($Y304,อัตราค่าขนส่ง!$M$5:$M$204,0)),0))</f>
        <v/>
      </c>
    </row>
    <row r="305" ht="21" customHeight="1" s="66">
      <c r="A305" s="69">
        <f>IF($AD305="","",IF($AD305="Z","รวมจ่ายทั้งสิ้น",IF($AD305="H",INDEX($X$5:$X$404,$AC305),IF($AD305="T","รวม",IF($AD305="B",IFERROR(INDEX(อัตราค่าขนส่ง!$S$5:$S$14,MATCH(INDEX($AM$5:$AM$404,$AC305),อัตราค่าขนส่ง!$R$5:$R$14,0)),"รวมกลุ่ม "&amp;INDEX($AM$5:$AM$404,$AC305)),INDEX($AY$5:$AY$404,$AC305))))))</f>
        <v/>
      </c>
      <c r="B305" s="31">
        <f>IF($AD305&lt;&gt;"D","",INDEX($AW$5:$AW$404,$AC305))</f>
        <v/>
      </c>
      <c r="C305" s="68">
        <f>IF($AD305&lt;&gt;"D","",INDEX($AX$5:$AX$404,$AC305))</f>
        <v/>
      </c>
      <c r="D305" s="70">
        <f>IF($AD305&lt;&gt;"D","",INDEX($BA$5:$BA$404,$AC305))</f>
        <v/>
      </c>
      <c r="E305" s="31">
        <f>IF($AD305="Z",SUM($AR$5:$AR$404),IF($AD305="D",INDEX($AR$5:$AR$404,$AC305),IF($AD305="T",SUMIF($X$5:$X$404,$AF305,$AR$5:$AR$404),IF($AD305="B",SUMIF($AN$5:$AN$404,$AQ305,$AR$5:$AR$404),""))))</f>
        <v/>
      </c>
      <c r="F305" s="32">
        <f>IF($AD305="Z",ROUND(SUM($AS$5:$AS$404),2),IF($AD305="D",INDEX($AS$5:$AS$404,$AC305),IF($AD305="T",ROUND(SUMIF($X$5:$X$404,$AF305,$AS$5:$AS$404),2),IF($AD305="B",ROUND(SUMIF($AN$5:$AN$404,$AQ305,$AS$5:$AS$404),2),""))))</f>
        <v/>
      </c>
      <c r="G305" s="32">
        <f>IF($AD305&lt;&gt;"D","",INDEX($AT$5:$AT$404,$AC305))</f>
        <v/>
      </c>
      <c r="H305" s="32">
        <f>IF($AD305&lt;&gt;"D","",INDEX($BC$5:$BC$404,$AC305))</f>
        <v/>
      </c>
      <c r="I305" s="32">
        <f>IF($AD305&lt;&gt;"D","",INDEX($BD$5:$BD$404,$AC305))</f>
        <v/>
      </c>
      <c r="J305" s="46">
        <f>IF($AD305&lt;&gt;"D","",IF(N($B305)=0,"",ROUND($I305/$B305,4)))</f>
        <v/>
      </c>
      <c r="K305" s="32">
        <f>IF($AD305="Z",ROUND(SUM($AU$5:$AU$404),2),IF($AD305="D",INDEX($AU$5:$AU$404,$AC305),IF($AD305="T",ROUND(SUMIF($X$5:$X$404,$AF305,$AU$5:$AU$404),2),IF($AD305="B",ROUND(SUMIF($AN$5:$AN$404,$AQ305,$AU$5:$AU$404),2),""))))</f>
        <v/>
      </c>
      <c r="L305" s="32">
        <f>IF($AD305="Z",ROUND(SUM($AV$5:$AV$404),2),IF($AD305="D",INDEX($AV$5:$AV$404,$AC305),IF($AD305="T",ROUND(SUMIF($X$5:$X$404,$AF305,$AV$5:$AV$404),2),IF($AD305="B",ROUND(SUMIF($AN$5:$AN$404,$AQ305,$AV$5:$AV$404),2),""))))</f>
        <v/>
      </c>
      <c r="M305" s="32">
        <f>IF($AD305="Z",ROUND(SUM($AJ$5:$AJ$704),2),IF($AD305="B",ROUND(SUMIF($AQ$5:$AQ$704,$AQ305,$AJ$5:$AJ$704),2),IF($AD305&lt;&gt;"T","",$AJ305)))</f>
        <v/>
      </c>
      <c r="N305" s="32">
        <f>IF(OR($AD305="D",$AD305="T",$AD305="B",$AD305="Z"),ROUND(N($K305)-N($L305)-N($M305),2),"")</f>
        <v/>
      </c>
      <c r="O305" s="32">
        <f>IF(OR($AD305="D",$AD305="T",$AD305="B",$AD305="Z"),IF(N($E305)=0,"",ROUND($F305/$E305,2)),"")</f>
        <v/>
      </c>
      <c r="Q305">
        <f>IFERROR(MATCH(301,บันทึกรายเที่ยว!$Z$6:$Z$6005,0),"")</f>
        <v/>
      </c>
      <c r="R305">
        <f>IF($Q305="","",INDEX(บันทึกรายเที่ยว!$V$6:$V$6005,$Q305))</f>
        <v/>
      </c>
      <c r="S305">
        <f>IF($Q305="","",INDEX(บันทึกรายเที่ยว!$F$6:$F$6005,$Q305))</f>
        <v/>
      </c>
      <c r="T305">
        <f>IF($Q305="","",MATCH($S305,บันทึกรายเที่ยว!$F$6:$F$6005,0))</f>
        <v/>
      </c>
      <c r="U305">
        <f>IF($Q305="","",$AL305*10000000+$T305*1000+301)</f>
        <v/>
      </c>
      <c r="V305">
        <f>IFERROR(MATCH(SMALL($U$5:$U$404,301),$U$5:$U$404,0),"")</f>
        <v/>
      </c>
      <c r="W305">
        <f>IF($V305="","",INDEX($Q$5:$Q$404,$V305))</f>
        <v/>
      </c>
      <c r="X305">
        <f>IF($V305="","",INDEX($S$5:$S$404,$V305))</f>
        <v/>
      </c>
      <c r="Y305">
        <f>IF($V305="","",INDEX($R$5:$R$404,$V305))</f>
        <v/>
      </c>
      <c r="Z305">
        <f>IF($V305="",0,IF($X305&lt;&gt;$X304,1,0))</f>
        <v/>
      </c>
      <c r="AA305">
        <f>IF($V305="",0,IF($V306="",1,IF($X306&lt;&gt;$X305,1,0)))</f>
        <v/>
      </c>
      <c r="AB305">
        <f>IF($V305="",99999+301,$AB304+1+$Z304+$AA304+$AO304)</f>
        <v/>
      </c>
      <c r="AC305">
        <f>IFERROR(MATCH(301,$AB$5:$AB$404,1),"")</f>
        <v/>
      </c>
      <c r="AD305">
        <f>IF(301=$AI$1+1,"Z",IF($AC305="","",IF(INDEX($V$5:$V$404,$AC305)="","",IF(301&gt;INDEX($AB$5:$AB$404,$AC305)+INDEX($Z$5:$Z$404,$AC305)+INDEX($AA$5:$AA$404,$AC305)+INDEX($AO$5:$AO$404,$AC305),"",IF(301=INDEX($AB$5:$AB$404,$AC305)+INDEX($Z$5:$Z$404,$AC305),"D",IF(AND(INDEX($Z$5:$Z$404,$AC305)=1,301=INDEX($AB$5:$AB$404,$AC305)),"H",IF(AND(INDEX($AO$5:$AO$404,$AC305)=1,301=INDEX($AB$5:$AB$404,$AC305)+INDEX($Z$5:$Z$404,$AC305)+INDEX($AA$5:$AA$404,$AC305)+INDEX($AO$5:$AO$404,$AC305)),"B","T")))))))</f>
        <v/>
      </c>
      <c r="AF305">
        <f>IF(OR($AD305="",$AD305="Z",$AD305="B"),"",INDEX($X$5:$X$404,$AC305))</f>
        <v/>
      </c>
      <c r="AJ305">
        <f>IF($AD305&lt;&gt;"T",0,ROUND(SUMIF(oil!$B$4:$B$63,$AF305,oil!$AE$4:$AE$63),2))</f>
        <v/>
      </c>
      <c r="AK305">
        <f>IF($S305="","",IFERROR(INDEX(อัตราค่าขนส่ง!$P$5:$P$54,MATCH($S305,อัตราค่าขนส่ง!$O$5:$O$54,0)),INDEX(รายการมาตรฐาน!$G$2:$G$3,1)))</f>
        <v/>
      </c>
      <c r="AL305">
        <f>IF($S305="","",IFERROR(MATCH($AK305,รายการมาตรฐาน!$G$2:$G$3,0),1))</f>
        <v/>
      </c>
      <c r="AM305">
        <f>IF($V305="","",INDEX($AK$5:$AK$404,$V305))</f>
        <v/>
      </c>
      <c r="AN305">
        <f>IF($V305="","",INDEX($AL$5:$AL$404,$V305))</f>
        <v/>
      </c>
      <c r="AO305">
        <f>IF(OR($V305="",$AI$2&lt;=1),0,IF($V306="",1,IF($AN306&lt;&gt;$AN305,1,0)))</f>
        <v/>
      </c>
      <c r="AP305">
        <f>IF($V305="",0,IF($AN305&lt;&gt;$AN304,1,0))</f>
        <v/>
      </c>
      <c r="AQ305">
        <f>IF(OR($AD305="",$AD305="Z"),"",INDEX($AN$5:$AN$404,$AC305))</f>
        <v/>
      </c>
      <c r="AR305">
        <f>IF($Y305="",0,COUNTIF(บันทึกรายเที่ยว!$V$6:$V$6005,$Y305))</f>
        <v/>
      </c>
      <c r="AS305">
        <f>IF($Y305="",0,ROUND(SUMIF(บันทึกรายเที่ยว!$V$6:$V$6005,$Y305,บันทึกรายเที่ยว!$M$6:$M$6005),2))</f>
        <v/>
      </c>
      <c r="AT305">
        <f>IF($Y305="",0,IFERROR(INDEX(อัตราค่าขนส่ง!$G$5:$G$204,MATCH($Y305,อัตราค่าขนส่ง!$M$5:$M$204,0)),0))</f>
        <v/>
      </c>
      <c r="AU305">
        <f>ROUND($AS305*$BD305,2)</f>
        <v/>
      </c>
      <c r="AV305">
        <f>ROUND($AU305*$BF$2/100,2)</f>
        <v/>
      </c>
      <c r="AW305">
        <f>IF($Y305="","",IFERROR(INDEX(อัตราค่าขนส่ง!$F$5:$F$204,MATCH($Y305,อัตราค่าขนส่ง!$M$5:$M$204,0)),""))</f>
        <v/>
      </c>
      <c r="AX305">
        <f>IF($W305="","",INDEX(บันทึกรายเที่ยว!$D$6:$D$6005,$W305))</f>
        <v/>
      </c>
      <c r="AY305">
        <f>IF($W305="","",INDEX(บันทึกรายเที่ยว!$R$6:$R$6005,$W305))</f>
        <v/>
      </c>
      <c r="AZ305">
        <f>IF(AND($AD305="T",$AQ305=1),N($AZ304)+1,N($AZ304))</f>
        <v/>
      </c>
      <c r="BA305">
        <f>IF($W305="","",INDEX(บันทึกรายเที่ยว!$E$6:$E$6005,$W305))</f>
        <v/>
      </c>
      <c r="BC305">
        <f>IF($Y305="",0,IFERROR(INDEX(อัตราค่าขนส่ง!$K$5:$K$204,MATCH($Y305,อัตราค่าขนส่ง!$M$5:$M$204,0)),0))</f>
        <v/>
      </c>
      <c r="BD305">
        <f>IF($Y305="",0,IFERROR(INDEX(อัตราค่าขนส่ง!$L$5:$L$204,MATCH($Y305,อัตราค่าขนส่ง!$M$5:$M$204,0)),0))</f>
        <v/>
      </c>
    </row>
    <row r="306" ht="21" customHeight="1" s="66">
      <c r="A306" s="69">
        <f>IF($AD306="","",IF($AD306="Z","รวมจ่ายทั้งสิ้น",IF($AD306="H",INDEX($X$5:$X$404,$AC306),IF($AD306="T","รวม",IF($AD306="B",IFERROR(INDEX(อัตราค่าขนส่ง!$S$5:$S$14,MATCH(INDEX($AM$5:$AM$404,$AC306),อัตราค่าขนส่ง!$R$5:$R$14,0)),"รวมกลุ่ม "&amp;INDEX($AM$5:$AM$404,$AC306)),INDEX($AY$5:$AY$404,$AC306))))))</f>
        <v/>
      </c>
      <c r="B306" s="31">
        <f>IF($AD306&lt;&gt;"D","",INDEX($AW$5:$AW$404,$AC306))</f>
        <v/>
      </c>
      <c r="C306" s="68">
        <f>IF($AD306&lt;&gt;"D","",INDEX($AX$5:$AX$404,$AC306))</f>
        <v/>
      </c>
      <c r="D306" s="70">
        <f>IF($AD306&lt;&gt;"D","",INDEX($BA$5:$BA$404,$AC306))</f>
        <v/>
      </c>
      <c r="E306" s="31">
        <f>IF($AD306="Z",SUM($AR$5:$AR$404),IF($AD306="D",INDEX($AR$5:$AR$404,$AC306),IF($AD306="T",SUMIF($X$5:$X$404,$AF306,$AR$5:$AR$404),IF($AD306="B",SUMIF($AN$5:$AN$404,$AQ306,$AR$5:$AR$404),""))))</f>
        <v/>
      </c>
      <c r="F306" s="32">
        <f>IF($AD306="Z",ROUND(SUM($AS$5:$AS$404),2),IF($AD306="D",INDEX($AS$5:$AS$404,$AC306),IF($AD306="T",ROUND(SUMIF($X$5:$X$404,$AF306,$AS$5:$AS$404),2),IF($AD306="B",ROUND(SUMIF($AN$5:$AN$404,$AQ306,$AS$5:$AS$404),2),""))))</f>
        <v/>
      </c>
      <c r="G306" s="32">
        <f>IF($AD306&lt;&gt;"D","",INDEX($AT$5:$AT$404,$AC306))</f>
        <v/>
      </c>
      <c r="H306" s="32">
        <f>IF($AD306&lt;&gt;"D","",INDEX($BC$5:$BC$404,$AC306))</f>
        <v/>
      </c>
      <c r="I306" s="32">
        <f>IF($AD306&lt;&gt;"D","",INDEX($BD$5:$BD$404,$AC306))</f>
        <v/>
      </c>
      <c r="J306" s="46">
        <f>IF($AD306&lt;&gt;"D","",IF(N($B306)=0,"",ROUND($I306/$B306,4)))</f>
        <v/>
      </c>
      <c r="K306" s="32">
        <f>IF($AD306="Z",ROUND(SUM($AU$5:$AU$404),2),IF($AD306="D",INDEX($AU$5:$AU$404,$AC306),IF($AD306="T",ROUND(SUMIF($X$5:$X$404,$AF306,$AU$5:$AU$404),2),IF($AD306="B",ROUND(SUMIF($AN$5:$AN$404,$AQ306,$AU$5:$AU$404),2),""))))</f>
        <v/>
      </c>
      <c r="L306" s="32">
        <f>IF($AD306="Z",ROUND(SUM($AV$5:$AV$404),2),IF($AD306="D",INDEX($AV$5:$AV$404,$AC306),IF($AD306="T",ROUND(SUMIF($X$5:$X$404,$AF306,$AV$5:$AV$404),2),IF($AD306="B",ROUND(SUMIF($AN$5:$AN$404,$AQ306,$AV$5:$AV$404),2),""))))</f>
        <v/>
      </c>
      <c r="M306" s="32">
        <f>IF($AD306="Z",ROUND(SUM($AJ$5:$AJ$704),2),IF($AD306="B",ROUND(SUMIF($AQ$5:$AQ$704,$AQ306,$AJ$5:$AJ$704),2),IF($AD306&lt;&gt;"T","",$AJ306)))</f>
        <v/>
      </c>
      <c r="N306" s="32">
        <f>IF(OR($AD306="D",$AD306="T",$AD306="B",$AD306="Z"),ROUND(N($K306)-N($L306)-N($M306),2),"")</f>
        <v/>
      </c>
      <c r="O306" s="32">
        <f>IF(OR($AD306="D",$AD306="T",$AD306="B",$AD306="Z"),IF(N($E306)=0,"",ROUND($F306/$E306,2)),"")</f>
        <v/>
      </c>
      <c r="Q306">
        <f>IFERROR(MATCH(302,บันทึกรายเที่ยว!$Z$6:$Z$6005,0),"")</f>
        <v/>
      </c>
      <c r="R306">
        <f>IF($Q306="","",INDEX(บันทึกรายเที่ยว!$V$6:$V$6005,$Q306))</f>
        <v/>
      </c>
      <c r="S306">
        <f>IF($Q306="","",INDEX(บันทึกรายเที่ยว!$F$6:$F$6005,$Q306))</f>
        <v/>
      </c>
      <c r="T306">
        <f>IF($Q306="","",MATCH($S306,บันทึกรายเที่ยว!$F$6:$F$6005,0))</f>
        <v/>
      </c>
      <c r="U306">
        <f>IF($Q306="","",$AL306*10000000+$T306*1000+302)</f>
        <v/>
      </c>
      <c r="V306">
        <f>IFERROR(MATCH(SMALL($U$5:$U$404,302),$U$5:$U$404,0),"")</f>
        <v/>
      </c>
      <c r="W306">
        <f>IF($V306="","",INDEX($Q$5:$Q$404,$V306))</f>
        <v/>
      </c>
      <c r="X306">
        <f>IF($V306="","",INDEX($S$5:$S$404,$V306))</f>
        <v/>
      </c>
      <c r="Y306">
        <f>IF($V306="","",INDEX($R$5:$R$404,$V306))</f>
        <v/>
      </c>
      <c r="Z306">
        <f>IF($V306="",0,IF($X306&lt;&gt;$X305,1,0))</f>
        <v/>
      </c>
      <c r="AA306">
        <f>IF($V306="",0,IF($V307="",1,IF($X307&lt;&gt;$X306,1,0)))</f>
        <v/>
      </c>
      <c r="AB306">
        <f>IF($V306="",99999+302,$AB305+1+$Z305+$AA305+$AO305)</f>
        <v/>
      </c>
      <c r="AC306">
        <f>IFERROR(MATCH(302,$AB$5:$AB$404,1),"")</f>
        <v/>
      </c>
      <c r="AD306">
        <f>IF(302=$AI$1+1,"Z",IF($AC306="","",IF(INDEX($V$5:$V$404,$AC306)="","",IF(302&gt;INDEX($AB$5:$AB$404,$AC306)+INDEX($Z$5:$Z$404,$AC306)+INDEX($AA$5:$AA$404,$AC306)+INDEX($AO$5:$AO$404,$AC306),"",IF(302=INDEX($AB$5:$AB$404,$AC306)+INDEX($Z$5:$Z$404,$AC306),"D",IF(AND(INDEX($Z$5:$Z$404,$AC306)=1,302=INDEX($AB$5:$AB$404,$AC306)),"H",IF(AND(INDEX($AO$5:$AO$404,$AC306)=1,302=INDEX($AB$5:$AB$404,$AC306)+INDEX($Z$5:$Z$404,$AC306)+INDEX($AA$5:$AA$404,$AC306)+INDEX($AO$5:$AO$404,$AC306)),"B","T")))))))</f>
        <v/>
      </c>
      <c r="AF306">
        <f>IF(OR($AD306="",$AD306="Z",$AD306="B"),"",INDEX($X$5:$X$404,$AC306))</f>
        <v/>
      </c>
      <c r="AJ306">
        <f>IF($AD306&lt;&gt;"T",0,ROUND(SUMIF(oil!$B$4:$B$63,$AF306,oil!$AE$4:$AE$63),2))</f>
        <v/>
      </c>
      <c r="AK306">
        <f>IF($S306="","",IFERROR(INDEX(อัตราค่าขนส่ง!$P$5:$P$54,MATCH($S306,อัตราค่าขนส่ง!$O$5:$O$54,0)),INDEX(รายการมาตรฐาน!$G$2:$G$3,1)))</f>
        <v/>
      </c>
      <c r="AL306">
        <f>IF($S306="","",IFERROR(MATCH($AK306,รายการมาตรฐาน!$G$2:$G$3,0),1))</f>
        <v/>
      </c>
      <c r="AM306">
        <f>IF($V306="","",INDEX($AK$5:$AK$404,$V306))</f>
        <v/>
      </c>
      <c r="AN306">
        <f>IF($V306="","",INDEX($AL$5:$AL$404,$V306))</f>
        <v/>
      </c>
      <c r="AO306">
        <f>IF(OR($V306="",$AI$2&lt;=1),0,IF($V307="",1,IF($AN307&lt;&gt;$AN306,1,0)))</f>
        <v/>
      </c>
      <c r="AP306">
        <f>IF($V306="",0,IF($AN306&lt;&gt;$AN305,1,0))</f>
        <v/>
      </c>
      <c r="AQ306">
        <f>IF(OR($AD306="",$AD306="Z"),"",INDEX($AN$5:$AN$404,$AC306))</f>
        <v/>
      </c>
      <c r="AR306">
        <f>IF($Y306="",0,COUNTIF(บันทึกรายเที่ยว!$V$6:$V$6005,$Y306))</f>
        <v/>
      </c>
      <c r="AS306">
        <f>IF($Y306="",0,ROUND(SUMIF(บันทึกรายเที่ยว!$V$6:$V$6005,$Y306,บันทึกรายเที่ยว!$M$6:$M$6005),2))</f>
        <v/>
      </c>
      <c r="AT306">
        <f>IF($Y306="",0,IFERROR(INDEX(อัตราค่าขนส่ง!$G$5:$G$204,MATCH($Y306,อัตราค่าขนส่ง!$M$5:$M$204,0)),0))</f>
        <v/>
      </c>
      <c r="AU306">
        <f>ROUND($AS306*$BD306,2)</f>
        <v/>
      </c>
      <c r="AV306">
        <f>ROUND($AU306*$BF$2/100,2)</f>
        <v/>
      </c>
      <c r="AW306">
        <f>IF($Y306="","",IFERROR(INDEX(อัตราค่าขนส่ง!$F$5:$F$204,MATCH($Y306,อัตราค่าขนส่ง!$M$5:$M$204,0)),""))</f>
        <v/>
      </c>
      <c r="AX306">
        <f>IF($W306="","",INDEX(บันทึกรายเที่ยว!$D$6:$D$6005,$W306))</f>
        <v/>
      </c>
      <c r="AY306">
        <f>IF($W306="","",INDEX(บันทึกรายเที่ยว!$R$6:$R$6005,$W306))</f>
        <v/>
      </c>
      <c r="AZ306">
        <f>IF(AND($AD306="T",$AQ306=1),N($AZ305)+1,N($AZ305))</f>
        <v/>
      </c>
      <c r="BA306">
        <f>IF($W306="","",INDEX(บันทึกรายเที่ยว!$E$6:$E$6005,$W306))</f>
        <v/>
      </c>
      <c r="BC306">
        <f>IF($Y306="",0,IFERROR(INDEX(อัตราค่าขนส่ง!$K$5:$K$204,MATCH($Y306,อัตราค่าขนส่ง!$M$5:$M$204,0)),0))</f>
        <v/>
      </c>
      <c r="BD306">
        <f>IF($Y306="",0,IFERROR(INDEX(อัตราค่าขนส่ง!$L$5:$L$204,MATCH($Y306,อัตราค่าขนส่ง!$M$5:$M$204,0)),0))</f>
        <v/>
      </c>
    </row>
    <row r="307" ht="21" customHeight="1" s="66">
      <c r="A307" s="69">
        <f>IF($AD307="","",IF($AD307="Z","รวมจ่ายทั้งสิ้น",IF($AD307="H",INDEX($X$5:$X$404,$AC307),IF($AD307="T","รวม",IF($AD307="B",IFERROR(INDEX(อัตราค่าขนส่ง!$S$5:$S$14,MATCH(INDEX($AM$5:$AM$404,$AC307),อัตราค่าขนส่ง!$R$5:$R$14,0)),"รวมกลุ่ม "&amp;INDEX($AM$5:$AM$404,$AC307)),INDEX($AY$5:$AY$404,$AC307))))))</f>
        <v/>
      </c>
      <c r="B307" s="31">
        <f>IF($AD307&lt;&gt;"D","",INDEX($AW$5:$AW$404,$AC307))</f>
        <v/>
      </c>
      <c r="C307" s="68">
        <f>IF($AD307&lt;&gt;"D","",INDEX($AX$5:$AX$404,$AC307))</f>
        <v/>
      </c>
      <c r="D307" s="70">
        <f>IF($AD307&lt;&gt;"D","",INDEX($BA$5:$BA$404,$AC307))</f>
        <v/>
      </c>
      <c r="E307" s="31">
        <f>IF($AD307="Z",SUM($AR$5:$AR$404),IF($AD307="D",INDEX($AR$5:$AR$404,$AC307),IF($AD307="T",SUMIF($X$5:$X$404,$AF307,$AR$5:$AR$404),IF($AD307="B",SUMIF($AN$5:$AN$404,$AQ307,$AR$5:$AR$404),""))))</f>
        <v/>
      </c>
      <c r="F307" s="32">
        <f>IF($AD307="Z",ROUND(SUM($AS$5:$AS$404),2),IF($AD307="D",INDEX($AS$5:$AS$404,$AC307),IF($AD307="T",ROUND(SUMIF($X$5:$X$404,$AF307,$AS$5:$AS$404),2),IF($AD307="B",ROUND(SUMIF($AN$5:$AN$404,$AQ307,$AS$5:$AS$404),2),""))))</f>
        <v/>
      </c>
      <c r="G307" s="32">
        <f>IF($AD307&lt;&gt;"D","",INDEX($AT$5:$AT$404,$AC307))</f>
        <v/>
      </c>
      <c r="H307" s="32">
        <f>IF($AD307&lt;&gt;"D","",INDEX($BC$5:$BC$404,$AC307))</f>
        <v/>
      </c>
      <c r="I307" s="32">
        <f>IF($AD307&lt;&gt;"D","",INDEX($BD$5:$BD$404,$AC307))</f>
        <v/>
      </c>
      <c r="J307" s="46">
        <f>IF($AD307&lt;&gt;"D","",IF(N($B307)=0,"",ROUND($I307/$B307,4)))</f>
        <v/>
      </c>
      <c r="K307" s="32">
        <f>IF($AD307="Z",ROUND(SUM($AU$5:$AU$404),2),IF($AD307="D",INDEX($AU$5:$AU$404,$AC307),IF($AD307="T",ROUND(SUMIF($X$5:$X$404,$AF307,$AU$5:$AU$404),2),IF($AD307="B",ROUND(SUMIF($AN$5:$AN$404,$AQ307,$AU$5:$AU$404),2),""))))</f>
        <v/>
      </c>
      <c r="L307" s="32">
        <f>IF($AD307="Z",ROUND(SUM($AV$5:$AV$404),2),IF($AD307="D",INDEX($AV$5:$AV$404,$AC307),IF($AD307="T",ROUND(SUMIF($X$5:$X$404,$AF307,$AV$5:$AV$404),2),IF($AD307="B",ROUND(SUMIF($AN$5:$AN$404,$AQ307,$AV$5:$AV$404),2),""))))</f>
        <v/>
      </c>
      <c r="M307" s="32">
        <f>IF($AD307="Z",ROUND(SUM($AJ$5:$AJ$704),2),IF($AD307="B",ROUND(SUMIF($AQ$5:$AQ$704,$AQ307,$AJ$5:$AJ$704),2),IF($AD307&lt;&gt;"T","",$AJ307)))</f>
        <v/>
      </c>
      <c r="N307" s="32">
        <f>IF(OR($AD307="D",$AD307="T",$AD307="B",$AD307="Z"),ROUND(N($K307)-N($L307)-N($M307),2),"")</f>
        <v/>
      </c>
      <c r="O307" s="32">
        <f>IF(OR($AD307="D",$AD307="T",$AD307="B",$AD307="Z"),IF(N($E307)=0,"",ROUND($F307/$E307,2)),"")</f>
        <v/>
      </c>
      <c r="Q307">
        <f>IFERROR(MATCH(303,บันทึกรายเที่ยว!$Z$6:$Z$6005,0),"")</f>
        <v/>
      </c>
      <c r="R307">
        <f>IF($Q307="","",INDEX(บันทึกรายเที่ยว!$V$6:$V$6005,$Q307))</f>
        <v/>
      </c>
      <c r="S307">
        <f>IF($Q307="","",INDEX(บันทึกรายเที่ยว!$F$6:$F$6005,$Q307))</f>
        <v/>
      </c>
      <c r="T307">
        <f>IF($Q307="","",MATCH($S307,บันทึกรายเที่ยว!$F$6:$F$6005,0))</f>
        <v/>
      </c>
      <c r="U307">
        <f>IF($Q307="","",$AL307*10000000+$T307*1000+303)</f>
        <v/>
      </c>
      <c r="V307">
        <f>IFERROR(MATCH(SMALL($U$5:$U$404,303),$U$5:$U$404,0),"")</f>
        <v/>
      </c>
      <c r="W307">
        <f>IF($V307="","",INDEX($Q$5:$Q$404,$V307))</f>
        <v/>
      </c>
      <c r="X307">
        <f>IF($V307="","",INDEX($S$5:$S$404,$V307))</f>
        <v/>
      </c>
      <c r="Y307">
        <f>IF($V307="","",INDEX($R$5:$R$404,$V307))</f>
        <v/>
      </c>
      <c r="Z307">
        <f>IF($V307="",0,IF($X307&lt;&gt;$X306,1,0))</f>
        <v/>
      </c>
      <c r="AA307">
        <f>IF($V307="",0,IF($V308="",1,IF($X308&lt;&gt;$X307,1,0)))</f>
        <v/>
      </c>
      <c r="AB307">
        <f>IF($V307="",99999+303,$AB306+1+$Z306+$AA306+$AO306)</f>
        <v/>
      </c>
      <c r="AC307">
        <f>IFERROR(MATCH(303,$AB$5:$AB$404,1),"")</f>
        <v/>
      </c>
      <c r="AD307">
        <f>IF(303=$AI$1+1,"Z",IF($AC307="","",IF(INDEX($V$5:$V$404,$AC307)="","",IF(303&gt;INDEX($AB$5:$AB$404,$AC307)+INDEX($Z$5:$Z$404,$AC307)+INDEX($AA$5:$AA$404,$AC307)+INDEX($AO$5:$AO$404,$AC307),"",IF(303=INDEX($AB$5:$AB$404,$AC307)+INDEX($Z$5:$Z$404,$AC307),"D",IF(AND(INDEX($Z$5:$Z$404,$AC307)=1,303=INDEX($AB$5:$AB$404,$AC307)),"H",IF(AND(INDEX($AO$5:$AO$404,$AC307)=1,303=INDEX($AB$5:$AB$404,$AC307)+INDEX($Z$5:$Z$404,$AC307)+INDEX($AA$5:$AA$404,$AC307)+INDEX($AO$5:$AO$404,$AC307)),"B","T")))))))</f>
        <v/>
      </c>
      <c r="AF307">
        <f>IF(OR($AD307="",$AD307="Z",$AD307="B"),"",INDEX($X$5:$X$404,$AC307))</f>
        <v/>
      </c>
      <c r="AJ307">
        <f>IF($AD307&lt;&gt;"T",0,ROUND(SUMIF(oil!$B$4:$B$63,$AF307,oil!$AE$4:$AE$63),2))</f>
        <v/>
      </c>
      <c r="AK307">
        <f>IF($S307="","",IFERROR(INDEX(อัตราค่าขนส่ง!$P$5:$P$54,MATCH($S307,อัตราค่าขนส่ง!$O$5:$O$54,0)),INDEX(รายการมาตรฐาน!$G$2:$G$3,1)))</f>
        <v/>
      </c>
      <c r="AL307">
        <f>IF($S307="","",IFERROR(MATCH($AK307,รายการมาตรฐาน!$G$2:$G$3,0),1))</f>
        <v/>
      </c>
      <c r="AM307">
        <f>IF($V307="","",INDEX($AK$5:$AK$404,$V307))</f>
        <v/>
      </c>
      <c r="AN307">
        <f>IF($V307="","",INDEX($AL$5:$AL$404,$V307))</f>
        <v/>
      </c>
      <c r="AO307">
        <f>IF(OR($V307="",$AI$2&lt;=1),0,IF($V308="",1,IF($AN308&lt;&gt;$AN307,1,0)))</f>
        <v/>
      </c>
      <c r="AP307">
        <f>IF($V307="",0,IF($AN307&lt;&gt;$AN306,1,0))</f>
        <v/>
      </c>
      <c r="AQ307">
        <f>IF(OR($AD307="",$AD307="Z"),"",INDEX($AN$5:$AN$404,$AC307))</f>
        <v/>
      </c>
      <c r="AR307">
        <f>IF($Y307="",0,COUNTIF(บันทึกรายเที่ยว!$V$6:$V$6005,$Y307))</f>
        <v/>
      </c>
      <c r="AS307">
        <f>IF($Y307="",0,ROUND(SUMIF(บันทึกรายเที่ยว!$V$6:$V$6005,$Y307,บันทึกรายเที่ยว!$M$6:$M$6005),2))</f>
        <v/>
      </c>
      <c r="AT307">
        <f>IF($Y307="",0,IFERROR(INDEX(อัตราค่าขนส่ง!$G$5:$G$204,MATCH($Y307,อัตราค่าขนส่ง!$M$5:$M$204,0)),0))</f>
        <v/>
      </c>
      <c r="AU307">
        <f>ROUND($AS307*$BD307,2)</f>
        <v/>
      </c>
      <c r="AV307">
        <f>ROUND($AU307*$BF$2/100,2)</f>
        <v/>
      </c>
      <c r="AW307">
        <f>IF($Y307="","",IFERROR(INDEX(อัตราค่าขนส่ง!$F$5:$F$204,MATCH($Y307,อัตราค่าขนส่ง!$M$5:$M$204,0)),""))</f>
        <v/>
      </c>
      <c r="AX307">
        <f>IF($W307="","",INDEX(บันทึกรายเที่ยว!$D$6:$D$6005,$W307))</f>
        <v/>
      </c>
      <c r="AY307">
        <f>IF($W307="","",INDEX(บันทึกรายเที่ยว!$R$6:$R$6005,$W307))</f>
        <v/>
      </c>
      <c r="AZ307">
        <f>IF(AND($AD307="T",$AQ307=1),N($AZ306)+1,N($AZ306))</f>
        <v/>
      </c>
      <c r="BA307">
        <f>IF($W307="","",INDEX(บันทึกรายเที่ยว!$E$6:$E$6005,$W307))</f>
        <v/>
      </c>
      <c r="BC307">
        <f>IF($Y307="",0,IFERROR(INDEX(อัตราค่าขนส่ง!$K$5:$K$204,MATCH($Y307,อัตราค่าขนส่ง!$M$5:$M$204,0)),0))</f>
        <v/>
      </c>
      <c r="BD307">
        <f>IF($Y307="",0,IFERROR(INDEX(อัตราค่าขนส่ง!$L$5:$L$204,MATCH($Y307,อัตราค่าขนส่ง!$M$5:$M$204,0)),0))</f>
        <v/>
      </c>
    </row>
    <row r="308" ht="21" customHeight="1" s="66">
      <c r="A308" s="69">
        <f>IF($AD308="","",IF($AD308="Z","รวมจ่ายทั้งสิ้น",IF($AD308="H",INDEX($X$5:$X$404,$AC308),IF($AD308="T","รวม",IF($AD308="B",IFERROR(INDEX(อัตราค่าขนส่ง!$S$5:$S$14,MATCH(INDEX($AM$5:$AM$404,$AC308),อัตราค่าขนส่ง!$R$5:$R$14,0)),"รวมกลุ่ม "&amp;INDEX($AM$5:$AM$404,$AC308)),INDEX($AY$5:$AY$404,$AC308))))))</f>
        <v/>
      </c>
      <c r="B308" s="31">
        <f>IF($AD308&lt;&gt;"D","",INDEX($AW$5:$AW$404,$AC308))</f>
        <v/>
      </c>
      <c r="C308" s="68">
        <f>IF($AD308&lt;&gt;"D","",INDEX($AX$5:$AX$404,$AC308))</f>
        <v/>
      </c>
      <c r="D308" s="70">
        <f>IF($AD308&lt;&gt;"D","",INDEX($BA$5:$BA$404,$AC308))</f>
        <v/>
      </c>
      <c r="E308" s="31">
        <f>IF($AD308="Z",SUM($AR$5:$AR$404),IF($AD308="D",INDEX($AR$5:$AR$404,$AC308),IF($AD308="T",SUMIF($X$5:$X$404,$AF308,$AR$5:$AR$404),IF($AD308="B",SUMIF($AN$5:$AN$404,$AQ308,$AR$5:$AR$404),""))))</f>
        <v/>
      </c>
      <c r="F308" s="32">
        <f>IF($AD308="Z",ROUND(SUM($AS$5:$AS$404),2),IF($AD308="D",INDEX($AS$5:$AS$404,$AC308),IF($AD308="T",ROUND(SUMIF($X$5:$X$404,$AF308,$AS$5:$AS$404),2),IF($AD308="B",ROUND(SUMIF($AN$5:$AN$404,$AQ308,$AS$5:$AS$404),2),""))))</f>
        <v/>
      </c>
      <c r="G308" s="32">
        <f>IF($AD308&lt;&gt;"D","",INDEX($AT$5:$AT$404,$AC308))</f>
        <v/>
      </c>
      <c r="H308" s="32">
        <f>IF($AD308&lt;&gt;"D","",INDEX($BC$5:$BC$404,$AC308))</f>
        <v/>
      </c>
      <c r="I308" s="32">
        <f>IF($AD308&lt;&gt;"D","",INDEX($BD$5:$BD$404,$AC308))</f>
        <v/>
      </c>
      <c r="J308" s="46">
        <f>IF($AD308&lt;&gt;"D","",IF(N($B308)=0,"",ROUND($I308/$B308,4)))</f>
        <v/>
      </c>
      <c r="K308" s="32">
        <f>IF($AD308="Z",ROUND(SUM($AU$5:$AU$404),2),IF($AD308="D",INDEX($AU$5:$AU$404,$AC308),IF($AD308="T",ROUND(SUMIF($X$5:$X$404,$AF308,$AU$5:$AU$404),2),IF($AD308="B",ROUND(SUMIF($AN$5:$AN$404,$AQ308,$AU$5:$AU$404),2),""))))</f>
        <v/>
      </c>
      <c r="L308" s="32">
        <f>IF($AD308="Z",ROUND(SUM($AV$5:$AV$404),2),IF($AD308="D",INDEX($AV$5:$AV$404,$AC308),IF($AD308="T",ROUND(SUMIF($X$5:$X$404,$AF308,$AV$5:$AV$404),2),IF($AD308="B",ROUND(SUMIF($AN$5:$AN$404,$AQ308,$AV$5:$AV$404),2),""))))</f>
        <v/>
      </c>
      <c r="M308" s="32">
        <f>IF($AD308="Z",ROUND(SUM($AJ$5:$AJ$704),2),IF($AD308="B",ROUND(SUMIF($AQ$5:$AQ$704,$AQ308,$AJ$5:$AJ$704),2),IF($AD308&lt;&gt;"T","",$AJ308)))</f>
        <v/>
      </c>
      <c r="N308" s="32">
        <f>IF(OR($AD308="D",$AD308="T",$AD308="B",$AD308="Z"),ROUND(N($K308)-N($L308)-N($M308),2),"")</f>
        <v/>
      </c>
      <c r="O308" s="32">
        <f>IF(OR($AD308="D",$AD308="T",$AD308="B",$AD308="Z"),IF(N($E308)=0,"",ROUND($F308/$E308,2)),"")</f>
        <v/>
      </c>
      <c r="Q308">
        <f>IFERROR(MATCH(304,บันทึกรายเที่ยว!$Z$6:$Z$6005,0),"")</f>
        <v/>
      </c>
      <c r="R308">
        <f>IF($Q308="","",INDEX(บันทึกรายเที่ยว!$V$6:$V$6005,$Q308))</f>
        <v/>
      </c>
      <c r="S308">
        <f>IF($Q308="","",INDEX(บันทึกรายเที่ยว!$F$6:$F$6005,$Q308))</f>
        <v/>
      </c>
      <c r="T308">
        <f>IF($Q308="","",MATCH($S308,บันทึกรายเที่ยว!$F$6:$F$6005,0))</f>
        <v/>
      </c>
      <c r="U308">
        <f>IF($Q308="","",$AL308*10000000+$T308*1000+304)</f>
        <v/>
      </c>
      <c r="V308">
        <f>IFERROR(MATCH(SMALL($U$5:$U$404,304),$U$5:$U$404,0),"")</f>
        <v/>
      </c>
      <c r="W308">
        <f>IF($V308="","",INDEX($Q$5:$Q$404,$V308))</f>
        <v/>
      </c>
      <c r="X308">
        <f>IF($V308="","",INDEX($S$5:$S$404,$V308))</f>
        <v/>
      </c>
      <c r="Y308">
        <f>IF($V308="","",INDEX($R$5:$R$404,$V308))</f>
        <v/>
      </c>
      <c r="Z308">
        <f>IF($V308="",0,IF($X308&lt;&gt;$X307,1,0))</f>
        <v/>
      </c>
      <c r="AA308">
        <f>IF($V308="",0,IF($V309="",1,IF($X309&lt;&gt;$X308,1,0)))</f>
        <v/>
      </c>
      <c r="AB308">
        <f>IF($V308="",99999+304,$AB307+1+$Z307+$AA307+$AO307)</f>
        <v/>
      </c>
      <c r="AC308">
        <f>IFERROR(MATCH(304,$AB$5:$AB$404,1),"")</f>
        <v/>
      </c>
      <c r="AD308">
        <f>IF(304=$AI$1+1,"Z",IF($AC308="","",IF(INDEX($V$5:$V$404,$AC308)="","",IF(304&gt;INDEX($AB$5:$AB$404,$AC308)+INDEX($Z$5:$Z$404,$AC308)+INDEX($AA$5:$AA$404,$AC308)+INDEX($AO$5:$AO$404,$AC308),"",IF(304=INDEX($AB$5:$AB$404,$AC308)+INDEX($Z$5:$Z$404,$AC308),"D",IF(AND(INDEX($Z$5:$Z$404,$AC308)=1,304=INDEX($AB$5:$AB$404,$AC308)),"H",IF(AND(INDEX($AO$5:$AO$404,$AC308)=1,304=INDEX($AB$5:$AB$404,$AC308)+INDEX($Z$5:$Z$404,$AC308)+INDEX($AA$5:$AA$404,$AC308)+INDEX($AO$5:$AO$404,$AC308)),"B","T")))))))</f>
        <v/>
      </c>
      <c r="AF308">
        <f>IF(OR($AD308="",$AD308="Z",$AD308="B"),"",INDEX($X$5:$X$404,$AC308))</f>
        <v/>
      </c>
      <c r="AJ308">
        <f>IF($AD308&lt;&gt;"T",0,ROUND(SUMIF(oil!$B$4:$B$63,$AF308,oil!$AE$4:$AE$63),2))</f>
        <v/>
      </c>
      <c r="AK308">
        <f>IF($S308="","",IFERROR(INDEX(อัตราค่าขนส่ง!$P$5:$P$54,MATCH($S308,อัตราค่าขนส่ง!$O$5:$O$54,0)),INDEX(รายการมาตรฐาน!$G$2:$G$3,1)))</f>
        <v/>
      </c>
      <c r="AL308">
        <f>IF($S308="","",IFERROR(MATCH($AK308,รายการมาตรฐาน!$G$2:$G$3,0),1))</f>
        <v/>
      </c>
      <c r="AM308">
        <f>IF($V308="","",INDEX($AK$5:$AK$404,$V308))</f>
        <v/>
      </c>
      <c r="AN308">
        <f>IF($V308="","",INDEX($AL$5:$AL$404,$V308))</f>
        <v/>
      </c>
      <c r="AO308">
        <f>IF(OR($V308="",$AI$2&lt;=1),0,IF($V309="",1,IF($AN309&lt;&gt;$AN308,1,0)))</f>
        <v/>
      </c>
      <c r="AP308">
        <f>IF($V308="",0,IF($AN308&lt;&gt;$AN307,1,0))</f>
        <v/>
      </c>
      <c r="AQ308">
        <f>IF(OR($AD308="",$AD308="Z"),"",INDEX($AN$5:$AN$404,$AC308))</f>
        <v/>
      </c>
      <c r="AR308">
        <f>IF($Y308="",0,COUNTIF(บันทึกรายเที่ยว!$V$6:$V$6005,$Y308))</f>
        <v/>
      </c>
      <c r="AS308">
        <f>IF($Y308="",0,ROUND(SUMIF(บันทึกรายเที่ยว!$V$6:$V$6005,$Y308,บันทึกรายเที่ยว!$M$6:$M$6005),2))</f>
        <v/>
      </c>
      <c r="AT308">
        <f>IF($Y308="",0,IFERROR(INDEX(อัตราค่าขนส่ง!$G$5:$G$204,MATCH($Y308,อัตราค่าขนส่ง!$M$5:$M$204,0)),0))</f>
        <v/>
      </c>
      <c r="AU308">
        <f>ROUND($AS308*$BD308,2)</f>
        <v/>
      </c>
      <c r="AV308">
        <f>ROUND($AU308*$BF$2/100,2)</f>
        <v/>
      </c>
      <c r="AW308">
        <f>IF($Y308="","",IFERROR(INDEX(อัตราค่าขนส่ง!$F$5:$F$204,MATCH($Y308,อัตราค่าขนส่ง!$M$5:$M$204,0)),""))</f>
        <v/>
      </c>
      <c r="AX308">
        <f>IF($W308="","",INDEX(บันทึกรายเที่ยว!$D$6:$D$6005,$W308))</f>
        <v/>
      </c>
      <c r="AY308">
        <f>IF($W308="","",INDEX(บันทึกรายเที่ยว!$R$6:$R$6005,$W308))</f>
        <v/>
      </c>
      <c r="AZ308">
        <f>IF(AND($AD308="T",$AQ308=1),N($AZ307)+1,N($AZ307))</f>
        <v/>
      </c>
      <c r="BA308">
        <f>IF($W308="","",INDEX(บันทึกรายเที่ยว!$E$6:$E$6005,$W308))</f>
        <v/>
      </c>
      <c r="BC308">
        <f>IF($Y308="",0,IFERROR(INDEX(อัตราค่าขนส่ง!$K$5:$K$204,MATCH($Y308,อัตราค่าขนส่ง!$M$5:$M$204,0)),0))</f>
        <v/>
      </c>
      <c r="BD308">
        <f>IF($Y308="",0,IFERROR(INDEX(อัตราค่าขนส่ง!$L$5:$L$204,MATCH($Y308,อัตราค่าขนส่ง!$M$5:$M$204,0)),0))</f>
        <v/>
      </c>
    </row>
    <row r="309" ht="21" customHeight="1" s="66">
      <c r="A309" s="69">
        <f>IF($AD309="","",IF($AD309="Z","รวมจ่ายทั้งสิ้น",IF($AD309="H",INDEX($X$5:$X$404,$AC309),IF($AD309="T","รวม",IF($AD309="B",IFERROR(INDEX(อัตราค่าขนส่ง!$S$5:$S$14,MATCH(INDEX($AM$5:$AM$404,$AC309),อัตราค่าขนส่ง!$R$5:$R$14,0)),"รวมกลุ่ม "&amp;INDEX($AM$5:$AM$404,$AC309)),INDEX($AY$5:$AY$404,$AC309))))))</f>
        <v/>
      </c>
      <c r="B309" s="31">
        <f>IF($AD309&lt;&gt;"D","",INDEX($AW$5:$AW$404,$AC309))</f>
        <v/>
      </c>
      <c r="C309" s="68">
        <f>IF($AD309&lt;&gt;"D","",INDEX($AX$5:$AX$404,$AC309))</f>
        <v/>
      </c>
      <c r="D309" s="70">
        <f>IF($AD309&lt;&gt;"D","",INDEX($BA$5:$BA$404,$AC309))</f>
        <v/>
      </c>
      <c r="E309" s="31">
        <f>IF($AD309="Z",SUM($AR$5:$AR$404),IF($AD309="D",INDEX($AR$5:$AR$404,$AC309),IF($AD309="T",SUMIF($X$5:$X$404,$AF309,$AR$5:$AR$404),IF($AD309="B",SUMIF($AN$5:$AN$404,$AQ309,$AR$5:$AR$404),""))))</f>
        <v/>
      </c>
      <c r="F309" s="32">
        <f>IF($AD309="Z",ROUND(SUM($AS$5:$AS$404),2),IF($AD309="D",INDEX($AS$5:$AS$404,$AC309),IF($AD309="T",ROUND(SUMIF($X$5:$X$404,$AF309,$AS$5:$AS$404),2),IF($AD309="B",ROUND(SUMIF($AN$5:$AN$404,$AQ309,$AS$5:$AS$404),2),""))))</f>
        <v/>
      </c>
      <c r="G309" s="32">
        <f>IF($AD309&lt;&gt;"D","",INDEX($AT$5:$AT$404,$AC309))</f>
        <v/>
      </c>
      <c r="H309" s="32">
        <f>IF($AD309&lt;&gt;"D","",INDEX($BC$5:$BC$404,$AC309))</f>
        <v/>
      </c>
      <c r="I309" s="32">
        <f>IF($AD309&lt;&gt;"D","",INDEX($BD$5:$BD$404,$AC309))</f>
        <v/>
      </c>
      <c r="J309" s="46">
        <f>IF($AD309&lt;&gt;"D","",IF(N($B309)=0,"",ROUND($I309/$B309,4)))</f>
        <v/>
      </c>
      <c r="K309" s="32">
        <f>IF($AD309="Z",ROUND(SUM($AU$5:$AU$404),2),IF($AD309="D",INDEX($AU$5:$AU$404,$AC309),IF($AD309="T",ROUND(SUMIF($X$5:$X$404,$AF309,$AU$5:$AU$404),2),IF($AD309="B",ROUND(SUMIF($AN$5:$AN$404,$AQ309,$AU$5:$AU$404),2),""))))</f>
        <v/>
      </c>
      <c r="L309" s="32">
        <f>IF($AD309="Z",ROUND(SUM($AV$5:$AV$404),2),IF($AD309="D",INDEX($AV$5:$AV$404,$AC309),IF($AD309="T",ROUND(SUMIF($X$5:$X$404,$AF309,$AV$5:$AV$404),2),IF($AD309="B",ROUND(SUMIF($AN$5:$AN$404,$AQ309,$AV$5:$AV$404),2),""))))</f>
        <v/>
      </c>
      <c r="M309" s="32">
        <f>IF($AD309="Z",ROUND(SUM($AJ$5:$AJ$704),2),IF($AD309="B",ROUND(SUMIF($AQ$5:$AQ$704,$AQ309,$AJ$5:$AJ$704),2),IF($AD309&lt;&gt;"T","",$AJ309)))</f>
        <v/>
      </c>
      <c r="N309" s="32">
        <f>IF(OR($AD309="D",$AD309="T",$AD309="B",$AD309="Z"),ROUND(N($K309)-N($L309)-N($M309),2),"")</f>
        <v/>
      </c>
      <c r="O309" s="32">
        <f>IF(OR($AD309="D",$AD309="T",$AD309="B",$AD309="Z"),IF(N($E309)=0,"",ROUND($F309/$E309,2)),"")</f>
        <v/>
      </c>
      <c r="Q309">
        <f>IFERROR(MATCH(305,บันทึกรายเที่ยว!$Z$6:$Z$6005,0),"")</f>
        <v/>
      </c>
      <c r="R309">
        <f>IF($Q309="","",INDEX(บันทึกรายเที่ยว!$V$6:$V$6005,$Q309))</f>
        <v/>
      </c>
      <c r="S309">
        <f>IF($Q309="","",INDEX(บันทึกรายเที่ยว!$F$6:$F$6005,$Q309))</f>
        <v/>
      </c>
      <c r="T309">
        <f>IF($Q309="","",MATCH($S309,บันทึกรายเที่ยว!$F$6:$F$6005,0))</f>
        <v/>
      </c>
      <c r="U309">
        <f>IF($Q309="","",$AL309*10000000+$T309*1000+305)</f>
        <v/>
      </c>
      <c r="V309">
        <f>IFERROR(MATCH(SMALL($U$5:$U$404,305),$U$5:$U$404,0),"")</f>
        <v/>
      </c>
      <c r="W309">
        <f>IF($V309="","",INDEX($Q$5:$Q$404,$V309))</f>
        <v/>
      </c>
      <c r="X309">
        <f>IF($V309="","",INDEX($S$5:$S$404,$V309))</f>
        <v/>
      </c>
      <c r="Y309">
        <f>IF($V309="","",INDEX($R$5:$R$404,$V309))</f>
        <v/>
      </c>
      <c r="Z309">
        <f>IF($V309="",0,IF($X309&lt;&gt;$X308,1,0))</f>
        <v/>
      </c>
      <c r="AA309">
        <f>IF($V309="",0,IF($V310="",1,IF($X310&lt;&gt;$X309,1,0)))</f>
        <v/>
      </c>
      <c r="AB309">
        <f>IF($V309="",99999+305,$AB308+1+$Z308+$AA308+$AO308)</f>
        <v/>
      </c>
      <c r="AC309">
        <f>IFERROR(MATCH(305,$AB$5:$AB$404,1),"")</f>
        <v/>
      </c>
      <c r="AD309">
        <f>IF(305=$AI$1+1,"Z",IF($AC309="","",IF(INDEX($V$5:$V$404,$AC309)="","",IF(305&gt;INDEX($AB$5:$AB$404,$AC309)+INDEX($Z$5:$Z$404,$AC309)+INDEX($AA$5:$AA$404,$AC309)+INDEX($AO$5:$AO$404,$AC309),"",IF(305=INDEX($AB$5:$AB$404,$AC309)+INDEX($Z$5:$Z$404,$AC309),"D",IF(AND(INDEX($Z$5:$Z$404,$AC309)=1,305=INDEX($AB$5:$AB$404,$AC309)),"H",IF(AND(INDEX($AO$5:$AO$404,$AC309)=1,305=INDEX($AB$5:$AB$404,$AC309)+INDEX($Z$5:$Z$404,$AC309)+INDEX($AA$5:$AA$404,$AC309)+INDEX($AO$5:$AO$404,$AC309)),"B","T")))))))</f>
        <v/>
      </c>
      <c r="AF309">
        <f>IF(OR($AD309="",$AD309="Z",$AD309="B"),"",INDEX($X$5:$X$404,$AC309))</f>
        <v/>
      </c>
      <c r="AJ309">
        <f>IF($AD309&lt;&gt;"T",0,ROUND(SUMIF(oil!$B$4:$B$63,$AF309,oil!$AE$4:$AE$63),2))</f>
        <v/>
      </c>
      <c r="AK309">
        <f>IF($S309="","",IFERROR(INDEX(อัตราค่าขนส่ง!$P$5:$P$54,MATCH($S309,อัตราค่าขนส่ง!$O$5:$O$54,0)),INDEX(รายการมาตรฐาน!$G$2:$G$3,1)))</f>
        <v/>
      </c>
      <c r="AL309">
        <f>IF($S309="","",IFERROR(MATCH($AK309,รายการมาตรฐาน!$G$2:$G$3,0),1))</f>
        <v/>
      </c>
      <c r="AM309">
        <f>IF($V309="","",INDEX($AK$5:$AK$404,$V309))</f>
        <v/>
      </c>
      <c r="AN309">
        <f>IF($V309="","",INDEX($AL$5:$AL$404,$V309))</f>
        <v/>
      </c>
      <c r="AO309">
        <f>IF(OR($V309="",$AI$2&lt;=1),0,IF($V310="",1,IF($AN310&lt;&gt;$AN309,1,0)))</f>
        <v/>
      </c>
      <c r="AP309">
        <f>IF($V309="",0,IF($AN309&lt;&gt;$AN308,1,0))</f>
        <v/>
      </c>
      <c r="AQ309">
        <f>IF(OR($AD309="",$AD309="Z"),"",INDEX($AN$5:$AN$404,$AC309))</f>
        <v/>
      </c>
      <c r="AR309">
        <f>IF($Y309="",0,COUNTIF(บันทึกรายเที่ยว!$V$6:$V$6005,$Y309))</f>
        <v/>
      </c>
      <c r="AS309">
        <f>IF($Y309="",0,ROUND(SUMIF(บันทึกรายเที่ยว!$V$6:$V$6005,$Y309,บันทึกรายเที่ยว!$M$6:$M$6005),2))</f>
        <v/>
      </c>
      <c r="AT309">
        <f>IF($Y309="",0,IFERROR(INDEX(อัตราค่าขนส่ง!$G$5:$G$204,MATCH($Y309,อัตราค่าขนส่ง!$M$5:$M$204,0)),0))</f>
        <v/>
      </c>
      <c r="AU309">
        <f>ROUND($AS309*$BD309,2)</f>
        <v/>
      </c>
      <c r="AV309">
        <f>ROUND($AU309*$BF$2/100,2)</f>
        <v/>
      </c>
      <c r="AW309">
        <f>IF($Y309="","",IFERROR(INDEX(อัตราค่าขนส่ง!$F$5:$F$204,MATCH($Y309,อัตราค่าขนส่ง!$M$5:$M$204,0)),""))</f>
        <v/>
      </c>
      <c r="AX309">
        <f>IF($W309="","",INDEX(บันทึกรายเที่ยว!$D$6:$D$6005,$W309))</f>
        <v/>
      </c>
      <c r="AY309">
        <f>IF($W309="","",INDEX(บันทึกรายเที่ยว!$R$6:$R$6005,$W309))</f>
        <v/>
      </c>
      <c r="AZ309">
        <f>IF(AND($AD309="T",$AQ309=1),N($AZ308)+1,N($AZ308))</f>
        <v/>
      </c>
      <c r="BA309">
        <f>IF($W309="","",INDEX(บันทึกรายเที่ยว!$E$6:$E$6005,$W309))</f>
        <v/>
      </c>
      <c r="BC309">
        <f>IF($Y309="",0,IFERROR(INDEX(อัตราค่าขนส่ง!$K$5:$K$204,MATCH($Y309,อัตราค่าขนส่ง!$M$5:$M$204,0)),0))</f>
        <v/>
      </c>
      <c r="BD309">
        <f>IF($Y309="",0,IFERROR(INDEX(อัตราค่าขนส่ง!$L$5:$L$204,MATCH($Y309,อัตราค่าขนส่ง!$M$5:$M$204,0)),0))</f>
        <v/>
      </c>
    </row>
    <row r="310" ht="21" customHeight="1" s="66">
      <c r="A310" s="69">
        <f>IF($AD310="","",IF($AD310="Z","รวมจ่ายทั้งสิ้น",IF($AD310="H",INDEX($X$5:$X$404,$AC310),IF($AD310="T","รวม",IF($AD310="B",IFERROR(INDEX(อัตราค่าขนส่ง!$S$5:$S$14,MATCH(INDEX($AM$5:$AM$404,$AC310),อัตราค่าขนส่ง!$R$5:$R$14,0)),"รวมกลุ่ม "&amp;INDEX($AM$5:$AM$404,$AC310)),INDEX($AY$5:$AY$404,$AC310))))))</f>
        <v/>
      </c>
      <c r="B310" s="31">
        <f>IF($AD310&lt;&gt;"D","",INDEX($AW$5:$AW$404,$AC310))</f>
        <v/>
      </c>
      <c r="C310" s="68">
        <f>IF($AD310&lt;&gt;"D","",INDEX($AX$5:$AX$404,$AC310))</f>
        <v/>
      </c>
      <c r="D310" s="70">
        <f>IF($AD310&lt;&gt;"D","",INDEX($BA$5:$BA$404,$AC310))</f>
        <v/>
      </c>
      <c r="E310" s="31">
        <f>IF($AD310="Z",SUM($AR$5:$AR$404),IF($AD310="D",INDEX($AR$5:$AR$404,$AC310),IF($AD310="T",SUMIF($X$5:$X$404,$AF310,$AR$5:$AR$404),IF($AD310="B",SUMIF($AN$5:$AN$404,$AQ310,$AR$5:$AR$404),""))))</f>
        <v/>
      </c>
      <c r="F310" s="32">
        <f>IF($AD310="Z",ROUND(SUM($AS$5:$AS$404),2),IF($AD310="D",INDEX($AS$5:$AS$404,$AC310),IF($AD310="T",ROUND(SUMIF($X$5:$X$404,$AF310,$AS$5:$AS$404),2),IF($AD310="B",ROUND(SUMIF($AN$5:$AN$404,$AQ310,$AS$5:$AS$404),2),""))))</f>
        <v/>
      </c>
      <c r="G310" s="32">
        <f>IF($AD310&lt;&gt;"D","",INDEX($AT$5:$AT$404,$AC310))</f>
        <v/>
      </c>
      <c r="H310" s="32">
        <f>IF($AD310&lt;&gt;"D","",INDEX($BC$5:$BC$404,$AC310))</f>
        <v/>
      </c>
      <c r="I310" s="32">
        <f>IF($AD310&lt;&gt;"D","",INDEX($BD$5:$BD$404,$AC310))</f>
        <v/>
      </c>
      <c r="J310" s="46">
        <f>IF($AD310&lt;&gt;"D","",IF(N($B310)=0,"",ROUND($I310/$B310,4)))</f>
        <v/>
      </c>
      <c r="K310" s="32">
        <f>IF($AD310="Z",ROUND(SUM($AU$5:$AU$404),2),IF($AD310="D",INDEX($AU$5:$AU$404,$AC310),IF($AD310="T",ROUND(SUMIF($X$5:$X$404,$AF310,$AU$5:$AU$404),2),IF($AD310="B",ROUND(SUMIF($AN$5:$AN$404,$AQ310,$AU$5:$AU$404),2),""))))</f>
        <v/>
      </c>
      <c r="L310" s="32">
        <f>IF($AD310="Z",ROUND(SUM($AV$5:$AV$404),2),IF($AD310="D",INDEX($AV$5:$AV$404,$AC310),IF($AD310="T",ROUND(SUMIF($X$5:$X$404,$AF310,$AV$5:$AV$404),2),IF($AD310="B",ROUND(SUMIF($AN$5:$AN$404,$AQ310,$AV$5:$AV$404),2),""))))</f>
        <v/>
      </c>
      <c r="M310" s="32">
        <f>IF($AD310="Z",ROUND(SUM($AJ$5:$AJ$704),2),IF($AD310="B",ROUND(SUMIF($AQ$5:$AQ$704,$AQ310,$AJ$5:$AJ$704),2),IF($AD310&lt;&gt;"T","",$AJ310)))</f>
        <v/>
      </c>
      <c r="N310" s="32">
        <f>IF(OR($AD310="D",$AD310="T",$AD310="B",$AD310="Z"),ROUND(N($K310)-N($L310)-N($M310),2),"")</f>
        <v/>
      </c>
      <c r="O310" s="32">
        <f>IF(OR($AD310="D",$AD310="T",$AD310="B",$AD310="Z"),IF(N($E310)=0,"",ROUND($F310/$E310,2)),"")</f>
        <v/>
      </c>
      <c r="Q310">
        <f>IFERROR(MATCH(306,บันทึกรายเที่ยว!$Z$6:$Z$6005,0),"")</f>
        <v/>
      </c>
      <c r="R310">
        <f>IF($Q310="","",INDEX(บันทึกรายเที่ยว!$V$6:$V$6005,$Q310))</f>
        <v/>
      </c>
      <c r="S310">
        <f>IF($Q310="","",INDEX(บันทึกรายเที่ยว!$F$6:$F$6005,$Q310))</f>
        <v/>
      </c>
      <c r="T310">
        <f>IF($Q310="","",MATCH($S310,บันทึกรายเที่ยว!$F$6:$F$6005,0))</f>
        <v/>
      </c>
      <c r="U310">
        <f>IF($Q310="","",$AL310*10000000+$T310*1000+306)</f>
        <v/>
      </c>
      <c r="V310">
        <f>IFERROR(MATCH(SMALL($U$5:$U$404,306),$U$5:$U$404,0),"")</f>
        <v/>
      </c>
      <c r="W310">
        <f>IF($V310="","",INDEX($Q$5:$Q$404,$V310))</f>
        <v/>
      </c>
      <c r="X310">
        <f>IF($V310="","",INDEX($S$5:$S$404,$V310))</f>
        <v/>
      </c>
      <c r="Y310">
        <f>IF($V310="","",INDEX($R$5:$R$404,$V310))</f>
        <v/>
      </c>
      <c r="Z310">
        <f>IF($V310="",0,IF($X310&lt;&gt;$X309,1,0))</f>
        <v/>
      </c>
      <c r="AA310">
        <f>IF($V310="",0,IF($V311="",1,IF($X311&lt;&gt;$X310,1,0)))</f>
        <v/>
      </c>
      <c r="AB310">
        <f>IF($V310="",99999+306,$AB309+1+$Z309+$AA309+$AO309)</f>
        <v/>
      </c>
      <c r="AC310">
        <f>IFERROR(MATCH(306,$AB$5:$AB$404,1),"")</f>
        <v/>
      </c>
      <c r="AD310">
        <f>IF(306=$AI$1+1,"Z",IF($AC310="","",IF(INDEX($V$5:$V$404,$AC310)="","",IF(306&gt;INDEX($AB$5:$AB$404,$AC310)+INDEX($Z$5:$Z$404,$AC310)+INDEX($AA$5:$AA$404,$AC310)+INDEX($AO$5:$AO$404,$AC310),"",IF(306=INDEX($AB$5:$AB$404,$AC310)+INDEX($Z$5:$Z$404,$AC310),"D",IF(AND(INDEX($Z$5:$Z$404,$AC310)=1,306=INDEX($AB$5:$AB$404,$AC310)),"H",IF(AND(INDEX($AO$5:$AO$404,$AC310)=1,306=INDEX($AB$5:$AB$404,$AC310)+INDEX($Z$5:$Z$404,$AC310)+INDEX($AA$5:$AA$404,$AC310)+INDEX($AO$5:$AO$404,$AC310)),"B","T")))))))</f>
        <v/>
      </c>
      <c r="AF310">
        <f>IF(OR($AD310="",$AD310="Z",$AD310="B"),"",INDEX($X$5:$X$404,$AC310))</f>
        <v/>
      </c>
      <c r="AJ310">
        <f>IF($AD310&lt;&gt;"T",0,ROUND(SUMIF(oil!$B$4:$B$63,$AF310,oil!$AE$4:$AE$63),2))</f>
        <v/>
      </c>
      <c r="AK310">
        <f>IF($S310="","",IFERROR(INDEX(อัตราค่าขนส่ง!$P$5:$P$54,MATCH($S310,อัตราค่าขนส่ง!$O$5:$O$54,0)),INDEX(รายการมาตรฐาน!$G$2:$G$3,1)))</f>
        <v/>
      </c>
      <c r="AL310">
        <f>IF($S310="","",IFERROR(MATCH($AK310,รายการมาตรฐาน!$G$2:$G$3,0),1))</f>
        <v/>
      </c>
      <c r="AM310">
        <f>IF($V310="","",INDEX($AK$5:$AK$404,$V310))</f>
        <v/>
      </c>
      <c r="AN310">
        <f>IF($V310="","",INDEX($AL$5:$AL$404,$V310))</f>
        <v/>
      </c>
      <c r="AO310">
        <f>IF(OR($V310="",$AI$2&lt;=1),0,IF($V311="",1,IF($AN311&lt;&gt;$AN310,1,0)))</f>
        <v/>
      </c>
      <c r="AP310">
        <f>IF($V310="",0,IF($AN310&lt;&gt;$AN309,1,0))</f>
        <v/>
      </c>
      <c r="AQ310">
        <f>IF(OR($AD310="",$AD310="Z"),"",INDEX($AN$5:$AN$404,$AC310))</f>
        <v/>
      </c>
      <c r="AR310">
        <f>IF($Y310="",0,COUNTIF(บันทึกรายเที่ยว!$V$6:$V$6005,$Y310))</f>
        <v/>
      </c>
      <c r="AS310">
        <f>IF($Y310="",0,ROUND(SUMIF(บันทึกรายเที่ยว!$V$6:$V$6005,$Y310,บันทึกรายเที่ยว!$M$6:$M$6005),2))</f>
        <v/>
      </c>
      <c r="AT310">
        <f>IF($Y310="",0,IFERROR(INDEX(อัตราค่าขนส่ง!$G$5:$G$204,MATCH($Y310,อัตราค่าขนส่ง!$M$5:$M$204,0)),0))</f>
        <v/>
      </c>
      <c r="AU310">
        <f>ROUND($AS310*$BD310,2)</f>
        <v/>
      </c>
      <c r="AV310">
        <f>ROUND($AU310*$BF$2/100,2)</f>
        <v/>
      </c>
      <c r="AW310">
        <f>IF($Y310="","",IFERROR(INDEX(อัตราค่าขนส่ง!$F$5:$F$204,MATCH($Y310,อัตราค่าขนส่ง!$M$5:$M$204,0)),""))</f>
        <v/>
      </c>
      <c r="AX310">
        <f>IF($W310="","",INDEX(บันทึกรายเที่ยว!$D$6:$D$6005,$W310))</f>
        <v/>
      </c>
      <c r="AY310">
        <f>IF($W310="","",INDEX(บันทึกรายเที่ยว!$R$6:$R$6005,$W310))</f>
        <v/>
      </c>
      <c r="AZ310">
        <f>IF(AND($AD310="T",$AQ310=1),N($AZ309)+1,N($AZ309))</f>
        <v/>
      </c>
      <c r="BA310">
        <f>IF($W310="","",INDEX(บันทึกรายเที่ยว!$E$6:$E$6005,$W310))</f>
        <v/>
      </c>
      <c r="BC310">
        <f>IF($Y310="",0,IFERROR(INDEX(อัตราค่าขนส่ง!$K$5:$K$204,MATCH($Y310,อัตราค่าขนส่ง!$M$5:$M$204,0)),0))</f>
        <v/>
      </c>
      <c r="BD310">
        <f>IF($Y310="",0,IFERROR(INDEX(อัตราค่าขนส่ง!$L$5:$L$204,MATCH($Y310,อัตราค่าขนส่ง!$M$5:$M$204,0)),0))</f>
        <v/>
      </c>
    </row>
    <row r="311" ht="21" customHeight="1" s="66">
      <c r="A311" s="69">
        <f>IF($AD311="","",IF($AD311="Z","รวมจ่ายทั้งสิ้น",IF($AD311="H",INDEX($X$5:$X$404,$AC311),IF($AD311="T","รวม",IF($AD311="B",IFERROR(INDEX(อัตราค่าขนส่ง!$S$5:$S$14,MATCH(INDEX($AM$5:$AM$404,$AC311),อัตราค่าขนส่ง!$R$5:$R$14,0)),"รวมกลุ่ม "&amp;INDEX($AM$5:$AM$404,$AC311)),INDEX($AY$5:$AY$404,$AC311))))))</f>
        <v/>
      </c>
      <c r="B311" s="31">
        <f>IF($AD311&lt;&gt;"D","",INDEX($AW$5:$AW$404,$AC311))</f>
        <v/>
      </c>
      <c r="C311" s="68">
        <f>IF($AD311&lt;&gt;"D","",INDEX($AX$5:$AX$404,$AC311))</f>
        <v/>
      </c>
      <c r="D311" s="70">
        <f>IF($AD311&lt;&gt;"D","",INDEX($BA$5:$BA$404,$AC311))</f>
        <v/>
      </c>
      <c r="E311" s="31">
        <f>IF($AD311="Z",SUM($AR$5:$AR$404),IF($AD311="D",INDEX($AR$5:$AR$404,$AC311),IF($AD311="T",SUMIF($X$5:$X$404,$AF311,$AR$5:$AR$404),IF($AD311="B",SUMIF($AN$5:$AN$404,$AQ311,$AR$5:$AR$404),""))))</f>
        <v/>
      </c>
      <c r="F311" s="32">
        <f>IF($AD311="Z",ROUND(SUM($AS$5:$AS$404),2),IF($AD311="D",INDEX($AS$5:$AS$404,$AC311),IF($AD311="T",ROUND(SUMIF($X$5:$X$404,$AF311,$AS$5:$AS$404),2),IF($AD311="B",ROUND(SUMIF($AN$5:$AN$404,$AQ311,$AS$5:$AS$404),2),""))))</f>
        <v/>
      </c>
      <c r="G311" s="32">
        <f>IF($AD311&lt;&gt;"D","",INDEX($AT$5:$AT$404,$AC311))</f>
        <v/>
      </c>
      <c r="H311" s="32">
        <f>IF($AD311&lt;&gt;"D","",INDEX($BC$5:$BC$404,$AC311))</f>
        <v/>
      </c>
      <c r="I311" s="32">
        <f>IF($AD311&lt;&gt;"D","",INDEX($BD$5:$BD$404,$AC311))</f>
        <v/>
      </c>
      <c r="J311" s="46">
        <f>IF($AD311&lt;&gt;"D","",IF(N($B311)=0,"",ROUND($I311/$B311,4)))</f>
        <v/>
      </c>
      <c r="K311" s="32">
        <f>IF($AD311="Z",ROUND(SUM($AU$5:$AU$404),2),IF($AD311="D",INDEX($AU$5:$AU$404,$AC311),IF($AD311="T",ROUND(SUMIF($X$5:$X$404,$AF311,$AU$5:$AU$404),2),IF($AD311="B",ROUND(SUMIF($AN$5:$AN$404,$AQ311,$AU$5:$AU$404),2),""))))</f>
        <v/>
      </c>
      <c r="L311" s="32">
        <f>IF($AD311="Z",ROUND(SUM($AV$5:$AV$404),2),IF($AD311="D",INDEX($AV$5:$AV$404,$AC311),IF($AD311="T",ROUND(SUMIF($X$5:$X$404,$AF311,$AV$5:$AV$404),2),IF($AD311="B",ROUND(SUMIF($AN$5:$AN$404,$AQ311,$AV$5:$AV$404),2),""))))</f>
        <v/>
      </c>
      <c r="M311" s="32">
        <f>IF($AD311="Z",ROUND(SUM($AJ$5:$AJ$704),2),IF($AD311="B",ROUND(SUMIF($AQ$5:$AQ$704,$AQ311,$AJ$5:$AJ$704),2),IF($AD311&lt;&gt;"T","",$AJ311)))</f>
        <v/>
      </c>
      <c r="N311" s="32">
        <f>IF(OR($AD311="D",$AD311="T",$AD311="B",$AD311="Z"),ROUND(N($K311)-N($L311)-N($M311),2),"")</f>
        <v/>
      </c>
      <c r="O311" s="32">
        <f>IF(OR($AD311="D",$AD311="T",$AD311="B",$AD311="Z"),IF(N($E311)=0,"",ROUND($F311/$E311,2)),"")</f>
        <v/>
      </c>
      <c r="Q311">
        <f>IFERROR(MATCH(307,บันทึกรายเที่ยว!$Z$6:$Z$6005,0),"")</f>
        <v/>
      </c>
      <c r="R311">
        <f>IF($Q311="","",INDEX(บันทึกรายเที่ยว!$V$6:$V$6005,$Q311))</f>
        <v/>
      </c>
      <c r="S311">
        <f>IF($Q311="","",INDEX(บันทึกรายเที่ยว!$F$6:$F$6005,$Q311))</f>
        <v/>
      </c>
      <c r="T311">
        <f>IF($Q311="","",MATCH($S311,บันทึกรายเที่ยว!$F$6:$F$6005,0))</f>
        <v/>
      </c>
      <c r="U311">
        <f>IF($Q311="","",$AL311*10000000+$T311*1000+307)</f>
        <v/>
      </c>
      <c r="V311">
        <f>IFERROR(MATCH(SMALL($U$5:$U$404,307),$U$5:$U$404,0),"")</f>
        <v/>
      </c>
      <c r="W311">
        <f>IF($V311="","",INDEX($Q$5:$Q$404,$V311))</f>
        <v/>
      </c>
      <c r="X311">
        <f>IF($V311="","",INDEX($S$5:$S$404,$V311))</f>
        <v/>
      </c>
      <c r="Y311">
        <f>IF($V311="","",INDEX($R$5:$R$404,$V311))</f>
        <v/>
      </c>
      <c r="Z311">
        <f>IF($V311="",0,IF($X311&lt;&gt;$X310,1,0))</f>
        <v/>
      </c>
      <c r="AA311">
        <f>IF($V311="",0,IF($V312="",1,IF($X312&lt;&gt;$X311,1,0)))</f>
        <v/>
      </c>
      <c r="AB311">
        <f>IF($V311="",99999+307,$AB310+1+$Z310+$AA310+$AO310)</f>
        <v/>
      </c>
      <c r="AC311">
        <f>IFERROR(MATCH(307,$AB$5:$AB$404,1),"")</f>
        <v/>
      </c>
      <c r="AD311">
        <f>IF(307=$AI$1+1,"Z",IF($AC311="","",IF(INDEX($V$5:$V$404,$AC311)="","",IF(307&gt;INDEX($AB$5:$AB$404,$AC311)+INDEX($Z$5:$Z$404,$AC311)+INDEX($AA$5:$AA$404,$AC311)+INDEX($AO$5:$AO$404,$AC311),"",IF(307=INDEX($AB$5:$AB$404,$AC311)+INDEX($Z$5:$Z$404,$AC311),"D",IF(AND(INDEX($Z$5:$Z$404,$AC311)=1,307=INDEX($AB$5:$AB$404,$AC311)),"H",IF(AND(INDEX($AO$5:$AO$404,$AC311)=1,307=INDEX($AB$5:$AB$404,$AC311)+INDEX($Z$5:$Z$404,$AC311)+INDEX($AA$5:$AA$404,$AC311)+INDEX($AO$5:$AO$404,$AC311)),"B","T")))))))</f>
        <v/>
      </c>
      <c r="AF311">
        <f>IF(OR($AD311="",$AD311="Z",$AD311="B"),"",INDEX($X$5:$X$404,$AC311))</f>
        <v/>
      </c>
      <c r="AJ311">
        <f>IF($AD311&lt;&gt;"T",0,ROUND(SUMIF(oil!$B$4:$B$63,$AF311,oil!$AE$4:$AE$63),2))</f>
        <v/>
      </c>
      <c r="AK311">
        <f>IF($S311="","",IFERROR(INDEX(อัตราค่าขนส่ง!$P$5:$P$54,MATCH($S311,อัตราค่าขนส่ง!$O$5:$O$54,0)),INDEX(รายการมาตรฐาน!$G$2:$G$3,1)))</f>
        <v/>
      </c>
      <c r="AL311">
        <f>IF($S311="","",IFERROR(MATCH($AK311,รายการมาตรฐาน!$G$2:$G$3,0),1))</f>
        <v/>
      </c>
      <c r="AM311">
        <f>IF($V311="","",INDEX($AK$5:$AK$404,$V311))</f>
        <v/>
      </c>
      <c r="AN311">
        <f>IF($V311="","",INDEX($AL$5:$AL$404,$V311))</f>
        <v/>
      </c>
      <c r="AO311">
        <f>IF(OR($V311="",$AI$2&lt;=1),0,IF($V312="",1,IF($AN312&lt;&gt;$AN311,1,0)))</f>
        <v/>
      </c>
      <c r="AP311">
        <f>IF($V311="",0,IF($AN311&lt;&gt;$AN310,1,0))</f>
        <v/>
      </c>
      <c r="AQ311">
        <f>IF(OR($AD311="",$AD311="Z"),"",INDEX($AN$5:$AN$404,$AC311))</f>
        <v/>
      </c>
      <c r="AR311">
        <f>IF($Y311="",0,COUNTIF(บันทึกรายเที่ยว!$V$6:$V$6005,$Y311))</f>
        <v/>
      </c>
      <c r="AS311">
        <f>IF($Y311="",0,ROUND(SUMIF(บันทึกรายเที่ยว!$V$6:$V$6005,$Y311,บันทึกรายเที่ยว!$M$6:$M$6005),2))</f>
        <v/>
      </c>
      <c r="AT311">
        <f>IF($Y311="",0,IFERROR(INDEX(อัตราค่าขนส่ง!$G$5:$G$204,MATCH($Y311,อัตราค่าขนส่ง!$M$5:$M$204,0)),0))</f>
        <v/>
      </c>
      <c r="AU311">
        <f>ROUND($AS311*$BD311,2)</f>
        <v/>
      </c>
      <c r="AV311">
        <f>ROUND($AU311*$BF$2/100,2)</f>
        <v/>
      </c>
      <c r="AW311">
        <f>IF($Y311="","",IFERROR(INDEX(อัตราค่าขนส่ง!$F$5:$F$204,MATCH($Y311,อัตราค่าขนส่ง!$M$5:$M$204,0)),""))</f>
        <v/>
      </c>
      <c r="AX311">
        <f>IF($W311="","",INDEX(บันทึกรายเที่ยว!$D$6:$D$6005,$W311))</f>
        <v/>
      </c>
      <c r="AY311">
        <f>IF($W311="","",INDEX(บันทึกรายเที่ยว!$R$6:$R$6005,$W311))</f>
        <v/>
      </c>
      <c r="AZ311">
        <f>IF(AND($AD311="T",$AQ311=1),N($AZ310)+1,N($AZ310))</f>
        <v/>
      </c>
      <c r="BA311">
        <f>IF($W311="","",INDEX(บันทึกรายเที่ยว!$E$6:$E$6005,$W311))</f>
        <v/>
      </c>
      <c r="BC311">
        <f>IF($Y311="",0,IFERROR(INDEX(อัตราค่าขนส่ง!$K$5:$K$204,MATCH($Y311,อัตราค่าขนส่ง!$M$5:$M$204,0)),0))</f>
        <v/>
      </c>
      <c r="BD311">
        <f>IF($Y311="",0,IFERROR(INDEX(อัตราค่าขนส่ง!$L$5:$L$204,MATCH($Y311,อัตราค่าขนส่ง!$M$5:$M$204,0)),0))</f>
        <v/>
      </c>
    </row>
    <row r="312" ht="21" customHeight="1" s="66">
      <c r="A312" s="69">
        <f>IF($AD312="","",IF($AD312="Z","รวมจ่ายทั้งสิ้น",IF($AD312="H",INDEX($X$5:$X$404,$AC312),IF($AD312="T","รวม",IF($AD312="B",IFERROR(INDEX(อัตราค่าขนส่ง!$S$5:$S$14,MATCH(INDEX($AM$5:$AM$404,$AC312),อัตราค่าขนส่ง!$R$5:$R$14,0)),"รวมกลุ่ม "&amp;INDEX($AM$5:$AM$404,$AC312)),INDEX($AY$5:$AY$404,$AC312))))))</f>
        <v/>
      </c>
      <c r="B312" s="31">
        <f>IF($AD312&lt;&gt;"D","",INDEX($AW$5:$AW$404,$AC312))</f>
        <v/>
      </c>
      <c r="C312" s="68">
        <f>IF($AD312&lt;&gt;"D","",INDEX($AX$5:$AX$404,$AC312))</f>
        <v/>
      </c>
      <c r="D312" s="70">
        <f>IF($AD312&lt;&gt;"D","",INDEX($BA$5:$BA$404,$AC312))</f>
        <v/>
      </c>
      <c r="E312" s="31">
        <f>IF($AD312="Z",SUM($AR$5:$AR$404),IF($AD312="D",INDEX($AR$5:$AR$404,$AC312),IF($AD312="T",SUMIF($X$5:$X$404,$AF312,$AR$5:$AR$404),IF($AD312="B",SUMIF($AN$5:$AN$404,$AQ312,$AR$5:$AR$404),""))))</f>
        <v/>
      </c>
      <c r="F312" s="32">
        <f>IF($AD312="Z",ROUND(SUM($AS$5:$AS$404),2),IF($AD312="D",INDEX($AS$5:$AS$404,$AC312),IF($AD312="T",ROUND(SUMIF($X$5:$X$404,$AF312,$AS$5:$AS$404),2),IF($AD312="B",ROUND(SUMIF($AN$5:$AN$404,$AQ312,$AS$5:$AS$404),2),""))))</f>
        <v/>
      </c>
      <c r="G312" s="32">
        <f>IF($AD312&lt;&gt;"D","",INDEX($AT$5:$AT$404,$AC312))</f>
        <v/>
      </c>
      <c r="H312" s="32">
        <f>IF($AD312&lt;&gt;"D","",INDEX($BC$5:$BC$404,$AC312))</f>
        <v/>
      </c>
      <c r="I312" s="32">
        <f>IF($AD312&lt;&gt;"D","",INDEX($BD$5:$BD$404,$AC312))</f>
        <v/>
      </c>
      <c r="J312" s="46">
        <f>IF($AD312&lt;&gt;"D","",IF(N($B312)=0,"",ROUND($I312/$B312,4)))</f>
        <v/>
      </c>
      <c r="K312" s="32">
        <f>IF($AD312="Z",ROUND(SUM($AU$5:$AU$404),2),IF($AD312="D",INDEX($AU$5:$AU$404,$AC312),IF($AD312="T",ROUND(SUMIF($X$5:$X$404,$AF312,$AU$5:$AU$404),2),IF($AD312="B",ROUND(SUMIF($AN$5:$AN$404,$AQ312,$AU$5:$AU$404),2),""))))</f>
        <v/>
      </c>
      <c r="L312" s="32">
        <f>IF($AD312="Z",ROUND(SUM($AV$5:$AV$404),2),IF($AD312="D",INDEX($AV$5:$AV$404,$AC312),IF($AD312="T",ROUND(SUMIF($X$5:$X$404,$AF312,$AV$5:$AV$404),2),IF($AD312="B",ROUND(SUMIF($AN$5:$AN$404,$AQ312,$AV$5:$AV$404),2),""))))</f>
        <v/>
      </c>
      <c r="M312" s="32">
        <f>IF($AD312="Z",ROUND(SUM($AJ$5:$AJ$704),2),IF($AD312="B",ROUND(SUMIF($AQ$5:$AQ$704,$AQ312,$AJ$5:$AJ$704),2),IF($AD312&lt;&gt;"T","",$AJ312)))</f>
        <v/>
      </c>
      <c r="N312" s="32">
        <f>IF(OR($AD312="D",$AD312="T",$AD312="B",$AD312="Z"),ROUND(N($K312)-N($L312)-N($M312),2),"")</f>
        <v/>
      </c>
      <c r="O312" s="32">
        <f>IF(OR($AD312="D",$AD312="T",$AD312="B",$AD312="Z"),IF(N($E312)=0,"",ROUND($F312/$E312,2)),"")</f>
        <v/>
      </c>
      <c r="Q312">
        <f>IFERROR(MATCH(308,บันทึกรายเที่ยว!$Z$6:$Z$6005,0),"")</f>
        <v/>
      </c>
      <c r="R312">
        <f>IF($Q312="","",INDEX(บันทึกรายเที่ยว!$V$6:$V$6005,$Q312))</f>
        <v/>
      </c>
      <c r="S312">
        <f>IF($Q312="","",INDEX(บันทึกรายเที่ยว!$F$6:$F$6005,$Q312))</f>
        <v/>
      </c>
      <c r="T312">
        <f>IF($Q312="","",MATCH($S312,บันทึกรายเที่ยว!$F$6:$F$6005,0))</f>
        <v/>
      </c>
      <c r="U312">
        <f>IF($Q312="","",$AL312*10000000+$T312*1000+308)</f>
        <v/>
      </c>
      <c r="V312">
        <f>IFERROR(MATCH(SMALL($U$5:$U$404,308),$U$5:$U$404,0),"")</f>
        <v/>
      </c>
      <c r="W312">
        <f>IF($V312="","",INDEX($Q$5:$Q$404,$V312))</f>
        <v/>
      </c>
      <c r="X312">
        <f>IF($V312="","",INDEX($S$5:$S$404,$V312))</f>
        <v/>
      </c>
      <c r="Y312">
        <f>IF($V312="","",INDEX($R$5:$R$404,$V312))</f>
        <v/>
      </c>
      <c r="Z312">
        <f>IF($V312="",0,IF($X312&lt;&gt;$X311,1,0))</f>
        <v/>
      </c>
      <c r="AA312">
        <f>IF($V312="",0,IF($V313="",1,IF($X313&lt;&gt;$X312,1,0)))</f>
        <v/>
      </c>
      <c r="AB312">
        <f>IF($V312="",99999+308,$AB311+1+$Z311+$AA311+$AO311)</f>
        <v/>
      </c>
      <c r="AC312">
        <f>IFERROR(MATCH(308,$AB$5:$AB$404,1),"")</f>
        <v/>
      </c>
      <c r="AD312">
        <f>IF(308=$AI$1+1,"Z",IF($AC312="","",IF(INDEX($V$5:$V$404,$AC312)="","",IF(308&gt;INDEX($AB$5:$AB$404,$AC312)+INDEX($Z$5:$Z$404,$AC312)+INDEX($AA$5:$AA$404,$AC312)+INDEX($AO$5:$AO$404,$AC312),"",IF(308=INDEX($AB$5:$AB$404,$AC312)+INDEX($Z$5:$Z$404,$AC312),"D",IF(AND(INDEX($Z$5:$Z$404,$AC312)=1,308=INDEX($AB$5:$AB$404,$AC312)),"H",IF(AND(INDEX($AO$5:$AO$404,$AC312)=1,308=INDEX($AB$5:$AB$404,$AC312)+INDEX($Z$5:$Z$404,$AC312)+INDEX($AA$5:$AA$404,$AC312)+INDEX($AO$5:$AO$404,$AC312)),"B","T")))))))</f>
        <v/>
      </c>
      <c r="AF312">
        <f>IF(OR($AD312="",$AD312="Z",$AD312="B"),"",INDEX($X$5:$X$404,$AC312))</f>
        <v/>
      </c>
      <c r="AJ312">
        <f>IF($AD312&lt;&gt;"T",0,ROUND(SUMIF(oil!$B$4:$B$63,$AF312,oil!$AE$4:$AE$63),2))</f>
        <v/>
      </c>
      <c r="AK312">
        <f>IF($S312="","",IFERROR(INDEX(อัตราค่าขนส่ง!$P$5:$P$54,MATCH($S312,อัตราค่าขนส่ง!$O$5:$O$54,0)),INDEX(รายการมาตรฐาน!$G$2:$G$3,1)))</f>
        <v/>
      </c>
      <c r="AL312">
        <f>IF($S312="","",IFERROR(MATCH($AK312,รายการมาตรฐาน!$G$2:$G$3,0),1))</f>
        <v/>
      </c>
      <c r="AM312">
        <f>IF($V312="","",INDEX($AK$5:$AK$404,$V312))</f>
        <v/>
      </c>
      <c r="AN312">
        <f>IF($V312="","",INDEX($AL$5:$AL$404,$V312))</f>
        <v/>
      </c>
      <c r="AO312">
        <f>IF(OR($V312="",$AI$2&lt;=1),0,IF($V313="",1,IF($AN313&lt;&gt;$AN312,1,0)))</f>
        <v/>
      </c>
      <c r="AP312">
        <f>IF($V312="",0,IF($AN312&lt;&gt;$AN311,1,0))</f>
        <v/>
      </c>
      <c r="AQ312">
        <f>IF(OR($AD312="",$AD312="Z"),"",INDEX($AN$5:$AN$404,$AC312))</f>
        <v/>
      </c>
      <c r="AR312">
        <f>IF($Y312="",0,COUNTIF(บันทึกรายเที่ยว!$V$6:$V$6005,$Y312))</f>
        <v/>
      </c>
      <c r="AS312">
        <f>IF($Y312="",0,ROUND(SUMIF(บันทึกรายเที่ยว!$V$6:$V$6005,$Y312,บันทึกรายเที่ยว!$M$6:$M$6005),2))</f>
        <v/>
      </c>
      <c r="AT312">
        <f>IF($Y312="",0,IFERROR(INDEX(อัตราค่าขนส่ง!$G$5:$G$204,MATCH($Y312,อัตราค่าขนส่ง!$M$5:$M$204,0)),0))</f>
        <v/>
      </c>
      <c r="AU312">
        <f>ROUND($AS312*$BD312,2)</f>
        <v/>
      </c>
      <c r="AV312">
        <f>ROUND($AU312*$BF$2/100,2)</f>
        <v/>
      </c>
      <c r="AW312">
        <f>IF($Y312="","",IFERROR(INDEX(อัตราค่าขนส่ง!$F$5:$F$204,MATCH($Y312,อัตราค่าขนส่ง!$M$5:$M$204,0)),""))</f>
        <v/>
      </c>
      <c r="AX312">
        <f>IF($W312="","",INDEX(บันทึกรายเที่ยว!$D$6:$D$6005,$W312))</f>
        <v/>
      </c>
      <c r="AY312">
        <f>IF($W312="","",INDEX(บันทึกรายเที่ยว!$R$6:$R$6005,$W312))</f>
        <v/>
      </c>
      <c r="AZ312">
        <f>IF(AND($AD312="T",$AQ312=1),N($AZ311)+1,N($AZ311))</f>
        <v/>
      </c>
      <c r="BA312">
        <f>IF($W312="","",INDEX(บันทึกรายเที่ยว!$E$6:$E$6005,$W312))</f>
        <v/>
      </c>
      <c r="BC312">
        <f>IF($Y312="",0,IFERROR(INDEX(อัตราค่าขนส่ง!$K$5:$K$204,MATCH($Y312,อัตราค่าขนส่ง!$M$5:$M$204,0)),0))</f>
        <v/>
      </c>
      <c r="BD312">
        <f>IF($Y312="",0,IFERROR(INDEX(อัตราค่าขนส่ง!$L$5:$L$204,MATCH($Y312,อัตราค่าขนส่ง!$M$5:$M$204,0)),0))</f>
        <v/>
      </c>
    </row>
    <row r="313" ht="21" customHeight="1" s="66">
      <c r="A313" s="69">
        <f>IF($AD313="","",IF($AD313="Z","รวมจ่ายทั้งสิ้น",IF($AD313="H",INDEX($X$5:$X$404,$AC313),IF($AD313="T","รวม",IF($AD313="B",IFERROR(INDEX(อัตราค่าขนส่ง!$S$5:$S$14,MATCH(INDEX($AM$5:$AM$404,$AC313),อัตราค่าขนส่ง!$R$5:$R$14,0)),"รวมกลุ่ม "&amp;INDEX($AM$5:$AM$404,$AC313)),INDEX($AY$5:$AY$404,$AC313))))))</f>
        <v/>
      </c>
      <c r="B313" s="31">
        <f>IF($AD313&lt;&gt;"D","",INDEX($AW$5:$AW$404,$AC313))</f>
        <v/>
      </c>
      <c r="C313" s="68">
        <f>IF($AD313&lt;&gt;"D","",INDEX($AX$5:$AX$404,$AC313))</f>
        <v/>
      </c>
      <c r="D313" s="70">
        <f>IF($AD313&lt;&gt;"D","",INDEX($BA$5:$BA$404,$AC313))</f>
        <v/>
      </c>
      <c r="E313" s="31">
        <f>IF($AD313="Z",SUM($AR$5:$AR$404),IF($AD313="D",INDEX($AR$5:$AR$404,$AC313),IF($AD313="T",SUMIF($X$5:$X$404,$AF313,$AR$5:$AR$404),IF($AD313="B",SUMIF($AN$5:$AN$404,$AQ313,$AR$5:$AR$404),""))))</f>
        <v/>
      </c>
      <c r="F313" s="32">
        <f>IF($AD313="Z",ROUND(SUM($AS$5:$AS$404),2),IF($AD313="D",INDEX($AS$5:$AS$404,$AC313),IF($AD313="T",ROUND(SUMIF($X$5:$X$404,$AF313,$AS$5:$AS$404),2),IF($AD313="B",ROUND(SUMIF($AN$5:$AN$404,$AQ313,$AS$5:$AS$404),2),""))))</f>
        <v/>
      </c>
      <c r="G313" s="32">
        <f>IF($AD313&lt;&gt;"D","",INDEX($AT$5:$AT$404,$AC313))</f>
        <v/>
      </c>
      <c r="H313" s="32">
        <f>IF($AD313&lt;&gt;"D","",INDEX($BC$5:$BC$404,$AC313))</f>
        <v/>
      </c>
      <c r="I313" s="32">
        <f>IF($AD313&lt;&gt;"D","",INDEX($BD$5:$BD$404,$AC313))</f>
        <v/>
      </c>
      <c r="J313" s="46">
        <f>IF($AD313&lt;&gt;"D","",IF(N($B313)=0,"",ROUND($I313/$B313,4)))</f>
        <v/>
      </c>
      <c r="K313" s="32">
        <f>IF($AD313="Z",ROUND(SUM($AU$5:$AU$404),2),IF($AD313="D",INDEX($AU$5:$AU$404,$AC313),IF($AD313="T",ROUND(SUMIF($X$5:$X$404,$AF313,$AU$5:$AU$404),2),IF($AD313="B",ROUND(SUMIF($AN$5:$AN$404,$AQ313,$AU$5:$AU$404),2),""))))</f>
        <v/>
      </c>
      <c r="L313" s="32">
        <f>IF($AD313="Z",ROUND(SUM($AV$5:$AV$404),2),IF($AD313="D",INDEX($AV$5:$AV$404,$AC313),IF($AD313="T",ROUND(SUMIF($X$5:$X$404,$AF313,$AV$5:$AV$404),2),IF($AD313="B",ROUND(SUMIF($AN$5:$AN$404,$AQ313,$AV$5:$AV$404),2),""))))</f>
        <v/>
      </c>
      <c r="M313" s="32">
        <f>IF($AD313="Z",ROUND(SUM($AJ$5:$AJ$704),2),IF($AD313="B",ROUND(SUMIF($AQ$5:$AQ$704,$AQ313,$AJ$5:$AJ$704),2),IF($AD313&lt;&gt;"T","",$AJ313)))</f>
        <v/>
      </c>
      <c r="N313" s="32">
        <f>IF(OR($AD313="D",$AD313="T",$AD313="B",$AD313="Z"),ROUND(N($K313)-N($L313)-N($M313),2),"")</f>
        <v/>
      </c>
      <c r="O313" s="32">
        <f>IF(OR($AD313="D",$AD313="T",$AD313="B",$AD313="Z"),IF(N($E313)=0,"",ROUND($F313/$E313,2)),"")</f>
        <v/>
      </c>
      <c r="Q313">
        <f>IFERROR(MATCH(309,บันทึกรายเที่ยว!$Z$6:$Z$6005,0),"")</f>
        <v/>
      </c>
      <c r="R313">
        <f>IF($Q313="","",INDEX(บันทึกรายเที่ยว!$V$6:$V$6005,$Q313))</f>
        <v/>
      </c>
      <c r="S313">
        <f>IF($Q313="","",INDEX(บันทึกรายเที่ยว!$F$6:$F$6005,$Q313))</f>
        <v/>
      </c>
      <c r="T313">
        <f>IF($Q313="","",MATCH($S313,บันทึกรายเที่ยว!$F$6:$F$6005,0))</f>
        <v/>
      </c>
      <c r="U313">
        <f>IF($Q313="","",$AL313*10000000+$T313*1000+309)</f>
        <v/>
      </c>
      <c r="V313">
        <f>IFERROR(MATCH(SMALL($U$5:$U$404,309),$U$5:$U$404,0),"")</f>
        <v/>
      </c>
      <c r="W313">
        <f>IF($V313="","",INDEX($Q$5:$Q$404,$V313))</f>
        <v/>
      </c>
      <c r="X313">
        <f>IF($V313="","",INDEX($S$5:$S$404,$V313))</f>
        <v/>
      </c>
      <c r="Y313">
        <f>IF($V313="","",INDEX($R$5:$R$404,$V313))</f>
        <v/>
      </c>
      <c r="Z313">
        <f>IF($V313="",0,IF($X313&lt;&gt;$X312,1,0))</f>
        <v/>
      </c>
      <c r="AA313">
        <f>IF($V313="",0,IF($V314="",1,IF($X314&lt;&gt;$X313,1,0)))</f>
        <v/>
      </c>
      <c r="AB313">
        <f>IF($V313="",99999+309,$AB312+1+$Z312+$AA312+$AO312)</f>
        <v/>
      </c>
      <c r="AC313">
        <f>IFERROR(MATCH(309,$AB$5:$AB$404,1),"")</f>
        <v/>
      </c>
      <c r="AD313">
        <f>IF(309=$AI$1+1,"Z",IF($AC313="","",IF(INDEX($V$5:$V$404,$AC313)="","",IF(309&gt;INDEX($AB$5:$AB$404,$AC313)+INDEX($Z$5:$Z$404,$AC313)+INDEX($AA$5:$AA$404,$AC313)+INDEX($AO$5:$AO$404,$AC313),"",IF(309=INDEX($AB$5:$AB$404,$AC313)+INDEX($Z$5:$Z$404,$AC313),"D",IF(AND(INDEX($Z$5:$Z$404,$AC313)=1,309=INDEX($AB$5:$AB$404,$AC313)),"H",IF(AND(INDEX($AO$5:$AO$404,$AC313)=1,309=INDEX($AB$5:$AB$404,$AC313)+INDEX($Z$5:$Z$404,$AC313)+INDEX($AA$5:$AA$404,$AC313)+INDEX($AO$5:$AO$404,$AC313)),"B","T")))))))</f>
        <v/>
      </c>
      <c r="AF313">
        <f>IF(OR($AD313="",$AD313="Z",$AD313="B"),"",INDEX($X$5:$X$404,$AC313))</f>
        <v/>
      </c>
      <c r="AJ313">
        <f>IF($AD313&lt;&gt;"T",0,ROUND(SUMIF(oil!$B$4:$B$63,$AF313,oil!$AE$4:$AE$63),2))</f>
        <v/>
      </c>
      <c r="AK313">
        <f>IF($S313="","",IFERROR(INDEX(อัตราค่าขนส่ง!$P$5:$P$54,MATCH($S313,อัตราค่าขนส่ง!$O$5:$O$54,0)),INDEX(รายการมาตรฐาน!$G$2:$G$3,1)))</f>
        <v/>
      </c>
      <c r="AL313">
        <f>IF($S313="","",IFERROR(MATCH($AK313,รายการมาตรฐาน!$G$2:$G$3,0),1))</f>
        <v/>
      </c>
      <c r="AM313">
        <f>IF($V313="","",INDEX($AK$5:$AK$404,$V313))</f>
        <v/>
      </c>
      <c r="AN313">
        <f>IF($V313="","",INDEX($AL$5:$AL$404,$V313))</f>
        <v/>
      </c>
      <c r="AO313">
        <f>IF(OR($V313="",$AI$2&lt;=1),0,IF($V314="",1,IF($AN314&lt;&gt;$AN313,1,0)))</f>
        <v/>
      </c>
      <c r="AP313">
        <f>IF($V313="",0,IF($AN313&lt;&gt;$AN312,1,0))</f>
        <v/>
      </c>
      <c r="AQ313">
        <f>IF(OR($AD313="",$AD313="Z"),"",INDEX($AN$5:$AN$404,$AC313))</f>
        <v/>
      </c>
      <c r="AR313">
        <f>IF($Y313="",0,COUNTIF(บันทึกรายเที่ยว!$V$6:$V$6005,$Y313))</f>
        <v/>
      </c>
      <c r="AS313">
        <f>IF($Y313="",0,ROUND(SUMIF(บันทึกรายเที่ยว!$V$6:$V$6005,$Y313,บันทึกรายเที่ยว!$M$6:$M$6005),2))</f>
        <v/>
      </c>
      <c r="AT313">
        <f>IF($Y313="",0,IFERROR(INDEX(อัตราค่าขนส่ง!$G$5:$G$204,MATCH($Y313,อัตราค่าขนส่ง!$M$5:$M$204,0)),0))</f>
        <v/>
      </c>
      <c r="AU313">
        <f>ROUND($AS313*$BD313,2)</f>
        <v/>
      </c>
      <c r="AV313">
        <f>ROUND($AU313*$BF$2/100,2)</f>
        <v/>
      </c>
      <c r="AW313">
        <f>IF($Y313="","",IFERROR(INDEX(อัตราค่าขนส่ง!$F$5:$F$204,MATCH($Y313,อัตราค่าขนส่ง!$M$5:$M$204,0)),""))</f>
        <v/>
      </c>
      <c r="AX313">
        <f>IF($W313="","",INDEX(บันทึกรายเที่ยว!$D$6:$D$6005,$W313))</f>
        <v/>
      </c>
      <c r="AY313">
        <f>IF($W313="","",INDEX(บันทึกรายเที่ยว!$R$6:$R$6005,$W313))</f>
        <v/>
      </c>
      <c r="AZ313">
        <f>IF(AND($AD313="T",$AQ313=1),N($AZ312)+1,N($AZ312))</f>
        <v/>
      </c>
      <c r="BA313">
        <f>IF($W313="","",INDEX(บันทึกรายเที่ยว!$E$6:$E$6005,$W313))</f>
        <v/>
      </c>
      <c r="BC313">
        <f>IF($Y313="",0,IFERROR(INDEX(อัตราค่าขนส่ง!$K$5:$K$204,MATCH($Y313,อัตราค่าขนส่ง!$M$5:$M$204,0)),0))</f>
        <v/>
      </c>
      <c r="BD313">
        <f>IF($Y313="",0,IFERROR(INDEX(อัตราค่าขนส่ง!$L$5:$L$204,MATCH($Y313,อัตราค่าขนส่ง!$M$5:$M$204,0)),0))</f>
        <v/>
      </c>
    </row>
    <row r="314" ht="21" customHeight="1" s="66">
      <c r="A314" s="69">
        <f>IF($AD314="","",IF($AD314="Z","รวมจ่ายทั้งสิ้น",IF($AD314="H",INDEX($X$5:$X$404,$AC314),IF($AD314="T","รวม",IF($AD314="B",IFERROR(INDEX(อัตราค่าขนส่ง!$S$5:$S$14,MATCH(INDEX($AM$5:$AM$404,$AC314),อัตราค่าขนส่ง!$R$5:$R$14,0)),"รวมกลุ่ม "&amp;INDEX($AM$5:$AM$404,$AC314)),INDEX($AY$5:$AY$404,$AC314))))))</f>
        <v/>
      </c>
      <c r="B314" s="31">
        <f>IF($AD314&lt;&gt;"D","",INDEX($AW$5:$AW$404,$AC314))</f>
        <v/>
      </c>
      <c r="C314" s="68">
        <f>IF($AD314&lt;&gt;"D","",INDEX($AX$5:$AX$404,$AC314))</f>
        <v/>
      </c>
      <c r="D314" s="70">
        <f>IF($AD314&lt;&gt;"D","",INDEX($BA$5:$BA$404,$AC314))</f>
        <v/>
      </c>
      <c r="E314" s="31">
        <f>IF($AD314="Z",SUM($AR$5:$AR$404),IF($AD314="D",INDEX($AR$5:$AR$404,$AC314),IF($AD314="T",SUMIF($X$5:$X$404,$AF314,$AR$5:$AR$404),IF($AD314="B",SUMIF($AN$5:$AN$404,$AQ314,$AR$5:$AR$404),""))))</f>
        <v/>
      </c>
      <c r="F314" s="32">
        <f>IF($AD314="Z",ROUND(SUM($AS$5:$AS$404),2),IF($AD314="D",INDEX($AS$5:$AS$404,$AC314),IF($AD314="T",ROUND(SUMIF($X$5:$X$404,$AF314,$AS$5:$AS$404),2),IF($AD314="B",ROUND(SUMIF($AN$5:$AN$404,$AQ314,$AS$5:$AS$404),2),""))))</f>
        <v/>
      </c>
      <c r="G314" s="32">
        <f>IF($AD314&lt;&gt;"D","",INDEX($AT$5:$AT$404,$AC314))</f>
        <v/>
      </c>
      <c r="H314" s="32">
        <f>IF($AD314&lt;&gt;"D","",INDEX($BC$5:$BC$404,$AC314))</f>
        <v/>
      </c>
      <c r="I314" s="32">
        <f>IF($AD314&lt;&gt;"D","",INDEX($BD$5:$BD$404,$AC314))</f>
        <v/>
      </c>
      <c r="J314" s="46">
        <f>IF($AD314&lt;&gt;"D","",IF(N($B314)=0,"",ROUND($I314/$B314,4)))</f>
        <v/>
      </c>
      <c r="K314" s="32">
        <f>IF($AD314="Z",ROUND(SUM($AU$5:$AU$404),2),IF($AD314="D",INDEX($AU$5:$AU$404,$AC314),IF($AD314="T",ROUND(SUMIF($X$5:$X$404,$AF314,$AU$5:$AU$404),2),IF($AD314="B",ROUND(SUMIF($AN$5:$AN$404,$AQ314,$AU$5:$AU$404),2),""))))</f>
        <v/>
      </c>
      <c r="L314" s="32">
        <f>IF($AD314="Z",ROUND(SUM($AV$5:$AV$404),2),IF($AD314="D",INDEX($AV$5:$AV$404,$AC314),IF($AD314="T",ROUND(SUMIF($X$5:$X$404,$AF314,$AV$5:$AV$404),2),IF($AD314="B",ROUND(SUMIF($AN$5:$AN$404,$AQ314,$AV$5:$AV$404),2),""))))</f>
        <v/>
      </c>
      <c r="M314" s="32">
        <f>IF($AD314="Z",ROUND(SUM($AJ$5:$AJ$704),2),IF($AD314="B",ROUND(SUMIF($AQ$5:$AQ$704,$AQ314,$AJ$5:$AJ$704),2),IF($AD314&lt;&gt;"T","",$AJ314)))</f>
        <v/>
      </c>
      <c r="N314" s="32">
        <f>IF(OR($AD314="D",$AD314="T",$AD314="B",$AD314="Z"),ROUND(N($K314)-N($L314)-N($M314),2),"")</f>
        <v/>
      </c>
      <c r="O314" s="32">
        <f>IF(OR($AD314="D",$AD314="T",$AD314="B",$AD314="Z"),IF(N($E314)=0,"",ROUND($F314/$E314,2)),"")</f>
        <v/>
      </c>
      <c r="Q314">
        <f>IFERROR(MATCH(310,บันทึกรายเที่ยว!$Z$6:$Z$6005,0),"")</f>
        <v/>
      </c>
      <c r="R314">
        <f>IF($Q314="","",INDEX(บันทึกรายเที่ยว!$V$6:$V$6005,$Q314))</f>
        <v/>
      </c>
      <c r="S314">
        <f>IF($Q314="","",INDEX(บันทึกรายเที่ยว!$F$6:$F$6005,$Q314))</f>
        <v/>
      </c>
      <c r="T314">
        <f>IF($Q314="","",MATCH($S314,บันทึกรายเที่ยว!$F$6:$F$6005,0))</f>
        <v/>
      </c>
      <c r="U314">
        <f>IF($Q314="","",$AL314*10000000+$T314*1000+310)</f>
        <v/>
      </c>
      <c r="V314">
        <f>IFERROR(MATCH(SMALL($U$5:$U$404,310),$U$5:$U$404,0),"")</f>
        <v/>
      </c>
      <c r="W314">
        <f>IF($V314="","",INDEX($Q$5:$Q$404,$V314))</f>
        <v/>
      </c>
      <c r="X314">
        <f>IF($V314="","",INDEX($S$5:$S$404,$V314))</f>
        <v/>
      </c>
      <c r="Y314">
        <f>IF($V314="","",INDEX($R$5:$R$404,$V314))</f>
        <v/>
      </c>
      <c r="Z314">
        <f>IF($V314="",0,IF($X314&lt;&gt;$X313,1,0))</f>
        <v/>
      </c>
      <c r="AA314">
        <f>IF($V314="",0,IF($V315="",1,IF($X315&lt;&gt;$X314,1,0)))</f>
        <v/>
      </c>
      <c r="AB314">
        <f>IF($V314="",99999+310,$AB313+1+$Z313+$AA313+$AO313)</f>
        <v/>
      </c>
      <c r="AC314">
        <f>IFERROR(MATCH(310,$AB$5:$AB$404,1),"")</f>
        <v/>
      </c>
      <c r="AD314">
        <f>IF(310=$AI$1+1,"Z",IF($AC314="","",IF(INDEX($V$5:$V$404,$AC314)="","",IF(310&gt;INDEX($AB$5:$AB$404,$AC314)+INDEX($Z$5:$Z$404,$AC314)+INDEX($AA$5:$AA$404,$AC314)+INDEX($AO$5:$AO$404,$AC314),"",IF(310=INDEX($AB$5:$AB$404,$AC314)+INDEX($Z$5:$Z$404,$AC314),"D",IF(AND(INDEX($Z$5:$Z$404,$AC314)=1,310=INDEX($AB$5:$AB$404,$AC314)),"H",IF(AND(INDEX($AO$5:$AO$404,$AC314)=1,310=INDEX($AB$5:$AB$404,$AC314)+INDEX($Z$5:$Z$404,$AC314)+INDEX($AA$5:$AA$404,$AC314)+INDEX($AO$5:$AO$404,$AC314)),"B","T")))))))</f>
        <v/>
      </c>
      <c r="AF314">
        <f>IF(OR($AD314="",$AD314="Z",$AD314="B"),"",INDEX($X$5:$X$404,$AC314))</f>
        <v/>
      </c>
      <c r="AJ314">
        <f>IF($AD314&lt;&gt;"T",0,ROUND(SUMIF(oil!$B$4:$B$63,$AF314,oil!$AE$4:$AE$63),2))</f>
        <v/>
      </c>
      <c r="AK314">
        <f>IF($S314="","",IFERROR(INDEX(อัตราค่าขนส่ง!$P$5:$P$54,MATCH($S314,อัตราค่าขนส่ง!$O$5:$O$54,0)),INDEX(รายการมาตรฐาน!$G$2:$G$3,1)))</f>
        <v/>
      </c>
      <c r="AL314">
        <f>IF($S314="","",IFERROR(MATCH($AK314,รายการมาตรฐาน!$G$2:$G$3,0),1))</f>
        <v/>
      </c>
      <c r="AM314">
        <f>IF($V314="","",INDEX($AK$5:$AK$404,$V314))</f>
        <v/>
      </c>
      <c r="AN314">
        <f>IF($V314="","",INDEX($AL$5:$AL$404,$V314))</f>
        <v/>
      </c>
      <c r="AO314">
        <f>IF(OR($V314="",$AI$2&lt;=1),0,IF($V315="",1,IF($AN315&lt;&gt;$AN314,1,0)))</f>
        <v/>
      </c>
      <c r="AP314">
        <f>IF($V314="",0,IF($AN314&lt;&gt;$AN313,1,0))</f>
        <v/>
      </c>
      <c r="AQ314">
        <f>IF(OR($AD314="",$AD314="Z"),"",INDEX($AN$5:$AN$404,$AC314))</f>
        <v/>
      </c>
      <c r="AR314">
        <f>IF($Y314="",0,COUNTIF(บันทึกรายเที่ยว!$V$6:$V$6005,$Y314))</f>
        <v/>
      </c>
      <c r="AS314">
        <f>IF($Y314="",0,ROUND(SUMIF(บันทึกรายเที่ยว!$V$6:$V$6005,$Y314,บันทึกรายเที่ยว!$M$6:$M$6005),2))</f>
        <v/>
      </c>
      <c r="AT314">
        <f>IF($Y314="",0,IFERROR(INDEX(อัตราค่าขนส่ง!$G$5:$G$204,MATCH($Y314,อัตราค่าขนส่ง!$M$5:$M$204,0)),0))</f>
        <v/>
      </c>
      <c r="AU314">
        <f>ROUND($AS314*$BD314,2)</f>
        <v/>
      </c>
      <c r="AV314">
        <f>ROUND($AU314*$BF$2/100,2)</f>
        <v/>
      </c>
      <c r="AW314">
        <f>IF($Y314="","",IFERROR(INDEX(อัตราค่าขนส่ง!$F$5:$F$204,MATCH($Y314,อัตราค่าขนส่ง!$M$5:$M$204,0)),""))</f>
        <v/>
      </c>
      <c r="AX314">
        <f>IF($W314="","",INDEX(บันทึกรายเที่ยว!$D$6:$D$6005,$W314))</f>
        <v/>
      </c>
      <c r="AY314">
        <f>IF($W314="","",INDEX(บันทึกรายเที่ยว!$R$6:$R$6005,$W314))</f>
        <v/>
      </c>
      <c r="AZ314">
        <f>IF(AND($AD314="T",$AQ314=1),N($AZ313)+1,N($AZ313))</f>
        <v/>
      </c>
      <c r="BA314">
        <f>IF($W314="","",INDEX(บันทึกรายเที่ยว!$E$6:$E$6005,$W314))</f>
        <v/>
      </c>
      <c r="BC314">
        <f>IF($Y314="",0,IFERROR(INDEX(อัตราค่าขนส่ง!$K$5:$K$204,MATCH($Y314,อัตราค่าขนส่ง!$M$5:$M$204,0)),0))</f>
        <v/>
      </c>
      <c r="BD314">
        <f>IF($Y314="",0,IFERROR(INDEX(อัตราค่าขนส่ง!$L$5:$L$204,MATCH($Y314,อัตราค่าขนส่ง!$M$5:$M$204,0)),0))</f>
        <v/>
      </c>
    </row>
    <row r="315" ht="21" customHeight="1" s="66">
      <c r="A315" s="69">
        <f>IF($AD315="","",IF($AD315="Z","รวมจ่ายทั้งสิ้น",IF($AD315="H",INDEX($X$5:$X$404,$AC315),IF($AD315="T","รวม",IF($AD315="B",IFERROR(INDEX(อัตราค่าขนส่ง!$S$5:$S$14,MATCH(INDEX($AM$5:$AM$404,$AC315),อัตราค่าขนส่ง!$R$5:$R$14,0)),"รวมกลุ่ม "&amp;INDEX($AM$5:$AM$404,$AC315)),INDEX($AY$5:$AY$404,$AC315))))))</f>
        <v/>
      </c>
      <c r="B315" s="31">
        <f>IF($AD315&lt;&gt;"D","",INDEX($AW$5:$AW$404,$AC315))</f>
        <v/>
      </c>
      <c r="C315" s="68">
        <f>IF($AD315&lt;&gt;"D","",INDEX($AX$5:$AX$404,$AC315))</f>
        <v/>
      </c>
      <c r="D315" s="70">
        <f>IF($AD315&lt;&gt;"D","",INDEX($BA$5:$BA$404,$AC315))</f>
        <v/>
      </c>
      <c r="E315" s="31">
        <f>IF($AD315="Z",SUM($AR$5:$AR$404),IF($AD315="D",INDEX($AR$5:$AR$404,$AC315),IF($AD315="T",SUMIF($X$5:$X$404,$AF315,$AR$5:$AR$404),IF($AD315="B",SUMIF($AN$5:$AN$404,$AQ315,$AR$5:$AR$404),""))))</f>
        <v/>
      </c>
      <c r="F315" s="32">
        <f>IF($AD315="Z",ROUND(SUM($AS$5:$AS$404),2),IF($AD315="D",INDEX($AS$5:$AS$404,$AC315),IF($AD315="T",ROUND(SUMIF($X$5:$X$404,$AF315,$AS$5:$AS$404),2),IF($AD315="B",ROUND(SUMIF($AN$5:$AN$404,$AQ315,$AS$5:$AS$404),2),""))))</f>
        <v/>
      </c>
      <c r="G315" s="32">
        <f>IF($AD315&lt;&gt;"D","",INDEX($AT$5:$AT$404,$AC315))</f>
        <v/>
      </c>
      <c r="H315" s="32">
        <f>IF($AD315&lt;&gt;"D","",INDEX($BC$5:$BC$404,$AC315))</f>
        <v/>
      </c>
      <c r="I315" s="32">
        <f>IF($AD315&lt;&gt;"D","",INDEX($BD$5:$BD$404,$AC315))</f>
        <v/>
      </c>
      <c r="J315" s="46">
        <f>IF($AD315&lt;&gt;"D","",IF(N($B315)=0,"",ROUND($I315/$B315,4)))</f>
        <v/>
      </c>
      <c r="K315" s="32">
        <f>IF($AD315="Z",ROUND(SUM($AU$5:$AU$404),2),IF($AD315="D",INDEX($AU$5:$AU$404,$AC315),IF($AD315="T",ROUND(SUMIF($X$5:$X$404,$AF315,$AU$5:$AU$404),2),IF($AD315="B",ROUND(SUMIF($AN$5:$AN$404,$AQ315,$AU$5:$AU$404),2),""))))</f>
        <v/>
      </c>
      <c r="L315" s="32">
        <f>IF($AD315="Z",ROUND(SUM($AV$5:$AV$404),2),IF($AD315="D",INDEX($AV$5:$AV$404,$AC315),IF($AD315="T",ROUND(SUMIF($X$5:$X$404,$AF315,$AV$5:$AV$404),2),IF($AD315="B",ROUND(SUMIF($AN$5:$AN$404,$AQ315,$AV$5:$AV$404),2),""))))</f>
        <v/>
      </c>
      <c r="M315" s="32">
        <f>IF($AD315="Z",ROUND(SUM($AJ$5:$AJ$704),2),IF($AD315="B",ROUND(SUMIF($AQ$5:$AQ$704,$AQ315,$AJ$5:$AJ$704),2),IF($AD315&lt;&gt;"T","",$AJ315)))</f>
        <v/>
      </c>
      <c r="N315" s="32">
        <f>IF(OR($AD315="D",$AD315="T",$AD315="B",$AD315="Z"),ROUND(N($K315)-N($L315)-N($M315),2),"")</f>
        <v/>
      </c>
      <c r="O315" s="32">
        <f>IF(OR($AD315="D",$AD315="T",$AD315="B",$AD315="Z"),IF(N($E315)=0,"",ROUND($F315/$E315,2)),"")</f>
        <v/>
      </c>
      <c r="Q315">
        <f>IFERROR(MATCH(311,บันทึกรายเที่ยว!$Z$6:$Z$6005,0),"")</f>
        <v/>
      </c>
      <c r="R315">
        <f>IF($Q315="","",INDEX(บันทึกรายเที่ยว!$V$6:$V$6005,$Q315))</f>
        <v/>
      </c>
      <c r="S315">
        <f>IF($Q315="","",INDEX(บันทึกรายเที่ยว!$F$6:$F$6005,$Q315))</f>
        <v/>
      </c>
      <c r="T315">
        <f>IF($Q315="","",MATCH($S315,บันทึกรายเที่ยว!$F$6:$F$6005,0))</f>
        <v/>
      </c>
      <c r="U315">
        <f>IF($Q315="","",$AL315*10000000+$T315*1000+311)</f>
        <v/>
      </c>
      <c r="V315">
        <f>IFERROR(MATCH(SMALL($U$5:$U$404,311),$U$5:$U$404,0),"")</f>
        <v/>
      </c>
      <c r="W315">
        <f>IF($V315="","",INDEX($Q$5:$Q$404,$V315))</f>
        <v/>
      </c>
      <c r="X315">
        <f>IF($V315="","",INDEX($S$5:$S$404,$V315))</f>
        <v/>
      </c>
      <c r="Y315">
        <f>IF($V315="","",INDEX($R$5:$R$404,$V315))</f>
        <v/>
      </c>
      <c r="Z315">
        <f>IF($V315="",0,IF($X315&lt;&gt;$X314,1,0))</f>
        <v/>
      </c>
      <c r="AA315">
        <f>IF($V315="",0,IF($V316="",1,IF($X316&lt;&gt;$X315,1,0)))</f>
        <v/>
      </c>
      <c r="AB315">
        <f>IF($V315="",99999+311,$AB314+1+$Z314+$AA314+$AO314)</f>
        <v/>
      </c>
      <c r="AC315">
        <f>IFERROR(MATCH(311,$AB$5:$AB$404,1),"")</f>
        <v/>
      </c>
      <c r="AD315">
        <f>IF(311=$AI$1+1,"Z",IF($AC315="","",IF(INDEX($V$5:$V$404,$AC315)="","",IF(311&gt;INDEX($AB$5:$AB$404,$AC315)+INDEX($Z$5:$Z$404,$AC315)+INDEX($AA$5:$AA$404,$AC315)+INDEX($AO$5:$AO$404,$AC315),"",IF(311=INDEX($AB$5:$AB$404,$AC315)+INDEX($Z$5:$Z$404,$AC315),"D",IF(AND(INDEX($Z$5:$Z$404,$AC315)=1,311=INDEX($AB$5:$AB$404,$AC315)),"H",IF(AND(INDEX($AO$5:$AO$404,$AC315)=1,311=INDEX($AB$5:$AB$404,$AC315)+INDEX($Z$5:$Z$404,$AC315)+INDEX($AA$5:$AA$404,$AC315)+INDEX($AO$5:$AO$404,$AC315)),"B","T")))))))</f>
        <v/>
      </c>
      <c r="AF315">
        <f>IF(OR($AD315="",$AD315="Z",$AD315="B"),"",INDEX($X$5:$X$404,$AC315))</f>
        <v/>
      </c>
      <c r="AJ315">
        <f>IF($AD315&lt;&gt;"T",0,ROUND(SUMIF(oil!$B$4:$B$63,$AF315,oil!$AE$4:$AE$63),2))</f>
        <v/>
      </c>
      <c r="AK315">
        <f>IF($S315="","",IFERROR(INDEX(อัตราค่าขนส่ง!$P$5:$P$54,MATCH($S315,อัตราค่าขนส่ง!$O$5:$O$54,0)),INDEX(รายการมาตรฐาน!$G$2:$G$3,1)))</f>
        <v/>
      </c>
      <c r="AL315">
        <f>IF($S315="","",IFERROR(MATCH($AK315,รายการมาตรฐาน!$G$2:$G$3,0),1))</f>
        <v/>
      </c>
      <c r="AM315">
        <f>IF($V315="","",INDEX($AK$5:$AK$404,$V315))</f>
        <v/>
      </c>
      <c r="AN315">
        <f>IF($V315="","",INDEX($AL$5:$AL$404,$V315))</f>
        <v/>
      </c>
      <c r="AO315">
        <f>IF(OR($V315="",$AI$2&lt;=1),0,IF($V316="",1,IF($AN316&lt;&gt;$AN315,1,0)))</f>
        <v/>
      </c>
      <c r="AP315">
        <f>IF($V315="",0,IF($AN315&lt;&gt;$AN314,1,0))</f>
        <v/>
      </c>
      <c r="AQ315">
        <f>IF(OR($AD315="",$AD315="Z"),"",INDEX($AN$5:$AN$404,$AC315))</f>
        <v/>
      </c>
      <c r="AR315">
        <f>IF($Y315="",0,COUNTIF(บันทึกรายเที่ยว!$V$6:$V$6005,$Y315))</f>
        <v/>
      </c>
      <c r="AS315">
        <f>IF($Y315="",0,ROUND(SUMIF(บันทึกรายเที่ยว!$V$6:$V$6005,$Y315,บันทึกรายเที่ยว!$M$6:$M$6005),2))</f>
        <v/>
      </c>
      <c r="AT315">
        <f>IF($Y315="",0,IFERROR(INDEX(อัตราค่าขนส่ง!$G$5:$G$204,MATCH($Y315,อัตราค่าขนส่ง!$M$5:$M$204,0)),0))</f>
        <v/>
      </c>
      <c r="AU315">
        <f>ROUND($AS315*$BD315,2)</f>
        <v/>
      </c>
      <c r="AV315">
        <f>ROUND($AU315*$BF$2/100,2)</f>
        <v/>
      </c>
      <c r="AW315">
        <f>IF($Y315="","",IFERROR(INDEX(อัตราค่าขนส่ง!$F$5:$F$204,MATCH($Y315,อัตราค่าขนส่ง!$M$5:$M$204,0)),""))</f>
        <v/>
      </c>
      <c r="AX315">
        <f>IF($W315="","",INDEX(บันทึกรายเที่ยว!$D$6:$D$6005,$W315))</f>
        <v/>
      </c>
      <c r="AY315">
        <f>IF($W315="","",INDEX(บันทึกรายเที่ยว!$R$6:$R$6005,$W315))</f>
        <v/>
      </c>
      <c r="AZ315">
        <f>IF(AND($AD315="T",$AQ315=1),N($AZ314)+1,N($AZ314))</f>
        <v/>
      </c>
      <c r="BA315">
        <f>IF($W315="","",INDEX(บันทึกรายเที่ยว!$E$6:$E$6005,$W315))</f>
        <v/>
      </c>
      <c r="BC315">
        <f>IF($Y315="",0,IFERROR(INDEX(อัตราค่าขนส่ง!$K$5:$K$204,MATCH($Y315,อัตราค่าขนส่ง!$M$5:$M$204,0)),0))</f>
        <v/>
      </c>
      <c r="BD315">
        <f>IF($Y315="",0,IFERROR(INDEX(อัตราค่าขนส่ง!$L$5:$L$204,MATCH($Y315,อัตราค่าขนส่ง!$M$5:$M$204,0)),0))</f>
        <v/>
      </c>
    </row>
    <row r="316" ht="21" customHeight="1" s="66">
      <c r="A316" s="69">
        <f>IF($AD316="","",IF($AD316="Z","รวมจ่ายทั้งสิ้น",IF($AD316="H",INDEX($X$5:$X$404,$AC316),IF($AD316="T","รวม",IF($AD316="B",IFERROR(INDEX(อัตราค่าขนส่ง!$S$5:$S$14,MATCH(INDEX($AM$5:$AM$404,$AC316),อัตราค่าขนส่ง!$R$5:$R$14,0)),"รวมกลุ่ม "&amp;INDEX($AM$5:$AM$404,$AC316)),INDEX($AY$5:$AY$404,$AC316))))))</f>
        <v/>
      </c>
      <c r="B316" s="31">
        <f>IF($AD316&lt;&gt;"D","",INDEX($AW$5:$AW$404,$AC316))</f>
        <v/>
      </c>
      <c r="C316" s="68">
        <f>IF($AD316&lt;&gt;"D","",INDEX($AX$5:$AX$404,$AC316))</f>
        <v/>
      </c>
      <c r="D316" s="70">
        <f>IF($AD316&lt;&gt;"D","",INDEX($BA$5:$BA$404,$AC316))</f>
        <v/>
      </c>
      <c r="E316" s="31">
        <f>IF($AD316="Z",SUM($AR$5:$AR$404),IF($AD316="D",INDEX($AR$5:$AR$404,$AC316),IF($AD316="T",SUMIF($X$5:$X$404,$AF316,$AR$5:$AR$404),IF($AD316="B",SUMIF($AN$5:$AN$404,$AQ316,$AR$5:$AR$404),""))))</f>
        <v/>
      </c>
      <c r="F316" s="32">
        <f>IF($AD316="Z",ROUND(SUM($AS$5:$AS$404),2),IF($AD316="D",INDEX($AS$5:$AS$404,$AC316),IF($AD316="T",ROUND(SUMIF($X$5:$X$404,$AF316,$AS$5:$AS$404),2),IF($AD316="B",ROUND(SUMIF($AN$5:$AN$404,$AQ316,$AS$5:$AS$404),2),""))))</f>
        <v/>
      </c>
      <c r="G316" s="32">
        <f>IF($AD316&lt;&gt;"D","",INDEX($AT$5:$AT$404,$AC316))</f>
        <v/>
      </c>
      <c r="H316" s="32">
        <f>IF($AD316&lt;&gt;"D","",INDEX($BC$5:$BC$404,$AC316))</f>
        <v/>
      </c>
      <c r="I316" s="32">
        <f>IF($AD316&lt;&gt;"D","",INDEX($BD$5:$BD$404,$AC316))</f>
        <v/>
      </c>
      <c r="J316" s="46">
        <f>IF($AD316&lt;&gt;"D","",IF(N($B316)=0,"",ROUND($I316/$B316,4)))</f>
        <v/>
      </c>
      <c r="K316" s="32">
        <f>IF($AD316="Z",ROUND(SUM($AU$5:$AU$404),2),IF($AD316="D",INDEX($AU$5:$AU$404,$AC316),IF($AD316="T",ROUND(SUMIF($X$5:$X$404,$AF316,$AU$5:$AU$404),2),IF($AD316="B",ROUND(SUMIF($AN$5:$AN$404,$AQ316,$AU$5:$AU$404),2),""))))</f>
        <v/>
      </c>
      <c r="L316" s="32">
        <f>IF($AD316="Z",ROUND(SUM($AV$5:$AV$404),2),IF($AD316="D",INDEX($AV$5:$AV$404,$AC316),IF($AD316="T",ROUND(SUMIF($X$5:$X$404,$AF316,$AV$5:$AV$404),2),IF($AD316="B",ROUND(SUMIF($AN$5:$AN$404,$AQ316,$AV$5:$AV$404),2),""))))</f>
        <v/>
      </c>
      <c r="M316" s="32">
        <f>IF($AD316="Z",ROUND(SUM($AJ$5:$AJ$704),2),IF($AD316="B",ROUND(SUMIF($AQ$5:$AQ$704,$AQ316,$AJ$5:$AJ$704),2),IF($AD316&lt;&gt;"T","",$AJ316)))</f>
        <v/>
      </c>
      <c r="N316" s="32">
        <f>IF(OR($AD316="D",$AD316="T",$AD316="B",$AD316="Z"),ROUND(N($K316)-N($L316)-N($M316),2),"")</f>
        <v/>
      </c>
      <c r="O316" s="32">
        <f>IF(OR($AD316="D",$AD316="T",$AD316="B",$AD316="Z"),IF(N($E316)=0,"",ROUND($F316/$E316,2)),"")</f>
        <v/>
      </c>
      <c r="Q316">
        <f>IFERROR(MATCH(312,บันทึกรายเที่ยว!$Z$6:$Z$6005,0),"")</f>
        <v/>
      </c>
      <c r="R316">
        <f>IF($Q316="","",INDEX(บันทึกรายเที่ยว!$V$6:$V$6005,$Q316))</f>
        <v/>
      </c>
      <c r="S316">
        <f>IF($Q316="","",INDEX(บันทึกรายเที่ยว!$F$6:$F$6005,$Q316))</f>
        <v/>
      </c>
      <c r="T316">
        <f>IF($Q316="","",MATCH($S316,บันทึกรายเที่ยว!$F$6:$F$6005,0))</f>
        <v/>
      </c>
      <c r="U316">
        <f>IF($Q316="","",$AL316*10000000+$T316*1000+312)</f>
        <v/>
      </c>
      <c r="V316">
        <f>IFERROR(MATCH(SMALL($U$5:$U$404,312),$U$5:$U$404,0),"")</f>
        <v/>
      </c>
      <c r="W316">
        <f>IF($V316="","",INDEX($Q$5:$Q$404,$V316))</f>
        <v/>
      </c>
      <c r="X316">
        <f>IF($V316="","",INDEX($S$5:$S$404,$V316))</f>
        <v/>
      </c>
      <c r="Y316">
        <f>IF($V316="","",INDEX($R$5:$R$404,$V316))</f>
        <v/>
      </c>
      <c r="Z316">
        <f>IF($V316="",0,IF($X316&lt;&gt;$X315,1,0))</f>
        <v/>
      </c>
      <c r="AA316">
        <f>IF($V316="",0,IF($V317="",1,IF($X317&lt;&gt;$X316,1,0)))</f>
        <v/>
      </c>
      <c r="AB316">
        <f>IF($V316="",99999+312,$AB315+1+$Z315+$AA315+$AO315)</f>
        <v/>
      </c>
      <c r="AC316">
        <f>IFERROR(MATCH(312,$AB$5:$AB$404,1),"")</f>
        <v/>
      </c>
      <c r="AD316">
        <f>IF(312=$AI$1+1,"Z",IF($AC316="","",IF(INDEX($V$5:$V$404,$AC316)="","",IF(312&gt;INDEX($AB$5:$AB$404,$AC316)+INDEX($Z$5:$Z$404,$AC316)+INDEX($AA$5:$AA$404,$AC316)+INDEX($AO$5:$AO$404,$AC316),"",IF(312=INDEX($AB$5:$AB$404,$AC316)+INDEX($Z$5:$Z$404,$AC316),"D",IF(AND(INDEX($Z$5:$Z$404,$AC316)=1,312=INDEX($AB$5:$AB$404,$AC316)),"H",IF(AND(INDEX($AO$5:$AO$404,$AC316)=1,312=INDEX($AB$5:$AB$404,$AC316)+INDEX($Z$5:$Z$404,$AC316)+INDEX($AA$5:$AA$404,$AC316)+INDEX($AO$5:$AO$404,$AC316)),"B","T")))))))</f>
        <v/>
      </c>
      <c r="AF316">
        <f>IF(OR($AD316="",$AD316="Z",$AD316="B"),"",INDEX($X$5:$X$404,$AC316))</f>
        <v/>
      </c>
      <c r="AJ316">
        <f>IF($AD316&lt;&gt;"T",0,ROUND(SUMIF(oil!$B$4:$B$63,$AF316,oil!$AE$4:$AE$63),2))</f>
        <v/>
      </c>
      <c r="AK316">
        <f>IF($S316="","",IFERROR(INDEX(อัตราค่าขนส่ง!$P$5:$P$54,MATCH($S316,อัตราค่าขนส่ง!$O$5:$O$54,0)),INDEX(รายการมาตรฐาน!$G$2:$G$3,1)))</f>
        <v/>
      </c>
      <c r="AL316">
        <f>IF($S316="","",IFERROR(MATCH($AK316,รายการมาตรฐาน!$G$2:$G$3,0),1))</f>
        <v/>
      </c>
      <c r="AM316">
        <f>IF($V316="","",INDEX($AK$5:$AK$404,$V316))</f>
        <v/>
      </c>
      <c r="AN316">
        <f>IF($V316="","",INDEX($AL$5:$AL$404,$V316))</f>
        <v/>
      </c>
      <c r="AO316">
        <f>IF(OR($V316="",$AI$2&lt;=1),0,IF($V317="",1,IF($AN317&lt;&gt;$AN316,1,0)))</f>
        <v/>
      </c>
      <c r="AP316">
        <f>IF($V316="",0,IF($AN316&lt;&gt;$AN315,1,0))</f>
        <v/>
      </c>
      <c r="AQ316">
        <f>IF(OR($AD316="",$AD316="Z"),"",INDEX($AN$5:$AN$404,$AC316))</f>
        <v/>
      </c>
      <c r="AR316">
        <f>IF($Y316="",0,COUNTIF(บันทึกรายเที่ยว!$V$6:$V$6005,$Y316))</f>
        <v/>
      </c>
      <c r="AS316">
        <f>IF($Y316="",0,ROUND(SUMIF(บันทึกรายเที่ยว!$V$6:$V$6005,$Y316,บันทึกรายเที่ยว!$M$6:$M$6005),2))</f>
        <v/>
      </c>
      <c r="AT316">
        <f>IF($Y316="",0,IFERROR(INDEX(อัตราค่าขนส่ง!$G$5:$G$204,MATCH($Y316,อัตราค่าขนส่ง!$M$5:$M$204,0)),0))</f>
        <v/>
      </c>
      <c r="AU316">
        <f>ROUND($AS316*$BD316,2)</f>
        <v/>
      </c>
      <c r="AV316">
        <f>ROUND($AU316*$BF$2/100,2)</f>
        <v/>
      </c>
      <c r="AW316">
        <f>IF($Y316="","",IFERROR(INDEX(อัตราค่าขนส่ง!$F$5:$F$204,MATCH($Y316,อัตราค่าขนส่ง!$M$5:$M$204,0)),""))</f>
        <v/>
      </c>
      <c r="AX316">
        <f>IF($W316="","",INDEX(บันทึกรายเที่ยว!$D$6:$D$6005,$W316))</f>
        <v/>
      </c>
      <c r="AY316">
        <f>IF($W316="","",INDEX(บันทึกรายเที่ยว!$R$6:$R$6005,$W316))</f>
        <v/>
      </c>
      <c r="AZ316">
        <f>IF(AND($AD316="T",$AQ316=1),N($AZ315)+1,N($AZ315))</f>
        <v/>
      </c>
      <c r="BA316">
        <f>IF($W316="","",INDEX(บันทึกรายเที่ยว!$E$6:$E$6005,$W316))</f>
        <v/>
      </c>
      <c r="BC316">
        <f>IF($Y316="",0,IFERROR(INDEX(อัตราค่าขนส่ง!$K$5:$K$204,MATCH($Y316,อัตราค่าขนส่ง!$M$5:$M$204,0)),0))</f>
        <v/>
      </c>
      <c r="BD316">
        <f>IF($Y316="",0,IFERROR(INDEX(อัตราค่าขนส่ง!$L$5:$L$204,MATCH($Y316,อัตราค่าขนส่ง!$M$5:$M$204,0)),0))</f>
        <v/>
      </c>
    </row>
    <row r="317" ht="21" customHeight="1" s="66">
      <c r="A317" s="69">
        <f>IF($AD317="","",IF($AD317="Z","รวมจ่ายทั้งสิ้น",IF($AD317="H",INDEX($X$5:$X$404,$AC317),IF($AD317="T","รวม",IF($AD317="B",IFERROR(INDEX(อัตราค่าขนส่ง!$S$5:$S$14,MATCH(INDEX($AM$5:$AM$404,$AC317),อัตราค่าขนส่ง!$R$5:$R$14,0)),"รวมกลุ่ม "&amp;INDEX($AM$5:$AM$404,$AC317)),INDEX($AY$5:$AY$404,$AC317))))))</f>
        <v/>
      </c>
      <c r="B317" s="31">
        <f>IF($AD317&lt;&gt;"D","",INDEX($AW$5:$AW$404,$AC317))</f>
        <v/>
      </c>
      <c r="C317" s="68">
        <f>IF($AD317&lt;&gt;"D","",INDEX($AX$5:$AX$404,$AC317))</f>
        <v/>
      </c>
      <c r="D317" s="70">
        <f>IF($AD317&lt;&gt;"D","",INDEX($BA$5:$BA$404,$AC317))</f>
        <v/>
      </c>
      <c r="E317" s="31">
        <f>IF($AD317="Z",SUM($AR$5:$AR$404),IF($AD317="D",INDEX($AR$5:$AR$404,$AC317),IF($AD317="T",SUMIF($X$5:$X$404,$AF317,$AR$5:$AR$404),IF($AD317="B",SUMIF($AN$5:$AN$404,$AQ317,$AR$5:$AR$404),""))))</f>
        <v/>
      </c>
      <c r="F317" s="32">
        <f>IF($AD317="Z",ROUND(SUM($AS$5:$AS$404),2),IF($AD317="D",INDEX($AS$5:$AS$404,$AC317),IF($AD317="T",ROUND(SUMIF($X$5:$X$404,$AF317,$AS$5:$AS$404),2),IF($AD317="B",ROUND(SUMIF($AN$5:$AN$404,$AQ317,$AS$5:$AS$404),2),""))))</f>
        <v/>
      </c>
      <c r="G317" s="32">
        <f>IF($AD317&lt;&gt;"D","",INDEX($AT$5:$AT$404,$AC317))</f>
        <v/>
      </c>
      <c r="H317" s="32">
        <f>IF($AD317&lt;&gt;"D","",INDEX($BC$5:$BC$404,$AC317))</f>
        <v/>
      </c>
      <c r="I317" s="32">
        <f>IF($AD317&lt;&gt;"D","",INDEX($BD$5:$BD$404,$AC317))</f>
        <v/>
      </c>
      <c r="J317" s="46">
        <f>IF($AD317&lt;&gt;"D","",IF(N($B317)=0,"",ROUND($I317/$B317,4)))</f>
        <v/>
      </c>
      <c r="K317" s="32">
        <f>IF($AD317="Z",ROUND(SUM($AU$5:$AU$404),2),IF($AD317="D",INDEX($AU$5:$AU$404,$AC317),IF($AD317="T",ROUND(SUMIF($X$5:$X$404,$AF317,$AU$5:$AU$404),2),IF($AD317="B",ROUND(SUMIF($AN$5:$AN$404,$AQ317,$AU$5:$AU$404),2),""))))</f>
        <v/>
      </c>
      <c r="L317" s="32">
        <f>IF($AD317="Z",ROUND(SUM($AV$5:$AV$404),2),IF($AD317="D",INDEX($AV$5:$AV$404,$AC317),IF($AD317="T",ROUND(SUMIF($X$5:$X$404,$AF317,$AV$5:$AV$404),2),IF($AD317="B",ROUND(SUMIF($AN$5:$AN$404,$AQ317,$AV$5:$AV$404),2),""))))</f>
        <v/>
      </c>
      <c r="M317" s="32">
        <f>IF($AD317="Z",ROUND(SUM($AJ$5:$AJ$704),2),IF($AD317="B",ROUND(SUMIF($AQ$5:$AQ$704,$AQ317,$AJ$5:$AJ$704),2),IF($AD317&lt;&gt;"T","",$AJ317)))</f>
        <v/>
      </c>
      <c r="N317" s="32">
        <f>IF(OR($AD317="D",$AD317="T",$AD317="B",$AD317="Z"),ROUND(N($K317)-N($L317)-N($M317),2),"")</f>
        <v/>
      </c>
      <c r="O317" s="32">
        <f>IF(OR($AD317="D",$AD317="T",$AD317="B",$AD317="Z"),IF(N($E317)=0,"",ROUND($F317/$E317,2)),"")</f>
        <v/>
      </c>
      <c r="Q317">
        <f>IFERROR(MATCH(313,บันทึกรายเที่ยว!$Z$6:$Z$6005,0),"")</f>
        <v/>
      </c>
      <c r="R317">
        <f>IF($Q317="","",INDEX(บันทึกรายเที่ยว!$V$6:$V$6005,$Q317))</f>
        <v/>
      </c>
      <c r="S317">
        <f>IF($Q317="","",INDEX(บันทึกรายเที่ยว!$F$6:$F$6005,$Q317))</f>
        <v/>
      </c>
      <c r="T317">
        <f>IF($Q317="","",MATCH($S317,บันทึกรายเที่ยว!$F$6:$F$6005,0))</f>
        <v/>
      </c>
      <c r="U317">
        <f>IF($Q317="","",$AL317*10000000+$T317*1000+313)</f>
        <v/>
      </c>
      <c r="V317">
        <f>IFERROR(MATCH(SMALL($U$5:$U$404,313),$U$5:$U$404,0),"")</f>
        <v/>
      </c>
      <c r="W317">
        <f>IF($V317="","",INDEX($Q$5:$Q$404,$V317))</f>
        <v/>
      </c>
      <c r="X317">
        <f>IF($V317="","",INDEX($S$5:$S$404,$V317))</f>
        <v/>
      </c>
      <c r="Y317">
        <f>IF($V317="","",INDEX($R$5:$R$404,$V317))</f>
        <v/>
      </c>
      <c r="Z317">
        <f>IF($V317="",0,IF($X317&lt;&gt;$X316,1,0))</f>
        <v/>
      </c>
      <c r="AA317">
        <f>IF($V317="",0,IF($V318="",1,IF($X318&lt;&gt;$X317,1,0)))</f>
        <v/>
      </c>
      <c r="AB317">
        <f>IF($V317="",99999+313,$AB316+1+$Z316+$AA316+$AO316)</f>
        <v/>
      </c>
      <c r="AC317">
        <f>IFERROR(MATCH(313,$AB$5:$AB$404,1),"")</f>
        <v/>
      </c>
      <c r="AD317">
        <f>IF(313=$AI$1+1,"Z",IF($AC317="","",IF(INDEX($V$5:$V$404,$AC317)="","",IF(313&gt;INDEX($AB$5:$AB$404,$AC317)+INDEX($Z$5:$Z$404,$AC317)+INDEX($AA$5:$AA$404,$AC317)+INDEX($AO$5:$AO$404,$AC317),"",IF(313=INDEX($AB$5:$AB$404,$AC317)+INDEX($Z$5:$Z$404,$AC317),"D",IF(AND(INDEX($Z$5:$Z$404,$AC317)=1,313=INDEX($AB$5:$AB$404,$AC317)),"H",IF(AND(INDEX($AO$5:$AO$404,$AC317)=1,313=INDEX($AB$5:$AB$404,$AC317)+INDEX($Z$5:$Z$404,$AC317)+INDEX($AA$5:$AA$404,$AC317)+INDEX($AO$5:$AO$404,$AC317)),"B","T")))))))</f>
        <v/>
      </c>
      <c r="AF317">
        <f>IF(OR($AD317="",$AD317="Z",$AD317="B"),"",INDEX($X$5:$X$404,$AC317))</f>
        <v/>
      </c>
      <c r="AJ317">
        <f>IF($AD317&lt;&gt;"T",0,ROUND(SUMIF(oil!$B$4:$B$63,$AF317,oil!$AE$4:$AE$63),2))</f>
        <v/>
      </c>
      <c r="AK317">
        <f>IF($S317="","",IFERROR(INDEX(อัตราค่าขนส่ง!$P$5:$P$54,MATCH($S317,อัตราค่าขนส่ง!$O$5:$O$54,0)),INDEX(รายการมาตรฐาน!$G$2:$G$3,1)))</f>
        <v/>
      </c>
      <c r="AL317">
        <f>IF($S317="","",IFERROR(MATCH($AK317,รายการมาตรฐาน!$G$2:$G$3,0),1))</f>
        <v/>
      </c>
      <c r="AM317">
        <f>IF($V317="","",INDEX($AK$5:$AK$404,$V317))</f>
        <v/>
      </c>
      <c r="AN317">
        <f>IF($V317="","",INDEX($AL$5:$AL$404,$V317))</f>
        <v/>
      </c>
      <c r="AO317">
        <f>IF(OR($V317="",$AI$2&lt;=1),0,IF($V318="",1,IF($AN318&lt;&gt;$AN317,1,0)))</f>
        <v/>
      </c>
      <c r="AP317">
        <f>IF($V317="",0,IF($AN317&lt;&gt;$AN316,1,0))</f>
        <v/>
      </c>
      <c r="AQ317">
        <f>IF(OR($AD317="",$AD317="Z"),"",INDEX($AN$5:$AN$404,$AC317))</f>
        <v/>
      </c>
      <c r="AR317">
        <f>IF($Y317="",0,COUNTIF(บันทึกรายเที่ยว!$V$6:$V$6005,$Y317))</f>
        <v/>
      </c>
      <c r="AS317">
        <f>IF($Y317="",0,ROUND(SUMIF(บันทึกรายเที่ยว!$V$6:$V$6005,$Y317,บันทึกรายเที่ยว!$M$6:$M$6005),2))</f>
        <v/>
      </c>
      <c r="AT317">
        <f>IF($Y317="",0,IFERROR(INDEX(อัตราค่าขนส่ง!$G$5:$G$204,MATCH($Y317,อัตราค่าขนส่ง!$M$5:$M$204,0)),0))</f>
        <v/>
      </c>
      <c r="AU317">
        <f>ROUND($AS317*$BD317,2)</f>
        <v/>
      </c>
      <c r="AV317">
        <f>ROUND($AU317*$BF$2/100,2)</f>
        <v/>
      </c>
      <c r="AW317">
        <f>IF($Y317="","",IFERROR(INDEX(อัตราค่าขนส่ง!$F$5:$F$204,MATCH($Y317,อัตราค่าขนส่ง!$M$5:$M$204,0)),""))</f>
        <v/>
      </c>
      <c r="AX317">
        <f>IF($W317="","",INDEX(บันทึกรายเที่ยว!$D$6:$D$6005,$W317))</f>
        <v/>
      </c>
      <c r="AY317">
        <f>IF($W317="","",INDEX(บันทึกรายเที่ยว!$R$6:$R$6005,$W317))</f>
        <v/>
      </c>
      <c r="AZ317">
        <f>IF(AND($AD317="T",$AQ317=1),N($AZ316)+1,N($AZ316))</f>
        <v/>
      </c>
      <c r="BA317">
        <f>IF($W317="","",INDEX(บันทึกรายเที่ยว!$E$6:$E$6005,$W317))</f>
        <v/>
      </c>
      <c r="BC317">
        <f>IF($Y317="",0,IFERROR(INDEX(อัตราค่าขนส่ง!$K$5:$K$204,MATCH($Y317,อัตราค่าขนส่ง!$M$5:$M$204,0)),0))</f>
        <v/>
      </c>
      <c r="BD317">
        <f>IF($Y317="",0,IFERROR(INDEX(อัตราค่าขนส่ง!$L$5:$L$204,MATCH($Y317,อัตราค่าขนส่ง!$M$5:$M$204,0)),0))</f>
        <v/>
      </c>
    </row>
    <row r="318" ht="21" customHeight="1" s="66">
      <c r="A318" s="69">
        <f>IF($AD318="","",IF($AD318="Z","รวมจ่ายทั้งสิ้น",IF($AD318="H",INDEX($X$5:$X$404,$AC318),IF($AD318="T","รวม",IF($AD318="B",IFERROR(INDEX(อัตราค่าขนส่ง!$S$5:$S$14,MATCH(INDEX($AM$5:$AM$404,$AC318),อัตราค่าขนส่ง!$R$5:$R$14,0)),"รวมกลุ่ม "&amp;INDEX($AM$5:$AM$404,$AC318)),INDEX($AY$5:$AY$404,$AC318))))))</f>
        <v/>
      </c>
      <c r="B318" s="31">
        <f>IF($AD318&lt;&gt;"D","",INDEX($AW$5:$AW$404,$AC318))</f>
        <v/>
      </c>
      <c r="C318" s="68">
        <f>IF($AD318&lt;&gt;"D","",INDEX($AX$5:$AX$404,$AC318))</f>
        <v/>
      </c>
      <c r="D318" s="70">
        <f>IF($AD318&lt;&gt;"D","",INDEX($BA$5:$BA$404,$AC318))</f>
        <v/>
      </c>
      <c r="E318" s="31">
        <f>IF($AD318="Z",SUM($AR$5:$AR$404),IF($AD318="D",INDEX($AR$5:$AR$404,$AC318),IF($AD318="T",SUMIF($X$5:$X$404,$AF318,$AR$5:$AR$404),IF($AD318="B",SUMIF($AN$5:$AN$404,$AQ318,$AR$5:$AR$404),""))))</f>
        <v/>
      </c>
      <c r="F318" s="32">
        <f>IF($AD318="Z",ROUND(SUM($AS$5:$AS$404),2),IF($AD318="D",INDEX($AS$5:$AS$404,$AC318),IF($AD318="T",ROUND(SUMIF($X$5:$X$404,$AF318,$AS$5:$AS$404),2),IF($AD318="B",ROUND(SUMIF($AN$5:$AN$404,$AQ318,$AS$5:$AS$404),2),""))))</f>
        <v/>
      </c>
      <c r="G318" s="32">
        <f>IF($AD318&lt;&gt;"D","",INDEX($AT$5:$AT$404,$AC318))</f>
        <v/>
      </c>
      <c r="H318" s="32">
        <f>IF($AD318&lt;&gt;"D","",INDEX($BC$5:$BC$404,$AC318))</f>
        <v/>
      </c>
      <c r="I318" s="32">
        <f>IF($AD318&lt;&gt;"D","",INDEX($BD$5:$BD$404,$AC318))</f>
        <v/>
      </c>
      <c r="J318" s="46">
        <f>IF($AD318&lt;&gt;"D","",IF(N($B318)=0,"",ROUND($I318/$B318,4)))</f>
        <v/>
      </c>
      <c r="K318" s="32">
        <f>IF($AD318="Z",ROUND(SUM($AU$5:$AU$404),2),IF($AD318="D",INDEX($AU$5:$AU$404,$AC318),IF($AD318="T",ROUND(SUMIF($X$5:$X$404,$AF318,$AU$5:$AU$404),2),IF($AD318="B",ROUND(SUMIF($AN$5:$AN$404,$AQ318,$AU$5:$AU$404),2),""))))</f>
        <v/>
      </c>
      <c r="L318" s="32">
        <f>IF($AD318="Z",ROUND(SUM($AV$5:$AV$404),2),IF($AD318="D",INDEX($AV$5:$AV$404,$AC318),IF($AD318="T",ROUND(SUMIF($X$5:$X$404,$AF318,$AV$5:$AV$404),2),IF($AD318="B",ROUND(SUMIF($AN$5:$AN$404,$AQ318,$AV$5:$AV$404),2),""))))</f>
        <v/>
      </c>
      <c r="M318" s="32">
        <f>IF($AD318="Z",ROUND(SUM($AJ$5:$AJ$704),2),IF($AD318="B",ROUND(SUMIF($AQ$5:$AQ$704,$AQ318,$AJ$5:$AJ$704),2),IF($AD318&lt;&gt;"T","",$AJ318)))</f>
        <v/>
      </c>
      <c r="N318" s="32">
        <f>IF(OR($AD318="D",$AD318="T",$AD318="B",$AD318="Z"),ROUND(N($K318)-N($L318)-N($M318),2),"")</f>
        <v/>
      </c>
      <c r="O318" s="32">
        <f>IF(OR($AD318="D",$AD318="T",$AD318="B",$AD318="Z"),IF(N($E318)=0,"",ROUND($F318/$E318,2)),"")</f>
        <v/>
      </c>
      <c r="Q318">
        <f>IFERROR(MATCH(314,บันทึกรายเที่ยว!$Z$6:$Z$6005,0),"")</f>
        <v/>
      </c>
      <c r="R318">
        <f>IF($Q318="","",INDEX(บันทึกรายเที่ยว!$V$6:$V$6005,$Q318))</f>
        <v/>
      </c>
      <c r="S318">
        <f>IF($Q318="","",INDEX(บันทึกรายเที่ยว!$F$6:$F$6005,$Q318))</f>
        <v/>
      </c>
      <c r="T318">
        <f>IF($Q318="","",MATCH($S318,บันทึกรายเที่ยว!$F$6:$F$6005,0))</f>
        <v/>
      </c>
      <c r="U318">
        <f>IF($Q318="","",$AL318*10000000+$T318*1000+314)</f>
        <v/>
      </c>
      <c r="V318">
        <f>IFERROR(MATCH(SMALL($U$5:$U$404,314),$U$5:$U$404,0),"")</f>
        <v/>
      </c>
      <c r="W318">
        <f>IF($V318="","",INDEX($Q$5:$Q$404,$V318))</f>
        <v/>
      </c>
      <c r="X318">
        <f>IF($V318="","",INDEX($S$5:$S$404,$V318))</f>
        <v/>
      </c>
      <c r="Y318">
        <f>IF($V318="","",INDEX($R$5:$R$404,$V318))</f>
        <v/>
      </c>
      <c r="Z318">
        <f>IF($V318="",0,IF($X318&lt;&gt;$X317,1,0))</f>
        <v/>
      </c>
      <c r="AA318">
        <f>IF($V318="",0,IF($V319="",1,IF($X319&lt;&gt;$X318,1,0)))</f>
        <v/>
      </c>
      <c r="AB318">
        <f>IF($V318="",99999+314,$AB317+1+$Z317+$AA317+$AO317)</f>
        <v/>
      </c>
      <c r="AC318">
        <f>IFERROR(MATCH(314,$AB$5:$AB$404,1),"")</f>
        <v/>
      </c>
      <c r="AD318">
        <f>IF(314=$AI$1+1,"Z",IF($AC318="","",IF(INDEX($V$5:$V$404,$AC318)="","",IF(314&gt;INDEX($AB$5:$AB$404,$AC318)+INDEX($Z$5:$Z$404,$AC318)+INDEX($AA$5:$AA$404,$AC318)+INDEX($AO$5:$AO$404,$AC318),"",IF(314=INDEX($AB$5:$AB$404,$AC318)+INDEX($Z$5:$Z$404,$AC318),"D",IF(AND(INDEX($Z$5:$Z$404,$AC318)=1,314=INDEX($AB$5:$AB$404,$AC318)),"H",IF(AND(INDEX($AO$5:$AO$404,$AC318)=1,314=INDEX($AB$5:$AB$404,$AC318)+INDEX($Z$5:$Z$404,$AC318)+INDEX($AA$5:$AA$404,$AC318)+INDEX($AO$5:$AO$404,$AC318)),"B","T")))))))</f>
        <v/>
      </c>
      <c r="AF318">
        <f>IF(OR($AD318="",$AD318="Z",$AD318="B"),"",INDEX($X$5:$X$404,$AC318))</f>
        <v/>
      </c>
      <c r="AJ318">
        <f>IF($AD318&lt;&gt;"T",0,ROUND(SUMIF(oil!$B$4:$B$63,$AF318,oil!$AE$4:$AE$63),2))</f>
        <v/>
      </c>
      <c r="AK318">
        <f>IF($S318="","",IFERROR(INDEX(อัตราค่าขนส่ง!$P$5:$P$54,MATCH($S318,อัตราค่าขนส่ง!$O$5:$O$54,0)),INDEX(รายการมาตรฐาน!$G$2:$G$3,1)))</f>
        <v/>
      </c>
      <c r="AL318">
        <f>IF($S318="","",IFERROR(MATCH($AK318,รายการมาตรฐาน!$G$2:$G$3,0),1))</f>
        <v/>
      </c>
      <c r="AM318">
        <f>IF($V318="","",INDEX($AK$5:$AK$404,$V318))</f>
        <v/>
      </c>
      <c r="AN318">
        <f>IF($V318="","",INDEX($AL$5:$AL$404,$V318))</f>
        <v/>
      </c>
      <c r="AO318">
        <f>IF(OR($V318="",$AI$2&lt;=1),0,IF($V319="",1,IF($AN319&lt;&gt;$AN318,1,0)))</f>
        <v/>
      </c>
      <c r="AP318">
        <f>IF($V318="",0,IF($AN318&lt;&gt;$AN317,1,0))</f>
        <v/>
      </c>
      <c r="AQ318">
        <f>IF(OR($AD318="",$AD318="Z"),"",INDEX($AN$5:$AN$404,$AC318))</f>
        <v/>
      </c>
      <c r="AR318">
        <f>IF($Y318="",0,COUNTIF(บันทึกรายเที่ยว!$V$6:$V$6005,$Y318))</f>
        <v/>
      </c>
      <c r="AS318">
        <f>IF($Y318="",0,ROUND(SUMIF(บันทึกรายเที่ยว!$V$6:$V$6005,$Y318,บันทึกรายเที่ยว!$M$6:$M$6005),2))</f>
        <v/>
      </c>
      <c r="AT318">
        <f>IF($Y318="",0,IFERROR(INDEX(อัตราค่าขนส่ง!$G$5:$G$204,MATCH($Y318,อัตราค่าขนส่ง!$M$5:$M$204,0)),0))</f>
        <v/>
      </c>
      <c r="AU318">
        <f>ROUND($AS318*$BD318,2)</f>
        <v/>
      </c>
      <c r="AV318">
        <f>ROUND($AU318*$BF$2/100,2)</f>
        <v/>
      </c>
      <c r="AW318">
        <f>IF($Y318="","",IFERROR(INDEX(อัตราค่าขนส่ง!$F$5:$F$204,MATCH($Y318,อัตราค่าขนส่ง!$M$5:$M$204,0)),""))</f>
        <v/>
      </c>
      <c r="AX318">
        <f>IF($W318="","",INDEX(บันทึกรายเที่ยว!$D$6:$D$6005,$W318))</f>
        <v/>
      </c>
      <c r="AY318">
        <f>IF($W318="","",INDEX(บันทึกรายเที่ยว!$R$6:$R$6005,$W318))</f>
        <v/>
      </c>
      <c r="AZ318">
        <f>IF(AND($AD318="T",$AQ318=1),N($AZ317)+1,N($AZ317))</f>
        <v/>
      </c>
      <c r="BA318">
        <f>IF($W318="","",INDEX(บันทึกรายเที่ยว!$E$6:$E$6005,$W318))</f>
        <v/>
      </c>
      <c r="BC318">
        <f>IF($Y318="",0,IFERROR(INDEX(อัตราค่าขนส่ง!$K$5:$K$204,MATCH($Y318,อัตราค่าขนส่ง!$M$5:$M$204,0)),0))</f>
        <v/>
      </c>
      <c r="BD318">
        <f>IF($Y318="",0,IFERROR(INDEX(อัตราค่าขนส่ง!$L$5:$L$204,MATCH($Y318,อัตราค่าขนส่ง!$M$5:$M$204,0)),0))</f>
        <v/>
      </c>
    </row>
    <row r="319" ht="21" customHeight="1" s="66">
      <c r="A319" s="69">
        <f>IF($AD319="","",IF($AD319="Z","รวมจ่ายทั้งสิ้น",IF($AD319="H",INDEX($X$5:$X$404,$AC319),IF($AD319="T","รวม",IF($AD319="B",IFERROR(INDEX(อัตราค่าขนส่ง!$S$5:$S$14,MATCH(INDEX($AM$5:$AM$404,$AC319),อัตราค่าขนส่ง!$R$5:$R$14,0)),"รวมกลุ่ม "&amp;INDEX($AM$5:$AM$404,$AC319)),INDEX($AY$5:$AY$404,$AC319))))))</f>
        <v/>
      </c>
      <c r="B319" s="31">
        <f>IF($AD319&lt;&gt;"D","",INDEX($AW$5:$AW$404,$AC319))</f>
        <v/>
      </c>
      <c r="C319" s="68">
        <f>IF($AD319&lt;&gt;"D","",INDEX($AX$5:$AX$404,$AC319))</f>
        <v/>
      </c>
      <c r="D319" s="70">
        <f>IF($AD319&lt;&gt;"D","",INDEX($BA$5:$BA$404,$AC319))</f>
        <v/>
      </c>
      <c r="E319" s="31">
        <f>IF($AD319="Z",SUM($AR$5:$AR$404),IF($AD319="D",INDEX($AR$5:$AR$404,$AC319),IF($AD319="T",SUMIF($X$5:$X$404,$AF319,$AR$5:$AR$404),IF($AD319="B",SUMIF($AN$5:$AN$404,$AQ319,$AR$5:$AR$404),""))))</f>
        <v/>
      </c>
      <c r="F319" s="32">
        <f>IF($AD319="Z",ROUND(SUM($AS$5:$AS$404),2),IF($AD319="D",INDEX($AS$5:$AS$404,$AC319),IF($AD319="T",ROUND(SUMIF($X$5:$X$404,$AF319,$AS$5:$AS$404),2),IF($AD319="B",ROUND(SUMIF($AN$5:$AN$404,$AQ319,$AS$5:$AS$404),2),""))))</f>
        <v/>
      </c>
      <c r="G319" s="32">
        <f>IF($AD319&lt;&gt;"D","",INDEX($AT$5:$AT$404,$AC319))</f>
        <v/>
      </c>
      <c r="H319" s="32">
        <f>IF($AD319&lt;&gt;"D","",INDEX($BC$5:$BC$404,$AC319))</f>
        <v/>
      </c>
      <c r="I319" s="32">
        <f>IF($AD319&lt;&gt;"D","",INDEX($BD$5:$BD$404,$AC319))</f>
        <v/>
      </c>
      <c r="J319" s="46">
        <f>IF($AD319&lt;&gt;"D","",IF(N($B319)=0,"",ROUND($I319/$B319,4)))</f>
        <v/>
      </c>
      <c r="K319" s="32">
        <f>IF($AD319="Z",ROUND(SUM($AU$5:$AU$404),2),IF($AD319="D",INDEX($AU$5:$AU$404,$AC319),IF($AD319="T",ROUND(SUMIF($X$5:$X$404,$AF319,$AU$5:$AU$404),2),IF($AD319="B",ROUND(SUMIF($AN$5:$AN$404,$AQ319,$AU$5:$AU$404),2),""))))</f>
        <v/>
      </c>
      <c r="L319" s="32">
        <f>IF($AD319="Z",ROUND(SUM($AV$5:$AV$404),2),IF($AD319="D",INDEX($AV$5:$AV$404,$AC319),IF($AD319="T",ROUND(SUMIF($X$5:$X$404,$AF319,$AV$5:$AV$404),2),IF($AD319="B",ROUND(SUMIF($AN$5:$AN$404,$AQ319,$AV$5:$AV$404),2),""))))</f>
        <v/>
      </c>
      <c r="M319" s="32">
        <f>IF($AD319="Z",ROUND(SUM($AJ$5:$AJ$704),2),IF($AD319="B",ROUND(SUMIF($AQ$5:$AQ$704,$AQ319,$AJ$5:$AJ$704),2),IF($AD319&lt;&gt;"T","",$AJ319)))</f>
        <v/>
      </c>
      <c r="N319" s="32">
        <f>IF(OR($AD319="D",$AD319="T",$AD319="B",$AD319="Z"),ROUND(N($K319)-N($L319)-N($M319),2),"")</f>
        <v/>
      </c>
      <c r="O319" s="32">
        <f>IF(OR($AD319="D",$AD319="T",$AD319="B",$AD319="Z"),IF(N($E319)=0,"",ROUND($F319/$E319,2)),"")</f>
        <v/>
      </c>
      <c r="Q319">
        <f>IFERROR(MATCH(315,บันทึกรายเที่ยว!$Z$6:$Z$6005,0),"")</f>
        <v/>
      </c>
      <c r="R319">
        <f>IF($Q319="","",INDEX(บันทึกรายเที่ยว!$V$6:$V$6005,$Q319))</f>
        <v/>
      </c>
      <c r="S319">
        <f>IF($Q319="","",INDEX(บันทึกรายเที่ยว!$F$6:$F$6005,$Q319))</f>
        <v/>
      </c>
      <c r="T319">
        <f>IF($Q319="","",MATCH($S319,บันทึกรายเที่ยว!$F$6:$F$6005,0))</f>
        <v/>
      </c>
      <c r="U319">
        <f>IF($Q319="","",$AL319*10000000+$T319*1000+315)</f>
        <v/>
      </c>
      <c r="V319">
        <f>IFERROR(MATCH(SMALL($U$5:$U$404,315),$U$5:$U$404,0),"")</f>
        <v/>
      </c>
      <c r="W319">
        <f>IF($V319="","",INDEX($Q$5:$Q$404,$V319))</f>
        <v/>
      </c>
      <c r="X319">
        <f>IF($V319="","",INDEX($S$5:$S$404,$V319))</f>
        <v/>
      </c>
      <c r="Y319">
        <f>IF($V319="","",INDEX($R$5:$R$404,$V319))</f>
        <v/>
      </c>
      <c r="Z319">
        <f>IF($V319="",0,IF($X319&lt;&gt;$X318,1,0))</f>
        <v/>
      </c>
      <c r="AA319">
        <f>IF($V319="",0,IF($V320="",1,IF($X320&lt;&gt;$X319,1,0)))</f>
        <v/>
      </c>
      <c r="AB319">
        <f>IF($V319="",99999+315,$AB318+1+$Z318+$AA318+$AO318)</f>
        <v/>
      </c>
      <c r="AC319">
        <f>IFERROR(MATCH(315,$AB$5:$AB$404,1),"")</f>
        <v/>
      </c>
      <c r="AD319">
        <f>IF(315=$AI$1+1,"Z",IF($AC319="","",IF(INDEX($V$5:$V$404,$AC319)="","",IF(315&gt;INDEX($AB$5:$AB$404,$AC319)+INDEX($Z$5:$Z$404,$AC319)+INDEX($AA$5:$AA$404,$AC319)+INDEX($AO$5:$AO$404,$AC319),"",IF(315=INDEX($AB$5:$AB$404,$AC319)+INDEX($Z$5:$Z$404,$AC319),"D",IF(AND(INDEX($Z$5:$Z$404,$AC319)=1,315=INDEX($AB$5:$AB$404,$AC319)),"H",IF(AND(INDEX($AO$5:$AO$404,$AC319)=1,315=INDEX($AB$5:$AB$404,$AC319)+INDEX($Z$5:$Z$404,$AC319)+INDEX($AA$5:$AA$404,$AC319)+INDEX($AO$5:$AO$404,$AC319)),"B","T")))))))</f>
        <v/>
      </c>
      <c r="AF319">
        <f>IF(OR($AD319="",$AD319="Z",$AD319="B"),"",INDEX($X$5:$X$404,$AC319))</f>
        <v/>
      </c>
      <c r="AJ319">
        <f>IF($AD319&lt;&gt;"T",0,ROUND(SUMIF(oil!$B$4:$B$63,$AF319,oil!$AE$4:$AE$63),2))</f>
        <v/>
      </c>
      <c r="AK319">
        <f>IF($S319="","",IFERROR(INDEX(อัตราค่าขนส่ง!$P$5:$P$54,MATCH($S319,อัตราค่าขนส่ง!$O$5:$O$54,0)),INDEX(รายการมาตรฐาน!$G$2:$G$3,1)))</f>
        <v/>
      </c>
      <c r="AL319">
        <f>IF($S319="","",IFERROR(MATCH($AK319,รายการมาตรฐาน!$G$2:$G$3,0),1))</f>
        <v/>
      </c>
      <c r="AM319">
        <f>IF($V319="","",INDEX($AK$5:$AK$404,$V319))</f>
        <v/>
      </c>
      <c r="AN319">
        <f>IF($V319="","",INDEX($AL$5:$AL$404,$V319))</f>
        <v/>
      </c>
      <c r="AO319">
        <f>IF(OR($V319="",$AI$2&lt;=1),0,IF($V320="",1,IF($AN320&lt;&gt;$AN319,1,0)))</f>
        <v/>
      </c>
      <c r="AP319">
        <f>IF($V319="",0,IF($AN319&lt;&gt;$AN318,1,0))</f>
        <v/>
      </c>
      <c r="AQ319">
        <f>IF(OR($AD319="",$AD319="Z"),"",INDEX($AN$5:$AN$404,$AC319))</f>
        <v/>
      </c>
      <c r="AR319">
        <f>IF($Y319="",0,COUNTIF(บันทึกรายเที่ยว!$V$6:$V$6005,$Y319))</f>
        <v/>
      </c>
      <c r="AS319">
        <f>IF($Y319="",0,ROUND(SUMIF(บันทึกรายเที่ยว!$V$6:$V$6005,$Y319,บันทึกรายเที่ยว!$M$6:$M$6005),2))</f>
        <v/>
      </c>
      <c r="AT319">
        <f>IF($Y319="",0,IFERROR(INDEX(อัตราค่าขนส่ง!$G$5:$G$204,MATCH($Y319,อัตราค่าขนส่ง!$M$5:$M$204,0)),0))</f>
        <v/>
      </c>
      <c r="AU319">
        <f>ROUND($AS319*$BD319,2)</f>
        <v/>
      </c>
      <c r="AV319">
        <f>ROUND($AU319*$BF$2/100,2)</f>
        <v/>
      </c>
      <c r="AW319">
        <f>IF($Y319="","",IFERROR(INDEX(อัตราค่าขนส่ง!$F$5:$F$204,MATCH($Y319,อัตราค่าขนส่ง!$M$5:$M$204,0)),""))</f>
        <v/>
      </c>
      <c r="AX319">
        <f>IF($W319="","",INDEX(บันทึกรายเที่ยว!$D$6:$D$6005,$W319))</f>
        <v/>
      </c>
      <c r="AY319">
        <f>IF($W319="","",INDEX(บันทึกรายเที่ยว!$R$6:$R$6005,$W319))</f>
        <v/>
      </c>
      <c r="AZ319">
        <f>IF(AND($AD319="T",$AQ319=1),N($AZ318)+1,N($AZ318))</f>
        <v/>
      </c>
      <c r="BA319">
        <f>IF($W319="","",INDEX(บันทึกรายเที่ยว!$E$6:$E$6005,$W319))</f>
        <v/>
      </c>
      <c r="BC319">
        <f>IF($Y319="",0,IFERROR(INDEX(อัตราค่าขนส่ง!$K$5:$K$204,MATCH($Y319,อัตราค่าขนส่ง!$M$5:$M$204,0)),0))</f>
        <v/>
      </c>
      <c r="BD319">
        <f>IF($Y319="",0,IFERROR(INDEX(อัตราค่าขนส่ง!$L$5:$L$204,MATCH($Y319,อัตราค่าขนส่ง!$M$5:$M$204,0)),0))</f>
        <v/>
      </c>
    </row>
    <row r="320" ht="21" customHeight="1" s="66">
      <c r="A320" s="69">
        <f>IF($AD320="","",IF($AD320="Z","รวมจ่ายทั้งสิ้น",IF($AD320="H",INDEX($X$5:$X$404,$AC320),IF($AD320="T","รวม",IF($AD320="B",IFERROR(INDEX(อัตราค่าขนส่ง!$S$5:$S$14,MATCH(INDEX($AM$5:$AM$404,$AC320),อัตราค่าขนส่ง!$R$5:$R$14,0)),"รวมกลุ่ม "&amp;INDEX($AM$5:$AM$404,$AC320)),INDEX($AY$5:$AY$404,$AC320))))))</f>
        <v/>
      </c>
      <c r="B320" s="31">
        <f>IF($AD320&lt;&gt;"D","",INDEX($AW$5:$AW$404,$AC320))</f>
        <v/>
      </c>
      <c r="C320" s="68">
        <f>IF($AD320&lt;&gt;"D","",INDEX($AX$5:$AX$404,$AC320))</f>
        <v/>
      </c>
      <c r="D320" s="70">
        <f>IF($AD320&lt;&gt;"D","",INDEX($BA$5:$BA$404,$AC320))</f>
        <v/>
      </c>
      <c r="E320" s="31">
        <f>IF($AD320="Z",SUM($AR$5:$AR$404),IF($AD320="D",INDEX($AR$5:$AR$404,$AC320),IF($AD320="T",SUMIF($X$5:$X$404,$AF320,$AR$5:$AR$404),IF($AD320="B",SUMIF($AN$5:$AN$404,$AQ320,$AR$5:$AR$404),""))))</f>
        <v/>
      </c>
      <c r="F320" s="32">
        <f>IF($AD320="Z",ROUND(SUM($AS$5:$AS$404),2),IF($AD320="D",INDEX($AS$5:$AS$404,$AC320),IF($AD320="T",ROUND(SUMIF($X$5:$X$404,$AF320,$AS$5:$AS$404),2),IF($AD320="B",ROUND(SUMIF($AN$5:$AN$404,$AQ320,$AS$5:$AS$404),2),""))))</f>
        <v/>
      </c>
      <c r="G320" s="32">
        <f>IF($AD320&lt;&gt;"D","",INDEX($AT$5:$AT$404,$AC320))</f>
        <v/>
      </c>
      <c r="H320" s="32">
        <f>IF($AD320&lt;&gt;"D","",INDEX($BC$5:$BC$404,$AC320))</f>
        <v/>
      </c>
      <c r="I320" s="32">
        <f>IF($AD320&lt;&gt;"D","",INDEX($BD$5:$BD$404,$AC320))</f>
        <v/>
      </c>
      <c r="J320" s="46">
        <f>IF($AD320&lt;&gt;"D","",IF(N($B320)=0,"",ROUND($I320/$B320,4)))</f>
        <v/>
      </c>
      <c r="K320" s="32">
        <f>IF($AD320="Z",ROUND(SUM($AU$5:$AU$404),2),IF($AD320="D",INDEX($AU$5:$AU$404,$AC320),IF($AD320="T",ROUND(SUMIF($X$5:$X$404,$AF320,$AU$5:$AU$404),2),IF($AD320="B",ROUND(SUMIF($AN$5:$AN$404,$AQ320,$AU$5:$AU$404),2),""))))</f>
        <v/>
      </c>
      <c r="L320" s="32">
        <f>IF($AD320="Z",ROUND(SUM($AV$5:$AV$404),2),IF($AD320="D",INDEX($AV$5:$AV$404,$AC320),IF($AD320="T",ROUND(SUMIF($X$5:$X$404,$AF320,$AV$5:$AV$404),2),IF($AD320="B",ROUND(SUMIF($AN$5:$AN$404,$AQ320,$AV$5:$AV$404),2),""))))</f>
        <v/>
      </c>
      <c r="M320" s="32">
        <f>IF($AD320="Z",ROUND(SUM($AJ$5:$AJ$704),2),IF($AD320="B",ROUND(SUMIF($AQ$5:$AQ$704,$AQ320,$AJ$5:$AJ$704),2),IF($AD320&lt;&gt;"T","",$AJ320)))</f>
        <v/>
      </c>
      <c r="N320" s="32">
        <f>IF(OR($AD320="D",$AD320="T",$AD320="B",$AD320="Z"),ROUND(N($K320)-N($L320)-N($M320),2),"")</f>
        <v/>
      </c>
      <c r="O320" s="32">
        <f>IF(OR($AD320="D",$AD320="T",$AD320="B",$AD320="Z"),IF(N($E320)=0,"",ROUND($F320/$E320,2)),"")</f>
        <v/>
      </c>
      <c r="Q320">
        <f>IFERROR(MATCH(316,บันทึกรายเที่ยว!$Z$6:$Z$6005,0),"")</f>
        <v/>
      </c>
      <c r="R320">
        <f>IF($Q320="","",INDEX(บันทึกรายเที่ยว!$V$6:$V$6005,$Q320))</f>
        <v/>
      </c>
      <c r="S320">
        <f>IF($Q320="","",INDEX(บันทึกรายเที่ยว!$F$6:$F$6005,$Q320))</f>
        <v/>
      </c>
      <c r="T320">
        <f>IF($Q320="","",MATCH($S320,บันทึกรายเที่ยว!$F$6:$F$6005,0))</f>
        <v/>
      </c>
      <c r="U320">
        <f>IF($Q320="","",$AL320*10000000+$T320*1000+316)</f>
        <v/>
      </c>
      <c r="V320">
        <f>IFERROR(MATCH(SMALL($U$5:$U$404,316),$U$5:$U$404,0),"")</f>
        <v/>
      </c>
      <c r="W320">
        <f>IF($V320="","",INDEX($Q$5:$Q$404,$V320))</f>
        <v/>
      </c>
      <c r="X320">
        <f>IF($V320="","",INDEX($S$5:$S$404,$V320))</f>
        <v/>
      </c>
      <c r="Y320">
        <f>IF($V320="","",INDEX($R$5:$R$404,$V320))</f>
        <v/>
      </c>
      <c r="Z320">
        <f>IF($V320="",0,IF($X320&lt;&gt;$X319,1,0))</f>
        <v/>
      </c>
      <c r="AA320">
        <f>IF($V320="",0,IF($V321="",1,IF($X321&lt;&gt;$X320,1,0)))</f>
        <v/>
      </c>
      <c r="AB320">
        <f>IF($V320="",99999+316,$AB319+1+$Z319+$AA319+$AO319)</f>
        <v/>
      </c>
      <c r="AC320">
        <f>IFERROR(MATCH(316,$AB$5:$AB$404,1),"")</f>
        <v/>
      </c>
      <c r="AD320">
        <f>IF(316=$AI$1+1,"Z",IF($AC320="","",IF(INDEX($V$5:$V$404,$AC320)="","",IF(316&gt;INDEX($AB$5:$AB$404,$AC320)+INDEX($Z$5:$Z$404,$AC320)+INDEX($AA$5:$AA$404,$AC320)+INDEX($AO$5:$AO$404,$AC320),"",IF(316=INDEX($AB$5:$AB$404,$AC320)+INDEX($Z$5:$Z$404,$AC320),"D",IF(AND(INDEX($Z$5:$Z$404,$AC320)=1,316=INDEX($AB$5:$AB$404,$AC320)),"H",IF(AND(INDEX($AO$5:$AO$404,$AC320)=1,316=INDEX($AB$5:$AB$404,$AC320)+INDEX($Z$5:$Z$404,$AC320)+INDEX($AA$5:$AA$404,$AC320)+INDEX($AO$5:$AO$404,$AC320)),"B","T")))))))</f>
        <v/>
      </c>
      <c r="AF320">
        <f>IF(OR($AD320="",$AD320="Z",$AD320="B"),"",INDEX($X$5:$X$404,$AC320))</f>
        <v/>
      </c>
      <c r="AJ320">
        <f>IF($AD320&lt;&gt;"T",0,ROUND(SUMIF(oil!$B$4:$B$63,$AF320,oil!$AE$4:$AE$63),2))</f>
        <v/>
      </c>
      <c r="AK320">
        <f>IF($S320="","",IFERROR(INDEX(อัตราค่าขนส่ง!$P$5:$P$54,MATCH($S320,อัตราค่าขนส่ง!$O$5:$O$54,0)),INDEX(รายการมาตรฐาน!$G$2:$G$3,1)))</f>
        <v/>
      </c>
      <c r="AL320">
        <f>IF($S320="","",IFERROR(MATCH($AK320,รายการมาตรฐาน!$G$2:$G$3,0),1))</f>
        <v/>
      </c>
      <c r="AM320">
        <f>IF($V320="","",INDEX($AK$5:$AK$404,$V320))</f>
        <v/>
      </c>
      <c r="AN320">
        <f>IF($V320="","",INDEX($AL$5:$AL$404,$V320))</f>
        <v/>
      </c>
      <c r="AO320">
        <f>IF(OR($V320="",$AI$2&lt;=1),0,IF($V321="",1,IF($AN321&lt;&gt;$AN320,1,0)))</f>
        <v/>
      </c>
      <c r="AP320">
        <f>IF($V320="",0,IF($AN320&lt;&gt;$AN319,1,0))</f>
        <v/>
      </c>
      <c r="AQ320">
        <f>IF(OR($AD320="",$AD320="Z"),"",INDEX($AN$5:$AN$404,$AC320))</f>
        <v/>
      </c>
      <c r="AR320">
        <f>IF($Y320="",0,COUNTIF(บันทึกรายเที่ยว!$V$6:$V$6005,$Y320))</f>
        <v/>
      </c>
      <c r="AS320">
        <f>IF($Y320="",0,ROUND(SUMIF(บันทึกรายเที่ยว!$V$6:$V$6005,$Y320,บันทึกรายเที่ยว!$M$6:$M$6005),2))</f>
        <v/>
      </c>
      <c r="AT320">
        <f>IF($Y320="",0,IFERROR(INDEX(อัตราค่าขนส่ง!$G$5:$G$204,MATCH($Y320,อัตราค่าขนส่ง!$M$5:$M$204,0)),0))</f>
        <v/>
      </c>
      <c r="AU320">
        <f>ROUND($AS320*$BD320,2)</f>
        <v/>
      </c>
      <c r="AV320">
        <f>ROUND($AU320*$BF$2/100,2)</f>
        <v/>
      </c>
      <c r="AW320">
        <f>IF($Y320="","",IFERROR(INDEX(อัตราค่าขนส่ง!$F$5:$F$204,MATCH($Y320,อัตราค่าขนส่ง!$M$5:$M$204,0)),""))</f>
        <v/>
      </c>
      <c r="AX320">
        <f>IF($W320="","",INDEX(บันทึกรายเที่ยว!$D$6:$D$6005,$W320))</f>
        <v/>
      </c>
      <c r="AY320">
        <f>IF($W320="","",INDEX(บันทึกรายเที่ยว!$R$6:$R$6005,$W320))</f>
        <v/>
      </c>
      <c r="AZ320">
        <f>IF(AND($AD320="T",$AQ320=1),N($AZ319)+1,N($AZ319))</f>
        <v/>
      </c>
      <c r="BA320">
        <f>IF($W320="","",INDEX(บันทึกรายเที่ยว!$E$6:$E$6005,$W320))</f>
        <v/>
      </c>
      <c r="BC320">
        <f>IF($Y320="",0,IFERROR(INDEX(อัตราค่าขนส่ง!$K$5:$K$204,MATCH($Y320,อัตราค่าขนส่ง!$M$5:$M$204,0)),0))</f>
        <v/>
      </c>
      <c r="BD320">
        <f>IF($Y320="",0,IFERROR(INDEX(อัตราค่าขนส่ง!$L$5:$L$204,MATCH($Y320,อัตราค่าขนส่ง!$M$5:$M$204,0)),0))</f>
        <v/>
      </c>
    </row>
    <row r="321" ht="21" customHeight="1" s="66">
      <c r="A321" s="69">
        <f>IF($AD321="","",IF($AD321="Z","รวมจ่ายทั้งสิ้น",IF($AD321="H",INDEX($X$5:$X$404,$AC321),IF($AD321="T","รวม",IF($AD321="B",IFERROR(INDEX(อัตราค่าขนส่ง!$S$5:$S$14,MATCH(INDEX($AM$5:$AM$404,$AC321),อัตราค่าขนส่ง!$R$5:$R$14,0)),"รวมกลุ่ม "&amp;INDEX($AM$5:$AM$404,$AC321)),INDEX($AY$5:$AY$404,$AC321))))))</f>
        <v/>
      </c>
      <c r="B321" s="31">
        <f>IF($AD321&lt;&gt;"D","",INDEX($AW$5:$AW$404,$AC321))</f>
        <v/>
      </c>
      <c r="C321" s="68">
        <f>IF($AD321&lt;&gt;"D","",INDEX($AX$5:$AX$404,$AC321))</f>
        <v/>
      </c>
      <c r="D321" s="70">
        <f>IF($AD321&lt;&gt;"D","",INDEX($BA$5:$BA$404,$AC321))</f>
        <v/>
      </c>
      <c r="E321" s="31">
        <f>IF($AD321="Z",SUM($AR$5:$AR$404),IF($AD321="D",INDEX($AR$5:$AR$404,$AC321),IF($AD321="T",SUMIF($X$5:$X$404,$AF321,$AR$5:$AR$404),IF($AD321="B",SUMIF($AN$5:$AN$404,$AQ321,$AR$5:$AR$404),""))))</f>
        <v/>
      </c>
      <c r="F321" s="32">
        <f>IF($AD321="Z",ROUND(SUM($AS$5:$AS$404),2),IF($AD321="D",INDEX($AS$5:$AS$404,$AC321),IF($AD321="T",ROUND(SUMIF($X$5:$X$404,$AF321,$AS$5:$AS$404),2),IF($AD321="B",ROUND(SUMIF($AN$5:$AN$404,$AQ321,$AS$5:$AS$404),2),""))))</f>
        <v/>
      </c>
      <c r="G321" s="32">
        <f>IF($AD321&lt;&gt;"D","",INDEX($AT$5:$AT$404,$AC321))</f>
        <v/>
      </c>
      <c r="H321" s="32">
        <f>IF($AD321&lt;&gt;"D","",INDEX($BC$5:$BC$404,$AC321))</f>
        <v/>
      </c>
      <c r="I321" s="32">
        <f>IF($AD321&lt;&gt;"D","",INDEX($BD$5:$BD$404,$AC321))</f>
        <v/>
      </c>
      <c r="J321" s="46">
        <f>IF($AD321&lt;&gt;"D","",IF(N($B321)=0,"",ROUND($I321/$B321,4)))</f>
        <v/>
      </c>
      <c r="K321" s="32">
        <f>IF($AD321="Z",ROUND(SUM($AU$5:$AU$404),2),IF($AD321="D",INDEX($AU$5:$AU$404,$AC321),IF($AD321="T",ROUND(SUMIF($X$5:$X$404,$AF321,$AU$5:$AU$404),2),IF($AD321="B",ROUND(SUMIF($AN$5:$AN$404,$AQ321,$AU$5:$AU$404),2),""))))</f>
        <v/>
      </c>
      <c r="L321" s="32">
        <f>IF($AD321="Z",ROUND(SUM($AV$5:$AV$404),2),IF($AD321="D",INDEX($AV$5:$AV$404,$AC321),IF($AD321="T",ROUND(SUMIF($X$5:$X$404,$AF321,$AV$5:$AV$404),2),IF($AD321="B",ROUND(SUMIF($AN$5:$AN$404,$AQ321,$AV$5:$AV$404),2),""))))</f>
        <v/>
      </c>
      <c r="M321" s="32">
        <f>IF($AD321="Z",ROUND(SUM($AJ$5:$AJ$704),2),IF($AD321="B",ROUND(SUMIF($AQ$5:$AQ$704,$AQ321,$AJ$5:$AJ$704),2),IF($AD321&lt;&gt;"T","",$AJ321)))</f>
        <v/>
      </c>
      <c r="N321" s="32">
        <f>IF(OR($AD321="D",$AD321="T",$AD321="B",$AD321="Z"),ROUND(N($K321)-N($L321)-N($M321),2),"")</f>
        <v/>
      </c>
      <c r="O321" s="32">
        <f>IF(OR($AD321="D",$AD321="T",$AD321="B",$AD321="Z"),IF(N($E321)=0,"",ROUND($F321/$E321,2)),"")</f>
        <v/>
      </c>
      <c r="Q321">
        <f>IFERROR(MATCH(317,บันทึกรายเที่ยว!$Z$6:$Z$6005,0),"")</f>
        <v/>
      </c>
      <c r="R321">
        <f>IF($Q321="","",INDEX(บันทึกรายเที่ยว!$V$6:$V$6005,$Q321))</f>
        <v/>
      </c>
      <c r="S321">
        <f>IF($Q321="","",INDEX(บันทึกรายเที่ยว!$F$6:$F$6005,$Q321))</f>
        <v/>
      </c>
      <c r="T321">
        <f>IF($Q321="","",MATCH($S321,บันทึกรายเที่ยว!$F$6:$F$6005,0))</f>
        <v/>
      </c>
      <c r="U321">
        <f>IF($Q321="","",$AL321*10000000+$T321*1000+317)</f>
        <v/>
      </c>
      <c r="V321">
        <f>IFERROR(MATCH(SMALL($U$5:$U$404,317),$U$5:$U$404,0),"")</f>
        <v/>
      </c>
      <c r="W321">
        <f>IF($V321="","",INDEX($Q$5:$Q$404,$V321))</f>
        <v/>
      </c>
      <c r="X321">
        <f>IF($V321="","",INDEX($S$5:$S$404,$V321))</f>
        <v/>
      </c>
      <c r="Y321">
        <f>IF($V321="","",INDEX($R$5:$R$404,$V321))</f>
        <v/>
      </c>
      <c r="Z321">
        <f>IF($V321="",0,IF($X321&lt;&gt;$X320,1,0))</f>
        <v/>
      </c>
      <c r="AA321">
        <f>IF($V321="",0,IF($V322="",1,IF($X322&lt;&gt;$X321,1,0)))</f>
        <v/>
      </c>
      <c r="AB321">
        <f>IF($V321="",99999+317,$AB320+1+$Z320+$AA320+$AO320)</f>
        <v/>
      </c>
      <c r="AC321">
        <f>IFERROR(MATCH(317,$AB$5:$AB$404,1),"")</f>
        <v/>
      </c>
      <c r="AD321">
        <f>IF(317=$AI$1+1,"Z",IF($AC321="","",IF(INDEX($V$5:$V$404,$AC321)="","",IF(317&gt;INDEX($AB$5:$AB$404,$AC321)+INDEX($Z$5:$Z$404,$AC321)+INDEX($AA$5:$AA$404,$AC321)+INDEX($AO$5:$AO$404,$AC321),"",IF(317=INDEX($AB$5:$AB$404,$AC321)+INDEX($Z$5:$Z$404,$AC321),"D",IF(AND(INDEX($Z$5:$Z$404,$AC321)=1,317=INDEX($AB$5:$AB$404,$AC321)),"H",IF(AND(INDEX($AO$5:$AO$404,$AC321)=1,317=INDEX($AB$5:$AB$404,$AC321)+INDEX($Z$5:$Z$404,$AC321)+INDEX($AA$5:$AA$404,$AC321)+INDEX($AO$5:$AO$404,$AC321)),"B","T")))))))</f>
        <v/>
      </c>
      <c r="AF321">
        <f>IF(OR($AD321="",$AD321="Z",$AD321="B"),"",INDEX($X$5:$X$404,$AC321))</f>
        <v/>
      </c>
      <c r="AJ321">
        <f>IF($AD321&lt;&gt;"T",0,ROUND(SUMIF(oil!$B$4:$B$63,$AF321,oil!$AE$4:$AE$63),2))</f>
        <v/>
      </c>
      <c r="AK321">
        <f>IF($S321="","",IFERROR(INDEX(อัตราค่าขนส่ง!$P$5:$P$54,MATCH($S321,อัตราค่าขนส่ง!$O$5:$O$54,0)),INDEX(รายการมาตรฐาน!$G$2:$G$3,1)))</f>
        <v/>
      </c>
      <c r="AL321">
        <f>IF($S321="","",IFERROR(MATCH($AK321,รายการมาตรฐาน!$G$2:$G$3,0),1))</f>
        <v/>
      </c>
      <c r="AM321">
        <f>IF($V321="","",INDEX($AK$5:$AK$404,$V321))</f>
        <v/>
      </c>
      <c r="AN321">
        <f>IF($V321="","",INDEX($AL$5:$AL$404,$V321))</f>
        <v/>
      </c>
      <c r="AO321">
        <f>IF(OR($V321="",$AI$2&lt;=1),0,IF($V322="",1,IF($AN322&lt;&gt;$AN321,1,0)))</f>
        <v/>
      </c>
      <c r="AP321">
        <f>IF($V321="",0,IF($AN321&lt;&gt;$AN320,1,0))</f>
        <v/>
      </c>
      <c r="AQ321">
        <f>IF(OR($AD321="",$AD321="Z"),"",INDEX($AN$5:$AN$404,$AC321))</f>
        <v/>
      </c>
      <c r="AR321">
        <f>IF($Y321="",0,COUNTIF(บันทึกรายเที่ยว!$V$6:$V$6005,$Y321))</f>
        <v/>
      </c>
      <c r="AS321">
        <f>IF($Y321="",0,ROUND(SUMIF(บันทึกรายเที่ยว!$V$6:$V$6005,$Y321,บันทึกรายเที่ยว!$M$6:$M$6005),2))</f>
        <v/>
      </c>
      <c r="AT321">
        <f>IF($Y321="",0,IFERROR(INDEX(อัตราค่าขนส่ง!$G$5:$G$204,MATCH($Y321,อัตราค่าขนส่ง!$M$5:$M$204,0)),0))</f>
        <v/>
      </c>
      <c r="AU321">
        <f>ROUND($AS321*$BD321,2)</f>
        <v/>
      </c>
      <c r="AV321">
        <f>ROUND($AU321*$BF$2/100,2)</f>
        <v/>
      </c>
      <c r="AW321">
        <f>IF($Y321="","",IFERROR(INDEX(อัตราค่าขนส่ง!$F$5:$F$204,MATCH($Y321,อัตราค่าขนส่ง!$M$5:$M$204,0)),""))</f>
        <v/>
      </c>
      <c r="AX321">
        <f>IF($W321="","",INDEX(บันทึกรายเที่ยว!$D$6:$D$6005,$W321))</f>
        <v/>
      </c>
      <c r="AY321">
        <f>IF($W321="","",INDEX(บันทึกรายเที่ยว!$R$6:$R$6005,$W321))</f>
        <v/>
      </c>
      <c r="AZ321">
        <f>IF(AND($AD321="T",$AQ321=1),N($AZ320)+1,N($AZ320))</f>
        <v/>
      </c>
      <c r="BA321">
        <f>IF($W321="","",INDEX(บันทึกรายเที่ยว!$E$6:$E$6005,$W321))</f>
        <v/>
      </c>
      <c r="BC321">
        <f>IF($Y321="",0,IFERROR(INDEX(อัตราค่าขนส่ง!$K$5:$K$204,MATCH($Y321,อัตราค่าขนส่ง!$M$5:$M$204,0)),0))</f>
        <v/>
      </c>
      <c r="BD321">
        <f>IF($Y321="",0,IFERROR(INDEX(อัตราค่าขนส่ง!$L$5:$L$204,MATCH($Y321,อัตราค่าขนส่ง!$M$5:$M$204,0)),0))</f>
        <v/>
      </c>
    </row>
    <row r="322" ht="21" customHeight="1" s="66">
      <c r="A322" s="69">
        <f>IF($AD322="","",IF($AD322="Z","รวมจ่ายทั้งสิ้น",IF($AD322="H",INDEX($X$5:$X$404,$AC322),IF($AD322="T","รวม",IF($AD322="B",IFERROR(INDEX(อัตราค่าขนส่ง!$S$5:$S$14,MATCH(INDEX($AM$5:$AM$404,$AC322),อัตราค่าขนส่ง!$R$5:$R$14,0)),"รวมกลุ่ม "&amp;INDEX($AM$5:$AM$404,$AC322)),INDEX($AY$5:$AY$404,$AC322))))))</f>
        <v/>
      </c>
      <c r="B322" s="31">
        <f>IF($AD322&lt;&gt;"D","",INDEX($AW$5:$AW$404,$AC322))</f>
        <v/>
      </c>
      <c r="C322" s="68">
        <f>IF($AD322&lt;&gt;"D","",INDEX($AX$5:$AX$404,$AC322))</f>
        <v/>
      </c>
      <c r="D322" s="70">
        <f>IF($AD322&lt;&gt;"D","",INDEX($BA$5:$BA$404,$AC322))</f>
        <v/>
      </c>
      <c r="E322" s="31">
        <f>IF($AD322="Z",SUM($AR$5:$AR$404),IF($AD322="D",INDEX($AR$5:$AR$404,$AC322),IF($AD322="T",SUMIF($X$5:$X$404,$AF322,$AR$5:$AR$404),IF($AD322="B",SUMIF($AN$5:$AN$404,$AQ322,$AR$5:$AR$404),""))))</f>
        <v/>
      </c>
      <c r="F322" s="32">
        <f>IF($AD322="Z",ROUND(SUM($AS$5:$AS$404),2),IF($AD322="D",INDEX($AS$5:$AS$404,$AC322),IF($AD322="T",ROUND(SUMIF($X$5:$X$404,$AF322,$AS$5:$AS$404),2),IF($AD322="B",ROUND(SUMIF($AN$5:$AN$404,$AQ322,$AS$5:$AS$404),2),""))))</f>
        <v/>
      </c>
      <c r="G322" s="32">
        <f>IF($AD322&lt;&gt;"D","",INDEX($AT$5:$AT$404,$AC322))</f>
        <v/>
      </c>
      <c r="H322" s="32">
        <f>IF($AD322&lt;&gt;"D","",INDEX($BC$5:$BC$404,$AC322))</f>
        <v/>
      </c>
      <c r="I322" s="32">
        <f>IF($AD322&lt;&gt;"D","",INDEX($BD$5:$BD$404,$AC322))</f>
        <v/>
      </c>
      <c r="J322" s="46">
        <f>IF($AD322&lt;&gt;"D","",IF(N($B322)=0,"",ROUND($I322/$B322,4)))</f>
        <v/>
      </c>
      <c r="K322" s="32">
        <f>IF($AD322="Z",ROUND(SUM($AU$5:$AU$404),2),IF($AD322="D",INDEX($AU$5:$AU$404,$AC322),IF($AD322="T",ROUND(SUMIF($X$5:$X$404,$AF322,$AU$5:$AU$404),2),IF($AD322="B",ROUND(SUMIF($AN$5:$AN$404,$AQ322,$AU$5:$AU$404),2),""))))</f>
        <v/>
      </c>
      <c r="L322" s="32">
        <f>IF($AD322="Z",ROUND(SUM($AV$5:$AV$404),2),IF($AD322="D",INDEX($AV$5:$AV$404,$AC322),IF($AD322="T",ROUND(SUMIF($X$5:$X$404,$AF322,$AV$5:$AV$404),2),IF($AD322="B",ROUND(SUMIF($AN$5:$AN$404,$AQ322,$AV$5:$AV$404),2),""))))</f>
        <v/>
      </c>
      <c r="M322" s="32">
        <f>IF($AD322="Z",ROUND(SUM($AJ$5:$AJ$704),2),IF($AD322="B",ROUND(SUMIF($AQ$5:$AQ$704,$AQ322,$AJ$5:$AJ$704),2),IF($AD322&lt;&gt;"T","",$AJ322)))</f>
        <v/>
      </c>
      <c r="N322" s="32">
        <f>IF(OR($AD322="D",$AD322="T",$AD322="B",$AD322="Z"),ROUND(N($K322)-N($L322)-N($M322),2),"")</f>
        <v/>
      </c>
      <c r="O322" s="32">
        <f>IF(OR($AD322="D",$AD322="T",$AD322="B",$AD322="Z"),IF(N($E322)=0,"",ROUND($F322/$E322,2)),"")</f>
        <v/>
      </c>
      <c r="Q322">
        <f>IFERROR(MATCH(318,บันทึกรายเที่ยว!$Z$6:$Z$6005,0),"")</f>
        <v/>
      </c>
      <c r="R322">
        <f>IF($Q322="","",INDEX(บันทึกรายเที่ยว!$V$6:$V$6005,$Q322))</f>
        <v/>
      </c>
      <c r="S322">
        <f>IF($Q322="","",INDEX(บันทึกรายเที่ยว!$F$6:$F$6005,$Q322))</f>
        <v/>
      </c>
      <c r="T322">
        <f>IF($Q322="","",MATCH($S322,บันทึกรายเที่ยว!$F$6:$F$6005,0))</f>
        <v/>
      </c>
      <c r="U322">
        <f>IF($Q322="","",$AL322*10000000+$T322*1000+318)</f>
        <v/>
      </c>
      <c r="V322">
        <f>IFERROR(MATCH(SMALL($U$5:$U$404,318),$U$5:$U$404,0),"")</f>
        <v/>
      </c>
      <c r="W322">
        <f>IF($V322="","",INDEX($Q$5:$Q$404,$V322))</f>
        <v/>
      </c>
      <c r="X322">
        <f>IF($V322="","",INDEX($S$5:$S$404,$V322))</f>
        <v/>
      </c>
      <c r="Y322">
        <f>IF($V322="","",INDEX($R$5:$R$404,$V322))</f>
        <v/>
      </c>
      <c r="Z322">
        <f>IF($V322="",0,IF($X322&lt;&gt;$X321,1,0))</f>
        <v/>
      </c>
      <c r="AA322">
        <f>IF($V322="",0,IF($V323="",1,IF($X323&lt;&gt;$X322,1,0)))</f>
        <v/>
      </c>
      <c r="AB322">
        <f>IF($V322="",99999+318,$AB321+1+$Z321+$AA321+$AO321)</f>
        <v/>
      </c>
      <c r="AC322">
        <f>IFERROR(MATCH(318,$AB$5:$AB$404,1),"")</f>
        <v/>
      </c>
      <c r="AD322">
        <f>IF(318=$AI$1+1,"Z",IF($AC322="","",IF(INDEX($V$5:$V$404,$AC322)="","",IF(318&gt;INDEX($AB$5:$AB$404,$AC322)+INDEX($Z$5:$Z$404,$AC322)+INDEX($AA$5:$AA$404,$AC322)+INDEX($AO$5:$AO$404,$AC322),"",IF(318=INDEX($AB$5:$AB$404,$AC322)+INDEX($Z$5:$Z$404,$AC322),"D",IF(AND(INDEX($Z$5:$Z$404,$AC322)=1,318=INDEX($AB$5:$AB$404,$AC322)),"H",IF(AND(INDEX($AO$5:$AO$404,$AC322)=1,318=INDEX($AB$5:$AB$404,$AC322)+INDEX($Z$5:$Z$404,$AC322)+INDEX($AA$5:$AA$404,$AC322)+INDEX($AO$5:$AO$404,$AC322)),"B","T")))))))</f>
        <v/>
      </c>
      <c r="AF322">
        <f>IF(OR($AD322="",$AD322="Z",$AD322="B"),"",INDEX($X$5:$X$404,$AC322))</f>
        <v/>
      </c>
      <c r="AJ322">
        <f>IF($AD322&lt;&gt;"T",0,ROUND(SUMIF(oil!$B$4:$B$63,$AF322,oil!$AE$4:$AE$63),2))</f>
        <v/>
      </c>
      <c r="AK322">
        <f>IF($S322="","",IFERROR(INDEX(อัตราค่าขนส่ง!$P$5:$P$54,MATCH($S322,อัตราค่าขนส่ง!$O$5:$O$54,0)),INDEX(รายการมาตรฐาน!$G$2:$G$3,1)))</f>
        <v/>
      </c>
      <c r="AL322">
        <f>IF($S322="","",IFERROR(MATCH($AK322,รายการมาตรฐาน!$G$2:$G$3,0),1))</f>
        <v/>
      </c>
      <c r="AM322">
        <f>IF($V322="","",INDEX($AK$5:$AK$404,$V322))</f>
        <v/>
      </c>
      <c r="AN322">
        <f>IF($V322="","",INDEX($AL$5:$AL$404,$V322))</f>
        <v/>
      </c>
      <c r="AO322">
        <f>IF(OR($V322="",$AI$2&lt;=1),0,IF($V323="",1,IF($AN323&lt;&gt;$AN322,1,0)))</f>
        <v/>
      </c>
      <c r="AP322">
        <f>IF($V322="",0,IF($AN322&lt;&gt;$AN321,1,0))</f>
        <v/>
      </c>
      <c r="AQ322">
        <f>IF(OR($AD322="",$AD322="Z"),"",INDEX($AN$5:$AN$404,$AC322))</f>
        <v/>
      </c>
      <c r="AR322">
        <f>IF($Y322="",0,COUNTIF(บันทึกรายเที่ยว!$V$6:$V$6005,$Y322))</f>
        <v/>
      </c>
      <c r="AS322">
        <f>IF($Y322="",0,ROUND(SUMIF(บันทึกรายเที่ยว!$V$6:$V$6005,$Y322,บันทึกรายเที่ยว!$M$6:$M$6005),2))</f>
        <v/>
      </c>
      <c r="AT322">
        <f>IF($Y322="",0,IFERROR(INDEX(อัตราค่าขนส่ง!$G$5:$G$204,MATCH($Y322,อัตราค่าขนส่ง!$M$5:$M$204,0)),0))</f>
        <v/>
      </c>
      <c r="AU322">
        <f>ROUND($AS322*$BD322,2)</f>
        <v/>
      </c>
      <c r="AV322">
        <f>ROUND($AU322*$BF$2/100,2)</f>
        <v/>
      </c>
      <c r="AW322">
        <f>IF($Y322="","",IFERROR(INDEX(อัตราค่าขนส่ง!$F$5:$F$204,MATCH($Y322,อัตราค่าขนส่ง!$M$5:$M$204,0)),""))</f>
        <v/>
      </c>
      <c r="AX322">
        <f>IF($W322="","",INDEX(บันทึกรายเที่ยว!$D$6:$D$6005,$W322))</f>
        <v/>
      </c>
      <c r="AY322">
        <f>IF($W322="","",INDEX(บันทึกรายเที่ยว!$R$6:$R$6005,$W322))</f>
        <v/>
      </c>
      <c r="AZ322">
        <f>IF(AND($AD322="T",$AQ322=1),N($AZ321)+1,N($AZ321))</f>
        <v/>
      </c>
      <c r="BA322">
        <f>IF($W322="","",INDEX(บันทึกรายเที่ยว!$E$6:$E$6005,$W322))</f>
        <v/>
      </c>
      <c r="BC322">
        <f>IF($Y322="",0,IFERROR(INDEX(อัตราค่าขนส่ง!$K$5:$K$204,MATCH($Y322,อัตราค่าขนส่ง!$M$5:$M$204,0)),0))</f>
        <v/>
      </c>
      <c r="BD322">
        <f>IF($Y322="",0,IFERROR(INDEX(อัตราค่าขนส่ง!$L$5:$L$204,MATCH($Y322,อัตราค่าขนส่ง!$M$5:$M$204,0)),0))</f>
        <v/>
      </c>
    </row>
    <row r="323" ht="21" customHeight="1" s="66">
      <c r="A323" s="69">
        <f>IF($AD323="","",IF($AD323="Z","รวมจ่ายทั้งสิ้น",IF($AD323="H",INDEX($X$5:$X$404,$AC323),IF($AD323="T","รวม",IF($AD323="B",IFERROR(INDEX(อัตราค่าขนส่ง!$S$5:$S$14,MATCH(INDEX($AM$5:$AM$404,$AC323),อัตราค่าขนส่ง!$R$5:$R$14,0)),"รวมกลุ่ม "&amp;INDEX($AM$5:$AM$404,$AC323)),INDEX($AY$5:$AY$404,$AC323))))))</f>
        <v/>
      </c>
      <c r="B323" s="31">
        <f>IF($AD323&lt;&gt;"D","",INDEX($AW$5:$AW$404,$AC323))</f>
        <v/>
      </c>
      <c r="C323" s="68">
        <f>IF($AD323&lt;&gt;"D","",INDEX($AX$5:$AX$404,$AC323))</f>
        <v/>
      </c>
      <c r="D323" s="70">
        <f>IF($AD323&lt;&gt;"D","",INDEX($BA$5:$BA$404,$AC323))</f>
        <v/>
      </c>
      <c r="E323" s="31">
        <f>IF($AD323="Z",SUM($AR$5:$AR$404),IF($AD323="D",INDEX($AR$5:$AR$404,$AC323),IF($AD323="T",SUMIF($X$5:$X$404,$AF323,$AR$5:$AR$404),IF($AD323="B",SUMIF($AN$5:$AN$404,$AQ323,$AR$5:$AR$404),""))))</f>
        <v/>
      </c>
      <c r="F323" s="32">
        <f>IF($AD323="Z",ROUND(SUM($AS$5:$AS$404),2),IF($AD323="D",INDEX($AS$5:$AS$404,$AC323),IF($AD323="T",ROUND(SUMIF($X$5:$X$404,$AF323,$AS$5:$AS$404),2),IF($AD323="B",ROUND(SUMIF($AN$5:$AN$404,$AQ323,$AS$5:$AS$404),2),""))))</f>
        <v/>
      </c>
      <c r="G323" s="32">
        <f>IF($AD323&lt;&gt;"D","",INDEX($AT$5:$AT$404,$AC323))</f>
        <v/>
      </c>
      <c r="H323" s="32">
        <f>IF($AD323&lt;&gt;"D","",INDEX($BC$5:$BC$404,$AC323))</f>
        <v/>
      </c>
      <c r="I323" s="32">
        <f>IF($AD323&lt;&gt;"D","",INDEX($BD$5:$BD$404,$AC323))</f>
        <v/>
      </c>
      <c r="J323" s="46">
        <f>IF($AD323&lt;&gt;"D","",IF(N($B323)=0,"",ROUND($I323/$B323,4)))</f>
        <v/>
      </c>
      <c r="K323" s="32">
        <f>IF($AD323="Z",ROUND(SUM($AU$5:$AU$404),2),IF($AD323="D",INDEX($AU$5:$AU$404,$AC323),IF($AD323="T",ROUND(SUMIF($X$5:$X$404,$AF323,$AU$5:$AU$404),2),IF($AD323="B",ROUND(SUMIF($AN$5:$AN$404,$AQ323,$AU$5:$AU$404),2),""))))</f>
        <v/>
      </c>
      <c r="L323" s="32">
        <f>IF($AD323="Z",ROUND(SUM($AV$5:$AV$404),2),IF($AD323="D",INDEX($AV$5:$AV$404,$AC323),IF($AD323="T",ROUND(SUMIF($X$5:$X$404,$AF323,$AV$5:$AV$404),2),IF($AD323="B",ROUND(SUMIF($AN$5:$AN$404,$AQ323,$AV$5:$AV$404),2),""))))</f>
        <v/>
      </c>
      <c r="M323" s="32">
        <f>IF($AD323="Z",ROUND(SUM($AJ$5:$AJ$704),2),IF($AD323="B",ROUND(SUMIF($AQ$5:$AQ$704,$AQ323,$AJ$5:$AJ$704),2),IF($AD323&lt;&gt;"T","",$AJ323)))</f>
        <v/>
      </c>
      <c r="N323" s="32">
        <f>IF(OR($AD323="D",$AD323="T",$AD323="B",$AD323="Z"),ROUND(N($K323)-N($L323)-N($M323),2),"")</f>
        <v/>
      </c>
      <c r="O323" s="32">
        <f>IF(OR($AD323="D",$AD323="T",$AD323="B",$AD323="Z"),IF(N($E323)=0,"",ROUND($F323/$E323,2)),"")</f>
        <v/>
      </c>
      <c r="Q323">
        <f>IFERROR(MATCH(319,บันทึกรายเที่ยว!$Z$6:$Z$6005,0),"")</f>
        <v/>
      </c>
      <c r="R323">
        <f>IF($Q323="","",INDEX(บันทึกรายเที่ยว!$V$6:$V$6005,$Q323))</f>
        <v/>
      </c>
      <c r="S323">
        <f>IF($Q323="","",INDEX(บันทึกรายเที่ยว!$F$6:$F$6005,$Q323))</f>
        <v/>
      </c>
      <c r="T323">
        <f>IF($Q323="","",MATCH($S323,บันทึกรายเที่ยว!$F$6:$F$6005,0))</f>
        <v/>
      </c>
      <c r="U323">
        <f>IF($Q323="","",$AL323*10000000+$T323*1000+319)</f>
        <v/>
      </c>
      <c r="V323">
        <f>IFERROR(MATCH(SMALL($U$5:$U$404,319),$U$5:$U$404,0),"")</f>
        <v/>
      </c>
      <c r="W323">
        <f>IF($V323="","",INDEX($Q$5:$Q$404,$V323))</f>
        <v/>
      </c>
      <c r="X323">
        <f>IF($V323="","",INDEX($S$5:$S$404,$V323))</f>
        <v/>
      </c>
      <c r="Y323">
        <f>IF($V323="","",INDEX($R$5:$R$404,$V323))</f>
        <v/>
      </c>
      <c r="Z323">
        <f>IF($V323="",0,IF($X323&lt;&gt;$X322,1,0))</f>
        <v/>
      </c>
      <c r="AA323">
        <f>IF($V323="",0,IF($V324="",1,IF($X324&lt;&gt;$X323,1,0)))</f>
        <v/>
      </c>
      <c r="AB323">
        <f>IF($V323="",99999+319,$AB322+1+$Z322+$AA322+$AO322)</f>
        <v/>
      </c>
      <c r="AC323">
        <f>IFERROR(MATCH(319,$AB$5:$AB$404,1),"")</f>
        <v/>
      </c>
      <c r="AD323">
        <f>IF(319=$AI$1+1,"Z",IF($AC323="","",IF(INDEX($V$5:$V$404,$AC323)="","",IF(319&gt;INDEX($AB$5:$AB$404,$AC323)+INDEX($Z$5:$Z$404,$AC323)+INDEX($AA$5:$AA$404,$AC323)+INDEX($AO$5:$AO$404,$AC323),"",IF(319=INDEX($AB$5:$AB$404,$AC323)+INDEX($Z$5:$Z$404,$AC323),"D",IF(AND(INDEX($Z$5:$Z$404,$AC323)=1,319=INDEX($AB$5:$AB$404,$AC323)),"H",IF(AND(INDEX($AO$5:$AO$404,$AC323)=1,319=INDEX($AB$5:$AB$404,$AC323)+INDEX($Z$5:$Z$404,$AC323)+INDEX($AA$5:$AA$404,$AC323)+INDEX($AO$5:$AO$404,$AC323)),"B","T")))))))</f>
        <v/>
      </c>
      <c r="AF323">
        <f>IF(OR($AD323="",$AD323="Z",$AD323="B"),"",INDEX($X$5:$X$404,$AC323))</f>
        <v/>
      </c>
      <c r="AJ323">
        <f>IF($AD323&lt;&gt;"T",0,ROUND(SUMIF(oil!$B$4:$B$63,$AF323,oil!$AE$4:$AE$63),2))</f>
        <v/>
      </c>
      <c r="AK323">
        <f>IF($S323="","",IFERROR(INDEX(อัตราค่าขนส่ง!$P$5:$P$54,MATCH($S323,อัตราค่าขนส่ง!$O$5:$O$54,0)),INDEX(รายการมาตรฐาน!$G$2:$G$3,1)))</f>
        <v/>
      </c>
      <c r="AL323">
        <f>IF($S323="","",IFERROR(MATCH($AK323,รายการมาตรฐาน!$G$2:$G$3,0),1))</f>
        <v/>
      </c>
      <c r="AM323">
        <f>IF($V323="","",INDEX($AK$5:$AK$404,$V323))</f>
        <v/>
      </c>
      <c r="AN323">
        <f>IF($V323="","",INDEX($AL$5:$AL$404,$V323))</f>
        <v/>
      </c>
      <c r="AO323">
        <f>IF(OR($V323="",$AI$2&lt;=1),0,IF($V324="",1,IF($AN324&lt;&gt;$AN323,1,0)))</f>
        <v/>
      </c>
      <c r="AP323">
        <f>IF($V323="",0,IF($AN323&lt;&gt;$AN322,1,0))</f>
        <v/>
      </c>
      <c r="AQ323">
        <f>IF(OR($AD323="",$AD323="Z"),"",INDEX($AN$5:$AN$404,$AC323))</f>
        <v/>
      </c>
      <c r="AR323">
        <f>IF($Y323="",0,COUNTIF(บันทึกรายเที่ยว!$V$6:$V$6005,$Y323))</f>
        <v/>
      </c>
      <c r="AS323">
        <f>IF($Y323="",0,ROUND(SUMIF(บันทึกรายเที่ยว!$V$6:$V$6005,$Y323,บันทึกรายเที่ยว!$M$6:$M$6005),2))</f>
        <v/>
      </c>
      <c r="AT323">
        <f>IF($Y323="",0,IFERROR(INDEX(อัตราค่าขนส่ง!$G$5:$G$204,MATCH($Y323,อัตราค่าขนส่ง!$M$5:$M$204,0)),0))</f>
        <v/>
      </c>
      <c r="AU323">
        <f>ROUND($AS323*$BD323,2)</f>
        <v/>
      </c>
      <c r="AV323">
        <f>ROUND($AU323*$BF$2/100,2)</f>
        <v/>
      </c>
      <c r="AW323">
        <f>IF($Y323="","",IFERROR(INDEX(อัตราค่าขนส่ง!$F$5:$F$204,MATCH($Y323,อัตราค่าขนส่ง!$M$5:$M$204,0)),""))</f>
        <v/>
      </c>
      <c r="AX323">
        <f>IF($W323="","",INDEX(บันทึกรายเที่ยว!$D$6:$D$6005,$W323))</f>
        <v/>
      </c>
      <c r="AY323">
        <f>IF($W323="","",INDEX(บันทึกรายเที่ยว!$R$6:$R$6005,$W323))</f>
        <v/>
      </c>
      <c r="AZ323">
        <f>IF(AND($AD323="T",$AQ323=1),N($AZ322)+1,N($AZ322))</f>
        <v/>
      </c>
      <c r="BA323">
        <f>IF($W323="","",INDEX(บันทึกรายเที่ยว!$E$6:$E$6005,$W323))</f>
        <v/>
      </c>
      <c r="BC323">
        <f>IF($Y323="",0,IFERROR(INDEX(อัตราค่าขนส่ง!$K$5:$K$204,MATCH($Y323,อัตราค่าขนส่ง!$M$5:$M$204,0)),0))</f>
        <v/>
      </c>
      <c r="BD323">
        <f>IF($Y323="",0,IFERROR(INDEX(อัตราค่าขนส่ง!$L$5:$L$204,MATCH($Y323,อัตราค่าขนส่ง!$M$5:$M$204,0)),0))</f>
        <v/>
      </c>
    </row>
    <row r="324" ht="21" customHeight="1" s="66">
      <c r="A324" s="69">
        <f>IF($AD324="","",IF($AD324="Z","รวมจ่ายทั้งสิ้น",IF($AD324="H",INDEX($X$5:$X$404,$AC324),IF($AD324="T","รวม",IF($AD324="B",IFERROR(INDEX(อัตราค่าขนส่ง!$S$5:$S$14,MATCH(INDEX($AM$5:$AM$404,$AC324),อัตราค่าขนส่ง!$R$5:$R$14,0)),"รวมกลุ่ม "&amp;INDEX($AM$5:$AM$404,$AC324)),INDEX($AY$5:$AY$404,$AC324))))))</f>
        <v/>
      </c>
      <c r="B324" s="31">
        <f>IF($AD324&lt;&gt;"D","",INDEX($AW$5:$AW$404,$AC324))</f>
        <v/>
      </c>
      <c r="C324" s="68">
        <f>IF($AD324&lt;&gt;"D","",INDEX($AX$5:$AX$404,$AC324))</f>
        <v/>
      </c>
      <c r="D324" s="70">
        <f>IF($AD324&lt;&gt;"D","",INDEX($BA$5:$BA$404,$AC324))</f>
        <v/>
      </c>
      <c r="E324" s="31">
        <f>IF($AD324="Z",SUM($AR$5:$AR$404),IF($AD324="D",INDEX($AR$5:$AR$404,$AC324),IF($AD324="T",SUMIF($X$5:$X$404,$AF324,$AR$5:$AR$404),IF($AD324="B",SUMIF($AN$5:$AN$404,$AQ324,$AR$5:$AR$404),""))))</f>
        <v/>
      </c>
      <c r="F324" s="32">
        <f>IF($AD324="Z",ROUND(SUM($AS$5:$AS$404),2),IF($AD324="D",INDEX($AS$5:$AS$404,$AC324),IF($AD324="T",ROUND(SUMIF($X$5:$X$404,$AF324,$AS$5:$AS$404),2),IF($AD324="B",ROUND(SUMIF($AN$5:$AN$404,$AQ324,$AS$5:$AS$404),2),""))))</f>
        <v/>
      </c>
      <c r="G324" s="32">
        <f>IF($AD324&lt;&gt;"D","",INDEX($AT$5:$AT$404,$AC324))</f>
        <v/>
      </c>
      <c r="H324" s="32">
        <f>IF($AD324&lt;&gt;"D","",INDEX($BC$5:$BC$404,$AC324))</f>
        <v/>
      </c>
      <c r="I324" s="32">
        <f>IF($AD324&lt;&gt;"D","",INDEX($BD$5:$BD$404,$AC324))</f>
        <v/>
      </c>
      <c r="J324" s="46">
        <f>IF($AD324&lt;&gt;"D","",IF(N($B324)=0,"",ROUND($I324/$B324,4)))</f>
        <v/>
      </c>
      <c r="K324" s="32">
        <f>IF($AD324="Z",ROUND(SUM($AU$5:$AU$404),2),IF($AD324="D",INDEX($AU$5:$AU$404,$AC324),IF($AD324="T",ROUND(SUMIF($X$5:$X$404,$AF324,$AU$5:$AU$404),2),IF($AD324="B",ROUND(SUMIF($AN$5:$AN$404,$AQ324,$AU$5:$AU$404),2),""))))</f>
        <v/>
      </c>
      <c r="L324" s="32">
        <f>IF($AD324="Z",ROUND(SUM($AV$5:$AV$404),2),IF($AD324="D",INDEX($AV$5:$AV$404,$AC324),IF($AD324="T",ROUND(SUMIF($X$5:$X$404,$AF324,$AV$5:$AV$404),2),IF($AD324="B",ROUND(SUMIF($AN$5:$AN$404,$AQ324,$AV$5:$AV$404),2),""))))</f>
        <v/>
      </c>
      <c r="M324" s="32">
        <f>IF($AD324="Z",ROUND(SUM($AJ$5:$AJ$704),2),IF($AD324="B",ROUND(SUMIF($AQ$5:$AQ$704,$AQ324,$AJ$5:$AJ$704),2),IF($AD324&lt;&gt;"T","",$AJ324)))</f>
        <v/>
      </c>
      <c r="N324" s="32">
        <f>IF(OR($AD324="D",$AD324="T",$AD324="B",$AD324="Z"),ROUND(N($K324)-N($L324)-N($M324),2),"")</f>
        <v/>
      </c>
      <c r="O324" s="32">
        <f>IF(OR($AD324="D",$AD324="T",$AD324="B",$AD324="Z"),IF(N($E324)=0,"",ROUND($F324/$E324,2)),"")</f>
        <v/>
      </c>
      <c r="Q324">
        <f>IFERROR(MATCH(320,บันทึกรายเที่ยว!$Z$6:$Z$6005,0),"")</f>
        <v/>
      </c>
      <c r="R324">
        <f>IF($Q324="","",INDEX(บันทึกรายเที่ยว!$V$6:$V$6005,$Q324))</f>
        <v/>
      </c>
      <c r="S324">
        <f>IF($Q324="","",INDEX(บันทึกรายเที่ยว!$F$6:$F$6005,$Q324))</f>
        <v/>
      </c>
      <c r="T324">
        <f>IF($Q324="","",MATCH($S324,บันทึกรายเที่ยว!$F$6:$F$6005,0))</f>
        <v/>
      </c>
      <c r="U324">
        <f>IF($Q324="","",$AL324*10000000+$T324*1000+320)</f>
        <v/>
      </c>
      <c r="V324">
        <f>IFERROR(MATCH(SMALL($U$5:$U$404,320),$U$5:$U$404,0),"")</f>
        <v/>
      </c>
      <c r="W324">
        <f>IF($V324="","",INDEX($Q$5:$Q$404,$V324))</f>
        <v/>
      </c>
      <c r="X324">
        <f>IF($V324="","",INDEX($S$5:$S$404,$V324))</f>
        <v/>
      </c>
      <c r="Y324">
        <f>IF($V324="","",INDEX($R$5:$R$404,$V324))</f>
        <v/>
      </c>
      <c r="Z324">
        <f>IF($V324="",0,IF($X324&lt;&gt;$X323,1,0))</f>
        <v/>
      </c>
      <c r="AA324">
        <f>IF($V324="",0,IF($V325="",1,IF($X325&lt;&gt;$X324,1,0)))</f>
        <v/>
      </c>
      <c r="AB324">
        <f>IF($V324="",99999+320,$AB323+1+$Z323+$AA323+$AO323)</f>
        <v/>
      </c>
      <c r="AC324">
        <f>IFERROR(MATCH(320,$AB$5:$AB$404,1),"")</f>
        <v/>
      </c>
      <c r="AD324">
        <f>IF(320=$AI$1+1,"Z",IF($AC324="","",IF(INDEX($V$5:$V$404,$AC324)="","",IF(320&gt;INDEX($AB$5:$AB$404,$AC324)+INDEX($Z$5:$Z$404,$AC324)+INDEX($AA$5:$AA$404,$AC324)+INDEX($AO$5:$AO$404,$AC324),"",IF(320=INDEX($AB$5:$AB$404,$AC324)+INDEX($Z$5:$Z$404,$AC324),"D",IF(AND(INDEX($Z$5:$Z$404,$AC324)=1,320=INDEX($AB$5:$AB$404,$AC324)),"H",IF(AND(INDEX($AO$5:$AO$404,$AC324)=1,320=INDEX($AB$5:$AB$404,$AC324)+INDEX($Z$5:$Z$404,$AC324)+INDEX($AA$5:$AA$404,$AC324)+INDEX($AO$5:$AO$404,$AC324)),"B","T")))))))</f>
        <v/>
      </c>
      <c r="AF324">
        <f>IF(OR($AD324="",$AD324="Z",$AD324="B"),"",INDEX($X$5:$X$404,$AC324))</f>
        <v/>
      </c>
      <c r="AJ324">
        <f>IF($AD324&lt;&gt;"T",0,ROUND(SUMIF(oil!$B$4:$B$63,$AF324,oil!$AE$4:$AE$63),2))</f>
        <v/>
      </c>
      <c r="AK324">
        <f>IF($S324="","",IFERROR(INDEX(อัตราค่าขนส่ง!$P$5:$P$54,MATCH($S324,อัตราค่าขนส่ง!$O$5:$O$54,0)),INDEX(รายการมาตรฐาน!$G$2:$G$3,1)))</f>
        <v/>
      </c>
      <c r="AL324">
        <f>IF($S324="","",IFERROR(MATCH($AK324,รายการมาตรฐาน!$G$2:$G$3,0),1))</f>
        <v/>
      </c>
      <c r="AM324">
        <f>IF($V324="","",INDEX($AK$5:$AK$404,$V324))</f>
        <v/>
      </c>
      <c r="AN324">
        <f>IF($V324="","",INDEX($AL$5:$AL$404,$V324))</f>
        <v/>
      </c>
      <c r="AO324">
        <f>IF(OR($V324="",$AI$2&lt;=1),0,IF($V325="",1,IF($AN325&lt;&gt;$AN324,1,0)))</f>
        <v/>
      </c>
      <c r="AP324">
        <f>IF($V324="",0,IF($AN324&lt;&gt;$AN323,1,0))</f>
        <v/>
      </c>
      <c r="AQ324">
        <f>IF(OR($AD324="",$AD324="Z"),"",INDEX($AN$5:$AN$404,$AC324))</f>
        <v/>
      </c>
      <c r="AR324">
        <f>IF($Y324="",0,COUNTIF(บันทึกรายเที่ยว!$V$6:$V$6005,$Y324))</f>
        <v/>
      </c>
      <c r="AS324">
        <f>IF($Y324="",0,ROUND(SUMIF(บันทึกรายเที่ยว!$V$6:$V$6005,$Y324,บันทึกรายเที่ยว!$M$6:$M$6005),2))</f>
        <v/>
      </c>
      <c r="AT324">
        <f>IF($Y324="",0,IFERROR(INDEX(อัตราค่าขนส่ง!$G$5:$G$204,MATCH($Y324,อัตราค่าขนส่ง!$M$5:$M$204,0)),0))</f>
        <v/>
      </c>
      <c r="AU324">
        <f>ROUND($AS324*$BD324,2)</f>
        <v/>
      </c>
      <c r="AV324">
        <f>ROUND($AU324*$BF$2/100,2)</f>
        <v/>
      </c>
      <c r="AW324">
        <f>IF($Y324="","",IFERROR(INDEX(อัตราค่าขนส่ง!$F$5:$F$204,MATCH($Y324,อัตราค่าขนส่ง!$M$5:$M$204,0)),""))</f>
        <v/>
      </c>
      <c r="AX324">
        <f>IF($W324="","",INDEX(บันทึกรายเที่ยว!$D$6:$D$6005,$W324))</f>
        <v/>
      </c>
      <c r="AY324">
        <f>IF($W324="","",INDEX(บันทึกรายเที่ยว!$R$6:$R$6005,$W324))</f>
        <v/>
      </c>
      <c r="AZ324">
        <f>IF(AND($AD324="T",$AQ324=1),N($AZ323)+1,N($AZ323))</f>
        <v/>
      </c>
      <c r="BA324">
        <f>IF($W324="","",INDEX(บันทึกรายเที่ยว!$E$6:$E$6005,$W324))</f>
        <v/>
      </c>
      <c r="BC324">
        <f>IF($Y324="",0,IFERROR(INDEX(อัตราค่าขนส่ง!$K$5:$K$204,MATCH($Y324,อัตราค่าขนส่ง!$M$5:$M$204,0)),0))</f>
        <v/>
      </c>
      <c r="BD324">
        <f>IF($Y324="",0,IFERROR(INDEX(อัตราค่าขนส่ง!$L$5:$L$204,MATCH($Y324,อัตราค่าขนส่ง!$M$5:$M$204,0)),0))</f>
        <v/>
      </c>
    </row>
    <row r="325" ht="21" customHeight="1" s="66">
      <c r="A325" s="69">
        <f>IF($AD325="","",IF($AD325="Z","รวมจ่ายทั้งสิ้น",IF($AD325="H",INDEX($X$5:$X$404,$AC325),IF($AD325="T","รวม",IF($AD325="B",IFERROR(INDEX(อัตราค่าขนส่ง!$S$5:$S$14,MATCH(INDEX($AM$5:$AM$404,$AC325),อัตราค่าขนส่ง!$R$5:$R$14,0)),"รวมกลุ่ม "&amp;INDEX($AM$5:$AM$404,$AC325)),INDEX($AY$5:$AY$404,$AC325))))))</f>
        <v/>
      </c>
      <c r="B325" s="31">
        <f>IF($AD325&lt;&gt;"D","",INDEX($AW$5:$AW$404,$AC325))</f>
        <v/>
      </c>
      <c r="C325" s="68">
        <f>IF($AD325&lt;&gt;"D","",INDEX($AX$5:$AX$404,$AC325))</f>
        <v/>
      </c>
      <c r="D325" s="70">
        <f>IF($AD325&lt;&gt;"D","",INDEX($BA$5:$BA$404,$AC325))</f>
        <v/>
      </c>
      <c r="E325" s="31">
        <f>IF($AD325="Z",SUM($AR$5:$AR$404),IF($AD325="D",INDEX($AR$5:$AR$404,$AC325),IF($AD325="T",SUMIF($X$5:$X$404,$AF325,$AR$5:$AR$404),IF($AD325="B",SUMIF($AN$5:$AN$404,$AQ325,$AR$5:$AR$404),""))))</f>
        <v/>
      </c>
      <c r="F325" s="32">
        <f>IF($AD325="Z",ROUND(SUM($AS$5:$AS$404),2),IF($AD325="D",INDEX($AS$5:$AS$404,$AC325),IF($AD325="T",ROUND(SUMIF($X$5:$X$404,$AF325,$AS$5:$AS$404),2),IF($AD325="B",ROUND(SUMIF($AN$5:$AN$404,$AQ325,$AS$5:$AS$404),2),""))))</f>
        <v/>
      </c>
      <c r="G325" s="32">
        <f>IF($AD325&lt;&gt;"D","",INDEX($AT$5:$AT$404,$AC325))</f>
        <v/>
      </c>
      <c r="H325" s="32">
        <f>IF($AD325&lt;&gt;"D","",INDEX($BC$5:$BC$404,$AC325))</f>
        <v/>
      </c>
      <c r="I325" s="32">
        <f>IF($AD325&lt;&gt;"D","",INDEX($BD$5:$BD$404,$AC325))</f>
        <v/>
      </c>
      <c r="J325" s="46">
        <f>IF($AD325&lt;&gt;"D","",IF(N($B325)=0,"",ROUND($I325/$B325,4)))</f>
        <v/>
      </c>
      <c r="K325" s="32">
        <f>IF($AD325="Z",ROUND(SUM($AU$5:$AU$404),2),IF($AD325="D",INDEX($AU$5:$AU$404,$AC325),IF($AD325="T",ROUND(SUMIF($X$5:$X$404,$AF325,$AU$5:$AU$404),2),IF($AD325="B",ROUND(SUMIF($AN$5:$AN$404,$AQ325,$AU$5:$AU$404),2),""))))</f>
        <v/>
      </c>
      <c r="L325" s="32">
        <f>IF($AD325="Z",ROUND(SUM($AV$5:$AV$404),2),IF($AD325="D",INDEX($AV$5:$AV$404,$AC325),IF($AD325="T",ROUND(SUMIF($X$5:$X$404,$AF325,$AV$5:$AV$404),2),IF($AD325="B",ROUND(SUMIF($AN$5:$AN$404,$AQ325,$AV$5:$AV$404),2),""))))</f>
        <v/>
      </c>
      <c r="M325" s="32">
        <f>IF($AD325="Z",ROUND(SUM($AJ$5:$AJ$704),2),IF($AD325="B",ROUND(SUMIF($AQ$5:$AQ$704,$AQ325,$AJ$5:$AJ$704),2),IF($AD325&lt;&gt;"T","",$AJ325)))</f>
        <v/>
      </c>
      <c r="N325" s="32">
        <f>IF(OR($AD325="D",$AD325="T",$AD325="B",$AD325="Z"),ROUND(N($K325)-N($L325)-N($M325),2),"")</f>
        <v/>
      </c>
      <c r="O325" s="32">
        <f>IF(OR($AD325="D",$AD325="T",$AD325="B",$AD325="Z"),IF(N($E325)=0,"",ROUND($F325/$E325,2)),"")</f>
        <v/>
      </c>
      <c r="Q325">
        <f>IFERROR(MATCH(321,บันทึกรายเที่ยว!$Z$6:$Z$6005,0),"")</f>
        <v/>
      </c>
      <c r="R325">
        <f>IF($Q325="","",INDEX(บันทึกรายเที่ยว!$V$6:$V$6005,$Q325))</f>
        <v/>
      </c>
      <c r="S325">
        <f>IF($Q325="","",INDEX(บันทึกรายเที่ยว!$F$6:$F$6005,$Q325))</f>
        <v/>
      </c>
      <c r="T325">
        <f>IF($Q325="","",MATCH($S325,บันทึกรายเที่ยว!$F$6:$F$6005,0))</f>
        <v/>
      </c>
      <c r="U325">
        <f>IF($Q325="","",$AL325*10000000+$T325*1000+321)</f>
        <v/>
      </c>
      <c r="V325">
        <f>IFERROR(MATCH(SMALL($U$5:$U$404,321),$U$5:$U$404,0),"")</f>
        <v/>
      </c>
      <c r="W325">
        <f>IF($V325="","",INDEX($Q$5:$Q$404,$V325))</f>
        <v/>
      </c>
      <c r="X325">
        <f>IF($V325="","",INDEX($S$5:$S$404,$V325))</f>
        <v/>
      </c>
      <c r="Y325">
        <f>IF($V325="","",INDEX($R$5:$R$404,$V325))</f>
        <v/>
      </c>
      <c r="Z325">
        <f>IF($V325="",0,IF($X325&lt;&gt;$X324,1,0))</f>
        <v/>
      </c>
      <c r="AA325">
        <f>IF($V325="",0,IF($V326="",1,IF($X326&lt;&gt;$X325,1,0)))</f>
        <v/>
      </c>
      <c r="AB325">
        <f>IF($V325="",99999+321,$AB324+1+$Z324+$AA324+$AO324)</f>
        <v/>
      </c>
      <c r="AC325">
        <f>IFERROR(MATCH(321,$AB$5:$AB$404,1),"")</f>
        <v/>
      </c>
      <c r="AD325">
        <f>IF(321=$AI$1+1,"Z",IF($AC325="","",IF(INDEX($V$5:$V$404,$AC325)="","",IF(321&gt;INDEX($AB$5:$AB$404,$AC325)+INDEX($Z$5:$Z$404,$AC325)+INDEX($AA$5:$AA$404,$AC325)+INDEX($AO$5:$AO$404,$AC325),"",IF(321=INDEX($AB$5:$AB$404,$AC325)+INDEX($Z$5:$Z$404,$AC325),"D",IF(AND(INDEX($Z$5:$Z$404,$AC325)=1,321=INDEX($AB$5:$AB$404,$AC325)),"H",IF(AND(INDEX($AO$5:$AO$404,$AC325)=1,321=INDEX($AB$5:$AB$404,$AC325)+INDEX($Z$5:$Z$404,$AC325)+INDEX($AA$5:$AA$404,$AC325)+INDEX($AO$5:$AO$404,$AC325)),"B","T")))))))</f>
        <v/>
      </c>
      <c r="AF325">
        <f>IF(OR($AD325="",$AD325="Z",$AD325="B"),"",INDEX($X$5:$X$404,$AC325))</f>
        <v/>
      </c>
      <c r="AJ325">
        <f>IF($AD325&lt;&gt;"T",0,ROUND(SUMIF(oil!$B$4:$B$63,$AF325,oil!$AE$4:$AE$63),2))</f>
        <v/>
      </c>
      <c r="AK325">
        <f>IF($S325="","",IFERROR(INDEX(อัตราค่าขนส่ง!$P$5:$P$54,MATCH($S325,อัตราค่าขนส่ง!$O$5:$O$54,0)),INDEX(รายการมาตรฐาน!$G$2:$G$3,1)))</f>
        <v/>
      </c>
      <c r="AL325">
        <f>IF($S325="","",IFERROR(MATCH($AK325,รายการมาตรฐาน!$G$2:$G$3,0),1))</f>
        <v/>
      </c>
      <c r="AM325">
        <f>IF($V325="","",INDEX($AK$5:$AK$404,$V325))</f>
        <v/>
      </c>
      <c r="AN325">
        <f>IF($V325="","",INDEX($AL$5:$AL$404,$V325))</f>
        <v/>
      </c>
      <c r="AO325">
        <f>IF(OR($V325="",$AI$2&lt;=1),0,IF($V326="",1,IF($AN326&lt;&gt;$AN325,1,0)))</f>
        <v/>
      </c>
      <c r="AP325">
        <f>IF($V325="",0,IF($AN325&lt;&gt;$AN324,1,0))</f>
        <v/>
      </c>
      <c r="AQ325">
        <f>IF(OR($AD325="",$AD325="Z"),"",INDEX($AN$5:$AN$404,$AC325))</f>
        <v/>
      </c>
      <c r="AR325">
        <f>IF($Y325="",0,COUNTIF(บันทึกรายเที่ยว!$V$6:$V$6005,$Y325))</f>
        <v/>
      </c>
      <c r="AS325">
        <f>IF($Y325="",0,ROUND(SUMIF(บันทึกรายเที่ยว!$V$6:$V$6005,$Y325,บันทึกรายเที่ยว!$M$6:$M$6005),2))</f>
        <v/>
      </c>
      <c r="AT325">
        <f>IF($Y325="",0,IFERROR(INDEX(อัตราค่าขนส่ง!$G$5:$G$204,MATCH($Y325,อัตราค่าขนส่ง!$M$5:$M$204,0)),0))</f>
        <v/>
      </c>
      <c r="AU325">
        <f>ROUND($AS325*$BD325,2)</f>
        <v/>
      </c>
      <c r="AV325">
        <f>ROUND($AU325*$BF$2/100,2)</f>
        <v/>
      </c>
      <c r="AW325">
        <f>IF($Y325="","",IFERROR(INDEX(อัตราค่าขนส่ง!$F$5:$F$204,MATCH($Y325,อัตราค่าขนส่ง!$M$5:$M$204,0)),""))</f>
        <v/>
      </c>
      <c r="AX325">
        <f>IF($W325="","",INDEX(บันทึกรายเที่ยว!$D$6:$D$6005,$W325))</f>
        <v/>
      </c>
      <c r="AY325">
        <f>IF($W325="","",INDEX(บันทึกรายเที่ยว!$R$6:$R$6005,$W325))</f>
        <v/>
      </c>
      <c r="AZ325">
        <f>IF(AND($AD325="T",$AQ325=1),N($AZ324)+1,N($AZ324))</f>
        <v/>
      </c>
      <c r="BA325">
        <f>IF($W325="","",INDEX(บันทึกรายเที่ยว!$E$6:$E$6005,$W325))</f>
        <v/>
      </c>
      <c r="BC325">
        <f>IF($Y325="",0,IFERROR(INDEX(อัตราค่าขนส่ง!$K$5:$K$204,MATCH($Y325,อัตราค่าขนส่ง!$M$5:$M$204,0)),0))</f>
        <v/>
      </c>
      <c r="BD325">
        <f>IF($Y325="",0,IFERROR(INDEX(อัตราค่าขนส่ง!$L$5:$L$204,MATCH($Y325,อัตราค่าขนส่ง!$M$5:$M$204,0)),0))</f>
        <v/>
      </c>
    </row>
    <row r="326" ht="21" customHeight="1" s="66">
      <c r="A326" s="69">
        <f>IF($AD326="","",IF($AD326="Z","รวมจ่ายทั้งสิ้น",IF($AD326="H",INDEX($X$5:$X$404,$AC326),IF($AD326="T","รวม",IF($AD326="B",IFERROR(INDEX(อัตราค่าขนส่ง!$S$5:$S$14,MATCH(INDEX($AM$5:$AM$404,$AC326),อัตราค่าขนส่ง!$R$5:$R$14,0)),"รวมกลุ่ม "&amp;INDEX($AM$5:$AM$404,$AC326)),INDEX($AY$5:$AY$404,$AC326))))))</f>
        <v/>
      </c>
      <c r="B326" s="31">
        <f>IF($AD326&lt;&gt;"D","",INDEX($AW$5:$AW$404,$AC326))</f>
        <v/>
      </c>
      <c r="C326" s="68">
        <f>IF($AD326&lt;&gt;"D","",INDEX($AX$5:$AX$404,$AC326))</f>
        <v/>
      </c>
      <c r="D326" s="70">
        <f>IF($AD326&lt;&gt;"D","",INDEX($BA$5:$BA$404,$AC326))</f>
        <v/>
      </c>
      <c r="E326" s="31">
        <f>IF($AD326="Z",SUM($AR$5:$AR$404),IF($AD326="D",INDEX($AR$5:$AR$404,$AC326),IF($AD326="T",SUMIF($X$5:$X$404,$AF326,$AR$5:$AR$404),IF($AD326="B",SUMIF($AN$5:$AN$404,$AQ326,$AR$5:$AR$404),""))))</f>
        <v/>
      </c>
      <c r="F326" s="32">
        <f>IF($AD326="Z",ROUND(SUM($AS$5:$AS$404),2),IF($AD326="D",INDEX($AS$5:$AS$404,$AC326),IF($AD326="T",ROUND(SUMIF($X$5:$X$404,$AF326,$AS$5:$AS$404),2),IF($AD326="B",ROUND(SUMIF($AN$5:$AN$404,$AQ326,$AS$5:$AS$404),2),""))))</f>
        <v/>
      </c>
      <c r="G326" s="32">
        <f>IF($AD326&lt;&gt;"D","",INDEX($AT$5:$AT$404,$AC326))</f>
        <v/>
      </c>
      <c r="H326" s="32">
        <f>IF($AD326&lt;&gt;"D","",INDEX($BC$5:$BC$404,$AC326))</f>
        <v/>
      </c>
      <c r="I326" s="32">
        <f>IF($AD326&lt;&gt;"D","",INDEX($BD$5:$BD$404,$AC326))</f>
        <v/>
      </c>
      <c r="J326" s="46">
        <f>IF($AD326&lt;&gt;"D","",IF(N($B326)=0,"",ROUND($I326/$B326,4)))</f>
        <v/>
      </c>
      <c r="K326" s="32">
        <f>IF($AD326="Z",ROUND(SUM($AU$5:$AU$404),2),IF($AD326="D",INDEX($AU$5:$AU$404,$AC326),IF($AD326="T",ROUND(SUMIF($X$5:$X$404,$AF326,$AU$5:$AU$404),2),IF($AD326="B",ROUND(SUMIF($AN$5:$AN$404,$AQ326,$AU$5:$AU$404),2),""))))</f>
        <v/>
      </c>
      <c r="L326" s="32">
        <f>IF($AD326="Z",ROUND(SUM($AV$5:$AV$404),2),IF($AD326="D",INDEX($AV$5:$AV$404,$AC326),IF($AD326="T",ROUND(SUMIF($X$5:$X$404,$AF326,$AV$5:$AV$404),2),IF($AD326="B",ROUND(SUMIF($AN$5:$AN$404,$AQ326,$AV$5:$AV$404),2),""))))</f>
        <v/>
      </c>
      <c r="M326" s="32">
        <f>IF($AD326="Z",ROUND(SUM($AJ$5:$AJ$704),2),IF($AD326="B",ROUND(SUMIF($AQ$5:$AQ$704,$AQ326,$AJ$5:$AJ$704),2),IF($AD326&lt;&gt;"T","",$AJ326)))</f>
        <v/>
      </c>
      <c r="N326" s="32">
        <f>IF(OR($AD326="D",$AD326="T",$AD326="B",$AD326="Z"),ROUND(N($K326)-N($L326)-N($M326),2),"")</f>
        <v/>
      </c>
      <c r="O326" s="32">
        <f>IF(OR($AD326="D",$AD326="T",$AD326="B",$AD326="Z"),IF(N($E326)=0,"",ROUND($F326/$E326,2)),"")</f>
        <v/>
      </c>
      <c r="Q326">
        <f>IFERROR(MATCH(322,บันทึกรายเที่ยว!$Z$6:$Z$6005,0),"")</f>
        <v/>
      </c>
      <c r="R326">
        <f>IF($Q326="","",INDEX(บันทึกรายเที่ยว!$V$6:$V$6005,$Q326))</f>
        <v/>
      </c>
      <c r="S326">
        <f>IF($Q326="","",INDEX(บันทึกรายเที่ยว!$F$6:$F$6005,$Q326))</f>
        <v/>
      </c>
      <c r="T326">
        <f>IF($Q326="","",MATCH($S326,บันทึกรายเที่ยว!$F$6:$F$6005,0))</f>
        <v/>
      </c>
      <c r="U326">
        <f>IF($Q326="","",$AL326*10000000+$T326*1000+322)</f>
        <v/>
      </c>
      <c r="V326">
        <f>IFERROR(MATCH(SMALL($U$5:$U$404,322),$U$5:$U$404,0),"")</f>
        <v/>
      </c>
      <c r="W326">
        <f>IF($V326="","",INDEX($Q$5:$Q$404,$V326))</f>
        <v/>
      </c>
      <c r="X326">
        <f>IF($V326="","",INDEX($S$5:$S$404,$V326))</f>
        <v/>
      </c>
      <c r="Y326">
        <f>IF($V326="","",INDEX($R$5:$R$404,$V326))</f>
        <v/>
      </c>
      <c r="Z326">
        <f>IF($V326="",0,IF($X326&lt;&gt;$X325,1,0))</f>
        <v/>
      </c>
      <c r="AA326">
        <f>IF($V326="",0,IF($V327="",1,IF($X327&lt;&gt;$X326,1,0)))</f>
        <v/>
      </c>
      <c r="AB326">
        <f>IF($V326="",99999+322,$AB325+1+$Z325+$AA325+$AO325)</f>
        <v/>
      </c>
      <c r="AC326">
        <f>IFERROR(MATCH(322,$AB$5:$AB$404,1),"")</f>
        <v/>
      </c>
      <c r="AD326">
        <f>IF(322=$AI$1+1,"Z",IF($AC326="","",IF(INDEX($V$5:$V$404,$AC326)="","",IF(322&gt;INDEX($AB$5:$AB$404,$AC326)+INDEX($Z$5:$Z$404,$AC326)+INDEX($AA$5:$AA$404,$AC326)+INDEX($AO$5:$AO$404,$AC326),"",IF(322=INDEX($AB$5:$AB$404,$AC326)+INDEX($Z$5:$Z$404,$AC326),"D",IF(AND(INDEX($Z$5:$Z$404,$AC326)=1,322=INDEX($AB$5:$AB$404,$AC326)),"H",IF(AND(INDEX($AO$5:$AO$404,$AC326)=1,322=INDEX($AB$5:$AB$404,$AC326)+INDEX($Z$5:$Z$404,$AC326)+INDEX($AA$5:$AA$404,$AC326)+INDEX($AO$5:$AO$404,$AC326)),"B","T")))))))</f>
        <v/>
      </c>
      <c r="AF326">
        <f>IF(OR($AD326="",$AD326="Z",$AD326="B"),"",INDEX($X$5:$X$404,$AC326))</f>
        <v/>
      </c>
      <c r="AJ326">
        <f>IF($AD326&lt;&gt;"T",0,ROUND(SUMIF(oil!$B$4:$B$63,$AF326,oil!$AE$4:$AE$63),2))</f>
        <v/>
      </c>
      <c r="AK326">
        <f>IF($S326="","",IFERROR(INDEX(อัตราค่าขนส่ง!$P$5:$P$54,MATCH($S326,อัตราค่าขนส่ง!$O$5:$O$54,0)),INDEX(รายการมาตรฐาน!$G$2:$G$3,1)))</f>
        <v/>
      </c>
      <c r="AL326">
        <f>IF($S326="","",IFERROR(MATCH($AK326,รายการมาตรฐาน!$G$2:$G$3,0),1))</f>
        <v/>
      </c>
      <c r="AM326">
        <f>IF($V326="","",INDEX($AK$5:$AK$404,$V326))</f>
        <v/>
      </c>
      <c r="AN326">
        <f>IF($V326="","",INDEX($AL$5:$AL$404,$V326))</f>
        <v/>
      </c>
      <c r="AO326">
        <f>IF(OR($V326="",$AI$2&lt;=1),0,IF($V327="",1,IF($AN327&lt;&gt;$AN326,1,0)))</f>
        <v/>
      </c>
      <c r="AP326">
        <f>IF($V326="",0,IF($AN326&lt;&gt;$AN325,1,0))</f>
        <v/>
      </c>
      <c r="AQ326">
        <f>IF(OR($AD326="",$AD326="Z"),"",INDEX($AN$5:$AN$404,$AC326))</f>
        <v/>
      </c>
      <c r="AR326">
        <f>IF($Y326="",0,COUNTIF(บันทึกรายเที่ยว!$V$6:$V$6005,$Y326))</f>
        <v/>
      </c>
      <c r="AS326">
        <f>IF($Y326="",0,ROUND(SUMIF(บันทึกรายเที่ยว!$V$6:$V$6005,$Y326,บันทึกรายเที่ยว!$M$6:$M$6005),2))</f>
        <v/>
      </c>
      <c r="AT326">
        <f>IF($Y326="",0,IFERROR(INDEX(อัตราค่าขนส่ง!$G$5:$G$204,MATCH($Y326,อัตราค่าขนส่ง!$M$5:$M$204,0)),0))</f>
        <v/>
      </c>
      <c r="AU326">
        <f>ROUND($AS326*$BD326,2)</f>
        <v/>
      </c>
      <c r="AV326">
        <f>ROUND($AU326*$BF$2/100,2)</f>
        <v/>
      </c>
      <c r="AW326">
        <f>IF($Y326="","",IFERROR(INDEX(อัตราค่าขนส่ง!$F$5:$F$204,MATCH($Y326,อัตราค่าขนส่ง!$M$5:$M$204,0)),""))</f>
        <v/>
      </c>
      <c r="AX326">
        <f>IF($W326="","",INDEX(บันทึกรายเที่ยว!$D$6:$D$6005,$W326))</f>
        <v/>
      </c>
      <c r="AY326">
        <f>IF($W326="","",INDEX(บันทึกรายเที่ยว!$R$6:$R$6005,$W326))</f>
        <v/>
      </c>
      <c r="AZ326">
        <f>IF(AND($AD326="T",$AQ326=1),N($AZ325)+1,N($AZ325))</f>
        <v/>
      </c>
      <c r="BA326">
        <f>IF($W326="","",INDEX(บันทึกรายเที่ยว!$E$6:$E$6005,$W326))</f>
        <v/>
      </c>
      <c r="BC326">
        <f>IF($Y326="",0,IFERROR(INDEX(อัตราค่าขนส่ง!$K$5:$K$204,MATCH($Y326,อัตราค่าขนส่ง!$M$5:$M$204,0)),0))</f>
        <v/>
      </c>
      <c r="BD326">
        <f>IF($Y326="",0,IFERROR(INDEX(อัตราค่าขนส่ง!$L$5:$L$204,MATCH($Y326,อัตราค่าขนส่ง!$M$5:$M$204,0)),0))</f>
        <v/>
      </c>
    </row>
    <row r="327" ht="21" customHeight="1" s="66">
      <c r="A327" s="69">
        <f>IF($AD327="","",IF($AD327="Z","รวมจ่ายทั้งสิ้น",IF($AD327="H",INDEX($X$5:$X$404,$AC327),IF($AD327="T","รวม",IF($AD327="B",IFERROR(INDEX(อัตราค่าขนส่ง!$S$5:$S$14,MATCH(INDEX($AM$5:$AM$404,$AC327),อัตราค่าขนส่ง!$R$5:$R$14,0)),"รวมกลุ่ม "&amp;INDEX($AM$5:$AM$404,$AC327)),INDEX($AY$5:$AY$404,$AC327))))))</f>
        <v/>
      </c>
      <c r="B327" s="31">
        <f>IF($AD327&lt;&gt;"D","",INDEX($AW$5:$AW$404,$AC327))</f>
        <v/>
      </c>
      <c r="C327" s="68">
        <f>IF($AD327&lt;&gt;"D","",INDEX($AX$5:$AX$404,$AC327))</f>
        <v/>
      </c>
      <c r="D327" s="70">
        <f>IF($AD327&lt;&gt;"D","",INDEX($BA$5:$BA$404,$AC327))</f>
        <v/>
      </c>
      <c r="E327" s="31">
        <f>IF($AD327="Z",SUM($AR$5:$AR$404),IF($AD327="D",INDEX($AR$5:$AR$404,$AC327),IF($AD327="T",SUMIF($X$5:$X$404,$AF327,$AR$5:$AR$404),IF($AD327="B",SUMIF($AN$5:$AN$404,$AQ327,$AR$5:$AR$404),""))))</f>
        <v/>
      </c>
      <c r="F327" s="32">
        <f>IF($AD327="Z",ROUND(SUM($AS$5:$AS$404),2),IF($AD327="D",INDEX($AS$5:$AS$404,$AC327),IF($AD327="T",ROUND(SUMIF($X$5:$X$404,$AF327,$AS$5:$AS$404),2),IF($AD327="B",ROUND(SUMIF($AN$5:$AN$404,$AQ327,$AS$5:$AS$404),2),""))))</f>
        <v/>
      </c>
      <c r="G327" s="32">
        <f>IF($AD327&lt;&gt;"D","",INDEX($AT$5:$AT$404,$AC327))</f>
        <v/>
      </c>
      <c r="H327" s="32">
        <f>IF($AD327&lt;&gt;"D","",INDEX($BC$5:$BC$404,$AC327))</f>
        <v/>
      </c>
      <c r="I327" s="32">
        <f>IF($AD327&lt;&gt;"D","",INDEX($BD$5:$BD$404,$AC327))</f>
        <v/>
      </c>
      <c r="J327" s="46">
        <f>IF($AD327&lt;&gt;"D","",IF(N($B327)=0,"",ROUND($I327/$B327,4)))</f>
        <v/>
      </c>
      <c r="K327" s="32">
        <f>IF($AD327="Z",ROUND(SUM($AU$5:$AU$404),2),IF($AD327="D",INDEX($AU$5:$AU$404,$AC327),IF($AD327="T",ROUND(SUMIF($X$5:$X$404,$AF327,$AU$5:$AU$404),2),IF($AD327="B",ROUND(SUMIF($AN$5:$AN$404,$AQ327,$AU$5:$AU$404),2),""))))</f>
        <v/>
      </c>
      <c r="L327" s="32">
        <f>IF($AD327="Z",ROUND(SUM($AV$5:$AV$404),2),IF($AD327="D",INDEX($AV$5:$AV$404,$AC327),IF($AD327="T",ROUND(SUMIF($X$5:$X$404,$AF327,$AV$5:$AV$404),2),IF($AD327="B",ROUND(SUMIF($AN$5:$AN$404,$AQ327,$AV$5:$AV$404),2),""))))</f>
        <v/>
      </c>
      <c r="M327" s="32">
        <f>IF($AD327="Z",ROUND(SUM($AJ$5:$AJ$704),2),IF($AD327="B",ROUND(SUMIF($AQ$5:$AQ$704,$AQ327,$AJ$5:$AJ$704),2),IF($AD327&lt;&gt;"T","",$AJ327)))</f>
        <v/>
      </c>
      <c r="N327" s="32">
        <f>IF(OR($AD327="D",$AD327="T",$AD327="B",$AD327="Z"),ROUND(N($K327)-N($L327)-N($M327),2),"")</f>
        <v/>
      </c>
      <c r="O327" s="32">
        <f>IF(OR($AD327="D",$AD327="T",$AD327="B",$AD327="Z"),IF(N($E327)=0,"",ROUND($F327/$E327,2)),"")</f>
        <v/>
      </c>
      <c r="Q327">
        <f>IFERROR(MATCH(323,บันทึกรายเที่ยว!$Z$6:$Z$6005,0),"")</f>
        <v/>
      </c>
      <c r="R327">
        <f>IF($Q327="","",INDEX(บันทึกรายเที่ยว!$V$6:$V$6005,$Q327))</f>
        <v/>
      </c>
      <c r="S327">
        <f>IF($Q327="","",INDEX(บันทึกรายเที่ยว!$F$6:$F$6005,$Q327))</f>
        <v/>
      </c>
      <c r="T327">
        <f>IF($Q327="","",MATCH($S327,บันทึกรายเที่ยว!$F$6:$F$6005,0))</f>
        <v/>
      </c>
      <c r="U327">
        <f>IF($Q327="","",$AL327*10000000+$T327*1000+323)</f>
        <v/>
      </c>
      <c r="V327">
        <f>IFERROR(MATCH(SMALL($U$5:$U$404,323),$U$5:$U$404,0),"")</f>
        <v/>
      </c>
      <c r="W327">
        <f>IF($V327="","",INDEX($Q$5:$Q$404,$V327))</f>
        <v/>
      </c>
      <c r="X327">
        <f>IF($V327="","",INDEX($S$5:$S$404,$V327))</f>
        <v/>
      </c>
      <c r="Y327">
        <f>IF($V327="","",INDEX($R$5:$R$404,$V327))</f>
        <v/>
      </c>
      <c r="Z327">
        <f>IF($V327="",0,IF($X327&lt;&gt;$X326,1,0))</f>
        <v/>
      </c>
      <c r="AA327">
        <f>IF($V327="",0,IF($V328="",1,IF($X328&lt;&gt;$X327,1,0)))</f>
        <v/>
      </c>
      <c r="AB327">
        <f>IF($V327="",99999+323,$AB326+1+$Z326+$AA326+$AO326)</f>
        <v/>
      </c>
      <c r="AC327">
        <f>IFERROR(MATCH(323,$AB$5:$AB$404,1),"")</f>
        <v/>
      </c>
      <c r="AD327">
        <f>IF(323=$AI$1+1,"Z",IF($AC327="","",IF(INDEX($V$5:$V$404,$AC327)="","",IF(323&gt;INDEX($AB$5:$AB$404,$AC327)+INDEX($Z$5:$Z$404,$AC327)+INDEX($AA$5:$AA$404,$AC327)+INDEX($AO$5:$AO$404,$AC327),"",IF(323=INDEX($AB$5:$AB$404,$AC327)+INDEX($Z$5:$Z$404,$AC327),"D",IF(AND(INDEX($Z$5:$Z$404,$AC327)=1,323=INDEX($AB$5:$AB$404,$AC327)),"H",IF(AND(INDEX($AO$5:$AO$404,$AC327)=1,323=INDEX($AB$5:$AB$404,$AC327)+INDEX($Z$5:$Z$404,$AC327)+INDEX($AA$5:$AA$404,$AC327)+INDEX($AO$5:$AO$404,$AC327)),"B","T")))))))</f>
        <v/>
      </c>
      <c r="AF327">
        <f>IF(OR($AD327="",$AD327="Z",$AD327="B"),"",INDEX($X$5:$X$404,$AC327))</f>
        <v/>
      </c>
      <c r="AJ327">
        <f>IF($AD327&lt;&gt;"T",0,ROUND(SUMIF(oil!$B$4:$B$63,$AF327,oil!$AE$4:$AE$63),2))</f>
        <v/>
      </c>
      <c r="AK327">
        <f>IF($S327="","",IFERROR(INDEX(อัตราค่าขนส่ง!$P$5:$P$54,MATCH($S327,อัตราค่าขนส่ง!$O$5:$O$54,0)),INDEX(รายการมาตรฐาน!$G$2:$G$3,1)))</f>
        <v/>
      </c>
      <c r="AL327">
        <f>IF($S327="","",IFERROR(MATCH($AK327,รายการมาตรฐาน!$G$2:$G$3,0),1))</f>
        <v/>
      </c>
      <c r="AM327">
        <f>IF($V327="","",INDEX($AK$5:$AK$404,$V327))</f>
        <v/>
      </c>
      <c r="AN327">
        <f>IF($V327="","",INDEX($AL$5:$AL$404,$V327))</f>
        <v/>
      </c>
      <c r="AO327">
        <f>IF(OR($V327="",$AI$2&lt;=1),0,IF($V328="",1,IF($AN328&lt;&gt;$AN327,1,0)))</f>
        <v/>
      </c>
      <c r="AP327">
        <f>IF($V327="",0,IF($AN327&lt;&gt;$AN326,1,0))</f>
        <v/>
      </c>
      <c r="AQ327">
        <f>IF(OR($AD327="",$AD327="Z"),"",INDEX($AN$5:$AN$404,$AC327))</f>
        <v/>
      </c>
      <c r="AR327">
        <f>IF($Y327="",0,COUNTIF(บันทึกรายเที่ยว!$V$6:$V$6005,$Y327))</f>
        <v/>
      </c>
      <c r="AS327">
        <f>IF($Y327="",0,ROUND(SUMIF(บันทึกรายเที่ยว!$V$6:$V$6005,$Y327,บันทึกรายเที่ยว!$M$6:$M$6005),2))</f>
        <v/>
      </c>
      <c r="AT327">
        <f>IF($Y327="",0,IFERROR(INDEX(อัตราค่าขนส่ง!$G$5:$G$204,MATCH($Y327,อัตราค่าขนส่ง!$M$5:$M$204,0)),0))</f>
        <v/>
      </c>
      <c r="AU327">
        <f>ROUND($AS327*$BD327,2)</f>
        <v/>
      </c>
      <c r="AV327">
        <f>ROUND($AU327*$BF$2/100,2)</f>
        <v/>
      </c>
      <c r="AW327">
        <f>IF($Y327="","",IFERROR(INDEX(อัตราค่าขนส่ง!$F$5:$F$204,MATCH($Y327,อัตราค่าขนส่ง!$M$5:$M$204,0)),""))</f>
        <v/>
      </c>
      <c r="AX327">
        <f>IF($W327="","",INDEX(บันทึกรายเที่ยว!$D$6:$D$6005,$W327))</f>
        <v/>
      </c>
      <c r="AY327">
        <f>IF($W327="","",INDEX(บันทึกรายเที่ยว!$R$6:$R$6005,$W327))</f>
        <v/>
      </c>
      <c r="AZ327">
        <f>IF(AND($AD327="T",$AQ327=1),N($AZ326)+1,N($AZ326))</f>
        <v/>
      </c>
      <c r="BA327">
        <f>IF($W327="","",INDEX(บันทึกรายเที่ยว!$E$6:$E$6005,$W327))</f>
        <v/>
      </c>
      <c r="BC327">
        <f>IF($Y327="",0,IFERROR(INDEX(อัตราค่าขนส่ง!$K$5:$K$204,MATCH($Y327,อัตราค่าขนส่ง!$M$5:$M$204,0)),0))</f>
        <v/>
      </c>
      <c r="BD327">
        <f>IF($Y327="",0,IFERROR(INDEX(อัตราค่าขนส่ง!$L$5:$L$204,MATCH($Y327,อัตราค่าขนส่ง!$M$5:$M$204,0)),0))</f>
        <v/>
      </c>
    </row>
    <row r="328" ht="21" customHeight="1" s="66">
      <c r="A328" s="69">
        <f>IF($AD328="","",IF($AD328="Z","รวมจ่ายทั้งสิ้น",IF($AD328="H",INDEX($X$5:$X$404,$AC328),IF($AD328="T","รวม",IF($AD328="B",IFERROR(INDEX(อัตราค่าขนส่ง!$S$5:$S$14,MATCH(INDEX($AM$5:$AM$404,$AC328),อัตราค่าขนส่ง!$R$5:$R$14,0)),"รวมกลุ่ม "&amp;INDEX($AM$5:$AM$404,$AC328)),INDEX($AY$5:$AY$404,$AC328))))))</f>
        <v/>
      </c>
      <c r="B328" s="31">
        <f>IF($AD328&lt;&gt;"D","",INDEX($AW$5:$AW$404,$AC328))</f>
        <v/>
      </c>
      <c r="C328" s="68">
        <f>IF($AD328&lt;&gt;"D","",INDEX($AX$5:$AX$404,$AC328))</f>
        <v/>
      </c>
      <c r="D328" s="70">
        <f>IF($AD328&lt;&gt;"D","",INDEX($BA$5:$BA$404,$AC328))</f>
        <v/>
      </c>
      <c r="E328" s="31">
        <f>IF($AD328="Z",SUM($AR$5:$AR$404),IF($AD328="D",INDEX($AR$5:$AR$404,$AC328),IF($AD328="T",SUMIF($X$5:$X$404,$AF328,$AR$5:$AR$404),IF($AD328="B",SUMIF($AN$5:$AN$404,$AQ328,$AR$5:$AR$404),""))))</f>
        <v/>
      </c>
      <c r="F328" s="32">
        <f>IF($AD328="Z",ROUND(SUM($AS$5:$AS$404),2),IF($AD328="D",INDEX($AS$5:$AS$404,$AC328),IF($AD328="T",ROUND(SUMIF($X$5:$X$404,$AF328,$AS$5:$AS$404),2),IF($AD328="B",ROUND(SUMIF($AN$5:$AN$404,$AQ328,$AS$5:$AS$404),2),""))))</f>
        <v/>
      </c>
      <c r="G328" s="32">
        <f>IF($AD328&lt;&gt;"D","",INDEX($AT$5:$AT$404,$AC328))</f>
        <v/>
      </c>
      <c r="H328" s="32">
        <f>IF($AD328&lt;&gt;"D","",INDEX($BC$5:$BC$404,$AC328))</f>
        <v/>
      </c>
      <c r="I328" s="32">
        <f>IF($AD328&lt;&gt;"D","",INDEX($BD$5:$BD$404,$AC328))</f>
        <v/>
      </c>
      <c r="J328" s="46">
        <f>IF($AD328&lt;&gt;"D","",IF(N($B328)=0,"",ROUND($I328/$B328,4)))</f>
        <v/>
      </c>
      <c r="K328" s="32">
        <f>IF($AD328="Z",ROUND(SUM($AU$5:$AU$404),2),IF($AD328="D",INDEX($AU$5:$AU$404,$AC328),IF($AD328="T",ROUND(SUMIF($X$5:$X$404,$AF328,$AU$5:$AU$404),2),IF($AD328="B",ROUND(SUMIF($AN$5:$AN$404,$AQ328,$AU$5:$AU$404),2),""))))</f>
        <v/>
      </c>
      <c r="L328" s="32">
        <f>IF($AD328="Z",ROUND(SUM($AV$5:$AV$404),2),IF($AD328="D",INDEX($AV$5:$AV$404,$AC328),IF($AD328="T",ROUND(SUMIF($X$5:$X$404,$AF328,$AV$5:$AV$404),2),IF($AD328="B",ROUND(SUMIF($AN$5:$AN$404,$AQ328,$AV$5:$AV$404),2),""))))</f>
        <v/>
      </c>
      <c r="M328" s="32">
        <f>IF($AD328="Z",ROUND(SUM($AJ$5:$AJ$704),2),IF($AD328="B",ROUND(SUMIF($AQ$5:$AQ$704,$AQ328,$AJ$5:$AJ$704),2),IF($AD328&lt;&gt;"T","",$AJ328)))</f>
        <v/>
      </c>
      <c r="N328" s="32">
        <f>IF(OR($AD328="D",$AD328="T",$AD328="B",$AD328="Z"),ROUND(N($K328)-N($L328)-N($M328),2),"")</f>
        <v/>
      </c>
      <c r="O328" s="32">
        <f>IF(OR($AD328="D",$AD328="T",$AD328="B",$AD328="Z"),IF(N($E328)=0,"",ROUND($F328/$E328,2)),"")</f>
        <v/>
      </c>
      <c r="Q328">
        <f>IFERROR(MATCH(324,บันทึกรายเที่ยว!$Z$6:$Z$6005,0),"")</f>
        <v/>
      </c>
      <c r="R328">
        <f>IF($Q328="","",INDEX(บันทึกรายเที่ยว!$V$6:$V$6005,$Q328))</f>
        <v/>
      </c>
      <c r="S328">
        <f>IF($Q328="","",INDEX(บันทึกรายเที่ยว!$F$6:$F$6005,$Q328))</f>
        <v/>
      </c>
      <c r="T328">
        <f>IF($Q328="","",MATCH($S328,บันทึกรายเที่ยว!$F$6:$F$6005,0))</f>
        <v/>
      </c>
      <c r="U328">
        <f>IF($Q328="","",$AL328*10000000+$T328*1000+324)</f>
        <v/>
      </c>
      <c r="V328">
        <f>IFERROR(MATCH(SMALL($U$5:$U$404,324),$U$5:$U$404,0),"")</f>
        <v/>
      </c>
      <c r="W328">
        <f>IF($V328="","",INDEX($Q$5:$Q$404,$V328))</f>
        <v/>
      </c>
      <c r="X328">
        <f>IF($V328="","",INDEX($S$5:$S$404,$V328))</f>
        <v/>
      </c>
      <c r="Y328">
        <f>IF($V328="","",INDEX($R$5:$R$404,$V328))</f>
        <v/>
      </c>
      <c r="Z328">
        <f>IF($V328="",0,IF($X328&lt;&gt;$X327,1,0))</f>
        <v/>
      </c>
      <c r="AA328">
        <f>IF($V328="",0,IF($V329="",1,IF($X329&lt;&gt;$X328,1,0)))</f>
        <v/>
      </c>
      <c r="AB328">
        <f>IF($V328="",99999+324,$AB327+1+$Z327+$AA327+$AO327)</f>
        <v/>
      </c>
      <c r="AC328">
        <f>IFERROR(MATCH(324,$AB$5:$AB$404,1),"")</f>
        <v/>
      </c>
      <c r="AD328">
        <f>IF(324=$AI$1+1,"Z",IF($AC328="","",IF(INDEX($V$5:$V$404,$AC328)="","",IF(324&gt;INDEX($AB$5:$AB$404,$AC328)+INDEX($Z$5:$Z$404,$AC328)+INDEX($AA$5:$AA$404,$AC328)+INDEX($AO$5:$AO$404,$AC328),"",IF(324=INDEX($AB$5:$AB$404,$AC328)+INDEX($Z$5:$Z$404,$AC328),"D",IF(AND(INDEX($Z$5:$Z$404,$AC328)=1,324=INDEX($AB$5:$AB$404,$AC328)),"H",IF(AND(INDEX($AO$5:$AO$404,$AC328)=1,324=INDEX($AB$5:$AB$404,$AC328)+INDEX($Z$5:$Z$404,$AC328)+INDEX($AA$5:$AA$404,$AC328)+INDEX($AO$5:$AO$404,$AC328)),"B","T")))))))</f>
        <v/>
      </c>
      <c r="AF328">
        <f>IF(OR($AD328="",$AD328="Z",$AD328="B"),"",INDEX($X$5:$X$404,$AC328))</f>
        <v/>
      </c>
      <c r="AJ328">
        <f>IF($AD328&lt;&gt;"T",0,ROUND(SUMIF(oil!$B$4:$B$63,$AF328,oil!$AE$4:$AE$63),2))</f>
        <v/>
      </c>
      <c r="AK328">
        <f>IF($S328="","",IFERROR(INDEX(อัตราค่าขนส่ง!$P$5:$P$54,MATCH($S328,อัตราค่าขนส่ง!$O$5:$O$54,0)),INDEX(รายการมาตรฐาน!$G$2:$G$3,1)))</f>
        <v/>
      </c>
      <c r="AL328">
        <f>IF($S328="","",IFERROR(MATCH($AK328,รายการมาตรฐาน!$G$2:$G$3,0),1))</f>
        <v/>
      </c>
      <c r="AM328">
        <f>IF($V328="","",INDEX($AK$5:$AK$404,$V328))</f>
        <v/>
      </c>
      <c r="AN328">
        <f>IF($V328="","",INDEX($AL$5:$AL$404,$V328))</f>
        <v/>
      </c>
      <c r="AO328">
        <f>IF(OR($V328="",$AI$2&lt;=1),0,IF($V329="",1,IF($AN329&lt;&gt;$AN328,1,0)))</f>
        <v/>
      </c>
      <c r="AP328">
        <f>IF($V328="",0,IF($AN328&lt;&gt;$AN327,1,0))</f>
        <v/>
      </c>
      <c r="AQ328">
        <f>IF(OR($AD328="",$AD328="Z"),"",INDEX($AN$5:$AN$404,$AC328))</f>
        <v/>
      </c>
      <c r="AR328">
        <f>IF($Y328="",0,COUNTIF(บันทึกรายเที่ยว!$V$6:$V$6005,$Y328))</f>
        <v/>
      </c>
      <c r="AS328">
        <f>IF($Y328="",0,ROUND(SUMIF(บันทึกรายเที่ยว!$V$6:$V$6005,$Y328,บันทึกรายเที่ยว!$M$6:$M$6005),2))</f>
        <v/>
      </c>
      <c r="AT328">
        <f>IF($Y328="",0,IFERROR(INDEX(อัตราค่าขนส่ง!$G$5:$G$204,MATCH($Y328,อัตราค่าขนส่ง!$M$5:$M$204,0)),0))</f>
        <v/>
      </c>
      <c r="AU328">
        <f>ROUND($AS328*$BD328,2)</f>
        <v/>
      </c>
      <c r="AV328">
        <f>ROUND($AU328*$BF$2/100,2)</f>
        <v/>
      </c>
      <c r="AW328">
        <f>IF($Y328="","",IFERROR(INDEX(อัตราค่าขนส่ง!$F$5:$F$204,MATCH($Y328,อัตราค่าขนส่ง!$M$5:$M$204,0)),""))</f>
        <v/>
      </c>
      <c r="AX328">
        <f>IF($W328="","",INDEX(บันทึกรายเที่ยว!$D$6:$D$6005,$W328))</f>
        <v/>
      </c>
      <c r="AY328">
        <f>IF($W328="","",INDEX(บันทึกรายเที่ยว!$R$6:$R$6005,$W328))</f>
        <v/>
      </c>
      <c r="AZ328">
        <f>IF(AND($AD328="T",$AQ328=1),N($AZ327)+1,N($AZ327))</f>
        <v/>
      </c>
      <c r="BA328">
        <f>IF($W328="","",INDEX(บันทึกรายเที่ยว!$E$6:$E$6005,$W328))</f>
        <v/>
      </c>
      <c r="BC328">
        <f>IF($Y328="",0,IFERROR(INDEX(อัตราค่าขนส่ง!$K$5:$K$204,MATCH($Y328,อัตราค่าขนส่ง!$M$5:$M$204,0)),0))</f>
        <v/>
      </c>
      <c r="BD328">
        <f>IF($Y328="",0,IFERROR(INDEX(อัตราค่าขนส่ง!$L$5:$L$204,MATCH($Y328,อัตราค่าขนส่ง!$M$5:$M$204,0)),0))</f>
        <v/>
      </c>
    </row>
    <row r="329" ht="21" customHeight="1" s="66">
      <c r="A329" s="69">
        <f>IF($AD329="","",IF($AD329="Z","รวมจ่ายทั้งสิ้น",IF($AD329="H",INDEX($X$5:$X$404,$AC329),IF($AD329="T","รวม",IF($AD329="B",IFERROR(INDEX(อัตราค่าขนส่ง!$S$5:$S$14,MATCH(INDEX($AM$5:$AM$404,$AC329),อัตราค่าขนส่ง!$R$5:$R$14,0)),"รวมกลุ่ม "&amp;INDEX($AM$5:$AM$404,$AC329)),INDEX($AY$5:$AY$404,$AC329))))))</f>
        <v/>
      </c>
      <c r="B329" s="31">
        <f>IF($AD329&lt;&gt;"D","",INDEX($AW$5:$AW$404,$AC329))</f>
        <v/>
      </c>
      <c r="C329" s="68">
        <f>IF($AD329&lt;&gt;"D","",INDEX($AX$5:$AX$404,$AC329))</f>
        <v/>
      </c>
      <c r="D329" s="70">
        <f>IF($AD329&lt;&gt;"D","",INDEX($BA$5:$BA$404,$AC329))</f>
        <v/>
      </c>
      <c r="E329" s="31">
        <f>IF($AD329="Z",SUM($AR$5:$AR$404),IF($AD329="D",INDEX($AR$5:$AR$404,$AC329),IF($AD329="T",SUMIF($X$5:$X$404,$AF329,$AR$5:$AR$404),IF($AD329="B",SUMIF($AN$5:$AN$404,$AQ329,$AR$5:$AR$404),""))))</f>
        <v/>
      </c>
      <c r="F329" s="32">
        <f>IF($AD329="Z",ROUND(SUM($AS$5:$AS$404),2),IF($AD329="D",INDEX($AS$5:$AS$404,$AC329),IF($AD329="T",ROUND(SUMIF($X$5:$X$404,$AF329,$AS$5:$AS$404),2),IF($AD329="B",ROUND(SUMIF($AN$5:$AN$404,$AQ329,$AS$5:$AS$404),2),""))))</f>
        <v/>
      </c>
      <c r="G329" s="32">
        <f>IF($AD329&lt;&gt;"D","",INDEX($AT$5:$AT$404,$AC329))</f>
        <v/>
      </c>
      <c r="H329" s="32">
        <f>IF($AD329&lt;&gt;"D","",INDEX($BC$5:$BC$404,$AC329))</f>
        <v/>
      </c>
      <c r="I329" s="32">
        <f>IF($AD329&lt;&gt;"D","",INDEX($BD$5:$BD$404,$AC329))</f>
        <v/>
      </c>
      <c r="J329" s="46">
        <f>IF($AD329&lt;&gt;"D","",IF(N($B329)=0,"",ROUND($I329/$B329,4)))</f>
        <v/>
      </c>
      <c r="K329" s="32">
        <f>IF($AD329="Z",ROUND(SUM($AU$5:$AU$404),2),IF($AD329="D",INDEX($AU$5:$AU$404,$AC329),IF($AD329="T",ROUND(SUMIF($X$5:$X$404,$AF329,$AU$5:$AU$404),2),IF($AD329="B",ROUND(SUMIF($AN$5:$AN$404,$AQ329,$AU$5:$AU$404),2),""))))</f>
        <v/>
      </c>
      <c r="L329" s="32">
        <f>IF($AD329="Z",ROUND(SUM($AV$5:$AV$404),2),IF($AD329="D",INDEX($AV$5:$AV$404,$AC329),IF($AD329="T",ROUND(SUMIF($X$5:$X$404,$AF329,$AV$5:$AV$404),2),IF($AD329="B",ROUND(SUMIF($AN$5:$AN$404,$AQ329,$AV$5:$AV$404),2),""))))</f>
        <v/>
      </c>
      <c r="M329" s="32">
        <f>IF($AD329="Z",ROUND(SUM($AJ$5:$AJ$704),2),IF($AD329="B",ROUND(SUMIF($AQ$5:$AQ$704,$AQ329,$AJ$5:$AJ$704),2),IF($AD329&lt;&gt;"T","",$AJ329)))</f>
        <v/>
      </c>
      <c r="N329" s="32">
        <f>IF(OR($AD329="D",$AD329="T",$AD329="B",$AD329="Z"),ROUND(N($K329)-N($L329)-N($M329),2),"")</f>
        <v/>
      </c>
      <c r="O329" s="32">
        <f>IF(OR($AD329="D",$AD329="T",$AD329="B",$AD329="Z"),IF(N($E329)=0,"",ROUND($F329/$E329,2)),"")</f>
        <v/>
      </c>
      <c r="Q329">
        <f>IFERROR(MATCH(325,บันทึกรายเที่ยว!$Z$6:$Z$6005,0),"")</f>
        <v/>
      </c>
      <c r="R329">
        <f>IF($Q329="","",INDEX(บันทึกรายเที่ยว!$V$6:$V$6005,$Q329))</f>
        <v/>
      </c>
      <c r="S329">
        <f>IF($Q329="","",INDEX(บันทึกรายเที่ยว!$F$6:$F$6005,$Q329))</f>
        <v/>
      </c>
      <c r="T329">
        <f>IF($Q329="","",MATCH($S329,บันทึกรายเที่ยว!$F$6:$F$6005,0))</f>
        <v/>
      </c>
      <c r="U329">
        <f>IF($Q329="","",$AL329*10000000+$T329*1000+325)</f>
        <v/>
      </c>
      <c r="V329">
        <f>IFERROR(MATCH(SMALL($U$5:$U$404,325),$U$5:$U$404,0),"")</f>
        <v/>
      </c>
      <c r="W329">
        <f>IF($V329="","",INDEX($Q$5:$Q$404,$V329))</f>
        <v/>
      </c>
      <c r="X329">
        <f>IF($V329="","",INDEX($S$5:$S$404,$V329))</f>
        <v/>
      </c>
      <c r="Y329">
        <f>IF($V329="","",INDEX($R$5:$R$404,$V329))</f>
        <v/>
      </c>
      <c r="Z329">
        <f>IF($V329="",0,IF($X329&lt;&gt;$X328,1,0))</f>
        <v/>
      </c>
      <c r="AA329">
        <f>IF($V329="",0,IF($V330="",1,IF($X330&lt;&gt;$X329,1,0)))</f>
        <v/>
      </c>
      <c r="AB329">
        <f>IF($V329="",99999+325,$AB328+1+$Z328+$AA328+$AO328)</f>
        <v/>
      </c>
      <c r="AC329">
        <f>IFERROR(MATCH(325,$AB$5:$AB$404,1),"")</f>
        <v/>
      </c>
      <c r="AD329">
        <f>IF(325=$AI$1+1,"Z",IF($AC329="","",IF(INDEX($V$5:$V$404,$AC329)="","",IF(325&gt;INDEX($AB$5:$AB$404,$AC329)+INDEX($Z$5:$Z$404,$AC329)+INDEX($AA$5:$AA$404,$AC329)+INDEX($AO$5:$AO$404,$AC329),"",IF(325=INDEX($AB$5:$AB$404,$AC329)+INDEX($Z$5:$Z$404,$AC329),"D",IF(AND(INDEX($Z$5:$Z$404,$AC329)=1,325=INDEX($AB$5:$AB$404,$AC329)),"H",IF(AND(INDEX($AO$5:$AO$404,$AC329)=1,325=INDEX($AB$5:$AB$404,$AC329)+INDEX($Z$5:$Z$404,$AC329)+INDEX($AA$5:$AA$404,$AC329)+INDEX($AO$5:$AO$404,$AC329)),"B","T")))))))</f>
        <v/>
      </c>
      <c r="AF329">
        <f>IF(OR($AD329="",$AD329="Z",$AD329="B"),"",INDEX($X$5:$X$404,$AC329))</f>
        <v/>
      </c>
      <c r="AJ329">
        <f>IF($AD329&lt;&gt;"T",0,ROUND(SUMIF(oil!$B$4:$B$63,$AF329,oil!$AE$4:$AE$63),2))</f>
        <v/>
      </c>
      <c r="AK329">
        <f>IF($S329="","",IFERROR(INDEX(อัตราค่าขนส่ง!$P$5:$P$54,MATCH($S329,อัตราค่าขนส่ง!$O$5:$O$54,0)),INDEX(รายการมาตรฐาน!$G$2:$G$3,1)))</f>
        <v/>
      </c>
      <c r="AL329">
        <f>IF($S329="","",IFERROR(MATCH($AK329,รายการมาตรฐาน!$G$2:$G$3,0),1))</f>
        <v/>
      </c>
      <c r="AM329">
        <f>IF($V329="","",INDEX($AK$5:$AK$404,$V329))</f>
        <v/>
      </c>
      <c r="AN329">
        <f>IF($V329="","",INDEX($AL$5:$AL$404,$V329))</f>
        <v/>
      </c>
      <c r="AO329">
        <f>IF(OR($V329="",$AI$2&lt;=1),0,IF($V330="",1,IF($AN330&lt;&gt;$AN329,1,0)))</f>
        <v/>
      </c>
      <c r="AP329">
        <f>IF($V329="",0,IF($AN329&lt;&gt;$AN328,1,0))</f>
        <v/>
      </c>
      <c r="AQ329">
        <f>IF(OR($AD329="",$AD329="Z"),"",INDEX($AN$5:$AN$404,$AC329))</f>
        <v/>
      </c>
      <c r="AR329">
        <f>IF($Y329="",0,COUNTIF(บันทึกรายเที่ยว!$V$6:$V$6005,$Y329))</f>
        <v/>
      </c>
      <c r="AS329">
        <f>IF($Y329="",0,ROUND(SUMIF(บันทึกรายเที่ยว!$V$6:$V$6005,$Y329,บันทึกรายเที่ยว!$M$6:$M$6005),2))</f>
        <v/>
      </c>
      <c r="AT329">
        <f>IF($Y329="",0,IFERROR(INDEX(อัตราค่าขนส่ง!$G$5:$G$204,MATCH($Y329,อัตราค่าขนส่ง!$M$5:$M$204,0)),0))</f>
        <v/>
      </c>
      <c r="AU329">
        <f>ROUND($AS329*$BD329,2)</f>
        <v/>
      </c>
      <c r="AV329">
        <f>ROUND($AU329*$BF$2/100,2)</f>
        <v/>
      </c>
      <c r="AW329">
        <f>IF($Y329="","",IFERROR(INDEX(อัตราค่าขนส่ง!$F$5:$F$204,MATCH($Y329,อัตราค่าขนส่ง!$M$5:$M$204,0)),""))</f>
        <v/>
      </c>
      <c r="AX329">
        <f>IF($W329="","",INDEX(บันทึกรายเที่ยว!$D$6:$D$6005,$W329))</f>
        <v/>
      </c>
      <c r="AY329">
        <f>IF($W329="","",INDEX(บันทึกรายเที่ยว!$R$6:$R$6005,$W329))</f>
        <v/>
      </c>
      <c r="AZ329">
        <f>IF(AND($AD329="T",$AQ329=1),N($AZ328)+1,N($AZ328))</f>
        <v/>
      </c>
      <c r="BA329">
        <f>IF($W329="","",INDEX(บันทึกรายเที่ยว!$E$6:$E$6005,$W329))</f>
        <v/>
      </c>
      <c r="BC329">
        <f>IF($Y329="",0,IFERROR(INDEX(อัตราค่าขนส่ง!$K$5:$K$204,MATCH($Y329,อัตราค่าขนส่ง!$M$5:$M$204,0)),0))</f>
        <v/>
      </c>
      <c r="BD329">
        <f>IF($Y329="",0,IFERROR(INDEX(อัตราค่าขนส่ง!$L$5:$L$204,MATCH($Y329,อัตราค่าขนส่ง!$M$5:$M$204,0)),0))</f>
        <v/>
      </c>
    </row>
    <row r="330" ht="21" customHeight="1" s="66">
      <c r="A330" s="69">
        <f>IF($AD330="","",IF($AD330="Z","รวมจ่ายทั้งสิ้น",IF($AD330="H",INDEX($X$5:$X$404,$AC330),IF($AD330="T","รวม",IF($AD330="B",IFERROR(INDEX(อัตราค่าขนส่ง!$S$5:$S$14,MATCH(INDEX($AM$5:$AM$404,$AC330),อัตราค่าขนส่ง!$R$5:$R$14,0)),"รวมกลุ่ม "&amp;INDEX($AM$5:$AM$404,$AC330)),INDEX($AY$5:$AY$404,$AC330))))))</f>
        <v/>
      </c>
      <c r="B330" s="31">
        <f>IF($AD330&lt;&gt;"D","",INDEX($AW$5:$AW$404,$AC330))</f>
        <v/>
      </c>
      <c r="C330" s="68">
        <f>IF($AD330&lt;&gt;"D","",INDEX($AX$5:$AX$404,$AC330))</f>
        <v/>
      </c>
      <c r="D330" s="70">
        <f>IF($AD330&lt;&gt;"D","",INDEX($BA$5:$BA$404,$AC330))</f>
        <v/>
      </c>
      <c r="E330" s="31">
        <f>IF($AD330="Z",SUM($AR$5:$AR$404),IF($AD330="D",INDEX($AR$5:$AR$404,$AC330),IF($AD330="T",SUMIF($X$5:$X$404,$AF330,$AR$5:$AR$404),IF($AD330="B",SUMIF($AN$5:$AN$404,$AQ330,$AR$5:$AR$404),""))))</f>
        <v/>
      </c>
      <c r="F330" s="32">
        <f>IF($AD330="Z",ROUND(SUM($AS$5:$AS$404),2),IF($AD330="D",INDEX($AS$5:$AS$404,$AC330),IF($AD330="T",ROUND(SUMIF($X$5:$X$404,$AF330,$AS$5:$AS$404),2),IF($AD330="B",ROUND(SUMIF($AN$5:$AN$404,$AQ330,$AS$5:$AS$404),2),""))))</f>
        <v/>
      </c>
      <c r="G330" s="32">
        <f>IF($AD330&lt;&gt;"D","",INDEX($AT$5:$AT$404,$AC330))</f>
        <v/>
      </c>
      <c r="H330" s="32">
        <f>IF($AD330&lt;&gt;"D","",INDEX($BC$5:$BC$404,$AC330))</f>
        <v/>
      </c>
      <c r="I330" s="32">
        <f>IF($AD330&lt;&gt;"D","",INDEX($BD$5:$BD$404,$AC330))</f>
        <v/>
      </c>
      <c r="J330" s="46">
        <f>IF($AD330&lt;&gt;"D","",IF(N($B330)=0,"",ROUND($I330/$B330,4)))</f>
        <v/>
      </c>
      <c r="K330" s="32">
        <f>IF($AD330="Z",ROUND(SUM($AU$5:$AU$404),2),IF($AD330="D",INDEX($AU$5:$AU$404,$AC330),IF($AD330="T",ROUND(SUMIF($X$5:$X$404,$AF330,$AU$5:$AU$404),2),IF($AD330="B",ROUND(SUMIF($AN$5:$AN$404,$AQ330,$AU$5:$AU$404),2),""))))</f>
        <v/>
      </c>
      <c r="L330" s="32">
        <f>IF($AD330="Z",ROUND(SUM($AV$5:$AV$404),2),IF($AD330="D",INDEX($AV$5:$AV$404,$AC330),IF($AD330="T",ROUND(SUMIF($X$5:$X$404,$AF330,$AV$5:$AV$404),2),IF($AD330="B",ROUND(SUMIF($AN$5:$AN$404,$AQ330,$AV$5:$AV$404),2),""))))</f>
        <v/>
      </c>
      <c r="M330" s="32">
        <f>IF($AD330="Z",ROUND(SUM($AJ$5:$AJ$704),2),IF($AD330="B",ROUND(SUMIF($AQ$5:$AQ$704,$AQ330,$AJ$5:$AJ$704),2),IF($AD330&lt;&gt;"T","",$AJ330)))</f>
        <v/>
      </c>
      <c r="N330" s="32">
        <f>IF(OR($AD330="D",$AD330="T",$AD330="B",$AD330="Z"),ROUND(N($K330)-N($L330)-N($M330),2),"")</f>
        <v/>
      </c>
      <c r="O330" s="32">
        <f>IF(OR($AD330="D",$AD330="T",$AD330="B",$AD330="Z"),IF(N($E330)=0,"",ROUND($F330/$E330,2)),"")</f>
        <v/>
      </c>
      <c r="Q330">
        <f>IFERROR(MATCH(326,บันทึกรายเที่ยว!$Z$6:$Z$6005,0),"")</f>
        <v/>
      </c>
      <c r="R330">
        <f>IF($Q330="","",INDEX(บันทึกรายเที่ยว!$V$6:$V$6005,$Q330))</f>
        <v/>
      </c>
      <c r="S330">
        <f>IF($Q330="","",INDEX(บันทึกรายเที่ยว!$F$6:$F$6005,$Q330))</f>
        <v/>
      </c>
      <c r="T330">
        <f>IF($Q330="","",MATCH($S330,บันทึกรายเที่ยว!$F$6:$F$6005,0))</f>
        <v/>
      </c>
      <c r="U330">
        <f>IF($Q330="","",$AL330*10000000+$T330*1000+326)</f>
        <v/>
      </c>
      <c r="V330">
        <f>IFERROR(MATCH(SMALL($U$5:$U$404,326),$U$5:$U$404,0),"")</f>
        <v/>
      </c>
      <c r="W330">
        <f>IF($V330="","",INDEX($Q$5:$Q$404,$V330))</f>
        <v/>
      </c>
      <c r="X330">
        <f>IF($V330="","",INDEX($S$5:$S$404,$V330))</f>
        <v/>
      </c>
      <c r="Y330">
        <f>IF($V330="","",INDEX($R$5:$R$404,$V330))</f>
        <v/>
      </c>
      <c r="Z330">
        <f>IF($V330="",0,IF($X330&lt;&gt;$X329,1,0))</f>
        <v/>
      </c>
      <c r="AA330">
        <f>IF($V330="",0,IF($V331="",1,IF($X331&lt;&gt;$X330,1,0)))</f>
        <v/>
      </c>
      <c r="AB330">
        <f>IF($V330="",99999+326,$AB329+1+$Z329+$AA329+$AO329)</f>
        <v/>
      </c>
      <c r="AC330">
        <f>IFERROR(MATCH(326,$AB$5:$AB$404,1),"")</f>
        <v/>
      </c>
      <c r="AD330">
        <f>IF(326=$AI$1+1,"Z",IF($AC330="","",IF(INDEX($V$5:$V$404,$AC330)="","",IF(326&gt;INDEX($AB$5:$AB$404,$AC330)+INDEX($Z$5:$Z$404,$AC330)+INDEX($AA$5:$AA$404,$AC330)+INDEX($AO$5:$AO$404,$AC330),"",IF(326=INDEX($AB$5:$AB$404,$AC330)+INDEX($Z$5:$Z$404,$AC330),"D",IF(AND(INDEX($Z$5:$Z$404,$AC330)=1,326=INDEX($AB$5:$AB$404,$AC330)),"H",IF(AND(INDEX($AO$5:$AO$404,$AC330)=1,326=INDEX($AB$5:$AB$404,$AC330)+INDEX($Z$5:$Z$404,$AC330)+INDEX($AA$5:$AA$404,$AC330)+INDEX($AO$5:$AO$404,$AC330)),"B","T")))))))</f>
        <v/>
      </c>
      <c r="AF330">
        <f>IF(OR($AD330="",$AD330="Z",$AD330="B"),"",INDEX($X$5:$X$404,$AC330))</f>
        <v/>
      </c>
      <c r="AJ330">
        <f>IF($AD330&lt;&gt;"T",0,ROUND(SUMIF(oil!$B$4:$B$63,$AF330,oil!$AE$4:$AE$63),2))</f>
        <v/>
      </c>
      <c r="AK330">
        <f>IF($S330="","",IFERROR(INDEX(อัตราค่าขนส่ง!$P$5:$P$54,MATCH($S330,อัตราค่าขนส่ง!$O$5:$O$54,0)),INDEX(รายการมาตรฐาน!$G$2:$G$3,1)))</f>
        <v/>
      </c>
      <c r="AL330">
        <f>IF($S330="","",IFERROR(MATCH($AK330,รายการมาตรฐาน!$G$2:$G$3,0),1))</f>
        <v/>
      </c>
      <c r="AM330">
        <f>IF($V330="","",INDEX($AK$5:$AK$404,$V330))</f>
        <v/>
      </c>
      <c r="AN330">
        <f>IF($V330="","",INDEX($AL$5:$AL$404,$V330))</f>
        <v/>
      </c>
      <c r="AO330">
        <f>IF(OR($V330="",$AI$2&lt;=1),0,IF($V331="",1,IF($AN331&lt;&gt;$AN330,1,0)))</f>
        <v/>
      </c>
      <c r="AP330">
        <f>IF($V330="",0,IF($AN330&lt;&gt;$AN329,1,0))</f>
        <v/>
      </c>
      <c r="AQ330">
        <f>IF(OR($AD330="",$AD330="Z"),"",INDEX($AN$5:$AN$404,$AC330))</f>
        <v/>
      </c>
      <c r="AR330">
        <f>IF($Y330="",0,COUNTIF(บันทึกรายเที่ยว!$V$6:$V$6005,$Y330))</f>
        <v/>
      </c>
      <c r="AS330">
        <f>IF($Y330="",0,ROUND(SUMIF(บันทึกรายเที่ยว!$V$6:$V$6005,$Y330,บันทึกรายเที่ยว!$M$6:$M$6005),2))</f>
        <v/>
      </c>
      <c r="AT330">
        <f>IF($Y330="",0,IFERROR(INDEX(อัตราค่าขนส่ง!$G$5:$G$204,MATCH($Y330,อัตราค่าขนส่ง!$M$5:$M$204,0)),0))</f>
        <v/>
      </c>
      <c r="AU330">
        <f>ROUND($AS330*$BD330,2)</f>
        <v/>
      </c>
      <c r="AV330">
        <f>ROUND($AU330*$BF$2/100,2)</f>
        <v/>
      </c>
      <c r="AW330">
        <f>IF($Y330="","",IFERROR(INDEX(อัตราค่าขนส่ง!$F$5:$F$204,MATCH($Y330,อัตราค่าขนส่ง!$M$5:$M$204,0)),""))</f>
        <v/>
      </c>
      <c r="AX330">
        <f>IF($W330="","",INDEX(บันทึกรายเที่ยว!$D$6:$D$6005,$W330))</f>
        <v/>
      </c>
      <c r="AY330">
        <f>IF($W330="","",INDEX(บันทึกรายเที่ยว!$R$6:$R$6005,$W330))</f>
        <v/>
      </c>
      <c r="AZ330">
        <f>IF(AND($AD330="T",$AQ330=1),N($AZ329)+1,N($AZ329))</f>
        <v/>
      </c>
      <c r="BA330">
        <f>IF($W330="","",INDEX(บันทึกรายเที่ยว!$E$6:$E$6005,$W330))</f>
        <v/>
      </c>
      <c r="BC330">
        <f>IF($Y330="",0,IFERROR(INDEX(อัตราค่าขนส่ง!$K$5:$K$204,MATCH($Y330,อัตราค่าขนส่ง!$M$5:$M$204,0)),0))</f>
        <v/>
      </c>
      <c r="BD330">
        <f>IF($Y330="",0,IFERROR(INDEX(อัตราค่าขนส่ง!$L$5:$L$204,MATCH($Y330,อัตราค่าขนส่ง!$M$5:$M$204,0)),0))</f>
        <v/>
      </c>
    </row>
    <row r="331" ht="21" customHeight="1" s="66">
      <c r="A331" s="69">
        <f>IF($AD331="","",IF($AD331="Z","รวมจ่ายทั้งสิ้น",IF($AD331="H",INDEX($X$5:$X$404,$AC331),IF($AD331="T","รวม",IF($AD331="B",IFERROR(INDEX(อัตราค่าขนส่ง!$S$5:$S$14,MATCH(INDEX($AM$5:$AM$404,$AC331),อัตราค่าขนส่ง!$R$5:$R$14,0)),"รวมกลุ่ม "&amp;INDEX($AM$5:$AM$404,$AC331)),INDEX($AY$5:$AY$404,$AC331))))))</f>
        <v/>
      </c>
      <c r="B331" s="31">
        <f>IF($AD331&lt;&gt;"D","",INDEX($AW$5:$AW$404,$AC331))</f>
        <v/>
      </c>
      <c r="C331" s="68">
        <f>IF($AD331&lt;&gt;"D","",INDEX($AX$5:$AX$404,$AC331))</f>
        <v/>
      </c>
      <c r="D331" s="70">
        <f>IF($AD331&lt;&gt;"D","",INDEX($BA$5:$BA$404,$AC331))</f>
        <v/>
      </c>
      <c r="E331" s="31">
        <f>IF($AD331="Z",SUM($AR$5:$AR$404),IF($AD331="D",INDEX($AR$5:$AR$404,$AC331),IF($AD331="T",SUMIF($X$5:$X$404,$AF331,$AR$5:$AR$404),IF($AD331="B",SUMIF($AN$5:$AN$404,$AQ331,$AR$5:$AR$404),""))))</f>
        <v/>
      </c>
      <c r="F331" s="32">
        <f>IF($AD331="Z",ROUND(SUM($AS$5:$AS$404),2),IF($AD331="D",INDEX($AS$5:$AS$404,$AC331),IF($AD331="T",ROUND(SUMIF($X$5:$X$404,$AF331,$AS$5:$AS$404),2),IF($AD331="B",ROUND(SUMIF($AN$5:$AN$404,$AQ331,$AS$5:$AS$404),2),""))))</f>
        <v/>
      </c>
      <c r="G331" s="32">
        <f>IF($AD331&lt;&gt;"D","",INDEX($AT$5:$AT$404,$AC331))</f>
        <v/>
      </c>
      <c r="H331" s="32">
        <f>IF($AD331&lt;&gt;"D","",INDEX($BC$5:$BC$404,$AC331))</f>
        <v/>
      </c>
      <c r="I331" s="32">
        <f>IF($AD331&lt;&gt;"D","",INDEX($BD$5:$BD$404,$AC331))</f>
        <v/>
      </c>
      <c r="J331" s="46">
        <f>IF($AD331&lt;&gt;"D","",IF(N($B331)=0,"",ROUND($I331/$B331,4)))</f>
        <v/>
      </c>
      <c r="K331" s="32">
        <f>IF($AD331="Z",ROUND(SUM($AU$5:$AU$404),2),IF($AD331="D",INDEX($AU$5:$AU$404,$AC331),IF($AD331="T",ROUND(SUMIF($X$5:$X$404,$AF331,$AU$5:$AU$404),2),IF($AD331="B",ROUND(SUMIF($AN$5:$AN$404,$AQ331,$AU$5:$AU$404),2),""))))</f>
        <v/>
      </c>
      <c r="L331" s="32">
        <f>IF($AD331="Z",ROUND(SUM($AV$5:$AV$404),2),IF($AD331="D",INDEX($AV$5:$AV$404,$AC331),IF($AD331="T",ROUND(SUMIF($X$5:$X$404,$AF331,$AV$5:$AV$404),2),IF($AD331="B",ROUND(SUMIF($AN$5:$AN$404,$AQ331,$AV$5:$AV$404),2),""))))</f>
        <v/>
      </c>
      <c r="M331" s="32">
        <f>IF($AD331="Z",ROUND(SUM($AJ$5:$AJ$704),2),IF($AD331="B",ROUND(SUMIF($AQ$5:$AQ$704,$AQ331,$AJ$5:$AJ$704),2),IF($AD331&lt;&gt;"T","",$AJ331)))</f>
        <v/>
      </c>
      <c r="N331" s="32">
        <f>IF(OR($AD331="D",$AD331="T",$AD331="B",$AD331="Z"),ROUND(N($K331)-N($L331)-N($M331),2),"")</f>
        <v/>
      </c>
      <c r="O331" s="32">
        <f>IF(OR($AD331="D",$AD331="T",$AD331="B",$AD331="Z"),IF(N($E331)=0,"",ROUND($F331/$E331,2)),"")</f>
        <v/>
      </c>
      <c r="Q331">
        <f>IFERROR(MATCH(327,บันทึกรายเที่ยว!$Z$6:$Z$6005,0),"")</f>
        <v/>
      </c>
      <c r="R331">
        <f>IF($Q331="","",INDEX(บันทึกรายเที่ยว!$V$6:$V$6005,$Q331))</f>
        <v/>
      </c>
      <c r="S331">
        <f>IF($Q331="","",INDEX(บันทึกรายเที่ยว!$F$6:$F$6005,$Q331))</f>
        <v/>
      </c>
      <c r="T331">
        <f>IF($Q331="","",MATCH($S331,บันทึกรายเที่ยว!$F$6:$F$6005,0))</f>
        <v/>
      </c>
      <c r="U331">
        <f>IF($Q331="","",$AL331*10000000+$T331*1000+327)</f>
        <v/>
      </c>
      <c r="V331">
        <f>IFERROR(MATCH(SMALL($U$5:$U$404,327),$U$5:$U$404,0),"")</f>
        <v/>
      </c>
      <c r="W331">
        <f>IF($V331="","",INDEX($Q$5:$Q$404,$V331))</f>
        <v/>
      </c>
      <c r="X331">
        <f>IF($V331="","",INDEX($S$5:$S$404,$V331))</f>
        <v/>
      </c>
      <c r="Y331">
        <f>IF($V331="","",INDEX($R$5:$R$404,$V331))</f>
        <v/>
      </c>
      <c r="Z331">
        <f>IF($V331="",0,IF($X331&lt;&gt;$X330,1,0))</f>
        <v/>
      </c>
      <c r="AA331">
        <f>IF($V331="",0,IF($V332="",1,IF($X332&lt;&gt;$X331,1,0)))</f>
        <v/>
      </c>
      <c r="AB331">
        <f>IF($V331="",99999+327,$AB330+1+$Z330+$AA330+$AO330)</f>
        <v/>
      </c>
      <c r="AC331">
        <f>IFERROR(MATCH(327,$AB$5:$AB$404,1),"")</f>
        <v/>
      </c>
      <c r="AD331">
        <f>IF(327=$AI$1+1,"Z",IF($AC331="","",IF(INDEX($V$5:$V$404,$AC331)="","",IF(327&gt;INDEX($AB$5:$AB$404,$AC331)+INDEX($Z$5:$Z$404,$AC331)+INDEX($AA$5:$AA$404,$AC331)+INDEX($AO$5:$AO$404,$AC331),"",IF(327=INDEX($AB$5:$AB$404,$AC331)+INDEX($Z$5:$Z$404,$AC331),"D",IF(AND(INDEX($Z$5:$Z$404,$AC331)=1,327=INDEX($AB$5:$AB$404,$AC331)),"H",IF(AND(INDEX($AO$5:$AO$404,$AC331)=1,327=INDEX($AB$5:$AB$404,$AC331)+INDEX($Z$5:$Z$404,$AC331)+INDEX($AA$5:$AA$404,$AC331)+INDEX($AO$5:$AO$404,$AC331)),"B","T")))))))</f>
        <v/>
      </c>
      <c r="AF331">
        <f>IF(OR($AD331="",$AD331="Z",$AD331="B"),"",INDEX($X$5:$X$404,$AC331))</f>
        <v/>
      </c>
      <c r="AJ331">
        <f>IF($AD331&lt;&gt;"T",0,ROUND(SUMIF(oil!$B$4:$B$63,$AF331,oil!$AE$4:$AE$63),2))</f>
        <v/>
      </c>
      <c r="AK331">
        <f>IF($S331="","",IFERROR(INDEX(อัตราค่าขนส่ง!$P$5:$P$54,MATCH($S331,อัตราค่าขนส่ง!$O$5:$O$54,0)),INDEX(รายการมาตรฐาน!$G$2:$G$3,1)))</f>
        <v/>
      </c>
      <c r="AL331">
        <f>IF($S331="","",IFERROR(MATCH($AK331,รายการมาตรฐาน!$G$2:$G$3,0),1))</f>
        <v/>
      </c>
      <c r="AM331">
        <f>IF($V331="","",INDEX($AK$5:$AK$404,$V331))</f>
        <v/>
      </c>
      <c r="AN331">
        <f>IF($V331="","",INDEX($AL$5:$AL$404,$V331))</f>
        <v/>
      </c>
      <c r="AO331">
        <f>IF(OR($V331="",$AI$2&lt;=1),0,IF($V332="",1,IF($AN332&lt;&gt;$AN331,1,0)))</f>
        <v/>
      </c>
      <c r="AP331">
        <f>IF($V331="",0,IF($AN331&lt;&gt;$AN330,1,0))</f>
        <v/>
      </c>
      <c r="AQ331">
        <f>IF(OR($AD331="",$AD331="Z"),"",INDEX($AN$5:$AN$404,$AC331))</f>
        <v/>
      </c>
      <c r="AR331">
        <f>IF($Y331="",0,COUNTIF(บันทึกรายเที่ยว!$V$6:$V$6005,$Y331))</f>
        <v/>
      </c>
      <c r="AS331">
        <f>IF($Y331="",0,ROUND(SUMIF(บันทึกรายเที่ยว!$V$6:$V$6005,$Y331,บันทึกรายเที่ยว!$M$6:$M$6005),2))</f>
        <v/>
      </c>
      <c r="AT331">
        <f>IF($Y331="",0,IFERROR(INDEX(อัตราค่าขนส่ง!$G$5:$G$204,MATCH($Y331,อัตราค่าขนส่ง!$M$5:$M$204,0)),0))</f>
        <v/>
      </c>
      <c r="AU331">
        <f>ROUND($AS331*$BD331,2)</f>
        <v/>
      </c>
      <c r="AV331">
        <f>ROUND($AU331*$BF$2/100,2)</f>
        <v/>
      </c>
      <c r="AW331">
        <f>IF($Y331="","",IFERROR(INDEX(อัตราค่าขนส่ง!$F$5:$F$204,MATCH($Y331,อัตราค่าขนส่ง!$M$5:$M$204,0)),""))</f>
        <v/>
      </c>
      <c r="AX331">
        <f>IF($W331="","",INDEX(บันทึกรายเที่ยว!$D$6:$D$6005,$W331))</f>
        <v/>
      </c>
      <c r="AY331">
        <f>IF($W331="","",INDEX(บันทึกรายเที่ยว!$R$6:$R$6005,$W331))</f>
        <v/>
      </c>
      <c r="AZ331">
        <f>IF(AND($AD331="T",$AQ331=1),N($AZ330)+1,N($AZ330))</f>
        <v/>
      </c>
      <c r="BA331">
        <f>IF($W331="","",INDEX(บันทึกรายเที่ยว!$E$6:$E$6005,$W331))</f>
        <v/>
      </c>
      <c r="BC331">
        <f>IF($Y331="",0,IFERROR(INDEX(อัตราค่าขนส่ง!$K$5:$K$204,MATCH($Y331,อัตราค่าขนส่ง!$M$5:$M$204,0)),0))</f>
        <v/>
      </c>
      <c r="BD331">
        <f>IF($Y331="",0,IFERROR(INDEX(อัตราค่าขนส่ง!$L$5:$L$204,MATCH($Y331,อัตราค่าขนส่ง!$M$5:$M$204,0)),0))</f>
        <v/>
      </c>
    </row>
    <row r="332" ht="21" customHeight="1" s="66">
      <c r="A332" s="69">
        <f>IF($AD332="","",IF($AD332="Z","รวมจ่ายทั้งสิ้น",IF($AD332="H",INDEX($X$5:$X$404,$AC332),IF($AD332="T","รวม",IF($AD332="B",IFERROR(INDEX(อัตราค่าขนส่ง!$S$5:$S$14,MATCH(INDEX($AM$5:$AM$404,$AC332),อัตราค่าขนส่ง!$R$5:$R$14,0)),"รวมกลุ่ม "&amp;INDEX($AM$5:$AM$404,$AC332)),INDEX($AY$5:$AY$404,$AC332))))))</f>
        <v/>
      </c>
      <c r="B332" s="31">
        <f>IF($AD332&lt;&gt;"D","",INDEX($AW$5:$AW$404,$AC332))</f>
        <v/>
      </c>
      <c r="C332" s="68">
        <f>IF($AD332&lt;&gt;"D","",INDEX($AX$5:$AX$404,$AC332))</f>
        <v/>
      </c>
      <c r="D332" s="70">
        <f>IF($AD332&lt;&gt;"D","",INDEX($BA$5:$BA$404,$AC332))</f>
        <v/>
      </c>
      <c r="E332" s="31">
        <f>IF($AD332="Z",SUM($AR$5:$AR$404),IF($AD332="D",INDEX($AR$5:$AR$404,$AC332),IF($AD332="T",SUMIF($X$5:$X$404,$AF332,$AR$5:$AR$404),IF($AD332="B",SUMIF($AN$5:$AN$404,$AQ332,$AR$5:$AR$404),""))))</f>
        <v/>
      </c>
      <c r="F332" s="32">
        <f>IF($AD332="Z",ROUND(SUM($AS$5:$AS$404),2),IF($AD332="D",INDEX($AS$5:$AS$404,$AC332),IF($AD332="T",ROUND(SUMIF($X$5:$X$404,$AF332,$AS$5:$AS$404),2),IF($AD332="B",ROUND(SUMIF($AN$5:$AN$404,$AQ332,$AS$5:$AS$404),2),""))))</f>
        <v/>
      </c>
      <c r="G332" s="32">
        <f>IF($AD332&lt;&gt;"D","",INDEX($AT$5:$AT$404,$AC332))</f>
        <v/>
      </c>
      <c r="H332" s="32">
        <f>IF($AD332&lt;&gt;"D","",INDEX($BC$5:$BC$404,$AC332))</f>
        <v/>
      </c>
      <c r="I332" s="32">
        <f>IF($AD332&lt;&gt;"D","",INDEX($BD$5:$BD$404,$AC332))</f>
        <v/>
      </c>
      <c r="J332" s="46">
        <f>IF($AD332&lt;&gt;"D","",IF(N($B332)=0,"",ROUND($I332/$B332,4)))</f>
        <v/>
      </c>
      <c r="K332" s="32">
        <f>IF($AD332="Z",ROUND(SUM($AU$5:$AU$404),2),IF($AD332="D",INDEX($AU$5:$AU$404,$AC332),IF($AD332="T",ROUND(SUMIF($X$5:$X$404,$AF332,$AU$5:$AU$404),2),IF($AD332="B",ROUND(SUMIF($AN$5:$AN$404,$AQ332,$AU$5:$AU$404),2),""))))</f>
        <v/>
      </c>
      <c r="L332" s="32">
        <f>IF($AD332="Z",ROUND(SUM($AV$5:$AV$404),2),IF($AD332="D",INDEX($AV$5:$AV$404,$AC332),IF($AD332="T",ROUND(SUMIF($X$5:$X$404,$AF332,$AV$5:$AV$404),2),IF($AD332="B",ROUND(SUMIF($AN$5:$AN$404,$AQ332,$AV$5:$AV$404),2),""))))</f>
        <v/>
      </c>
      <c r="M332" s="32">
        <f>IF($AD332="Z",ROUND(SUM($AJ$5:$AJ$704),2),IF($AD332="B",ROUND(SUMIF($AQ$5:$AQ$704,$AQ332,$AJ$5:$AJ$704),2),IF($AD332&lt;&gt;"T","",$AJ332)))</f>
        <v/>
      </c>
      <c r="N332" s="32">
        <f>IF(OR($AD332="D",$AD332="T",$AD332="B",$AD332="Z"),ROUND(N($K332)-N($L332)-N($M332),2),"")</f>
        <v/>
      </c>
      <c r="O332" s="32">
        <f>IF(OR($AD332="D",$AD332="T",$AD332="B",$AD332="Z"),IF(N($E332)=0,"",ROUND($F332/$E332,2)),"")</f>
        <v/>
      </c>
      <c r="Q332">
        <f>IFERROR(MATCH(328,บันทึกรายเที่ยว!$Z$6:$Z$6005,0),"")</f>
        <v/>
      </c>
      <c r="R332">
        <f>IF($Q332="","",INDEX(บันทึกรายเที่ยว!$V$6:$V$6005,$Q332))</f>
        <v/>
      </c>
      <c r="S332">
        <f>IF($Q332="","",INDEX(บันทึกรายเที่ยว!$F$6:$F$6005,$Q332))</f>
        <v/>
      </c>
      <c r="T332">
        <f>IF($Q332="","",MATCH($S332,บันทึกรายเที่ยว!$F$6:$F$6005,0))</f>
        <v/>
      </c>
      <c r="U332">
        <f>IF($Q332="","",$AL332*10000000+$T332*1000+328)</f>
        <v/>
      </c>
      <c r="V332">
        <f>IFERROR(MATCH(SMALL($U$5:$U$404,328),$U$5:$U$404,0),"")</f>
        <v/>
      </c>
      <c r="W332">
        <f>IF($V332="","",INDEX($Q$5:$Q$404,$V332))</f>
        <v/>
      </c>
      <c r="X332">
        <f>IF($V332="","",INDEX($S$5:$S$404,$V332))</f>
        <v/>
      </c>
      <c r="Y332">
        <f>IF($V332="","",INDEX($R$5:$R$404,$V332))</f>
        <v/>
      </c>
      <c r="Z332">
        <f>IF($V332="",0,IF($X332&lt;&gt;$X331,1,0))</f>
        <v/>
      </c>
      <c r="AA332">
        <f>IF($V332="",0,IF($V333="",1,IF($X333&lt;&gt;$X332,1,0)))</f>
        <v/>
      </c>
      <c r="AB332">
        <f>IF($V332="",99999+328,$AB331+1+$Z331+$AA331+$AO331)</f>
        <v/>
      </c>
      <c r="AC332">
        <f>IFERROR(MATCH(328,$AB$5:$AB$404,1),"")</f>
        <v/>
      </c>
      <c r="AD332">
        <f>IF(328=$AI$1+1,"Z",IF($AC332="","",IF(INDEX($V$5:$V$404,$AC332)="","",IF(328&gt;INDEX($AB$5:$AB$404,$AC332)+INDEX($Z$5:$Z$404,$AC332)+INDEX($AA$5:$AA$404,$AC332)+INDEX($AO$5:$AO$404,$AC332),"",IF(328=INDEX($AB$5:$AB$404,$AC332)+INDEX($Z$5:$Z$404,$AC332),"D",IF(AND(INDEX($Z$5:$Z$404,$AC332)=1,328=INDEX($AB$5:$AB$404,$AC332)),"H",IF(AND(INDEX($AO$5:$AO$404,$AC332)=1,328=INDEX($AB$5:$AB$404,$AC332)+INDEX($Z$5:$Z$404,$AC332)+INDEX($AA$5:$AA$404,$AC332)+INDEX($AO$5:$AO$404,$AC332)),"B","T")))))))</f>
        <v/>
      </c>
      <c r="AF332">
        <f>IF(OR($AD332="",$AD332="Z",$AD332="B"),"",INDEX($X$5:$X$404,$AC332))</f>
        <v/>
      </c>
      <c r="AJ332">
        <f>IF($AD332&lt;&gt;"T",0,ROUND(SUMIF(oil!$B$4:$B$63,$AF332,oil!$AE$4:$AE$63),2))</f>
        <v/>
      </c>
      <c r="AK332">
        <f>IF($S332="","",IFERROR(INDEX(อัตราค่าขนส่ง!$P$5:$P$54,MATCH($S332,อัตราค่าขนส่ง!$O$5:$O$54,0)),INDEX(รายการมาตรฐาน!$G$2:$G$3,1)))</f>
        <v/>
      </c>
      <c r="AL332">
        <f>IF($S332="","",IFERROR(MATCH($AK332,รายการมาตรฐาน!$G$2:$G$3,0),1))</f>
        <v/>
      </c>
      <c r="AM332">
        <f>IF($V332="","",INDEX($AK$5:$AK$404,$V332))</f>
        <v/>
      </c>
      <c r="AN332">
        <f>IF($V332="","",INDEX($AL$5:$AL$404,$V332))</f>
        <v/>
      </c>
      <c r="AO332">
        <f>IF(OR($V332="",$AI$2&lt;=1),0,IF($V333="",1,IF($AN333&lt;&gt;$AN332,1,0)))</f>
        <v/>
      </c>
      <c r="AP332">
        <f>IF($V332="",0,IF($AN332&lt;&gt;$AN331,1,0))</f>
        <v/>
      </c>
      <c r="AQ332">
        <f>IF(OR($AD332="",$AD332="Z"),"",INDEX($AN$5:$AN$404,$AC332))</f>
        <v/>
      </c>
      <c r="AR332">
        <f>IF($Y332="",0,COUNTIF(บันทึกรายเที่ยว!$V$6:$V$6005,$Y332))</f>
        <v/>
      </c>
      <c r="AS332">
        <f>IF($Y332="",0,ROUND(SUMIF(บันทึกรายเที่ยว!$V$6:$V$6005,$Y332,บันทึกรายเที่ยว!$M$6:$M$6005),2))</f>
        <v/>
      </c>
      <c r="AT332">
        <f>IF($Y332="",0,IFERROR(INDEX(อัตราค่าขนส่ง!$G$5:$G$204,MATCH($Y332,อัตราค่าขนส่ง!$M$5:$M$204,0)),0))</f>
        <v/>
      </c>
      <c r="AU332">
        <f>ROUND($AS332*$BD332,2)</f>
        <v/>
      </c>
      <c r="AV332">
        <f>ROUND($AU332*$BF$2/100,2)</f>
        <v/>
      </c>
      <c r="AW332">
        <f>IF($Y332="","",IFERROR(INDEX(อัตราค่าขนส่ง!$F$5:$F$204,MATCH($Y332,อัตราค่าขนส่ง!$M$5:$M$204,0)),""))</f>
        <v/>
      </c>
      <c r="AX332">
        <f>IF($W332="","",INDEX(บันทึกรายเที่ยว!$D$6:$D$6005,$W332))</f>
        <v/>
      </c>
      <c r="AY332">
        <f>IF($W332="","",INDEX(บันทึกรายเที่ยว!$R$6:$R$6005,$W332))</f>
        <v/>
      </c>
      <c r="AZ332">
        <f>IF(AND($AD332="T",$AQ332=1),N($AZ331)+1,N($AZ331))</f>
        <v/>
      </c>
      <c r="BA332">
        <f>IF($W332="","",INDEX(บันทึกรายเที่ยว!$E$6:$E$6005,$W332))</f>
        <v/>
      </c>
      <c r="BC332">
        <f>IF($Y332="",0,IFERROR(INDEX(อัตราค่าขนส่ง!$K$5:$K$204,MATCH($Y332,อัตราค่าขนส่ง!$M$5:$M$204,0)),0))</f>
        <v/>
      </c>
      <c r="BD332">
        <f>IF($Y332="",0,IFERROR(INDEX(อัตราค่าขนส่ง!$L$5:$L$204,MATCH($Y332,อัตราค่าขนส่ง!$M$5:$M$204,0)),0))</f>
        <v/>
      </c>
    </row>
    <row r="333" ht="21" customHeight="1" s="66">
      <c r="A333" s="69">
        <f>IF($AD333="","",IF($AD333="Z","รวมจ่ายทั้งสิ้น",IF($AD333="H",INDEX($X$5:$X$404,$AC333),IF($AD333="T","รวม",IF($AD333="B",IFERROR(INDEX(อัตราค่าขนส่ง!$S$5:$S$14,MATCH(INDEX($AM$5:$AM$404,$AC333),อัตราค่าขนส่ง!$R$5:$R$14,0)),"รวมกลุ่ม "&amp;INDEX($AM$5:$AM$404,$AC333)),INDEX($AY$5:$AY$404,$AC333))))))</f>
        <v/>
      </c>
      <c r="B333" s="31">
        <f>IF($AD333&lt;&gt;"D","",INDEX($AW$5:$AW$404,$AC333))</f>
        <v/>
      </c>
      <c r="C333" s="68">
        <f>IF($AD333&lt;&gt;"D","",INDEX($AX$5:$AX$404,$AC333))</f>
        <v/>
      </c>
      <c r="D333" s="70">
        <f>IF($AD333&lt;&gt;"D","",INDEX($BA$5:$BA$404,$AC333))</f>
        <v/>
      </c>
      <c r="E333" s="31">
        <f>IF($AD333="Z",SUM($AR$5:$AR$404),IF($AD333="D",INDEX($AR$5:$AR$404,$AC333),IF($AD333="T",SUMIF($X$5:$X$404,$AF333,$AR$5:$AR$404),IF($AD333="B",SUMIF($AN$5:$AN$404,$AQ333,$AR$5:$AR$404),""))))</f>
        <v/>
      </c>
      <c r="F333" s="32">
        <f>IF($AD333="Z",ROUND(SUM($AS$5:$AS$404),2),IF($AD333="D",INDEX($AS$5:$AS$404,$AC333),IF($AD333="T",ROUND(SUMIF($X$5:$X$404,$AF333,$AS$5:$AS$404),2),IF($AD333="B",ROUND(SUMIF($AN$5:$AN$404,$AQ333,$AS$5:$AS$404),2),""))))</f>
        <v/>
      </c>
      <c r="G333" s="32">
        <f>IF($AD333&lt;&gt;"D","",INDEX($AT$5:$AT$404,$AC333))</f>
        <v/>
      </c>
      <c r="H333" s="32">
        <f>IF($AD333&lt;&gt;"D","",INDEX($BC$5:$BC$404,$AC333))</f>
        <v/>
      </c>
      <c r="I333" s="32">
        <f>IF($AD333&lt;&gt;"D","",INDEX($BD$5:$BD$404,$AC333))</f>
        <v/>
      </c>
      <c r="J333" s="46">
        <f>IF($AD333&lt;&gt;"D","",IF(N($B333)=0,"",ROUND($I333/$B333,4)))</f>
        <v/>
      </c>
      <c r="K333" s="32">
        <f>IF($AD333="Z",ROUND(SUM($AU$5:$AU$404),2),IF($AD333="D",INDEX($AU$5:$AU$404,$AC333),IF($AD333="T",ROUND(SUMIF($X$5:$X$404,$AF333,$AU$5:$AU$404),2),IF($AD333="B",ROUND(SUMIF($AN$5:$AN$404,$AQ333,$AU$5:$AU$404),2),""))))</f>
        <v/>
      </c>
      <c r="L333" s="32">
        <f>IF($AD333="Z",ROUND(SUM($AV$5:$AV$404),2),IF($AD333="D",INDEX($AV$5:$AV$404,$AC333),IF($AD333="T",ROUND(SUMIF($X$5:$X$404,$AF333,$AV$5:$AV$404),2),IF($AD333="B",ROUND(SUMIF($AN$5:$AN$404,$AQ333,$AV$5:$AV$404),2),""))))</f>
        <v/>
      </c>
      <c r="M333" s="32">
        <f>IF($AD333="Z",ROUND(SUM($AJ$5:$AJ$704),2),IF($AD333="B",ROUND(SUMIF($AQ$5:$AQ$704,$AQ333,$AJ$5:$AJ$704),2),IF($AD333&lt;&gt;"T","",$AJ333)))</f>
        <v/>
      </c>
      <c r="N333" s="32">
        <f>IF(OR($AD333="D",$AD333="T",$AD333="B",$AD333="Z"),ROUND(N($K333)-N($L333)-N($M333),2),"")</f>
        <v/>
      </c>
      <c r="O333" s="32">
        <f>IF(OR($AD333="D",$AD333="T",$AD333="B",$AD333="Z"),IF(N($E333)=0,"",ROUND($F333/$E333,2)),"")</f>
        <v/>
      </c>
      <c r="Q333">
        <f>IFERROR(MATCH(329,บันทึกรายเที่ยว!$Z$6:$Z$6005,0),"")</f>
        <v/>
      </c>
      <c r="R333">
        <f>IF($Q333="","",INDEX(บันทึกรายเที่ยว!$V$6:$V$6005,$Q333))</f>
        <v/>
      </c>
      <c r="S333">
        <f>IF($Q333="","",INDEX(บันทึกรายเที่ยว!$F$6:$F$6005,$Q333))</f>
        <v/>
      </c>
      <c r="T333">
        <f>IF($Q333="","",MATCH($S333,บันทึกรายเที่ยว!$F$6:$F$6005,0))</f>
        <v/>
      </c>
      <c r="U333">
        <f>IF($Q333="","",$AL333*10000000+$T333*1000+329)</f>
        <v/>
      </c>
      <c r="V333">
        <f>IFERROR(MATCH(SMALL($U$5:$U$404,329),$U$5:$U$404,0),"")</f>
        <v/>
      </c>
      <c r="W333">
        <f>IF($V333="","",INDEX($Q$5:$Q$404,$V333))</f>
        <v/>
      </c>
      <c r="X333">
        <f>IF($V333="","",INDEX($S$5:$S$404,$V333))</f>
        <v/>
      </c>
      <c r="Y333">
        <f>IF($V333="","",INDEX($R$5:$R$404,$V333))</f>
        <v/>
      </c>
      <c r="Z333">
        <f>IF($V333="",0,IF($X333&lt;&gt;$X332,1,0))</f>
        <v/>
      </c>
      <c r="AA333">
        <f>IF($V333="",0,IF($V334="",1,IF($X334&lt;&gt;$X333,1,0)))</f>
        <v/>
      </c>
      <c r="AB333">
        <f>IF($V333="",99999+329,$AB332+1+$Z332+$AA332+$AO332)</f>
        <v/>
      </c>
      <c r="AC333">
        <f>IFERROR(MATCH(329,$AB$5:$AB$404,1),"")</f>
        <v/>
      </c>
      <c r="AD333">
        <f>IF(329=$AI$1+1,"Z",IF($AC333="","",IF(INDEX($V$5:$V$404,$AC333)="","",IF(329&gt;INDEX($AB$5:$AB$404,$AC333)+INDEX($Z$5:$Z$404,$AC333)+INDEX($AA$5:$AA$404,$AC333)+INDEX($AO$5:$AO$404,$AC333),"",IF(329=INDEX($AB$5:$AB$404,$AC333)+INDEX($Z$5:$Z$404,$AC333),"D",IF(AND(INDEX($Z$5:$Z$404,$AC333)=1,329=INDEX($AB$5:$AB$404,$AC333)),"H",IF(AND(INDEX($AO$5:$AO$404,$AC333)=1,329=INDEX($AB$5:$AB$404,$AC333)+INDEX($Z$5:$Z$404,$AC333)+INDEX($AA$5:$AA$404,$AC333)+INDEX($AO$5:$AO$404,$AC333)),"B","T")))))))</f>
        <v/>
      </c>
      <c r="AF333">
        <f>IF(OR($AD333="",$AD333="Z",$AD333="B"),"",INDEX($X$5:$X$404,$AC333))</f>
        <v/>
      </c>
      <c r="AJ333">
        <f>IF($AD333&lt;&gt;"T",0,ROUND(SUMIF(oil!$B$4:$B$63,$AF333,oil!$AE$4:$AE$63),2))</f>
        <v/>
      </c>
      <c r="AK333">
        <f>IF($S333="","",IFERROR(INDEX(อัตราค่าขนส่ง!$P$5:$P$54,MATCH($S333,อัตราค่าขนส่ง!$O$5:$O$54,0)),INDEX(รายการมาตรฐาน!$G$2:$G$3,1)))</f>
        <v/>
      </c>
      <c r="AL333">
        <f>IF($S333="","",IFERROR(MATCH($AK333,รายการมาตรฐาน!$G$2:$G$3,0),1))</f>
        <v/>
      </c>
      <c r="AM333">
        <f>IF($V333="","",INDEX($AK$5:$AK$404,$V333))</f>
        <v/>
      </c>
      <c r="AN333">
        <f>IF($V333="","",INDEX($AL$5:$AL$404,$V333))</f>
        <v/>
      </c>
      <c r="AO333">
        <f>IF(OR($V333="",$AI$2&lt;=1),0,IF($V334="",1,IF($AN334&lt;&gt;$AN333,1,0)))</f>
        <v/>
      </c>
      <c r="AP333">
        <f>IF($V333="",0,IF($AN333&lt;&gt;$AN332,1,0))</f>
        <v/>
      </c>
      <c r="AQ333">
        <f>IF(OR($AD333="",$AD333="Z"),"",INDEX($AN$5:$AN$404,$AC333))</f>
        <v/>
      </c>
      <c r="AR333">
        <f>IF($Y333="",0,COUNTIF(บันทึกรายเที่ยว!$V$6:$V$6005,$Y333))</f>
        <v/>
      </c>
      <c r="AS333">
        <f>IF($Y333="",0,ROUND(SUMIF(บันทึกรายเที่ยว!$V$6:$V$6005,$Y333,บันทึกรายเที่ยว!$M$6:$M$6005),2))</f>
        <v/>
      </c>
      <c r="AT333">
        <f>IF($Y333="",0,IFERROR(INDEX(อัตราค่าขนส่ง!$G$5:$G$204,MATCH($Y333,อัตราค่าขนส่ง!$M$5:$M$204,0)),0))</f>
        <v/>
      </c>
      <c r="AU333">
        <f>ROUND($AS333*$BD333,2)</f>
        <v/>
      </c>
      <c r="AV333">
        <f>ROUND($AU333*$BF$2/100,2)</f>
        <v/>
      </c>
      <c r="AW333">
        <f>IF($Y333="","",IFERROR(INDEX(อัตราค่าขนส่ง!$F$5:$F$204,MATCH($Y333,อัตราค่าขนส่ง!$M$5:$M$204,0)),""))</f>
        <v/>
      </c>
      <c r="AX333">
        <f>IF($W333="","",INDEX(บันทึกรายเที่ยว!$D$6:$D$6005,$W333))</f>
        <v/>
      </c>
      <c r="AY333">
        <f>IF($W333="","",INDEX(บันทึกรายเที่ยว!$R$6:$R$6005,$W333))</f>
        <v/>
      </c>
      <c r="AZ333">
        <f>IF(AND($AD333="T",$AQ333=1),N($AZ332)+1,N($AZ332))</f>
        <v/>
      </c>
      <c r="BA333">
        <f>IF($W333="","",INDEX(บันทึกรายเที่ยว!$E$6:$E$6005,$W333))</f>
        <v/>
      </c>
      <c r="BC333">
        <f>IF($Y333="",0,IFERROR(INDEX(อัตราค่าขนส่ง!$K$5:$K$204,MATCH($Y333,อัตราค่าขนส่ง!$M$5:$M$204,0)),0))</f>
        <v/>
      </c>
      <c r="BD333">
        <f>IF($Y333="",0,IFERROR(INDEX(อัตราค่าขนส่ง!$L$5:$L$204,MATCH($Y333,อัตราค่าขนส่ง!$M$5:$M$204,0)),0))</f>
        <v/>
      </c>
    </row>
    <row r="334" ht="21" customHeight="1" s="66">
      <c r="A334" s="69">
        <f>IF($AD334="","",IF($AD334="Z","รวมจ่ายทั้งสิ้น",IF($AD334="H",INDEX($X$5:$X$404,$AC334),IF($AD334="T","รวม",IF($AD334="B",IFERROR(INDEX(อัตราค่าขนส่ง!$S$5:$S$14,MATCH(INDEX($AM$5:$AM$404,$AC334),อัตราค่าขนส่ง!$R$5:$R$14,0)),"รวมกลุ่ม "&amp;INDEX($AM$5:$AM$404,$AC334)),INDEX($AY$5:$AY$404,$AC334))))))</f>
        <v/>
      </c>
      <c r="B334" s="31">
        <f>IF($AD334&lt;&gt;"D","",INDEX($AW$5:$AW$404,$AC334))</f>
        <v/>
      </c>
      <c r="C334" s="68">
        <f>IF($AD334&lt;&gt;"D","",INDEX($AX$5:$AX$404,$AC334))</f>
        <v/>
      </c>
      <c r="D334" s="70">
        <f>IF($AD334&lt;&gt;"D","",INDEX($BA$5:$BA$404,$AC334))</f>
        <v/>
      </c>
      <c r="E334" s="31">
        <f>IF($AD334="Z",SUM($AR$5:$AR$404),IF($AD334="D",INDEX($AR$5:$AR$404,$AC334),IF($AD334="T",SUMIF($X$5:$X$404,$AF334,$AR$5:$AR$404),IF($AD334="B",SUMIF($AN$5:$AN$404,$AQ334,$AR$5:$AR$404),""))))</f>
        <v/>
      </c>
      <c r="F334" s="32">
        <f>IF($AD334="Z",ROUND(SUM($AS$5:$AS$404),2),IF($AD334="D",INDEX($AS$5:$AS$404,$AC334),IF($AD334="T",ROUND(SUMIF($X$5:$X$404,$AF334,$AS$5:$AS$404),2),IF($AD334="B",ROUND(SUMIF($AN$5:$AN$404,$AQ334,$AS$5:$AS$404),2),""))))</f>
        <v/>
      </c>
      <c r="G334" s="32">
        <f>IF($AD334&lt;&gt;"D","",INDEX($AT$5:$AT$404,$AC334))</f>
        <v/>
      </c>
      <c r="H334" s="32">
        <f>IF($AD334&lt;&gt;"D","",INDEX($BC$5:$BC$404,$AC334))</f>
        <v/>
      </c>
      <c r="I334" s="32">
        <f>IF($AD334&lt;&gt;"D","",INDEX($BD$5:$BD$404,$AC334))</f>
        <v/>
      </c>
      <c r="J334" s="46">
        <f>IF($AD334&lt;&gt;"D","",IF(N($B334)=0,"",ROUND($I334/$B334,4)))</f>
        <v/>
      </c>
      <c r="K334" s="32">
        <f>IF($AD334="Z",ROUND(SUM($AU$5:$AU$404),2),IF($AD334="D",INDEX($AU$5:$AU$404,$AC334),IF($AD334="T",ROUND(SUMIF($X$5:$X$404,$AF334,$AU$5:$AU$404),2),IF($AD334="B",ROUND(SUMIF($AN$5:$AN$404,$AQ334,$AU$5:$AU$404),2),""))))</f>
        <v/>
      </c>
      <c r="L334" s="32">
        <f>IF($AD334="Z",ROUND(SUM($AV$5:$AV$404),2),IF($AD334="D",INDEX($AV$5:$AV$404,$AC334),IF($AD334="T",ROUND(SUMIF($X$5:$X$404,$AF334,$AV$5:$AV$404),2),IF($AD334="B",ROUND(SUMIF($AN$5:$AN$404,$AQ334,$AV$5:$AV$404),2),""))))</f>
        <v/>
      </c>
      <c r="M334" s="32">
        <f>IF($AD334="Z",ROUND(SUM($AJ$5:$AJ$704),2),IF($AD334="B",ROUND(SUMIF($AQ$5:$AQ$704,$AQ334,$AJ$5:$AJ$704),2),IF($AD334&lt;&gt;"T","",$AJ334)))</f>
        <v/>
      </c>
      <c r="N334" s="32">
        <f>IF(OR($AD334="D",$AD334="T",$AD334="B",$AD334="Z"),ROUND(N($K334)-N($L334)-N($M334),2),"")</f>
        <v/>
      </c>
      <c r="O334" s="32">
        <f>IF(OR($AD334="D",$AD334="T",$AD334="B",$AD334="Z"),IF(N($E334)=0,"",ROUND($F334/$E334,2)),"")</f>
        <v/>
      </c>
      <c r="Q334">
        <f>IFERROR(MATCH(330,บันทึกรายเที่ยว!$Z$6:$Z$6005,0),"")</f>
        <v/>
      </c>
      <c r="R334">
        <f>IF($Q334="","",INDEX(บันทึกรายเที่ยว!$V$6:$V$6005,$Q334))</f>
        <v/>
      </c>
      <c r="S334">
        <f>IF($Q334="","",INDEX(บันทึกรายเที่ยว!$F$6:$F$6005,$Q334))</f>
        <v/>
      </c>
      <c r="T334">
        <f>IF($Q334="","",MATCH($S334,บันทึกรายเที่ยว!$F$6:$F$6005,0))</f>
        <v/>
      </c>
      <c r="U334">
        <f>IF($Q334="","",$AL334*10000000+$T334*1000+330)</f>
        <v/>
      </c>
      <c r="V334">
        <f>IFERROR(MATCH(SMALL($U$5:$U$404,330),$U$5:$U$404,0),"")</f>
        <v/>
      </c>
      <c r="W334">
        <f>IF($V334="","",INDEX($Q$5:$Q$404,$V334))</f>
        <v/>
      </c>
      <c r="X334">
        <f>IF($V334="","",INDEX($S$5:$S$404,$V334))</f>
        <v/>
      </c>
      <c r="Y334">
        <f>IF($V334="","",INDEX($R$5:$R$404,$V334))</f>
        <v/>
      </c>
      <c r="Z334">
        <f>IF($V334="",0,IF($X334&lt;&gt;$X333,1,0))</f>
        <v/>
      </c>
      <c r="AA334">
        <f>IF($V334="",0,IF($V335="",1,IF($X335&lt;&gt;$X334,1,0)))</f>
        <v/>
      </c>
      <c r="AB334">
        <f>IF($V334="",99999+330,$AB333+1+$Z333+$AA333+$AO333)</f>
        <v/>
      </c>
      <c r="AC334">
        <f>IFERROR(MATCH(330,$AB$5:$AB$404,1),"")</f>
        <v/>
      </c>
      <c r="AD334">
        <f>IF(330=$AI$1+1,"Z",IF($AC334="","",IF(INDEX($V$5:$V$404,$AC334)="","",IF(330&gt;INDEX($AB$5:$AB$404,$AC334)+INDEX($Z$5:$Z$404,$AC334)+INDEX($AA$5:$AA$404,$AC334)+INDEX($AO$5:$AO$404,$AC334),"",IF(330=INDEX($AB$5:$AB$404,$AC334)+INDEX($Z$5:$Z$404,$AC334),"D",IF(AND(INDEX($Z$5:$Z$404,$AC334)=1,330=INDEX($AB$5:$AB$404,$AC334)),"H",IF(AND(INDEX($AO$5:$AO$404,$AC334)=1,330=INDEX($AB$5:$AB$404,$AC334)+INDEX($Z$5:$Z$404,$AC334)+INDEX($AA$5:$AA$404,$AC334)+INDEX($AO$5:$AO$404,$AC334)),"B","T")))))))</f>
        <v/>
      </c>
      <c r="AF334">
        <f>IF(OR($AD334="",$AD334="Z",$AD334="B"),"",INDEX($X$5:$X$404,$AC334))</f>
        <v/>
      </c>
      <c r="AJ334">
        <f>IF($AD334&lt;&gt;"T",0,ROUND(SUMIF(oil!$B$4:$B$63,$AF334,oil!$AE$4:$AE$63),2))</f>
        <v/>
      </c>
      <c r="AK334">
        <f>IF($S334="","",IFERROR(INDEX(อัตราค่าขนส่ง!$P$5:$P$54,MATCH($S334,อัตราค่าขนส่ง!$O$5:$O$54,0)),INDEX(รายการมาตรฐาน!$G$2:$G$3,1)))</f>
        <v/>
      </c>
      <c r="AL334">
        <f>IF($S334="","",IFERROR(MATCH($AK334,รายการมาตรฐาน!$G$2:$G$3,0),1))</f>
        <v/>
      </c>
      <c r="AM334">
        <f>IF($V334="","",INDEX($AK$5:$AK$404,$V334))</f>
        <v/>
      </c>
      <c r="AN334">
        <f>IF($V334="","",INDEX($AL$5:$AL$404,$V334))</f>
        <v/>
      </c>
      <c r="AO334">
        <f>IF(OR($V334="",$AI$2&lt;=1),0,IF($V335="",1,IF($AN335&lt;&gt;$AN334,1,0)))</f>
        <v/>
      </c>
      <c r="AP334">
        <f>IF($V334="",0,IF($AN334&lt;&gt;$AN333,1,0))</f>
        <v/>
      </c>
      <c r="AQ334">
        <f>IF(OR($AD334="",$AD334="Z"),"",INDEX($AN$5:$AN$404,$AC334))</f>
        <v/>
      </c>
      <c r="AR334">
        <f>IF($Y334="",0,COUNTIF(บันทึกรายเที่ยว!$V$6:$V$6005,$Y334))</f>
        <v/>
      </c>
      <c r="AS334">
        <f>IF($Y334="",0,ROUND(SUMIF(บันทึกรายเที่ยว!$V$6:$V$6005,$Y334,บันทึกรายเที่ยว!$M$6:$M$6005),2))</f>
        <v/>
      </c>
      <c r="AT334">
        <f>IF($Y334="",0,IFERROR(INDEX(อัตราค่าขนส่ง!$G$5:$G$204,MATCH($Y334,อัตราค่าขนส่ง!$M$5:$M$204,0)),0))</f>
        <v/>
      </c>
      <c r="AU334">
        <f>ROUND($AS334*$BD334,2)</f>
        <v/>
      </c>
      <c r="AV334">
        <f>ROUND($AU334*$BF$2/100,2)</f>
        <v/>
      </c>
      <c r="AW334">
        <f>IF($Y334="","",IFERROR(INDEX(อัตราค่าขนส่ง!$F$5:$F$204,MATCH($Y334,อัตราค่าขนส่ง!$M$5:$M$204,0)),""))</f>
        <v/>
      </c>
      <c r="AX334">
        <f>IF($W334="","",INDEX(บันทึกรายเที่ยว!$D$6:$D$6005,$W334))</f>
        <v/>
      </c>
      <c r="AY334">
        <f>IF($W334="","",INDEX(บันทึกรายเที่ยว!$R$6:$R$6005,$W334))</f>
        <v/>
      </c>
      <c r="AZ334">
        <f>IF(AND($AD334="T",$AQ334=1),N($AZ333)+1,N($AZ333))</f>
        <v/>
      </c>
      <c r="BA334">
        <f>IF($W334="","",INDEX(บันทึกรายเที่ยว!$E$6:$E$6005,$W334))</f>
        <v/>
      </c>
      <c r="BC334">
        <f>IF($Y334="",0,IFERROR(INDEX(อัตราค่าขนส่ง!$K$5:$K$204,MATCH($Y334,อัตราค่าขนส่ง!$M$5:$M$204,0)),0))</f>
        <v/>
      </c>
      <c r="BD334">
        <f>IF($Y334="",0,IFERROR(INDEX(อัตราค่าขนส่ง!$L$5:$L$204,MATCH($Y334,อัตราค่าขนส่ง!$M$5:$M$204,0)),0))</f>
        <v/>
      </c>
    </row>
    <row r="335" ht="21" customHeight="1" s="66">
      <c r="A335" s="69">
        <f>IF($AD335="","",IF($AD335="Z","รวมจ่ายทั้งสิ้น",IF($AD335="H",INDEX($X$5:$X$404,$AC335),IF($AD335="T","รวม",IF($AD335="B",IFERROR(INDEX(อัตราค่าขนส่ง!$S$5:$S$14,MATCH(INDEX($AM$5:$AM$404,$AC335),อัตราค่าขนส่ง!$R$5:$R$14,0)),"รวมกลุ่ม "&amp;INDEX($AM$5:$AM$404,$AC335)),INDEX($AY$5:$AY$404,$AC335))))))</f>
        <v/>
      </c>
      <c r="B335" s="31">
        <f>IF($AD335&lt;&gt;"D","",INDEX($AW$5:$AW$404,$AC335))</f>
        <v/>
      </c>
      <c r="C335" s="68">
        <f>IF($AD335&lt;&gt;"D","",INDEX($AX$5:$AX$404,$AC335))</f>
        <v/>
      </c>
      <c r="D335" s="70">
        <f>IF($AD335&lt;&gt;"D","",INDEX($BA$5:$BA$404,$AC335))</f>
        <v/>
      </c>
      <c r="E335" s="31">
        <f>IF($AD335="Z",SUM($AR$5:$AR$404),IF($AD335="D",INDEX($AR$5:$AR$404,$AC335),IF($AD335="T",SUMIF($X$5:$X$404,$AF335,$AR$5:$AR$404),IF($AD335="B",SUMIF($AN$5:$AN$404,$AQ335,$AR$5:$AR$404),""))))</f>
        <v/>
      </c>
      <c r="F335" s="32">
        <f>IF($AD335="Z",ROUND(SUM($AS$5:$AS$404),2),IF($AD335="D",INDEX($AS$5:$AS$404,$AC335),IF($AD335="T",ROUND(SUMIF($X$5:$X$404,$AF335,$AS$5:$AS$404),2),IF($AD335="B",ROUND(SUMIF($AN$5:$AN$404,$AQ335,$AS$5:$AS$404),2),""))))</f>
        <v/>
      </c>
      <c r="G335" s="32">
        <f>IF($AD335&lt;&gt;"D","",INDEX($AT$5:$AT$404,$AC335))</f>
        <v/>
      </c>
      <c r="H335" s="32">
        <f>IF($AD335&lt;&gt;"D","",INDEX($BC$5:$BC$404,$AC335))</f>
        <v/>
      </c>
      <c r="I335" s="32">
        <f>IF($AD335&lt;&gt;"D","",INDEX($BD$5:$BD$404,$AC335))</f>
        <v/>
      </c>
      <c r="J335" s="46">
        <f>IF($AD335&lt;&gt;"D","",IF(N($B335)=0,"",ROUND($I335/$B335,4)))</f>
        <v/>
      </c>
      <c r="K335" s="32">
        <f>IF($AD335="Z",ROUND(SUM($AU$5:$AU$404),2),IF($AD335="D",INDEX($AU$5:$AU$404,$AC335),IF($AD335="T",ROUND(SUMIF($X$5:$X$404,$AF335,$AU$5:$AU$404),2),IF($AD335="B",ROUND(SUMIF($AN$5:$AN$404,$AQ335,$AU$5:$AU$404),2),""))))</f>
        <v/>
      </c>
      <c r="L335" s="32">
        <f>IF($AD335="Z",ROUND(SUM($AV$5:$AV$404),2),IF($AD335="D",INDEX($AV$5:$AV$404,$AC335),IF($AD335="T",ROUND(SUMIF($X$5:$X$404,$AF335,$AV$5:$AV$404),2),IF($AD335="B",ROUND(SUMIF($AN$5:$AN$404,$AQ335,$AV$5:$AV$404),2),""))))</f>
        <v/>
      </c>
      <c r="M335" s="32">
        <f>IF($AD335="Z",ROUND(SUM($AJ$5:$AJ$704),2),IF($AD335="B",ROUND(SUMIF($AQ$5:$AQ$704,$AQ335,$AJ$5:$AJ$704),2),IF($AD335&lt;&gt;"T","",$AJ335)))</f>
        <v/>
      </c>
      <c r="N335" s="32">
        <f>IF(OR($AD335="D",$AD335="T",$AD335="B",$AD335="Z"),ROUND(N($K335)-N($L335)-N($M335),2),"")</f>
        <v/>
      </c>
      <c r="O335" s="32">
        <f>IF(OR($AD335="D",$AD335="T",$AD335="B",$AD335="Z"),IF(N($E335)=0,"",ROUND($F335/$E335,2)),"")</f>
        <v/>
      </c>
      <c r="Q335">
        <f>IFERROR(MATCH(331,บันทึกรายเที่ยว!$Z$6:$Z$6005,0),"")</f>
        <v/>
      </c>
      <c r="R335">
        <f>IF($Q335="","",INDEX(บันทึกรายเที่ยว!$V$6:$V$6005,$Q335))</f>
        <v/>
      </c>
      <c r="S335">
        <f>IF($Q335="","",INDEX(บันทึกรายเที่ยว!$F$6:$F$6005,$Q335))</f>
        <v/>
      </c>
      <c r="T335">
        <f>IF($Q335="","",MATCH($S335,บันทึกรายเที่ยว!$F$6:$F$6005,0))</f>
        <v/>
      </c>
      <c r="U335">
        <f>IF($Q335="","",$AL335*10000000+$T335*1000+331)</f>
        <v/>
      </c>
      <c r="V335">
        <f>IFERROR(MATCH(SMALL($U$5:$U$404,331),$U$5:$U$404,0),"")</f>
        <v/>
      </c>
      <c r="W335">
        <f>IF($V335="","",INDEX($Q$5:$Q$404,$V335))</f>
        <v/>
      </c>
      <c r="X335">
        <f>IF($V335="","",INDEX($S$5:$S$404,$V335))</f>
        <v/>
      </c>
      <c r="Y335">
        <f>IF($V335="","",INDEX($R$5:$R$404,$V335))</f>
        <v/>
      </c>
      <c r="Z335">
        <f>IF($V335="",0,IF($X335&lt;&gt;$X334,1,0))</f>
        <v/>
      </c>
      <c r="AA335">
        <f>IF($V335="",0,IF($V336="",1,IF($X336&lt;&gt;$X335,1,0)))</f>
        <v/>
      </c>
      <c r="AB335">
        <f>IF($V335="",99999+331,$AB334+1+$Z334+$AA334+$AO334)</f>
        <v/>
      </c>
      <c r="AC335">
        <f>IFERROR(MATCH(331,$AB$5:$AB$404,1),"")</f>
        <v/>
      </c>
      <c r="AD335">
        <f>IF(331=$AI$1+1,"Z",IF($AC335="","",IF(INDEX($V$5:$V$404,$AC335)="","",IF(331&gt;INDEX($AB$5:$AB$404,$AC335)+INDEX($Z$5:$Z$404,$AC335)+INDEX($AA$5:$AA$404,$AC335)+INDEX($AO$5:$AO$404,$AC335),"",IF(331=INDEX($AB$5:$AB$404,$AC335)+INDEX($Z$5:$Z$404,$AC335),"D",IF(AND(INDEX($Z$5:$Z$404,$AC335)=1,331=INDEX($AB$5:$AB$404,$AC335)),"H",IF(AND(INDEX($AO$5:$AO$404,$AC335)=1,331=INDEX($AB$5:$AB$404,$AC335)+INDEX($Z$5:$Z$404,$AC335)+INDEX($AA$5:$AA$404,$AC335)+INDEX($AO$5:$AO$404,$AC335)),"B","T")))))))</f>
        <v/>
      </c>
      <c r="AF335">
        <f>IF(OR($AD335="",$AD335="Z",$AD335="B"),"",INDEX($X$5:$X$404,$AC335))</f>
        <v/>
      </c>
      <c r="AJ335">
        <f>IF($AD335&lt;&gt;"T",0,ROUND(SUMIF(oil!$B$4:$B$63,$AF335,oil!$AE$4:$AE$63),2))</f>
        <v/>
      </c>
      <c r="AK335">
        <f>IF($S335="","",IFERROR(INDEX(อัตราค่าขนส่ง!$P$5:$P$54,MATCH($S335,อัตราค่าขนส่ง!$O$5:$O$54,0)),INDEX(รายการมาตรฐาน!$G$2:$G$3,1)))</f>
        <v/>
      </c>
      <c r="AL335">
        <f>IF($S335="","",IFERROR(MATCH($AK335,รายการมาตรฐาน!$G$2:$G$3,0),1))</f>
        <v/>
      </c>
      <c r="AM335">
        <f>IF($V335="","",INDEX($AK$5:$AK$404,$V335))</f>
        <v/>
      </c>
      <c r="AN335">
        <f>IF($V335="","",INDEX($AL$5:$AL$404,$V335))</f>
        <v/>
      </c>
      <c r="AO335">
        <f>IF(OR($V335="",$AI$2&lt;=1),0,IF($V336="",1,IF($AN336&lt;&gt;$AN335,1,0)))</f>
        <v/>
      </c>
      <c r="AP335">
        <f>IF($V335="",0,IF($AN335&lt;&gt;$AN334,1,0))</f>
        <v/>
      </c>
      <c r="AQ335">
        <f>IF(OR($AD335="",$AD335="Z"),"",INDEX($AN$5:$AN$404,$AC335))</f>
        <v/>
      </c>
      <c r="AR335">
        <f>IF($Y335="",0,COUNTIF(บันทึกรายเที่ยว!$V$6:$V$6005,$Y335))</f>
        <v/>
      </c>
      <c r="AS335">
        <f>IF($Y335="",0,ROUND(SUMIF(บันทึกรายเที่ยว!$V$6:$V$6005,$Y335,บันทึกรายเที่ยว!$M$6:$M$6005),2))</f>
        <v/>
      </c>
      <c r="AT335">
        <f>IF($Y335="",0,IFERROR(INDEX(อัตราค่าขนส่ง!$G$5:$G$204,MATCH($Y335,อัตราค่าขนส่ง!$M$5:$M$204,0)),0))</f>
        <v/>
      </c>
      <c r="AU335">
        <f>ROUND($AS335*$BD335,2)</f>
        <v/>
      </c>
      <c r="AV335">
        <f>ROUND($AU335*$BF$2/100,2)</f>
        <v/>
      </c>
      <c r="AW335">
        <f>IF($Y335="","",IFERROR(INDEX(อัตราค่าขนส่ง!$F$5:$F$204,MATCH($Y335,อัตราค่าขนส่ง!$M$5:$M$204,0)),""))</f>
        <v/>
      </c>
      <c r="AX335">
        <f>IF($W335="","",INDEX(บันทึกรายเที่ยว!$D$6:$D$6005,$W335))</f>
        <v/>
      </c>
      <c r="AY335">
        <f>IF($W335="","",INDEX(บันทึกรายเที่ยว!$R$6:$R$6005,$W335))</f>
        <v/>
      </c>
      <c r="AZ335">
        <f>IF(AND($AD335="T",$AQ335=1),N($AZ334)+1,N($AZ334))</f>
        <v/>
      </c>
      <c r="BA335">
        <f>IF($W335="","",INDEX(บันทึกรายเที่ยว!$E$6:$E$6005,$W335))</f>
        <v/>
      </c>
      <c r="BC335">
        <f>IF($Y335="",0,IFERROR(INDEX(อัตราค่าขนส่ง!$K$5:$K$204,MATCH($Y335,อัตราค่าขนส่ง!$M$5:$M$204,0)),0))</f>
        <v/>
      </c>
      <c r="BD335">
        <f>IF($Y335="",0,IFERROR(INDEX(อัตราค่าขนส่ง!$L$5:$L$204,MATCH($Y335,อัตราค่าขนส่ง!$M$5:$M$204,0)),0))</f>
        <v/>
      </c>
    </row>
    <row r="336" ht="21" customHeight="1" s="66">
      <c r="A336" s="69">
        <f>IF($AD336="","",IF($AD336="Z","รวมจ่ายทั้งสิ้น",IF($AD336="H",INDEX($X$5:$X$404,$AC336),IF($AD336="T","รวม",IF($AD336="B",IFERROR(INDEX(อัตราค่าขนส่ง!$S$5:$S$14,MATCH(INDEX($AM$5:$AM$404,$AC336),อัตราค่าขนส่ง!$R$5:$R$14,0)),"รวมกลุ่ม "&amp;INDEX($AM$5:$AM$404,$AC336)),INDEX($AY$5:$AY$404,$AC336))))))</f>
        <v/>
      </c>
      <c r="B336" s="31">
        <f>IF($AD336&lt;&gt;"D","",INDEX($AW$5:$AW$404,$AC336))</f>
        <v/>
      </c>
      <c r="C336" s="68">
        <f>IF($AD336&lt;&gt;"D","",INDEX($AX$5:$AX$404,$AC336))</f>
        <v/>
      </c>
      <c r="D336" s="70">
        <f>IF($AD336&lt;&gt;"D","",INDEX($BA$5:$BA$404,$AC336))</f>
        <v/>
      </c>
      <c r="E336" s="31">
        <f>IF($AD336="Z",SUM($AR$5:$AR$404),IF($AD336="D",INDEX($AR$5:$AR$404,$AC336),IF($AD336="T",SUMIF($X$5:$X$404,$AF336,$AR$5:$AR$404),IF($AD336="B",SUMIF($AN$5:$AN$404,$AQ336,$AR$5:$AR$404),""))))</f>
        <v/>
      </c>
      <c r="F336" s="32">
        <f>IF($AD336="Z",ROUND(SUM($AS$5:$AS$404),2),IF($AD336="D",INDEX($AS$5:$AS$404,$AC336),IF($AD336="T",ROUND(SUMIF($X$5:$X$404,$AF336,$AS$5:$AS$404),2),IF($AD336="B",ROUND(SUMIF($AN$5:$AN$404,$AQ336,$AS$5:$AS$404),2),""))))</f>
        <v/>
      </c>
      <c r="G336" s="32">
        <f>IF($AD336&lt;&gt;"D","",INDEX($AT$5:$AT$404,$AC336))</f>
        <v/>
      </c>
      <c r="H336" s="32">
        <f>IF($AD336&lt;&gt;"D","",INDEX($BC$5:$BC$404,$AC336))</f>
        <v/>
      </c>
      <c r="I336" s="32">
        <f>IF($AD336&lt;&gt;"D","",INDEX($BD$5:$BD$404,$AC336))</f>
        <v/>
      </c>
      <c r="J336" s="46">
        <f>IF($AD336&lt;&gt;"D","",IF(N($B336)=0,"",ROUND($I336/$B336,4)))</f>
        <v/>
      </c>
      <c r="K336" s="32">
        <f>IF($AD336="Z",ROUND(SUM($AU$5:$AU$404),2),IF($AD336="D",INDEX($AU$5:$AU$404,$AC336),IF($AD336="T",ROUND(SUMIF($X$5:$X$404,$AF336,$AU$5:$AU$404),2),IF($AD336="B",ROUND(SUMIF($AN$5:$AN$404,$AQ336,$AU$5:$AU$404),2),""))))</f>
        <v/>
      </c>
      <c r="L336" s="32">
        <f>IF($AD336="Z",ROUND(SUM($AV$5:$AV$404),2),IF($AD336="D",INDEX($AV$5:$AV$404,$AC336),IF($AD336="T",ROUND(SUMIF($X$5:$X$404,$AF336,$AV$5:$AV$404),2),IF($AD336="B",ROUND(SUMIF($AN$5:$AN$404,$AQ336,$AV$5:$AV$404),2),""))))</f>
        <v/>
      </c>
      <c r="M336" s="32">
        <f>IF($AD336="Z",ROUND(SUM($AJ$5:$AJ$704),2),IF($AD336="B",ROUND(SUMIF($AQ$5:$AQ$704,$AQ336,$AJ$5:$AJ$704),2),IF($AD336&lt;&gt;"T","",$AJ336)))</f>
        <v/>
      </c>
      <c r="N336" s="32">
        <f>IF(OR($AD336="D",$AD336="T",$AD336="B",$AD336="Z"),ROUND(N($K336)-N($L336)-N($M336),2),"")</f>
        <v/>
      </c>
      <c r="O336" s="32">
        <f>IF(OR($AD336="D",$AD336="T",$AD336="B",$AD336="Z"),IF(N($E336)=0,"",ROUND($F336/$E336,2)),"")</f>
        <v/>
      </c>
      <c r="Q336">
        <f>IFERROR(MATCH(332,บันทึกรายเที่ยว!$Z$6:$Z$6005,0),"")</f>
        <v/>
      </c>
      <c r="R336">
        <f>IF($Q336="","",INDEX(บันทึกรายเที่ยว!$V$6:$V$6005,$Q336))</f>
        <v/>
      </c>
      <c r="S336">
        <f>IF($Q336="","",INDEX(บันทึกรายเที่ยว!$F$6:$F$6005,$Q336))</f>
        <v/>
      </c>
      <c r="T336">
        <f>IF($Q336="","",MATCH($S336,บันทึกรายเที่ยว!$F$6:$F$6005,0))</f>
        <v/>
      </c>
      <c r="U336">
        <f>IF($Q336="","",$AL336*10000000+$T336*1000+332)</f>
        <v/>
      </c>
      <c r="V336">
        <f>IFERROR(MATCH(SMALL($U$5:$U$404,332),$U$5:$U$404,0),"")</f>
        <v/>
      </c>
      <c r="W336">
        <f>IF($V336="","",INDEX($Q$5:$Q$404,$V336))</f>
        <v/>
      </c>
      <c r="X336">
        <f>IF($V336="","",INDEX($S$5:$S$404,$V336))</f>
        <v/>
      </c>
      <c r="Y336">
        <f>IF($V336="","",INDEX($R$5:$R$404,$V336))</f>
        <v/>
      </c>
      <c r="Z336">
        <f>IF($V336="",0,IF($X336&lt;&gt;$X335,1,0))</f>
        <v/>
      </c>
      <c r="AA336">
        <f>IF($V336="",0,IF($V337="",1,IF($X337&lt;&gt;$X336,1,0)))</f>
        <v/>
      </c>
      <c r="AB336">
        <f>IF($V336="",99999+332,$AB335+1+$Z335+$AA335+$AO335)</f>
        <v/>
      </c>
      <c r="AC336">
        <f>IFERROR(MATCH(332,$AB$5:$AB$404,1),"")</f>
        <v/>
      </c>
      <c r="AD336">
        <f>IF(332=$AI$1+1,"Z",IF($AC336="","",IF(INDEX($V$5:$V$404,$AC336)="","",IF(332&gt;INDEX($AB$5:$AB$404,$AC336)+INDEX($Z$5:$Z$404,$AC336)+INDEX($AA$5:$AA$404,$AC336)+INDEX($AO$5:$AO$404,$AC336),"",IF(332=INDEX($AB$5:$AB$404,$AC336)+INDEX($Z$5:$Z$404,$AC336),"D",IF(AND(INDEX($Z$5:$Z$404,$AC336)=1,332=INDEX($AB$5:$AB$404,$AC336)),"H",IF(AND(INDEX($AO$5:$AO$404,$AC336)=1,332=INDEX($AB$5:$AB$404,$AC336)+INDEX($Z$5:$Z$404,$AC336)+INDEX($AA$5:$AA$404,$AC336)+INDEX($AO$5:$AO$404,$AC336)),"B","T")))))))</f>
        <v/>
      </c>
      <c r="AF336">
        <f>IF(OR($AD336="",$AD336="Z",$AD336="B"),"",INDEX($X$5:$X$404,$AC336))</f>
        <v/>
      </c>
      <c r="AJ336">
        <f>IF($AD336&lt;&gt;"T",0,ROUND(SUMIF(oil!$B$4:$B$63,$AF336,oil!$AE$4:$AE$63),2))</f>
        <v/>
      </c>
      <c r="AK336">
        <f>IF($S336="","",IFERROR(INDEX(อัตราค่าขนส่ง!$P$5:$P$54,MATCH($S336,อัตราค่าขนส่ง!$O$5:$O$54,0)),INDEX(รายการมาตรฐาน!$G$2:$G$3,1)))</f>
        <v/>
      </c>
      <c r="AL336">
        <f>IF($S336="","",IFERROR(MATCH($AK336,รายการมาตรฐาน!$G$2:$G$3,0),1))</f>
        <v/>
      </c>
      <c r="AM336">
        <f>IF($V336="","",INDEX($AK$5:$AK$404,$V336))</f>
        <v/>
      </c>
      <c r="AN336">
        <f>IF($V336="","",INDEX($AL$5:$AL$404,$V336))</f>
        <v/>
      </c>
      <c r="AO336">
        <f>IF(OR($V336="",$AI$2&lt;=1),0,IF($V337="",1,IF($AN337&lt;&gt;$AN336,1,0)))</f>
        <v/>
      </c>
      <c r="AP336">
        <f>IF($V336="",0,IF($AN336&lt;&gt;$AN335,1,0))</f>
        <v/>
      </c>
      <c r="AQ336">
        <f>IF(OR($AD336="",$AD336="Z"),"",INDEX($AN$5:$AN$404,$AC336))</f>
        <v/>
      </c>
      <c r="AR336">
        <f>IF($Y336="",0,COUNTIF(บันทึกรายเที่ยว!$V$6:$V$6005,$Y336))</f>
        <v/>
      </c>
      <c r="AS336">
        <f>IF($Y336="",0,ROUND(SUMIF(บันทึกรายเที่ยว!$V$6:$V$6005,$Y336,บันทึกรายเที่ยว!$M$6:$M$6005),2))</f>
        <v/>
      </c>
      <c r="AT336">
        <f>IF($Y336="",0,IFERROR(INDEX(อัตราค่าขนส่ง!$G$5:$G$204,MATCH($Y336,อัตราค่าขนส่ง!$M$5:$M$204,0)),0))</f>
        <v/>
      </c>
      <c r="AU336">
        <f>ROUND($AS336*$BD336,2)</f>
        <v/>
      </c>
      <c r="AV336">
        <f>ROUND($AU336*$BF$2/100,2)</f>
        <v/>
      </c>
      <c r="AW336">
        <f>IF($Y336="","",IFERROR(INDEX(อัตราค่าขนส่ง!$F$5:$F$204,MATCH($Y336,อัตราค่าขนส่ง!$M$5:$M$204,0)),""))</f>
        <v/>
      </c>
      <c r="AX336">
        <f>IF($W336="","",INDEX(บันทึกรายเที่ยว!$D$6:$D$6005,$W336))</f>
        <v/>
      </c>
      <c r="AY336">
        <f>IF($W336="","",INDEX(บันทึกรายเที่ยว!$R$6:$R$6005,$W336))</f>
        <v/>
      </c>
      <c r="AZ336">
        <f>IF(AND($AD336="T",$AQ336=1),N($AZ335)+1,N($AZ335))</f>
        <v/>
      </c>
      <c r="BA336">
        <f>IF($W336="","",INDEX(บันทึกรายเที่ยว!$E$6:$E$6005,$W336))</f>
        <v/>
      </c>
      <c r="BC336">
        <f>IF($Y336="",0,IFERROR(INDEX(อัตราค่าขนส่ง!$K$5:$K$204,MATCH($Y336,อัตราค่าขนส่ง!$M$5:$M$204,0)),0))</f>
        <v/>
      </c>
      <c r="BD336">
        <f>IF($Y336="",0,IFERROR(INDEX(อัตราค่าขนส่ง!$L$5:$L$204,MATCH($Y336,อัตราค่าขนส่ง!$M$5:$M$204,0)),0))</f>
        <v/>
      </c>
    </row>
    <row r="337" ht="21" customHeight="1" s="66">
      <c r="A337" s="69">
        <f>IF($AD337="","",IF($AD337="Z","รวมจ่ายทั้งสิ้น",IF($AD337="H",INDEX($X$5:$X$404,$AC337),IF($AD337="T","รวม",IF($AD337="B",IFERROR(INDEX(อัตราค่าขนส่ง!$S$5:$S$14,MATCH(INDEX($AM$5:$AM$404,$AC337),อัตราค่าขนส่ง!$R$5:$R$14,0)),"รวมกลุ่ม "&amp;INDEX($AM$5:$AM$404,$AC337)),INDEX($AY$5:$AY$404,$AC337))))))</f>
        <v/>
      </c>
      <c r="B337" s="31">
        <f>IF($AD337&lt;&gt;"D","",INDEX($AW$5:$AW$404,$AC337))</f>
        <v/>
      </c>
      <c r="C337" s="68">
        <f>IF($AD337&lt;&gt;"D","",INDEX($AX$5:$AX$404,$AC337))</f>
        <v/>
      </c>
      <c r="D337" s="70">
        <f>IF($AD337&lt;&gt;"D","",INDEX($BA$5:$BA$404,$AC337))</f>
        <v/>
      </c>
      <c r="E337" s="31">
        <f>IF($AD337="Z",SUM($AR$5:$AR$404),IF($AD337="D",INDEX($AR$5:$AR$404,$AC337),IF($AD337="T",SUMIF($X$5:$X$404,$AF337,$AR$5:$AR$404),IF($AD337="B",SUMIF($AN$5:$AN$404,$AQ337,$AR$5:$AR$404),""))))</f>
        <v/>
      </c>
      <c r="F337" s="32">
        <f>IF($AD337="Z",ROUND(SUM($AS$5:$AS$404),2),IF($AD337="D",INDEX($AS$5:$AS$404,$AC337),IF($AD337="T",ROUND(SUMIF($X$5:$X$404,$AF337,$AS$5:$AS$404),2),IF($AD337="B",ROUND(SUMIF($AN$5:$AN$404,$AQ337,$AS$5:$AS$404),2),""))))</f>
        <v/>
      </c>
      <c r="G337" s="32">
        <f>IF($AD337&lt;&gt;"D","",INDEX($AT$5:$AT$404,$AC337))</f>
        <v/>
      </c>
      <c r="H337" s="32">
        <f>IF($AD337&lt;&gt;"D","",INDEX($BC$5:$BC$404,$AC337))</f>
        <v/>
      </c>
      <c r="I337" s="32">
        <f>IF($AD337&lt;&gt;"D","",INDEX($BD$5:$BD$404,$AC337))</f>
        <v/>
      </c>
      <c r="J337" s="46">
        <f>IF($AD337&lt;&gt;"D","",IF(N($B337)=0,"",ROUND($I337/$B337,4)))</f>
        <v/>
      </c>
      <c r="K337" s="32">
        <f>IF($AD337="Z",ROUND(SUM($AU$5:$AU$404),2),IF($AD337="D",INDEX($AU$5:$AU$404,$AC337),IF($AD337="T",ROUND(SUMIF($X$5:$X$404,$AF337,$AU$5:$AU$404),2),IF($AD337="B",ROUND(SUMIF($AN$5:$AN$404,$AQ337,$AU$5:$AU$404),2),""))))</f>
        <v/>
      </c>
      <c r="L337" s="32">
        <f>IF($AD337="Z",ROUND(SUM($AV$5:$AV$404),2),IF($AD337="D",INDEX($AV$5:$AV$404,$AC337),IF($AD337="T",ROUND(SUMIF($X$5:$X$404,$AF337,$AV$5:$AV$404),2),IF($AD337="B",ROUND(SUMIF($AN$5:$AN$404,$AQ337,$AV$5:$AV$404),2),""))))</f>
        <v/>
      </c>
      <c r="M337" s="32">
        <f>IF($AD337="Z",ROUND(SUM($AJ$5:$AJ$704),2),IF($AD337="B",ROUND(SUMIF($AQ$5:$AQ$704,$AQ337,$AJ$5:$AJ$704),2),IF($AD337&lt;&gt;"T","",$AJ337)))</f>
        <v/>
      </c>
      <c r="N337" s="32">
        <f>IF(OR($AD337="D",$AD337="T",$AD337="B",$AD337="Z"),ROUND(N($K337)-N($L337)-N($M337),2),"")</f>
        <v/>
      </c>
      <c r="O337" s="32">
        <f>IF(OR($AD337="D",$AD337="T",$AD337="B",$AD337="Z"),IF(N($E337)=0,"",ROUND($F337/$E337,2)),"")</f>
        <v/>
      </c>
      <c r="Q337">
        <f>IFERROR(MATCH(333,บันทึกรายเที่ยว!$Z$6:$Z$6005,0),"")</f>
        <v/>
      </c>
      <c r="R337">
        <f>IF($Q337="","",INDEX(บันทึกรายเที่ยว!$V$6:$V$6005,$Q337))</f>
        <v/>
      </c>
      <c r="S337">
        <f>IF($Q337="","",INDEX(บันทึกรายเที่ยว!$F$6:$F$6005,$Q337))</f>
        <v/>
      </c>
      <c r="T337">
        <f>IF($Q337="","",MATCH($S337,บันทึกรายเที่ยว!$F$6:$F$6005,0))</f>
        <v/>
      </c>
      <c r="U337">
        <f>IF($Q337="","",$AL337*10000000+$T337*1000+333)</f>
        <v/>
      </c>
      <c r="V337">
        <f>IFERROR(MATCH(SMALL($U$5:$U$404,333),$U$5:$U$404,0),"")</f>
        <v/>
      </c>
      <c r="W337">
        <f>IF($V337="","",INDEX($Q$5:$Q$404,$V337))</f>
        <v/>
      </c>
      <c r="X337">
        <f>IF($V337="","",INDEX($S$5:$S$404,$V337))</f>
        <v/>
      </c>
      <c r="Y337">
        <f>IF($V337="","",INDEX($R$5:$R$404,$V337))</f>
        <v/>
      </c>
      <c r="Z337">
        <f>IF($V337="",0,IF($X337&lt;&gt;$X336,1,0))</f>
        <v/>
      </c>
      <c r="AA337">
        <f>IF($V337="",0,IF($V338="",1,IF($X338&lt;&gt;$X337,1,0)))</f>
        <v/>
      </c>
      <c r="AB337">
        <f>IF($V337="",99999+333,$AB336+1+$Z336+$AA336+$AO336)</f>
        <v/>
      </c>
      <c r="AC337">
        <f>IFERROR(MATCH(333,$AB$5:$AB$404,1),"")</f>
        <v/>
      </c>
      <c r="AD337">
        <f>IF(333=$AI$1+1,"Z",IF($AC337="","",IF(INDEX($V$5:$V$404,$AC337)="","",IF(333&gt;INDEX($AB$5:$AB$404,$AC337)+INDEX($Z$5:$Z$404,$AC337)+INDEX($AA$5:$AA$404,$AC337)+INDEX($AO$5:$AO$404,$AC337),"",IF(333=INDEX($AB$5:$AB$404,$AC337)+INDEX($Z$5:$Z$404,$AC337),"D",IF(AND(INDEX($Z$5:$Z$404,$AC337)=1,333=INDEX($AB$5:$AB$404,$AC337)),"H",IF(AND(INDEX($AO$5:$AO$404,$AC337)=1,333=INDEX($AB$5:$AB$404,$AC337)+INDEX($Z$5:$Z$404,$AC337)+INDEX($AA$5:$AA$404,$AC337)+INDEX($AO$5:$AO$404,$AC337)),"B","T")))))))</f>
        <v/>
      </c>
      <c r="AF337">
        <f>IF(OR($AD337="",$AD337="Z",$AD337="B"),"",INDEX($X$5:$X$404,$AC337))</f>
        <v/>
      </c>
      <c r="AJ337">
        <f>IF($AD337&lt;&gt;"T",0,ROUND(SUMIF(oil!$B$4:$B$63,$AF337,oil!$AE$4:$AE$63),2))</f>
        <v/>
      </c>
      <c r="AK337">
        <f>IF($S337="","",IFERROR(INDEX(อัตราค่าขนส่ง!$P$5:$P$54,MATCH($S337,อัตราค่าขนส่ง!$O$5:$O$54,0)),INDEX(รายการมาตรฐาน!$G$2:$G$3,1)))</f>
        <v/>
      </c>
      <c r="AL337">
        <f>IF($S337="","",IFERROR(MATCH($AK337,รายการมาตรฐาน!$G$2:$G$3,0),1))</f>
        <v/>
      </c>
      <c r="AM337">
        <f>IF($V337="","",INDEX($AK$5:$AK$404,$V337))</f>
        <v/>
      </c>
      <c r="AN337">
        <f>IF($V337="","",INDEX($AL$5:$AL$404,$V337))</f>
        <v/>
      </c>
      <c r="AO337">
        <f>IF(OR($V337="",$AI$2&lt;=1),0,IF($V338="",1,IF($AN338&lt;&gt;$AN337,1,0)))</f>
        <v/>
      </c>
      <c r="AP337">
        <f>IF($V337="",0,IF($AN337&lt;&gt;$AN336,1,0))</f>
        <v/>
      </c>
      <c r="AQ337">
        <f>IF(OR($AD337="",$AD337="Z"),"",INDEX($AN$5:$AN$404,$AC337))</f>
        <v/>
      </c>
      <c r="AR337">
        <f>IF($Y337="",0,COUNTIF(บันทึกรายเที่ยว!$V$6:$V$6005,$Y337))</f>
        <v/>
      </c>
      <c r="AS337">
        <f>IF($Y337="",0,ROUND(SUMIF(บันทึกรายเที่ยว!$V$6:$V$6005,$Y337,บันทึกรายเที่ยว!$M$6:$M$6005),2))</f>
        <v/>
      </c>
      <c r="AT337">
        <f>IF($Y337="",0,IFERROR(INDEX(อัตราค่าขนส่ง!$G$5:$G$204,MATCH($Y337,อัตราค่าขนส่ง!$M$5:$M$204,0)),0))</f>
        <v/>
      </c>
      <c r="AU337">
        <f>ROUND($AS337*$BD337,2)</f>
        <v/>
      </c>
      <c r="AV337">
        <f>ROUND($AU337*$BF$2/100,2)</f>
        <v/>
      </c>
      <c r="AW337">
        <f>IF($Y337="","",IFERROR(INDEX(อัตราค่าขนส่ง!$F$5:$F$204,MATCH($Y337,อัตราค่าขนส่ง!$M$5:$M$204,0)),""))</f>
        <v/>
      </c>
      <c r="AX337">
        <f>IF($W337="","",INDEX(บันทึกรายเที่ยว!$D$6:$D$6005,$W337))</f>
        <v/>
      </c>
      <c r="AY337">
        <f>IF($W337="","",INDEX(บันทึกรายเที่ยว!$R$6:$R$6005,$W337))</f>
        <v/>
      </c>
      <c r="AZ337">
        <f>IF(AND($AD337="T",$AQ337=1),N($AZ336)+1,N($AZ336))</f>
        <v/>
      </c>
      <c r="BA337">
        <f>IF($W337="","",INDEX(บันทึกรายเที่ยว!$E$6:$E$6005,$W337))</f>
        <v/>
      </c>
      <c r="BC337">
        <f>IF($Y337="",0,IFERROR(INDEX(อัตราค่าขนส่ง!$K$5:$K$204,MATCH($Y337,อัตราค่าขนส่ง!$M$5:$M$204,0)),0))</f>
        <v/>
      </c>
      <c r="BD337">
        <f>IF($Y337="",0,IFERROR(INDEX(อัตราค่าขนส่ง!$L$5:$L$204,MATCH($Y337,อัตราค่าขนส่ง!$M$5:$M$204,0)),0))</f>
        <v/>
      </c>
    </row>
    <row r="338" ht="21" customHeight="1" s="66">
      <c r="A338" s="69">
        <f>IF($AD338="","",IF($AD338="Z","รวมจ่ายทั้งสิ้น",IF($AD338="H",INDEX($X$5:$X$404,$AC338),IF($AD338="T","รวม",IF($AD338="B",IFERROR(INDEX(อัตราค่าขนส่ง!$S$5:$S$14,MATCH(INDEX($AM$5:$AM$404,$AC338),อัตราค่าขนส่ง!$R$5:$R$14,0)),"รวมกลุ่ม "&amp;INDEX($AM$5:$AM$404,$AC338)),INDEX($AY$5:$AY$404,$AC338))))))</f>
        <v/>
      </c>
      <c r="B338" s="31">
        <f>IF($AD338&lt;&gt;"D","",INDEX($AW$5:$AW$404,$AC338))</f>
        <v/>
      </c>
      <c r="C338" s="68">
        <f>IF($AD338&lt;&gt;"D","",INDEX($AX$5:$AX$404,$AC338))</f>
        <v/>
      </c>
      <c r="D338" s="70">
        <f>IF($AD338&lt;&gt;"D","",INDEX($BA$5:$BA$404,$AC338))</f>
        <v/>
      </c>
      <c r="E338" s="31">
        <f>IF($AD338="Z",SUM($AR$5:$AR$404),IF($AD338="D",INDEX($AR$5:$AR$404,$AC338),IF($AD338="T",SUMIF($X$5:$X$404,$AF338,$AR$5:$AR$404),IF($AD338="B",SUMIF($AN$5:$AN$404,$AQ338,$AR$5:$AR$404),""))))</f>
        <v/>
      </c>
      <c r="F338" s="32">
        <f>IF($AD338="Z",ROUND(SUM($AS$5:$AS$404),2),IF($AD338="D",INDEX($AS$5:$AS$404,$AC338),IF($AD338="T",ROUND(SUMIF($X$5:$X$404,$AF338,$AS$5:$AS$404),2),IF($AD338="B",ROUND(SUMIF($AN$5:$AN$404,$AQ338,$AS$5:$AS$404),2),""))))</f>
        <v/>
      </c>
      <c r="G338" s="32">
        <f>IF($AD338&lt;&gt;"D","",INDEX($AT$5:$AT$404,$AC338))</f>
        <v/>
      </c>
      <c r="H338" s="32">
        <f>IF($AD338&lt;&gt;"D","",INDEX($BC$5:$BC$404,$AC338))</f>
        <v/>
      </c>
      <c r="I338" s="32">
        <f>IF($AD338&lt;&gt;"D","",INDEX($BD$5:$BD$404,$AC338))</f>
        <v/>
      </c>
      <c r="J338" s="46">
        <f>IF($AD338&lt;&gt;"D","",IF(N($B338)=0,"",ROUND($I338/$B338,4)))</f>
        <v/>
      </c>
      <c r="K338" s="32">
        <f>IF($AD338="Z",ROUND(SUM($AU$5:$AU$404),2),IF($AD338="D",INDEX($AU$5:$AU$404,$AC338),IF($AD338="T",ROUND(SUMIF($X$5:$X$404,$AF338,$AU$5:$AU$404),2),IF($AD338="B",ROUND(SUMIF($AN$5:$AN$404,$AQ338,$AU$5:$AU$404),2),""))))</f>
        <v/>
      </c>
      <c r="L338" s="32">
        <f>IF($AD338="Z",ROUND(SUM($AV$5:$AV$404),2),IF($AD338="D",INDEX($AV$5:$AV$404,$AC338),IF($AD338="T",ROUND(SUMIF($X$5:$X$404,$AF338,$AV$5:$AV$404),2),IF($AD338="B",ROUND(SUMIF($AN$5:$AN$404,$AQ338,$AV$5:$AV$404),2),""))))</f>
        <v/>
      </c>
      <c r="M338" s="32">
        <f>IF($AD338="Z",ROUND(SUM($AJ$5:$AJ$704),2),IF($AD338="B",ROUND(SUMIF($AQ$5:$AQ$704,$AQ338,$AJ$5:$AJ$704),2),IF($AD338&lt;&gt;"T","",$AJ338)))</f>
        <v/>
      </c>
      <c r="N338" s="32">
        <f>IF(OR($AD338="D",$AD338="T",$AD338="B",$AD338="Z"),ROUND(N($K338)-N($L338)-N($M338),2),"")</f>
        <v/>
      </c>
      <c r="O338" s="32">
        <f>IF(OR($AD338="D",$AD338="T",$AD338="B",$AD338="Z"),IF(N($E338)=0,"",ROUND($F338/$E338,2)),"")</f>
        <v/>
      </c>
      <c r="Q338">
        <f>IFERROR(MATCH(334,บันทึกรายเที่ยว!$Z$6:$Z$6005,0),"")</f>
        <v/>
      </c>
      <c r="R338">
        <f>IF($Q338="","",INDEX(บันทึกรายเที่ยว!$V$6:$V$6005,$Q338))</f>
        <v/>
      </c>
      <c r="S338">
        <f>IF($Q338="","",INDEX(บันทึกรายเที่ยว!$F$6:$F$6005,$Q338))</f>
        <v/>
      </c>
      <c r="T338">
        <f>IF($Q338="","",MATCH($S338,บันทึกรายเที่ยว!$F$6:$F$6005,0))</f>
        <v/>
      </c>
      <c r="U338">
        <f>IF($Q338="","",$AL338*10000000+$T338*1000+334)</f>
        <v/>
      </c>
      <c r="V338">
        <f>IFERROR(MATCH(SMALL($U$5:$U$404,334),$U$5:$U$404,0),"")</f>
        <v/>
      </c>
      <c r="W338">
        <f>IF($V338="","",INDEX($Q$5:$Q$404,$V338))</f>
        <v/>
      </c>
      <c r="X338">
        <f>IF($V338="","",INDEX($S$5:$S$404,$V338))</f>
        <v/>
      </c>
      <c r="Y338">
        <f>IF($V338="","",INDEX($R$5:$R$404,$V338))</f>
        <v/>
      </c>
      <c r="Z338">
        <f>IF($V338="",0,IF($X338&lt;&gt;$X337,1,0))</f>
        <v/>
      </c>
      <c r="AA338">
        <f>IF($V338="",0,IF($V339="",1,IF($X339&lt;&gt;$X338,1,0)))</f>
        <v/>
      </c>
      <c r="AB338">
        <f>IF($V338="",99999+334,$AB337+1+$Z337+$AA337+$AO337)</f>
        <v/>
      </c>
      <c r="AC338">
        <f>IFERROR(MATCH(334,$AB$5:$AB$404,1),"")</f>
        <v/>
      </c>
      <c r="AD338">
        <f>IF(334=$AI$1+1,"Z",IF($AC338="","",IF(INDEX($V$5:$V$404,$AC338)="","",IF(334&gt;INDEX($AB$5:$AB$404,$AC338)+INDEX($Z$5:$Z$404,$AC338)+INDEX($AA$5:$AA$404,$AC338)+INDEX($AO$5:$AO$404,$AC338),"",IF(334=INDEX($AB$5:$AB$404,$AC338)+INDEX($Z$5:$Z$404,$AC338),"D",IF(AND(INDEX($Z$5:$Z$404,$AC338)=1,334=INDEX($AB$5:$AB$404,$AC338)),"H",IF(AND(INDEX($AO$5:$AO$404,$AC338)=1,334=INDEX($AB$5:$AB$404,$AC338)+INDEX($Z$5:$Z$404,$AC338)+INDEX($AA$5:$AA$404,$AC338)+INDEX($AO$5:$AO$404,$AC338)),"B","T")))))))</f>
        <v/>
      </c>
      <c r="AF338">
        <f>IF(OR($AD338="",$AD338="Z",$AD338="B"),"",INDEX($X$5:$X$404,$AC338))</f>
        <v/>
      </c>
      <c r="AJ338">
        <f>IF($AD338&lt;&gt;"T",0,ROUND(SUMIF(oil!$B$4:$B$63,$AF338,oil!$AE$4:$AE$63),2))</f>
        <v/>
      </c>
      <c r="AK338">
        <f>IF($S338="","",IFERROR(INDEX(อัตราค่าขนส่ง!$P$5:$P$54,MATCH($S338,อัตราค่าขนส่ง!$O$5:$O$54,0)),INDEX(รายการมาตรฐาน!$G$2:$G$3,1)))</f>
        <v/>
      </c>
      <c r="AL338">
        <f>IF($S338="","",IFERROR(MATCH($AK338,รายการมาตรฐาน!$G$2:$G$3,0),1))</f>
        <v/>
      </c>
      <c r="AM338">
        <f>IF($V338="","",INDEX($AK$5:$AK$404,$V338))</f>
        <v/>
      </c>
      <c r="AN338">
        <f>IF($V338="","",INDEX($AL$5:$AL$404,$V338))</f>
        <v/>
      </c>
      <c r="AO338">
        <f>IF(OR($V338="",$AI$2&lt;=1),0,IF($V339="",1,IF($AN339&lt;&gt;$AN338,1,0)))</f>
        <v/>
      </c>
      <c r="AP338">
        <f>IF($V338="",0,IF($AN338&lt;&gt;$AN337,1,0))</f>
        <v/>
      </c>
      <c r="AQ338">
        <f>IF(OR($AD338="",$AD338="Z"),"",INDEX($AN$5:$AN$404,$AC338))</f>
        <v/>
      </c>
      <c r="AR338">
        <f>IF($Y338="",0,COUNTIF(บันทึกรายเที่ยว!$V$6:$V$6005,$Y338))</f>
        <v/>
      </c>
      <c r="AS338">
        <f>IF($Y338="",0,ROUND(SUMIF(บันทึกรายเที่ยว!$V$6:$V$6005,$Y338,บันทึกรายเที่ยว!$M$6:$M$6005),2))</f>
        <v/>
      </c>
      <c r="AT338">
        <f>IF($Y338="",0,IFERROR(INDEX(อัตราค่าขนส่ง!$G$5:$G$204,MATCH($Y338,อัตราค่าขนส่ง!$M$5:$M$204,0)),0))</f>
        <v/>
      </c>
      <c r="AU338">
        <f>ROUND($AS338*$BD338,2)</f>
        <v/>
      </c>
      <c r="AV338">
        <f>ROUND($AU338*$BF$2/100,2)</f>
        <v/>
      </c>
      <c r="AW338">
        <f>IF($Y338="","",IFERROR(INDEX(อัตราค่าขนส่ง!$F$5:$F$204,MATCH($Y338,อัตราค่าขนส่ง!$M$5:$M$204,0)),""))</f>
        <v/>
      </c>
      <c r="AX338">
        <f>IF($W338="","",INDEX(บันทึกรายเที่ยว!$D$6:$D$6005,$W338))</f>
        <v/>
      </c>
      <c r="AY338">
        <f>IF($W338="","",INDEX(บันทึกรายเที่ยว!$R$6:$R$6005,$W338))</f>
        <v/>
      </c>
      <c r="AZ338">
        <f>IF(AND($AD338="T",$AQ338=1),N($AZ337)+1,N($AZ337))</f>
        <v/>
      </c>
      <c r="BA338">
        <f>IF($W338="","",INDEX(บันทึกรายเที่ยว!$E$6:$E$6005,$W338))</f>
        <v/>
      </c>
      <c r="BC338">
        <f>IF($Y338="",0,IFERROR(INDEX(อัตราค่าขนส่ง!$K$5:$K$204,MATCH($Y338,อัตราค่าขนส่ง!$M$5:$M$204,0)),0))</f>
        <v/>
      </c>
      <c r="BD338">
        <f>IF($Y338="",0,IFERROR(INDEX(อัตราค่าขนส่ง!$L$5:$L$204,MATCH($Y338,อัตราค่าขนส่ง!$M$5:$M$204,0)),0))</f>
        <v/>
      </c>
    </row>
    <row r="339" ht="21" customHeight="1" s="66">
      <c r="A339" s="69">
        <f>IF($AD339="","",IF($AD339="Z","รวมจ่ายทั้งสิ้น",IF($AD339="H",INDEX($X$5:$X$404,$AC339),IF($AD339="T","รวม",IF($AD339="B",IFERROR(INDEX(อัตราค่าขนส่ง!$S$5:$S$14,MATCH(INDEX($AM$5:$AM$404,$AC339),อัตราค่าขนส่ง!$R$5:$R$14,0)),"รวมกลุ่ม "&amp;INDEX($AM$5:$AM$404,$AC339)),INDEX($AY$5:$AY$404,$AC339))))))</f>
        <v/>
      </c>
      <c r="B339" s="31">
        <f>IF($AD339&lt;&gt;"D","",INDEX($AW$5:$AW$404,$AC339))</f>
        <v/>
      </c>
      <c r="C339" s="68">
        <f>IF($AD339&lt;&gt;"D","",INDEX($AX$5:$AX$404,$AC339))</f>
        <v/>
      </c>
      <c r="D339" s="70">
        <f>IF($AD339&lt;&gt;"D","",INDEX($BA$5:$BA$404,$AC339))</f>
        <v/>
      </c>
      <c r="E339" s="31">
        <f>IF($AD339="Z",SUM($AR$5:$AR$404),IF($AD339="D",INDEX($AR$5:$AR$404,$AC339),IF($AD339="T",SUMIF($X$5:$X$404,$AF339,$AR$5:$AR$404),IF($AD339="B",SUMIF($AN$5:$AN$404,$AQ339,$AR$5:$AR$404),""))))</f>
        <v/>
      </c>
      <c r="F339" s="32">
        <f>IF($AD339="Z",ROUND(SUM($AS$5:$AS$404),2),IF($AD339="D",INDEX($AS$5:$AS$404,$AC339),IF($AD339="T",ROUND(SUMIF($X$5:$X$404,$AF339,$AS$5:$AS$404),2),IF($AD339="B",ROUND(SUMIF($AN$5:$AN$404,$AQ339,$AS$5:$AS$404),2),""))))</f>
        <v/>
      </c>
      <c r="G339" s="32">
        <f>IF($AD339&lt;&gt;"D","",INDEX($AT$5:$AT$404,$AC339))</f>
        <v/>
      </c>
      <c r="H339" s="32">
        <f>IF($AD339&lt;&gt;"D","",INDEX($BC$5:$BC$404,$AC339))</f>
        <v/>
      </c>
      <c r="I339" s="32">
        <f>IF($AD339&lt;&gt;"D","",INDEX($BD$5:$BD$404,$AC339))</f>
        <v/>
      </c>
      <c r="J339" s="46">
        <f>IF($AD339&lt;&gt;"D","",IF(N($B339)=0,"",ROUND($I339/$B339,4)))</f>
        <v/>
      </c>
      <c r="K339" s="32">
        <f>IF($AD339="Z",ROUND(SUM($AU$5:$AU$404),2),IF($AD339="D",INDEX($AU$5:$AU$404,$AC339),IF($AD339="T",ROUND(SUMIF($X$5:$X$404,$AF339,$AU$5:$AU$404),2),IF($AD339="B",ROUND(SUMIF($AN$5:$AN$404,$AQ339,$AU$5:$AU$404),2),""))))</f>
        <v/>
      </c>
      <c r="L339" s="32">
        <f>IF($AD339="Z",ROUND(SUM($AV$5:$AV$404),2),IF($AD339="D",INDEX($AV$5:$AV$404,$AC339),IF($AD339="T",ROUND(SUMIF($X$5:$X$404,$AF339,$AV$5:$AV$404),2),IF($AD339="B",ROUND(SUMIF($AN$5:$AN$404,$AQ339,$AV$5:$AV$404),2),""))))</f>
        <v/>
      </c>
      <c r="M339" s="32">
        <f>IF($AD339="Z",ROUND(SUM($AJ$5:$AJ$704),2),IF($AD339="B",ROUND(SUMIF($AQ$5:$AQ$704,$AQ339,$AJ$5:$AJ$704),2),IF($AD339&lt;&gt;"T","",$AJ339)))</f>
        <v/>
      </c>
      <c r="N339" s="32">
        <f>IF(OR($AD339="D",$AD339="T",$AD339="B",$AD339="Z"),ROUND(N($K339)-N($L339)-N($M339),2),"")</f>
        <v/>
      </c>
      <c r="O339" s="32">
        <f>IF(OR($AD339="D",$AD339="T",$AD339="B",$AD339="Z"),IF(N($E339)=0,"",ROUND($F339/$E339,2)),"")</f>
        <v/>
      </c>
      <c r="Q339">
        <f>IFERROR(MATCH(335,บันทึกรายเที่ยว!$Z$6:$Z$6005,0),"")</f>
        <v/>
      </c>
      <c r="R339">
        <f>IF($Q339="","",INDEX(บันทึกรายเที่ยว!$V$6:$V$6005,$Q339))</f>
        <v/>
      </c>
      <c r="S339">
        <f>IF($Q339="","",INDEX(บันทึกรายเที่ยว!$F$6:$F$6005,$Q339))</f>
        <v/>
      </c>
      <c r="T339">
        <f>IF($Q339="","",MATCH($S339,บันทึกรายเที่ยว!$F$6:$F$6005,0))</f>
        <v/>
      </c>
      <c r="U339">
        <f>IF($Q339="","",$AL339*10000000+$T339*1000+335)</f>
        <v/>
      </c>
      <c r="V339">
        <f>IFERROR(MATCH(SMALL($U$5:$U$404,335),$U$5:$U$404,0),"")</f>
        <v/>
      </c>
      <c r="W339">
        <f>IF($V339="","",INDEX($Q$5:$Q$404,$V339))</f>
        <v/>
      </c>
      <c r="X339">
        <f>IF($V339="","",INDEX($S$5:$S$404,$V339))</f>
        <v/>
      </c>
      <c r="Y339">
        <f>IF($V339="","",INDEX($R$5:$R$404,$V339))</f>
        <v/>
      </c>
      <c r="Z339">
        <f>IF($V339="",0,IF($X339&lt;&gt;$X338,1,0))</f>
        <v/>
      </c>
      <c r="AA339">
        <f>IF($V339="",0,IF($V340="",1,IF($X340&lt;&gt;$X339,1,0)))</f>
        <v/>
      </c>
      <c r="AB339">
        <f>IF($V339="",99999+335,$AB338+1+$Z338+$AA338+$AO338)</f>
        <v/>
      </c>
      <c r="AC339">
        <f>IFERROR(MATCH(335,$AB$5:$AB$404,1),"")</f>
        <v/>
      </c>
      <c r="AD339">
        <f>IF(335=$AI$1+1,"Z",IF($AC339="","",IF(INDEX($V$5:$V$404,$AC339)="","",IF(335&gt;INDEX($AB$5:$AB$404,$AC339)+INDEX($Z$5:$Z$404,$AC339)+INDEX($AA$5:$AA$404,$AC339)+INDEX($AO$5:$AO$404,$AC339),"",IF(335=INDEX($AB$5:$AB$404,$AC339)+INDEX($Z$5:$Z$404,$AC339),"D",IF(AND(INDEX($Z$5:$Z$404,$AC339)=1,335=INDEX($AB$5:$AB$404,$AC339)),"H",IF(AND(INDEX($AO$5:$AO$404,$AC339)=1,335=INDEX($AB$5:$AB$404,$AC339)+INDEX($Z$5:$Z$404,$AC339)+INDEX($AA$5:$AA$404,$AC339)+INDEX($AO$5:$AO$404,$AC339)),"B","T")))))))</f>
        <v/>
      </c>
      <c r="AF339">
        <f>IF(OR($AD339="",$AD339="Z",$AD339="B"),"",INDEX($X$5:$X$404,$AC339))</f>
        <v/>
      </c>
      <c r="AJ339">
        <f>IF($AD339&lt;&gt;"T",0,ROUND(SUMIF(oil!$B$4:$B$63,$AF339,oil!$AE$4:$AE$63),2))</f>
        <v/>
      </c>
      <c r="AK339">
        <f>IF($S339="","",IFERROR(INDEX(อัตราค่าขนส่ง!$P$5:$P$54,MATCH($S339,อัตราค่าขนส่ง!$O$5:$O$54,0)),INDEX(รายการมาตรฐาน!$G$2:$G$3,1)))</f>
        <v/>
      </c>
      <c r="AL339">
        <f>IF($S339="","",IFERROR(MATCH($AK339,รายการมาตรฐาน!$G$2:$G$3,0),1))</f>
        <v/>
      </c>
      <c r="AM339">
        <f>IF($V339="","",INDEX($AK$5:$AK$404,$V339))</f>
        <v/>
      </c>
      <c r="AN339">
        <f>IF($V339="","",INDEX($AL$5:$AL$404,$V339))</f>
        <v/>
      </c>
      <c r="AO339">
        <f>IF(OR($V339="",$AI$2&lt;=1),0,IF($V340="",1,IF($AN340&lt;&gt;$AN339,1,0)))</f>
        <v/>
      </c>
      <c r="AP339">
        <f>IF($V339="",0,IF($AN339&lt;&gt;$AN338,1,0))</f>
        <v/>
      </c>
      <c r="AQ339">
        <f>IF(OR($AD339="",$AD339="Z"),"",INDEX($AN$5:$AN$404,$AC339))</f>
        <v/>
      </c>
      <c r="AR339">
        <f>IF($Y339="",0,COUNTIF(บันทึกรายเที่ยว!$V$6:$V$6005,$Y339))</f>
        <v/>
      </c>
      <c r="AS339">
        <f>IF($Y339="",0,ROUND(SUMIF(บันทึกรายเที่ยว!$V$6:$V$6005,$Y339,บันทึกรายเที่ยว!$M$6:$M$6005),2))</f>
        <v/>
      </c>
      <c r="AT339">
        <f>IF($Y339="",0,IFERROR(INDEX(อัตราค่าขนส่ง!$G$5:$G$204,MATCH($Y339,อัตราค่าขนส่ง!$M$5:$M$204,0)),0))</f>
        <v/>
      </c>
      <c r="AU339">
        <f>ROUND($AS339*$BD339,2)</f>
        <v/>
      </c>
      <c r="AV339">
        <f>ROUND($AU339*$BF$2/100,2)</f>
        <v/>
      </c>
      <c r="AW339">
        <f>IF($Y339="","",IFERROR(INDEX(อัตราค่าขนส่ง!$F$5:$F$204,MATCH($Y339,อัตราค่าขนส่ง!$M$5:$M$204,0)),""))</f>
        <v/>
      </c>
      <c r="AX339">
        <f>IF($W339="","",INDEX(บันทึกรายเที่ยว!$D$6:$D$6005,$W339))</f>
        <v/>
      </c>
      <c r="AY339">
        <f>IF($W339="","",INDEX(บันทึกรายเที่ยว!$R$6:$R$6005,$W339))</f>
        <v/>
      </c>
      <c r="AZ339">
        <f>IF(AND($AD339="T",$AQ339=1),N($AZ338)+1,N($AZ338))</f>
        <v/>
      </c>
      <c r="BA339">
        <f>IF($W339="","",INDEX(บันทึกรายเที่ยว!$E$6:$E$6005,$W339))</f>
        <v/>
      </c>
      <c r="BC339">
        <f>IF($Y339="",0,IFERROR(INDEX(อัตราค่าขนส่ง!$K$5:$K$204,MATCH($Y339,อัตราค่าขนส่ง!$M$5:$M$204,0)),0))</f>
        <v/>
      </c>
      <c r="BD339">
        <f>IF($Y339="",0,IFERROR(INDEX(อัตราค่าขนส่ง!$L$5:$L$204,MATCH($Y339,อัตราค่าขนส่ง!$M$5:$M$204,0)),0))</f>
        <v/>
      </c>
    </row>
    <row r="340" ht="21" customHeight="1" s="66">
      <c r="A340" s="69">
        <f>IF($AD340="","",IF($AD340="Z","รวมจ่ายทั้งสิ้น",IF($AD340="H",INDEX($X$5:$X$404,$AC340),IF($AD340="T","รวม",IF($AD340="B",IFERROR(INDEX(อัตราค่าขนส่ง!$S$5:$S$14,MATCH(INDEX($AM$5:$AM$404,$AC340),อัตราค่าขนส่ง!$R$5:$R$14,0)),"รวมกลุ่ม "&amp;INDEX($AM$5:$AM$404,$AC340)),INDEX($AY$5:$AY$404,$AC340))))))</f>
        <v/>
      </c>
      <c r="B340" s="31">
        <f>IF($AD340&lt;&gt;"D","",INDEX($AW$5:$AW$404,$AC340))</f>
        <v/>
      </c>
      <c r="C340" s="68">
        <f>IF($AD340&lt;&gt;"D","",INDEX($AX$5:$AX$404,$AC340))</f>
        <v/>
      </c>
      <c r="D340" s="70">
        <f>IF($AD340&lt;&gt;"D","",INDEX($BA$5:$BA$404,$AC340))</f>
        <v/>
      </c>
      <c r="E340" s="31">
        <f>IF($AD340="Z",SUM($AR$5:$AR$404),IF($AD340="D",INDEX($AR$5:$AR$404,$AC340),IF($AD340="T",SUMIF($X$5:$X$404,$AF340,$AR$5:$AR$404),IF($AD340="B",SUMIF($AN$5:$AN$404,$AQ340,$AR$5:$AR$404),""))))</f>
        <v/>
      </c>
      <c r="F340" s="32">
        <f>IF($AD340="Z",ROUND(SUM($AS$5:$AS$404),2),IF($AD340="D",INDEX($AS$5:$AS$404,$AC340),IF($AD340="T",ROUND(SUMIF($X$5:$X$404,$AF340,$AS$5:$AS$404),2),IF($AD340="B",ROUND(SUMIF($AN$5:$AN$404,$AQ340,$AS$5:$AS$404),2),""))))</f>
        <v/>
      </c>
      <c r="G340" s="32">
        <f>IF($AD340&lt;&gt;"D","",INDEX($AT$5:$AT$404,$AC340))</f>
        <v/>
      </c>
      <c r="H340" s="32">
        <f>IF($AD340&lt;&gt;"D","",INDEX($BC$5:$BC$404,$AC340))</f>
        <v/>
      </c>
      <c r="I340" s="32">
        <f>IF($AD340&lt;&gt;"D","",INDEX($BD$5:$BD$404,$AC340))</f>
        <v/>
      </c>
      <c r="J340" s="46">
        <f>IF($AD340&lt;&gt;"D","",IF(N($B340)=0,"",ROUND($I340/$B340,4)))</f>
        <v/>
      </c>
      <c r="K340" s="32">
        <f>IF($AD340="Z",ROUND(SUM($AU$5:$AU$404),2),IF($AD340="D",INDEX($AU$5:$AU$404,$AC340),IF($AD340="T",ROUND(SUMIF($X$5:$X$404,$AF340,$AU$5:$AU$404),2),IF($AD340="B",ROUND(SUMIF($AN$5:$AN$404,$AQ340,$AU$5:$AU$404),2),""))))</f>
        <v/>
      </c>
      <c r="L340" s="32">
        <f>IF($AD340="Z",ROUND(SUM($AV$5:$AV$404),2),IF($AD340="D",INDEX($AV$5:$AV$404,$AC340),IF($AD340="T",ROUND(SUMIF($X$5:$X$404,$AF340,$AV$5:$AV$404),2),IF($AD340="B",ROUND(SUMIF($AN$5:$AN$404,$AQ340,$AV$5:$AV$404),2),""))))</f>
        <v/>
      </c>
      <c r="M340" s="32">
        <f>IF($AD340="Z",ROUND(SUM($AJ$5:$AJ$704),2),IF($AD340="B",ROUND(SUMIF($AQ$5:$AQ$704,$AQ340,$AJ$5:$AJ$704),2),IF($AD340&lt;&gt;"T","",$AJ340)))</f>
        <v/>
      </c>
      <c r="N340" s="32">
        <f>IF(OR($AD340="D",$AD340="T",$AD340="B",$AD340="Z"),ROUND(N($K340)-N($L340)-N($M340),2),"")</f>
        <v/>
      </c>
      <c r="O340" s="32">
        <f>IF(OR($AD340="D",$AD340="T",$AD340="B",$AD340="Z"),IF(N($E340)=0,"",ROUND($F340/$E340,2)),"")</f>
        <v/>
      </c>
      <c r="Q340">
        <f>IFERROR(MATCH(336,บันทึกรายเที่ยว!$Z$6:$Z$6005,0),"")</f>
        <v/>
      </c>
      <c r="R340">
        <f>IF($Q340="","",INDEX(บันทึกรายเที่ยว!$V$6:$V$6005,$Q340))</f>
        <v/>
      </c>
      <c r="S340">
        <f>IF($Q340="","",INDEX(บันทึกรายเที่ยว!$F$6:$F$6005,$Q340))</f>
        <v/>
      </c>
      <c r="T340">
        <f>IF($Q340="","",MATCH($S340,บันทึกรายเที่ยว!$F$6:$F$6005,0))</f>
        <v/>
      </c>
      <c r="U340">
        <f>IF($Q340="","",$AL340*10000000+$T340*1000+336)</f>
        <v/>
      </c>
      <c r="V340">
        <f>IFERROR(MATCH(SMALL($U$5:$U$404,336),$U$5:$U$404,0),"")</f>
        <v/>
      </c>
      <c r="W340">
        <f>IF($V340="","",INDEX($Q$5:$Q$404,$V340))</f>
        <v/>
      </c>
      <c r="X340">
        <f>IF($V340="","",INDEX($S$5:$S$404,$V340))</f>
        <v/>
      </c>
      <c r="Y340">
        <f>IF($V340="","",INDEX($R$5:$R$404,$V340))</f>
        <v/>
      </c>
      <c r="Z340">
        <f>IF($V340="",0,IF($X340&lt;&gt;$X339,1,0))</f>
        <v/>
      </c>
      <c r="AA340">
        <f>IF($V340="",0,IF($V341="",1,IF($X341&lt;&gt;$X340,1,0)))</f>
        <v/>
      </c>
      <c r="AB340">
        <f>IF($V340="",99999+336,$AB339+1+$Z339+$AA339+$AO339)</f>
        <v/>
      </c>
      <c r="AC340">
        <f>IFERROR(MATCH(336,$AB$5:$AB$404,1),"")</f>
        <v/>
      </c>
      <c r="AD340">
        <f>IF(336=$AI$1+1,"Z",IF($AC340="","",IF(INDEX($V$5:$V$404,$AC340)="","",IF(336&gt;INDEX($AB$5:$AB$404,$AC340)+INDEX($Z$5:$Z$404,$AC340)+INDEX($AA$5:$AA$404,$AC340)+INDEX($AO$5:$AO$404,$AC340),"",IF(336=INDEX($AB$5:$AB$404,$AC340)+INDEX($Z$5:$Z$404,$AC340),"D",IF(AND(INDEX($Z$5:$Z$404,$AC340)=1,336=INDEX($AB$5:$AB$404,$AC340)),"H",IF(AND(INDEX($AO$5:$AO$404,$AC340)=1,336=INDEX($AB$5:$AB$404,$AC340)+INDEX($Z$5:$Z$404,$AC340)+INDEX($AA$5:$AA$404,$AC340)+INDEX($AO$5:$AO$404,$AC340)),"B","T")))))))</f>
        <v/>
      </c>
      <c r="AF340">
        <f>IF(OR($AD340="",$AD340="Z",$AD340="B"),"",INDEX($X$5:$X$404,$AC340))</f>
        <v/>
      </c>
      <c r="AJ340">
        <f>IF($AD340&lt;&gt;"T",0,ROUND(SUMIF(oil!$B$4:$B$63,$AF340,oil!$AE$4:$AE$63),2))</f>
        <v/>
      </c>
      <c r="AK340">
        <f>IF($S340="","",IFERROR(INDEX(อัตราค่าขนส่ง!$P$5:$P$54,MATCH($S340,อัตราค่าขนส่ง!$O$5:$O$54,0)),INDEX(รายการมาตรฐาน!$G$2:$G$3,1)))</f>
        <v/>
      </c>
      <c r="AL340">
        <f>IF($S340="","",IFERROR(MATCH($AK340,รายการมาตรฐาน!$G$2:$G$3,0),1))</f>
        <v/>
      </c>
      <c r="AM340">
        <f>IF($V340="","",INDEX($AK$5:$AK$404,$V340))</f>
        <v/>
      </c>
      <c r="AN340">
        <f>IF($V340="","",INDEX($AL$5:$AL$404,$V340))</f>
        <v/>
      </c>
      <c r="AO340">
        <f>IF(OR($V340="",$AI$2&lt;=1),0,IF($V341="",1,IF($AN341&lt;&gt;$AN340,1,0)))</f>
        <v/>
      </c>
      <c r="AP340">
        <f>IF($V340="",0,IF($AN340&lt;&gt;$AN339,1,0))</f>
        <v/>
      </c>
      <c r="AQ340">
        <f>IF(OR($AD340="",$AD340="Z"),"",INDEX($AN$5:$AN$404,$AC340))</f>
        <v/>
      </c>
      <c r="AR340">
        <f>IF($Y340="",0,COUNTIF(บันทึกรายเที่ยว!$V$6:$V$6005,$Y340))</f>
        <v/>
      </c>
      <c r="AS340">
        <f>IF($Y340="",0,ROUND(SUMIF(บันทึกรายเที่ยว!$V$6:$V$6005,$Y340,บันทึกรายเที่ยว!$M$6:$M$6005),2))</f>
        <v/>
      </c>
      <c r="AT340">
        <f>IF($Y340="",0,IFERROR(INDEX(อัตราค่าขนส่ง!$G$5:$G$204,MATCH($Y340,อัตราค่าขนส่ง!$M$5:$M$204,0)),0))</f>
        <v/>
      </c>
      <c r="AU340">
        <f>ROUND($AS340*$BD340,2)</f>
        <v/>
      </c>
      <c r="AV340">
        <f>ROUND($AU340*$BF$2/100,2)</f>
        <v/>
      </c>
      <c r="AW340">
        <f>IF($Y340="","",IFERROR(INDEX(อัตราค่าขนส่ง!$F$5:$F$204,MATCH($Y340,อัตราค่าขนส่ง!$M$5:$M$204,0)),""))</f>
        <v/>
      </c>
      <c r="AX340">
        <f>IF($W340="","",INDEX(บันทึกรายเที่ยว!$D$6:$D$6005,$W340))</f>
        <v/>
      </c>
      <c r="AY340">
        <f>IF($W340="","",INDEX(บันทึกรายเที่ยว!$R$6:$R$6005,$W340))</f>
        <v/>
      </c>
      <c r="AZ340">
        <f>IF(AND($AD340="T",$AQ340=1),N($AZ339)+1,N($AZ339))</f>
        <v/>
      </c>
      <c r="BA340">
        <f>IF($W340="","",INDEX(บันทึกรายเที่ยว!$E$6:$E$6005,$W340))</f>
        <v/>
      </c>
      <c r="BC340">
        <f>IF($Y340="",0,IFERROR(INDEX(อัตราค่าขนส่ง!$K$5:$K$204,MATCH($Y340,อัตราค่าขนส่ง!$M$5:$M$204,0)),0))</f>
        <v/>
      </c>
      <c r="BD340">
        <f>IF($Y340="",0,IFERROR(INDEX(อัตราค่าขนส่ง!$L$5:$L$204,MATCH($Y340,อัตราค่าขนส่ง!$M$5:$M$204,0)),0))</f>
        <v/>
      </c>
    </row>
    <row r="341" ht="21" customHeight="1" s="66">
      <c r="A341" s="69">
        <f>IF($AD341="","",IF($AD341="Z","รวมจ่ายทั้งสิ้น",IF($AD341="H",INDEX($X$5:$X$404,$AC341),IF($AD341="T","รวม",IF($AD341="B",IFERROR(INDEX(อัตราค่าขนส่ง!$S$5:$S$14,MATCH(INDEX($AM$5:$AM$404,$AC341),อัตราค่าขนส่ง!$R$5:$R$14,0)),"รวมกลุ่ม "&amp;INDEX($AM$5:$AM$404,$AC341)),INDEX($AY$5:$AY$404,$AC341))))))</f>
        <v/>
      </c>
      <c r="B341" s="31">
        <f>IF($AD341&lt;&gt;"D","",INDEX($AW$5:$AW$404,$AC341))</f>
        <v/>
      </c>
      <c r="C341" s="68">
        <f>IF($AD341&lt;&gt;"D","",INDEX($AX$5:$AX$404,$AC341))</f>
        <v/>
      </c>
      <c r="D341" s="70">
        <f>IF($AD341&lt;&gt;"D","",INDEX($BA$5:$BA$404,$AC341))</f>
        <v/>
      </c>
      <c r="E341" s="31">
        <f>IF($AD341="Z",SUM($AR$5:$AR$404),IF($AD341="D",INDEX($AR$5:$AR$404,$AC341),IF($AD341="T",SUMIF($X$5:$X$404,$AF341,$AR$5:$AR$404),IF($AD341="B",SUMIF($AN$5:$AN$404,$AQ341,$AR$5:$AR$404),""))))</f>
        <v/>
      </c>
      <c r="F341" s="32">
        <f>IF($AD341="Z",ROUND(SUM($AS$5:$AS$404),2),IF($AD341="D",INDEX($AS$5:$AS$404,$AC341),IF($AD341="T",ROUND(SUMIF($X$5:$X$404,$AF341,$AS$5:$AS$404),2),IF($AD341="B",ROUND(SUMIF($AN$5:$AN$404,$AQ341,$AS$5:$AS$404),2),""))))</f>
        <v/>
      </c>
      <c r="G341" s="32">
        <f>IF($AD341&lt;&gt;"D","",INDEX($AT$5:$AT$404,$AC341))</f>
        <v/>
      </c>
      <c r="H341" s="32">
        <f>IF($AD341&lt;&gt;"D","",INDEX($BC$5:$BC$404,$AC341))</f>
        <v/>
      </c>
      <c r="I341" s="32">
        <f>IF($AD341&lt;&gt;"D","",INDEX($BD$5:$BD$404,$AC341))</f>
        <v/>
      </c>
      <c r="J341" s="46">
        <f>IF($AD341&lt;&gt;"D","",IF(N($B341)=0,"",ROUND($I341/$B341,4)))</f>
        <v/>
      </c>
      <c r="K341" s="32">
        <f>IF($AD341="Z",ROUND(SUM($AU$5:$AU$404),2),IF($AD341="D",INDEX($AU$5:$AU$404,$AC341),IF($AD341="T",ROUND(SUMIF($X$5:$X$404,$AF341,$AU$5:$AU$404),2),IF($AD341="B",ROUND(SUMIF($AN$5:$AN$404,$AQ341,$AU$5:$AU$404),2),""))))</f>
        <v/>
      </c>
      <c r="L341" s="32">
        <f>IF($AD341="Z",ROUND(SUM($AV$5:$AV$404),2),IF($AD341="D",INDEX($AV$5:$AV$404,$AC341),IF($AD341="T",ROUND(SUMIF($X$5:$X$404,$AF341,$AV$5:$AV$404),2),IF($AD341="B",ROUND(SUMIF($AN$5:$AN$404,$AQ341,$AV$5:$AV$404),2),""))))</f>
        <v/>
      </c>
      <c r="M341" s="32">
        <f>IF($AD341="Z",ROUND(SUM($AJ$5:$AJ$704),2),IF($AD341="B",ROUND(SUMIF($AQ$5:$AQ$704,$AQ341,$AJ$5:$AJ$704),2),IF($AD341&lt;&gt;"T","",$AJ341)))</f>
        <v/>
      </c>
      <c r="N341" s="32">
        <f>IF(OR($AD341="D",$AD341="T",$AD341="B",$AD341="Z"),ROUND(N($K341)-N($L341)-N($M341),2),"")</f>
        <v/>
      </c>
      <c r="O341" s="32">
        <f>IF(OR($AD341="D",$AD341="T",$AD341="B",$AD341="Z"),IF(N($E341)=0,"",ROUND($F341/$E341,2)),"")</f>
        <v/>
      </c>
      <c r="Q341">
        <f>IFERROR(MATCH(337,บันทึกรายเที่ยว!$Z$6:$Z$6005,0),"")</f>
        <v/>
      </c>
      <c r="R341">
        <f>IF($Q341="","",INDEX(บันทึกรายเที่ยว!$V$6:$V$6005,$Q341))</f>
        <v/>
      </c>
      <c r="S341">
        <f>IF($Q341="","",INDEX(บันทึกรายเที่ยว!$F$6:$F$6005,$Q341))</f>
        <v/>
      </c>
      <c r="T341">
        <f>IF($Q341="","",MATCH($S341,บันทึกรายเที่ยว!$F$6:$F$6005,0))</f>
        <v/>
      </c>
      <c r="U341">
        <f>IF($Q341="","",$AL341*10000000+$T341*1000+337)</f>
        <v/>
      </c>
      <c r="V341">
        <f>IFERROR(MATCH(SMALL($U$5:$U$404,337),$U$5:$U$404,0),"")</f>
        <v/>
      </c>
      <c r="W341">
        <f>IF($V341="","",INDEX($Q$5:$Q$404,$V341))</f>
        <v/>
      </c>
      <c r="X341">
        <f>IF($V341="","",INDEX($S$5:$S$404,$V341))</f>
        <v/>
      </c>
      <c r="Y341">
        <f>IF($V341="","",INDEX($R$5:$R$404,$V341))</f>
        <v/>
      </c>
      <c r="Z341">
        <f>IF($V341="",0,IF($X341&lt;&gt;$X340,1,0))</f>
        <v/>
      </c>
      <c r="AA341">
        <f>IF($V341="",0,IF($V342="",1,IF($X342&lt;&gt;$X341,1,0)))</f>
        <v/>
      </c>
      <c r="AB341">
        <f>IF($V341="",99999+337,$AB340+1+$Z340+$AA340+$AO340)</f>
        <v/>
      </c>
      <c r="AC341">
        <f>IFERROR(MATCH(337,$AB$5:$AB$404,1),"")</f>
        <v/>
      </c>
      <c r="AD341">
        <f>IF(337=$AI$1+1,"Z",IF($AC341="","",IF(INDEX($V$5:$V$404,$AC341)="","",IF(337&gt;INDEX($AB$5:$AB$404,$AC341)+INDEX($Z$5:$Z$404,$AC341)+INDEX($AA$5:$AA$404,$AC341)+INDEX($AO$5:$AO$404,$AC341),"",IF(337=INDEX($AB$5:$AB$404,$AC341)+INDEX($Z$5:$Z$404,$AC341),"D",IF(AND(INDEX($Z$5:$Z$404,$AC341)=1,337=INDEX($AB$5:$AB$404,$AC341)),"H",IF(AND(INDEX($AO$5:$AO$404,$AC341)=1,337=INDEX($AB$5:$AB$404,$AC341)+INDEX($Z$5:$Z$404,$AC341)+INDEX($AA$5:$AA$404,$AC341)+INDEX($AO$5:$AO$404,$AC341)),"B","T")))))))</f>
        <v/>
      </c>
      <c r="AF341">
        <f>IF(OR($AD341="",$AD341="Z",$AD341="B"),"",INDEX($X$5:$X$404,$AC341))</f>
        <v/>
      </c>
      <c r="AJ341">
        <f>IF($AD341&lt;&gt;"T",0,ROUND(SUMIF(oil!$B$4:$B$63,$AF341,oil!$AE$4:$AE$63),2))</f>
        <v/>
      </c>
      <c r="AK341">
        <f>IF($S341="","",IFERROR(INDEX(อัตราค่าขนส่ง!$P$5:$P$54,MATCH($S341,อัตราค่าขนส่ง!$O$5:$O$54,0)),INDEX(รายการมาตรฐาน!$G$2:$G$3,1)))</f>
        <v/>
      </c>
      <c r="AL341">
        <f>IF($S341="","",IFERROR(MATCH($AK341,รายการมาตรฐาน!$G$2:$G$3,0),1))</f>
        <v/>
      </c>
      <c r="AM341">
        <f>IF($V341="","",INDEX($AK$5:$AK$404,$V341))</f>
        <v/>
      </c>
      <c r="AN341">
        <f>IF($V341="","",INDEX($AL$5:$AL$404,$V341))</f>
        <v/>
      </c>
      <c r="AO341">
        <f>IF(OR($V341="",$AI$2&lt;=1),0,IF($V342="",1,IF($AN342&lt;&gt;$AN341,1,0)))</f>
        <v/>
      </c>
      <c r="AP341">
        <f>IF($V341="",0,IF($AN341&lt;&gt;$AN340,1,0))</f>
        <v/>
      </c>
      <c r="AQ341">
        <f>IF(OR($AD341="",$AD341="Z"),"",INDEX($AN$5:$AN$404,$AC341))</f>
        <v/>
      </c>
      <c r="AR341">
        <f>IF($Y341="",0,COUNTIF(บันทึกรายเที่ยว!$V$6:$V$6005,$Y341))</f>
        <v/>
      </c>
      <c r="AS341">
        <f>IF($Y341="",0,ROUND(SUMIF(บันทึกรายเที่ยว!$V$6:$V$6005,$Y341,บันทึกรายเที่ยว!$M$6:$M$6005),2))</f>
        <v/>
      </c>
      <c r="AT341">
        <f>IF($Y341="",0,IFERROR(INDEX(อัตราค่าขนส่ง!$G$5:$G$204,MATCH($Y341,อัตราค่าขนส่ง!$M$5:$M$204,0)),0))</f>
        <v/>
      </c>
      <c r="AU341">
        <f>ROUND($AS341*$BD341,2)</f>
        <v/>
      </c>
      <c r="AV341">
        <f>ROUND($AU341*$BF$2/100,2)</f>
        <v/>
      </c>
      <c r="AW341">
        <f>IF($Y341="","",IFERROR(INDEX(อัตราค่าขนส่ง!$F$5:$F$204,MATCH($Y341,อัตราค่าขนส่ง!$M$5:$M$204,0)),""))</f>
        <v/>
      </c>
      <c r="AX341">
        <f>IF($W341="","",INDEX(บันทึกรายเที่ยว!$D$6:$D$6005,$W341))</f>
        <v/>
      </c>
      <c r="AY341">
        <f>IF($W341="","",INDEX(บันทึกรายเที่ยว!$R$6:$R$6005,$W341))</f>
        <v/>
      </c>
      <c r="AZ341">
        <f>IF(AND($AD341="T",$AQ341=1),N($AZ340)+1,N($AZ340))</f>
        <v/>
      </c>
      <c r="BA341">
        <f>IF($W341="","",INDEX(บันทึกรายเที่ยว!$E$6:$E$6005,$W341))</f>
        <v/>
      </c>
      <c r="BC341">
        <f>IF($Y341="",0,IFERROR(INDEX(อัตราค่าขนส่ง!$K$5:$K$204,MATCH($Y341,อัตราค่าขนส่ง!$M$5:$M$204,0)),0))</f>
        <v/>
      </c>
      <c r="BD341">
        <f>IF($Y341="",0,IFERROR(INDEX(อัตราค่าขนส่ง!$L$5:$L$204,MATCH($Y341,อัตราค่าขนส่ง!$M$5:$M$204,0)),0))</f>
        <v/>
      </c>
    </row>
    <row r="342" ht="21" customHeight="1" s="66">
      <c r="A342" s="69">
        <f>IF($AD342="","",IF($AD342="Z","รวมจ่ายทั้งสิ้น",IF($AD342="H",INDEX($X$5:$X$404,$AC342),IF($AD342="T","รวม",IF($AD342="B",IFERROR(INDEX(อัตราค่าขนส่ง!$S$5:$S$14,MATCH(INDEX($AM$5:$AM$404,$AC342),อัตราค่าขนส่ง!$R$5:$R$14,0)),"รวมกลุ่ม "&amp;INDEX($AM$5:$AM$404,$AC342)),INDEX($AY$5:$AY$404,$AC342))))))</f>
        <v/>
      </c>
      <c r="B342" s="31">
        <f>IF($AD342&lt;&gt;"D","",INDEX($AW$5:$AW$404,$AC342))</f>
        <v/>
      </c>
      <c r="C342" s="68">
        <f>IF($AD342&lt;&gt;"D","",INDEX($AX$5:$AX$404,$AC342))</f>
        <v/>
      </c>
      <c r="D342" s="70">
        <f>IF($AD342&lt;&gt;"D","",INDEX($BA$5:$BA$404,$AC342))</f>
        <v/>
      </c>
      <c r="E342" s="31">
        <f>IF($AD342="Z",SUM($AR$5:$AR$404),IF($AD342="D",INDEX($AR$5:$AR$404,$AC342),IF($AD342="T",SUMIF($X$5:$X$404,$AF342,$AR$5:$AR$404),IF($AD342="B",SUMIF($AN$5:$AN$404,$AQ342,$AR$5:$AR$404),""))))</f>
        <v/>
      </c>
      <c r="F342" s="32">
        <f>IF($AD342="Z",ROUND(SUM($AS$5:$AS$404),2),IF($AD342="D",INDEX($AS$5:$AS$404,$AC342),IF($AD342="T",ROUND(SUMIF($X$5:$X$404,$AF342,$AS$5:$AS$404),2),IF($AD342="B",ROUND(SUMIF($AN$5:$AN$404,$AQ342,$AS$5:$AS$404),2),""))))</f>
        <v/>
      </c>
      <c r="G342" s="32">
        <f>IF($AD342&lt;&gt;"D","",INDEX($AT$5:$AT$404,$AC342))</f>
        <v/>
      </c>
      <c r="H342" s="32">
        <f>IF($AD342&lt;&gt;"D","",INDEX($BC$5:$BC$404,$AC342))</f>
        <v/>
      </c>
      <c r="I342" s="32">
        <f>IF($AD342&lt;&gt;"D","",INDEX($BD$5:$BD$404,$AC342))</f>
        <v/>
      </c>
      <c r="J342" s="46">
        <f>IF($AD342&lt;&gt;"D","",IF(N($B342)=0,"",ROUND($I342/$B342,4)))</f>
        <v/>
      </c>
      <c r="K342" s="32">
        <f>IF($AD342="Z",ROUND(SUM($AU$5:$AU$404),2),IF($AD342="D",INDEX($AU$5:$AU$404,$AC342),IF($AD342="T",ROUND(SUMIF($X$5:$X$404,$AF342,$AU$5:$AU$404),2),IF($AD342="B",ROUND(SUMIF($AN$5:$AN$404,$AQ342,$AU$5:$AU$404),2),""))))</f>
        <v/>
      </c>
      <c r="L342" s="32">
        <f>IF($AD342="Z",ROUND(SUM($AV$5:$AV$404),2),IF($AD342="D",INDEX($AV$5:$AV$404,$AC342),IF($AD342="T",ROUND(SUMIF($X$5:$X$404,$AF342,$AV$5:$AV$404),2),IF($AD342="B",ROUND(SUMIF($AN$5:$AN$404,$AQ342,$AV$5:$AV$404),2),""))))</f>
        <v/>
      </c>
      <c r="M342" s="32">
        <f>IF($AD342="Z",ROUND(SUM($AJ$5:$AJ$704),2),IF($AD342="B",ROUND(SUMIF($AQ$5:$AQ$704,$AQ342,$AJ$5:$AJ$704),2),IF($AD342&lt;&gt;"T","",$AJ342)))</f>
        <v/>
      </c>
      <c r="N342" s="32">
        <f>IF(OR($AD342="D",$AD342="T",$AD342="B",$AD342="Z"),ROUND(N($K342)-N($L342)-N($M342),2),"")</f>
        <v/>
      </c>
      <c r="O342" s="32">
        <f>IF(OR($AD342="D",$AD342="T",$AD342="B",$AD342="Z"),IF(N($E342)=0,"",ROUND($F342/$E342,2)),"")</f>
        <v/>
      </c>
      <c r="Q342">
        <f>IFERROR(MATCH(338,บันทึกรายเที่ยว!$Z$6:$Z$6005,0),"")</f>
        <v/>
      </c>
      <c r="R342">
        <f>IF($Q342="","",INDEX(บันทึกรายเที่ยว!$V$6:$V$6005,$Q342))</f>
        <v/>
      </c>
      <c r="S342">
        <f>IF($Q342="","",INDEX(บันทึกรายเที่ยว!$F$6:$F$6005,$Q342))</f>
        <v/>
      </c>
      <c r="T342">
        <f>IF($Q342="","",MATCH($S342,บันทึกรายเที่ยว!$F$6:$F$6005,0))</f>
        <v/>
      </c>
      <c r="U342">
        <f>IF($Q342="","",$AL342*10000000+$T342*1000+338)</f>
        <v/>
      </c>
      <c r="V342">
        <f>IFERROR(MATCH(SMALL($U$5:$U$404,338),$U$5:$U$404,0),"")</f>
        <v/>
      </c>
      <c r="W342">
        <f>IF($V342="","",INDEX($Q$5:$Q$404,$V342))</f>
        <v/>
      </c>
      <c r="X342">
        <f>IF($V342="","",INDEX($S$5:$S$404,$V342))</f>
        <v/>
      </c>
      <c r="Y342">
        <f>IF($V342="","",INDEX($R$5:$R$404,$V342))</f>
        <v/>
      </c>
      <c r="Z342">
        <f>IF($V342="",0,IF($X342&lt;&gt;$X341,1,0))</f>
        <v/>
      </c>
      <c r="AA342">
        <f>IF($V342="",0,IF($V343="",1,IF($X343&lt;&gt;$X342,1,0)))</f>
        <v/>
      </c>
      <c r="AB342">
        <f>IF($V342="",99999+338,$AB341+1+$Z341+$AA341+$AO341)</f>
        <v/>
      </c>
      <c r="AC342">
        <f>IFERROR(MATCH(338,$AB$5:$AB$404,1),"")</f>
        <v/>
      </c>
      <c r="AD342">
        <f>IF(338=$AI$1+1,"Z",IF($AC342="","",IF(INDEX($V$5:$V$404,$AC342)="","",IF(338&gt;INDEX($AB$5:$AB$404,$AC342)+INDEX($Z$5:$Z$404,$AC342)+INDEX($AA$5:$AA$404,$AC342)+INDEX($AO$5:$AO$404,$AC342),"",IF(338=INDEX($AB$5:$AB$404,$AC342)+INDEX($Z$5:$Z$404,$AC342),"D",IF(AND(INDEX($Z$5:$Z$404,$AC342)=1,338=INDEX($AB$5:$AB$404,$AC342)),"H",IF(AND(INDEX($AO$5:$AO$404,$AC342)=1,338=INDEX($AB$5:$AB$404,$AC342)+INDEX($Z$5:$Z$404,$AC342)+INDEX($AA$5:$AA$404,$AC342)+INDEX($AO$5:$AO$404,$AC342)),"B","T")))))))</f>
        <v/>
      </c>
      <c r="AF342">
        <f>IF(OR($AD342="",$AD342="Z",$AD342="B"),"",INDEX($X$5:$X$404,$AC342))</f>
        <v/>
      </c>
      <c r="AJ342">
        <f>IF($AD342&lt;&gt;"T",0,ROUND(SUMIF(oil!$B$4:$B$63,$AF342,oil!$AE$4:$AE$63),2))</f>
        <v/>
      </c>
      <c r="AK342">
        <f>IF($S342="","",IFERROR(INDEX(อัตราค่าขนส่ง!$P$5:$P$54,MATCH($S342,อัตราค่าขนส่ง!$O$5:$O$54,0)),INDEX(รายการมาตรฐาน!$G$2:$G$3,1)))</f>
        <v/>
      </c>
      <c r="AL342">
        <f>IF($S342="","",IFERROR(MATCH($AK342,รายการมาตรฐาน!$G$2:$G$3,0),1))</f>
        <v/>
      </c>
      <c r="AM342">
        <f>IF($V342="","",INDEX($AK$5:$AK$404,$V342))</f>
        <v/>
      </c>
      <c r="AN342">
        <f>IF($V342="","",INDEX($AL$5:$AL$404,$V342))</f>
        <v/>
      </c>
      <c r="AO342">
        <f>IF(OR($V342="",$AI$2&lt;=1),0,IF($V343="",1,IF($AN343&lt;&gt;$AN342,1,0)))</f>
        <v/>
      </c>
      <c r="AP342">
        <f>IF($V342="",0,IF($AN342&lt;&gt;$AN341,1,0))</f>
        <v/>
      </c>
      <c r="AQ342">
        <f>IF(OR($AD342="",$AD342="Z"),"",INDEX($AN$5:$AN$404,$AC342))</f>
        <v/>
      </c>
      <c r="AR342">
        <f>IF($Y342="",0,COUNTIF(บันทึกรายเที่ยว!$V$6:$V$6005,$Y342))</f>
        <v/>
      </c>
      <c r="AS342">
        <f>IF($Y342="",0,ROUND(SUMIF(บันทึกรายเที่ยว!$V$6:$V$6005,$Y342,บันทึกรายเที่ยว!$M$6:$M$6005),2))</f>
        <v/>
      </c>
      <c r="AT342">
        <f>IF($Y342="",0,IFERROR(INDEX(อัตราค่าขนส่ง!$G$5:$G$204,MATCH($Y342,อัตราค่าขนส่ง!$M$5:$M$204,0)),0))</f>
        <v/>
      </c>
      <c r="AU342">
        <f>ROUND($AS342*$BD342,2)</f>
        <v/>
      </c>
      <c r="AV342">
        <f>ROUND($AU342*$BF$2/100,2)</f>
        <v/>
      </c>
      <c r="AW342">
        <f>IF($Y342="","",IFERROR(INDEX(อัตราค่าขนส่ง!$F$5:$F$204,MATCH($Y342,อัตราค่าขนส่ง!$M$5:$M$204,0)),""))</f>
        <v/>
      </c>
      <c r="AX342">
        <f>IF($W342="","",INDEX(บันทึกรายเที่ยว!$D$6:$D$6005,$W342))</f>
        <v/>
      </c>
      <c r="AY342">
        <f>IF($W342="","",INDEX(บันทึกรายเที่ยว!$R$6:$R$6005,$W342))</f>
        <v/>
      </c>
      <c r="AZ342">
        <f>IF(AND($AD342="T",$AQ342=1),N($AZ341)+1,N($AZ341))</f>
        <v/>
      </c>
      <c r="BA342">
        <f>IF($W342="","",INDEX(บันทึกรายเที่ยว!$E$6:$E$6005,$W342))</f>
        <v/>
      </c>
      <c r="BC342">
        <f>IF($Y342="",0,IFERROR(INDEX(อัตราค่าขนส่ง!$K$5:$K$204,MATCH($Y342,อัตราค่าขนส่ง!$M$5:$M$204,0)),0))</f>
        <v/>
      </c>
      <c r="BD342">
        <f>IF($Y342="",0,IFERROR(INDEX(อัตราค่าขนส่ง!$L$5:$L$204,MATCH($Y342,อัตราค่าขนส่ง!$M$5:$M$204,0)),0))</f>
        <v/>
      </c>
    </row>
    <row r="343" ht="21" customHeight="1" s="66">
      <c r="A343" s="69">
        <f>IF($AD343="","",IF($AD343="Z","รวมจ่ายทั้งสิ้น",IF($AD343="H",INDEX($X$5:$X$404,$AC343),IF($AD343="T","รวม",IF($AD343="B",IFERROR(INDEX(อัตราค่าขนส่ง!$S$5:$S$14,MATCH(INDEX($AM$5:$AM$404,$AC343),อัตราค่าขนส่ง!$R$5:$R$14,0)),"รวมกลุ่ม "&amp;INDEX($AM$5:$AM$404,$AC343)),INDEX($AY$5:$AY$404,$AC343))))))</f>
        <v/>
      </c>
      <c r="B343" s="31">
        <f>IF($AD343&lt;&gt;"D","",INDEX($AW$5:$AW$404,$AC343))</f>
        <v/>
      </c>
      <c r="C343" s="68">
        <f>IF($AD343&lt;&gt;"D","",INDEX($AX$5:$AX$404,$AC343))</f>
        <v/>
      </c>
      <c r="D343" s="70">
        <f>IF($AD343&lt;&gt;"D","",INDEX($BA$5:$BA$404,$AC343))</f>
        <v/>
      </c>
      <c r="E343" s="31">
        <f>IF($AD343="Z",SUM($AR$5:$AR$404),IF($AD343="D",INDEX($AR$5:$AR$404,$AC343),IF($AD343="T",SUMIF($X$5:$X$404,$AF343,$AR$5:$AR$404),IF($AD343="B",SUMIF($AN$5:$AN$404,$AQ343,$AR$5:$AR$404),""))))</f>
        <v/>
      </c>
      <c r="F343" s="32">
        <f>IF($AD343="Z",ROUND(SUM($AS$5:$AS$404),2),IF($AD343="D",INDEX($AS$5:$AS$404,$AC343),IF($AD343="T",ROUND(SUMIF($X$5:$X$404,$AF343,$AS$5:$AS$404),2),IF($AD343="B",ROUND(SUMIF($AN$5:$AN$404,$AQ343,$AS$5:$AS$404),2),""))))</f>
        <v/>
      </c>
      <c r="G343" s="32">
        <f>IF($AD343&lt;&gt;"D","",INDEX($AT$5:$AT$404,$AC343))</f>
        <v/>
      </c>
      <c r="H343" s="32">
        <f>IF($AD343&lt;&gt;"D","",INDEX($BC$5:$BC$404,$AC343))</f>
        <v/>
      </c>
      <c r="I343" s="32">
        <f>IF($AD343&lt;&gt;"D","",INDEX($BD$5:$BD$404,$AC343))</f>
        <v/>
      </c>
      <c r="J343" s="46">
        <f>IF($AD343&lt;&gt;"D","",IF(N($B343)=0,"",ROUND($I343/$B343,4)))</f>
        <v/>
      </c>
      <c r="K343" s="32">
        <f>IF($AD343="Z",ROUND(SUM($AU$5:$AU$404),2),IF($AD343="D",INDEX($AU$5:$AU$404,$AC343),IF($AD343="T",ROUND(SUMIF($X$5:$X$404,$AF343,$AU$5:$AU$404),2),IF($AD343="B",ROUND(SUMIF($AN$5:$AN$404,$AQ343,$AU$5:$AU$404),2),""))))</f>
        <v/>
      </c>
      <c r="L343" s="32">
        <f>IF($AD343="Z",ROUND(SUM($AV$5:$AV$404),2),IF($AD343="D",INDEX($AV$5:$AV$404,$AC343),IF($AD343="T",ROUND(SUMIF($X$5:$X$404,$AF343,$AV$5:$AV$404),2),IF($AD343="B",ROUND(SUMIF($AN$5:$AN$404,$AQ343,$AV$5:$AV$404),2),""))))</f>
        <v/>
      </c>
      <c r="M343" s="32">
        <f>IF($AD343="Z",ROUND(SUM($AJ$5:$AJ$704),2),IF($AD343="B",ROUND(SUMIF($AQ$5:$AQ$704,$AQ343,$AJ$5:$AJ$704),2),IF($AD343&lt;&gt;"T","",$AJ343)))</f>
        <v/>
      </c>
      <c r="N343" s="32">
        <f>IF(OR($AD343="D",$AD343="T",$AD343="B",$AD343="Z"),ROUND(N($K343)-N($L343)-N($M343),2),"")</f>
        <v/>
      </c>
      <c r="O343" s="32">
        <f>IF(OR($AD343="D",$AD343="T",$AD343="B",$AD343="Z"),IF(N($E343)=0,"",ROUND($F343/$E343,2)),"")</f>
        <v/>
      </c>
      <c r="Q343">
        <f>IFERROR(MATCH(339,บันทึกรายเที่ยว!$Z$6:$Z$6005,0),"")</f>
        <v/>
      </c>
      <c r="R343">
        <f>IF($Q343="","",INDEX(บันทึกรายเที่ยว!$V$6:$V$6005,$Q343))</f>
        <v/>
      </c>
      <c r="S343">
        <f>IF($Q343="","",INDEX(บันทึกรายเที่ยว!$F$6:$F$6005,$Q343))</f>
        <v/>
      </c>
      <c r="T343">
        <f>IF($Q343="","",MATCH($S343,บันทึกรายเที่ยว!$F$6:$F$6005,0))</f>
        <v/>
      </c>
      <c r="U343">
        <f>IF($Q343="","",$AL343*10000000+$T343*1000+339)</f>
        <v/>
      </c>
      <c r="V343">
        <f>IFERROR(MATCH(SMALL($U$5:$U$404,339),$U$5:$U$404,0),"")</f>
        <v/>
      </c>
      <c r="W343">
        <f>IF($V343="","",INDEX($Q$5:$Q$404,$V343))</f>
        <v/>
      </c>
      <c r="X343">
        <f>IF($V343="","",INDEX($S$5:$S$404,$V343))</f>
        <v/>
      </c>
      <c r="Y343">
        <f>IF($V343="","",INDEX($R$5:$R$404,$V343))</f>
        <v/>
      </c>
      <c r="Z343">
        <f>IF($V343="",0,IF($X343&lt;&gt;$X342,1,0))</f>
        <v/>
      </c>
      <c r="AA343">
        <f>IF($V343="",0,IF($V344="",1,IF($X344&lt;&gt;$X343,1,0)))</f>
        <v/>
      </c>
      <c r="AB343">
        <f>IF($V343="",99999+339,$AB342+1+$Z342+$AA342+$AO342)</f>
        <v/>
      </c>
      <c r="AC343">
        <f>IFERROR(MATCH(339,$AB$5:$AB$404,1),"")</f>
        <v/>
      </c>
      <c r="AD343">
        <f>IF(339=$AI$1+1,"Z",IF($AC343="","",IF(INDEX($V$5:$V$404,$AC343)="","",IF(339&gt;INDEX($AB$5:$AB$404,$AC343)+INDEX($Z$5:$Z$404,$AC343)+INDEX($AA$5:$AA$404,$AC343)+INDEX($AO$5:$AO$404,$AC343),"",IF(339=INDEX($AB$5:$AB$404,$AC343)+INDEX($Z$5:$Z$404,$AC343),"D",IF(AND(INDEX($Z$5:$Z$404,$AC343)=1,339=INDEX($AB$5:$AB$404,$AC343)),"H",IF(AND(INDEX($AO$5:$AO$404,$AC343)=1,339=INDEX($AB$5:$AB$404,$AC343)+INDEX($Z$5:$Z$404,$AC343)+INDEX($AA$5:$AA$404,$AC343)+INDEX($AO$5:$AO$404,$AC343)),"B","T")))))))</f>
        <v/>
      </c>
      <c r="AF343">
        <f>IF(OR($AD343="",$AD343="Z",$AD343="B"),"",INDEX($X$5:$X$404,$AC343))</f>
        <v/>
      </c>
      <c r="AJ343">
        <f>IF($AD343&lt;&gt;"T",0,ROUND(SUMIF(oil!$B$4:$B$63,$AF343,oil!$AE$4:$AE$63),2))</f>
        <v/>
      </c>
      <c r="AK343">
        <f>IF($S343="","",IFERROR(INDEX(อัตราค่าขนส่ง!$P$5:$P$54,MATCH($S343,อัตราค่าขนส่ง!$O$5:$O$54,0)),INDEX(รายการมาตรฐาน!$G$2:$G$3,1)))</f>
        <v/>
      </c>
      <c r="AL343">
        <f>IF($S343="","",IFERROR(MATCH($AK343,รายการมาตรฐาน!$G$2:$G$3,0),1))</f>
        <v/>
      </c>
      <c r="AM343">
        <f>IF($V343="","",INDEX($AK$5:$AK$404,$V343))</f>
        <v/>
      </c>
      <c r="AN343">
        <f>IF($V343="","",INDEX($AL$5:$AL$404,$V343))</f>
        <v/>
      </c>
      <c r="AO343">
        <f>IF(OR($V343="",$AI$2&lt;=1),0,IF($V344="",1,IF($AN344&lt;&gt;$AN343,1,0)))</f>
        <v/>
      </c>
      <c r="AP343">
        <f>IF($V343="",0,IF($AN343&lt;&gt;$AN342,1,0))</f>
        <v/>
      </c>
      <c r="AQ343">
        <f>IF(OR($AD343="",$AD343="Z"),"",INDEX($AN$5:$AN$404,$AC343))</f>
        <v/>
      </c>
      <c r="AR343">
        <f>IF($Y343="",0,COUNTIF(บันทึกรายเที่ยว!$V$6:$V$6005,$Y343))</f>
        <v/>
      </c>
      <c r="AS343">
        <f>IF($Y343="",0,ROUND(SUMIF(บันทึกรายเที่ยว!$V$6:$V$6005,$Y343,บันทึกรายเที่ยว!$M$6:$M$6005),2))</f>
        <v/>
      </c>
      <c r="AT343">
        <f>IF($Y343="",0,IFERROR(INDEX(อัตราค่าขนส่ง!$G$5:$G$204,MATCH($Y343,อัตราค่าขนส่ง!$M$5:$M$204,0)),0))</f>
        <v/>
      </c>
      <c r="AU343">
        <f>ROUND($AS343*$BD343,2)</f>
        <v/>
      </c>
      <c r="AV343">
        <f>ROUND($AU343*$BF$2/100,2)</f>
        <v/>
      </c>
      <c r="AW343">
        <f>IF($Y343="","",IFERROR(INDEX(อัตราค่าขนส่ง!$F$5:$F$204,MATCH($Y343,อัตราค่าขนส่ง!$M$5:$M$204,0)),""))</f>
        <v/>
      </c>
      <c r="AX343">
        <f>IF($W343="","",INDEX(บันทึกรายเที่ยว!$D$6:$D$6005,$W343))</f>
        <v/>
      </c>
      <c r="AY343">
        <f>IF($W343="","",INDEX(บันทึกรายเที่ยว!$R$6:$R$6005,$W343))</f>
        <v/>
      </c>
      <c r="AZ343">
        <f>IF(AND($AD343="T",$AQ343=1),N($AZ342)+1,N($AZ342))</f>
        <v/>
      </c>
      <c r="BA343">
        <f>IF($W343="","",INDEX(บันทึกรายเที่ยว!$E$6:$E$6005,$W343))</f>
        <v/>
      </c>
      <c r="BC343">
        <f>IF($Y343="",0,IFERROR(INDEX(อัตราค่าขนส่ง!$K$5:$K$204,MATCH($Y343,อัตราค่าขนส่ง!$M$5:$M$204,0)),0))</f>
        <v/>
      </c>
      <c r="BD343">
        <f>IF($Y343="",0,IFERROR(INDEX(อัตราค่าขนส่ง!$L$5:$L$204,MATCH($Y343,อัตราค่าขนส่ง!$M$5:$M$204,0)),0))</f>
        <v/>
      </c>
    </row>
    <row r="344" ht="21" customHeight="1" s="66">
      <c r="A344" s="69">
        <f>IF($AD344="","",IF($AD344="Z","รวมจ่ายทั้งสิ้น",IF($AD344="H",INDEX($X$5:$X$404,$AC344),IF($AD344="T","รวม",IF($AD344="B",IFERROR(INDEX(อัตราค่าขนส่ง!$S$5:$S$14,MATCH(INDEX($AM$5:$AM$404,$AC344),อัตราค่าขนส่ง!$R$5:$R$14,0)),"รวมกลุ่ม "&amp;INDEX($AM$5:$AM$404,$AC344)),INDEX($AY$5:$AY$404,$AC344))))))</f>
        <v/>
      </c>
      <c r="B344" s="31">
        <f>IF($AD344&lt;&gt;"D","",INDEX($AW$5:$AW$404,$AC344))</f>
        <v/>
      </c>
      <c r="C344" s="68">
        <f>IF($AD344&lt;&gt;"D","",INDEX($AX$5:$AX$404,$AC344))</f>
        <v/>
      </c>
      <c r="D344" s="70">
        <f>IF($AD344&lt;&gt;"D","",INDEX($BA$5:$BA$404,$AC344))</f>
        <v/>
      </c>
      <c r="E344" s="31">
        <f>IF($AD344="Z",SUM($AR$5:$AR$404),IF($AD344="D",INDEX($AR$5:$AR$404,$AC344),IF($AD344="T",SUMIF($X$5:$X$404,$AF344,$AR$5:$AR$404),IF($AD344="B",SUMIF($AN$5:$AN$404,$AQ344,$AR$5:$AR$404),""))))</f>
        <v/>
      </c>
      <c r="F344" s="32">
        <f>IF($AD344="Z",ROUND(SUM($AS$5:$AS$404),2),IF($AD344="D",INDEX($AS$5:$AS$404,$AC344),IF($AD344="T",ROUND(SUMIF($X$5:$X$404,$AF344,$AS$5:$AS$404),2),IF($AD344="B",ROUND(SUMIF($AN$5:$AN$404,$AQ344,$AS$5:$AS$404),2),""))))</f>
        <v/>
      </c>
      <c r="G344" s="32">
        <f>IF($AD344&lt;&gt;"D","",INDEX($AT$5:$AT$404,$AC344))</f>
        <v/>
      </c>
      <c r="H344" s="32">
        <f>IF($AD344&lt;&gt;"D","",INDEX($BC$5:$BC$404,$AC344))</f>
        <v/>
      </c>
      <c r="I344" s="32">
        <f>IF($AD344&lt;&gt;"D","",INDEX($BD$5:$BD$404,$AC344))</f>
        <v/>
      </c>
      <c r="J344" s="46">
        <f>IF($AD344&lt;&gt;"D","",IF(N($B344)=0,"",ROUND($I344/$B344,4)))</f>
        <v/>
      </c>
      <c r="K344" s="32">
        <f>IF($AD344="Z",ROUND(SUM($AU$5:$AU$404),2),IF($AD344="D",INDEX($AU$5:$AU$404,$AC344),IF($AD344="T",ROUND(SUMIF($X$5:$X$404,$AF344,$AU$5:$AU$404),2),IF($AD344="B",ROUND(SUMIF($AN$5:$AN$404,$AQ344,$AU$5:$AU$404),2),""))))</f>
        <v/>
      </c>
      <c r="L344" s="32">
        <f>IF($AD344="Z",ROUND(SUM($AV$5:$AV$404),2),IF($AD344="D",INDEX($AV$5:$AV$404,$AC344),IF($AD344="T",ROUND(SUMIF($X$5:$X$404,$AF344,$AV$5:$AV$404),2),IF($AD344="B",ROUND(SUMIF($AN$5:$AN$404,$AQ344,$AV$5:$AV$404),2),""))))</f>
        <v/>
      </c>
      <c r="M344" s="32">
        <f>IF($AD344="Z",ROUND(SUM($AJ$5:$AJ$704),2),IF($AD344="B",ROUND(SUMIF($AQ$5:$AQ$704,$AQ344,$AJ$5:$AJ$704),2),IF($AD344&lt;&gt;"T","",$AJ344)))</f>
        <v/>
      </c>
      <c r="N344" s="32">
        <f>IF(OR($AD344="D",$AD344="T",$AD344="B",$AD344="Z"),ROUND(N($K344)-N($L344)-N($M344),2),"")</f>
        <v/>
      </c>
      <c r="O344" s="32">
        <f>IF(OR($AD344="D",$AD344="T",$AD344="B",$AD344="Z"),IF(N($E344)=0,"",ROUND($F344/$E344,2)),"")</f>
        <v/>
      </c>
      <c r="Q344">
        <f>IFERROR(MATCH(340,บันทึกรายเที่ยว!$Z$6:$Z$6005,0),"")</f>
        <v/>
      </c>
      <c r="R344">
        <f>IF($Q344="","",INDEX(บันทึกรายเที่ยว!$V$6:$V$6005,$Q344))</f>
        <v/>
      </c>
      <c r="S344">
        <f>IF($Q344="","",INDEX(บันทึกรายเที่ยว!$F$6:$F$6005,$Q344))</f>
        <v/>
      </c>
      <c r="T344">
        <f>IF($Q344="","",MATCH($S344,บันทึกรายเที่ยว!$F$6:$F$6005,0))</f>
        <v/>
      </c>
      <c r="U344">
        <f>IF($Q344="","",$AL344*10000000+$T344*1000+340)</f>
        <v/>
      </c>
      <c r="V344">
        <f>IFERROR(MATCH(SMALL($U$5:$U$404,340),$U$5:$U$404,0),"")</f>
        <v/>
      </c>
      <c r="W344">
        <f>IF($V344="","",INDEX($Q$5:$Q$404,$V344))</f>
        <v/>
      </c>
      <c r="X344">
        <f>IF($V344="","",INDEX($S$5:$S$404,$V344))</f>
        <v/>
      </c>
      <c r="Y344">
        <f>IF($V344="","",INDEX($R$5:$R$404,$V344))</f>
        <v/>
      </c>
      <c r="Z344">
        <f>IF($V344="",0,IF($X344&lt;&gt;$X343,1,0))</f>
        <v/>
      </c>
      <c r="AA344">
        <f>IF($V344="",0,IF($V345="",1,IF($X345&lt;&gt;$X344,1,0)))</f>
        <v/>
      </c>
      <c r="AB344">
        <f>IF($V344="",99999+340,$AB343+1+$Z343+$AA343+$AO343)</f>
        <v/>
      </c>
      <c r="AC344">
        <f>IFERROR(MATCH(340,$AB$5:$AB$404,1),"")</f>
        <v/>
      </c>
      <c r="AD344">
        <f>IF(340=$AI$1+1,"Z",IF($AC344="","",IF(INDEX($V$5:$V$404,$AC344)="","",IF(340&gt;INDEX($AB$5:$AB$404,$AC344)+INDEX($Z$5:$Z$404,$AC344)+INDEX($AA$5:$AA$404,$AC344)+INDEX($AO$5:$AO$404,$AC344),"",IF(340=INDEX($AB$5:$AB$404,$AC344)+INDEX($Z$5:$Z$404,$AC344),"D",IF(AND(INDEX($Z$5:$Z$404,$AC344)=1,340=INDEX($AB$5:$AB$404,$AC344)),"H",IF(AND(INDEX($AO$5:$AO$404,$AC344)=1,340=INDEX($AB$5:$AB$404,$AC344)+INDEX($Z$5:$Z$404,$AC344)+INDEX($AA$5:$AA$404,$AC344)+INDEX($AO$5:$AO$404,$AC344)),"B","T")))))))</f>
        <v/>
      </c>
      <c r="AF344">
        <f>IF(OR($AD344="",$AD344="Z",$AD344="B"),"",INDEX($X$5:$X$404,$AC344))</f>
        <v/>
      </c>
      <c r="AJ344">
        <f>IF($AD344&lt;&gt;"T",0,ROUND(SUMIF(oil!$B$4:$B$63,$AF344,oil!$AE$4:$AE$63),2))</f>
        <v/>
      </c>
      <c r="AK344">
        <f>IF($S344="","",IFERROR(INDEX(อัตราค่าขนส่ง!$P$5:$P$54,MATCH($S344,อัตราค่าขนส่ง!$O$5:$O$54,0)),INDEX(รายการมาตรฐาน!$G$2:$G$3,1)))</f>
        <v/>
      </c>
      <c r="AL344">
        <f>IF($S344="","",IFERROR(MATCH($AK344,รายการมาตรฐาน!$G$2:$G$3,0),1))</f>
        <v/>
      </c>
      <c r="AM344">
        <f>IF($V344="","",INDEX($AK$5:$AK$404,$V344))</f>
        <v/>
      </c>
      <c r="AN344">
        <f>IF($V344="","",INDEX($AL$5:$AL$404,$V344))</f>
        <v/>
      </c>
      <c r="AO344">
        <f>IF(OR($V344="",$AI$2&lt;=1),0,IF($V345="",1,IF($AN345&lt;&gt;$AN344,1,0)))</f>
        <v/>
      </c>
      <c r="AP344">
        <f>IF($V344="",0,IF($AN344&lt;&gt;$AN343,1,0))</f>
        <v/>
      </c>
      <c r="AQ344">
        <f>IF(OR($AD344="",$AD344="Z"),"",INDEX($AN$5:$AN$404,$AC344))</f>
        <v/>
      </c>
      <c r="AR344">
        <f>IF($Y344="",0,COUNTIF(บันทึกรายเที่ยว!$V$6:$V$6005,$Y344))</f>
        <v/>
      </c>
      <c r="AS344">
        <f>IF($Y344="",0,ROUND(SUMIF(บันทึกรายเที่ยว!$V$6:$V$6005,$Y344,บันทึกรายเที่ยว!$M$6:$M$6005),2))</f>
        <v/>
      </c>
      <c r="AT344">
        <f>IF($Y344="",0,IFERROR(INDEX(อัตราค่าขนส่ง!$G$5:$G$204,MATCH($Y344,อัตราค่าขนส่ง!$M$5:$M$204,0)),0))</f>
        <v/>
      </c>
      <c r="AU344">
        <f>ROUND($AS344*$BD344,2)</f>
        <v/>
      </c>
      <c r="AV344">
        <f>ROUND($AU344*$BF$2/100,2)</f>
        <v/>
      </c>
      <c r="AW344">
        <f>IF($Y344="","",IFERROR(INDEX(อัตราค่าขนส่ง!$F$5:$F$204,MATCH($Y344,อัตราค่าขนส่ง!$M$5:$M$204,0)),""))</f>
        <v/>
      </c>
      <c r="AX344">
        <f>IF($W344="","",INDEX(บันทึกรายเที่ยว!$D$6:$D$6005,$W344))</f>
        <v/>
      </c>
      <c r="AY344">
        <f>IF($W344="","",INDEX(บันทึกรายเที่ยว!$R$6:$R$6005,$W344))</f>
        <v/>
      </c>
      <c r="AZ344">
        <f>IF(AND($AD344="T",$AQ344=1),N($AZ343)+1,N($AZ343))</f>
        <v/>
      </c>
      <c r="BA344">
        <f>IF($W344="","",INDEX(บันทึกรายเที่ยว!$E$6:$E$6005,$W344))</f>
        <v/>
      </c>
      <c r="BC344">
        <f>IF($Y344="",0,IFERROR(INDEX(อัตราค่าขนส่ง!$K$5:$K$204,MATCH($Y344,อัตราค่าขนส่ง!$M$5:$M$204,0)),0))</f>
        <v/>
      </c>
      <c r="BD344">
        <f>IF($Y344="",0,IFERROR(INDEX(อัตราค่าขนส่ง!$L$5:$L$204,MATCH($Y344,อัตราค่าขนส่ง!$M$5:$M$204,0)),0))</f>
        <v/>
      </c>
    </row>
    <row r="345" ht="21" customHeight="1" s="66">
      <c r="A345" s="69">
        <f>IF($AD345="","",IF($AD345="Z","รวมจ่ายทั้งสิ้น",IF($AD345="H",INDEX($X$5:$X$404,$AC345),IF($AD345="T","รวม",IF($AD345="B",IFERROR(INDEX(อัตราค่าขนส่ง!$S$5:$S$14,MATCH(INDEX($AM$5:$AM$404,$AC345),อัตราค่าขนส่ง!$R$5:$R$14,0)),"รวมกลุ่ม "&amp;INDEX($AM$5:$AM$404,$AC345)),INDEX($AY$5:$AY$404,$AC345))))))</f>
        <v/>
      </c>
      <c r="B345" s="31">
        <f>IF($AD345&lt;&gt;"D","",INDEX($AW$5:$AW$404,$AC345))</f>
        <v/>
      </c>
      <c r="C345" s="68">
        <f>IF($AD345&lt;&gt;"D","",INDEX($AX$5:$AX$404,$AC345))</f>
        <v/>
      </c>
      <c r="D345" s="70">
        <f>IF($AD345&lt;&gt;"D","",INDEX($BA$5:$BA$404,$AC345))</f>
        <v/>
      </c>
      <c r="E345" s="31">
        <f>IF($AD345="Z",SUM($AR$5:$AR$404),IF($AD345="D",INDEX($AR$5:$AR$404,$AC345),IF($AD345="T",SUMIF($X$5:$X$404,$AF345,$AR$5:$AR$404),IF($AD345="B",SUMIF($AN$5:$AN$404,$AQ345,$AR$5:$AR$404),""))))</f>
        <v/>
      </c>
      <c r="F345" s="32">
        <f>IF($AD345="Z",ROUND(SUM($AS$5:$AS$404),2),IF($AD345="D",INDEX($AS$5:$AS$404,$AC345),IF($AD345="T",ROUND(SUMIF($X$5:$X$404,$AF345,$AS$5:$AS$404),2),IF($AD345="B",ROUND(SUMIF($AN$5:$AN$404,$AQ345,$AS$5:$AS$404),2),""))))</f>
        <v/>
      </c>
      <c r="G345" s="32">
        <f>IF($AD345&lt;&gt;"D","",INDEX($AT$5:$AT$404,$AC345))</f>
        <v/>
      </c>
      <c r="H345" s="32">
        <f>IF($AD345&lt;&gt;"D","",INDEX($BC$5:$BC$404,$AC345))</f>
        <v/>
      </c>
      <c r="I345" s="32">
        <f>IF($AD345&lt;&gt;"D","",INDEX($BD$5:$BD$404,$AC345))</f>
        <v/>
      </c>
      <c r="J345" s="46">
        <f>IF($AD345&lt;&gt;"D","",IF(N($B345)=0,"",ROUND($I345/$B345,4)))</f>
        <v/>
      </c>
      <c r="K345" s="32">
        <f>IF($AD345="Z",ROUND(SUM($AU$5:$AU$404),2),IF($AD345="D",INDEX($AU$5:$AU$404,$AC345),IF($AD345="T",ROUND(SUMIF($X$5:$X$404,$AF345,$AU$5:$AU$404),2),IF($AD345="B",ROUND(SUMIF($AN$5:$AN$404,$AQ345,$AU$5:$AU$404),2),""))))</f>
        <v/>
      </c>
      <c r="L345" s="32">
        <f>IF($AD345="Z",ROUND(SUM($AV$5:$AV$404),2),IF($AD345="D",INDEX($AV$5:$AV$404,$AC345),IF($AD345="T",ROUND(SUMIF($X$5:$X$404,$AF345,$AV$5:$AV$404),2),IF($AD345="B",ROUND(SUMIF($AN$5:$AN$404,$AQ345,$AV$5:$AV$404),2),""))))</f>
        <v/>
      </c>
      <c r="M345" s="32">
        <f>IF($AD345="Z",ROUND(SUM($AJ$5:$AJ$704),2),IF($AD345="B",ROUND(SUMIF($AQ$5:$AQ$704,$AQ345,$AJ$5:$AJ$704),2),IF($AD345&lt;&gt;"T","",$AJ345)))</f>
        <v/>
      </c>
      <c r="N345" s="32">
        <f>IF(OR($AD345="D",$AD345="T",$AD345="B",$AD345="Z"),ROUND(N($K345)-N($L345)-N($M345),2),"")</f>
        <v/>
      </c>
      <c r="O345" s="32">
        <f>IF(OR($AD345="D",$AD345="T",$AD345="B",$AD345="Z"),IF(N($E345)=0,"",ROUND($F345/$E345,2)),"")</f>
        <v/>
      </c>
      <c r="Q345">
        <f>IFERROR(MATCH(341,บันทึกรายเที่ยว!$Z$6:$Z$6005,0),"")</f>
        <v/>
      </c>
      <c r="R345">
        <f>IF($Q345="","",INDEX(บันทึกรายเที่ยว!$V$6:$V$6005,$Q345))</f>
        <v/>
      </c>
      <c r="S345">
        <f>IF($Q345="","",INDEX(บันทึกรายเที่ยว!$F$6:$F$6005,$Q345))</f>
        <v/>
      </c>
      <c r="T345">
        <f>IF($Q345="","",MATCH($S345,บันทึกรายเที่ยว!$F$6:$F$6005,0))</f>
        <v/>
      </c>
      <c r="U345">
        <f>IF($Q345="","",$AL345*10000000+$T345*1000+341)</f>
        <v/>
      </c>
      <c r="V345">
        <f>IFERROR(MATCH(SMALL($U$5:$U$404,341),$U$5:$U$404,0),"")</f>
        <v/>
      </c>
      <c r="W345">
        <f>IF($V345="","",INDEX($Q$5:$Q$404,$V345))</f>
        <v/>
      </c>
      <c r="X345">
        <f>IF($V345="","",INDEX($S$5:$S$404,$V345))</f>
        <v/>
      </c>
      <c r="Y345">
        <f>IF($V345="","",INDEX($R$5:$R$404,$V345))</f>
        <v/>
      </c>
      <c r="Z345">
        <f>IF($V345="",0,IF($X345&lt;&gt;$X344,1,0))</f>
        <v/>
      </c>
      <c r="AA345">
        <f>IF($V345="",0,IF($V346="",1,IF($X346&lt;&gt;$X345,1,0)))</f>
        <v/>
      </c>
      <c r="AB345">
        <f>IF($V345="",99999+341,$AB344+1+$Z344+$AA344+$AO344)</f>
        <v/>
      </c>
      <c r="AC345">
        <f>IFERROR(MATCH(341,$AB$5:$AB$404,1),"")</f>
        <v/>
      </c>
      <c r="AD345">
        <f>IF(341=$AI$1+1,"Z",IF($AC345="","",IF(INDEX($V$5:$V$404,$AC345)="","",IF(341&gt;INDEX($AB$5:$AB$404,$AC345)+INDEX($Z$5:$Z$404,$AC345)+INDEX($AA$5:$AA$404,$AC345)+INDEX($AO$5:$AO$404,$AC345),"",IF(341=INDEX($AB$5:$AB$404,$AC345)+INDEX($Z$5:$Z$404,$AC345),"D",IF(AND(INDEX($Z$5:$Z$404,$AC345)=1,341=INDEX($AB$5:$AB$404,$AC345)),"H",IF(AND(INDEX($AO$5:$AO$404,$AC345)=1,341=INDEX($AB$5:$AB$404,$AC345)+INDEX($Z$5:$Z$404,$AC345)+INDEX($AA$5:$AA$404,$AC345)+INDEX($AO$5:$AO$404,$AC345)),"B","T")))))))</f>
        <v/>
      </c>
      <c r="AF345">
        <f>IF(OR($AD345="",$AD345="Z",$AD345="B"),"",INDEX($X$5:$X$404,$AC345))</f>
        <v/>
      </c>
      <c r="AJ345">
        <f>IF($AD345&lt;&gt;"T",0,ROUND(SUMIF(oil!$B$4:$B$63,$AF345,oil!$AE$4:$AE$63),2))</f>
        <v/>
      </c>
      <c r="AK345">
        <f>IF($S345="","",IFERROR(INDEX(อัตราค่าขนส่ง!$P$5:$P$54,MATCH($S345,อัตราค่าขนส่ง!$O$5:$O$54,0)),INDEX(รายการมาตรฐาน!$G$2:$G$3,1)))</f>
        <v/>
      </c>
      <c r="AL345">
        <f>IF($S345="","",IFERROR(MATCH($AK345,รายการมาตรฐาน!$G$2:$G$3,0),1))</f>
        <v/>
      </c>
      <c r="AM345">
        <f>IF($V345="","",INDEX($AK$5:$AK$404,$V345))</f>
        <v/>
      </c>
      <c r="AN345">
        <f>IF($V345="","",INDEX($AL$5:$AL$404,$V345))</f>
        <v/>
      </c>
      <c r="AO345">
        <f>IF(OR($V345="",$AI$2&lt;=1),0,IF($V346="",1,IF($AN346&lt;&gt;$AN345,1,0)))</f>
        <v/>
      </c>
      <c r="AP345">
        <f>IF($V345="",0,IF($AN345&lt;&gt;$AN344,1,0))</f>
        <v/>
      </c>
      <c r="AQ345">
        <f>IF(OR($AD345="",$AD345="Z"),"",INDEX($AN$5:$AN$404,$AC345))</f>
        <v/>
      </c>
      <c r="AR345">
        <f>IF($Y345="",0,COUNTIF(บันทึกรายเที่ยว!$V$6:$V$6005,$Y345))</f>
        <v/>
      </c>
      <c r="AS345">
        <f>IF($Y345="",0,ROUND(SUMIF(บันทึกรายเที่ยว!$V$6:$V$6005,$Y345,บันทึกรายเที่ยว!$M$6:$M$6005),2))</f>
        <v/>
      </c>
      <c r="AT345">
        <f>IF($Y345="",0,IFERROR(INDEX(อัตราค่าขนส่ง!$G$5:$G$204,MATCH($Y345,อัตราค่าขนส่ง!$M$5:$M$204,0)),0))</f>
        <v/>
      </c>
      <c r="AU345">
        <f>ROUND($AS345*$BD345,2)</f>
        <v/>
      </c>
      <c r="AV345">
        <f>ROUND($AU345*$BF$2/100,2)</f>
        <v/>
      </c>
      <c r="AW345">
        <f>IF($Y345="","",IFERROR(INDEX(อัตราค่าขนส่ง!$F$5:$F$204,MATCH($Y345,อัตราค่าขนส่ง!$M$5:$M$204,0)),""))</f>
        <v/>
      </c>
      <c r="AX345">
        <f>IF($W345="","",INDEX(บันทึกรายเที่ยว!$D$6:$D$6005,$W345))</f>
        <v/>
      </c>
      <c r="AY345">
        <f>IF($W345="","",INDEX(บันทึกรายเที่ยว!$R$6:$R$6005,$W345))</f>
        <v/>
      </c>
      <c r="AZ345">
        <f>IF(AND($AD345="T",$AQ345=1),N($AZ344)+1,N($AZ344))</f>
        <v/>
      </c>
      <c r="BA345">
        <f>IF($W345="","",INDEX(บันทึกรายเที่ยว!$E$6:$E$6005,$W345))</f>
        <v/>
      </c>
      <c r="BC345">
        <f>IF($Y345="",0,IFERROR(INDEX(อัตราค่าขนส่ง!$K$5:$K$204,MATCH($Y345,อัตราค่าขนส่ง!$M$5:$M$204,0)),0))</f>
        <v/>
      </c>
      <c r="BD345">
        <f>IF($Y345="",0,IFERROR(INDEX(อัตราค่าขนส่ง!$L$5:$L$204,MATCH($Y345,อัตราค่าขนส่ง!$M$5:$M$204,0)),0))</f>
        <v/>
      </c>
    </row>
    <row r="346" ht="21" customHeight="1" s="66">
      <c r="A346" s="69">
        <f>IF($AD346="","",IF($AD346="Z","รวมจ่ายทั้งสิ้น",IF($AD346="H",INDEX($X$5:$X$404,$AC346),IF($AD346="T","รวม",IF($AD346="B",IFERROR(INDEX(อัตราค่าขนส่ง!$S$5:$S$14,MATCH(INDEX($AM$5:$AM$404,$AC346),อัตราค่าขนส่ง!$R$5:$R$14,0)),"รวมกลุ่ม "&amp;INDEX($AM$5:$AM$404,$AC346)),INDEX($AY$5:$AY$404,$AC346))))))</f>
        <v/>
      </c>
      <c r="B346" s="31">
        <f>IF($AD346&lt;&gt;"D","",INDEX($AW$5:$AW$404,$AC346))</f>
        <v/>
      </c>
      <c r="C346" s="68">
        <f>IF($AD346&lt;&gt;"D","",INDEX($AX$5:$AX$404,$AC346))</f>
        <v/>
      </c>
      <c r="D346" s="70">
        <f>IF($AD346&lt;&gt;"D","",INDEX($BA$5:$BA$404,$AC346))</f>
        <v/>
      </c>
      <c r="E346" s="31">
        <f>IF($AD346="Z",SUM($AR$5:$AR$404),IF($AD346="D",INDEX($AR$5:$AR$404,$AC346),IF($AD346="T",SUMIF($X$5:$X$404,$AF346,$AR$5:$AR$404),IF($AD346="B",SUMIF($AN$5:$AN$404,$AQ346,$AR$5:$AR$404),""))))</f>
        <v/>
      </c>
      <c r="F346" s="32">
        <f>IF($AD346="Z",ROUND(SUM($AS$5:$AS$404),2),IF($AD346="D",INDEX($AS$5:$AS$404,$AC346),IF($AD346="T",ROUND(SUMIF($X$5:$X$404,$AF346,$AS$5:$AS$404),2),IF($AD346="B",ROUND(SUMIF($AN$5:$AN$404,$AQ346,$AS$5:$AS$404),2),""))))</f>
        <v/>
      </c>
      <c r="G346" s="32">
        <f>IF($AD346&lt;&gt;"D","",INDEX($AT$5:$AT$404,$AC346))</f>
        <v/>
      </c>
      <c r="H346" s="32">
        <f>IF($AD346&lt;&gt;"D","",INDEX($BC$5:$BC$404,$AC346))</f>
        <v/>
      </c>
      <c r="I346" s="32">
        <f>IF($AD346&lt;&gt;"D","",INDEX($BD$5:$BD$404,$AC346))</f>
        <v/>
      </c>
      <c r="J346" s="46">
        <f>IF($AD346&lt;&gt;"D","",IF(N($B346)=0,"",ROUND($I346/$B346,4)))</f>
        <v/>
      </c>
      <c r="K346" s="32">
        <f>IF($AD346="Z",ROUND(SUM($AU$5:$AU$404),2),IF($AD346="D",INDEX($AU$5:$AU$404,$AC346),IF($AD346="T",ROUND(SUMIF($X$5:$X$404,$AF346,$AU$5:$AU$404),2),IF($AD346="B",ROUND(SUMIF($AN$5:$AN$404,$AQ346,$AU$5:$AU$404),2),""))))</f>
        <v/>
      </c>
      <c r="L346" s="32">
        <f>IF($AD346="Z",ROUND(SUM($AV$5:$AV$404),2),IF($AD346="D",INDEX($AV$5:$AV$404,$AC346),IF($AD346="T",ROUND(SUMIF($X$5:$X$404,$AF346,$AV$5:$AV$404),2),IF($AD346="B",ROUND(SUMIF($AN$5:$AN$404,$AQ346,$AV$5:$AV$404),2),""))))</f>
        <v/>
      </c>
      <c r="M346" s="32">
        <f>IF($AD346="Z",ROUND(SUM($AJ$5:$AJ$704),2),IF($AD346="B",ROUND(SUMIF($AQ$5:$AQ$704,$AQ346,$AJ$5:$AJ$704),2),IF($AD346&lt;&gt;"T","",$AJ346)))</f>
        <v/>
      </c>
      <c r="N346" s="32">
        <f>IF(OR($AD346="D",$AD346="T",$AD346="B",$AD346="Z"),ROUND(N($K346)-N($L346)-N($M346),2),"")</f>
        <v/>
      </c>
      <c r="O346" s="32">
        <f>IF(OR($AD346="D",$AD346="T",$AD346="B",$AD346="Z"),IF(N($E346)=0,"",ROUND($F346/$E346,2)),"")</f>
        <v/>
      </c>
      <c r="Q346">
        <f>IFERROR(MATCH(342,บันทึกรายเที่ยว!$Z$6:$Z$6005,0),"")</f>
        <v/>
      </c>
      <c r="R346">
        <f>IF($Q346="","",INDEX(บันทึกรายเที่ยว!$V$6:$V$6005,$Q346))</f>
        <v/>
      </c>
      <c r="S346">
        <f>IF($Q346="","",INDEX(บันทึกรายเที่ยว!$F$6:$F$6005,$Q346))</f>
        <v/>
      </c>
      <c r="T346">
        <f>IF($Q346="","",MATCH($S346,บันทึกรายเที่ยว!$F$6:$F$6005,0))</f>
        <v/>
      </c>
      <c r="U346">
        <f>IF($Q346="","",$AL346*10000000+$T346*1000+342)</f>
        <v/>
      </c>
      <c r="V346">
        <f>IFERROR(MATCH(SMALL($U$5:$U$404,342),$U$5:$U$404,0),"")</f>
        <v/>
      </c>
      <c r="W346">
        <f>IF($V346="","",INDEX($Q$5:$Q$404,$V346))</f>
        <v/>
      </c>
      <c r="X346">
        <f>IF($V346="","",INDEX($S$5:$S$404,$V346))</f>
        <v/>
      </c>
      <c r="Y346">
        <f>IF($V346="","",INDEX($R$5:$R$404,$V346))</f>
        <v/>
      </c>
      <c r="Z346">
        <f>IF($V346="",0,IF($X346&lt;&gt;$X345,1,0))</f>
        <v/>
      </c>
      <c r="AA346">
        <f>IF($V346="",0,IF($V347="",1,IF($X347&lt;&gt;$X346,1,0)))</f>
        <v/>
      </c>
      <c r="AB346">
        <f>IF($V346="",99999+342,$AB345+1+$Z345+$AA345+$AO345)</f>
        <v/>
      </c>
      <c r="AC346">
        <f>IFERROR(MATCH(342,$AB$5:$AB$404,1),"")</f>
        <v/>
      </c>
      <c r="AD346">
        <f>IF(342=$AI$1+1,"Z",IF($AC346="","",IF(INDEX($V$5:$V$404,$AC346)="","",IF(342&gt;INDEX($AB$5:$AB$404,$AC346)+INDEX($Z$5:$Z$404,$AC346)+INDEX($AA$5:$AA$404,$AC346)+INDEX($AO$5:$AO$404,$AC346),"",IF(342=INDEX($AB$5:$AB$404,$AC346)+INDEX($Z$5:$Z$404,$AC346),"D",IF(AND(INDEX($Z$5:$Z$404,$AC346)=1,342=INDEX($AB$5:$AB$404,$AC346)),"H",IF(AND(INDEX($AO$5:$AO$404,$AC346)=1,342=INDEX($AB$5:$AB$404,$AC346)+INDEX($Z$5:$Z$404,$AC346)+INDEX($AA$5:$AA$404,$AC346)+INDEX($AO$5:$AO$404,$AC346)),"B","T")))))))</f>
        <v/>
      </c>
      <c r="AF346">
        <f>IF(OR($AD346="",$AD346="Z",$AD346="B"),"",INDEX($X$5:$X$404,$AC346))</f>
        <v/>
      </c>
      <c r="AJ346">
        <f>IF($AD346&lt;&gt;"T",0,ROUND(SUMIF(oil!$B$4:$B$63,$AF346,oil!$AE$4:$AE$63),2))</f>
        <v/>
      </c>
      <c r="AK346">
        <f>IF($S346="","",IFERROR(INDEX(อัตราค่าขนส่ง!$P$5:$P$54,MATCH($S346,อัตราค่าขนส่ง!$O$5:$O$54,0)),INDEX(รายการมาตรฐาน!$G$2:$G$3,1)))</f>
        <v/>
      </c>
      <c r="AL346">
        <f>IF($S346="","",IFERROR(MATCH($AK346,รายการมาตรฐาน!$G$2:$G$3,0),1))</f>
        <v/>
      </c>
      <c r="AM346">
        <f>IF($V346="","",INDEX($AK$5:$AK$404,$V346))</f>
        <v/>
      </c>
      <c r="AN346">
        <f>IF($V346="","",INDEX($AL$5:$AL$404,$V346))</f>
        <v/>
      </c>
      <c r="AO346">
        <f>IF(OR($V346="",$AI$2&lt;=1),0,IF($V347="",1,IF($AN347&lt;&gt;$AN346,1,0)))</f>
        <v/>
      </c>
      <c r="AP346">
        <f>IF($V346="",0,IF($AN346&lt;&gt;$AN345,1,0))</f>
        <v/>
      </c>
      <c r="AQ346">
        <f>IF(OR($AD346="",$AD346="Z"),"",INDEX($AN$5:$AN$404,$AC346))</f>
        <v/>
      </c>
      <c r="AR346">
        <f>IF($Y346="",0,COUNTIF(บันทึกรายเที่ยว!$V$6:$V$6005,$Y346))</f>
        <v/>
      </c>
      <c r="AS346">
        <f>IF($Y346="",0,ROUND(SUMIF(บันทึกรายเที่ยว!$V$6:$V$6005,$Y346,บันทึกรายเที่ยว!$M$6:$M$6005),2))</f>
        <v/>
      </c>
      <c r="AT346">
        <f>IF($Y346="",0,IFERROR(INDEX(อัตราค่าขนส่ง!$G$5:$G$204,MATCH($Y346,อัตราค่าขนส่ง!$M$5:$M$204,0)),0))</f>
        <v/>
      </c>
      <c r="AU346">
        <f>ROUND($AS346*$BD346,2)</f>
        <v/>
      </c>
      <c r="AV346">
        <f>ROUND($AU346*$BF$2/100,2)</f>
        <v/>
      </c>
      <c r="AW346">
        <f>IF($Y346="","",IFERROR(INDEX(อัตราค่าขนส่ง!$F$5:$F$204,MATCH($Y346,อัตราค่าขนส่ง!$M$5:$M$204,0)),""))</f>
        <v/>
      </c>
      <c r="AX346">
        <f>IF($W346="","",INDEX(บันทึกรายเที่ยว!$D$6:$D$6005,$W346))</f>
        <v/>
      </c>
      <c r="AY346">
        <f>IF($W346="","",INDEX(บันทึกรายเที่ยว!$R$6:$R$6005,$W346))</f>
        <v/>
      </c>
      <c r="AZ346">
        <f>IF(AND($AD346="T",$AQ346=1),N($AZ345)+1,N($AZ345))</f>
        <v/>
      </c>
      <c r="BA346">
        <f>IF($W346="","",INDEX(บันทึกรายเที่ยว!$E$6:$E$6005,$W346))</f>
        <v/>
      </c>
      <c r="BC346">
        <f>IF($Y346="",0,IFERROR(INDEX(อัตราค่าขนส่ง!$K$5:$K$204,MATCH($Y346,อัตราค่าขนส่ง!$M$5:$M$204,0)),0))</f>
        <v/>
      </c>
      <c r="BD346">
        <f>IF($Y346="",0,IFERROR(INDEX(อัตราค่าขนส่ง!$L$5:$L$204,MATCH($Y346,อัตราค่าขนส่ง!$M$5:$M$204,0)),0))</f>
        <v/>
      </c>
    </row>
    <row r="347" ht="21" customHeight="1" s="66">
      <c r="A347" s="69">
        <f>IF($AD347="","",IF($AD347="Z","รวมจ่ายทั้งสิ้น",IF($AD347="H",INDEX($X$5:$X$404,$AC347),IF($AD347="T","รวม",IF($AD347="B",IFERROR(INDEX(อัตราค่าขนส่ง!$S$5:$S$14,MATCH(INDEX($AM$5:$AM$404,$AC347),อัตราค่าขนส่ง!$R$5:$R$14,0)),"รวมกลุ่ม "&amp;INDEX($AM$5:$AM$404,$AC347)),INDEX($AY$5:$AY$404,$AC347))))))</f>
        <v/>
      </c>
      <c r="B347" s="31">
        <f>IF($AD347&lt;&gt;"D","",INDEX($AW$5:$AW$404,$AC347))</f>
        <v/>
      </c>
      <c r="C347" s="68">
        <f>IF($AD347&lt;&gt;"D","",INDEX($AX$5:$AX$404,$AC347))</f>
        <v/>
      </c>
      <c r="D347" s="70">
        <f>IF($AD347&lt;&gt;"D","",INDEX($BA$5:$BA$404,$AC347))</f>
        <v/>
      </c>
      <c r="E347" s="31">
        <f>IF($AD347="Z",SUM($AR$5:$AR$404),IF($AD347="D",INDEX($AR$5:$AR$404,$AC347),IF($AD347="T",SUMIF($X$5:$X$404,$AF347,$AR$5:$AR$404),IF($AD347="B",SUMIF($AN$5:$AN$404,$AQ347,$AR$5:$AR$404),""))))</f>
        <v/>
      </c>
      <c r="F347" s="32">
        <f>IF($AD347="Z",ROUND(SUM($AS$5:$AS$404),2),IF($AD347="D",INDEX($AS$5:$AS$404,$AC347),IF($AD347="T",ROUND(SUMIF($X$5:$X$404,$AF347,$AS$5:$AS$404),2),IF($AD347="B",ROUND(SUMIF($AN$5:$AN$404,$AQ347,$AS$5:$AS$404),2),""))))</f>
        <v/>
      </c>
      <c r="G347" s="32">
        <f>IF($AD347&lt;&gt;"D","",INDEX($AT$5:$AT$404,$AC347))</f>
        <v/>
      </c>
      <c r="H347" s="32">
        <f>IF($AD347&lt;&gt;"D","",INDEX($BC$5:$BC$404,$AC347))</f>
        <v/>
      </c>
      <c r="I347" s="32">
        <f>IF($AD347&lt;&gt;"D","",INDEX($BD$5:$BD$404,$AC347))</f>
        <v/>
      </c>
      <c r="J347" s="46">
        <f>IF($AD347&lt;&gt;"D","",IF(N($B347)=0,"",ROUND($I347/$B347,4)))</f>
        <v/>
      </c>
      <c r="K347" s="32">
        <f>IF($AD347="Z",ROUND(SUM($AU$5:$AU$404),2),IF($AD347="D",INDEX($AU$5:$AU$404,$AC347),IF($AD347="T",ROUND(SUMIF($X$5:$X$404,$AF347,$AU$5:$AU$404),2),IF($AD347="B",ROUND(SUMIF($AN$5:$AN$404,$AQ347,$AU$5:$AU$404),2),""))))</f>
        <v/>
      </c>
      <c r="L347" s="32">
        <f>IF($AD347="Z",ROUND(SUM($AV$5:$AV$404),2),IF($AD347="D",INDEX($AV$5:$AV$404,$AC347),IF($AD347="T",ROUND(SUMIF($X$5:$X$404,$AF347,$AV$5:$AV$404),2),IF($AD347="B",ROUND(SUMIF($AN$5:$AN$404,$AQ347,$AV$5:$AV$404),2),""))))</f>
        <v/>
      </c>
      <c r="M347" s="32">
        <f>IF($AD347="Z",ROUND(SUM($AJ$5:$AJ$704),2),IF($AD347="B",ROUND(SUMIF($AQ$5:$AQ$704,$AQ347,$AJ$5:$AJ$704),2),IF($AD347&lt;&gt;"T","",$AJ347)))</f>
        <v/>
      </c>
      <c r="N347" s="32">
        <f>IF(OR($AD347="D",$AD347="T",$AD347="B",$AD347="Z"),ROUND(N($K347)-N($L347)-N($M347),2),"")</f>
        <v/>
      </c>
      <c r="O347" s="32">
        <f>IF(OR($AD347="D",$AD347="T",$AD347="B",$AD347="Z"),IF(N($E347)=0,"",ROUND($F347/$E347,2)),"")</f>
        <v/>
      </c>
      <c r="Q347">
        <f>IFERROR(MATCH(343,บันทึกรายเที่ยว!$Z$6:$Z$6005,0),"")</f>
        <v/>
      </c>
      <c r="R347">
        <f>IF($Q347="","",INDEX(บันทึกรายเที่ยว!$V$6:$V$6005,$Q347))</f>
        <v/>
      </c>
      <c r="S347">
        <f>IF($Q347="","",INDEX(บันทึกรายเที่ยว!$F$6:$F$6005,$Q347))</f>
        <v/>
      </c>
      <c r="T347">
        <f>IF($Q347="","",MATCH($S347,บันทึกรายเที่ยว!$F$6:$F$6005,0))</f>
        <v/>
      </c>
      <c r="U347">
        <f>IF($Q347="","",$AL347*10000000+$T347*1000+343)</f>
        <v/>
      </c>
      <c r="V347">
        <f>IFERROR(MATCH(SMALL($U$5:$U$404,343),$U$5:$U$404,0),"")</f>
        <v/>
      </c>
      <c r="W347">
        <f>IF($V347="","",INDEX($Q$5:$Q$404,$V347))</f>
        <v/>
      </c>
      <c r="X347">
        <f>IF($V347="","",INDEX($S$5:$S$404,$V347))</f>
        <v/>
      </c>
      <c r="Y347">
        <f>IF($V347="","",INDEX($R$5:$R$404,$V347))</f>
        <v/>
      </c>
      <c r="Z347">
        <f>IF($V347="",0,IF($X347&lt;&gt;$X346,1,0))</f>
        <v/>
      </c>
      <c r="AA347">
        <f>IF($V347="",0,IF($V348="",1,IF($X348&lt;&gt;$X347,1,0)))</f>
        <v/>
      </c>
      <c r="AB347">
        <f>IF($V347="",99999+343,$AB346+1+$Z346+$AA346+$AO346)</f>
        <v/>
      </c>
      <c r="AC347">
        <f>IFERROR(MATCH(343,$AB$5:$AB$404,1),"")</f>
        <v/>
      </c>
      <c r="AD347">
        <f>IF(343=$AI$1+1,"Z",IF($AC347="","",IF(INDEX($V$5:$V$404,$AC347)="","",IF(343&gt;INDEX($AB$5:$AB$404,$AC347)+INDEX($Z$5:$Z$404,$AC347)+INDEX($AA$5:$AA$404,$AC347)+INDEX($AO$5:$AO$404,$AC347),"",IF(343=INDEX($AB$5:$AB$404,$AC347)+INDEX($Z$5:$Z$404,$AC347),"D",IF(AND(INDEX($Z$5:$Z$404,$AC347)=1,343=INDEX($AB$5:$AB$404,$AC347)),"H",IF(AND(INDEX($AO$5:$AO$404,$AC347)=1,343=INDEX($AB$5:$AB$404,$AC347)+INDEX($Z$5:$Z$404,$AC347)+INDEX($AA$5:$AA$404,$AC347)+INDEX($AO$5:$AO$404,$AC347)),"B","T")))))))</f>
        <v/>
      </c>
      <c r="AF347">
        <f>IF(OR($AD347="",$AD347="Z",$AD347="B"),"",INDEX($X$5:$X$404,$AC347))</f>
        <v/>
      </c>
      <c r="AJ347">
        <f>IF($AD347&lt;&gt;"T",0,ROUND(SUMIF(oil!$B$4:$B$63,$AF347,oil!$AE$4:$AE$63),2))</f>
        <v/>
      </c>
      <c r="AK347">
        <f>IF($S347="","",IFERROR(INDEX(อัตราค่าขนส่ง!$P$5:$P$54,MATCH($S347,อัตราค่าขนส่ง!$O$5:$O$54,0)),INDEX(รายการมาตรฐาน!$G$2:$G$3,1)))</f>
        <v/>
      </c>
      <c r="AL347">
        <f>IF($S347="","",IFERROR(MATCH($AK347,รายการมาตรฐาน!$G$2:$G$3,0),1))</f>
        <v/>
      </c>
      <c r="AM347">
        <f>IF($V347="","",INDEX($AK$5:$AK$404,$V347))</f>
        <v/>
      </c>
      <c r="AN347">
        <f>IF($V347="","",INDEX($AL$5:$AL$404,$V347))</f>
        <v/>
      </c>
      <c r="AO347">
        <f>IF(OR($V347="",$AI$2&lt;=1),0,IF($V348="",1,IF($AN348&lt;&gt;$AN347,1,0)))</f>
        <v/>
      </c>
      <c r="AP347">
        <f>IF($V347="",0,IF($AN347&lt;&gt;$AN346,1,0))</f>
        <v/>
      </c>
      <c r="AQ347">
        <f>IF(OR($AD347="",$AD347="Z"),"",INDEX($AN$5:$AN$404,$AC347))</f>
        <v/>
      </c>
      <c r="AR347">
        <f>IF($Y347="",0,COUNTIF(บันทึกรายเที่ยว!$V$6:$V$6005,$Y347))</f>
        <v/>
      </c>
      <c r="AS347">
        <f>IF($Y347="",0,ROUND(SUMIF(บันทึกรายเที่ยว!$V$6:$V$6005,$Y347,บันทึกรายเที่ยว!$M$6:$M$6005),2))</f>
        <v/>
      </c>
      <c r="AT347">
        <f>IF($Y347="",0,IFERROR(INDEX(อัตราค่าขนส่ง!$G$5:$G$204,MATCH($Y347,อัตราค่าขนส่ง!$M$5:$M$204,0)),0))</f>
        <v/>
      </c>
      <c r="AU347">
        <f>ROUND($AS347*$BD347,2)</f>
        <v/>
      </c>
      <c r="AV347">
        <f>ROUND($AU347*$BF$2/100,2)</f>
        <v/>
      </c>
      <c r="AW347">
        <f>IF($Y347="","",IFERROR(INDEX(อัตราค่าขนส่ง!$F$5:$F$204,MATCH($Y347,อัตราค่าขนส่ง!$M$5:$M$204,0)),""))</f>
        <v/>
      </c>
      <c r="AX347">
        <f>IF($W347="","",INDEX(บันทึกรายเที่ยว!$D$6:$D$6005,$W347))</f>
        <v/>
      </c>
      <c r="AY347">
        <f>IF($W347="","",INDEX(บันทึกรายเที่ยว!$R$6:$R$6005,$W347))</f>
        <v/>
      </c>
      <c r="AZ347">
        <f>IF(AND($AD347="T",$AQ347=1),N($AZ346)+1,N($AZ346))</f>
        <v/>
      </c>
      <c r="BA347">
        <f>IF($W347="","",INDEX(บันทึกรายเที่ยว!$E$6:$E$6005,$W347))</f>
        <v/>
      </c>
      <c r="BC347">
        <f>IF($Y347="",0,IFERROR(INDEX(อัตราค่าขนส่ง!$K$5:$K$204,MATCH($Y347,อัตราค่าขนส่ง!$M$5:$M$204,0)),0))</f>
        <v/>
      </c>
      <c r="BD347">
        <f>IF($Y347="",0,IFERROR(INDEX(อัตราค่าขนส่ง!$L$5:$L$204,MATCH($Y347,อัตราค่าขนส่ง!$M$5:$M$204,0)),0))</f>
        <v/>
      </c>
    </row>
    <row r="348" ht="21" customHeight="1" s="66">
      <c r="A348" s="69">
        <f>IF($AD348="","",IF($AD348="Z","รวมจ่ายทั้งสิ้น",IF($AD348="H",INDEX($X$5:$X$404,$AC348),IF($AD348="T","รวม",IF($AD348="B",IFERROR(INDEX(อัตราค่าขนส่ง!$S$5:$S$14,MATCH(INDEX($AM$5:$AM$404,$AC348),อัตราค่าขนส่ง!$R$5:$R$14,0)),"รวมกลุ่ม "&amp;INDEX($AM$5:$AM$404,$AC348)),INDEX($AY$5:$AY$404,$AC348))))))</f>
        <v/>
      </c>
      <c r="B348" s="31">
        <f>IF($AD348&lt;&gt;"D","",INDEX($AW$5:$AW$404,$AC348))</f>
        <v/>
      </c>
      <c r="C348" s="68">
        <f>IF($AD348&lt;&gt;"D","",INDEX($AX$5:$AX$404,$AC348))</f>
        <v/>
      </c>
      <c r="D348" s="70">
        <f>IF($AD348&lt;&gt;"D","",INDEX($BA$5:$BA$404,$AC348))</f>
        <v/>
      </c>
      <c r="E348" s="31">
        <f>IF($AD348="Z",SUM($AR$5:$AR$404),IF($AD348="D",INDEX($AR$5:$AR$404,$AC348),IF($AD348="T",SUMIF($X$5:$X$404,$AF348,$AR$5:$AR$404),IF($AD348="B",SUMIF($AN$5:$AN$404,$AQ348,$AR$5:$AR$404),""))))</f>
        <v/>
      </c>
      <c r="F348" s="32">
        <f>IF($AD348="Z",ROUND(SUM($AS$5:$AS$404),2),IF($AD348="D",INDEX($AS$5:$AS$404,$AC348),IF($AD348="T",ROUND(SUMIF($X$5:$X$404,$AF348,$AS$5:$AS$404),2),IF($AD348="B",ROUND(SUMIF($AN$5:$AN$404,$AQ348,$AS$5:$AS$404),2),""))))</f>
        <v/>
      </c>
      <c r="G348" s="32">
        <f>IF($AD348&lt;&gt;"D","",INDEX($AT$5:$AT$404,$AC348))</f>
        <v/>
      </c>
      <c r="H348" s="32">
        <f>IF($AD348&lt;&gt;"D","",INDEX($BC$5:$BC$404,$AC348))</f>
        <v/>
      </c>
      <c r="I348" s="32">
        <f>IF($AD348&lt;&gt;"D","",INDEX($BD$5:$BD$404,$AC348))</f>
        <v/>
      </c>
      <c r="J348" s="46">
        <f>IF($AD348&lt;&gt;"D","",IF(N($B348)=0,"",ROUND($I348/$B348,4)))</f>
        <v/>
      </c>
      <c r="K348" s="32">
        <f>IF($AD348="Z",ROUND(SUM($AU$5:$AU$404),2),IF($AD348="D",INDEX($AU$5:$AU$404,$AC348),IF($AD348="T",ROUND(SUMIF($X$5:$X$404,$AF348,$AU$5:$AU$404),2),IF($AD348="B",ROUND(SUMIF($AN$5:$AN$404,$AQ348,$AU$5:$AU$404),2),""))))</f>
        <v/>
      </c>
      <c r="L348" s="32">
        <f>IF($AD348="Z",ROUND(SUM($AV$5:$AV$404),2),IF($AD348="D",INDEX($AV$5:$AV$404,$AC348),IF($AD348="T",ROUND(SUMIF($X$5:$X$404,$AF348,$AV$5:$AV$404),2),IF($AD348="B",ROUND(SUMIF($AN$5:$AN$404,$AQ348,$AV$5:$AV$404),2),""))))</f>
        <v/>
      </c>
      <c r="M348" s="32">
        <f>IF($AD348="Z",ROUND(SUM($AJ$5:$AJ$704),2),IF($AD348="B",ROUND(SUMIF($AQ$5:$AQ$704,$AQ348,$AJ$5:$AJ$704),2),IF($AD348&lt;&gt;"T","",$AJ348)))</f>
        <v/>
      </c>
      <c r="N348" s="32">
        <f>IF(OR($AD348="D",$AD348="T",$AD348="B",$AD348="Z"),ROUND(N($K348)-N($L348)-N($M348),2),"")</f>
        <v/>
      </c>
      <c r="O348" s="32">
        <f>IF(OR($AD348="D",$AD348="T",$AD348="B",$AD348="Z"),IF(N($E348)=0,"",ROUND($F348/$E348,2)),"")</f>
        <v/>
      </c>
      <c r="Q348">
        <f>IFERROR(MATCH(344,บันทึกรายเที่ยว!$Z$6:$Z$6005,0),"")</f>
        <v/>
      </c>
      <c r="R348">
        <f>IF($Q348="","",INDEX(บันทึกรายเที่ยว!$V$6:$V$6005,$Q348))</f>
        <v/>
      </c>
      <c r="S348">
        <f>IF($Q348="","",INDEX(บันทึกรายเที่ยว!$F$6:$F$6005,$Q348))</f>
        <v/>
      </c>
      <c r="T348">
        <f>IF($Q348="","",MATCH($S348,บันทึกรายเที่ยว!$F$6:$F$6005,0))</f>
        <v/>
      </c>
      <c r="U348">
        <f>IF($Q348="","",$AL348*10000000+$T348*1000+344)</f>
        <v/>
      </c>
      <c r="V348">
        <f>IFERROR(MATCH(SMALL($U$5:$U$404,344),$U$5:$U$404,0),"")</f>
        <v/>
      </c>
      <c r="W348">
        <f>IF($V348="","",INDEX($Q$5:$Q$404,$V348))</f>
        <v/>
      </c>
      <c r="X348">
        <f>IF($V348="","",INDEX($S$5:$S$404,$V348))</f>
        <v/>
      </c>
      <c r="Y348">
        <f>IF($V348="","",INDEX($R$5:$R$404,$V348))</f>
        <v/>
      </c>
      <c r="Z348">
        <f>IF($V348="",0,IF($X348&lt;&gt;$X347,1,0))</f>
        <v/>
      </c>
      <c r="AA348">
        <f>IF($V348="",0,IF($V349="",1,IF($X349&lt;&gt;$X348,1,0)))</f>
        <v/>
      </c>
      <c r="AB348">
        <f>IF($V348="",99999+344,$AB347+1+$Z347+$AA347+$AO347)</f>
        <v/>
      </c>
      <c r="AC348">
        <f>IFERROR(MATCH(344,$AB$5:$AB$404,1),"")</f>
        <v/>
      </c>
      <c r="AD348">
        <f>IF(344=$AI$1+1,"Z",IF($AC348="","",IF(INDEX($V$5:$V$404,$AC348)="","",IF(344&gt;INDEX($AB$5:$AB$404,$AC348)+INDEX($Z$5:$Z$404,$AC348)+INDEX($AA$5:$AA$404,$AC348)+INDEX($AO$5:$AO$404,$AC348),"",IF(344=INDEX($AB$5:$AB$404,$AC348)+INDEX($Z$5:$Z$404,$AC348),"D",IF(AND(INDEX($Z$5:$Z$404,$AC348)=1,344=INDEX($AB$5:$AB$404,$AC348)),"H",IF(AND(INDEX($AO$5:$AO$404,$AC348)=1,344=INDEX($AB$5:$AB$404,$AC348)+INDEX($Z$5:$Z$404,$AC348)+INDEX($AA$5:$AA$404,$AC348)+INDEX($AO$5:$AO$404,$AC348)),"B","T")))))))</f>
        <v/>
      </c>
      <c r="AF348">
        <f>IF(OR($AD348="",$AD348="Z",$AD348="B"),"",INDEX($X$5:$X$404,$AC348))</f>
        <v/>
      </c>
      <c r="AJ348">
        <f>IF($AD348&lt;&gt;"T",0,ROUND(SUMIF(oil!$B$4:$B$63,$AF348,oil!$AE$4:$AE$63),2))</f>
        <v/>
      </c>
      <c r="AK348">
        <f>IF($S348="","",IFERROR(INDEX(อัตราค่าขนส่ง!$P$5:$P$54,MATCH($S348,อัตราค่าขนส่ง!$O$5:$O$54,0)),INDEX(รายการมาตรฐาน!$G$2:$G$3,1)))</f>
        <v/>
      </c>
      <c r="AL348">
        <f>IF($S348="","",IFERROR(MATCH($AK348,รายการมาตรฐาน!$G$2:$G$3,0),1))</f>
        <v/>
      </c>
      <c r="AM348">
        <f>IF($V348="","",INDEX($AK$5:$AK$404,$V348))</f>
        <v/>
      </c>
      <c r="AN348">
        <f>IF($V348="","",INDEX($AL$5:$AL$404,$V348))</f>
        <v/>
      </c>
      <c r="AO348">
        <f>IF(OR($V348="",$AI$2&lt;=1),0,IF($V349="",1,IF($AN349&lt;&gt;$AN348,1,0)))</f>
        <v/>
      </c>
      <c r="AP348">
        <f>IF($V348="",0,IF($AN348&lt;&gt;$AN347,1,0))</f>
        <v/>
      </c>
      <c r="AQ348">
        <f>IF(OR($AD348="",$AD348="Z"),"",INDEX($AN$5:$AN$404,$AC348))</f>
        <v/>
      </c>
      <c r="AR348">
        <f>IF($Y348="",0,COUNTIF(บันทึกรายเที่ยว!$V$6:$V$6005,$Y348))</f>
        <v/>
      </c>
      <c r="AS348">
        <f>IF($Y348="",0,ROUND(SUMIF(บันทึกรายเที่ยว!$V$6:$V$6005,$Y348,บันทึกรายเที่ยว!$M$6:$M$6005),2))</f>
        <v/>
      </c>
      <c r="AT348">
        <f>IF($Y348="",0,IFERROR(INDEX(อัตราค่าขนส่ง!$G$5:$G$204,MATCH($Y348,อัตราค่าขนส่ง!$M$5:$M$204,0)),0))</f>
        <v/>
      </c>
      <c r="AU348">
        <f>ROUND($AS348*$BD348,2)</f>
        <v/>
      </c>
      <c r="AV348">
        <f>ROUND($AU348*$BF$2/100,2)</f>
        <v/>
      </c>
      <c r="AW348">
        <f>IF($Y348="","",IFERROR(INDEX(อัตราค่าขนส่ง!$F$5:$F$204,MATCH($Y348,อัตราค่าขนส่ง!$M$5:$M$204,0)),""))</f>
        <v/>
      </c>
      <c r="AX348">
        <f>IF($W348="","",INDEX(บันทึกรายเที่ยว!$D$6:$D$6005,$W348))</f>
        <v/>
      </c>
      <c r="AY348">
        <f>IF($W348="","",INDEX(บันทึกรายเที่ยว!$R$6:$R$6005,$W348))</f>
        <v/>
      </c>
      <c r="AZ348">
        <f>IF(AND($AD348="T",$AQ348=1),N($AZ347)+1,N($AZ347))</f>
        <v/>
      </c>
      <c r="BA348">
        <f>IF($W348="","",INDEX(บันทึกรายเที่ยว!$E$6:$E$6005,$W348))</f>
        <v/>
      </c>
      <c r="BC348">
        <f>IF($Y348="",0,IFERROR(INDEX(อัตราค่าขนส่ง!$K$5:$K$204,MATCH($Y348,อัตราค่าขนส่ง!$M$5:$M$204,0)),0))</f>
        <v/>
      </c>
      <c r="BD348">
        <f>IF($Y348="",0,IFERROR(INDEX(อัตราค่าขนส่ง!$L$5:$L$204,MATCH($Y348,อัตราค่าขนส่ง!$M$5:$M$204,0)),0))</f>
        <v/>
      </c>
    </row>
    <row r="349" ht="21" customHeight="1" s="66">
      <c r="A349" s="69">
        <f>IF($AD349="","",IF($AD349="Z","รวมจ่ายทั้งสิ้น",IF($AD349="H",INDEX($X$5:$X$404,$AC349),IF($AD349="T","รวม",IF($AD349="B",IFERROR(INDEX(อัตราค่าขนส่ง!$S$5:$S$14,MATCH(INDEX($AM$5:$AM$404,$AC349),อัตราค่าขนส่ง!$R$5:$R$14,0)),"รวมกลุ่ม "&amp;INDEX($AM$5:$AM$404,$AC349)),INDEX($AY$5:$AY$404,$AC349))))))</f>
        <v/>
      </c>
      <c r="B349" s="31">
        <f>IF($AD349&lt;&gt;"D","",INDEX($AW$5:$AW$404,$AC349))</f>
        <v/>
      </c>
      <c r="C349" s="68">
        <f>IF($AD349&lt;&gt;"D","",INDEX($AX$5:$AX$404,$AC349))</f>
        <v/>
      </c>
      <c r="D349" s="70">
        <f>IF($AD349&lt;&gt;"D","",INDEX($BA$5:$BA$404,$AC349))</f>
        <v/>
      </c>
      <c r="E349" s="31">
        <f>IF($AD349="Z",SUM($AR$5:$AR$404),IF($AD349="D",INDEX($AR$5:$AR$404,$AC349),IF($AD349="T",SUMIF($X$5:$X$404,$AF349,$AR$5:$AR$404),IF($AD349="B",SUMIF($AN$5:$AN$404,$AQ349,$AR$5:$AR$404),""))))</f>
        <v/>
      </c>
      <c r="F349" s="32">
        <f>IF($AD349="Z",ROUND(SUM($AS$5:$AS$404),2),IF($AD349="D",INDEX($AS$5:$AS$404,$AC349),IF($AD349="T",ROUND(SUMIF($X$5:$X$404,$AF349,$AS$5:$AS$404),2),IF($AD349="B",ROUND(SUMIF($AN$5:$AN$404,$AQ349,$AS$5:$AS$404),2),""))))</f>
        <v/>
      </c>
      <c r="G349" s="32">
        <f>IF($AD349&lt;&gt;"D","",INDEX($AT$5:$AT$404,$AC349))</f>
        <v/>
      </c>
      <c r="H349" s="32">
        <f>IF($AD349&lt;&gt;"D","",INDEX($BC$5:$BC$404,$AC349))</f>
        <v/>
      </c>
      <c r="I349" s="32">
        <f>IF($AD349&lt;&gt;"D","",INDEX($BD$5:$BD$404,$AC349))</f>
        <v/>
      </c>
      <c r="J349" s="46">
        <f>IF($AD349&lt;&gt;"D","",IF(N($B349)=0,"",ROUND($I349/$B349,4)))</f>
        <v/>
      </c>
      <c r="K349" s="32">
        <f>IF($AD349="Z",ROUND(SUM($AU$5:$AU$404),2),IF($AD349="D",INDEX($AU$5:$AU$404,$AC349),IF($AD349="T",ROUND(SUMIF($X$5:$X$404,$AF349,$AU$5:$AU$404),2),IF($AD349="B",ROUND(SUMIF($AN$5:$AN$404,$AQ349,$AU$5:$AU$404),2),""))))</f>
        <v/>
      </c>
      <c r="L349" s="32">
        <f>IF($AD349="Z",ROUND(SUM($AV$5:$AV$404),2),IF($AD349="D",INDEX($AV$5:$AV$404,$AC349),IF($AD349="T",ROUND(SUMIF($X$5:$X$404,$AF349,$AV$5:$AV$404),2),IF($AD349="B",ROUND(SUMIF($AN$5:$AN$404,$AQ349,$AV$5:$AV$404),2),""))))</f>
        <v/>
      </c>
      <c r="M349" s="32">
        <f>IF($AD349="Z",ROUND(SUM($AJ$5:$AJ$704),2),IF($AD349="B",ROUND(SUMIF($AQ$5:$AQ$704,$AQ349,$AJ$5:$AJ$704),2),IF($AD349&lt;&gt;"T","",$AJ349)))</f>
        <v/>
      </c>
      <c r="N349" s="32">
        <f>IF(OR($AD349="D",$AD349="T",$AD349="B",$AD349="Z"),ROUND(N($K349)-N($L349)-N($M349),2),"")</f>
        <v/>
      </c>
      <c r="O349" s="32">
        <f>IF(OR($AD349="D",$AD349="T",$AD349="B",$AD349="Z"),IF(N($E349)=0,"",ROUND($F349/$E349,2)),"")</f>
        <v/>
      </c>
      <c r="Q349">
        <f>IFERROR(MATCH(345,บันทึกรายเที่ยว!$Z$6:$Z$6005,0),"")</f>
        <v/>
      </c>
      <c r="R349">
        <f>IF($Q349="","",INDEX(บันทึกรายเที่ยว!$V$6:$V$6005,$Q349))</f>
        <v/>
      </c>
      <c r="S349">
        <f>IF($Q349="","",INDEX(บันทึกรายเที่ยว!$F$6:$F$6005,$Q349))</f>
        <v/>
      </c>
      <c r="T349">
        <f>IF($Q349="","",MATCH($S349,บันทึกรายเที่ยว!$F$6:$F$6005,0))</f>
        <v/>
      </c>
      <c r="U349">
        <f>IF($Q349="","",$AL349*10000000+$T349*1000+345)</f>
        <v/>
      </c>
      <c r="V349">
        <f>IFERROR(MATCH(SMALL($U$5:$U$404,345),$U$5:$U$404,0),"")</f>
        <v/>
      </c>
      <c r="W349">
        <f>IF($V349="","",INDEX($Q$5:$Q$404,$V349))</f>
        <v/>
      </c>
      <c r="X349">
        <f>IF($V349="","",INDEX($S$5:$S$404,$V349))</f>
        <v/>
      </c>
      <c r="Y349">
        <f>IF($V349="","",INDEX($R$5:$R$404,$V349))</f>
        <v/>
      </c>
      <c r="Z349">
        <f>IF($V349="",0,IF($X349&lt;&gt;$X348,1,0))</f>
        <v/>
      </c>
      <c r="AA349">
        <f>IF($V349="",0,IF($V350="",1,IF($X350&lt;&gt;$X349,1,0)))</f>
        <v/>
      </c>
      <c r="AB349">
        <f>IF($V349="",99999+345,$AB348+1+$Z348+$AA348+$AO348)</f>
        <v/>
      </c>
      <c r="AC349">
        <f>IFERROR(MATCH(345,$AB$5:$AB$404,1),"")</f>
        <v/>
      </c>
      <c r="AD349">
        <f>IF(345=$AI$1+1,"Z",IF($AC349="","",IF(INDEX($V$5:$V$404,$AC349)="","",IF(345&gt;INDEX($AB$5:$AB$404,$AC349)+INDEX($Z$5:$Z$404,$AC349)+INDEX($AA$5:$AA$404,$AC349)+INDEX($AO$5:$AO$404,$AC349),"",IF(345=INDEX($AB$5:$AB$404,$AC349)+INDEX($Z$5:$Z$404,$AC349),"D",IF(AND(INDEX($Z$5:$Z$404,$AC349)=1,345=INDEX($AB$5:$AB$404,$AC349)),"H",IF(AND(INDEX($AO$5:$AO$404,$AC349)=1,345=INDEX($AB$5:$AB$404,$AC349)+INDEX($Z$5:$Z$404,$AC349)+INDEX($AA$5:$AA$404,$AC349)+INDEX($AO$5:$AO$404,$AC349)),"B","T")))))))</f>
        <v/>
      </c>
      <c r="AF349">
        <f>IF(OR($AD349="",$AD349="Z",$AD349="B"),"",INDEX($X$5:$X$404,$AC349))</f>
        <v/>
      </c>
      <c r="AJ349">
        <f>IF($AD349&lt;&gt;"T",0,ROUND(SUMIF(oil!$B$4:$B$63,$AF349,oil!$AE$4:$AE$63),2))</f>
        <v/>
      </c>
      <c r="AK349">
        <f>IF($S349="","",IFERROR(INDEX(อัตราค่าขนส่ง!$P$5:$P$54,MATCH($S349,อัตราค่าขนส่ง!$O$5:$O$54,0)),INDEX(รายการมาตรฐาน!$G$2:$G$3,1)))</f>
        <v/>
      </c>
      <c r="AL349">
        <f>IF($S349="","",IFERROR(MATCH($AK349,รายการมาตรฐาน!$G$2:$G$3,0),1))</f>
        <v/>
      </c>
      <c r="AM349">
        <f>IF($V349="","",INDEX($AK$5:$AK$404,$V349))</f>
        <v/>
      </c>
      <c r="AN349">
        <f>IF($V349="","",INDEX($AL$5:$AL$404,$V349))</f>
        <v/>
      </c>
      <c r="AO349">
        <f>IF(OR($V349="",$AI$2&lt;=1),0,IF($V350="",1,IF($AN350&lt;&gt;$AN349,1,0)))</f>
        <v/>
      </c>
      <c r="AP349">
        <f>IF($V349="",0,IF($AN349&lt;&gt;$AN348,1,0))</f>
        <v/>
      </c>
      <c r="AQ349">
        <f>IF(OR($AD349="",$AD349="Z"),"",INDEX($AN$5:$AN$404,$AC349))</f>
        <v/>
      </c>
      <c r="AR349">
        <f>IF($Y349="",0,COUNTIF(บันทึกรายเที่ยว!$V$6:$V$6005,$Y349))</f>
        <v/>
      </c>
      <c r="AS349">
        <f>IF($Y349="",0,ROUND(SUMIF(บันทึกรายเที่ยว!$V$6:$V$6005,$Y349,บันทึกรายเที่ยว!$M$6:$M$6005),2))</f>
        <v/>
      </c>
      <c r="AT349">
        <f>IF($Y349="",0,IFERROR(INDEX(อัตราค่าขนส่ง!$G$5:$G$204,MATCH($Y349,อัตราค่าขนส่ง!$M$5:$M$204,0)),0))</f>
        <v/>
      </c>
      <c r="AU349">
        <f>ROUND($AS349*$BD349,2)</f>
        <v/>
      </c>
      <c r="AV349">
        <f>ROUND($AU349*$BF$2/100,2)</f>
        <v/>
      </c>
      <c r="AW349">
        <f>IF($Y349="","",IFERROR(INDEX(อัตราค่าขนส่ง!$F$5:$F$204,MATCH($Y349,อัตราค่าขนส่ง!$M$5:$M$204,0)),""))</f>
        <v/>
      </c>
      <c r="AX349">
        <f>IF($W349="","",INDEX(บันทึกรายเที่ยว!$D$6:$D$6005,$W349))</f>
        <v/>
      </c>
      <c r="AY349">
        <f>IF($W349="","",INDEX(บันทึกรายเที่ยว!$R$6:$R$6005,$W349))</f>
        <v/>
      </c>
      <c r="AZ349">
        <f>IF(AND($AD349="T",$AQ349=1),N($AZ348)+1,N($AZ348))</f>
        <v/>
      </c>
      <c r="BA349">
        <f>IF($W349="","",INDEX(บันทึกรายเที่ยว!$E$6:$E$6005,$W349))</f>
        <v/>
      </c>
      <c r="BC349">
        <f>IF($Y349="",0,IFERROR(INDEX(อัตราค่าขนส่ง!$K$5:$K$204,MATCH($Y349,อัตราค่าขนส่ง!$M$5:$M$204,0)),0))</f>
        <v/>
      </c>
      <c r="BD349">
        <f>IF($Y349="",0,IFERROR(INDEX(อัตราค่าขนส่ง!$L$5:$L$204,MATCH($Y349,อัตราค่าขนส่ง!$M$5:$M$204,0)),0))</f>
        <v/>
      </c>
    </row>
    <row r="350" ht="21" customHeight="1" s="66">
      <c r="A350" s="69">
        <f>IF($AD350="","",IF($AD350="Z","รวมจ่ายทั้งสิ้น",IF($AD350="H",INDEX($X$5:$X$404,$AC350),IF($AD350="T","รวม",IF($AD350="B",IFERROR(INDEX(อัตราค่าขนส่ง!$S$5:$S$14,MATCH(INDEX($AM$5:$AM$404,$AC350),อัตราค่าขนส่ง!$R$5:$R$14,0)),"รวมกลุ่ม "&amp;INDEX($AM$5:$AM$404,$AC350)),INDEX($AY$5:$AY$404,$AC350))))))</f>
        <v/>
      </c>
      <c r="B350" s="31">
        <f>IF($AD350&lt;&gt;"D","",INDEX($AW$5:$AW$404,$AC350))</f>
        <v/>
      </c>
      <c r="C350" s="68">
        <f>IF($AD350&lt;&gt;"D","",INDEX($AX$5:$AX$404,$AC350))</f>
        <v/>
      </c>
      <c r="D350" s="70">
        <f>IF($AD350&lt;&gt;"D","",INDEX($BA$5:$BA$404,$AC350))</f>
        <v/>
      </c>
      <c r="E350" s="31">
        <f>IF($AD350="Z",SUM($AR$5:$AR$404),IF($AD350="D",INDEX($AR$5:$AR$404,$AC350),IF($AD350="T",SUMIF($X$5:$X$404,$AF350,$AR$5:$AR$404),IF($AD350="B",SUMIF($AN$5:$AN$404,$AQ350,$AR$5:$AR$404),""))))</f>
        <v/>
      </c>
      <c r="F350" s="32">
        <f>IF($AD350="Z",ROUND(SUM($AS$5:$AS$404),2),IF($AD350="D",INDEX($AS$5:$AS$404,$AC350),IF($AD350="T",ROUND(SUMIF($X$5:$X$404,$AF350,$AS$5:$AS$404),2),IF($AD350="B",ROUND(SUMIF($AN$5:$AN$404,$AQ350,$AS$5:$AS$404),2),""))))</f>
        <v/>
      </c>
      <c r="G350" s="32">
        <f>IF($AD350&lt;&gt;"D","",INDEX($AT$5:$AT$404,$AC350))</f>
        <v/>
      </c>
      <c r="H350" s="32">
        <f>IF($AD350&lt;&gt;"D","",INDEX($BC$5:$BC$404,$AC350))</f>
        <v/>
      </c>
      <c r="I350" s="32">
        <f>IF($AD350&lt;&gt;"D","",INDEX($BD$5:$BD$404,$AC350))</f>
        <v/>
      </c>
      <c r="J350" s="46">
        <f>IF($AD350&lt;&gt;"D","",IF(N($B350)=0,"",ROUND($I350/$B350,4)))</f>
        <v/>
      </c>
      <c r="K350" s="32">
        <f>IF($AD350="Z",ROUND(SUM($AU$5:$AU$404),2),IF($AD350="D",INDEX($AU$5:$AU$404,$AC350),IF($AD350="T",ROUND(SUMIF($X$5:$X$404,$AF350,$AU$5:$AU$404),2),IF($AD350="B",ROUND(SUMIF($AN$5:$AN$404,$AQ350,$AU$5:$AU$404),2),""))))</f>
        <v/>
      </c>
      <c r="L350" s="32">
        <f>IF($AD350="Z",ROUND(SUM($AV$5:$AV$404),2),IF($AD350="D",INDEX($AV$5:$AV$404,$AC350),IF($AD350="T",ROUND(SUMIF($X$5:$X$404,$AF350,$AV$5:$AV$404),2),IF($AD350="B",ROUND(SUMIF($AN$5:$AN$404,$AQ350,$AV$5:$AV$404),2),""))))</f>
        <v/>
      </c>
      <c r="M350" s="32">
        <f>IF($AD350="Z",ROUND(SUM($AJ$5:$AJ$704),2),IF($AD350="B",ROUND(SUMIF($AQ$5:$AQ$704,$AQ350,$AJ$5:$AJ$704),2),IF($AD350&lt;&gt;"T","",$AJ350)))</f>
        <v/>
      </c>
      <c r="N350" s="32">
        <f>IF(OR($AD350="D",$AD350="T",$AD350="B",$AD350="Z"),ROUND(N($K350)-N($L350)-N($M350),2),"")</f>
        <v/>
      </c>
      <c r="O350" s="32">
        <f>IF(OR($AD350="D",$AD350="T",$AD350="B",$AD350="Z"),IF(N($E350)=0,"",ROUND($F350/$E350,2)),"")</f>
        <v/>
      </c>
      <c r="Q350">
        <f>IFERROR(MATCH(346,บันทึกรายเที่ยว!$Z$6:$Z$6005,0),"")</f>
        <v/>
      </c>
      <c r="R350">
        <f>IF($Q350="","",INDEX(บันทึกรายเที่ยว!$V$6:$V$6005,$Q350))</f>
        <v/>
      </c>
      <c r="S350">
        <f>IF($Q350="","",INDEX(บันทึกรายเที่ยว!$F$6:$F$6005,$Q350))</f>
        <v/>
      </c>
      <c r="T350">
        <f>IF($Q350="","",MATCH($S350,บันทึกรายเที่ยว!$F$6:$F$6005,0))</f>
        <v/>
      </c>
      <c r="U350">
        <f>IF($Q350="","",$AL350*10000000+$T350*1000+346)</f>
        <v/>
      </c>
      <c r="V350">
        <f>IFERROR(MATCH(SMALL($U$5:$U$404,346),$U$5:$U$404,0),"")</f>
        <v/>
      </c>
      <c r="W350">
        <f>IF($V350="","",INDEX($Q$5:$Q$404,$V350))</f>
        <v/>
      </c>
      <c r="X350">
        <f>IF($V350="","",INDEX($S$5:$S$404,$V350))</f>
        <v/>
      </c>
      <c r="Y350">
        <f>IF($V350="","",INDEX($R$5:$R$404,$V350))</f>
        <v/>
      </c>
      <c r="Z350">
        <f>IF($V350="",0,IF($X350&lt;&gt;$X349,1,0))</f>
        <v/>
      </c>
      <c r="AA350">
        <f>IF($V350="",0,IF($V351="",1,IF($X351&lt;&gt;$X350,1,0)))</f>
        <v/>
      </c>
      <c r="AB350">
        <f>IF($V350="",99999+346,$AB349+1+$Z349+$AA349+$AO349)</f>
        <v/>
      </c>
      <c r="AC350">
        <f>IFERROR(MATCH(346,$AB$5:$AB$404,1),"")</f>
        <v/>
      </c>
      <c r="AD350">
        <f>IF(346=$AI$1+1,"Z",IF($AC350="","",IF(INDEX($V$5:$V$404,$AC350)="","",IF(346&gt;INDEX($AB$5:$AB$404,$AC350)+INDEX($Z$5:$Z$404,$AC350)+INDEX($AA$5:$AA$404,$AC350)+INDEX($AO$5:$AO$404,$AC350),"",IF(346=INDEX($AB$5:$AB$404,$AC350)+INDEX($Z$5:$Z$404,$AC350),"D",IF(AND(INDEX($Z$5:$Z$404,$AC350)=1,346=INDEX($AB$5:$AB$404,$AC350)),"H",IF(AND(INDEX($AO$5:$AO$404,$AC350)=1,346=INDEX($AB$5:$AB$404,$AC350)+INDEX($Z$5:$Z$404,$AC350)+INDEX($AA$5:$AA$404,$AC350)+INDEX($AO$5:$AO$404,$AC350)),"B","T")))))))</f>
        <v/>
      </c>
      <c r="AF350">
        <f>IF(OR($AD350="",$AD350="Z",$AD350="B"),"",INDEX($X$5:$X$404,$AC350))</f>
        <v/>
      </c>
      <c r="AJ350">
        <f>IF($AD350&lt;&gt;"T",0,ROUND(SUMIF(oil!$B$4:$B$63,$AF350,oil!$AE$4:$AE$63),2))</f>
        <v/>
      </c>
      <c r="AK350">
        <f>IF($S350="","",IFERROR(INDEX(อัตราค่าขนส่ง!$P$5:$P$54,MATCH($S350,อัตราค่าขนส่ง!$O$5:$O$54,0)),INDEX(รายการมาตรฐาน!$G$2:$G$3,1)))</f>
        <v/>
      </c>
      <c r="AL350">
        <f>IF($S350="","",IFERROR(MATCH($AK350,รายการมาตรฐาน!$G$2:$G$3,0),1))</f>
        <v/>
      </c>
      <c r="AM350">
        <f>IF($V350="","",INDEX($AK$5:$AK$404,$V350))</f>
        <v/>
      </c>
      <c r="AN350">
        <f>IF($V350="","",INDEX($AL$5:$AL$404,$V350))</f>
        <v/>
      </c>
      <c r="AO350">
        <f>IF(OR($V350="",$AI$2&lt;=1),0,IF($V351="",1,IF($AN351&lt;&gt;$AN350,1,0)))</f>
        <v/>
      </c>
      <c r="AP350">
        <f>IF($V350="",0,IF($AN350&lt;&gt;$AN349,1,0))</f>
        <v/>
      </c>
      <c r="AQ350">
        <f>IF(OR($AD350="",$AD350="Z"),"",INDEX($AN$5:$AN$404,$AC350))</f>
        <v/>
      </c>
      <c r="AR350">
        <f>IF($Y350="",0,COUNTIF(บันทึกรายเที่ยว!$V$6:$V$6005,$Y350))</f>
        <v/>
      </c>
      <c r="AS350">
        <f>IF($Y350="",0,ROUND(SUMIF(บันทึกรายเที่ยว!$V$6:$V$6005,$Y350,บันทึกรายเที่ยว!$M$6:$M$6005),2))</f>
        <v/>
      </c>
      <c r="AT350">
        <f>IF($Y350="",0,IFERROR(INDEX(อัตราค่าขนส่ง!$G$5:$G$204,MATCH($Y350,อัตราค่าขนส่ง!$M$5:$M$204,0)),0))</f>
        <v/>
      </c>
      <c r="AU350">
        <f>ROUND($AS350*$BD350,2)</f>
        <v/>
      </c>
      <c r="AV350">
        <f>ROUND($AU350*$BF$2/100,2)</f>
        <v/>
      </c>
      <c r="AW350">
        <f>IF($Y350="","",IFERROR(INDEX(อัตราค่าขนส่ง!$F$5:$F$204,MATCH($Y350,อัตราค่าขนส่ง!$M$5:$M$204,0)),""))</f>
        <v/>
      </c>
      <c r="AX350">
        <f>IF($W350="","",INDEX(บันทึกรายเที่ยว!$D$6:$D$6005,$W350))</f>
        <v/>
      </c>
      <c r="AY350">
        <f>IF($W350="","",INDEX(บันทึกรายเที่ยว!$R$6:$R$6005,$W350))</f>
        <v/>
      </c>
      <c r="AZ350">
        <f>IF(AND($AD350="T",$AQ350=1),N($AZ349)+1,N($AZ349))</f>
        <v/>
      </c>
      <c r="BA350">
        <f>IF($W350="","",INDEX(บันทึกรายเที่ยว!$E$6:$E$6005,$W350))</f>
        <v/>
      </c>
      <c r="BC350">
        <f>IF($Y350="",0,IFERROR(INDEX(อัตราค่าขนส่ง!$K$5:$K$204,MATCH($Y350,อัตราค่าขนส่ง!$M$5:$M$204,0)),0))</f>
        <v/>
      </c>
      <c r="BD350">
        <f>IF($Y350="",0,IFERROR(INDEX(อัตราค่าขนส่ง!$L$5:$L$204,MATCH($Y350,อัตราค่าขนส่ง!$M$5:$M$204,0)),0))</f>
        <v/>
      </c>
    </row>
    <row r="351" ht="21" customHeight="1" s="66">
      <c r="A351" s="69">
        <f>IF($AD351="","",IF($AD351="Z","รวมจ่ายทั้งสิ้น",IF($AD351="H",INDEX($X$5:$X$404,$AC351),IF($AD351="T","รวม",IF($AD351="B",IFERROR(INDEX(อัตราค่าขนส่ง!$S$5:$S$14,MATCH(INDEX($AM$5:$AM$404,$AC351),อัตราค่าขนส่ง!$R$5:$R$14,0)),"รวมกลุ่ม "&amp;INDEX($AM$5:$AM$404,$AC351)),INDEX($AY$5:$AY$404,$AC351))))))</f>
        <v/>
      </c>
      <c r="B351" s="31">
        <f>IF($AD351&lt;&gt;"D","",INDEX($AW$5:$AW$404,$AC351))</f>
        <v/>
      </c>
      <c r="C351" s="68">
        <f>IF($AD351&lt;&gt;"D","",INDEX($AX$5:$AX$404,$AC351))</f>
        <v/>
      </c>
      <c r="D351" s="70">
        <f>IF($AD351&lt;&gt;"D","",INDEX($BA$5:$BA$404,$AC351))</f>
        <v/>
      </c>
      <c r="E351" s="31">
        <f>IF($AD351="Z",SUM($AR$5:$AR$404),IF($AD351="D",INDEX($AR$5:$AR$404,$AC351),IF($AD351="T",SUMIF($X$5:$X$404,$AF351,$AR$5:$AR$404),IF($AD351="B",SUMIF($AN$5:$AN$404,$AQ351,$AR$5:$AR$404),""))))</f>
        <v/>
      </c>
      <c r="F351" s="32">
        <f>IF($AD351="Z",ROUND(SUM($AS$5:$AS$404),2),IF($AD351="D",INDEX($AS$5:$AS$404,$AC351),IF($AD351="T",ROUND(SUMIF($X$5:$X$404,$AF351,$AS$5:$AS$404),2),IF($AD351="B",ROUND(SUMIF($AN$5:$AN$404,$AQ351,$AS$5:$AS$404),2),""))))</f>
        <v/>
      </c>
      <c r="G351" s="32">
        <f>IF($AD351&lt;&gt;"D","",INDEX($AT$5:$AT$404,$AC351))</f>
        <v/>
      </c>
      <c r="H351" s="32">
        <f>IF($AD351&lt;&gt;"D","",INDEX($BC$5:$BC$404,$AC351))</f>
        <v/>
      </c>
      <c r="I351" s="32">
        <f>IF($AD351&lt;&gt;"D","",INDEX($BD$5:$BD$404,$AC351))</f>
        <v/>
      </c>
      <c r="J351" s="46">
        <f>IF($AD351&lt;&gt;"D","",IF(N($B351)=0,"",ROUND($I351/$B351,4)))</f>
        <v/>
      </c>
      <c r="K351" s="32">
        <f>IF($AD351="Z",ROUND(SUM($AU$5:$AU$404),2),IF($AD351="D",INDEX($AU$5:$AU$404,$AC351),IF($AD351="T",ROUND(SUMIF($X$5:$X$404,$AF351,$AU$5:$AU$404),2),IF($AD351="B",ROUND(SUMIF($AN$5:$AN$404,$AQ351,$AU$5:$AU$404),2),""))))</f>
        <v/>
      </c>
      <c r="L351" s="32">
        <f>IF($AD351="Z",ROUND(SUM($AV$5:$AV$404),2),IF($AD351="D",INDEX($AV$5:$AV$404,$AC351),IF($AD351="T",ROUND(SUMIF($X$5:$X$404,$AF351,$AV$5:$AV$404),2),IF($AD351="B",ROUND(SUMIF($AN$5:$AN$404,$AQ351,$AV$5:$AV$404),2),""))))</f>
        <v/>
      </c>
      <c r="M351" s="32">
        <f>IF($AD351="Z",ROUND(SUM($AJ$5:$AJ$704),2),IF($AD351="B",ROUND(SUMIF($AQ$5:$AQ$704,$AQ351,$AJ$5:$AJ$704),2),IF($AD351&lt;&gt;"T","",$AJ351)))</f>
        <v/>
      </c>
      <c r="N351" s="32">
        <f>IF(OR($AD351="D",$AD351="T",$AD351="B",$AD351="Z"),ROUND(N($K351)-N($L351)-N($M351),2),"")</f>
        <v/>
      </c>
      <c r="O351" s="32">
        <f>IF(OR($AD351="D",$AD351="T",$AD351="B",$AD351="Z"),IF(N($E351)=0,"",ROUND($F351/$E351,2)),"")</f>
        <v/>
      </c>
      <c r="Q351">
        <f>IFERROR(MATCH(347,บันทึกรายเที่ยว!$Z$6:$Z$6005,0),"")</f>
        <v/>
      </c>
      <c r="R351">
        <f>IF($Q351="","",INDEX(บันทึกรายเที่ยว!$V$6:$V$6005,$Q351))</f>
        <v/>
      </c>
      <c r="S351">
        <f>IF($Q351="","",INDEX(บันทึกรายเที่ยว!$F$6:$F$6005,$Q351))</f>
        <v/>
      </c>
      <c r="T351">
        <f>IF($Q351="","",MATCH($S351,บันทึกรายเที่ยว!$F$6:$F$6005,0))</f>
        <v/>
      </c>
      <c r="U351">
        <f>IF($Q351="","",$AL351*10000000+$T351*1000+347)</f>
        <v/>
      </c>
      <c r="V351">
        <f>IFERROR(MATCH(SMALL($U$5:$U$404,347),$U$5:$U$404,0),"")</f>
        <v/>
      </c>
      <c r="W351">
        <f>IF($V351="","",INDEX($Q$5:$Q$404,$V351))</f>
        <v/>
      </c>
      <c r="X351">
        <f>IF($V351="","",INDEX($S$5:$S$404,$V351))</f>
        <v/>
      </c>
      <c r="Y351">
        <f>IF($V351="","",INDEX($R$5:$R$404,$V351))</f>
        <v/>
      </c>
      <c r="Z351">
        <f>IF($V351="",0,IF($X351&lt;&gt;$X350,1,0))</f>
        <v/>
      </c>
      <c r="AA351">
        <f>IF($V351="",0,IF($V352="",1,IF($X352&lt;&gt;$X351,1,0)))</f>
        <v/>
      </c>
      <c r="AB351">
        <f>IF($V351="",99999+347,$AB350+1+$Z350+$AA350+$AO350)</f>
        <v/>
      </c>
      <c r="AC351">
        <f>IFERROR(MATCH(347,$AB$5:$AB$404,1),"")</f>
        <v/>
      </c>
      <c r="AD351">
        <f>IF(347=$AI$1+1,"Z",IF($AC351="","",IF(INDEX($V$5:$V$404,$AC351)="","",IF(347&gt;INDEX($AB$5:$AB$404,$AC351)+INDEX($Z$5:$Z$404,$AC351)+INDEX($AA$5:$AA$404,$AC351)+INDEX($AO$5:$AO$404,$AC351),"",IF(347=INDEX($AB$5:$AB$404,$AC351)+INDEX($Z$5:$Z$404,$AC351),"D",IF(AND(INDEX($Z$5:$Z$404,$AC351)=1,347=INDEX($AB$5:$AB$404,$AC351)),"H",IF(AND(INDEX($AO$5:$AO$404,$AC351)=1,347=INDEX($AB$5:$AB$404,$AC351)+INDEX($Z$5:$Z$404,$AC351)+INDEX($AA$5:$AA$404,$AC351)+INDEX($AO$5:$AO$404,$AC351)),"B","T")))))))</f>
        <v/>
      </c>
      <c r="AF351">
        <f>IF(OR($AD351="",$AD351="Z",$AD351="B"),"",INDEX($X$5:$X$404,$AC351))</f>
        <v/>
      </c>
      <c r="AJ351">
        <f>IF($AD351&lt;&gt;"T",0,ROUND(SUMIF(oil!$B$4:$B$63,$AF351,oil!$AE$4:$AE$63),2))</f>
        <v/>
      </c>
      <c r="AK351">
        <f>IF($S351="","",IFERROR(INDEX(อัตราค่าขนส่ง!$P$5:$P$54,MATCH($S351,อัตราค่าขนส่ง!$O$5:$O$54,0)),INDEX(รายการมาตรฐาน!$G$2:$G$3,1)))</f>
        <v/>
      </c>
      <c r="AL351">
        <f>IF($S351="","",IFERROR(MATCH($AK351,รายการมาตรฐาน!$G$2:$G$3,0),1))</f>
        <v/>
      </c>
      <c r="AM351">
        <f>IF($V351="","",INDEX($AK$5:$AK$404,$V351))</f>
        <v/>
      </c>
      <c r="AN351">
        <f>IF($V351="","",INDEX($AL$5:$AL$404,$V351))</f>
        <v/>
      </c>
      <c r="AO351">
        <f>IF(OR($V351="",$AI$2&lt;=1),0,IF($V352="",1,IF($AN352&lt;&gt;$AN351,1,0)))</f>
        <v/>
      </c>
      <c r="AP351">
        <f>IF($V351="",0,IF($AN351&lt;&gt;$AN350,1,0))</f>
        <v/>
      </c>
      <c r="AQ351">
        <f>IF(OR($AD351="",$AD351="Z"),"",INDEX($AN$5:$AN$404,$AC351))</f>
        <v/>
      </c>
      <c r="AR351">
        <f>IF($Y351="",0,COUNTIF(บันทึกรายเที่ยว!$V$6:$V$6005,$Y351))</f>
        <v/>
      </c>
      <c r="AS351">
        <f>IF($Y351="",0,ROUND(SUMIF(บันทึกรายเที่ยว!$V$6:$V$6005,$Y351,บันทึกรายเที่ยว!$M$6:$M$6005),2))</f>
        <v/>
      </c>
      <c r="AT351">
        <f>IF($Y351="",0,IFERROR(INDEX(อัตราค่าขนส่ง!$G$5:$G$204,MATCH($Y351,อัตราค่าขนส่ง!$M$5:$M$204,0)),0))</f>
        <v/>
      </c>
      <c r="AU351">
        <f>ROUND($AS351*$BD351,2)</f>
        <v/>
      </c>
      <c r="AV351">
        <f>ROUND($AU351*$BF$2/100,2)</f>
        <v/>
      </c>
      <c r="AW351">
        <f>IF($Y351="","",IFERROR(INDEX(อัตราค่าขนส่ง!$F$5:$F$204,MATCH($Y351,อัตราค่าขนส่ง!$M$5:$M$204,0)),""))</f>
        <v/>
      </c>
      <c r="AX351">
        <f>IF($W351="","",INDEX(บันทึกรายเที่ยว!$D$6:$D$6005,$W351))</f>
        <v/>
      </c>
      <c r="AY351">
        <f>IF($W351="","",INDEX(บันทึกรายเที่ยว!$R$6:$R$6005,$W351))</f>
        <v/>
      </c>
      <c r="AZ351">
        <f>IF(AND($AD351="T",$AQ351=1),N($AZ350)+1,N($AZ350))</f>
        <v/>
      </c>
      <c r="BA351">
        <f>IF($W351="","",INDEX(บันทึกรายเที่ยว!$E$6:$E$6005,$W351))</f>
        <v/>
      </c>
      <c r="BC351">
        <f>IF($Y351="",0,IFERROR(INDEX(อัตราค่าขนส่ง!$K$5:$K$204,MATCH($Y351,อัตราค่าขนส่ง!$M$5:$M$204,0)),0))</f>
        <v/>
      </c>
      <c r="BD351">
        <f>IF($Y351="",0,IFERROR(INDEX(อัตราค่าขนส่ง!$L$5:$L$204,MATCH($Y351,อัตราค่าขนส่ง!$M$5:$M$204,0)),0))</f>
        <v/>
      </c>
    </row>
    <row r="352" ht="21" customHeight="1" s="66">
      <c r="A352" s="69">
        <f>IF($AD352="","",IF($AD352="Z","รวมจ่ายทั้งสิ้น",IF($AD352="H",INDEX($X$5:$X$404,$AC352),IF($AD352="T","รวม",IF($AD352="B",IFERROR(INDEX(อัตราค่าขนส่ง!$S$5:$S$14,MATCH(INDEX($AM$5:$AM$404,$AC352),อัตราค่าขนส่ง!$R$5:$R$14,0)),"รวมกลุ่ม "&amp;INDEX($AM$5:$AM$404,$AC352)),INDEX($AY$5:$AY$404,$AC352))))))</f>
        <v/>
      </c>
      <c r="B352" s="31">
        <f>IF($AD352&lt;&gt;"D","",INDEX($AW$5:$AW$404,$AC352))</f>
        <v/>
      </c>
      <c r="C352" s="68">
        <f>IF($AD352&lt;&gt;"D","",INDEX($AX$5:$AX$404,$AC352))</f>
        <v/>
      </c>
      <c r="D352" s="70">
        <f>IF($AD352&lt;&gt;"D","",INDEX($BA$5:$BA$404,$AC352))</f>
        <v/>
      </c>
      <c r="E352" s="31">
        <f>IF($AD352="Z",SUM($AR$5:$AR$404),IF($AD352="D",INDEX($AR$5:$AR$404,$AC352),IF($AD352="T",SUMIF($X$5:$X$404,$AF352,$AR$5:$AR$404),IF($AD352="B",SUMIF($AN$5:$AN$404,$AQ352,$AR$5:$AR$404),""))))</f>
        <v/>
      </c>
      <c r="F352" s="32">
        <f>IF($AD352="Z",ROUND(SUM($AS$5:$AS$404),2),IF($AD352="D",INDEX($AS$5:$AS$404,$AC352),IF($AD352="T",ROUND(SUMIF($X$5:$X$404,$AF352,$AS$5:$AS$404),2),IF($AD352="B",ROUND(SUMIF($AN$5:$AN$404,$AQ352,$AS$5:$AS$404),2),""))))</f>
        <v/>
      </c>
      <c r="G352" s="32">
        <f>IF($AD352&lt;&gt;"D","",INDEX($AT$5:$AT$404,$AC352))</f>
        <v/>
      </c>
      <c r="H352" s="32">
        <f>IF($AD352&lt;&gt;"D","",INDEX($BC$5:$BC$404,$AC352))</f>
        <v/>
      </c>
      <c r="I352" s="32">
        <f>IF($AD352&lt;&gt;"D","",INDEX($BD$5:$BD$404,$AC352))</f>
        <v/>
      </c>
      <c r="J352" s="46">
        <f>IF($AD352&lt;&gt;"D","",IF(N($B352)=0,"",ROUND($I352/$B352,4)))</f>
        <v/>
      </c>
      <c r="K352" s="32">
        <f>IF($AD352="Z",ROUND(SUM($AU$5:$AU$404),2),IF($AD352="D",INDEX($AU$5:$AU$404,$AC352),IF($AD352="T",ROUND(SUMIF($X$5:$X$404,$AF352,$AU$5:$AU$404),2),IF($AD352="B",ROUND(SUMIF($AN$5:$AN$404,$AQ352,$AU$5:$AU$404),2),""))))</f>
        <v/>
      </c>
      <c r="L352" s="32">
        <f>IF($AD352="Z",ROUND(SUM($AV$5:$AV$404),2),IF($AD352="D",INDEX($AV$5:$AV$404,$AC352),IF($AD352="T",ROUND(SUMIF($X$5:$X$404,$AF352,$AV$5:$AV$404),2),IF($AD352="B",ROUND(SUMIF($AN$5:$AN$404,$AQ352,$AV$5:$AV$404),2),""))))</f>
        <v/>
      </c>
      <c r="M352" s="32">
        <f>IF($AD352="Z",ROUND(SUM($AJ$5:$AJ$704),2),IF($AD352="B",ROUND(SUMIF($AQ$5:$AQ$704,$AQ352,$AJ$5:$AJ$704),2),IF($AD352&lt;&gt;"T","",$AJ352)))</f>
        <v/>
      </c>
      <c r="N352" s="32">
        <f>IF(OR($AD352="D",$AD352="T",$AD352="B",$AD352="Z"),ROUND(N($K352)-N($L352)-N($M352),2),"")</f>
        <v/>
      </c>
      <c r="O352" s="32">
        <f>IF(OR($AD352="D",$AD352="T",$AD352="B",$AD352="Z"),IF(N($E352)=0,"",ROUND($F352/$E352,2)),"")</f>
        <v/>
      </c>
      <c r="Q352">
        <f>IFERROR(MATCH(348,บันทึกรายเที่ยว!$Z$6:$Z$6005,0),"")</f>
        <v/>
      </c>
      <c r="R352">
        <f>IF($Q352="","",INDEX(บันทึกรายเที่ยว!$V$6:$V$6005,$Q352))</f>
        <v/>
      </c>
      <c r="S352">
        <f>IF($Q352="","",INDEX(บันทึกรายเที่ยว!$F$6:$F$6005,$Q352))</f>
        <v/>
      </c>
      <c r="T352">
        <f>IF($Q352="","",MATCH($S352,บันทึกรายเที่ยว!$F$6:$F$6005,0))</f>
        <v/>
      </c>
      <c r="U352">
        <f>IF($Q352="","",$AL352*10000000+$T352*1000+348)</f>
        <v/>
      </c>
      <c r="V352">
        <f>IFERROR(MATCH(SMALL($U$5:$U$404,348),$U$5:$U$404,0),"")</f>
        <v/>
      </c>
      <c r="W352">
        <f>IF($V352="","",INDEX($Q$5:$Q$404,$V352))</f>
        <v/>
      </c>
      <c r="X352">
        <f>IF($V352="","",INDEX($S$5:$S$404,$V352))</f>
        <v/>
      </c>
      <c r="Y352">
        <f>IF($V352="","",INDEX($R$5:$R$404,$V352))</f>
        <v/>
      </c>
      <c r="Z352">
        <f>IF($V352="",0,IF($X352&lt;&gt;$X351,1,0))</f>
        <v/>
      </c>
      <c r="AA352">
        <f>IF($V352="",0,IF($V353="",1,IF($X353&lt;&gt;$X352,1,0)))</f>
        <v/>
      </c>
      <c r="AB352">
        <f>IF($V352="",99999+348,$AB351+1+$Z351+$AA351+$AO351)</f>
        <v/>
      </c>
      <c r="AC352">
        <f>IFERROR(MATCH(348,$AB$5:$AB$404,1),"")</f>
        <v/>
      </c>
      <c r="AD352">
        <f>IF(348=$AI$1+1,"Z",IF($AC352="","",IF(INDEX($V$5:$V$404,$AC352)="","",IF(348&gt;INDEX($AB$5:$AB$404,$AC352)+INDEX($Z$5:$Z$404,$AC352)+INDEX($AA$5:$AA$404,$AC352)+INDEX($AO$5:$AO$404,$AC352),"",IF(348=INDEX($AB$5:$AB$404,$AC352)+INDEX($Z$5:$Z$404,$AC352),"D",IF(AND(INDEX($Z$5:$Z$404,$AC352)=1,348=INDEX($AB$5:$AB$404,$AC352)),"H",IF(AND(INDEX($AO$5:$AO$404,$AC352)=1,348=INDEX($AB$5:$AB$404,$AC352)+INDEX($Z$5:$Z$404,$AC352)+INDEX($AA$5:$AA$404,$AC352)+INDEX($AO$5:$AO$404,$AC352)),"B","T")))))))</f>
        <v/>
      </c>
      <c r="AF352">
        <f>IF(OR($AD352="",$AD352="Z",$AD352="B"),"",INDEX($X$5:$X$404,$AC352))</f>
        <v/>
      </c>
      <c r="AJ352">
        <f>IF($AD352&lt;&gt;"T",0,ROUND(SUMIF(oil!$B$4:$B$63,$AF352,oil!$AE$4:$AE$63),2))</f>
        <v/>
      </c>
      <c r="AK352">
        <f>IF($S352="","",IFERROR(INDEX(อัตราค่าขนส่ง!$P$5:$P$54,MATCH($S352,อัตราค่าขนส่ง!$O$5:$O$54,0)),INDEX(รายการมาตรฐาน!$G$2:$G$3,1)))</f>
        <v/>
      </c>
      <c r="AL352">
        <f>IF($S352="","",IFERROR(MATCH($AK352,รายการมาตรฐาน!$G$2:$G$3,0),1))</f>
        <v/>
      </c>
      <c r="AM352">
        <f>IF($V352="","",INDEX($AK$5:$AK$404,$V352))</f>
        <v/>
      </c>
      <c r="AN352">
        <f>IF($V352="","",INDEX($AL$5:$AL$404,$V352))</f>
        <v/>
      </c>
      <c r="AO352">
        <f>IF(OR($V352="",$AI$2&lt;=1),0,IF($V353="",1,IF($AN353&lt;&gt;$AN352,1,0)))</f>
        <v/>
      </c>
      <c r="AP352">
        <f>IF($V352="",0,IF($AN352&lt;&gt;$AN351,1,0))</f>
        <v/>
      </c>
      <c r="AQ352">
        <f>IF(OR($AD352="",$AD352="Z"),"",INDEX($AN$5:$AN$404,$AC352))</f>
        <v/>
      </c>
      <c r="AR352">
        <f>IF($Y352="",0,COUNTIF(บันทึกรายเที่ยว!$V$6:$V$6005,$Y352))</f>
        <v/>
      </c>
      <c r="AS352">
        <f>IF($Y352="",0,ROUND(SUMIF(บันทึกรายเที่ยว!$V$6:$V$6005,$Y352,บันทึกรายเที่ยว!$M$6:$M$6005),2))</f>
        <v/>
      </c>
      <c r="AT352">
        <f>IF($Y352="",0,IFERROR(INDEX(อัตราค่าขนส่ง!$G$5:$G$204,MATCH($Y352,อัตราค่าขนส่ง!$M$5:$M$204,0)),0))</f>
        <v/>
      </c>
      <c r="AU352">
        <f>ROUND($AS352*$BD352,2)</f>
        <v/>
      </c>
      <c r="AV352">
        <f>ROUND($AU352*$BF$2/100,2)</f>
        <v/>
      </c>
      <c r="AW352">
        <f>IF($Y352="","",IFERROR(INDEX(อัตราค่าขนส่ง!$F$5:$F$204,MATCH($Y352,อัตราค่าขนส่ง!$M$5:$M$204,0)),""))</f>
        <v/>
      </c>
      <c r="AX352">
        <f>IF($W352="","",INDEX(บันทึกรายเที่ยว!$D$6:$D$6005,$W352))</f>
        <v/>
      </c>
      <c r="AY352">
        <f>IF($W352="","",INDEX(บันทึกรายเที่ยว!$R$6:$R$6005,$W352))</f>
        <v/>
      </c>
      <c r="AZ352">
        <f>IF(AND($AD352="T",$AQ352=1),N($AZ351)+1,N($AZ351))</f>
        <v/>
      </c>
      <c r="BA352">
        <f>IF($W352="","",INDEX(บันทึกรายเที่ยว!$E$6:$E$6005,$W352))</f>
        <v/>
      </c>
      <c r="BC352">
        <f>IF($Y352="",0,IFERROR(INDEX(อัตราค่าขนส่ง!$K$5:$K$204,MATCH($Y352,อัตราค่าขนส่ง!$M$5:$M$204,0)),0))</f>
        <v/>
      </c>
      <c r="BD352">
        <f>IF($Y352="",0,IFERROR(INDEX(อัตราค่าขนส่ง!$L$5:$L$204,MATCH($Y352,อัตราค่าขนส่ง!$M$5:$M$204,0)),0))</f>
        <v/>
      </c>
    </row>
    <row r="353" ht="21" customHeight="1" s="66">
      <c r="A353" s="69">
        <f>IF($AD353="","",IF($AD353="Z","รวมจ่ายทั้งสิ้น",IF($AD353="H",INDEX($X$5:$X$404,$AC353),IF($AD353="T","รวม",IF($AD353="B",IFERROR(INDEX(อัตราค่าขนส่ง!$S$5:$S$14,MATCH(INDEX($AM$5:$AM$404,$AC353),อัตราค่าขนส่ง!$R$5:$R$14,0)),"รวมกลุ่ม "&amp;INDEX($AM$5:$AM$404,$AC353)),INDEX($AY$5:$AY$404,$AC353))))))</f>
        <v/>
      </c>
      <c r="B353" s="31">
        <f>IF($AD353&lt;&gt;"D","",INDEX($AW$5:$AW$404,$AC353))</f>
        <v/>
      </c>
      <c r="C353" s="68">
        <f>IF($AD353&lt;&gt;"D","",INDEX($AX$5:$AX$404,$AC353))</f>
        <v/>
      </c>
      <c r="D353" s="70">
        <f>IF($AD353&lt;&gt;"D","",INDEX($BA$5:$BA$404,$AC353))</f>
        <v/>
      </c>
      <c r="E353" s="31">
        <f>IF($AD353="Z",SUM($AR$5:$AR$404),IF($AD353="D",INDEX($AR$5:$AR$404,$AC353),IF($AD353="T",SUMIF($X$5:$X$404,$AF353,$AR$5:$AR$404),IF($AD353="B",SUMIF($AN$5:$AN$404,$AQ353,$AR$5:$AR$404),""))))</f>
        <v/>
      </c>
      <c r="F353" s="32">
        <f>IF($AD353="Z",ROUND(SUM($AS$5:$AS$404),2),IF($AD353="D",INDEX($AS$5:$AS$404,$AC353),IF($AD353="T",ROUND(SUMIF($X$5:$X$404,$AF353,$AS$5:$AS$404),2),IF($AD353="B",ROUND(SUMIF($AN$5:$AN$404,$AQ353,$AS$5:$AS$404),2),""))))</f>
        <v/>
      </c>
      <c r="G353" s="32">
        <f>IF($AD353&lt;&gt;"D","",INDEX($AT$5:$AT$404,$AC353))</f>
        <v/>
      </c>
      <c r="H353" s="32">
        <f>IF($AD353&lt;&gt;"D","",INDEX($BC$5:$BC$404,$AC353))</f>
        <v/>
      </c>
      <c r="I353" s="32">
        <f>IF($AD353&lt;&gt;"D","",INDEX($BD$5:$BD$404,$AC353))</f>
        <v/>
      </c>
      <c r="J353" s="46">
        <f>IF($AD353&lt;&gt;"D","",IF(N($B353)=0,"",ROUND($I353/$B353,4)))</f>
        <v/>
      </c>
      <c r="K353" s="32">
        <f>IF($AD353="Z",ROUND(SUM($AU$5:$AU$404),2),IF($AD353="D",INDEX($AU$5:$AU$404,$AC353),IF($AD353="T",ROUND(SUMIF($X$5:$X$404,$AF353,$AU$5:$AU$404),2),IF($AD353="B",ROUND(SUMIF($AN$5:$AN$404,$AQ353,$AU$5:$AU$404),2),""))))</f>
        <v/>
      </c>
      <c r="L353" s="32">
        <f>IF($AD353="Z",ROUND(SUM($AV$5:$AV$404),2),IF($AD353="D",INDEX($AV$5:$AV$404,$AC353),IF($AD353="T",ROUND(SUMIF($X$5:$X$404,$AF353,$AV$5:$AV$404),2),IF($AD353="B",ROUND(SUMIF($AN$5:$AN$404,$AQ353,$AV$5:$AV$404),2),""))))</f>
        <v/>
      </c>
      <c r="M353" s="32">
        <f>IF($AD353="Z",ROUND(SUM($AJ$5:$AJ$704),2),IF($AD353="B",ROUND(SUMIF($AQ$5:$AQ$704,$AQ353,$AJ$5:$AJ$704),2),IF($AD353&lt;&gt;"T","",$AJ353)))</f>
        <v/>
      </c>
      <c r="N353" s="32">
        <f>IF(OR($AD353="D",$AD353="T",$AD353="B",$AD353="Z"),ROUND(N($K353)-N($L353)-N($M353),2),"")</f>
        <v/>
      </c>
      <c r="O353" s="32">
        <f>IF(OR($AD353="D",$AD353="T",$AD353="B",$AD353="Z"),IF(N($E353)=0,"",ROUND($F353/$E353,2)),"")</f>
        <v/>
      </c>
      <c r="Q353">
        <f>IFERROR(MATCH(349,บันทึกรายเที่ยว!$Z$6:$Z$6005,0),"")</f>
        <v/>
      </c>
      <c r="R353">
        <f>IF($Q353="","",INDEX(บันทึกรายเที่ยว!$V$6:$V$6005,$Q353))</f>
        <v/>
      </c>
      <c r="S353">
        <f>IF($Q353="","",INDEX(บันทึกรายเที่ยว!$F$6:$F$6005,$Q353))</f>
        <v/>
      </c>
      <c r="T353">
        <f>IF($Q353="","",MATCH($S353,บันทึกรายเที่ยว!$F$6:$F$6005,0))</f>
        <v/>
      </c>
      <c r="U353">
        <f>IF($Q353="","",$AL353*10000000+$T353*1000+349)</f>
        <v/>
      </c>
      <c r="V353">
        <f>IFERROR(MATCH(SMALL($U$5:$U$404,349),$U$5:$U$404,0),"")</f>
        <v/>
      </c>
      <c r="W353">
        <f>IF($V353="","",INDEX($Q$5:$Q$404,$V353))</f>
        <v/>
      </c>
      <c r="X353">
        <f>IF($V353="","",INDEX($S$5:$S$404,$V353))</f>
        <v/>
      </c>
      <c r="Y353">
        <f>IF($V353="","",INDEX($R$5:$R$404,$V353))</f>
        <v/>
      </c>
      <c r="Z353">
        <f>IF($V353="",0,IF($X353&lt;&gt;$X352,1,0))</f>
        <v/>
      </c>
      <c r="AA353">
        <f>IF($V353="",0,IF($V354="",1,IF($X354&lt;&gt;$X353,1,0)))</f>
        <v/>
      </c>
      <c r="AB353">
        <f>IF($V353="",99999+349,$AB352+1+$Z352+$AA352+$AO352)</f>
        <v/>
      </c>
      <c r="AC353">
        <f>IFERROR(MATCH(349,$AB$5:$AB$404,1),"")</f>
        <v/>
      </c>
      <c r="AD353">
        <f>IF(349=$AI$1+1,"Z",IF($AC353="","",IF(INDEX($V$5:$V$404,$AC353)="","",IF(349&gt;INDEX($AB$5:$AB$404,$AC353)+INDEX($Z$5:$Z$404,$AC353)+INDEX($AA$5:$AA$404,$AC353)+INDEX($AO$5:$AO$404,$AC353),"",IF(349=INDEX($AB$5:$AB$404,$AC353)+INDEX($Z$5:$Z$404,$AC353),"D",IF(AND(INDEX($Z$5:$Z$404,$AC353)=1,349=INDEX($AB$5:$AB$404,$AC353)),"H",IF(AND(INDEX($AO$5:$AO$404,$AC353)=1,349=INDEX($AB$5:$AB$404,$AC353)+INDEX($Z$5:$Z$404,$AC353)+INDEX($AA$5:$AA$404,$AC353)+INDEX($AO$5:$AO$404,$AC353)),"B","T")))))))</f>
        <v/>
      </c>
      <c r="AF353">
        <f>IF(OR($AD353="",$AD353="Z",$AD353="B"),"",INDEX($X$5:$X$404,$AC353))</f>
        <v/>
      </c>
      <c r="AJ353">
        <f>IF($AD353&lt;&gt;"T",0,ROUND(SUMIF(oil!$B$4:$B$63,$AF353,oil!$AE$4:$AE$63),2))</f>
        <v/>
      </c>
      <c r="AK353">
        <f>IF($S353="","",IFERROR(INDEX(อัตราค่าขนส่ง!$P$5:$P$54,MATCH($S353,อัตราค่าขนส่ง!$O$5:$O$54,0)),INDEX(รายการมาตรฐาน!$G$2:$G$3,1)))</f>
        <v/>
      </c>
      <c r="AL353">
        <f>IF($S353="","",IFERROR(MATCH($AK353,รายการมาตรฐาน!$G$2:$G$3,0),1))</f>
        <v/>
      </c>
      <c r="AM353">
        <f>IF($V353="","",INDEX($AK$5:$AK$404,$V353))</f>
        <v/>
      </c>
      <c r="AN353">
        <f>IF($V353="","",INDEX($AL$5:$AL$404,$V353))</f>
        <v/>
      </c>
      <c r="AO353">
        <f>IF(OR($V353="",$AI$2&lt;=1),0,IF($V354="",1,IF($AN354&lt;&gt;$AN353,1,0)))</f>
        <v/>
      </c>
      <c r="AP353">
        <f>IF($V353="",0,IF($AN353&lt;&gt;$AN352,1,0))</f>
        <v/>
      </c>
      <c r="AQ353">
        <f>IF(OR($AD353="",$AD353="Z"),"",INDEX($AN$5:$AN$404,$AC353))</f>
        <v/>
      </c>
      <c r="AR353">
        <f>IF($Y353="",0,COUNTIF(บันทึกรายเที่ยว!$V$6:$V$6005,$Y353))</f>
        <v/>
      </c>
      <c r="AS353">
        <f>IF($Y353="",0,ROUND(SUMIF(บันทึกรายเที่ยว!$V$6:$V$6005,$Y353,บันทึกรายเที่ยว!$M$6:$M$6005),2))</f>
        <v/>
      </c>
      <c r="AT353">
        <f>IF($Y353="",0,IFERROR(INDEX(อัตราค่าขนส่ง!$G$5:$G$204,MATCH($Y353,อัตราค่าขนส่ง!$M$5:$M$204,0)),0))</f>
        <v/>
      </c>
      <c r="AU353">
        <f>ROUND($AS353*$BD353,2)</f>
        <v/>
      </c>
      <c r="AV353">
        <f>ROUND($AU353*$BF$2/100,2)</f>
        <v/>
      </c>
      <c r="AW353">
        <f>IF($Y353="","",IFERROR(INDEX(อัตราค่าขนส่ง!$F$5:$F$204,MATCH($Y353,อัตราค่าขนส่ง!$M$5:$M$204,0)),""))</f>
        <v/>
      </c>
      <c r="AX353">
        <f>IF($W353="","",INDEX(บันทึกรายเที่ยว!$D$6:$D$6005,$W353))</f>
        <v/>
      </c>
      <c r="AY353">
        <f>IF($W353="","",INDEX(บันทึกรายเที่ยว!$R$6:$R$6005,$W353))</f>
        <v/>
      </c>
      <c r="AZ353">
        <f>IF(AND($AD353="T",$AQ353=1),N($AZ352)+1,N($AZ352))</f>
        <v/>
      </c>
      <c r="BA353">
        <f>IF($W353="","",INDEX(บันทึกรายเที่ยว!$E$6:$E$6005,$W353))</f>
        <v/>
      </c>
      <c r="BC353">
        <f>IF($Y353="",0,IFERROR(INDEX(อัตราค่าขนส่ง!$K$5:$K$204,MATCH($Y353,อัตราค่าขนส่ง!$M$5:$M$204,0)),0))</f>
        <v/>
      </c>
      <c r="BD353">
        <f>IF($Y353="",0,IFERROR(INDEX(อัตราค่าขนส่ง!$L$5:$L$204,MATCH($Y353,อัตราค่าขนส่ง!$M$5:$M$204,0)),0))</f>
        <v/>
      </c>
    </row>
    <row r="354" ht="21" customHeight="1" s="66">
      <c r="A354" s="69">
        <f>IF($AD354="","",IF($AD354="Z","รวมจ่ายทั้งสิ้น",IF($AD354="H",INDEX($X$5:$X$404,$AC354),IF($AD354="T","รวม",IF($AD354="B",IFERROR(INDEX(อัตราค่าขนส่ง!$S$5:$S$14,MATCH(INDEX($AM$5:$AM$404,$AC354),อัตราค่าขนส่ง!$R$5:$R$14,0)),"รวมกลุ่ม "&amp;INDEX($AM$5:$AM$404,$AC354)),INDEX($AY$5:$AY$404,$AC354))))))</f>
        <v/>
      </c>
      <c r="B354" s="31">
        <f>IF($AD354&lt;&gt;"D","",INDEX($AW$5:$AW$404,$AC354))</f>
        <v/>
      </c>
      <c r="C354" s="68">
        <f>IF($AD354&lt;&gt;"D","",INDEX($AX$5:$AX$404,$AC354))</f>
        <v/>
      </c>
      <c r="D354" s="70">
        <f>IF($AD354&lt;&gt;"D","",INDEX($BA$5:$BA$404,$AC354))</f>
        <v/>
      </c>
      <c r="E354" s="31">
        <f>IF($AD354="Z",SUM($AR$5:$AR$404),IF($AD354="D",INDEX($AR$5:$AR$404,$AC354),IF($AD354="T",SUMIF($X$5:$X$404,$AF354,$AR$5:$AR$404),IF($AD354="B",SUMIF($AN$5:$AN$404,$AQ354,$AR$5:$AR$404),""))))</f>
        <v/>
      </c>
      <c r="F354" s="32">
        <f>IF($AD354="Z",ROUND(SUM($AS$5:$AS$404),2),IF($AD354="D",INDEX($AS$5:$AS$404,$AC354),IF($AD354="T",ROUND(SUMIF($X$5:$X$404,$AF354,$AS$5:$AS$404),2),IF($AD354="B",ROUND(SUMIF($AN$5:$AN$404,$AQ354,$AS$5:$AS$404),2),""))))</f>
        <v/>
      </c>
      <c r="G354" s="32">
        <f>IF($AD354&lt;&gt;"D","",INDEX($AT$5:$AT$404,$AC354))</f>
        <v/>
      </c>
      <c r="H354" s="32">
        <f>IF($AD354&lt;&gt;"D","",INDEX($BC$5:$BC$404,$AC354))</f>
        <v/>
      </c>
      <c r="I354" s="32">
        <f>IF($AD354&lt;&gt;"D","",INDEX($BD$5:$BD$404,$AC354))</f>
        <v/>
      </c>
      <c r="J354" s="46">
        <f>IF($AD354&lt;&gt;"D","",IF(N($B354)=0,"",ROUND($I354/$B354,4)))</f>
        <v/>
      </c>
      <c r="K354" s="32">
        <f>IF($AD354="Z",ROUND(SUM($AU$5:$AU$404),2),IF($AD354="D",INDEX($AU$5:$AU$404,$AC354),IF($AD354="T",ROUND(SUMIF($X$5:$X$404,$AF354,$AU$5:$AU$404),2),IF($AD354="B",ROUND(SUMIF($AN$5:$AN$404,$AQ354,$AU$5:$AU$404),2),""))))</f>
        <v/>
      </c>
      <c r="L354" s="32">
        <f>IF($AD354="Z",ROUND(SUM($AV$5:$AV$404),2),IF($AD354="D",INDEX($AV$5:$AV$404,$AC354),IF($AD354="T",ROUND(SUMIF($X$5:$X$404,$AF354,$AV$5:$AV$404),2),IF($AD354="B",ROUND(SUMIF($AN$5:$AN$404,$AQ354,$AV$5:$AV$404),2),""))))</f>
        <v/>
      </c>
      <c r="M354" s="32">
        <f>IF($AD354="Z",ROUND(SUM($AJ$5:$AJ$704),2),IF($AD354="B",ROUND(SUMIF($AQ$5:$AQ$704,$AQ354,$AJ$5:$AJ$704),2),IF($AD354&lt;&gt;"T","",$AJ354)))</f>
        <v/>
      </c>
      <c r="N354" s="32">
        <f>IF(OR($AD354="D",$AD354="T",$AD354="B",$AD354="Z"),ROUND(N($K354)-N($L354)-N($M354),2),"")</f>
        <v/>
      </c>
      <c r="O354" s="32">
        <f>IF(OR($AD354="D",$AD354="T",$AD354="B",$AD354="Z"),IF(N($E354)=0,"",ROUND($F354/$E354,2)),"")</f>
        <v/>
      </c>
      <c r="Q354">
        <f>IFERROR(MATCH(350,บันทึกรายเที่ยว!$Z$6:$Z$6005,0),"")</f>
        <v/>
      </c>
      <c r="R354">
        <f>IF($Q354="","",INDEX(บันทึกรายเที่ยว!$V$6:$V$6005,$Q354))</f>
        <v/>
      </c>
      <c r="S354">
        <f>IF($Q354="","",INDEX(บันทึกรายเที่ยว!$F$6:$F$6005,$Q354))</f>
        <v/>
      </c>
      <c r="T354">
        <f>IF($Q354="","",MATCH($S354,บันทึกรายเที่ยว!$F$6:$F$6005,0))</f>
        <v/>
      </c>
      <c r="U354">
        <f>IF($Q354="","",$AL354*10000000+$T354*1000+350)</f>
        <v/>
      </c>
      <c r="V354">
        <f>IFERROR(MATCH(SMALL($U$5:$U$404,350),$U$5:$U$404,0),"")</f>
        <v/>
      </c>
      <c r="W354">
        <f>IF($V354="","",INDEX($Q$5:$Q$404,$V354))</f>
        <v/>
      </c>
      <c r="X354">
        <f>IF($V354="","",INDEX($S$5:$S$404,$V354))</f>
        <v/>
      </c>
      <c r="Y354">
        <f>IF($V354="","",INDEX($R$5:$R$404,$V354))</f>
        <v/>
      </c>
      <c r="Z354">
        <f>IF($V354="",0,IF($X354&lt;&gt;$X353,1,0))</f>
        <v/>
      </c>
      <c r="AA354">
        <f>IF($V354="",0,IF($V355="",1,IF($X355&lt;&gt;$X354,1,0)))</f>
        <v/>
      </c>
      <c r="AB354">
        <f>IF($V354="",99999+350,$AB353+1+$Z353+$AA353+$AO353)</f>
        <v/>
      </c>
      <c r="AC354">
        <f>IFERROR(MATCH(350,$AB$5:$AB$404,1),"")</f>
        <v/>
      </c>
      <c r="AD354">
        <f>IF(350=$AI$1+1,"Z",IF($AC354="","",IF(INDEX($V$5:$V$404,$AC354)="","",IF(350&gt;INDEX($AB$5:$AB$404,$AC354)+INDEX($Z$5:$Z$404,$AC354)+INDEX($AA$5:$AA$404,$AC354)+INDEX($AO$5:$AO$404,$AC354),"",IF(350=INDEX($AB$5:$AB$404,$AC354)+INDEX($Z$5:$Z$404,$AC354),"D",IF(AND(INDEX($Z$5:$Z$404,$AC354)=1,350=INDEX($AB$5:$AB$404,$AC354)),"H",IF(AND(INDEX($AO$5:$AO$404,$AC354)=1,350=INDEX($AB$5:$AB$404,$AC354)+INDEX($Z$5:$Z$404,$AC354)+INDEX($AA$5:$AA$404,$AC354)+INDEX($AO$5:$AO$404,$AC354)),"B","T")))))))</f>
        <v/>
      </c>
      <c r="AF354">
        <f>IF(OR($AD354="",$AD354="Z",$AD354="B"),"",INDEX($X$5:$X$404,$AC354))</f>
        <v/>
      </c>
      <c r="AJ354">
        <f>IF($AD354&lt;&gt;"T",0,ROUND(SUMIF(oil!$B$4:$B$63,$AF354,oil!$AE$4:$AE$63),2))</f>
        <v/>
      </c>
      <c r="AK354">
        <f>IF($S354="","",IFERROR(INDEX(อัตราค่าขนส่ง!$P$5:$P$54,MATCH($S354,อัตราค่าขนส่ง!$O$5:$O$54,0)),INDEX(รายการมาตรฐาน!$G$2:$G$3,1)))</f>
        <v/>
      </c>
      <c r="AL354">
        <f>IF($S354="","",IFERROR(MATCH($AK354,รายการมาตรฐาน!$G$2:$G$3,0),1))</f>
        <v/>
      </c>
      <c r="AM354">
        <f>IF($V354="","",INDEX($AK$5:$AK$404,$V354))</f>
        <v/>
      </c>
      <c r="AN354">
        <f>IF($V354="","",INDEX($AL$5:$AL$404,$V354))</f>
        <v/>
      </c>
      <c r="AO354">
        <f>IF(OR($V354="",$AI$2&lt;=1),0,IF($V355="",1,IF($AN355&lt;&gt;$AN354,1,0)))</f>
        <v/>
      </c>
      <c r="AP354">
        <f>IF($V354="",0,IF($AN354&lt;&gt;$AN353,1,0))</f>
        <v/>
      </c>
      <c r="AQ354">
        <f>IF(OR($AD354="",$AD354="Z"),"",INDEX($AN$5:$AN$404,$AC354))</f>
        <v/>
      </c>
      <c r="AR354">
        <f>IF($Y354="",0,COUNTIF(บันทึกรายเที่ยว!$V$6:$V$6005,$Y354))</f>
        <v/>
      </c>
      <c r="AS354">
        <f>IF($Y354="",0,ROUND(SUMIF(บันทึกรายเที่ยว!$V$6:$V$6005,$Y354,บันทึกรายเที่ยว!$M$6:$M$6005),2))</f>
        <v/>
      </c>
      <c r="AT354">
        <f>IF($Y354="",0,IFERROR(INDEX(อัตราค่าขนส่ง!$G$5:$G$204,MATCH($Y354,อัตราค่าขนส่ง!$M$5:$M$204,0)),0))</f>
        <v/>
      </c>
      <c r="AU354">
        <f>ROUND($AS354*$BD354,2)</f>
        <v/>
      </c>
      <c r="AV354">
        <f>ROUND($AU354*$BF$2/100,2)</f>
        <v/>
      </c>
      <c r="AW354">
        <f>IF($Y354="","",IFERROR(INDEX(อัตราค่าขนส่ง!$F$5:$F$204,MATCH($Y354,อัตราค่าขนส่ง!$M$5:$M$204,0)),""))</f>
        <v/>
      </c>
      <c r="AX354">
        <f>IF($W354="","",INDEX(บันทึกรายเที่ยว!$D$6:$D$6005,$W354))</f>
        <v/>
      </c>
      <c r="AY354">
        <f>IF($W354="","",INDEX(บันทึกรายเที่ยว!$R$6:$R$6005,$W354))</f>
        <v/>
      </c>
      <c r="AZ354">
        <f>IF(AND($AD354="T",$AQ354=1),N($AZ353)+1,N($AZ353))</f>
        <v/>
      </c>
      <c r="BA354">
        <f>IF($W354="","",INDEX(บันทึกรายเที่ยว!$E$6:$E$6005,$W354))</f>
        <v/>
      </c>
      <c r="BC354">
        <f>IF($Y354="",0,IFERROR(INDEX(อัตราค่าขนส่ง!$K$5:$K$204,MATCH($Y354,อัตราค่าขนส่ง!$M$5:$M$204,0)),0))</f>
        <v/>
      </c>
      <c r="BD354">
        <f>IF($Y354="",0,IFERROR(INDEX(อัตราค่าขนส่ง!$L$5:$L$204,MATCH($Y354,อัตราค่าขนส่ง!$M$5:$M$204,0)),0))</f>
        <v/>
      </c>
    </row>
    <row r="355" ht="21" customHeight="1" s="66">
      <c r="A355" s="69">
        <f>IF($AD355="","",IF($AD355="Z","รวมจ่ายทั้งสิ้น",IF($AD355="H",INDEX($X$5:$X$404,$AC355),IF($AD355="T","รวม",IF($AD355="B",IFERROR(INDEX(อัตราค่าขนส่ง!$S$5:$S$14,MATCH(INDEX($AM$5:$AM$404,$AC355),อัตราค่าขนส่ง!$R$5:$R$14,0)),"รวมกลุ่ม "&amp;INDEX($AM$5:$AM$404,$AC355)),INDEX($AY$5:$AY$404,$AC355))))))</f>
        <v/>
      </c>
      <c r="B355" s="31">
        <f>IF($AD355&lt;&gt;"D","",INDEX($AW$5:$AW$404,$AC355))</f>
        <v/>
      </c>
      <c r="C355" s="68">
        <f>IF($AD355&lt;&gt;"D","",INDEX($AX$5:$AX$404,$AC355))</f>
        <v/>
      </c>
      <c r="D355" s="70">
        <f>IF($AD355&lt;&gt;"D","",INDEX($BA$5:$BA$404,$AC355))</f>
        <v/>
      </c>
      <c r="E355" s="31">
        <f>IF($AD355="Z",SUM($AR$5:$AR$404),IF($AD355="D",INDEX($AR$5:$AR$404,$AC355),IF($AD355="T",SUMIF($X$5:$X$404,$AF355,$AR$5:$AR$404),IF($AD355="B",SUMIF($AN$5:$AN$404,$AQ355,$AR$5:$AR$404),""))))</f>
        <v/>
      </c>
      <c r="F355" s="32">
        <f>IF($AD355="Z",ROUND(SUM($AS$5:$AS$404),2),IF($AD355="D",INDEX($AS$5:$AS$404,$AC355),IF($AD355="T",ROUND(SUMIF($X$5:$X$404,$AF355,$AS$5:$AS$404),2),IF($AD355="B",ROUND(SUMIF($AN$5:$AN$404,$AQ355,$AS$5:$AS$404),2),""))))</f>
        <v/>
      </c>
      <c r="G355" s="32">
        <f>IF($AD355&lt;&gt;"D","",INDEX($AT$5:$AT$404,$AC355))</f>
        <v/>
      </c>
      <c r="H355" s="32">
        <f>IF($AD355&lt;&gt;"D","",INDEX($BC$5:$BC$404,$AC355))</f>
        <v/>
      </c>
      <c r="I355" s="32">
        <f>IF($AD355&lt;&gt;"D","",INDEX($BD$5:$BD$404,$AC355))</f>
        <v/>
      </c>
      <c r="J355" s="46">
        <f>IF($AD355&lt;&gt;"D","",IF(N($B355)=0,"",ROUND($I355/$B355,4)))</f>
        <v/>
      </c>
      <c r="K355" s="32">
        <f>IF($AD355="Z",ROUND(SUM($AU$5:$AU$404),2),IF($AD355="D",INDEX($AU$5:$AU$404,$AC355),IF($AD355="T",ROUND(SUMIF($X$5:$X$404,$AF355,$AU$5:$AU$404),2),IF($AD355="B",ROUND(SUMIF($AN$5:$AN$404,$AQ355,$AU$5:$AU$404),2),""))))</f>
        <v/>
      </c>
      <c r="L355" s="32">
        <f>IF($AD355="Z",ROUND(SUM($AV$5:$AV$404),2),IF($AD355="D",INDEX($AV$5:$AV$404,$AC355),IF($AD355="T",ROUND(SUMIF($X$5:$X$404,$AF355,$AV$5:$AV$404),2),IF($AD355="B",ROUND(SUMIF($AN$5:$AN$404,$AQ355,$AV$5:$AV$404),2),""))))</f>
        <v/>
      </c>
      <c r="M355" s="32">
        <f>IF($AD355="Z",ROUND(SUM($AJ$5:$AJ$704),2),IF($AD355="B",ROUND(SUMIF($AQ$5:$AQ$704,$AQ355,$AJ$5:$AJ$704),2),IF($AD355&lt;&gt;"T","",$AJ355)))</f>
        <v/>
      </c>
      <c r="N355" s="32">
        <f>IF(OR($AD355="D",$AD355="T",$AD355="B",$AD355="Z"),ROUND(N($K355)-N($L355)-N($M355),2),"")</f>
        <v/>
      </c>
      <c r="O355" s="32">
        <f>IF(OR($AD355="D",$AD355="T",$AD355="B",$AD355="Z"),IF(N($E355)=0,"",ROUND($F355/$E355,2)),"")</f>
        <v/>
      </c>
      <c r="Q355">
        <f>IFERROR(MATCH(351,บันทึกรายเที่ยว!$Z$6:$Z$6005,0),"")</f>
        <v/>
      </c>
      <c r="R355">
        <f>IF($Q355="","",INDEX(บันทึกรายเที่ยว!$V$6:$V$6005,$Q355))</f>
        <v/>
      </c>
      <c r="S355">
        <f>IF($Q355="","",INDEX(บันทึกรายเที่ยว!$F$6:$F$6005,$Q355))</f>
        <v/>
      </c>
      <c r="T355">
        <f>IF($Q355="","",MATCH($S355,บันทึกรายเที่ยว!$F$6:$F$6005,0))</f>
        <v/>
      </c>
      <c r="U355">
        <f>IF($Q355="","",$AL355*10000000+$T355*1000+351)</f>
        <v/>
      </c>
      <c r="V355">
        <f>IFERROR(MATCH(SMALL($U$5:$U$404,351),$U$5:$U$404,0),"")</f>
        <v/>
      </c>
      <c r="W355">
        <f>IF($V355="","",INDEX($Q$5:$Q$404,$V355))</f>
        <v/>
      </c>
      <c r="X355">
        <f>IF($V355="","",INDEX($S$5:$S$404,$V355))</f>
        <v/>
      </c>
      <c r="Y355">
        <f>IF($V355="","",INDEX($R$5:$R$404,$V355))</f>
        <v/>
      </c>
      <c r="Z355">
        <f>IF($V355="",0,IF($X355&lt;&gt;$X354,1,0))</f>
        <v/>
      </c>
      <c r="AA355">
        <f>IF($V355="",0,IF($V356="",1,IF($X356&lt;&gt;$X355,1,0)))</f>
        <v/>
      </c>
      <c r="AB355">
        <f>IF($V355="",99999+351,$AB354+1+$Z354+$AA354+$AO354)</f>
        <v/>
      </c>
      <c r="AC355">
        <f>IFERROR(MATCH(351,$AB$5:$AB$404,1),"")</f>
        <v/>
      </c>
      <c r="AD355">
        <f>IF(351=$AI$1+1,"Z",IF($AC355="","",IF(INDEX($V$5:$V$404,$AC355)="","",IF(351&gt;INDEX($AB$5:$AB$404,$AC355)+INDEX($Z$5:$Z$404,$AC355)+INDEX($AA$5:$AA$404,$AC355)+INDEX($AO$5:$AO$404,$AC355),"",IF(351=INDEX($AB$5:$AB$404,$AC355)+INDEX($Z$5:$Z$404,$AC355),"D",IF(AND(INDEX($Z$5:$Z$404,$AC355)=1,351=INDEX($AB$5:$AB$404,$AC355)),"H",IF(AND(INDEX($AO$5:$AO$404,$AC355)=1,351=INDEX($AB$5:$AB$404,$AC355)+INDEX($Z$5:$Z$404,$AC355)+INDEX($AA$5:$AA$404,$AC355)+INDEX($AO$5:$AO$404,$AC355)),"B","T")))))))</f>
        <v/>
      </c>
      <c r="AF355">
        <f>IF(OR($AD355="",$AD355="Z",$AD355="B"),"",INDEX($X$5:$X$404,$AC355))</f>
        <v/>
      </c>
      <c r="AJ355">
        <f>IF($AD355&lt;&gt;"T",0,ROUND(SUMIF(oil!$B$4:$B$63,$AF355,oil!$AE$4:$AE$63),2))</f>
        <v/>
      </c>
      <c r="AK355">
        <f>IF($S355="","",IFERROR(INDEX(อัตราค่าขนส่ง!$P$5:$P$54,MATCH($S355,อัตราค่าขนส่ง!$O$5:$O$54,0)),INDEX(รายการมาตรฐาน!$G$2:$G$3,1)))</f>
        <v/>
      </c>
      <c r="AL355">
        <f>IF($S355="","",IFERROR(MATCH($AK355,รายการมาตรฐาน!$G$2:$G$3,0),1))</f>
        <v/>
      </c>
      <c r="AM355">
        <f>IF($V355="","",INDEX($AK$5:$AK$404,$V355))</f>
        <v/>
      </c>
      <c r="AN355">
        <f>IF($V355="","",INDEX($AL$5:$AL$404,$V355))</f>
        <v/>
      </c>
      <c r="AO355">
        <f>IF(OR($V355="",$AI$2&lt;=1),0,IF($V356="",1,IF($AN356&lt;&gt;$AN355,1,0)))</f>
        <v/>
      </c>
      <c r="AP355">
        <f>IF($V355="",0,IF($AN355&lt;&gt;$AN354,1,0))</f>
        <v/>
      </c>
      <c r="AQ355">
        <f>IF(OR($AD355="",$AD355="Z"),"",INDEX($AN$5:$AN$404,$AC355))</f>
        <v/>
      </c>
      <c r="AR355">
        <f>IF($Y355="",0,COUNTIF(บันทึกรายเที่ยว!$V$6:$V$6005,$Y355))</f>
        <v/>
      </c>
      <c r="AS355">
        <f>IF($Y355="",0,ROUND(SUMIF(บันทึกรายเที่ยว!$V$6:$V$6005,$Y355,บันทึกรายเที่ยว!$M$6:$M$6005),2))</f>
        <v/>
      </c>
      <c r="AT355">
        <f>IF($Y355="",0,IFERROR(INDEX(อัตราค่าขนส่ง!$G$5:$G$204,MATCH($Y355,อัตราค่าขนส่ง!$M$5:$M$204,0)),0))</f>
        <v/>
      </c>
      <c r="AU355">
        <f>ROUND($AS355*$BD355,2)</f>
        <v/>
      </c>
      <c r="AV355">
        <f>ROUND($AU355*$BF$2/100,2)</f>
        <v/>
      </c>
      <c r="AW355">
        <f>IF($Y355="","",IFERROR(INDEX(อัตราค่าขนส่ง!$F$5:$F$204,MATCH($Y355,อัตราค่าขนส่ง!$M$5:$M$204,0)),""))</f>
        <v/>
      </c>
      <c r="AX355">
        <f>IF($W355="","",INDEX(บันทึกรายเที่ยว!$D$6:$D$6005,$W355))</f>
        <v/>
      </c>
      <c r="AY355">
        <f>IF($W355="","",INDEX(บันทึกรายเที่ยว!$R$6:$R$6005,$W355))</f>
        <v/>
      </c>
      <c r="AZ355">
        <f>IF(AND($AD355="T",$AQ355=1),N($AZ354)+1,N($AZ354))</f>
        <v/>
      </c>
      <c r="BA355">
        <f>IF($W355="","",INDEX(บันทึกรายเที่ยว!$E$6:$E$6005,$W355))</f>
        <v/>
      </c>
      <c r="BC355">
        <f>IF($Y355="",0,IFERROR(INDEX(อัตราค่าขนส่ง!$K$5:$K$204,MATCH($Y355,อัตราค่าขนส่ง!$M$5:$M$204,0)),0))</f>
        <v/>
      </c>
      <c r="BD355">
        <f>IF($Y355="",0,IFERROR(INDEX(อัตราค่าขนส่ง!$L$5:$L$204,MATCH($Y355,อัตราค่าขนส่ง!$M$5:$M$204,0)),0))</f>
        <v/>
      </c>
    </row>
    <row r="356" ht="21" customHeight="1" s="66">
      <c r="A356" s="69">
        <f>IF($AD356="","",IF($AD356="Z","รวมจ่ายทั้งสิ้น",IF($AD356="H",INDEX($X$5:$X$404,$AC356),IF($AD356="T","รวม",IF($AD356="B",IFERROR(INDEX(อัตราค่าขนส่ง!$S$5:$S$14,MATCH(INDEX($AM$5:$AM$404,$AC356),อัตราค่าขนส่ง!$R$5:$R$14,0)),"รวมกลุ่ม "&amp;INDEX($AM$5:$AM$404,$AC356)),INDEX($AY$5:$AY$404,$AC356))))))</f>
        <v/>
      </c>
      <c r="B356" s="31">
        <f>IF($AD356&lt;&gt;"D","",INDEX($AW$5:$AW$404,$AC356))</f>
        <v/>
      </c>
      <c r="C356" s="68">
        <f>IF($AD356&lt;&gt;"D","",INDEX($AX$5:$AX$404,$AC356))</f>
        <v/>
      </c>
      <c r="D356" s="70">
        <f>IF($AD356&lt;&gt;"D","",INDEX($BA$5:$BA$404,$AC356))</f>
        <v/>
      </c>
      <c r="E356" s="31">
        <f>IF($AD356="Z",SUM($AR$5:$AR$404),IF($AD356="D",INDEX($AR$5:$AR$404,$AC356),IF($AD356="T",SUMIF($X$5:$X$404,$AF356,$AR$5:$AR$404),IF($AD356="B",SUMIF($AN$5:$AN$404,$AQ356,$AR$5:$AR$404),""))))</f>
        <v/>
      </c>
      <c r="F356" s="32">
        <f>IF($AD356="Z",ROUND(SUM($AS$5:$AS$404),2),IF($AD356="D",INDEX($AS$5:$AS$404,$AC356),IF($AD356="T",ROUND(SUMIF($X$5:$X$404,$AF356,$AS$5:$AS$404),2),IF($AD356="B",ROUND(SUMIF($AN$5:$AN$404,$AQ356,$AS$5:$AS$404),2),""))))</f>
        <v/>
      </c>
      <c r="G356" s="32">
        <f>IF($AD356&lt;&gt;"D","",INDEX($AT$5:$AT$404,$AC356))</f>
        <v/>
      </c>
      <c r="H356" s="32">
        <f>IF($AD356&lt;&gt;"D","",INDEX($BC$5:$BC$404,$AC356))</f>
        <v/>
      </c>
      <c r="I356" s="32">
        <f>IF($AD356&lt;&gt;"D","",INDEX($BD$5:$BD$404,$AC356))</f>
        <v/>
      </c>
      <c r="J356" s="46">
        <f>IF($AD356&lt;&gt;"D","",IF(N($B356)=0,"",ROUND($I356/$B356,4)))</f>
        <v/>
      </c>
      <c r="K356" s="32">
        <f>IF($AD356="Z",ROUND(SUM($AU$5:$AU$404),2),IF($AD356="D",INDEX($AU$5:$AU$404,$AC356),IF($AD356="T",ROUND(SUMIF($X$5:$X$404,$AF356,$AU$5:$AU$404),2),IF($AD356="B",ROUND(SUMIF($AN$5:$AN$404,$AQ356,$AU$5:$AU$404),2),""))))</f>
        <v/>
      </c>
      <c r="L356" s="32">
        <f>IF($AD356="Z",ROUND(SUM($AV$5:$AV$404),2),IF($AD356="D",INDEX($AV$5:$AV$404,$AC356),IF($AD356="T",ROUND(SUMIF($X$5:$X$404,$AF356,$AV$5:$AV$404),2),IF($AD356="B",ROUND(SUMIF($AN$5:$AN$404,$AQ356,$AV$5:$AV$404),2),""))))</f>
        <v/>
      </c>
      <c r="M356" s="32">
        <f>IF($AD356="Z",ROUND(SUM($AJ$5:$AJ$704),2),IF($AD356="B",ROUND(SUMIF($AQ$5:$AQ$704,$AQ356,$AJ$5:$AJ$704),2),IF($AD356&lt;&gt;"T","",$AJ356)))</f>
        <v/>
      </c>
      <c r="N356" s="32">
        <f>IF(OR($AD356="D",$AD356="T",$AD356="B",$AD356="Z"),ROUND(N($K356)-N($L356)-N($M356),2),"")</f>
        <v/>
      </c>
      <c r="O356" s="32">
        <f>IF(OR($AD356="D",$AD356="T",$AD356="B",$AD356="Z"),IF(N($E356)=0,"",ROUND($F356/$E356,2)),"")</f>
        <v/>
      </c>
      <c r="Q356">
        <f>IFERROR(MATCH(352,บันทึกรายเที่ยว!$Z$6:$Z$6005,0),"")</f>
        <v/>
      </c>
      <c r="R356">
        <f>IF($Q356="","",INDEX(บันทึกรายเที่ยว!$V$6:$V$6005,$Q356))</f>
        <v/>
      </c>
      <c r="S356">
        <f>IF($Q356="","",INDEX(บันทึกรายเที่ยว!$F$6:$F$6005,$Q356))</f>
        <v/>
      </c>
      <c r="T356">
        <f>IF($Q356="","",MATCH($S356,บันทึกรายเที่ยว!$F$6:$F$6005,0))</f>
        <v/>
      </c>
      <c r="U356">
        <f>IF($Q356="","",$AL356*10000000+$T356*1000+352)</f>
        <v/>
      </c>
      <c r="V356">
        <f>IFERROR(MATCH(SMALL($U$5:$U$404,352),$U$5:$U$404,0),"")</f>
        <v/>
      </c>
      <c r="W356">
        <f>IF($V356="","",INDEX($Q$5:$Q$404,$V356))</f>
        <v/>
      </c>
      <c r="X356">
        <f>IF($V356="","",INDEX($S$5:$S$404,$V356))</f>
        <v/>
      </c>
      <c r="Y356">
        <f>IF($V356="","",INDEX($R$5:$R$404,$V356))</f>
        <v/>
      </c>
      <c r="Z356">
        <f>IF($V356="",0,IF($X356&lt;&gt;$X355,1,0))</f>
        <v/>
      </c>
      <c r="AA356">
        <f>IF($V356="",0,IF($V357="",1,IF($X357&lt;&gt;$X356,1,0)))</f>
        <v/>
      </c>
      <c r="AB356">
        <f>IF($V356="",99999+352,$AB355+1+$Z355+$AA355+$AO355)</f>
        <v/>
      </c>
      <c r="AC356">
        <f>IFERROR(MATCH(352,$AB$5:$AB$404,1),"")</f>
        <v/>
      </c>
      <c r="AD356">
        <f>IF(352=$AI$1+1,"Z",IF($AC356="","",IF(INDEX($V$5:$V$404,$AC356)="","",IF(352&gt;INDEX($AB$5:$AB$404,$AC356)+INDEX($Z$5:$Z$404,$AC356)+INDEX($AA$5:$AA$404,$AC356)+INDEX($AO$5:$AO$404,$AC356),"",IF(352=INDEX($AB$5:$AB$404,$AC356)+INDEX($Z$5:$Z$404,$AC356),"D",IF(AND(INDEX($Z$5:$Z$404,$AC356)=1,352=INDEX($AB$5:$AB$404,$AC356)),"H",IF(AND(INDEX($AO$5:$AO$404,$AC356)=1,352=INDEX($AB$5:$AB$404,$AC356)+INDEX($Z$5:$Z$404,$AC356)+INDEX($AA$5:$AA$404,$AC356)+INDEX($AO$5:$AO$404,$AC356)),"B","T")))))))</f>
        <v/>
      </c>
      <c r="AF356">
        <f>IF(OR($AD356="",$AD356="Z",$AD356="B"),"",INDEX($X$5:$X$404,$AC356))</f>
        <v/>
      </c>
      <c r="AJ356">
        <f>IF($AD356&lt;&gt;"T",0,ROUND(SUMIF(oil!$B$4:$B$63,$AF356,oil!$AE$4:$AE$63),2))</f>
        <v/>
      </c>
      <c r="AK356">
        <f>IF($S356="","",IFERROR(INDEX(อัตราค่าขนส่ง!$P$5:$P$54,MATCH($S356,อัตราค่าขนส่ง!$O$5:$O$54,0)),INDEX(รายการมาตรฐาน!$G$2:$G$3,1)))</f>
        <v/>
      </c>
      <c r="AL356">
        <f>IF($S356="","",IFERROR(MATCH($AK356,รายการมาตรฐาน!$G$2:$G$3,0),1))</f>
        <v/>
      </c>
      <c r="AM356">
        <f>IF($V356="","",INDEX($AK$5:$AK$404,$V356))</f>
        <v/>
      </c>
      <c r="AN356">
        <f>IF($V356="","",INDEX($AL$5:$AL$404,$V356))</f>
        <v/>
      </c>
      <c r="AO356">
        <f>IF(OR($V356="",$AI$2&lt;=1),0,IF($V357="",1,IF($AN357&lt;&gt;$AN356,1,0)))</f>
        <v/>
      </c>
      <c r="AP356">
        <f>IF($V356="",0,IF($AN356&lt;&gt;$AN355,1,0))</f>
        <v/>
      </c>
      <c r="AQ356">
        <f>IF(OR($AD356="",$AD356="Z"),"",INDEX($AN$5:$AN$404,$AC356))</f>
        <v/>
      </c>
      <c r="AR356">
        <f>IF($Y356="",0,COUNTIF(บันทึกรายเที่ยว!$V$6:$V$6005,$Y356))</f>
        <v/>
      </c>
      <c r="AS356">
        <f>IF($Y356="",0,ROUND(SUMIF(บันทึกรายเที่ยว!$V$6:$V$6005,$Y356,บันทึกรายเที่ยว!$M$6:$M$6005),2))</f>
        <v/>
      </c>
      <c r="AT356">
        <f>IF($Y356="",0,IFERROR(INDEX(อัตราค่าขนส่ง!$G$5:$G$204,MATCH($Y356,อัตราค่าขนส่ง!$M$5:$M$204,0)),0))</f>
        <v/>
      </c>
      <c r="AU356">
        <f>ROUND($AS356*$BD356,2)</f>
        <v/>
      </c>
      <c r="AV356">
        <f>ROUND($AU356*$BF$2/100,2)</f>
        <v/>
      </c>
      <c r="AW356">
        <f>IF($Y356="","",IFERROR(INDEX(อัตราค่าขนส่ง!$F$5:$F$204,MATCH($Y356,อัตราค่าขนส่ง!$M$5:$M$204,0)),""))</f>
        <v/>
      </c>
      <c r="AX356">
        <f>IF($W356="","",INDEX(บันทึกรายเที่ยว!$D$6:$D$6005,$W356))</f>
        <v/>
      </c>
      <c r="AY356">
        <f>IF($W356="","",INDEX(บันทึกรายเที่ยว!$R$6:$R$6005,$W356))</f>
        <v/>
      </c>
      <c r="AZ356">
        <f>IF(AND($AD356="T",$AQ356=1),N($AZ355)+1,N($AZ355))</f>
        <v/>
      </c>
      <c r="BA356">
        <f>IF($W356="","",INDEX(บันทึกรายเที่ยว!$E$6:$E$6005,$W356))</f>
        <v/>
      </c>
      <c r="BC356">
        <f>IF($Y356="",0,IFERROR(INDEX(อัตราค่าขนส่ง!$K$5:$K$204,MATCH($Y356,อัตราค่าขนส่ง!$M$5:$M$204,0)),0))</f>
        <v/>
      </c>
      <c r="BD356">
        <f>IF($Y356="",0,IFERROR(INDEX(อัตราค่าขนส่ง!$L$5:$L$204,MATCH($Y356,อัตราค่าขนส่ง!$M$5:$M$204,0)),0))</f>
        <v/>
      </c>
    </row>
    <row r="357" ht="21" customHeight="1" s="66">
      <c r="A357" s="69">
        <f>IF($AD357="","",IF($AD357="Z","รวมจ่ายทั้งสิ้น",IF($AD357="H",INDEX($X$5:$X$404,$AC357),IF($AD357="T","รวม",IF($AD357="B",IFERROR(INDEX(อัตราค่าขนส่ง!$S$5:$S$14,MATCH(INDEX($AM$5:$AM$404,$AC357),อัตราค่าขนส่ง!$R$5:$R$14,0)),"รวมกลุ่ม "&amp;INDEX($AM$5:$AM$404,$AC357)),INDEX($AY$5:$AY$404,$AC357))))))</f>
        <v/>
      </c>
      <c r="B357" s="31">
        <f>IF($AD357&lt;&gt;"D","",INDEX($AW$5:$AW$404,$AC357))</f>
        <v/>
      </c>
      <c r="C357" s="68">
        <f>IF($AD357&lt;&gt;"D","",INDEX($AX$5:$AX$404,$AC357))</f>
        <v/>
      </c>
      <c r="D357" s="70">
        <f>IF($AD357&lt;&gt;"D","",INDEX($BA$5:$BA$404,$AC357))</f>
        <v/>
      </c>
      <c r="E357" s="31">
        <f>IF($AD357="Z",SUM($AR$5:$AR$404),IF($AD357="D",INDEX($AR$5:$AR$404,$AC357),IF($AD357="T",SUMIF($X$5:$X$404,$AF357,$AR$5:$AR$404),IF($AD357="B",SUMIF($AN$5:$AN$404,$AQ357,$AR$5:$AR$404),""))))</f>
        <v/>
      </c>
      <c r="F357" s="32">
        <f>IF($AD357="Z",ROUND(SUM($AS$5:$AS$404),2),IF($AD357="D",INDEX($AS$5:$AS$404,$AC357),IF($AD357="T",ROUND(SUMIF($X$5:$X$404,$AF357,$AS$5:$AS$404),2),IF($AD357="B",ROUND(SUMIF($AN$5:$AN$404,$AQ357,$AS$5:$AS$404),2),""))))</f>
        <v/>
      </c>
      <c r="G357" s="32">
        <f>IF($AD357&lt;&gt;"D","",INDEX($AT$5:$AT$404,$AC357))</f>
        <v/>
      </c>
      <c r="H357" s="32">
        <f>IF($AD357&lt;&gt;"D","",INDEX($BC$5:$BC$404,$AC357))</f>
        <v/>
      </c>
      <c r="I357" s="32">
        <f>IF($AD357&lt;&gt;"D","",INDEX($BD$5:$BD$404,$AC357))</f>
        <v/>
      </c>
      <c r="J357" s="46">
        <f>IF($AD357&lt;&gt;"D","",IF(N($B357)=0,"",ROUND($I357/$B357,4)))</f>
        <v/>
      </c>
      <c r="K357" s="32">
        <f>IF($AD357="Z",ROUND(SUM($AU$5:$AU$404),2),IF($AD357="D",INDEX($AU$5:$AU$404,$AC357),IF($AD357="T",ROUND(SUMIF($X$5:$X$404,$AF357,$AU$5:$AU$404),2),IF($AD357="B",ROUND(SUMIF($AN$5:$AN$404,$AQ357,$AU$5:$AU$404),2),""))))</f>
        <v/>
      </c>
      <c r="L357" s="32">
        <f>IF($AD357="Z",ROUND(SUM($AV$5:$AV$404),2),IF($AD357="D",INDEX($AV$5:$AV$404,$AC357),IF($AD357="T",ROUND(SUMIF($X$5:$X$404,$AF357,$AV$5:$AV$404),2),IF($AD357="B",ROUND(SUMIF($AN$5:$AN$404,$AQ357,$AV$5:$AV$404),2),""))))</f>
        <v/>
      </c>
      <c r="M357" s="32">
        <f>IF($AD357="Z",ROUND(SUM($AJ$5:$AJ$704),2),IF($AD357="B",ROUND(SUMIF($AQ$5:$AQ$704,$AQ357,$AJ$5:$AJ$704),2),IF($AD357&lt;&gt;"T","",$AJ357)))</f>
        <v/>
      </c>
      <c r="N357" s="32">
        <f>IF(OR($AD357="D",$AD357="T",$AD357="B",$AD357="Z"),ROUND(N($K357)-N($L357)-N($M357),2),"")</f>
        <v/>
      </c>
      <c r="O357" s="32">
        <f>IF(OR($AD357="D",$AD357="T",$AD357="B",$AD357="Z"),IF(N($E357)=0,"",ROUND($F357/$E357,2)),"")</f>
        <v/>
      </c>
      <c r="Q357">
        <f>IFERROR(MATCH(353,บันทึกรายเที่ยว!$Z$6:$Z$6005,0),"")</f>
        <v/>
      </c>
      <c r="R357">
        <f>IF($Q357="","",INDEX(บันทึกรายเที่ยว!$V$6:$V$6005,$Q357))</f>
        <v/>
      </c>
      <c r="S357">
        <f>IF($Q357="","",INDEX(บันทึกรายเที่ยว!$F$6:$F$6005,$Q357))</f>
        <v/>
      </c>
      <c r="T357">
        <f>IF($Q357="","",MATCH($S357,บันทึกรายเที่ยว!$F$6:$F$6005,0))</f>
        <v/>
      </c>
      <c r="U357">
        <f>IF($Q357="","",$AL357*10000000+$T357*1000+353)</f>
        <v/>
      </c>
      <c r="V357">
        <f>IFERROR(MATCH(SMALL($U$5:$U$404,353),$U$5:$U$404,0),"")</f>
        <v/>
      </c>
      <c r="W357">
        <f>IF($V357="","",INDEX($Q$5:$Q$404,$V357))</f>
        <v/>
      </c>
      <c r="X357">
        <f>IF($V357="","",INDEX($S$5:$S$404,$V357))</f>
        <v/>
      </c>
      <c r="Y357">
        <f>IF($V357="","",INDEX($R$5:$R$404,$V357))</f>
        <v/>
      </c>
      <c r="Z357">
        <f>IF($V357="",0,IF($X357&lt;&gt;$X356,1,0))</f>
        <v/>
      </c>
      <c r="AA357">
        <f>IF($V357="",0,IF($V358="",1,IF($X358&lt;&gt;$X357,1,0)))</f>
        <v/>
      </c>
      <c r="AB357">
        <f>IF($V357="",99999+353,$AB356+1+$Z356+$AA356+$AO356)</f>
        <v/>
      </c>
      <c r="AC357">
        <f>IFERROR(MATCH(353,$AB$5:$AB$404,1),"")</f>
        <v/>
      </c>
      <c r="AD357">
        <f>IF(353=$AI$1+1,"Z",IF($AC357="","",IF(INDEX($V$5:$V$404,$AC357)="","",IF(353&gt;INDEX($AB$5:$AB$404,$AC357)+INDEX($Z$5:$Z$404,$AC357)+INDEX($AA$5:$AA$404,$AC357)+INDEX($AO$5:$AO$404,$AC357),"",IF(353=INDEX($AB$5:$AB$404,$AC357)+INDEX($Z$5:$Z$404,$AC357),"D",IF(AND(INDEX($Z$5:$Z$404,$AC357)=1,353=INDEX($AB$5:$AB$404,$AC357)),"H",IF(AND(INDEX($AO$5:$AO$404,$AC357)=1,353=INDEX($AB$5:$AB$404,$AC357)+INDEX($Z$5:$Z$404,$AC357)+INDEX($AA$5:$AA$404,$AC357)+INDEX($AO$5:$AO$404,$AC357)),"B","T")))))))</f>
        <v/>
      </c>
      <c r="AF357">
        <f>IF(OR($AD357="",$AD357="Z",$AD357="B"),"",INDEX($X$5:$X$404,$AC357))</f>
        <v/>
      </c>
      <c r="AJ357">
        <f>IF($AD357&lt;&gt;"T",0,ROUND(SUMIF(oil!$B$4:$B$63,$AF357,oil!$AE$4:$AE$63),2))</f>
        <v/>
      </c>
      <c r="AK357">
        <f>IF($S357="","",IFERROR(INDEX(อัตราค่าขนส่ง!$P$5:$P$54,MATCH($S357,อัตราค่าขนส่ง!$O$5:$O$54,0)),INDEX(รายการมาตรฐาน!$G$2:$G$3,1)))</f>
        <v/>
      </c>
      <c r="AL357">
        <f>IF($S357="","",IFERROR(MATCH($AK357,รายการมาตรฐาน!$G$2:$G$3,0),1))</f>
        <v/>
      </c>
      <c r="AM357">
        <f>IF($V357="","",INDEX($AK$5:$AK$404,$V357))</f>
        <v/>
      </c>
      <c r="AN357">
        <f>IF($V357="","",INDEX($AL$5:$AL$404,$V357))</f>
        <v/>
      </c>
      <c r="AO357">
        <f>IF(OR($V357="",$AI$2&lt;=1),0,IF($V358="",1,IF($AN358&lt;&gt;$AN357,1,0)))</f>
        <v/>
      </c>
      <c r="AP357">
        <f>IF($V357="",0,IF($AN357&lt;&gt;$AN356,1,0))</f>
        <v/>
      </c>
      <c r="AQ357">
        <f>IF(OR($AD357="",$AD357="Z"),"",INDEX($AN$5:$AN$404,$AC357))</f>
        <v/>
      </c>
      <c r="AR357">
        <f>IF($Y357="",0,COUNTIF(บันทึกรายเที่ยว!$V$6:$V$6005,$Y357))</f>
        <v/>
      </c>
      <c r="AS357">
        <f>IF($Y357="",0,ROUND(SUMIF(บันทึกรายเที่ยว!$V$6:$V$6005,$Y357,บันทึกรายเที่ยว!$M$6:$M$6005),2))</f>
        <v/>
      </c>
      <c r="AT357">
        <f>IF($Y357="",0,IFERROR(INDEX(อัตราค่าขนส่ง!$G$5:$G$204,MATCH($Y357,อัตราค่าขนส่ง!$M$5:$M$204,0)),0))</f>
        <v/>
      </c>
      <c r="AU357">
        <f>ROUND($AS357*$BD357,2)</f>
        <v/>
      </c>
      <c r="AV357">
        <f>ROUND($AU357*$BF$2/100,2)</f>
        <v/>
      </c>
      <c r="AW357">
        <f>IF($Y357="","",IFERROR(INDEX(อัตราค่าขนส่ง!$F$5:$F$204,MATCH($Y357,อัตราค่าขนส่ง!$M$5:$M$204,0)),""))</f>
        <v/>
      </c>
      <c r="AX357">
        <f>IF($W357="","",INDEX(บันทึกรายเที่ยว!$D$6:$D$6005,$W357))</f>
        <v/>
      </c>
      <c r="AY357">
        <f>IF($W357="","",INDEX(บันทึกรายเที่ยว!$R$6:$R$6005,$W357))</f>
        <v/>
      </c>
      <c r="AZ357">
        <f>IF(AND($AD357="T",$AQ357=1),N($AZ356)+1,N($AZ356))</f>
        <v/>
      </c>
      <c r="BA357">
        <f>IF($W357="","",INDEX(บันทึกรายเที่ยว!$E$6:$E$6005,$W357))</f>
        <v/>
      </c>
      <c r="BC357">
        <f>IF($Y357="",0,IFERROR(INDEX(อัตราค่าขนส่ง!$K$5:$K$204,MATCH($Y357,อัตราค่าขนส่ง!$M$5:$M$204,0)),0))</f>
        <v/>
      </c>
      <c r="BD357">
        <f>IF($Y357="",0,IFERROR(INDEX(อัตราค่าขนส่ง!$L$5:$L$204,MATCH($Y357,อัตราค่าขนส่ง!$M$5:$M$204,0)),0))</f>
        <v/>
      </c>
    </row>
    <row r="358" ht="21" customHeight="1" s="66">
      <c r="A358" s="69">
        <f>IF($AD358="","",IF($AD358="Z","รวมจ่ายทั้งสิ้น",IF($AD358="H",INDEX($X$5:$X$404,$AC358),IF($AD358="T","รวม",IF($AD358="B",IFERROR(INDEX(อัตราค่าขนส่ง!$S$5:$S$14,MATCH(INDEX($AM$5:$AM$404,$AC358),อัตราค่าขนส่ง!$R$5:$R$14,0)),"รวมกลุ่ม "&amp;INDEX($AM$5:$AM$404,$AC358)),INDEX($AY$5:$AY$404,$AC358))))))</f>
        <v/>
      </c>
      <c r="B358" s="31">
        <f>IF($AD358&lt;&gt;"D","",INDEX($AW$5:$AW$404,$AC358))</f>
        <v/>
      </c>
      <c r="C358" s="68">
        <f>IF($AD358&lt;&gt;"D","",INDEX($AX$5:$AX$404,$AC358))</f>
        <v/>
      </c>
      <c r="D358" s="70">
        <f>IF($AD358&lt;&gt;"D","",INDEX($BA$5:$BA$404,$AC358))</f>
        <v/>
      </c>
      <c r="E358" s="31">
        <f>IF($AD358="Z",SUM($AR$5:$AR$404),IF($AD358="D",INDEX($AR$5:$AR$404,$AC358),IF($AD358="T",SUMIF($X$5:$X$404,$AF358,$AR$5:$AR$404),IF($AD358="B",SUMIF($AN$5:$AN$404,$AQ358,$AR$5:$AR$404),""))))</f>
        <v/>
      </c>
      <c r="F358" s="32">
        <f>IF($AD358="Z",ROUND(SUM($AS$5:$AS$404),2),IF($AD358="D",INDEX($AS$5:$AS$404,$AC358),IF($AD358="T",ROUND(SUMIF($X$5:$X$404,$AF358,$AS$5:$AS$404),2),IF($AD358="B",ROUND(SUMIF($AN$5:$AN$404,$AQ358,$AS$5:$AS$404),2),""))))</f>
        <v/>
      </c>
      <c r="G358" s="32">
        <f>IF($AD358&lt;&gt;"D","",INDEX($AT$5:$AT$404,$AC358))</f>
        <v/>
      </c>
      <c r="H358" s="32">
        <f>IF($AD358&lt;&gt;"D","",INDEX($BC$5:$BC$404,$AC358))</f>
        <v/>
      </c>
      <c r="I358" s="32">
        <f>IF($AD358&lt;&gt;"D","",INDEX($BD$5:$BD$404,$AC358))</f>
        <v/>
      </c>
      <c r="J358" s="46">
        <f>IF($AD358&lt;&gt;"D","",IF(N($B358)=0,"",ROUND($I358/$B358,4)))</f>
        <v/>
      </c>
      <c r="K358" s="32">
        <f>IF($AD358="Z",ROUND(SUM($AU$5:$AU$404),2),IF($AD358="D",INDEX($AU$5:$AU$404,$AC358),IF($AD358="T",ROUND(SUMIF($X$5:$X$404,$AF358,$AU$5:$AU$404),2),IF($AD358="B",ROUND(SUMIF($AN$5:$AN$404,$AQ358,$AU$5:$AU$404),2),""))))</f>
        <v/>
      </c>
      <c r="L358" s="32">
        <f>IF($AD358="Z",ROUND(SUM($AV$5:$AV$404),2),IF($AD358="D",INDEX($AV$5:$AV$404,$AC358),IF($AD358="T",ROUND(SUMIF($X$5:$X$404,$AF358,$AV$5:$AV$404),2),IF($AD358="B",ROUND(SUMIF($AN$5:$AN$404,$AQ358,$AV$5:$AV$404),2),""))))</f>
        <v/>
      </c>
      <c r="M358" s="32">
        <f>IF($AD358="Z",ROUND(SUM($AJ$5:$AJ$704),2),IF($AD358="B",ROUND(SUMIF($AQ$5:$AQ$704,$AQ358,$AJ$5:$AJ$704),2),IF($AD358&lt;&gt;"T","",$AJ358)))</f>
        <v/>
      </c>
      <c r="N358" s="32">
        <f>IF(OR($AD358="D",$AD358="T",$AD358="B",$AD358="Z"),ROUND(N($K358)-N($L358)-N($M358),2),"")</f>
        <v/>
      </c>
      <c r="O358" s="32">
        <f>IF(OR($AD358="D",$AD358="T",$AD358="B",$AD358="Z"),IF(N($E358)=0,"",ROUND($F358/$E358,2)),"")</f>
        <v/>
      </c>
      <c r="Q358">
        <f>IFERROR(MATCH(354,บันทึกรายเที่ยว!$Z$6:$Z$6005,0),"")</f>
        <v/>
      </c>
      <c r="R358">
        <f>IF($Q358="","",INDEX(บันทึกรายเที่ยว!$V$6:$V$6005,$Q358))</f>
        <v/>
      </c>
      <c r="S358">
        <f>IF($Q358="","",INDEX(บันทึกรายเที่ยว!$F$6:$F$6005,$Q358))</f>
        <v/>
      </c>
      <c r="T358">
        <f>IF($Q358="","",MATCH($S358,บันทึกรายเที่ยว!$F$6:$F$6005,0))</f>
        <v/>
      </c>
      <c r="U358">
        <f>IF($Q358="","",$AL358*10000000+$T358*1000+354)</f>
        <v/>
      </c>
      <c r="V358">
        <f>IFERROR(MATCH(SMALL($U$5:$U$404,354),$U$5:$U$404,0),"")</f>
        <v/>
      </c>
      <c r="W358">
        <f>IF($V358="","",INDEX($Q$5:$Q$404,$V358))</f>
        <v/>
      </c>
      <c r="X358">
        <f>IF($V358="","",INDEX($S$5:$S$404,$V358))</f>
        <v/>
      </c>
      <c r="Y358">
        <f>IF($V358="","",INDEX($R$5:$R$404,$V358))</f>
        <v/>
      </c>
      <c r="Z358">
        <f>IF($V358="",0,IF($X358&lt;&gt;$X357,1,0))</f>
        <v/>
      </c>
      <c r="AA358">
        <f>IF($V358="",0,IF($V359="",1,IF($X359&lt;&gt;$X358,1,0)))</f>
        <v/>
      </c>
      <c r="AB358">
        <f>IF($V358="",99999+354,$AB357+1+$Z357+$AA357+$AO357)</f>
        <v/>
      </c>
      <c r="AC358">
        <f>IFERROR(MATCH(354,$AB$5:$AB$404,1),"")</f>
        <v/>
      </c>
      <c r="AD358">
        <f>IF(354=$AI$1+1,"Z",IF($AC358="","",IF(INDEX($V$5:$V$404,$AC358)="","",IF(354&gt;INDEX($AB$5:$AB$404,$AC358)+INDEX($Z$5:$Z$404,$AC358)+INDEX($AA$5:$AA$404,$AC358)+INDEX($AO$5:$AO$404,$AC358),"",IF(354=INDEX($AB$5:$AB$404,$AC358)+INDEX($Z$5:$Z$404,$AC358),"D",IF(AND(INDEX($Z$5:$Z$404,$AC358)=1,354=INDEX($AB$5:$AB$404,$AC358)),"H",IF(AND(INDEX($AO$5:$AO$404,$AC358)=1,354=INDEX($AB$5:$AB$404,$AC358)+INDEX($Z$5:$Z$404,$AC358)+INDEX($AA$5:$AA$404,$AC358)+INDEX($AO$5:$AO$404,$AC358)),"B","T")))))))</f>
        <v/>
      </c>
      <c r="AF358">
        <f>IF(OR($AD358="",$AD358="Z",$AD358="B"),"",INDEX($X$5:$X$404,$AC358))</f>
        <v/>
      </c>
      <c r="AJ358">
        <f>IF($AD358&lt;&gt;"T",0,ROUND(SUMIF(oil!$B$4:$B$63,$AF358,oil!$AE$4:$AE$63),2))</f>
        <v/>
      </c>
      <c r="AK358">
        <f>IF($S358="","",IFERROR(INDEX(อัตราค่าขนส่ง!$P$5:$P$54,MATCH($S358,อัตราค่าขนส่ง!$O$5:$O$54,0)),INDEX(รายการมาตรฐาน!$G$2:$G$3,1)))</f>
        <v/>
      </c>
      <c r="AL358">
        <f>IF($S358="","",IFERROR(MATCH($AK358,รายการมาตรฐาน!$G$2:$G$3,0),1))</f>
        <v/>
      </c>
      <c r="AM358">
        <f>IF($V358="","",INDEX($AK$5:$AK$404,$V358))</f>
        <v/>
      </c>
      <c r="AN358">
        <f>IF($V358="","",INDEX($AL$5:$AL$404,$V358))</f>
        <v/>
      </c>
      <c r="AO358">
        <f>IF(OR($V358="",$AI$2&lt;=1),0,IF($V359="",1,IF($AN359&lt;&gt;$AN358,1,0)))</f>
        <v/>
      </c>
      <c r="AP358">
        <f>IF($V358="",0,IF($AN358&lt;&gt;$AN357,1,0))</f>
        <v/>
      </c>
      <c r="AQ358">
        <f>IF(OR($AD358="",$AD358="Z"),"",INDEX($AN$5:$AN$404,$AC358))</f>
        <v/>
      </c>
      <c r="AR358">
        <f>IF($Y358="",0,COUNTIF(บันทึกรายเที่ยว!$V$6:$V$6005,$Y358))</f>
        <v/>
      </c>
      <c r="AS358">
        <f>IF($Y358="",0,ROUND(SUMIF(บันทึกรายเที่ยว!$V$6:$V$6005,$Y358,บันทึกรายเที่ยว!$M$6:$M$6005),2))</f>
        <v/>
      </c>
      <c r="AT358">
        <f>IF($Y358="",0,IFERROR(INDEX(อัตราค่าขนส่ง!$G$5:$G$204,MATCH($Y358,อัตราค่าขนส่ง!$M$5:$M$204,0)),0))</f>
        <v/>
      </c>
      <c r="AU358">
        <f>ROUND($AS358*$BD358,2)</f>
        <v/>
      </c>
      <c r="AV358">
        <f>ROUND($AU358*$BF$2/100,2)</f>
        <v/>
      </c>
      <c r="AW358">
        <f>IF($Y358="","",IFERROR(INDEX(อัตราค่าขนส่ง!$F$5:$F$204,MATCH($Y358,อัตราค่าขนส่ง!$M$5:$M$204,0)),""))</f>
        <v/>
      </c>
      <c r="AX358">
        <f>IF($W358="","",INDEX(บันทึกรายเที่ยว!$D$6:$D$6005,$W358))</f>
        <v/>
      </c>
      <c r="AY358">
        <f>IF($W358="","",INDEX(บันทึกรายเที่ยว!$R$6:$R$6005,$W358))</f>
        <v/>
      </c>
      <c r="AZ358">
        <f>IF(AND($AD358="T",$AQ358=1),N($AZ357)+1,N($AZ357))</f>
        <v/>
      </c>
      <c r="BA358">
        <f>IF($W358="","",INDEX(บันทึกรายเที่ยว!$E$6:$E$6005,$W358))</f>
        <v/>
      </c>
      <c r="BC358">
        <f>IF($Y358="",0,IFERROR(INDEX(อัตราค่าขนส่ง!$K$5:$K$204,MATCH($Y358,อัตราค่าขนส่ง!$M$5:$M$204,0)),0))</f>
        <v/>
      </c>
      <c r="BD358">
        <f>IF($Y358="",0,IFERROR(INDEX(อัตราค่าขนส่ง!$L$5:$L$204,MATCH($Y358,อัตราค่าขนส่ง!$M$5:$M$204,0)),0))</f>
        <v/>
      </c>
    </row>
    <row r="359" ht="21" customHeight="1" s="66">
      <c r="A359" s="69">
        <f>IF($AD359="","",IF($AD359="Z","รวมจ่ายทั้งสิ้น",IF($AD359="H",INDEX($X$5:$X$404,$AC359),IF($AD359="T","รวม",IF($AD359="B",IFERROR(INDEX(อัตราค่าขนส่ง!$S$5:$S$14,MATCH(INDEX($AM$5:$AM$404,$AC359),อัตราค่าขนส่ง!$R$5:$R$14,0)),"รวมกลุ่ม "&amp;INDEX($AM$5:$AM$404,$AC359)),INDEX($AY$5:$AY$404,$AC359))))))</f>
        <v/>
      </c>
      <c r="B359" s="31">
        <f>IF($AD359&lt;&gt;"D","",INDEX($AW$5:$AW$404,$AC359))</f>
        <v/>
      </c>
      <c r="C359" s="68">
        <f>IF($AD359&lt;&gt;"D","",INDEX($AX$5:$AX$404,$AC359))</f>
        <v/>
      </c>
      <c r="D359" s="70">
        <f>IF($AD359&lt;&gt;"D","",INDEX($BA$5:$BA$404,$AC359))</f>
        <v/>
      </c>
      <c r="E359" s="31">
        <f>IF($AD359="Z",SUM($AR$5:$AR$404),IF($AD359="D",INDEX($AR$5:$AR$404,$AC359),IF($AD359="T",SUMIF($X$5:$X$404,$AF359,$AR$5:$AR$404),IF($AD359="B",SUMIF($AN$5:$AN$404,$AQ359,$AR$5:$AR$404),""))))</f>
        <v/>
      </c>
      <c r="F359" s="32">
        <f>IF($AD359="Z",ROUND(SUM($AS$5:$AS$404),2),IF($AD359="D",INDEX($AS$5:$AS$404,$AC359),IF($AD359="T",ROUND(SUMIF($X$5:$X$404,$AF359,$AS$5:$AS$404),2),IF($AD359="B",ROUND(SUMIF($AN$5:$AN$404,$AQ359,$AS$5:$AS$404),2),""))))</f>
        <v/>
      </c>
      <c r="G359" s="32">
        <f>IF($AD359&lt;&gt;"D","",INDEX($AT$5:$AT$404,$AC359))</f>
        <v/>
      </c>
      <c r="H359" s="32">
        <f>IF($AD359&lt;&gt;"D","",INDEX($BC$5:$BC$404,$AC359))</f>
        <v/>
      </c>
      <c r="I359" s="32">
        <f>IF($AD359&lt;&gt;"D","",INDEX($BD$5:$BD$404,$AC359))</f>
        <v/>
      </c>
      <c r="J359" s="46">
        <f>IF($AD359&lt;&gt;"D","",IF(N($B359)=0,"",ROUND($I359/$B359,4)))</f>
        <v/>
      </c>
      <c r="K359" s="32">
        <f>IF($AD359="Z",ROUND(SUM($AU$5:$AU$404),2),IF($AD359="D",INDEX($AU$5:$AU$404,$AC359),IF($AD359="T",ROUND(SUMIF($X$5:$X$404,$AF359,$AU$5:$AU$404),2),IF($AD359="B",ROUND(SUMIF($AN$5:$AN$404,$AQ359,$AU$5:$AU$404),2),""))))</f>
        <v/>
      </c>
      <c r="L359" s="32">
        <f>IF($AD359="Z",ROUND(SUM($AV$5:$AV$404),2),IF($AD359="D",INDEX($AV$5:$AV$404,$AC359),IF($AD359="T",ROUND(SUMIF($X$5:$X$404,$AF359,$AV$5:$AV$404),2),IF($AD359="B",ROUND(SUMIF($AN$5:$AN$404,$AQ359,$AV$5:$AV$404),2),""))))</f>
        <v/>
      </c>
      <c r="M359" s="32">
        <f>IF($AD359="Z",ROUND(SUM($AJ$5:$AJ$704),2),IF($AD359="B",ROUND(SUMIF($AQ$5:$AQ$704,$AQ359,$AJ$5:$AJ$704),2),IF($AD359&lt;&gt;"T","",$AJ359)))</f>
        <v/>
      </c>
      <c r="N359" s="32">
        <f>IF(OR($AD359="D",$AD359="T",$AD359="B",$AD359="Z"),ROUND(N($K359)-N($L359)-N($M359),2),"")</f>
        <v/>
      </c>
      <c r="O359" s="32">
        <f>IF(OR($AD359="D",$AD359="T",$AD359="B",$AD359="Z"),IF(N($E359)=0,"",ROUND($F359/$E359,2)),"")</f>
        <v/>
      </c>
      <c r="Q359">
        <f>IFERROR(MATCH(355,บันทึกรายเที่ยว!$Z$6:$Z$6005,0),"")</f>
        <v/>
      </c>
      <c r="R359">
        <f>IF($Q359="","",INDEX(บันทึกรายเที่ยว!$V$6:$V$6005,$Q359))</f>
        <v/>
      </c>
      <c r="S359">
        <f>IF($Q359="","",INDEX(บันทึกรายเที่ยว!$F$6:$F$6005,$Q359))</f>
        <v/>
      </c>
      <c r="T359">
        <f>IF($Q359="","",MATCH($S359,บันทึกรายเที่ยว!$F$6:$F$6005,0))</f>
        <v/>
      </c>
      <c r="U359">
        <f>IF($Q359="","",$AL359*10000000+$T359*1000+355)</f>
        <v/>
      </c>
      <c r="V359">
        <f>IFERROR(MATCH(SMALL($U$5:$U$404,355),$U$5:$U$404,0),"")</f>
        <v/>
      </c>
      <c r="W359">
        <f>IF($V359="","",INDEX($Q$5:$Q$404,$V359))</f>
        <v/>
      </c>
      <c r="X359">
        <f>IF($V359="","",INDEX($S$5:$S$404,$V359))</f>
        <v/>
      </c>
      <c r="Y359">
        <f>IF($V359="","",INDEX($R$5:$R$404,$V359))</f>
        <v/>
      </c>
      <c r="Z359">
        <f>IF($V359="",0,IF($X359&lt;&gt;$X358,1,0))</f>
        <v/>
      </c>
      <c r="AA359">
        <f>IF($V359="",0,IF($V360="",1,IF($X360&lt;&gt;$X359,1,0)))</f>
        <v/>
      </c>
      <c r="AB359">
        <f>IF($V359="",99999+355,$AB358+1+$Z358+$AA358+$AO358)</f>
        <v/>
      </c>
      <c r="AC359">
        <f>IFERROR(MATCH(355,$AB$5:$AB$404,1),"")</f>
        <v/>
      </c>
      <c r="AD359">
        <f>IF(355=$AI$1+1,"Z",IF($AC359="","",IF(INDEX($V$5:$V$404,$AC359)="","",IF(355&gt;INDEX($AB$5:$AB$404,$AC359)+INDEX($Z$5:$Z$404,$AC359)+INDEX($AA$5:$AA$404,$AC359)+INDEX($AO$5:$AO$404,$AC359),"",IF(355=INDEX($AB$5:$AB$404,$AC359)+INDEX($Z$5:$Z$404,$AC359),"D",IF(AND(INDEX($Z$5:$Z$404,$AC359)=1,355=INDEX($AB$5:$AB$404,$AC359)),"H",IF(AND(INDEX($AO$5:$AO$404,$AC359)=1,355=INDEX($AB$5:$AB$404,$AC359)+INDEX($Z$5:$Z$404,$AC359)+INDEX($AA$5:$AA$404,$AC359)+INDEX($AO$5:$AO$404,$AC359)),"B","T")))))))</f>
        <v/>
      </c>
      <c r="AF359">
        <f>IF(OR($AD359="",$AD359="Z",$AD359="B"),"",INDEX($X$5:$X$404,$AC359))</f>
        <v/>
      </c>
      <c r="AJ359">
        <f>IF($AD359&lt;&gt;"T",0,ROUND(SUMIF(oil!$B$4:$B$63,$AF359,oil!$AE$4:$AE$63),2))</f>
        <v/>
      </c>
      <c r="AK359">
        <f>IF($S359="","",IFERROR(INDEX(อัตราค่าขนส่ง!$P$5:$P$54,MATCH($S359,อัตราค่าขนส่ง!$O$5:$O$54,0)),INDEX(รายการมาตรฐาน!$G$2:$G$3,1)))</f>
        <v/>
      </c>
      <c r="AL359">
        <f>IF($S359="","",IFERROR(MATCH($AK359,รายการมาตรฐาน!$G$2:$G$3,0),1))</f>
        <v/>
      </c>
      <c r="AM359">
        <f>IF($V359="","",INDEX($AK$5:$AK$404,$V359))</f>
        <v/>
      </c>
      <c r="AN359">
        <f>IF($V359="","",INDEX($AL$5:$AL$404,$V359))</f>
        <v/>
      </c>
      <c r="AO359">
        <f>IF(OR($V359="",$AI$2&lt;=1),0,IF($V360="",1,IF($AN360&lt;&gt;$AN359,1,0)))</f>
        <v/>
      </c>
      <c r="AP359">
        <f>IF($V359="",0,IF($AN359&lt;&gt;$AN358,1,0))</f>
        <v/>
      </c>
      <c r="AQ359">
        <f>IF(OR($AD359="",$AD359="Z"),"",INDEX($AN$5:$AN$404,$AC359))</f>
        <v/>
      </c>
      <c r="AR359">
        <f>IF($Y359="",0,COUNTIF(บันทึกรายเที่ยว!$V$6:$V$6005,$Y359))</f>
        <v/>
      </c>
      <c r="AS359">
        <f>IF($Y359="",0,ROUND(SUMIF(บันทึกรายเที่ยว!$V$6:$V$6005,$Y359,บันทึกรายเที่ยว!$M$6:$M$6005),2))</f>
        <v/>
      </c>
      <c r="AT359">
        <f>IF($Y359="",0,IFERROR(INDEX(อัตราค่าขนส่ง!$G$5:$G$204,MATCH($Y359,อัตราค่าขนส่ง!$M$5:$M$204,0)),0))</f>
        <v/>
      </c>
      <c r="AU359">
        <f>ROUND($AS359*$BD359,2)</f>
        <v/>
      </c>
      <c r="AV359">
        <f>ROUND($AU359*$BF$2/100,2)</f>
        <v/>
      </c>
      <c r="AW359">
        <f>IF($Y359="","",IFERROR(INDEX(อัตราค่าขนส่ง!$F$5:$F$204,MATCH($Y359,อัตราค่าขนส่ง!$M$5:$M$204,0)),""))</f>
        <v/>
      </c>
      <c r="AX359">
        <f>IF($W359="","",INDEX(บันทึกรายเที่ยว!$D$6:$D$6005,$W359))</f>
        <v/>
      </c>
      <c r="AY359">
        <f>IF($W359="","",INDEX(บันทึกรายเที่ยว!$R$6:$R$6005,$W359))</f>
        <v/>
      </c>
      <c r="AZ359">
        <f>IF(AND($AD359="T",$AQ359=1),N($AZ358)+1,N($AZ358))</f>
        <v/>
      </c>
      <c r="BA359">
        <f>IF($W359="","",INDEX(บันทึกรายเที่ยว!$E$6:$E$6005,$W359))</f>
        <v/>
      </c>
      <c r="BC359">
        <f>IF($Y359="",0,IFERROR(INDEX(อัตราค่าขนส่ง!$K$5:$K$204,MATCH($Y359,อัตราค่าขนส่ง!$M$5:$M$204,0)),0))</f>
        <v/>
      </c>
      <c r="BD359">
        <f>IF($Y359="",0,IFERROR(INDEX(อัตราค่าขนส่ง!$L$5:$L$204,MATCH($Y359,อัตราค่าขนส่ง!$M$5:$M$204,0)),0))</f>
        <v/>
      </c>
    </row>
    <row r="360" ht="21" customHeight="1" s="66">
      <c r="A360" s="69">
        <f>IF($AD360="","",IF($AD360="Z","รวมจ่ายทั้งสิ้น",IF($AD360="H",INDEX($X$5:$X$404,$AC360),IF($AD360="T","รวม",IF($AD360="B",IFERROR(INDEX(อัตราค่าขนส่ง!$S$5:$S$14,MATCH(INDEX($AM$5:$AM$404,$AC360),อัตราค่าขนส่ง!$R$5:$R$14,0)),"รวมกลุ่ม "&amp;INDEX($AM$5:$AM$404,$AC360)),INDEX($AY$5:$AY$404,$AC360))))))</f>
        <v/>
      </c>
      <c r="B360" s="31">
        <f>IF($AD360&lt;&gt;"D","",INDEX($AW$5:$AW$404,$AC360))</f>
        <v/>
      </c>
      <c r="C360" s="68">
        <f>IF($AD360&lt;&gt;"D","",INDEX($AX$5:$AX$404,$AC360))</f>
        <v/>
      </c>
      <c r="D360" s="70">
        <f>IF($AD360&lt;&gt;"D","",INDEX($BA$5:$BA$404,$AC360))</f>
        <v/>
      </c>
      <c r="E360" s="31">
        <f>IF($AD360="Z",SUM($AR$5:$AR$404),IF($AD360="D",INDEX($AR$5:$AR$404,$AC360),IF($AD360="T",SUMIF($X$5:$X$404,$AF360,$AR$5:$AR$404),IF($AD360="B",SUMIF($AN$5:$AN$404,$AQ360,$AR$5:$AR$404),""))))</f>
        <v/>
      </c>
      <c r="F360" s="32">
        <f>IF($AD360="Z",ROUND(SUM($AS$5:$AS$404),2),IF($AD360="D",INDEX($AS$5:$AS$404,$AC360),IF($AD360="T",ROUND(SUMIF($X$5:$X$404,$AF360,$AS$5:$AS$404),2),IF($AD360="B",ROUND(SUMIF($AN$5:$AN$404,$AQ360,$AS$5:$AS$404),2),""))))</f>
        <v/>
      </c>
      <c r="G360" s="32">
        <f>IF($AD360&lt;&gt;"D","",INDEX($AT$5:$AT$404,$AC360))</f>
        <v/>
      </c>
      <c r="H360" s="32">
        <f>IF($AD360&lt;&gt;"D","",INDEX($BC$5:$BC$404,$AC360))</f>
        <v/>
      </c>
      <c r="I360" s="32">
        <f>IF($AD360&lt;&gt;"D","",INDEX($BD$5:$BD$404,$AC360))</f>
        <v/>
      </c>
      <c r="J360" s="46">
        <f>IF($AD360&lt;&gt;"D","",IF(N($B360)=0,"",ROUND($I360/$B360,4)))</f>
        <v/>
      </c>
      <c r="K360" s="32">
        <f>IF($AD360="Z",ROUND(SUM($AU$5:$AU$404),2),IF($AD360="D",INDEX($AU$5:$AU$404,$AC360),IF($AD360="T",ROUND(SUMIF($X$5:$X$404,$AF360,$AU$5:$AU$404),2),IF($AD360="B",ROUND(SUMIF($AN$5:$AN$404,$AQ360,$AU$5:$AU$404),2),""))))</f>
        <v/>
      </c>
      <c r="L360" s="32">
        <f>IF($AD360="Z",ROUND(SUM($AV$5:$AV$404),2),IF($AD360="D",INDEX($AV$5:$AV$404,$AC360),IF($AD360="T",ROUND(SUMIF($X$5:$X$404,$AF360,$AV$5:$AV$404),2),IF($AD360="B",ROUND(SUMIF($AN$5:$AN$404,$AQ360,$AV$5:$AV$404),2),""))))</f>
        <v/>
      </c>
      <c r="M360" s="32">
        <f>IF($AD360="Z",ROUND(SUM($AJ$5:$AJ$704),2),IF($AD360="B",ROUND(SUMIF($AQ$5:$AQ$704,$AQ360,$AJ$5:$AJ$704),2),IF($AD360&lt;&gt;"T","",$AJ360)))</f>
        <v/>
      </c>
      <c r="N360" s="32">
        <f>IF(OR($AD360="D",$AD360="T",$AD360="B",$AD360="Z"),ROUND(N($K360)-N($L360)-N($M360),2),"")</f>
        <v/>
      </c>
      <c r="O360" s="32">
        <f>IF(OR($AD360="D",$AD360="T",$AD360="B",$AD360="Z"),IF(N($E360)=0,"",ROUND($F360/$E360,2)),"")</f>
        <v/>
      </c>
      <c r="Q360">
        <f>IFERROR(MATCH(356,บันทึกรายเที่ยว!$Z$6:$Z$6005,0),"")</f>
        <v/>
      </c>
      <c r="R360">
        <f>IF($Q360="","",INDEX(บันทึกรายเที่ยว!$V$6:$V$6005,$Q360))</f>
        <v/>
      </c>
      <c r="S360">
        <f>IF($Q360="","",INDEX(บันทึกรายเที่ยว!$F$6:$F$6005,$Q360))</f>
        <v/>
      </c>
      <c r="T360">
        <f>IF($Q360="","",MATCH($S360,บันทึกรายเที่ยว!$F$6:$F$6005,0))</f>
        <v/>
      </c>
      <c r="U360">
        <f>IF($Q360="","",$AL360*10000000+$T360*1000+356)</f>
        <v/>
      </c>
      <c r="V360">
        <f>IFERROR(MATCH(SMALL($U$5:$U$404,356),$U$5:$U$404,0),"")</f>
        <v/>
      </c>
      <c r="W360">
        <f>IF($V360="","",INDEX($Q$5:$Q$404,$V360))</f>
        <v/>
      </c>
      <c r="X360">
        <f>IF($V360="","",INDEX($S$5:$S$404,$V360))</f>
        <v/>
      </c>
      <c r="Y360">
        <f>IF($V360="","",INDEX($R$5:$R$404,$V360))</f>
        <v/>
      </c>
      <c r="Z360">
        <f>IF($V360="",0,IF($X360&lt;&gt;$X359,1,0))</f>
        <v/>
      </c>
      <c r="AA360">
        <f>IF($V360="",0,IF($V361="",1,IF($X361&lt;&gt;$X360,1,0)))</f>
        <v/>
      </c>
      <c r="AB360">
        <f>IF($V360="",99999+356,$AB359+1+$Z359+$AA359+$AO359)</f>
        <v/>
      </c>
      <c r="AC360">
        <f>IFERROR(MATCH(356,$AB$5:$AB$404,1),"")</f>
        <v/>
      </c>
      <c r="AD360">
        <f>IF(356=$AI$1+1,"Z",IF($AC360="","",IF(INDEX($V$5:$V$404,$AC360)="","",IF(356&gt;INDEX($AB$5:$AB$404,$AC360)+INDEX($Z$5:$Z$404,$AC360)+INDEX($AA$5:$AA$404,$AC360)+INDEX($AO$5:$AO$404,$AC360),"",IF(356=INDEX($AB$5:$AB$404,$AC360)+INDEX($Z$5:$Z$404,$AC360),"D",IF(AND(INDEX($Z$5:$Z$404,$AC360)=1,356=INDEX($AB$5:$AB$404,$AC360)),"H",IF(AND(INDEX($AO$5:$AO$404,$AC360)=1,356=INDEX($AB$5:$AB$404,$AC360)+INDEX($Z$5:$Z$404,$AC360)+INDEX($AA$5:$AA$404,$AC360)+INDEX($AO$5:$AO$404,$AC360)),"B","T")))))))</f>
        <v/>
      </c>
      <c r="AF360">
        <f>IF(OR($AD360="",$AD360="Z",$AD360="B"),"",INDEX($X$5:$X$404,$AC360))</f>
        <v/>
      </c>
      <c r="AJ360">
        <f>IF($AD360&lt;&gt;"T",0,ROUND(SUMIF(oil!$B$4:$B$63,$AF360,oil!$AE$4:$AE$63),2))</f>
        <v/>
      </c>
      <c r="AK360">
        <f>IF($S360="","",IFERROR(INDEX(อัตราค่าขนส่ง!$P$5:$P$54,MATCH($S360,อัตราค่าขนส่ง!$O$5:$O$54,0)),INDEX(รายการมาตรฐาน!$G$2:$G$3,1)))</f>
        <v/>
      </c>
      <c r="AL360">
        <f>IF($S360="","",IFERROR(MATCH($AK360,รายการมาตรฐาน!$G$2:$G$3,0),1))</f>
        <v/>
      </c>
      <c r="AM360">
        <f>IF($V360="","",INDEX($AK$5:$AK$404,$V360))</f>
        <v/>
      </c>
      <c r="AN360">
        <f>IF($V360="","",INDEX($AL$5:$AL$404,$V360))</f>
        <v/>
      </c>
      <c r="AO360">
        <f>IF(OR($V360="",$AI$2&lt;=1),0,IF($V361="",1,IF($AN361&lt;&gt;$AN360,1,0)))</f>
        <v/>
      </c>
      <c r="AP360">
        <f>IF($V360="",0,IF($AN360&lt;&gt;$AN359,1,0))</f>
        <v/>
      </c>
      <c r="AQ360">
        <f>IF(OR($AD360="",$AD360="Z"),"",INDEX($AN$5:$AN$404,$AC360))</f>
        <v/>
      </c>
      <c r="AR360">
        <f>IF($Y360="",0,COUNTIF(บันทึกรายเที่ยว!$V$6:$V$6005,$Y360))</f>
        <v/>
      </c>
      <c r="AS360">
        <f>IF($Y360="",0,ROUND(SUMIF(บันทึกรายเที่ยว!$V$6:$V$6005,$Y360,บันทึกรายเที่ยว!$M$6:$M$6005),2))</f>
        <v/>
      </c>
      <c r="AT360">
        <f>IF($Y360="",0,IFERROR(INDEX(อัตราค่าขนส่ง!$G$5:$G$204,MATCH($Y360,อัตราค่าขนส่ง!$M$5:$M$204,0)),0))</f>
        <v/>
      </c>
      <c r="AU360">
        <f>ROUND($AS360*$BD360,2)</f>
        <v/>
      </c>
      <c r="AV360">
        <f>ROUND($AU360*$BF$2/100,2)</f>
        <v/>
      </c>
      <c r="AW360">
        <f>IF($Y360="","",IFERROR(INDEX(อัตราค่าขนส่ง!$F$5:$F$204,MATCH($Y360,อัตราค่าขนส่ง!$M$5:$M$204,0)),""))</f>
        <v/>
      </c>
      <c r="AX360">
        <f>IF($W360="","",INDEX(บันทึกรายเที่ยว!$D$6:$D$6005,$W360))</f>
        <v/>
      </c>
      <c r="AY360">
        <f>IF($W360="","",INDEX(บันทึกรายเที่ยว!$R$6:$R$6005,$W360))</f>
        <v/>
      </c>
      <c r="AZ360">
        <f>IF(AND($AD360="T",$AQ360=1),N($AZ359)+1,N($AZ359))</f>
        <v/>
      </c>
      <c r="BA360">
        <f>IF($W360="","",INDEX(บันทึกรายเที่ยว!$E$6:$E$6005,$W360))</f>
        <v/>
      </c>
      <c r="BC360">
        <f>IF($Y360="",0,IFERROR(INDEX(อัตราค่าขนส่ง!$K$5:$K$204,MATCH($Y360,อัตราค่าขนส่ง!$M$5:$M$204,0)),0))</f>
        <v/>
      </c>
      <c r="BD360">
        <f>IF($Y360="",0,IFERROR(INDEX(อัตราค่าขนส่ง!$L$5:$L$204,MATCH($Y360,อัตราค่าขนส่ง!$M$5:$M$204,0)),0))</f>
        <v/>
      </c>
    </row>
    <row r="361" ht="21" customHeight="1" s="66">
      <c r="A361" s="69">
        <f>IF($AD361="","",IF($AD361="Z","รวมจ่ายทั้งสิ้น",IF($AD361="H",INDEX($X$5:$X$404,$AC361),IF($AD361="T","รวม",IF($AD361="B",IFERROR(INDEX(อัตราค่าขนส่ง!$S$5:$S$14,MATCH(INDEX($AM$5:$AM$404,$AC361),อัตราค่าขนส่ง!$R$5:$R$14,0)),"รวมกลุ่ม "&amp;INDEX($AM$5:$AM$404,$AC361)),INDEX($AY$5:$AY$404,$AC361))))))</f>
        <v/>
      </c>
      <c r="B361" s="31">
        <f>IF($AD361&lt;&gt;"D","",INDEX($AW$5:$AW$404,$AC361))</f>
        <v/>
      </c>
      <c r="C361" s="68">
        <f>IF($AD361&lt;&gt;"D","",INDEX($AX$5:$AX$404,$AC361))</f>
        <v/>
      </c>
      <c r="D361" s="70">
        <f>IF($AD361&lt;&gt;"D","",INDEX($BA$5:$BA$404,$AC361))</f>
        <v/>
      </c>
      <c r="E361" s="31">
        <f>IF($AD361="Z",SUM($AR$5:$AR$404),IF($AD361="D",INDEX($AR$5:$AR$404,$AC361),IF($AD361="T",SUMIF($X$5:$X$404,$AF361,$AR$5:$AR$404),IF($AD361="B",SUMIF($AN$5:$AN$404,$AQ361,$AR$5:$AR$404),""))))</f>
        <v/>
      </c>
      <c r="F361" s="32">
        <f>IF($AD361="Z",ROUND(SUM($AS$5:$AS$404),2),IF($AD361="D",INDEX($AS$5:$AS$404,$AC361),IF($AD361="T",ROUND(SUMIF($X$5:$X$404,$AF361,$AS$5:$AS$404),2),IF($AD361="B",ROUND(SUMIF($AN$5:$AN$404,$AQ361,$AS$5:$AS$404),2),""))))</f>
        <v/>
      </c>
      <c r="G361" s="32">
        <f>IF($AD361&lt;&gt;"D","",INDEX($AT$5:$AT$404,$AC361))</f>
        <v/>
      </c>
      <c r="H361" s="32">
        <f>IF($AD361&lt;&gt;"D","",INDEX($BC$5:$BC$404,$AC361))</f>
        <v/>
      </c>
      <c r="I361" s="32">
        <f>IF($AD361&lt;&gt;"D","",INDEX($BD$5:$BD$404,$AC361))</f>
        <v/>
      </c>
      <c r="J361" s="46">
        <f>IF($AD361&lt;&gt;"D","",IF(N($B361)=0,"",ROUND($I361/$B361,4)))</f>
        <v/>
      </c>
      <c r="K361" s="32">
        <f>IF($AD361="Z",ROUND(SUM($AU$5:$AU$404),2),IF($AD361="D",INDEX($AU$5:$AU$404,$AC361),IF($AD361="T",ROUND(SUMIF($X$5:$X$404,$AF361,$AU$5:$AU$404),2),IF($AD361="B",ROUND(SUMIF($AN$5:$AN$404,$AQ361,$AU$5:$AU$404),2),""))))</f>
        <v/>
      </c>
      <c r="L361" s="32">
        <f>IF($AD361="Z",ROUND(SUM($AV$5:$AV$404),2),IF($AD361="D",INDEX($AV$5:$AV$404,$AC361),IF($AD361="T",ROUND(SUMIF($X$5:$X$404,$AF361,$AV$5:$AV$404),2),IF($AD361="B",ROUND(SUMIF($AN$5:$AN$404,$AQ361,$AV$5:$AV$404),2),""))))</f>
        <v/>
      </c>
      <c r="M361" s="32">
        <f>IF($AD361="Z",ROUND(SUM($AJ$5:$AJ$704),2),IF($AD361="B",ROUND(SUMIF($AQ$5:$AQ$704,$AQ361,$AJ$5:$AJ$704),2),IF($AD361&lt;&gt;"T","",$AJ361)))</f>
        <v/>
      </c>
      <c r="N361" s="32">
        <f>IF(OR($AD361="D",$AD361="T",$AD361="B",$AD361="Z"),ROUND(N($K361)-N($L361)-N($M361),2),"")</f>
        <v/>
      </c>
      <c r="O361" s="32">
        <f>IF(OR($AD361="D",$AD361="T",$AD361="B",$AD361="Z"),IF(N($E361)=0,"",ROUND($F361/$E361,2)),"")</f>
        <v/>
      </c>
      <c r="Q361">
        <f>IFERROR(MATCH(357,บันทึกรายเที่ยว!$Z$6:$Z$6005,0),"")</f>
        <v/>
      </c>
      <c r="R361">
        <f>IF($Q361="","",INDEX(บันทึกรายเที่ยว!$V$6:$V$6005,$Q361))</f>
        <v/>
      </c>
      <c r="S361">
        <f>IF($Q361="","",INDEX(บันทึกรายเที่ยว!$F$6:$F$6005,$Q361))</f>
        <v/>
      </c>
      <c r="T361">
        <f>IF($Q361="","",MATCH($S361,บันทึกรายเที่ยว!$F$6:$F$6005,0))</f>
        <v/>
      </c>
      <c r="U361">
        <f>IF($Q361="","",$AL361*10000000+$T361*1000+357)</f>
        <v/>
      </c>
      <c r="V361">
        <f>IFERROR(MATCH(SMALL($U$5:$U$404,357),$U$5:$U$404,0),"")</f>
        <v/>
      </c>
      <c r="W361">
        <f>IF($V361="","",INDEX($Q$5:$Q$404,$V361))</f>
        <v/>
      </c>
      <c r="X361">
        <f>IF($V361="","",INDEX($S$5:$S$404,$V361))</f>
        <v/>
      </c>
      <c r="Y361">
        <f>IF($V361="","",INDEX($R$5:$R$404,$V361))</f>
        <v/>
      </c>
      <c r="Z361">
        <f>IF($V361="",0,IF($X361&lt;&gt;$X360,1,0))</f>
        <v/>
      </c>
      <c r="AA361">
        <f>IF($V361="",0,IF($V362="",1,IF($X362&lt;&gt;$X361,1,0)))</f>
        <v/>
      </c>
      <c r="AB361">
        <f>IF($V361="",99999+357,$AB360+1+$Z360+$AA360+$AO360)</f>
        <v/>
      </c>
      <c r="AC361">
        <f>IFERROR(MATCH(357,$AB$5:$AB$404,1),"")</f>
        <v/>
      </c>
      <c r="AD361">
        <f>IF(357=$AI$1+1,"Z",IF($AC361="","",IF(INDEX($V$5:$V$404,$AC361)="","",IF(357&gt;INDEX($AB$5:$AB$404,$AC361)+INDEX($Z$5:$Z$404,$AC361)+INDEX($AA$5:$AA$404,$AC361)+INDEX($AO$5:$AO$404,$AC361),"",IF(357=INDEX($AB$5:$AB$404,$AC361)+INDEX($Z$5:$Z$404,$AC361),"D",IF(AND(INDEX($Z$5:$Z$404,$AC361)=1,357=INDEX($AB$5:$AB$404,$AC361)),"H",IF(AND(INDEX($AO$5:$AO$404,$AC361)=1,357=INDEX($AB$5:$AB$404,$AC361)+INDEX($Z$5:$Z$404,$AC361)+INDEX($AA$5:$AA$404,$AC361)+INDEX($AO$5:$AO$404,$AC361)),"B","T")))))))</f>
        <v/>
      </c>
      <c r="AF361">
        <f>IF(OR($AD361="",$AD361="Z",$AD361="B"),"",INDEX($X$5:$X$404,$AC361))</f>
        <v/>
      </c>
      <c r="AJ361">
        <f>IF($AD361&lt;&gt;"T",0,ROUND(SUMIF(oil!$B$4:$B$63,$AF361,oil!$AE$4:$AE$63),2))</f>
        <v/>
      </c>
      <c r="AK361">
        <f>IF($S361="","",IFERROR(INDEX(อัตราค่าขนส่ง!$P$5:$P$54,MATCH($S361,อัตราค่าขนส่ง!$O$5:$O$54,0)),INDEX(รายการมาตรฐาน!$G$2:$G$3,1)))</f>
        <v/>
      </c>
      <c r="AL361">
        <f>IF($S361="","",IFERROR(MATCH($AK361,รายการมาตรฐาน!$G$2:$G$3,0),1))</f>
        <v/>
      </c>
      <c r="AM361">
        <f>IF($V361="","",INDEX($AK$5:$AK$404,$V361))</f>
        <v/>
      </c>
      <c r="AN361">
        <f>IF($V361="","",INDEX($AL$5:$AL$404,$V361))</f>
        <v/>
      </c>
      <c r="AO361">
        <f>IF(OR($V361="",$AI$2&lt;=1),0,IF($V362="",1,IF($AN362&lt;&gt;$AN361,1,0)))</f>
        <v/>
      </c>
      <c r="AP361">
        <f>IF($V361="",0,IF($AN361&lt;&gt;$AN360,1,0))</f>
        <v/>
      </c>
      <c r="AQ361">
        <f>IF(OR($AD361="",$AD361="Z"),"",INDEX($AN$5:$AN$404,$AC361))</f>
        <v/>
      </c>
      <c r="AR361">
        <f>IF($Y361="",0,COUNTIF(บันทึกรายเที่ยว!$V$6:$V$6005,$Y361))</f>
        <v/>
      </c>
      <c r="AS361">
        <f>IF($Y361="",0,ROUND(SUMIF(บันทึกรายเที่ยว!$V$6:$V$6005,$Y361,บันทึกรายเที่ยว!$M$6:$M$6005),2))</f>
        <v/>
      </c>
      <c r="AT361">
        <f>IF($Y361="",0,IFERROR(INDEX(อัตราค่าขนส่ง!$G$5:$G$204,MATCH($Y361,อัตราค่าขนส่ง!$M$5:$M$204,0)),0))</f>
        <v/>
      </c>
      <c r="AU361">
        <f>ROUND($AS361*$BD361,2)</f>
        <v/>
      </c>
      <c r="AV361">
        <f>ROUND($AU361*$BF$2/100,2)</f>
        <v/>
      </c>
      <c r="AW361">
        <f>IF($Y361="","",IFERROR(INDEX(อัตราค่าขนส่ง!$F$5:$F$204,MATCH($Y361,อัตราค่าขนส่ง!$M$5:$M$204,0)),""))</f>
        <v/>
      </c>
      <c r="AX361">
        <f>IF($W361="","",INDEX(บันทึกรายเที่ยว!$D$6:$D$6005,$W361))</f>
        <v/>
      </c>
      <c r="AY361">
        <f>IF($W361="","",INDEX(บันทึกรายเที่ยว!$R$6:$R$6005,$W361))</f>
        <v/>
      </c>
      <c r="AZ361">
        <f>IF(AND($AD361="T",$AQ361=1),N($AZ360)+1,N($AZ360))</f>
        <v/>
      </c>
      <c r="BA361">
        <f>IF($W361="","",INDEX(บันทึกรายเที่ยว!$E$6:$E$6005,$W361))</f>
        <v/>
      </c>
      <c r="BC361">
        <f>IF($Y361="",0,IFERROR(INDEX(อัตราค่าขนส่ง!$K$5:$K$204,MATCH($Y361,อัตราค่าขนส่ง!$M$5:$M$204,0)),0))</f>
        <v/>
      </c>
      <c r="BD361">
        <f>IF($Y361="",0,IFERROR(INDEX(อัตราค่าขนส่ง!$L$5:$L$204,MATCH($Y361,อัตราค่าขนส่ง!$M$5:$M$204,0)),0))</f>
        <v/>
      </c>
    </row>
    <row r="362" ht="21" customHeight="1" s="66">
      <c r="A362" s="69">
        <f>IF($AD362="","",IF($AD362="Z","รวมจ่ายทั้งสิ้น",IF($AD362="H",INDEX($X$5:$X$404,$AC362),IF($AD362="T","รวม",IF($AD362="B",IFERROR(INDEX(อัตราค่าขนส่ง!$S$5:$S$14,MATCH(INDEX($AM$5:$AM$404,$AC362),อัตราค่าขนส่ง!$R$5:$R$14,0)),"รวมกลุ่ม "&amp;INDEX($AM$5:$AM$404,$AC362)),INDEX($AY$5:$AY$404,$AC362))))))</f>
        <v/>
      </c>
      <c r="B362" s="31">
        <f>IF($AD362&lt;&gt;"D","",INDEX($AW$5:$AW$404,$AC362))</f>
        <v/>
      </c>
      <c r="C362" s="68">
        <f>IF($AD362&lt;&gt;"D","",INDEX($AX$5:$AX$404,$AC362))</f>
        <v/>
      </c>
      <c r="D362" s="70">
        <f>IF($AD362&lt;&gt;"D","",INDEX($BA$5:$BA$404,$AC362))</f>
        <v/>
      </c>
      <c r="E362" s="31">
        <f>IF($AD362="Z",SUM($AR$5:$AR$404),IF($AD362="D",INDEX($AR$5:$AR$404,$AC362),IF($AD362="T",SUMIF($X$5:$X$404,$AF362,$AR$5:$AR$404),IF($AD362="B",SUMIF($AN$5:$AN$404,$AQ362,$AR$5:$AR$404),""))))</f>
        <v/>
      </c>
      <c r="F362" s="32">
        <f>IF($AD362="Z",ROUND(SUM($AS$5:$AS$404),2),IF($AD362="D",INDEX($AS$5:$AS$404,$AC362),IF($AD362="T",ROUND(SUMIF($X$5:$X$404,$AF362,$AS$5:$AS$404),2),IF($AD362="B",ROUND(SUMIF($AN$5:$AN$404,$AQ362,$AS$5:$AS$404),2),""))))</f>
        <v/>
      </c>
      <c r="G362" s="32">
        <f>IF($AD362&lt;&gt;"D","",INDEX($AT$5:$AT$404,$AC362))</f>
        <v/>
      </c>
      <c r="H362" s="32">
        <f>IF($AD362&lt;&gt;"D","",INDEX($BC$5:$BC$404,$AC362))</f>
        <v/>
      </c>
      <c r="I362" s="32">
        <f>IF($AD362&lt;&gt;"D","",INDEX($BD$5:$BD$404,$AC362))</f>
        <v/>
      </c>
      <c r="J362" s="46">
        <f>IF($AD362&lt;&gt;"D","",IF(N($B362)=0,"",ROUND($I362/$B362,4)))</f>
        <v/>
      </c>
      <c r="K362" s="32">
        <f>IF($AD362="Z",ROUND(SUM($AU$5:$AU$404),2),IF($AD362="D",INDEX($AU$5:$AU$404,$AC362),IF($AD362="T",ROUND(SUMIF($X$5:$X$404,$AF362,$AU$5:$AU$404),2),IF($AD362="B",ROUND(SUMIF($AN$5:$AN$404,$AQ362,$AU$5:$AU$404),2),""))))</f>
        <v/>
      </c>
      <c r="L362" s="32">
        <f>IF($AD362="Z",ROUND(SUM($AV$5:$AV$404),2),IF($AD362="D",INDEX($AV$5:$AV$404,$AC362),IF($AD362="T",ROUND(SUMIF($X$5:$X$404,$AF362,$AV$5:$AV$404),2),IF($AD362="B",ROUND(SUMIF($AN$5:$AN$404,$AQ362,$AV$5:$AV$404),2),""))))</f>
        <v/>
      </c>
      <c r="M362" s="32">
        <f>IF($AD362="Z",ROUND(SUM($AJ$5:$AJ$704),2),IF($AD362="B",ROUND(SUMIF($AQ$5:$AQ$704,$AQ362,$AJ$5:$AJ$704),2),IF($AD362&lt;&gt;"T","",$AJ362)))</f>
        <v/>
      </c>
      <c r="N362" s="32">
        <f>IF(OR($AD362="D",$AD362="T",$AD362="B",$AD362="Z"),ROUND(N($K362)-N($L362)-N($M362),2),"")</f>
        <v/>
      </c>
      <c r="O362" s="32">
        <f>IF(OR($AD362="D",$AD362="T",$AD362="B",$AD362="Z"),IF(N($E362)=0,"",ROUND($F362/$E362,2)),"")</f>
        <v/>
      </c>
      <c r="Q362">
        <f>IFERROR(MATCH(358,บันทึกรายเที่ยว!$Z$6:$Z$6005,0),"")</f>
        <v/>
      </c>
      <c r="R362">
        <f>IF($Q362="","",INDEX(บันทึกรายเที่ยว!$V$6:$V$6005,$Q362))</f>
        <v/>
      </c>
      <c r="S362">
        <f>IF($Q362="","",INDEX(บันทึกรายเที่ยว!$F$6:$F$6005,$Q362))</f>
        <v/>
      </c>
      <c r="T362">
        <f>IF($Q362="","",MATCH($S362,บันทึกรายเที่ยว!$F$6:$F$6005,0))</f>
        <v/>
      </c>
      <c r="U362">
        <f>IF($Q362="","",$AL362*10000000+$T362*1000+358)</f>
        <v/>
      </c>
      <c r="V362">
        <f>IFERROR(MATCH(SMALL($U$5:$U$404,358),$U$5:$U$404,0),"")</f>
        <v/>
      </c>
      <c r="W362">
        <f>IF($V362="","",INDEX($Q$5:$Q$404,$V362))</f>
        <v/>
      </c>
      <c r="X362">
        <f>IF($V362="","",INDEX($S$5:$S$404,$V362))</f>
        <v/>
      </c>
      <c r="Y362">
        <f>IF($V362="","",INDEX($R$5:$R$404,$V362))</f>
        <v/>
      </c>
      <c r="Z362">
        <f>IF($V362="",0,IF($X362&lt;&gt;$X361,1,0))</f>
        <v/>
      </c>
      <c r="AA362">
        <f>IF($V362="",0,IF($V363="",1,IF($X363&lt;&gt;$X362,1,0)))</f>
        <v/>
      </c>
      <c r="AB362">
        <f>IF($V362="",99999+358,$AB361+1+$Z361+$AA361+$AO361)</f>
        <v/>
      </c>
      <c r="AC362">
        <f>IFERROR(MATCH(358,$AB$5:$AB$404,1),"")</f>
        <v/>
      </c>
      <c r="AD362">
        <f>IF(358=$AI$1+1,"Z",IF($AC362="","",IF(INDEX($V$5:$V$404,$AC362)="","",IF(358&gt;INDEX($AB$5:$AB$404,$AC362)+INDEX($Z$5:$Z$404,$AC362)+INDEX($AA$5:$AA$404,$AC362)+INDEX($AO$5:$AO$404,$AC362),"",IF(358=INDEX($AB$5:$AB$404,$AC362)+INDEX($Z$5:$Z$404,$AC362),"D",IF(AND(INDEX($Z$5:$Z$404,$AC362)=1,358=INDEX($AB$5:$AB$404,$AC362)),"H",IF(AND(INDEX($AO$5:$AO$404,$AC362)=1,358=INDEX($AB$5:$AB$404,$AC362)+INDEX($Z$5:$Z$404,$AC362)+INDEX($AA$5:$AA$404,$AC362)+INDEX($AO$5:$AO$404,$AC362)),"B","T")))))))</f>
        <v/>
      </c>
      <c r="AF362">
        <f>IF(OR($AD362="",$AD362="Z",$AD362="B"),"",INDEX($X$5:$X$404,$AC362))</f>
        <v/>
      </c>
      <c r="AJ362">
        <f>IF($AD362&lt;&gt;"T",0,ROUND(SUMIF(oil!$B$4:$B$63,$AF362,oil!$AE$4:$AE$63),2))</f>
        <v/>
      </c>
      <c r="AK362">
        <f>IF($S362="","",IFERROR(INDEX(อัตราค่าขนส่ง!$P$5:$P$54,MATCH($S362,อัตราค่าขนส่ง!$O$5:$O$54,0)),INDEX(รายการมาตรฐาน!$G$2:$G$3,1)))</f>
        <v/>
      </c>
      <c r="AL362">
        <f>IF($S362="","",IFERROR(MATCH($AK362,รายการมาตรฐาน!$G$2:$G$3,0),1))</f>
        <v/>
      </c>
      <c r="AM362">
        <f>IF($V362="","",INDEX($AK$5:$AK$404,$V362))</f>
        <v/>
      </c>
      <c r="AN362">
        <f>IF($V362="","",INDEX($AL$5:$AL$404,$V362))</f>
        <v/>
      </c>
      <c r="AO362">
        <f>IF(OR($V362="",$AI$2&lt;=1),0,IF($V363="",1,IF($AN363&lt;&gt;$AN362,1,0)))</f>
        <v/>
      </c>
      <c r="AP362">
        <f>IF($V362="",0,IF($AN362&lt;&gt;$AN361,1,0))</f>
        <v/>
      </c>
      <c r="AQ362">
        <f>IF(OR($AD362="",$AD362="Z"),"",INDEX($AN$5:$AN$404,$AC362))</f>
        <v/>
      </c>
      <c r="AR362">
        <f>IF($Y362="",0,COUNTIF(บันทึกรายเที่ยว!$V$6:$V$6005,$Y362))</f>
        <v/>
      </c>
      <c r="AS362">
        <f>IF($Y362="",0,ROUND(SUMIF(บันทึกรายเที่ยว!$V$6:$V$6005,$Y362,บันทึกรายเที่ยว!$M$6:$M$6005),2))</f>
        <v/>
      </c>
      <c r="AT362">
        <f>IF($Y362="",0,IFERROR(INDEX(อัตราค่าขนส่ง!$G$5:$G$204,MATCH($Y362,อัตราค่าขนส่ง!$M$5:$M$204,0)),0))</f>
        <v/>
      </c>
      <c r="AU362">
        <f>ROUND($AS362*$BD362,2)</f>
        <v/>
      </c>
      <c r="AV362">
        <f>ROUND($AU362*$BF$2/100,2)</f>
        <v/>
      </c>
      <c r="AW362">
        <f>IF($Y362="","",IFERROR(INDEX(อัตราค่าขนส่ง!$F$5:$F$204,MATCH($Y362,อัตราค่าขนส่ง!$M$5:$M$204,0)),""))</f>
        <v/>
      </c>
      <c r="AX362">
        <f>IF($W362="","",INDEX(บันทึกรายเที่ยว!$D$6:$D$6005,$W362))</f>
        <v/>
      </c>
      <c r="AY362">
        <f>IF($W362="","",INDEX(บันทึกรายเที่ยว!$R$6:$R$6005,$W362))</f>
        <v/>
      </c>
      <c r="AZ362">
        <f>IF(AND($AD362="T",$AQ362=1),N($AZ361)+1,N($AZ361))</f>
        <v/>
      </c>
      <c r="BA362">
        <f>IF($W362="","",INDEX(บันทึกรายเที่ยว!$E$6:$E$6005,$W362))</f>
        <v/>
      </c>
      <c r="BC362">
        <f>IF($Y362="",0,IFERROR(INDEX(อัตราค่าขนส่ง!$K$5:$K$204,MATCH($Y362,อัตราค่าขนส่ง!$M$5:$M$204,0)),0))</f>
        <v/>
      </c>
      <c r="BD362">
        <f>IF($Y362="",0,IFERROR(INDEX(อัตราค่าขนส่ง!$L$5:$L$204,MATCH($Y362,อัตราค่าขนส่ง!$M$5:$M$204,0)),0))</f>
        <v/>
      </c>
    </row>
    <row r="363" ht="21" customHeight="1" s="66">
      <c r="A363" s="69">
        <f>IF($AD363="","",IF($AD363="Z","รวมจ่ายทั้งสิ้น",IF($AD363="H",INDEX($X$5:$X$404,$AC363),IF($AD363="T","รวม",IF($AD363="B",IFERROR(INDEX(อัตราค่าขนส่ง!$S$5:$S$14,MATCH(INDEX($AM$5:$AM$404,$AC363),อัตราค่าขนส่ง!$R$5:$R$14,0)),"รวมกลุ่ม "&amp;INDEX($AM$5:$AM$404,$AC363)),INDEX($AY$5:$AY$404,$AC363))))))</f>
        <v/>
      </c>
      <c r="B363" s="31">
        <f>IF($AD363&lt;&gt;"D","",INDEX($AW$5:$AW$404,$AC363))</f>
        <v/>
      </c>
      <c r="C363" s="68">
        <f>IF($AD363&lt;&gt;"D","",INDEX($AX$5:$AX$404,$AC363))</f>
        <v/>
      </c>
      <c r="D363" s="70">
        <f>IF($AD363&lt;&gt;"D","",INDEX($BA$5:$BA$404,$AC363))</f>
        <v/>
      </c>
      <c r="E363" s="31">
        <f>IF($AD363="Z",SUM($AR$5:$AR$404),IF($AD363="D",INDEX($AR$5:$AR$404,$AC363),IF($AD363="T",SUMIF($X$5:$X$404,$AF363,$AR$5:$AR$404),IF($AD363="B",SUMIF($AN$5:$AN$404,$AQ363,$AR$5:$AR$404),""))))</f>
        <v/>
      </c>
      <c r="F363" s="32">
        <f>IF($AD363="Z",ROUND(SUM($AS$5:$AS$404),2),IF($AD363="D",INDEX($AS$5:$AS$404,$AC363),IF($AD363="T",ROUND(SUMIF($X$5:$X$404,$AF363,$AS$5:$AS$404),2),IF($AD363="B",ROUND(SUMIF($AN$5:$AN$404,$AQ363,$AS$5:$AS$404),2),""))))</f>
        <v/>
      </c>
      <c r="G363" s="32">
        <f>IF($AD363&lt;&gt;"D","",INDEX($AT$5:$AT$404,$AC363))</f>
        <v/>
      </c>
      <c r="H363" s="32">
        <f>IF($AD363&lt;&gt;"D","",INDEX($BC$5:$BC$404,$AC363))</f>
        <v/>
      </c>
      <c r="I363" s="32">
        <f>IF($AD363&lt;&gt;"D","",INDEX($BD$5:$BD$404,$AC363))</f>
        <v/>
      </c>
      <c r="J363" s="46">
        <f>IF($AD363&lt;&gt;"D","",IF(N($B363)=0,"",ROUND($I363/$B363,4)))</f>
        <v/>
      </c>
      <c r="K363" s="32">
        <f>IF($AD363="Z",ROUND(SUM($AU$5:$AU$404),2),IF($AD363="D",INDEX($AU$5:$AU$404,$AC363),IF($AD363="T",ROUND(SUMIF($X$5:$X$404,$AF363,$AU$5:$AU$404),2),IF($AD363="B",ROUND(SUMIF($AN$5:$AN$404,$AQ363,$AU$5:$AU$404),2),""))))</f>
        <v/>
      </c>
      <c r="L363" s="32">
        <f>IF($AD363="Z",ROUND(SUM($AV$5:$AV$404),2),IF($AD363="D",INDEX($AV$5:$AV$404,$AC363),IF($AD363="T",ROUND(SUMIF($X$5:$X$404,$AF363,$AV$5:$AV$404),2),IF($AD363="B",ROUND(SUMIF($AN$5:$AN$404,$AQ363,$AV$5:$AV$404),2),""))))</f>
        <v/>
      </c>
      <c r="M363" s="32">
        <f>IF($AD363="Z",ROUND(SUM($AJ$5:$AJ$704),2),IF($AD363="B",ROUND(SUMIF($AQ$5:$AQ$704,$AQ363,$AJ$5:$AJ$704),2),IF($AD363&lt;&gt;"T","",$AJ363)))</f>
        <v/>
      </c>
      <c r="N363" s="32">
        <f>IF(OR($AD363="D",$AD363="T",$AD363="B",$AD363="Z"),ROUND(N($K363)-N($L363)-N($M363),2),"")</f>
        <v/>
      </c>
      <c r="O363" s="32">
        <f>IF(OR($AD363="D",$AD363="T",$AD363="B",$AD363="Z"),IF(N($E363)=0,"",ROUND($F363/$E363,2)),"")</f>
        <v/>
      </c>
      <c r="Q363">
        <f>IFERROR(MATCH(359,บันทึกรายเที่ยว!$Z$6:$Z$6005,0),"")</f>
        <v/>
      </c>
      <c r="R363">
        <f>IF($Q363="","",INDEX(บันทึกรายเที่ยว!$V$6:$V$6005,$Q363))</f>
        <v/>
      </c>
      <c r="S363">
        <f>IF($Q363="","",INDEX(บันทึกรายเที่ยว!$F$6:$F$6005,$Q363))</f>
        <v/>
      </c>
      <c r="T363">
        <f>IF($Q363="","",MATCH($S363,บันทึกรายเที่ยว!$F$6:$F$6005,0))</f>
        <v/>
      </c>
      <c r="U363">
        <f>IF($Q363="","",$AL363*10000000+$T363*1000+359)</f>
        <v/>
      </c>
      <c r="V363">
        <f>IFERROR(MATCH(SMALL($U$5:$U$404,359),$U$5:$U$404,0),"")</f>
        <v/>
      </c>
      <c r="W363">
        <f>IF($V363="","",INDEX($Q$5:$Q$404,$V363))</f>
        <v/>
      </c>
      <c r="X363">
        <f>IF($V363="","",INDEX($S$5:$S$404,$V363))</f>
        <v/>
      </c>
      <c r="Y363">
        <f>IF($V363="","",INDEX($R$5:$R$404,$V363))</f>
        <v/>
      </c>
      <c r="Z363">
        <f>IF($V363="",0,IF($X363&lt;&gt;$X362,1,0))</f>
        <v/>
      </c>
      <c r="AA363">
        <f>IF($V363="",0,IF($V364="",1,IF($X364&lt;&gt;$X363,1,0)))</f>
        <v/>
      </c>
      <c r="AB363">
        <f>IF($V363="",99999+359,$AB362+1+$Z362+$AA362+$AO362)</f>
        <v/>
      </c>
      <c r="AC363">
        <f>IFERROR(MATCH(359,$AB$5:$AB$404,1),"")</f>
        <v/>
      </c>
      <c r="AD363">
        <f>IF(359=$AI$1+1,"Z",IF($AC363="","",IF(INDEX($V$5:$V$404,$AC363)="","",IF(359&gt;INDEX($AB$5:$AB$404,$AC363)+INDEX($Z$5:$Z$404,$AC363)+INDEX($AA$5:$AA$404,$AC363)+INDEX($AO$5:$AO$404,$AC363),"",IF(359=INDEX($AB$5:$AB$404,$AC363)+INDEX($Z$5:$Z$404,$AC363),"D",IF(AND(INDEX($Z$5:$Z$404,$AC363)=1,359=INDEX($AB$5:$AB$404,$AC363)),"H",IF(AND(INDEX($AO$5:$AO$404,$AC363)=1,359=INDEX($AB$5:$AB$404,$AC363)+INDEX($Z$5:$Z$404,$AC363)+INDEX($AA$5:$AA$404,$AC363)+INDEX($AO$5:$AO$404,$AC363)),"B","T")))))))</f>
        <v/>
      </c>
      <c r="AF363">
        <f>IF(OR($AD363="",$AD363="Z",$AD363="B"),"",INDEX($X$5:$X$404,$AC363))</f>
        <v/>
      </c>
      <c r="AJ363">
        <f>IF($AD363&lt;&gt;"T",0,ROUND(SUMIF(oil!$B$4:$B$63,$AF363,oil!$AE$4:$AE$63),2))</f>
        <v/>
      </c>
      <c r="AK363">
        <f>IF($S363="","",IFERROR(INDEX(อัตราค่าขนส่ง!$P$5:$P$54,MATCH($S363,อัตราค่าขนส่ง!$O$5:$O$54,0)),INDEX(รายการมาตรฐาน!$G$2:$G$3,1)))</f>
        <v/>
      </c>
      <c r="AL363">
        <f>IF($S363="","",IFERROR(MATCH($AK363,รายการมาตรฐาน!$G$2:$G$3,0),1))</f>
        <v/>
      </c>
      <c r="AM363">
        <f>IF($V363="","",INDEX($AK$5:$AK$404,$V363))</f>
        <v/>
      </c>
      <c r="AN363">
        <f>IF($V363="","",INDEX($AL$5:$AL$404,$V363))</f>
        <v/>
      </c>
      <c r="AO363">
        <f>IF(OR($V363="",$AI$2&lt;=1),0,IF($V364="",1,IF($AN364&lt;&gt;$AN363,1,0)))</f>
        <v/>
      </c>
      <c r="AP363">
        <f>IF($V363="",0,IF($AN363&lt;&gt;$AN362,1,0))</f>
        <v/>
      </c>
      <c r="AQ363">
        <f>IF(OR($AD363="",$AD363="Z"),"",INDEX($AN$5:$AN$404,$AC363))</f>
        <v/>
      </c>
      <c r="AR363">
        <f>IF($Y363="",0,COUNTIF(บันทึกรายเที่ยว!$V$6:$V$6005,$Y363))</f>
        <v/>
      </c>
      <c r="AS363">
        <f>IF($Y363="",0,ROUND(SUMIF(บันทึกรายเที่ยว!$V$6:$V$6005,$Y363,บันทึกรายเที่ยว!$M$6:$M$6005),2))</f>
        <v/>
      </c>
      <c r="AT363">
        <f>IF($Y363="",0,IFERROR(INDEX(อัตราค่าขนส่ง!$G$5:$G$204,MATCH($Y363,อัตราค่าขนส่ง!$M$5:$M$204,0)),0))</f>
        <v/>
      </c>
      <c r="AU363">
        <f>ROUND($AS363*$BD363,2)</f>
        <v/>
      </c>
      <c r="AV363">
        <f>ROUND($AU363*$BF$2/100,2)</f>
        <v/>
      </c>
      <c r="AW363">
        <f>IF($Y363="","",IFERROR(INDEX(อัตราค่าขนส่ง!$F$5:$F$204,MATCH($Y363,อัตราค่าขนส่ง!$M$5:$M$204,0)),""))</f>
        <v/>
      </c>
      <c r="AX363">
        <f>IF($W363="","",INDEX(บันทึกรายเที่ยว!$D$6:$D$6005,$W363))</f>
        <v/>
      </c>
      <c r="AY363">
        <f>IF($W363="","",INDEX(บันทึกรายเที่ยว!$R$6:$R$6005,$W363))</f>
        <v/>
      </c>
      <c r="AZ363">
        <f>IF(AND($AD363="T",$AQ363=1),N($AZ362)+1,N($AZ362))</f>
        <v/>
      </c>
      <c r="BA363">
        <f>IF($W363="","",INDEX(บันทึกรายเที่ยว!$E$6:$E$6005,$W363))</f>
        <v/>
      </c>
      <c r="BC363">
        <f>IF($Y363="",0,IFERROR(INDEX(อัตราค่าขนส่ง!$K$5:$K$204,MATCH($Y363,อัตราค่าขนส่ง!$M$5:$M$204,0)),0))</f>
        <v/>
      </c>
      <c r="BD363">
        <f>IF($Y363="",0,IFERROR(INDEX(อัตราค่าขนส่ง!$L$5:$L$204,MATCH($Y363,อัตราค่าขนส่ง!$M$5:$M$204,0)),0))</f>
        <v/>
      </c>
    </row>
    <row r="364" ht="21" customHeight="1" s="66">
      <c r="A364" s="69">
        <f>IF($AD364="","",IF($AD364="Z","รวมจ่ายทั้งสิ้น",IF($AD364="H",INDEX($X$5:$X$404,$AC364),IF($AD364="T","รวม",IF($AD364="B",IFERROR(INDEX(อัตราค่าขนส่ง!$S$5:$S$14,MATCH(INDEX($AM$5:$AM$404,$AC364),อัตราค่าขนส่ง!$R$5:$R$14,0)),"รวมกลุ่ม "&amp;INDEX($AM$5:$AM$404,$AC364)),INDEX($AY$5:$AY$404,$AC364))))))</f>
        <v/>
      </c>
      <c r="B364" s="31">
        <f>IF($AD364&lt;&gt;"D","",INDEX($AW$5:$AW$404,$AC364))</f>
        <v/>
      </c>
      <c r="C364" s="68">
        <f>IF($AD364&lt;&gt;"D","",INDEX($AX$5:$AX$404,$AC364))</f>
        <v/>
      </c>
      <c r="D364" s="70">
        <f>IF($AD364&lt;&gt;"D","",INDEX($BA$5:$BA$404,$AC364))</f>
        <v/>
      </c>
      <c r="E364" s="31">
        <f>IF($AD364="Z",SUM($AR$5:$AR$404),IF($AD364="D",INDEX($AR$5:$AR$404,$AC364),IF($AD364="T",SUMIF($X$5:$X$404,$AF364,$AR$5:$AR$404),IF($AD364="B",SUMIF($AN$5:$AN$404,$AQ364,$AR$5:$AR$404),""))))</f>
        <v/>
      </c>
      <c r="F364" s="32">
        <f>IF($AD364="Z",ROUND(SUM($AS$5:$AS$404),2),IF($AD364="D",INDEX($AS$5:$AS$404,$AC364),IF($AD364="T",ROUND(SUMIF($X$5:$X$404,$AF364,$AS$5:$AS$404),2),IF($AD364="B",ROUND(SUMIF($AN$5:$AN$404,$AQ364,$AS$5:$AS$404),2),""))))</f>
        <v/>
      </c>
      <c r="G364" s="32">
        <f>IF($AD364&lt;&gt;"D","",INDEX($AT$5:$AT$404,$AC364))</f>
        <v/>
      </c>
      <c r="H364" s="32">
        <f>IF($AD364&lt;&gt;"D","",INDEX($BC$5:$BC$404,$AC364))</f>
        <v/>
      </c>
      <c r="I364" s="32">
        <f>IF($AD364&lt;&gt;"D","",INDEX($BD$5:$BD$404,$AC364))</f>
        <v/>
      </c>
      <c r="J364" s="46">
        <f>IF($AD364&lt;&gt;"D","",IF(N($B364)=0,"",ROUND($I364/$B364,4)))</f>
        <v/>
      </c>
      <c r="K364" s="32">
        <f>IF($AD364="Z",ROUND(SUM($AU$5:$AU$404),2),IF($AD364="D",INDEX($AU$5:$AU$404,$AC364),IF($AD364="T",ROUND(SUMIF($X$5:$X$404,$AF364,$AU$5:$AU$404),2),IF($AD364="B",ROUND(SUMIF($AN$5:$AN$404,$AQ364,$AU$5:$AU$404),2),""))))</f>
        <v/>
      </c>
      <c r="L364" s="32">
        <f>IF($AD364="Z",ROUND(SUM($AV$5:$AV$404),2),IF($AD364="D",INDEX($AV$5:$AV$404,$AC364),IF($AD364="T",ROUND(SUMIF($X$5:$X$404,$AF364,$AV$5:$AV$404),2),IF($AD364="B",ROUND(SUMIF($AN$5:$AN$404,$AQ364,$AV$5:$AV$404),2),""))))</f>
        <v/>
      </c>
      <c r="M364" s="32">
        <f>IF($AD364="Z",ROUND(SUM($AJ$5:$AJ$704),2),IF($AD364="B",ROUND(SUMIF($AQ$5:$AQ$704,$AQ364,$AJ$5:$AJ$704),2),IF($AD364&lt;&gt;"T","",$AJ364)))</f>
        <v/>
      </c>
      <c r="N364" s="32">
        <f>IF(OR($AD364="D",$AD364="T",$AD364="B",$AD364="Z"),ROUND(N($K364)-N($L364)-N($M364),2),"")</f>
        <v/>
      </c>
      <c r="O364" s="32">
        <f>IF(OR($AD364="D",$AD364="T",$AD364="B",$AD364="Z"),IF(N($E364)=0,"",ROUND($F364/$E364,2)),"")</f>
        <v/>
      </c>
      <c r="Q364">
        <f>IFERROR(MATCH(360,บันทึกรายเที่ยว!$Z$6:$Z$6005,0),"")</f>
        <v/>
      </c>
      <c r="R364">
        <f>IF($Q364="","",INDEX(บันทึกรายเที่ยว!$V$6:$V$6005,$Q364))</f>
        <v/>
      </c>
      <c r="S364">
        <f>IF($Q364="","",INDEX(บันทึกรายเที่ยว!$F$6:$F$6005,$Q364))</f>
        <v/>
      </c>
      <c r="T364">
        <f>IF($Q364="","",MATCH($S364,บันทึกรายเที่ยว!$F$6:$F$6005,0))</f>
        <v/>
      </c>
      <c r="U364">
        <f>IF($Q364="","",$AL364*10000000+$T364*1000+360)</f>
        <v/>
      </c>
      <c r="V364">
        <f>IFERROR(MATCH(SMALL($U$5:$U$404,360),$U$5:$U$404,0),"")</f>
        <v/>
      </c>
      <c r="W364">
        <f>IF($V364="","",INDEX($Q$5:$Q$404,$V364))</f>
        <v/>
      </c>
      <c r="X364">
        <f>IF($V364="","",INDEX($S$5:$S$404,$V364))</f>
        <v/>
      </c>
      <c r="Y364">
        <f>IF($V364="","",INDEX($R$5:$R$404,$V364))</f>
        <v/>
      </c>
      <c r="Z364">
        <f>IF($V364="",0,IF($X364&lt;&gt;$X363,1,0))</f>
        <v/>
      </c>
      <c r="AA364">
        <f>IF($V364="",0,IF($V365="",1,IF($X365&lt;&gt;$X364,1,0)))</f>
        <v/>
      </c>
      <c r="AB364">
        <f>IF($V364="",99999+360,$AB363+1+$Z363+$AA363+$AO363)</f>
        <v/>
      </c>
      <c r="AC364">
        <f>IFERROR(MATCH(360,$AB$5:$AB$404,1),"")</f>
        <v/>
      </c>
      <c r="AD364">
        <f>IF(360=$AI$1+1,"Z",IF($AC364="","",IF(INDEX($V$5:$V$404,$AC364)="","",IF(360&gt;INDEX($AB$5:$AB$404,$AC364)+INDEX($Z$5:$Z$404,$AC364)+INDEX($AA$5:$AA$404,$AC364)+INDEX($AO$5:$AO$404,$AC364),"",IF(360=INDEX($AB$5:$AB$404,$AC364)+INDEX($Z$5:$Z$404,$AC364),"D",IF(AND(INDEX($Z$5:$Z$404,$AC364)=1,360=INDEX($AB$5:$AB$404,$AC364)),"H",IF(AND(INDEX($AO$5:$AO$404,$AC364)=1,360=INDEX($AB$5:$AB$404,$AC364)+INDEX($Z$5:$Z$404,$AC364)+INDEX($AA$5:$AA$404,$AC364)+INDEX($AO$5:$AO$404,$AC364)),"B","T")))))))</f>
        <v/>
      </c>
      <c r="AF364">
        <f>IF(OR($AD364="",$AD364="Z",$AD364="B"),"",INDEX($X$5:$X$404,$AC364))</f>
        <v/>
      </c>
      <c r="AJ364">
        <f>IF($AD364&lt;&gt;"T",0,ROUND(SUMIF(oil!$B$4:$B$63,$AF364,oil!$AE$4:$AE$63),2))</f>
        <v/>
      </c>
      <c r="AK364">
        <f>IF($S364="","",IFERROR(INDEX(อัตราค่าขนส่ง!$P$5:$P$54,MATCH($S364,อัตราค่าขนส่ง!$O$5:$O$54,0)),INDEX(รายการมาตรฐาน!$G$2:$G$3,1)))</f>
        <v/>
      </c>
      <c r="AL364">
        <f>IF($S364="","",IFERROR(MATCH($AK364,รายการมาตรฐาน!$G$2:$G$3,0),1))</f>
        <v/>
      </c>
      <c r="AM364">
        <f>IF($V364="","",INDEX($AK$5:$AK$404,$V364))</f>
        <v/>
      </c>
      <c r="AN364">
        <f>IF($V364="","",INDEX($AL$5:$AL$404,$V364))</f>
        <v/>
      </c>
      <c r="AO364">
        <f>IF(OR($V364="",$AI$2&lt;=1),0,IF($V365="",1,IF($AN365&lt;&gt;$AN364,1,0)))</f>
        <v/>
      </c>
      <c r="AP364">
        <f>IF($V364="",0,IF($AN364&lt;&gt;$AN363,1,0))</f>
        <v/>
      </c>
      <c r="AQ364">
        <f>IF(OR($AD364="",$AD364="Z"),"",INDEX($AN$5:$AN$404,$AC364))</f>
        <v/>
      </c>
      <c r="AR364">
        <f>IF($Y364="",0,COUNTIF(บันทึกรายเที่ยว!$V$6:$V$6005,$Y364))</f>
        <v/>
      </c>
      <c r="AS364">
        <f>IF($Y364="",0,ROUND(SUMIF(บันทึกรายเที่ยว!$V$6:$V$6005,$Y364,บันทึกรายเที่ยว!$M$6:$M$6005),2))</f>
        <v/>
      </c>
      <c r="AT364">
        <f>IF($Y364="",0,IFERROR(INDEX(อัตราค่าขนส่ง!$G$5:$G$204,MATCH($Y364,อัตราค่าขนส่ง!$M$5:$M$204,0)),0))</f>
        <v/>
      </c>
      <c r="AU364">
        <f>ROUND($AS364*$BD364,2)</f>
        <v/>
      </c>
      <c r="AV364">
        <f>ROUND($AU364*$BF$2/100,2)</f>
        <v/>
      </c>
      <c r="AW364">
        <f>IF($Y364="","",IFERROR(INDEX(อัตราค่าขนส่ง!$F$5:$F$204,MATCH($Y364,อัตราค่าขนส่ง!$M$5:$M$204,0)),""))</f>
        <v/>
      </c>
      <c r="AX364">
        <f>IF($W364="","",INDEX(บันทึกรายเที่ยว!$D$6:$D$6005,$W364))</f>
        <v/>
      </c>
      <c r="AY364">
        <f>IF($W364="","",INDEX(บันทึกรายเที่ยว!$R$6:$R$6005,$W364))</f>
        <v/>
      </c>
      <c r="AZ364">
        <f>IF(AND($AD364="T",$AQ364=1),N($AZ363)+1,N($AZ363))</f>
        <v/>
      </c>
      <c r="BA364">
        <f>IF($W364="","",INDEX(บันทึกรายเที่ยว!$E$6:$E$6005,$W364))</f>
        <v/>
      </c>
      <c r="BC364">
        <f>IF($Y364="",0,IFERROR(INDEX(อัตราค่าขนส่ง!$K$5:$K$204,MATCH($Y364,อัตราค่าขนส่ง!$M$5:$M$204,0)),0))</f>
        <v/>
      </c>
      <c r="BD364">
        <f>IF($Y364="",0,IFERROR(INDEX(อัตราค่าขนส่ง!$L$5:$L$204,MATCH($Y364,อัตราค่าขนส่ง!$M$5:$M$204,0)),0))</f>
        <v/>
      </c>
    </row>
    <row r="365" ht="21" customHeight="1" s="66">
      <c r="A365" s="69">
        <f>IF($AD365="","",IF($AD365="Z","รวมจ่ายทั้งสิ้น",IF($AD365="H",INDEX($X$5:$X$404,$AC365),IF($AD365="T","รวม",IF($AD365="B",IFERROR(INDEX(อัตราค่าขนส่ง!$S$5:$S$14,MATCH(INDEX($AM$5:$AM$404,$AC365),อัตราค่าขนส่ง!$R$5:$R$14,0)),"รวมกลุ่ม "&amp;INDEX($AM$5:$AM$404,$AC365)),INDEX($AY$5:$AY$404,$AC365))))))</f>
        <v/>
      </c>
      <c r="B365" s="31">
        <f>IF($AD365&lt;&gt;"D","",INDEX($AW$5:$AW$404,$AC365))</f>
        <v/>
      </c>
      <c r="C365" s="68">
        <f>IF($AD365&lt;&gt;"D","",INDEX($AX$5:$AX$404,$AC365))</f>
        <v/>
      </c>
      <c r="D365" s="70">
        <f>IF($AD365&lt;&gt;"D","",INDEX($BA$5:$BA$404,$AC365))</f>
        <v/>
      </c>
      <c r="E365" s="31">
        <f>IF($AD365="Z",SUM($AR$5:$AR$404),IF($AD365="D",INDEX($AR$5:$AR$404,$AC365),IF($AD365="T",SUMIF($X$5:$X$404,$AF365,$AR$5:$AR$404),IF($AD365="B",SUMIF($AN$5:$AN$404,$AQ365,$AR$5:$AR$404),""))))</f>
        <v/>
      </c>
      <c r="F365" s="32">
        <f>IF($AD365="Z",ROUND(SUM($AS$5:$AS$404),2),IF($AD365="D",INDEX($AS$5:$AS$404,$AC365),IF($AD365="T",ROUND(SUMIF($X$5:$X$404,$AF365,$AS$5:$AS$404),2),IF($AD365="B",ROUND(SUMIF($AN$5:$AN$404,$AQ365,$AS$5:$AS$404),2),""))))</f>
        <v/>
      </c>
      <c r="G365" s="32">
        <f>IF($AD365&lt;&gt;"D","",INDEX($AT$5:$AT$404,$AC365))</f>
        <v/>
      </c>
      <c r="H365" s="32">
        <f>IF($AD365&lt;&gt;"D","",INDEX($BC$5:$BC$404,$AC365))</f>
        <v/>
      </c>
      <c r="I365" s="32">
        <f>IF($AD365&lt;&gt;"D","",INDEX($BD$5:$BD$404,$AC365))</f>
        <v/>
      </c>
      <c r="J365" s="46">
        <f>IF($AD365&lt;&gt;"D","",IF(N($B365)=0,"",ROUND($I365/$B365,4)))</f>
        <v/>
      </c>
      <c r="K365" s="32">
        <f>IF($AD365="Z",ROUND(SUM($AU$5:$AU$404),2),IF($AD365="D",INDEX($AU$5:$AU$404,$AC365),IF($AD365="T",ROUND(SUMIF($X$5:$X$404,$AF365,$AU$5:$AU$404),2),IF($AD365="B",ROUND(SUMIF($AN$5:$AN$404,$AQ365,$AU$5:$AU$404),2),""))))</f>
        <v/>
      </c>
      <c r="L365" s="32">
        <f>IF($AD365="Z",ROUND(SUM($AV$5:$AV$404),2),IF($AD365="D",INDEX($AV$5:$AV$404,$AC365),IF($AD365="T",ROUND(SUMIF($X$5:$X$404,$AF365,$AV$5:$AV$404),2),IF($AD365="B",ROUND(SUMIF($AN$5:$AN$404,$AQ365,$AV$5:$AV$404),2),""))))</f>
        <v/>
      </c>
      <c r="M365" s="32">
        <f>IF($AD365="Z",ROUND(SUM($AJ$5:$AJ$704),2),IF($AD365="B",ROUND(SUMIF($AQ$5:$AQ$704,$AQ365,$AJ$5:$AJ$704),2),IF($AD365&lt;&gt;"T","",$AJ365)))</f>
        <v/>
      </c>
      <c r="N365" s="32">
        <f>IF(OR($AD365="D",$AD365="T",$AD365="B",$AD365="Z"),ROUND(N($K365)-N($L365)-N($M365),2),"")</f>
        <v/>
      </c>
      <c r="O365" s="32">
        <f>IF(OR($AD365="D",$AD365="T",$AD365="B",$AD365="Z"),IF(N($E365)=0,"",ROUND($F365/$E365,2)),"")</f>
        <v/>
      </c>
      <c r="Q365">
        <f>IFERROR(MATCH(361,บันทึกรายเที่ยว!$Z$6:$Z$6005,0),"")</f>
        <v/>
      </c>
      <c r="R365">
        <f>IF($Q365="","",INDEX(บันทึกรายเที่ยว!$V$6:$V$6005,$Q365))</f>
        <v/>
      </c>
      <c r="S365">
        <f>IF($Q365="","",INDEX(บันทึกรายเที่ยว!$F$6:$F$6005,$Q365))</f>
        <v/>
      </c>
      <c r="T365">
        <f>IF($Q365="","",MATCH($S365,บันทึกรายเที่ยว!$F$6:$F$6005,0))</f>
        <v/>
      </c>
      <c r="U365">
        <f>IF($Q365="","",$AL365*10000000+$T365*1000+361)</f>
        <v/>
      </c>
      <c r="V365">
        <f>IFERROR(MATCH(SMALL($U$5:$U$404,361),$U$5:$U$404,0),"")</f>
        <v/>
      </c>
      <c r="W365">
        <f>IF($V365="","",INDEX($Q$5:$Q$404,$V365))</f>
        <v/>
      </c>
      <c r="X365">
        <f>IF($V365="","",INDEX($S$5:$S$404,$V365))</f>
        <v/>
      </c>
      <c r="Y365">
        <f>IF($V365="","",INDEX($R$5:$R$404,$V365))</f>
        <v/>
      </c>
      <c r="Z365">
        <f>IF($V365="",0,IF($X365&lt;&gt;$X364,1,0))</f>
        <v/>
      </c>
      <c r="AA365">
        <f>IF($V365="",0,IF($V366="",1,IF($X366&lt;&gt;$X365,1,0)))</f>
        <v/>
      </c>
      <c r="AB365">
        <f>IF($V365="",99999+361,$AB364+1+$Z364+$AA364+$AO364)</f>
        <v/>
      </c>
      <c r="AC365">
        <f>IFERROR(MATCH(361,$AB$5:$AB$404,1),"")</f>
        <v/>
      </c>
      <c r="AD365">
        <f>IF(361=$AI$1+1,"Z",IF($AC365="","",IF(INDEX($V$5:$V$404,$AC365)="","",IF(361&gt;INDEX($AB$5:$AB$404,$AC365)+INDEX($Z$5:$Z$404,$AC365)+INDEX($AA$5:$AA$404,$AC365)+INDEX($AO$5:$AO$404,$AC365),"",IF(361=INDEX($AB$5:$AB$404,$AC365)+INDEX($Z$5:$Z$404,$AC365),"D",IF(AND(INDEX($Z$5:$Z$404,$AC365)=1,361=INDEX($AB$5:$AB$404,$AC365)),"H",IF(AND(INDEX($AO$5:$AO$404,$AC365)=1,361=INDEX($AB$5:$AB$404,$AC365)+INDEX($Z$5:$Z$404,$AC365)+INDEX($AA$5:$AA$404,$AC365)+INDEX($AO$5:$AO$404,$AC365)),"B","T")))))))</f>
        <v/>
      </c>
      <c r="AF365">
        <f>IF(OR($AD365="",$AD365="Z",$AD365="B"),"",INDEX($X$5:$X$404,$AC365))</f>
        <v/>
      </c>
      <c r="AJ365">
        <f>IF($AD365&lt;&gt;"T",0,ROUND(SUMIF(oil!$B$4:$B$63,$AF365,oil!$AE$4:$AE$63),2))</f>
        <v/>
      </c>
      <c r="AK365">
        <f>IF($S365="","",IFERROR(INDEX(อัตราค่าขนส่ง!$P$5:$P$54,MATCH($S365,อัตราค่าขนส่ง!$O$5:$O$54,0)),INDEX(รายการมาตรฐาน!$G$2:$G$3,1)))</f>
        <v/>
      </c>
      <c r="AL365">
        <f>IF($S365="","",IFERROR(MATCH($AK365,รายการมาตรฐาน!$G$2:$G$3,0),1))</f>
        <v/>
      </c>
      <c r="AM365">
        <f>IF($V365="","",INDEX($AK$5:$AK$404,$V365))</f>
        <v/>
      </c>
      <c r="AN365">
        <f>IF($V365="","",INDEX($AL$5:$AL$404,$V365))</f>
        <v/>
      </c>
      <c r="AO365">
        <f>IF(OR($V365="",$AI$2&lt;=1),0,IF($V366="",1,IF($AN366&lt;&gt;$AN365,1,0)))</f>
        <v/>
      </c>
      <c r="AP365">
        <f>IF($V365="",0,IF($AN365&lt;&gt;$AN364,1,0))</f>
        <v/>
      </c>
      <c r="AQ365">
        <f>IF(OR($AD365="",$AD365="Z"),"",INDEX($AN$5:$AN$404,$AC365))</f>
        <v/>
      </c>
      <c r="AR365">
        <f>IF($Y365="",0,COUNTIF(บันทึกรายเที่ยว!$V$6:$V$6005,$Y365))</f>
        <v/>
      </c>
      <c r="AS365">
        <f>IF($Y365="",0,ROUND(SUMIF(บันทึกรายเที่ยว!$V$6:$V$6005,$Y365,บันทึกรายเที่ยว!$M$6:$M$6005),2))</f>
        <v/>
      </c>
      <c r="AT365">
        <f>IF($Y365="",0,IFERROR(INDEX(อัตราค่าขนส่ง!$G$5:$G$204,MATCH($Y365,อัตราค่าขนส่ง!$M$5:$M$204,0)),0))</f>
        <v/>
      </c>
      <c r="AU365">
        <f>ROUND($AS365*$BD365,2)</f>
        <v/>
      </c>
      <c r="AV365">
        <f>ROUND($AU365*$BF$2/100,2)</f>
        <v/>
      </c>
      <c r="AW365">
        <f>IF($Y365="","",IFERROR(INDEX(อัตราค่าขนส่ง!$F$5:$F$204,MATCH($Y365,อัตราค่าขนส่ง!$M$5:$M$204,0)),""))</f>
        <v/>
      </c>
      <c r="AX365">
        <f>IF($W365="","",INDEX(บันทึกรายเที่ยว!$D$6:$D$6005,$W365))</f>
        <v/>
      </c>
      <c r="AY365">
        <f>IF($W365="","",INDEX(บันทึกรายเที่ยว!$R$6:$R$6005,$W365))</f>
        <v/>
      </c>
      <c r="AZ365">
        <f>IF(AND($AD365="T",$AQ365=1),N($AZ364)+1,N($AZ364))</f>
        <v/>
      </c>
      <c r="BA365">
        <f>IF($W365="","",INDEX(บันทึกรายเที่ยว!$E$6:$E$6005,$W365))</f>
        <v/>
      </c>
      <c r="BC365">
        <f>IF($Y365="",0,IFERROR(INDEX(อัตราค่าขนส่ง!$K$5:$K$204,MATCH($Y365,อัตราค่าขนส่ง!$M$5:$M$204,0)),0))</f>
        <v/>
      </c>
      <c r="BD365">
        <f>IF($Y365="",0,IFERROR(INDEX(อัตราค่าขนส่ง!$L$5:$L$204,MATCH($Y365,อัตราค่าขนส่ง!$M$5:$M$204,0)),0))</f>
        <v/>
      </c>
    </row>
    <row r="366" ht="21" customHeight="1" s="66">
      <c r="A366" s="69">
        <f>IF($AD366="","",IF($AD366="Z","รวมจ่ายทั้งสิ้น",IF($AD366="H",INDEX($X$5:$X$404,$AC366),IF($AD366="T","รวม",IF($AD366="B",IFERROR(INDEX(อัตราค่าขนส่ง!$S$5:$S$14,MATCH(INDEX($AM$5:$AM$404,$AC366),อัตราค่าขนส่ง!$R$5:$R$14,0)),"รวมกลุ่ม "&amp;INDEX($AM$5:$AM$404,$AC366)),INDEX($AY$5:$AY$404,$AC366))))))</f>
        <v/>
      </c>
      <c r="B366" s="31">
        <f>IF($AD366&lt;&gt;"D","",INDEX($AW$5:$AW$404,$AC366))</f>
        <v/>
      </c>
      <c r="C366" s="68">
        <f>IF($AD366&lt;&gt;"D","",INDEX($AX$5:$AX$404,$AC366))</f>
        <v/>
      </c>
      <c r="D366" s="70">
        <f>IF($AD366&lt;&gt;"D","",INDEX($BA$5:$BA$404,$AC366))</f>
        <v/>
      </c>
      <c r="E366" s="31">
        <f>IF($AD366="Z",SUM($AR$5:$AR$404),IF($AD366="D",INDEX($AR$5:$AR$404,$AC366),IF($AD366="T",SUMIF($X$5:$X$404,$AF366,$AR$5:$AR$404),IF($AD366="B",SUMIF($AN$5:$AN$404,$AQ366,$AR$5:$AR$404),""))))</f>
        <v/>
      </c>
      <c r="F366" s="32">
        <f>IF($AD366="Z",ROUND(SUM($AS$5:$AS$404),2),IF($AD366="D",INDEX($AS$5:$AS$404,$AC366),IF($AD366="T",ROUND(SUMIF($X$5:$X$404,$AF366,$AS$5:$AS$404),2),IF($AD366="B",ROUND(SUMIF($AN$5:$AN$404,$AQ366,$AS$5:$AS$404),2),""))))</f>
        <v/>
      </c>
      <c r="G366" s="32">
        <f>IF($AD366&lt;&gt;"D","",INDEX($AT$5:$AT$404,$AC366))</f>
        <v/>
      </c>
      <c r="H366" s="32">
        <f>IF($AD366&lt;&gt;"D","",INDEX($BC$5:$BC$404,$AC366))</f>
        <v/>
      </c>
      <c r="I366" s="32">
        <f>IF($AD366&lt;&gt;"D","",INDEX($BD$5:$BD$404,$AC366))</f>
        <v/>
      </c>
      <c r="J366" s="46">
        <f>IF($AD366&lt;&gt;"D","",IF(N($B366)=0,"",ROUND($I366/$B366,4)))</f>
        <v/>
      </c>
      <c r="K366" s="32">
        <f>IF($AD366="Z",ROUND(SUM($AU$5:$AU$404),2),IF($AD366="D",INDEX($AU$5:$AU$404,$AC366),IF($AD366="T",ROUND(SUMIF($X$5:$X$404,$AF366,$AU$5:$AU$404),2),IF($AD366="B",ROUND(SUMIF($AN$5:$AN$404,$AQ366,$AU$5:$AU$404),2),""))))</f>
        <v/>
      </c>
      <c r="L366" s="32">
        <f>IF($AD366="Z",ROUND(SUM($AV$5:$AV$404),2),IF($AD366="D",INDEX($AV$5:$AV$404,$AC366),IF($AD366="T",ROUND(SUMIF($X$5:$X$404,$AF366,$AV$5:$AV$404),2),IF($AD366="B",ROUND(SUMIF($AN$5:$AN$404,$AQ366,$AV$5:$AV$404),2),""))))</f>
        <v/>
      </c>
      <c r="M366" s="32">
        <f>IF($AD366="Z",ROUND(SUM($AJ$5:$AJ$704),2),IF($AD366="B",ROUND(SUMIF($AQ$5:$AQ$704,$AQ366,$AJ$5:$AJ$704),2),IF($AD366&lt;&gt;"T","",$AJ366)))</f>
        <v/>
      </c>
      <c r="N366" s="32">
        <f>IF(OR($AD366="D",$AD366="T",$AD366="B",$AD366="Z"),ROUND(N($K366)-N($L366)-N($M366),2),"")</f>
        <v/>
      </c>
      <c r="O366" s="32">
        <f>IF(OR($AD366="D",$AD366="T",$AD366="B",$AD366="Z"),IF(N($E366)=0,"",ROUND($F366/$E366,2)),"")</f>
        <v/>
      </c>
      <c r="Q366">
        <f>IFERROR(MATCH(362,บันทึกรายเที่ยว!$Z$6:$Z$6005,0),"")</f>
        <v/>
      </c>
      <c r="R366">
        <f>IF($Q366="","",INDEX(บันทึกรายเที่ยว!$V$6:$V$6005,$Q366))</f>
        <v/>
      </c>
      <c r="S366">
        <f>IF($Q366="","",INDEX(บันทึกรายเที่ยว!$F$6:$F$6005,$Q366))</f>
        <v/>
      </c>
      <c r="T366">
        <f>IF($Q366="","",MATCH($S366,บันทึกรายเที่ยว!$F$6:$F$6005,0))</f>
        <v/>
      </c>
      <c r="U366">
        <f>IF($Q366="","",$AL366*10000000+$T366*1000+362)</f>
        <v/>
      </c>
      <c r="V366">
        <f>IFERROR(MATCH(SMALL($U$5:$U$404,362),$U$5:$U$404,0),"")</f>
        <v/>
      </c>
      <c r="W366">
        <f>IF($V366="","",INDEX($Q$5:$Q$404,$V366))</f>
        <v/>
      </c>
      <c r="X366">
        <f>IF($V366="","",INDEX($S$5:$S$404,$V366))</f>
        <v/>
      </c>
      <c r="Y366">
        <f>IF($V366="","",INDEX($R$5:$R$404,$V366))</f>
        <v/>
      </c>
      <c r="Z366">
        <f>IF($V366="",0,IF($X366&lt;&gt;$X365,1,0))</f>
        <v/>
      </c>
      <c r="AA366">
        <f>IF($V366="",0,IF($V367="",1,IF($X367&lt;&gt;$X366,1,0)))</f>
        <v/>
      </c>
      <c r="AB366">
        <f>IF($V366="",99999+362,$AB365+1+$Z365+$AA365+$AO365)</f>
        <v/>
      </c>
      <c r="AC366">
        <f>IFERROR(MATCH(362,$AB$5:$AB$404,1),"")</f>
        <v/>
      </c>
      <c r="AD366">
        <f>IF(362=$AI$1+1,"Z",IF($AC366="","",IF(INDEX($V$5:$V$404,$AC366)="","",IF(362&gt;INDEX($AB$5:$AB$404,$AC366)+INDEX($Z$5:$Z$404,$AC366)+INDEX($AA$5:$AA$404,$AC366)+INDEX($AO$5:$AO$404,$AC366),"",IF(362=INDEX($AB$5:$AB$404,$AC366)+INDEX($Z$5:$Z$404,$AC366),"D",IF(AND(INDEX($Z$5:$Z$404,$AC366)=1,362=INDEX($AB$5:$AB$404,$AC366)),"H",IF(AND(INDEX($AO$5:$AO$404,$AC366)=1,362=INDEX($AB$5:$AB$404,$AC366)+INDEX($Z$5:$Z$404,$AC366)+INDEX($AA$5:$AA$404,$AC366)+INDEX($AO$5:$AO$404,$AC366)),"B","T")))))))</f>
        <v/>
      </c>
      <c r="AF366">
        <f>IF(OR($AD366="",$AD366="Z",$AD366="B"),"",INDEX($X$5:$X$404,$AC366))</f>
        <v/>
      </c>
      <c r="AJ366">
        <f>IF($AD366&lt;&gt;"T",0,ROUND(SUMIF(oil!$B$4:$B$63,$AF366,oil!$AE$4:$AE$63),2))</f>
        <v/>
      </c>
      <c r="AK366">
        <f>IF($S366="","",IFERROR(INDEX(อัตราค่าขนส่ง!$P$5:$P$54,MATCH($S366,อัตราค่าขนส่ง!$O$5:$O$54,0)),INDEX(รายการมาตรฐาน!$G$2:$G$3,1)))</f>
        <v/>
      </c>
      <c r="AL366">
        <f>IF($S366="","",IFERROR(MATCH($AK366,รายการมาตรฐาน!$G$2:$G$3,0),1))</f>
        <v/>
      </c>
      <c r="AM366">
        <f>IF($V366="","",INDEX($AK$5:$AK$404,$V366))</f>
        <v/>
      </c>
      <c r="AN366">
        <f>IF($V366="","",INDEX($AL$5:$AL$404,$V366))</f>
        <v/>
      </c>
      <c r="AO366">
        <f>IF(OR($V366="",$AI$2&lt;=1),0,IF($V367="",1,IF($AN367&lt;&gt;$AN366,1,0)))</f>
        <v/>
      </c>
      <c r="AP366">
        <f>IF($V366="",0,IF($AN366&lt;&gt;$AN365,1,0))</f>
        <v/>
      </c>
      <c r="AQ366">
        <f>IF(OR($AD366="",$AD366="Z"),"",INDEX($AN$5:$AN$404,$AC366))</f>
        <v/>
      </c>
      <c r="AR366">
        <f>IF($Y366="",0,COUNTIF(บันทึกรายเที่ยว!$V$6:$V$6005,$Y366))</f>
        <v/>
      </c>
      <c r="AS366">
        <f>IF($Y366="",0,ROUND(SUMIF(บันทึกรายเที่ยว!$V$6:$V$6005,$Y366,บันทึกรายเที่ยว!$M$6:$M$6005),2))</f>
        <v/>
      </c>
      <c r="AT366">
        <f>IF($Y366="",0,IFERROR(INDEX(อัตราค่าขนส่ง!$G$5:$G$204,MATCH($Y366,อัตราค่าขนส่ง!$M$5:$M$204,0)),0))</f>
        <v/>
      </c>
      <c r="AU366">
        <f>ROUND($AS366*$BD366,2)</f>
        <v/>
      </c>
      <c r="AV366">
        <f>ROUND($AU366*$BF$2/100,2)</f>
        <v/>
      </c>
      <c r="AW366">
        <f>IF($Y366="","",IFERROR(INDEX(อัตราค่าขนส่ง!$F$5:$F$204,MATCH($Y366,อัตราค่าขนส่ง!$M$5:$M$204,0)),""))</f>
        <v/>
      </c>
      <c r="AX366">
        <f>IF($W366="","",INDEX(บันทึกรายเที่ยว!$D$6:$D$6005,$W366))</f>
        <v/>
      </c>
      <c r="AY366">
        <f>IF($W366="","",INDEX(บันทึกรายเที่ยว!$R$6:$R$6005,$W366))</f>
        <v/>
      </c>
      <c r="AZ366">
        <f>IF(AND($AD366="T",$AQ366=1),N($AZ365)+1,N($AZ365))</f>
        <v/>
      </c>
      <c r="BA366">
        <f>IF($W366="","",INDEX(บันทึกรายเที่ยว!$E$6:$E$6005,$W366))</f>
        <v/>
      </c>
      <c r="BC366">
        <f>IF($Y366="",0,IFERROR(INDEX(อัตราค่าขนส่ง!$K$5:$K$204,MATCH($Y366,อัตราค่าขนส่ง!$M$5:$M$204,0)),0))</f>
        <v/>
      </c>
      <c r="BD366">
        <f>IF($Y366="",0,IFERROR(INDEX(อัตราค่าขนส่ง!$L$5:$L$204,MATCH($Y366,อัตราค่าขนส่ง!$M$5:$M$204,0)),0))</f>
        <v/>
      </c>
    </row>
    <row r="367" ht="21" customHeight="1" s="66">
      <c r="A367" s="69">
        <f>IF($AD367="","",IF($AD367="Z","รวมจ่ายทั้งสิ้น",IF($AD367="H",INDEX($X$5:$X$404,$AC367),IF($AD367="T","รวม",IF($AD367="B",IFERROR(INDEX(อัตราค่าขนส่ง!$S$5:$S$14,MATCH(INDEX($AM$5:$AM$404,$AC367),อัตราค่าขนส่ง!$R$5:$R$14,0)),"รวมกลุ่ม "&amp;INDEX($AM$5:$AM$404,$AC367)),INDEX($AY$5:$AY$404,$AC367))))))</f>
        <v/>
      </c>
      <c r="B367" s="31">
        <f>IF($AD367&lt;&gt;"D","",INDEX($AW$5:$AW$404,$AC367))</f>
        <v/>
      </c>
      <c r="C367" s="68">
        <f>IF($AD367&lt;&gt;"D","",INDEX($AX$5:$AX$404,$AC367))</f>
        <v/>
      </c>
      <c r="D367" s="70">
        <f>IF($AD367&lt;&gt;"D","",INDEX($BA$5:$BA$404,$AC367))</f>
        <v/>
      </c>
      <c r="E367" s="31">
        <f>IF($AD367="Z",SUM($AR$5:$AR$404),IF($AD367="D",INDEX($AR$5:$AR$404,$AC367),IF($AD367="T",SUMIF($X$5:$X$404,$AF367,$AR$5:$AR$404),IF($AD367="B",SUMIF($AN$5:$AN$404,$AQ367,$AR$5:$AR$404),""))))</f>
        <v/>
      </c>
      <c r="F367" s="32">
        <f>IF($AD367="Z",ROUND(SUM($AS$5:$AS$404),2),IF($AD367="D",INDEX($AS$5:$AS$404,$AC367),IF($AD367="T",ROUND(SUMIF($X$5:$X$404,$AF367,$AS$5:$AS$404),2),IF($AD367="B",ROUND(SUMIF($AN$5:$AN$404,$AQ367,$AS$5:$AS$404),2),""))))</f>
        <v/>
      </c>
      <c r="G367" s="32">
        <f>IF($AD367&lt;&gt;"D","",INDEX($AT$5:$AT$404,$AC367))</f>
        <v/>
      </c>
      <c r="H367" s="32">
        <f>IF($AD367&lt;&gt;"D","",INDEX($BC$5:$BC$404,$AC367))</f>
        <v/>
      </c>
      <c r="I367" s="32">
        <f>IF($AD367&lt;&gt;"D","",INDEX($BD$5:$BD$404,$AC367))</f>
        <v/>
      </c>
      <c r="J367" s="46">
        <f>IF($AD367&lt;&gt;"D","",IF(N($B367)=0,"",ROUND($I367/$B367,4)))</f>
        <v/>
      </c>
      <c r="K367" s="32">
        <f>IF($AD367="Z",ROUND(SUM($AU$5:$AU$404),2),IF($AD367="D",INDEX($AU$5:$AU$404,$AC367),IF($AD367="T",ROUND(SUMIF($X$5:$X$404,$AF367,$AU$5:$AU$404),2),IF($AD367="B",ROUND(SUMIF($AN$5:$AN$404,$AQ367,$AU$5:$AU$404),2),""))))</f>
        <v/>
      </c>
      <c r="L367" s="32">
        <f>IF($AD367="Z",ROUND(SUM($AV$5:$AV$404),2),IF($AD367="D",INDEX($AV$5:$AV$404,$AC367),IF($AD367="T",ROUND(SUMIF($X$5:$X$404,$AF367,$AV$5:$AV$404),2),IF($AD367="B",ROUND(SUMIF($AN$5:$AN$404,$AQ367,$AV$5:$AV$404),2),""))))</f>
        <v/>
      </c>
      <c r="M367" s="32">
        <f>IF($AD367="Z",ROUND(SUM($AJ$5:$AJ$704),2),IF($AD367="B",ROUND(SUMIF($AQ$5:$AQ$704,$AQ367,$AJ$5:$AJ$704),2),IF($AD367&lt;&gt;"T","",$AJ367)))</f>
        <v/>
      </c>
      <c r="N367" s="32">
        <f>IF(OR($AD367="D",$AD367="T",$AD367="B",$AD367="Z"),ROUND(N($K367)-N($L367)-N($M367),2),"")</f>
        <v/>
      </c>
      <c r="O367" s="32">
        <f>IF(OR($AD367="D",$AD367="T",$AD367="B",$AD367="Z"),IF(N($E367)=0,"",ROUND($F367/$E367,2)),"")</f>
        <v/>
      </c>
      <c r="Q367">
        <f>IFERROR(MATCH(363,บันทึกรายเที่ยว!$Z$6:$Z$6005,0),"")</f>
        <v/>
      </c>
      <c r="R367">
        <f>IF($Q367="","",INDEX(บันทึกรายเที่ยว!$V$6:$V$6005,$Q367))</f>
        <v/>
      </c>
      <c r="S367">
        <f>IF($Q367="","",INDEX(บันทึกรายเที่ยว!$F$6:$F$6005,$Q367))</f>
        <v/>
      </c>
      <c r="T367">
        <f>IF($Q367="","",MATCH($S367,บันทึกรายเที่ยว!$F$6:$F$6005,0))</f>
        <v/>
      </c>
      <c r="U367">
        <f>IF($Q367="","",$AL367*10000000+$T367*1000+363)</f>
        <v/>
      </c>
      <c r="V367">
        <f>IFERROR(MATCH(SMALL($U$5:$U$404,363),$U$5:$U$404,0),"")</f>
        <v/>
      </c>
      <c r="W367">
        <f>IF($V367="","",INDEX($Q$5:$Q$404,$V367))</f>
        <v/>
      </c>
      <c r="X367">
        <f>IF($V367="","",INDEX($S$5:$S$404,$V367))</f>
        <v/>
      </c>
      <c r="Y367">
        <f>IF($V367="","",INDEX($R$5:$R$404,$V367))</f>
        <v/>
      </c>
      <c r="Z367">
        <f>IF($V367="",0,IF($X367&lt;&gt;$X366,1,0))</f>
        <v/>
      </c>
      <c r="AA367">
        <f>IF($V367="",0,IF($V368="",1,IF($X368&lt;&gt;$X367,1,0)))</f>
        <v/>
      </c>
      <c r="AB367">
        <f>IF($V367="",99999+363,$AB366+1+$Z366+$AA366+$AO366)</f>
        <v/>
      </c>
      <c r="AC367">
        <f>IFERROR(MATCH(363,$AB$5:$AB$404,1),"")</f>
        <v/>
      </c>
      <c r="AD367">
        <f>IF(363=$AI$1+1,"Z",IF($AC367="","",IF(INDEX($V$5:$V$404,$AC367)="","",IF(363&gt;INDEX($AB$5:$AB$404,$AC367)+INDEX($Z$5:$Z$404,$AC367)+INDEX($AA$5:$AA$404,$AC367)+INDEX($AO$5:$AO$404,$AC367),"",IF(363=INDEX($AB$5:$AB$404,$AC367)+INDEX($Z$5:$Z$404,$AC367),"D",IF(AND(INDEX($Z$5:$Z$404,$AC367)=1,363=INDEX($AB$5:$AB$404,$AC367)),"H",IF(AND(INDEX($AO$5:$AO$404,$AC367)=1,363=INDEX($AB$5:$AB$404,$AC367)+INDEX($Z$5:$Z$404,$AC367)+INDEX($AA$5:$AA$404,$AC367)+INDEX($AO$5:$AO$404,$AC367)),"B","T")))))))</f>
        <v/>
      </c>
      <c r="AF367">
        <f>IF(OR($AD367="",$AD367="Z",$AD367="B"),"",INDEX($X$5:$X$404,$AC367))</f>
        <v/>
      </c>
      <c r="AJ367">
        <f>IF($AD367&lt;&gt;"T",0,ROUND(SUMIF(oil!$B$4:$B$63,$AF367,oil!$AE$4:$AE$63),2))</f>
        <v/>
      </c>
      <c r="AK367">
        <f>IF($S367="","",IFERROR(INDEX(อัตราค่าขนส่ง!$P$5:$P$54,MATCH($S367,อัตราค่าขนส่ง!$O$5:$O$54,0)),INDEX(รายการมาตรฐาน!$G$2:$G$3,1)))</f>
        <v/>
      </c>
      <c r="AL367">
        <f>IF($S367="","",IFERROR(MATCH($AK367,รายการมาตรฐาน!$G$2:$G$3,0),1))</f>
        <v/>
      </c>
      <c r="AM367">
        <f>IF($V367="","",INDEX($AK$5:$AK$404,$V367))</f>
        <v/>
      </c>
      <c r="AN367">
        <f>IF($V367="","",INDEX($AL$5:$AL$404,$V367))</f>
        <v/>
      </c>
      <c r="AO367">
        <f>IF(OR($V367="",$AI$2&lt;=1),0,IF($V368="",1,IF($AN368&lt;&gt;$AN367,1,0)))</f>
        <v/>
      </c>
      <c r="AP367">
        <f>IF($V367="",0,IF($AN367&lt;&gt;$AN366,1,0))</f>
        <v/>
      </c>
      <c r="AQ367">
        <f>IF(OR($AD367="",$AD367="Z"),"",INDEX($AN$5:$AN$404,$AC367))</f>
        <v/>
      </c>
      <c r="AR367">
        <f>IF($Y367="",0,COUNTIF(บันทึกรายเที่ยว!$V$6:$V$6005,$Y367))</f>
        <v/>
      </c>
      <c r="AS367">
        <f>IF($Y367="",0,ROUND(SUMIF(บันทึกรายเที่ยว!$V$6:$V$6005,$Y367,บันทึกรายเที่ยว!$M$6:$M$6005),2))</f>
        <v/>
      </c>
      <c r="AT367">
        <f>IF($Y367="",0,IFERROR(INDEX(อัตราค่าขนส่ง!$G$5:$G$204,MATCH($Y367,อัตราค่าขนส่ง!$M$5:$M$204,0)),0))</f>
        <v/>
      </c>
      <c r="AU367">
        <f>ROUND($AS367*$BD367,2)</f>
        <v/>
      </c>
      <c r="AV367">
        <f>ROUND($AU367*$BF$2/100,2)</f>
        <v/>
      </c>
      <c r="AW367">
        <f>IF($Y367="","",IFERROR(INDEX(อัตราค่าขนส่ง!$F$5:$F$204,MATCH($Y367,อัตราค่าขนส่ง!$M$5:$M$204,0)),""))</f>
        <v/>
      </c>
      <c r="AX367">
        <f>IF($W367="","",INDEX(บันทึกรายเที่ยว!$D$6:$D$6005,$W367))</f>
        <v/>
      </c>
      <c r="AY367">
        <f>IF($W367="","",INDEX(บันทึกรายเที่ยว!$R$6:$R$6005,$W367))</f>
        <v/>
      </c>
      <c r="AZ367">
        <f>IF(AND($AD367="T",$AQ367=1),N($AZ366)+1,N($AZ366))</f>
        <v/>
      </c>
      <c r="BA367">
        <f>IF($W367="","",INDEX(บันทึกรายเที่ยว!$E$6:$E$6005,$W367))</f>
        <v/>
      </c>
      <c r="BC367">
        <f>IF($Y367="",0,IFERROR(INDEX(อัตราค่าขนส่ง!$K$5:$K$204,MATCH($Y367,อัตราค่าขนส่ง!$M$5:$M$204,0)),0))</f>
        <v/>
      </c>
      <c r="BD367">
        <f>IF($Y367="",0,IFERROR(INDEX(อัตราค่าขนส่ง!$L$5:$L$204,MATCH($Y367,อัตราค่าขนส่ง!$M$5:$M$204,0)),0))</f>
        <v/>
      </c>
    </row>
    <row r="368" ht="21" customHeight="1" s="66">
      <c r="A368" s="69">
        <f>IF($AD368="","",IF($AD368="Z","รวมจ่ายทั้งสิ้น",IF($AD368="H",INDEX($X$5:$X$404,$AC368),IF($AD368="T","รวม",IF($AD368="B",IFERROR(INDEX(อัตราค่าขนส่ง!$S$5:$S$14,MATCH(INDEX($AM$5:$AM$404,$AC368),อัตราค่าขนส่ง!$R$5:$R$14,0)),"รวมกลุ่ม "&amp;INDEX($AM$5:$AM$404,$AC368)),INDEX($AY$5:$AY$404,$AC368))))))</f>
        <v/>
      </c>
      <c r="B368" s="31">
        <f>IF($AD368&lt;&gt;"D","",INDEX($AW$5:$AW$404,$AC368))</f>
        <v/>
      </c>
      <c r="C368" s="68">
        <f>IF($AD368&lt;&gt;"D","",INDEX($AX$5:$AX$404,$AC368))</f>
        <v/>
      </c>
      <c r="D368" s="70">
        <f>IF($AD368&lt;&gt;"D","",INDEX($BA$5:$BA$404,$AC368))</f>
        <v/>
      </c>
      <c r="E368" s="31">
        <f>IF($AD368="Z",SUM($AR$5:$AR$404),IF($AD368="D",INDEX($AR$5:$AR$404,$AC368),IF($AD368="T",SUMIF($X$5:$X$404,$AF368,$AR$5:$AR$404),IF($AD368="B",SUMIF($AN$5:$AN$404,$AQ368,$AR$5:$AR$404),""))))</f>
        <v/>
      </c>
      <c r="F368" s="32">
        <f>IF($AD368="Z",ROUND(SUM($AS$5:$AS$404),2),IF($AD368="D",INDEX($AS$5:$AS$404,$AC368),IF($AD368="T",ROUND(SUMIF($X$5:$X$404,$AF368,$AS$5:$AS$404),2),IF($AD368="B",ROUND(SUMIF($AN$5:$AN$404,$AQ368,$AS$5:$AS$404),2),""))))</f>
        <v/>
      </c>
      <c r="G368" s="32">
        <f>IF($AD368&lt;&gt;"D","",INDEX($AT$5:$AT$404,$AC368))</f>
        <v/>
      </c>
      <c r="H368" s="32">
        <f>IF($AD368&lt;&gt;"D","",INDEX($BC$5:$BC$404,$AC368))</f>
        <v/>
      </c>
      <c r="I368" s="32">
        <f>IF($AD368&lt;&gt;"D","",INDEX($BD$5:$BD$404,$AC368))</f>
        <v/>
      </c>
      <c r="J368" s="46">
        <f>IF($AD368&lt;&gt;"D","",IF(N($B368)=0,"",ROUND($I368/$B368,4)))</f>
        <v/>
      </c>
      <c r="K368" s="32">
        <f>IF($AD368="Z",ROUND(SUM($AU$5:$AU$404),2),IF($AD368="D",INDEX($AU$5:$AU$404,$AC368),IF($AD368="T",ROUND(SUMIF($X$5:$X$404,$AF368,$AU$5:$AU$404),2),IF($AD368="B",ROUND(SUMIF($AN$5:$AN$404,$AQ368,$AU$5:$AU$404),2),""))))</f>
        <v/>
      </c>
      <c r="L368" s="32">
        <f>IF($AD368="Z",ROUND(SUM($AV$5:$AV$404),2),IF($AD368="D",INDEX($AV$5:$AV$404,$AC368),IF($AD368="T",ROUND(SUMIF($X$5:$X$404,$AF368,$AV$5:$AV$404),2),IF($AD368="B",ROUND(SUMIF($AN$5:$AN$404,$AQ368,$AV$5:$AV$404),2),""))))</f>
        <v/>
      </c>
      <c r="M368" s="32">
        <f>IF($AD368="Z",ROUND(SUM($AJ$5:$AJ$704),2),IF($AD368="B",ROUND(SUMIF($AQ$5:$AQ$704,$AQ368,$AJ$5:$AJ$704),2),IF($AD368&lt;&gt;"T","",$AJ368)))</f>
        <v/>
      </c>
      <c r="N368" s="32">
        <f>IF(OR($AD368="D",$AD368="T",$AD368="B",$AD368="Z"),ROUND(N($K368)-N($L368)-N($M368),2),"")</f>
        <v/>
      </c>
      <c r="O368" s="32">
        <f>IF(OR($AD368="D",$AD368="T",$AD368="B",$AD368="Z"),IF(N($E368)=0,"",ROUND($F368/$E368,2)),"")</f>
        <v/>
      </c>
      <c r="Q368">
        <f>IFERROR(MATCH(364,บันทึกรายเที่ยว!$Z$6:$Z$6005,0),"")</f>
        <v/>
      </c>
      <c r="R368">
        <f>IF($Q368="","",INDEX(บันทึกรายเที่ยว!$V$6:$V$6005,$Q368))</f>
        <v/>
      </c>
      <c r="S368">
        <f>IF($Q368="","",INDEX(บันทึกรายเที่ยว!$F$6:$F$6005,$Q368))</f>
        <v/>
      </c>
      <c r="T368">
        <f>IF($Q368="","",MATCH($S368,บันทึกรายเที่ยว!$F$6:$F$6005,0))</f>
        <v/>
      </c>
      <c r="U368">
        <f>IF($Q368="","",$AL368*10000000+$T368*1000+364)</f>
        <v/>
      </c>
      <c r="V368">
        <f>IFERROR(MATCH(SMALL($U$5:$U$404,364),$U$5:$U$404,0),"")</f>
        <v/>
      </c>
      <c r="W368">
        <f>IF($V368="","",INDEX($Q$5:$Q$404,$V368))</f>
        <v/>
      </c>
      <c r="X368">
        <f>IF($V368="","",INDEX($S$5:$S$404,$V368))</f>
        <v/>
      </c>
      <c r="Y368">
        <f>IF($V368="","",INDEX($R$5:$R$404,$V368))</f>
        <v/>
      </c>
      <c r="Z368">
        <f>IF($V368="",0,IF($X368&lt;&gt;$X367,1,0))</f>
        <v/>
      </c>
      <c r="AA368">
        <f>IF($V368="",0,IF($V369="",1,IF($X369&lt;&gt;$X368,1,0)))</f>
        <v/>
      </c>
      <c r="AB368">
        <f>IF($V368="",99999+364,$AB367+1+$Z367+$AA367+$AO367)</f>
        <v/>
      </c>
      <c r="AC368">
        <f>IFERROR(MATCH(364,$AB$5:$AB$404,1),"")</f>
        <v/>
      </c>
      <c r="AD368">
        <f>IF(364=$AI$1+1,"Z",IF($AC368="","",IF(INDEX($V$5:$V$404,$AC368)="","",IF(364&gt;INDEX($AB$5:$AB$404,$AC368)+INDEX($Z$5:$Z$404,$AC368)+INDEX($AA$5:$AA$404,$AC368)+INDEX($AO$5:$AO$404,$AC368),"",IF(364=INDEX($AB$5:$AB$404,$AC368)+INDEX($Z$5:$Z$404,$AC368),"D",IF(AND(INDEX($Z$5:$Z$404,$AC368)=1,364=INDEX($AB$5:$AB$404,$AC368)),"H",IF(AND(INDEX($AO$5:$AO$404,$AC368)=1,364=INDEX($AB$5:$AB$404,$AC368)+INDEX($Z$5:$Z$404,$AC368)+INDEX($AA$5:$AA$404,$AC368)+INDEX($AO$5:$AO$404,$AC368)),"B","T")))))))</f>
        <v/>
      </c>
      <c r="AF368">
        <f>IF(OR($AD368="",$AD368="Z",$AD368="B"),"",INDEX($X$5:$X$404,$AC368))</f>
        <v/>
      </c>
      <c r="AJ368">
        <f>IF($AD368&lt;&gt;"T",0,ROUND(SUMIF(oil!$B$4:$B$63,$AF368,oil!$AE$4:$AE$63),2))</f>
        <v/>
      </c>
      <c r="AK368">
        <f>IF($S368="","",IFERROR(INDEX(อัตราค่าขนส่ง!$P$5:$P$54,MATCH($S368,อัตราค่าขนส่ง!$O$5:$O$54,0)),INDEX(รายการมาตรฐาน!$G$2:$G$3,1)))</f>
        <v/>
      </c>
      <c r="AL368">
        <f>IF($S368="","",IFERROR(MATCH($AK368,รายการมาตรฐาน!$G$2:$G$3,0),1))</f>
        <v/>
      </c>
      <c r="AM368">
        <f>IF($V368="","",INDEX($AK$5:$AK$404,$V368))</f>
        <v/>
      </c>
      <c r="AN368">
        <f>IF($V368="","",INDEX($AL$5:$AL$404,$V368))</f>
        <v/>
      </c>
      <c r="AO368">
        <f>IF(OR($V368="",$AI$2&lt;=1),0,IF($V369="",1,IF($AN369&lt;&gt;$AN368,1,0)))</f>
        <v/>
      </c>
      <c r="AP368">
        <f>IF($V368="",0,IF($AN368&lt;&gt;$AN367,1,0))</f>
        <v/>
      </c>
      <c r="AQ368">
        <f>IF(OR($AD368="",$AD368="Z"),"",INDEX($AN$5:$AN$404,$AC368))</f>
        <v/>
      </c>
      <c r="AR368">
        <f>IF($Y368="",0,COUNTIF(บันทึกรายเที่ยว!$V$6:$V$6005,$Y368))</f>
        <v/>
      </c>
      <c r="AS368">
        <f>IF($Y368="",0,ROUND(SUMIF(บันทึกรายเที่ยว!$V$6:$V$6005,$Y368,บันทึกรายเที่ยว!$M$6:$M$6005),2))</f>
        <v/>
      </c>
      <c r="AT368">
        <f>IF($Y368="",0,IFERROR(INDEX(อัตราค่าขนส่ง!$G$5:$G$204,MATCH($Y368,อัตราค่าขนส่ง!$M$5:$M$204,0)),0))</f>
        <v/>
      </c>
      <c r="AU368">
        <f>ROUND($AS368*$BD368,2)</f>
        <v/>
      </c>
      <c r="AV368">
        <f>ROUND($AU368*$BF$2/100,2)</f>
        <v/>
      </c>
      <c r="AW368">
        <f>IF($Y368="","",IFERROR(INDEX(อัตราค่าขนส่ง!$F$5:$F$204,MATCH($Y368,อัตราค่าขนส่ง!$M$5:$M$204,0)),""))</f>
        <v/>
      </c>
      <c r="AX368">
        <f>IF($W368="","",INDEX(บันทึกรายเที่ยว!$D$6:$D$6005,$W368))</f>
        <v/>
      </c>
      <c r="AY368">
        <f>IF($W368="","",INDEX(บันทึกรายเที่ยว!$R$6:$R$6005,$W368))</f>
        <v/>
      </c>
      <c r="AZ368">
        <f>IF(AND($AD368="T",$AQ368=1),N($AZ367)+1,N($AZ367))</f>
        <v/>
      </c>
      <c r="BA368">
        <f>IF($W368="","",INDEX(บันทึกรายเที่ยว!$E$6:$E$6005,$W368))</f>
        <v/>
      </c>
      <c r="BC368">
        <f>IF($Y368="",0,IFERROR(INDEX(อัตราค่าขนส่ง!$K$5:$K$204,MATCH($Y368,อัตราค่าขนส่ง!$M$5:$M$204,0)),0))</f>
        <v/>
      </c>
      <c r="BD368">
        <f>IF($Y368="",0,IFERROR(INDEX(อัตราค่าขนส่ง!$L$5:$L$204,MATCH($Y368,อัตราค่าขนส่ง!$M$5:$M$204,0)),0))</f>
        <v/>
      </c>
    </row>
    <row r="369" ht="21" customHeight="1" s="66">
      <c r="A369" s="69">
        <f>IF($AD369="","",IF($AD369="Z","รวมจ่ายทั้งสิ้น",IF($AD369="H",INDEX($X$5:$X$404,$AC369),IF($AD369="T","รวม",IF($AD369="B",IFERROR(INDEX(อัตราค่าขนส่ง!$S$5:$S$14,MATCH(INDEX($AM$5:$AM$404,$AC369),อัตราค่าขนส่ง!$R$5:$R$14,0)),"รวมกลุ่ม "&amp;INDEX($AM$5:$AM$404,$AC369)),INDEX($AY$5:$AY$404,$AC369))))))</f>
        <v/>
      </c>
      <c r="B369" s="31">
        <f>IF($AD369&lt;&gt;"D","",INDEX($AW$5:$AW$404,$AC369))</f>
        <v/>
      </c>
      <c r="C369" s="68">
        <f>IF($AD369&lt;&gt;"D","",INDEX($AX$5:$AX$404,$AC369))</f>
        <v/>
      </c>
      <c r="D369" s="70">
        <f>IF($AD369&lt;&gt;"D","",INDEX($BA$5:$BA$404,$AC369))</f>
        <v/>
      </c>
      <c r="E369" s="31">
        <f>IF($AD369="Z",SUM($AR$5:$AR$404),IF($AD369="D",INDEX($AR$5:$AR$404,$AC369),IF($AD369="T",SUMIF($X$5:$X$404,$AF369,$AR$5:$AR$404),IF($AD369="B",SUMIF($AN$5:$AN$404,$AQ369,$AR$5:$AR$404),""))))</f>
        <v/>
      </c>
      <c r="F369" s="32">
        <f>IF($AD369="Z",ROUND(SUM($AS$5:$AS$404),2),IF($AD369="D",INDEX($AS$5:$AS$404,$AC369),IF($AD369="T",ROUND(SUMIF($X$5:$X$404,$AF369,$AS$5:$AS$404),2),IF($AD369="B",ROUND(SUMIF($AN$5:$AN$404,$AQ369,$AS$5:$AS$404),2),""))))</f>
        <v/>
      </c>
      <c r="G369" s="32">
        <f>IF($AD369&lt;&gt;"D","",INDEX($AT$5:$AT$404,$AC369))</f>
        <v/>
      </c>
      <c r="H369" s="32">
        <f>IF($AD369&lt;&gt;"D","",INDEX($BC$5:$BC$404,$AC369))</f>
        <v/>
      </c>
      <c r="I369" s="32">
        <f>IF($AD369&lt;&gt;"D","",INDEX($BD$5:$BD$404,$AC369))</f>
        <v/>
      </c>
      <c r="J369" s="46">
        <f>IF($AD369&lt;&gt;"D","",IF(N($B369)=0,"",ROUND($I369/$B369,4)))</f>
        <v/>
      </c>
      <c r="K369" s="32">
        <f>IF($AD369="Z",ROUND(SUM($AU$5:$AU$404),2),IF($AD369="D",INDEX($AU$5:$AU$404,$AC369),IF($AD369="T",ROUND(SUMIF($X$5:$X$404,$AF369,$AU$5:$AU$404),2),IF($AD369="B",ROUND(SUMIF($AN$5:$AN$404,$AQ369,$AU$5:$AU$404),2),""))))</f>
        <v/>
      </c>
      <c r="L369" s="32">
        <f>IF($AD369="Z",ROUND(SUM($AV$5:$AV$404),2),IF($AD369="D",INDEX($AV$5:$AV$404,$AC369),IF($AD369="T",ROUND(SUMIF($X$5:$X$404,$AF369,$AV$5:$AV$404),2),IF($AD369="B",ROUND(SUMIF($AN$5:$AN$404,$AQ369,$AV$5:$AV$404),2),""))))</f>
        <v/>
      </c>
      <c r="M369" s="32">
        <f>IF($AD369="Z",ROUND(SUM($AJ$5:$AJ$704),2),IF($AD369="B",ROUND(SUMIF($AQ$5:$AQ$704,$AQ369,$AJ$5:$AJ$704),2),IF($AD369&lt;&gt;"T","",$AJ369)))</f>
        <v/>
      </c>
      <c r="N369" s="32">
        <f>IF(OR($AD369="D",$AD369="T",$AD369="B",$AD369="Z"),ROUND(N($K369)-N($L369)-N($M369),2),"")</f>
        <v/>
      </c>
      <c r="O369" s="32">
        <f>IF(OR($AD369="D",$AD369="T",$AD369="B",$AD369="Z"),IF(N($E369)=0,"",ROUND($F369/$E369,2)),"")</f>
        <v/>
      </c>
      <c r="Q369">
        <f>IFERROR(MATCH(365,บันทึกรายเที่ยว!$Z$6:$Z$6005,0),"")</f>
        <v/>
      </c>
      <c r="R369">
        <f>IF($Q369="","",INDEX(บันทึกรายเที่ยว!$V$6:$V$6005,$Q369))</f>
        <v/>
      </c>
      <c r="S369">
        <f>IF($Q369="","",INDEX(บันทึกรายเที่ยว!$F$6:$F$6005,$Q369))</f>
        <v/>
      </c>
      <c r="T369">
        <f>IF($Q369="","",MATCH($S369,บันทึกรายเที่ยว!$F$6:$F$6005,0))</f>
        <v/>
      </c>
      <c r="U369">
        <f>IF($Q369="","",$AL369*10000000+$T369*1000+365)</f>
        <v/>
      </c>
      <c r="V369">
        <f>IFERROR(MATCH(SMALL($U$5:$U$404,365),$U$5:$U$404,0),"")</f>
        <v/>
      </c>
      <c r="W369">
        <f>IF($V369="","",INDEX($Q$5:$Q$404,$V369))</f>
        <v/>
      </c>
      <c r="X369">
        <f>IF($V369="","",INDEX($S$5:$S$404,$V369))</f>
        <v/>
      </c>
      <c r="Y369">
        <f>IF($V369="","",INDEX($R$5:$R$404,$V369))</f>
        <v/>
      </c>
      <c r="Z369">
        <f>IF($V369="",0,IF($X369&lt;&gt;$X368,1,0))</f>
        <v/>
      </c>
      <c r="AA369">
        <f>IF($V369="",0,IF($V370="",1,IF($X370&lt;&gt;$X369,1,0)))</f>
        <v/>
      </c>
      <c r="AB369">
        <f>IF($V369="",99999+365,$AB368+1+$Z368+$AA368+$AO368)</f>
        <v/>
      </c>
      <c r="AC369">
        <f>IFERROR(MATCH(365,$AB$5:$AB$404,1),"")</f>
        <v/>
      </c>
      <c r="AD369">
        <f>IF(365=$AI$1+1,"Z",IF($AC369="","",IF(INDEX($V$5:$V$404,$AC369)="","",IF(365&gt;INDEX($AB$5:$AB$404,$AC369)+INDEX($Z$5:$Z$404,$AC369)+INDEX($AA$5:$AA$404,$AC369)+INDEX($AO$5:$AO$404,$AC369),"",IF(365=INDEX($AB$5:$AB$404,$AC369)+INDEX($Z$5:$Z$404,$AC369),"D",IF(AND(INDEX($Z$5:$Z$404,$AC369)=1,365=INDEX($AB$5:$AB$404,$AC369)),"H",IF(AND(INDEX($AO$5:$AO$404,$AC369)=1,365=INDEX($AB$5:$AB$404,$AC369)+INDEX($Z$5:$Z$404,$AC369)+INDEX($AA$5:$AA$404,$AC369)+INDEX($AO$5:$AO$404,$AC369)),"B","T")))))))</f>
        <v/>
      </c>
      <c r="AF369">
        <f>IF(OR($AD369="",$AD369="Z",$AD369="B"),"",INDEX($X$5:$X$404,$AC369))</f>
        <v/>
      </c>
      <c r="AJ369">
        <f>IF($AD369&lt;&gt;"T",0,ROUND(SUMIF(oil!$B$4:$B$63,$AF369,oil!$AE$4:$AE$63),2))</f>
        <v/>
      </c>
      <c r="AK369">
        <f>IF($S369="","",IFERROR(INDEX(อัตราค่าขนส่ง!$P$5:$P$54,MATCH($S369,อัตราค่าขนส่ง!$O$5:$O$54,0)),INDEX(รายการมาตรฐาน!$G$2:$G$3,1)))</f>
        <v/>
      </c>
      <c r="AL369">
        <f>IF($S369="","",IFERROR(MATCH($AK369,รายการมาตรฐาน!$G$2:$G$3,0),1))</f>
        <v/>
      </c>
      <c r="AM369">
        <f>IF($V369="","",INDEX($AK$5:$AK$404,$V369))</f>
        <v/>
      </c>
      <c r="AN369">
        <f>IF($V369="","",INDEX($AL$5:$AL$404,$V369))</f>
        <v/>
      </c>
      <c r="AO369">
        <f>IF(OR($V369="",$AI$2&lt;=1),0,IF($V370="",1,IF($AN370&lt;&gt;$AN369,1,0)))</f>
        <v/>
      </c>
      <c r="AP369">
        <f>IF($V369="",0,IF($AN369&lt;&gt;$AN368,1,0))</f>
        <v/>
      </c>
      <c r="AQ369">
        <f>IF(OR($AD369="",$AD369="Z"),"",INDEX($AN$5:$AN$404,$AC369))</f>
        <v/>
      </c>
      <c r="AR369">
        <f>IF($Y369="",0,COUNTIF(บันทึกรายเที่ยว!$V$6:$V$6005,$Y369))</f>
        <v/>
      </c>
      <c r="AS369">
        <f>IF($Y369="",0,ROUND(SUMIF(บันทึกรายเที่ยว!$V$6:$V$6005,$Y369,บันทึกรายเที่ยว!$M$6:$M$6005),2))</f>
        <v/>
      </c>
      <c r="AT369">
        <f>IF($Y369="",0,IFERROR(INDEX(อัตราค่าขนส่ง!$G$5:$G$204,MATCH($Y369,อัตราค่าขนส่ง!$M$5:$M$204,0)),0))</f>
        <v/>
      </c>
      <c r="AU369">
        <f>ROUND($AS369*$BD369,2)</f>
        <v/>
      </c>
      <c r="AV369">
        <f>ROUND($AU369*$BF$2/100,2)</f>
        <v/>
      </c>
      <c r="AW369">
        <f>IF($Y369="","",IFERROR(INDEX(อัตราค่าขนส่ง!$F$5:$F$204,MATCH($Y369,อัตราค่าขนส่ง!$M$5:$M$204,0)),""))</f>
        <v/>
      </c>
      <c r="AX369">
        <f>IF($W369="","",INDEX(บันทึกรายเที่ยว!$D$6:$D$6005,$W369))</f>
        <v/>
      </c>
      <c r="AY369">
        <f>IF($W369="","",INDEX(บันทึกรายเที่ยว!$R$6:$R$6005,$W369))</f>
        <v/>
      </c>
      <c r="AZ369">
        <f>IF(AND($AD369="T",$AQ369=1),N($AZ368)+1,N($AZ368))</f>
        <v/>
      </c>
      <c r="BA369">
        <f>IF($W369="","",INDEX(บันทึกรายเที่ยว!$E$6:$E$6005,$W369))</f>
        <v/>
      </c>
      <c r="BC369">
        <f>IF($Y369="",0,IFERROR(INDEX(อัตราค่าขนส่ง!$K$5:$K$204,MATCH($Y369,อัตราค่าขนส่ง!$M$5:$M$204,0)),0))</f>
        <v/>
      </c>
      <c r="BD369">
        <f>IF($Y369="",0,IFERROR(INDEX(อัตราค่าขนส่ง!$L$5:$L$204,MATCH($Y369,อัตราค่าขนส่ง!$M$5:$M$204,0)),0))</f>
        <v/>
      </c>
    </row>
    <row r="370" ht="21" customHeight="1" s="66">
      <c r="A370" s="69">
        <f>IF($AD370="","",IF($AD370="Z","รวมจ่ายทั้งสิ้น",IF($AD370="H",INDEX($X$5:$X$404,$AC370),IF($AD370="T","รวม",IF($AD370="B",IFERROR(INDEX(อัตราค่าขนส่ง!$S$5:$S$14,MATCH(INDEX($AM$5:$AM$404,$AC370),อัตราค่าขนส่ง!$R$5:$R$14,0)),"รวมกลุ่ม "&amp;INDEX($AM$5:$AM$404,$AC370)),INDEX($AY$5:$AY$404,$AC370))))))</f>
        <v/>
      </c>
      <c r="B370" s="31">
        <f>IF($AD370&lt;&gt;"D","",INDEX($AW$5:$AW$404,$AC370))</f>
        <v/>
      </c>
      <c r="C370" s="68">
        <f>IF($AD370&lt;&gt;"D","",INDEX($AX$5:$AX$404,$AC370))</f>
        <v/>
      </c>
      <c r="D370" s="70">
        <f>IF($AD370&lt;&gt;"D","",INDEX($BA$5:$BA$404,$AC370))</f>
        <v/>
      </c>
      <c r="E370" s="31">
        <f>IF($AD370="Z",SUM($AR$5:$AR$404),IF($AD370="D",INDEX($AR$5:$AR$404,$AC370),IF($AD370="T",SUMIF($X$5:$X$404,$AF370,$AR$5:$AR$404),IF($AD370="B",SUMIF($AN$5:$AN$404,$AQ370,$AR$5:$AR$404),""))))</f>
        <v/>
      </c>
      <c r="F370" s="32">
        <f>IF($AD370="Z",ROUND(SUM($AS$5:$AS$404),2),IF($AD370="D",INDEX($AS$5:$AS$404,$AC370),IF($AD370="T",ROUND(SUMIF($X$5:$X$404,$AF370,$AS$5:$AS$404),2),IF($AD370="B",ROUND(SUMIF($AN$5:$AN$404,$AQ370,$AS$5:$AS$404),2),""))))</f>
        <v/>
      </c>
      <c r="G370" s="32">
        <f>IF($AD370&lt;&gt;"D","",INDEX($AT$5:$AT$404,$AC370))</f>
        <v/>
      </c>
      <c r="H370" s="32">
        <f>IF($AD370&lt;&gt;"D","",INDEX($BC$5:$BC$404,$AC370))</f>
        <v/>
      </c>
      <c r="I370" s="32">
        <f>IF($AD370&lt;&gt;"D","",INDEX($BD$5:$BD$404,$AC370))</f>
        <v/>
      </c>
      <c r="J370" s="46">
        <f>IF($AD370&lt;&gt;"D","",IF(N($B370)=0,"",ROUND($I370/$B370,4)))</f>
        <v/>
      </c>
      <c r="K370" s="32">
        <f>IF($AD370="Z",ROUND(SUM($AU$5:$AU$404),2),IF($AD370="D",INDEX($AU$5:$AU$404,$AC370),IF($AD370="T",ROUND(SUMIF($X$5:$X$404,$AF370,$AU$5:$AU$404),2),IF($AD370="B",ROUND(SUMIF($AN$5:$AN$404,$AQ370,$AU$5:$AU$404),2),""))))</f>
        <v/>
      </c>
      <c r="L370" s="32">
        <f>IF($AD370="Z",ROUND(SUM($AV$5:$AV$404),2),IF($AD370="D",INDEX($AV$5:$AV$404,$AC370),IF($AD370="T",ROUND(SUMIF($X$5:$X$404,$AF370,$AV$5:$AV$404),2),IF($AD370="B",ROUND(SUMIF($AN$5:$AN$404,$AQ370,$AV$5:$AV$404),2),""))))</f>
        <v/>
      </c>
      <c r="M370" s="32">
        <f>IF($AD370="Z",ROUND(SUM($AJ$5:$AJ$704),2),IF($AD370="B",ROUND(SUMIF($AQ$5:$AQ$704,$AQ370,$AJ$5:$AJ$704),2),IF($AD370&lt;&gt;"T","",$AJ370)))</f>
        <v/>
      </c>
      <c r="N370" s="32">
        <f>IF(OR($AD370="D",$AD370="T",$AD370="B",$AD370="Z"),ROUND(N($K370)-N($L370)-N($M370),2),"")</f>
        <v/>
      </c>
      <c r="O370" s="32">
        <f>IF(OR($AD370="D",$AD370="T",$AD370="B",$AD370="Z"),IF(N($E370)=0,"",ROUND($F370/$E370,2)),"")</f>
        <v/>
      </c>
      <c r="Q370">
        <f>IFERROR(MATCH(366,บันทึกรายเที่ยว!$Z$6:$Z$6005,0),"")</f>
        <v/>
      </c>
      <c r="R370">
        <f>IF($Q370="","",INDEX(บันทึกรายเที่ยว!$V$6:$V$6005,$Q370))</f>
        <v/>
      </c>
      <c r="S370">
        <f>IF($Q370="","",INDEX(บันทึกรายเที่ยว!$F$6:$F$6005,$Q370))</f>
        <v/>
      </c>
      <c r="T370">
        <f>IF($Q370="","",MATCH($S370,บันทึกรายเที่ยว!$F$6:$F$6005,0))</f>
        <v/>
      </c>
      <c r="U370">
        <f>IF($Q370="","",$AL370*10000000+$T370*1000+366)</f>
        <v/>
      </c>
      <c r="V370">
        <f>IFERROR(MATCH(SMALL($U$5:$U$404,366),$U$5:$U$404,0),"")</f>
        <v/>
      </c>
      <c r="W370">
        <f>IF($V370="","",INDEX($Q$5:$Q$404,$V370))</f>
        <v/>
      </c>
      <c r="X370">
        <f>IF($V370="","",INDEX($S$5:$S$404,$V370))</f>
        <v/>
      </c>
      <c r="Y370">
        <f>IF($V370="","",INDEX($R$5:$R$404,$V370))</f>
        <v/>
      </c>
      <c r="Z370">
        <f>IF($V370="",0,IF($X370&lt;&gt;$X369,1,0))</f>
        <v/>
      </c>
      <c r="AA370">
        <f>IF($V370="",0,IF($V371="",1,IF($X371&lt;&gt;$X370,1,0)))</f>
        <v/>
      </c>
      <c r="AB370">
        <f>IF($V370="",99999+366,$AB369+1+$Z369+$AA369+$AO369)</f>
        <v/>
      </c>
      <c r="AC370">
        <f>IFERROR(MATCH(366,$AB$5:$AB$404,1),"")</f>
        <v/>
      </c>
      <c r="AD370">
        <f>IF(366=$AI$1+1,"Z",IF($AC370="","",IF(INDEX($V$5:$V$404,$AC370)="","",IF(366&gt;INDEX($AB$5:$AB$404,$AC370)+INDEX($Z$5:$Z$404,$AC370)+INDEX($AA$5:$AA$404,$AC370)+INDEX($AO$5:$AO$404,$AC370),"",IF(366=INDEX($AB$5:$AB$404,$AC370)+INDEX($Z$5:$Z$404,$AC370),"D",IF(AND(INDEX($Z$5:$Z$404,$AC370)=1,366=INDEX($AB$5:$AB$404,$AC370)),"H",IF(AND(INDEX($AO$5:$AO$404,$AC370)=1,366=INDEX($AB$5:$AB$404,$AC370)+INDEX($Z$5:$Z$404,$AC370)+INDEX($AA$5:$AA$404,$AC370)+INDEX($AO$5:$AO$404,$AC370)),"B","T")))))))</f>
        <v/>
      </c>
      <c r="AF370">
        <f>IF(OR($AD370="",$AD370="Z",$AD370="B"),"",INDEX($X$5:$X$404,$AC370))</f>
        <v/>
      </c>
      <c r="AJ370">
        <f>IF($AD370&lt;&gt;"T",0,ROUND(SUMIF(oil!$B$4:$B$63,$AF370,oil!$AE$4:$AE$63),2))</f>
        <v/>
      </c>
      <c r="AK370">
        <f>IF($S370="","",IFERROR(INDEX(อัตราค่าขนส่ง!$P$5:$P$54,MATCH($S370,อัตราค่าขนส่ง!$O$5:$O$54,0)),INDEX(รายการมาตรฐาน!$G$2:$G$3,1)))</f>
        <v/>
      </c>
      <c r="AL370">
        <f>IF($S370="","",IFERROR(MATCH($AK370,รายการมาตรฐาน!$G$2:$G$3,0),1))</f>
        <v/>
      </c>
      <c r="AM370">
        <f>IF($V370="","",INDEX($AK$5:$AK$404,$V370))</f>
        <v/>
      </c>
      <c r="AN370">
        <f>IF($V370="","",INDEX($AL$5:$AL$404,$V370))</f>
        <v/>
      </c>
      <c r="AO370">
        <f>IF(OR($V370="",$AI$2&lt;=1),0,IF($V371="",1,IF($AN371&lt;&gt;$AN370,1,0)))</f>
        <v/>
      </c>
      <c r="AP370">
        <f>IF($V370="",0,IF($AN370&lt;&gt;$AN369,1,0))</f>
        <v/>
      </c>
      <c r="AQ370">
        <f>IF(OR($AD370="",$AD370="Z"),"",INDEX($AN$5:$AN$404,$AC370))</f>
        <v/>
      </c>
      <c r="AR370">
        <f>IF($Y370="",0,COUNTIF(บันทึกรายเที่ยว!$V$6:$V$6005,$Y370))</f>
        <v/>
      </c>
      <c r="AS370">
        <f>IF($Y370="",0,ROUND(SUMIF(บันทึกรายเที่ยว!$V$6:$V$6005,$Y370,บันทึกรายเที่ยว!$M$6:$M$6005),2))</f>
        <v/>
      </c>
      <c r="AT370">
        <f>IF($Y370="",0,IFERROR(INDEX(อัตราค่าขนส่ง!$G$5:$G$204,MATCH($Y370,อัตราค่าขนส่ง!$M$5:$M$204,0)),0))</f>
        <v/>
      </c>
      <c r="AU370">
        <f>ROUND($AS370*$BD370,2)</f>
        <v/>
      </c>
      <c r="AV370">
        <f>ROUND($AU370*$BF$2/100,2)</f>
        <v/>
      </c>
      <c r="AW370">
        <f>IF($Y370="","",IFERROR(INDEX(อัตราค่าขนส่ง!$F$5:$F$204,MATCH($Y370,อัตราค่าขนส่ง!$M$5:$M$204,0)),""))</f>
        <v/>
      </c>
      <c r="AX370">
        <f>IF($W370="","",INDEX(บันทึกรายเที่ยว!$D$6:$D$6005,$W370))</f>
        <v/>
      </c>
      <c r="AY370">
        <f>IF($W370="","",INDEX(บันทึกรายเที่ยว!$R$6:$R$6005,$W370))</f>
        <v/>
      </c>
      <c r="AZ370">
        <f>IF(AND($AD370="T",$AQ370=1),N($AZ369)+1,N($AZ369))</f>
        <v/>
      </c>
      <c r="BA370">
        <f>IF($W370="","",INDEX(บันทึกรายเที่ยว!$E$6:$E$6005,$W370))</f>
        <v/>
      </c>
      <c r="BC370">
        <f>IF($Y370="",0,IFERROR(INDEX(อัตราค่าขนส่ง!$K$5:$K$204,MATCH($Y370,อัตราค่าขนส่ง!$M$5:$M$204,0)),0))</f>
        <v/>
      </c>
      <c r="BD370">
        <f>IF($Y370="",0,IFERROR(INDEX(อัตราค่าขนส่ง!$L$5:$L$204,MATCH($Y370,อัตราค่าขนส่ง!$M$5:$M$204,0)),0))</f>
        <v/>
      </c>
    </row>
    <row r="371" ht="21" customHeight="1" s="66">
      <c r="A371" s="69">
        <f>IF($AD371="","",IF($AD371="Z","รวมจ่ายทั้งสิ้น",IF($AD371="H",INDEX($X$5:$X$404,$AC371),IF($AD371="T","รวม",IF($AD371="B",IFERROR(INDEX(อัตราค่าขนส่ง!$S$5:$S$14,MATCH(INDEX($AM$5:$AM$404,$AC371),อัตราค่าขนส่ง!$R$5:$R$14,0)),"รวมกลุ่ม "&amp;INDEX($AM$5:$AM$404,$AC371)),INDEX($AY$5:$AY$404,$AC371))))))</f>
        <v/>
      </c>
      <c r="B371" s="31">
        <f>IF($AD371&lt;&gt;"D","",INDEX($AW$5:$AW$404,$AC371))</f>
        <v/>
      </c>
      <c r="C371" s="68">
        <f>IF($AD371&lt;&gt;"D","",INDEX($AX$5:$AX$404,$AC371))</f>
        <v/>
      </c>
      <c r="D371" s="70">
        <f>IF($AD371&lt;&gt;"D","",INDEX($BA$5:$BA$404,$AC371))</f>
        <v/>
      </c>
      <c r="E371" s="31">
        <f>IF($AD371="Z",SUM($AR$5:$AR$404),IF($AD371="D",INDEX($AR$5:$AR$404,$AC371),IF($AD371="T",SUMIF($X$5:$X$404,$AF371,$AR$5:$AR$404),IF($AD371="B",SUMIF($AN$5:$AN$404,$AQ371,$AR$5:$AR$404),""))))</f>
        <v/>
      </c>
      <c r="F371" s="32">
        <f>IF($AD371="Z",ROUND(SUM($AS$5:$AS$404),2),IF($AD371="D",INDEX($AS$5:$AS$404,$AC371),IF($AD371="T",ROUND(SUMIF($X$5:$X$404,$AF371,$AS$5:$AS$404),2),IF($AD371="B",ROUND(SUMIF($AN$5:$AN$404,$AQ371,$AS$5:$AS$404),2),""))))</f>
        <v/>
      </c>
      <c r="G371" s="32">
        <f>IF($AD371&lt;&gt;"D","",INDEX($AT$5:$AT$404,$AC371))</f>
        <v/>
      </c>
      <c r="H371" s="32">
        <f>IF($AD371&lt;&gt;"D","",INDEX($BC$5:$BC$404,$AC371))</f>
        <v/>
      </c>
      <c r="I371" s="32">
        <f>IF($AD371&lt;&gt;"D","",INDEX($BD$5:$BD$404,$AC371))</f>
        <v/>
      </c>
      <c r="J371" s="46">
        <f>IF($AD371&lt;&gt;"D","",IF(N($B371)=0,"",ROUND($I371/$B371,4)))</f>
        <v/>
      </c>
      <c r="K371" s="32">
        <f>IF($AD371="Z",ROUND(SUM($AU$5:$AU$404),2),IF($AD371="D",INDEX($AU$5:$AU$404,$AC371),IF($AD371="T",ROUND(SUMIF($X$5:$X$404,$AF371,$AU$5:$AU$404),2),IF($AD371="B",ROUND(SUMIF($AN$5:$AN$404,$AQ371,$AU$5:$AU$404),2),""))))</f>
        <v/>
      </c>
      <c r="L371" s="32">
        <f>IF($AD371="Z",ROUND(SUM($AV$5:$AV$404),2),IF($AD371="D",INDEX($AV$5:$AV$404,$AC371),IF($AD371="T",ROUND(SUMIF($X$5:$X$404,$AF371,$AV$5:$AV$404),2),IF($AD371="B",ROUND(SUMIF($AN$5:$AN$404,$AQ371,$AV$5:$AV$404),2),""))))</f>
        <v/>
      </c>
      <c r="M371" s="32">
        <f>IF($AD371="Z",ROUND(SUM($AJ$5:$AJ$704),2),IF($AD371="B",ROUND(SUMIF($AQ$5:$AQ$704,$AQ371,$AJ$5:$AJ$704),2),IF($AD371&lt;&gt;"T","",$AJ371)))</f>
        <v/>
      </c>
      <c r="N371" s="32">
        <f>IF(OR($AD371="D",$AD371="T",$AD371="B",$AD371="Z"),ROUND(N($K371)-N($L371)-N($M371),2),"")</f>
        <v/>
      </c>
      <c r="O371" s="32">
        <f>IF(OR($AD371="D",$AD371="T",$AD371="B",$AD371="Z"),IF(N($E371)=0,"",ROUND($F371/$E371,2)),"")</f>
        <v/>
      </c>
      <c r="Q371">
        <f>IFERROR(MATCH(367,บันทึกรายเที่ยว!$Z$6:$Z$6005,0),"")</f>
        <v/>
      </c>
      <c r="R371">
        <f>IF($Q371="","",INDEX(บันทึกรายเที่ยว!$V$6:$V$6005,$Q371))</f>
        <v/>
      </c>
      <c r="S371">
        <f>IF($Q371="","",INDEX(บันทึกรายเที่ยว!$F$6:$F$6005,$Q371))</f>
        <v/>
      </c>
      <c r="T371">
        <f>IF($Q371="","",MATCH($S371,บันทึกรายเที่ยว!$F$6:$F$6005,0))</f>
        <v/>
      </c>
      <c r="U371">
        <f>IF($Q371="","",$AL371*10000000+$T371*1000+367)</f>
        <v/>
      </c>
      <c r="V371">
        <f>IFERROR(MATCH(SMALL($U$5:$U$404,367),$U$5:$U$404,0),"")</f>
        <v/>
      </c>
      <c r="W371">
        <f>IF($V371="","",INDEX($Q$5:$Q$404,$V371))</f>
        <v/>
      </c>
      <c r="X371">
        <f>IF($V371="","",INDEX($S$5:$S$404,$V371))</f>
        <v/>
      </c>
      <c r="Y371">
        <f>IF($V371="","",INDEX($R$5:$R$404,$V371))</f>
        <v/>
      </c>
      <c r="Z371">
        <f>IF($V371="",0,IF($X371&lt;&gt;$X370,1,0))</f>
        <v/>
      </c>
      <c r="AA371">
        <f>IF($V371="",0,IF($V372="",1,IF($X372&lt;&gt;$X371,1,0)))</f>
        <v/>
      </c>
      <c r="AB371">
        <f>IF($V371="",99999+367,$AB370+1+$Z370+$AA370+$AO370)</f>
        <v/>
      </c>
      <c r="AC371">
        <f>IFERROR(MATCH(367,$AB$5:$AB$404,1),"")</f>
        <v/>
      </c>
      <c r="AD371">
        <f>IF(367=$AI$1+1,"Z",IF($AC371="","",IF(INDEX($V$5:$V$404,$AC371)="","",IF(367&gt;INDEX($AB$5:$AB$404,$AC371)+INDEX($Z$5:$Z$404,$AC371)+INDEX($AA$5:$AA$404,$AC371)+INDEX($AO$5:$AO$404,$AC371),"",IF(367=INDEX($AB$5:$AB$404,$AC371)+INDEX($Z$5:$Z$404,$AC371),"D",IF(AND(INDEX($Z$5:$Z$404,$AC371)=1,367=INDEX($AB$5:$AB$404,$AC371)),"H",IF(AND(INDEX($AO$5:$AO$404,$AC371)=1,367=INDEX($AB$5:$AB$404,$AC371)+INDEX($Z$5:$Z$404,$AC371)+INDEX($AA$5:$AA$404,$AC371)+INDEX($AO$5:$AO$404,$AC371)),"B","T")))))))</f>
        <v/>
      </c>
      <c r="AF371">
        <f>IF(OR($AD371="",$AD371="Z",$AD371="B"),"",INDEX($X$5:$X$404,$AC371))</f>
        <v/>
      </c>
      <c r="AJ371">
        <f>IF($AD371&lt;&gt;"T",0,ROUND(SUMIF(oil!$B$4:$B$63,$AF371,oil!$AE$4:$AE$63),2))</f>
        <v/>
      </c>
      <c r="AK371">
        <f>IF($S371="","",IFERROR(INDEX(อัตราค่าขนส่ง!$P$5:$P$54,MATCH($S371,อัตราค่าขนส่ง!$O$5:$O$54,0)),INDEX(รายการมาตรฐาน!$G$2:$G$3,1)))</f>
        <v/>
      </c>
      <c r="AL371">
        <f>IF($S371="","",IFERROR(MATCH($AK371,รายการมาตรฐาน!$G$2:$G$3,0),1))</f>
        <v/>
      </c>
      <c r="AM371">
        <f>IF($V371="","",INDEX($AK$5:$AK$404,$V371))</f>
        <v/>
      </c>
      <c r="AN371">
        <f>IF($V371="","",INDEX($AL$5:$AL$404,$V371))</f>
        <v/>
      </c>
      <c r="AO371">
        <f>IF(OR($V371="",$AI$2&lt;=1),0,IF($V372="",1,IF($AN372&lt;&gt;$AN371,1,0)))</f>
        <v/>
      </c>
      <c r="AP371">
        <f>IF($V371="",0,IF($AN371&lt;&gt;$AN370,1,0))</f>
        <v/>
      </c>
      <c r="AQ371">
        <f>IF(OR($AD371="",$AD371="Z"),"",INDEX($AN$5:$AN$404,$AC371))</f>
        <v/>
      </c>
      <c r="AR371">
        <f>IF($Y371="",0,COUNTIF(บันทึกรายเที่ยว!$V$6:$V$6005,$Y371))</f>
        <v/>
      </c>
      <c r="AS371">
        <f>IF($Y371="",0,ROUND(SUMIF(บันทึกรายเที่ยว!$V$6:$V$6005,$Y371,บันทึกรายเที่ยว!$M$6:$M$6005),2))</f>
        <v/>
      </c>
      <c r="AT371">
        <f>IF($Y371="",0,IFERROR(INDEX(อัตราค่าขนส่ง!$G$5:$G$204,MATCH($Y371,อัตราค่าขนส่ง!$M$5:$M$204,0)),0))</f>
        <v/>
      </c>
      <c r="AU371">
        <f>ROUND($AS371*$BD371,2)</f>
        <v/>
      </c>
      <c r="AV371">
        <f>ROUND($AU371*$BF$2/100,2)</f>
        <v/>
      </c>
      <c r="AW371">
        <f>IF($Y371="","",IFERROR(INDEX(อัตราค่าขนส่ง!$F$5:$F$204,MATCH($Y371,อัตราค่าขนส่ง!$M$5:$M$204,0)),""))</f>
        <v/>
      </c>
      <c r="AX371">
        <f>IF($W371="","",INDEX(บันทึกรายเที่ยว!$D$6:$D$6005,$W371))</f>
        <v/>
      </c>
      <c r="AY371">
        <f>IF($W371="","",INDEX(บันทึกรายเที่ยว!$R$6:$R$6005,$W371))</f>
        <v/>
      </c>
      <c r="AZ371">
        <f>IF(AND($AD371="T",$AQ371=1),N($AZ370)+1,N($AZ370))</f>
        <v/>
      </c>
      <c r="BA371">
        <f>IF($W371="","",INDEX(บันทึกรายเที่ยว!$E$6:$E$6005,$W371))</f>
        <v/>
      </c>
      <c r="BC371">
        <f>IF($Y371="",0,IFERROR(INDEX(อัตราค่าขนส่ง!$K$5:$K$204,MATCH($Y371,อัตราค่าขนส่ง!$M$5:$M$204,0)),0))</f>
        <v/>
      </c>
      <c r="BD371">
        <f>IF($Y371="",0,IFERROR(INDEX(อัตราค่าขนส่ง!$L$5:$L$204,MATCH($Y371,อัตราค่าขนส่ง!$M$5:$M$204,0)),0))</f>
        <v/>
      </c>
    </row>
    <row r="372" ht="21" customHeight="1" s="66">
      <c r="A372" s="69">
        <f>IF($AD372="","",IF($AD372="Z","รวมจ่ายทั้งสิ้น",IF($AD372="H",INDEX($X$5:$X$404,$AC372),IF($AD372="T","รวม",IF($AD372="B",IFERROR(INDEX(อัตราค่าขนส่ง!$S$5:$S$14,MATCH(INDEX($AM$5:$AM$404,$AC372),อัตราค่าขนส่ง!$R$5:$R$14,0)),"รวมกลุ่ม "&amp;INDEX($AM$5:$AM$404,$AC372)),INDEX($AY$5:$AY$404,$AC372))))))</f>
        <v/>
      </c>
      <c r="B372" s="31">
        <f>IF($AD372&lt;&gt;"D","",INDEX($AW$5:$AW$404,$AC372))</f>
        <v/>
      </c>
      <c r="C372" s="68">
        <f>IF($AD372&lt;&gt;"D","",INDEX($AX$5:$AX$404,$AC372))</f>
        <v/>
      </c>
      <c r="D372" s="70">
        <f>IF($AD372&lt;&gt;"D","",INDEX($BA$5:$BA$404,$AC372))</f>
        <v/>
      </c>
      <c r="E372" s="31">
        <f>IF($AD372="Z",SUM($AR$5:$AR$404),IF($AD372="D",INDEX($AR$5:$AR$404,$AC372),IF($AD372="T",SUMIF($X$5:$X$404,$AF372,$AR$5:$AR$404),IF($AD372="B",SUMIF($AN$5:$AN$404,$AQ372,$AR$5:$AR$404),""))))</f>
        <v/>
      </c>
      <c r="F372" s="32">
        <f>IF($AD372="Z",ROUND(SUM($AS$5:$AS$404),2),IF($AD372="D",INDEX($AS$5:$AS$404,$AC372),IF($AD372="T",ROUND(SUMIF($X$5:$X$404,$AF372,$AS$5:$AS$404),2),IF($AD372="B",ROUND(SUMIF($AN$5:$AN$404,$AQ372,$AS$5:$AS$404),2),""))))</f>
        <v/>
      </c>
      <c r="G372" s="32">
        <f>IF($AD372&lt;&gt;"D","",INDEX($AT$5:$AT$404,$AC372))</f>
        <v/>
      </c>
      <c r="H372" s="32">
        <f>IF($AD372&lt;&gt;"D","",INDEX($BC$5:$BC$404,$AC372))</f>
        <v/>
      </c>
      <c r="I372" s="32">
        <f>IF($AD372&lt;&gt;"D","",INDEX($BD$5:$BD$404,$AC372))</f>
        <v/>
      </c>
      <c r="J372" s="46">
        <f>IF($AD372&lt;&gt;"D","",IF(N($B372)=0,"",ROUND($I372/$B372,4)))</f>
        <v/>
      </c>
      <c r="K372" s="32">
        <f>IF($AD372="Z",ROUND(SUM($AU$5:$AU$404),2),IF($AD372="D",INDEX($AU$5:$AU$404,$AC372),IF($AD372="T",ROUND(SUMIF($X$5:$X$404,$AF372,$AU$5:$AU$404),2),IF($AD372="B",ROUND(SUMIF($AN$5:$AN$404,$AQ372,$AU$5:$AU$404),2),""))))</f>
        <v/>
      </c>
      <c r="L372" s="32">
        <f>IF($AD372="Z",ROUND(SUM($AV$5:$AV$404),2),IF($AD372="D",INDEX($AV$5:$AV$404,$AC372),IF($AD372="T",ROUND(SUMIF($X$5:$X$404,$AF372,$AV$5:$AV$404),2),IF($AD372="B",ROUND(SUMIF($AN$5:$AN$404,$AQ372,$AV$5:$AV$404),2),""))))</f>
        <v/>
      </c>
      <c r="M372" s="32">
        <f>IF($AD372="Z",ROUND(SUM($AJ$5:$AJ$704),2),IF($AD372="B",ROUND(SUMIF($AQ$5:$AQ$704,$AQ372,$AJ$5:$AJ$704),2),IF($AD372&lt;&gt;"T","",$AJ372)))</f>
        <v/>
      </c>
      <c r="N372" s="32">
        <f>IF(OR($AD372="D",$AD372="T",$AD372="B",$AD372="Z"),ROUND(N($K372)-N($L372)-N($M372),2),"")</f>
        <v/>
      </c>
      <c r="O372" s="32">
        <f>IF(OR($AD372="D",$AD372="T",$AD372="B",$AD372="Z"),IF(N($E372)=0,"",ROUND($F372/$E372,2)),"")</f>
        <v/>
      </c>
      <c r="Q372">
        <f>IFERROR(MATCH(368,บันทึกรายเที่ยว!$Z$6:$Z$6005,0),"")</f>
        <v/>
      </c>
      <c r="R372">
        <f>IF($Q372="","",INDEX(บันทึกรายเที่ยว!$V$6:$V$6005,$Q372))</f>
        <v/>
      </c>
      <c r="S372">
        <f>IF($Q372="","",INDEX(บันทึกรายเที่ยว!$F$6:$F$6005,$Q372))</f>
        <v/>
      </c>
      <c r="T372">
        <f>IF($Q372="","",MATCH($S372,บันทึกรายเที่ยว!$F$6:$F$6005,0))</f>
        <v/>
      </c>
      <c r="U372">
        <f>IF($Q372="","",$AL372*10000000+$T372*1000+368)</f>
        <v/>
      </c>
      <c r="V372">
        <f>IFERROR(MATCH(SMALL($U$5:$U$404,368),$U$5:$U$404,0),"")</f>
        <v/>
      </c>
      <c r="W372">
        <f>IF($V372="","",INDEX($Q$5:$Q$404,$V372))</f>
        <v/>
      </c>
      <c r="X372">
        <f>IF($V372="","",INDEX($S$5:$S$404,$V372))</f>
        <v/>
      </c>
      <c r="Y372">
        <f>IF($V372="","",INDEX($R$5:$R$404,$V372))</f>
        <v/>
      </c>
      <c r="Z372">
        <f>IF($V372="",0,IF($X372&lt;&gt;$X371,1,0))</f>
        <v/>
      </c>
      <c r="AA372">
        <f>IF($V372="",0,IF($V373="",1,IF($X373&lt;&gt;$X372,1,0)))</f>
        <v/>
      </c>
      <c r="AB372">
        <f>IF($V372="",99999+368,$AB371+1+$Z371+$AA371+$AO371)</f>
        <v/>
      </c>
      <c r="AC372">
        <f>IFERROR(MATCH(368,$AB$5:$AB$404,1),"")</f>
        <v/>
      </c>
      <c r="AD372">
        <f>IF(368=$AI$1+1,"Z",IF($AC372="","",IF(INDEX($V$5:$V$404,$AC372)="","",IF(368&gt;INDEX($AB$5:$AB$404,$AC372)+INDEX($Z$5:$Z$404,$AC372)+INDEX($AA$5:$AA$404,$AC372)+INDEX($AO$5:$AO$404,$AC372),"",IF(368=INDEX($AB$5:$AB$404,$AC372)+INDEX($Z$5:$Z$404,$AC372),"D",IF(AND(INDEX($Z$5:$Z$404,$AC372)=1,368=INDEX($AB$5:$AB$404,$AC372)),"H",IF(AND(INDEX($AO$5:$AO$404,$AC372)=1,368=INDEX($AB$5:$AB$404,$AC372)+INDEX($Z$5:$Z$404,$AC372)+INDEX($AA$5:$AA$404,$AC372)+INDEX($AO$5:$AO$404,$AC372)),"B","T")))))))</f>
        <v/>
      </c>
      <c r="AF372">
        <f>IF(OR($AD372="",$AD372="Z",$AD372="B"),"",INDEX($X$5:$X$404,$AC372))</f>
        <v/>
      </c>
      <c r="AJ372">
        <f>IF($AD372&lt;&gt;"T",0,ROUND(SUMIF(oil!$B$4:$B$63,$AF372,oil!$AE$4:$AE$63),2))</f>
        <v/>
      </c>
      <c r="AK372">
        <f>IF($S372="","",IFERROR(INDEX(อัตราค่าขนส่ง!$P$5:$P$54,MATCH($S372,อัตราค่าขนส่ง!$O$5:$O$54,0)),INDEX(รายการมาตรฐาน!$G$2:$G$3,1)))</f>
        <v/>
      </c>
      <c r="AL372">
        <f>IF($S372="","",IFERROR(MATCH($AK372,รายการมาตรฐาน!$G$2:$G$3,0),1))</f>
        <v/>
      </c>
      <c r="AM372">
        <f>IF($V372="","",INDEX($AK$5:$AK$404,$V372))</f>
        <v/>
      </c>
      <c r="AN372">
        <f>IF($V372="","",INDEX($AL$5:$AL$404,$V372))</f>
        <v/>
      </c>
      <c r="AO372">
        <f>IF(OR($V372="",$AI$2&lt;=1),0,IF($V373="",1,IF($AN373&lt;&gt;$AN372,1,0)))</f>
        <v/>
      </c>
      <c r="AP372">
        <f>IF($V372="",0,IF($AN372&lt;&gt;$AN371,1,0))</f>
        <v/>
      </c>
      <c r="AQ372">
        <f>IF(OR($AD372="",$AD372="Z"),"",INDEX($AN$5:$AN$404,$AC372))</f>
        <v/>
      </c>
      <c r="AR372">
        <f>IF($Y372="",0,COUNTIF(บันทึกรายเที่ยว!$V$6:$V$6005,$Y372))</f>
        <v/>
      </c>
      <c r="AS372">
        <f>IF($Y372="",0,ROUND(SUMIF(บันทึกรายเที่ยว!$V$6:$V$6005,$Y372,บันทึกรายเที่ยว!$M$6:$M$6005),2))</f>
        <v/>
      </c>
      <c r="AT372">
        <f>IF($Y372="",0,IFERROR(INDEX(อัตราค่าขนส่ง!$G$5:$G$204,MATCH($Y372,อัตราค่าขนส่ง!$M$5:$M$204,0)),0))</f>
        <v/>
      </c>
      <c r="AU372">
        <f>ROUND($AS372*$BD372,2)</f>
        <v/>
      </c>
      <c r="AV372">
        <f>ROUND($AU372*$BF$2/100,2)</f>
        <v/>
      </c>
      <c r="AW372">
        <f>IF($Y372="","",IFERROR(INDEX(อัตราค่าขนส่ง!$F$5:$F$204,MATCH($Y372,อัตราค่าขนส่ง!$M$5:$M$204,0)),""))</f>
        <v/>
      </c>
      <c r="AX372">
        <f>IF($W372="","",INDEX(บันทึกรายเที่ยว!$D$6:$D$6005,$W372))</f>
        <v/>
      </c>
      <c r="AY372">
        <f>IF($W372="","",INDEX(บันทึกรายเที่ยว!$R$6:$R$6005,$W372))</f>
        <v/>
      </c>
      <c r="AZ372">
        <f>IF(AND($AD372="T",$AQ372=1),N($AZ371)+1,N($AZ371))</f>
        <v/>
      </c>
      <c r="BA372">
        <f>IF($W372="","",INDEX(บันทึกรายเที่ยว!$E$6:$E$6005,$W372))</f>
        <v/>
      </c>
      <c r="BC372">
        <f>IF($Y372="",0,IFERROR(INDEX(อัตราค่าขนส่ง!$K$5:$K$204,MATCH($Y372,อัตราค่าขนส่ง!$M$5:$M$204,0)),0))</f>
        <v/>
      </c>
      <c r="BD372">
        <f>IF($Y372="",0,IFERROR(INDEX(อัตราค่าขนส่ง!$L$5:$L$204,MATCH($Y372,อัตราค่าขนส่ง!$M$5:$M$204,0)),0))</f>
        <v/>
      </c>
    </row>
    <row r="373" ht="21" customHeight="1" s="66">
      <c r="A373" s="69">
        <f>IF($AD373="","",IF($AD373="Z","รวมจ่ายทั้งสิ้น",IF($AD373="H",INDEX($X$5:$X$404,$AC373),IF($AD373="T","รวม",IF($AD373="B",IFERROR(INDEX(อัตราค่าขนส่ง!$S$5:$S$14,MATCH(INDEX($AM$5:$AM$404,$AC373),อัตราค่าขนส่ง!$R$5:$R$14,0)),"รวมกลุ่ม "&amp;INDEX($AM$5:$AM$404,$AC373)),INDEX($AY$5:$AY$404,$AC373))))))</f>
        <v/>
      </c>
      <c r="B373" s="31">
        <f>IF($AD373&lt;&gt;"D","",INDEX($AW$5:$AW$404,$AC373))</f>
        <v/>
      </c>
      <c r="C373" s="68">
        <f>IF($AD373&lt;&gt;"D","",INDEX($AX$5:$AX$404,$AC373))</f>
        <v/>
      </c>
      <c r="D373" s="70">
        <f>IF($AD373&lt;&gt;"D","",INDEX($BA$5:$BA$404,$AC373))</f>
        <v/>
      </c>
      <c r="E373" s="31">
        <f>IF($AD373="Z",SUM($AR$5:$AR$404),IF($AD373="D",INDEX($AR$5:$AR$404,$AC373),IF($AD373="T",SUMIF($X$5:$X$404,$AF373,$AR$5:$AR$404),IF($AD373="B",SUMIF($AN$5:$AN$404,$AQ373,$AR$5:$AR$404),""))))</f>
        <v/>
      </c>
      <c r="F373" s="32">
        <f>IF($AD373="Z",ROUND(SUM($AS$5:$AS$404),2),IF($AD373="D",INDEX($AS$5:$AS$404,$AC373),IF($AD373="T",ROUND(SUMIF($X$5:$X$404,$AF373,$AS$5:$AS$404),2),IF($AD373="B",ROUND(SUMIF($AN$5:$AN$404,$AQ373,$AS$5:$AS$404),2),""))))</f>
        <v/>
      </c>
      <c r="G373" s="32">
        <f>IF($AD373&lt;&gt;"D","",INDEX($AT$5:$AT$404,$AC373))</f>
        <v/>
      </c>
      <c r="H373" s="32">
        <f>IF($AD373&lt;&gt;"D","",INDEX($BC$5:$BC$404,$AC373))</f>
        <v/>
      </c>
      <c r="I373" s="32">
        <f>IF($AD373&lt;&gt;"D","",INDEX($BD$5:$BD$404,$AC373))</f>
        <v/>
      </c>
      <c r="J373" s="46">
        <f>IF($AD373&lt;&gt;"D","",IF(N($B373)=0,"",ROUND($I373/$B373,4)))</f>
        <v/>
      </c>
      <c r="K373" s="32">
        <f>IF($AD373="Z",ROUND(SUM($AU$5:$AU$404),2),IF($AD373="D",INDEX($AU$5:$AU$404,$AC373),IF($AD373="T",ROUND(SUMIF($X$5:$X$404,$AF373,$AU$5:$AU$404),2),IF($AD373="B",ROUND(SUMIF($AN$5:$AN$404,$AQ373,$AU$5:$AU$404),2),""))))</f>
        <v/>
      </c>
      <c r="L373" s="32">
        <f>IF($AD373="Z",ROUND(SUM($AV$5:$AV$404),2),IF($AD373="D",INDEX($AV$5:$AV$404,$AC373),IF($AD373="T",ROUND(SUMIF($X$5:$X$404,$AF373,$AV$5:$AV$404),2),IF($AD373="B",ROUND(SUMIF($AN$5:$AN$404,$AQ373,$AV$5:$AV$404),2),""))))</f>
        <v/>
      </c>
      <c r="M373" s="32">
        <f>IF($AD373="Z",ROUND(SUM($AJ$5:$AJ$704),2),IF($AD373="B",ROUND(SUMIF($AQ$5:$AQ$704,$AQ373,$AJ$5:$AJ$704),2),IF($AD373&lt;&gt;"T","",$AJ373)))</f>
        <v/>
      </c>
      <c r="N373" s="32">
        <f>IF(OR($AD373="D",$AD373="T",$AD373="B",$AD373="Z"),ROUND(N($K373)-N($L373)-N($M373),2),"")</f>
        <v/>
      </c>
      <c r="O373" s="32">
        <f>IF(OR($AD373="D",$AD373="T",$AD373="B",$AD373="Z"),IF(N($E373)=0,"",ROUND($F373/$E373,2)),"")</f>
        <v/>
      </c>
      <c r="Q373">
        <f>IFERROR(MATCH(369,บันทึกรายเที่ยว!$Z$6:$Z$6005,0),"")</f>
        <v/>
      </c>
      <c r="R373">
        <f>IF($Q373="","",INDEX(บันทึกรายเที่ยว!$V$6:$V$6005,$Q373))</f>
        <v/>
      </c>
      <c r="S373">
        <f>IF($Q373="","",INDEX(บันทึกรายเที่ยว!$F$6:$F$6005,$Q373))</f>
        <v/>
      </c>
      <c r="T373">
        <f>IF($Q373="","",MATCH($S373,บันทึกรายเที่ยว!$F$6:$F$6005,0))</f>
        <v/>
      </c>
      <c r="U373">
        <f>IF($Q373="","",$AL373*10000000+$T373*1000+369)</f>
        <v/>
      </c>
      <c r="V373">
        <f>IFERROR(MATCH(SMALL($U$5:$U$404,369),$U$5:$U$404,0),"")</f>
        <v/>
      </c>
      <c r="W373">
        <f>IF($V373="","",INDEX($Q$5:$Q$404,$V373))</f>
        <v/>
      </c>
      <c r="X373">
        <f>IF($V373="","",INDEX($S$5:$S$404,$V373))</f>
        <v/>
      </c>
      <c r="Y373">
        <f>IF($V373="","",INDEX($R$5:$R$404,$V373))</f>
        <v/>
      </c>
      <c r="Z373">
        <f>IF($V373="",0,IF($X373&lt;&gt;$X372,1,0))</f>
        <v/>
      </c>
      <c r="AA373">
        <f>IF($V373="",0,IF($V374="",1,IF($X374&lt;&gt;$X373,1,0)))</f>
        <v/>
      </c>
      <c r="AB373">
        <f>IF($V373="",99999+369,$AB372+1+$Z372+$AA372+$AO372)</f>
        <v/>
      </c>
      <c r="AC373">
        <f>IFERROR(MATCH(369,$AB$5:$AB$404,1),"")</f>
        <v/>
      </c>
      <c r="AD373">
        <f>IF(369=$AI$1+1,"Z",IF($AC373="","",IF(INDEX($V$5:$V$404,$AC373)="","",IF(369&gt;INDEX($AB$5:$AB$404,$AC373)+INDEX($Z$5:$Z$404,$AC373)+INDEX($AA$5:$AA$404,$AC373)+INDEX($AO$5:$AO$404,$AC373),"",IF(369=INDEX($AB$5:$AB$404,$AC373)+INDEX($Z$5:$Z$404,$AC373),"D",IF(AND(INDEX($Z$5:$Z$404,$AC373)=1,369=INDEX($AB$5:$AB$404,$AC373)),"H",IF(AND(INDEX($AO$5:$AO$404,$AC373)=1,369=INDEX($AB$5:$AB$404,$AC373)+INDEX($Z$5:$Z$404,$AC373)+INDEX($AA$5:$AA$404,$AC373)+INDEX($AO$5:$AO$404,$AC373)),"B","T")))))))</f>
        <v/>
      </c>
      <c r="AF373">
        <f>IF(OR($AD373="",$AD373="Z",$AD373="B"),"",INDEX($X$5:$X$404,$AC373))</f>
        <v/>
      </c>
      <c r="AJ373">
        <f>IF($AD373&lt;&gt;"T",0,ROUND(SUMIF(oil!$B$4:$B$63,$AF373,oil!$AE$4:$AE$63),2))</f>
        <v/>
      </c>
      <c r="AK373">
        <f>IF($S373="","",IFERROR(INDEX(อัตราค่าขนส่ง!$P$5:$P$54,MATCH($S373,อัตราค่าขนส่ง!$O$5:$O$54,0)),INDEX(รายการมาตรฐาน!$G$2:$G$3,1)))</f>
        <v/>
      </c>
      <c r="AL373">
        <f>IF($S373="","",IFERROR(MATCH($AK373,รายการมาตรฐาน!$G$2:$G$3,0),1))</f>
        <v/>
      </c>
      <c r="AM373">
        <f>IF($V373="","",INDEX($AK$5:$AK$404,$V373))</f>
        <v/>
      </c>
      <c r="AN373">
        <f>IF($V373="","",INDEX($AL$5:$AL$404,$V373))</f>
        <v/>
      </c>
      <c r="AO373">
        <f>IF(OR($V373="",$AI$2&lt;=1),0,IF($V374="",1,IF($AN374&lt;&gt;$AN373,1,0)))</f>
        <v/>
      </c>
      <c r="AP373">
        <f>IF($V373="",0,IF($AN373&lt;&gt;$AN372,1,0))</f>
        <v/>
      </c>
      <c r="AQ373">
        <f>IF(OR($AD373="",$AD373="Z"),"",INDEX($AN$5:$AN$404,$AC373))</f>
        <v/>
      </c>
      <c r="AR373">
        <f>IF($Y373="",0,COUNTIF(บันทึกรายเที่ยว!$V$6:$V$6005,$Y373))</f>
        <v/>
      </c>
      <c r="AS373">
        <f>IF($Y373="",0,ROUND(SUMIF(บันทึกรายเที่ยว!$V$6:$V$6005,$Y373,บันทึกรายเที่ยว!$M$6:$M$6005),2))</f>
        <v/>
      </c>
      <c r="AT373">
        <f>IF($Y373="",0,IFERROR(INDEX(อัตราค่าขนส่ง!$G$5:$G$204,MATCH($Y373,อัตราค่าขนส่ง!$M$5:$M$204,0)),0))</f>
        <v/>
      </c>
      <c r="AU373">
        <f>ROUND($AS373*$BD373,2)</f>
        <v/>
      </c>
      <c r="AV373">
        <f>ROUND($AU373*$BF$2/100,2)</f>
        <v/>
      </c>
      <c r="AW373">
        <f>IF($Y373="","",IFERROR(INDEX(อัตราค่าขนส่ง!$F$5:$F$204,MATCH($Y373,อัตราค่าขนส่ง!$M$5:$M$204,0)),""))</f>
        <v/>
      </c>
      <c r="AX373">
        <f>IF($W373="","",INDEX(บันทึกรายเที่ยว!$D$6:$D$6005,$W373))</f>
        <v/>
      </c>
      <c r="AY373">
        <f>IF($W373="","",INDEX(บันทึกรายเที่ยว!$R$6:$R$6005,$W373))</f>
        <v/>
      </c>
      <c r="AZ373">
        <f>IF(AND($AD373="T",$AQ373=1),N($AZ372)+1,N($AZ372))</f>
        <v/>
      </c>
      <c r="BA373">
        <f>IF($W373="","",INDEX(บันทึกรายเที่ยว!$E$6:$E$6005,$W373))</f>
        <v/>
      </c>
      <c r="BC373">
        <f>IF($Y373="",0,IFERROR(INDEX(อัตราค่าขนส่ง!$K$5:$K$204,MATCH($Y373,อัตราค่าขนส่ง!$M$5:$M$204,0)),0))</f>
        <v/>
      </c>
      <c r="BD373">
        <f>IF($Y373="",0,IFERROR(INDEX(อัตราค่าขนส่ง!$L$5:$L$204,MATCH($Y373,อัตราค่าขนส่ง!$M$5:$M$204,0)),0))</f>
        <v/>
      </c>
    </row>
    <row r="374" ht="21" customHeight="1" s="66">
      <c r="A374" s="69">
        <f>IF($AD374="","",IF($AD374="Z","รวมจ่ายทั้งสิ้น",IF($AD374="H",INDEX($X$5:$X$404,$AC374),IF($AD374="T","รวม",IF($AD374="B",IFERROR(INDEX(อัตราค่าขนส่ง!$S$5:$S$14,MATCH(INDEX($AM$5:$AM$404,$AC374),อัตราค่าขนส่ง!$R$5:$R$14,0)),"รวมกลุ่ม "&amp;INDEX($AM$5:$AM$404,$AC374)),INDEX($AY$5:$AY$404,$AC374))))))</f>
        <v/>
      </c>
      <c r="B374" s="31">
        <f>IF($AD374&lt;&gt;"D","",INDEX($AW$5:$AW$404,$AC374))</f>
        <v/>
      </c>
      <c r="C374" s="68">
        <f>IF($AD374&lt;&gt;"D","",INDEX($AX$5:$AX$404,$AC374))</f>
        <v/>
      </c>
      <c r="D374" s="70">
        <f>IF($AD374&lt;&gt;"D","",INDEX($BA$5:$BA$404,$AC374))</f>
        <v/>
      </c>
      <c r="E374" s="31">
        <f>IF($AD374="Z",SUM($AR$5:$AR$404),IF($AD374="D",INDEX($AR$5:$AR$404,$AC374),IF($AD374="T",SUMIF($X$5:$X$404,$AF374,$AR$5:$AR$404),IF($AD374="B",SUMIF($AN$5:$AN$404,$AQ374,$AR$5:$AR$404),""))))</f>
        <v/>
      </c>
      <c r="F374" s="32">
        <f>IF($AD374="Z",ROUND(SUM($AS$5:$AS$404),2),IF($AD374="D",INDEX($AS$5:$AS$404,$AC374),IF($AD374="T",ROUND(SUMIF($X$5:$X$404,$AF374,$AS$5:$AS$404),2),IF($AD374="B",ROUND(SUMIF($AN$5:$AN$404,$AQ374,$AS$5:$AS$404),2),""))))</f>
        <v/>
      </c>
      <c r="G374" s="32">
        <f>IF($AD374&lt;&gt;"D","",INDEX($AT$5:$AT$404,$AC374))</f>
        <v/>
      </c>
      <c r="H374" s="32">
        <f>IF($AD374&lt;&gt;"D","",INDEX($BC$5:$BC$404,$AC374))</f>
        <v/>
      </c>
      <c r="I374" s="32">
        <f>IF($AD374&lt;&gt;"D","",INDEX($BD$5:$BD$404,$AC374))</f>
        <v/>
      </c>
      <c r="J374" s="46">
        <f>IF($AD374&lt;&gt;"D","",IF(N($B374)=0,"",ROUND($I374/$B374,4)))</f>
        <v/>
      </c>
      <c r="K374" s="32">
        <f>IF($AD374="Z",ROUND(SUM($AU$5:$AU$404),2),IF($AD374="D",INDEX($AU$5:$AU$404,$AC374),IF($AD374="T",ROUND(SUMIF($X$5:$X$404,$AF374,$AU$5:$AU$404),2),IF($AD374="B",ROUND(SUMIF($AN$5:$AN$404,$AQ374,$AU$5:$AU$404),2),""))))</f>
        <v/>
      </c>
      <c r="L374" s="32">
        <f>IF($AD374="Z",ROUND(SUM($AV$5:$AV$404),2),IF($AD374="D",INDEX($AV$5:$AV$404,$AC374),IF($AD374="T",ROUND(SUMIF($X$5:$X$404,$AF374,$AV$5:$AV$404),2),IF($AD374="B",ROUND(SUMIF($AN$5:$AN$404,$AQ374,$AV$5:$AV$404),2),""))))</f>
        <v/>
      </c>
      <c r="M374" s="32">
        <f>IF($AD374="Z",ROUND(SUM($AJ$5:$AJ$704),2),IF($AD374="B",ROUND(SUMIF($AQ$5:$AQ$704,$AQ374,$AJ$5:$AJ$704),2),IF($AD374&lt;&gt;"T","",$AJ374)))</f>
        <v/>
      </c>
      <c r="N374" s="32">
        <f>IF(OR($AD374="D",$AD374="T",$AD374="B",$AD374="Z"),ROUND(N($K374)-N($L374)-N($M374),2),"")</f>
        <v/>
      </c>
      <c r="O374" s="32">
        <f>IF(OR($AD374="D",$AD374="T",$AD374="B",$AD374="Z"),IF(N($E374)=0,"",ROUND($F374/$E374,2)),"")</f>
        <v/>
      </c>
      <c r="Q374">
        <f>IFERROR(MATCH(370,บันทึกรายเที่ยว!$Z$6:$Z$6005,0),"")</f>
        <v/>
      </c>
      <c r="R374">
        <f>IF($Q374="","",INDEX(บันทึกรายเที่ยว!$V$6:$V$6005,$Q374))</f>
        <v/>
      </c>
      <c r="S374">
        <f>IF($Q374="","",INDEX(บันทึกรายเที่ยว!$F$6:$F$6005,$Q374))</f>
        <v/>
      </c>
      <c r="T374">
        <f>IF($Q374="","",MATCH($S374,บันทึกรายเที่ยว!$F$6:$F$6005,0))</f>
        <v/>
      </c>
      <c r="U374">
        <f>IF($Q374="","",$AL374*10000000+$T374*1000+370)</f>
        <v/>
      </c>
      <c r="V374">
        <f>IFERROR(MATCH(SMALL($U$5:$U$404,370),$U$5:$U$404,0),"")</f>
        <v/>
      </c>
      <c r="W374">
        <f>IF($V374="","",INDEX($Q$5:$Q$404,$V374))</f>
        <v/>
      </c>
      <c r="X374">
        <f>IF($V374="","",INDEX($S$5:$S$404,$V374))</f>
        <v/>
      </c>
      <c r="Y374">
        <f>IF($V374="","",INDEX($R$5:$R$404,$V374))</f>
        <v/>
      </c>
      <c r="Z374">
        <f>IF($V374="",0,IF($X374&lt;&gt;$X373,1,0))</f>
        <v/>
      </c>
      <c r="AA374">
        <f>IF($V374="",0,IF($V375="",1,IF($X375&lt;&gt;$X374,1,0)))</f>
        <v/>
      </c>
      <c r="AB374">
        <f>IF($V374="",99999+370,$AB373+1+$Z373+$AA373+$AO373)</f>
        <v/>
      </c>
      <c r="AC374">
        <f>IFERROR(MATCH(370,$AB$5:$AB$404,1),"")</f>
        <v/>
      </c>
      <c r="AD374">
        <f>IF(370=$AI$1+1,"Z",IF($AC374="","",IF(INDEX($V$5:$V$404,$AC374)="","",IF(370&gt;INDEX($AB$5:$AB$404,$AC374)+INDEX($Z$5:$Z$404,$AC374)+INDEX($AA$5:$AA$404,$AC374)+INDEX($AO$5:$AO$404,$AC374),"",IF(370=INDEX($AB$5:$AB$404,$AC374)+INDEX($Z$5:$Z$404,$AC374),"D",IF(AND(INDEX($Z$5:$Z$404,$AC374)=1,370=INDEX($AB$5:$AB$404,$AC374)),"H",IF(AND(INDEX($AO$5:$AO$404,$AC374)=1,370=INDEX($AB$5:$AB$404,$AC374)+INDEX($Z$5:$Z$404,$AC374)+INDEX($AA$5:$AA$404,$AC374)+INDEX($AO$5:$AO$404,$AC374)),"B","T")))))))</f>
        <v/>
      </c>
      <c r="AF374">
        <f>IF(OR($AD374="",$AD374="Z",$AD374="B"),"",INDEX($X$5:$X$404,$AC374))</f>
        <v/>
      </c>
      <c r="AJ374">
        <f>IF($AD374&lt;&gt;"T",0,ROUND(SUMIF(oil!$B$4:$B$63,$AF374,oil!$AE$4:$AE$63),2))</f>
        <v/>
      </c>
      <c r="AK374">
        <f>IF($S374="","",IFERROR(INDEX(อัตราค่าขนส่ง!$P$5:$P$54,MATCH($S374,อัตราค่าขนส่ง!$O$5:$O$54,0)),INDEX(รายการมาตรฐาน!$G$2:$G$3,1)))</f>
        <v/>
      </c>
      <c r="AL374">
        <f>IF($S374="","",IFERROR(MATCH($AK374,รายการมาตรฐาน!$G$2:$G$3,0),1))</f>
        <v/>
      </c>
      <c r="AM374">
        <f>IF($V374="","",INDEX($AK$5:$AK$404,$V374))</f>
        <v/>
      </c>
      <c r="AN374">
        <f>IF($V374="","",INDEX($AL$5:$AL$404,$V374))</f>
        <v/>
      </c>
      <c r="AO374">
        <f>IF(OR($V374="",$AI$2&lt;=1),0,IF($V375="",1,IF($AN375&lt;&gt;$AN374,1,0)))</f>
        <v/>
      </c>
      <c r="AP374">
        <f>IF($V374="",0,IF($AN374&lt;&gt;$AN373,1,0))</f>
        <v/>
      </c>
      <c r="AQ374">
        <f>IF(OR($AD374="",$AD374="Z"),"",INDEX($AN$5:$AN$404,$AC374))</f>
        <v/>
      </c>
      <c r="AR374">
        <f>IF($Y374="",0,COUNTIF(บันทึกรายเที่ยว!$V$6:$V$6005,$Y374))</f>
        <v/>
      </c>
      <c r="AS374">
        <f>IF($Y374="",0,ROUND(SUMIF(บันทึกรายเที่ยว!$V$6:$V$6005,$Y374,บันทึกรายเที่ยว!$M$6:$M$6005),2))</f>
        <v/>
      </c>
      <c r="AT374">
        <f>IF($Y374="",0,IFERROR(INDEX(อัตราค่าขนส่ง!$G$5:$G$204,MATCH($Y374,อัตราค่าขนส่ง!$M$5:$M$204,0)),0))</f>
        <v/>
      </c>
      <c r="AU374">
        <f>ROUND($AS374*$BD374,2)</f>
        <v/>
      </c>
      <c r="AV374">
        <f>ROUND($AU374*$BF$2/100,2)</f>
        <v/>
      </c>
      <c r="AW374">
        <f>IF($Y374="","",IFERROR(INDEX(อัตราค่าขนส่ง!$F$5:$F$204,MATCH($Y374,อัตราค่าขนส่ง!$M$5:$M$204,0)),""))</f>
        <v/>
      </c>
      <c r="AX374">
        <f>IF($W374="","",INDEX(บันทึกรายเที่ยว!$D$6:$D$6005,$W374))</f>
        <v/>
      </c>
      <c r="AY374">
        <f>IF($W374="","",INDEX(บันทึกรายเที่ยว!$R$6:$R$6005,$W374))</f>
        <v/>
      </c>
      <c r="AZ374">
        <f>IF(AND($AD374="T",$AQ374=1),N($AZ373)+1,N($AZ373))</f>
        <v/>
      </c>
      <c r="BA374">
        <f>IF($W374="","",INDEX(บันทึกรายเที่ยว!$E$6:$E$6005,$W374))</f>
        <v/>
      </c>
      <c r="BC374">
        <f>IF($Y374="",0,IFERROR(INDEX(อัตราค่าขนส่ง!$K$5:$K$204,MATCH($Y374,อัตราค่าขนส่ง!$M$5:$M$204,0)),0))</f>
        <v/>
      </c>
      <c r="BD374">
        <f>IF($Y374="",0,IFERROR(INDEX(อัตราค่าขนส่ง!$L$5:$L$204,MATCH($Y374,อัตราค่าขนส่ง!$M$5:$M$204,0)),0))</f>
        <v/>
      </c>
    </row>
    <row r="375" ht="21" customHeight="1" s="66">
      <c r="A375" s="69">
        <f>IF($AD375="","",IF($AD375="Z","รวมจ่ายทั้งสิ้น",IF($AD375="H",INDEX($X$5:$X$404,$AC375),IF($AD375="T","รวม",IF($AD375="B",IFERROR(INDEX(อัตราค่าขนส่ง!$S$5:$S$14,MATCH(INDEX($AM$5:$AM$404,$AC375),อัตราค่าขนส่ง!$R$5:$R$14,0)),"รวมกลุ่ม "&amp;INDEX($AM$5:$AM$404,$AC375)),INDEX($AY$5:$AY$404,$AC375))))))</f>
        <v/>
      </c>
      <c r="B375" s="31">
        <f>IF($AD375&lt;&gt;"D","",INDEX($AW$5:$AW$404,$AC375))</f>
        <v/>
      </c>
      <c r="C375" s="68">
        <f>IF($AD375&lt;&gt;"D","",INDEX($AX$5:$AX$404,$AC375))</f>
        <v/>
      </c>
      <c r="D375" s="70">
        <f>IF($AD375&lt;&gt;"D","",INDEX($BA$5:$BA$404,$AC375))</f>
        <v/>
      </c>
      <c r="E375" s="31">
        <f>IF($AD375="Z",SUM($AR$5:$AR$404),IF($AD375="D",INDEX($AR$5:$AR$404,$AC375),IF($AD375="T",SUMIF($X$5:$X$404,$AF375,$AR$5:$AR$404),IF($AD375="B",SUMIF($AN$5:$AN$404,$AQ375,$AR$5:$AR$404),""))))</f>
        <v/>
      </c>
      <c r="F375" s="32">
        <f>IF($AD375="Z",ROUND(SUM($AS$5:$AS$404),2),IF($AD375="D",INDEX($AS$5:$AS$404,$AC375),IF($AD375="T",ROUND(SUMIF($X$5:$X$404,$AF375,$AS$5:$AS$404),2),IF($AD375="B",ROUND(SUMIF($AN$5:$AN$404,$AQ375,$AS$5:$AS$404),2),""))))</f>
        <v/>
      </c>
      <c r="G375" s="32">
        <f>IF($AD375&lt;&gt;"D","",INDEX($AT$5:$AT$404,$AC375))</f>
        <v/>
      </c>
      <c r="H375" s="32">
        <f>IF($AD375&lt;&gt;"D","",INDEX($BC$5:$BC$404,$AC375))</f>
        <v/>
      </c>
      <c r="I375" s="32">
        <f>IF($AD375&lt;&gt;"D","",INDEX($BD$5:$BD$404,$AC375))</f>
        <v/>
      </c>
      <c r="J375" s="46">
        <f>IF($AD375&lt;&gt;"D","",IF(N($B375)=0,"",ROUND($I375/$B375,4)))</f>
        <v/>
      </c>
      <c r="K375" s="32">
        <f>IF($AD375="Z",ROUND(SUM($AU$5:$AU$404),2),IF($AD375="D",INDEX($AU$5:$AU$404,$AC375),IF($AD375="T",ROUND(SUMIF($X$5:$X$404,$AF375,$AU$5:$AU$404),2),IF($AD375="B",ROUND(SUMIF($AN$5:$AN$404,$AQ375,$AU$5:$AU$404),2),""))))</f>
        <v/>
      </c>
      <c r="L375" s="32">
        <f>IF($AD375="Z",ROUND(SUM($AV$5:$AV$404),2),IF($AD375="D",INDEX($AV$5:$AV$404,$AC375),IF($AD375="T",ROUND(SUMIF($X$5:$X$404,$AF375,$AV$5:$AV$404),2),IF($AD375="B",ROUND(SUMIF($AN$5:$AN$404,$AQ375,$AV$5:$AV$404),2),""))))</f>
        <v/>
      </c>
      <c r="M375" s="32">
        <f>IF($AD375="Z",ROUND(SUM($AJ$5:$AJ$704),2),IF($AD375="B",ROUND(SUMIF($AQ$5:$AQ$704,$AQ375,$AJ$5:$AJ$704),2),IF($AD375&lt;&gt;"T","",$AJ375)))</f>
        <v/>
      </c>
      <c r="N375" s="32">
        <f>IF(OR($AD375="D",$AD375="T",$AD375="B",$AD375="Z"),ROUND(N($K375)-N($L375)-N($M375),2),"")</f>
        <v/>
      </c>
      <c r="O375" s="32">
        <f>IF(OR($AD375="D",$AD375="T",$AD375="B",$AD375="Z"),IF(N($E375)=0,"",ROUND($F375/$E375,2)),"")</f>
        <v/>
      </c>
      <c r="Q375">
        <f>IFERROR(MATCH(371,บันทึกรายเที่ยว!$Z$6:$Z$6005,0),"")</f>
        <v/>
      </c>
      <c r="R375">
        <f>IF($Q375="","",INDEX(บันทึกรายเที่ยว!$V$6:$V$6005,$Q375))</f>
        <v/>
      </c>
      <c r="S375">
        <f>IF($Q375="","",INDEX(บันทึกรายเที่ยว!$F$6:$F$6005,$Q375))</f>
        <v/>
      </c>
      <c r="T375">
        <f>IF($Q375="","",MATCH($S375,บันทึกรายเที่ยว!$F$6:$F$6005,0))</f>
        <v/>
      </c>
      <c r="U375">
        <f>IF($Q375="","",$AL375*10000000+$T375*1000+371)</f>
        <v/>
      </c>
      <c r="V375">
        <f>IFERROR(MATCH(SMALL($U$5:$U$404,371),$U$5:$U$404,0),"")</f>
        <v/>
      </c>
      <c r="W375">
        <f>IF($V375="","",INDEX($Q$5:$Q$404,$V375))</f>
        <v/>
      </c>
      <c r="X375">
        <f>IF($V375="","",INDEX($S$5:$S$404,$V375))</f>
        <v/>
      </c>
      <c r="Y375">
        <f>IF($V375="","",INDEX($R$5:$R$404,$V375))</f>
        <v/>
      </c>
      <c r="Z375">
        <f>IF($V375="",0,IF($X375&lt;&gt;$X374,1,0))</f>
        <v/>
      </c>
      <c r="AA375">
        <f>IF($V375="",0,IF($V376="",1,IF($X376&lt;&gt;$X375,1,0)))</f>
        <v/>
      </c>
      <c r="AB375">
        <f>IF($V375="",99999+371,$AB374+1+$Z374+$AA374+$AO374)</f>
        <v/>
      </c>
      <c r="AC375">
        <f>IFERROR(MATCH(371,$AB$5:$AB$404,1),"")</f>
        <v/>
      </c>
      <c r="AD375">
        <f>IF(371=$AI$1+1,"Z",IF($AC375="","",IF(INDEX($V$5:$V$404,$AC375)="","",IF(371&gt;INDEX($AB$5:$AB$404,$AC375)+INDEX($Z$5:$Z$404,$AC375)+INDEX($AA$5:$AA$404,$AC375)+INDEX($AO$5:$AO$404,$AC375),"",IF(371=INDEX($AB$5:$AB$404,$AC375)+INDEX($Z$5:$Z$404,$AC375),"D",IF(AND(INDEX($Z$5:$Z$404,$AC375)=1,371=INDEX($AB$5:$AB$404,$AC375)),"H",IF(AND(INDEX($AO$5:$AO$404,$AC375)=1,371=INDEX($AB$5:$AB$404,$AC375)+INDEX($Z$5:$Z$404,$AC375)+INDEX($AA$5:$AA$404,$AC375)+INDEX($AO$5:$AO$404,$AC375)),"B","T")))))))</f>
        <v/>
      </c>
      <c r="AF375">
        <f>IF(OR($AD375="",$AD375="Z",$AD375="B"),"",INDEX($X$5:$X$404,$AC375))</f>
        <v/>
      </c>
      <c r="AJ375">
        <f>IF($AD375&lt;&gt;"T",0,ROUND(SUMIF(oil!$B$4:$B$63,$AF375,oil!$AE$4:$AE$63),2))</f>
        <v/>
      </c>
      <c r="AK375">
        <f>IF($S375="","",IFERROR(INDEX(อัตราค่าขนส่ง!$P$5:$P$54,MATCH($S375,อัตราค่าขนส่ง!$O$5:$O$54,0)),INDEX(รายการมาตรฐาน!$G$2:$G$3,1)))</f>
        <v/>
      </c>
      <c r="AL375">
        <f>IF($S375="","",IFERROR(MATCH($AK375,รายการมาตรฐาน!$G$2:$G$3,0),1))</f>
        <v/>
      </c>
      <c r="AM375">
        <f>IF($V375="","",INDEX($AK$5:$AK$404,$V375))</f>
        <v/>
      </c>
      <c r="AN375">
        <f>IF($V375="","",INDEX($AL$5:$AL$404,$V375))</f>
        <v/>
      </c>
      <c r="AO375">
        <f>IF(OR($V375="",$AI$2&lt;=1),0,IF($V376="",1,IF($AN376&lt;&gt;$AN375,1,0)))</f>
        <v/>
      </c>
      <c r="AP375">
        <f>IF($V375="",0,IF($AN375&lt;&gt;$AN374,1,0))</f>
        <v/>
      </c>
      <c r="AQ375">
        <f>IF(OR($AD375="",$AD375="Z"),"",INDEX($AN$5:$AN$404,$AC375))</f>
        <v/>
      </c>
      <c r="AR375">
        <f>IF($Y375="",0,COUNTIF(บันทึกรายเที่ยว!$V$6:$V$6005,$Y375))</f>
        <v/>
      </c>
      <c r="AS375">
        <f>IF($Y375="",0,ROUND(SUMIF(บันทึกรายเที่ยว!$V$6:$V$6005,$Y375,บันทึกรายเที่ยว!$M$6:$M$6005),2))</f>
        <v/>
      </c>
      <c r="AT375">
        <f>IF($Y375="",0,IFERROR(INDEX(อัตราค่าขนส่ง!$G$5:$G$204,MATCH($Y375,อัตราค่าขนส่ง!$M$5:$M$204,0)),0))</f>
        <v/>
      </c>
      <c r="AU375">
        <f>ROUND($AS375*$BD375,2)</f>
        <v/>
      </c>
      <c r="AV375">
        <f>ROUND($AU375*$BF$2/100,2)</f>
        <v/>
      </c>
      <c r="AW375">
        <f>IF($Y375="","",IFERROR(INDEX(อัตราค่าขนส่ง!$F$5:$F$204,MATCH($Y375,อัตราค่าขนส่ง!$M$5:$M$204,0)),""))</f>
        <v/>
      </c>
      <c r="AX375">
        <f>IF($W375="","",INDEX(บันทึกรายเที่ยว!$D$6:$D$6005,$W375))</f>
        <v/>
      </c>
      <c r="AY375">
        <f>IF($W375="","",INDEX(บันทึกรายเที่ยว!$R$6:$R$6005,$W375))</f>
        <v/>
      </c>
      <c r="AZ375">
        <f>IF(AND($AD375="T",$AQ375=1),N($AZ374)+1,N($AZ374))</f>
        <v/>
      </c>
      <c r="BA375">
        <f>IF($W375="","",INDEX(บันทึกรายเที่ยว!$E$6:$E$6005,$W375))</f>
        <v/>
      </c>
      <c r="BC375">
        <f>IF($Y375="",0,IFERROR(INDEX(อัตราค่าขนส่ง!$K$5:$K$204,MATCH($Y375,อัตราค่าขนส่ง!$M$5:$M$204,0)),0))</f>
        <v/>
      </c>
      <c r="BD375">
        <f>IF($Y375="",0,IFERROR(INDEX(อัตราค่าขนส่ง!$L$5:$L$204,MATCH($Y375,อัตราค่าขนส่ง!$M$5:$M$204,0)),0))</f>
        <v/>
      </c>
    </row>
    <row r="376" ht="21" customHeight="1" s="66">
      <c r="A376" s="69">
        <f>IF($AD376="","",IF($AD376="Z","รวมจ่ายทั้งสิ้น",IF($AD376="H",INDEX($X$5:$X$404,$AC376),IF($AD376="T","รวม",IF($AD376="B",IFERROR(INDEX(อัตราค่าขนส่ง!$S$5:$S$14,MATCH(INDEX($AM$5:$AM$404,$AC376),อัตราค่าขนส่ง!$R$5:$R$14,0)),"รวมกลุ่ม "&amp;INDEX($AM$5:$AM$404,$AC376)),INDEX($AY$5:$AY$404,$AC376))))))</f>
        <v/>
      </c>
      <c r="B376" s="31">
        <f>IF($AD376&lt;&gt;"D","",INDEX($AW$5:$AW$404,$AC376))</f>
        <v/>
      </c>
      <c r="C376" s="68">
        <f>IF($AD376&lt;&gt;"D","",INDEX($AX$5:$AX$404,$AC376))</f>
        <v/>
      </c>
      <c r="D376" s="70">
        <f>IF($AD376&lt;&gt;"D","",INDEX($BA$5:$BA$404,$AC376))</f>
        <v/>
      </c>
      <c r="E376" s="31">
        <f>IF($AD376="Z",SUM($AR$5:$AR$404),IF($AD376="D",INDEX($AR$5:$AR$404,$AC376),IF($AD376="T",SUMIF($X$5:$X$404,$AF376,$AR$5:$AR$404),IF($AD376="B",SUMIF($AN$5:$AN$404,$AQ376,$AR$5:$AR$404),""))))</f>
        <v/>
      </c>
      <c r="F376" s="32">
        <f>IF($AD376="Z",ROUND(SUM($AS$5:$AS$404),2),IF($AD376="D",INDEX($AS$5:$AS$404,$AC376),IF($AD376="T",ROUND(SUMIF($X$5:$X$404,$AF376,$AS$5:$AS$404),2),IF($AD376="B",ROUND(SUMIF($AN$5:$AN$404,$AQ376,$AS$5:$AS$404),2),""))))</f>
        <v/>
      </c>
      <c r="G376" s="32">
        <f>IF($AD376&lt;&gt;"D","",INDEX($AT$5:$AT$404,$AC376))</f>
        <v/>
      </c>
      <c r="H376" s="32">
        <f>IF($AD376&lt;&gt;"D","",INDEX($BC$5:$BC$404,$AC376))</f>
        <v/>
      </c>
      <c r="I376" s="32">
        <f>IF($AD376&lt;&gt;"D","",INDEX($BD$5:$BD$404,$AC376))</f>
        <v/>
      </c>
      <c r="J376" s="46">
        <f>IF($AD376&lt;&gt;"D","",IF(N($B376)=0,"",ROUND($I376/$B376,4)))</f>
        <v/>
      </c>
      <c r="K376" s="32">
        <f>IF($AD376="Z",ROUND(SUM($AU$5:$AU$404),2),IF($AD376="D",INDEX($AU$5:$AU$404,$AC376),IF($AD376="T",ROUND(SUMIF($X$5:$X$404,$AF376,$AU$5:$AU$404),2),IF($AD376="B",ROUND(SUMIF($AN$5:$AN$404,$AQ376,$AU$5:$AU$404),2),""))))</f>
        <v/>
      </c>
      <c r="L376" s="32">
        <f>IF($AD376="Z",ROUND(SUM($AV$5:$AV$404),2),IF($AD376="D",INDEX($AV$5:$AV$404,$AC376),IF($AD376="T",ROUND(SUMIF($X$5:$X$404,$AF376,$AV$5:$AV$404),2),IF($AD376="B",ROUND(SUMIF($AN$5:$AN$404,$AQ376,$AV$5:$AV$404),2),""))))</f>
        <v/>
      </c>
      <c r="M376" s="32">
        <f>IF($AD376="Z",ROUND(SUM($AJ$5:$AJ$704),2),IF($AD376="B",ROUND(SUMIF($AQ$5:$AQ$704,$AQ376,$AJ$5:$AJ$704),2),IF($AD376&lt;&gt;"T","",$AJ376)))</f>
        <v/>
      </c>
      <c r="N376" s="32">
        <f>IF(OR($AD376="D",$AD376="T",$AD376="B",$AD376="Z"),ROUND(N($K376)-N($L376)-N($M376),2),"")</f>
        <v/>
      </c>
      <c r="O376" s="32">
        <f>IF(OR($AD376="D",$AD376="T",$AD376="B",$AD376="Z"),IF(N($E376)=0,"",ROUND($F376/$E376,2)),"")</f>
        <v/>
      </c>
      <c r="Q376">
        <f>IFERROR(MATCH(372,บันทึกรายเที่ยว!$Z$6:$Z$6005,0),"")</f>
        <v/>
      </c>
      <c r="R376">
        <f>IF($Q376="","",INDEX(บันทึกรายเที่ยว!$V$6:$V$6005,$Q376))</f>
        <v/>
      </c>
      <c r="S376">
        <f>IF($Q376="","",INDEX(บันทึกรายเที่ยว!$F$6:$F$6005,$Q376))</f>
        <v/>
      </c>
      <c r="T376">
        <f>IF($Q376="","",MATCH($S376,บันทึกรายเที่ยว!$F$6:$F$6005,0))</f>
        <v/>
      </c>
      <c r="U376">
        <f>IF($Q376="","",$AL376*10000000+$T376*1000+372)</f>
        <v/>
      </c>
      <c r="V376">
        <f>IFERROR(MATCH(SMALL($U$5:$U$404,372),$U$5:$U$404,0),"")</f>
        <v/>
      </c>
      <c r="W376">
        <f>IF($V376="","",INDEX($Q$5:$Q$404,$V376))</f>
        <v/>
      </c>
      <c r="X376">
        <f>IF($V376="","",INDEX($S$5:$S$404,$V376))</f>
        <v/>
      </c>
      <c r="Y376">
        <f>IF($V376="","",INDEX($R$5:$R$404,$V376))</f>
        <v/>
      </c>
      <c r="Z376">
        <f>IF($V376="",0,IF($X376&lt;&gt;$X375,1,0))</f>
        <v/>
      </c>
      <c r="AA376">
        <f>IF($V376="",0,IF($V377="",1,IF($X377&lt;&gt;$X376,1,0)))</f>
        <v/>
      </c>
      <c r="AB376">
        <f>IF($V376="",99999+372,$AB375+1+$Z375+$AA375+$AO375)</f>
        <v/>
      </c>
      <c r="AC376">
        <f>IFERROR(MATCH(372,$AB$5:$AB$404,1),"")</f>
        <v/>
      </c>
      <c r="AD376">
        <f>IF(372=$AI$1+1,"Z",IF($AC376="","",IF(INDEX($V$5:$V$404,$AC376)="","",IF(372&gt;INDEX($AB$5:$AB$404,$AC376)+INDEX($Z$5:$Z$404,$AC376)+INDEX($AA$5:$AA$404,$AC376)+INDEX($AO$5:$AO$404,$AC376),"",IF(372=INDEX($AB$5:$AB$404,$AC376)+INDEX($Z$5:$Z$404,$AC376),"D",IF(AND(INDEX($Z$5:$Z$404,$AC376)=1,372=INDEX($AB$5:$AB$404,$AC376)),"H",IF(AND(INDEX($AO$5:$AO$404,$AC376)=1,372=INDEX($AB$5:$AB$404,$AC376)+INDEX($Z$5:$Z$404,$AC376)+INDEX($AA$5:$AA$404,$AC376)+INDEX($AO$5:$AO$404,$AC376)),"B","T")))))))</f>
        <v/>
      </c>
      <c r="AF376">
        <f>IF(OR($AD376="",$AD376="Z",$AD376="B"),"",INDEX($X$5:$X$404,$AC376))</f>
        <v/>
      </c>
      <c r="AJ376">
        <f>IF($AD376&lt;&gt;"T",0,ROUND(SUMIF(oil!$B$4:$B$63,$AF376,oil!$AE$4:$AE$63),2))</f>
        <v/>
      </c>
      <c r="AK376">
        <f>IF($S376="","",IFERROR(INDEX(อัตราค่าขนส่ง!$P$5:$P$54,MATCH($S376,อัตราค่าขนส่ง!$O$5:$O$54,0)),INDEX(รายการมาตรฐาน!$G$2:$G$3,1)))</f>
        <v/>
      </c>
      <c r="AL376">
        <f>IF($S376="","",IFERROR(MATCH($AK376,รายการมาตรฐาน!$G$2:$G$3,0),1))</f>
        <v/>
      </c>
      <c r="AM376">
        <f>IF($V376="","",INDEX($AK$5:$AK$404,$V376))</f>
        <v/>
      </c>
      <c r="AN376">
        <f>IF($V376="","",INDEX($AL$5:$AL$404,$V376))</f>
        <v/>
      </c>
      <c r="AO376">
        <f>IF(OR($V376="",$AI$2&lt;=1),0,IF($V377="",1,IF($AN377&lt;&gt;$AN376,1,0)))</f>
        <v/>
      </c>
      <c r="AP376">
        <f>IF($V376="",0,IF($AN376&lt;&gt;$AN375,1,0))</f>
        <v/>
      </c>
      <c r="AQ376">
        <f>IF(OR($AD376="",$AD376="Z"),"",INDEX($AN$5:$AN$404,$AC376))</f>
        <v/>
      </c>
      <c r="AR376">
        <f>IF($Y376="",0,COUNTIF(บันทึกรายเที่ยว!$V$6:$V$6005,$Y376))</f>
        <v/>
      </c>
      <c r="AS376">
        <f>IF($Y376="",0,ROUND(SUMIF(บันทึกรายเที่ยว!$V$6:$V$6005,$Y376,บันทึกรายเที่ยว!$M$6:$M$6005),2))</f>
        <v/>
      </c>
      <c r="AT376">
        <f>IF($Y376="",0,IFERROR(INDEX(อัตราค่าขนส่ง!$G$5:$G$204,MATCH($Y376,อัตราค่าขนส่ง!$M$5:$M$204,0)),0))</f>
        <v/>
      </c>
      <c r="AU376">
        <f>ROUND($AS376*$BD376,2)</f>
        <v/>
      </c>
      <c r="AV376">
        <f>ROUND($AU376*$BF$2/100,2)</f>
        <v/>
      </c>
      <c r="AW376">
        <f>IF($Y376="","",IFERROR(INDEX(อัตราค่าขนส่ง!$F$5:$F$204,MATCH($Y376,อัตราค่าขนส่ง!$M$5:$M$204,0)),""))</f>
        <v/>
      </c>
      <c r="AX376">
        <f>IF($W376="","",INDEX(บันทึกรายเที่ยว!$D$6:$D$6005,$W376))</f>
        <v/>
      </c>
      <c r="AY376">
        <f>IF($W376="","",INDEX(บันทึกรายเที่ยว!$R$6:$R$6005,$W376))</f>
        <v/>
      </c>
      <c r="AZ376">
        <f>IF(AND($AD376="T",$AQ376=1),N($AZ375)+1,N($AZ375))</f>
        <v/>
      </c>
      <c r="BA376">
        <f>IF($W376="","",INDEX(บันทึกรายเที่ยว!$E$6:$E$6005,$W376))</f>
        <v/>
      </c>
      <c r="BC376">
        <f>IF($Y376="",0,IFERROR(INDEX(อัตราค่าขนส่ง!$K$5:$K$204,MATCH($Y376,อัตราค่าขนส่ง!$M$5:$M$204,0)),0))</f>
        <v/>
      </c>
      <c r="BD376">
        <f>IF($Y376="",0,IFERROR(INDEX(อัตราค่าขนส่ง!$L$5:$L$204,MATCH($Y376,อัตราค่าขนส่ง!$M$5:$M$204,0)),0))</f>
        <v/>
      </c>
    </row>
    <row r="377" ht="21" customHeight="1" s="66">
      <c r="A377" s="69">
        <f>IF($AD377="","",IF($AD377="Z","รวมจ่ายทั้งสิ้น",IF($AD377="H",INDEX($X$5:$X$404,$AC377),IF($AD377="T","รวม",IF($AD377="B",IFERROR(INDEX(อัตราค่าขนส่ง!$S$5:$S$14,MATCH(INDEX($AM$5:$AM$404,$AC377),อัตราค่าขนส่ง!$R$5:$R$14,0)),"รวมกลุ่ม "&amp;INDEX($AM$5:$AM$404,$AC377)),INDEX($AY$5:$AY$404,$AC377))))))</f>
        <v/>
      </c>
      <c r="B377" s="31">
        <f>IF($AD377&lt;&gt;"D","",INDEX($AW$5:$AW$404,$AC377))</f>
        <v/>
      </c>
      <c r="C377" s="68">
        <f>IF($AD377&lt;&gt;"D","",INDEX($AX$5:$AX$404,$AC377))</f>
        <v/>
      </c>
      <c r="D377" s="70">
        <f>IF($AD377&lt;&gt;"D","",INDEX($BA$5:$BA$404,$AC377))</f>
        <v/>
      </c>
      <c r="E377" s="31">
        <f>IF($AD377="Z",SUM($AR$5:$AR$404),IF($AD377="D",INDEX($AR$5:$AR$404,$AC377),IF($AD377="T",SUMIF($X$5:$X$404,$AF377,$AR$5:$AR$404),IF($AD377="B",SUMIF($AN$5:$AN$404,$AQ377,$AR$5:$AR$404),""))))</f>
        <v/>
      </c>
      <c r="F377" s="32">
        <f>IF($AD377="Z",ROUND(SUM($AS$5:$AS$404),2),IF($AD377="D",INDEX($AS$5:$AS$404,$AC377),IF($AD377="T",ROUND(SUMIF($X$5:$X$404,$AF377,$AS$5:$AS$404),2),IF($AD377="B",ROUND(SUMIF($AN$5:$AN$404,$AQ377,$AS$5:$AS$404),2),""))))</f>
        <v/>
      </c>
      <c r="G377" s="32">
        <f>IF($AD377&lt;&gt;"D","",INDEX($AT$5:$AT$404,$AC377))</f>
        <v/>
      </c>
      <c r="H377" s="32">
        <f>IF($AD377&lt;&gt;"D","",INDEX($BC$5:$BC$404,$AC377))</f>
        <v/>
      </c>
      <c r="I377" s="32">
        <f>IF($AD377&lt;&gt;"D","",INDEX($BD$5:$BD$404,$AC377))</f>
        <v/>
      </c>
      <c r="J377" s="46">
        <f>IF($AD377&lt;&gt;"D","",IF(N($B377)=0,"",ROUND($I377/$B377,4)))</f>
        <v/>
      </c>
      <c r="K377" s="32">
        <f>IF($AD377="Z",ROUND(SUM($AU$5:$AU$404),2),IF($AD377="D",INDEX($AU$5:$AU$404,$AC377),IF($AD377="T",ROUND(SUMIF($X$5:$X$404,$AF377,$AU$5:$AU$404),2),IF($AD377="B",ROUND(SUMIF($AN$5:$AN$404,$AQ377,$AU$5:$AU$404),2),""))))</f>
        <v/>
      </c>
      <c r="L377" s="32">
        <f>IF($AD377="Z",ROUND(SUM($AV$5:$AV$404),2),IF($AD377="D",INDEX($AV$5:$AV$404,$AC377),IF($AD377="T",ROUND(SUMIF($X$5:$X$404,$AF377,$AV$5:$AV$404),2),IF($AD377="B",ROUND(SUMIF($AN$5:$AN$404,$AQ377,$AV$5:$AV$404),2),""))))</f>
        <v/>
      </c>
      <c r="M377" s="32">
        <f>IF($AD377="Z",ROUND(SUM($AJ$5:$AJ$704),2),IF($AD377="B",ROUND(SUMIF($AQ$5:$AQ$704,$AQ377,$AJ$5:$AJ$704),2),IF($AD377&lt;&gt;"T","",$AJ377)))</f>
        <v/>
      </c>
      <c r="N377" s="32">
        <f>IF(OR($AD377="D",$AD377="T",$AD377="B",$AD377="Z"),ROUND(N($K377)-N($L377)-N($M377),2),"")</f>
        <v/>
      </c>
      <c r="O377" s="32">
        <f>IF(OR($AD377="D",$AD377="T",$AD377="B",$AD377="Z"),IF(N($E377)=0,"",ROUND($F377/$E377,2)),"")</f>
        <v/>
      </c>
      <c r="Q377">
        <f>IFERROR(MATCH(373,บันทึกรายเที่ยว!$Z$6:$Z$6005,0),"")</f>
        <v/>
      </c>
      <c r="R377">
        <f>IF($Q377="","",INDEX(บันทึกรายเที่ยว!$V$6:$V$6005,$Q377))</f>
        <v/>
      </c>
      <c r="S377">
        <f>IF($Q377="","",INDEX(บันทึกรายเที่ยว!$F$6:$F$6005,$Q377))</f>
        <v/>
      </c>
      <c r="T377">
        <f>IF($Q377="","",MATCH($S377,บันทึกรายเที่ยว!$F$6:$F$6005,0))</f>
        <v/>
      </c>
      <c r="U377">
        <f>IF($Q377="","",$AL377*10000000+$T377*1000+373)</f>
        <v/>
      </c>
      <c r="V377">
        <f>IFERROR(MATCH(SMALL($U$5:$U$404,373),$U$5:$U$404,0),"")</f>
        <v/>
      </c>
      <c r="W377">
        <f>IF($V377="","",INDEX($Q$5:$Q$404,$V377))</f>
        <v/>
      </c>
      <c r="X377">
        <f>IF($V377="","",INDEX($S$5:$S$404,$V377))</f>
        <v/>
      </c>
      <c r="Y377">
        <f>IF($V377="","",INDEX($R$5:$R$404,$V377))</f>
        <v/>
      </c>
      <c r="Z377">
        <f>IF($V377="",0,IF($X377&lt;&gt;$X376,1,0))</f>
        <v/>
      </c>
      <c r="AA377">
        <f>IF($V377="",0,IF($V378="",1,IF($X378&lt;&gt;$X377,1,0)))</f>
        <v/>
      </c>
      <c r="AB377">
        <f>IF($V377="",99999+373,$AB376+1+$Z376+$AA376+$AO376)</f>
        <v/>
      </c>
      <c r="AC377">
        <f>IFERROR(MATCH(373,$AB$5:$AB$404,1),"")</f>
        <v/>
      </c>
      <c r="AD377">
        <f>IF(373=$AI$1+1,"Z",IF($AC377="","",IF(INDEX($V$5:$V$404,$AC377)="","",IF(373&gt;INDEX($AB$5:$AB$404,$AC377)+INDEX($Z$5:$Z$404,$AC377)+INDEX($AA$5:$AA$404,$AC377)+INDEX($AO$5:$AO$404,$AC377),"",IF(373=INDEX($AB$5:$AB$404,$AC377)+INDEX($Z$5:$Z$404,$AC377),"D",IF(AND(INDEX($Z$5:$Z$404,$AC377)=1,373=INDEX($AB$5:$AB$404,$AC377)),"H",IF(AND(INDEX($AO$5:$AO$404,$AC377)=1,373=INDEX($AB$5:$AB$404,$AC377)+INDEX($Z$5:$Z$404,$AC377)+INDEX($AA$5:$AA$404,$AC377)+INDEX($AO$5:$AO$404,$AC377)),"B","T")))))))</f>
        <v/>
      </c>
      <c r="AF377">
        <f>IF(OR($AD377="",$AD377="Z",$AD377="B"),"",INDEX($X$5:$X$404,$AC377))</f>
        <v/>
      </c>
      <c r="AJ377">
        <f>IF($AD377&lt;&gt;"T",0,ROUND(SUMIF(oil!$B$4:$B$63,$AF377,oil!$AE$4:$AE$63),2))</f>
        <v/>
      </c>
      <c r="AK377">
        <f>IF($S377="","",IFERROR(INDEX(อัตราค่าขนส่ง!$P$5:$P$54,MATCH($S377,อัตราค่าขนส่ง!$O$5:$O$54,0)),INDEX(รายการมาตรฐาน!$G$2:$G$3,1)))</f>
        <v/>
      </c>
      <c r="AL377">
        <f>IF($S377="","",IFERROR(MATCH($AK377,รายการมาตรฐาน!$G$2:$G$3,0),1))</f>
        <v/>
      </c>
      <c r="AM377">
        <f>IF($V377="","",INDEX($AK$5:$AK$404,$V377))</f>
        <v/>
      </c>
      <c r="AN377">
        <f>IF($V377="","",INDEX($AL$5:$AL$404,$V377))</f>
        <v/>
      </c>
      <c r="AO377">
        <f>IF(OR($V377="",$AI$2&lt;=1),0,IF($V378="",1,IF($AN378&lt;&gt;$AN377,1,0)))</f>
        <v/>
      </c>
      <c r="AP377">
        <f>IF($V377="",0,IF($AN377&lt;&gt;$AN376,1,0))</f>
        <v/>
      </c>
      <c r="AQ377">
        <f>IF(OR($AD377="",$AD377="Z"),"",INDEX($AN$5:$AN$404,$AC377))</f>
        <v/>
      </c>
      <c r="AR377">
        <f>IF($Y377="",0,COUNTIF(บันทึกรายเที่ยว!$V$6:$V$6005,$Y377))</f>
        <v/>
      </c>
      <c r="AS377">
        <f>IF($Y377="",0,ROUND(SUMIF(บันทึกรายเที่ยว!$V$6:$V$6005,$Y377,บันทึกรายเที่ยว!$M$6:$M$6005),2))</f>
        <v/>
      </c>
      <c r="AT377">
        <f>IF($Y377="",0,IFERROR(INDEX(อัตราค่าขนส่ง!$G$5:$G$204,MATCH($Y377,อัตราค่าขนส่ง!$M$5:$M$204,0)),0))</f>
        <v/>
      </c>
      <c r="AU377">
        <f>ROUND($AS377*$BD377,2)</f>
        <v/>
      </c>
      <c r="AV377">
        <f>ROUND($AU377*$BF$2/100,2)</f>
        <v/>
      </c>
      <c r="AW377">
        <f>IF($Y377="","",IFERROR(INDEX(อัตราค่าขนส่ง!$F$5:$F$204,MATCH($Y377,อัตราค่าขนส่ง!$M$5:$M$204,0)),""))</f>
        <v/>
      </c>
      <c r="AX377">
        <f>IF($W377="","",INDEX(บันทึกรายเที่ยว!$D$6:$D$6005,$W377))</f>
        <v/>
      </c>
      <c r="AY377">
        <f>IF($W377="","",INDEX(บันทึกรายเที่ยว!$R$6:$R$6005,$W377))</f>
        <v/>
      </c>
      <c r="AZ377">
        <f>IF(AND($AD377="T",$AQ377=1),N($AZ376)+1,N($AZ376))</f>
        <v/>
      </c>
      <c r="BA377">
        <f>IF($W377="","",INDEX(บันทึกรายเที่ยว!$E$6:$E$6005,$W377))</f>
        <v/>
      </c>
      <c r="BC377">
        <f>IF($Y377="",0,IFERROR(INDEX(อัตราค่าขนส่ง!$K$5:$K$204,MATCH($Y377,อัตราค่าขนส่ง!$M$5:$M$204,0)),0))</f>
        <v/>
      </c>
      <c r="BD377">
        <f>IF($Y377="",0,IFERROR(INDEX(อัตราค่าขนส่ง!$L$5:$L$204,MATCH($Y377,อัตราค่าขนส่ง!$M$5:$M$204,0)),0))</f>
        <v/>
      </c>
    </row>
    <row r="378" ht="21" customHeight="1" s="66">
      <c r="A378" s="69">
        <f>IF($AD378="","",IF($AD378="Z","รวมจ่ายทั้งสิ้น",IF($AD378="H",INDEX($X$5:$X$404,$AC378),IF($AD378="T","รวม",IF($AD378="B",IFERROR(INDEX(อัตราค่าขนส่ง!$S$5:$S$14,MATCH(INDEX($AM$5:$AM$404,$AC378),อัตราค่าขนส่ง!$R$5:$R$14,0)),"รวมกลุ่ม "&amp;INDEX($AM$5:$AM$404,$AC378)),INDEX($AY$5:$AY$404,$AC378))))))</f>
        <v/>
      </c>
      <c r="B378" s="31">
        <f>IF($AD378&lt;&gt;"D","",INDEX($AW$5:$AW$404,$AC378))</f>
        <v/>
      </c>
      <c r="C378" s="68">
        <f>IF($AD378&lt;&gt;"D","",INDEX($AX$5:$AX$404,$AC378))</f>
        <v/>
      </c>
      <c r="D378" s="70">
        <f>IF($AD378&lt;&gt;"D","",INDEX($BA$5:$BA$404,$AC378))</f>
        <v/>
      </c>
      <c r="E378" s="31">
        <f>IF($AD378="Z",SUM($AR$5:$AR$404),IF($AD378="D",INDEX($AR$5:$AR$404,$AC378),IF($AD378="T",SUMIF($X$5:$X$404,$AF378,$AR$5:$AR$404),IF($AD378="B",SUMIF($AN$5:$AN$404,$AQ378,$AR$5:$AR$404),""))))</f>
        <v/>
      </c>
      <c r="F378" s="32">
        <f>IF($AD378="Z",ROUND(SUM($AS$5:$AS$404),2),IF($AD378="D",INDEX($AS$5:$AS$404,$AC378),IF($AD378="T",ROUND(SUMIF($X$5:$X$404,$AF378,$AS$5:$AS$404),2),IF($AD378="B",ROUND(SUMIF($AN$5:$AN$404,$AQ378,$AS$5:$AS$404),2),""))))</f>
        <v/>
      </c>
      <c r="G378" s="32">
        <f>IF($AD378&lt;&gt;"D","",INDEX($AT$5:$AT$404,$AC378))</f>
        <v/>
      </c>
      <c r="H378" s="32">
        <f>IF($AD378&lt;&gt;"D","",INDEX($BC$5:$BC$404,$AC378))</f>
        <v/>
      </c>
      <c r="I378" s="32">
        <f>IF($AD378&lt;&gt;"D","",INDEX($BD$5:$BD$404,$AC378))</f>
        <v/>
      </c>
      <c r="J378" s="46">
        <f>IF($AD378&lt;&gt;"D","",IF(N($B378)=0,"",ROUND($I378/$B378,4)))</f>
        <v/>
      </c>
      <c r="K378" s="32">
        <f>IF($AD378="Z",ROUND(SUM($AU$5:$AU$404),2),IF($AD378="D",INDEX($AU$5:$AU$404,$AC378),IF($AD378="T",ROUND(SUMIF($X$5:$X$404,$AF378,$AU$5:$AU$404),2),IF($AD378="B",ROUND(SUMIF($AN$5:$AN$404,$AQ378,$AU$5:$AU$404),2),""))))</f>
        <v/>
      </c>
      <c r="L378" s="32">
        <f>IF($AD378="Z",ROUND(SUM($AV$5:$AV$404),2),IF($AD378="D",INDEX($AV$5:$AV$404,$AC378),IF($AD378="T",ROUND(SUMIF($X$5:$X$404,$AF378,$AV$5:$AV$404),2),IF($AD378="B",ROUND(SUMIF($AN$5:$AN$404,$AQ378,$AV$5:$AV$404),2),""))))</f>
        <v/>
      </c>
      <c r="M378" s="32">
        <f>IF($AD378="Z",ROUND(SUM($AJ$5:$AJ$704),2),IF($AD378="B",ROUND(SUMIF($AQ$5:$AQ$704,$AQ378,$AJ$5:$AJ$704),2),IF($AD378&lt;&gt;"T","",$AJ378)))</f>
        <v/>
      </c>
      <c r="N378" s="32">
        <f>IF(OR($AD378="D",$AD378="T",$AD378="B",$AD378="Z"),ROUND(N($K378)-N($L378)-N($M378),2),"")</f>
        <v/>
      </c>
      <c r="O378" s="32">
        <f>IF(OR($AD378="D",$AD378="T",$AD378="B",$AD378="Z"),IF(N($E378)=0,"",ROUND($F378/$E378,2)),"")</f>
        <v/>
      </c>
      <c r="Q378">
        <f>IFERROR(MATCH(374,บันทึกรายเที่ยว!$Z$6:$Z$6005,0),"")</f>
        <v/>
      </c>
      <c r="R378">
        <f>IF($Q378="","",INDEX(บันทึกรายเที่ยว!$V$6:$V$6005,$Q378))</f>
        <v/>
      </c>
      <c r="S378">
        <f>IF($Q378="","",INDEX(บันทึกรายเที่ยว!$F$6:$F$6005,$Q378))</f>
        <v/>
      </c>
      <c r="T378">
        <f>IF($Q378="","",MATCH($S378,บันทึกรายเที่ยว!$F$6:$F$6005,0))</f>
        <v/>
      </c>
      <c r="U378">
        <f>IF($Q378="","",$AL378*10000000+$T378*1000+374)</f>
        <v/>
      </c>
      <c r="V378">
        <f>IFERROR(MATCH(SMALL($U$5:$U$404,374),$U$5:$U$404,0),"")</f>
        <v/>
      </c>
      <c r="W378">
        <f>IF($V378="","",INDEX($Q$5:$Q$404,$V378))</f>
        <v/>
      </c>
      <c r="X378">
        <f>IF($V378="","",INDEX($S$5:$S$404,$V378))</f>
        <v/>
      </c>
      <c r="Y378">
        <f>IF($V378="","",INDEX($R$5:$R$404,$V378))</f>
        <v/>
      </c>
      <c r="Z378">
        <f>IF($V378="",0,IF($X378&lt;&gt;$X377,1,0))</f>
        <v/>
      </c>
      <c r="AA378">
        <f>IF($V378="",0,IF($V379="",1,IF($X379&lt;&gt;$X378,1,0)))</f>
        <v/>
      </c>
      <c r="AB378">
        <f>IF($V378="",99999+374,$AB377+1+$Z377+$AA377+$AO377)</f>
        <v/>
      </c>
      <c r="AC378">
        <f>IFERROR(MATCH(374,$AB$5:$AB$404,1),"")</f>
        <v/>
      </c>
      <c r="AD378">
        <f>IF(374=$AI$1+1,"Z",IF($AC378="","",IF(INDEX($V$5:$V$404,$AC378)="","",IF(374&gt;INDEX($AB$5:$AB$404,$AC378)+INDEX($Z$5:$Z$404,$AC378)+INDEX($AA$5:$AA$404,$AC378)+INDEX($AO$5:$AO$404,$AC378),"",IF(374=INDEX($AB$5:$AB$404,$AC378)+INDEX($Z$5:$Z$404,$AC378),"D",IF(AND(INDEX($Z$5:$Z$404,$AC378)=1,374=INDEX($AB$5:$AB$404,$AC378)),"H",IF(AND(INDEX($AO$5:$AO$404,$AC378)=1,374=INDEX($AB$5:$AB$404,$AC378)+INDEX($Z$5:$Z$404,$AC378)+INDEX($AA$5:$AA$404,$AC378)+INDEX($AO$5:$AO$404,$AC378)),"B","T")))))))</f>
        <v/>
      </c>
      <c r="AF378">
        <f>IF(OR($AD378="",$AD378="Z",$AD378="B"),"",INDEX($X$5:$X$404,$AC378))</f>
        <v/>
      </c>
      <c r="AJ378">
        <f>IF($AD378&lt;&gt;"T",0,ROUND(SUMIF(oil!$B$4:$B$63,$AF378,oil!$AE$4:$AE$63),2))</f>
        <v/>
      </c>
      <c r="AK378">
        <f>IF($S378="","",IFERROR(INDEX(อัตราค่าขนส่ง!$P$5:$P$54,MATCH($S378,อัตราค่าขนส่ง!$O$5:$O$54,0)),INDEX(รายการมาตรฐาน!$G$2:$G$3,1)))</f>
        <v/>
      </c>
      <c r="AL378">
        <f>IF($S378="","",IFERROR(MATCH($AK378,รายการมาตรฐาน!$G$2:$G$3,0),1))</f>
        <v/>
      </c>
      <c r="AM378">
        <f>IF($V378="","",INDEX($AK$5:$AK$404,$V378))</f>
        <v/>
      </c>
      <c r="AN378">
        <f>IF($V378="","",INDEX($AL$5:$AL$404,$V378))</f>
        <v/>
      </c>
      <c r="AO378">
        <f>IF(OR($V378="",$AI$2&lt;=1),0,IF($V379="",1,IF($AN379&lt;&gt;$AN378,1,0)))</f>
        <v/>
      </c>
      <c r="AP378">
        <f>IF($V378="",0,IF($AN378&lt;&gt;$AN377,1,0))</f>
        <v/>
      </c>
      <c r="AQ378">
        <f>IF(OR($AD378="",$AD378="Z"),"",INDEX($AN$5:$AN$404,$AC378))</f>
        <v/>
      </c>
      <c r="AR378">
        <f>IF($Y378="",0,COUNTIF(บันทึกรายเที่ยว!$V$6:$V$6005,$Y378))</f>
        <v/>
      </c>
      <c r="AS378">
        <f>IF($Y378="",0,ROUND(SUMIF(บันทึกรายเที่ยว!$V$6:$V$6005,$Y378,บันทึกรายเที่ยว!$M$6:$M$6005),2))</f>
        <v/>
      </c>
      <c r="AT378">
        <f>IF($Y378="",0,IFERROR(INDEX(อัตราค่าขนส่ง!$G$5:$G$204,MATCH($Y378,อัตราค่าขนส่ง!$M$5:$M$204,0)),0))</f>
        <v/>
      </c>
      <c r="AU378">
        <f>ROUND($AS378*$BD378,2)</f>
        <v/>
      </c>
      <c r="AV378">
        <f>ROUND($AU378*$BF$2/100,2)</f>
        <v/>
      </c>
      <c r="AW378">
        <f>IF($Y378="","",IFERROR(INDEX(อัตราค่าขนส่ง!$F$5:$F$204,MATCH($Y378,อัตราค่าขนส่ง!$M$5:$M$204,0)),""))</f>
        <v/>
      </c>
      <c r="AX378">
        <f>IF($W378="","",INDEX(บันทึกรายเที่ยว!$D$6:$D$6005,$W378))</f>
        <v/>
      </c>
      <c r="AY378">
        <f>IF($W378="","",INDEX(บันทึกรายเที่ยว!$R$6:$R$6005,$W378))</f>
        <v/>
      </c>
      <c r="AZ378">
        <f>IF(AND($AD378="T",$AQ378=1),N($AZ377)+1,N($AZ377))</f>
        <v/>
      </c>
      <c r="BA378">
        <f>IF($W378="","",INDEX(บันทึกรายเที่ยว!$E$6:$E$6005,$W378))</f>
        <v/>
      </c>
      <c r="BC378">
        <f>IF($Y378="",0,IFERROR(INDEX(อัตราค่าขนส่ง!$K$5:$K$204,MATCH($Y378,อัตราค่าขนส่ง!$M$5:$M$204,0)),0))</f>
        <v/>
      </c>
      <c r="BD378">
        <f>IF($Y378="",0,IFERROR(INDEX(อัตราค่าขนส่ง!$L$5:$L$204,MATCH($Y378,อัตราค่าขนส่ง!$M$5:$M$204,0)),0))</f>
        <v/>
      </c>
    </row>
    <row r="379" ht="21" customHeight="1" s="66">
      <c r="A379" s="69">
        <f>IF($AD379="","",IF($AD379="Z","รวมจ่ายทั้งสิ้น",IF($AD379="H",INDEX($X$5:$X$404,$AC379),IF($AD379="T","รวม",IF($AD379="B",IFERROR(INDEX(อัตราค่าขนส่ง!$S$5:$S$14,MATCH(INDEX($AM$5:$AM$404,$AC379),อัตราค่าขนส่ง!$R$5:$R$14,0)),"รวมกลุ่ม "&amp;INDEX($AM$5:$AM$404,$AC379)),INDEX($AY$5:$AY$404,$AC379))))))</f>
        <v/>
      </c>
      <c r="B379" s="31">
        <f>IF($AD379&lt;&gt;"D","",INDEX($AW$5:$AW$404,$AC379))</f>
        <v/>
      </c>
      <c r="C379" s="68">
        <f>IF($AD379&lt;&gt;"D","",INDEX($AX$5:$AX$404,$AC379))</f>
        <v/>
      </c>
      <c r="D379" s="70">
        <f>IF($AD379&lt;&gt;"D","",INDEX($BA$5:$BA$404,$AC379))</f>
        <v/>
      </c>
      <c r="E379" s="31">
        <f>IF($AD379="Z",SUM($AR$5:$AR$404),IF($AD379="D",INDEX($AR$5:$AR$404,$AC379),IF($AD379="T",SUMIF($X$5:$X$404,$AF379,$AR$5:$AR$404),IF($AD379="B",SUMIF($AN$5:$AN$404,$AQ379,$AR$5:$AR$404),""))))</f>
        <v/>
      </c>
      <c r="F379" s="32">
        <f>IF($AD379="Z",ROUND(SUM($AS$5:$AS$404),2),IF($AD379="D",INDEX($AS$5:$AS$404,$AC379),IF($AD379="T",ROUND(SUMIF($X$5:$X$404,$AF379,$AS$5:$AS$404),2),IF($AD379="B",ROUND(SUMIF($AN$5:$AN$404,$AQ379,$AS$5:$AS$404),2),""))))</f>
        <v/>
      </c>
      <c r="G379" s="32">
        <f>IF($AD379&lt;&gt;"D","",INDEX($AT$5:$AT$404,$AC379))</f>
        <v/>
      </c>
      <c r="H379" s="32">
        <f>IF($AD379&lt;&gt;"D","",INDEX($BC$5:$BC$404,$AC379))</f>
        <v/>
      </c>
      <c r="I379" s="32">
        <f>IF($AD379&lt;&gt;"D","",INDEX($BD$5:$BD$404,$AC379))</f>
        <v/>
      </c>
      <c r="J379" s="46">
        <f>IF($AD379&lt;&gt;"D","",IF(N($B379)=0,"",ROUND($I379/$B379,4)))</f>
        <v/>
      </c>
      <c r="K379" s="32">
        <f>IF($AD379="Z",ROUND(SUM($AU$5:$AU$404),2),IF($AD379="D",INDEX($AU$5:$AU$404,$AC379),IF($AD379="T",ROUND(SUMIF($X$5:$X$404,$AF379,$AU$5:$AU$404),2),IF($AD379="B",ROUND(SUMIF($AN$5:$AN$404,$AQ379,$AU$5:$AU$404),2),""))))</f>
        <v/>
      </c>
      <c r="L379" s="32">
        <f>IF($AD379="Z",ROUND(SUM($AV$5:$AV$404),2),IF($AD379="D",INDEX($AV$5:$AV$404,$AC379),IF($AD379="T",ROUND(SUMIF($X$5:$X$404,$AF379,$AV$5:$AV$404),2),IF($AD379="B",ROUND(SUMIF($AN$5:$AN$404,$AQ379,$AV$5:$AV$404),2),""))))</f>
        <v/>
      </c>
      <c r="M379" s="32">
        <f>IF($AD379="Z",ROUND(SUM($AJ$5:$AJ$704),2),IF($AD379="B",ROUND(SUMIF($AQ$5:$AQ$704,$AQ379,$AJ$5:$AJ$704),2),IF($AD379&lt;&gt;"T","",$AJ379)))</f>
        <v/>
      </c>
      <c r="N379" s="32">
        <f>IF(OR($AD379="D",$AD379="T",$AD379="B",$AD379="Z"),ROUND(N($K379)-N($L379)-N($M379),2),"")</f>
        <v/>
      </c>
      <c r="O379" s="32">
        <f>IF(OR($AD379="D",$AD379="T",$AD379="B",$AD379="Z"),IF(N($E379)=0,"",ROUND($F379/$E379,2)),"")</f>
        <v/>
      </c>
      <c r="Q379">
        <f>IFERROR(MATCH(375,บันทึกรายเที่ยว!$Z$6:$Z$6005,0),"")</f>
        <v/>
      </c>
      <c r="R379">
        <f>IF($Q379="","",INDEX(บันทึกรายเที่ยว!$V$6:$V$6005,$Q379))</f>
        <v/>
      </c>
      <c r="S379">
        <f>IF($Q379="","",INDEX(บันทึกรายเที่ยว!$F$6:$F$6005,$Q379))</f>
        <v/>
      </c>
      <c r="T379">
        <f>IF($Q379="","",MATCH($S379,บันทึกรายเที่ยว!$F$6:$F$6005,0))</f>
        <v/>
      </c>
      <c r="U379">
        <f>IF($Q379="","",$AL379*10000000+$T379*1000+375)</f>
        <v/>
      </c>
      <c r="V379">
        <f>IFERROR(MATCH(SMALL($U$5:$U$404,375),$U$5:$U$404,0),"")</f>
        <v/>
      </c>
      <c r="W379">
        <f>IF($V379="","",INDEX($Q$5:$Q$404,$V379))</f>
        <v/>
      </c>
      <c r="X379">
        <f>IF($V379="","",INDEX($S$5:$S$404,$V379))</f>
        <v/>
      </c>
      <c r="Y379">
        <f>IF($V379="","",INDEX($R$5:$R$404,$V379))</f>
        <v/>
      </c>
      <c r="Z379">
        <f>IF($V379="",0,IF($X379&lt;&gt;$X378,1,0))</f>
        <v/>
      </c>
      <c r="AA379">
        <f>IF($V379="",0,IF($V380="",1,IF($X380&lt;&gt;$X379,1,0)))</f>
        <v/>
      </c>
      <c r="AB379">
        <f>IF($V379="",99999+375,$AB378+1+$Z378+$AA378+$AO378)</f>
        <v/>
      </c>
      <c r="AC379">
        <f>IFERROR(MATCH(375,$AB$5:$AB$404,1),"")</f>
        <v/>
      </c>
      <c r="AD379">
        <f>IF(375=$AI$1+1,"Z",IF($AC379="","",IF(INDEX($V$5:$V$404,$AC379)="","",IF(375&gt;INDEX($AB$5:$AB$404,$AC379)+INDEX($Z$5:$Z$404,$AC379)+INDEX($AA$5:$AA$404,$AC379)+INDEX($AO$5:$AO$404,$AC379),"",IF(375=INDEX($AB$5:$AB$404,$AC379)+INDEX($Z$5:$Z$404,$AC379),"D",IF(AND(INDEX($Z$5:$Z$404,$AC379)=1,375=INDEX($AB$5:$AB$404,$AC379)),"H",IF(AND(INDEX($AO$5:$AO$404,$AC379)=1,375=INDEX($AB$5:$AB$404,$AC379)+INDEX($Z$5:$Z$404,$AC379)+INDEX($AA$5:$AA$404,$AC379)+INDEX($AO$5:$AO$404,$AC379)),"B","T")))))))</f>
        <v/>
      </c>
      <c r="AF379">
        <f>IF(OR($AD379="",$AD379="Z",$AD379="B"),"",INDEX($X$5:$X$404,$AC379))</f>
        <v/>
      </c>
      <c r="AJ379">
        <f>IF($AD379&lt;&gt;"T",0,ROUND(SUMIF(oil!$B$4:$B$63,$AF379,oil!$AE$4:$AE$63),2))</f>
        <v/>
      </c>
      <c r="AK379">
        <f>IF($S379="","",IFERROR(INDEX(อัตราค่าขนส่ง!$P$5:$P$54,MATCH($S379,อัตราค่าขนส่ง!$O$5:$O$54,0)),INDEX(รายการมาตรฐาน!$G$2:$G$3,1)))</f>
        <v/>
      </c>
      <c r="AL379">
        <f>IF($S379="","",IFERROR(MATCH($AK379,รายการมาตรฐาน!$G$2:$G$3,0),1))</f>
        <v/>
      </c>
      <c r="AM379">
        <f>IF($V379="","",INDEX($AK$5:$AK$404,$V379))</f>
        <v/>
      </c>
      <c r="AN379">
        <f>IF($V379="","",INDEX($AL$5:$AL$404,$V379))</f>
        <v/>
      </c>
      <c r="AO379">
        <f>IF(OR($V379="",$AI$2&lt;=1),0,IF($V380="",1,IF($AN380&lt;&gt;$AN379,1,0)))</f>
        <v/>
      </c>
      <c r="AP379">
        <f>IF($V379="",0,IF($AN379&lt;&gt;$AN378,1,0))</f>
        <v/>
      </c>
      <c r="AQ379">
        <f>IF(OR($AD379="",$AD379="Z"),"",INDEX($AN$5:$AN$404,$AC379))</f>
        <v/>
      </c>
      <c r="AR379">
        <f>IF($Y379="",0,COUNTIF(บันทึกรายเที่ยว!$V$6:$V$6005,$Y379))</f>
        <v/>
      </c>
      <c r="AS379">
        <f>IF($Y379="",0,ROUND(SUMIF(บันทึกรายเที่ยว!$V$6:$V$6005,$Y379,บันทึกรายเที่ยว!$M$6:$M$6005),2))</f>
        <v/>
      </c>
      <c r="AT379">
        <f>IF($Y379="",0,IFERROR(INDEX(อัตราค่าขนส่ง!$G$5:$G$204,MATCH($Y379,อัตราค่าขนส่ง!$M$5:$M$204,0)),0))</f>
        <v/>
      </c>
      <c r="AU379">
        <f>ROUND($AS379*$BD379,2)</f>
        <v/>
      </c>
      <c r="AV379">
        <f>ROUND($AU379*$BF$2/100,2)</f>
        <v/>
      </c>
      <c r="AW379">
        <f>IF($Y379="","",IFERROR(INDEX(อัตราค่าขนส่ง!$F$5:$F$204,MATCH($Y379,อัตราค่าขนส่ง!$M$5:$M$204,0)),""))</f>
        <v/>
      </c>
      <c r="AX379">
        <f>IF($W379="","",INDEX(บันทึกรายเที่ยว!$D$6:$D$6005,$W379))</f>
        <v/>
      </c>
      <c r="AY379">
        <f>IF($W379="","",INDEX(บันทึกรายเที่ยว!$R$6:$R$6005,$W379))</f>
        <v/>
      </c>
      <c r="AZ379">
        <f>IF(AND($AD379="T",$AQ379=1),N($AZ378)+1,N($AZ378))</f>
        <v/>
      </c>
      <c r="BA379">
        <f>IF($W379="","",INDEX(บันทึกรายเที่ยว!$E$6:$E$6005,$W379))</f>
        <v/>
      </c>
      <c r="BC379">
        <f>IF($Y379="",0,IFERROR(INDEX(อัตราค่าขนส่ง!$K$5:$K$204,MATCH($Y379,อัตราค่าขนส่ง!$M$5:$M$204,0)),0))</f>
        <v/>
      </c>
      <c r="BD379">
        <f>IF($Y379="",0,IFERROR(INDEX(อัตราค่าขนส่ง!$L$5:$L$204,MATCH($Y379,อัตราค่าขนส่ง!$M$5:$M$204,0)),0))</f>
        <v/>
      </c>
    </row>
    <row r="380" ht="21" customHeight="1" s="66">
      <c r="A380" s="69">
        <f>IF($AD380="","",IF($AD380="Z","รวมจ่ายทั้งสิ้น",IF($AD380="H",INDEX($X$5:$X$404,$AC380),IF($AD380="T","รวม",IF($AD380="B",IFERROR(INDEX(อัตราค่าขนส่ง!$S$5:$S$14,MATCH(INDEX($AM$5:$AM$404,$AC380),อัตราค่าขนส่ง!$R$5:$R$14,0)),"รวมกลุ่ม "&amp;INDEX($AM$5:$AM$404,$AC380)),INDEX($AY$5:$AY$404,$AC380))))))</f>
        <v/>
      </c>
      <c r="B380" s="31">
        <f>IF($AD380&lt;&gt;"D","",INDEX($AW$5:$AW$404,$AC380))</f>
        <v/>
      </c>
      <c r="C380" s="68">
        <f>IF($AD380&lt;&gt;"D","",INDEX($AX$5:$AX$404,$AC380))</f>
        <v/>
      </c>
      <c r="D380" s="70">
        <f>IF($AD380&lt;&gt;"D","",INDEX($BA$5:$BA$404,$AC380))</f>
        <v/>
      </c>
      <c r="E380" s="31">
        <f>IF($AD380="Z",SUM($AR$5:$AR$404),IF($AD380="D",INDEX($AR$5:$AR$404,$AC380),IF($AD380="T",SUMIF($X$5:$X$404,$AF380,$AR$5:$AR$404),IF($AD380="B",SUMIF($AN$5:$AN$404,$AQ380,$AR$5:$AR$404),""))))</f>
        <v/>
      </c>
      <c r="F380" s="32">
        <f>IF($AD380="Z",ROUND(SUM($AS$5:$AS$404),2),IF($AD380="D",INDEX($AS$5:$AS$404,$AC380),IF($AD380="T",ROUND(SUMIF($X$5:$X$404,$AF380,$AS$5:$AS$404),2),IF($AD380="B",ROUND(SUMIF($AN$5:$AN$404,$AQ380,$AS$5:$AS$404),2),""))))</f>
        <v/>
      </c>
      <c r="G380" s="32">
        <f>IF($AD380&lt;&gt;"D","",INDEX($AT$5:$AT$404,$AC380))</f>
        <v/>
      </c>
      <c r="H380" s="32">
        <f>IF($AD380&lt;&gt;"D","",INDEX($BC$5:$BC$404,$AC380))</f>
        <v/>
      </c>
      <c r="I380" s="32">
        <f>IF($AD380&lt;&gt;"D","",INDEX($BD$5:$BD$404,$AC380))</f>
        <v/>
      </c>
      <c r="J380" s="46">
        <f>IF($AD380&lt;&gt;"D","",IF(N($B380)=0,"",ROUND($I380/$B380,4)))</f>
        <v/>
      </c>
      <c r="K380" s="32">
        <f>IF($AD380="Z",ROUND(SUM($AU$5:$AU$404),2),IF($AD380="D",INDEX($AU$5:$AU$404,$AC380),IF($AD380="T",ROUND(SUMIF($X$5:$X$404,$AF380,$AU$5:$AU$404),2),IF($AD380="B",ROUND(SUMIF($AN$5:$AN$404,$AQ380,$AU$5:$AU$404),2),""))))</f>
        <v/>
      </c>
      <c r="L380" s="32">
        <f>IF($AD380="Z",ROUND(SUM($AV$5:$AV$404),2),IF($AD380="D",INDEX($AV$5:$AV$404,$AC380),IF($AD380="T",ROUND(SUMIF($X$5:$X$404,$AF380,$AV$5:$AV$404),2),IF($AD380="B",ROUND(SUMIF($AN$5:$AN$404,$AQ380,$AV$5:$AV$404),2),""))))</f>
        <v/>
      </c>
      <c r="M380" s="32">
        <f>IF($AD380="Z",ROUND(SUM($AJ$5:$AJ$704),2),IF($AD380="B",ROUND(SUMIF($AQ$5:$AQ$704,$AQ380,$AJ$5:$AJ$704),2),IF($AD380&lt;&gt;"T","",$AJ380)))</f>
        <v/>
      </c>
      <c r="N380" s="32">
        <f>IF(OR($AD380="D",$AD380="T",$AD380="B",$AD380="Z"),ROUND(N($K380)-N($L380)-N($M380),2),"")</f>
        <v/>
      </c>
      <c r="O380" s="32">
        <f>IF(OR($AD380="D",$AD380="T",$AD380="B",$AD380="Z"),IF(N($E380)=0,"",ROUND($F380/$E380,2)),"")</f>
        <v/>
      </c>
      <c r="Q380">
        <f>IFERROR(MATCH(376,บันทึกรายเที่ยว!$Z$6:$Z$6005,0),"")</f>
        <v/>
      </c>
      <c r="R380">
        <f>IF($Q380="","",INDEX(บันทึกรายเที่ยว!$V$6:$V$6005,$Q380))</f>
        <v/>
      </c>
      <c r="S380">
        <f>IF($Q380="","",INDEX(บันทึกรายเที่ยว!$F$6:$F$6005,$Q380))</f>
        <v/>
      </c>
      <c r="T380">
        <f>IF($Q380="","",MATCH($S380,บันทึกรายเที่ยว!$F$6:$F$6005,0))</f>
        <v/>
      </c>
      <c r="U380">
        <f>IF($Q380="","",$AL380*10000000+$T380*1000+376)</f>
        <v/>
      </c>
      <c r="V380">
        <f>IFERROR(MATCH(SMALL($U$5:$U$404,376),$U$5:$U$404,0),"")</f>
        <v/>
      </c>
      <c r="W380">
        <f>IF($V380="","",INDEX($Q$5:$Q$404,$V380))</f>
        <v/>
      </c>
      <c r="X380">
        <f>IF($V380="","",INDEX($S$5:$S$404,$V380))</f>
        <v/>
      </c>
      <c r="Y380">
        <f>IF($V380="","",INDEX($R$5:$R$404,$V380))</f>
        <v/>
      </c>
      <c r="Z380">
        <f>IF($V380="",0,IF($X380&lt;&gt;$X379,1,0))</f>
        <v/>
      </c>
      <c r="AA380">
        <f>IF($V380="",0,IF($V381="",1,IF($X381&lt;&gt;$X380,1,0)))</f>
        <v/>
      </c>
      <c r="AB380">
        <f>IF($V380="",99999+376,$AB379+1+$Z379+$AA379+$AO379)</f>
        <v/>
      </c>
      <c r="AC380">
        <f>IFERROR(MATCH(376,$AB$5:$AB$404,1),"")</f>
        <v/>
      </c>
      <c r="AD380">
        <f>IF(376=$AI$1+1,"Z",IF($AC380="","",IF(INDEX($V$5:$V$404,$AC380)="","",IF(376&gt;INDEX($AB$5:$AB$404,$AC380)+INDEX($Z$5:$Z$404,$AC380)+INDEX($AA$5:$AA$404,$AC380)+INDEX($AO$5:$AO$404,$AC380),"",IF(376=INDEX($AB$5:$AB$404,$AC380)+INDEX($Z$5:$Z$404,$AC380),"D",IF(AND(INDEX($Z$5:$Z$404,$AC380)=1,376=INDEX($AB$5:$AB$404,$AC380)),"H",IF(AND(INDEX($AO$5:$AO$404,$AC380)=1,376=INDEX($AB$5:$AB$404,$AC380)+INDEX($Z$5:$Z$404,$AC380)+INDEX($AA$5:$AA$404,$AC380)+INDEX($AO$5:$AO$404,$AC380)),"B","T")))))))</f>
        <v/>
      </c>
      <c r="AF380">
        <f>IF(OR($AD380="",$AD380="Z",$AD380="B"),"",INDEX($X$5:$X$404,$AC380))</f>
        <v/>
      </c>
      <c r="AJ380">
        <f>IF($AD380&lt;&gt;"T",0,ROUND(SUMIF(oil!$B$4:$B$63,$AF380,oil!$AE$4:$AE$63),2))</f>
        <v/>
      </c>
      <c r="AK380">
        <f>IF($S380="","",IFERROR(INDEX(อัตราค่าขนส่ง!$P$5:$P$54,MATCH($S380,อัตราค่าขนส่ง!$O$5:$O$54,0)),INDEX(รายการมาตรฐาน!$G$2:$G$3,1)))</f>
        <v/>
      </c>
      <c r="AL380">
        <f>IF($S380="","",IFERROR(MATCH($AK380,รายการมาตรฐาน!$G$2:$G$3,0),1))</f>
        <v/>
      </c>
      <c r="AM380">
        <f>IF($V380="","",INDEX($AK$5:$AK$404,$V380))</f>
        <v/>
      </c>
      <c r="AN380">
        <f>IF($V380="","",INDEX($AL$5:$AL$404,$V380))</f>
        <v/>
      </c>
      <c r="AO380">
        <f>IF(OR($V380="",$AI$2&lt;=1),0,IF($V381="",1,IF($AN381&lt;&gt;$AN380,1,0)))</f>
        <v/>
      </c>
      <c r="AP380">
        <f>IF($V380="",0,IF($AN380&lt;&gt;$AN379,1,0))</f>
        <v/>
      </c>
      <c r="AQ380">
        <f>IF(OR($AD380="",$AD380="Z"),"",INDEX($AN$5:$AN$404,$AC380))</f>
        <v/>
      </c>
      <c r="AR380">
        <f>IF($Y380="",0,COUNTIF(บันทึกรายเที่ยว!$V$6:$V$6005,$Y380))</f>
        <v/>
      </c>
      <c r="AS380">
        <f>IF($Y380="",0,ROUND(SUMIF(บันทึกรายเที่ยว!$V$6:$V$6005,$Y380,บันทึกรายเที่ยว!$M$6:$M$6005),2))</f>
        <v/>
      </c>
      <c r="AT380">
        <f>IF($Y380="",0,IFERROR(INDEX(อัตราค่าขนส่ง!$G$5:$G$204,MATCH($Y380,อัตราค่าขนส่ง!$M$5:$M$204,0)),0))</f>
        <v/>
      </c>
      <c r="AU380">
        <f>ROUND($AS380*$BD380,2)</f>
        <v/>
      </c>
      <c r="AV380">
        <f>ROUND($AU380*$BF$2/100,2)</f>
        <v/>
      </c>
      <c r="AW380">
        <f>IF($Y380="","",IFERROR(INDEX(อัตราค่าขนส่ง!$F$5:$F$204,MATCH($Y380,อัตราค่าขนส่ง!$M$5:$M$204,0)),""))</f>
        <v/>
      </c>
      <c r="AX380">
        <f>IF($W380="","",INDEX(บันทึกรายเที่ยว!$D$6:$D$6005,$W380))</f>
        <v/>
      </c>
      <c r="AY380">
        <f>IF($W380="","",INDEX(บันทึกรายเที่ยว!$R$6:$R$6005,$W380))</f>
        <v/>
      </c>
      <c r="AZ380">
        <f>IF(AND($AD380="T",$AQ380=1),N($AZ379)+1,N($AZ379))</f>
        <v/>
      </c>
      <c r="BA380">
        <f>IF($W380="","",INDEX(บันทึกรายเที่ยว!$E$6:$E$6005,$W380))</f>
        <v/>
      </c>
      <c r="BC380">
        <f>IF($Y380="",0,IFERROR(INDEX(อัตราค่าขนส่ง!$K$5:$K$204,MATCH($Y380,อัตราค่าขนส่ง!$M$5:$M$204,0)),0))</f>
        <v/>
      </c>
      <c r="BD380">
        <f>IF($Y380="",0,IFERROR(INDEX(อัตราค่าขนส่ง!$L$5:$L$204,MATCH($Y380,อัตราค่าขนส่ง!$M$5:$M$204,0)),0))</f>
        <v/>
      </c>
    </row>
    <row r="381" ht="21" customHeight="1" s="66">
      <c r="A381" s="69">
        <f>IF($AD381="","",IF($AD381="Z","รวมจ่ายทั้งสิ้น",IF($AD381="H",INDEX($X$5:$X$404,$AC381),IF($AD381="T","รวม",IF($AD381="B",IFERROR(INDEX(อัตราค่าขนส่ง!$S$5:$S$14,MATCH(INDEX($AM$5:$AM$404,$AC381),อัตราค่าขนส่ง!$R$5:$R$14,0)),"รวมกลุ่ม "&amp;INDEX($AM$5:$AM$404,$AC381)),INDEX($AY$5:$AY$404,$AC381))))))</f>
        <v/>
      </c>
      <c r="B381" s="31">
        <f>IF($AD381&lt;&gt;"D","",INDEX($AW$5:$AW$404,$AC381))</f>
        <v/>
      </c>
      <c r="C381" s="68">
        <f>IF($AD381&lt;&gt;"D","",INDEX($AX$5:$AX$404,$AC381))</f>
        <v/>
      </c>
      <c r="D381" s="70">
        <f>IF($AD381&lt;&gt;"D","",INDEX($BA$5:$BA$404,$AC381))</f>
        <v/>
      </c>
      <c r="E381" s="31">
        <f>IF($AD381="Z",SUM($AR$5:$AR$404),IF($AD381="D",INDEX($AR$5:$AR$404,$AC381),IF($AD381="T",SUMIF($X$5:$X$404,$AF381,$AR$5:$AR$404),IF($AD381="B",SUMIF($AN$5:$AN$404,$AQ381,$AR$5:$AR$404),""))))</f>
        <v/>
      </c>
      <c r="F381" s="32">
        <f>IF($AD381="Z",ROUND(SUM($AS$5:$AS$404),2),IF($AD381="D",INDEX($AS$5:$AS$404,$AC381),IF($AD381="T",ROUND(SUMIF($X$5:$X$404,$AF381,$AS$5:$AS$404),2),IF($AD381="B",ROUND(SUMIF($AN$5:$AN$404,$AQ381,$AS$5:$AS$404),2),""))))</f>
        <v/>
      </c>
      <c r="G381" s="32">
        <f>IF($AD381&lt;&gt;"D","",INDEX($AT$5:$AT$404,$AC381))</f>
        <v/>
      </c>
      <c r="H381" s="32">
        <f>IF($AD381&lt;&gt;"D","",INDEX($BC$5:$BC$404,$AC381))</f>
        <v/>
      </c>
      <c r="I381" s="32">
        <f>IF($AD381&lt;&gt;"D","",INDEX($BD$5:$BD$404,$AC381))</f>
        <v/>
      </c>
      <c r="J381" s="46">
        <f>IF($AD381&lt;&gt;"D","",IF(N($B381)=0,"",ROUND($I381/$B381,4)))</f>
        <v/>
      </c>
      <c r="K381" s="32">
        <f>IF($AD381="Z",ROUND(SUM($AU$5:$AU$404),2),IF($AD381="D",INDEX($AU$5:$AU$404,$AC381),IF($AD381="T",ROUND(SUMIF($X$5:$X$404,$AF381,$AU$5:$AU$404),2),IF($AD381="B",ROUND(SUMIF($AN$5:$AN$404,$AQ381,$AU$5:$AU$404),2),""))))</f>
        <v/>
      </c>
      <c r="L381" s="32">
        <f>IF($AD381="Z",ROUND(SUM($AV$5:$AV$404),2),IF($AD381="D",INDEX($AV$5:$AV$404,$AC381),IF($AD381="T",ROUND(SUMIF($X$5:$X$404,$AF381,$AV$5:$AV$404),2),IF($AD381="B",ROUND(SUMIF($AN$5:$AN$404,$AQ381,$AV$5:$AV$404),2),""))))</f>
        <v/>
      </c>
      <c r="M381" s="32">
        <f>IF($AD381="Z",ROUND(SUM($AJ$5:$AJ$704),2),IF($AD381="B",ROUND(SUMIF($AQ$5:$AQ$704,$AQ381,$AJ$5:$AJ$704),2),IF($AD381&lt;&gt;"T","",$AJ381)))</f>
        <v/>
      </c>
      <c r="N381" s="32">
        <f>IF(OR($AD381="D",$AD381="T",$AD381="B",$AD381="Z"),ROUND(N($K381)-N($L381)-N($M381),2),"")</f>
        <v/>
      </c>
      <c r="O381" s="32">
        <f>IF(OR($AD381="D",$AD381="T",$AD381="B",$AD381="Z"),IF(N($E381)=0,"",ROUND($F381/$E381,2)),"")</f>
        <v/>
      </c>
      <c r="Q381">
        <f>IFERROR(MATCH(377,บันทึกรายเที่ยว!$Z$6:$Z$6005,0),"")</f>
        <v/>
      </c>
      <c r="R381">
        <f>IF($Q381="","",INDEX(บันทึกรายเที่ยว!$V$6:$V$6005,$Q381))</f>
        <v/>
      </c>
      <c r="S381">
        <f>IF($Q381="","",INDEX(บันทึกรายเที่ยว!$F$6:$F$6005,$Q381))</f>
        <v/>
      </c>
      <c r="T381">
        <f>IF($Q381="","",MATCH($S381,บันทึกรายเที่ยว!$F$6:$F$6005,0))</f>
        <v/>
      </c>
      <c r="U381">
        <f>IF($Q381="","",$AL381*10000000+$T381*1000+377)</f>
        <v/>
      </c>
      <c r="V381">
        <f>IFERROR(MATCH(SMALL($U$5:$U$404,377),$U$5:$U$404,0),"")</f>
        <v/>
      </c>
      <c r="W381">
        <f>IF($V381="","",INDEX($Q$5:$Q$404,$V381))</f>
        <v/>
      </c>
      <c r="X381">
        <f>IF($V381="","",INDEX($S$5:$S$404,$V381))</f>
        <v/>
      </c>
      <c r="Y381">
        <f>IF($V381="","",INDEX($R$5:$R$404,$V381))</f>
        <v/>
      </c>
      <c r="Z381">
        <f>IF($V381="",0,IF($X381&lt;&gt;$X380,1,0))</f>
        <v/>
      </c>
      <c r="AA381">
        <f>IF($V381="",0,IF($V382="",1,IF($X382&lt;&gt;$X381,1,0)))</f>
        <v/>
      </c>
      <c r="AB381">
        <f>IF($V381="",99999+377,$AB380+1+$Z380+$AA380+$AO380)</f>
        <v/>
      </c>
      <c r="AC381">
        <f>IFERROR(MATCH(377,$AB$5:$AB$404,1),"")</f>
        <v/>
      </c>
      <c r="AD381">
        <f>IF(377=$AI$1+1,"Z",IF($AC381="","",IF(INDEX($V$5:$V$404,$AC381)="","",IF(377&gt;INDEX($AB$5:$AB$404,$AC381)+INDEX($Z$5:$Z$404,$AC381)+INDEX($AA$5:$AA$404,$AC381)+INDEX($AO$5:$AO$404,$AC381),"",IF(377=INDEX($AB$5:$AB$404,$AC381)+INDEX($Z$5:$Z$404,$AC381),"D",IF(AND(INDEX($Z$5:$Z$404,$AC381)=1,377=INDEX($AB$5:$AB$404,$AC381)),"H",IF(AND(INDEX($AO$5:$AO$404,$AC381)=1,377=INDEX($AB$5:$AB$404,$AC381)+INDEX($Z$5:$Z$404,$AC381)+INDEX($AA$5:$AA$404,$AC381)+INDEX($AO$5:$AO$404,$AC381)),"B","T")))))))</f>
        <v/>
      </c>
      <c r="AF381">
        <f>IF(OR($AD381="",$AD381="Z",$AD381="B"),"",INDEX($X$5:$X$404,$AC381))</f>
        <v/>
      </c>
      <c r="AJ381">
        <f>IF($AD381&lt;&gt;"T",0,ROUND(SUMIF(oil!$B$4:$B$63,$AF381,oil!$AE$4:$AE$63),2))</f>
        <v/>
      </c>
      <c r="AK381">
        <f>IF($S381="","",IFERROR(INDEX(อัตราค่าขนส่ง!$P$5:$P$54,MATCH($S381,อัตราค่าขนส่ง!$O$5:$O$54,0)),INDEX(รายการมาตรฐาน!$G$2:$G$3,1)))</f>
        <v/>
      </c>
      <c r="AL381">
        <f>IF($S381="","",IFERROR(MATCH($AK381,รายการมาตรฐาน!$G$2:$G$3,0),1))</f>
        <v/>
      </c>
      <c r="AM381">
        <f>IF($V381="","",INDEX($AK$5:$AK$404,$V381))</f>
        <v/>
      </c>
      <c r="AN381">
        <f>IF($V381="","",INDEX($AL$5:$AL$404,$V381))</f>
        <v/>
      </c>
      <c r="AO381">
        <f>IF(OR($V381="",$AI$2&lt;=1),0,IF($V382="",1,IF($AN382&lt;&gt;$AN381,1,0)))</f>
        <v/>
      </c>
      <c r="AP381">
        <f>IF($V381="",0,IF($AN381&lt;&gt;$AN380,1,0))</f>
        <v/>
      </c>
      <c r="AQ381">
        <f>IF(OR($AD381="",$AD381="Z"),"",INDEX($AN$5:$AN$404,$AC381))</f>
        <v/>
      </c>
      <c r="AR381">
        <f>IF($Y381="",0,COUNTIF(บันทึกรายเที่ยว!$V$6:$V$6005,$Y381))</f>
        <v/>
      </c>
      <c r="AS381">
        <f>IF($Y381="",0,ROUND(SUMIF(บันทึกรายเที่ยว!$V$6:$V$6005,$Y381,บันทึกรายเที่ยว!$M$6:$M$6005),2))</f>
        <v/>
      </c>
      <c r="AT381">
        <f>IF($Y381="",0,IFERROR(INDEX(อัตราค่าขนส่ง!$G$5:$G$204,MATCH($Y381,อัตราค่าขนส่ง!$M$5:$M$204,0)),0))</f>
        <v/>
      </c>
      <c r="AU381">
        <f>ROUND($AS381*$BD381,2)</f>
        <v/>
      </c>
      <c r="AV381">
        <f>ROUND($AU381*$BF$2/100,2)</f>
        <v/>
      </c>
      <c r="AW381">
        <f>IF($Y381="","",IFERROR(INDEX(อัตราค่าขนส่ง!$F$5:$F$204,MATCH($Y381,อัตราค่าขนส่ง!$M$5:$M$204,0)),""))</f>
        <v/>
      </c>
      <c r="AX381">
        <f>IF($W381="","",INDEX(บันทึกรายเที่ยว!$D$6:$D$6005,$W381))</f>
        <v/>
      </c>
      <c r="AY381">
        <f>IF($W381="","",INDEX(บันทึกรายเที่ยว!$R$6:$R$6005,$W381))</f>
        <v/>
      </c>
      <c r="AZ381">
        <f>IF(AND($AD381="T",$AQ381=1),N($AZ380)+1,N($AZ380))</f>
        <v/>
      </c>
      <c r="BA381">
        <f>IF($W381="","",INDEX(บันทึกรายเที่ยว!$E$6:$E$6005,$W381))</f>
        <v/>
      </c>
      <c r="BC381">
        <f>IF($Y381="",0,IFERROR(INDEX(อัตราค่าขนส่ง!$K$5:$K$204,MATCH($Y381,อัตราค่าขนส่ง!$M$5:$M$204,0)),0))</f>
        <v/>
      </c>
      <c r="BD381">
        <f>IF($Y381="",0,IFERROR(INDEX(อัตราค่าขนส่ง!$L$5:$L$204,MATCH($Y381,อัตราค่าขนส่ง!$M$5:$M$204,0)),0))</f>
        <v/>
      </c>
    </row>
    <row r="382" ht="21" customHeight="1" s="66">
      <c r="A382" s="69">
        <f>IF($AD382="","",IF($AD382="Z","รวมจ่ายทั้งสิ้น",IF($AD382="H",INDEX($X$5:$X$404,$AC382),IF($AD382="T","รวม",IF($AD382="B",IFERROR(INDEX(อัตราค่าขนส่ง!$S$5:$S$14,MATCH(INDEX($AM$5:$AM$404,$AC382),อัตราค่าขนส่ง!$R$5:$R$14,0)),"รวมกลุ่ม "&amp;INDEX($AM$5:$AM$404,$AC382)),INDEX($AY$5:$AY$404,$AC382))))))</f>
        <v/>
      </c>
      <c r="B382" s="31">
        <f>IF($AD382&lt;&gt;"D","",INDEX($AW$5:$AW$404,$AC382))</f>
        <v/>
      </c>
      <c r="C382" s="68">
        <f>IF($AD382&lt;&gt;"D","",INDEX($AX$5:$AX$404,$AC382))</f>
        <v/>
      </c>
      <c r="D382" s="70">
        <f>IF($AD382&lt;&gt;"D","",INDEX($BA$5:$BA$404,$AC382))</f>
        <v/>
      </c>
      <c r="E382" s="31">
        <f>IF($AD382="Z",SUM($AR$5:$AR$404),IF($AD382="D",INDEX($AR$5:$AR$404,$AC382),IF($AD382="T",SUMIF($X$5:$X$404,$AF382,$AR$5:$AR$404),IF($AD382="B",SUMIF($AN$5:$AN$404,$AQ382,$AR$5:$AR$404),""))))</f>
        <v/>
      </c>
      <c r="F382" s="32">
        <f>IF($AD382="Z",ROUND(SUM($AS$5:$AS$404),2),IF($AD382="D",INDEX($AS$5:$AS$404,$AC382),IF($AD382="T",ROUND(SUMIF($X$5:$X$404,$AF382,$AS$5:$AS$404),2),IF($AD382="B",ROUND(SUMIF($AN$5:$AN$404,$AQ382,$AS$5:$AS$404),2),""))))</f>
        <v/>
      </c>
      <c r="G382" s="32">
        <f>IF($AD382&lt;&gt;"D","",INDEX($AT$5:$AT$404,$AC382))</f>
        <v/>
      </c>
      <c r="H382" s="32">
        <f>IF($AD382&lt;&gt;"D","",INDEX($BC$5:$BC$404,$AC382))</f>
        <v/>
      </c>
      <c r="I382" s="32">
        <f>IF($AD382&lt;&gt;"D","",INDEX($BD$5:$BD$404,$AC382))</f>
        <v/>
      </c>
      <c r="J382" s="46">
        <f>IF($AD382&lt;&gt;"D","",IF(N($B382)=0,"",ROUND($I382/$B382,4)))</f>
        <v/>
      </c>
      <c r="K382" s="32">
        <f>IF($AD382="Z",ROUND(SUM($AU$5:$AU$404),2),IF($AD382="D",INDEX($AU$5:$AU$404,$AC382),IF($AD382="T",ROUND(SUMIF($X$5:$X$404,$AF382,$AU$5:$AU$404),2),IF($AD382="B",ROUND(SUMIF($AN$5:$AN$404,$AQ382,$AU$5:$AU$404),2),""))))</f>
        <v/>
      </c>
      <c r="L382" s="32">
        <f>IF($AD382="Z",ROUND(SUM($AV$5:$AV$404),2),IF($AD382="D",INDEX($AV$5:$AV$404,$AC382),IF($AD382="T",ROUND(SUMIF($X$5:$X$404,$AF382,$AV$5:$AV$404),2),IF($AD382="B",ROUND(SUMIF($AN$5:$AN$404,$AQ382,$AV$5:$AV$404),2),""))))</f>
        <v/>
      </c>
      <c r="M382" s="32">
        <f>IF($AD382="Z",ROUND(SUM($AJ$5:$AJ$704),2),IF($AD382="B",ROUND(SUMIF($AQ$5:$AQ$704,$AQ382,$AJ$5:$AJ$704),2),IF($AD382&lt;&gt;"T","",$AJ382)))</f>
        <v/>
      </c>
      <c r="N382" s="32">
        <f>IF(OR($AD382="D",$AD382="T",$AD382="B",$AD382="Z"),ROUND(N($K382)-N($L382)-N($M382),2),"")</f>
        <v/>
      </c>
      <c r="O382" s="32">
        <f>IF(OR($AD382="D",$AD382="T",$AD382="B",$AD382="Z"),IF(N($E382)=0,"",ROUND($F382/$E382,2)),"")</f>
        <v/>
      </c>
      <c r="Q382">
        <f>IFERROR(MATCH(378,บันทึกรายเที่ยว!$Z$6:$Z$6005,0),"")</f>
        <v/>
      </c>
      <c r="R382">
        <f>IF($Q382="","",INDEX(บันทึกรายเที่ยว!$V$6:$V$6005,$Q382))</f>
        <v/>
      </c>
      <c r="S382">
        <f>IF($Q382="","",INDEX(บันทึกรายเที่ยว!$F$6:$F$6005,$Q382))</f>
        <v/>
      </c>
      <c r="T382">
        <f>IF($Q382="","",MATCH($S382,บันทึกรายเที่ยว!$F$6:$F$6005,0))</f>
        <v/>
      </c>
      <c r="U382">
        <f>IF($Q382="","",$AL382*10000000+$T382*1000+378)</f>
        <v/>
      </c>
      <c r="V382">
        <f>IFERROR(MATCH(SMALL($U$5:$U$404,378),$U$5:$U$404,0),"")</f>
        <v/>
      </c>
      <c r="W382">
        <f>IF($V382="","",INDEX($Q$5:$Q$404,$V382))</f>
        <v/>
      </c>
      <c r="X382">
        <f>IF($V382="","",INDEX($S$5:$S$404,$V382))</f>
        <v/>
      </c>
      <c r="Y382">
        <f>IF($V382="","",INDEX($R$5:$R$404,$V382))</f>
        <v/>
      </c>
      <c r="Z382">
        <f>IF($V382="",0,IF($X382&lt;&gt;$X381,1,0))</f>
        <v/>
      </c>
      <c r="AA382">
        <f>IF($V382="",0,IF($V383="",1,IF($X383&lt;&gt;$X382,1,0)))</f>
        <v/>
      </c>
      <c r="AB382">
        <f>IF($V382="",99999+378,$AB381+1+$Z381+$AA381+$AO381)</f>
        <v/>
      </c>
      <c r="AC382">
        <f>IFERROR(MATCH(378,$AB$5:$AB$404,1),"")</f>
        <v/>
      </c>
      <c r="AD382">
        <f>IF(378=$AI$1+1,"Z",IF($AC382="","",IF(INDEX($V$5:$V$404,$AC382)="","",IF(378&gt;INDEX($AB$5:$AB$404,$AC382)+INDEX($Z$5:$Z$404,$AC382)+INDEX($AA$5:$AA$404,$AC382)+INDEX($AO$5:$AO$404,$AC382),"",IF(378=INDEX($AB$5:$AB$404,$AC382)+INDEX($Z$5:$Z$404,$AC382),"D",IF(AND(INDEX($Z$5:$Z$404,$AC382)=1,378=INDEX($AB$5:$AB$404,$AC382)),"H",IF(AND(INDEX($AO$5:$AO$404,$AC382)=1,378=INDEX($AB$5:$AB$404,$AC382)+INDEX($Z$5:$Z$404,$AC382)+INDEX($AA$5:$AA$404,$AC382)+INDEX($AO$5:$AO$404,$AC382)),"B","T")))))))</f>
        <v/>
      </c>
      <c r="AF382">
        <f>IF(OR($AD382="",$AD382="Z",$AD382="B"),"",INDEX($X$5:$X$404,$AC382))</f>
        <v/>
      </c>
      <c r="AJ382">
        <f>IF($AD382&lt;&gt;"T",0,ROUND(SUMIF(oil!$B$4:$B$63,$AF382,oil!$AE$4:$AE$63),2))</f>
        <v/>
      </c>
      <c r="AK382">
        <f>IF($S382="","",IFERROR(INDEX(อัตราค่าขนส่ง!$P$5:$P$54,MATCH($S382,อัตราค่าขนส่ง!$O$5:$O$54,0)),INDEX(รายการมาตรฐาน!$G$2:$G$3,1)))</f>
        <v/>
      </c>
      <c r="AL382">
        <f>IF($S382="","",IFERROR(MATCH($AK382,รายการมาตรฐาน!$G$2:$G$3,0),1))</f>
        <v/>
      </c>
      <c r="AM382">
        <f>IF($V382="","",INDEX($AK$5:$AK$404,$V382))</f>
        <v/>
      </c>
      <c r="AN382">
        <f>IF($V382="","",INDEX($AL$5:$AL$404,$V382))</f>
        <v/>
      </c>
      <c r="AO382">
        <f>IF(OR($V382="",$AI$2&lt;=1),0,IF($V383="",1,IF($AN383&lt;&gt;$AN382,1,0)))</f>
        <v/>
      </c>
      <c r="AP382">
        <f>IF($V382="",0,IF($AN382&lt;&gt;$AN381,1,0))</f>
        <v/>
      </c>
      <c r="AQ382">
        <f>IF(OR($AD382="",$AD382="Z"),"",INDEX($AN$5:$AN$404,$AC382))</f>
        <v/>
      </c>
      <c r="AR382">
        <f>IF($Y382="",0,COUNTIF(บันทึกรายเที่ยว!$V$6:$V$6005,$Y382))</f>
        <v/>
      </c>
      <c r="AS382">
        <f>IF($Y382="",0,ROUND(SUMIF(บันทึกรายเที่ยว!$V$6:$V$6005,$Y382,บันทึกรายเที่ยว!$M$6:$M$6005),2))</f>
        <v/>
      </c>
      <c r="AT382">
        <f>IF($Y382="",0,IFERROR(INDEX(อัตราค่าขนส่ง!$G$5:$G$204,MATCH($Y382,อัตราค่าขนส่ง!$M$5:$M$204,0)),0))</f>
        <v/>
      </c>
      <c r="AU382">
        <f>ROUND($AS382*$BD382,2)</f>
        <v/>
      </c>
      <c r="AV382">
        <f>ROUND($AU382*$BF$2/100,2)</f>
        <v/>
      </c>
      <c r="AW382">
        <f>IF($Y382="","",IFERROR(INDEX(อัตราค่าขนส่ง!$F$5:$F$204,MATCH($Y382,อัตราค่าขนส่ง!$M$5:$M$204,0)),""))</f>
        <v/>
      </c>
      <c r="AX382">
        <f>IF($W382="","",INDEX(บันทึกรายเที่ยว!$D$6:$D$6005,$W382))</f>
        <v/>
      </c>
      <c r="AY382">
        <f>IF($W382="","",INDEX(บันทึกรายเที่ยว!$R$6:$R$6005,$W382))</f>
        <v/>
      </c>
      <c r="AZ382">
        <f>IF(AND($AD382="T",$AQ382=1),N($AZ381)+1,N($AZ381))</f>
        <v/>
      </c>
      <c r="BA382">
        <f>IF($W382="","",INDEX(บันทึกรายเที่ยว!$E$6:$E$6005,$W382))</f>
        <v/>
      </c>
      <c r="BC382">
        <f>IF($Y382="",0,IFERROR(INDEX(อัตราค่าขนส่ง!$K$5:$K$204,MATCH($Y382,อัตราค่าขนส่ง!$M$5:$M$204,0)),0))</f>
        <v/>
      </c>
      <c r="BD382">
        <f>IF($Y382="",0,IFERROR(INDEX(อัตราค่าขนส่ง!$L$5:$L$204,MATCH($Y382,อัตราค่าขนส่ง!$M$5:$M$204,0)),0))</f>
        <v/>
      </c>
    </row>
    <row r="383" ht="21" customHeight="1" s="66">
      <c r="A383" s="69">
        <f>IF($AD383="","",IF($AD383="Z","รวมจ่ายทั้งสิ้น",IF($AD383="H",INDEX($X$5:$X$404,$AC383),IF($AD383="T","รวม",IF($AD383="B",IFERROR(INDEX(อัตราค่าขนส่ง!$S$5:$S$14,MATCH(INDEX($AM$5:$AM$404,$AC383),อัตราค่าขนส่ง!$R$5:$R$14,0)),"รวมกลุ่ม "&amp;INDEX($AM$5:$AM$404,$AC383)),INDEX($AY$5:$AY$404,$AC383))))))</f>
        <v/>
      </c>
      <c r="B383" s="31">
        <f>IF($AD383&lt;&gt;"D","",INDEX($AW$5:$AW$404,$AC383))</f>
        <v/>
      </c>
      <c r="C383" s="68">
        <f>IF($AD383&lt;&gt;"D","",INDEX($AX$5:$AX$404,$AC383))</f>
        <v/>
      </c>
      <c r="D383" s="70">
        <f>IF($AD383&lt;&gt;"D","",INDEX($BA$5:$BA$404,$AC383))</f>
        <v/>
      </c>
      <c r="E383" s="31">
        <f>IF($AD383="Z",SUM($AR$5:$AR$404),IF($AD383="D",INDEX($AR$5:$AR$404,$AC383),IF($AD383="T",SUMIF($X$5:$X$404,$AF383,$AR$5:$AR$404),IF($AD383="B",SUMIF($AN$5:$AN$404,$AQ383,$AR$5:$AR$404),""))))</f>
        <v/>
      </c>
      <c r="F383" s="32">
        <f>IF($AD383="Z",ROUND(SUM($AS$5:$AS$404),2),IF($AD383="D",INDEX($AS$5:$AS$404,$AC383),IF($AD383="T",ROUND(SUMIF($X$5:$X$404,$AF383,$AS$5:$AS$404),2),IF($AD383="B",ROUND(SUMIF($AN$5:$AN$404,$AQ383,$AS$5:$AS$404),2),""))))</f>
        <v/>
      </c>
      <c r="G383" s="32">
        <f>IF($AD383&lt;&gt;"D","",INDEX($AT$5:$AT$404,$AC383))</f>
        <v/>
      </c>
      <c r="H383" s="32">
        <f>IF($AD383&lt;&gt;"D","",INDEX($BC$5:$BC$404,$AC383))</f>
        <v/>
      </c>
      <c r="I383" s="32">
        <f>IF($AD383&lt;&gt;"D","",INDEX($BD$5:$BD$404,$AC383))</f>
        <v/>
      </c>
      <c r="J383" s="46">
        <f>IF($AD383&lt;&gt;"D","",IF(N($B383)=0,"",ROUND($I383/$B383,4)))</f>
        <v/>
      </c>
      <c r="K383" s="32">
        <f>IF($AD383="Z",ROUND(SUM($AU$5:$AU$404),2),IF($AD383="D",INDEX($AU$5:$AU$404,$AC383),IF($AD383="T",ROUND(SUMIF($X$5:$X$404,$AF383,$AU$5:$AU$404),2),IF($AD383="B",ROUND(SUMIF($AN$5:$AN$404,$AQ383,$AU$5:$AU$404),2),""))))</f>
        <v/>
      </c>
      <c r="L383" s="32">
        <f>IF($AD383="Z",ROUND(SUM($AV$5:$AV$404),2),IF($AD383="D",INDEX($AV$5:$AV$404,$AC383),IF($AD383="T",ROUND(SUMIF($X$5:$X$404,$AF383,$AV$5:$AV$404),2),IF($AD383="B",ROUND(SUMIF($AN$5:$AN$404,$AQ383,$AV$5:$AV$404),2),""))))</f>
        <v/>
      </c>
      <c r="M383" s="32">
        <f>IF($AD383="Z",ROUND(SUM($AJ$5:$AJ$704),2),IF($AD383="B",ROUND(SUMIF($AQ$5:$AQ$704,$AQ383,$AJ$5:$AJ$704),2),IF($AD383&lt;&gt;"T","",$AJ383)))</f>
        <v/>
      </c>
      <c r="N383" s="32">
        <f>IF(OR($AD383="D",$AD383="T",$AD383="B",$AD383="Z"),ROUND(N($K383)-N($L383)-N($M383),2),"")</f>
        <v/>
      </c>
      <c r="O383" s="32">
        <f>IF(OR($AD383="D",$AD383="T",$AD383="B",$AD383="Z"),IF(N($E383)=0,"",ROUND($F383/$E383,2)),"")</f>
        <v/>
      </c>
      <c r="Q383">
        <f>IFERROR(MATCH(379,บันทึกรายเที่ยว!$Z$6:$Z$6005,0),"")</f>
        <v/>
      </c>
      <c r="R383">
        <f>IF($Q383="","",INDEX(บันทึกรายเที่ยว!$V$6:$V$6005,$Q383))</f>
        <v/>
      </c>
      <c r="S383">
        <f>IF($Q383="","",INDEX(บันทึกรายเที่ยว!$F$6:$F$6005,$Q383))</f>
        <v/>
      </c>
      <c r="T383">
        <f>IF($Q383="","",MATCH($S383,บันทึกรายเที่ยว!$F$6:$F$6005,0))</f>
        <v/>
      </c>
      <c r="U383">
        <f>IF($Q383="","",$AL383*10000000+$T383*1000+379)</f>
        <v/>
      </c>
      <c r="V383">
        <f>IFERROR(MATCH(SMALL($U$5:$U$404,379),$U$5:$U$404,0),"")</f>
        <v/>
      </c>
      <c r="W383">
        <f>IF($V383="","",INDEX($Q$5:$Q$404,$V383))</f>
        <v/>
      </c>
      <c r="X383">
        <f>IF($V383="","",INDEX($S$5:$S$404,$V383))</f>
        <v/>
      </c>
      <c r="Y383">
        <f>IF($V383="","",INDEX($R$5:$R$404,$V383))</f>
        <v/>
      </c>
      <c r="Z383">
        <f>IF($V383="",0,IF($X383&lt;&gt;$X382,1,0))</f>
        <v/>
      </c>
      <c r="AA383">
        <f>IF($V383="",0,IF($V384="",1,IF($X384&lt;&gt;$X383,1,0)))</f>
        <v/>
      </c>
      <c r="AB383">
        <f>IF($V383="",99999+379,$AB382+1+$Z382+$AA382+$AO382)</f>
        <v/>
      </c>
      <c r="AC383">
        <f>IFERROR(MATCH(379,$AB$5:$AB$404,1),"")</f>
        <v/>
      </c>
      <c r="AD383">
        <f>IF(379=$AI$1+1,"Z",IF($AC383="","",IF(INDEX($V$5:$V$404,$AC383)="","",IF(379&gt;INDEX($AB$5:$AB$404,$AC383)+INDEX($Z$5:$Z$404,$AC383)+INDEX($AA$5:$AA$404,$AC383)+INDEX($AO$5:$AO$404,$AC383),"",IF(379=INDEX($AB$5:$AB$404,$AC383)+INDEX($Z$5:$Z$404,$AC383),"D",IF(AND(INDEX($Z$5:$Z$404,$AC383)=1,379=INDEX($AB$5:$AB$404,$AC383)),"H",IF(AND(INDEX($AO$5:$AO$404,$AC383)=1,379=INDEX($AB$5:$AB$404,$AC383)+INDEX($Z$5:$Z$404,$AC383)+INDEX($AA$5:$AA$404,$AC383)+INDEX($AO$5:$AO$404,$AC383)),"B","T")))))))</f>
        <v/>
      </c>
      <c r="AF383">
        <f>IF(OR($AD383="",$AD383="Z",$AD383="B"),"",INDEX($X$5:$X$404,$AC383))</f>
        <v/>
      </c>
      <c r="AJ383">
        <f>IF($AD383&lt;&gt;"T",0,ROUND(SUMIF(oil!$B$4:$B$63,$AF383,oil!$AE$4:$AE$63),2))</f>
        <v/>
      </c>
      <c r="AK383">
        <f>IF($S383="","",IFERROR(INDEX(อัตราค่าขนส่ง!$P$5:$P$54,MATCH($S383,อัตราค่าขนส่ง!$O$5:$O$54,0)),INDEX(รายการมาตรฐาน!$G$2:$G$3,1)))</f>
        <v/>
      </c>
      <c r="AL383">
        <f>IF($S383="","",IFERROR(MATCH($AK383,รายการมาตรฐาน!$G$2:$G$3,0),1))</f>
        <v/>
      </c>
      <c r="AM383">
        <f>IF($V383="","",INDEX($AK$5:$AK$404,$V383))</f>
        <v/>
      </c>
      <c r="AN383">
        <f>IF($V383="","",INDEX($AL$5:$AL$404,$V383))</f>
        <v/>
      </c>
      <c r="AO383">
        <f>IF(OR($V383="",$AI$2&lt;=1),0,IF($V384="",1,IF($AN384&lt;&gt;$AN383,1,0)))</f>
        <v/>
      </c>
      <c r="AP383">
        <f>IF($V383="",0,IF($AN383&lt;&gt;$AN382,1,0))</f>
        <v/>
      </c>
      <c r="AQ383">
        <f>IF(OR($AD383="",$AD383="Z"),"",INDEX($AN$5:$AN$404,$AC383))</f>
        <v/>
      </c>
      <c r="AR383">
        <f>IF($Y383="",0,COUNTIF(บันทึกรายเที่ยว!$V$6:$V$6005,$Y383))</f>
        <v/>
      </c>
      <c r="AS383">
        <f>IF($Y383="",0,ROUND(SUMIF(บันทึกรายเที่ยว!$V$6:$V$6005,$Y383,บันทึกรายเที่ยว!$M$6:$M$6005),2))</f>
        <v/>
      </c>
      <c r="AT383">
        <f>IF($Y383="",0,IFERROR(INDEX(อัตราค่าขนส่ง!$G$5:$G$204,MATCH($Y383,อัตราค่าขนส่ง!$M$5:$M$204,0)),0))</f>
        <v/>
      </c>
      <c r="AU383">
        <f>ROUND($AS383*$BD383,2)</f>
        <v/>
      </c>
      <c r="AV383">
        <f>ROUND($AU383*$BF$2/100,2)</f>
        <v/>
      </c>
      <c r="AW383">
        <f>IF($Y383="","",IFERROR(INDEX(อัตราค่าขนส่ง!$F$5:$F$204,MATCH($Y383,อัตราค่าขนส่ง!$M$5:$M$204,0)),""))</f>
        <v/>
      </c>
      <c r="AX383">
        <f>IF($W383="","",INDEX(บันทึกรายเที่ยว!$D$6:$D$6005,$W383))</f>
        <v/>
      </c>
      <c r="AY383">
        <f>IF($W383="","",INDEX(บันทึกรายเที่ยว!$R$6:$R$6005,$W383))</f>
        <v/>
      </c>
      <c r="AZ383">
        <f>IF(AND($AD383="T",$AQ383=1),N($AZ382)+1,N($AZ382))</f>
        <v/>
      </c>
      <c r="BA383">
        <f>IF($W383="","",INDEX(บันทึกรายเที่ยว!$E$6:$E$6005,$W383))</f>
        <v/>
      </c>
      <c r="BC383">
        <f>IF($Y383="",0,IFERROR(INDEX(อัตราค่าขนส่ง!$K$5:$K$204,MATCH($Y383,อัตราค่าขนส่ง!$M$5:$M$204,0)),0))</f>
        <v/>
      </c>
      <c r="BD383">
        <f>IF($Y383="",0,IFERROR(INDEX(อัตราค่าขนส่ง!$L$5:$L$204,MATCH($Y383,อัตราค่าขนส่ง!$M$5:$M$204,0)),0))</f>
        <v/>
      </c>
    </row>
    <row r="384" ht="21" customHeight="1" s="66">
      <c r="A384" s="69">
        <f>IF($AD384="","",IF($AD384="Z","รวมจ่ายทั้งสิ้น",IF($AD384="H",INDEX($X$5:$X$404,$AC384),IF($AD384="T","รวม",IF($AD384="B",IFERROR(INDEX(อัตราค่าขนส่ง!$S$5:$S$14,MATCH(INDEX($AM$5:$AM$404,$AC384),อัตราค่าขนส่ง!$R$5:$R$14,0)),"รวมกลุ่ม "&amp;INDEX($AM$5:$AM$404,$AC384)),INDEX($AY$5:$AY$404,$AC384))))))</f>
        <v/>
      </c>
      <c r="B384" s="31">
        <f>IF($AD384&lt;&gt;"D","",INDEX($AW$5:$AW$404,$AC384))</f>
        <v/>
      </c>
      <c r="C384" s="68">
        <f>IF($AD384&lt;&gt;"D","",INDEX($AX$5:$AX$404,$AC384))</f>
        <v/>
      </c>
      <c r="D384" s="70">
        <f>IF($AD384&lt;&gt;"D","",INDEX($BA$5:$BA$404,$AC384))</f>
        <v/>
      </c>
      <c r="E384" s="31">
        <f>IF($AD384="Z",SUM($AR$5:$AR$404),IF($AD384="D",INDEX($AR$5:$AR$404,$AC384),IF($AD384="T",SUMIF($X$5:$X$404,$AF384,$AR$5:$AR$404),IF($AD384="B",SUMIF($AN$5:$AN$404,$AQ384,$AR$5:$AR$404),""))))</f>
        <v/>
      </c>
      <c r="F384" s="32">
        <f>IF($AD384="Z",ROUND(SUM($AS$5:$AS$404),2),IF($AD384="D",INDEX($AS$5:$AS$404,$AC384),IF($AD384="T",ROUND(SUMIF($X$5:$X$404,$AF384,$AS$5:$AS$404),2),IF($AD384="B",ROUND(SUMIF($AN$5:$AN$404,$AQ384,$AS$5:$AS$404),2),""))))</f>
        <v/>
      </c>
      <c r="G384" s="32">
        <f>IF($AD384&lt;&gt;"D","",INDEX($AT$5:$AT$404,$AC384))</f>
        <v/>
      </c>
      <c r="H384" s="32">
        <f>IF($AD384&lt;&gt;"D","",INDEX($BC$5:$BC$404,$AC384))</f>
        <v/>
      </c>
      <c r="I384" s="32">
        <f>IF($AD384&lt;&gt;"D","",INDEX($BD$5:$BD$404,$AC384))</f>
        <v/>
      </c>
      <c r="J384" s="46">
        <f>IF($AD384&lt;&gt;"D","",IF(N($B384)=0,"",ROUND($I384/$B384,4)))</f>
        <v/>
      </c>
      <c r="K384" s="32">
        <f>IF($AD384="Z",ROUND(SUM($AU$5:$AU$404),2),IF($AD384="D",INDEX($AU$5:$AU$404,$AC384),IF($AD384="T",ROUND(SUMIF($X$5:$X$404,$AF384,$AU$5:$AU$404),2),IF($AD384="B",ROUND(SUMIF($AN$5:$AN$404,$AQ384,$AU$5:$AU$404),2),""))))</f>
        <v/>
      </c>
      <c r="L384" s="32">
        <f>IF($AD384="Z",ROUND(SUM($AV$5:$AV$404),2),IF($AD384="D",INDEX($AV$5:$AV$404,$AC384),IF($AD384="T",ROUND(SUMIF($X$5:$X$404,$AF384,$AV$5:$AV$404),2),IF($AD384="B",ROUND(SUMIF($AN$5:$AN$404,$AQ384,$AV$5:$AV$404),2),""))))</f>
        <v/>
      </c>
      <c r="M384" s="32">
        <f>IF($AD384="Z",ROUND(SUM($AJ$5:$AJ$704),2),IF($AD384="B",ROUND(SUMIF($AQ$5:$AQ$704,$AQ384,$AJ$5:$AJ$704),2),IF($AD384&lt;&gt;"T","",$AJ384)))</f>
        <v/>
      </c>
      <c r="N384" s="32">
        <f>IF(OR($AD384="D",$AD384="T",$AD384="B",$AD384="Z"),ROUND(N($K384)-N($L384)-N($M384),2),"")</f>
        <v/>
      </c>
      <c r="O384" s="32">
        <f>IF(OR($AD384="D",$AD384="T",$AD384="B",$AD384="Z"),IF(N($E384)=0,"",ROUND($F384/$E384,2)),"")</f>
        <v/>
      </c>
      <c r="Q384">
        <f>IFERROR(MATCH(380,บันทึกรายเที่ยว!$Z$6:$Z$6005,0),"")</f>
        <v/>
      </c>
      <c r="R384">
        <f>IF($Q384="","",INDEX(บันทึกรายเที่ยว!$V$6:$V$6005,$Q384))</f>
        <v/>
      </c>
      <c r="S384">
        <f>IF($Q384="","",INDEX(บันทึกรายเที่ยว!$F$6:$F$6005,$Q384))</f>
        <v/>
      </c>
      <c r="T384">
        <f>IF($Q384="","",MATCH($S384,บันทึกรายเที่ยว!$F$6:$F$6005,0))</f>
        <v/>
      </c>
      <c r="U384">
        <f>IF($Q384="","",$AL384*10000000+$T384*1000+380)</f>
        <v/>
      </c>
      <c r="V384">
        <f>IFERROR(MATCH(SMALL($U$5:$U$404,380),$U$5:$U$404,0),"")</f>
        <v/>
      </c>
      <c r="W384">
        <f>IF($V384="","",INDEX($Q$5:$Q$404,$V384))</f>
        <v/>
      </c>
      <c r="X384">
        <f>IF($V384="","",INDEX($S$5:$S$404,$V384))</f>
        <v/>
      </c>
      <c r="Y384">
        <f>IF($V384="","",INDEX($R$5:$R$404,$V384))</f>
        <v/>
      </c>
      <c r="Z384">
        <f>IF($V384="",0,IF($X384&lt;&gt;$X383,1,0))</f>
        <v/>
      </c>
      <c r="AA384">
        <f>IF($V384="",0,IF($V385="",1,IF($X385&lt;&gt;$X384,1,0)))</f>
        <v/>
      </c>
      <c r="AB384">
        <f>IF($V384="",99999+380,$AB383+1+$Z383+$AA383+$AO383)</f>
        <v/>
      </c>
      <c r="AC384">
        <f>IFERROR(MATCH(380,$AB$5:$AB$404,1),"")</f>
        <v/>
      </c>
      <c r="AD384">
        <f>IF(380=$AI$1+1,"Z",IF($AC384="","",IF(INDEX($V$5:$V$404,$AC384)="","",IF(380&gt;INDEX($AB$5:$AB$404,$AC384)+INDEX($Z$5:$Z$404,$AC384)+INDEX($AA$5:$AA$404,$AC384)+INDEX($AO$5:$AO$404,$AC384),"",IF(380=INDEX($AB$5:$AB$404,$AC384)+INDEX($Z$5:$Z$404,$AC384),"D",IF(AND(INDEX($Z$5:$Z$404,$AC384)=1,380=INDEX($AB$5:$AB$404,$AC384)),"H",IF(AND(INDEX($AO$5:$AO$404,$AC384)=1,380=INDEX($AB$5:$AB$404,$AC384)+INDEX($Z$5:$Z$404,$AC384)+INDEX($AA$5:$AA$404,$AC384)+INDEX($AO$5:$AO$404,$AC384)),"B","T")))))))</f>
        <v/>
      </c>
      <c r="AF384">
        <f>IF(OR($AD384="",$AD384="Z",$AD384="B"),"",INDEX($X$5:$X$404,$AC384))</f>
        <v/>
      </c>
      <c r="AJ384">
        <f>IF($AD384&lt;&gt;"T",0,ROUND(SUMIF(oil!$B$4:$B$63,$AF384,oil!$AE$4:$AE$63),2))</f>
        <v/>
      </c>
      <c r="AK384">
        <f>IF($S384="","",IFERROR(INDEX(อัตราค่าขนส่ง!$P$5:$P$54,MATCH($S384,อัตราค่าขนส่ง!$O$5:$O$54,0)),INDEX(รายการมาตรฐาน!$G$2:$G$3,1)))</f>
        <v/>
      </c>
      <c r="AL384">
        <f>IF($S384="","",IFERROR(MATCH($AK384,รายการมาตรฐาน!$G$2:$G$3,0),1))</f>
        <v/>
      </c>
      <c r="AM384">
        <f>IF($V384="","",INDEX($AK$5:$AK$404,$V384))</f>
        <v/>
      </c>
      <c r="AN384">
        <f>IF($V384="","",INDEX($AL$5:$AL$404,$V384))</f>
        <v/>
      </c>
      <c r="AO384">
        <f>IF(OR($V384="",$AI$2&lt;=1),0,IF($V385="",1,IF($AN385&lt;&gt;$AN384,1,0)))</f>
        <v/>
      </c>
      <c r="AP384">
        <f>IF($V384="",0,IF($AN384&lt;&gt;$AN383,1,0))</f>
        <v/>
      </c>
      <c r="AQ384">
        <f>IF(OR($AD384="",$AD384="Z"),"",INDEX($AN$5:$AN$404,$AC384))</f>
        <v/>
      </c>
      <c r="AR384">
        <f>IF($Y384="",0,COUNTIF(บันทึกรายเที่ยว!$V$6:$V$6005,$Y384))</f>
        <v/>
      </c>
      <c r="AS384">
        <f>IF($Y384="",0,ROUND(SUMIF(บันทึกรายเที่ยว!$V$6:$V$6005,$Y384,บันทึกรายเที่ยว!$M$6:$M$6005),2))</f>
        <v/>
      </c>
      <c r="AT384">
        <f>IF($Y384="",0,IFERROR(INDEX(อัตราค่าขนส่ง!$G$5:$G$204,MATCH($Y384,อัตราค่าขนส่ง!$M$5:$M$204,0)),0))</f>
        <v/>
      </c>
      <c r="AU384">
        <f>ROUND($AS384*$BD384,2)</f>
        <v/>
      </c>
      <c r="AV384">
        <f>ROUND($AU384*$BF$2/100,2)</f>
        <v/>
      </c>
      <c r="AW384">
        <f>IF($Y384="","",IFERROR(INDEX(อัตราค่าขนส่ง!$F$5:$F$204,MATCH($Y384,อัตราค่าขนส่ง!$M$5:$M$204,0)),""))</f>
        <v/>
      </c>
      <c r="AX384">
        <f>IF($W384="","",INDEX(บันทึกรายเที่ยว!$D$6:$D$6005,$W384))</f>
        <v/>
      </c>
      <c r="AY384">
        <f>IF($W384="","",INDEX(บันทึกรายเที่ยว!$R$6:$R$6005,$W384))</f>
        <v/>
      </c>
      <c r="AZ384">
        <f>IF(AND($AD384="T",$AQ384=1),N($AZ383)+1,N($AZ383))</f>
        <v/>
      </c>
      <c r="BA384">
        <f>IF($W384="","",INDEX(บันทึกรายเที่ยว!$E$6:$E$6005,$W384))</f>
        <v/>
      </c>
      <c r="BC384">
        <f>IF($Y384="",0,IFERROR(INDEX(อัตราค่าขนส่ง!$K$5:$K$204,MATCH($Y384,อัตราค่าขนส่ง!$M$5:$M$204,0)),0))</f>
        <v/>
      </c>
      <c r="BD384">
        <f>IF($Y384="",0,IFERROR(INDEX(อัตราค่าขนส่ง!$L$5:$L$204,MATCH($Y384,อัตราค่าขนส่ง!$M$5:$M$204,0)),0))</f>
        <v/>
      </c>
    </row>
    <row r="385" ht="21" customHeight="1" s="66">
      <c r="A385" s="69">
        <f>IF($AD385="","",IF($AD385="Z","รวมจ่ายทั้งสิ้น",IF($AD385="H",INDEX($X$5:$X$404,$AC385),IF($AD385="T","รวม",IF($AD385="B",IFERROR(INDEX(อัตราค่าขนส่ง!$S$5:$S$14,MATCH(INDEX($AM$5:$AM$404,$AC385),อัตราค่าขนส่ง!$R$5:$R$14,0)),"รวมกลุ่ม "&amp;INDEX($AM$5:$AM$404,$AC385)),INDEX($AY$5:$AY$404,$AC385))))))</f>
        <v/>
      </c>
      <c r="B385" s="31">
        <f>IF($AD385&lt;&gt;"D","",INDEX($AW$5:$AW$404,$AC385))</f>
        <v/>
      </c>
      <c r="C385" s="68">
        <f>IF($AD385&lt;&gt;"D","",INDEX($AX$5:$AX$404,$AC385))</f>
        <v/>
      </c>
      <c r="D385" s="70">
        <f>IF($AD385&lt;&gt;"D","",INDEX($BA$5:$BA$404,$AC385))</f>
        <v/>
      </c>
      <c r="E385" s="31">
        <f>IF($AD385="Z",SUM($AR$5:$AR$404),IF($AD385="D",INDEX($AR$5:$AR$404,$AC385),IF($AD385="T",SUMIF($X$5:$X$404,$AF385,$AR$5:$AR$404),IF($AD385="B",SUMIF($AN$5:$AN$404,$AQ385,$AR$5:$AR$404),""))))</f>
        <v/>
      </c>
      <c r="F385" s="32">
        <f>IF($AD385="Z",ROUND(SUM($AS$5:$AS$404),2),IF($AD385="D",INDEX($AS$5:$AS$404,$AC385),IF($AD385="T",ROUND(SUMIF($X$5:$X$404,$AF385,$AS$5:$AS$404),2),IF($AD385="B",ROUND(SUMIF($AN$5:$AN$404,$AQ385,$AS$5:$AS$404),2),""))))</f>
        <v/>
      </c>
      <c r="G385" s="32">
        <f>IF($AD385&lt;&gt;"D","",INDEX($AT$5:$AT$404,$AC385))</f>
        <v/>
      </c>
      <c r="H385" s="32">
        <f>IF($AD385&lt;&gt;"D","",INDEX($BC$5:$BC$404,$AC385))</f>
        <v/>
      </c>
      <c r="I385" s="32">
        <f>IF($AD385&lt;&gt;"D","",INDEX($BD$5:$BD$404,$AC385))</f>
        <v/>
      </c>
      <c r="J385" s="46">
        <f>IF($AD385&lt;&gt;"D","",IF(N($B385)=0,"",ROUND($I385/$B385,4)))</f>
        <v/>
      </c>
      <c r="K385" s="32">
        <f>IF($AD385="Z",ROUND(SUM($AU$5:$AU$404),2),IF($AD385="D",INDEX($AU$5:$AU$404,$AC385),IF($AD385="T",ROUND(SUMIF($X$5:$X$404,$AF385,$AU$5:$AU$404),2),IF($AD385="B",ROUND(SUMIF($AN$5:$AN$404,$AQ385,$AU$5:$AU$404),2),""))))</f>
        <v/>
      </c>
      <c r="L385" s="32">
        <f>IF($AD385="Z",ROUND(SUM($AV$5:$AV$404),2),IF($AD385="D",INDEX($AV$5:$AV$404,$AC385),IF($AD385="T",ROUND(SUMIF($X$5:$X$404,$AF385,$AV$5:$AV$404),2),IF($AD385="B",ROUND(SUMIF($AN$5:$AN$404,$AQ385,$AV$5:$AV$404),2),""))))</f>
        <v/>
      </c>
      <c r="M385" s="32">
        <f>IF($AD385="Z",ROUND(SUM($AJ$5:$AJ$704),2),IF($AD385="B",ROUND(SUMIF($AQ$5:$AQ$704,$AQ385,$AJ$5:$AJ$704),2),IF($AD385&lt;&gt;"T","",$AJ385)))</f>
        <v/>
      </c>
      <c r="N385" s="32">
        <f>IF(OR($AD385="D",$AD385="T",$AD385="B",$AD385="Z"),ROUND(N($K385)-N($L385)-N($M385),2),"")</f>
        <v/>
      </c>
      <c r="O385" s="32">
        <f>IF(OR($AD385="D",$AD385="T",$AD385="B",$AD385="Z"),IF(N($E385)=0,"",ROUND($F385/$E385,2)),"")</f>
        <v/>
      </c>
      <c r="Q385">
        <f>IFERROR(MATCH(381,บันทึกรายเที่ยว!$Z$6:$Z$6005,0),"")</f>
        <v/>
      </c>
      <c r="R385">
        <f>IF($Q385="","",INDEX(บันทึกรายเที่ยว!$V$6:$V$6005,$Q385))</f>
        <v/>
      </c>
      <c r="S385">
        <f>IF($Q385="","",INDEX(บันทึกรายเที่ยว!$F$6:$F$6005,$Q385))</f>
        <v/>
      </c>
      <c r="T385">
        <f>IF($Q385="","",MATCH($S385,บันทึกรายเที่ยว!$F$6:$F$6005,0))</f>
        <v/>
      </c>
      <c r="U385">
        <f>IF($Q385="","",$AL385*10000000+$T385*1000+381)</f>
        <v/>
      </c>
      <c r="V385">
        <f>IFERROR(MATCH(SMALL($U$5:$U$404,381),$U$5:$U$404,0),"")</f>
        <v/>
      </c>
      <c r="W385">
        <f>IF($V385="","",INDEX($Q$5:$Q$404,$V385))</f>
        <v/>
      </c>
      <c r="X385">
        <f>IF($V385="","",INDEX($S$5:$S$404,$V385))</f>
        <v/>
      </c>
      <c r="Y385">
        <f>IF($V385="","",INDEX($R$5:$R$404,$V385))</f>
        <v/>
      </c>
      <c r="Z385">
        <f>IF($V385="",0,IF($X385&lt;&gt;$X384,1,0))</f>
        <v/>
      </c>
      <c r="AA385">
        <f>IF($V385="",0,IF($V386="",1,IF($X386&lt;&gt;$X385,1,0)))</f>
        <v/>
      </c>
      <c r="AB385">
        <f>IF($V385="",99999+381,$AB384+1+$Z384+$AA384+$AO384)</f>
        <v/>
      </c>
      <c r="AC385">
        <f>IFERROR(MATCH(381,$AB$5:$AB$404,1),"")</f>
        <v/>
      </c>
      <c r="AD385">
        <f>IF(381=$AI$1+1,"Z",IF($AC385="","",IF(INDEX($V$5:$V$404,$AC385)="","",IF(381&gt;INDEX($AB$5:$AB$404,$AC385)+INDEX($Z$5:$Z$404,$AC385)+INDEX($AA$5:$AA$404,$AC385)+INDEX($AO$5:$AO$404,$AC385),"",IF(381=INDEX($AB$5:$AB$404,$AC385)+INDEX($Z$5:$Z$404,$AC385),"D",IF(AND(INDEX($Z$5:$Z$404,$AC385)=1,381=INDEX($AB$5:$AB$404,$AC385)),"H",IF(AND(INDEX($AO$5:$AO$404,$AC385)=1,381=INDEX($AB$5:$AB$404,$AC385)+INDEX($Z$5:$Z$404,$AC385)+INDEX($AA$5:$AA$404,$AC385)+INDEX($AO$5:$AO$404,$AC385)),"B","T")))))))</f>
        <v/>
      </c>
      <c r="AF385">
        <f>IF(OR($AD385="",$AD385="Z",$AD385="B"),"",INDEX($X$5:$X$404,$AC385))</f>
        <v/>
      </c>
      <c r="AJ385">
        <f>IF($AD385&lt;&gt;"T",0,ROUND(SUMIF(oil!$B$4:$B$63,$AF385,oil!$AE$4:$AE$63),2))</f>
        <v/>
      </c>
      <c r="AK385">
        <f>IF($S385="","",IFERROR(INDEX(อัตราค่าขนส่ง!$P$5:$P$54,MATCH($S385,อัตราค่าขนส่ง!$O$5:$O$54,0)),INDEX(รายการมาตรฐาน!$G$2:$G$3,1)))</f>
        <v/>
      </c>
      <c r="AL385">
        <f>IF($S385="","",IFERROR(MATCH($AK385,รายการมาตรฐาน!$G$2:$G$3,0),1))</f>
        <v/>
      </c>
      <c r="AM385">
        <f>IF($V385="","",INDEX($AK$5:$AK$404,$V385))</f>
        <v/>
      </c>
      <c r="AN385">
        <f>IF($V385="","",INDEX($AL$5:$AL$404,$V385))</f>
        <v/>
      </c>
      <c r="AO385">
        <f>IF(OR($V385="",$AI$2&lt;=1),0,IF($V386="",1,IF($AN386&lt;&gt;$AN385,1,0)))</f>
        <v/>
      </c>
      <c r="AP385">
        <f>IF($V385="",0,IF($AN385&lt;&gt;$AN384,1,0))</f>
        <v/>
      </c>
      <c r="AQ385">
        <f>IF(OR($AD385="",$AD385="Z"),"",INDEX($AN$5:$AN$404,$AC385))</f>
        <v/>
      </c>
      <c r="AR385">
        <f>IF($Y385="",0,COUNTIF(บันทึกรายเที่ยว!$V$6:$V$6005,$Y385))</f>
        <v/>
      </c>
      <c r="AS385">
        <f>IF($Y385="",0,ROUND(SUMIF(บันทึกรายเที่ยว!$V$6:$V$6005,$Y385,บันทึกรายเที่ยว!$M$6:$M$6005),2))</f>
        <v/>
      </c>
      <c r="AT385">
        <f>IF($Y385="",0,IFERROR(INDEX(อัตราค่าขนส่ง!$G$5:$G$204,MATCH($Y385,อัตราค่าขนส่ง!$M$5:$M$204,0)),0))</f>
        <v/>
      </c>
      <c r="AU385">
        <f>ROUND($AS385*$BD385,2)</f>
        <v/>
      </c>
      <c r="AV385">
        <f>ROUND($AU385*$BF$2/100,2)</f>
        <v/>
      </c>
      <c r="AW385">
        <f>IF($Y385="","",IFERROR(INDEX(อัตราค่าขนส่ง!$F$5:$F$204,MATCH($Y385,อัตราค่าขนส่ง!$M$5:$M$204,0)),""))</f>
        <v/>
      </c>
      <c r="AX385">
        <f>IF($W385="","",INDEX(บันทึกรายเที่ยว!$D$6:$D$6005,$W385))</f>
        <v/>
      </c>
      <c r="AY385">
        <f>IF($W385="","",INDEX(บันทึกรายเที่ยว!$R$6:$R$6005,$W385))</f>
        <v/>
      </c>
      <c r="AZ385">
        <f>IF(AND($AD385="T",$AQ385=1),N($AZ384)+1,N($AZ384))</f>
        <v/>
      </c>
      <c r="BA385">
        <f>IF($W385="","",INDEX(บันทึกรายเที่ยว!$E$6:$E$6005,$W385))</f>
        <v/>
      </c>
      <c r="BC385">
        <f>IF($Y385="",0,IFERROR(INDEX(อัตราค่าขนส่ง!$K$5:$K$204,MATCH($Y385,อัตราค่าขนส่ง!$M$5:$M$204,0)),0))</f>
        <v/>
      </c>
      <c r="BD385">
        <f>IF($Y385="",0,IFERROR(INDEX(อัตราค่าขนส่ง!$L$5:$L$204,MATCH($Y385,อัตราค่าขนส่ง!$M$5:$M$204,0)),0))</f>
        <v/>
      </c>
    </row>
    <row r="386" ht="21" customHeight="1" s="66">
      <c r="A386" s="69">
        <f>IF($AD386="","",IF($AD386="Z","รวมจ่ายทั้งสิ้น",IF($AD386="H",INDEX($X$5:$X$404,$AC386),IF($AD386="T","รวม",IF($AD386="B",IFERROR(INDEX(อัตราค่าขนส่ง!$S$5:$S$14,MATCH(INDEX($AM$5:$AM$404,$AC386),อัตราค่าขนส่ง!$R$5:$R$14,0)),"รวมกลุ่ม "&amp;INDEX($AM$5:$AM$404,$AC386)),INDEX($AY$5:$AY$404,$AC386))))))</f>
        <v/>
      </c>
      <c r="B386" s="31">
        <f>IF($AD386&lt;&gt;"D","",INDEX($AW$5:$AW$404,$AC386))</f>
        <v/>
      </c>
      <c r="C386" s="68">
        <f>IF($AD386&lt;&gt;"D","",INDEX($AX$5:$AX$404,$AC386))</f>
        <v/>
      </c>
      <c r="D386" s="70">
        <f>IF($AD386&lt;&gt;"D","",INDEX($BA$5:$BA$404,$AC386))</f>
        <v/>
      </c>
      <c r="E386" s="31">
        <f>IF($AD386="Z",SUM($AR$5:$AR$404),IF($AD386="D",INDEX($AR$5:$AR$404,$AC386),IF($AD386="T",SUMIF($X$5:$X$404,$AF386,$AR$5:$AR$404),IF($AD386="B",SUMIF($AN$5:$AN$404,$AQ386,$AR$5:$AR$404),""))))</f>
        <v/>
      </c>
      <c r="F386" s="32">
        <f>IF($AD386="Z",ROUND(SUM($AS$5:$AS$404),2),IF($AD386="D",INDEX($AS$5:$AS$404,$AC386),IF($AD386="T",ROUND(SUMIF($X$5:$X$404,$AF386,$AS$5:$AS$404),2),IF($AD386="B",ROUND(SUMIF($AN$5:$AN$404,$AQ386,$AS$5:$AS$404),2),""))))</f>
        <v/>
      </c>
      <c r="G386" s="32">
        <f>IF($AD386&lt;&gt;"D","",INDEX($AT$5:$AT$404,$AC386))</f>
        <v/>
      </c>
      <c r="H386" s="32">
        <f>IF($AD386&lt;&gt;"D","",INDEX($BC$5:$BC$404,$AC386))</f>
        <v/>
      </c>
      <c r="I386" s="32">
        <f>IF($AD386&lt;&gt;"D","",INDEX($BD$5:$BD$404,$AC386))</f>
        <v/>
      </c>
      <c r="J386" s="46">
        <f>IF($AD386&lt;&gt;"D","",IF(N($B386)=0,"",ROUND($I386/$B386,4)))</f>
        <v/>
      </c>
      <c r="K386" s="32">
        <f>IF($AD386="Z",ROUND(SUM($AU$5:$AU$404),2),IF($AD386="D",INDEX($AU$5:$AU$404,$AC386),IF($AD386="T",ROUND(SUMIF($X$5:$X$404,$AF386,$AU$5:$AU$404),2),IF($AD386="B",ROUND(SUMIF($AN$5:$AN$404,$AQ386,$AU$5:$AU$404),2),""))))</f>
        <v/>
      </c>
      <c r="L386" s="32">
        <f>IF($AD386="Z",ROUND(SUM($AV$5:$AV$404),2),IF($AD386="D",INDEX($AV$5:$AV$404,$AC386),IF($AD386="T",ROUND(SUMIF($X$5:$X$404,$AF386,$AV$5:$AV$404),2),IF($AD386="B",ROUND(SUMIF($AN$5:$AN$404,$AQ386,$AV$5:$AV$404),2),""))))</f>
        <v/>
      </c>
      <c r="M386" s="32">
        <f>IF($AD386="Z",ROUND(SUM($AJ$5:$AJ$704),2),IF($AD386="B",ROUND(SUMIF($AQ$5:$AQ$704,$AQ386,$AJ$5:$AJ$704),2),IF($AD386&lt;&gt;"T","",$AJ386)))</f>
        <v/>
      </c>
      <c r="N386" s="32">
        <f>IF(OR($AD386="D",$AD386="T",$AD386="B",$AD386="Z"),ROUND(N($K386)-N($L386)-N($M386),2),"")</f>
        <v/>
      </c>
      <c r="O386" s="32">
        <f>IF(OR($AD386="D",$AD386="T",$AD386="B",$AD386="Z"),IF(N($E386)=0,"",ROUND($F386/$E386,2)),"")</f>
        <v/>
      </c>
      <c r="Q386">
        <f>IFERROR(MATCH(382,บันทึกรายเที่ยว!$Z$6:$Z$6005,0),"")</f>
        <v/>
      </c>
      <c r="R386">
        <f>IF($Q386="","",INDEX(บันทึกรายเที่ยว!$V$6:$V$6005,$Q386))</f>
        <v/>
      </c>
      <c r="S386">
        <f>IF($Q386="","",INDEX(บันทึกรายเที่ยว!$F$6:$F$6005,$Q386))</f>
        <v/>
      </c>
      <c r="T386">
        <f>IF($Q386="","",MATCH($S386,บันทึกรายเที่ยว!$F$6:$F$6005,0))</f>
        <v/>
      </c>
      <c r="U386">
        <f>IF($Q386="","",$AL386*10000000+$T386*1000+382)</f>
        <v/>
      </c>
      <c r="V386">
        <f>IFERROR(MATCH(SMALL($U$5:$U$404,382),$U$5:$U$404,0),"")</f>
        <v/>
      </c>
      <c r="W386">
        <f>IF($V386="","",INDEX($Q$5:$Q$404,$V386))</f>
        <v/>
      </c>
      <c r="X386">
        <f>IF($V386="","",INDEX($S$5:$S$404,$V386))</f>
        <v/>
      </c>
      <c r="Y386">
        <f>IF($V386="","",INDEX($R$5:$R$404,$V386))</f>
        <v/>
      </c>
      <c r="Z386">
        <f>IF($V386="",0,IF($X386&lt;&gt;$X385,1,0))</f>
        <v/>
      </c>
      <c r="AA386">
        <f>IF($V386="",0,IF($V387="",1,IF($X387&lt;&gt;$X386,1,0)))</f>
        <v/>
      </c>
      <c r="AB386">
        <f>IF($V386="",99999+382,$AB385+1+$Z385+$AA385+$AO385)</f>
        <v/>
      </c>
      <c r="AC386">
        <f>IFERROR(MATCH(382,$AB$5:$AB$404,1),"")</f>
        <v/>
      </c>
      <c r="AD386">
        <f>IF(382=$AI$1+1,"Z",IF($AC386="","",IF(INDEX($V$5:$V$404,$AC386)="","",IF(382&gt;INDEX($AB$5:$AB$404,$AC386)+INDEX($Z$5:$Z$404,$AC386)+INDEX($AA$5:$AA$404,$AC386)+INDEX($AO$5:$AO$404,$AC386),"",IF(382=INDEX($AB$5:$AB$404,$AC386)+INDEX($Z$5:$Z$404,$AC386),"D",IF(AND(INDEX($Z$5:$Z$404,$AC386)=1,382=INDEX($AB$5:$AB$404,$AC386)),"H",IF(AND(INDEX($AO$5:$AO$404,$AC386)=1,382=INDEX($AB$5:$AB$404,$AC386)+INDEX($Z$5:$Z$404,$AC386)+INDEX($AA$5:$AA$404,$AC386)+INDEX($AO$5:$AO$404,$AC386)),"B","T")))))))</f>
        <v/>
      </c>
      <c r="AF386">
        <f>IF(OR($AD386="",$AD386="Z",$AD386="B"),"",INDEX($X$5:$X$404,$AC386))</f>
        <v/>
      </c>
      <c r="AJ386">
        <f>IF($AD386&lt;&gt;"T",0,ROUND(SUMIF(oil!$B$4:$B$63,$AF386,oil!$AE$4:$AE$63),2))</f>
        <v/>
      </c>
      <c r="AK386">
        <f>IF($S386="","",IFERROR(INDEX(อัตราค่าขนส่ง!$P$5:$P$54,MATCH($S386,อัตราค่าขนส่ง!$O$5:$O$54,0)),INDEX(รายการมาตรฐาน!$G$2:$G$3,1)))</f>
        <v/>
      </c>
      <c r="AL386">
        <f>IF($S386="","",IFERROR(MATCH($AK386,รายการมาตรฐาน!$G$2:$G$3,0),1))</f>
        <v/>
      </c>
      <c r="AM386">
        <f>IF($V386="","",INDEX($AK$5:$AK$404,$V386))</f>
        <v/>
      </c>
      <c r="AN386">
        <f>IF($V386="","",INDEX($AL$5:$AL$404,$V386))</f>
        <v/>
      </c>
      <c r="AO386">
        <f>IF(OR($V386="",$AI$2&lt;=1),0,IF($V387="",1,IF($AN387&lt;&gt;$AN386,1,0)))</f>
        <v/>
      </c>
      <c r="AP386">
        <f>IF($V386="",0,IF($AN386&lt;&gt;$AN385,1,0))</f>
        <v/>
      </c>
      <c r="AQ386">
        <f>IF(OR($AD386="",$AD386="Z"),"",INDEX($AN$5:$AN$404,$AC386))</f>
        <v/>
      </c>
      <c r="AR386">
        <f>IF($Y386="",0,COUNTIF(บันทึกรายเที่ยว!$V$6:$V$6005,$Y386))</f>
        <v/>
      </c>
      <c r="AS386">
        <f>IF($Y386="",0,ROUND(SUMIF(บันทึกรายเที่ยว!$V$6:$V$6005,$Y386,บันทึกรายเที่ยว!$M$6:$M$6005),2))</f>
        <v/>
      </c>
      <c r="AT386">
        <f>IF($Y386="",0,IFERROR(INDEX(อัตราค่าขนส่ง!$G$5:$G$204,MATCH($Y386,อัตราค่าขนส่ง!$M$5:$M$204,0)),0))</f>
        <v/>
      </c>
      <c r="AU386">
        <f>ROUND($AS386*$BD386,2)</f>
        <v/>
      </c>
      <c r="AV386">
        <f>ROUND($AU386*$BF$2/100,2)</f>
        <v/>
      </c>
      <c r="AW386">
        <f>IF($Y386="","",IFERROR(INDEX(อัตราค่าขนส่ง!$F$5:$F$204,MATCH($Y386,อัตราค่าขนส่ง!$M$5:$M$204,0)),""))</f>
        <v/>
      </c>
      <c r="AX386">
        <f>IF($W386="","",INDEX(บันทึกรายเที่ยว!$D$6:$D$6005,$W386))</f>
        <v/>
      </c>
      <c r="AY386">
        <f>IF($W386="","",INDEX(บันทึกรายเที่ยว!$R$6:$R$6005,$W386))</f>
        <v/>
      </c>
      <c r="AZ386">
        <f>IF(AND($AD386="T",$AQ386=1),N($AZ385)+1,N($AZ385))</f>
        <v/>
      </c>
      <c r="BA386">
        <f>IF($W386="","",INDEX(บันทึกรายเที่ยว!$E$6:$E$6005,$W386))</f>
        <v/>
      </c>
      <c r="BC386">
        <f>IF($Y386="",0,IFERROR(INDEX(อัตราค่าขนส่ง!$K$5:$K$204,MATCH($Y386,อัตราค่าขนส่ง!$M$5:$M$204,0)),0))</f>
        <v/>
      </c>
      <c r="BD386">
        <f>IF($Y386="",0,IFERROR(INDEX(อัตราค่าขนส่ง!$L$5:$L$204,MATCH($Y386,อัตราค่าขนส่ง!$M$5:$M$204,0)),0))</f>
        <v/>
      </c>
    </row>
    <row r="387" ht="21" customHeight="1" s="66">
      <c r="A387" s="69">
        <f>IF($AD387="","",IF($AD387="Z","รวมจ่ายทั้งสิ้น",IF($AD387="H",INDEX($X$5:$X$404,$AC387),IF($AD387="T","รวม",IF($AD387="B",IFERROR(INDEX(อัตราค่าขนส่ง!$S$5:$S$14,MATCH(INDEX($AM$5:$AM$404,$AC387),อัตราค่าขนส่ง!$R$5:$R$14,0)),"รวมกลุ่ม "&amp;INDEX($AM$5:$AM$404,$AC387)),INDEX($AY$5:$AY$404,$AC387))))))</f>
        <v/>
      </c>
      <c r="B387" s="31">
        <f>IF($AD387&lt;&gt;"D","",INDEX($AW$5:$AW$404,$AC387))</f>
        <v/>
      </c>
      <c r="C387" s="68">
        <f>IF($AD387&lt;&gt;"D","",INDEX($AX$5:$AX$404,$AC387))</f>
        <v/>
      </c>
      <c r="D387" s="70">
        <f>IF($AD387&lt;&gt;"D","",INDEX($BA$5:$BA$404,$AC387))</f>
        <v/>
      </c>
      <c r="E387" s="31">
        <f>IF($AD387="Z",SUM($AR$5:$AR$404),IF($AD387="D",INDEX($AR$5:$AR$404,$AC387),IF($AD387="T",SUMIF($X$5:$X$404,$AF387,$AR$5:$AR$404),IF($AD387="B",SUMIF($AN$5:$AN$404,$AQ387,$AR$5:$AR$404),""))))</f>
        <v/>
      </c>
      <c r="F387" s="32">
        <f>IF($AD387="Z",ROUND(SUM($AS$5:$AS$404),2),IF($AD387="D",INDEX($AS$5:$AS$404,$AC387),IF($AD387="T",ROUND(SUMIF($X$5:$X$404,$AF387,$AS$5:$AS$404),2),IF($AD387="B",ROUND(SUMIF($AN$5:$AN$404,$AQ387,$AS$5:$AS$404),2),""))))</f>
        <v/>
      </c>
      <c r="G387" s="32">
        <f>IF($AD387&lt;&gt;"D","",INDEX($AT$5:$AT$404,$AC387))</f>
        <v/>
      </c>
      <c r="H387" s="32">
        <f>IF($AD387&lt;&gt;"D","",INDEX($BC$5:$BC$404,$AC387))</f>
        <v/>
      </c>
      <c r="I387" s="32">
        <f>IF($AD387&lt;&gt;"D","",INDEX($BD$5:$BD$404,$AC387))</f>
        <v/>
      </c>
      <c r="J387" s="46">
        <f>IF($AD387&lt;&gt;"D","",IF(N($B387)=0,"",ROUND($I387/$B387,4)))</f>
        <v/>
      </c>
      <c r="K387" s="32">
        <f>IF($AD387="Z",ROUND(SUM($AU$5:$AU$404),2),IF($AD387="D",INDEX($AU$5:$AU$404,$AC387),IF($AD387="T",ROUND(SUMIF($X$5:$X$404,$AF387,$AU$5:$AU$404),2),IF($AD387="B",ROUND(SUMIF($AN$5:$AN$404,$AQ387,$AU$5:$AU$404),2),""))))</f>
        <v/>
      </c>
      <c r="L387" s="32">
        <f>IF($AD387="Z",ROUND(SUM($AV$5:$AV$404),2),IF($AD387="D",INDEX($AV$5:$AV$404,$AC387),IF($AD387="T",ROUND(SUMIF($X$5:$X$404,$AF387,$AV$5:$AV$404),2),IF($AD387="B",ROUND(SUMIF($AN$5:$AN$404,$AQ387,$AV$5:$AV$404),2),""))))</f>
        <v/>
      </c>
      <c r="M387" s="32">
        <f>IF($AD387="Z",ROUND(SUM($AJ$5:$AJ$704),2),IF($AD387="B",ROUND(SUMIF($AQ$5:$AQ$704,$AQ387,$AJ$5:$AJ$704),2),IF($AD387&lt;&gt;"T","",$AJ387)))</f>
        <v/>
      </c>
      <c r="N387" s="32">
        <f>IF(OR($AD387="D",$AD387="T",$AD387="B",$AD387="Z"),ROUND(N($K387)-N($L387)-N($M387),2),"")</f>
        <v/>
      </c>
      <c r="O387" s="32">
        <f>IF(OR($AD387="D",$AD387="T",$AD387="B",$AD387="Z"),IF(N($E387)=0,"",ROUND($F387/$E387,2)),"")</f>
        <v/>
      </c>
      <c r="Q387">
        <f>IFERROR(MATCH(383,บันทึกรายเที่ยว!$Z$6:$Z$6005,0),"")</f>
        <v/>
      </c>
      <c r="R387">
        <f>IF($Q387="","",INDEX(บันทึกรายเที่ยว!$V$6:$V$6005,$Q387))</f>
        <v/>
      </c>
      <c r="S387">
        <f>IF($Q387="","",INDEX(บันทึกรายเที่ยว!$F$6:$F$6005,$Q387))</f>
        <v/>
      </c>
      <c r="T387">
        <f>IF($Q387="","",MATCH($S387,บันทึกรายเที่ยว!$F$6:$F$6005,0))</f>
        <v/>
      </c>
      <c r="U387">
        <f>IF($Q387="","",$AL387*10000000+$T387*1000+383)</f>
        <v/>
      </c>
      <c r="V387">
        <f>IFERROR(MATCH(SMALL($U$5:$U$404,383),$U$5:$U$404,0),"")</f>
        <v/>
      </c>
      <c r="W387">
        <f>IF($V387="","",INDEX($Q$5:$Q$404,$V387))</f>
        <v/>
      </c>
      <c r="X387">
        <f>IF($V387="","",INDEX($S$5:$S$404,$V387))</f>
        <v/>
      </c>
      <c r="Y387">
        <f>IF($V387="","",INDEX($R$5:$R$404,$V387))</f>
        <v/>
      </c>
      <c r="Z387">
        <f>IF($V387="",0,IF($X387&lt;&gt;$X386,1,0))</f>
        <v/>
      </c>
      <c r="AA387">
        <f>IF($V387="",0,IF($V388="",1,IF($X388&lt;&gt;$X387,1,0)))</f>
        <v/>
      </c>
      <c r="AB387">
        <f>IF($V387="",99999+383,$AB386+1+$Z386+$AA386+$AO386)</f>
        <v/>
      </c>
      <c r="AC387">
        <f>IFERROR(MATCH(383,$AB$5:$AB$404,1),"")</f>
        <v/>
      </c>
      <c r="AD387">
        <f>IF(383=$AI$1+1,"Z",IF($AC387="","",IF(INDEX($V$5:$V$404,$AC387)="","",IF(383&gt;INDEX($AB$5:$AB$404,$AC387)+INDEX($Z$5:$Z$404,$AC387)+INDEX($AA$5:$AA$404,$AC387)+INDEX($AO$5:$AO$404,$AC387),"",IF(383=INDEX($AB$5:$AB$404,$AC387)+INDEX($Z$5:$Z$404,$AC387),"D",IF(AND(INDEX($Z$5:$Z$404,$AC387)=1,383=INDEX($AB$5:$AB$404,$AC387)),"H",IF(AND(INDEX($AO$5:$AO$404,$AC387)=1,383=INDEX($AB$5:$AB$404,$AC387)+INDEX($Z$5:$Z$404,$AC387)+INDEX($AA$5:$AA$404,$AC387)+INDEX($AO$5:$AO$404,$AC387)),"B","T")))))))</f>
        <v/>
      </c>
      <c r="AF387">
        <f>IF(OR($AD387="",$AD387="Z",$AD387="B"),"",INDEX($X$5:$X$404,$AC387))</f>
        <v/>
      </c>
      <c r="AJ387">
        <f>IF($AD387&lt;&gt;"T",0,ROUND(SUMIF(oil!$B$4:$B$63,$AF387,oil!$AE$4:$AE$63),2))</f>
        <v/>
      </c>
      <c r="AK387">
        <f>IF($S387="","",IFERROR(INDEX(อัตราค่าขนส่ง!$P$5:$P$54,MATCH($S387,อัตราค่าขนส่ง!$O$5:$O$54,0)),INDEX(รายการมาตรฐาน!$G$2:$G$3,1)))</f>
        <v/>
      </c>
      <c r="AL387">
        <f>IF($S387="","",IFERROR(MATCH($AK387,รายการมาตรฐาน!$G$2:$G$3,0),1))</f>
        <v/>
      </c>
      <c r="AM387">
        <f>IF($V387="","",INDEX($AK$5:$AK$404,$V387))</f>
        <v/>
      </c>
      <c r="AN387">
        <f>IF($V387="","",INDEX($AL$5:$AL$404,$V387))</f>
        <v/>
      </c>
      <c r="AO387">
        <f>IF(OR($V387="",$AI$2&lt;=1),0,IF($V388="",1,IF($AN388&lt;&gt;$AN387,1,0)))</f>
        <v/>
      </c>
      <c r="AP387">
        <f>IF($V387="",0,IF($AN387&lt;&gt;$AN386,1,0))</f>
        <v/>
      </c>
      <c r="AQ387">
        <f>IF(OR($AD387="",$AD387="Z"),"",INDEX($AN$5:$AN$404,$AC387))</f>
        <v/>
      </c>
      <c r="AR387">
        <f>IF($Y387="",0,COUNTIF(บันทึกรายเที่ยว!$V$6:$V$6005,$Y387))</f>
        <v/>
      </c>
      <c r="AS387">
        <f>IF($Y387="",0,ROUND(SUMIF(บันทึกรายเที่ยว!$V$6:$V$6005,$Y387,บันทึกรายเที่ยว!$M$6:$M$6005),2))</f>
        <v/>
      </c>
      <c r="AT387">
        <f>IF($Y387="",0,IFERROR(INDEX(อัตราค่าขนส่ง!$G$5:$G$204,MATCH($Y387,อัตราค่าขนส่ง!$M$5:$M$204,0)),0))</f>
        <v/>
      </c>
      <c r="AU387">
        <f>ROUND($AS387*$BD387,2)</f>
        <v/>
      </c>
      <c r="AV387">
        <f>ROUND($AU387*$BF$2/100,2)</f>
        <v/>
      </c>
      <c r="AW387">
        <f>IF($Y387="","",IFERROR(INDEX(อัตราค่าขนส่ง!$F$5:$F$204,MATCH($Y387,อัตราค่าขนส่ง!$M$5:$M$204,0)),""))</f>
        <v/>
      </c>
      <c r="AX387">
        <f>IF($W387="","",INDEX(บันทึกรายเที่ยว!$D$6:$D$6005,$W387))</f>
        <v/>
      </c>
      <c r="AY387">
        <f>IF($W387="","",INDEX(บันทึกรายเที่ยว!$R$6:$R$6005,$W387))</f>
        <v/>
      </c>
      <c r="AZ387">
        <f>IF(AND($AD387="T",$AQ387=1),N($AZ386)+1,N($AZ386))</f>
        <v/>
      </c>
      <c r="BA387">
        <f>IF($W387="","",INDEX(บันทึกรายเที่ยว!$E$6:$E$6005,$W387))</f>
        <v/>
      </c>
      <c r="BC387">
        <f>IF($Y387="",0,IFERROR(INDEX(อัตราค่าขนส่ง!$K$5:$K$204,MATCH($Y387,อัตราค่าขนส่ง!$M$5:$M$204,0)),0))</f>
        <v/>
      </c>
      <c r="BD387">
        <f>IF($Y387="",0,IFERROR(INDEX(อัตราค่าขนส่ง!$L$5:$L$204,MATCH($Y387,อัตราค่าขนส่ง!$M$5:$M$204,0)),0))</f>
        <v/>
      </c>
    </row>
    <row r="388" ht="21" customHeight="1" s="66">
      <c r="A388" s="69">
        <f>IF($AD388="","",IF($AD388="Z","รวมจ่ายทั้งสิ้น",IF($AD388="H",INDEX($X$5:$X$404,$AC388),IF($AD388="T","รวม",IF($AD388="B",IFERROR(INDEX(อัตราค่าขนส่ง!$S$5:$S$14,MATCH(INDEX($AM$5:$AM$404,$AC388),อัตราค่าขนส่ง!$R$5:$R$14,0)),"รวมกลุ่ม "&amp;INDEX($AM$5:$AM$404,$AC388)),INDEX($AY$5:$AY$404,$AC388))))))</f>
        <v/>
      </c>
      <c r="B388" s="31">
        <f>IF($AD388&lt;&gt;"D","",INDEX($AW$5:$AW$404,$AC388))</f>
        <v/>
      </c>
      <c r="C388" s="68">
        <f>IF($AD388&lt;&gt;"D","",INDEX($AX$5:$AX$404,$AC388))</f>
        <v/>
      </c>
      <c r="D388" s="70">
        <f>IF($AD388&lt;&gt;"D","",INDEX($BA$5:$BA$404,$AC388))</f>
        <v/>
      </c>
      <c r="E388" s="31">
        <f>IF($AD388="Z",SUM($AR$5:$AR$404),IF($AD388="D",INDEX($AR$5:$AR$404,$AC388),IF($AD388="T",SUMIF($X$5:$X$404,$AF388,$AR$5:$AR$404),IF($AD388="B",SUMIF($AN$5:$AN$404,$AQ388,$AR$5:$AR$404),""))))</f>
        <v/>
      </c>
      <c r="F388" s="32">
        <f>IF($AD388="Z",ROUND(SUM($AS$5:$AS$404),2),IF($AD388="D",INDEX($AS$5:$AS$404,$AC388),IF($AD388="T",ROUND(SUMIF($X$5:$X$404,$AF388,$AS$5:$AS$404),2),IF($AD388="B",ROUND(SUMIF($AN$5:$AN$404,$AQ388,$AS$5:$AS$404),2),""))))</f>
        <v/>
      </c>
      <c r="G388" s="32">
        <f>IF($AD388&lt;&gt;"D","",INDEX($AT$5:$AT$404,$AC388))</f>
        <v/>
      </c>
      <c r="H388" s="32">
        <f>IF($AD388&lt;&gt;"D","",INDEX($BC$5:$BC$404,$AC388))</f>
        <v/>
      </c>
      <c r="I388" s="32">
        <f>IF($AD388&lt;&gt;"D","",INDEX($BD$5:$BD$404,$AC388))</f>
        <v/>
      </c>
      <c r="J388" s="46">
        <f>IF($AD388&lt;&gt;"D","",IF(N($B388)=0,"",ROUND($I388/$B388,4)))</f>
        <v/>
      </c>
      <c r="K388" s="32">
        <f>IF($AD388="Z",ROUND(SUM($AU$5:$AU$404),2),IF($AD388="D",INDEX($AU$5:$AU$404,$AC388),IF($AD388="T",ROUND(SUMIF($X$5:$X$404,$AF388,$AU$5:$AU$404),2),IF($AD388="B",ROUND(SUMIF($AN$5:$AN$404,$AQ388,$AU$5:$AU$404),2),""))))</f>
        <v/>
      </c>
      <c r="L388" s="32">
        <f>IF($AD388="Z",ROUND(SUM($AV$5:$AV$404),2),IF($AD388="D",INDEX($AV$5:$AV$404,$AC388),IF($AD388="T",ROUND(SUMIF($X$5:$X$404,$AF388,$AV$5:$AV$404),2),IF($AD388="B",ROUND(SUMIF($AN$5:$AN$404,$AQ388,$AV$5:$AV$404),2),""))))</f>
        <v/>
      </c>
      <c r="M388" s="32">
        <f>IF($AD388="Z",ROUND(SUM($AJ$5:$AJ$704),2),IF($AD388="B",ROUND(SUMIF($AQ$5:$AQ$704,$AQ388,$AJ$5:$AJ$704),2),IF($AD388&lt;&gt;"T","",$AJ388)))</f>
        <v/>
      </c>
      <c r="N388" s="32">
        <f>IF(OR($AD388="D",$AD388="T",$AD388="B",$AD388="Z"),ROUND(N($K388)-N($L388)-N($M388),2),"")</f>
        <v/>
      </c>
      <c r="O388" s="32">
        <f>IF(OR($AD388="D",$AD388="T",$AD388="B",$AD388="Z"),IF(N($E388)=0,"",ROUND($F388/$E388,2)),"")</f>
        <v/>
      </c>
      <c r="Q388">
        <f>IFERROR(MATCH(384,บันทึกรายเที่ยว!$Z$6:$Z$6005,0),"")</f>
        <v/>
      </c>
      <c r="R388">
        <f>IF($Q388="","",INDEX(บันทึกรายเที่ยว!$V$6:$V$6005,$Q388))</f>
        <v/>
      </c>
      <c r="S388">
        <f>IF($Q388="","",INDEX(บันทึกรายเที่ยว!$F$6:$F$6005,$Q388))</f>
        <v/>
      </c>
      <c r="T388">
        <f>IF($Q388="","",MATCH($S388,บันทึกรายเที่ยว!$F$6:$F$6005,0))</f>
        <v/>
      </c>
      <c r="U388">
        <f>IF($Q388="","",$AL388*10000000+$T388*1000+384)</f>
        <v/>
      </c>
      <c r="V388">
        <f>IFERROR(MATCH(SMALL($U$5:$U$404,384),$U$5:$U$404,0),"")</f>
        <v/>
      </c>
      <c r="W388">
        <f>IF($V388="","",INDEX($Q$5:$Q$404,$V388))</f>
        <v/>
      </c>
      <c r="X388">
        <f>IF($V388="","",INDEX($S$5:$S$404,$V388))</f>
        <v/>
      </c>
      <c r="Y388">
        <f>IF($V388="","",INDEX($R$5:$R$404,$V388))</f>
        <v/>
      </c>
      <c r="Z388">
        <f>IF($V388="",0,IF($X388&lt;&gt;$X387,1,0))</f>
        <v/>
      </c>
      <c r="AA388">
        <f>IF($V388="",0,IF($V389="",1,IF($X389&lt;&gt;$X388,1,0)))</f>
        <v/>
      </c>
      <c r="AB388">
        <f>IF($V388="",99999+384,$AB387+1+$Z387+$AA387+$AO387)</f>
        <v/>
      </c>
      <c r="AC388">
        <f>IFERROR(MATCH(384,$AB$5:$AB$404,1),"")</f>
        <v/>
      </c>
      <c r="AD388">
        <f>IF(384=$AI$1+1,"Z",IF($AC388="","",IF(INDEX($V$5:$V$404,$AC388)="","",IF(384&gt;INDEX($AB$5:$AB$404,$AC388)+INDEX($Z$5:$Z$404,$AC388)+INDEX($AA$5:$AA$404,$AC388)+INDEX($AO$5:$AO$404,$AC388),"",IF(384=INDEX($AB$5:$AB$404,$AC388)+INDEX($Z$5:$Z$404,$AC388),"D",IF(AND(INDEX($Z$5:$Z$404,$AC388)=1,384=INDEX($AB$5:$AB$404,$AC388)),"H",IF(AND(INDEX($AO$5:$AO$404,$AC388)=1,384=INDEX($AB$5:$AB$404,$AC388)+INDEX($Z$5:$Z$404,$AC388)+INDEX($AA$5:$AA$404,$AC388)+INDEX($AO$5:$AO$404,$AC388)),"B","T")))))))</f>
        <v/>
      </c>
      <c r="AF388">
        <f>IF(OR($AD388="",$AD388="Z",$AD388="B"),"",INDEX($X$5:$X$404,$AC388))</f>
        <v/>
      </c>
      <c r="AJ388">
        <f>IF($AD388&lt;&gt;"T",0,ROUND(SUMIF(oil!$B$4:$B$63,$AF388,oil!$AE$4:$AE$63),2))</f>
        <v/>
      </c>
      <c r="AK388">
        <f>IF($S388="","",IFERROR(INDEX(อัตราค่าขนส่ง!$P$5:$P$54,MATCH($S388,อัตราค่าขนส่ง!$O$5:$O$54,0)),INDEX(รายการมาตรฐาน!$G$2:$G$3,1)))</f>
        <v/>
      </c>
      <c r="AL388">
        <f>IF($S388="","",IFERROR(MATCH($AK388,รายการมาตรฐาน!$G$2:$G$3,0),1))</f>
        <v/>
      </c>
      <c r="AM388">
        <f>IF($V388="","",INDEX($AK$5:$AK$404,$V388))</f>
        <v/>
      </c>
      <c r="AN388">
        <f>IF($V388="","",INDEX($AL$5:$AL$404,$V388))</f>
        <v/>
      </c>
      <c r="AO388">
        <f>IF(OR($V388="",$AI$2&lt;=1),0,IF($V389="",1,IF($AN389&lt;&gt;$AN388,1,0)))</f>
        <v/>
      </c>
      <c r="AP388">
        <f>IF($V388="",0,IF($AN388&lt;&gt;$AN387,1,0))</f>
        <v/>
      </c>
      <c r="AQ388">
        <f>IF(OR($AD388="",$AD388="Z"),"",INDEX($AN$5:$AN$404,$AC388))</f>
        <v/>
      </c>
      <c r="AR388">
        <f>IF($Y388="",0,COUNTIF(บันทึกรายเที่ยว!$V$6:$V$6005,$Y388))</f>
        <v/>
      </c>
      <c r="AS388">
        <f>IF($Y388="",0,ROUND(SUMIF(บันทึกรายเที่ยว!$V$6:$V$6005,$Y388,บันทึกรายเที่ยว!$M$6:$M$6005),2))</f>
        <v/>
      </c>
      <c r="AT388">
        <f>IF($Y388="",0,IFERROR(INDEX(อัตราค่าขนส่ง!$G$5:$G$204,MATCH($Y388,อัตราค่าขนส่ง!$M$5:$M$204,0)),0))</f>
        <v/>
      </c>
      <c r="AU388">
        <f>ROUND($AS388*$BD388,2)</f>
        <v/>
      </c>
      <c r="AV388">
        <f>ROUND($AU388*$BF$2/100,2)</f>
        <v/>
      </c>
      <c r="AW388">
        <f>IF($Y388="","",IFERROR(INDEX(อัตราค่าขนส่ง!$F$5:$F$204,MATCH($Y388,อัตราค่าขนส่ง!$M$5:$M$204,0)),""))</f>
        <v/>
      </c>
      <c r="AX388">
        <f>IF($W388="","",INDEX(บันทึกรายเที่ยว!$D$6:$D$6005,$W388))</f>
        <v/>
      </c>
      <c r="AY388">
        <f>IF($W388="","",INDEX(บันทึกรายเที่ยว!$R$6:$R$6005,$W388))</f>
        <v/>
      </c>
      <c r="AZ388">
        <f>IF(AND($AD388="T",$AQ388=1),N($AZ387)+1,N($AZ387))</f>
        <v/>
      </c>
      <c r="BA388">
        <f>IF($W388="","",INDEX(บันทึกรายเที่ยว!$E$6:$E$6005,$W388))</f>
        <v/>
      </c>
      <c r="BC388">
        <f>IF($Y388="",0,IFERROR(INDEX(อัตราค่าขนส่ง!$K$5:$K$204,MATCH($Y388,อัตราค่าขนส่ง!$M$5:$M$204,0)),0))</f>
        <v/>
      </c>
      <c r="BD388">
        <f>IF($Y388="",0,IFERROR(INDEX(อัตราค่าขนส่ง!$L$5:$L$204,MATCH($Y388,อัตราค่าขนส่ง!$M$5:$M$204,0)),0))</f>
        <v/>
      </c>
    </row>
    <row r="389" ht="21" customHeight="1" s="66">
      <c r="A389" s="69">
        <f>IF($AD389="","",IF($AD389="Z","รวมจ่ายทั้งสิ้น",IF($AD389="H",INDEX($X$5:$X$404,$AC389),IF($AD389="T","รวม",IF($AD389="B",IFERROR(INDEX(อัตราค่าขนส่ง!$S$5:$S$14,MATCH(INDEX($AM$5:$AM$404,$AC389),อัตราค่าขนส่ง!$R$5:$R$14,0)),"รวมกลุ่ม "&amp;INDEX($AM$5:$AM$404,$AC389)),INDEX($AY$5:$AY$404,$AC389))))))</f>
        <v/>
      </c>
      <c r="B389" s="31">
        <f>IF($AD389&lt;&gt;"D","",INDEX($AW$5:$AW$404,$AC389))</f>
        <v/>
      </c>
      <c r="C389" s="68">
        <f>IF($AD389&lt;&gt;"D","",INDEX($AX$5:$AX$404,$AC389))</f>
        <v/>
      </c>
      <c r="D389" s="70">
        <f>IF($AD389&lt;&gt;"D","",INDEX($BA$5:$BA$404,$AC389))</f>
        <v/>
      </c>
      <c r="E389" s="31">
        <f>IF($AD389="Z",SUM($AR$5:$AR$404),IF($AD389="D",INDEX($AR$5:$AR$404,$AC389),IF($AD389="T",SUMIF($X$5:$X$404,$AF389,$AR$5:$AR$404),IF($AD389="B",SUMIF($AN$5:$AN$404,$AQ389,$AR$5:$AR$404),""))))</f>
        <v/>
      </c>
      <c r="F389" s="32">
        <f>IF($AD389="Z",ROUND(SUM($AS$5:$AS$404),2),IF($AD389="D",INDEX($AS$5:$AS$404,$AC389),IF($AD389="T",ROUND(SUMIF($X$5:$X$404,$AF389,$AS$5:$AS$404),2),IF($AD389="B",ROUND(SUMIF($AN$5:$AN$404,$AQ389,$AS$5:$AS$404),2),""))))</f>
        <v/>
      </c>
      <c r="G389" s="32">
        <f>IF($AD389&lt;&gt;"D","",INDEX($AT$5:$AT$404,$AC389))</f>
        <v/>
      </c>
      <c r="H389" s="32">
        <f>IF($AD389&lt;&gt;"D","",INDEX($BC$5:$BC$404,$AC389))</f>
        <v/>
      </c>
      <c r="I389" s="32">
        <f>IF($AD389&lt;&gt;"D","",INDEX($BD$5:$BD$404,$AC389))</f>
        <v/>
      </c>
      <c r="J389" s="46">
        <f>IF($AD389&lt;&gt;"D","",IF(N($B389)=0,"",ROUND($I389/$B389,4)))</f>
        <v/>
      </c>
      <c r="K389" s="32">
        <f>IF($AD389="Z",ROUND(SUM($AU$5:$AU$404),2),IF($AD389="D",INDEX($AU$5:$AU$404,$AC389),IF($AD389="T",ROUND(SUMIF($X$5:$X$404,$AF389,$AU$5:$AU$404),2),IF($AD389="B",ROUND(SUMIF($AN$5:$AN$404,$AQ389,$AU$5:$AU$404),2),""))))</f>
        <v/>
      </c>
      <c r="L389" s="32">
        <f>IF($AD389="Z",ROUND(SUM($AV$5:$AV$404),2),IF($AD389="D",INDEX($AV$5:$AV$404,$AC389),IF($AD389="T",ROUND(SUMIF($X$5:$X$404,$AF389,$AV$5:$AV$404),2),IF($AD389="B",ROUND(SUMIF($AN$5:$AN$404,$AQ389,$AV$5:$AV$404),2),""))))</f>
        <v/>
      </c>
      <c r="M389" s="32">
        <f>IF($AD389="Z",ROUND(SUM($AJ$5:$AJ$704),2),IF($AD389="B",ROUND(SUMIF($AQ$5:$AQ$704,$AQ389,$AJ$5:$AJ$704),2),IF($AD389&lt;&gt;"T","",$AJ389)))</f>
        <v/>
      </c>
      <c r="N389" s="32">
        <f>IF(OR($AD389="D",$AD389="T",$AD389="B",$AD389="Z"),ROUND(N($K389)-N($L389)-N($M389),2),"")</f>
        <v/>
      </c>
      <c r="O389" s="32">
        <f>IF(OR($AD389="D",$AD389="T",$AD389="B",$AD389="Z"),IF(N($E389)=0,"",ROUND($F389/$E389,2)),"")</f>
        <v/>
      </c>
      <c r="Q389">
        <f>IFERROR(MATCH(385,บันทึกรายเที่ยว!$Z$6:$Z$6005,0),"")</f>
        <v/>
      </c>
      <c r="R389">
        <f>IF($Q389="","",INDEX(บันทึกรายเที่ยว!$V$6:$V$6005,$Q389))</f>
        <v/>
      </c>
      <c r="S389">
        <f>IF($Q389="","",INDEX(บันทึกรายเที่ยว!$F$6:$F$6005,$Q389))</f>
        <v/>
      </c>
      <c r="T389">
        <f>IF($Q389="","",MATCH($S389,บันทึกรายเที่ยว!$F$6:$F$6005,0))</f>
        <v/>
      </c>
      <c r="U389">
        <f>IF($Q389="","",$AL389*10000000+$T389*1000+385)</f>
        <v/>
      </c>
      <c r="V389">
        <f>IFERROR(MATCH(SMALL($U$5:$U$404,385),$U$5:$U$404,0),"")</f>
        <v/>
      </c>
      <c r="W389">
        <f>IF($V389="","",INDEX($Q$5:$Q$404,$V389))</f>
        <v/>
      </c>
      <c r="X389">
        <f>IF($V389="","",INDEX($S$5:$S$404,$V389))</f>
        <v/>
      </c>
      <c r="Y389">
        <f>IF($V389="","",INDEX($R$5:$R$404,$V389))</f>
        <v/>
      </c>
      <c r="Z389">
        <f>IF($V389="",0,IF($X389&lt;&gt;$X388,1,0))</f>
        <v/>
      </c>
      <c r="AA389">
        <f>IF($V389="",0,IF($V390="",1,IF($X390&lt;&gt;$X389,1,0)))</f>
        <v/>
      </c>
      <c r="AB389">
        <f>IF($V389="",99999+385,$AB388+1+$Z388+$AA388+$AO388)</f>
        <v/>
      </c>
      <c r="AC389">
        <f>IFERROR(MATCH(385,$AB$5:$AB$404,1),"")</f>
        <v/>
      </c>
      <c r="AD389">
        <f>IF(385=$AI$1+1,"Z",IF($AC389="","",IF(INDEX($V$5:$V$404,$AC389)="","",IF(385&gt;INDEX($AB$5:$AB$404,$AC389)+INDEX($Z$5:$Z$404,$AC389)+INDEX($AA$5:$AA$404,$AC389)+INDEX($AO$5:$AO$404,$AC389),"",IF(385=INDEX($AB$5:$AB$404,$AC389)+INDEX($Z$5:$Z$404,$AC389),"D",IF(AND(INDEX($Z$5:$Z$404,$AC389)=1,385=INDEX($AB$5:$AB$404,$AC389)),"H",IF(AND(INDEX($AO$5:$AO$404,$AC389)=1,385=INDEX($AB$5:$AB$404,$AC389)+INDEX($Z$5:$Z$404,$AC389)+INDEX($AA$5:$AA$404,$AC389)+INDEX($AO$5:$AO$404,$AC389)),"B","T")))))))</f>
        <v/>
      </c>
      <c r="AF389">
        <f>IF(OR($AD389="",$AD389="Z",$AD389="B"),"",INDEX($X$5:$X$404,$AC389))</f>
        <v/>
      </c>
      <c r="AJ389">
        <f>IF($AD389&lt;&gt;"T",0,ROUND(SUMIF(oil!$B$4:$B$63,$AF389,oil!$AE$4:$AE$63),2))</f>
        <v/>
      </c>
      <c r="AK389">
        <f>IF($S389="","",IFERROR(INDEX(อัตราค่าขนส่ง!$P$5:$P$54,MATCH($S389,อัตราค่าขนส่ง!$O$5:$O$54,0)),INDEX(รายการมาตรฐาน!$G$2:$G$3,1)))</f>
        <v/>
      </c>
      <c r="AL389">
        <f>IF($S389="","",IFERROR(MATCH($AK389,รายการมาตรฐาน!$G$2:$G$3,0),1))</f>
        <v/>
      </c>
      <c r="AM389">
        <f>IF($V389="","",INDEX($AK$5:$AK$404,$V389))</f>
        <v/>
      </c>
      <c r="AN389">
        <f>IF($V389="","",INDEX($AL$5:$AL$404,$V389))</f>
        <v/>
      </c>
      <c r="AO389">
        <f>IF(OR($V389="",$AI$2&lt;=1),0,IF($V390="",1,IF($AN390&lt;&gt;$AN389,1,0)))</f>
        <v/>
      </c>
      <c r="AP389">
        <f>IF($V389="",0,IF($AN389&lt;&gt;$AN388,1,0))</f>
        <v/>
      </c>
      <c r="AQ389">
        <f>IF(OR($AD389="",$AD389="Z"),"",INDEX($AN$5:$AN$404,$AC389))</f>
        <v/>
      </c>
      <c r="AR389">
        <f>IF($Y389="",0,COUNTIF(บันทึกรายเที่ยว!$V$6:$V$6005,$Y389))</f>
        <v/>
      </c>
      <c r="AS389">
        <f>IF($Y389="",0,ROUND(SUMIF(บันทึกรายเที่ยว!$V$6:$V$6005,$Y389,บันทึกรายเที่ยว!$M$6:$M$6005),2))</f>
        <v/>
      </c>
      <c r="AT389">
        <f>IF($Y389="",0,IFERROR(INDEX(อัตราค่าขนส่ง!$G$5:$G$204,MATCH($Y389,อัตราค่าขนส่ง!$M$5:$M$204,0)),0))</f>
        <v/>
      </c>
      <c r="AU389">
        <f>ROUND($AS389*$BD389,2)</f>
        <v/>
      </c>
      <c r="AV389">
        <f>ROUND($AU389*$BF$2/100,2)</f>
        <v/>
      </c>
      <c r="AW389">
        <f>IF($Y389="","",IFERROR(INDEX(อัตราค่าขนส่ง!$F$5:$F$204,MATCH($Y389,อัตราค่าขนส่ง!$M$5:$M$204,0)),""))</f>
        <v/>
      </c>
      <c r="AX389">
        <f>IF($W389="","",INDEX(บันทึกรายเที่ยว!$D$6:$D$6005,$W389))</f>
        <v/>
      </c>
      <c r="AY389">
        <f>IF($W389="","",INDEX(บันทึกรายเที่ยว!$R$6:$R$6005,$W389))</f>
        <v/>
      </c>
      <c r="AZ389">
        <f>IF(AND($AD389="T",$AQ389=1),N($AZ388)+1,N($AZ388))</f>
        <v/>
      </c>
      <c r="BA389">
        <f>IF($W389="","",INDEX(บันทึกรายเที่ยว!$E$6:$E$6005,$W389))</f>
        <v/>
      </c>
      <c r="BC389">
        <f>IF($Y389="",0,IFERROR(INDEX(อัตราค่าขนส่ง!$K$5:$K$204,MATCH($Y389,อัตราค่าขนส่ง!$M$5:$M$204,0)),0))</f>
        <v/>
      </c>
      <c r="BD389">
        <f>IF($Y389="",0,IFERROR(INDEX(อัตราค่าขนส่ง!$L$5:$L$204,MATCH($Y389,อัตราค่าขนส่ง!$M$5:$M$204,0)),0))</f>
        <v/>
      </c>
    </row>
    <row r="390" ht="21" customHeight="1" s="66">
      <c r="A390" s="69">
        <f>IF($AD390="","",IF($AD390="Z","รวมจ่ายทั้งสิ้น",IF($AD390="H",INDEX($X$5:$X$404,$AC390),IF($AD390="T","รวม",IF($AD390="B",IFERROR(INDEX(อัตราค่าขนส่ง!$S$5:$S$14,MATCH(INDEX($AM$5:$AM$404,$AC390),อัตราค่าขนส่ง!$R$5:$R$14,0)),"รวมกลุ่ม "&amp;INDEX($AM$5:$AM$404,$AC390)),INDEX($AY$5:$AY$404,$AC390))))))</f>
        <v/>
      </c>
      <c r="B390" s="31">
        <f>IF($AD390&lt;&gt;"D","",INDEX($AW$5:$AW$404,$AC390))</f>
        <v/>
      </c>
      <c r="C390" s="68">
        <f>IF($AD390&lt;&gt;"D","",INDEX($AX$5:$AX$404,$AC390))</f>
        <v/>
      </c>
      <c r="D390" s="70">
        <f>IF($AD390&lt;&gt;"D","",INDEX($BA$5:$BA$404,$AC390))</f>
        <v/>
      </c>
      <c r="E390" s="31">
        <f>IF($AD390="Z",SUM($AR$5:$AR$404),IF($AD390="D",INDEX($AR$5:$AR$404,$AC390),IF($AD390="T",SUMIF($X$5:$X$404,$AF390,$AR$5:$AR$404),IF($AD390="B",SUMIF($AN$5:$AN$404,$AQ390,$AR$5:$AR$404),""))))</f>
        <v/>
      </c>
      <c r="F390" s="32">
        <f>IF($AD390="Z",ROUND(SUM($AS$5:$AS$404),2),IF($AD390="D",INDEX($AS$5:$AS$404,$AC390),IF($AD390="T",ROUND(SUMIF($X$5:$X$404,$AF390,$AS$5:$AS$404),2),IF($AD390="B",ROUND(SUMIF($AN$5:$AN$404,$AQ390,$AS$5:$AS$404),2),""))))</f>
        <v/>
      </c>
      <c r="G390" s="32">
        <f>IF($AD390&lt;&gt;"D","",INDEX($AT$5:$AT$404,$AC390))</f>
        <v/>
      </c>
      <c r="H390" s="32">
        <f>IF($AD390&lt;&gt;"D","",INDEX($BC$5:$BC$404,$AC390))</f>
        <v/>
      </c>
      <c r="I390" s="32">
        <f>IF($AD390&lt;&gt;"D","",INDEX($BD$5:$BD$404,$AC390))</f>
        <v/>
      </c>
      <c r="J390" s="46">
        <f>IF($AD390&lt;&gt;"D","",IF(N($B390)=0,"",ROUND($I390/$B390,4)))</f>
        <v/>
      </c>
      <c r="K390" s="32">
        <f>IF($AD390="Z",ROUND(SUM($AU$5:$AU$404),2),IF($AD390="D",INDEX($AU$5:$AU$404,$AC390),IF($AD390="T",ROUND(SUMIF($X$5:$X$404,$AF390,$AU$5:$AU$404),2),IF($AD390="B",ROUND(SUMIF($AN$5:$AN$404,$AQ390,$AU$5:$AU$404),2),""))))</f>
        <v/>
      </c>
      <c r="L390" s="32">
        <f>IF($AD390="Z",ROUND(SUM($AV$5:$AV$404),2),IF($AD390="D",INDEX($AV$5:$AV$404,$AC390),IF($AD390="T",ROUND(SUMIF($X$5:$X$404,$AF390,$AV$5:$AV$404),2),IF($AD390="B",ROUND(SUMIF($AN$5:$AN$404,$AQ390,$AV$5:$AV$404),2),""))))</f>
        <v/>
      </c>
      <c r="M390" s="32">
        <f>IF($AD390="Z",ROUND(SUM($AJ$5:$AJ$704),2),IF($AD390="B",ROUND(SUMIF($AQ$5:$AQ$704,$AQ390,$AJ$5:$AJ$704),2),IF($AD390&lt;&gt;"T","",$AJ390)))</f>
        <v/>
      </c>
      <c r="N390" s="32">
        <f>IF(OR($AD390="D",$AD390="T",$AD390="B",$AD390="Z"),ROUND(N($K390)-N($L390)-N($M390),2),"")</f>
        <v/>
      </c>
      <c r="O390" s="32">
        <f>IF(OR($AD390="D",$AD390="T",$AD390="B",$AD390="Z"),IF(N($E390)=0,"",ROUND($F390/$E390,2)),"")</f>
        <v/>
      </c>
      <c r="Q390">
        <f>IFERROR(MATCH(386,บันทึกรายเที่ยว!$Z$6:$Z$6005,0),"")</f>
        <v/>
      </c>
      <c r="R390">
        <f>IF($Q390="","",INDEX(บันทึกรายเที่ยว!$V$6:$V$6005,$Q390))</f>
        <v/>
      </c>
      <c r="S390">
        <f>IF($Q390="","",INDEX(บันทึกรายเที่ยว!$F$6:$F$6005,$Q390))</f>
        <v/>
      </c>
      <c r="T390">
        <f>IF($Q390="","",MATCH($S390,บันทึกรายเที่ยว!$F$6:$F$6005,0))</f>
        <v/>
      </c>
      <c r="U390">
        <f>IF($Q390="","",$AL390*10000000+$T390*1000+386)</f>
        <v/>
      </c>
      <c r="V390">
        <f>IFERROR(MATCH(SMALL($U$5:$U$404,386),$U$5:$U$404,0),"")</f>
        <v/>
      </c>
      <c r="W390">
        <f>IF($V390="","",INDEX($Q$5:$Q$404,$V390))</f>
        <v/>
      </c>
      <c r="X390">
        <f>IF($V390="","",INDEX($S$5:$S$404,$V390))</f>
        <v/>
      </c>
      <c r="Y390">
        <f>IF($V390="","",INDEX($R$5:$R$404,$V390))</f>
        <v/>
      </c>
      <c r="Z390">
        <f>IF($V390="",0,IF($X390&lt;&gt;$X389,1,0))</f>
        <v/>
      </c>
      <c r="AA390">
        <f>IF($V390="",0,IF($V391="",1,IF($X391&lt;&gt;$X390,1,0)))</f>
        <v/>
      </c>
      <c r="AB390">
        <f>IF($V390="",99999+386,$AB389+1+$Z389+$AA389+$AO389)</f>
        <v/>
      </c>
      <c r="AC390">
        <f>IFERROR(MATCH(386,$AB$5:$AB$404,1),"")</f>
        <v/>
      </c>
      <c r="AD390">
        <f>IF(386=$AI$1+1,"Z",IF($AC390="","",IF(INDEX($V$5:$V$404,$AC390)="","",IF(386&gt;INDEX($AB$5:$AB$404,$AC390)+INDEX($Z$5:$Z$404,$AC390)+INDEX($AA$5:$AA$404,$AC390)+INDEX($AO$5:$AO$404,$AC390),"",IF(386=INDEX($AB$5:$AB$404,$AC390)+INDEX($Z$5:$Z$404,$AC390),"D",IF(AND(INDEX($Z$5:$Z$404,$AC390)=1,386=INDEX($AB$5:$AB$404,$AC390)),"H",IF(AND(INDEX($AO$5:$AO$404,$AC390)=1,386=INDEX($AB$5:$AB$404,$AC390)+INDEX($Z$5:$Z$404,$AC390)+INDEX($AA$5:$AA$404,$AC390)+INDEX($AO$5:$AO$404,$AC390)),"B","T")))))))</f>
        <v/>
      </c>
      <c r="AF390">
        <f>IF(OR($AD390="",$AD390="Z",$AD390="B"),"",INDEX($X$5:$X$404,$AC390))</f>
        <v/>
      </c>
      <c r="AJ390">
        <f>IF($AD390&lt;&gt;"T",0,ROUND(SUMIF(oil!$B$4:$B$63,$AF390,oil!$AE$4:$AE$63),2))</f>
        <v/>
      </c>
      <c r="AK390">
        <f>IF($S390="","",IFERROR(INDEX(อัตราค่าขนส่ง!$P$5:$P$54,MATCH($S390,อัตราค่าขนส่ง!$O$5:$O$54,0)),INDEX(รายการมาตรฐาน!$G$2:$G$3,1)))</f>
        <v/>
      </c>
      <c r="AL390">
        <f>IF($S390="","",IFERROR(MATCH($AK390,รายการมาตรฐาน!$G$2:$G$3,0),1))</f>
        <v/>
      </c>
      <c r="AM390">
        <f>IF($V390="","",INDEX($AK$5:$AK$404,$V390))</f>
        <v/>
      </c>
      <c r="AN390">
        <f>IF($V390="","",INDEX($AL$5:$AL$404,$V390))</f>
        <v/>
      </c>
      <c r="AO390">
        <f>IF(OR($V390="",$AI$2&lt;=1),0,IF($V391="",1,IF($AN391&lt;&gt;$AN390,1,0)))</f>
        <v/>
      </c>
      <c r="AP390">
        <f>IF($V390="",0,IF($AN390&lt;&gt;$AN389,1,0))</f>
        <v/>
      </c>
      <c r="AQ390">
        <f>IF(OR($AD390="",$AD390="Z"),"",INDEX($AN$5:$AN$404,$AC390))</f>
        <v/>
      </c>
      <c r="AR390">
        <f>IF($Y390="",0,COUNTIF(บันทึกรายเที่ยว!$V$6:$V$6005,$Y390))</f>
        <v/>
      </c>
      <c r="AS390">
        <f>IF($Y390="",0,ROUND(SUMIF(บันทึกรายเที่ยว!$V$6:$V$6005,$Y390,บันทึกรายเที่ยว!$M$6:$M$6005),2))</f>
        <v/>
      </c>
      <c r="AT390">
        <f>IF($Y390="",0,IFERROR(INDEX(อัตราค่าขนส่ง!$G$5:$G$204,MATCH($Y390,อัตราค่าขนส่ง!$M$5:$M$204,0)),0))</f>
        <v/>
      </c>
      <c r="AU390">
        <f>ROUND($AS390*$BD390,2)</f>
        <v/>
      </c>
      <c r="AV390">
        <f>ROUND($AU390*$BF$2/100,2)</f>
        <v/>
      </c>
      <c r="AW390">
        <f>IF($Y390="","",IFERROR(INDEX(อัตราค่าขนส่ง!$F$5:$F$204,MATCH($Y390,อัตราค่าขนส่ง!$M$5:$M$204,0)),""))</f>
        <v/>
      </c>
      <c r="AX390">
        <f>IF($W390="","",INDEX(บันทึกรายเที่ยว!$D$6:$D$6005,$W390))</f>
        <v/>
      </c>
      <c r="AY390">
        <f>IF($W390="","",INDEX(บันทึกรายเที่ยว!$R$6:$R$6005,$W390))</f>
        <v/>
      </c>
      <c r="AZ390">
        <f>IF(AND($AD390="T",$AQ390=1),N($AZ389)+1,N($AZ389))</f>
        <v/>
      </c>
      <c r="BA390">
        <f>IF($W390="","",INDEX(บันทึกรายเที่ยว!$E$6:$E$6005,$W390))</f>
        <v/>
      </c>
      <c r="BC390">
        <f>IF($Y390="",0,IFERROR(INDEX(อัตราค่าขนส่ง!$K$5:$K$204,MATCH($Y390,อัตราค่าขนส่ง!$M$5:$M$204,0)),0))</f>
        <v/>
      </c>
      <c r="BD390">
        <f>IF($Y390="",0,IFERROR(INDEX(อัตราค่าขนส่ง!$L$5:$L$204,MATCH($Y390,อัตราค่าขนส่ง!$M$5:$M$204,0)),0))</f>
        <v/>
      </c>
    </row>
    <row r="391" ht="21" customHeight="1" s="66">
      <c r="A391" s="69">
        <f>IF($AD391="","",IF($AD391="Z","รวมจ่ายทั้งสิ้น",IF($AD391="H",INDEX($X$5:$X$404,$AC391),IF($AD391="T","รวม",IF($AD391="B",IFERROR(INDEX(อัตราค่าขนส่ง!$S$5:$S$14,MATCH(INDEX($AM$5:$AM$404,$AC391),อัตราค่าขนส่ง!$R$5:$R$14,0)),"รวมกลุ่ม "&amp;INDEX($AM$5:$AM$404,$AC391)),INDEX($AY$5:$AY$404,$AC391))))))</f>
        <v/>
      </c>
      <c r="B391" s="31">
        <f>IF($AD391&lt;&gt;"D","",INDEX($AW$5:$AW$404,$AC391))</f>
        <v/>
      </c>
      <c r="C391" s="68">
        <f>IF($AD391&lt;&gt;"D","",INDEX($AX$5:$AX$404,$AC391))</f>
        <v/>
      </c>
      <c r="D391" s="70">
        <f>IF($AD391&lt;&gt;"D","",INDEX($BA$5:$BA$404,$AC391))</f>
        <v/>
      </c>
      <c r="E391" s="31">
        <f>IF($AD391="Z",SUM($AR$5:$AR$404),IF($AD391="D",INDEX($AR$5:$AR$404,$AC391),IF($AD391="T",SUMIF($X$5:$X$404,$AF391,$AR$5:$AR$404),IF($AD391="B",SUMIF($AN$5:$AN$404,$AQ391,$AR$5:$AR$404),""))))</f>
        <v/>
      </c>
      <c r="F391" s="32">
        <f>IF($AD391="Z",ROUND(SUM($AS$5:$AS$404),2),IF($AD391="D",INDEX($AS$5:$AS$404,$AC391),IF($AD391="T",ROUND(SUMIF($X$5:$X$404,$AF391,$AS$5:$AS$404),2),IF($AD391="B",ROUND(SUMIF($AN$5:$AN$404,$AQ391,$AS$5:$AS$404),2),""))))</f>
        <v/>
      </c>
      <c r="G391" s="32">
        <f>IF($AD391&lt;&gt;"D","",INDEX($AT$5:$AT$404,$AC391))</f>
        <v/>
      </c>
      <c r="H391" s="32">
        <f>IF($AD391&lt;&gt;"D","",INDEX($BC$5:$BC$404,$AC391))</f>
        <v/>
      </c>
      <c r="I391" s="32">
        <f>IF($AD391&lt;&gt;"D","",INDEX($BD$5:$BD$404,$AC391))</f>
        <v/>
      </c>
      <c r="J391" s="46">
        <f>IF($AD391&lt;&gt;"D","",IF(N($B391)=0,"",ROUND($I391/$B391,4)))</f>
        <v/>
      </c>
      <c r="K391" s="32">
        <f>IF($AD391="Z",ROUND(SUM($AU$5:$AU$404),2),IF($AD391="D",INDEX($AU$5:$AU$404,$AC391),IF($AD391="T",ROUND(SUMIF($X$5:$X$404,$AF391,$AU$5:$AU$404),2),IF($AD391="B",ROUND(SUMIF($AN$5:$AN$404,$AQ391,$AU$5:$AU$404),2),""))))</f>
        <v/>
      </c>
      <c r="L391" s="32">
        <f>IF($AD391="Z",ROUND(SUM($AV$5:$AV$404),2),IF($AD391="D",INDEX($AV$5:$AV$404,$AC391),IF($AD391="T",ROUND(SUMIF($X$5:$X$404,$AF391,$AV$5:$AV$404),2),IF($AD391="B",ROUND(SUMIF($AN$5:$AN$404,$AQ391,$AV$5:$AV$404),2),""))))</f>
        <v/>
      </c>
      <c r="M391" s="32">
        <f>IF($AD391="Z",ROUND(SUM($AJ$5:$AJ$704),2),IF($AD391="B",ROUND(SUMIF($AQ$5:$AQ$704,$AQ391,$AJ$5:$AJ$704),2),IF($AD391&lt;&gt;"T","",$AJ391)))</f>
        <v/>
      </c>
      <c r="N391" s="32">
        <f>IF(OR($AD391="D",$AD391="T",$AD391="B",$AD391="Z"),ROUND(N($K391)-N($L391)-N($M391),2),"")</f>
        <v/>
      </c>
      <c r="O391" s="32">
        <f>IF(OR($AD391="D",$AD391="T",$AD391="B",$AD391="Z"),IF(N($E391)=0,"",ROUND($F391/$E391,2)),"")</f>
        <v/>
      </c>
      <c r="Q391">
        <f>IFERROR(MATCH(387,บันทึกรายเที่ยว!$Z$6:$Z$6005,0),"")</f>
        <v/>
      </c>
      <c r="R391">
        <f>IF($Q391="","",INDEX(บันทึกรายเที่ยว!$V$6:$V$6005,$Q391))</f>
        <v/>
      </c>
      <c r="S391">
        <f>IF($Q391="","",INDEX(บันทึกรายเที่ยว!$F$6:$F$6005,$Q391))</f>
        <v/>
      </c>
      <c r="T391">
        <f>IF($Q391="","",MATCH($S391,บันทึกรายเที่ยว!$F$6:$F$6005,0))</f>
        <v/>
      </c>
      <c r="U391">
        <f>IF($Q391="","",$AL391*10000000+$T391*1000+387)</f>
        <v/>
      </c>
      <c r="V391">
        <f>IFERROR(MATCH(SMALL($U$5:$U$404,387),$U$5:$U$404,0),"")</f>
        <v/>
      </c>
      <c r="W391">
        <f>IF($V391="","",INDEX($Q$5:$Q$404,$V391))</f>
        <v/>
      </c>
      <c r="X391">
        <f>IF($V391="","",INDEX($S$5:$S$404,$V391))</f>
        <v/>
      </c>
      <c r="Y391">
        <f>IF($V391="","",INDEX($R$5:$R$404,$V391))</f>
        <v/>
      </c>
      <c r="Z391">
        <f>IF($V391="",0,IF($X391&lt;&gt;$X390,1,0))</f>
        <v/>
      </c>
      <c r="AA391">
        <f>IF($V391="",0,IF($V392="",1,IF($X392&lt;&gt;$X391,1,0)))</f>
        <v/>
      </c>
      <c r="AB391">
        <f>IF($V391="",99999+387,$AB390+1+$Z390+$AA390+$AO390)</f>
        <v/>
      </c>
      <c r="AC391">
        <f>IFERROR(MATCH(387,$AB$5:$AB$404,1),"")</f>
        <v/>
      </c>
      <c r="AD391">
        <f>IF(387=$AI$1+1,"Z",IF($AC391="","",IF(INDEX($V$5:$V$404,$AC391)="","",IF(387&gt;INDEX($AB$5:$AB$404,$AC391)+INDEX($Z$5:$Z$404,$AC391)+INDEX($AA$5:$AA$404,$AC391)+INDEX($AO$5:$AO$404,$AC391),"",IF(387=INDEX($AB$5:$AB$404,$AC391)+INDEX($Z$5:$Z$404,$AC391),"D",IF(AND(INDEX($Z$5:$Z$404,$AC391)=1,387=INDEX($AB$5:$AB$404,$AC391)),"H",IF(AND(INDEX($AO$5:$AO$404,$AC391)=1,387=INDEX($AB$5:$AB$404,$AC391)+INDEX($Z$5:$Z$404,$AC391)+INDEX($AA$5:$AA$404,$AC391)+INDEX($AO$5:$AO$404,$AC391)),"B","T")))))))</f>
        <v/>
      </c>
      <c r="AF391">
        <f>IF(OR($AD391="",$AD391="Z",$AD391="B"),"",INDEX($X$5:$X$404,$AC391))</f>
        <v/>
      </c>
      <c r="AJ391">
        <f>IF($AD391&lt;&gt;"T",0,ROUND(SUMIF(oil!$B$4:$B$63,$AF391,oil!$AE$4:$AE$63),2))</f>
        <v/>
      </c>
      <c r="AK391">
        <f>IF($S391="","",IFERROR(INDEX(อัตราค่าขนส่ง!$P$5:$P$54,MATCH($S391,อัตราค่าขนส่ง!$O$5:$O$54,0)),INDEX(รายการมาตรฐาน!$G$2:$G$3,1)))</f>
        <v/>
      </c>
      <c r="AL391">
        <f>IF($S391="","",IFERROR(MATCH($AK391,รายการมาตรฐาน!$G$2:$G$3,0),1))</f>
        <v/>
      </c>
      <c r="AM391">
        <f>IF($V391="","",INDEX($AK$5:$AK$404,$V391))</f>
        <v/>
      </c>
      <c r="AN391">
        <f>IF($V391="","",INDEX($AL$5:$AL$404,$V391))</f>
        <v/>
      </c>
      <c r="AO391">
        <f>IF(OR($V391="",$AI$2&lt;=1),0,IF($V392="",1,IF($AN392&lt;&gt;$AN391,1,0)))</f>
        <v/>
      </c>
      <c r="AP391">
        <f>IF($V391="",0,IF($AN391&lt;&gt;$AN390,1,0))</f>
        <v/>
      </c>
      <c r="AQ391">
        <f>IF(OR($AD391="",$AD391="Z"),"",INDEX($AN$5:$AN$404,$AC391))</f>
        <v/>
      </c>
      <c r="AR391">
        <f>IF($Y391="",0,COUNTIF(บันทึกรายเที่ยว!$V$6:$V$6005,$Y391))</f>
        <v/>
      </c>
      <c r="AS391">
        <f>IF($Y391="",0,ROUND(SUMIF(บันทึกรายเที่ยว!$V$6:$V$6005,$Y391,บันทึกรายเที่ยว!$M$6:$M$6005),2))</f>
        <v/>
      </c>
      <c r="AT391">
        <f>IF($Y391="",0,IFERROR(INDEX(อัตราค่าขนส่ง!$G$5:$G$204,MATCH($Y391,อัตราค่าขนส่ง!$M$5:$M$204,0)),0))</f>
        <v/>
      </c>
      <c r="AU391">
        <f>ROUND($AS391*$BD391,2)</f>
        <v/>
      </c>
      <c r="AV391">
        <f>ROUND($AU391*$BF$2/100,2)</f>
        <v/>
      </c>
      <c r="AW391">
        <f>IF($Y391="","",IFERROR(INDEX(อัตราค่าขนส่ง!$F$5:$F$204,MATCH($Y391,อัตราค่าขนส่ง!$M$5:$M$204,0)),""))</f>
        <v/>
      </c>
      <c r="AX391">
        <f>IF($W391="","",INDEX(บันทึกรายเที่ยว!$D$6:$D$6005,$W391))</f>
        <v/>
      </c>
      <c r="AY391">
        <f>IF($W391="","",INDEX(บันทึกรายเที่ยว!$R$6:$R$6005,$W391))</f>
        <v/>
      </c>
      <c r="AZ391">
        <f>IF(AND($AD391="T",$AQ391=1),N($AZ390)+1,N($AZ390))</f>
        <v/>
      </c>
      <c r="BA391">
        <f>IF($W391="","",INDEX(บันทึกรายเที่ยว!$E$6:$E$6005,$W391))</f>
        <v/>
      </c>
      <c r="BC391">
        <f>IF($Y391="",0,IFERROR(INDEX(อัตราค่าขนส่ง!$K$5:$K$204,MATCH($Y391,อัตราค่าขนส่ง!$M$5:$M$204,0)),0))</f>
        <v/>
      </c>
      <c r="BD391">
        <f>IF($Y391="",0,IFERROR(INDEX(อัตราค่าขนส่ง!$L$5:$L$204,MATCH($Y391,อัตราค่าขนส่ง!$M$5:$M$204,0)),0))</f>
        <v/>
      </c>
    </row>
    <row r="392" ht="21" customHeight="1" s="66">
      <c r="A392" s="69">
        <f>IF($AD392="","",IF($AD392="Z","รวมจ่ายทั้งสิ้น",IF($AD392="H",INDEX($X$5:$X$404,$AC392),IF($AD392="T","รวม",IF($AD392="B",IFERROR(INDEX(อัตราค่าขนส่ง!$S$5:$S$14,MATCH(INDEX($AM$5:$AM$404,$AC392),อัตราค่าขนส่ง!$R$5:$R$14,0)),"รวมกลุ่ม "&amp;INDEX($AM$5:$AM$404,$AC392)),INDEX($AY$5:$AY$404,$AC392))))))</f>
        <v/>
      </c>
      <c r="B392" s="31">
        <f>IF($AD392&lt;&gt;"D","",INDEX($AW$5:$AW$404,$AC392))</f>
        <v/>
      </c>
      <c r="C392" s="68">
        <f>IF($AD392&lt;&gt;"D","",INDEX($AX$5:$AX$404,$AC392))</f>
        <v/>
      </c>
      <c r="D392" s="70">
        <f>IF($AD392&lt;&gt;"D","",INDEX($BA$5:$BA$404,$AC392))</f>
        <v/>
      </c>
      <c r="E392" s="31">
        <f>IF($AD392="Z",SUM($AR$5:$AR$404),IF($AD392="D",INDEX($AR$5:$AR$404,$AC392),IF($AD392="T",SUMIF($X$5:$X$404,$AF392,$AR$5:$AR$404),IF($AD392="B",SUMIF($AN$5:$AN$404,$AQ392,$AR$5:$AR$404),""))))</f>
        <v/>
      </c>
      <c r="F392" s="32">
        <f>IF($AD392="Z",ROUND(SUM($AS$5:$AS$404),2),IF($AD392="D",INDEX($AS$5:$AS$404,$AC392),IF($AD392="T",ROUND(SUMIF($X$5:$X$404,$AF392,$AS$5:$AS$404),2),IF($AD392="B",ROUND(SUMIF($AN$5:$AN$404,$AQ392,$AS$5:$AS$404),2),""))))</f>
        <v/>
      </c>
      <c r="G392" s="32">
        <f>IF($AD392&lt;&gt;"D","",INDEX($AT$5:$AT$404,$AC392))</f>
        <v/>
      </c>
      <c r="H392" s="32">
        <f>IF($AD392&lt;&gt;"D","",INDEX($BC$5:$BC$404,$AC392))</f>
        <v/>
      </c>
      <c r="I392" s="32">
        <f>IF($AD392&lt;&gt;"D","",INDEX($BD$5:$BD$404,$AC392))</f>
        <v/>
      </c>
      <c r="J392" s="46">
        <f>IF($AD392&lt;&gt;"D","",IF(N($B392)=0,"",ROUND($I392/$B392,4)))</f>
        <v/>
      </c>
      <c r="K392" s="32">
        <f>IF($AD392="Z",ROUND(SUM($AU$5:$AU$404),2),IF($AD392="D",INDEX($AU$5:$AU$404,$AC392),IF($AD392="T",ROUND(SUMIF($X$5:$X$404,$AF392,$AU$5:$AU$404),2),IF($AD392="B",ROUND(SUMIF($AN$5:$AN$404,$AQ392,$AU$5:$AU$404),2),""))))</f>
        <v/>
      </c>
      <c r="L392" s="32">
        <f>IF($AD392="Z",ROUND(SUM($AV$5:$AV$404),2),IF($AD392="D",INDEX($AV$5:$AV$404,$AC392),IF($AD392="T",ROUND(SUMIF($X$5:$X$404,$AF392,$AV$5:$AV$404),2),IF($AD392="B",ROUND(SUMIF($AN$5:$AN$404,$AQ392,$AV$5:$AV$404),2),""))))</f>
        <v/>
      </c>
      <c r="M392" s="32">
        <f>IF($AD392="Z",ROUND(SUM($AJ$5:$AJ$704),2),IF($AD392="B",ROUND(SUMIF($AQ$5:$AQ$704,$AQ392,$AJ$5:$AJ$704),2),IF($AD392&lt;&gt;"T","",$AJ392)))</f>
        <v/>
      </c>
      <c r="N392" s="32">
        <f>IF(OR($AD392="D",$AD392="T",$AD392="B",$AD392="Z"),ROUND(N($K392)-N($L392)-N($M392),2),"")</f>
        <v/>
      </c>
      <c r="O392" s="32">
        <f>IF(OR($AD392="D",$AD392="T",$AD392="B",$AD392="Z"),IF(N($E392)=0,"",ROUND($F392/$E392,2)),"")</f>
        <v/>
      </c>
      <c r="Q392">
        <f>IFERROR(MATCH(388,บันทึกรายเที่ยว!$Z$6:$Z$6005,0),"")</f>
        <v/>
      </c>
      <c r="R392">
        <f>IF($Q392="","",INDEX(บันทึกรายเที่ยว!$V$6:$V$6005,$Q392))</f>
        <v/>
      </c>
      <c r="S392">
        <f>IF($Q392="","",INDEX(บันทึกรายเที่ยว!$F$6:$F$6005,$Q392))</f>
        <v/>
      </c>
      <c r="T392">
        <f>IF($Q392="","",MATCH($S392,บันทึกรายเที่ยว!$F$6:$F$6005,0))</f>
        <v/>
      </c>
      <c r="U392">
        <f>IF($Q392="","",$AL392*10000000+$T392*1000+388)</f>
        <v/>
      </c>
      <c r="V392">
        <f>IFERROR(MATCH(SMALL($U$5:$U$404,388),$U$5:$U$404,0),"")</f>
        <v/>
      </c>
      <c r="W392">
        <f>IF($V392="","",INDEX($Q$5:$Q$404,$V392))</f>
        <v/>
      </c>
      <c r="X392">
        <f>IF($V392="","",INDEX($S$5:$S$404,$V392))</f>
        <v/>
      </c>
      <c r="Y392">
        <f>IF($V392="","",INDEX($R$5:$R$404,$V392))</f>
        <v/>
      </c>
      <c r="Z392">
        <f>IF($V392="",0,IF($X392&lt;&gt;$X391,1,0))</f>
        <v/>
      </c>
      <c r="AA392">
        <f>IF($V392="",0,IF($V393="",1,IF($X393&lt;&gt;$X392,1,0)))</f>
        <v/>
      </c>
      <c r="AB392">
        <f>IF($V392="",99999+388,$AB391+1+$Z391+$AA391+$AO391)</f>
        <v/>
      </c>
      <c r="AC392">
        <f>IFERROR(MATCH(388,$AB$5:$AB$404,1),"")</f>
        <v/>
      </c>
      <c r="AD392">
        <f>IF(388=$AI$1+1,"Z",IF($AC392="","",IF(INDEX($V$5:$V$404,$AC392)="","",IF(388&gt;INDEX($AB$5:$AB$404,$AC392)+INDEX($Z$5:$Z$404,$AC392)+INDEX($AA$5:$AA$404,$AC392)+INDEX($AO$5:$AO$404,$AC392),"",IF(388=INDEX($AB$5:$AB$404,$AC392)+INDEX($Z$5:$Z$404,$AC392),"D",IF(AND(INDEX($Z$5:$Z$404,$AC392)=1,388=INDEX($AB$5:$AB$404,$AC392)),"H",IF(AND(INDEX($AO$5:$AO$404,$AC392)=1,388=INDEX($AB$5:$AB$404,$AC392)+INDEX($Z$5:$Z$404,$AC392)+INDEX($AA$5:$AA$404,$AC392)+INDEX($AO$5:$AO$404,$AC392)),"B","T")))))))</f>
        <v/>
      </c>
      <c r="AF392">
        <f>IF(OR($AD392="",$AD392="Z",$AD392="B"),"",INDEX($X$5:$X$404,$AC392))</f>
        <v/>
      </c>
      <c r="AJ392">
        <f>IF($AD392&lt;&gt;"T",0,ROUND(SUMIF(oil!$B$4:$B$63,$AF392,oil!$AE$4:$AE$63),2))</f>
        <v/>
      </c>
      <c r="AK392">
        <f>IF($S392="","",IFERROR(INDEX(อัตราค่าขนส่ง!$P$5:$P$54,MATCH($S392,อัตราค่าขนส่ง!$O$5:$O$54,0)),INDEX(รายการมาตรฐาน!$G$2:$G$3,1)))</f>
        <v/>
      </c>
      <c r="AL392">
        <f>IF($S392="","",IFERROR(MATCH($AK392,รายการมาตรฐาน!$G$2:$G$3,0),1))</f>
        <v/>
      </c>
      <c r="AM392">
        <f>IF($V392="","",INDEX($AK$5:$AK$404,$V392))</f>
        <v/>
      </c>
      <c r="AN392">
        <f>IF($V392="","",INDEX($AL$5:$AL$404,$V392))</f>
        <v/>
      </c>
      <c r="AO392">
        <f>IF(OR($V392="",$AI$2&lt;=1),0,IF($V393="",1,IF($AN393&lt;&gt;$AN392,1,0)))</f>
        <v/>
      </c>
      <c r="AP392">
        <f>IF($V392="",0,IF($AN392&lt;&gt;$AN391,1,0))</f>
        <v/>
      </c>
      <c r="AQ392">
        <f>IF(OR($AD392="",$AD392="Z"),"",INDEX($AN$5:$AN$404,$AC392))</f>
        <v/>
      </c>
      <c r="AR392">
        <f>IF($Y392="",0,COUNTIF(บันทึกรายเที่ยว!$V$6:$V$6005,$Y392))</f>
        <v/>
      </c>
      <c r="AS392">
        <f>IF($Y392="",0,ROUND(SUMIF(บันทึกรายเที่ยว!$V$6:$V$6005,$Y392,บันทึกรายเที่ยว!$M$6:$M$6005),2))</f>
        <v/>
      </c>
      <c r="AT392">
        <f>IF($Y392="",0,IFERROR(INDEX(อัตราค่าขนส่ง!$G$5:$G$204,MATCH($Y392,อัตราค่าขนส่ง!$M$5:$M$204,0)),0))</f>
        <v/>
      </c>
      <c r="AU392">
        <f>ROUND($AS392*$BD392,2)</f>
        <v/>
      </c>
      <c r="AV392">
        <f>ROUND($AU392*$BF$2/100,2)</f>
        <v/>
      </c>
      <c r="AW392">
        <f>IF($Y392="","",IFERROR(INDEX(อัตราค่าขนส่ง!$F$5:$F$204,MATCH($Y392,อัตราค่าขนส่ง!$M$5:$M$204,0)),""))</f>
        <v/>
      </c>
      <c r="AX392">
        <f>IF($W392="","",INDEX(บันทึกรายเที่ยว!$D$6:$D$6005,$W392))</f>
        <v/>
      </c>
      <c r="AY392">
        <f>IF($W392="","",INDEX(บันทึกรายเที่ยว!$R$6:$R$6005,$W392))</f>
        <v/>
      </c>
      <c r="AZ392">
        <f>IF(AND($AD392="T",$AQ392=1),N($AZ391)+1,N($AZ391))</f>
        <v/>
      </c>
      <c r="BA392">
        <f>IF($W392="","",INDEX(บันทึกรายเที่ยว!$E$6:$E$6005,$W392))</f>
        <v/>
      </c>
      <c r="BC392">
        <f>IF($Y392="",0,IFERROR(INDEX(อัตราค่าขนส่ง!$K$5:$K$204,MATCH($Y392,อัตราค่าขนส่ง!$M$5:$M$204,0)),0))</f>
        <v/>
      </c>
      <c r="BD392">
        <f>IF($Y392="",0,IFERROR(INDEX(อัตราค่าขนส่ง!$L$5:$L$204,MATCH($Y392,อัตราค่าขนส่ง!$M$5:$M$204,0)),0))</f>
        <v/>
      </c>
    </row>
    <row r="393" ht="21" customHeight="1" s="66">
      <c r="A393" s="69">
        <f>IF($AD393="","",IF($AD393="Z","รวมจ่ายทั้งสิ้น",IF($AD393="H",INDEX($X$5:$X$404,$AC393),IF($AD393="T","รวม",IF($AD393="B",IFERROR(INDEX(อัตราค่าขนส่ง!$S$5:$S$14,MATCH(INDEX($AM$5:$AM$404,$AC393),อัตราค่าขนส่ง!$R$5:$R$14,0)),"รวมกลุ่ม "&amp;INDEX($AM$5:$AM$404,$AC393)),INDEX($AY$5:$AY$404,$AC393))))))</f>
        <v/>
      </c>
      <c r="B393" s="31">
        <f>IF($AD393&lt;&gt;"D","",INDEX($AW$5:$AW$404,$AC393))</f>
        <v/>
      </c>
      <c r="C393" s="68">
        <f>IF($AD393&lt;&gt;"D","",INDEX($AX$5:$AX$404,$AC393))</f>
        <v/>
      </c>
      <c r="D393" s="70">
        <f>IF($AD393&lt;&gt;"D","",INDEX($BA$5:$BA$404,$AC393))</f>
        <v/>
      </c>
      <c r="E393" s="31">
        <f>IF($AD393="Z",SUM($AR$5:$AR$404),IF($AD393="D",INDEX($AR$5:$AR$404,$AC393),IF($AD393="T",SUMIF($X$5:$X$404,$AF393,$AR$5:$AR$404),IF($AD393="B",SUMIF($AN$5:$AN$404,$AQ393,$AR$5:$AR$404),""))))</f>
        <v/>
      </c>
      <c r="F393" s="32">
        <f>IF($AD393="Z",ROUND(SUM($AS$5:$AS$404),2),IF($AD393="D",INDEX($AS$5:$AS$404,$AC393),IF($AD393="T",ROUND(SUMIF($X$5:$X$404,$AF393,$AS$5:$AS$404),2),IF($AD393="B",ROUND(SUMIF($AN$5:$AN$404,$AQ393,$AS$5:$AS$404),2),""))))</f>
        <v/>
      </c>
      <c r="G393" s="32">
        <f>IF($AD393&lt;&gt;"D","",INDEX($AT$5:$AT$404,$AC393))</f>
        <v/>
      </c>
      <c r="H393" s="32">
        <f>IF($AD393&lt;&gt;"D","",INDEX($BC$5:$BC$404,$AC393))</f>
        <v/>
      </c>
      <c r="I393" s="32">
        <f>IF($AD393&lt;&gt;"D","",INDEX($BD$5:$BD$404,$AC393))</f>
        <v/>
      </c>
      <c r="J393" s="46">
        <f>IF($AD393&lt;&gt;"D","",IF(N($B393)=0,"",ROUND($I393/$B393,4)))</f>
        <v/>
      </c>
      <c r="K393" s="32">
        <f>IF($AD393="Z",ROUND(SUM($AU$5:$AU$404),2),IF($AD393="D",INDEX($AU$5:$AU$404,$AC393),IF($AD393="T",ROUND(SUMIF($X$5:$X$404,$AF393,$AU$5:$AU$404),2),IF($AD393="B",ROUND(SUMIF($AN$5:$AN$404,$AQ393,$AU$5:$AU$404),2),""))))</f>
        <v/>
      </c>
      <c r="L393" s="32">
        <f>IF($AD393="Z",ROUND(SUM($AV$5:$AV$404),2),IF($AD393="D",INDEX($AV$5:$AV$404,$AC393),IF($AD393="T",ROUND(SUMIF($X$5:$X$404,$AF393,$AV$5:$AV$404),2),IF($AD393="B",ROUND(SUMIF($AN$5:$AN$404,$AQ393,$AV$5:$AV$404),2),""))))</f>
        <v/>
      </c>
      <c r="M393" s="32">
        <f>IF($AD393="Z",ROUND(SUM($AJ$5:$AJ$704),2),IF($AD393="B",ROUND(SUMIF($AQ$5:$AQ$704,$AQ393,$AJ$5:$AJ$704),2),IF($AD393&lt;&gt;"T","",$AJ393)))</f>
        <v/>
      </c>
      <c r="N393" s="32">
        <f>IF(OR($AD393="D",$AD393="T",$AD393="B",$AD393="Z"),ROUND(N($K393)-N($L393)-N($M393),2),"")</f>
        <v/>
      </c>
      <c r="O393" s="32">
        <f>IF(OR($AD393="D",$AD393="T",$AD393="B",$AD393="Z"),IF(N($E393)=0,"",ROUND($F393/$E393,2)),"")</f>
        <v/>
      </c>
      <c r="Q393">
        <f>IFERROR(MATCH(389,บันทึกรายเที่ยว!$Z$6:$Z$6005,0),"")</f>
        <v/>
      </c>
      <c r="R393">
        <f>IF($Q393="","",INDEX(บันทึกรายเที่ยว!$V$6:$V$6005,$Q393))</f>
        <v/>
      </c>
      <c r="S393">
        <f>IF($Q393="","",INDEX(บันทึกรายเที่ยว!$F$6:$F$6005,$Q393))</f>
        <v/>
      </c>
      <c r="T393">
        <f>IF($Q393="","",MATCH($S393,บันทึกรายเที่ยว!$F$6:$F$6005,0))</f>
        <v/>
      </c>
      <c r="U393">
        <f>IF($Q393="","",$AL393*10000000+$T393*1000+389)</f>
        <v/>
      </c>
      <c r="V393">
        <f>IFERROR(MATCH(SMALL($U$5:$U$404,389),$U$5:$U$404,0),"")</f>
        <v/>
      </c>
      <c r="W393">
        <f>IF($V393="","",INDEX($Q$5:$Q$404,$V393))</f>
        <v/>
      </c>
      <c r="X393">
        <f>IF($V393="","",INDEX($S$5:$S$404,$V393))</f>
        <v/>
      </c>
      <c r="Y393">
        <f>IF($V393="","",INDEX($R$5:$R$404,$V393))</f>
        <v/>
      </c>
      <c r="Z393">
        <f>IF($V393="",0,IF($X393&lt;&gt;$X392,1,0))</f>
        <v/>
      </c>
      <c r="AA393">
        <f>IF($V393="",0,IF($V394="",1,IF($X394&lt;&gt;$X393,1,0)))</f>
        <v/>
      </c>
      <c r="AB393">
        <f>IF($V393="",99999+389,$AB392+1+$Z392+$AA392+$AO392)</f>
        <v/>
      </c>
      <c r="AC393">
        <f>IFERROR(MATCH(389,$AB$5:$AB$404,1),"")</f>
        <v/>
      </c>
      <c r="AD393">
        <f>IF(389=$AI$1+1,"Z",IF($AC393="","",IF(INDEX($V$5:$V$404,$AC393)="","",IF(389&gt;INDEX($AB$5:$AB$404,$AC393)+INDEX($Z$5:$Z$404,$AC393)+INDEX($AA$5:$AA$404,$AC393)+INDEX($AO$5:$AO$404,$AC393),"",IF(389=INDEX($AB$5:$AB$404,$AC393)+INDEX($Z$5:$Z$404,$AC393),"D",IF(AND(INDEX($Z$5:$Z$404,$AC393)=1,389=INDEX($AB$5:$AB$404,$AC393)),"H",IF(AND(INDEX($AO$5:$AO$404,$AC393)=1,389=INDEX($AB$5:$AB$404,$AC393)+INDEX($Z$5:$Z$404,$AC393)+INDEX($AA$5:$AA$404,$AC393)+INDEX($AO$5:$AO$404,$AC393)),"B","T")))))))</f>
        <v/>
      </c>
      <c r="AF393">
        <f>IF(OR($AD393="",$AD393="Z",$AD393="B"),"",INDEX($X$5:$X$404,$AC393))</f>
        <v/>
      </c>
      <c r="AJ393">
        <f>IF($AD393&lt;&gt;"T",0,ROUND(SUMIF(oil!$B$4:$B$63,$AF393,oil!$AE$4:$AE$63),2))</f>
        <v/>
      </c>
      <c r="AK393">
        <f>IF($S393="","",IFERROR(INDEX(อัตราค่าขนส่ง!$P$5:$P$54,MATCH($S393,อัตราค่าขนส่ง!$O$5:$O$54,0)),INDEX(รายการมาตรฐาน!$G$2:$G$3,1)))</f>
        <v/>
      </c>
      <c r="AL393">
        <f>IF($S393="","",IFERROR(MATCH($AK393,รายการมาตรฐาน!$G$2:$G$3,0),1))</f>
        <v/>
      </c>
      <c r="AM393">
        <f>IF($V393="","",INDEX($AK$5:$AK$404,$V393))</f>
        <v/>
      </c>
      <c r="AN393">
        <f>IF($V393="","",INDEX($AL$5:$AL$404,$V393))</f>
        <v/>
      </c>
      <c r="AO393">
        <f>IF(OR($V393="",$AI$2&lt;=1),0,IF($V394="",1,IF($AN394&lt;&gt;$AN393,1,0)))</f>
        <v/>
      </c>
      <c r="AP393">
        <f>IF($V393="",0,IF($AN393&lt;&gt;$AN392,1,0))</f>
        <v/>
      </c>
      <c r="AQ393">
        <f>IF(OR($AD393="",$AD393="Z"),"",INDEX($AN$5:$AN$404,$AC393))</f>
        <v/>
      </c>
      <c r="AR393">
        <f>IF($Y393="",0,COUNTIF(บันทึกรายเที่ยว!$V$6:$V$6005,$Y393))</f>
        <v/>
      </c>
      <c r="AS393">
        <f>IF($Y393="",0,ROUND(SUMIF(บันทึกรายเที่ยว!$V$6:$V$6005,$Y393,บันทึกรายเที่ยว!$M$6:$M$6005),2))</f>
        <v/>
      </c>
      <c r="AT393">
        <f>IF($Y393="",0,IFERROR(INDEX(อัตราค่าขนส่ง!$G$5:$G$204,MATCH($Y393,อัตราค่าขนส่ง!$M$5:$M$204,0)),0))</f>
        <v/>
      </c>
      <c r="AU393">
        <f>ROUND($AS393*$BD393,2)</f>
        <v/>
      </c>
      <c r="AV393">
        <f>ROUND($AU393*$BF$2/100,2)</f>
        <v/>
      </c>
      <c r="AW393">
        <f>IF($Y393="","",IFERROR(INDEX(อัตราค่าขนส่ง!$F$5:$F$204,MATCH($Y393,อัตราค่าขนส่ง!$M$5:$M$204,0)),""))</f>
        <v/>
      </c>
      <c r="AX393">
        <f>IF($W393="","",INDEX(บันทึกรายเที่ยว!$D$6:$D$6005,$W393))</f>
        <v/>
      </c>
      <c r="AY393">
        <f>IF($W393="","",INDEX(บันทึกรายเที่ยว!$R$6:$R$6005,$W393))</f>
        <v/>
      </c>
      <c r="AZ393">
        <f>IF(AND($AD393="T",$AQ393=1),N($AZ392)+1,N($AZ392))</f>
        <v/>
      </c>
      <c r="BA393">
        <f>IF($W393="","",INDEX(บันทึกรายเที่ยว!$E$6:$E$6005,$W393))</f>
        <v/>
      </c>
      <c r="BC393">
        <f>IF($Y393="",0,IFERROR(INDEX(อัตราค่าขนส่ง!$K$5:$K$204,MATCH($Y393,อัตราค่าขนส่ง!$M$5:$M$204,0)),0))</f>
        <v/>
      </c>
      <c r="BD393">
        <f>IF($Y393="",0,IFERROR(INDEX(อัตราค่าขนส่ง!$L$5:$L$204,MATCH($Y393,อัตราค่าขนส่ง!$M$5:$M$204,0)),0))</f>
        <v/>
      </c>
    </row>
    <row r="394" ht="21" customHeight="1" s="66">
      <c r="A394" s="69">
        <f>IF($AD394="","",IF($AD394="Z","รวมจ่ายทั้งสิ้น",IF($AD394="H",INDEX($X$5:$X$404,$AC394),IF($AD394="T","รวม",IF($AD394="B",IFERROR(INDEX(อัตราค่าขนส่ง!$S$5:$S$14,MATCH(INDEX($AM$5:$AM$404,$AC394),อัตราค่าขนส่ง!$R$5:$R$14,0)),"รวมกลุ่ม "&amp;INDEX($AM$5:$AM$404,$AC394)),INDEX($AY$5:$AY$404,$AC394))))))</f>
        <v/>
      </c>
      <c r="B394" s="31">
        <f>IF($AD394&lt;&gt;"D","",INDEX($AW$5:$AW$404,$AC394))</f>
        <v/>
      </c>
      <c r="C394" s="68">
        <f>IF($AD394&lt;&gt;"D","",INDEX($AX$5:$AX$404,$AC394))</f>
        <v/>
      </c>
      <c r="D394" s="70">
        <f>IF($AD394&lt;&gt;"D","",INDEX($BA$5:$BA$404,$AC394))</f>
        <v/>
      </c>
      <c r="E394" s="31">
        <f>IF($AD394="Z",SUM($AR$5:$AR$404),IF($AD394="D",INDEX($AR$5:$AR$404,$AC394),IF($AD394="T",SUMIF($X$5:$X$404,$AF394,$AR$5:$AR$404),IF($AD394="B",SUMIF($AN$5:$AN$404,$AQ394,$AR$5:$AR$404),""))))</f>
        <v/>
      </c>
      <c r="F394" s="32">
        <f>IF($AD394="Z",ROUND(SUM($AS$5:$AS$404),2),IF($AD394="D",INDEX($AS$5:$AS$404,$AC394),IF($AD394="T",ROUND(SUMIF($X$5:$X$404,$AF394,$AS$5:$AS$404),2),IF($AD394="B",ROUND(SUMIF($AN$5:$AN$404,$AQ394,$AS$5:$AS$404),2),""))))</f>
        <v/>
      </c>
      <c r="G394" s="32">
        <f>IF($AD394&lt;&gt;"D","",INDEX($AT$5:$AT$404,$AC394))</f>
        <v/>
      </c>
      <c r="H394" s="32">
        <f>IF($AD394&lt;&gt;"D","",INDEX($BC$5:$BC$404,$AC394))</f>
        <v/>
      </c>
      <c r="I394" s="32">
        <f>IF($AD394&lt;&gt;"D","",INDEX($BD$5:$BD$404,$AC394))</f>
        <v/>
      </c>
      <c r="J394" s="46">
        <f>IF($AD394&lt;&gt;"D","",IF(N($B394)=0,"",ROUND($I394/$B394,4)))</f>
        <v/>
      </c>
      <c r="K394" s="32">
        <f>IF($AD394="Z",ROUND(SUM($AU$5:$AU$404),2),IF($AD394="D",INDEX($AU$5:$AU$404,$AC394),IF($AD394="T",ROUND(SUMIF($X$5:$X$404,$AF394,$AU$5:$AU$404),2),IF($AD394="B",ROUND(SUMIF($AN$5:$AN$404,$AQ394,$AU$5:$AU$404),2),""))))</f>
        <v/>
      </c>
      <c r="L394" s="32">
        <f>IF($AD394="Z",ROUND(SUM($AV$5:$AV$404),2),IF($AD394="D",INDEX($AV$5:$AV$404,$AC394),IF($AD394="T",ROUND(SUMIF($X$5:$X$404,$AF394,$AV$5:$AV$404),2),IF($AD394="B",ROUND(SUMIF($AN$5:$AN$404,$AQ394,$AV$5:$AV$404),2),""))))</f>
        <v/>
      </c>
      <c r="M394" s="32">
        <f>IF($AD394="Z",ROUND(SUM($AJ$5:$AJ$704),2),IF($AD394="B",ROUND(SUMIF($AQ$5:$AQ$704,$AQ394,$AJ$5:$AJ$704),2),IF($AD394&lt;&gt;"T","",$AJ394)))</f>
        <v/>
      </c>
      <c r="N394" s="32">
        <f>IF(OR($AD394="D",$AD394="T",$AD394="B",$AD394="Z"),ROUND(N($K394)-N($L394)-N($M394),2),"")</f>
        <v/>
      </c>
      <c r="O394" s="32">
        <f>IF(OR($AD394="D",$AD394="T",$AD394="B",$AD394="Z"),IF(N($E394)=0,"",ROUND($F394/$E394,2)),"")</f>
        <v/>
      </c>
      <c r="Q394">
        <f>IFERROR(MATCH(390,บันทึกรายเที่ยว!$Z$6:$Z$6005,0),"")</f>
        <v/>
      </c>
      <c r="R394">
        <f>IF($Q394="","",INDEX(บันทึกรายเที่ยว!$V$6:$V$6005,$Q394))</f>
        <v/>
      </c>
      <c r="S394">
        <f>IF($Q394="","",INDEX(บันทึกรายเที่ยว!$F$6:$F$6005,$Q394))</f>
        <v/>
      </c>
      <c r="T394">
        <f>IF($Q394="","",MATCH($S394,บันทึกรายเที่ยว!$F$6:$F$6005,0))</f>
        <v/>
      </c>
      <c r="U394">
        <f>IF($Q394="","",$AL394*10000000+$T394*1000+390)</f>
        <v/>
      </c>
      <c r="V394">
        <f>IFERROR(MATCH(SMALL($U$5:$U$404,390),$U$5:$U$404,0),"")</f>
        <v/>
      </c>
      <c r="W394">
        <f>IF($V394="","",INDEX($Q$5:$Q$404,$V394))</f>
        <v/>
      </c>
      <c r="X394">
        <f>IF($V394="","",INDEX($S$5:$S$404,$V394))</f>
        <v/>
      </c>
      <c r="Y394">
        <f>IF($V394="","",INDEX($R$5:$R$404,$V394))</f>
        <v/>
      </c>
      <c r="Z394">
        <f>IF($V394="",0,IF($X394&lt;&gt;$X393,1,0))</f>
        <v/>
      </c>
      <c r="AA394">
        <f>IF($V394="",0,IF($V395="",1,IF($X395&lt;&gt;$X394,1,0)))</f>
        <v/>
      </c>
      <c r="AB394">
        <f>IF($V394="",99999+390,$AB393+1+$Z393+$AA393+$AO393)</f>
        <v/>
      </c>
      <c r="AC394">
        <f>IFERROR(MATCH(390,$AB$5:$AB$404,1),"")</f>
        <v/>
      </c>
      <c r="AD394">
        <f>IF(390=$AI$1+1,"Z",IF($AC394="","",IF(INDEX($V$5:$V$404,$AC394)="","",IF(390&gt;INDEX($AB$5:$AB$404,$AC394)+INDEX($Z$5:$Z$404,$AC394)+INDEX($AA$5:$AA$404,$AC394)+INDEX($AO$5:$AO$404,$AC394),"",IF(390=INDEX($AB$5:$AB$404,$AC394)+INDEX($Z$5:$Z$404,$AC394),"D",IF(AND(INDEX($Z$5:$Z$404,$AC394)=1,390=INDEX($AB$5:$AB$404,$AC394)),"H",IF(AND(INDEX($AO$5:$AO$404,$AC394)=1,390=INDEX($AB$5:$AB$404,$AC394)+INDEX($Z$5:$Z$404,$AC394)+INDEX($AA$5:$AA$404,$AC394)+INDEX($AO$5:$AO$404,$AC394)),"B","T")))))))</f>
        <v/>
      </c>
      <c r="AF394">
        <f>IF(OR($AD394="",$AD394="Z",$AD394="B"),"",INDEX($X$5:$X$404,$AC394))</f>
        <v/>
      </c>
      <c r="AJ394">
        <f>IF($AD394&lt;&gt;"T",0,ROUND(SUMIF(oil!$B$4:$B$63,$AF394,oil!$AE$4:$AE$63),2))</f>
        <v/>
      </c>
      <c r="AK394">
        <f>IF($S394="","",IFERROR(INDEX(อัตราค่าขนส่ง!$P$5:$P$54,MATCH($S394,อัตราค่าขนส่ง!$O$5:$O$54,0)),INDEX(รายการมาตรฐาน!$G$2:$G$3,1)))</f>
        <v/>
      </c>
      <c r="AL394">
        <f>IF($S394="","",IFERROR(MATCH($AK394,รายการมาตรฐาน!$G$2:$G$3,0),1))</f>
        <v/>
      </c>
      <c r="AM394">
        <f>IF($V394="","",INDEX($AK$5:$AK$404,$V394))</f>
        <v/>
      </c>
      <c r="AN394">
        <f>IF($V394="","",INDEX($AL$5:$AL$404,$V394))</f>
        <v/>
      </c>
      <c r="AO394">
        <f>IF(OR($V394="",$AI$2&lt;=1),0,IF($V395="",1,IF($AN395&lt;&gt;$AN394,1,0)))</f>
        <v/>
      </c>
      <c r="AP394">
        <f>IF($V394="",0,IF($AN394&lt;&gt;$AN393,1,0))</f>
        <v/>
      </c>
      <c r="AQ394">
        <f>IF(OR($AD394="",$AD394="Z"),"",INDEX($AN$5:$AN$404,$AC394))</f>
        <v/>
      </c>
      <c r="AR394">
        <f>IF($Y394="",0,COUNTIF(บันทึกรายเที่ยว!$V$6:$V$6005,$Y394))</f>
        <v/>
      </c>
      <c r="AS394">
        <f>IF($Y394="",0,ROUND(SUMIF(บันทึกรายเที่ยว!$V$6:$V$6005,$Y394,บันทึกรายเที่ยว!$M$6:$M$6005),2))</f>
        <v/>
      </c>
      <c r="AT394">
        <f>IF($Y394="",0,IFERROR(INDEX(อัตราค่าขนส่ง!$G$5:$G$204,MATCH($Y394,อัตราค่าขนส่ง!$M$5:$M$204,0)),0))</f>
        <v/>
      </c>
      <c r="AU394">
        <f>ROUND($AS394*$BD394,2)</f>
        <v/>
      </c>
      <c r="AV394">
        <f>ROUND($AU394*$BF$2/100,2)</f>
        <v/>
      </c>
      <c r="AW394">
        <f>IF($Y394="","",IFERROR(INDEX(อัตราค่าขนส่ง!$F$5:$F$204,MATCH($Y394,อัตราค่าขนส่ง!$M$5:$M$204,0)),""))</f>
        <v/>
      </c>
      <c r="AX394">
        <f>IF($W394="","",INDEX(บันทึกรายเที่ยว!$D$6:$D$6005,$W394))</f>
        <v/>
      </c>
      <c r="AY394">
        <f>IF($W394="","",INDEX(บันทึกรายเที่ยว!$R$6:$R$6005,$W394))</f>
        <v/>
      </c>
      <c r="AZ394">
        <f>IF(AND($AD394="T",$AQ394=1),N($AZ393)+1,N($AZ393))</f>
        <v/>
      </c>
      <c r="BA394">
        <f>IF($W394="","",INDEX(บันทึกรายเที่ยว!$E$6:$E$6005,$W394))</f>
        <v/>
      </c>
      <c r="BC394">
        <f>IF($Y394="",0,IFERROR(INDEX(อัตราค่าขนส่ง!$K$5:$K$204,MATCH($Y394,อัตราค่าขนส่ง!$M$5:$M$204,0)),0))</f>
        <v/>
      </c>
      <c r="BD394">
        <f>IF($Y394="",0,IFERROR(INDEX(อัตราค่าขนส่ง!$L$5:$L$204,MATCH($Y394,อัตราค่าขนส่ง!$M$5:$M$204,0)),0))</f>
        <v/>
      </c>
    </row>
    <row r="395" ht="21" customHeight="1" s="66">
      <c r="A395" s="69">
        <f>IF($AD395="","",IF($AD395="Z","รวมจ่ายทั้งสิ้น",IF($AD395="H",INDEX($X$5:$X$404,$AC395),IF($AD395="T","รวม",IF($AD395="B",IFERROR(INDEX(อัตราค่าขนส่ง!$S$5:$S$14,MATCH(INDEX($AM$5:$AM$404,$AC395),อัตราค่าขนส่ง!$R$5:$R$14,0)),"รวมกลุ่ม "&amp;INDEX($AM$5:$AM$404,$AC395)),INDEX($AY$5:$AY$404,$AC395))))))</f>
        <v/>
      </c>
      <c r="B395" s="31">
        <f>IF($AD395&lt;&gt;"D","",INDEX($AW$5:$AW$404,$AC395))</f>
        <v/>
      </c>
      <c r="C395" s="68">
        <f>IF($AD395&lt;&gt;"D","",INDEX($AX$5:$AX$404,$AC395))</f>
        <v/>
      </c>
      <c r="D395" s="70">
        <f>IF($AD395&lt;&gt;"D","",INDEX($BA$5:$BA$404,$AC395))</f>
        <v/>
      </c>
      <c r="E395" s="31">
        <f>IF($AD395="Z",SUM($AR$5:$AR$404),IF($AD395="D",INDEX($AR$5:$AR$404,$AC395),IF($AD395="T",SUMIF($X$5:$X$404,$AF395,$AR$5:$AR$404),IF($AD395="B",SUMIF($AN$5:$AN$404,$AQ395,$AR$5:$AR$404),""))))</f>
        <v/>
      </c>
      <c r="F395" s="32">
        <f>IF($AD395="Z",ROUND(SUM($AS$5:$AS$404),2),IF($AD395="D",INDEX($AS$5:$AS$404,$AC395),IF($AD395="T",ROUND(SUMIF($X$5:$X$404,$AF395,$AS$5:$AS$404),2),IF($AD395="B",ROUND(SUMIF($AN$5:$AN$404,$AQ395,$AS$5:$AS$404),2),""))))</f>
        <v/>
      </c>
      <c r="G395" s="32">
        <f>IF($AD395&lt;&gt;"D","",INDEX($AT$5:$AT$404,$AC395))</f>
        <v/>
      </c>
      <c r="H395" s="32">
        <f>IF($AD395&lt;&gt;"D","",INDEX($BC$5:$BC$404,$AC395))</f>
        <v/>
      </c>
      <c r="I395" s="32">
        <f>IF($AD395&lt;&gt;"D","",INDEX($BD$5:$BD$404,$AC395))</f>
        <v/>
      </c>
      <c r="J395" s="46">
        <f>IF($AD395&lt;&gt;"D","",IF(N($B395)=0,"",ROUND($I395/$B395,4)))</f>
        <v/>
      </c>
      <c r="K395" s="32">
        <f>IF($AD395="Z",ROUND(SUM($AU$5:$AU$404),2),IF($AD395="D",INDEX($AU$5:$AU$404,$AC395),IF($AD395="T",ROUND(SUMIF($X$5:$X$404,$AF395,$AU$5:$AU$404),2),IF($AD395="B",ROUND(SUMIF($AN$5:$AN$404,$AQ395,$AU$5:$AU$404),2),""))))</f>
        <v/>
      </c>
      <c r="L395" s="32">
        <f>IF($AD395="Z",ROUND(SUM($AV$5:$AV$404),2),IF($AD395="D",INDEX($AV$5:$AV$404,$AC395),IF($AD395="T",ROUND(SUMIF($X$5:$X$404,$AF395,$AV$5:$AV$404),2),IF($AD395="B",ROUND(SUMIF($AN$5:$AN$404,$AQ395,$AV$5:$AV$404),2),""))))</f>
        <v/>
      </c>
      <c r="M395" s="32">
        <f>IF($AD395="Z",ROUND(SUM($AJ$5:$AJ$704),2),IF($AD395="B",ROUND(SUMIF($AQ$5:$AQ$704,$AQ395,$AJ$5:$AJ$704),2),IF($AD395&lt;&gt;"T","",$AJ395)))</f>
        <v/>
      </c>
      <c r="N395" s="32">
        <f>IF(OR($AD395="D",$AD395="T",$AD395="B",$AD395="Z"),ROUND(N($K395)-N($L395)-N($M395),2),"")</f>
        <v/>
      </c>
      <c r="O395" s="32">
        <f>IF(OR($AD395="D",$AD395="T",$AD395="B",$AD395="Z"),IF(N($E395)=0,"",ROUND($F395/$E395,2)),"")</f>
        <v/>
      </c>
      <c r="Q395">
        <f>IFERROR(MATCH(391,บันทึกรายเที่ยว!$Z$6:$Z$6005,0),"")</f>
        <v/>
      </c>
      <c r="R395">
        <f>IF($Q395="","",INDEX(บันทึกรายเที่ยว!$V$6:$V$6005,$Q395))</f>
        <v/>
      </c>
      <c r="S395">
        <f>IF($Q395="","",INDEX(บันทึกรายเที่ยว!$F$6:$F$6005,$Q395))</f>
        <v/>
      </c>
      <c r="T395">
        <f>IF($Q395="","",MATCH($S395,บันทึกรายเที่ยว!$F$6:$F$6005,0))</f>
        <v/>
      </c>
      <c r="U395">
        <f>IF($Q395="","",$AL395*10000000+$T395*1000+391)</f>
        <v/>
      </c>
      <c r="V395">
        <f>IFERROR(MATCH(SMALL($U$5:$U$404,391),$U$5:$U$404,0),"")</f>
        <v/>
      </c>
      <c r="W395">
        <f>IF($V395="","",INDEX($Q$5:$Q$404,$V395))</f>
        <v/>
      </c>
      <c r="X395">
        <f>IF($V395="","",INDEX($S$5:$S$404,$V395))</f>
        <v/>
      </c>
      <c r="Y395">
        <f>IF($V395="","",INDEX($R$5:$R$404,$V395))</f>
        <v/>
      </c>
      <c r="Z395">
        <f>IF($V395="",0,IF($X395&lt;&gt;$X394,1,0))</f>
        <v/>
      </c>
      <c r="AA395">
        <f>IF($V395="",0,IF($V396="",1,IF($X396&lt;&gt;$X395,1,0)))</f>
        <v/>
      </c>
      <c r="AB395">
        <f>IF($V395="",99999+391,$AB394+1+$Z394+$AA394+$AO394)</f>
        <v/>
      </c>
      <c r="AC395">
        <f>IFERROR(MATCH(391,$AB$5:$AB$404,1),"")</f>
        <v/>
      </c>
      <c r="AD395">
        <f>IF(391=$AI$1+1,"Z",IF($AC395="","",IF(INDEX($V$5:$V$404,$AC395)="","",IF(391&gt;INDEX($AB$5:$AB$404,$AC395)+INDEX($Z$5:$Z$404,$AC395)+INDEX($AA$5:$AA$404,$AC395)+INDEX($AO$5:$AO$404,$AC395),"",IF(391=INDEX($AB$5:$AB$404,$AC395)+INDEX($Z$5:$Z$404,$AC395),"D",IF(AND(INDEX($Z$5:$Z$404,$AC395)=1,391=INDEX($AB$5:$AB$404,$AC395)),"H",IF(AND(INDEX($AO$5:$AO$404,$AC395)=1,391=INDEX($AB$5:$AB$404,$AC395)+INDEX($Z$5:$Z$404,$AC395)+INDEX($AA$5:$AA$404,$AC395)+INDEX($AO$5:$AO$404,$AC395)),"B","T")))))))</f>
        <v/>
      </c>
      <c r="AF395">
        <f>IF(OR($AD395="",$AD395="Z",$AD395="B"),"",INDEX($X$5:$X$404,$AC395))</f>
        <v/>
      </c>
      <c r="AJ395">
        <f>IF($AD395&lt;&gt;"T",0,ROUND(SUMIF(oil!$B$4:$B$63,$AF395,oil!$AE$4:$AE$63),2))</f>
        <v/>
      </c>
      <c r="AK395">
        <f>IF($S395="","",IFERROR(INDEX(อัตราค่าขนส่ง!$P$5:$P$54,MATCH($S395,อัตราค่าขนส่ง!$O$5:$O$54,0)),INDEX(รายการมาตรฐาน!$G$2:$G$3,1)))</f>
        <v/>
      </c>
      <c r="AL395">
        <f>IF($S395="","",IFERROR(MATCH($AK395,รายการมาตรฐาน!$G$2:$G$3,0),1))</f>
        <v/>
      </c>
      <c r="AM395">
        <f>IF($V395="","",INDEX($AK$5:$AK$404,$V395))</f>
        <v/>
      </c>
      <c r="AN395">
        <f>IF($V395="","",INDEX($AL$5:$AL$404,$V395))</f>
        <v/>
      </c>
      <c r="AO395">
        <f>IF(OR($V395="",$AI$2&lt;=1),0,IF($V396="",1,IF($AN396&lt;&gt;$AN395,1,0)))</f>
        <v/>
      </c>
      <c r="AP395">
        <f>IF($V395="",0,IF($AN395&lt;&gt;$AN394,1,0))</f>
        <v/>
      </c>
      <c r="AQ395">
        <f>IF(OR($AD395="",$AD395="Z"),"",INDEX($AN$5:$AN$404,$AC395))</f>
        <v/>
      </c>
      <c r="AR395">
        <f>IF($Y395="",0,COUNTIF(บันทึกรายเที่ยว!$V$6:$V$6005,$Y395))</f>
        <v/>
      </c>
      <c r="AS395">
        <f>IF($Y395="",0,ROUND(SUMIF(บันทึกรายเที่ยว!$V$6:$V$6005,$Y395,บันทึกรายเที่ยว!$M$6:$M$6005),2))</f>
        <v/>
      </c>
      <c r="AT395">
        <f>IF($Y395="",0,IFERROR(INDEX(อัตราค่าขนส่ง!$G$5:$G$204,MATCH($Y395,อัตราค่าขนส่ง!$M$5:$M$204,0)),0))</f>
        <v/>
      </c>
      <c r="AU395">
        <f>ROUND($AS395*$BD395,2)</f>
        <v/>
      </c>
      <c r="AV395">
        <f>ROUND($AU395*$BF$2/100,2)</f>
        <v/>
      </c>
      <c r="AW395">
        <f>IF($Y395="","",IFERROR(INDEX(อัตราค่าขนส่ง!$F$5:$F$204,MATCH($Y395,อัตราค่าขนส่ง!$M$5:$M$204,0)),""))</f>
        <v/>
      </c>
      <c r="AX395">
        <f>IF($W395="","",INDEX(บันทึกรายเที่ยว!$D$6:$D$6005,$W395))</f>
        <v/>
      </c>
      <c r="AY395">
        <f>IF($W395="","",INDEX(บันทึกรายเที่ยว!$R$6:$R$6005,$W395))</f>
        <v/>
      </c>
      <c r="AZ395">
        <f>IF(AND($AD395="T",$AQ395=1),N($AZ394)+1,N($AZ394))</f>
        <v/>
      </c>
      <c r="BA395">
        <f>IF($W395="","",INDEX(บันทึกรายเที่ยว!$E$6:$E$6005,$W395))</f>
        <v/>
      </c>
      <c r="BC395">
        <f>IF($Y395="",0,IFERROR(INDEX(อัตราค่าขนส่ง!$K$5:$K$204,MATCH($Y395,อัตราค่าขนส่ง!$M$5:$M$204,0)),0))</f>
        <v/>
      </c>
      <c r="BD395">
        <f>IF($Y395="",0,IFERROR(INDEX(อัตราค่าขนส่ง!$L$5:$L$204,MATCH($Y395,อัตราค่าขนส่ง!$M$5:$M$204,0)),0))</f>
        <v/>
      </c>
    </row>
    <row r="396" ht="21" customHeight="1" s="66">
      <c r="A396" s="69">
        <f>IF($AD396="","",IF($AD396="Z","รวมจ่ายทั้งสิ้น",IF($AD396="H",INDEX($X$5:$X$404,$AC396),IF($AD396="T","รวม",IF($AD396="B",IFERROR(INDEX(อัตราค่าขนส่ง!$S$5:$S$14,MATCH(INDEX($AM$5:$AM$404,$AC396),อัตราค่าขนส่ง!$R$5:$R$14,0)),"รวมกลุ่ม "&amp;INDEX($AM$5:$AM$404,$AC396)),INDEX($AY$5:$AY$404,$AC396))))))</f>
        <v/>
      </c>
      <c r="B396" s="31">
        <f>IF($AD396&lt;&gt;"D","",INDEX($AW$5:$AW$404,$AC396))</f>
        <v/>
      </c>
      <c r="C396" s="68">
        <f>IF($AD396&lt;&gt;"D","",INDEX($AX$5:$AX$404,$AC396))</f>
        <v/>
      </c>
      <c r="D396" s="70">
        <f>IF($AD396&lt;&gt;"D","",INDEX($BA$5:$BA$404,$AC396))</f>
        <v/>
      </c>
      <c r="E396" s="31">
        <f>IF($AD396="Z",SUM($AR$5:$AR$404),IF($AD396="D",INDEX($AR$5:$AR$404,$AC396),IF($AD396="T",SUMIF($X$5:$X$404,$AF396,$AR$5:$AR$404),IF($AD396="B",SUMIF($AN$5:$AN$404,$AQ396,$AR$5:$AR$404),""))))</f>
        <v/>
      </c>
      <c r="F396" s="32">
        <f>IF($AD396="Z",ROUND(SUM($AS$5:$AS$404),2),IF($AD396="D",INDEX($AS$5:$AS$404,$AC396),IF($AD396="T",ROUND(SUMIF($X$5:$X$404,$AF396,$AS$5:$AS$404),2),IF($AD396="B",ROUND(SUMIF($AN$5:$AN$404,$AQ396,$AS$5:$AS$404),2),""))))</f>
        <v/>
      </c>
      <c r="G396" s="32">
        <f>IF($AD396&lt;&gt;"D","",INDEX($AT$5:$AT$404,$AC396))</f>
        <v/>
      </c>
      <c r="H396" s="32">
        <f>IF($AD396&lt;&gt;"D","",INDEX($BC$5:$BC$404,$AC396))</f>
        <v/>
      </c>
      <c r="I396" s="32">
        <f>IF($AD396&lt;&gt;"D","",INDEX($BD$5:$BD$404,$AC396))</f>
        <v/>
      </c>
      <c r="J396" s="46">
        <f>IF($AD396&lt;&gt;"D","",IF(N($B396)=0,"",ROUND($I396/$B396,4)))</f>
        <v/>
      </c>
      <c r="K396" s="32">
        <f>IF($AD396="Z",ROUND(SUM($AU$5:$AU$404),2),IF($AD396="D",INDEX($AU$5:$AU$404,$AC396),IF($AD396="T",ROUND(SUMIF($X$5:$X$404,$AF396,$AU$5:$AU$404),2),IF($AD396="B",ROUND(SUMIF($AN$5:$AN$404,$AQ396,$AU$5:$AU$404),2),""))))</f>
        <v/>
      </c>
      <c r="L396" s="32">
        <f>IF($AD396="Z",ROUND(SUM($AV$5:$AV$404),2),IF($AD396="D",INDEX($AV$5:$AV$404,$AC396),IF($AD396="T",ROUND(SUMIF($X$5:$X$404,$AF396,$AV$5:$AV$404),2),IF($AD396="B",ROUND(SUMIF($AN$5:$AN$404,$AQ396,$AV$5:$AV$404),2),""))))</f>
        <v/>
      </c>
      <c r="M396" s="32">
        <f>IF($AD396="Z",ROUND(SUM($AJ$5:$AJ$704),2),IF($AD396="B",ROUND(SUMIF($AQ$5:$AQ$704,$AQ396,$AJ$5:$AJ$704),2),IF($AD396&lt;&gt;"T","",$AJ396)))</f>
        <v/>
      </c>
      <c r="N396" s="32">
        <f>IF(OR($AD396="D",$AD396="T",$AD396="B",$AD396="Z"),ROUND(N($K396)-N($L396)-N($M396),2),"")</f>
        <v/>
      </c>
      <c r="O396" s="32">
        <f>IF(OR($AD396="D",$AD396="T",$AD396="B",$AD396="Z"),IF(N($E396)=0,"",ROUND($F396/$E396,2)),"")</f>
        <v/>
      </c>
      <c r="Q396">
        <f>IFERROR(MATCH(392,บันทึกรายเที่ยว!$Z$6:$Z$6005,0),"")</f>
        <v/>
      </c>
      <c r="R396">
        <f>IF($Q396="","",INDEX(บันทึกรายเที่ยว!$V$6:$V$6005,$Q396))</f>
        <v/>
      </c>
      <c r="S396">
        <f>IF($Q396="","",INDEX(บันทึกรายเที่ยว!$F$6:$F$6005,$Q396))</f>
        <v/>
      </c>
      <c r="T396">
        <f>IF($Q396="","",MATCH($S396,บันทึกรายเที่ยว!$F$6:$F$6005,0))</f>
        <v/>
      </c>
      <c r="U396">
        <f>IF($Q396="","",$AL396*10000000+$T396*1000+392)</f>
        <v/>
      </c>
      <c r="V396">
        <f>IFERROR(MATCH(SMALL($U$5:$U$404,392),$U$5:$U$404,0),"")</f>
        <v/>
      </c>
      <c r="W396">
        <f>IF($V396="","",INDEX($Q$5:$Q$404,$V396))</f>
        <v/>
      </c>
      <c r="X396">
        <f>IF($V396="","",INDEX($S$5:$S$404,$V396))</f>
        <v/>
      </c>
      <c r="Y396">
        <f>IF($V396="","",INDEX($R$5:$R$404,$V396))</f>
        <v/>
      </c>
      <c r="Z396">
        <f>IF($V396="",0,IF($X396&lt;&gt;$X395,1,0))</f>
        <v/>
      </c>
      <c r="AA396">
        <f>IF($V396="",0,IF($V397="",1,IF($X397&lt;&gt;$X396,1,0)))</f>
        <v/>
      </c>
      <c r="AB396">
        <f>IF($V396="",99999+392,$AB395+1+$Z395+$AA395+$AO395)</f>
        <v/>
      </c>
      <c r="AC396">
        <f>IFERROR(MATCH(392,$AB$5:$AB$404,1),"")</f>
        <v/>
      </c>
      <c r="AD396">
        <f>IF(392=$AI$1+1,"Z",IF($AC396="","",IF(INDEX($V$5:$V$404,$AC396)="","",IF(392&gt;INDEX($AB$5:$AB$404,$AC396)+INDEX($Z$5:$Z$404,$AC396)+INDEX($AA$5:$AA$404,$AC396)+INDEX($AO$5:$AO$404,$AC396),"",IF(392=INDEX($AB$5:$AB$404,$AC396)+INDEX($Z$5:$Z$404,$AC396),"D",IF(AND(INDEX($Z$5:$Z$404,$AC396)=1,392=INDEX($AB$5:$AB$404,$AC396)),"H",IF(AND(INDEX($AO$5:$AO$404,$AC396)=1,392=INDEX($AB$5:$AB$404,$AC396)+INDEX($Z$5:$Z$404,$AC396)+INDEX($AA$5:$AA$404,$AC396)+INDEX($AO$5:$AO$404,$AC396)),"B","T")))))))</f>
        <v/>
      </c>
      <c r="AF396">
        <f>IF(OR($AD396="",$AD396="Z",$AD396="B"),"",INDEX($X$5:$X$404,$AC396))</f>
        <v/>
      </c>
      <c r="AJ396">
        <f>IF($AD396&lt;&gt;"T",0,ROUND(SUMIF(oil!$B$4:$B$63,$AF396,oil!$AE$4:$AE$63),2))</f>
        <v/>
      </c>
      <c r="AK396">
        <f>IF($S396="","",IFERROR(INDEX(อัตราค่าขนส่ง!$P$5:$P$54,MATCH($S396,อัตราค่าขนส่ง!$O$5:$O$54,0)),INDEX(รายการมาตรฐาน!$G$2:$G$3,1)))</f>
        <v/>
      </c>
      <c r="AL396">
        <f>IF($S396="","",IFERROR(MATCH($AK396,รายการมาตรฐาน!$G$2:$G$3,0),1))</f>
        <v/>
      </c>
      <c r="AM396">
        <f>IF($V396="","",INDEX($AK$5:$AK$404,$V396))</f>
        <v/>
      </c>
      <c r="AN396">
        <f>IF($V396="","",INDEX($AL$5:$AL$404,$V396))</f>
        <v/>
      </c>
      <c r="AO396">
        <f>IF(OR($V396="",$AI$2&lt;=1),0,IF($V397="",1,IF($AN397&lt;&gt;$AN396,1,0)))</f>
        <v/>
      </c>
      <c r="AP396">
        <f>IF($V396="",0,IF($AN396&lt;&gt;$AN395,1,0))</f>
        <v/>
      </c>
      <c r="AQ396">
        <f>IF(OR($AD396="",$AD396="Z"),"",INDEX($AN$5:$AN$404,$AC396))</f>
        <v/>
      </c>
      <c r="AR396">
        <f>IF($Y396="",0,COUNTIF(บันทึกรายเที่ยว!$V$6:$V$6005,$Y396))</f>
        <v/>
      </c>
      <c r="AS396">
        <f>IF($Y396="",0,ROUND(SUMIF(บันทึกรายเที่ยว!$V$6:$V$6005,$Y396,บันทึกรายเที่ยว!$M$6:$M$6005),2))</f>
        <v/>
      </c>
      <c r="AT396">
        <f>IF($Y396="",0,IFERROR(INDEX(อัตราค่าขนส่ง!$G$5:$G$204,MATCH($Y396,อัตราค่าขนส่ง!$M$5:$M$204,0)),0))</f>
        <v/>
      </c>
      <c r="AU396">
        <f>ROUND($AS396*$BD396,2)</f>
        <v/>
      </c>
      <c r="AV396">
        <f>ROUND($AU396*$BF$2/100,2)</f>
        <v/>
      </c>
      <c r="AW396">
        <f>IF($Y396="","",IFERROR(INDEX(อัตราค่าขนส่ง!$F$5:$F$204,MATCH($Y396,อัตราค่าขนส่ง!$M$5:$M$204,0)),""))</f>
        <v/>
      </c>
      <c r="AX396">
        <f>IF($W396="","",INDEX(บันทึกรายเที่ยว!$D$6:$D$6005,$W396))</f>
        <v/>
      </c>
      <c r="AY396">
        <f>IF($W396="","",INDEX(บันทึกรายเที่ยว!$R$6:$R$6005,$W396))</f>
        <v/>
      </c>
      <c r="AZ396">
        <f>IF(AND($AD396="T",$AQ396=1),N($AZ395)+1,N($AZ395))</f>
        <v/>
      </c>
      <c r="BA396">
        <f>IF($W396="","",INDEX(บันทึกรายเที่ยว!$E$6:$E$6005,$W396))</f>
        <v/>
      </c>
      <c r="BC396">
        <f>IF($Y396="",0,IFERROR(INDEX(อัตราค่าขนส่ง!$K$5:$K$204,MATCH($Y396,อัตราค่าขนส่ง!$M$5:$M$204,0)),0))</f>
        <v/>
      </c>
      <c r="BD396">
        <f>IF($Y396="",0,IFERROR(INDEX(อัตราค่าขนส่ง!$L$5:$L$204,MATCH($Y396,อัตราค่าขนส่ง!$M$5:$M$204,0)),0))</f>
        <v/>
      </c>
    </row>
    <row r="397" ht="21" customHeight="1" s="66">
      <c r="A397" s="69">
        <f>IF($AD397="","",IF($AD397="Z","รวมจ่ายทั้งสิ้น",IF($AD397="H",INDEX($X$5:$X$404,$AC397),IF($AD397="T","รวม",IF($AD397="B",IFERROR(INDEX(อัตราค่าขนส่ง!$S$5:$S$14,MATCH(INDEX($AM$5:$AM$404,$AC397),อัตราค่าขนส่ง!$R$5:$R$14,0)),"รวมกลุ่ม "&amp;INDEX($AM$5:$AM$404,$AC397)),INDEX($AY$5:$AY$404,$AC397))))))</f>
        <v/>
      </c>
      <c r="B397" s="31">
        <f>IF($AD397&lt;&gt;"D","",INDEX($AW$5:$AW$404,$AC397))</f>
        <v/>
      </c>
      <c r="C397" s="68">
        <f>IF($AD397&lt;&gt;"D","",INDEX($AX$5:$AX$404,$AC397))</f>
        <v/>
      </c>
      <c r="D397" s="70">
        <f>IF($AD397&lt;&gt;"D","",INDEX($BA$5:$BA$404,$AC397))</f>
        <v/>
      </c>
      <c r="E397" s="31">
        <f>IF($AD397="Z",SUM($AR$5:$AR$404),IF($AD397="D",INDEX($AR$5:$AR$404,$AC397),IF($AD397="T",SUMIF($X$5:$X$404,$AF397,$AR$5:$AR$404),IF($AD397="B",SUMIF($AN$5:$AN$404,$AQ397,$AR$5:$AR$404),""))))</f>
        <v/>
      </c>
      <c r="F397" s="32">
        <f>IF($AD397="Z",ROUND(SUM($AS$5:$AS$404),2),IF($AD397="D",INDEX($AS$5:$AS$404,$AC397),IF($AD397="T",ROUND(SUMIF($X$5:$X$404,$AF397,$AS$5:$AS$404),2),IF($AD397="B",ROUND(SUMIF($AN$5:$AN$404,$AQ397,$AS$5:$AS$404),2),""))))</f>
        <v/>
      </c>
      <c r="G397" s="32">
        <f>IF($AD397&lt;&gt;"D","",INDEX($AT$5:$AT$404,$AC397))</f>
        <v/>
      </c>
      <c r="H397" s="32">
        <f>IF($AD397&lt;&gt;"D","",INDEX($BC$5:$BC$404,$AC397))</f>
        <v/>
      </c>
      <c r="I397" s="32">
        <f>IF($AD397&lt;&gt;"D","",INDEX($BD$5:$BD$404,$AC397))</f>
        <v/>
      </c>
      <c r="J397" s="46">
        <f>IF($AD397&lt;&gt;"D","",IF(N($B397)=0,"",ROUND($I397/$B397,4)))</f>
        <v/>
      </c>
      <c r="K397" s="32">
        <f>IF($AD397="Z",ROUND(SUM($AU$5:$AU$404),2),IF($AD397="D",INDEX($AU$5:$AU$404,$AC397),IF($AD397="T",ROUND(SUMIF($X$5:$X$404,$AF397,$AU$5:$AU$404),2),IF($AD397="B",ROUND(SUMIF($AN$5:$AN$404,$AQ397,$AU$5:$AU$404),2),""))))</f>
        <v/>
      </c>
      <c r="L397" s="32">
        <f>IF($AD397="Z",ROUND(SUM($AV$5:$AV$404),2),IF($AD397="D",INDEX($AV$5:$AV$404,$AC397),IF($AD397="T",ROUND(SUMIF($X$5:$X$404,$AF397,$AV$5:$AV$404),2),IF($AD397="B",ROUND(SUMIF($AN$5:$AN$404,$AQ397,$AV$5:$AV$404),2),""))))</f>
        <v/>
      </c>
      <c r="M397" s="32">
        <f>IF($AD397="Z",ROUND(SUM($AJ$5:$AJ$704),2),IF($AD397="B",ROUND(SUMIF($AQ$5:$AQ$704,$AQ397,$AJ$5:$AJ$704),2),IF($AD397&lt;&gt;"T","",$AJ397)))</f>
        <v/>
      </c>
      <c r="N397" s="32">
        <f>IF(OR($AD397="D",$AD397="T",$AD397="B",$AD397="Z"),ROUND(N($K397)-N($L397)-N($M397),2),"")</f>
        <v/>
      </c>
      <c r="O397" s="32">
        <f>IF(OR($AD397="D",$AD397="T",$AD397="B",$AD397="Z"),IF(N($E397)=0,"",ROUND($F397/$E397,2)),"")</f>
        <v/>
      </c>
      <c r="Q397">
        <f>IFERROR(MATCH(393,บันทึกรายเที่ยว!$Z$6:$Z$6005,0),"")</f>
        <v/>
      </c>
      <c r="R397">
        <f>IF($Q397="","",INDEX(บันทึกรายเที่ยว!$V$6:$V$6005,$Q397))</f>
        <v/>
      </c>
      <c r="S397">
        <f>IF($Q397="","",INDEX(บันทึกรายเที่ยว!$F$6:$F$6005,$Q397))</f>
        <v/>
      </c>
      <c r="T397">
        <f>IF($Q397="","",MATCH($S397,บันทึกรายเที่ยว!$F$6:$F$6005,0))</f>
        <v/>
      </c>
      <c r="U397">
        <f>IF($Q397="","",$AL397*10000000+$T397*1000+393)</f>
        <v/>
      </c>
      <c r="V397">
        <f>IFERROR(MATCH(SMALL($U$5:$U$404,393),$U$5:$U$404,0),"")</f>
        <v/>
      </c>
      <c r="W397">
        <f>IF($V397="","",INDEX($Q$5:$Q$404,$V397))</f>
        <v/>
      </c>
      <c r="X397">
        <f>IF($V397="","",INDEX($S$5:$S$404,$V397))</f>
        <v/>
      </c>
      <c r="Y397">
        <f>IF($V397="","",INDEX($R$5:$R$404,$V397))</f>
        <v/>
      </c>
      <c r="Z397">
        <f>IF($V397="",0,IF($X397&lt;&gt;$X396,1,0))</f>
        <v/>
      </c>
      <c r="AA397">
        <f>IF($V397="",0,IF($V398="",1,IF($X398&lt;&gt;$X397,1,0)))</f>
        <v/>
      </c>
      <c r="AB397">
        <f>IF($V397="",99999+393,$AB396+1+$Z396+$AA396+$AO396)</f>
        <v/>
      </c>
      <c r="AC397">
        <f>IFERROR(MATCH(393,$AB$5:$AB$404,1),"")</f>
        <v/>
      </c>
      <c r="AD397">
        <f>IF(393=$AI$1+1,"Z",IF($AC397="","",IF(INDEX($V$5:$V$404,$AC397)="","",IF(393&gt;INDEX($AB$5:$AB$404,$AC397)+INDEX($Z$5:$Z$404,$AC397)+INDEX($AA$5:$AA$404,$AC397)+INDEX($AO$5:$AO$404,$AC397),"",IF(393=INDEX($AB$5:$AB$404,$AC397)+INDEX($Z$5:$Z$404,$AC397),"D",IF(AND(INDEX($Z$5:$Z$404,$AC397)=1,393=INDEX($AB$5:$AB$404,$AC397)),"H",IF(AND(INDEX($AO$5:$AO$404,$AC397)=1,393=INDEX($AB$5:$AB$404,$AC397)+INDEX($Z$5:$Z$404,$AC397)+INDEX($AA$5:$AA$404,$AC397)+INDEX($AO$5:$AO$404,$AC397)),"B","T")))))))</f>
        <v/>
      </c>
      <c r="AF397">
        <f>IF(OR($AD397="",$AD397="Z",$AD397="B"),"",INDEX($X$5:$X$404,$AC397))</f>
        <v/>
      </c>
      <c r="AJ397">
        <f>IF($AD397&lt;&gt;"T",0,ROUND(SUMIF(oil!$B$4:$B$63,$AF397,oil!$AE$4:$AE$63),2))</f>
        <v/>
      </c>
      <c r="AK397">
        <f>IF($S397="","",IFERROR(INDEX(อัตราค่าขนส่ง!$P$5:$P$54,MATCH($S397,อัตราค่าขนส่ง!$O$5:$O$54,0)),INDEX(รายการมาตรฐาน!$G$2:$G$3,1)))</f>
        <v/>
      </c>
      <c r="AL397">
        <f>IF($S397="","",IFERROR(MATCH($AK397,รายการมาตรฐาน!$G$2:$G$3,0),1))</f>
        <v/>
      </c>
      <c r="AM397">
        <f>IF($V397="","",INDEX($AK$5:$AK$404,$V397))</f>
        <v/>
      </c>
      <c r="AN397">
        <f>IF($V397="","",INDEX($AL$5:$AL$404,$V397))</f>
        <v/>
      </c>
      <c r="AO397">
        <f>IF(OR($V397="",$AI$2&lt;=1),0,IF($V398="",1,IF($AN398&lt;&gt;$AN397,1,0)))</f>
        <v/>
      </c>
      <c r="AP397">
        <f>IF($V397="",0,IF($AN397&lt;&gt;$AN396,1,0))</f>
        <v/>
      </c>
      <c r="AQ397">
        <f>IF(OR($AD397="",$AD397="Z"),"",INDEX($AN$5:$AN$404,$AC397))</f>
        <v/>
      </c>
      <c r="AR397">
        <f>IF($Y397="",0,COUNTIF(บันทึกรายเที่ยว!$V$6:$V$6005,$Y397))</f>
        <v/>
      </c>
      <c r="AS397">
        <f>IF($Y397="",0,ROUND(SUMIF(บันทึกรายเที่ยว!$V$6:$V$6005,$Y397,บันทึกรายเที่ยว!$M$6:$M$6005),2))</f>
        <v/>
      </c>
      <c r="AT397">
        <f>IF($Y397="",0,IFERROR(INDEX(อัตราค่าขนส่ง!$G$5:$G$204,MATCH($Y397,อัตราค่าขนส่ง!$M$5:$M$204,0)),0))</f>
        <v/>
      </c>
      <c r="AU397">
        <f>ROUND($AS397*$BD397,2)</f>
        <v/>
      </c>
      <c r="AV397">
        <f>ROUND($AU397*$BF$2/100,2)</f>
        <v/>
      </c>
      <c r="AW397">
        <f>IF($Y397="","",IFERROR(INDEX(อัตราค่าขนส่ง!$F$5:$F$204,MATCH($Y397,อัตราค่าขนส่ง!$M$5:$M$204,0)),""))</f>
        <v/>
      </c>
      <c r="AX397">
        <f>IF($W397="","",INDEX(บันทึกรายเที่ยว!$D$6:$D$6005,$W397))</f>
        <v/>
      </c>
      <c r="AY397">
        <f>IF($W397="","",INDEX(บันทึกรายเที่ยว!$R$6:$R$6005,$W397))</f>
        <v/>
      </c>
      <c r="AZ397">
        <f>IF(AND($AD397="T",$AQ397=1),N($AZ396)+1,N($AZ396))</f>
        <v/>
      </c>
      <c r="BA397">
        <f>IF($W397="","",INDEX(บันทึกรายเที่ยว!$E$6:$E$6005,$W397))</f>
        <v/>
      </c>
      <c r="BC397">
        <f>IF($Y397="",0,IFERROR(INDEX(อัตราค่าขนส่ง!$K$5:$K$204,MATCH($Y397,อัตราค่าขนส่ง!$M$5:$M$204,0)),0))</f>
        <v/>
      </c>
      <c r="BD397">
        <f>IF($Y397="",0,IFERROR(INDEX(อัตราค่าขนส่ง!$L$5:$L$204,MATCH($Y397,อัตราค่าขนส่ง!$M$5:$M$204,0)),0))</f>
        <v/>
      </c>
    </row>
    <row r="398" ht="21" customHeight="1" s="66">
      <c r="A398" s="69">
        <f>IF($AD398="","",IF($AD398="Z","รวมจ่ายทั้งสิ้น",IF($AD398="H",INDEX($X$5:$X$404,$AC398),IF($AD398="T","รวม",IF($AD398="B",IFERROR(INDEX(อัตราค่าขนส่ง!$S$5:$S$14,MATCH(INDEX($AM$5:$AM$404,$AC398),อัตราค่าขนส่ง!$R$5:$R$14,0)),"รวมกลุ่ม "&amp;INDEX($AM$5:$AM$404,$AC398)),INDEX($AY$5:$AY$404,$AC398))))))</f>
        <v/>
      </c>
      <c r="B398" s="31">
        <f>IF($AD398&lt;&gt;"D","",INDEX($AW$5:$AW$404,$AC398))</f>
        <v/>
      </c>
      <c r="C398" s="68">
        <f>IF($AD398&lt;&gt;"D","",INDEX($AX$5:$AX$404,$AC398))</f>
        <v/>
      </c>
      <c r="D398" s="70">
        <f>IF($AD398&lt;&gt;"D","",INDEX($BA$5:$BA$404,$AC398))</f>
        <v/>
      </c>
      <c r="E398" s="31">
        <f>IF($AD398="Z",SUM($AR$5:$AR$404),IF($AD398="D",INDEX($AR$5:$AR$404,$AC398),IF($AD398="T",SUMIF($X$5:$X$404,$AF398,$AR$5:$AR$404),IF($AD398="B",SUMIF($AN$5:$AN$404,$AQ398,$AR$5:$AR$404),""))))</f>
        <v/>
      </c>
      <c r="F398" s="32">
        <f>IF($AD398="Z",ROUND(SUM($AS$5:$AS$404),2),IF($AD398="D",INDEX($AS$5:$AS$404,$AC398),IF($AD398="T",ROUND(SUMIF($X$5:$X$404,$AF398,$AS$5:$AS$404),2),IF($AD398="B",ROUND(SUMIF($AN$5:$AN$404,$AQ398,$AS$5:$AS$404),2),""))))</f>
        <v/>
      </c>
      <c r="G398" s="32">
        <f>IF($AD398&lt;&gt;"D","",INDEX($AT$5:$AT$404,$AC398))</f>
        <v/>
      </c>
      <c r="H398" s="32">
        <f>IF($AD398&lt;&gt;"D","",INDEX($BC$5:$BC$404,$AC398))</f>
        <v/>
      </c>
      <c r="I398" s="32">
        <f>IF($AD398&lt;&gt;"D","",INDEX($BD$5:$BD$404,$AC398))</f>
        <v/>
      </c>
      <c r="J398" s="46">
        <f>IF($AD398&lt;&gt;"D","",IF(N($B398)=0,"",ROUND($I398/$B398,4)))</f>
        <v/>
      </c>
      <c r="K398" s="32">
        <f>IF($AD398="Z",ROUND(SUM($AU$5:$AU$404),2),IF($AD398="D",INDEX($AU$5:$AU$404,$AC398),IF($AD398="T",ROUND(SUMIF($X$5:$X$404,$AF398,$AU$5:$AU$404),2),IF($AD398="B",ROUND(SUMIF($AN$5:$AN$404,$AQ398,$AU$5:$AU$404),2),""))))</f>
        <v/>
      </c>
      <c r="L398" s="32">
        <f>IF($AD398="Z",ROUND(SUM($AV$5:$AV$404),2),IF($AD398="D",INDEX($AV$5:$AV$404,$AC398),IF($AD398="T",ROUND(SUMIF($X$5:$X$404,$AF398,$AV$5:$AV$404),2),IF($AD398="B",ROUND(SUMIF($AN$5:$AN$404,$AQ398,$AV$5:$AV$404),2),""))))</f>
        <v/>
      </c>
      <c r="M398" s="32">
        <f>IF($AD398="Z",ROUND(SUM($AJ$5:$AJ$704),2),IF($AD398="B",ROUND(SUMIF($AQ$5:$AQ$704,$AQ398,$AJ$5:$AJ$704),2),IF($AD398&lt;&gt;"T","",$AJ398)))</f>
        <v/>
      </c>
      <c r="N398" s="32">
        <f>IF(OR($AD398="D",$AD398="T",$AD398="B",$AD398="Z"),ROUND(N($K398)-N($L398)-N($M398),2),"")</f>
        <v/>
      </c>
      <c r="O398" s="32">
        <f>IF(OR($AD398="D",$AD398="T",$AD398="B",$AD398="Z"),IF(N($E398)=0,"",ROUND($F398/$E398,2)),"")</f>
        <v/>
      </c>
      <c r="Q398">
        <f>IFERROR(MATCH(394,บันทึกรายเที่ยว!$Z$6:$Z$6005,0),"")</f>
        <v/>
      </c>
      <c r="R398">
        <f>IF($Q398="","",INDEX(บันทึกรายเที่ยว!$V$6:$V$6005,$Q398))</f>
        <v/>
      </c>
      <c r="S398">
        <f>IF($Q398="","",INDEX(บันทึกรายเที่ยว!$F$6:$F$6005,$Q398))</f>
        <v/>
      </c>
      <c r="T398">
        <f>IF($Q398="","",MATCH($S398,บันทึกรายเที่ยว!$F$6:$F$6005,0))</f>
        <v/>
      </c>
      <c r="U398">
        <f>IF($Q398="","",$AL398*10000000+$T398*1000+394)</f>
        <v/>
      </c>
      <c r="V398">
        <f>IFERROR(MATCH(SMALL($U$5:$U$404,394),$U$5:$U$404,0),"")</f>
        <v/>
      </c>
      <c r="W398">
        <f>IF($V398="","",INDEX($Q$5:$Q$404,$V398))</f>
        <v/>
      </c>
      <c r="X398">
        <f>IF($V398="","",INDEX($S$5:$S$404,$V398))</f>
        <v/>
      </c>
      <c r="Y398">
        <f>IF($V398="","",INDEX($R$5:$R$404,$V398))</f>
        <v/>
      </c>
      <c r="Z398">
        <f>IF($V398="",0,IF($X398&lt;&gt;$X397,1,0))</f>
        <v/>
      </c>
      <c r="AA398">
        <f>IF($V398="",0,IF($V399="",1,IF($X399&lt;&gt;$X398,1,0)))</f>
        <v/>
      </c>
      <c r="AB398">
        <f>IF($V398="",99999+394,$AB397+1+$Z397+$AA397+$AO397)</f>
        <v/>
      </c>
      <c r="AC398">
        <f>IFERROR(MATCH(394,$AB$5:$AB$404,1),"")</f>
        <v/>
      </c>
      <c r="AD398">
        <f>IF(394=$AI$1+1,"Z",IF($AC398="","",IF(INDEX($V$5:$V$404,$AC398)="","",IF(394&gt;INDEX($AB$5:$AB$404,$AC398)+INDEX($Z$5:$Z$404,$AC398)+INDEX($AA$5:$AA$404,$AC398)+INDEX($AO$5:$AO$404,$AC398),"",IF(394=INDEX($AB$5:$AB$404,$AC398)+INDEX($Z$5:$Z$404,$AC398),"D",IF(AND(INDEX($Z$5:$Z$404,$AC398)=1,394=INDEX($AB$5:$AB$404,$AC398)),"H",IF(AND(INDEX($AO$5:$AO$404,$AC398)=1,394=INDEX($AB$5:$AB$404,$AC398)+INDEX($Z$5:$Z$404,$AC398)+INDEX($AA$5:$AA$404,$AC398)+INDEX($AO$5:$AO$404,$AC398)),"B","T")))))))</f>
        <v/>
      </c>
      <c r="AF398">
        <f>IF(OR($AD398="",$AD398="Z",$AD398="B"),"",INDEX($X$5:$X$404,$AC398))</f>
        <v/>
      </c>
      <c r="AJ398">
        <f>IF($AD398&lt;&gt;"T",0,ROUND(SUMIF(oil!$B$4:$B$63,$AF398,oil!$AE$4:$AE$63),2))</f>
        <v/>
      </c>
      <c r="AK398">
        <f>IF($S398="","",IFERROR(INDEX(อัตราค่าขนส่ง!$P$5:$P$54,MATCH($S398,อัตราค่าขนส่ง!$O$5:$O$54,0)),INDEX(รายการมาตรฐาน!$G$2:$G$3,1)))</f>
        <v/>
      </c>
      <c r="AL398">
        <f>IF($S398="","",IFERROR(MATCH($AK398,รายการมาตรฐาน!$G$2:$G$3,0),1))</f>
        <v/>
      </c>
      <c r="AM398">
        <f>IF($V398="","",INDEX($AK$5:$AK$404,$V398))</f>
        <v/>
      </c>
      <c r="AN398">
        <f>IF($V398="","",INDEX($AL$5:$AL$404,$V398))</f>
        <v/>
      </c>
      <c r="AO398">
        <f>IF(OR($V398="",$AI$2&lt;=1),0,IF($V399="",1,IF($AN399&lt;&gt;$AN398,1,0)))</f>
        <v/>
      </c>
      <c r="AP398">
        <f>IF($V398="",0,IF($AN398&lt;&gt;$AN397,1,0))</f>
        <v/>
      </c>
      <c r="AQ398">
        <f>IF(OR($AD398="",$AD398="Z"),"",INDEX($AN$5:$AN$404,$AC398))</f>
        <v/>
      </c>
      <c r="AR398">
        <f>IF($Y398="",0,COUNTIF(บันทึกรายเที่ยว!$V$6:$V$6005,$Y398))</f>
        <v/>
      </c>
      <c r="AS398">
        <f>IF($Y398="",0,ROUND(SUMIF(บันทึกรายเที่ยว!$V$6:$V$6005,$Y398,บันทึกรายเที่ยว!$M$6:$M$6005),2))</f>
        <v/>
      </c>
      <c r="AT398">
        <f>IF($Y398="",0,IFERROR(INDEX(อัตราค่าขนส่ง!$G$5:$G$204,MATCH($Y398,อัตราค่าขนส่ง!$M$5:$M$204,0)),0))</f>
        <v/>
      </c>
      <c r="AU398">
        <f>ROUND($AS398*$BD398,2)</f>
        <v/>
      </c>
      <c r="AV398">
        <f>ROUND($AU398*$BF$2/100,2)</f>
        <v/>
      </c>
      <c r="AW398">
        <f>IF($Y398="","",IFERROR(INDEX(อัตราค่าขนส่ง!$F$5:$F$204,MATCH($Y398,อัตราค่าขนส่ง!$M$5:$M$204,0)),""))</f>
        <v/>
      </c>
      <c r="AX398">
        <f>IF($W398="","",INDEX(บันทึกรายเที่ยว!$D$6:$D$6005,$W398))</f>
        <v/>
      </c>
      <c r="AY398">
        <f>IF($W398="","",INDEX(บันทึกรายเที่ยว!$R$6:$R$6005,$W398))</f>
        <v/>
      </c>
      <c r="AZ398">
        <f>IF(AND($AD398="T",$AQ398=1),N($AZ397)+1,N($AZ397))</f>
        <v/>
      </c>
      <c r="BA398">
        <f>IF($W398="","",INDEX(บันทึกรายเที่ยว!$E$6:$E$6005,$W398))</f>
        <v/>
      </c>
      <c r="BC398">
        <f>IF($Y398="",0,IFERROR(INDEX(อัตราค่าขนส่ง!$K$5:$K$204,MATCH($Y398,อัตราค่าขนส่ง!$M$5:$M$204,0)),0))</f>
        <v/>
      </c>
      <c r="BD398">
        <f>IF($Y398="",0,IFERROR(INDEX(อัตราค่าขนส่ง!$L$5:$L$204,MATCH($Y398,อัตราค่าขนส่ง!$M$5:$M$204,0)),0))</f>
        <v/>
      </c>
    </row>
    <row r="399" ht="21" customHeight="1" s="66">
      <c r="A399" s="69">
        <f>IF($AD399="","",IF($AD399="Z","รวมจ่ายทั้งสิ้น",IF($AD399="H",INDEX($X$5:$X$404,$AC399),IF($AD399="T","รวม",IF($AD399="B",IFERROR(INDEX(อัตราค่าขนส่ง!$S$5:$S$14,MATCH(INDEX($AM$5:$AM$404,$AC399),อัตราค่าขนส่ง!$R$5:$R$14,0)),"รวมกลุ่ม "&amp;INDEX($AM$5:$AM$404,$AC399)),INDEX($AY$5:$AY$404,$AC399))))))</f>
        <v/>
      </c>
      <c r="B399" s="31">
        <f>IF($AD399&lt;&gt;"D","",INDEX($AW$5:$AW$404,$AC399))</f>
        <v/>
      </c>
      <c r="C399" s="68">
        <f>IF($AD399&lt;&gt;"D","",INDEX($AX$5:$AX$404,$AC399))</f>
        <v/>
      </c>
      <c r="D399" s="70">
        <f>IF($AD399&lt;&gt;"D","",INDEX($BA$5:$BA$404,$AC399))</f>
        <v/>
      </c>
      <c r="E399" s="31">
        <f>IF($AD399="Z",SUM($AR$5:$AR$404),IF($AD399="D",INDEX($AR$5:$AR$404,$AC399),IF($AD399="T",SUMIF($X$5:$X$404,$AF399,$AR$5:$AR$404),IF($AD399="B",SUMIF($AN$5:$AN$404,$AQ399,$AR$5:$AR$404),""))))</f>
        <v/>
      </c>
      <c r="F399" s="32">
        <f>IF($AD399="Z",ROUND(SUM($AS$5:$AS$404),2),IF($AD399="D",INDEX($AS$5:$AS$404,$AC399),IF($AD399="T",ROUND(SUMIF($X$5:$X$404,$AF399,$AS$5:$AS$404),2),IF($AD399="B",ROUND(SUMIF($AN$5:$AN$404,$AQ399,$AS$5:$AS$404),2),""))))</f>
        <v/>
      </c>
      <c r="G399" s="32">
        <f>IF($AD399&lt;&gt;"D","",INDEX($AT$5:$AT$404,$AC399))</f>
        <v/>
      </c>
      <c r="H399" s="32">
        <f>IF($AD399&lt;&gt;"D","",INDEX($BC$5:$BC$404,$AC399))</f>
        <v/>
      </c>
      <c r="I399" s="32">
        <f>IF($AD399&lt;&gt;"D","",INDEX($BD$5:$BD$404,$AC399))</f>
        <v/>
      </c>
      <c r="J399" s="46">
        <f>IF($AD399&lt;&gt;"D","",IF(N($B399)=0,"",ROUND($I399/$B399,4)))</f>
        <v/>
      </c>
      <c r="K399" s="32">
        <f>IF($AD399="Z",ROUND(SUM($AU$5:$AU$404),2),IF($AD399="D",INDEX($AU$5:$AU$404,$AC399),IF($AD399="T",ROUND(SUMIF($X$5:$X$404,$AF399,$AU$5:$AU$404),2),IF($AD399="B",ROUND(SUMIF($AN$5:$AN$404,$AQ399,$AU$5:$AU$404),2),""))))</f>
        <v/>
      </c>
      <c r="L399" s="32">
        <f>IF($AD399="Z",ROUND(SUM($AV$5:$AV$404),2),IF($AD399="D",INDEX($AV$5:$AV$404,$AC399),IF($AD399="T",ROUND(SUMIF($X$5:$X$404,$AF399,$AV$5:$AV$404),2),IF($AD399="B",ROUND(SUMIF($AN$5:$AN$404,$AQ399,$AV$5:$AV$404),2),""))))</f>
        <v/>
      </c>
      <c r="M399" s="32">
        <f>IF($AD399="Z",ROUND(SUM($AJ$5:$AJ$704),2),IF($AD399="B",ROUND(SUMIF($AQ$5:$AQ$704,$AQ399,$AJ$5:$AJ$704),2),IF($AD399&lt;&gt;"T","",$AJ399)))</f>
        <v/>
      </c>
      <c r="N399" s="32">
        <f>IF(OR($AD399="D",$AD399="T",$AD399="B",$AD399="Z"),ROUND(N($K399)-N($L399)-N($M399),2),"")</f>
        <v/>
      </c>
      <c r="O399" s="32">
        <f>IF(OR($AD399="D",$AD399="T",$AD399="B",$AD399="Z"),IF(N($E399)=0,"",ROUND($F399/$E399,2)),"")</f>
        <v/>
      </c>
      <c r="Q399">
        <f>IFERROR(MATCH(395,บันทึกรายเที่ยว!$Z$6:$Z$6005,0),"")</f>
        <v/>
      </c>
      <c r="R399">
        <f>IF($Q399="","",INDEX(บันทึกรายเที่ยว!$V$6:$V$6005,$Q399))</f>
        <v/>
      </c>
      <c r="S399">
        <f>IF($Q399="","",INDEX(บันทึกรายเที่ยว!$F$6:$F$6005,$Q399))</f>
        <v/>
      </c>
      <c r="T399">
        <f>IF($Q399="","",MATCH($S399,บันทึกรายเที่ยว!$F$6:$F$6005,0))</f>
        <v/>
      </c>
      <c r="U399">
        <f>IF($Q399="","",$AL399*10000000+$T399*1000+395)</f>
        <v/>
      </c>
      <c r="V399">
        <f>IFERROR(MATCH(SMALL($U$5:$U$404,395),$U$5:$U$404,0),"")</f>
        <v/>
      </c>
      <c r="W399">
        <f>IF($V399="","",INDEX($Q$5:$Q$404,$V399))</f>
        <v/>
      </c>
      <c r="X399">
        <f>IF($V399="","",INDEX($S$5:$S$404,$V399))</f>
        <v/>
      </c>
      <c r="Y399">
        <f>IF($V399="","",INDEX($R$5:$R$404,$V399))</f>
        <v/>
      </c>
      <c r="Z399">
        <f>IF($V399="",0,IF($X399&lt;&gt;$X398,1,0))</f>
        <v/>
      </c>
      <c r="AA399">
        <f>IF($V399="",0,IF($V400="",1,IF($X400&lt;&gt;$X399,1,0)))</f>
        <v/>
      </c>
      <c r="AB399">
        <f>IF($V399="",99999+395,$AB398+1+$Z398+$AA398+$AO398)</f>
        <v/>
      </c>
      <c r="AC399">
        <f>IFERROR(MATCH(395,$AB$5:$AB$404,1),"")</f>
        <v/>
      </c>
      <c r="AD399">
        <f>IF(395=$AI$1+1,"Z",IF($AC399="","",IF(INDEX($V$5:$V$404,$AC399)="","",IF(395&gt;INDEX($AB$5:$AB$404,$AC399)+INDEX($Z$5:$Z$404,$AC399)+INDEX($AA$5:$AA$404,$AC399)+INDEX($AO$5:$AO$404,$AC399),"",IF(395=INDEX($AB$5:$AB$404,$AC399)+INDEX($Z$5:$Z$404,$AC399),"D",IF(AND(INDEX($Z$5:$Z$404,$AC399)=1,395=INDEX($AB$5:$AB$404,$AC399)),"H",IF(AND(INDEX($AO$5:$AO$404,$AC399)=1,395=INDEX($AB$5:$AB$404,$AC399)+INDEX($Z$5:$Z$404,$AC399)+INDEX($AA$5:$AA$404,$AC399)+INDEX($AO$5:$AO$404,$AC399)),"B","T")))))))</f>
        <v/>
      </c>
      <c r="AF399">
        <f>IF(OR($AD399="",$AD399="Z",$AD399="B"),"",INDEX($X$5:$X$404,$AC399))</f>
        <v/>
      </c>
      <c r="AJ399">
        <f>IF($AD399&lt;&gt;"T",0,ROUND(SUMIF(oil!$B$4:$B$63,$AF399,oil!$AE$4:$AE$63),2))</f>
        <v/>
      </c>
      <c r="AK399">
        <f>IF($S399="","",IFERROR(INDEX(อัตราค่าขนส่ง!$P$5:$P$54,MATCH($S399,อัตราค่าขนส่ง!$O$5:$O$54,0)),INDEX(รายการมาตรฐาน!$G$2:$G$3,1)))</f>
        <v/>
      </c>
      <c r="AL399">
        <f>IF($S399="","",IFERROR(MATCH($AK399,รายการมาตรฐาน!$G$2:$G$3,0),1))</f>
        <v/>
      </c>
      <c r="AM399">
        <f>IF($V399="","",INDEX($AK$5:$AK$404,$V399))</f>
        <v/>
      </c>
      <c r="AN399">
        <f>IF($V399="","",INDEX($AL$5:$AL$404,$V399))</f>
        <v/>
      </c>
      <c r="AO399">
        <f>IF(OR($V399="",$AI$2&lt;=1),0,IF($V400="",1,IF($AN400&lt;&gt;$AN399,1,0)))</f>
        <v/>
      </c>
      <c r="AP399">
        <f>IF($V399="",0,IF($AN399&lt;&gt;$AN398,1,0))</f>
        <v/>
      </c>
      <c r="AQ399">
        <f>IF(OR($AD399="",$AD399="Z"),"",INDEX($AN$5:$AN$404,$AC399))</f>
        <v/>
      </c>
      <c r="AR399">
        <f>IF($Y399="",0,COUNTIF(บันทึกรายเที่ยว!$V$6:$V$6005,$Y399))</f>
        <v/>
      </c>
      <c r="AS399">
        <f>IF($Y399="",0,ROUND(SUMIF(บันทึกรายเที่ยว!$V$6:$V$6005,$Y399,บันทึกรายเที่ยว!$M$6:$M$6005),2))</f>
        <v/>
      </c>
      <c r="AT399">
        <f>IF($Y399="",0,IFERROR(INDEX(อัตราค่าขนส่ง!$G$5:$G$204,MATCH($Y399,อัตราค่าขนส่ง!$M$5:$M$204,0)),0))</f>
        <v/>
      </c>
      <c r="AU399">
        <f>ROUND($AS399*$BD399,2)</f>
        <v/>
      </c>
      <c r="AV399">
        <f>ROUND($AU399*$BF$2/100,2)</f>
        <v/>
      </c>
      <c r="AW399">
        <f>IF($Y399="","",IFERROR(INDEX(อัตราค่าขนส่ง!$F$5:$F$204,MATCH($Y399,อัตราค่าขนส่ง!$M$5:$M$204,0)),""))</f>
        <v/>
      </c>
      <c r="AX399">
        <f>IF($W399="","",INDEX(บันทึกรายเที่ยว!$D$6:$D$6005,$W399))</f>
        <v/>
      </c>
      <c r="AY399">
        <f>IF($W399="","",INDEX(บันทึกรายเที่ยว!$R$6:$R$6005,$W399))</f>
        <v/>
      </c>
      <c r="AZ399">
        <f>IF(AND($AD399="T",$AQ399=1),N($AZ398)+1,N($AZ398))</f>
        <v/>
      </c>
      <c r="BA399">
        <f>IF($W399="","",INDEX(บันทึกรายเที่ยว!$E$6:$E$6005,$W399))</f>
        <v/>
      </c>
      <c r="BC399">
        <f>IF($Y399="",0,IFERROR(INDEX(อัตราค่าขนส่ง!$K$5:$K$204,MATCH($Y399,อัตราค่าขนส่ง!$M$5:$M$204,0)),0))</f>
        <v/>
      </c>
      <c r="BD399">
        <f>IF($Y399="",0,IFERROR(INDEX(อัตราค่าขนส่ง!$L$5:$L$204,MATCH($Y399,อัตราค่าขนส่ง!$M$5:$M$204,0)),0))</f>
        <v/>
      </c>
    </row>
    <row r="400" ht="21" customHeight="1" s="66">
      <c r="A400" s="69">
        <f>IF($AD400="","",IF($AD400="Z","รวมจ่ายทั้งสิ้น",IF($AD400="H",INDEX($X$5:$X$404,$AC400),IF($AD400="T","รวม",IF($AD400="B",IFERROR(INDEX(อัตราค่าขนส่ง!$S$5:$S$14,MATCH(INDEX($AM$5:$AM$404,$AC400),อัตราค่าขนส่ง!$R$5:$R$14,0)),"รวมกลุ่ม "&amp;INDEX($AM$5:$AM$404,$AC400)),INDEX($AY$5:$AY$404,$AC400))))))</f>
        <v/>
      </c>
      <c r="B400" s="31">
        <f>IF($AD400&lt;&gt;"D","",INDEX($AW$5:$AW$404,$AC400))</f>
        <v/>
      </c>
      <c r="C400" s="68">
        <f>IF($AD400&lt;&gt;"D","",INDEX($AX$5:$AX$404,$AC400))</f>
        <v/>
      </c>
      <c r="D400" s="70">
        <f>IF($AD400&lt;&gt;"D","",INDEX($BA$5:$BA$404,$AC400))</f>
        <v/>
      </c>
      <c r="E400" s="31">
        <f>IF($AD400="Z",SUM($AR$5:$AR$404),IF($AD400="D",INDEX($AR$5:$AR$404,$AC400),IF($AD400="T",SUMIF($X$5:$X$404,$AF400,$AR$5:$AR$404),IF($AD400="B",SUMIF($AN$5:$AN$404,$AQ400,$AR$5:$AR$404),""))))</f>
        <v/>
      </c>
      <c r="F400" s="32">
        <f>IF($AD400="Z",ROUND(SUM($AS$5:$AS$404),2),IF($AD400="D",INDEX($AS$5:$AS$404,$AC400),IF($AD400="T",ROUND(SUMIF($X$5:$X$404,$AF400,$AS$5:$AS$404),2),IF($AD400="B",ROUND(SUMIF($AN$5:$AN$404,$AQ400,$AS$5:$AS$404),2),""))))</f>
        <v/>
      </c>
      <c r="G400" s="32">
        <f>IF($AD400&lt;&gt;"D","",INDEX($AT$5:$AT$404,$AC400))</f>
        <v/>
      </c>
      <c r="H400" s="32">
        <f>IF($AD400&lt;&gt;"D","",INDEX($BC$5:$BC$404,$AC400))</f>
        <v/>
      </c>
      <c r="I400" s="32">
        <f>IF($AD400&lt;&gt;"D","",INDEX($BD$5:$BD$404,$AC400))</f>
        <v/>
      </c>
      <c r="J400" s="46">
        <f>IF($AD400&lt;&gt;"D","",IF(N($B400)=0,"",ROUND($I400/$B400,4)))</f>
        <v/>
      </c>
      <c r="K400" s="32">
        <f>IF($AD400="Z",ROUND(SUM($AU$5:$AU$404),2),IF($AD400="D",INDEX($AU$5:$AU$404,$AC400),IF($AD400="T",ROUND(SUMIF($X$5:$X$404,$AF400,$AU$5:$AU$404),2),IF($AD400="B",ROUND(SUMIF($AN$5:$AN$404,$AQ400,$AU$5:$AU$404),2),""))))</f>
        <v/>
      </c>
      <c r="L400" s="32">
        <f>IF($AD400="Z",ROUND(SUM($AV$5:$AV$404),2),IF($AD400="D",INDEX($AV$5:$AV$404,$AC400),IF($AD400="T",ROUND(SUMIF($X$5:$X$404,$AF400,$AV$5:$AV$404),2),IF($AD400="B",ROUND(SUMIF($AN$5:$AN$404,$AQ400,$AV$5:$AV$404),2),""))))</f>
        <v/>
      </c>
      <c r="M400" s="32">
        <f>IF($AD400="Z",ROUND(SUM($AJ$5:$AJ$704),2),IF($AD400="B",ROUND(SUMIF($AQ$5:$AQ$704,$AQ400,$AJ$5:$AJ$704),2),IF($AD400&lt;&gt;"T","",$AJ400)))</f>
        <v/>
      </c>
      <c r="N400" s="32">
        <f>IF(OR($AD400="D",$AD400="T",$AD400="B",$AD400="Z"),ROUND(N($K400)-N($L400)-N($M400),2),"")</f>
        <v/>
      </c>
      <c r="O400" s="32">
        <f>IF(OR($AD400="D",$AD400="T",$AD400="B",$AD400="Z"),IF(N($E400)=0,"",ROUND($F400/$E400,2)),"")</f>
        <v/>
      </c>
      <c r="Q400">
        <f>IFERROR(MATCH(396,บันทึกรายเที่ยว!$Z$6:$Z$6005,0),"")</f>
        <v/>
      </c>
      <c r="R400">
        <f>IF($Q400="","",INDEX(บันทึกรายเที่ยว!$V$6:$V$6005,$Q400))</f>
        <v/>
      </c>
      <c r="S400">
        <f>IF($Q400="","",INDEX(บันทึกรายเที่ยว!$F$6:$F$6005,$Q400))</f>
        <v/>
      </c>
      <c r="T400">
        <f>IF($Q400="","",MATCH($S400,บันทึกรายเที่ยว!$F$6:$F$6005,0))</f>
        <v/>
      </c>
      <c r="U400">
        <f>IF($Q400="","",$AL400*10000000+$T400*1000+396)</f>
        <v/>
      </c>
      <c r="V400">
        <f>IFERROR(MATCH(SMALL($U$5:$U$404,396),$U$5:$U$404,0),"")</f>
        <v/>
      </c>
      <c r="W400">
        <f>IF($V400="","",INDEX($Q$5:$Q$404,$V400))</f>
        <v/>
      </c>
      <c r="X400">
        <f>IF($V400="","",INDEX($S$5:$S$404,$V400))</f>
        <v/>
      </c>
      <c r="Y400">
        <f>IF($V400="","",INDEX($R$5:$R$404,$V400))</f>
        <v/>
      </c>
      <c r="Z400">
        <f>IF($V400="",0,IF($X400&lt;&gt;$X399,1,0))</f>
        <v/>
      </c>
      <c r="AA400">
        <f>IF($V400="",0,IF($V401="",1,IF($X401&lt;&gt;$X400,1,0)))</f>
        <v/>
      </c>
      <c r="AB400">
        <f>IF($V400="",99999+396,$AB399+1+$Z399+$AA399+$AO399)</f>
        <v/>
      </c>
      <c r="AC400">
        <f>IFERROR(MATCH(396,$AB$5:$AB$404,1),"")</f>
        <v/>
      </c>
      <c r="AD400">
        <f>IF(396=$AI$1+1,"Z",IF($AC400="","",IF(INDEX($V$5:$V$404,$AC400)="","",IF(396&gt;INDEX($AB$5:$AB$404,$AC400)+INDEX($Z$5:$Z$404,$AC400)+INDEX($AA$5:$AA$404,$AC400)+INDEX($AO$5:$AO$404,$AC400),"",IF(396=INDEX($AB$5:$AB$404,$AC400)+INDEX($Z$5:$Z$404,$AC400),"D",IF(AND(INDEX($Z$5:$Z$404,$AC400)=1,396=INDEX($AB$5:$AB$404,$AC400)),"H",IF(AND(INDEX($AO$5:$AO$404,$AC400)=1,396=INDEX($AB$5:$AB$404,$AC400)+INDEX($Z$5:$Z$404,$AC400)+INDEX($AA$5:$AA$404,$AC400)+INDEX($AO$5:$AO$404,$AC400)),"B","T")))))))</f>
        <v/>
      </c>
      <c r="AF400">
        <f>IF(OR($AD400="",$AD400="Z",$AD400="B"),"",INDEX($X$5:$X$404,$AC400))</f>
        <v/>
      </c>
      <c r="AJ400">
        <f>IF($AD400&lt;&gt;"T",0,ROUND(SUMIF(oil!$B$4:$B$63,$AF400,oil!$AE$4:$AE$63),2))</f>
        <v/>
      </c>
      <c r="AK400">
        <f>IF($S400="","",IFERROR(INDEX(อัตราค่าขนส่ง!$P$5:$P$54,MATCH($S400,อัตราค่าขนส่ง!$O$5:$O$54,0)),INDEX(รายการมาตรฐาน!$G$2:$G$3,1)))</f>
        <v/>
      </c>
      <c r="AL400">
        <f>IF($S400="","",IFERROR(MATCH($AK400,รายการมาตรฐาน!$G$2:$G$3,0),1))</f>
        <v/>
      </c>
      <c r="AM400">
        <f>IF($V400="","",INDEX($AK$5:$AK$404,$V400))</f>
        <v/>
      </c>
      <c r="AN400">
        <f>IF($V400="","",INDEX($AL$5:$AL$404,$V400))</f>
        <v/>
      </c>
      <c r="AO400">
        <f>IF(OR($V400="",$AI$2&lt;=1),0,IF($V401="",1,IF($AN401&lt;&gt;$AN400,1,0)))</f>
        <v/>
      </c>
      <c r="AP400">
        <f>IF($V400="",0,IF($AN400&lt;&gt;$AN399,1,0))</f>
        <v/>
      </c>
      <c r="AQ400">
        <f>IF(OR($AD400="",$AD400="Z"),"",INDEX($AN$5:$AN$404,$AC400))</f>
        <v/>
      </c>
      <c r="AR400">
        <f>IF($Y400="",0,COUNTIF(บันทึกรายเที่ยว!$V$6:$V$6005,$Y400))</f>
        <v/>
      </c>
      <c r="AS400">
        <f>IF($Y400="",0,ROUND(SUMIF(บันทึกรายเที่ยว!$V$6:$V$6005,$Y400,บันทึกรายเที่ยว!$M$6:$M$6005),2))</f>
        <v/>
      </c>
      <c r="AT400">
        <f>IF($Y400="",0,IFERROR(INDEX(อัตราค่าขนส่ง!$G$5:$G$204,MATCH($Y400,อัตราค่าขนส่ง!$M$5:$M$204,0)),0))</f>
        <v/>
      </c>
      <c r="AU400">
        <f>ROUND($AS400*$BD400,2)</f>
        <v/>
      </c>
      <c r="AV400">
        <f>ROUND($AU400*$BF$2/100,2)</f>
        <v/>
      </c>
      <c r="AW400">
        <f>IF($Y400="","",IFERROR(INDEX(อัตราค่าขนส่ง!$F$5:$F$204,MATCH($Y400,อัตราค่าขนส่ง!$M$5:$M$204,0)),""))</f>
        <v/>
      </c>
      <c r="AX400">
        <f>IF($W400="","",INDEX(บันทึกรายเที่ยว!$D$6:$D$6005,$W400))</f>
        <v/>
      </c>
      <c r="AY400">
        <f>IF($W400="","",INDEX(บันทึกรายเที่ยว!$R$6:$R$6005,$W400))</f>
        <v/>
      </c>
      <c r="AZ400">
        <f>IF(AND($AD400="T",$AQ400=1),N($AZ399)+1,N($AZ399))</f>
        <v/>
      </c>
      <c r="BA400">
        <f>IF($W400="","",INDEX(บันทึกรายเที่ยว!$E$6:$E$6005,$W400))</f>
        <v/>
      </c>
      <c r="BC400">
        <f>IF($Y400="",0,IFERROR(INDEX(อัตราค่าขนส่ง!$K$5:$K$204,MATCH($Y400,อัตราค่าขนส่ง!$M$5:$M$204,0)),0))</f>
        <v/>
      </c>
      <c r="BD400">
        <f>IF($Y400="",0,IFERROR(INDEX(อัตราค่าขนส่ง!$L$5:$L$204,MATCH($Y400,อัตราค่าขนส่ง!$M$5:$M$204,0)),0))</f>
        <v/>
      </c>
    </row>
    <row r="401" ht="21" customHeight="1" s="66">
      <c r="A401" s="69">
        <f>IF($AD401="","",IF($AD401="Z","รวมจ่ายทั้งสิ้น",IF($AD401="H",INDEX($X$5:$X$404,$AC401),IF($AD401="T","รวม",IF($AD401="B",IFERROR(INDEX(อัตราค่าขนส่ง!$S$5:$S$14,MATCH(INDEX($AM$5:$AM$404,$AC401),อัตราค่าขนส่ง!$R$5:$R$14,0)),"รวมกลุ่ม "&amp;INDEX($AM$5:$AM$404,$AC401)),INDEX($AY$5:$AY$404,$AC401))))))</f>
        <v/>
      </c>
      <c r="B401" s="31">
        <f>IF($AD401&lt;&gt;"D","",INDEX($AW$5:$AW$404,$AC401))</f>
        <v/>
      </c>
      <c r="C401" s="68">
        <f>IF($AD401&lt;&gt;"D","",INDEX($AX$5:$AX$404,$AC401))</f>
        <v/>
      </c>
      <c r="D401" s="70">
        <f>IF($AD401&lt;&gt;"D","",INDEX($BA$5:$BA$404,$AC401))</f>
        <v/>
      </c>
      <c r="E401" s="31">
        <f>IF($AD401="Z",SUM($AR$5:$AR$404),IF($AD401="D",INDEX($AR$5:$AR$404,$AC401),IF($AD401="T",SUMIF($X$5:$X$404,$AF401,$AR$5:$AR$404),IF($AD401="B",SUMIF($AN$5:$AN$404,$AQ401,$AR$5:$AR$404),""))))</f>
        <v/>
      </c>
      <c r="F401" s="32">
        <f>IF($AD401="Z",ROUND(SUM($AS$5:$AS$404),2),IF($AD401="D",INDEX($AS$5:$AS$404,$AC401),IF($AD401="T",ROUND(SUMIF($X$5:$X$404,$AF401,$AS$5:$AS$404),2),IF($AD401="B",ROUND(SUMIF($AN$5:$AN$404,$AQ401,$AS$5:$AS$404),2),""))))</f>
        <v/>
      </c>
      <c r="G401" s="32">
        <f>IF($AD401&lt;&gt;"D","",INDEX($AT$5:$AT$404,$AC401))</f>
        <v/>
      </c>
      <c r="H401" s="32">
        <f>IF($AD401&lt;&gt;"D","",INDEX($BC$5:$BC$404,$AC401))</f>
        <v/>
      </c>
      <c r="I401" s="32">
        <f>IF($AD401&lt;&gt;"D","",INDEX($BD$5:$BD$404,$AC401))</f>
        <v/>
      </c>
      <c r="J401" s="46">
        <f>IF($AD401&lt;&gt;"D","",IF(N($B401)=0,"",ROUND($I401/$B401,4)))</f>
        <v/>
      </c>
      <c r="K401" s="32">
        <f>IF($AD401="Z",ROUND(SUM($AU$5:$AU$404),2),IF($AD401="D",INDEX($AU$5:$AU$404,$AC401),IF($AD401="T",ROUND(SUMIF($X$5:$X$404,$AF401,$AU$5:$AU$404),2),IF($AD401="B",ROUND(SUMIF($AN$5:$AN$404,$AQ401,$AU$5:$AU$404),2),""))))</f>
        <v/>
      </c>
      <c r="L401" s="32">
        <f>IF($AD401="Z",ROUND(SUM($AV$5:$AV$404),2),IF($AD401="D",INDEX($AV$5:$AV$404,$AC401),IF($AD401="T",ROUND(SUMIF($X$5:$X$404,$AF401,$AV$5:$AV$404),2),IF($AD401="B",ROUND(SUMIF($AN$5:$AN$404,$AQ401,$AV$5:$AV$404),2),""))))</f>
        <v/>
      </c>
      <c r="M401" s="32">
        <f>IF($AD401="Z",ROUND(SUM($AJ$5:$AJ$704),2),IF($AD401="B",ROUND(SUMIF($AQ$5:$AQ$704,$AQ401,$AJ$5:$AJ$704),2),IF($AD401&lt;&gt;"T","",$AJ401)))</f>
        <v/>
      </c>
      <c r="N401" s="32">
        <f>IF(OR($AD401="D",$AD401="T",$AD401="B",$AD401="Z"),ROUND(N($K401)-N($L401)-N($M401),2),"")</f>
        <v/>
      </c>
      <c r="O401" s="32">
        <f>IF(OR($AD401="D",$AD401="T",$AD401="B",$AD401="Z"),IF(N($E401)=0,"",ROUND($F401/$E401,2)),"")</f>
        <v/>
      </c>
      <c r="Q401">
        <f>IFERROR(MATCH(397,บันทึกรายเที่ยว!$Z$6:$Z$6005,0),"")</f>
        <v/>
      </c>
      <c r="R401">
        <f>IF($Q401="","",INDEX(บันทึกรายเที่ยว!$V$6:$V$6005,$Q401))</f>
        <v/>
      </c>
      <c r="S401">
        <f>IF($Q401="","",INDEX(บันทึกรายเที่ยว!$F$6:$F$6005,$Q401))</f>
        <v/>
      </c>
      <c r="T401">
        <f>IF($Q401="","",MATCH($S401,บันทึกรายเที่ยว!$F$6:$F$6005,0))</f>
        <v/>
      </c>
      <c r="U401">
        <f>IF($Q401="","",$AL401*10000000+$T401*1000+397)</f>
        <v/>
      </c>
      <c r="V401">
        <f>IFERROR(MATCH(SMALL($U$5:$U$404,397),$U$5:$U$404,0),"")</f>
        <v/>
      </c>
      <c r="W401">
        <f>IF($V401="","",INDEX($Q$5:$Q$404,$V401))</f>
        <v/>
      </c>
      <c r="X401">
        <f>IF($V401="","",INDEX($S$5:$S$404,$V401))</f>
        <v/>
      </c>
      <c r="Y401">
        <f>IF($V401="","",INDEX($R$5:$R$404,$V401))</f>
        <v/>
      </c>
      <c r="Z401">
        <f>IF($V401="",0,IF($X401&lt;&gt;$X400,1,0))</f>
        <v/>
      </c>
      <c r="AA401">
        <f>IF($V401="",0,IF($V402="",1,IF($X402&lt;&gt;$X401,1,0)))</f>
        <v/>
      </c>
      <c r="AB401">
        <f>IF($V401="",99999+397,$AB400+1+$Z400+$AA400+$AO400)</f>
        <v/>
      </c>
      <c r="AC401">
        <f>IFERROR(MATCH(397,$AB$5:$AB$404,1),"")</f>
        <v/>
      </c>
      <c r="AD401">
        <f>IF(397=$AI$1+1,"Z",IF($AC401="","",IF(INDEX($V$5:$V$404,$AC401)="","",IF(397&gt;INDEX($AB$5:$AB$404,$AC401)+INDEX($Z$5:$Z$404,$AC401)+INDEX($AA$5:$AA$404,$AC401)+INDEX($AO$5:$AO$404,$AC401),"",IF(397=INDEX($AB$5:$AB$404,$AC401)+INDEX($Z$5:$Z$404,$AC401),"D",IF(AND(INDEX($Z$5:$Z$404,$AC401)=1,397=INDEX($AB$5:$AB$404,$AC401)),"H",IF(AND(INDEX($AO$5:$AO$404,$AC401)=1,397=INDEX($AB$5:$AB$404,$AC401)+INDEX($Z$5:$Z$404,$AC401)+INDEX($AA$5:$AA$404,$AC401)+INDEX($AO$5:$AO$404,$AC401)),"B","T")))))))</f>
        <v/>
      </c>
      <c r="AF401">
        <f>IF(OR($AD401="",$AD401="Z",$AD401="B"),"",INDEX($X$5:$X$404,$AC401))</f>
        <v/>
      </c>
      <c r="AJ401">
        <f>IF($AD401&lt;&gt;"T",0,ROUND(SUMIF(oil!$B$4:$B$63,$AF401,oil!$AE$4:$AE$63),2))</f>
        <v/>
      </c>
      <c r="AK401">
        <f>IF($S401="","",IFERROR(INDEX(อัตราค่าขนส่ง!$P$5:$P$54,MATCH($S401,อัตราค่าขนส่ง!$O$5:$O$54,0)),INDEX(รายการมาตรฐาน!$G$2:$G$3,1)))</f>
        <v/>
      </c>
      <c r="AL401">
        <f>IF($S401="","",IFERROR(MATCH($AK401,รายการมาตรฐาน!$G$2:$G$3,0),1))</f>
        <v/>
      </c>
      <c r="AM401">
        <f>IF($V401="","",INDEX($AK$5:$AK$404,$V401))</f>
        <v/>
      </c>
      <c r="AN401">
        <f>IF($V401="","",INDEX($AL$5:$AL$404,$V401))</f>
        <v/>
      </c>
      <c r="AO401">
        <f>IF(OR($V401="",$AI$2&lt;=1),0,IF($V402="",1,IF($AN402&lt;&gt;$AN401,1,0)))</f>
        <v/>
      </c>
      <c r="AP401">
        <f>IF($V401="",0,IF($AN401&lt;&gt;$AN400,1,0))</f>
        <v/>
      </c>
      <c r="AQ401">
        <f>IF(OR($AD401="",$AD401="Z"),"",INDEX($AN$5:$AN$404,$AC401))</f>
        <v/>
      </c>
      <c r="AR401">
        <f>IF($Y401="",0,COUNTIF(บันทึกรายเที่ยว!$V$6:$V$6005,$Y401))</f>
        <v/>
      </c>
      <c r="AS401">
        <f>IF($Y401="",0,ROUND(SUMIF(บันทึกรายเที่ยว!$V$6:$V$6005,$Y401,บันทึกรายเที่ยว!$M$6:$M$6005),2))</f>
        <v/>
      </c>
      <c r="AT401">
        <f>IF($Y401="",0,IFERROR(INDEX(อัตราค่าขนส่ง!$G$5:$G$204,MATCH($Y401,อัตราค่าขนส่ง!$M$5:$M$204,0)),0))</f>
        <v/>
      </c>
      <c r="AU401">
        <f>ROUND($AS401*$BD401,2)</f>
        <v/>
      </c>
      <c r="AV401">
        <f>ROUND($AU401*$BF$2/100,2)</f>
        <v/>
      </c>
      <c r="AW401">
        <f>IF($Y401="","",IFERROR(INDEX(อัตราค่าขนส่ง!$F$5:$F$204,MATCH($Y401,อัตราค่าขนส่ง!$M$5:$M$204,0)),""))</f>
        <v/>
      </c>
      <c r="AX401">
        <f>IF($W401="","",INDEX(บันทึกรายเที่ยว!$D$6:$D$6005,$W401))</f>
        <v/>
      </c>
      <c r="AY401">
        <f>IF($W401="","",INDEX(บันทึกรายเที่ยว!$R$6:$R$6005,$W401))</f>
        <v/>
      </c>
      <c r="AZ401">
        <f>IF(AND($AD401="T",$AQ401=1),N($AZ400)+1,N($AZ400))</f>
        <v/>
      </c>
      <c r="BA401">
        <f>IF($W401="","",INDEX(บันทึกรายเที่ยว!$E$6:$E$6005,$W401))</f>
        <v/>
      </c>
      <c r="BC401">
        <f>IF($Y401="",0,IFERROR(INDEX(อัตราค่าขนส่ง!$K$5:$K$204,MATCH($Y401,อัตราค่าขนส่ง!$M$5:$M$204,0)),0))</f>
        <v/>
      </c>
      <c r="BD401">
        <f>IF($Y401="",0,IFERROR(INDEX(อัตราค่าขนส่ง!$L$5:$L$204,MATCH($Y401,อัตราค่าขนส่ง!$M$5:$M$204,0)),0))</f>
        <v/>
      </c>
    </row>
    <row r="402" ht="21" customHeight="1" s="66">
      <c r="A402" s="69">
        <f>IF($AD402="","",IF($AD402="Z","รวมจ่ายทั้งสิ้น",IF($AD402="H",INDEX($X$5:$X$404,$AC402),IF($AD402="T","รวม",IF($AD402="B",IFERROR(INDEX(อัตราค่าขนส่ง!$S$5:$S$14,MATCH(INDEX($AM$5:$AM$404,$AC402),อัตราค่าขนส่ง!$R$5:$R$14,0)),"รวมกลุ่ม "&amp;INDEX($AM$5:$AM$404,$AC402)),INDEX($AY$5:$AY$404,$AC402))))))</f>
        <v/>
      </c>
      <c r="B402" s="31">
        <f>IF($AD402&lt;&gt;"D","",INDEX($AW$5:$AW$404,$AC402))</f>
        <v/>
      </c>
      <c r="C402" s="68">
        <f>IF($AD402&lt;&gt;"D","",INDEX($AX$5:$AX$404,$AC402))</f>
        <v/>
      </c>
      <c r="D402" s="70">
        <f>IF($AD402&lt;&gt;"D","",INDEX($BA$5:$BA$404,$AC402))</f>
        <v/>
      </c>
      <c r="E402" s="31">
        <f>IF($AD402="Z",SUM($AR$5:$AR$404),IF($AD402="D",INDEX($AR$5:$AR$404,$AC402),IF($AD402="T",SUMIF($X$5:$X$404,$AF402,$AR$5:$AR$404),IF($AD402="B",SUMIF($AN$5:$AN$404,$AQ402,$AR$5:$AR$404),""))))</f>
        <v/>
      </c>
      <c r="F402" s="32">
        <f>IF($AD402="Z",ROUND(SUM($AS$5:$AS$404),2),IF($AD402="D",INDEX($AS$5:$AS$404,$AC402),IF($AD402="T",ROUND(SUMIF($X$5:$X$404,$AF402,$AS$5:$AS$404),2),IF($AD402="B",ROUND(SUMIF($AN$5:$AN$404,$AQ402,$AS$5:$AS$404),2),""))))</f>
        <v/>
      </c>
      <c r="G402" s="32">
        <f>IF($AD402&lt;&gt;"D","",INDEX($AT$5:$AT$404,$AC402))</f>
        <v/>
      </c>
      <c r="H402" s="32">
        <f>IF($AD402&lt;&gt;"D","",INDEX($BC$5:$BC$404,$AC402))</f>
        <v/>
      </c>
      <c r="I402" s="32">
        <f>IF($AD402&lt;&gt;"D","",INDEX($BD$5:$BD$404,$AC402))</f>
        <v/>
      </c>
      <c r="J402" s="46">
        <f>IF($AD402&lt;&gt;"D","",IF(N($B402)=0,"",ROUND($I402/$B402,4)))</f>
        <v/>
      </c>
      <c r="K402" s="32">
        <f>IF($AD402="Z",ROUND(SUM($AU$5:$AU$404),2),IF($AD402="D",INDEX($AU$5:$AU$404,$AC402),IF($AD402="T",ROUND(SUMIF($X$5:$X$404,$AF402,$AU$5:$AU$404),2),IF($AD402="B",ROUND(SUMIF($AN$5:$AN$404,$AQ402,$AU$5:$AU$404),2),""))))</f>
        <v/>
      </c>
      <c r="L402" s="32">
        <f>IF($AD402="Z",ROUND(SUM($AV$5:$AV$404),2),IF($AD402="D",INDEX($AV$5:$AV$404,$AC402),IF($AD402="T",ROUND(SUMIF($X$5:$X$404,$AF402,$AV$5:$AV$404),2),IF($AD402="B",ROUND(SUMIF($AN$5:$AN$404,$AQ402,$AV$5:$AV$404),2),""))))</f>
        <v/>
      </c>
      <c r="M402" s="32">
        <f>IF($AD402="Z",ROUND(SUM($AJ$5:$AJ$704),2),IF($AD402="B",ROUND(SUMIF($AQ$5:$AQ$704,$AQ402,$AJ$5:$AJ$704),2),IF($AD402&lt;&gt;"T","",$AJ402)))</f>
        <v/>
      </c>
      <c r="N402" s="32">
        <f>IF(OR($AD402="D",$AD402="T",$AD402="B",$AD402="Z"),ROUND(N($K402)-N($L402)-N($M402),2),"")</f>
        <v/>
      </c>
      <c r="O402" s="32">
        <f>IF(OR($AD402="D",$AD402="T",$AD402="B",$AD402="Z"),IF(N($E402)=0,"",ROUND($F402/$E402,2)),"")</f>
        <v/>
      </c>
      <c r="Q402">
        <f>IFERROR(MATCH(398,บันทึกรายเที่ยว!$Z$6:$Z$6005,0),"")</f>
        <v/>
      </c>
      <c r="R402">
        <f>IF($Q402="","",INDEX(บันทึกรายเที่ยว!$V$6:$V$6005,$Q402))</f>
        <v/>
      </c>
      <c r="S402">
        <f>IF($Q402="","",INDEX(บันทึกรายเที่ยว!$F$6:$F$6005,$Q402))</f>
        <v/>
      </c>
      <c r="T402">
        <f>IF($Q402="","",MATCH($S402,บันทึกรายเที่ยว!$F$6:$F$6005,0))</f>
        <v/>
      </c>
      <c r="U402">
        <f>IF($Q402="","",$AL402*10000000+$T402*1000+398)</f>
        <v/>
      </c>
      <c r="V402">
        <f>IFERROR(MATCH(SMALL($U$5:$U$404,398),$U$5:$U$404,0),"")</f>
        <v/>
      </c>
      <c r="W402">
        <f>IF($V402="","",INDEX($Q$5:$Q$404,$V402))</f>
        <v/>
      </c>
      <c r="X402">
        <f>IF($V402="","",INDEX($S$5:$S$404,$V402))</f>
        <v/>
      </c>
      <c r="Y402">
        <f>IF($V402="","",INDEX($R$5:$R$404,$V402))</f>
        <v/>
      </c>
      <c r="Z402">
        <f>IF($V402="",0,IF($X402&lt;&gt;$X401,1,0))</f>
        <v/>
      </c>
      <c r="AA402">
        <f>IF($V402="",0,IF($V403="",1,IF($X403&lt;&gt;$X402,1,0)))</f>
        <v/>
      </c>
      <c r="AB402">
        <f>IF($V402="",99999+398,$AB401+1+$Z401+$AA401+$AO401)</f>
        <v/>
      </c>
      <c r="AC402">
        <f>IFERROR(MATCH(398,$AB$5:$AB$404,1),"")</f>
        <v/>
      </c>
      <c r="AD402">
        <f>IF(398=$AI$1+1,"Z",IF($AC402="","",IF(INDEX($V$5:$V$404,$AC402)="","",IF(398&gt;INDEX($AB$5:$AB$404,$AC402)+INDEX($Z$5:$Z$404,$AC402)+INDEX($AA$5:$AA$404,$AC402)+INDEX($AO$5:$AO$404,$AC402),"",IF(398=INDEX($AB$5:$AB$404,$AC402)+INDEX($Z$5:$Z$404,$AC402),"D",IF(AND(INDEX($Z$5:$Z$404,$AC402)=1,398=INDEX($AB$5:$AB$404,$AC402)),"H",IF(AND(INDEX($AO$5:$AO$404,$AC402)=1,398=INDEX($AB$5:$AB$404,$AC402)+INDEX($Z$5:$Z$404,$AC402)+INDEX($AA$5:$AA$404,$AC402)+INDEX($AO$5:$AO$404,$AC402)),"B","T")))))))</f>
        <v/>
      </c>
      <c r="AF402">
        <f>IF(OR($AD402="",$AD402="Z",$AD402="B"),"",INDEX($X$5:$X$404,$AC402))</f>
        <v/>
      </c>
      <c r="AJ402">
        <f>IF($AD402&lt;&gt;"T",0,ROUND(SUMIF(oil!$B$4:$B$63,$AF402,oil!$AE$4:$AE$63),2))</f>
        <v/>
      </c>
      <c r="AK402">
        <f>IF($S402="","",IFERROR(INDEX(อัตราค่าขนส่ง!$P$5:$P$54,MATCH($S402,อัตราค่าขนส่ง!$O$5:$O$54,0)),INDEX(รายการมาตรฐาน!$G$2:$G$3,1)))</f>
        <v/>
      </c>
      <c r="AL402">
        <f>IF($S402="","",IFERROR(MATCH($AK402,รายการมาตรฐาน!$G$2:$G$3,0),1))</f>
        <v/>
      </c>
      <c r="AM402">
        <f>IF($V402="","",INDEX($AK$5:$AK$404,$V402))</f>
        <v/>
      </c>
      <c r="AN402">
        <f>IF($V402="","",INDEX($AL$5:$AL$404,$V402))</f>
        <v/>
      </c>
      <c r="AO402">
        <f>IF(OR($V402="",$AI$2&lt;=1),0,IF($V403="",1,IF($AN403&lt;&gt;$AN402,1,0)))</f>
        <v/>
      </c>
      <c r="AP402">
        <f>IF($V402="",0,IF($AN402&lt;&gt;$AN401,1,0))</f>
        <v/>
      </c>
      <c r="AQ402">
        <f>IF(OR($AD402="",$AD402="Z"),"",INDEX($AN$5:$AN$404,$AC402))</f>
        <v/>
      </c>
      <c r="AR402">
        <f>IF($Y402="",0,COUNTIF(บันทึกรายเที่ยว!$V$6:$V$6005,$Y402))</f>
        <v/>
      </c>
      <c r="AS402">
        <f>IF($Y402="",0,ROUND(SUMIF(บันทึกรายเที่ยว!$V$6:$V$6005,$Y402,บันทึกรายเที่ยว!$M$6:$M$6005),2))</f>
        <v/>
      </c>
      <c r="AT402">
        <f>IF($Y402="",0,IFERROR(INDEX(อัตราค่าขนส่ง!$G$5:$G$204,MATCH($Y402,อัตราค่าขนส่ง!$M$5:$M$204,0)),0))</f>
        <v/>
      </c>
      <c r="AU402">
        <f>ROUND($AS402*$BD402,2)</f>
        <v/>
      </c>
      <c r="AV402">
        <f>ROUND($AU402*$BF$2/100,2)</f>
        <v/>
      </c>
      <c r="AW402">
        <f>IF($Y402="","",IFERROR(INDEX(อัตราค่าขนส่ง!$F$5:$F$204,MATCH($Y402,อัตราค่าขนส่ง!$M$5:$M$204,0)),""))</f>
        <v/>
      </c>
      <c r="AX402">
        <f>IF($W402="","",INDEX(บันทึกรายเที่ยว!$D$6:$D$6005,$W402))</f>
        <v/>
      </c>
      <c r="AY402">
        <f>IF($W402="","",INDEX(บันทึกรายเที่ยว!$R$6:$R$6005,$W402))</f>
        <v/>
      </c>
      <c r="AZ402">
        <f>IF(AND($AD402="T",$AQ402=1),N($AZ401)+1,N($AZ401))</f>
        <v/>
      </c>
      <c r="BA402">
        <f>IF($W402="","",INDEX(บันทึกรายเที่ยว!$E$6:$E$6005,$W402))</f>
        <v/>
      </c>
      <c r="BC402">
        <f>IF($Y402="",0,IFERROR(INDEX(อัตราค่าขนส่ง!$K$5:$K$204,MATCH($Y402,อัตราค่าขนส่ง!$M$5:$M$204,0)),0))</f>
        <v/>
      </c>
      <c r="BD402">
        <f>IF($Y402="",0,IFERROR(INDEX(อัตราค่าขนส่ง!$L$5:$L$204,MATCH($Y402,อัตราค่าขนส่ง!$M$5:$M$204,0)),0))</f>
        <v/>
      </c>
    </row>
    <row r="403" ht="21" customHeight="1" s="66">
      <c r="A403" s="69">
        <f>IF($AD403="","",IF($AD403="Z","รวมจ่ายทั้งสิ้น",IF($AD403="H",INDEX($X$5:$X$404,$AC403),IF($AD403="T","รวม",IF($AD403="B",IFERROR(INDEX(อัตราค่าขนส่ง!$S$5:$S$14,MATCH(INDEX($AM$5:$AM$404,$AC403),อัตราค่าขนส่ง!$R$5:$R$14,0)),"รวมกลุ่ม "&amp;INDEX($AM$5:$AM$404,$AC403)),INDEX($AY$5:$AY$404,$AC403))))))</f>
        <v/>
      </c>
      <c r="B403" s="31">
        <f>IF($AD403&lt;&gt;"D","",INDEX($AW$5:$AW$404,$AC403))</f>
        <v/>
      </c>
      <c r="C403" s="68">
        <f>IF($AD403&lt;&gt;"D","",INDEX($AX$5:$AX$404,$AC403))</f>
        <v/>
      </c>
      <c r="D403" s="70">
        <f>IF($AD403&lt;&gt;"D","",INDEX($BA$5:$BA$404,$AC403))</f>
        <v/>
      </c>
      <c r="E403" s="31">
        <f>IF($AD403="Z",SUM($AR$5:$AR$404),IF($AD403="D",INDEX($AR$5:$AR$404,$AC403),IF($AD403="T",SUMIF($X$5:$X$404,$AF403,$AR$5:$AR$404),IF($AD403="B",SUMIF($AN$5:$AN$404,$AQ403,$AR$5:$AR$404),""))))</f>
        <v/>
      </c>
      <c r="F403" s="32">
        <f>IF($AD403="Z",ROUND(SUM($AS$5:$AS$404),2),IF($AD403="D",INDEX($AS$5:$AS$404,$AC403),IF($AD403="T",ROUND(SUMIF($X$5:$X$404,$AF403,$AS$5:$AS$404),2),IF($AD403="B",ROUND(SUMIF($AN$5:$AN$404,$AQ403,$AS$5:$AS$404),2),""))))</f>
        <v/>
      </c>
      <c r="G403" s="32">
        <f>IF($AD403&lt;&gt;"D","",INDEX($AT$5:$AT$404,$AC403))</f>
        <v/>
      </c>
      <c r="H403" s="32">
        <f>IF($AD403&lt;&gt;"D","",INDEX($BC$5:$BC$404,$AC403))</f>
        <v/>
      </c>
      <c r="I403" s="32">
        <f>IF($AD403&lt;&gt;"D","",INDEX($BD$5:$BD$404,$AC403))</f>
        <v/>
      </c>
      <c r="J403" s="46">
        <f>IF($AD403&lt;&gt;"D","",IF(N($B403)=0,"",ROUND($I403/$B403,4)))</f>
        <v/>
      </c>
      <c r="K403" s="32">
        <f>IF($AD403="Z",ROUND(SUM($AU$5:$AU$404),2),IF($AD403="D",INDEX($AU$5:$AU$404,$AC403),IF($AD403="T",ROUND(SUMIF($X$5:$X$404,$AF403,$AU$5:$AU$404),2),IF($AD403="B",ROUND(SUMIF($AN$5:$AN$404,$AQ403,$AU$5:$AU$404),2),""))))</f>
        <v/>
      </c>
      <c r="L403" s="32">
        <f>IF($AD403="Z",ROUND(SUM($AV$5:$AV$404),2),IF($AD403="D",INDEX($AV$5:$AV$404,$AC403),IF($AD403="T",ROUND(SUMIF($X$5:$X$404,$AF403,$AV$5:$AV$404),2),IF($AD403="B",ROUND(SUMIF($AN$5:$AN$404,$AQ403,$AV$5:$AV$404),2),""))))</f>
        <v/>
      </c>
      <c r="M403" s="32">
        <f>IF($AD403="Z",ROUND(SUM($AJ$5:$AJ$704),2),IF($AD403="B",ROUND(SUMIF($AQ$5:$AQ$704,$AQ403,$AJ$5:$AJ$704),2),IF($AD403&lt;&gt;"T","",$AJ403)))</f>
        <v/>
      </c>
      <c r="N403" s="32">
        <f>IF(OR($AD403="D",$AD403="T",$AD403="B",$AD403="Z"),ROUND(N($K403)-N($L403)-N($M403),2),"")</f>
        <v/>
      </c>
      <c r="O403" s="32">
        <f>IF(OR($AD403="D",$AD403="T",$AD403="B",$AD403="Z"),IF(N($E403)=0,"",ROUND($F403/$E403,2)),"")</f>
        <v/>
      </c>
      <c r="Q403">
        <f>IFERROR(MATCH(399,บันทึกรายเที่ยว!$Z$6:$Z$6005,0),"")</f>
        <v/>
      </c>
      <c r="R403">
        <f>IF($Q403="","",INDEX(บันทึกรายเที่ยว!$V$6:$V$6005,$Q403))</f>
        <v/>
      </c>
      <c r="S403">
        <f>IF($Q403="","",INDEX(บันทึกรายเที่ยว!$F$6:$F$6005,$Q403))</f>
        <v/>
      </c>
      <c r="T403">
        <f>IF($Q403="","",MATCH($S403,บันทึกรายเที่ยว!$F$6:$F$6005,0))</f>
        <v/>
      </c>
      <c r="U403">
        <f>IF($Q403="","",$AL403*10000000+$T403*1000+399)</f>
        <v/>
      </c>
      <c r="V403">
        <f>IFERROR(MATCH(SMALL($U$5:$U$404,399),$U$5:$U$404,0),"")</f>
        <v/>
      </c>
      <c r="W403">
        <f>IF($V403="","",INDEX($Q$5:$Q$404,$V403))</f>
        <v/>
      </c>
      <c r="X403">
        <f>IF($V403="","",INDEX($S$5:$S$404,$V403))</f>
        <v/>
      </c>
      <c r="Y403">
        <f>IF($V403="","",INDEX($R$5:$R$404,$V403))</f>
        <v/>
      </c>
      <c r="Z403">
        <f>IF($V403="",0,IF($X403&lt;&gt;$X402,1,0))</f>
        <v/>
      </c>
      <c r="AA403">
        <f>IF($V403="",0,IF($V404="",1,IF($X404&lt;&gt;$X403,1,0)))</f>
        <v/>
      </c>
      <c r="AB403">
        <f>IF($V403="",99999+399,$AB402+1+$Z402+$AA402+$AO402)</f>
        <v/>
      </c>
      <c r="AC403">
        <f>IFERROR(MATCH(399,$AB$5:$AB$404,1),"")</f>
        <v/>
      </c>
      <c r="AD403">
        <f>IF(399=$AI$1+1,"Z",IF($AC403="","",IF(INDEX($V$5:$V$404,$AC403)="","",IF(399&gt;INDEX($AB$5:$AB$404,$AC403)+INDEX($Z$5:$Z$404,$AC403)+INDEX($AA$5:$AA$404,$AC403)+INDEX($AO$5:$AO$404,$AC403),"",IF(399=INDEX($AB$5:$AB$404,$AC403)+INDEX($Z$5:$Z$404,$AC403),"D",IF(AND(INDEX($Z$5:$Z$404,$AC403)=1,399=INDEX($AB$5:$AB$404,$AC403)),"H",IF(AND(INDEX($AO$5:$AO$404,$AC403)=1,399=INDEX($AB$5:$AB$404,$AC403)+INDEX($Z$5:$Z$404,$AC403)+INDEX($AA$5:$AA$404,$AC403)+INDEX($AO$5:$AO$404,$AC403)),"B","T")))))))</f>
        <v/>
      </c>
      <c r="AF403">
        <f>IF(OR($AD403="",$AD403="Z",$AD403="B"),"",INDEX($X$5:$X$404,$AC403))</f>
        <v/>
      </c>
      <c r="AJ403">
        <f>IF($AD403&lt;&gt;"T",0,ROUND(SUMIF(oil!$B$4:$B$63,$AF403,oil!$AE$4:$AE$63),2))</f>
        <v/>
      </c>
      <c r="AK403">
        <f>IF($S403="","",IFERROR(INDEX(อัตราค่าขนส่ง!$P$5:$P$54,MATCH($S403,อัตราค่าขนส่ง!$O$5:$O$54,0)),INDEX(รายการมาตรฐาน!$G$2:$G$3,1)))</f>
        <v/>
      </c>
      <c r="AL403">
        <f>IF($S403="","",IFERROR(MATCH($AK403,รายการมาตรฐาน!$G$2:$G$3,0),1))</f>
        <v/>
      </c>
      <c r="AM403">
        <f>IF($V403="","",INDEX($AK$5:$AK$404,$V403))</f>
        <v/>
      </c>
      <c r="AN403">
        <f>IF($V403="","",INDEX($AL$5:$AL$404,$V403))</f>
        <v/>
      </c>
      <c r="AO403">
        <f>IF(OR($V403="",$AI$2&lt;=1),0,IF($V404="",1,IF($AN404&lt;&gt;$AN403,1,0)))</f>
        <v/>
      </c>
      <c r="AP403">
        <f>IF($V403="",0,IF($AN403&lt;&gt;$AN402,1,0))</f>
        <v/>
      </c>
      <c r="AQ403">
        <f>IF(OR($AD403="",$AD403="Z"),"",INDEX($AN$5:$AN$404,$AC403))</f>
        <v/>
      </c>
      <c r="AR403">
        <f>IF($Y403="",0,COUNTIF(บันทึกรายเที่ยว!$V$6:$V$6005,$Y403))</f>
        <v/>
      </c>
      <c r="AS403">
        <f>IF($Y403="",0,ROUND(SUMIF(บันทึกรายเที่ยว!$V$6:$V$6005,$Y403,บันทึกรายเที่ยว!$M$6:$M$6005),2))</f>
        <v/>
      </c>
      <c r="AT403">
        <f>IF($Y403="",0,IFERROR(INDEX(อัตราค่าขนส่ง!$G$5:$G$204,MATCH($Y403,อัตราค่าขนส่ง!$M$5:$M$204,0)),0))</f>
        <v/>
      </c>
      <c r="AU403">
        <f>ROUND($AS403*$BD403,2)</f>
        <v/>
      </c>
      <c r="AV403">
        <f>ROUND($AU403*$BF$2/100,2)</f>
        <v/>
      </c>
      <c r="AW403">
        <f>IF($Y403="","",IFERROR(INDEX(อัตราค่าขนส่ง!$F$5:$F$204,MATCH($Y403,อัตราค่าขนส่ง!$M$5:$M$204,0)),""))</f>
        <v/>
      </c>
      <c r="AX403">
        <f>IF($W403="","",INDEX(บันทึกรายเที่ยว!$D$6:$D$6005,$W403))</f>
        <v/>
      </c>
      <c r="AY403">
        <f>IF($W403="","",INDEX(บันทึกรายเที่ยว!$R$6:$R$6005,$W403))</f>
        <v/>
      </c>
      <c r="AZ403">
        <f>IF(AND($AD403="T",$AQ403=1),N($AZ402)+1,N($AZ402))</f>
        <v/>
      </c>
      <c r="BA403">
        <f>IF($W403="","",INDEX(บันทึกรายเที่ยว!$E$6:$E$6005,$W403))</f>
        <v/>
      </c>
      <c r="BC403">
        <f>IF($Y403="",0,IFERROR(INDEX(อัตราค่าขนส่ง!$K$5:$K$204,MATCH($Y403,อัตราค่าขนส่ง!$M$5:$M$204,0)),0))</f>
        <v/>
      </c>
      <c r="BD403">
        <f>IF($Y403="",0,IFERROR(INDEX(อัตราค่าขนส่ง!$L$5:$L$204,MATCH($Y403,อัตราค่าขนส่ง!$M$5:$M$204,0)),0))</f>
        <v/>
      </c>
    </row>
    <row r="404" ht="21" customHeight="1" s="66">
      <c r="A404" s="69">
        <f>IF($AD404="","",IF($AD404="Z","รวมจ่ายทั้งสิ้น",IF($AD404="H",INDEX($X$5:$X$404,$AC404),IF($AD404="T","รวม",IF($AD404="B",IFERROR(INDEX(อัตราค่าขนส่ง!$S$5:$S$14,MATCH(INDEX($AM$5:$AM$404,$AC404),อัตราค่าขนส่ง!$R$5:$R$14,0)),"รวมกลุ่ม "&amp;INDEX($AM$5:$AM$404,$AC404)),INDEX($AY$5:$AY$404,$AC404))))))</f>
        <v/>
      </c>
      <c r="B404" s="31">
        <f>IF($AD404&lt;&gt;"D","",INDEX($AW$5:$AW$404,$AC404))</f>
        <v/>
      </c>
      <c r="C404" s="68">
        <f>IF($AD404&lt;&gt;"D","",INDEX($AX$5:$AX$404,$AC404))</f>
        <v/>
      </c>
      <c r="D404" s="70">
        <f>IF($AD404&lt;&gt;"D","",INDEX($BA$5:$BA$404,$AC404))</f>
        <v/>
      </c>
      <c r="E404" s="31">
        <f>IF($AD404="Z",SUM($AR$5:$AR$404),IF($AD404="D",INDEX($AR$5:$AR$404,$AC404),IF($AD404="T",SUMIF($X$5:$X$404,$AF404,$AR$5:$AR$404),IF($AD404="B",SUMIF($AN$5:$AN$404,$AQ404,$AR$5:$AR$404),""))))</f>
        <v/>
      </c>
      <c r="F404" s="32">
        <f>IF($AD404="Z",ROUND(SUM($AS$5:$AS$404),2),IF($AD404="D",INDEX($AS$5:$AS$404,$AC404),IF($AD404="T",ROUND(SUMIF($X$5:$X$404,$AF404,$AS$5:$AS$404),2),IF($AD404="B",ROUND(SUMIF($AN$5:$AN$404,$AQ404,$AS$5:$AS$404),2),""))))</f>
        <v/>
      </c>
      <c r="G404" s="32">
        <f>IF($AD404&lt;&gt;"D","",INDEX($AT$5:$AT$404,$AC404))</f>
        <v/>
      </c>
      <c r="H404" s="32">
        <f>IF($AD404&lt;&gt;"D","",INDEX($BC$5:$BC$404,$AC404))</f>
        <v/>
      </c>
      <c r="I404" s="32">
        <f>IF($AD404&lt;&gt;"D","",INDEX($BD$5:$BD$404,$AC404))</f>
        <v/>
      </c>
      <c r="J404" s="46">
        <f>IF($AD404&lt;&gt;"D","",IF(N($B404)=0,"",ROUND($I404/$B404,4)))</f>
        <v/>
      </c>
      <c r="K404" s="32">
        <f>IF($AD404="Z",ROUND(SUM($AU$5:$AU$404),2),IF($AD404="D",INDEX($AU$5:$AU$404,$AC404),IF($AD404="T",ROUND(SUMIF($X$5:$X$404,$AF404,$AU$5:$AU$404),2),IF($AD404="B",ROUND(SUMIF($AN$5:$AN$404,$AQ404,$AU$5:$AU$404),2),""))))</f>
        <v/>
      </c>
      <c r="L404" s="32">
        <f>IF($AD404="Z",ROUND(SUM($AV$5:$AV$404),2),IF($AD404="D",INDEX($AV$5:$AV$404,$AC404),IF($AD404="T",ROUND(SUMIF($X$5:$X$404,$AF404,$AV$5:$AV$404),2),IF($AD404="B",ROUND(SUMIF($AN$5:$AN$404,$AQ404,$AV$5:$AV$404),2),""))))</f>
        <v/>
      </c>
      <c r="M404" s="32">
        <f>IF($AD404="Z",ROUND(SUM($AJ$5:$AJ$704),2),IF($AD404="B",ROUND(SUMIF($AQ$5:$AQ$704,$AQ404,$AJ$5:$AJ$704),2),IF($AD404&lt;&gt;"T","",$AJ404)))</f>
        <v/>
      </c>
      <c r="N404" s="32">
        <f>IF(OR($AD404="D",$AD404="T",$AD404="B",$AD404="Z"),ROUND(N($K404)-N($L404)-N($M404),2),"")</f>
        <v/>
      </c>
      <c r="O404" s="32">
        <f>IF(OR($AD404="D",$AD404="T",$AD404="B",$AD404="Z"),IF(N($E404)=0,"",ROUND($F404/$E404,2)),"")</f>
        <v/>
      </c>
      <c r="Q404">
        <f>IFERROR(MATCH(400,บันทึกรายเที่ยว!$Z$6:$Z$6005,0),"")</f>
        <v/>
      </c>
      <c r="R404">
        <f>IF($Q404="","",INDEX(บันทึกรายเที่ยว!$V$6:$V$6005,$Q404))</f>
        <v/>
      </c>
      <c r="S404">
        <f>IF($Q404="","",INDEX(บันทึกรายเที่ยว!$F$6:$F$6005,$Q404))</f>
        <v/>
      </c>
      <c r="T404">
        <f>IF($Q404="","",MATCH($S404,บันทึกรายเที่ยว!$F$6:$F$6005,0))</f>
        <v/>
      </c>
      <c r="U404">
        <f>IF($Q404="","",$AL404*10000000+$T404*1000+400)</f>
        <v/>
      </c>
      <c r="V404">
        <f>IFERROR(MATCH(SMALL($U$5:$U$404,400),$U$5:$U$404,0),"")</f>
        <v/>
      </c>
      <c r="W404">
        <f>IF($V404="","",INDEX($Q$5:$Q$404,$V404))</f>
        <v/>
      </c>
      <c r="X404">
        <f>IF($V404="","",INDEX($S$5:$S$404,$V404))</f>
        <v/>
      </c>
      <c r="Y404">
        <f>IF($V404="","",INDEX($R$5:$R$404,$V404))</f>
        <v/>
      </c>
      <c r="Z404">
        <f>IF($V404="",0,IF($X404&lt;&gt;$X403,1,0))</f>
        <v/>
      </c>
      <c r="AA404">
        <f>IF($V404="",0,1)</f>
        <v/>
      </c>
      <c r="AB404">
        <f>IF($V404="",99999+400,$AB403+1+$Z403+$AA403+$AO403)</f>
        <v/>
      </c>
      <c r="AC404">
        <f>IFERROR(MATCH(400,$AB$5:$AB$404,1),"")</f>
        <v/>
      </c>
      <c r="AD404">
        <f>IF(400=$AI$1+1,"Z",IF($AC404="","",IF(INDEX($V$5:$V$404,$AC404)="","",IF(400&gt;INDEX($AB$5:$AB$404,$AC404)+INDEX($Z$5:$Z$404,$AC404)+INDEX($AA$5:$AA$404,$AC404)+INDEX($AO$5:$AO$404,$AC404),"",IF(400=INDEX($AB$5:$AB$404,$AC404)+INDEX($Z$5:$Z$404,$AC404),"D",IF(AND(INDEX($Z$5:$Z$404,$AC404)=1,400=INDEX($AB$5:$AB$404,$AC404)),"H",IF(AND(INDEX($AO$5:$AO$404,$AC404)=1,400=INDEX($AB$5:$AB$404,$AC404)+INDEX($Z$5:$Z$404,$AC404)+INDEX($AA$5:$AA$404,$AC404)+INDEX($AO$5:$AO$404,$AC404)),"B","T")))))))</f>
        <v/>
      </c>
      <c r="AF404">
        <f>IF(OR($AD404="",$AD404="Z",$AD404="B"),"",INDEX($X$5:$X$404,$AC404))</f>
        <v/>
      </c>
      <c r="AJ404">
        <f>IF($AD404&lt;&gt;"T",0,ROUND(SUMIF(oil!$B$4:$B$63,$AF404,oil!$AE$4:$AE$63),2))</f>
        <v/>
      </c>
      <c r="AK404">
        <f>IF($S404="","",IFERROR(INDEX(อัตราค่าขนส่ง!$P$5:$P$54,MATCH($S404,อัตราค่าขนส่ง!$O$5:$O$54,0)),INDEX(รายการมาตรฐาน!$G$2:$G$3,1)))</f>
        <v/>
      </c>
      <c r="AL404">
        <f>IF($S404="","",IFERROR(MATCH($AK404,รายการมาตรฐาน!$G$2:$G$3,0),1))</f>
        <v/>
      </c>
      <c r="AM404">
        <f>IF($V404="","",INDEX($AK$5:$AK$404,$V404))</f>
        <v/>
      </c>
      <c r="AN404">
        <f>IF($V404="","",INDEX($AL$5:$AL$404,$V404))</f>
        <v/>
      </c>
      <c r="AO404">
        <f>IF(OR($V404="",$AI$2&lt;=1),0,1)</f>
        <v/>
      </c>
      <c r="AP404">
        <f>IF($V404="",0,IF($AN404&lt;&gt;$AN403,1,0))</f>
        <v/>
      </c>
      <c r="AQ404">
        <f>IF(OR($AD404="",$AD404="Z"),"",INDEX($AN$5:$AN$404,$AC404))</f>
        <v/>
      </c>
      <c r="AR404">
        <f>IF($Y404="",0,COUNTIF(บันทึกรายเที่ยว!$V$6:$V$6005,$Y404))</f>
        <v/>
      </c>
      <c r="AS404">
        <f>IF($Y404="",0,ROUND(SUMIF(บันทึกรายเที่ยว!$V$6:$V$6005,$Y404,บันทึกรายเที่ยว!$M$6:$M$6005),2))</f>
        <v/>
      </c>
      <c r="AT404">
        <f>IF($Y404="",0,IFERROR(INDEX(อัตราค่าขนส่ง!$G$5:$G$204,MATCH($Y404,อัตราค่าขนส่ง!$M$5:$M$204,0)),0))</f>
        <v/>
      </c>
      <c r="AU404">
        <f>ROUND($AS404*$BD404,2)</f>
        <v/>
      </c>
      <c r="AV404">
        <f>ROUND($AU404*$BF$2/100,2)</f>
        <v/>
      </c>
      <c r="AW404">
        <f>IF($Y404="","",IFERROR(INDEX(อัตราค่าขนส่ง!$F$5:$F$204,MATCH($Y404,อัตราค่าขนส่ง!$M$5:$M$204,0)),""))</f>
        <v/>
      </c>
      <c r="AX404">
        <f>IF($W404="","",INDEX(บันทึกรายเที่ยว!$D$6:$D$6005,$W404))</f>
        <v/>
      </c>
      <c r="AY404">
        <f>IF($W404="","",INDEX(บันทึกรายเที่ยว!$R$6:$R$6005,$W404))</f>
        <v/>
      </c>
      <c r="AZ404">
        <f>IF(AND($AD404="T",$AQ404=1),N($AZ403)+1,N($AZ403))</f>
        <v/>
      </c>
      <c r="BA404">
        <f>IF($W404="","",INDEX(บันทึกรายเที่ยว!$E$6:$E$6005,$W404))</f>
        <v/>
      </c>
      <c r="BC404">
        <f>IF($Y404="",0,IFERROR(INDEX(อัตราค่าขนส่ง!$K$5:$K$204,MATCH($Y404,อัตราค่าขนส่ง!$M$5:$M$204,0)),0))</f>
        <v/>
      </c>
      <c r="BD404">
        <f>IF($Y404="",0,IFERROR(INDEX(อัตราค่าขนส่ง!$L$5:$L$204,MATCH($Y404,อัตราค่าขนส่ง!$M$5:$M$204,0)),0))</f>
        <v/>
      </c>
    </row>
    <row r="405" ht="21" customHeight="1" s="66">
      <c r="A405" s="69">
        <f>IF($AD405="","",IF($AD405="Z","รวมจ่ายทั้งสิ้น",IF($AD405="H",INDEX($X$5:$X$404,$AC405),IF($AD405="T","รวม",IF($AD405="B",IFERROR(INDEX(อัตราค่าขนส่ง!$S$5:$S$14,MATCH(INDEX($AM$5:$AM$404,$AC405),อัตราค่าขนส่ง!$R$5:$R$14,0)),"รวมกลุ่ม "&amp;INDEX($AM$5:$AM$404,$AC405)),INDEX($AY$5:$AY$404,$AC405))))))</f>
        <v/>
      </c>
      <c r="B405" s="31">
        <f>IF($AD405&lt;&gt;"D","",INDEX($AW$5:$AW$404,$AC405))</f>
        <v/>
      </c>
      <c r="C405" s="68">
        <f>IF($AD405&lt;&gt;"D","",INDEX($AX$5:$AX$404,$AC405))</f>
        <v/>
      </c>
      <c r="D405" s="70">
        <f>IF($AD405&lt;&gt;"D","",INDEX($BA$5:$BA$404,$AC405))</f>
        <v/>
      </c>
      <c r="E405" s="31">
        <f>IF($AD405="Z",SUM($AR$5:$AR$404),IF($AD405="D",INDEX($AR$5:$AR$404,$AC405),IF($AD405="T",SUMIF($X$5:$X$404,$AF405,$AR$5:$AR$404),IF($AD405="B",SUMIF($AN$5:$AN$404,$AQ405,$AR$5:$AR$404),""))))</f>
        <v/>
      </c>
      <c r="F405" s="32">
        <f>IF($AD405="Z",ROUND(SUM($AS$5:$AS$404),2),IF($AD405="D",INDEX($AS$5:$AS$404,$AC405),IF($AD405="T",ROUND(SUMIF($X$5:$X$404,$AF405,$AS$5:$AS$404),2),IF($AD405="B",ROUND(SUMIF($AN$5:$AN$404,$AQ405,$AS$5:$AS$404),2),""))))</f>
        <v/>
      </c>
      <c r="G405" s="32">
        <f>IF($AD405&lt;&gt;"D","",INDEX($AT$5:$AT$404,$AC405))</f>
        <v/>
      </c>
      <c r="H405" s="32">
        <f>IF($AD405&lt;&gt;"D","",INDEX($BC$5:$BC$404,$AC405))</f>
        <v/>
      </c>
      <c r="I405" s="32">
        <f>IF($AD405&lt;&gt;"D","",INDEX($BD$5:$BD$404,$AC405))</f>
        <v/>
      </c>
      <c r="J405" s="46">
        <f>IF($AD405&lt;&gt;"D","",IF(N($B405)=0,"",ROUND($I405/$B405,4)))</f>
        <v/>
      </c>
      <c r="K405" s="32">
        <f>IF($AD405="Z",ROUND(SUM($AU$5:$AU$404),2),IF($AD405="D",INDEX($AU$5:$AU$404,$AC405),IF($AD405="T",ROUND(SUMIF($X$5:$X$404,$AF405,$AU$5:$AU$404),2),IF($AD405="B",ROUND(SUMIF($AN$5:$AN$404,$AQ405,$AU$5:$AU$404),2),""))))</f>
        <v/>
      </c>
      <c r="L405" s="32">
        <f>IF($AD405="Z",ROUND(SUM($AV$5:$AV$404),2),IF($AD405="D",INDEX($AV$5:$AV$404,$AC405),IF($AD405="T",ROUND(SUMIF($X$5:$X$404,$AF405,$AV$5:$AV$404),2),IF($AD405="B",ROUND(SUMIF($AN$5:$AN$404,$AQ405,$AV$5:$AV$404),2),""))))</f>
        <v/>
      </c>
      <c r="M405" s="32">
        <f>IF($AD405="Z",ROUND(SUM($AJ$5:$AJ$704),2),IF($AD405="B",ROUND(SUMIF($AQ$5:$AQ$704,$AQ405,$AJ$5:$AJ$704),2),IF($AD405&lt;&gt;"T","",$AJ405)))</f>
        <v/>
      </c>
      <c r="N405" s="32">
        <f>IF(OR($AD405="D",$AD405="T",$AD405="B",$AD405="Z"),ROUND(N($K405)-N($L405)-N($M405),2),"")</f>
        <v/>
      </c>
      <c r="O405" s="32">
        <f>IF(OR($AD405="D",$AD405="T",$AD405="B",$AD405="Z"),IF(N($E405)=0,"",ROUND($F405/$E405,2)),"")</f>
        <v/>
      </c>
      <c r="AC405">
        <f>IFERROR(MATCH(401,$AB$5:$AB$404,1),"")</f>
        <v/>
      </c>
      <c r="AD405">
        <f>IF(401=$AI$1+1,"Z",IF($AC405="","",IF(INDEX($V$5:$V$404,$AC405)="","",IF(401&gt;INDEX($AB$5:$AB$404,$AC405)+INDEX($Z$5:$Z$404,$AC405)+INDEX($AA$5:$AA$404,$AC405)+INDEX($AO$5:$AO$404,$AC405),"",IF(401=INDEX($AB$5:$AB$404,$AC405)+INDEX($Z$5:$Z$404,$AC405),"D",IF(AND(INDEX($Z$5:$Z$404,$AC405)=1,401=INDEX($AB$5:$AB$404,$AC405)),"H",IF(AND(INDEX($AO$5:$AO$404,$AC405)=1,401=INDEX($AB$5:$AB$404,$AC405)+INDEX($Z$5:$Z$404,$AC405)+INDEX($AA$5:$AA$404,$AC405)+INDEX($AO$5:$AO$404,$AC405)),"B","T")))))))</f>
        <v/>
      </c>
      <c r="AF405">
        <f>IF(OR($AD405="",$AD405="Z",$AD405="B"),"",INDEX($X$5:$X$404,$AC405))</f>
        <v/>
      </c>
      <c r="AJ405">
        <f>IF($AD405&lt;&gt;"T",0,ROUND(SUMIF(oil!$B$4:$B$63,$AF405,oil!$AE$4:$AE$63),2))</f>
        <v/>
      </c>
      <c r="AQ405">
        <f>IF(OR($AD405="",$AD405="Z"),"",INDEX($AN$5:$AN$404,$AC405))</f>
        <v/>
      </c>
      <c r="AZ405">
        <f>IF(AND($AD405="T",$AQ405=1),N($AZ404)+1,N($AZ404))</f>
        <v/>
      </c>
    </row>
    <row r="406" ht="21" customHeight="1" s="66">
      <c r="A406" s="69">
        <f>IF($AD406="","",IF($AD406="Z","รวมจ่ายทั้งสิ้น",IF($AD406="H",INDEX($X$5:$X$404,$AC406),IF($AD406="T","รวม",IF($AD406="B",IFERROR(INDEX(อัตราค่าขนส่ง!$S$5:$S$14,MATCH(INDEX($AM$5:$AM$404,$AC406),อัตราค่าขนส่ง!$R$5:$R$14,0)),"รวมกลุ่ม "&amp;INDEX($AM$5:$AM$404,$AC406)),INDEX($AY$5:$AY$404,$AC406))))))</f>
        <v/>
      </c>
      <c r="B406" s="31">
        <f>IF($AD406&lt;&gt;"D","",INDEX($AW$5:$AW$404,$AC406))</f>
        <v/>
      </c>
      <c r="C406" s="68">
        <f>IF($AD406&lt;&gt;"D","",INDEX($AX$5:$AX$404,$AC406))</f>
        <v/>
      </c>
      <c r="D406" s="70">
        <f>IF($AD406&lt;&gt;"D","",INDEX($BA$5:$BA$404,$AC406))</f>
        <v/>
      </c>
      <c r="E406" s="31">
        <f>IF($AD406="Z",SUM($AR$5:$AR$404),IF($AD406="D",INDEX($AR$5:$AR$404,$AC406),IF($AD406="T",SUMIF($X$5:$X$404,$AF406,$AR$5:$AR$404),IF($AD406="B",SUMIF($AN$5:$AN$404,$AQ406,$AR$5:$AR$404),""))))</f>
        <v/>
      </c>
      <c r="F406" s="32">
        <f>IF($AD406="Z",ROUND(SUM($AS$5:$AS$404),2),IF($AD406="D",INDEX($AS$5:$AS$404,$AC406),IF($AD406="T",ROUND(SUMIF($X$5:$X$404,$AF406,$AS$5:$AS$404),2),IF($AD406="B",ROUND(SUMIF($AN$5:$AN$404,$AQ406,$AS$5:$AS$404),2),""))))</f>
        <v/>
      </c>
      <c r="G406" s="32">
        <f>IF($AD406&lt;&gt;"D","",INDEX($AT$5:$AT$404,$AC406))</f>
        <v/>
      </c>
      <c r="H406" s="32">
        <f>IF($AD406&lt;&gt;"D","",INDEX($BC$5:$BC$404,$AC406))</f>
        <v/>
      </c>
      <c r="I406" s="32">
        <f>IF($AD406&lt;&gt;"D","",INDEX($BD$5:$BD$404,$AC406))</f>
        <v/>
      </c>
      <c r="J406" s="46">
        <f>IF($AD406&lt;&gt;"D","",IF(N($B406)=0,"",ROUND($I406/$B406,4)))</f>
        <v/>
      </c>
      <c r="K406" s="32">
        <f>IF($AD406="Z",ROUND(SUM($AU$5:$AU$404),2),IF($AD406="D",INDEX($AU$5:$AU$404,$AC406),IF($AD406="T",ROUND(SUMIF($X$5:$X$404,$AF406,$AU$5:$AU$404),2),IF($AD406="B",ROUND(SUMIF($AN$5:$AN$404,$AQ406,$AU$5:$AU$404),2),""))))</f>
        <v/>
      </c>
      <c r="L406" s="32">
        <f>IF($AD406="Z",ROUND(SUM($AV$5:$AV$404),2),IF($AD406="D",INDEX($AV$5:$AV$404,$AC406),IF($AD406="T",ROUND(SUMIF($X$5:$X$404,$AF406,$AV$5:$AV$404),2),IF($AD406="B",ROUND(SUMIF($AN$5:$AN$404,$AQ406,$AV$5:$AV$404),2),""))))</f>
        <v/>
      </c>
      <c r="M406" s="32">
        <f>IF($AD406="Z",ROUND(SUM($AJ$5:$AJ$704),2),IF($AD406="B",ROUND(SUMIF($AQ$5:$AQ$704,$AQ406,$AJ$5:$AJ$704),2),IF($AD406&lt;&gt;"T","",$AJ406)))</f>
        <v/>
      </c>
      <c r="N406" s="32">
        <f>IF(OR($AD406="D",$AD406="T",$AD406="B",$AD406="Z"),ROUND(N($K406)-N($L406)-N($M406),2),"")</f>
        <v/>
      </c>
      <c r="O406" s="32">
        <f>IF(OR($AD406="D",$AD406="T",$AD406="B",$AD406="Z"),IF(N($E406)=0,"",ROUND($F406/$E406,2)),"")</f>
        <v/>
      </c>
      <c r="AC406">
        <f>IFERROR(MATCH(402,$AB$5:$AB$404,1),"")</f>
        <v/>
      </c>
      <c r="AD406">
        <f>IF(402=$AI$1+1,"Z",IF($AC406="","",IF(INDEX($V$5:$V$404,$AC406)="","",IF(402&gt;INDEX($AB$5:$AB$404,$AC406)+INDEX($Z$5:$Z$404,$AC406)+INDEX($AA$5:$AA$404,$AC406)+INDEX($AO$5:$AO$404,$AC406),"",IF(402=INDEX($AB$5:$AB$404,$AC406)+INDEX($Z$5:$Z$404,$AC406),"D",IF(AND(INDEX($Z$5:$Z$404,$AC406)=1,402=INDEX($AB$5:$AB$404,$AC406)),"H",IF(AND(INDEX($AO$5:$AO$404,$AC406)=1,402=INDEX($AB$5:$AB$404,$AC406)+INDEX($Z$5:$Z$404,$AC406)+INDEX($AA$5:$AA$404,$AC406)+INDEX($AO$5:$AO$404,$AC406)),"B","T")))))))</f>
        <v/>
      </c>
      <c r="AF406">
        <f>IF(OR($AD406="",$AD406="Z",$AD406="B"),"",INDEX($X$5:$X$404,$AC406))</f>
        <v/>
      </c>
      <c r="AJ406">
        <f>IF($AD406&lt;&gt;"T",0,ROUND(SUMIF(oil!$B$4:$B$63,$AF406,oil!$AE$4:$AE$63),2))</f>
        <v/>
      </c>
      <c r="AQ406">
        <f>IF(OR($AD406="",$AD406="Z"),"",INDEX($AN$5:$AN$404,$AC406))</f>
        <v/>
      </c>
      <c r="AZ406">
        <f>IF(AND($AD406="T",$AQ406=1),N($AZ405)+1,N($AZ405))</f>
        <v/>
      </c>
    </row>
    <row r="407" ht="21" customHeight="1" s="66">
      <c r="A407" s="69">
        <f>IF($AD407="","",IF($AD407="Z","รวมจ่ายทั้งสิ้น",IF($AD407="H",INDEX($X$5:$X$404,$AC407),IF($AD407="T","รวม",IF($AD407="B",IFERROR(INDEX(อัตราค่าขนส่ง!$S$5:$S$14,MATCH(INDEX($AM$5:$AM$404,$AC407),อัตราค่าขนส่ง!$R$5:$R$14,0)),"รวมกลุ่ม "&amp;INDEX($AM$5:$AM$404,$AC407)),INDEX($AY$5:$AY$404,$AC407))))))</f>
        <v/>
      </c>
      <c r="B407" s="31">
        <f>IF($AD407&lt;&gt;"D","",INDEX($AW$5:$AW$404,$AC407))</f>
        <v/>
      </c>
      <c r="C407" s="68">
        <f>IF($AD407&lt;&gt;"D","",INDEX($AX$5:$AX$404,$AC407))</f>
        <v/>
      </c>
      <c r="D407" s="70">
        <f>IF($AD407&lt;&gt;"D","",INDEX($BA$5:$BA$404,$AC407))</f>
        <v/>
      </c>
      <c r="E407" s="31">
        <f>IF($AD407="Z",SUM($AR$5:$AR$404),IF($AD407="D",INDEX($AR$5:$AR$404,$AC407),IF($AD407="T",SUMIF($X$5:$X$404,$AF407,$AR$5:$AR$404),IF($AD407="B",SUMIF($AN$5:$AN$404,$AQ407,$AR$5:$AR$404),""))))</f>
        <v/>
      </c>
      <c r="F407" s="32">
        <f>IF($AD407="Z",ROUND(SUM($AS$5:$AS$404),2),IF($AD407="D",INDEX($AS$5:$AS$404,$AC407),IF($AD407="T",ROUND(SUMIF($X$5:$X$404,$AF407,$AS$5:$AS$404),2),IF($AD407="B",ROUND(SUMIF($AN$5:$AN$404,$AQ407,$AS$5:$AS$404),2),""))))</f>
        <v/>
      </c>
      <c r="G407" s="32">
        <f>IF($AD407&lt;&gt;"D","",INDEX($AT$5:$AT$404,$AC407))</f>
        <v/>
      </c>
      <c r="H407" s="32">
        <f>IF($AD407&lt;&gt;"D","",INDEX($BC$5:$BC$404,$AC407))</f>
        <v/>
      </c>
      <c r="I407" s="32">
        <f>IF($AD407&lt;&gt;"D","",INDEX($BD$5:$BD$404,$AC407))</f>
        <v/>
      </c>
      <c r="J407" s="46">
        <f>IF($AD407&lt;&gt;"D","",IF(N($B407)=0,"",ROUND($I407/$B407,4)))</f>
        <v/>
      </c>
      <c r="K407" s="32">
        <f>IF($AD407="Z",ROUND(SUM($AU$5:$AU$404),2),IF($AD407="D",INDEX($AU$5:$AU$404,$AC407),IF($AD407="T",ROUND(SUMIF($X$5:$X$404,$AF407,$AU$5:$AU$404),2),IF($AD407="B",ROUND(SUMIF($AN$5:$AN$404,$AQ407,$AU$5:$AU$404),2),""))))</f>
        <v/>
      </c>
      <c r="L407" s="32">
        <f>IF($AD407="Z",ROUND(SUM($AV$5:$AV$404),2),IF($AD407="D",INDEX($AV$5:$AV$404,$AC407),IF($AD407="T",ROUND(SUMIF($X$5:$X$404,$AF407,$AV$5:$AV$404),2),IF($AD407="B",ROUND(SUMIF($AN$5:$AN$404,$AQ407,$AV$5:$AV$404),2),""))))</f>
        <v/>
      </c>
      <c r="M407" s="32">
        <f>IF($AD407="Z",ROUND(SUM($AJ$5:$AJ$704),2),IF($AD407="B",ROUND(SUMIF($AQ$5:$AQ$704,$AQ407,$AJ$5:$AJ$704),2),IF($AD407&lt;&gt;"T","",$AJ407)))</f>
        <v/>
      </c>
      <c r="N407" s="32">
        <f>IF(OR($AD407="D",$AD407="T",$AD407="B",$AD407="Z"),ROUND(N($K407)-N($L407)-N($M407),2),"")</f>
        <v/>
      </c>
      <c r="O407" s="32">
        <f>IF(OR($AD407="D",$AD407="T",$AD407="B",$AD407="Z"),IF(N($E407)=0,"",ROUND($F407/$E407,2)),"")</f>
        <v/>
      </c>
      <c r="AC407">
        <f>IFERROR(MATCH(403,$AB$5:$AB$404,1),"")</f>
        <v/>
      </c>
      <c r="AD407">
        <f>IF(403=$AI$1+1,"Z",IF($AC407="","",IF(INDEX($V$5:$V$404,$AC407)="","",IF(403&gt;INDEX($AB$5:$AB$404,$AC407)+INDEX($Z$5:$Z$404,$AC407)+INDEX($AA$5:$AA$404,$AC407)+INDEX($AO$5:$AO$404,$AC407),"",IF(403=INDEX($AB$5:$AB$404,$AC407)+INDEX($Z$5:$Z$404,$AC407),"D",IF(AND(INDEX($Z$5:$Z$404,$AC407)=1,403=INDEX($AB$5:$AB$404,$AC407)),"H",IF(AND(INDEX($AO$5:$AO$404,$AC407)=1,403=INDEX($AB$5:$AB$404,$AC407)+INDEX($Z$5:$Z$404,$AC407)+INDEX($AA$5:$AA$404,$AC407)+INDEX($AO$5:$AO$404,$AC407)),"B","T")))))))</f>
        <v/>
      </c>
      <c r="AF407">
        <f>IF(OR($AD407="",$AD407="Z",$AD407="B"),"",INDEX($X$5:$X$404,$AC407))</f>
        <v/>
      </c>
      <c r="AJ407">
        <f>IF($AD407&lt;&gt;"T",0,ROUND(SUMIF(oil!$B$4:$B$63,$AF407,oil!$AE$4:$AE$63),2))</f>
        <v/>
      </c>
      <c r="AQ407">
        <f>IF(OR($AD407="",$AD407="Z"),"",INDEX($AN$5:$AN$404,$AC407))</f>
        <v/>
      </c>
      <c r="AZ407">
        <f>IF(AND($AD407="T",$AQ407=1),N($AZ406)+1,N($AZ406))</f>
        <v/>
      </c>
    </row>
    <row r="408" ht="21" customHeight="1" s="66">
      <c r="A408" s="69">
        <f>IF($AD408="","",IF($AD408="Z","รวมจ่ายทั้งสิ้น",IF($AD408="H",INDEX($X$5:$X$404,$AC408),IF($AD408="T","รวม",IF($AD408="B",IFERROR(INDEX(อัตราค่าขนส่ง!$S$5:$S$14,MATCH(INDEX($AM$5:$AM$404,$AC408),อัตราค่าขนส่ง!$R$5:$R$14,0)),"รวมกลุ่ม "&amp;INDEX($AM$5:$AM$404,$AC408)),INDEX($AY$5:$AY$404,$AC408))))))</f>
        <v/>
      </c>
      <c r="B408" s="31">
        <f>IF($AD408&lt;&gt;"D","",INDEX($AW$5:$AW$404,$AC408))</f>
        <v/>
      </c>
      <c r="C408" s="68">
        <f>IF($AD408&lt;&gt;"D","",INDEX($AX$5:$AX$404,$AC408))</f>
        <v/>
      </c>
      <c r="D408" s="70">
        <f>IF($AD408&lt;&gt;"D","",INDEX($BA$5:$BA$404,$AC408))</f>
        <v/>
      </c>
      <c r="E408" s="31">
        <f>IF($AD408="Z",SUM($AR$5:$AR$404),IF($AD408="D",INDEX($AR$5:$AR$404,$AC408),IF($AD408="T",SUMIF($X$5:$X$404,$AF408,$AR$5:$AR$404),IF($AD408="B",SUMIF($AN$5:$AN$404,$AQ408,$AR$5:$AR$404),""))))</f>
        <v/>
      </c>
      <c r="F408" s="32">
        <f>IF($AD408="Z",ROUND(SUM($AS$5:$AS$404),2),IF($AD408="D",INDEX($AS$5:$AS$404,$AC408),IF($AD408="T",ROUND(SUMIF($X$5:$X$404,$AF408,$AS$5:$AS$404),2),IF($AD408="B",ROUND(SUMIF($AN$5:$AN$404,$AQ408,$AS$5:$AS$404),2),""))))</f>
        <v/>
      </c>
      <c r="G408" s="32">
        <f>IF($AD408&lt;&gt;"D","",INDEX($AT$5:$AT$404,$AC408))</f>
        <v/>
      </c>
      <c r="H408" s="32">
        <f>IF($AD408&lt;&gt;"D","",INDEX($BC$5:$BC$404,$AC408))</f>
        <v/>
      </c>
      <c r="I408" s="32">
        <f>IF($AD408&lt;&gt;"D","",INDEX($BD$5:$BD$404,$AC408))</f>
        <v/>
      </c>
      <c r="J408" s="46">
        <f>IF($AD408&lt;&gt;"D","",IF(N($B408)=0,"",ROUND($I408/$B408,4)))</f>
        <v/>
      </c>
      <c r="K408" s="32">
        <f>IF($AD408="Z",ROUND(SUM($AU$5:$AU$404),2),IF($AD408="D",INDEX($AU$5:$AU$404,$AC408),IF($AD408="T",ROUND(SUMIF($X$5:$X$404,$AF408,$AU$5:$AU$404),2),IF($AD408="B",ROUND(SUMIF($AN$5:$AN$404,$AQ408,$AU$5:$AU$404),2),""))))</f>
        <v/>
      </c>
      <c r="L408" s="32">
        <f>IF($AD408="Z",ROUND(SUM($AV$5:$AV$404),2),IF($AD408="D",INDEX($AV$5:$AV$404,$AC408),IF($AD408="T",ROUND(SUMIF($X$5:$X$404,$AF408,$AV$5:$AV$404),2),IF($AD408="B",ROUND(SUMIF($AN$5:$AN$404,$AQ408,$AV$5:$AV$404),2),""))))</f>
        <v/>
      </c>
      <c r="M408" s="32">
        <f>IF($AD408="Z",ROUND(SUM($AJ$5:$AJ$704),2),IF($AD408="B",ROUND(SUMIF($AQ$5:$AQ$704,$AQ408,$AJ$5:$AJ$704),2),IF($AD408&lt;&gt;"T","",$AJ408)))</f>
        <v/>
      </c>
      <c r="N408" s="32">
        <f>IF(OR($AD408="D",$AD408="T",$AD408="B",$AD408="Z"),ROUND(N($K408)-N($L408)-N($M408),2),"")</f>
        <v/>
      </c>
      <c r="O408" s="32">
        <f>IF(OR($AD408="D",$AD408="T",$AD408="B",$AD408="Z"),IF(N($E408)=0,"",ROUND($F408/$E408,2)),"")</f>
        <v/>
      </c>
      <c r="AC408">
        <f>IFERROR(MATCH(404,$AB$5:$AB$404,1),"")</f>
        <v/>
      </c>
      <c r="AD408">
        <f>IF(404=$AI$1+1,"Z",IF($AC408="","",IF(INDEX($V$5:$V$404,$AC408)="","",IF(404&gt;INDEX($AB$5:$AB$404,$AC408)+INDEX($Z$5:$Z$404,$AC408)+INDEX($AA$5:$AA$404,$AC408)+INDEX($AO$5:$AO$404,$AC408),"",IF(404=INDEX($AB$5:$AB$404,$AC408)+INDEX($Z$5:$Z$404,$AC408),"D",IF(AND(INDEX($Z$5:$Z$404,$AC408)=1,404=INDEX($AB$5:$AB$404,$AC408)),"H",IF(AND(INDEX($AO$5:$AO$404,$AC408)=1,404=INDEX($AB$5:$AB$404,$AC408)+INDEX($Z$5:$Z$404,$AC408)+INDEX($AA$5:$AA$404,$AC408)+INDEX($AO$5:$AO$404,$AC408)),"B","T")))))))</f>
        <v/>
      </c>
      <c r="AF408">
        <f>IF(OR($AD408="",$AD408="Z",$AD408="B"),"",INDEX($X$5:$X$404,$AC408))</f>
        <v/>
      </c>
      <c r="AJ408">
        <f>IF($AD408&lt;&gt;"T",0,ROUND(SUMIF(oil!$B$4:$B$63,$AF408,oil!$AE$4:$AE$63),2))</f>
        <v/>
      </c>
      <c r="AQ408">
        <f>IF(OR($AD408="",$AD408="Z"),"",INDEX($AN$5:$AN$404,$AC408))</f>
        <v/>
      </c>
      <c r="AZ408">
        <f>IF(AND($AD408="T",$AQ408=1),N($AZ407)+1,N($AZ407))</f>
        <v/>
      </c>
    </row>
    <row r="409" ht="21" customHeight="1" s="66">
      <c r="A409" s="69">
        <f>IF($AD409="","",IF($AD409="Z","รวมจ่ายทั้งสิ้น",IF($AD409="H",INDEX($X$5:$X$404,$AC409),IF($AD409="T","รวม",IF($AD409="B",IFERROR(INDEX(อัตราค่าขนส่ง!$S$5:$S$14,MATCH(INDEX($AM$5:$AM$404,$AC409),อัตราค่าขนส่ง!$R$5:$R$14,0)),"รวมกลุ่ม "&amp;INDEX($AM$5:$AM$404,$AC409)),INDEX($AY$5:$AY$404,$AC409))))))</f>
        <v/>
      </c>
      <c r="B409" s="31">
        <f>IF($AD409&lt;&gt;"D","",INDEX($AW$5:$AW$404,$AC409))</f>
        <v/>
      </c>
      <c r="C409" s="68">
        <f>IF($AD409&lt;&gt;"D","",INDEX($AX$5:$AX$404,$AC409))</f>
        <v/>
      </c>
      <c r="D409" s="70">
        <f>IF($AD409&lt;&gt;"D","",INDEX($BA$5:$BA$404,$AC409))</f>
        <v/>
      </c>
      <c r="E409" s="31">
        <f>IF($AD409="Z",SUM($AR$5:$AR$404),IF($AD409="D",INDEX($AR$5:$AR$404,$AC409),IF($AD409="T",SUMIF($X$5:$X$404,$AF409,$AR$5:$AR$404),IF($AD409="B",SUMIF($AN$5:$AN$404,$AQ409,$AR$5:$AR$404),""))))</f>
        <v/>
      </c>
      <c r="F409" s="32">
        <f>IF($AD409="Z",ROUND(SUM($AS$5:$AS$404),2),IF($AD409="D",INDEX($AS$5:$AS$404,$AC409),IF($AD409="T",ROUND(SUMIF($X$5:$X$404,$AF409,$AS$5:$AS$404),2),IF($AD409="B",ROUND(SUMIF($AN$5:$AN$404,$AQ409,$AS$5:$AS$404),2),""))))</f>
        <v/>
      </c>
      <c r="G409" s="32">
        <f>IF($AD409&lt;&gt;"D","",INDEX($AT$5:$AT$404,$AC409))</f>
        <v/>
      </c>
      <c r="H409" s="32">
        <f>IF($AD409&lt;&gt;"D","",INDEX($BC$5:$BC$404,$AC409))</f>
        <v/>
      </c>
      <c r="I409" s="32">
        <f>IF($AD409&lt;&gt;"D","",INDEX($BD$5:$BD$404,$AC409))</f>
        <v/>
      </c>
      <c r="J409" s="46">
        <f>IF($AD409&lt;&gt;"D","",IF(N($B409)=0,"",ROUND($I409/$B409,4)))</f>
        <v/>
      </c>
      <c r="K409" s="32">
        <f>IF($AD409="Z",ROUND(SUM($AU$5:$AU$404),2),IF($AD409="D",INDEX($AU$5:$AU$404,$AC409),IF($AD409="T",ROUND(SUMIF($X$5:$X$404,$AF409,$AU$5:$AU$404),2),IF($AD409="B",ROUND(SUMIF($AN$5:$AN$404,$AQ409,$AU$5:$AU$404),2),""))))</f>
        <v/>
      </c>
      <c r="L409" s="32">
        <f>IF($AD409="Z",ROUND(SUM($AV$5:$AV$404),2),IF($AD409="D",INDEX($AV$5:$AV$404,$AC409),IF($AD409="T",ROUND(SUMIF($X$5:$X$404,$AF409,$AV$5:$AV$404),2),IF($AD409="B",ROUND(SUMIF($AN$5:$AN$404,$AQ409,$AV$5:$AV$404),2),""))))</f>
        <v/>
      </c>
      <c r="M409" s="32">
        <f>IF($AD409="Z",ROUND(SUM($AJ$5:$AJ$704),2),IF($AD409="B",ROUND(SUMIF($AQ$5:$AQ$704,$AQ409,$AJ$5:$AJ$704),2),IF($AD409&lt;&gt;"T","",$AJ409)))</f>
        <v/>
      </c>
      <c r="N409" s="32">
        <f>IF(OR($AD409="D",$AD409="T",$AD409="B",$AD409="Z"),ROUND(N($K409)-N($L409)-N($M409),2),"")</f>
        <v/>
      </c>
      <c r="O409" s="32">
        <f>IF(OR($AD409="D",$AD409="T",$AD409="B",$AD409="Z"),IF(N($E409)=0,"",ROUND($F409/$E409,2)),"")</f>
        <v/>
      </c>
      <c r="AC409">
        <f>IFERROR(MATCH(405,$AB$5:$AB$404,1),"")</f>
        <v/>
      </c>
      <c r="AD409">
        <f>IF(405=$AI$1+1,"Z",IF($AC409="","",IF(INDEX($V$5:$V$404,$AC409)="","",IF(405&gt;INDEX($AB$5:$AB$404,$AC409)+INDEX($Z$5:$Z$404,$AC409)+INDEX($AA$5:$AA$404,$AC409)+INDEX($AO$5:$AO$404,$AC409),"",IF(405=INDEX($AB$5:$AB$404,$AC409)+INDEX($Z$5:$Z$404,$AC409),"D",IF(AND(INDEX($Z$5:$Z$404,$AC409)=1,405=INDEX($AB$5:$AB$404,$AC409)),"H",IF(AND(INDEX($AO$5:$AO$404,$AC409)=1,405=INDEX($AB$5:$AB$404,$AC409)+INDEX($Z$5:$Z$404,$AC409)+INDEX($AA$5:$AA$404,$AC409)+INDEX($AO$5:$AO$404,$AC409)),"B","T")))))))</f>
        <v/>
      </c>
      <c r="AF409">
        <f>IF(OR($AD409="",$AD409="Z",$AD409="B"),"",INDEX($X$5:$X$404,$AC409))</f>
        <v/>
      </c>
      <c r="AJ409">
        <f>IF($AD409&lt;&gt;"T",0,ROUND(SUMIF(oil!$B$4:$B$63,$AF409,oil!$AE$4:$AE$63),2))</f>
        <v/>
      </c>
      <c r="AQ409">
        <f>IF(OR($AD409="",$AD409="Z"),"",INDEX($AN$5:$AN$404,$AC409))</f>
        <v/>
      </c>
      <c r="AZ409">
        <f>IF(AND($AD409="T",$AQ409=1),N($AZ408)+1,N($AZ408))</f>
        <v/>
      </c>
    </row>
    <row r="410" ht="21" customHeight="1" s="66">
      <c r="A410" s="69">
        <f>IF($AD410="","",IF($AD410="Z","รวมจ่ายทั้งสิ้น",IF($AD410="H",INDEX($X$5:$X$404,$AC410),IF($AD410="T","รวม",IF($AD410="B",IFERROR(INDEX(อัตราค่าขนส่ง!$S$5:$S$14,MATCH(INDEX($AM$5:$AM$404,$AC410),อัตราค่าขนส่ง!$R$5:$R$14,0)),"รวมกลุ่ม "&amp;INDEX($AM$5:$AM$404,$AC410)),INDEX($AY$5:$AY$404,$AC410))))))</f>
        <v/>
      </c>
      <c r="B410" s="31">
        <f>IF($AD410&lt;&gt;"D","",INDEX($AW$5:$AW$404,$AC410))</f>
        <v/>
      </c>
      <c r="C410" s="68">
        <f>IF($AD410&lt;&gt;"D","",INDEX($AX$5:$AX$404,$AC410))</f>
        <v/>
      </c>
      <c r="D410" s="70">
        <f>IF($AD410&lt;&gt;"D","",INDEX($BA$5:$BA$404,$AC410))</f>
        <v/>
      </c>
      <c r="E410" s="31">
        <f>IF($AD410="Z",SUM($AR$5:$AR$404),IF($AD410="D",INDEX($AR$5:$AR$404,$AC410),IF($AD410="T",SUMIF($X$5:$X$404,$AF410,$AR$5:$AR$404),IF($AD410="B",SUMIF($AN$5:$AN$404,$AQ410,$AR$5:$AR$404),""))))</f>
        <v/>
      </c>
      <c r="F410" s="32">
        <f>IF($AD410="Z",ROUND(SUM($AS$5:$AS$404),2),IF($AD410="D",INDEX($AS$5:$AS$404,$AC410),IF($AD410="T",ROUND(SUMIF($X$5:$X$404,$AF410,$AS$5:$AS$404),2),IF($AD410="B",ROUND(SUMIF($AN$5:$AN$404,$AQ410,$AS$5:$AS$404),2),""))))</f>
        <v/>
      </c>
      <c r="G410" s="32">
        <f>IF($AD410&lt;&gt;"D","",INDEX($AT$5:$AT$404,$AC410))</f>
        <v/>
      </c>
      <c r="H410" s="32">
        <f>IF($AD410&lt;&gt;"D","",INDEX($BC$5:$BC$404,$AC410))</f>
        <v/>
      </c>
      <c r="I410" s="32">
        <f>IF($AD410&lt;&gt;"D","",INDEX($BD$5:$BD$404,$AC410))</f>
        <v/>
      </c>
      <c r="J410" s="46">
        <f>IF($AD410&lt;&gt;"D","",IF(N($B410)=0,"",ROUND($I410/$B410,4)))</f>
        <v/>
      </c>
      <c r="K410" s="32">
        <f>IF($AD410="Z",ROUND(SUM($AU$5:$AU$404),2),IF($AD410="D",INDEX($AU$5:$AU$404,$AC410),IF($AD410="T",ROUND(SUMIF($X$5:$X$404,$AF410,$AU$5:$AU$404),2),IF($AD410="B",ROUND(SUMIF($AN$5:$AN$404,$AQ410,$AU$5:$AU$404),2),""))))</f>
        <v/>
      </c>
      <c r="L410" s="32">
        <f>IF($AD410="Z",ROUND(SUM($AV$5:$AV$404),2),IF($AD410="D",INDEX($AV$5:$AV$404,$AC410),IF($AD410="T",ROUND(SUMIF($X$5:$X$404,$AF410,$AV$5:$AV$404),2),IF($AD410="B",ROUND(SUMIF($AN$5:$AN$404,$AQ410,$AV$5:$AV$404),2),""))))</f>
        <v/>
      </c>
      <c r="M410" s="32">
        <f>IF($AD410="Z",ROUND(SUM($AJ$5:$AJ$704),2),IF($AD410="B",ROUND(SUMIF($AQ$5:$AQ$704,$AQ410,$AJ$5:$AJ$704),2),IF($AD410&lt;&gt;"T","",$AJ410)))</f>
        <v/>
      </c>
      <c r="N410" s="32">
        <f>IF(OR($AD410="D",$AD410="T",$AD410="B",$AD410="Z"),ROUND(N($K410)-N($L410)-N($M410),2),"")</f>
        <v/>
      </c>
      <c r="O410" s="32">
        <f>IF(OR($AD410="D",$AD410="T",$AD410="B",$AD410="Z"),IF(N($E410)=0,"",ROUND($F410/$E410,2)),"")</f>
        <v/>
      </c>
      <c r="AC410">
        <f>IFERROR(MATCH(406,$AB$5:$AB$404,1),"")</f>
        <v/>
      </c>
      <c r="AD410">
        <f>IF(406=$AI$1+1,"Z",IF($AC410="","",IF(INDEX($V$5:$V$404,$AC410)="","",IF(406&gt;INDEX($AB$5:$AB$404,$AC410)+INDEX($Z$5:$Z$404,$AC410)+INDEX($AA$5:$AA$404,$AC410)+INDEX($AO$5:$AO$404,$AC410),"",IF(406=INDEX($AB$5:$AB$404,$AC410)+INDEX($Z$5:$Z$404,$AC410),"D",IF(AND(INDEX($Z$5:$Z$404,$AC410)=1,406=INDEX($AB$5:$AB$404,$AC410)),"H",IF(AND(INDEX($AO$5:$AO$404,$AC410)=1,406=INDEX($AB$5:$AB$404,$AC410)+INDEX($Z$5:$Z$404,$AC410)+INDEX($AA$5:$AA$404,$AC410)+INDEX($AO$5:$AO$404,$AC410)),"B","T")))))))</f>
        <v/>
      </c>
      <c r="AF410">
        <f>IF(OR($AD410="",$AD410="Z",$AD410="B"),"",INDEX($X$5:$X$404,$AC410))</f>
        <v/>
      </c>
      <c r="AJ410">
        <f>IF($AD410&lt;&gt;"T",0,ROUND(SUMIF(oil!$B$4:$B$63,$AF410,oil!$AE$4:$AE$63),2))</f>
        <v/>
      </c>
      <c r="AQ410">
        <f>IF(OR($AD410="",$AD410="Z"),"",INDEX($AN$5:$AN$404,$AC410))</f>
        <v/>
      </c>
      <c r="AZ410">
        <f>IF(AND($AD410="T",$AQ410=1),N($AZ409)+1,N($AZ409))</f>
        <v/>
      </c>
    </row>
    <row r="411" ht="21" customHeight="1" s="66">
      <c r="A411" s="69">
        <f>IF($AD411="","",IF($AD411="Z","รวมจ่ายทั้งสิ้น",IF($AD411="H",INDEX($X$5:$X$404,$AC411),IF($AD411="T","รวม",IF($AD411="B",IFERROR(INDEX(อัตราค่าขนส่ง!$S$5:$S$14,MATCH(INDEX($AM$5:$AM$404,$AC411),อัตราค่าขนส่ง!$R$5:$R$14,0)),"รวมกลุ่ม "&amp;INDEX($AM$5:$AM$404,$AC411)),INDEX($AY$5:$AY$404,$AC411))))))</f>
        <v/>
      </c>
      <c r="B411" s="31">
        <f>IF($AD411&lt;&gt;"D","",INDEX($AW$5:$AW$404,$AC411))</f>
        <v/>
      </c>
      <c r="C411" s="68">
        <f>IF($AD411&lt;&gt;"D","",INDEX($AX$5:$AX$404,$AC411))</f>
        <v/>
      </c>
      <c r="D411" s="70">
        <f>IF($AD411&lt;&gt;"D","",INDEX($BA$5:$BA$404,$AC411))</f>
        <v/>
      </c>
      <c r="E411" s="31">
        <f>IF($AD411="Z",SUM($AR$5:$AR$404),IF($AD411="D",INDEX($AR$5:$AR$404,$AC411),IF($AD411="T",SUMIF($X$5:$X$404,$AF411,$AR$5:$AR$404),IF($AD411="B",SUMIF($AN$5:$AN$404,$AQ411,$AR$5:$AR$404),""))))</f>
        <v/>
      </c>
      <c r="F411" s="32">
        <f>IF($AD411="Z",ROUND(SUM($AS$5:$AS$404),2),IF($AD411="D",INDEX($AS$5:$AS$404,$AC411),IF($AD411="T",ROUND(SUMIF($X$5:$X$404,$AF411,$AS$5:$AS$404),2),IF($AD411="B",ROUND(SUMIF($AN$5:$AN$404,$AQ411,$AS$5:$AS$404),2),""))))</f>
        <v/>
      </c>
      <c r="G411" s="32">
        <f>IF($AD411&lt;&gt;"D","",INDEX($AT$5:$AT$404,$AC411))</f>
        <v/>
      </c>
      <c r="H411" s="32">
        <f>IF($AD411&lt;&gt;"D","",INDEX($BC$5:$BC$404,$AC411))</f>
        <v/>
      </c>
      <c r="I411" s="32">
        <f>IF($AD411&lt;&gt;"D","",INDEX($BD$5:$BD$404,$AC411))</f>
        <v/>
      </c>
      <c r="J411" s="46">
        <f>IF($AD411&lt;&gt;"D","",IF(N($B411)=0,"",ROUND($I411/$B411,4)))</f>
        <v/>
      </c>
      <c r="K411" s="32">
        <f>IF($AD411="Z",ROUND(SUM($AU$5:$AU$404),2),IF($AD411="D",INDEX($AU$5:$AU$404,$AC411),IF($AD411="T",ROUND(SUMIF($X$5:$X$404,$AF411,$AU$5:$AU$404),2),IF($AD411="B",ROUND(SUMIF($AN$5:$AN$404,$AQ411,$AU$5:$AU$404),2),""))))</f>
        <v/>
      </c>
      <c r="L411" s="32">
        <f>IF($AD411="Z",ROUND(SUM($AV$5:$AV$404),2),IF($AD411="D",INDEX($AV$5:$AV$404,$AC411),IF($AD411="T",ROUND(SUMIF($X$5:$X$404,$AF411,$AV$5:$AV$404),2),IF($AD411="B",ROUND(SUMIF($AN$5:$AN$404,$AQ411,$AV$5:$AV$404),2),""))))</f>
        <v/>
      </c>
      <c r="M411" s="32">
        <f>IF($AD411="Z",ROUND(SUM($AJ$5:$AJ$704),2),IF($AD411="B",ROUND(SUMIF($AQ$5:$AQ$704,$AQ411,$AJ$5:$AJ$704),2),IF($AD411&lt;&gt;"T","",$AJ411)))</f>
        <v/>
      </c>
      <c r="N411" s="32">
        <f>IF(OR($AD411="D",$AD411="T",$AD411="B",$AD411="Z"),ROUND(N($K411)-N($L411)-N($M411),2),"")</f>
        <v/>
      </c>
      <c r="O411" s="32">
        <f>IF(OR($AD411="D",$AD411="T",$AD411="B",$AD411="Z"),IF(N($E411)=0,"",ROUND($F411/$E411,2)),"")</f>
        <v/>
      </c>
      <c r="AC411">
        <f>IFERROR(MATCH(407,$AB$5:$AB$404,1),"")</f>
        <v/>
      </c>
      <c r="AD411">
        <f>IF(407=$AI$1+1,"Z",IF($AC411="","",IF(INDEX($V$5:$V$404,$AC411)="","",IF(407&gt;INDEX($AB$5:$AB$404,$AC411)+INDEX($Z$5:$Z$404,$AC411)+INDEX($AA$5:$AA$404,$AC411)+INDEX($AO$5:$AO$404,$AC411),"",IF(407=INDEX($AB$5:$AB$404,$AC411)+INDEX($Z$5:$Z$404,$AC411),"D",IF(AND(INDEX($Z$5:$Z$404,$AC411)=1,407=INDEX($AB$5:$AB$404,$AC411)),"H",IF(AND(INDEX($AO$5:$AO$404,$AC411)=1,407=INDEX($AB$5:$AB$404,$AC411)+INDEX($Z$5:$Z$404,$AC411)+INDEX($AA$5:$AA$404,$AC411)+INDEX($AO$5:$AO$404,$AC411)),"B","T")))))))</f>
        <v/>
      </c>
      <c r="AF411">
        <f>IF(OR($AD411="",$AD411="Z",$AD411="B"),"",INDEX($X$5:$X$404,$AC411))</f>
        <v/>
      </c>
      <c r="AJ411">
        <f>IF($AD411&lt;&gt;"T",0,ROUND(SUMIF(oil!$B$4:$B$63,$AF411,oil!$AE$4:$AE$63),2))</f>
        <v/>
      </c>
      <c r="AQ411">
        <f>IF(OR($AD411="",$AD411="Z"),"",INDEX($AN$5:$AN$404,$AC411))</f>
        <v/>
      </c>
      <c r="AZ411">
        <f>IF(AND($AD411="T",$AQ411=1),N($AZ410)+1,N($AZ410))</f>
        <v/>
      </c>
    </row>
    <row r="412" ht="21" customHeight="1" s="66">
      <c r="A412" s="69">
        <f>IF($AD412="","",IF($AD412="Z","รวมจ่ายทั้งสิ้น",IF($AD412="H",INDEX($X$5:$X$404,$AC412),IF($AD412="T","รวม",IF($AD412="B",IFERROR(INDEX(อัตราค่าขนส่ง!$S$5:$S$14,MATCH(INDEX($AM$5:$AM$404,$AC412),อัตราค่าขนส่ง!$R$5:$R$14,0)),"รวมกลุ่ม "&amp;INDEX($AM$5:$AM$404,$AC412)),INDEX($AY$5:$AY$404,$AC412))))))</f>
        <v/>
      </c>
      <c r="B412" s="31">
        <f>IF($AD412&lt;&gt;"D","",INDEX($AW$5:$AW$404,$AC412))</f>
        <v/>
      </c>
      <c r="C412" s="68">
        <f>IF($AD412&lt;&gt;"D","",INDEX($AX$5:$AX$404,$AC412))</f>
        <v/>
      </c>
      <c r="D412" s="70">
        <f>IF($AD412&lt;&gt;"D","",INDEX($BA$5:$BA$404,$AC412))</f>
        <v/>
      </c>
      <c r="E412" s="31">
        <f>IF($AD412="Z",SUM($AR$5:$AR$404),IF($AD412="D",INDEX($AR$5:$AR$404,$AC412),IF($AD412="T",SUMIF($X$5:$X$404,$AF412,$AR$5:$AR$404),IF($AD412="B",SUMIF($AN$5:$AN$404,$AQ412,$AR$5:$AR$404),""))))</f>
        <v/>
      </c>
      <c r="F412" s="32">
        <f>IF($AD412="Z",ROUND(SUM($AS$5:$AS$404),2),IF($AD412="D",INDEX($AS$5:$AS$404,$AC412),IF($AD412="T",ROUND(SUMIF($X$5:$X$404,$AF412,$AS$5:$AS$404),2),IF($AD412="B",ROUND(SUMIF($AN$5:$AN$404,$AQ412,$AS$5:$AS$404),2),""))))</f>
        <v/>
      </c>
      <c r="G412" s="32">
        <f>IF($AD412&lt;&gt;"D","",INDEX($AT$5:$AT$404,$AC412))</f>
        <v/>
      </c>
      <c r="H412" s="32">
        <f>IF($AD412&lt;&gt;"D","",INDEX($BC$5:$BC$404,$AC412))</f>
        <v/>
      </c>
      <c r="I412" s="32">
        <f>IF($AD412&lt;&gt;"D","",INDEX($BD$5:$BD$404,$AC412))</f>
        <v/>
      </c>
      <c r="J412" s="46">
        <f>IF($AD412&lt;&gt;"D","",IF(N($B412)=0,"",ROUND($I412/$B412,4)))</f>
        <v/>
      </c>
      <c r="K412" s="32">
        <f>IF($AD412="Z",ROUND(SUM($AU$5:$AU$404),2),IF($AD412="D",INDEX($AU$5:$AU$404,$AC412),IF($AD412="T",ROUND(SUMIF($X$5:$X$404,$AF412,$AU$5:$AU$404),2),IF($AD412="B",ROUND(SUMIF($AN$5:$AN$404,$AQ412,$AU$5:$AU$404),2),""))))</f>
        <v/>
      </c>
      <c r="L412" s="32">
        <f>IF($AD412="Z",ROUND(SUM($AV$5:$AV$404),2),IF($AD412="D",INDEX($AV$5:$AV$404,$AC412),IF($AD412="T",ROUND(SUMIF($X$5:$X$404,$AF412,$AV$5:$AV$404),2),IF($AD412="B",ROUND(SUMIF($AN$5:$AN$404,$AQ412,$AV$5:$AV$404),2),""))))</f>
        <v/>
      </c>
      <c r="M412" s="32">
        <f>IF($AD412="Z",ROUND(SUM($AJ$5:$AJ$704),2),IF($AD412="B",ROUND(SUMIF($AQ$5:$AQ$704,$AQ412,$AJ$5:$AJ$704),2),IF($AD412&lt;&gt;"T","",$AJ412)))</f>
        <v/>
      </c>
      <c r="N412" s="32">
        <f>IF(OR($AD412="D",$AD412="T",$AD412="B",$AD412="Z"),ROUND(N($K412)-N($L412)-N($M412),2),"")</f>
        <v/>
      </c>
      <c r="O412" s="32">
        <f>IF(OR($AD412="D",$AD412="T",$AD412="B",$AD412="Z"),IF(N($E412)=0,"",ROUND($F412/$E412,2)),"")</f>
        <v/>
      </c>
      <c r="AC412">
        <f>IFERROR(MATCH(408,$AB$5:$AB$404,1),"")</f>
        <v/>
      </c>
      <c r="AD412">
        <f>IF(408=$AI$1+1,"Z",IF($AC412="","",IF(INDEX($V$5:$V$404,$AC412)="","",IF(408&gt;INDEX($AB$5:$AB$404,$AC412)+INDEX($Z$5:$Z$404,$AC412)+INDEX($AA$5:$AA$404,$AC412)+INDEX($AO$5:$AO$404,$AC412),"",IF(408=INDEX($AB$5:$AB$404,$AC412)+INDEX($Z$5:$Z$404,$AC412),"D",IF(AND(INDEX($Z$5:$Z$404,$AC412)=1,408=INDEX($AB$5:$AB$404,$AC412)),"H",IF(AND(INDEX($AO$5:$AO$404,$AC412)=1,408=INDEX($AB$5:$AB$404,$AC412)+INDEX($Z$5:$Z$404,$AC412)+INDEX($AA$5:$AA$404,$AC412)+INDEX($AO$5:$AO$404,$AC412)),"B","T")))))))</f>
        <v/>
      </c>
      <c r="AF412">
        <f>IF(OR($AD412="",$AD412="Z",$AD412="B"),"",INDEX($X$5:$X$404,$AC412))</f>
        <v/>
      </c>
      <c r="AJ412">
        <f>IF($AD412&lt;&gt;"T",0,ROUND(SUMIF(oil!$B$4:$B$63,$AF412,oil!$AE$4:$AE$63),2))</f>
        <v/>
      </c>
      <c r="AQ412">
        <f>IF(OR($AD412="",$AD412="Z"),"",INDEX($AN$5:$AN$404,$AC412))</f>
        <v/>
      </c>
      <c r="AZ412">
        <f>IF(AND($AD412="T",$AQ412=1),N($AZ411)+1,N($AZ411))</f>
        <v/>
      </c>
    </row>
    <row r="413" ht="21" customHeight="1" s="66">
      <c r="A413" s="69">
        <f>IF($AD413="","",IF($AD413="Z","รวมจ่ายทั้งสิ้น",IF($AD413="H",INDEX($X$5:$X$404,$AC413),IF($AD413="T","รวม",IF($AD413="B",IFERROR(INDEX(อัตราค่าขนส่ง!$S$5:$S$14,MATCH(INDEX($AM$5:$AM$404,$AC413),อัตราค่าขนส่ง!$R$5:$R$14,0)),"รวมกลุ่ม "&amp;INDEX($AM$5:$AM$404,$AC413)),INDEX($AY$5:$AY$404,$AC413))))))</f>
        <v/>
      </c>
      <c r="B413" s="31">
        <f>IF($AD413&lt;&gt;"D","",INDEX($AW$5:$AW$404,$AC413))</f>
        <v/>
      </c>
      <c r="C413" s="68">
        <f>IF($AD413&lt;&gt;"D","",INDEX($AX$5:$AX$404,$AC413))</f>
        <v/>
      </c>
      <c r="D413" s="70">
        <f>IF($AD413&lt;&gt;"D","",INDEX($BA$5:$BA$404,$AC413))</f>
        <v/>
      </c>
      <c r="E413" s="31">
        <f>IF($AD413="Z",SUM($AR$5:$AR$404),IF($AD413="D",INDEX($AR$5:$AR$404,$AC413),IF($AD413="T",SUMIF($X$5:$X$404,$AF413,$AR$5:$AR$404),IF($AD413="B",SUMIF($AN$5:$AN$404,$AQ413,$AR$5:$AR$404),""))))</f>
        <v/>
      </c>
      <c r="F413" s="32">
        <f>IF($AD413="Z",ROUND(SUM($AS$5:$AS$404),2),IF($AD413="D",INDEX($AS$5:$AS$404,$AC413),IF($AD413="T",ROUND(SUMIF($X$5:$X$404,$AF413,$AS$5:$AS$404),2),IF($AD413="B",ROUND(SUMIF($AN$5:$AN$404,$AQ413,$AS$5:$AS$404),2),""))))</f>
        <v/>
      </c>
      <c r="G413" s="32">
        <f>IF($AD413&lt;&gt;"D","",INDEX($AT$5:$AT$404,$AC413))</f>
        <v/>
      </c>
      <c r="H413" s="32">
        <f>IF($AD413&lt;&gt;"D","",INDEX($BC$5:$BC$404,$AC413))</f>
        <v/>
      </c>
      <c r="I413" s="32">
        <f>IF($AD413&lt;&gt;"D","",INDEX($BD$5:$BD$404,$AC413))</f>
        <v/>
      </c>
      <c r="J413" s="46">
        <f>IF($AD413&lt;&gt;"D","",IF(N($B413)=0,"",ROUND($I413/$B413,4)))</f>
        <v/>
      </c>
      <c r="K413" s="32">
        <f>IF($AD413="Z",ROUND(SUM($AU$5:$AU$404),2),IF($AD413="D",INDEX($AU$5:$AU$404,$AC413),IF($AD413="T",ROUND(SUMIF($X$5:$X$404,$AF413,$AU$5:$AU$404),2),IF($AD413="B",ROUND(SUMIF($AN$5:$AN$404,$AQ413,$AU$5:$AU$404),2),""))))</f>
        <v/>
      </c>
      <c r="L413" s="32">
        <f>IF($AD413="Z",ROUND(SUM($AV$5:$AV$404),2),IF($AD413="D",INDEX($AV$5:$AV$404,$AC413),IF($AD413="T",ROUND(SUMIF($X$5:$X$404,$AF413,$AV$5:$AV$404),2),IF($AD413="B",ROUND(SUMIF($AN$5:$AN$404,$AQ413,$AV$5:$AV$404),2),""))))</f>
        <v/>
      </c>
      <c r="M413" s="32">
        <f>IF($AD413="Z",ROUND(SUM($AJ$5:$AJ$704),2),IF($AD413="B",ROUND(SUMIF($AQ$5:$AQ$704,$AQ413,$AJ$5:$AJ$704),2),IF($AD413&lt;&gt;"T","",$AJ413)))</f>
        <v/>
      </c>
      <c r="N413" s="32">
        <f>IF(OR($AD413="D",$AD413="T",$AD413="B",$AD413="Z"),ROUND(N($K413)-N($L413)-N($M413),2),"")</f>
        <v/>
      </c>
      <c r="O413" s="32">
        <f>IF(OR($AD413="D",$AD413="T",$AD413="B",$AD413="Z"),IF(N($E413)=0,"",ROUND($F413/$E413,2)),"")</f>
        <v/>
      </c>
      <c r="AC413">
        <f>IFERROR(MATCH(409,$AB$5:$AB$404,1),"")</f>
        <v/>
      </c>
      <c r="AD413">
        <f>IF(409=$AI$1+1,"Z",IF($AC413="","",IF(INDEX($V$5:$V$404,$AC413)="","",IF(409&gt;INDEX($AB$5:$AB$404,$AC413)+INDEX($Z$5:$Z$404,$AC413)+INDEX($AA$5:$AA$404,$AC413)+INDEX($AO$5:$AO$404,$AC413),"",IF(409=INDEX($AB$5:$AB$404,$AC413)+INDEX($Z$5:$Z$404,$AC413),"D",IF(AND(INDEX($Z$5:$Z$404,$AC413)=1,409=INDEX($AB$5:$AB$404,$AC413)),"H",IF(AND(INDEX($AO$5:$AO$404,$AC413)=1,409=INDEX($AB$5:$AB$404,$AC413)+INDEX($Z$5:$Z$404,$AC413)+INDEX($AA$5:$AA$404,$AC413)+INDEX($AO$5:$AO$404,$AC413)),"B","T")))))))</f>
        <v/>
      </c>
      <c r="AF413">
        <f>IF(OR($AD413="",$AD413="Z",$AD413="B"),"",INDEX($X$5:$X$404,$AC413))</f>
        <v/>
      </c>
      <c r="AJ413">
        <f>IF($AD413&lt;&gt;"T",0,ROUND(SUMIF(oil!$B$4:$B$63,$AF413,oil!$AE$4:$AE$63),2))</f>
        <v/>
      </c>
      <c r="AQ413">
        <f>IF(OR($AD413="",$AD413="Z"),"",INDEX($AN$5:$AN$404,$AC413))</f>
        <v/>
      </c>
      <c r="AZ413">
        <f>IF(AND($AD413="T",$AQ413=1),N($AZ412)+1,N($AZ412))</f>
        <v/>
      </c>
    </row>
    <row r="414" ht="21" customHeight="1" s="66">
      <c r="A414" s="69">
        <f>IF($AD414="","",IF($AD414="Z","รวมจ่ายทั้งสิ้น",IF($AD414="H",INDEX($X$5:$X$404,$AC414),IF($AD414="T","รวม",IF($AD414="B",IFERROR(INDEX(อัตราค่าขนส่ง!$S$5:$S$14,MATCH(INDEX($AM$5:$AM$404,$AC414),อัตราค่าขนส่ง!$R$5:$R$14,0)),"รวมกลุ่ม "&amp;INDEX($AM$5:$AM$404,$AC414)),INDEX($AY$5:$AY$404,$AC414))))))</f>
        <v/>
      </c>
      <c r="B414" s="31">
        <f>IF($AD414&lt;&gt;"D","",INDEX($AW$5:$AW$404,$AC414))</f>
        <v/>
      </c>
      <c r="C414" s="68">
        <f>IF($AD414&lt;&gt;"D","",INDEX($AX$5:$AX$404,$AC414))</f>
        <v/>
      </c>
      <c r="D414" s="70">
        <f>IF($AD414&lt;&gt;"D","",INDEX($BA$5:$BA$404,$AC414))</f>
        <v/>
      </c>
      <c r="E414" s="31">
        <f>IF($AD414="Z",SUM($AR$5:$AR$404),IF($AD414="D",INDEX($AR$5:$AR$404,$AC414),IF($AD414="T",SUMIF($X$5:$X$404,$AF414,$AR$5:$AR$404),IF($AD414="B",SUMIF($AN$5:$AN$404,$AQ414,$AR$5:$AR$404),""))))</f>
        <v/>
      </c>
      <c r="F414" s="32">
        <f>IF($AD414="Z",ROUND(SUM($AS$5:$AS$404),2),IF($AD414="D",INDEX($AS$5:$AS$404,$AC414),IF($AD414="T",ROUND(SUMIF($X$5:$X$404,$AF414,$AS$5:$AS$404),2),IF($AD414="B",ROUND(SUMIF($AN$5:$AN$404,$AQ414,$AS$5:$AS$404),2),""))))</f>
        <v/>
      </c>
      <c r="G414" s="32">
        <f>IF($AD414&lt;&gt;"D","",INDEX($AT$5:$AT$404,$AC414))</f>
        <v/>
      </c>
      <c r="H414" s="32">
        <f>IF($AD414&lt;&gt;"D","",INDEX($BC$5:$BC$404,$AC414))</f>
        <v/>
      </c>
      <c r="I414" s="32">
        <f>IF($AD414&lt;&gt;"D","",INDEX($BD$5:$BD$404,$AC414))</f>
        <v/>
      </c>
      <c r="J414" s="46">
        <f>IF($AD414&lt;&gt;"D","",IF(N($B414)=0,"",ROUND($I414/$B414,4)))</f>
        <v/>
      </c>
      <c r="K414" s="32">
        <f>IF($AD414="Z",ROUND(SUM($AU$5:$AU$404),2),IF($AD414="D",INDEX($AU$5:$AU$404,$AC414),IF($AD414="T",ROUND(SUMIF($X$5:$X$404,$AF414,$AU$5:$AU$404),2),IF($AD414="B",ROUND(SUMIF($AN$5:$AN$404,$AQ414,$AU$5:$AU$404),2),""))))</f>
        <v/>
      </c>
      <c r="L414" s="32">
        <f>IF($AD414="Z",ROUND(SUM($AV$5:$AV$404),2),IF($AD414="D",INDEX($AV$5:$AV$404,$AC414),IF($AD414="T",ROUND(SUMIF($X$5:$X$404,$AF414,$AV$5:$AV$404),2),IF($AD414="B",ROUND(SUMIF($AN$5:$AN$404,$AQ414,$AV$5:$AV$404),2),""))))</f>
        <v/>
      </c>
      <c r="M414" s="32">
        <f>IF($AD414="Z",ROUND(SUM($AJ$5:$AJ$704),2),IF($AD414="B",ROUND(SUMIF($AQ$5:$AQ$704,$AQ414,$AJ$5:$AJ$704),2),IF($AD414&lt;&gt;"T","",$AJ414)))</f>
        <v/>
      </c>
      <c r="N414" s="32">
        <f>IF(OR($AD414="D",$AD414="T",$AD414="B",$AD414="Z"),ROUND(N($K414)-N($L414)-N($M414),2),"")</f>
        <v/>
      </c>
      <c r="O414" s="32">
        <f>IF(OR($AD414="D",$AD414="T",$AD414="B",$AD414="Z"),IF(N($E414)=0,"",ROUND($F414/$E414,2)),"")</f>
        <v/>
      </c>
      <c r="AC414">
        <f>IFERROR(MATCH(410,$AB$5:$AB$404,1),"")</f>
        <v/>
      </c>
      <c r="AD414">
        <f>IF(410=$AI$1+1,"Z",IF($AC414="","",IF(INDEX($V$5:$V$404,$AC414)="","",IF(410&gt;INDEX($AB$5:$AB$404,$AC414)+INDEX($Z$5:$Z$404,$AC414)+INDEX($AA$5:$AA$404,$AC414)+INDEX($AO$5:$AO$404,$AC414),"",IF(410=INDEX($AB$5:$AB$404,$AC414)+INDEX($Z$5:$Z$404,$AC414),"D",IF(AND(INDEX($Z$5:$Z$404,$AC414)=1,410=INDEX($AB$5:$AB$404,$AC414)),"H",IF(AND(INDEX($AO$5:$AO$404,$AC414)=1,410=INDEX($AB$5:$AB$404,$AC414)+INDEX($Z$5:$Z$404,$AC414)+INDEX($AA$5:$AA$404,$AC414)+INDEX($AO$5:$AO$404,$AC414)),"B","T")))))))</f>
        <v/>
      </c>
      <c r="AF414">
        <f>IF(OR($AD414="",$AD414="Z",$AD414="B"),"",INDEX($X$5:$X$404,$AC414))</f>
        <v/>
      </c>
      <c r="AJ414">
        <f>IF($AD414&lt;&gt;"T",0,ROUND(SUMIF(oil!$B$4:$B$63,$AF414,oil!$AE$4:$AE$63),2))</f>
        <v/>
      </c>
      <c r="AQ414">
        <f>IF(OR($AD414="",$AD414="Z"),"",INDEX($AN$5:$AN$404,$AC414))</f>
        <v/>
      </c>
      <c r="AZ414">
        <f>IF(AND($AD414="T",$AQ414=1),N($AZ413)+1,N($AZ413))</f>
        <v/>
      </c>
    </row>
    <row r="415" ht="21" customHeight="1" s="66">
      <c r="A415" s="69">
        <f>IF($AD415="","",IF($AD415="Z","รวมจ่ายทั้งสิ้น",IF($AD415="H",INDEX($X$5:$X$404,$AC415),IF($AD415="T","รวม",IF($AD415="B",IFERROR(INDEX(อัตราค่าขนส่ง!$S$5:$S$14,MATCH(INDEX($AM$5:$AM$404,$AC415),อัตราค่าขนส่ง!$R$5:$R$14,0)),"รวมกลุ่ม "&amp;INDEX($AM$5:$AM$404,$AC415)),INDEX($AY$5:$AY$404,$AC415))))))</f>
        <v/>
      </c>
      <c r="B415" s="31">
        <f>IF($AD415&lt;&gt;"D","",INDEX($AW$5:$AW$404,$AC415))</f>
        <v/>
      </c>
      <c r="C415" s="68">
        <f>IF($AD415&lt;&gt;"D","",INDEX($AX$5:$AX$404,$AC415))</f>
        <v/>
      </c>
      <c r="D415" s="70">
        <f>IF($AD415&lt;&gt;"D","",INDEX($BA$5:$BA$404,$AC415))</f>
        <v/>
      </c>
      <c r="E415" s="31">
        <f>IF($AD415="Z",SUM($AR$5:$AR$404),IF($AD415="D",INDEX($AR$5:$AR$404,$AC415),IF($AD415="T",SUMIF($X$5:$X$404,$AF415,$AR$5:$AR$404),IF($AD415="B",SUMIF($AN$5:$AN$404,$AQ415,$AR$5:$AR$404),""))))</f>
        <v/>
      </c>
      <c r="F415" s="32">
        <f>IF($AD415="Z",ROUND(SUM($AS$5:$AS$404),2),IF($AD415="D",INDEX($AS$5:$AS$404,$AC415),IF($AD415="T",ROUND(SUMIF($X$5:$X$404,$AF415,$AS$5:$AS$404),2),IF($AD415="B",ROUND(SUMIF($AN$5:$AN$404,$AQ415,$AS$5:$AS$404),2),""))))</f>
        <v/>
      </c>
      <c r="G415" s="32">
        <f>IF($AD415&lt;&gt;"D","",INDEX($AT$5:$AT$404,$AC415))</f>
        <v/>
      </c>
      <c r="H415" s="32">
        <f>IF($AD415&lt;&gt;"D","",INDEX($BC$5:$BC$404,$AC415))</f>
        <v/>
      </c>
      <c r="I415" s="32">
        <f>IF($AD415&lt;&gt;"D","",INDEX($BD$5:$BD$404,$AC415))</f>
        <v/>
      </c>
      <c r="J415" s="46">
        <f>IF($AD415&lt;&gt;"D","",IF(N($B415)=0,"",ROUND($I415/$B415,4)))</f>
        <v/>
      </c>
      <c r="K415" s="32">
        <f>IF($AD415="Z",ROUND(SUM($AU$5:$AU$404),2),IF($AD415="D",INDEX($AU$5:$AU$404,$AC415),IF($AD415="T",ROUND(SUMIF($X$5:$X$404,$AF415,$AU$5:$AU$404),2),IF($AD415="B",ROUND(SUMIF($AN$5:$AN$404,$AQ415,$AU$5:$AU$404),2),""))))</f>
        <v/>
      </c>
      <c r="L415" s="32">
        <f>IF($AD415="Z",ROUND(SUM($AV$5:$AV$404),2),IF($AD415="D",INDEX($AV$5:$AV$404,$AC415),IF($AD415="T",ROUND(SUMIF($X$5:$X$404,$AF415,$AV$5:$AV$404),2),IF($AD415="B",ROUND(SUMIF($AN$5:$AN$404,$AQ415,$AV$5:$AV$404),2),""))))</f>
        <v/>
      </c>
      <c r="M415" s="32">
        <f>IF($AD415="Z",ROUND(SUM($AJ$5:$AJ$704),2),IF($AD415="B",ROUND(SUMIF($AQ$5:$AQ$704,$AQ415,$AJ$5:$AJ$704),2),IF($AD415&lt;&gt;"T","",$AJ415)))</f>
        <v/>
      </c>
      <c r="N415" s="32">
        <f>IF(OR($AD415="D",$AD415="T",$AD415="B",$AD415="Z"),ROUND(N($K415)-N($L415)-N($M415),2),"")</f>
        <v/>
      </c>
      <c r="O415" s="32">
        <f>IF(OR($AD415="D",$AD415="T",$AD415="B",$AD415="Z"),IF(N($E415)=0,"",ROUND($F415/$E415,2)),"")</f>
        <v/>
      </c>
      <c r="AC415">
        <f>IFERROR(MATCH(411,$AB$5:$AB$404,1),"")</f>
        <v/>
      </c>
      <c r="AD415">
        <f>IF(411=$AI$1+1,"Z",IF($AC415="","",IF(INDEX($V$5:$V$404,$AC415)="","",IF(411&gt;INDEX($AB$5:$AB$404,$AC415)+INDEX($Z$5:$Z$404,$AC415)+INDEX($AA$5:$AA$404,$AC415)+INDEX($AO$5:$AO$404,$AC415),"",IF(411=INDEX($AB$5:$AB$404,$AC415)+INDEX($Z$5:$Z$404,$AC415),"D",IF(AND(INDEX($Z$5:$Z$404,$AC415)=1,411=INDEX($AB$5:$AB$404,$AC415)),"H",IF(AND(INDEX($AO$5:$AO$404,$AC415)=1,411=INDEX($AB$5:$AB$404,$AC415)+INDEX($Z$5:$Z$404,$AC415)+INDEX($AA$5:$AA$404,$AC415)+INDEX($AO$5:$AO$404,$AC415)),"B","T")))))))</f>
        <v/>
      </c>
      <c r="AF415">
        <f>IF(OR($AD415="",$AD415="Z",$AD415="B"),"",INDEX($X$5:$X$404,$AC415))</f>
        <v/>
      </c>
      <c r="AJ415">
        <f>IF($AD415&lt;&gt;"T",0,ROUND(SUMIF(oil!$B$4:$B$63,$AF415,oil!$AE$4:$AE$63),2))</f>
        <v/>
      </c>
      <c r="AQ415">
        <f>IF(OR($AD415="",$AD415="Z"),"",INDEX($AN$5:$AN$404,$AC415))</f>
        <v/>
      </c>
      <c r="AZ415">
        <f>IF(AND($AD415="T",$AQ415=1),N($AZ414)+1,N($AZ414))</f>
        <v/>
      </c>
    </row>
    <row r="416" ht="21" customHeight="1" s="66">
      <c r="A416" s="69">
        <f>IF($AD416="","",IF($AD416="Z","รวมจ่ายทั้งสิ้น",IF($AD416="H",INDEX($X$5:$X$404,$AC416),IF($AD416="T","รวม",IF($AD416="B",IFERROR(INDEX(อัตราค่าขนส่ง!$S$5:$S$14,MATCH(INDEX($AM$5:$AM$404,$AC416),อัตราค่าขนส่ง!$R$5:$R$14,0)),"รวมกลุ่ม "&amp;INDEX($AM$5:$AM$404,$AC416)),INDEX($AY$5:$AY$404,$AC416))))))</f>
        <v/>
      </c>
      <c r="B416" s="31">
        <f>IF($AD416&lt;&gt;"D","",INDEX($AW$5:$AW$404,$AC416))</f>
        <v/>
      </c>
      <c r="C416" s="68">
        <f>IF($AD416&lt;&gt;"D","",INDEX($AX$5:$AX$404,$AC416))</f>
        <v/>
      </c>
      <c r="D416" s="70">
        <f>IF($AD416&lt;&gt;"D","",INDEX($BA$5:$BA$404,$AC416))</f>
        <v/>
      </c>
      <c r="E416" s="31">
        <f>IF($AD416="Z",SUM($AR$5:$AR$404),IF($AD416="D",INDEX($AR$5:$AR$404,$AC416),IF($AD416="T",SUMIF($X$5:$X$404,$AF416,$AR$5:$AR$404),IF($AD416="B",SUMIF($AN$5:$AN$404,$AQ416,$AR$5:$AR$404),""))))</f>
        <v/>
      </c>
      <c r="F416" s="32">
        <f>IF($AD416="Z",ROUND(SUM($AS$5:$AS$404),2),IF($AD416="D",INDEX($AS$5:$AS$404,$AC416),IF($AD416="T",ROUND(SUMIF($X$5:$X$404,$AF416,$AS$5:$AS$404),2),IF($AD416="B",ROUND(SUMIF($AN$5:$AN$404,$AQ416,$AS$5:$AS$404),2),""))))</f>
        <v/>
      </c>
      <c r="G416" s="32">
        <f>IF($AD416&lt;&gt;"D","",INDEX($AT$5:$AT$404,$AC416))</f>
        <v/>
      </c>
      <c r="H416" s="32">
        <f>IF($AD416&lt;&gt;"D","",INDEX($BC$5:$BC$404,$AC416))</f>
        <v/>
      </c>
      <c r="I416" s="32">
        <f>IF($AD416&lt;&gt;"D","",INDEX($BD$5:$BD$404,$AC416))</f>
        <v/>
      </c>
      <c r="J416" s="46">
        <f>IF($AD416&lt;&gt;"D","",IF(N($B416)=0,"",ROUND($I416/$B416,4)))</f>
        <v/>
      </c>
      <c r="K416" s="32">
        <f>IF($AD416="Z",ROUND(SUM($AU$5:$AU$404),2),IF($AD416="D",INDEX($AU$5:$AU$404,$AC416),IF($AD416="T",ROUND(SUMIF($X$5:$X$404,$AF416,$AU$5:$AU$404),2),IF($AD416="B",ROUND(SUMIF($AN$5:$AN$404,$AQ416,$AU$5:$AU$404),2),""))))</f>
        <v/>
      </c>
      <c r="L416" s="32">
        <f>IF($AD416="Z",ROUND(SUM($AV$5:$AV$404),2),IF($AD416="D",INDEX($AV$5:$AV$404,$AC416),IF($AD416="T",ROUND(SUMIF($X$5:$X$404,$AF416,$AV$5:$AV$404),2),IF($AD416="B",ROUND(SUMIF($AN$5:$AN$404,$AQ416,$AV$5:$AV$404),2),""))))</f>
        <v/>
      </c>
      <c r="M416" s="32">
        <f>IF($AD416="Z",ROUND(SUM($AJ$5:$AJ$704),2),IF($AD416="B",ROUND(SUMIF($AQ$5:$AQ$704,$AQ416,$AJ$5:$AJ$704),2),IF($AD416&lt;&gt;"T","",$AJ416)))</f>
        <v/>
      </c>
      <c r="N416" s="32">
        <f>IF(OR($AD416="D",$AD416="T",$AD416="B",$AD416="Z"),ROUND(N($K416)-N($L416)-N($M416),2),"")</f>
        <v/>
      </c>
      <c r="O416" s="32">
        <f>IF(OR($AD416="D",$AD416="T",$AD416="B",$AD416="Z"),IF(N($E416)=0,"",ROUND($F416/$E416,2)),"")</f>
        <v/>
      </c>
      <c r="AC416">
        <f>IFERROR(MATCH(412,$AB$5:$AB$404,1),"")</f>
        <v/>
      </c>
      <c r="AD416">
        <f>IF(412=$AI$1+1,"Z",IF($AC416="","",IF(INDEX($V$5:$V$404,$AC416)="","",IF(412&gt;INDEX($AB$5:$AB$404,$AC416)+INDEX($Z$5:$Z$404,$AC416)+INDEX($AA$5:$AA$404,$AC416)+INDEX($AO$5:$AO$404,$AC416),"",IF(412=INDEX($AB$5:$AB$404,$AC416)+INDEX($Z$5:$Z$404,$AC416),"D",IF(AND(INDEX($Z$5:$Z$404,$AC416)=1,412=INDEX($AB$5:$AB$404,$AC416)),"H",IF(AND(INDEX($AO$5:$AO$404,$AC416)=1,412=INDEX($AB$5:$AB$404,$AC416)+INDEX($Z$5:$Z$404,$AC416)+INDEX($AA$5:$AA$404,$AC416)+INDEX($AO$5:$AO$404,$AC416)),"B","T")))))))</f>
        <v/>
      </c>
      <c r="AF416">
        <f>IF(OR($AD416="",$AD416="Z",$AD416="B"),"",INDEX($X$5:$X$404,$AC416))</f>
        <v/>
      </c>
      <c r="AJ416">
        <f>IF($AD416&lt;&gt;"T",0,ROUND(SUMIF(oil!$B$4:$B$63,$AF416,oil!$AE$4:$AE$63),2))</f>
        <v/>
      </c>
      <c r="AQ416">
        <f>IF(OR($AD416="",$AD416="Z"),"",INDEX($AN$5:$AN$404,$AC416))</f>
        <v/>
      </c>
      <c r="AZ416">
        <f>IF(AND($AD416="T",$AQ416=1),N($AZ415)+1,N($AZ415))</f>
        <v/>
      </c>
    </row>
    <row r="417" ht="21" customHeight="1" s="66">
      <c r="A417" s="69">
        <f>IF($AD417="","",IF($AD417="Z","รวมจ่ายทั้งสิ้น",IF($AD417="H",INDEX($X$5:$X$404,$AC417),IF($AD417="T","รวม",IF($AD417="B",IFERROR(INDEX(อัตราค่าขนส่ง!$S$5:$S$14,MATCH(INDEX($AM$5:$AM$404,$AC417),อัตราค่าขนส่ง!$R$5:$R$14,0)),"รวมกลุ่ม "&amp;INDEX($AM$5:$AM$404,$AC417)),INDEX($AY$5:$AY$404,$AC417))))))</f>
        <v/>
      </c>
      <c r="B417" s="31">
        <f>IF($AD417&lt;&gt;"D","",INDEX($AW$5:$AW$404,$AC417))</f>
        <v/>
      </c>
      <c r="C417" s="68">
        <f>IF($AD417&lt;&gt;"D","",INDEX($AX$5:$AX$404,$AC417))</f>
        <v/>
      </c>
      <c r="D417" s="70">
        <f>IF($AD417&lt;&gt;"D","",INDEX($BA$5:$BA$404,$AC417))</f>
        <v/>
      </c>
      <c r="E417" s="31">
        <f>IF($AD417="Z",SUM($AR$5:$AR$404),IF($AD417="D",INDEX($AR$5:$AR$404,$AC417),IF($AD417="T",SUMIF($X$5:$X$404,$AF417,$AR$5:$AR$404),IF($AD417="B",SUMIF($AN$5:$AN$404,$AQ417,$AR$5:$AR$404),""))))</f>
        <v/>
      </c>
      <c r="F417" s="32">
        <f>IF($AD417="Z",ROUND(SUM($AS$5:$AS$404),2),IF($AD417="D",INDEX($AS$5:$AS$404,$AC417),IF($AD417="T",ROUND(SUMIF($X$5:$X$404,$AF417,$AS$5:$AS$404),2),IF($AD417="B",ROUND(SUMIF($AN$5:$AN$404,$AQ417,$AS$5:$AS$404),2),""))))</f>
        <v/>
      </c>
      <c r="G417" s="32">
        <f>IF($AD417&lt;&gt;"D","",INDEX($AT$5:$AT$404,$AC417))</f>
        <v/>
      </c>
      <c r="H417" s="32">
        <f>IF($AD417&lt;&gt;"D","",INDEX($BC$5:$BC$404,$AC417))</f>
        <v/>
      </c>
      <c r="I417" s="32">
        <f>IF($AD417&lt;&gt;"D","",INDEX($BD$5:$BD$404,$AC417))</f>
        <v/>
      </c>
      <c r="J417" s="46">
        <f>IF($AD417&lt;&gt;"D","",IF(N($B417)=0,"",ROUND($I417/$B417,4)))</f>
        <v/>
      </c>
      <c r="K417" s="32">
        <f>IF($AD417="Z",ROUND(SUM($AU$5:$AU$404),2),IF($AD417="D",INDEX($AU$5:$AU$404,$AC417),IF($AD417="T",ROUND(SUMIF($X$5:$X$404,$AF417,$AU$5:$AU$404),2),IF($AD417="B",ROUND(SUMIF($AN$5:$AN$404,$AQ417,$AU$5:$AU$404),2),""))))</f>
        <v/>
      </c>
      <c r="L417" s="32">
        <f>IF($AD417="Z",ROUND(SUM($AV$5:$AV$404),2),IF($AD417="D",INDEX($AV$5:$AV$404,$AC417),IF($AD417="T",ROUND(SUMIF($X$5:$X$404,$AF417,$AV$5:$AV$404),2),IF($AD417="B",ROUND(SUMIF($AN$5:$AN$404,$AQ417,$AV$5:$AV$404),2),""))))</f>
        <v/>
      </c>
      <c r="M417" s="32">
        <f>IF($AD417="Z",ROUND(SUM($AJ$5:$AJ$704),2),IF($AD417="B",ROUND(SUMIF($AQ$5:$AQ$704,$AQ417,$AJ$5:$AJ$704),2),IF($AD417&lt;&gt;"T","",$AJ417)))</f>
        <v/>
      </c>
      <c r="N417" s="32">
        <f>IF(OR($AD417="D",$AD417="T",$AD417="B",$AD417="Z"),ROUND(N($K417)-N($L417)-N($M417),2),"")</f>
        <v/>
      </c>
      <c r="O417" s="32">
        <f>IF(OR($AD417="D",$AD417="T",$AD417="B",$AD417="Z"),IF(N($E417)=0,"",ROUND($F417/$E417,2)),"")</f>
        <v/>
      </c>
      <c r="AC417">
        <f>IFERROR(MATCH(413,$AB$5:$AB$404,1),"")</f>
        <v/>
      </c>
      <c r="AD417">
        <f>IF(413=$AI$1+1,"Z",IF($AC417="","",IF(INDEX($V$5:$V$404,$AC417)="","",IF(413&gt;INDEX($AB$5:$AB$404,$AC417)+INDEX($Z$5:$Z$404,$AC417)+INDEX($AA$5:$AA$404,$AC417)+INDEX($AO$5:$AO$404,$AC417),"",IF(413=INDEX($AB$5:$AB$404,$AC417)+INDEX($Z$5:$Z$404,$AC417),"D",IF(AND(INDEX($Z$5:$Z$404,$AC417)=1,413=INDEX($AB$5:$AB$404,$AC417)),"H",IF(AND(INDEX($AO$5:$AO$404,$AC417)=1,413=INDEX($AB$5:$AB$404,$AC417)+INDEX($Z$5:$Z$404,$AC417)+INDEX($AA$5:$AA$404,$AC417)+INDEX($AO$5:$AO$404,$AC417)),"B","T")))))))</f>
        <v/>
      </c>
      <c r="AF417">
        <f>IF(OR($AD417="",$AD417="Z",$AD417="B"),"",INDEX($X$5:$X$404,$AC417))</f>
        <v/>
      </c>
      <c r="AJ417">
        <f>IF($AD417&lt;&gt;"T",0,ROUND(SUMIF(oil!$B$4:$B$63,$AF417,oil!$AE$4:$AE$63),2))</f>
        <v/>
      </c>
      <c r="AQ417">
        <f>IF(OR($AD417="",$AD417="Z"),"",INDEX($AN$5:$AN$404,$AC417))</f>
        <v/>
      </c>
      <c r="AZ417">
        <f>IF(AND($AD417="T",$AQ417=1),N($AZ416)+1,N($AZ416))</f>
        <v/>
      </c>
    </row>
    <row r="418" ht="21" customHeight="1" s="66">
      <c r="A418" s="69">
        <f>IF($AD418="","",IF($AD418="Z","รวมจ่ายทั้งสิ้น",IF($AD418="H",INDEX($X$5:$X$404,$AC418),IF($AD418="T","รวม",IF($AD418="B",IFERROR(INDEX(อัตราค่าขนส่ง!$S$5:$S$14,MATCH(INDEX($AM$5:$AM$404,$AC418),อัตราค่าขนส่ง!$R$5:$R$14,0)),"รวมกลุ่ม "&amp;INDEX($AM$5:$AM$404,$AC418)),INDEX($AY$5:$AY$404,$AC418))))))</f>
        <v/>
      </c>
      <c r="B418" s="31">
        <f>IF($AD418&lt;&gt;"D","",INDEX($AW$5:$AW$404,$AC418))</f>
        <v/>
      </c>
      <c r="C418" s="68">
        <f>IF($AD418&lt;&gt;"D","",INDEX($AX$5:$AX$404,$AC418))</f>
        <v/>
      </c>
      <c r="D418" s="70">
        <f>IF($AD418&lt;&gt;"D","",INDEX($BA$5:$BA$404,$AC418))</f>
        <v/>
      </c>
      <c r="E418" s="31">
        <f>IF($AD418="Z",SUM($AR$5:$AR$404),IF($AD418="D",INDEX($AR$5:$AR$404,$AC418),IF($AD418="T",SUMIF($X$5:$X$404,$AF418,$AR$5:$AR$404),IF($AD418="B",SUMIF($AN$5:$AN$404,$AQ418,$AR$5:$AR$404),""))))</f>
        <v/>
      </c>
      <c r="F418" s="32">
        <f>IF($AD418="Z",ROUND(SUM($AS$5:$AS$404),2),IF($AD418="D",INDEX($AS$5:$AS$404,$AC418),IF($AD418="T",ROUND(SUMIF($X$5:$X$404,$AF418,$AS$5:$AS$404),2),IF($AD418="B",ROUND(SUMIF($AN$5:$AN$404,$AQ418,$AS$5:$AS$404),2),""))))</f>
        <v/>
      </c>
      <c r="G418" s="32">
        <f>IF($AD418&lt;&gt;"D","",INDEX($AT$5:$AT$404,$AC418))</f>
        <v/>
      </c>
      <c r="H418" s="32">
        <f>IF($AD418&lt;&gt;"D","",INDEX($BC$5:$BC$404,$AC418))</f>
        <v/>
      </c>
      <c r="I418" s="32">
        <f>IF($AD418&lt;&gt;"D","",INDEX($BD$5:$BD$404,$AC418))</f>
        <v/>
      </c>
      <c r="J418" s="46">
        <f>IF($AD418&lt;&gt;"D","",IF(N($B418)=0,"",ROUND($I418/$B418,4)))</f>
        <v/>
      </c>
      <c r="K418" s="32">
        <f>IF($AD418="Z",ROUND(SUM($AU$5:$AU$404),2),IF($AD418="D",INDEX($AU$5:$AU$404,$AC418),IF($AD418="T",ROUND(SUMIF($X$5:$X$404,$AF418,$AU$5:$AU$404),2),IF($AD418="B",ROUND(SUMIF($AN$5:$AN$404,$AQ418,$AU$5:$AU$404),2),""))))</f>
        <v/>
      </c>
      <c r="L418" s="32">
        <f>IF($AD418="Z",ROUND(SUM($AV$5:$AV$404),2),IF($AD418="D",INDEX($AV$5:$AV$404,$AC418),IF($AD418="T",ROUND(SUMIF($X$5:$X$404,$AF418,$AV$5:$AV$404),2),IF($AD418="B",ROUND(SUMIF($AN$5:$AN$404,$AQ418,$AV$5:$AV$404),2),""))))</f>
        <v/>
      </c>
      <c r="M418" s="32">
        <f>IF($AD418="Z",ROUND(SUM($AJ$5:$AJ$704),2),IF($AD418="B",ROUND(SUMIF($AQ$5:$AQ$704,$AQ418,$AJ$5:$AJ$704),2),IF($AD418&lt;&gt;"T","",$AJ418)))</f>
        <v/>
      </c>
      <c r="N418" s="32">
        <f>IF(OR($AD418="D",$AD418="T",$AD418="B",$AD418="Z"),ROUND(N($K418)-N($L418)-N($M418),2),"")</f>
        <v/>
      </c>
      <c r="O418" s="32">
        <f>IF(OR($AD418="D",$AD418="T",$AD418="B",$AD418="Z"),IF(N($E418)=0,"",ROUND($F418/$E418,2)),"")</f>
        <v/>
      </c>
      <c r="AC418">
        <f>IFERROR(MATCH(414,$AB$5:$AB$404,1),"")</f>
        <v/>
      </c>
      <c r="AD418">
        <f>IF(414=$AI$1+1,"Z",IF($AC418="","",IF(INDEX($V$5:$V$404,$AC418)="","",IF(414&gt;INDEX($AB$5:$AB$404,$AC418)+INDEX($Z$5:$Z$404,$AC418)+INDEX($AA$5:$AA$404,$AC418)+INDEX($AO$5:$AO$404,$AC418),"",IF(414=INDEX($AB$5:$AB$404,$AC418)+INDEX($Z$5:$Z$404,$AC418),"D",IF(AND(INDEX($Z$5:$Z$404,$AC418)=1,414=INDEX($AB$5:$AB$404,$AC418)),"H",IF(AND(INDEX($AO$5:$AO$404,$AC418)=1,414=INDEX($AB$5:$AB$404,$AC418)+INDEX($Z$5:$Z$404,$AC418)+INDEX($AA$5:$AA$404,$AC418)+INDEX($AO$5:$AO$404,$AC418)),"B","T")))))))</f>
        <v/>
      </c>
      <c r="AF418">
        <f>IF(OR($AD418="",$AD418="Z",$AD418="B"),"",INDEX($X$5:$X$404,$AC418))</f>
        <v/>
      </c>
      <c r="AJ418">
        <f>IF($AD418&lt;&gt;"T",0,ROUND(SUMIF(oil!$B$4:$B$63,$AF418,oil!$AE$4:$AE$63),2))</f>
        <v/>
      </c>
      <c r="AQ418">
        <f>IF(OR($AD418="",$AD418="Z"),"",INDEX($AN$5:$AN$404,$AC418))</f>
        <v/>
      </c>
      <c r="AZ418">
        <f>IF(AND($AD418="T",$AQ418=1),N($AZ417)+1,N($AZ417))</f>
        <v/>
      </c>
    </row>
    <row r="419" ht="21" customHeight="1" s="66">
      <c r="A419" s="69">
        <f>IF($AD419="","",IF($AD419="Z","รวมจ่ายทั้งสิ้น",IF($AD419="H",INDEX($X$5:$X$404,$AC419),IF($AD419="T","รวม",IF($AD419="B",IFERROR(INDEX(อัตราค่าขนส่ง!$S$5:$S$14,MATCH(INDEX($AM$5:$AM$404,$AC419),อัตราค่าขนส่ง!$R$5:$R$14,0)),"รวมกลุ่ม "&amp;INDEX($AM$5:$AM$404,$AC419)),INDEX($AY$5:$AY$404,$AC419))))))</f>
        <v/>
      </c>
      <c r="B419" s="31">
        <f>IF($AD419&lt;&gt;"D","",INDEX($AW$5:$AW$404,$AC419))</f>
        <v/>
      </c>
      <c r="C419" s="68">
        <f>IF($AD419&lt;&gt;"D","",INDEX($AX$5:$AX$404,$AC419))</f>
        <v/>
      </c>
      <c r="D419" s="70">
        <f>IF($AD419&lt;&gt;"D","",INDEX($BA$5:$BA$404,$AC419))</f>
        <v/>
      </c>
      <c r="E419" s="31">
        <f>IF($AD419="Z",SUM($AR$5:$AR$404),IF($AD419="D",INDEX($AR$5:$AR$404,$AC419),IF($AD419="T",SUMIF($X$5:$X$404,$AF419,$AR$5:$AR$404),IF($AD419="B",SUMIF($AN$5:$AN$404,$AQ419,$AR$5:$AR$404),""))))</f>
        <v/>
      </c>
      <c r="F419" s="32">
        <f>IF($AD419="Z",ROUND(SUM($AS$5:$AS$404),2),IF($AD419="D",INDEX($AS$5:$AS$404,$AC419),IF($AD419="T",ROUND(SUMIF($X$5:$X$404,$AF419,$AS$5:$AS$404),2),IF($AD419="B",ROUND(SUMIF($AN$5:$AN$404,$AQ419,$AS$5:$AS$404),2),""))))</f>
        <v/>
      </c>
      <c r="G419" s="32">
        <f>IF($AD419&lt;&gt;"D","",INDEX($AT$5:$AT$404,$AC419))</f>
        <v/>
      </c>
      <c r="H419" s="32">
        <f>IF($AD419&lt;&gt;"D","",INDEX($BC$5:$BC$404,$AC419))</f>
        <v/>
      </c>
      <c r="I419" s="32">
        <f>IF($AD419&lt;&gt;"D","",INDEX($BD$5:$BD$404,$AC419))</f>
        <v/>
      </c>
      <c r="J419" s="46">
        <f>IF($AD419&lt;&gt;"D","",IF(N($B419)=0,"",ROUND($I419/$B419,4)))</f>
        <v/>
      </c>
      <c r="K419" s="32">
        <f>IF($AD419="Z",ROUND(SUM($AU$5:$AU$404),2),IF($AD419="D",INDEX($AU$5:$AU$404,$AC419),IF($AD419="T",ROUND(SUMIF($X$5:$X$404,$AF419,$AU$5:$AU$404),2),IF($AD419="B",ROUND(SUMIF($AN$5:$AN$404,$AQ419,$AU$5:$AU$404),2),""))))</f>
        <v/>
      </c>
      <c r="L419" s="32">
        <f>IF($AD419="Z",ROUND(SUM($AV$5:$AV$404),2),IF($AD419="D",INDEX($AV$5:$AV$404,$AC419),IF($AD419="T",ROUND(SUMIF($X$5:$X$404,$AF419,$AV$5:$AV$404),2),IF($AD419="B",ROUND(SUMIF($AN$5:$AN$404,$AQ419,$AV$5:$AV$404),2),""))))</f>
        <v/>
      </c>
      <c r="M419" s="32">
        <f>IF($AD419="Z",ROUND(SUM($AJ$5:$AJ$704),2),IF($AD419="B",ROUND(SUMIF($AQ$5:$AQ$704,$AQ419,$AJ$5:$AJ$704),2),IF($AD419&lt;&gt;"T","",$AJ419)))</f>
        <v/>
      </c>
      <c r="N419" s="32">
        <f>IF(OR($AD419="D",$AD419="T",$AD419="B",$AD419="Z"),ROUND(N($K419)-N($L419)-N($M419),2),"")</f>
        <v/>
      </c>
      <c r="O419" s="32">
        <f>IF(OR($AD419="D",$AD419="T",$AD419="B",$AD419="Z"),IF(N($E419)=0,"",ROUND($F419/$E419,2)),"")</f>
        <v/>
      </c>
      <c r="AC419">
        <f>IFERROR(MATCH(415,$AB$5:$AB$404,1),"")</f>
        <v/>
      </c>
      <c r="AD419">
        <f>IF(415=$AI$1+1,"Z",IF($AC419="","",IF(INDEX($V$5:$V$404,$AC419)="","",IF(415&gt;INDEX($AB$5:$AB$404,$AC419)+INDEX($Z$5:$Z$404,$AC419)+INDEX($AA$5:$AA$404,$AC419)+INDEX($AO$5:$AO$404,$AC419),"",IF(415=INDEX($AB$5:$AB$404,$AC419)+INDEX($Z$5:$Z$404,$AC419),"D",IF(AND(INDEX($Z$5:$Z$404,$AC419)=1,415=INDEX($AB$5:$AB$404,$AC419)),"H",IF(AND(INDEX($AO$5:$AO$404,$AC419)=1,415=INDEX($AB$5:$AB$404,$AC419)+INDEX($Z$5:$Z$404,$AC419)+INDEX($AA$5:$AA$404,$AC419)+INDEX($AO$5:$AO$404,$AC419)),"B","T")))))))</f>
        <v/>
      </c>
      <c r="AF419">
        <f>IF(OR($AD419="",$AD419="Z",$AD419="B"),"",INDEX($X$5:$X$404,$AC419))</f>
        <v/>
      </c>
      <c r="AJ419">
        <f>IF($AD419&lt;&gt;"T",0,ROUND(SUMIF(oil!$B$4:$B$63,$AF419,oil!$AE$4:$AE$63),2))</f>
        <v/>
      </c>
      <c r="AQ419">
        <f>IF(OR($AD419="",$AD419="Z"),"",INDEX($AN$5:$AN$404,$AC419))</f>
        <v/>
      </c>
      <c r="AZ419">
        <f>IF(AND($AD419="T",$AQ419=1),N($AZ418)+1,N($AZ418))</f>
        <v/>
      </c>
    </row>
    <row r="420" ht="21" customHeight="1" s="66">
      <c r="A420" s="69">
        <f>IF($AD420="","",IF($AD420="Z","รวมจ่ายทั้งสิ้น",IF($AD420="H",INDEX($X$5:$X$404,$AC420),IF($AD420="T","รวม",IF($AD420="B",IFERROR(INDEX(อัตราค่าขนส่ง!$S$5:$S$14,MATCH(INDEX($AM$5:$AM$404,$AC420),อัตราค่าขนส่ง!$R$5:$R$14,0)),"รวมกลุ่ม "&amp;INDEX($AM$5:$AM$404,$AC420)),INDEX($AY$5:$AY$404,$AC420))))))</f>
        <v/>
      </c>
      <c r="B420" s="31">
        <f>IF($AD420&lt;&gt;"D","",INDEX($AW$5:$AW$404,$AC420))</f>
        <v/>
      </c>
      <c r="C420" s="68">
        <f>IF($AD420&lt;&gt;"D","",INDEX($AX$5:$AX$404,$AC420))</f>
        <v/>
      </c>
      <c r="D420" s="70">
        <f>IF($AD420&lt;&gt;"D","",INDEX($BA$5:$BA$404,$AC420))</f>
        <v/>
      </c>
      <c r="E420" s="31">
        <f>IF($AD420="Z",SUM($AR$5:$AR$404),IF($AD420="D",INDEX($AR$5:$AR$404,$AC420),IF($AD420="T",SUMIF($X$5:$X$404,$AF420,$AR$5:$AR$404),IF($AD420="B",SUMIF($AN$5:$AN$404,$AQ420,$AR$5:$AR$404),""))))</f>
        <v/>
      </c>
      <c r="F420" s="32">
        <f>IF($AD420="Z",ROUND(SUM($AS$5:$AS$404),2),IF($AD420="D",INDEX($AS$5:$AS$404,$AC420),IF($AD420="T",ROUND(SUMIF($X$5:$X$404,$AF420,$AS$5:$AS$404),2),IF($AD420="B",ROUND(SUMIF($AN$5:$AN$404,$AQ420,$AS$5:$AS$404),2),""))))</f>
        <v/>
      </c>
      <c r="G420" s="32">
        <f>IF($AD420&lt;&gt;"D","",INDEX($AT$5:$AT$404,$AC420))</f>
        <v/>
      </c>
      <c r="H420" s="32">
        <f>IF($AD420&lt;&gt;"D","",INDEX($BC$5:$BC$404,$AC420))</f>
        <v/>
      </c>
      <c r="I420" s="32">
        <f>IF($AD420&lt;&gt;"D","",INDEX($BD$5:$BD$404,$AC420))</f>
        <v/>
      </c>
      <c r="J420" s="46">
        <f>IF($AD420&lt;&gt;"D","",IF(N($B420)=0,"",ROUND($I420/$B420,4)))</f>
        <v/>
      </c>
      <c r="K420" s="32">
        <f>IF($AD420="Z",ROUND(SUM($AU$5:$AU$404),2),IF($AD420="D",INDEX($AU$5:$AU$404,$AC420),IF($AD420="T",ROUND(SUMIF($X$5:$X$404,$AF420,$AU$5:$AU$404),2),IF($AD420="B",ROUND(SUMIF($AN$5:$AN$404,$AQ420,$AU$5:$AU$404),2),""))))</f>
        <v/>
      </c>
      <c r="L420" s="32">
        <f>IF($AD420="Z",ROUND(SUM($AV$5:$AV$404),2),IF($AD420="D",INDEX($AV$5:$AV$404,$AC420),IF($AD420="T",ROUND(SUMIF($X$5:$X$404,$AF420,$AV$5:$AV$404),2),IF($AD420="B",ROUND(SUMIF($AN$5:$AN$404,$AQ420,$AV$5:$AV$404),2),""))))</f>
        <v/>
      </c>
      <c r="M420" s="32">
        <f>IF($AD420="Z",ROUND(SUM($AJ$5:$AJ$704),2),IF($AD420="B",ROUND(SUMIF($AQ$5:$AQ$704,$AQ420,$AJ$5:$AJ$704),2),IF($AD420&lt;&gt;"T","",$AJ420)))</f>
        <v/>
      </c>
      <c r="N420" s="32">
        <f>IF(OR($AD420="D",$AD420="T",$AD420="B",$AD420="Z"),ROUND(N($K420)-N($L420)-N($M420),2),"")</f>
        <v/>
      </c>
      <c r="O420" s="32">
        <f>IF(OR($AD420="D",$AD420="T",$AD420="B",$AD420="Z"),IF(N($E420)=0,"",ROUND($F420/$E420,2)),"")</f>
        <v/>
      </c>
      <c r="AC420">
        <f>IFERROR(MATCH(416,$AB$5:$AB$404,1),"")</f>
        <v/>
      </c>
      <c r="AD420">
        <f>IF(416=$AI$1+1,"Z",IF($AC420="","",IF(INDEX($V$5:$V$404,$AC420)="","",IF(416&gt;INDEX($AB$5:$AB$404,$AC420)+INDEX($Z$5:$Z$404,$AC420)+INDEX($AA$5:$AA$404,$AC420)+INDEX($AO$5:$AO$404,$AC420),"",IF(416=INDEX($AB$5:$AB$404,$AC420)+INDEX($Z$5:$Z$404,$AC420),"D",IF(AND(INDEX($Z$5:$Z$404,$AC420)=1,416=INDEX($AB$5:$AB$404,$AC420)),"H",IF(AND(INDEX($AO$5:$AO$404,$AC420)=1,416=INDEX($AB$5:$AB$404,$AC420)+INDEX($Z$5:$Z$404,$AC420)+INDEX($AA$5:$AA$404,$AC420)+INDEX($AO$5:$AO$404,$AC420)),"B","T")))))))</f>
        <v/>
      </c>
      <c r="AF420">
        <f>IF(OR($AD420="",$AD420="Z",$AD420="B"),"",INDEX($X$5:$X$404,$AC420))</f>
        <v/>
      </c>
      <c r="AJ420">
        <f>IF($AD420&lt;&gt;"T",0,ROUND(SUMIF(oil!$B$4:$B$63,$AF420,oil!$AE$4:$AE$63),2))</f>
        <v/>
      </c>
      <c r="AQ420">
        <f>IF(OR($AD420="",$AD420="Z"),"",INDEX($AN$5:$AN$404,$AC420))</f>
        <v/>
      </c>
      <c r="AZ420">
        <f>IF(AND($AD420="T",$AQ420=1),N($AZ419)+1,N($AZ419))</f>
        <v/>
      </c>
    </row>
    <row r="421" ht="21" customHeight="1" s="66">
      <c r="A421" s="69">
        <f>IF($AD421="","",IF($AD421="Z","รวมจ่ายทั้งสิ้น",IF($AD421="H",INDEX($X$5:$X$404,$AC421),IF($AD421="T","รวม",IF($AD421="B",IFERROR(INDEX(อัตราค่าขนส่ง!$S$5:$S$14,MATCH(INDEX($AM$5:$AM$404,$AC421),อัตราค่าขนส่ง!$R$5:$R$14,0)),"รวมกลุ่ม "&amp;INDEX($AM$5:$AM$404,$AC421)),INDEX($AY$5:$AY$404,$AC421))))))</f>
        <v/>
      </c>
      <c r="B421" s="31">
        <f>IF($AD421&lt;&gt;"D","",INDEX($AW$5:$AW$404,$AC421))</f>
        <v/>
      </c>
      <c r="C421" s="68">
        <f>IF($AD421&lt;&gt;"D","",INDEX($AX$5:$AX$404,$AC421))</f>
        <v/>
      </c>
      <c r="D421" s="70">
        <f>IF($AD421&lt;&gt;"D","",INDEX($BA$5:$BA$404,$AC421))</f>
        <v/>
      </c>
      <c r="E421" s="31">
        <f>IF($AD421="Z",SUM($AR$5:$AR$404),IF($AD421="D",INDEX($AR$5:$AR$404,$AC421),IF($AD421="T",SUMIF($X$5:$X$404,$AF421,$AR$5:$AR$404),IF($AD421="B",SUMIF($AN$5:$AN$404,$AQ421,$AR$5:$AR$404),""))))</f>
        <v/>
      </c>
      <c r="F421" s="32">
        <f>IF($AD421="Z",ROUND(SUM($AS$5:$AS$404),2),IF($AD421="D",INDEX($AS$5:$AS$404,$AC421),IF($AD421="T",ROUND(SUMIF($X$5:$X$404,$AF421,$AS$5:$AS$404),2),IF($AD421="B",ROUND(SUMIF($AN$5:$AN$404,$AQ421,$AS$5:$AS$404),2),""))))</f>
        <v/>
      </c>
      <c r="G421" s="32">
        <f>IF($AD421&lt;&gt;"D","",INDEX($AT$5:$AT$404,$AC421))</f>
        <v/>
      </c>
      <c r="H421" s="32">
        <f>IF($AD421&lt;&gt;"D","",INDEX($BC$5:$BC$404,$AC421))</f>
        <v/>
      </c>
      <c r="I421" s="32">
        <f>IF($AD421&lt;&gt;"D","",INDEX($BD$5:$BD$404,$AC421))</f>
        <v/>
      </c>
      <c r="J421" s="46">
        <f>IF($AD421&lt;&gt;"D","",IF(N($B421)=0,"",ROUND($I421/$B421,4)))</f>
        <v/>
      </c>
      <c r="K421" s="32">
        <f>IF($AD421="Z",ROUND(SUM($AU$5:$AU$404),2),IF($AD421="D",INDEX($AU$5:$AU$404,$AC421),IF($AD421="T",ROUND(SUMIF($X$5:$X$404,$AF421,$AU$5:$AU$404),2),IF($AD421="B",ROUND(SUMIF($AN$5:$AN$404,$AQ421,$AU$5:$AU$404),2),""))))</f>
        <v/>
      </c>
      <c r="L421" s="32">
        <f>IF($AD421="Z",ROUND(SUM($AV$5:$AV$404),2),IF($AD421="D",INDEX($AV$5:$AV$404,$AC421),IF($AD421="T",ROUND(SUMIF($X$5:$X$404,$AF421,$AV$5:$AV$404),2),IF($AD421="B",ROUND(SUMIF($AN$5:$AN$404,$AQ421,$AV$5:$AV$404),2),""))))</f>
        <v/>
      </c>
      <c r="M421" s="32">
        <f>IF($AD421="Z",ROUND(SUM($AJ$5:$AJ$704),2),IF($AD421="B",ROUND(SUMIF($AQ$5:$AQ$704,$AQ421,$AJ$5:$AJ$704),2),IF($AD421&lt;&gt;"T","",$AJ421)))</f>
        <v/>
      </c>
      <c r="N421" s="32">
        <f>IF(OR($AD421="D",$AD421="T",$AD421="B",$AD421="Z"),ROUND(N($K421)-N($L421)-N($M421),2),"")</f>
        <v/>
      </c>
      <c r="O421" s="32">
        <f>IF(OR($AD421="D",$AD421="T",$AD421="B",$AD421="Z"),IF(N($E421)=0,"",ROUND($F421/$E421,2)),"")</f>
        <v/>
      </c>
      <c r="AC421">
        <f>IFERROR(MATCH(417,$AB$5:$AB$404,1),"")</f>
        <v/>
      </c>
      <c r="AD421">
        <f>IF(417=$AI$1+1,"Z",IF($AC421="","",IF(INDEX($V$5:$V$404,$AC421)="","",IF(417&gt;INDEX($AB$5:$AB$404,$AC421)+INDEX($Z$5:$Z$404,$AC421)+INDEX($AA$5:$AA$404,$AC421)+INDEX($AO$5:$AO$404,$AC421),"",IF(417=INDEX($AB$5:$AB$404,$AC421)+INDEX($Z$5:$Z$404,$AC421),"D",IF(AND(INDEX($Z$5:$Z$404,$AC421)=1,417=INDEX($AB$5:$AB$404,$AC421)),"H",IF(AND(INDEX($AO$5:$AO$404,$AC421)=1,417=INDEX($AB$5:$AB$404,$AC421)+INDEX($Z$5:$Z$404,$AC421)+INDEX($AA$5:$AA$404,$AC421)+INDEX($AO$5:$AO$404,$AC421)),"B","T")))))))</f>
        <v/>
      </c>
      <c r="AF421">
        <f>IF(OR($AD421="",$AD421="Z",$AD421="B"),"",INDEX($X$5:$X$404,$AC421))</f>
        <v/>
      </c>
      <c r="AJ421">
        <f>IF($AD421&lt;&gt;"T",0,ROUND(SUMIF(oil!$B$4:$B$63,$AF421,oil!$AE$4:$AE$63),2))</f>
        <v/>
      </c>
      <c r="AQ421">
        <f>IF(OR($AD421="",$AD421="Z"),"",INDEX($AN$5:$AN$404,$AC421))</f>
        <v/>
      </c>
      <c r="AZ421">
        <f>IF(AND($AD421="T",$AQ421=1),N($AZ420)+1,N($AZ420))</f>
        <v/>
      </c>
    </row>
    <row r="422" ht="21" customHeight="1" s="66">
      <c r="A422" s="69">
        <f>IF($AD422="","",IF($AD422="Z","รวมจ่ายทั้งสิ้น",IF($AD422="H",INDEX($X$5:$X$404,$AC422),IF($AD422="T","รวม",IF($AD422="B",IFERROR(INDEX(อัตราค่าขนส่ง!$S$5:$S$14,MATCH(INDEX($AM$5:$AM$404,$AC422),อัตราค่าขนส่ง!$R$5:$R$14,0)),"รวมกลุ่ม "&amp;INDEX($AM$5:$AM$404,$AC422)),INDEX($AY$5:$AY$404,$AC422))))))</f>
        <v/>
      </c>
      <c r="B422" s="31">
        <f>IF($AD422&lt;&gt;"D","",INDEX($AW$5:$AW$404,$AC422))</f>
        <v/>
      </c>
      <c r="C422" s="68">
        <f>IF($AD422&lt;&gt;"D","",INDEX($AX$5:$AX$404,$AC422))</f>
        <v/>
      </c>
      <c r="D422" s="70">
        <f>IF($AD422&lt;&gt;"D","",INDEX($BA$5:$BA$404,$AC422))</f>
        <v/>
      </c>
      <c r="E422" s="31">
        <f>IF($AD422="Z",SUM($AR$5:$AR$404),IF($AD422="D",INDEX($AR$5:$AR$404,$AC422),IF($AD422="T",SUMIF($X$5:$X$404,$AF422,$AR$5:$AR$404),IF($AD422="B",SUMIF($AN$5:$AN$404,$AQ422,$AR$5:$AR$404),""))))</f>
        <v/>
      </c>
      <c r="F422" s="32">
        <f>IF($AD422="Z",ROUND(SUM($AS$5:$AS$404),2),IF($AD422="D",INDEX($AS$5:$AS$404,$AC422),IF($AD422="T",ROUND(SUMIF($X$5:$X$404,$AF422,$AS$5:$AS$404),2),IF($AD422="B",ROUND(SUMIF($AN$5:$AN$404,$AQ422,$AS$5:$AS$404),2),""))))</f>
        <v/>
      </c>
      <c r="G422" s="32">
        <f>IF($AD422&lt;&gt;"D","",INDEX($AT$5:$AT$404,$AC422))</f>
        <v/>
      </c>
      <c r="H422" s="32">
        <f>IF($AD422&lt;&gt;"D","",INDEX($BC$5:$BC$404,$AC422))</f>
        <v/>
      </c>
      <c r="I422" s="32">
        <f>IF($AD422&lt;&gt;"D","",INDEX($BD$5:$BD$404,$AC422))</f>
        <v/>
      </c>
      <c r="J422" s="46">
        <f>IF($AD422&lt;&gt;"D","",IF(N($B422)=0,"",ROUND($I422/$B422,4)))</f>
        <v/>
      </c>
      <c r="K422" s="32">
        <f>IF($AD422="Z",ROUND(SUM($AU$5:$AU$404),2),IF($AD422="D",INDEX($AU$5:$AU$404,$AC422),IF($AD422="T",ROUND(SUMIF($X$5:$X$404,$AF422,$AU$5:$AU$404),2),IF($AD422="B",ROUND(SUMIF($AN$5:$AN$404,$AQ422,$AU$5:$AU$404),2),""))))</f>
        <v/>
      </c>
      <c r="L422" s="32">
        <f>IF($AD422="Z",ROUND(SUM($AV$5:$AV$404),2),IF($AD422="D",INDEX($AV$5:$AV$404,$AC422),IF($AD422="T",ROUND(SUMIF($X$5:$X$404,$AF422,$AV$5:$AV$404),2),IF($AD422="B",ROUND(SUMIF($AN$5:$AN$404,$AQ422,$AV$5:$AV$404),2),""))))</f>
        <v/>
      </c>
      <c r="M422" s="32">
        <f>IF($AD422="Z",ROUND(SUM($AJ$5:$AJ$704),2),IF($AD422="B",ROUND(SUMIF($AQ$5:$AQ$704,$AQ422,$AJ$5:$AJ$704),2),IF($AD422&lt;&gt;"T","",$AJ422)))</f>
        <v/>
      </c>
      <c r="N422" s="32">
        <f>IF(OR($AD422="D",$AD422="T",$AD422="B",$AD422="Z"),ROUND(N($K422)-N($L422)-N($M422),2),"")</f>
        <v/>
      </c>
      <c r="O422" s="32">
        <f>IF(OR($AD422="D",$AD422="T",$AD422="B",$AD422="Z"),IF(N($E422)=0,"",ROUND($F422/$E422,2)),"")</f>
        <v/>
      </c>
      <c r="AC422">
        <f>IFERROR(MATCH(418,$AB$5:$AB$404,1),"")</f>
        <v/>
      </c>
      <c r="AD422">
        <f>IF(418=$AI$1+1,"Z",IF($AC422="","",IF(INDEX($V$5:$V$404,$AC422)="","",IF(418&gt;INDEX($AB$5:$AB$404,$AC422)+INDEX($Z$5:$Z$404,$AC422)+INDEX($AA$5:$AA$404,$AC422)+INDEX($AO$5:$AO$404,$AC422),"",IF(418=INDEX($AB$5:$AB$404,$AC422)+INDEX($Z$5:$Z$404,$AC422),"D",IF(AND(INDEX($Z$5:$Z$404,$AC422)=1,418=INDEX($AB$5:$AB$404,$AC422)),"H",IF(AND(INDEX($AO$5:$AO$404,$AC422)=1,418=INDEX($AB$5:$AB$404,$AC422)+INDEX($Z$5:$Z$404,$AC422)+INDEX($AA$5:$AA$404,$AC422)+INDEX($AO$5:$AO$404,$AC422)),"B","T")))))))</f>
        <v/>
      </c>
      <c r="AF422">
        <f>IF(OR($AD422="",$AD422="Z",$AD422="B"),"",INDEX($X$5:$X$404,$AC422))</f>
        <v/>
      </c>
      <c r="AJ422">
        <f>IF($AD422&lt;&gt;"T",0,ROUND(SUMIF(oil!$B$4:$B$63,$AF422,oil!$AE$4:$AE$63),2))</f>
        <v/>
      </c>
      <c r="AQ422">
        <f>IF(OR($AD422="",$AD422="Z"),"",INDEX($AN$5:$AN$404,$AC422))</f>
        <v/>
      </c>
      <c r="AZ422">
        <f>IF(AND($AD422="T",$AQ422=1),N($AZ421)+1,N($AZ421))</f>
        <v/>
      </c>
    </row>
    <row r="423" ht="21" customHeight="1" s="66">
      <c r="A423" s="69">
        <f>IF($AD423="","",IF($AD423="Z","รวมจ่ายทั้งสิ้น",IF($AD423="H",INDEX($X$5:$X$404,$AC423),IF($AD423="T","รวม",IF($AD423="B",IFERROR(INDEX(อัตราค่าขนส่ง!$S$5:$S$14,MATCH(INDEX($AM$5:$AM$404,$AC423),อัตราค่าขนส่ง!$R$5:$R$14,0)),"รวมกลุ่ม "&amp;INDEX($AM$5:$AM$404,$AC423)),INDEX($AY$5:$AY$404,$AC423))))))</f>
        <v/>
      </c>
      <c r="B423" s="31">
        <f>IF($AD423&lt;&gt;"D","",INDEX($AW$5:$AW$404,$AC423))</f>
        <v/>
      </c>
      <c r="C423" s="68">
        <f>IF($AD423&lt;&gt;"D","",INDEX($AX$5:$AX$404,$AC423))</f>
        <v/>
      </c>
      <c r="D423" s="70">
        <f>IF($AD423&lt;&gt;"D","",INDEX($BA$5:$BA$404,$AC423))</f>
        <v/>
      </c>
      <c r="E423" s="31">
        <f>IF($AD423="Z",SUM($AR$5:$AR$404),IF($AD423="D",INDEX($AR$5:$AR$404,$AC423),IF($AD423="T",SUMIF($X$5:$X$404,$AF423,$AR$5:$AR$404),IF($AD423="B",SUMIF($AN$5:$AN$404,$AQ423,$AR$5:$AR$404),""))))</f>
        <v/>
      </c>
      <c r="F423" s="32">
        <f>IF($AD423="Z",ROUND(SUM($AS$5:$AS$404),2),IF($AD423="D",INDEX($AS$5:$AS$404,$AC423),IF($AD423="T",ROUND(SUMIF($X$5:$X$404,$AF423,$AS$5:$AS$404),2),IF($AD423="B",ROUND(SUMIF($AN$5:$AN$404,$AQ423,$AS$5:$AS$404),2),""))))</f>
        <v/>
      </c>
      <c r="G423" s="32">
        <f>IF($AD423&lt;&gt;"D","",INDEX($AT$5:$AT$404,$AC423))</f>
        <v/>
      </c>
      <c r="H423" s="32">
        <f>IF($AD423&lt;&gt;"D","",INDEX($BC$5:$BC$404,$AC423))</f>
        <v/>
      </c>
      <c r="I423" s="32">
        <f>IF($AD423&lt;&gt;"D","",INDEX($BD$5:$BD$404,$AC423))</f>
        <v/>
      </c>
      <c r="J423" s="46">
        <f>IF($AD423&lt;&gt;"D","",IF(N($B423)=0,"",ROUND($I423/$B423,4)))</f>
        <v/>
      </c>
      <c r="K423" s="32">
        <f>IF($AD423="Z",ROUND(SUM($AU$5:$AU$404),2),IF($AD423="D",INDEX($AU$5:$AU$404,$AC423),IF($AD423="T",ROUND(SUMIF($X$5:$X$404,$AF423,$AU$5:$AU$404),2),IF($AD423="B",ROUND(SUMIF($AN$5:$AN$404,$AQ423,$AU$5:$AU$404),2),""))))</f>
        <v/>
      </c>
      <c r="L423" s="32">
        <f>IF($AD423="Z",ROUND(SUM($AV$5:$AV$404),2),IF($AD423="D",INDEX($AV$5:$AV$404,$AC423),IF($AD423="T",ROUND(SUMIF($X$5:$X$404,$AF423,$AV$5:$AV$404),2),IF($AD423="B",ROUND(SUMIF($AN$5:$AN$404,$AQ423,$AV$5:$AV$404),2),""))))</f>
        <v/>
      </c>
      <c r="M423" s="32">
        <f>IF($AD423="Z",ROUND(SUM($AJ$5:$AJ$704),2),IF($AD423="B",ROUND(SUMIF($AQ$5:$AQ$704,$AQ423,$AJ$5:$AJ$704),2),IF($AD423&lt;&gt;"T","",$AJ423)))</f>
        <v/>
      </c>
      <c r="N423" s="32">
        <f>IF(OR($AD423="D",$AD423="T",$AD423="B",$AD423="Z"),ROUND(N($K423)-N($L423)-N($M423),2),"")</f>
        <v/>
      </c>
      <c r="O423" s="32">
        <f>IF(OR($AD423="D",$AD423="T",$AD423="B",$AD423="Z"),IF(N($E423)=0,"",ROUND($F423/$E423,2)),"")</f>
        <v/>
      </c>
      <c r="AC423">
        <f>IFERROR(MATCH(419,$AB$5:$AB$404,1),"")</f>
        <v/>
      </c>
      <c r="AD423">
        <f>IF(419=$AI$1+1,"Z",IF($AC423="","",IF(INDEX($V$5:$V$404,$AC423)="","",IF(419&gt;INDEX($AB$5:$AB$404,$AC423)+INDEX($Z$5:$Z$404,$AC423)+INDEX($AA$5:$AA$404,$AC423)+INDEX($AO$5:$AO$404,$AC423),"",IF(419=INDEX($AB$5:$AB$404,$AC423)+INDEX($Z$5:$Z$404,$AC423),"D",IF(AND(INDEX($Z$5:$Z$404,$AC423)=1,419=INDEX($AB$5:$AB$404,$AC423)),"H",IF(AND(INDEX($AO$5:$AO$404,$AC423)=1,419=INDEX($AB$5:$AB$404,$AC423)+INDEX($Z$5:$Z$404,$AC423)+INDEX($AA$5:$AA$404,$AC423)+INDEX($AO$5:$AO$404,$AC423)),"B","T")))))))</f>
        <v/>
      </c>
      <c r="AF423">
        <f>IF(OR($AD423="",$AD423="Z",$AD423="B"),"",INDEX($X$5:$X$404,$AC423))</f>
        <v/>
      </c>
      <c r="AJ423">
        <f>IF($AD423&lt;&gt;"T",0,ROUND(SUMIF(oil!$B$4:$B$63,$AF423,oil!$AE$4:$AE$63),2))</f>
        <v/>
      </c>
      <c r="AQ423">
        <f>IF(OR($AD423="",$AD423="Z"),"",INDEX($AN$5:$AN$404,$AC423))</f>
        <v/>
      </c>
      <c r="AZ423">
        <f>IF(AND($AD423="T",$AQ423=1),N($AZ422)+1,N($AZ422))</f>
        <v/>
      </c>
    </row>
    <row r="424" ht="21" customHeight="1" s="66">
      <c r="A424" s="69">
        <f>IF($AD424="","",IF($AD424="Z","รวมจ่ายทั้งสิ้น",IF($AD424="H",INDEX($X$5:$X$404,$AC424),IF($AD424="T","รวม",IF($AD424="B",IFERROR(INDEX(อัตราค่าขนส่ง!$S$5:$S$14,MATCH(INDEX($AM$5:$AM$404,$AC424),อัตราค่าขนส่ง!$R$5:$R$14,0)),"รวมกลุ่ม "&amp;INDEX($AM$5:$AM$404,$AC424)),INDEX($AY$5:$AY$404,$AC424))))))</f>
        <v/>
      </c>
      <c r="B424" s="31">
        <f>IF($AD424&lt;&gt;"D","",INDEX($AW$5:$AW$404,$AC424))</f>
        <v/>
      </c>
      <c r="C424" s="68">
        <f>IF($AD424&lt;&gt;"D","",INDEX($AX$5:$AX$404,$AC424))</f>
        <v/>
      </c>
      <c r="D424" s="70">
        <f>IF($AD424&lt;&gt;"D","",INDEX($BA$5:$BA$404,$AC424))</f>
        <v/>
      </c>
      <c r="E424" s="31">
        <f>IF($AD424="Z",SUM($AR$5:$AR$404),IF($AD424="D",INDEX($AR$5:$AR$404,$AC424),IF($AD424="T",SUMIF($X$5:$X$404,$AF424,$AR$5:$AR$404),IF($AD424="B",SUMIF($AN$5:$AN$404,$AQ424,$AR$5:$AR$404),""))))</f>
        <v/>
      </c>
      <c r="F424" s="32">
        <f>IF($AD424="Z",ROUND(SUM($AS$5:$AS$404),2),IF($AD424="D",INDEX($AS$5:$AS$404,$AC424),IF($AD424="T",ROUND(SUMIF($X$5:$X$404,$AF424,$AS$5:$AS$404),2),IF($AD424="B",ROUND(SUMIF($AN$5:$AN$404,$AQ424,$AS$5:$AS$404),2),""))))</f>
        <v/>
      </c>
      <c r="G424" s="32">
        <f>IF($AD424&lt;&gt;"D","",INDEX($AT$5:$AT$404,$AC424))</f>
        <v/>
      </c>
      <c r="H424" s="32">
        <f>IF($AD424&lt;&gt;"D","",INDEX($BC$5:$BC$404,$AC424))</f>
        <v/>
      </c>
      <c r="I424" s="32">
        <f>IF($AD424&lt;&gt;"D","",INDEX($BD$5:$BD$404,$AC424))</f>
        <v/>
      </c>
      <c r="J424" s="46">
        <f>IF($AD424&lt;&gt;"D","",IF(N($B424)=0,"",ROUND($I424/$B424,4)))</f>
        <v/>
      </c>
      <c r="K424" s="32">
        <f>IF($AD424="Z",ROUND(SUM($AU$5:$AU$404),2),IF($AD424="D",INDEX($AU$5:$AU$404,$AC424),IF($AD424="T",ROUND(SUMIF($X$5:$X$404,$AF424,$AU$5:$AU$404),2),IF($AD424="B",ROUND(SUMIF($AN$5:$AN$404,$AQ424,$AU$5:$AU$404),2),""))))</f>
        <v/>
      </c>
      <c r="L424" s="32">
        <f>IF($AD424="Z",ROUND(SUM($AV$5:$AV$404),2),IF($AD424="D",INDEX($AV$5:$AV$404,$AC424),IF($AD424="T",ROUND(SUMIF($X$5:$X$404,$AF424,$AV$5:$AV$404),2),IF($AD424="B",ROUND(SUMIF($AN$5:$AN$404,$AQ424,$AV$5:$AV$404),2),""))))</f>
        <v/>
      </c>
      <c r="M424" s="32">
        <f>IF($AD424="Z",ROUND(SUM($AJ$5:$AJ$704),2),IF($AD424="B",ROUND(SUMIF($AQ$5:$AQ$704,$AQ424,$AJ$5:$AJ$704),2),IF($AD424&lt;&gt;"T","",$AJ424)))</f>
        <v/>
      </c>
      <c r="N424" s="32">
        <f>IF(OR($AD424="D",$AD424="T",$AD424="B",$AD424="Z"),ROUND(N($K424)-N($L424)-N($M424),2),"")</f>
        <v/>
      </c>
      <c r="O424" s="32">
        <f>IF(OR($AD424="D",$AD424="T",$AD424="B",$AD424="Z"),IF(N($E424)=0,"",ROUND($F424/$E424,2)),"")</f>
        <v/>
      </c>
      <c r="AC424">
        <f>IFERROR(MATCH(420,$AB$5:$AB$404,1),"")</f>
        <v/>
      </c>
      <c r="AD424">
        <f>IF(420=$AI$1+1,"Z",IF($AC424="","",IF(INDEX($V$5:$V$404,$AC424)="","",IF(420&gt;INDEX($AB$5:$AB$404,$AC424)+INDEX($Z$5:$Z$404,$AC424)+INDEX($AA$5:$AA$404,$AC424)+INDEX($AO$5:$AO$404,$AC424),"",IF(420=INDEX($AB$5:$AB$404,$AC424)+INDEX($Z$5:$Z$404,$AC424),"D",IF(AND(INDEX($Z$5:$Z$404,$AC424)=1,420=INDEX($AB$5:$AB$404,$AC424)),"H",IF(AND(INDEX($AO$5:$AO$404,$AC424)=1,420=INDEX($AB$5:$AB$404,$AC424)+INDEX($Z$5:$Z$404,$AC424)+INDEX($AA$5:$AA$404,$AC424)+INDEX($AO$5:$AO$404,$AC424)),"B","T")))))))</f>
        <v/>
      </c>
      <c r="AF424">
        <f>IF(OR($AD424="",$AD424="Z",$AD424="B"),"",INDEX($X$5:$X$404,$AC424))</f>
        <v/>
      </c>
      <c r="AJ424">
        <f>IF($AD424&lt;&gt;"T",0,ROUND(SUMIF(oil!$B$4:$B$63,$AF424,oil!$AE$4:$AE$63),2))</f>
        <v/>
      </c>
      <c r="AQ424">
        <f>IF(OR($AD424="",$AD424="Z"),"",INDEX($AN$5:$AN$404,$AC424))</f>
        <v/>
      </c>
      <c r="AZ424">
        <f>IF(AND($AD424="T",$AQ424=1),N($AZ423)+1,N($AZ423))</f>
        <v/>
      </c>
    </row>
    <row r="425" ht="21" customHeight="1" s="66">
      <c r="A425" s="69">
        <f>IF($AD425="","",IF($AD425="Z","รวมจ่ายทั้งสิ้น",IF($AD425="H",INDEX($X$5:$X$404,$AC425),IF($AD425="T","รวม",IF($AD425="B",IFERROR(INDEX(อัตราค่าขนส่ง!$S$5:$S$14,MATCH(INDEX($AM$5:$AM$404,$AC425),อัตราค่าขนส่ง!$R$5:$R$14,0)),"รวมกลุ่ม "&amp;INDEX($AM$5:$AM$404,$AC425)),INDEX($AY$5:$AY$404,$AC425))))))</f>
        <v/>
      </c>
      <c r="B425" s="31">
        <f>IF($AD425&lt;&gt;"D","",INDEX($AW$5:$AW$404,$AC425))</f>
        <v/>
      </c>
      <c r="C425" s="68">
        <f>IF($AD425&lt;&gt;"D","",INDEX($AX$5:$AX$404,$AC425))</f>
        <v/>
      </c>
      <c r="D425" s="70">
        <f>IF($AD425&lt;&gt;"D","",INDEX($BA$5:$BA$404,$AC425))</f>
        <v/>
      </c>
      <c r="E425" s="31">
        <f>IF($AD425="Z",SUM($AR$5:$AR$404),IF($AD425="D",INDEX($AR$5:$AR$404,$AC425),IF($AD425="T",SUMIF($X$5:$X$404,$AF425,$AR$5:$AR$404),IF($AD425="B",SUMIF($AN$5:$AN$404,$AQ425,$AR$5:$AR$404),""))))</f>
        <v/>
      </c>
      <c r="F425" s="32">
        <f>IF($AD425="Z",ROUND(SUM($AS$5:$AS$404),2),IF($AD425="D",INDEX($AS$5:$AS$404,$AC425),IF($AD425="T",ROUND(SUMIF($X$5:$X$404,$AF425,$AS$5:$AS$404),2),IF($AD425="B",ROUND(SUMIF($AN$5:$AN$404,$AQ425,$AS$5:$AS$404),2),""))))</f>
        <v/>
      </c>
      <c r="G425" s="32">
        <f>IF($AD425&lt;&gt;"D","",INDEX($AT$5:$AT$404,$AC425))</f>
        <v/>
      </c>
      <c r="H425" s="32">
        <f>IF($AD425&lt;&gt;"D","",INDEX($BC$5:$BC$404,$AC425))</f>
        <v/>
      </c>
      <c r="I425" s="32">
        <f>IF($AD425&lt;&gt;"D","",INDEX($BD$5:$BD$404,$AC425))</f>
        <v/>
      </c>
      <c r="J425" s="46">
        <f>IF($AD425&lt;&gt;"D","",IF(N($B425)=0,"",ROUND($I425/$B425,4)))</f>
        <v/>
      </c>
      <c r="K425" s="32">
        <f>IF($AD425="Z",ROUND(SUM($AU$5:$AU$404),2),IF($AD425="D",INDEX($AU$5:$AU$404,$AC425),IF($AD425="T",ROUND(SUMIF($X$5:$X$404,$AF425,$AU$5:$AU$404),2),IF($AD425="B",ROUND(SUMIF($AN$5:$AN$404,$AQ425,$AU$5:$AU$404),2),""))))</f>
        <v/>
      </c>
      <c r="L425" s="32">
        <f>IF($AD425="Z",ROUND(SUM($AV$5:$AV$404),2),IF($AD425="D",INDEX($AV$5:$AV$404,$AC425),IF($AD425="T",ROUND(SUMIF($X$5:$X$404,$AF425,$AV$5:$AV$404),2),IF($AD425="B",ROUND(SUMIF($AN$5:$AN$404,$AQ425,$AV$5:$AV$404),2),""))))</f>
        <v/>
      </c>
      <c r="M425" s="32">
        <f>IF($AD425="Z",ROUND(SUM($AJ$5:$AJ$704),2),IF($AD425="B",ROUND(SUMIF($AQ$5:$AQ$704,$AQ425,$AJ$5:$AJ$704),2),IF($AD425&lt;&gt;"T","",$AJ425)))</f>
        <v/>
      </c>
      <c r="N425" s="32">
        <f>IF(OR($AD425="D",$AD425="T",$AD425="B",$AD425="Z"),ROUND(N($K425)-N($L425)-N($M425),2),"")</f>
        <v/>
      </c>
      <c r="O425" s="32">
        <f>IF(OR($AD425="D",$AD425="T",$AD425="B",$AD425="Z"),IF(N($E425)=0,"",ROUND($F425/$E425,2)),"")</f>
        <v/>
      </c>
      <c r="AC425">
        <f>IFERROR(MATCH(421,$AB$5:$AB$404,1),"")</f>
        <v/>
      </c>
      <c r="AD425">
        <f>IF(421=$AI$1+1,"Z",IF($AC425="","",IF(INDEX($V$5:$V$404,$AC425)="","",IF(421&gt;INDEX($AB$5:$AB$404,$AC425)+INDEX($Z$5:$Z$404,$AC425)+INDEX($AA$5:$AA$404,$AC425)+INDEX($AO$5:$AO$404,$AC425),"",IF(421=INDEX($AB$5:$AB$404,$AC425)+INDEX($Z$5:$Z$404,$AC425),"D",IF(AND(INDEX($Z$5:$Z$404,$AC425)=1,421=INDEX($AB$5:$AB$404,$AC425)),"H",IF(AND(INDEX($AO$5:$AO$404,$AC425)=1,421=INDEX($AB$5:$AB$404,$AC425)+INDEX($Z$5:$Z$404,$AC425)+INDEX($AA$5:$AA$404,$AC425)+INDEX($AO$5:$AO$404,$AC425)),"B","T")))))))</f>
        <v/>
      </c>
      <c r="AF425">
        <f>IF(OR($AD425="",$AD425="Z",$AD425="B"),"",INDEX($X$5:$X$404,$AC425))</f>
        <v/>
      </c>
      <c r="AJ425">
        <f>IF($AD425&lt;&gt;"T",0,ROUND(SUMIF(oil!$B$4:$B$63,$AF425,oil!$AE$4:$AE$63),2))</f>
        <v/>
      </c>
      <c r="AQ425">
        <f>IF(OR($AD425="",$AD425="Z"),"",INDEX($AN$5:$AN$404,$AC425))</f>
        <v/>
      </c>
      <c r="AZ425">
        <f>IF(AND($AD425="T",$AQ425=1),N($AZ424)+1,N($AZ424))</f>
        <v/>
      </c>
    </row>
    <row r="426" ht="21" customHeight="1" s="66">
      <c r="A426" s="69">
        <f>IF($AD426="","",IF($AD426="Z","รวมจ่ายทั้งสิ้น",IF($AD426="H",INDEX($X$5:$X$404,$AC426),IF($AD426="T","รวม",IF($AD426="B",IFERROR(INDEX(อัตราค่าขนส่ง!$S$5:$S$14,MATCH(INDEX($AM$5:$AM$404,$AC426),อัตราค่าขนส่ง!$R$5:$R$14,0)),"รวมกลุ่ม "&amp;INDEX($AM$5:$AM$404,$AC426)),INDEX($AY$5:$AY$404,$AC426))))))</f>
        <v/>
      </c>
      <c r="B426" s="31">
        <f>IF($AD426&lt;&gt;"D","",INDEX($AW$5:$AW$404,$AC426))</f>
        <v/>
      </c>
      <c r="C426" s="68">
        <f>IF($AD426&lt;&gt;"D","",INDEX($AX$5:$AX$404,$AC426))</f>
        <v/>
      </c>
      <c r="D426" s="70">
        <f>IF($AD426&lt;&gt;"D","",INDEX($BA$5:$BA$404,$AC426))</f>
        <v/>
      </c>
      <c r="E426" s="31">
        <f>IF($AD426="Z",SUM($AR$5:$AR$404),IF($AD426="D",INDEX($AR$5:$AR$404,$AC426),IF($AD426="T",SUMIF($X$5:$X$404,$AF426,$AR$5:$AR$404),IF($AD426="B",SUMIF($AN$5:$AN$404,$AQ426,$AR$5:$AR$404),""))))</f>
        <v/>
      </c>
      <c r="F426" s="32">
        <f>IF($AD426="Z",ROUND(SUM($AS$5:$AS$404),2),IF($AD426="D",INDEX($AS$5:$AS$404,$AC426),IF($AD426="T",ROUND(SUMIF($X$5:$X$404,$AF426,$AS$5:$AS$404),2),IF($AD426="B",ROUND(SUMIF($AN$5:$AN$404,$AQ426,$AS$5:$AS$404),2),""))))</f>
        <v/>
      </c>
      <c r="G426" s="32">
        <f>IF($AD426&lt;&gt;"D","",INDEX($AT$5:$AT$404,$AC426))</f>
        <v/>
      </c>
      <c r="H426" s="32">
        <f>IF($AD426&lt;&gt;"D","",INDEX($BC$5:$BC$404,$AC426))</f>
        <v/>
      </c>
      <c r="I426" s="32">
        <f>IF($AD426&lt;&gt;"D","",INDEX($BD$5:$BD$404,$AC426))</f>
        <v/>
      </c>
      <c r="J426" s="46">
        <f>IF($AD426&lt;&gt;"D","",IF(N($B426)=0,"",ROUND($I426/$B426,4)))</f>
        <v/>
      </c>
      <c r="K426" s="32">
        <f>IF($AD426="Z",ROUND(SUM($AU$5:$AU$404),2),IF($AD426="D",INDEX($AU$5:$AU$404,$AC426),IF($AD426="T",ROUND(SUMIF($X$5:$X$404,$AF426,$AU$5:$AU$404),2),IF($AD426="B",ROUND(SUMIF($AN$5:$AN$404,$AQ426,$AU$5:$AU$404),2),""))))</f>
        <v/>
      </c>
      <c r="L426" s="32">
        <f>IF($AD426="Z",ROUND(SUM($AV$5:$AV$404),2),IF($AD426="D",INDEX($AV$5:$AV$404,$AC426),IF($AD426="T",ROUND(SUMIF($X$5:$X$404,$AF426,$AV$5:$AV$404),2),IF($AD426="B",ROUND(SUMIF($AN$5:$AN$404,$AQ426,$AV$5:$AV$404),2),""))))</f>
        <v/>
      </c>
      <c r="M426" s="32">
        <f>IF($AD426="Z",ROUND(SUM($AJ$5:$AJ$704),2),IF($AD426="B",ROUND(SUMIF($AQ$5:$AQ$704,$AQ426,$AJ$5:$AJ$704),2),IF($AD426&lt;&gt;"T","",$AJ426)))</f>
        <v/>
      </c>
      <c r="N426" s="32">
        <f>IF(OR($AD426="D",$AD426="T",$AD426="B",$AD426="Z"),ROUND(N($K426)-N($L426)-N($M426),2),"")</f>
        <v/>
      </c>
      <c r="O426" s="32">
        <f>IF(OR($AD426="D",$AD426="T",$AD426="B",$AD426="Z"),IF(N($E426)=0,"",ROUND($F426/$E426,2)),"")</f>
        <v/>
      </c>
      <c r="AC426">
        <f>IFERROR(MATCH(422,$AB$5:$AB$404,1),"")</f>
        <v/>
      </c>
      <c r="AD426">
        <f>IF(422=$AI$1+1,"Z",IF($AC426="","",IF(INDEX($V$5:$V$404,$AC426)="","",IF(422&gt;INDEX($AB$5:$AB$404,$AC426)+INDEX($Z$5:$Z$404,$AC426)+INDEX($AA$5:$AA$404,$AC426)+INDEX($AO$5:$AO$404,$AC426),"",IF(422=INDEX($AB$5:$AB$404,$AC426)+INDEX($Z$5:$Z$404,$AC426),"D",IF(AND(INDEX($Z$5:$Z$404,$AC426)=1,422=INDEX($AB$5:$AB$404,$AC426)),"H",IF(AND(INDEX($AO$5:$AO$404,$AC426)=1,422=INDEX($AB$5:$AB$404,$AC426)+INDEX($Z$5:$Z$404,$AC426)+INDEX($AA$5:$AA$404,$AC426)+INDEX($AO$5:$AO$404,$AC426)),"B","T")))))))</f>
        <v/>
      </c>
      <c r="AF426">
        <f>IF(OR($AD426="",$AD426="Z",$AD426="B"),"",INDEX($X$5:$X$404,$AC426))</f>
        <v/>
      </c>
      <c r="AJ426">
        <f>IF($AD426&lt;&gt;"T",0,ROUND(SUMIF(oil!$B$4:$B$63,$AF426,oil!$AE$4:$AE$63),2))</f>
        <v/>
      </c>
      <c r="AQ426">
        <f>IF(OR($AD426="",$AD426="Z"),"",INDEX($AN$5:$AN$404,$AC426))</f>
        <v/>
      </c>
      <c r="AZ426">
        <f>IF(AND($AD426="T",$AQ426=1),N($AZ425)+1,N($AZ425))</f>
        <v/>
      </c>
    </row>
    <row r="427" ht="21" customHeight="1" s="66">
      <c r="A427" s="69">
        <f>IF($AD427="","",IF($AD427="Z","รวมจ่ายทั้งสิ้น",IF($AD427="H",INDEX($X$5:$X$404,$AC427),IF($AD427="T","รวม",IF($AD427="B",IFERROR(INDEX(อัตราค่าขนส่ง!$S$5:$S$14,MATCH(INDEX($AM$5:$AM$404,$AC427),อัตราค่าขนส่ง!$R$5:$R$14,0)),"รวมกลุ่ม "&amp;INDEX($AM$5:$AM$404,$AC427)),INDEX($AY$5:$AY$404,$AC427))))))</f>
        <v/>
      </c>
      <c r="B427" s="31">
        <f>IF($AD427&lt;&gt;"D","",INDEX($AW$5:$AW$404,$AC427))</f>
        <v/>
      </c>
      <c r="C427" s="68">
        <f>IF($AD427&lt;&gt;"D","",INDEX($AX$5:$AX$404,$AC427))</f>
        <v/>
      </c>
      <c r="D427" s="70">
        <f>IF($AD427&lt;&gt;"D","",INDEX($BA$5:$BA$404,$AC427))</f>
        <v/>
      </c>
      <c r="E427" s="31">
        <f>IF($AD427="Z",SUM($AR$5:$AR$404),IF($AD427="D",INDEX($AR$5:$AR$404,$AC427),IF($AD427="T",SUMIF($X$5:$X$404,$AF427,$AR$5:$AR$404),IF($AD427="B",SUMIF($AN$5:$AN$404,$AQ427,$AR$5:$AR$404),""))))</f>
        <v/>
      </c>
      <c r="F427" s="32">
        <f>IF($AD427="Z",ROUND(SUM($AS$5:$AS$404),2),IF($AD427="D",INDEX($AS$5:$AS$404,$AC427),IF($AD427="T",ROUND(SUMIF($X$5:$X$404,$AF427,$AS$5:$AS$404),2),IF($AD427="B",ROUND(SUMIF($AN$5:$AN$404,$AQ427,$AS$5:$AS$404),2),""))))</f>
        <v/>
      </c>
      <c r="G427" s="32">
        <f>IF($AD427&lt;&gt;"D","",INDEX($AT$5:$AT$404,$AC427))</f>
        <v/>
      </c>
      <c r="H427" s="32">
        <f>IF($AD427&lt;&gt;"D","",INDEX($BC$5:$BC$404,$AC427))</f>
        <v/>
      </c>
      <c r="I427" s="32">
        <f>IF($AD427&lt;&gt;"D","",INDEX($BD$5:$BD$404,$AC427))</f>
        <v/>
      </c>
      <c r="J427" s="46">
        <f>IF($AD427&lt;&gt;"D","",IF(N($B427)=0,"",ROUND($I427/$B427,4)))</f>
        <v/>
      </c>
      <c r="K427" s="32">
        <f>IF($AD427="Z",ROUND(SUM($AU$5:$AU$404),2),IF($AD427="D",INDEX($AU$5:$AU$404,$AC427),IF($AD427="T",ROUND(SUMIF($X$5:$X$404,$AF427,$AU$5:$AU$404),2),IF($AD427="B",ROUND(SUMIF($AN$5:$AN$404,$AQ427,$AU$5:$AU$404),2),""))))</f>
        <v/>
      </c>
      <c r="L427" s="32">
        <f>IF($AD427="Z",ROUND(SUM($AV$5:$AV$404),2),IF($AD427="D",INDEX($AV$5:$AV$404,$AC427),IF($AD427="T",ROUND(SUMIF($X$5:$X$404,$AF427,$AV$5:$AV$404),2),IF($AD427="B",ROUND(SUMIF($AN$5:$AN$404,$AQ427,$AV$5:$AV$404),2),""))))</f>
        <v/>
      </c>
      <c r="M427" s="32">
        <f>IF($AD427="Z",ROUND(SUM($AJ$5:$AJ$704),2),IF($AD427="B",ROUND(SUMIF($AQ$5:$AQ$704,$AQ427,$AJ$5:$AJ$704),2),IF($AD427&lt;&gt;"T","",$AJ427)))</f>
        <v/>
      </c>
      <c r="N427" s="32">
        <f>IF(OR($AD427="D",$AD427="T",$AD427="B",$AD427="Z"),ROUND(N($K427)-N($L427)-N($M427),2),"")</f>
        <v/>
      </c>
      <c r="O427" s="32">
        <f>IF(OR($AD427="D",$AD427="T",$AD427="B",$AD427="Z"),IF(N($E427)=0,"",ROUND($F427/$E427,2)),"")</f>
        <v/>
      </c>
      <c r="AC427">
        <f>IFERROR(MATCH(423,$AB$5:$AB$404,1),"")</f>
        <v/>
      </c>
      <c r="AD427">
        <f>IF(423=$AI$1+1,"Z",IF($AC427="","",IF(INDEX($V$5:$V$404,$AC427)="","",IF(423&gt;INDEX($AB$5:$AB$404,$AC427)+INDEX($Z$5:$Z$404,$AC427)+INDEX($AA$5:$AA$404,$AC427)+INDEX($AO$5:$AO$404,$AC427),"",IF(423=INDEX($AB$5:$AB$404,$AC427)+INDEX($Z$5:$Z$404,$AC427),"D",IF(AND(INDEX($Z$5:$Z$404,$AC427)=1,423=INDEX($AB$5:$AB$404,$AC427)),"H",IF(AND(INDEX($AO$5:$AO$404,$AC427)=1,423=INDEX($AB$5:$AB$404,$AC427)+INDEX($Z$5:$Z$404,$AC427)+INDEX($AA$5:$AA$404,$AC427)+INDEX($AO$5:$AO$404,$AC427)),"B","T")))))))</f>
        <v/>
      </c>
      <c r="AF427">
        <f>IF(OR($AD427="",$AD427="Z",$AD427="B"),"",INDEX($X$5:$X$404,$AC427))</f>
        <v/>
      </c>
      <c r="AJ427">
        <f>IF($AD427&lt;&gt;"T",0,ROUND(SUMIF(oil!$B$4:$B$63,$AF427,oil!$AE$4:$AE$63),2))</f>
        <v/>
      </c>
      <c r="AQ427">
        <f>IF(OR($AD427="",$AD427="Z"),"",INDEX($AN$5:$AN$404,$AC427))</f>
        <v/>
      </c>
      <c r="AZ427">
        <f>IF(AND($AD427="T",$AQ427=1),N($AZ426)+1,N($AZ426))</f>
        <v/>
      </c>
    </row>
    <row r="428" ht="21" customHeight="1" s="66">
      <c r="A428" s="69">
        <f>IF($AD428="","",IF($AD428="Z","รวมจ่ายทั้งสิ้น",IF($AD428="H",INDEX($X$5:$X$404,$AC428),IF($AD428="T","รวม",IF($AD428="B",IFERROR(INDEX(อัตราค่าขนส่ง!$S$5:$S$14,MATCH(INDEX($AM$5:$AM$404,$AC428),อัตราค่าขนส่ง!$R$5:$R$14,0)),"รวมกลุ่ม "&amp;INDEX($AM$5:$AM$404,$AC428)),INDEX($AY$5:$AY$404,$AC428))))))</f>
        <v/>
      </c>
      <c r="B428" s="31">
        <f>IF($AD428&lt;&gt;"D","",INDEX($AW$5:$AW$404,$AC428))</f>
        <v/>
      </c>
      <c r="C428" s="68">
        <f>IF($AD428&lt;&gt;"D","",INDEX($AX$5:$AX$404,$AC428))</f>
        <v/>
      </c>
      <c r="D428" s="70">
        <f>IF($AD428&lt;&gt;"D","",INDEX($BA$5:$BA$404,$AC428))</f>
        <v/>
      </c>
      <c r="E428" s="31">
        <f>IF($AD428="Z",SUM($AR$5:$AR$404),IF($AD428="D",INDEX($AR$5:$AR$404,$AC428),IF($AD428="T",SUMIF($X$5:$X$404,$AF428,$AR$5:$AR$404),IF($AD428="B",SUMIF($AN$5:$AN$404,$AQ428,$AR$5:$AR$404),""))))</f>
        <v/>
      </c>
      <c r="F428" s="32">
        <f>IF($AD428="Z",ROUND(SUM($AS$5:$AS$404),2),IF($AD428="D",INDEX($AS$5:$AS$404,$AC428),IF($AD428="T",ROUND(SUMIF($X$5:$X$404,$AF428,$AS$5:$AS$404),2),IF($AD428="B",ROUND(SUMIF($AN$5:$AN$404,$AQ428,$AS$5:$AS$404),2),""))))</f>
        <v/>
      </c>
      <c r="G428" s="32">
        <f>IF($AD428&lt;&gt;"D","",INDEX($AT$5:$AT$404,$AC428))</f>
        <v/>
      </c>
      <c r="H428" s="32">
        <f>IF($AD428&lt;&gt;"D","",INDEX($BC$5:$BC$404,$AC428))</f>
        <v/>
      </c>
      <c r="I428" s="32">
        <f>IF($AD428&lt;&gt;"D","",INDEX($BD$5:$BD$404,$AC428))</f>
        <v/>
      </c>
      <c r="J428" s="46">
        <f>IF($AD428&lt;&gt;"D","",IF(N($B428)=0,"",ROUND($I428/$B428,4)))</f>
        <v/>
      </c>
      <c r="K428" s="32">
        <f>IF($AD428="Z",ROUND(SUM($AU$5:$AU$404),2),IF($AD428="D",INDEX($AU$5:$AU$404,$AC428),IF($AD428="T",ROUND(SUMIF($X$5:$X$404,$AF428,$AU$5:$AU$404),2),IF($AD428="B",ROUND(SUMIF($AN$5:$AN$404,$AQ428,$AU$5:$AU$404),2),""))))</f>
        <v/>
      </c>
      <c r="L428" s="32">
        <f>IF($AD428="Z",ROUND(SUM($AV$5:$AV$404),2),IF($AD428="D",INDEX($AV$5:$AV$404,$AC428),IF($AD428="T",ROUND(SUMIF($X$5:$X$404,$AF428,$AV$5:$AV$404),2),IF($AD428="B",ROUND(SUMIF($AN$5:$AN$404,$AQ428,$AV$5:$AV$404),2),""))))</f>
        <v/>
      </c>
      <c r="M428" s="32">
        <f>IF($AD428="Z",ROUND(SUM($AJ$5:$AJ$704),2),IF($AD428="B",ROUND(SUMIF($AQ$5:$AQ$704,$AQ428,$AJ$5:$AJ$704),2),IF($AD428&lt;&gt;"T","",$AJ428)))</f>
        <v/>
      </c>
      <c r="N428" s="32">
        <f>IF(OR($AD428="D",$AD428="T",$AD428="B",$AD428="Z"),ROUND(N($K428)-N($L428)-N($M428),2),"")</f>
        <v/>
      </c>
      <c r="O428" s="32">
        <f>IF(OR($AD428="D",$AD428="T",$AD428="B",$AD428="Z"),IF(N($E428)=0,"",ROUND($F428/$E428,2)),"")</f>
        <v/>
      </c>
      <c r="AC428">
        <f>IFERROR(MATCH(424,$AB$5:$AB$404,1),"")</f>
        <v/>
      </c>
      <c r="AD428">
        <f>IF(424=$AI$1+1,"Z",IF($AC428="","",IF(INDEX($V$5:$V$404,$AC428)="","",IF(424&gt;INDEX($AB$5:$AB$404,$AC428)+INDEX($Z$5:$Z$404,$AC428)+INDEX($AA$5:$AA$404,$AC428)+INDEX($AO$5:$AO$404,$AC428),"",IF(424=INDEX($AB$5:$AB$404,$AC428)+INDEX($Z$5:$Z$404,$AC428),"D",IF(AND(INDEX($Z$5:$Z$404,$AC428)=1,424=INDEX($AB$5:$AB$404,$AC428)),"H",IF(AND(INDEX($AO$5:$AO$404,$AC428)=1,424=INDEX($AB$5:$AB$404,$AC428)+INDEX($Z$5:$Z$404,$AC428)+INDEX($AA$5:$AA$404,$AC428)+INDEX($AO$5:$AO$404,$AC428)),"B","T")))))))</f>
        <v/>
      </c>
      <c r="AF428">
        <f>IF(OR($AD428="",$AD428="Z",$AD428="B"),"",INDEX($X$5:$X$404,$AC428))</f>
        <v/>
      </c>
      <c r="AJ428">
        <f>IF($AD428&lt;&gt;"T",0,ROUND(SUMIF(oil!$B$4:$B$63,$AF428,oil!$AE$4:$AE$63),2))</f>
        <v/>
      </c>
      <c r="AQ428">
        <f>IF(OR($AD428="",$AD428="Z"),"",INDEX($AN$5:$AN$404,$AC428))</f>
        <v/>
      </c>
      <c r="AZ428">
        <f>IF(AND($AD428="T",$AQ428=1),N($AZ427)+1,N($AZ427))</f>
        <v/>
      </c>
    </row>
    <row r="429" ht="21" customHeight="1" s="66">
      <c r="A429" s="69">
        <f>IF($AD429="","",IF($AD429="Z","รวมจ่ายทั้งสิ้น",IF($AD429="H",INDEX($X$5:$X$404,$AC429),IF($AD429="T","รวม",IF($AD429="B",IFERROR(INDEX(อัตราค่าขนส่ง!$S$5:$S$14,MATCH(INDEX($AM$5:$AM$404,$AC429),อัตราค่าขนส่ง!$R$5:$R$14,0)),"รวมกลุ่ม "&amp;INDEX($AM$5:$AM$404,$AC429)),INDEX($AY$5:$AY$404,$AC429))))))</f>
        <v/>
      </c>
      <c r="B429" s="31">
        <f>IF($AD429&lt;&gt;"D","",INDEX($AW$5:$AW$404,$AC429))</f>
        <v/>
      </c>
      <c r="C429" s="68">
        <f>IF($AD429&lt;&gt;"D","",INDEX($AX$5:$AX$404,$AC429))</f>
        <v/>
      </c>
      <c r="D429" s="70">
        <f>IF($AD429&lt;&gt;"D","",INDEX($BA$5:$BA$404,$AC429))</f>
        <v/>
      </c>
      <c r="E429" s="31">
        <f>IF($AD429="Z",SUM($AR$5:$AR$404),IF($AD429="D",INDEX($AR$5:$AR$404,$AC429),IF($AD429="T",SUMIF($X$5:$X$404,$AF429,$AR$5:$AR$404),IF($AD429="B",SUMIF($AN$5:$AN$404,$AQ429,$AR$5:$AR$404),""))))</f>
        <v/>
      </c>
      <c r="F429" s="32">
        <f>IF($AD429="Z",ROUND(SUM($AS$5:$AS$404),2),IF($AD429="D",INDEX($AS$5:$AS$404,$AC429),IF($AD429="T",ROUND(SUMIF($X$5:$X$404,$AF429,$AS$5:$AS$404),2),IF($AD429="B",ROUND(SUMIF($AN$5:$AN$404,$AQ429,$AS$5:$AS$404),2),""))))</f>
        <v/>
      </c>
      <c r="G429" s="32">
        <f>IF($AD429&lt;&gt;"D","",INDEX($AT$5:$AT$404,$AC429))</f>
        <v/>
      </c>
      <c r="H429" s="32">
        <f>IF($AD429&lt;&gt;"D","",INDEX($BC$5:$BC$404,$AC429))</f>
        <v/>
      </c>
      <c r="I429" s="32">
        <f>IF($AD429&lt;&gt;"D","",INDEX($BD$5:$BD$404,$AC429))</f>
        <v/>
      </c>
      <c r="J429" s="46">
        <f>IF($AD429&lt;&gt;"D","",IF(N($B429)=0,"",ROUND($I429/$B429,4)))</f>
        <v/>
      </c>
      <c r="K429" s="32">
        <f>IF($AD429="Z",ROUND(SUM($AU$5:$AU$404),2),IF($AD429="D",INDEX($AU$5:$AU$404,$AC429),IF($AD429="T",ROUND(SUMIF($X$5:$X$404,$AF429,$AU$5:$AU$404),2),IF($AD429="B",ROUND(SUMIF($AN$5:$AN$404,$AQ429,$AU$5:$AU$404),2),""))))</f>
        <v/>
      </c>
      <c r="L429" s="32">
        <f>IF($AD429="Z",ROUND(SUM($AV$5:$AV$404),2),IF($AD429="D",INDEX($AV$5:$AV$404,$AC429),IF($AD429="T",ROUND(SUMIF($X$5:$X$404,$AF429,$AV$5:$AV$404),2),IF($AD429="B",ROUND(SUMIF($AN$5:$AN$404,$AQ429,$AV$5:$AV$404),2),""))))</f>
        <v/>
      </c>
      <c r="M429" s="32">
        <f>IF($AD429="Z",ROUND(SUM($AJ$5:$AJ$704),2),IF($AD429="B",ROUND(SUMIF($AQ$5:$AQ$704,$AQ429,$AJ$5:$AJ$704),2),IF($AD429&lt;&gt;"T","",$AJ429)))</f>
        <v/>
      </c>
      <c r="N429" s="32">
        <f>IF(OR($AD429="D",$AD429="T",$AD429="B",$AD429="Z"),ROUND(N($K429)-N($L429)-N($M429),2),"")</f>
        <v/>
      </c>
      <c r="O429" s="32">
        <f>IF(OR($AD429="D",$AD429="T",$AD429="B",$AD429="Z"),IF(N($E429)=0,"",ROUND($F429/$E429,2)),"")</f>
        <v/>
      </c>
      <c r="AC429">
        <f>IFERROR(MATCH(425,$AB$5:$AB$404,1),"")</f>
        <v/>
      </c>
      <c r="AD429">
        <f>IF(425=$AI$1+1,"Z",IF($AC429="","",IF(INDEX($V$5:$V$404,$AC429)="","",IF(425&gt;INDEX($AB$5:$AB$404,$AC429)+INDEX($Z$5:$Z$404,$AC429)+INDEX($AA$5:$AA$404,$AC429)+INDEX($AO$5:$AO$404,$AC429),"",IF(425=INDEX($AB$5:$AB$404,$AC429)+INDEX($Z$5:$Z$404,$AC429),"D",IF(AND(INDEX($Z$5:$Z$404,$AC429)=1,425=INDEX($AB$5:$AB$404,$AC429)),"H",IF(AND(INDEX($AO$5:$AO$404,$AC429)=1,425=INDEX($AB$5:$AB$404,$AC429)+INDEX($Z$5:$Z$404,$AC429)+INDEX($AA$5:$AA$404,$AC429)+INDEX($AO$5:$AO$404,$AC429)),"B","T")))))))</f>
        <v/>
      </c>
      <c r="AF429">
        <f>IF(OR($AD429="",$AD429="Z",$AD429="B"),"",INDEX($X$5:$X$404,$AC429))</f>
        <v/>
      </c>
      <c r="AJ429">
        <f>IF($AD429&lt;&gt;"T",0,ROUND(SUMIF(oil!$B$4:$B$63,$AF429,oil!$AE$4:$AE$63),2))</f>
        <v/>
      </c>
      <c r="AQ429">
        <f>IF(OR($AD429="",$AD429="Z"),"",INDEX($AN$5:$AN$404,$AC429))</f>
        <v/>
      </c>
      <c r="AZ429">
        <f>IF(AND($AD429="T",$AQ429=1),N($AZ428)+1,N($AZ428))</f>
        <v/>
      </c>
    </row>
    <row r="430" ht="21" customHeight="1" s="66">
      <c r="A430" s="69">
        <f>IF($AD430="","",IF($AD430="Z","รวมจ่ายทั้งสิ้น",IF($AD430="H",INDEX($X$5:$X$404,$AC430),IF($AD430="T","รวม",IF($AD430="B",IFERROR(INDEX(อัตราค่าขนส่ง!$S$5:$S$14,MATCH(INDEX($AM$5:$AM$404,$AC430),อัตราค่าขนส่ง!$R$5:$R$14,0)),"รวมกลุ่ม "&amp;INDEX($AM$5:$AM$404,$AC430)),INDEX($AY$5:$AY$404,$AC430))))))</f>
        <v/>
      </c>
      <c r="B430" s="31">
        <f>IF($AD430&lt;&gt;"D","",INDEX($AW$5:$AW$404,$AC430))</f>
        <v/>
      </c>
      <c r="C430" s="68">
        <f>IF($AD430&lt;&gt;"D","",INDEX($AX$5:$AX$404,$AC430))</f>
        <v/>
      </c>
      <c r="D430" s="70">
        <f>IF($AD430&lt;&gt;"D","",INDEX($BA$5:$BA$404,$AC430))</f>
        <v/>
      </c>
      <c r="E430" s="31">
        <f>IF($AD430="Z",SUM($AR$5:$AR$404),IF($AD430="D",INDEX($AR$5:$AR$404,$AC430),IF($AD430="T",SUMIF($X$5:$X$404,$AF430,$AR$5:$AR$404),IF($AD430="B",SUMIF($AN$5:$AN$404,$AQ430,$AR$5:$AR$404),""))))</f>
        <v/>
      </c>
      <c r="F430" s="32">
        <f>IF($AD430="Z",ROUND(SUM($AS$5:$AS$404),2),IF($AD430="D",INDEX($AS$5:$AS$404,$AC430),IF($AD430="T",ROUND(SUMIF($X$5:$X$404,$AF430,$AS$5:$AS$404),2),IF($AD430="B",ROUND(SUMIF($AN$5:$AN$404,$AQ430,$AS$5:$AS$404),2),""))))</f>
        <v/>
      </c>
      <c r="G430" s="32">
        <f>IF($AD430&lt;&gt;"D","",INDEX($AT$5:$AT$404,$AC430))</f>
        <v/>
      </c>
      <c r="H430" s="32">
        <f>IF($AD430&lt;&gt;"D","",INDEX($BC$5:$BC$404,$AC430))</f>
        <v/>
      </c>
      <c r="I430" s="32">
        <f>IF($AD430&lt;&gt;"D","",INDEX($BD$5:$BD$404,$AC430))</f>
        <v/>
      </c>
      <c r="J430" s="46">
        <f>IF($AD430&lt;&gt;"D","",IF(N($B430)=0,"",ROUND($I430/$B430,4)))</f>
        <v/>
      </c>
      <c r="K430" s="32">
        <f>IF($AD430="Z",ROUND(SUM($AU$5:$AU$404),2),IF($AD430="D",INDEX($AU$5:$AU$404,$AC430),IF($AD430="T",ROUND(SUMIF($X$5:$X$404,$AF430,$AU$5:$AU$404),2),IF($AD430="B",ROUND(SUMIF($AN$5:$AN$404,$AQ430,$AU$5:$AU$404),2),""))))</f>
        <v/>
      </c>
      <c r="L430" s="32">
        <f>IF($AD430="Z",ROUND(SUM($AV$5:$AV$404),2),IF($AD430="D",INDEX($AV$5:$AV$404,$AC430),IF($AD430="T",ROUND(SUMIF($X$5:$X$404,$AF430,$AV$5:$AV$404),2),IF($AD430="B",ROUND(SUMIF($AN$5:$AN$404,$AQ430,$AV$5:$AV$404),2),""))))</f>
        <v/>
      </c>
      <c r="M430" s="32">
        <f>IF($AD430="Z",ROUND(SUM($AJ$5:$AJ$704),2),IF($AD430="B",ROUND(SUMIF($AQ$5:$AQ$704,$AQ430,$AJ$5:$AJ$704),2),IF($AD430&lt;&gt;"T","",$AJ430)))</f>
        <v/>
      </c>
      <c r="N430" s="32">
        <f>IF(OR($AD430="D",$AD430="T",$AD430="B",$AD430="Z"),ROUND(N($K430)-N($L430)-N($M430),2),"")</f>
        <v/>
      </c>
      <c r="O430" s="32">
        <f>IF(OR($AD430="D",$AD430="T",$AD430="B",$AD430="Z"),IF(N($E430)=0,"",ROUND($F430/$E430,2)),"")</f>
        <v/>
      </c>
      <c r="AC430">
        <f>IFERROR(MATCH(426,$AB$5:$AB$404,1),"")</f>
        <v/>
      </c>
      <c r="AD430">
        <f>IF(426=$AI$1+1,"Z",IF($AC430="","",IF(INDEX($V$5:$V$404,$AC430)="","",IF(426&gt;INDEX($AB$5:$AB$404,$AC430)+INDEX($Z$5:$Z$404,$AC430)+INDEX($AA$5:$AA$404,$AC430)+INDEX($AO$5:$AO$404,$AC430),"",IF(426=INDEX($AB$5:$AB$404,$AC430)+INDEX($Z$5:$Z$404,$AC430),"D",IF(AND(INDEX($Z$5:$Z$404,$AC430)=1,426=INDEX($AB$5:$AB$404,$AC430)),"H",IF(AND(INDEX($AO$5:$AO$404,$AC430)=1,426=INDEX($AB$5:$AB$404,$AC430)+INDEX($Z$5:$Z$404,$AC430)+INDEX($AA$5:$AA$404,$AC430)+INDEX($AO$5:$AO$404,$AC430)),"B","T")))))))</f>
        <v/>
      </c>
      <c r="AF430">
        <f>IF(OR($AD430="",$AD430="Z",$AD430="B"),"",INDEX($X$5:$X$404,$AC430))</f>
        <v/>
      </c>
      <c r="AJ430">
        <f>IF($AD430&lt;&gt;"T",0,ROUND(SUMIF(oil!$B$4:$B$63,$AF430,oil!$AE$4:$AE$63),2))</f>
        <v/>
      </c>
      <c r="AQ430">
        <f>IF(OR($AD430="",$AD430="Z"),"",INDEX($AN$5:$AN$404,$AC430))</f>
        <v/>
      </c>
      <c r="AZ430">
        <f>IF(AND($AD430="T",$AQ430=1),N($AZ429)+1,N($AZ429))</f>
        <v/>
      </c>
    </row>
    <row r="431" ht="21" customHeight="1" s="66">
      <c r="A431" s="69">
        <f>IF($AD431="","",IF($AD431="Z","รวมจ่ายทั้งสิ้น",IF($AD431="H",INDEX($X$5:$X$404,$AC431),IF($AD431="T","รวม",IF($AD431="B",IFERROR(INDEX(อัตราค่าขนส่ง!$S$5:$S$14,MATCH(INDEX($AM$5:$AM$404,$AC431),อัตราค่าขนส่ง!$R$5:$R$14,0)),"รวมกลุ่ม "&amp;INDEX($AM$5:$AM$404,$AC431)),INDEX($AY$5:$AY$404,$AC431))))))</f>
        <v/>
      </c>
      <c r="B431" s="31">
        <f>IF($AD431&lt;&gt;"D","",INDEX($AW$5:$AW$404,$AC431))</f>
        <v/>
      </c>
      <c r="C431" s="68">
        <f>IF($AD431&lt;&gt;"D","",INDEX($AX$5:$AX$404,$AC431))</f>
        <v/>
      </c>
      <c r="D431" s="70">
        <f>IF($AD431&lt;&gt;"D","",INDEX($BA$5:$BA$404,$AC431))</f>
        <v/>
      </c>
      <c r="E431" s="31">
        <f>IF($AD431="Z",SUM($AR$5:$AR$404),IF($AD431="D",INDEX($AR$5:$AR$404,$AC431),IF($AD431="T",SUMIF($X$5:$X$404,$AF431,$AR$5:$AR$404),IF($AD431="B",SUMIF($AN$5:$AN$404,$AQ431,$AR$5:$AR$404),""))))</f>
        <v/>
      </c>
      <c r="F431" s="32">
        <f>IF($AD431="Z",ROUND(SUM($AS$5:$AS$404),2),IF($AD431="D",INDEX($AS$5:$AS$404,$AC431),IF($AD431="T",ROUND(SUMIF($X$5:$X$404,$AF431,$AS$5:$AS$404),2),IF($AD431="B",ROUND(SUMIF($AN$5:$AN$404,$AQ431,$AS$5:$AS$404),2),""))))</f>
        <v/>
      </c>
      <c r="G431" s="32">
        <f>IF($AD431&lt;&gt;"D","",INDEX($AT$5:$AT$404,$AC431))</f>
        <v/>
      </c>
      <c r="H431" s="32">
        <f>IF($AD431&lt;&gt;"D","",INDEX($BC$5:$BC$404,$AC431))</f>
        <v/>
      </c>
      <c r="I431" s="32">
        <f>IF($AD431&lt;&gt;"D","",INDEX($BD$5:$BD$404,$AC431))</f>
        <v/>
      </c>
      <c r="J431" s="46">
        <f>IF($AD431&lt;&gt;"D","",IF(N($B431)=0,"",ROUND($I431/$B431,4)))</f>
        <v/>
      </c>
      <c r="K431" s="32">
        <f>IF($AD431="Z",ROUND(SUM($AU$5:$AU$404),2),IF($AD431="D",INDEX($AU$5:$AU$404,$AC431),IF($AD431="T",ROUND(SUMIF($X$5:$X$404,$AF431,$AU$5:$AU$404),2),IF($AD431="B",ROUND(SUMIF($AN$5:$AN$404,$AQ431,$AU$5:$AU$404),2),""))))</f>
        <v/>
      </c>
      <c r="L431" s="32">
        <f>IF($AD431="Z",ROUND(SUM($AV$5:$AV$404),2),IF($AD431="D",INDEX($AV$5:$AV$404,$AC431),IF($AD431="T",ROUND(SUMIF($X$5:$X$404,$AF431,$AV$5:$AV$404),2),IF($AD431="B",ROUND(SUMIF($AN$5:$AN$404,$AQ431,$AV$5:$AV$404),2),""))))</f>
        <v/>
      </c>
      <c r="M431" s="32">
        <f>IF($AD431="Z",ROUND(SUM($AJ$5:$AJ$704),2),IF($AD431="B",ROUND(SUMIF($AQ$5:$AQ$704,$AQ431,$AJ$5:$AJ$704),2),IF($AD431&lt;&gt;"T","",$AJ431)))</f>
        <v/>
      </c>
      <c r="N431" s="32">
        <f>IF(OR($AD431="D",$AD431="T",$AD431="B",$AD431="Z"),ROUND(N($K431)-N($L431)-N($M431),2),"")</f>
        <v/>
      </c>
      <c r="O431" s="32">
        <f>IF(OR($AD431="D",$AD431="T",$AD431="B",$AD431="Z"),IF(N($E431)=0,"",ROUND($F431/$E431,2)),"")</f>
        <v/>
      </c>
      <c r="AC431">
        <f>IFERROR(MATCH(427,$AB$5:$AB$404,1),"")</f>
        <v/>
      </c>
      <c r="AD431">
        <f>IF(427=$AI$1+1,"Z",IF($AC431="","",IF(INDEX($V$5:$V$404,$AC431)="","",IF(427&gt;INDEX($AB$5:$AB$404,$AC431)+INDEX($Z$5:$Z$404,$AC431)+INDEX($AA$5:$AA$404,$AC431)+INDEX($AO$5:$AO$404,$AC431),"",IF(427=INDEX($AB$5:$AB$404,$AC431)+INDEX($Z$5:$Z$404,$AC431),"D",IF(AND(INDEX($Z$5:$Z$404,$AC431)=1,427=INDEX($AB$5:$AB$404,$AC431)),"H",IF(AND(INDEX($AO$5:$AO$404,$AC431)=1,427=INDEX($AB$5:$AB$404,$AC431)+INDEX($Z$5:$Z$404,$AC431)+INDEX($AA$5:$AA$404,$AC431)+INDEX($AO$5:$AO$404,$AC431)),"B","T")))))))</f>
        <v/>
      </c>
      <c r="AF431">
        <f>IF(OR($AD431="",$AD431="Z",$AD431="B"),"",INDEX($X$5:$X$404,$AC431))</f>
        <v/>
      </c>
      <c r="AJ431">
        <f>IF($AD431&lt;&gt;"T",0,ROUND(SUMIF(oil!$B$4:$B$63,$AF431,oil!$AE$4:$AE$63),2))</f>
        <v/>
      </c>
      <c r="AQ431">
        <f>IF(OR($AD431="",$AD431="Z"),"",INDEX($AN$5:$AN$404,$AC431))</f>
        <v/>
      </c>
      <c r="AZ431">
        <f>IF(AND($AD431="T",$AQ431=1),N($AZ430)+1,N($AZ430))</f>
        <v/>
      </c>
    </row>
    <row r="432" ht="21" customHeight="1" s="66">
      <c r="A432" s="69">
        <f>IF($AD432="","",IF($AD432="Z","รวมจ่ายทั้งสิ้น",IF($AD432="H",INDEX($X$5:$X$404,$AC432),IF($AD432="T","รวม",IF($AD432="B",IFERROR(INDEX(อัตราค่าขนส่ง!$S$5:$S$14,MATCH(INDEX($AM$5:$AM$404,$AC432),อัตราค่าขนส่ง!$R$5:$R$14,0)),"รวมกลุ่ม "&amp;INDEX($AM$5:$AM$404,$AC432)),INDEX($AY$5:$AY$404,$AC432))))))</f>
        <v/>
      </c>
      <c r="B432" s="31">
        <f>IF($AD432&lt;&gt;"D","",INDEX($AW$5:$AW$404,$AC432))</f>
        <v/>
      </c>
      <c r="C432" s="68">
        <f>IF($AD432&lt;&gt;"D","",INDEX($AX$5:$AX$404,$AC432))</f>
        <v/>
      </c>
      <c r="D432" s="70">
        <f>IF($AD432&lt;&gt;"D","",INDEX($BA$5:$BA$404,$AC432))</f>
        <v/>
      </c>
      <c r="E432" s="31">
        <f>IF($AD432="Z",SUM($AR$5:$AR$404),IF($AD432="D",INDEX($AR$5:$AR$404,$AC432),IF($AD432="T",SUMIF($X$5:$X$404,$AF432,$AR$5:$AR$404),IF($AD432="B",SUMIF($AN$5:$AN$404,$AQ432,$AR$5:$AR$404),""))))</f>
        <v/>
      </c>
      <c r="F432" s="32">
        <f>IF($AD432="Z",ROUND(SUM($AS$5:$AS$404),2),IF($AD432="D",INDEX($AS$5:$AS$404,$AC432),IF($AD432="T",ROUND(SUMIF($X$5:$X$404,$AF432,$AS$5:$AS$404),2),IF($AD432="B",ROUND(SUMIF($AN$5:$AN$404,$AQ432,$AS$5:$AS$404),2),""))))</f>
        <v/>
      </c>
      <c r="G432" s="32">
        <f>IF($AD432&lt;&gt;"D","",INDEX($AT$5:$AT$404,$AC432))</f>
        <v/>
      </c>
      <c r="H432" s="32">
        <f>IF($AD432&lt;&gt;"D","",INDEX($BC$5:$BC$404,$AC432))</f>
        <v/>
      </c>
      <c r="I432" s="32">
        <f>IF($AD432&lt;&gt;"D","",INDEX($BD$5:$BD$404,$AC432))</f>
        <v/>
      </c>
      <c r="J432" s="46">
        <f>IF($AD432&lt;&gt;"D","",IF(N($B432)=0,"",ROUND($I432/$B432,4)))</f>
        <v/>
      </c>
      <c r="K432" s="32">
        <f>IF($AD432="Z",ROUND(SUM($AU$5:$AU$404),2),IF($AD432="D",INDEX($AU$5:$AU$404,$AC432),IF($AD432="T",ROUND(SUMIF($X$5:$X$404,$AF432,$AU$5:$AU$404),2),IF($AD432="B",ROUND(SUMIF($AN$5:$AN$404,$AQ432,$AU$5:$AU$404),2),""))))</f>
        <v/>
      </c>
      <c r="L432" s="32">
        <f>IF($AD432="Z",ROUND(SUM($AV$5:$AV$404),2),IF($AD432="D",INDEX($AV$5:$AV$404,$AC432),IF($AD432="T",ROUND(SUMIF($X$5:$X$404,$AF432,$AV$5:$AV$404),2),IF($AD432="B",ROUND(SUMIF($AN$5:$AN$404,$AQ432,$AV$5:$AV$404),2),""))))</f>
        <v/>
      </c>
      <c r="M432" s="32">
        <f>IF($AD432="Z",ROUND(SUM($AJ$5:$AJ$704),2),IF($AD432="B",ROUND(SUMIF($AQ$5:$AQ$704,$AQ432,$AJ$5:$AJ$704),2),IF($AD432&lt;&gt;"T","",$AJ432)))</f>
        <v/>
      </c>
      <c r="N432" s="32">
        <f>IF(OR($AD432="D",$AD432="T",$AD432="B",$AD432="Z"),ROUND(N($K432)-N($L432)-N($M432),2),"")</f>
        <v/>
      </c>
      <c r="O432" s="32">
        <f>IF(OR($AD432="D",$AD432="T",$AD432="B",$AD432="Z"),IF(N($E432)=0,"",ROUND($F432/$E432,2)),"")</f>
        <v/>
      </c>
      <c r="AC432">
        <f>IFERROR(MATCH(428,$AB$5:$AB$404,1),"")</f>
        <v/>
      </c>
      <c r="AD432">
        <f>IF(428=$AI$1+1,"Z",IF($AC432="","",IF(INDEX($V$5:$V$404,$AC432)="","",IF(428&gt;INDEX($AB$5:$AB$404,$AC432)+INDEX($Z$5:$Z$404,$AC432)+INDEX($AA$5:$AA$404,$AC432)+INDEX($AO$5:$AO$404,$AC432),"",IF(428=INDEX($AB$5:$AB$404,$AC432)+INDEX($Z$5:$Z$404,$AC432),"D",IF(AND(INDEX($Z$5:$Z$404,$AC432)=1,428=INDEX($AB$5:$AB$404,$AC432)),"H",IF(AND(INDEX($AO$5:$AO$404,$AC432)=1,428=INDEX($AB$5:$AB$404,$AC432)+INDEX($Z$5:$Z$404,$AC432)+INDEX($AA$5:$AA$404,$AC432)+INDEX($AO$5:$AO$404,$AC432)),"B","T")))))))</f>
        <v/>
      </c>
      <c r="AF432">
        <f>IF(OR($AD432="",$AD432="Z",$AD432="B"),"",INDEX($X$5:$X$404,$AC432))</f>
        <v/>
      </c>
      <c r="AJ432">
        <f>IF($AD432&lt;&gt;"T",0,ROUND(SUMIF(oil!$B$4:$B$63,$AF432,oil!$AE$4:$AE$63),2))</f>
        <v/>
      </c>
      <c r="AQ432">
        <f>IF(OR($AD432="",$AD432="Z"),"",INDEX($AN$5:$AN$404,$AC432))</f>
        <v/>
      </c>
      <c r="AZ432">
        <f>IF(AND($AD432="T",$AQ432=1),N($AZ431)+1,N($AZ431))</f>
        <v/>
      </c>
    </row>
    <row r="433" ht="21" customHeight="1" s="66">
      <c r="A433" s="69">
        <f>IF($AD433="","",IF($AD433="Z","รวมจ่ายทั้งสิ้น",IF($AD433="H",INDEX($X$5:$X$404,$AC433),IF($AD433="T","รวม",IF($AD433="B",IFERROR(INDEX(อัตราค่าขนส่ง!$S$5:$S$14,MATCH(INDEX($AM$5:$AM$404,$AC433),อัตราค่าขนส่ง!$R$5:$R$14,0)),"รวมกลุ่ม "&amp;INDEX($AM$5:$AM$404,$AC433)),INDEX($AY$5:$AY$404,$AC433))))))</f>
        <v/>
      </c>
      <c r="B433" s="31">
        <f>IF($AD433&lt;&gt;"D","",INDEX($AW$5:$AW$404,$AC433))</f>
        <v/>
      </c>
      <c r="C433" s="68">
        <f>IF($AD433&lt;&gt;"D","",INDEX($AX$5:$AX$404,$AC433))</f>
        <v/>
      </c>
      <c r="D433" s="70">
        <f>IF($AD433&lt;&gt;"D","",INDEX($BA$5:$BA$404,$AC433))</f>
        <v/>
      </c>
      <c r="E433" s="31">
        <f>IF($AD433="Z",SUM($AR$5:$AR$404),IF($AD433="D",INDEX($AR$5:$AR$404,$AC433),IF($AD433="T",SUMIF($X$5:$X$404,$AF433,$AR$5:$AR$404),IF($AD433="B",SUMIF($AN$5:$AN$404,$AQ433,$AR$5:$AR$404),""))))</f>
        <v/>
      </c>
      <c r="F433" s="32">
        <f>IF($AD433="Z",ROUND(SUM($AS$5:$AS$404),2),IF($AD433="D",INDEX($AS$5:$AS$404,$AC433),IF($AD433="T",ROUND(SUMIF($X$5:$X$404,$AF433,$AS$5:$AS$404),2),IF($AD433="B",ROUND(SUMIF($AN$5:$AN$404,$AQ433,$AS$5:$AS$404),2),""))))</f>
        <v/>
      </c>
      <c r="G433" s="32">
        <f>IF($AD433&lt;&gt;"D","",INDEX($AT$5:$AT$404,$AC433))</f>
        <v/>
      </c>
      <c r="H433" s="32">
        <f>IF($AD433&lt;&gt;"D","",INDEX($BC$5:$BC$404,$AC433))</f>
        <v/>
      </c>
      <c r="I433" s="32">
        <f>IF($AD433&lt;&gt;"D","",INDEX($BD$5:$BD$404,$AC433))</f>
        <v/>
      </c>
      <c r="J433" s="46">
        <f>IF($AD433&lt;&gt;"D","",IF(N($B433)=0,"",ROUND($I433/$B433,4)))</f>
        <v/>
      </c>
      <c r="K433" s="32">
        <f>IF($AD433="Z",ROUND(SUM($AU$5:$AU$404),2),IF($AD433="D",INDEX($AU$5:$AU$404,$AC433),IF($AD433="T",ROUND(SUMIF($X$5:$X$404,$AF433,$AU$5:$AU$404),2),IF($AD433="B",ROUND(SUMIF($AN$5:$AN$404,$AQ433,$AU$5:$AU$404),2),""))))</f>
        <v/>
      </c>
      <c r="L433" s="32">
        <f>IF($AD433="Z",ROUND(SUM($AV$5:$AV$404),2),IF($AD433="D",INDEX($AV$5:$AV$404,$AC433),IF($AD433="T",ROUND(SUMIF($X$5:$X$404,$AF433,$AV$5:$AV$404),2),IF($AD433="B",ROUND(SUMIF($AN$5:$AN$404,$AQ433,$AV$5:$AV$404),2),""))))</f>
        <v/>
      </c>
      <c r="M433" s="32">
        <f>IF($AD433="Z",ROUND(SUM($AJ$5:$AJ$704),2),IF($AD433="B",ROUND(SUMIF($AQ$5:$AQ$704,$AQ433,$AJ$5:$AJ$704),2),IF($AD433&lt;&gt;"T","",$AJ433)))</f>
        <v/>
      </c>
      <c r="N433" s="32">
        <f>IF(OR($AD433="D",$AD433="T",$AD433="B",$AD433="Z"),ROUND(N($K433)-N($L433)-N($M433),2),"")</f>
        <v/>
      </c>
      <c r="O433" s="32">
        <f>IF(OR($AD433="D",$AD433="T",$AD433="B",$AD433="Z"),IF(N($E433)=0,"",ROUND($F433/$E433,2)),"")</f>
        <v/>
      </c>
      <c r="AC433">
        <f>IFERROR(MATCH(429,$AB$5:$AB$404,1),"")</f>
        <v/>
      </c>
      <c r="AD433">
        <f>IF(429=$AI$1+1,"Z",IF($AC433="","",IF(INDEX($V$5:$V$404,$AC433)="","",IF(429&gt;INDEX($AB$5:$AB$404,$AC433)+INDEX($Z$5:$Z$404,$AC433)+INDEX($AA$5:$AA$404,$AC433)+INDEX($AO$5:$AO$404,$AC433),"",IF(429=INDEX($AB$5:$AB$404,$AC433)+INDEX($Z$5:$Z$404,$AC433),"D",IF(AND(INDEX($Z$5:$Z$404,$AC433)=1,429=INDEX($AB$5:$AB$404,$AC433)),"H",IF(AND(INDEX($AO$5:$AO$404,$AC433)=1,429=INDEX($AB$5:$AB$404,$AC433)+INDEX($Z$5:$Z$404,$AC433)+INDEX($AA$5:$AA$404,$AC433)+INDEX($AO$5:$AO$404,$AC433)),"B","T")))))))</f>
        <v/>
      </c>
      <c r="AF433">
        <f>IF(OR($AD433="",$AD433="Z",$AD433="B"),"",INDEX($X$5:$X$404,$AC433))</f>
        <v/>
      </c>
      <c r="AJ433">
        <f>IF($AD433&lt;&gt;"T",0,ROUND(SUMIF(oil!$B$4:$B$63,$AF433,oil!$AE$4:$AE$63),2))</f>
        <v/>
      </c>
      <c r="AQ433">
        <f>IF(OR($AD433="",$AD433="Z"),"",INDEX($AN$5:$AN$404,$AC433))</f>
        <v/>
      </c>
      <c r="AZ433">
        <f>IF(AND($AD433="T",$AQ433=1),N($AZ432)+1,N($AZ432))</f>
        <v/>
      </c>
    </row>
    <row r="434" ht="21" customHeight="1" s="66">
      <c r="A434" s="69">
        <f>IF($AD434="","",IF($AD434="Z","รวมจ่ายทั้งสิ้น",IF($AD434="H",INDEX($X$5:$X$404,$AC434),IF($AD434="T","รวม",IF($AD434="B",IFERROR(INDEX(อัตราค่าขนส่ง!$S$5:$S$14,MATCH(INDEX($AM$5:$AM$404,$AC434),อัตราค่าขนส่ง!$R$5:$R$14,0)),"รวมกลุ่ม "&amp;INDEX($AM$5:$AM$404,$AC434)),INDEX($AY$5:$AY$404,$AC434))))))</f>
        <v/>
      </c>
      <c r="B434" s="31">
        <f>IF($AD434&lt;&gt;"D","",INDEX($AW$5:$AW$404,$AC434))</f>
        <v/>
      </c>
      <c r="C434" s="68">
        <f>IF($AD434&lt;&gt;"D","",INDEX($AX$5:$AX$404,$AC434))</f>
        <v/>
      </c>
      <c r="D434" s="70">
        <f>IF($AD434&lt;&gt;"D","",INDEX($BA$5:$BA$404,$AC434))</f>
        <v/>
      </c>
      <c r="E434" s="31">
        <f>IF($AD434="Z",SUM($AR$5:$AR$404),IF($AD434="D",INDEX($AR$5:$AR$404,$AC434),IF($AD434="T",SUMIF($X$5:$X$404,$AF434,$AR$5:$AR$404),IF($AD434="B",SUMIF($AN$5:$AN$404,$AQ434,$AR$5:$AR$404),""))))</f>
        <v/>
      </c>
      <c r="F434" s="32">
        <f>IF($AD434="Z",ROUND(SUM($AS$5:$AS$404),2),IF($AD434="D",INDEX($AS$5:$AS$404,$AC434),IF($AD434="T",ROUND(SUMIF($X$5:$X$404,$AF434,$AS$5:$AS$404),2),IF($AD434="B",ROUND(SUMIF($AN$5:$AN$404,$AQ434,$AS$5:$AS$404),2),""))))</f>
        <v/>
      </c>
      <c r="G434" s="32">
        <f>IF($AD434&lt;&gt;"D","",INDEX($AT$5:$AT$404,$AC434))</f>
        <v/>
      </c>
      <c r="H434" s="32">
        <f>IF($AD434&lt;&gt;"D","",INDEX($BC$5:$BC$404,$AC434))</f>
        <v/>
      </c>
      <c r="I434" s="32">
        <f>IF($AD434&lt;&gt;"D","",INDEX($BD$5:$BD$404,$AC434))</f>
        <v/>
      </c>
      <c r="J434" s="46">
        <f>IF($AD434&lt;&gt;"D","",IF(N($B434)=0,"",ROUND($I434/$B434,4)))</f>
        <v/>
      </c>
      <c r="K434" s="32">
        <f>IF($AD434="Z",ROUND(SUM($AU$5:$AU$404),2),IF($AD434="D",INDEX($AU$5:$AU$404,$AC434),IF($AD434="T",ROUND(SUMIF($X$5:$X$404,$AF434,$AU$5:$AU$404),2),IF($AD434="B",ROUND(SUMIF($AN$5:$AN$404,$AQ434,$AU$5:$AU$404),2),""))))</f>
        <v/>
      </c>
      <c r="L434" s="32">
        <f>IF($AD434="Z",ROUND(SUM($AV$5:$AV$404),2),IF($AD434="D",INDEX($AV$5:$AV$404,$AC434),IF($AD434="T",ROUND(SUMIF($X$5:$X$404,$AF434,$AV$5:$AV$404),2),IF($AD434="B",ROUND(SUMIF($AN$5:$AN$404,$AQ434,$AV$5:$AV$404),2),""))))</f>
        <v/>
      </c>
      <c r="M434" s="32">
        <f>IF($AD434="Z",ROUND(SUM($AJ$5:$AJ$704),2),IF($AD434="B",ROUND(SUMIF($AQ$5:$AQ$704,$AQ434,$AJ$5:$AJ$704),2),IF($AD434&lt;&gt;"T","",$AJ434)))</f>
        <v/>
      </c>
      <c r="N434" s="32">
        <f>IF(OR($AD434="D",$AD434="T",$AD434="B",$AD434="Z"),ROUND(N($K434)-N($L434)-N($M434),2),"")</f>
        <v/>
      </c>
      <c r="O434" s="32">
        <f>IF(OR($AD434="D",$AD434="T",$AD434="B",$AD434="Z"),IF(N($E434)=0,"",ROUND($F434/$E434,2)),"")</f>
        <v/>
      </c>
      <c r="AC434">
        <f>IFERROR(MATCH(430,$AB$5:$AB$404,1),"")</f>
        <v/>
      </c>
      <c r="AD434">
        <f>IF(430=$AI$1+1,"Z",IF($AC434="","",IF(INDEX($V$5:$V$404,$AC434)="","",IF(430&gt;INDEX($AB$5:$AB$404,$AC434)+INDEX($Z$5:$Z$404,$AC434)+INDEX($AA$5:$AA$404,$AC434)+INDEX($AO$5:$AO$404,$AC434),"",IF(430=INDEX($AB$5:$AB$404,$AC434)+INDEX($Z$5:$Z$404,$AC434),"D",IF(AND(INDEX($Z$5:$Z$404,$AC434)=1,430=INDEX($AB$5:$AB$404,$AC434)),"H",IF(AND(INDEX($AO$5:$AO$404,$AC434)=1,430=INDEX($AB$5:$AB$404,$AC434)+INDEX($Z$5:$Z$404,$AC434)+INDEX($AA$5:$AA$404,$AC434)+INDEX($AO$5:$AO$404,$AC434)),"B","T")))))))</f>
        <v/>
      </c>
      <c r="AF434">
        <f>IF(OR($AD434="",$AD434="Z",$AD434="B"),"",INDEX($X$5:$X$404,$AC434))</f>
        <v/>
      </c>
      <c r="AJ434">
        <f>IF($AD434&lt;&gt;"T",0,ROUND(SUMIF(oil!$B$4:$B$63,$AF434,oil!$AE$4:$AE$63),2))</f>
        <v/>
      </c>
      <c r="AQ434">
        <f>IF(OR($AD434="",$AD434="Z"),"",INDEX($AN$5:$AN$404,$AC434))</f>
        <v/>
      </c>
      <c r="AZ434">
        <f>IF(AND($AD434="T",$AQ434=1),N($AZ433)+1,N($AZ433))</f>
        <v/>
      </c>
    </row>
    <row r="435" ht="21" customHeight="1" s="66">
      <c r="A435" s="69">
        <f>IF($AD435="","",IF($AD435="Z","รวมจ่ายทั้งสิ้น",IF($AD435="H",INDEX($X$5:$X$404,$AC435),IF($AD435="T","รวม",IF($AD435="B",IFERROR(INDEX(อัตราค่าขนส่ง!$S$5:$S$14,MATCH(INDEX($AM$5:$AM$404,$AC435),อัตราค่าขนส่ง!$R$5:$R$14,0)),"รวมกลุ่ม "&amp;INDEX($AM$5:$AM$404,$AC435)),INDEX($AY$5:$AY$404,$AC435))))))</f>
        <v/>
      </c>
      <c r="B435" s="31">
        <f>IF($AD435&lt;&gt;"D","",INDEX($AW$5:$AW$404,$AC435))</f>
        <v/>
      </c>
      <c r="C435" s="68">
        <f>IF($AD435&lt;&gt;"D","",INDEX($AX$5:$AX$404,$AC435))</f>
        <v/>
      </c>
      <c r="D435" s="70">
        <f>IF($AD435&lt;&gt;"D","",INDEX($BA$5:$BA$404,$AC435))</f>
        <v/>
      </c>
      <c r="E435" s="31">
        <f>IF($AD435="Z",SUM($AR$5:$AR$404),IF($AD435="D",INDEX($AR$5:$AR$404,$AC435),IF($AD435="T",SUMIF($X$5:$X$404,$AF435,$AR$5:$AR$404),IF($AD435="B",SUMIF($AN$5:$AN$404,$AQ435,$AR$5:$AR$404),""))))</f>
        <v/>
      </c>
      <c r="F435" s="32">
        <f>IF($AD435="Z",ROUND(SUM($AS$5:$AS$404),2),IF($AD435="D",INDEX($AS$5:$AS$404,$AC435),IF($AD435="T",ROUND(SUMIF($X$5:$X$404,$AF435,$AS$5:$AS$404),2),IF($AD435="B",ROUND(SUMIF($AN$5:$AN$404,$AQ435,$AS$5:$AS$404),2),""))))</f>
        <v/>
      </c>
      <c r="G435" s="32">
        <f>IF($AD435&lt;&gt;"D","",INDEX($AT$5:$AT$404,$AC435))</f>
        <v/>
      </c>
      <c r="H435" s="32">
        <f>IF($AD435&lt;&gt;"D","",INDEX($BC$5:$BC$404,$AC435))</f>
        <v/>
      </c>
      <c r="I435" s="32">
        <f>IF($AD435&lt;&gt;"D","",INDEX($BD$5:$BD$404,$AC435))</f>
        <v/>
      </c>
      <c r="J435" s="46">
        <f>IF($AD435&lt;&gt;"D","",IF(N($B435)=0,"",ROUND($I435/$B435,4)))</f>
        <v/>
      </c>
      <c r="K435" s="32">
        <f>IF($AD435="Z",ROUND(SUM($AU$5:$AU$404),2),IF($AD435="D",INDEX($AU$5:$AU$404,$AC435),IF($AD435="T",ROUND(SUMIF($X$5:$X$404,$AF435,$AU$5:$AU$404),2),IF($AD435="B",ROUND(SUMIF($AN$5:$AN$404,$AQ435,$AU$5:$AU$404),2),""))))</f>
        <v/>
      </c>
      <c r="L435" s="32">
        <f>IF($AD435="Z",ROUND(SUM($AV$5:$AV$404),2),IF($AD435="D",INDEX($AV$5:$AV$404,$AC435),IF($AD435="T",ROUND(SUMIF($X$5:$X$404,$AF435,$AV$5:$AV$404),2),IF($AD435="B",ROUND(SUMIF($AN$5:$AN$404,$AQ435,$AV$5:$AV$404),2),""))))</f>
        <v/>
      </c>
      <c r="M435" s="32">
        <f>IF($AD435="Z",ROUND(SUM($AJ$5:$AJ$704),2),IF($AD435="B",ROUND(SUMIF($AQ$5:$AQ$704,$AQ435,$AJ$5:$AJ$704),2),IF($AD435&lt;&gt;"T","",$AJ435)))</f>
        <v/>
      </c>
      <c r="N435" s="32">
        <f>IF(OR($AD435="D",$AD435="T",$AD435="B",$AD435="Z"),ROUND(N($K435)-N($L435)-N($M435),2),"")</f>
        <v/>
      </c>
      <c r="O435" s="32">
        <f>IF(OR($AD435="D",$AD435="T",$AD435="B",$AD435="Z"),IF(N($E435)=0,"",ROUND($F435/$E435,2)),"")</f>
        <v/>
      </c>
      <c r="AC435">
        <f>IFERROR(MATCH(431,$AB$5:$AB$404,1),"")</f>
        <v/>
      </c>
      <c r="AD435">
        <f>IF(431=$AI$1+1,"Z",IF($AC435="","",IF(INDEX($V$5:$V$404,$AC435)="","",IF(431&gt;INDEX($AB$5:$AB$404,$AC435)+INDEX($Z$5:$Z$404,$AC435)+INDEX($AA$5:$AA$404,$AC435)+INDEX($AO$5:$AO$404,$AC435),"",IF(431=INDEX($AB$5:$AB$404,$AC435)+INDEX($Z$5:$Z$404,$AC435),"D",IF(AND(INDEX($Z$5:$Z$404,$AC435)=1,431=INDEX($AB$5:$AB$404,$AC435)),"H",IF(AND(INDEX($AO$5:$AO$404,$AC435)=1,431=INDEX($AB$5:$AB$404,$AC435)+INDEX($Z$5:$Z$404,$AC435)+INDEX($AA$5:$AA$404,$AC435)+INDEX($AO$5:$AO$404,$AC435)),"B","T")))))))</f>
        <v/>
      </c>
      <c r="AF435">
        <f>IF(OR($AD435="",$AD435="Z",$AD435="B"),"",INDEX($X$5:$X$404,$AC435))</f>
        <v/>
      </c>
      <c r="AJ435">
        <f>IF($AD435&lt;&gt;"T",0,ROUND(SUMIF(oil!$B$4:$B$63,$AF435,oil!$AE$4:$AE$63),2))</f>
        <v/>
      </c>
      <c r="AQ435">
        <f>IF(OR($AD435="",$AD435="Z"),"",INDEX($AN$5:$AN$404,$AC435))</f>
        <v/>
      </c>
      <c r="AZ435">
        <f>IF(AND($AD435="T",$AQ435=1),N($AZ434)+1,N($AZ434))</f>
        <v/>
      </c>
    </row>
    <row r="436" ht="21" customHeight="1" s="66">
      <c r="A436" s="69">
        <f>IF($AD436="","",IF($AD436="Z","รวมจ่ายทั้งสิ้น",IF($AD436="H",INDEX($X$5:$X$404,$AC436),IF($AD436="T","รวม",IF($AD436="B",IFERROR(INDEX(อัตราค่าขนส่ง!$S$5:$S$14,MATCH(INDEX($AM$5:$AM$404,$AC436),อัตราค่าขนส่ง!$R$5:$R$14,0)),"รวมกลุ่ม "&amp;INDEX($AM$5:$AM$404,$AC436)),INDEX($AY$5:$AY$404,$AC436))))))</f>
        <v/>
      </c>
      <c r="B436" s="31">
        <f>IF($AD436&lt;&gt;"D","",INDEX($AW$5:$AW$404,$AC436))</f>
        <v/>
      </c>
      <c r="C436" s="68">
        <f>IF($AD436&lt;&gt;"D","",INDEX($AX$5:$AX$404,$AC436))</f>
        <v/>
      </c>
      <c r="D436" s="70">
        <f>IF($AD436&lt;&gt;"D","",INDEX($BA$5:$BA$404,$AC436))</f>
        <v/>
      </c>
      <c r="E436" s="31">
        <f>IF($AD436="Z",SUM($AR$5:$AR$404),IF($AD436="D",INDEX($AR$5:$AR$404,$AC436),IF($AD436="T",SUMIF($X$5:$X$404,$AF436,$AR$5:$AR$404),IF($AD436="B",SUMIF($AN$5:$AN$404,$AQ436,$AR$5:$AR$404),""))))</f>
        <v/>
      </c>
      <c r="F436" s="32">
        <f>IF($AD436="Z",ROUND(SUM($AS$5:$AS$404),2),IF($AD436="D",INDEX($AS$5:$AS$404,$AC436),IF($AD436="T",ROUND(SUMIF($X$5:$X$404,$AF436,$AS$5:$AS$404),2),IF($AD436="B",ROUND(SUMIF($AN$5:$AN$404,$AQ436,$AS$5:$AS$404),2),""))))</f>
        <v/>
      </c>
      <c r="G436" s="32">
        <f>IF($AD436&lt;&gt;"D","",INDEX($AT$5:$AT$404,$AC436))</f>
        <v/>
      </c>
      <c r="H436" s="32">
        <f>IF($AD436&lt;&gt;"D","",INDEX($BC$5:$BC$404,$AC436))</f>
        <v/>
      </c>
      <c r="I436" s="32">
        <f>IF($AD436&lt;&gt;"D","",INDEX($BD$5:$BD$404,$AC436))</f>
        <v/>
      </c>
      <c r="J436" s="46">
        <f>IF($AD436&lt;&gt;"D","",IF(N($B436)=0,"",ROUND($I436/$B436,4)))</f>
        <v/>
      </c>
      <c r="K436" s="32">
        <f>IF($AD436="Z",ROUND(SUM($AU$5:$AU$404),2),IF($AD436="D",INDEX($AU$5:$AU$404,$AC436),IF($AD436="T",ROUND(SUMIF($X$5:$X$404,$AF436,$AU$5:$AU$404),2),IF($AD436="B",ROUND(SUMIF($AN$5:$AN$404,$AQ436,$AU$5:$AU$404),2),""))))</f>
        <v/>
      </c>
      <c r="L436" s="32">
        <f>IF($AD436="Z",ROUND(SUM($AV$5:$AV$404),2),IF($AD436="D",INDEX($AV$5:$AV$404,$AC436),IF($AD436="T",ROUND(SUMIF($X$5:$X$404,$AF436,$AV$5:$AV$404),2),IF($AD436="B",ROUND(SUMIF($AN$5:$AN$404,$AQ436,$AV$5:$AV$404),2),""))))</f>
        <v/>
      </c>
      <c r="M436" s="32">
        <f>IF($AD436="Z",ROUND(SUM($AJ$5:$AJ$704),2),IF($AD436="B",ROUND(SUMIF($AQ$5:$AQ$704,$AQ436,$AJ$5:$AJ$704),2),IF($AD436&lt;&gt;"T","",$AJ436)))</f>
        <v/>
      </c>
      <c r="N436" s="32">
        <f>IF(OR($AD436="D",$AD436="T",$AD436="B",$AD436="Z"),ROUND(N($K436)-N($L436)-N($M436),2),"")</f>
        <v/>
      </c>
      <c r="O436" s="32">
        <f>IF(OR($AD436="D",$AD436="T",$AD436="B",$AD436="Z"),IF(N($E436)=0,"",ROUND($F436/$E436,2)),"")</f>
        <v/>
      </c>
      <c r="AC436">
        <f>IFERROR(MATCH(432,$AB$5:$AB$404,1),"")</f>
        <v/>
      </c>
      <c r="AD436">
        <f>IF(432=$AI$1+1,"Z",IF($AC436="","",IF(INDEX($V$5:$V$404,$AC436)="","",IF(432&gt;INDEX($AB$5:$AB$404,$AC436)+INDEX($Z$5:$Z$404,$AC436)+INDEX($AA$5:$AA$404,$AC436)+INDEX($AO$5:$AO$404,$AC436),"",IF(432=INDEX($AB$5:$AB$404,$AC436)+INDEX($Z$5:$Z$404,$AC436),"D",IF(AND(INDEX($Z$5:$Z$404,$AC436)=1,432=INDEX($AB$5:$AB$404,$AC436)),"H",IF(AND(INDEX($AO$5:$AO$404,$AC436)=1,432=INDEX($AB$5:$AB$404,$AC436)+INDEX($Z$5:$Z$404,$AC436)+INDEX($AA$5:$AA$404,$AC436)+INDEX($AO$5:$AO$404,$AC436)),"B","T")))))))</f>
        <v/>
      </c>
      <c r="AF436">
        <f>IF(OR($AD436="",$AD436="Z",$AD436="B"),"",INDEX($X$5:$X$404,$AC436))</f>
        <v/>
      </c>
      <c r="AJ436">
        <f>IF($AD436&lt;&gt;"T",0,ROUND(SUMIF(oil!$B$4:$B$63,$AF436,oil!$AE$4:$AE$63),2))</f>
        <v/>
      </c>
      <c r="AQ436">
        <f>IF(OR($AD436="",$AD436="Z"),"",INDEX($AN$5:$AN$404,$AC436))</f>
        <v/>
      </c>
      <c r="AZ436">
        <f>IF(AND($AD436="T",$AQ436=1),N($AZ435)+1,N($AZ435))</f>
        <v/>
      </c>
    </row>
    <row r="437" ht="21" customHeight="1" s="66">
      <c r="A437" s="69">
        <f>IF($AD437="","",IF($AD437="Z","รวมจ่ายทั้งสิ้น",IF($AD437="H",INDEX($X$5:$X$404,$AC437),IF($AD437="T","รวม",IF($AD437="B",IFERROR(INDEX(อัตราค่าขนส่ง!$S$5:$S$14,MATCH(INDEX($AM$5:$AM$404,$AC437),อัตราค่าขนส่ง!$R$5:$R$14,0)),"รวมกลุ่ม "&amp;INDEX($AM$5:$AM$404,$AC437)),INDEX($AY$5:$AY$404,$AC437))))))</f>
        <v/>
      </c>
      <c r="B437" s="31">
        <f>IF($AD437&lt;&gt;"D","",INDEX($AW$5:$AW$404,$AC437))</f>
        <v/>
      </c>
      <c r="C437" s="68">
        <f>IF($AD437&lt;&gt;"D","",INDEX($AX$5:$AX$404,$AC437))</f>
        <v/>
      </c>
      <c r="D437" s="70">
        <f>IF($AD437&lt;&gt;"D","",INDEX($BA$5:$BA$404,$AC437))</f>
        <v/>
      </c>
      <c r="E437" s="31">
        <f>IF($AD437="Z",SUM($AR$5:$AR$404),IF($AD437="D",INDEX($AR$5:$AR$404,$AC437),IF($AD437="T",SUMIF($X$5:$X$404,$AF437,$AR$5:$AR$404),IF($AD437="B",SUMIF($AN$5:$AN$404,$AQ437,$AR$5:$AR$404),""))))</f>
        <v/>
      </c>
      <c r="F437" s="32">
        <f>IF($AD437="Z",ROUND(SUM($AS$5:$AS$404),2),IF($AD437="D",INDEX($AS$5:$AS$404,$AC437),IF($AD437="T",ROUND(SUMIF($X$5:$X$404,$AF437,$AS$5:$AS$404),2),IF($AD437="B",ROUND(SUMIF($AN$5:$AN$404,$AQ437,$AS$5:$AS$404),2),""))))</f>
        <v/>
      </c>
      <c r="G437" s="32">
        <f>IF($AD437&lt;&gt;"D","",INDEX($AT$5:$AT$404,$AC437))</f>
        <v/>
      </c>
      <c r="H437" s="32">
        <f>IF($AD437&lt;&gt;"D","",INDEX($BC$5:$BC$404,$AC437))</f>
        <v/>
      </c>
      <c r="I437" s="32">
        <f>IF($AD437&lt;&gt;"D","",INDEX($BD$5:$BD$404,$AC437))</f>
        <v/>
      </c>
      <c r="J437" s="46">
        <f>IF($AD437&lt;&gt;"D","",IF(N($B437)=0,"",ROUND($I437/$B437,4)))</f>
        <v/>
      </c>
      <c r="K437" s="32">
        <f>IF($AD437="Z",ROUND(SUM($AU$5:$AU$404),2),IF($AD437="D",INDEX($AU$5:$AU$404,$AC437),IF($AD437="T",ROUND(SUMIF($X$5:$X$404,$AF437,$AU$5:$AU$404),2),IF($AD437="B",ROUND(SUMIF($AN$5:$AN$404,$AQ437,$AU$5:$AU$404),2),""))))</f>
        <v/>
      </c>
      <c r="L437" s="32">
        <f>IF($AD437="Z",ROUND(SUM($AV$5:$AV$404),2),IF($AD437="D",INDEX($AV$5:$AV$404,$AC437),IF($AD437="T",ROUND(SUMIF($X$5:$X$404,$AF437,$AV$5:$AV$404),2),IF($AD437="B",ROUND(SUMIF($AN$5:$AN$404,$AQ437,$AV$5:$AV$404),2),""))))</f>
        <v/>
      </c>
      <c r="M437" s="32">
        <f>IF($AD437="Z",ROUND(SUM($AJ$5:$AJ$704),2),IF($AD437="B",ROUND(SUMIF($AQ$5:$AQ$704,$AQ437,$AJ$5:$AJ$704),2),IF($AD437&lt;&gt;"T","",$AJ437)))</f>
        <v/>
      </c>
      <c r="N437" s="32">
        <f>IF(OR($AD437="D",$AD437="T",$AD437="B",$AD437="Z"),ROUND(N($K437)-N($L437)-N($M437),2),"")</f>
        <v/>
      </c>
      <c r="O437" s="32">
        <f>IF(OR($AD437="D",$AD437="T",$AD437="B",$AD437="Z"),IF(N($E437)=0,"",ROUND($F437/$E437,2)),"")</f>
        <v/>
      </c>
      <c r="AC437">
        <f>IFERROR(MATCH(433,$AB$5:$AB$404,1),"")</f>
        <v/>
      </c>
      <c r="AD437">
        <f>IF(433=$AI$1+1,"Z",IF($AC437="","",IF(INDEX($V$5:$V$404,$AC437)="","",IF(433&gt;INDEX($AB$5:$AB$404,$AC437)+INDEX($Z$5:$Z$404,$AC437)+INDEX($AA$5:$AA$404,$AC437)+INDEX($AO$5:$AO$404,$AC437),"",IF(433=INDEX($AB$5:$AB$404,$AC437)+INDEX($Z$5:$Z$404,$AC437),"D",IF(AND(INDEX($Z$5:$Z$404,$AC437)=1,433=INDEX($AB$5:$AB$404,$AC437)),"H",IF(AND(INDEX($AO$5:$AO$404,$AC437)=1,433=INDEX($AB$5:$AB$404,$AC437)+INDEX($Z$5:$Z$404,$AC437)+INDEX($AA$5:$AA$404,$AC437)+INDEX($AO$5:$AO$404,$AC437)),"B","T")))))))</f>
        <v/>
      </c>
      <c r="AF437">
        <f>IF(OR($AD437="",$AD437="Z",$AD437="B"),"",INDEX($X$5:$X$404,$AC437))</f>
        <v/>
      </c>
      <c r="AJ437">
        <f>IF($AD437&lt;&gt;"T",0,ROUND(SUMIF(oil!$B$4:$B$63,$AF437,oil!$AE$4:$AE$63),2))</f>
        <v/>
      </c>
      <c r="AQ437">
        <f>IF(OR($AD437="",$AD437="Z"),"",INDEX($AN$5:$AN$404,$AC437))</f>
        <v/>
      </c>
      <c r="AZ437">
        <f>IF(AND($AD437="T",$AQ437=1),N($AZ436)+1,N($AZ436))</f>
        <v/>
      </c>
    </row>
    <row r="438" ht="21" customHeight="1" s="66">
      <c r="A438" s="69">
        <f>IF($AD438="","",IF($AD438="Z","รวมจ่ายทั้งสิ้น",IF($AD438="H",INDEX($X$5:$X$404,$AC438),IF($AD438="T","รวม",IF($AD438="B",IFERROR(INDEX(อัตราค่าขนส่ง!$S$5:$S$14,MATCH(INDEX($AM$5:$AM$404,$AC438),อัตราค่าขนส่ง!$R$5:$R$14,0)),"รวมกลุ่ม "&amp;INDEX($AM$5:$AM$404,$AC438)),INDEX($AY$5:$AY$404,$AC438))))))</f>
        <v/>
      </c>
      <c r="B438" s="31">
        <f>IF($AD438&lt;&gt;"D","",INDEX($AW$5:$AW$404,$AC438))</f>
        <v/>
      </c>
      <c r="C438" s="68">
        <f>IF($AD438&lt;&gt;"D","",INDEX($AX$5:$AX$404,$AC438))</f>
        <v/>
      </c>
      <c r="D438" s="70">
        <f>IF($AD438&lt;&gt;"D","",INDEX($BA$5:$BA$404,$AC438))</f>
        <v/>
      </c>
      <c r="E438" s="31">
        <f>IF($AD438="Z",SUM($AR$5:$AR$404),IF($AD438="D",INDEX($AR$5:$AR$404,$AC438),IF($AD438="T",SUMIF($X$5:$X$404,$AF438,$AR$5:$AR$404),IF($AD438="B",SUMIF($AN$5:$AN$404,$AQ438,$AR$5:$AR$404),""))))</f>
        <v/>
      </c>
      <c r="F438" s="32">
        <f>IF($AD438="Z",ROUND(SUM($AS$5:$AS$404),2),IF($AD438="D",INDEX($AS$5:$AS$404,$AC438),IF($AD438="T",ROUND(SUMIF($X$5:$X$404,$AF438,$AS$5:$AS$404),2),IF($AD438="B",ROUND(SUMIF($AN$5:$AN$404,$AQ438,$AS$5:$AS$404),2),""))))</f>
        <v/>
      </c>
      <c r="G438" s="32">
        <f>IF($AD438&lt;&gt;"D","",INDEX($AT$5:$AT$404,$AC438))</f>
        <v/>
      </c>
      <c r="H438" s="32">
        <f>IF($AD438&lt;&gt;"D","",INDEX($BC$5:$BC$404,$AC438))</f>
        <v/>
      </c>
      <c r="I438" s="32">
        <f>IF($AD438&lt;&gt;"D","",INDEX($BD$5:$BD$404,$AC438))</f>
        <v/>
      </c>
      <c r="J438" s="46">
        <f>IF($AD438&lt;&gt;"D","",IF(N($B438)=0,"",ROUND($I438/$B438,4)))</f>
        <v/>
      </c>
      <c r="K438" s="32">
        <f>IF($AD438="Z",ROUND(SUM($AU$5:$AU$404),2),IF($AD438="D",INDEX($AU$5:$AU$404,$AC438),IF($AD438="T",ROUND(SUMIF($X$5:$X$404,$AF438,$AU$5:$AU$404),2),IF($AD438="B",ROUND(SUMIF($AN$5:$AN$404,$AQ438,$AU$5:$AU$404),2),""))))</f>
        <v/>
      </c>
      <c r="L438" s="32">
        <f>IF($AD438="Z",ROUND(SUM($AV$5:$AV$404),2),IF($AD438="D",INDEX($AV$5:$AV$404,$AC438),IF($AD438="T",ROUND(SUMIF($X$5:$X$404,$AF438,$AV$5:$AV$404),2),IF($AD438="B",ROUND(SUMIF($AN$5:$AN$404,$AQ438,$AV$5:$AV$404),2),""))))</f>
        <v/>
      </c>
      <c r="M438" s="32">
        <f>IF($AD438="Z",ROUND(SUM($AJ$5:$AJ$704),2),IF($AD438="B",ROUND(SUMIF($AQ$5:$AQ$704,$AQ438,$AJ$5:$AJ$704),2),IF($AD438&lt;&gt;"T","",$AJ438)))</f>
        <v/>
      </c>
      <c r="N438" s="32">
        <f>IF(OR($AD438="D",$AD438="T",$AD438="B",$AD438="Z"),ROUND(N($K438)-N($L438)-N($M438),2),"")</f>
        <v/>
      </c>
      <c r="O438" s="32">
        <f>IF(OR($AD438="D",$AD438="T",$AD438="B",$AD438="Z"),IF(N($E438)=0,"",ROUND($F438/$E438,2)),"")</f>
        <v/>
      </c>
      <c r="AC438">
        <f>IFERROR(MATCH(434,$AB$5:$AB$404,1),"")</f>
        <v/>
      </c>
      <c r="AD438">
        <f>IF(434=$AI$1+1,"Z",IF($AC438="","",IF(INDEX($V$5:$V$404,$AC438)="","",IF(434&gt;INDEX($AB$5:$AB$404,$AC438)+INDEX($Z$5:$Z$404,$AC438)+INDEX($AA$5:$AA$404,$AC438)+INDEX($AO$5:$AO$404,$AC438),"",IF(434=INDEX($AB$5:$AB$404,$AC438)+INDEX($Z$5:$Z$404,$AC438),"D",IF(AND(INDEX($Z$5:$Z$404,$AC438)=1,434=INDEX($AB$5:$AB$404,$AC438)),"H",IF(AND(INDEX($AO$5:$AO$404,$AC438)=1,434=INDEX($AB$5:$AB$404,$AC438)+INDEX($Z$5:$Z$404,$AC438)+INDEX($AA$5:$AA$404,$AC438)+INDEX($AO$5:$AO$404,$AC438)),"B","T")))))))</f>
        <v/>
      </c>
      <c r="AF438">
        <f>IF(OR($AD438="",$AD438="Z",$AD438="B"),"",INDEX($X$5:$X$404,$AC438))</f>
        <v/>
      </c>
      <c r="AJ438">
        <f>IF($AD438&lt;&gt;"T",0,ROUND(SUMIF(oil!$B$4:$B$63,$AF438,oil!$AE$4:$AE$63),2))</f>
        <v/>
      </c>
      <c r="AQ438">
        <f>IF(OR($AD438="",$AD438="Z"),"",INDEX($AN$5:$AN$404,$AC438))</f>
        <v/>
      </c>
      <c r="AZ438">
        <f>IF(AND($AD438="T",$AQ438=1),N($AZ437)+1,N($AZ437))</f>
        <v/>
      </c>
    </row>
    <row r="439" ht="21" customHeight="1" s="66">
      <c r="A439" s="69">
        <f>IF($AD439="","",IF($AD439="Z","รวมจ่ายทั้งสิ้น",IF($AD439="H",INDEX($X$5:$X$404,$AC439),IF($AD439="T","รวม",IF($AD439="B",IFERROR(INDEX(อัตราค่าขนส่ง!$S$5:$S$14,MATCH(INDEX($AM$5:$AM$404,$AC439),อัตราค่าขนส่ง!$R$5:$R$14,0)),"รวมกลุ่ม "&amp;INDEX($AM$5:$AM$404,$AC439)),INDEX($AY$5:$AY$404,$AC439))))))</f>
        <v/>
      </c>
      <c r="B439" s="31">
        <f>IF($AD439&lt;&gt;"D","",INDEX($AW$5:$AW$404,$AC439))</f>
        <v/>
      </c>
      <c r="C439" s="68">
        <f>IF($AD439&lt;&gt;"D","",INDEX($AX$5:$AX$404,$AC439))</f>
        <v/>
      </c>
      <c r="D439" s="70">
        <f>IF($AD439&lt;&gt;"D","",INDEX($BA$5:$BA$404,$AC439))</f>
        <v/>
      </c>
      <c r="E439" s="31">
        <f>IF($AD439="Z",SUM($AR$5:$AR$404),IF($AD439="D",INDEX($AR$5:$AR$404,$AC439),IF($AD439="T",SUMIF($X$5:$X$404,$AF439,$AR$5:$AR$404),IF($AD439="B",SUMIF($AN$5:$AN$404,$AQ439,$AR$5:$AR$404),""))))</f>
        <v/>
      </c>
      <c r="F439" s="32">
        <f>IF($AD439="Z",ROUND(SUM($AS$5:$AS$404),2),IF($AD439="D",INDEX($AS$5:$AS$404,$AC439),IF($AD439="T",ROUND(SUMIF($X$5:$X$404,$AF439,$AS$5:$AS$404),2),IF($AD439="B",ROUND(SUMIF($AN$5:$AN$404,$AQ439,$AS$5:$AS$404),2),""))))</f>
        <v/>
      </c>
      <c r="G439" s="32">
        <f>IF($AD439&lt;&gt;"D","",INDEX($AT$5:$AT$404,$AC439))</f>
        <v/>
      </c>
      <c r="H439" s="32">
        <f>IF($AD439&lt;&gt;"D","",INDEX($BC$5:$BC$404,$AC439))</f>
        <v/>
      </c>
      <c r="I439" s="32">
        <f>IF($AD439&lt;&gt;"D","",INDEX($BD$5:$BD$404,$AC439))</f>
        <v/>
      </c>
      <c r="J439" s="46">
        <f>IF($AD439&lt;&gt;"D","",IF(N($B439)=0,"",ROUND($I439/$B439,4)))</f>
        <v/>
      </c>
      <c r="K439" s="32">
        <f>IF($AD439="Z",ROUND(SUM($AU$5:$AU$404),2),IF($AD439="D",INDEX($AU$5:$AU$404,$AC439),IF($AD439="T",ROUND(SUMIF($X$5:$X$404,$AF439,$AU$5:$AU$404),2),IF($AD439="B",ROUND(SUMIF($AN$5:$AN$404,$AQ439,$AU$5:$AU$404),2),""))))</f>
        <v/>
      </c>
      <c r="L439" s="32">
        <f>IF($AD439="Z",ROUND(SUM($AV$5:$AV$404),2),IF($AD439="D",INDEX($AV$5:$AV$404,$AC439),IF($AD439="T",ROUND(SUMIF($X$5:$X$404,$AF439,$AV$5:$AV$404),2),IF($AD439="B",ROUND(SUMIF($AN$5:$AN$404,$AQ439,$AV$5:$AV$404),2),""))))</f>
        <v/>
      </c>
      <c r="M439" s="32">
        <f>IF($AD439="Z",ROUND(SUM($AJ$5:$AJ$704),2),IF($AD439="B",ROUND(SUMIF($AQ$5:$AQ$704,$AQ439,$AJ$5:$AJ$704),2),IF($AD439&lt;&gt;"T","",$AJ439)))</f>
        <v/>
      </c>
      <c r="N439" s="32">
        <f>IF(OR($AD439="D",$AD439="T",$AD439="B",$AD439="Z"),ROUND(N($K439)-N($L439)-N($M439),2),"")</f>
        <v/>
      </c>
      <c r="O439" s="32">
        <f>IF(OR($AD439="D",$AD439="T",$AD439="B",$AD439="Z"),IF(N($E439)=0,"",ROUND($F439/$E439,2)),"")</f>
        <v/>
      </c>
      <c r="AC439">
        <f>IFERROR(MATCH(435,$AB$5:$AB$404,1),"")</f>
        <v/>
      </c>
      <c r="AD439">
        <f>IF(435=$AI$1+1,"Z",IF($AC439="","",IF(INDEX($V$5:$V$404,$AC439)="","",IF(435&gt;INDEX($AB$5:$AB$404,$AC439)+INDEX($Z$5:$Z$404,$AC439)+INDEX($AA$5:$AA$404,$AC439)+INDEX($AO$5:$AO$404,$AC439),"",IF(435=INDEX($AB$5:$AB$404,$AC439)+INDEX($Z$5:$Z$404,$AC439),"D",IF(AND(INDEX($Z$5:$Z$404,$AC439)=1,435=INDEX($AB$5:$AB$404,$AC439)),"H",IF(AND(INDEX($AO$5:$AO$404,$AC439)=1,435=INDEX($AB$5:$AB$404,$AC439)+INDEX($Z$5:$Z$404,$AC439)+INDEX($AA$5:$AA$404,$AC439)+INDEX($AO$5:$AO$404,$AC439)),"B","T")))))))</f>
        <v/>
      </c>
      <c r="AF439">
        <f>IF(OR($AD439="",$AD439="Z",$AD439="B"),"",INDEX($X$5:$X$404,$AC439))</f>
        <v/>
      </c>
      <c r="AJ439">
        <f>IF($AD439&lt;&gt;"T",0,ROUND(SUMIF(oil!$B$4:$B$63,$AF439,oil!$AE$4:$AE$63),2))</f>
        <v/>
      </c>
      <c r="AQ439">
        <f>IF(OR($AD439="",$AD439="Z"),"",INDEX($AN$5:$AN$404,$AC439))</f>
        <v/>
      </c>
      <c r="AZ439">
        <f>IF(AND($AD439="T",$AQ439=1),N($AZ438)+1,N($AZ438))</f>
        <v/>
      </c>
    </row>
    <row r="440" ht="21" customHeight="1" s="66">
      <c r="A440" s="69">
        <f>IF($AD440="","",IF($AD440="Z","รวมจ่ายทั้งสิ้น",IF($AD440="H",INDEX($X$5:$X$404,$AC440),IF($AD440="T","รวม",IF($AD440="B",IFERROR(INDEX(อัตราค่าขนส่ง!$S$5:$S$14,MATCH(INDEX($AM$5:$AM$404,$AC440),อัตราค่าขนส่ง!$R$5:$R$14,0)),"รวมกลุ่ม "&amp;INDEX($AM$5:$AM$404,$AC440)),INDEX($AY$5:$AY$404,$AC440))))))</f>
        <v/>
      </c>
      <c r="B440" s="31">
        <f>IF($AD440&lt;&gt;"D","",INDEX($AW$5:$AW$404,$AC440))</f>
        <v/>
      </c>
      <c r="C440" s="68">
        <f>IF($AD440&lt;&gt;"D","",INDEX($AX$5:$AX$404,$AC440))</f>
        <v/>
      </c>
      <c r="D440" s="70">
        <f>IF($AD440&lt;&gt;"D","",INDEX($BA$5:$BA$404,$AC440))</f>
        <v/>
      </c>
      <c r="E440" s="31">
        <f>IF($AD440="Z",SUM($AR$5:$AR$404),IF($AD440="D",INDEX($AR$5:$AR$404,$AC440),IF($AD440="T",SUMIF($X$5:$X$404,$AF440,$AR$5:$AR$404),IF($AD440="B",SUMIF($AN$5:$AN$404,$AQ440,$AR$5:$AR$404),""))))</f>
        <v/>
      </c>
      <c r="F440" s="32">
        <f>IF($AD440="Z",ROUND(SUM($AS$5:$AS$404),2),IF($AD440="D",INDEX($AS$5:$AS$404,$AC440),IF($AD440="T",ROUND(SUMIF($X$5:$X$404,$AF440,$AS$5:$AS$404),2),IF($AD440="B",ROUND(SUMIF($AN$5:$AN$404,$AQ440,$AS$5:$AS$404),2),""))))</f>
        <v/>
      </c>
      <c r="G440" s="32">
        <f>IF($AD440&lt;&gt;"D","",INDEX($AT$5:$AT$404,$AC440))</f>
        <v/>
      </c>
      <c r="H440" s="32">
        <f>IF($AD440&lt;&gt;"D","",INDEX($BC$5:$BC$404,$AC440))</f>
        <v/>
      </c>
      <c r="I440" s="32">
        <f>IF($AD440&lt;&gt;"D","",INDEX($BD$5:$BD$404,$AC440))</f>
        <v/>
      </c>
      <c r="J440" s="46">
        <f>IF($AD440&lt;&gt;"D","",IF(N($B440)=0,"",ROUND($I440/$B440,4)))</f>
        <v/>
      </c>
      <c r="K440" s="32">
        <f>IF($AD440="Z",ROUND(SUM($AU$5:$AU$404),2),IF($AD440="D",INDEX($AU$5:$AU$404,$AC440),IF($AD440="T",ROUND(SUMIF($X$5:$X$404,$AF440,$AU$5:$AU$404),2),IF($AD440="B",ROUND(SUMIF($AN$5:$AN$404,$AQ440,$AU$5:$AU$404),2),""))))</f>
        <v/>
      </c>
      <c r="L440" s="32">
        <f>IF($AD440="Z",ROUND(SUM($AV$5:$AV$404),2),IF($AD440="D",INDEX($AV$5:$AV$404,$AC440),IF($AD440="T",ROUND(SUMIF($X$5:$X$404,$AF440,$AV$5:$AV$404),2),IF($AD440="B",ROUND(SUMIF($AN$5:$AN$404,$AQ440,$AV$5:$AV$404),2),""))))</f>
        <v/>
      </c>
      <c r="M440" s="32">
        <f>IF($AD440="Z",ROUND(SUM($AJ$5:$AJ$704),2),IF($AD440="B",ROUND(SUMIF($AQ$5:$AQ$704,$AQ440,$AJ$5:$AJ$704),2),IF($AD440&lt;&gt;"T","",$AJ440)))</f>
        <v/>
      </c>
      <c r="N440" s="32">
        <f>IF(OR($AD440="D",$AD440="T",$AD440="B",$AD440="Z"),ROUND(N($K440)-N($L440)-N($M440),2),"")</f>
        <v/>
      </c>
      <c r="O440" s="32">
        <f>IF(OR($AD440="D",$AD440="T",$AD440="B",$AD440="Z"),IF(N($E440)=0,"",ROUND($F440/$E440,2)),"")</f>
        <v/>
      </c>
      <c r="AC440">
        <f>IFERROR(MATCH(436,$AB$5:$AB$404,1),"")</f>
        <v/>
      </c>
      <c r="AD440">
        <f>IF(436=$AI$1+1,"Z",IF($AC440="","",IF(INDEX($V$5:$V$404,$AC440)="","",IF(436&gt;INDEX($AB$5:$AB$404,$AC440)+INDEX($Z$5:$Z$404,$AC440)+INDEX($AA$5:$AA$404,$AC440)+INDEX($AO$5:$AO$404,$AC440),"",IF(436=INDEX($AB$5:$AB$404,$AC440)+INDEX($Z$5:$Z$404,$AC440),"D",IF(AND(INDEX($Z$5:$Z$404,$AC440)=1,436=INDEX($AB$5:$AB$404,$AC440)),"H",IF(AND(INDEX($AO$5:$AO$404,$AC440)=1,436=INDEX($AB$5:$AB$404,$AC440)+INDEX($Z$5:$Z$404,$AC440)+INDEX($AA$5:$AA$404,$AC440)+INDEX($AO$5:$AO$404,$AC440)),"B","T")))))))</f>
        <v/>
      </c>
      <c r="AF440">
        <f>IF(OR($AD440="",$AD440="Z",$AD440="B"),"",INDEX($X$5:$X$404,$AC440))</f>
        <v/>
      </c>
      <c r="AJ440">
        <f>IF($AD440&lt;&gt;"T",0,ROUND(SUMIF(oil!$B$4:$B$63,$AF440,oil!$AE$4:$AE$63),2))</f>
        <v/>
      </c>
      <c r="AQ440">
        <f>IF(OR($AD440="",$AD440="Z"),"",INDEX($AN$5:$AN$404,$AC440))</f>
        <v/>
      </c>
      <c r="AZ440">
        <f>IF(AND($AD440="T",$AQ440=1),N($AZ439)+1,N($AZ439))</f>
        <v/>
      </c>
    </row>
    <row r="441" ht="21" customHeight="1" s="66">
      <c r="A441" s="69">
        <f>IF($AD441="","",IF($AD441="Z","รวมจ่ายทั้งสิ้น",IF($AD441="H",INDEX($X$5:$X$404,$AC441),IF($AD441="T","รวม",IF($AD441="B",IFERROR(INDEX(อัตราค่าขนส่ง!$S$5:$S$14,MATCH(INDEX($AM$5:$AM$404,$AC441),อัตราค่าขนส่ง!$R$5:$R$14,0)),"รวมกลุ่ม "&amp;INDEX($AM$5:$AM$404,$AC441)),INDEX($AY$5:$AY$404,$AC441))))))</f>
        <v/>
      </c>
      <c r="B441" s="31">
        <f>IF($AD441&lt;&gt;"D","",INDEX($AW$5:$AW$404,$AC441))</f>
        <v/>
      </c>
      <c r="C441" s="68">
        <f>IF($AD441&lt;&gt;"D","",INDEX($AX$5:$AX$404,$AC441))</f>
        <v/>
      </c>
      <c r="D441" s="70">
        <f>IF($AD441&lt;&gt;"D","",INDEX($BA$5:$BA$404,$AC441))</f>
        <v/>
      </c>
      <c r="E441" s="31">
        <f>IF($AD441="Z",SUM($AR$5:$AR$404),IF($AD441="D",INDEX($AR$5:$AR$404,$AC441),IF($AD441="T",SUMIF($X$5:$X$404,$AF441,$AR$5:$AR$404),IF($AD441="B",SUMIF($AN$5:$AN$404,$AQ441,$AR$5:$AR$404),""))))</f>
        <v/>
      </c>
      <c r="F441" s="32">
        <f>IF($AD441="Z",ROUND(SUM($AS$5:$AS$404),2),IF($AD441="D",INDEX($AS$5:$AS$404,$AC441),IF($AD441="T",ROUND(SUMIF($X$5:$X$404,$AF441,$AS$5:$AS$404),2),IF($AD441="B",ROUND(SUMIF($AN$5:$AN$404,$AQ441,$AS$5:$AS$404),2),""))))</f>
        <v/>
      </c>
      <c r="G441" s="32">
        <f>IF($AD441&lt;&gt;"D","",INDEX($AT$5:$AT$404,$AC441))</f>
        <v/>
      </c>
      <c r="H441" s="32">
        <f>IF($AD441&lt;&gt;"D","",INDEX($BC$5:$BC$404,$AC441))</f>
        <v/>
      </c>
      <c r="I441" s="32">
        <f>IF($AD441&lt;&gt;"D","",INDEX($BD$5:$BD$404,$AC441))</f>
        <v/>
      </c>
      <c r="J441" s="46">
        <f>IF($AD441&lt;&gt;"D","",IF(N($B441)=0,"",ROUND($I441/$B441,4)))</f>
        <v/>
      </c>
      <c r="K441" s="32">
        <f>IF($AD441="Z",ROUND(SUM($AU$5:$AU$404),2),IF($AD441="D",INDEX($AU$5:$AU$404,$AC441),IF($AD441="T",ROUND(SUMIF($X$5:$X$404,$AF441,$AU$5:$AU$404),2),IF($AD441="B",ROUND(SUMIF($AN$5:$AN$404,$AQ441,$AU$5:$AU$404),2),""))))</f>
        <v/>
      </c>
      <c r="L441" s="32">
        <f>IF($AD441="Z",ROUND(SUM($AV$5:$AV$404),2),IF($AD441="D",INDEX($AV$5:$AV$404,$AC441),IF($AD441="T",ROUND(SUMIF($X$5:$X$404,$AF441,$AV$5:$AV$404),2),IF($AD441="B",ROUND(SUMIF($AN$5:$AN$404,$AQ441,$AV$5:$AV$404),2),""))))</f>
        <v/>
      </c>
      <c r="M441" s="32">
        <f>IF($AD441="Z",ROUND(SUM($AJ$5:$AJ$704),2),IF($AD441="B",ROUND(SUMIF($AQ$5:$AQ$704,$AQ441,$AJ$5:$AJ$704),2),IF($AD441&lt;&gt;"T","",$AJ441)))</f>
        <v/>
      </c>
      <c r="N441" s="32">
        <f>IF(OR($AD441="D",$AD441="T",$AD441="B",$AD441="Z"),ROUND(N($K441)-N($L441)-N($M441),2),"")</f>
        <v/>
      </c>
      <c r="O441" s="32">
        <f>IF(OR($AD441="D",$AD441="T",$AD441="B",$AD441="Z"),IF(N($E441)=0,"",ROUND($F441/$E441,2)),"")</f>
        <v/>
      </c>
      <c r="AC441">
        <f>IFERROR(MATCH(437,$AB$5:$AB$404,1),"")</f>
        <v/>
      </c>
      <c r="AD441">
        <f>IF(437=$AI$1+1,"Z",IF($AC441="","",IF(INDEX($V$5:$V$404,$AC441)="","",IF(437&gt;INDEX($AB$5:$AB$404,$AC441)+INDEX($Z$5:$Z$404,$AC441)+INDEX($AA$5:$AA$404,$AC441)+INDEX($AO$5:$AO$404,$AC441),"",IF(437=INDEX($AB$5:$AB$404,$AC441)+INDEX($Z$5:$Z$404,$AC441),"D",IF(AND(INDEX($Z$5:$Z$404,$AC441)=1,437=INDEX($AB$5:$AB$404,$AC441)),"H",IF(AND(INDEX($AO$5:$AO$404,$AC441)=1,437=INDEX($AB$5:$AB$404,$AC441)+INDEX($Z$5:$Z$404,$AC441)+INDEX($AA$5:$AA$404,$AC441)+INDEX($AO$5:$AO$404,$AC441)),"B","T")))))))</f>
        <v/>
      </c>
      <c r="AF441">
        <f>IF(OR($AD441="",$AD441="Z",$AD441="B"),"",INDEX($X$5:$X$404,$AC441))</f>
        <v/>
      </c>
      <c r="AJ441">
        <f>IF($AD441&lt;&gt;"T",0,ROUND(SUMIF(oil!$B$4:$B$63,$AF441,oil!$AE$4:$AE$63),2))</f>
        <v/>
      </c>
      <c r="AQ441">
        <f>IF(OR($AD441="",$AD441="Z"),"",INDEX($AN$5:$AN$404,$AC441))</f>
        <v/>
      </c>
      <c r="AZ441">
        <f>IF(AND($AD441="T",$AQ441=1),N($AZ440)+1,N($AZ440))</f>
        <v/>
      </c>
    </row>
    <row r="442" ht="21" customHeight="1" s="66">
      <c r="A442" s="69">
        <f>IF($AD442="","",IF($AD442="Z","รวมจ่ายทั้งสิ้น",IF($AD442="H",INDEX($X$5:$X$404,$AC442),IF($AD442="T","รวม",IF($AD442="B",IFERROR(INDEX(อัตราค่าขนส่ง!$S$5:$S$14,MATCH(INDEX($AM$5:$AM$404,$AC442),อัตราค่าขนส่ง!$R$5:$R$14,0)),"รวมกลุ่ม "&amp;INDEX($AM$5:$AM$404,$AC442)),INDEX($AY$5:$AY$404,$AC442))))))</f>
        <v/>
      </c>
      <c r="B442" s="31">
        <f>IF($AD442&lt;&gt;"D","",INDEX($AW$5:$AW$404,$AC442))</f>
        <v/>
      </c>
      <c r="C442" s="68">
        <f>IF($AD442&lt;&gt;"D","",INDEX($AX$5:$AX$404,$AC442))</f>
        <v/>
      </c>
      <c r="D442" s="70">
        <f>IF($AD442&lt;&gt;"D","",INDEX($BA$5:$BA$404,$AC442))</f>
        <v/>
      </c>
      <c r="E442" s="31">
        <f>IF($AD442="Z",SUM($AR$5:$AR$404),IF($AD442="D",INDEX($AR$5:$AR$404,$AC442),IF($AD442="T",SUMIF($X$5:$X$404,$AF442,$AR$5:$AR$404),IF($AD442="B",SUMIF($AN$5:$AN$404,$AQ442,$AR$5:$AR$404),""))))</f>
        <v/>
      </c>
      <c r="F442" s="32">
        <f>IF($AD442="Z",ROUND(SUM($AS$5:$AS$404),2),IF($AD442="D",INDEX($AS$5:$AS$404,$AC442),IF($AD442="T",ROUND(SUMIF($X$5:$X$404,$AF442,$AS$5:$AS$404),2),IF($AD442="B",ROUND(SUMIF($AN$5:$AN$404,$AQ442,$AS$5:$AS$404),2),""))))</f>
        <v/>
      </c>
      <c r="G442" s="32">
        <f>IF($AD442&lt;&gt;"D","",INDEX($AT$5:$AT$404,$AC442))</f>
        <v/>
      </c>
      <c r="H442" s="32">
        <f>IF($AD442&lt;&gt;"D","",INDEX($BC$5:$BC$404,$AC442))</f>
        <v/>
      </c>
      <c r="I442" s="32">
        <f>IF($AD442&lt;&gt;"D","",INDEX($BD$5:$BD$404,$AC442))</f>
        <v/>
      </c>
      <c r="J442" s="46">
        <f>IF($AD442&lt;&gt;"D","",IF(N($B442)=0,"",ROUND($I442/$B442,4)))</f>
        <v/>
      </c>
      <c r="K442" s="32">
        <f>IF($AD442="Z",ROUND(SUM($AU$5:$AU$404),2),IF($AD442="D",INDEX($AU$5:$AU$404,$AC442),IF($AD442="T",ROUND(SUMIF($X$5:$X$404,$AF442,$AU$5:$AU$404),2),IF($AD442="B",ROUND(SUMIF($AN$5:$AN$404,$AQ442,$AU$5:$AU$404),2),""))))</f>
        <v/>
      </c>
      <c r="L442" s="32">
        <f>IF($AD442="Z",ROUND(SUM($AV$5:$AV$404),2),IF($AD442="D",INDEX($AV$5:$AV$404,$AC442),IF($AD442="T",ROUND(SUMIF($X$5:$X$404,$AF442,$AV$5:$AV$404),2),IF($AD442="B",ROUND(SUMIF($AN$5:$AN$404,$AQ442,$AV$5:$AV$404),2),""))))</f>
        <v/>
      </c>
      <c r="M442" s="32">
        <f>IF($AD442="Z",ROUND(SUM($AJ$5:$AJ$704),2),IF($AD442="B",ROUND(SUMIF($AQ$5:$AQ$704,$AQ442,$AJ$5:$AJ$704),2),IF($AD442&lt;&gt;"T","",$AJ442)))</f>
        <v/>
      </c>
      <c r="N442" s="32">
        <f>IF(OR($AD442="D",$AD442="T",$AD442="B",$AD442="Z"),ROUND(N($K442)-N($L442)-N($M442),2),"")</f>
        <v/>
      </c>
      <c r="O442" s="32">
        <f>IF(OR($AD442="D",$AD442="T",$AD442="B",$AD442="Z"),IF(N($E442)=0,"",ROUND($F442/$E442,2)),"")</f>
        <v/>
      </c>
      <c r="AC442">
        <f>IFERROR(MATCH(438,$AB$5:$AB$404,1),"")</f>
        <v/>
      </c>
      <c r="AD442">
        <f>IF(438=$AI$1+1,"Z",IF($AC442="","",IF(INDEX($V$5:$V$404,$AC442)="","",IF(438&gt;INDEX($AB$5:$AB$404,$AC442)+INDEX($Z$5:$Z$404,$AC442)+INDEX($AA$5:$AA$404,$AC442)+INDEX($AO$5:$AO$404,$AC442),"",IF(438=INDEX($AB$5:$AB$404,$AC442)+INDEX($Z$5:$Z$404,$AC442),"D",IF(AND(INDEX($Z$5:$Z$404,$AC442)=1,438=INDEX($AB$5:$AB$404,$AC442)),"H",IF(AND(INDEX($AO$5:$AO$404,$AC442)=1,438=INDEX($AB$5:$AB$404,$AC442)+INDEX($Z$5:$Z$404,$AC442)+INDEX($AA$5:$AA$404,$AC442)+INDEX($AO$5:$AO$404,$AC442)),"B","T")))))))</f>
        <v/>
      </c>
      <c r="AF442">
        <f>IF(OR($AD442="",$AD442="Z",$AD442="B"),"",INDEX($X$5:$X$404,$AC442))</f>
        <v/>
      </c>
      <c r="AJ442">
        <f>IF($AD442&lt;&gt;"T",0,ROUND(SUMIF(oil!$B$4:$B$63,$AF442,oil!$AE$4:$AE$63),2))</f>
        <v/>
      </c>
      <c r="AQ442">
        <f>IF(OR($AD442="",$AD442="Z"),"",INDEX($AN$5:$AN$404,$AC442))</f>
        <v/>
      </c>
      <c r="AZ442">
        <f>IF(AND($AD442="T",$AQ442=1),N($AZ441)+1,N($AZ441))</f>
        <v/>
      </c>
    </row>
    <row r="443" ht="21" customHeight="1" s="66">
      <c r="A443" s="69">
        <f>IF($AD443="","",IF($AD443="Z","รวมจ่ายทั้งสิ้น",IF($AD443="H",INDEX($X$5:$X$404,$AC443),IF($AD443="T","รวม",IF($AD443="B",IFERROR(INDEX(อัตราค่าขนส่ง!$S$5:$S$14,MATCH(INDEX($AM$5:$AM$404,$AC443),อัตราค่าขนส่ง!$R$5:$R$14,0)),"รวมกลุ่ม "&amp;INDEX($AM$5:$AM$404,$AC443)),INDEX($AY$5:$AY$404,$AC443))))))</f>
        <v/>
      </c>
      <c r="B443" s="31">
        <f>IF($AD443&lt;&gt;"D","",INDEX($AW$5:$AW$404,$AC443))</f>
        <v/>
      </c>
      <c r="C443" s="68">
        <f>IF($AD443&lt;&gt;"D","",INDEX($AX$5:$AX$404,$AC443))</f>
        <v/>
      </c>
      <c r="D443" s="70">
        <f>IF($AD443&lt;&gt;"D","",INDEX($BA$5:$BA$404,$AC443))</f>
        <v/>
      </c>
      <c r="E443" s="31">
        <f>IF($AD443="Z",SUM($AR$5:$AR$404),IF($AD443="D",INDEX($AR$5:$AR$404,$AC443),IF($AD443="T",SUMIF($X$5:$X$404,$AF443,$AR$5:$AR$404),IF($AD443="B",SUMIF($AN$5:$AN$404,$AQ443,$AR$5:$AR$404),""))))</f>
        <v/>
      </c>
      <c r="F443" s="32">
        <f>IF($AD443="Z",ROUND(SUM($AS$5:$AS$404),2),IF($AD443="D",INDEX($AS$5:$AS$404,$AC443),IF($AD443="T",ROUND(SUMIF($X$5:$X$404,$AF443,$AS$5:$AS$404),2),IF($AD443="B",ROUND(SUMIF($AN$5:$AN$404,$AQ443,$AS$5:$AS$404),2),""))))</f>
        <v/>
      </c>
      <c r="G443" s="32">
        <f>IF($AD443&lt;&gt;"D","",INDEX($AT$5:$AT$404,$AC443))</f>
        <v/>
      </c>
      <c r="H443" s="32">
        <f>IF($AD443&lt;&gt;"D","",INDEX($BC$5:$BC$404,$AC443))</f>
        <v/>
      </c>
      <c r="I443" s="32">
        <f>IF($AD443&lt;&gt;"D","",INDEX($BD$5:$BD$404,$AC443))</f>
        <v/>
      </c>
      <c r="J443" s="46">
        <f>IF($AD443&lt;&gt;"D","",IF(N($B443)=0,"",ROUND($I443/$B443,4)))</f>
        <v/>
      </c>
      <c r="K443" s="32">
        <f>IF($AD443="Z",ROUND(SUM($AU$5:$AU$404),2),IF($AD443="D",INDEX($AU$5:$AU$404,$AC443),IF($AD443="T",ROUND(SUMIF($X$5:$X$404,$AF443,$AU$5:$AU$404),2),IF($AD443="B",ROUND(SUMIF($AN$5:$AN$404,$AQ443,$AU$5:$AU$404),2),""))))</f>
        <v/>
      </c>
      <c r="L443" s="32">
        <f>IF($AD443="Z",ROUND(SUM($AV$5:$AV$404),2),IF($AD443="D",INDEX($AV$5:$AV$404,$AC443),IF($AD443="T",ROUND(SUMIF($X$5:$X$404,$AF443,$AV$5:$AV$404),2),IF($AD443="B",ROUND(SUMIF($AN$5:$AN$404,$AQ443,$AV$5:$AV$404),2),""))))</f>
        <v/>
      </c>
      <c r="M443" s="32">
        <f>IF($AD443="Z",ROUND(SUM($AJ$5:$AJ$704),2),IF($AD443="B",ROUND(SUMIF($AQ$5:$AQ$704,$AQ443,$AJ$5:$AJ$704),2),IF($AD443&lt;&gt;"T","",$AJ443)))</f>
        <v/>
      </c>
      <c r="N443" s="32">
        <f>IF(OR($AD443="D",$AD443="T",$AD443="B",$AD443="Z"),ROUND(N($K443)-N($L443)-N($M443),2),"")</f>
        <v/>
      </c>
      <c r="O443" s="32">
        <f>IF(OR($AD443="D",$AD443="T",$AD443="B",$AD443="Z"),IF(N($E443)=0,"",ROUND($F443/$E443,2)),"")</f>
        <v/>
      </c>
      <c r="AC443">
        <f>IFERROR(MATCH(439,$AB$5:$AB$404,1),"")</f>
        <v/>
      </c>
      <c r="AD443">
        <f>IF(439=$AI$1+1,"Z",IF($AC443="","",IF(INDEX($V$5:$V$404,$AC443)="","",IF(439&gt;INDEX($AB$5:$AB$404,$AC443)+INDEX($Z$5:$Z$404,$AC443)+INDEX($AA$5:$AA$404,$AC443)+INDEX($AO$5:$AO$404,$AC443),"",IF(439=INDEX($AB$5:$AB$404,$AC443)+INDEX($Z$5:$Z$404,$AC443),"D",IF(AND(INDEX($Z$5:$Z$404,$AC443)=1,439=INDEX($AB$5:$AB$404,$AC443)),"H",IF(AND(INDEX($AO$5:$AO$404,$AC443)=1,439=INDEX($AB$5:$AB$404,$AC443)+INDEX($Z$5:$Z$404,$AC443)+INDEX($AA$5:$AA$404,$AC443)+INDEX($AO$5:$AO$404,$AC443)),"B","T")))))))</f>
        <v/>
      </c>
      <c r="AF443">
        <f>IF(OR($AD443="",$AD443="Z",$AD443="B"),"",INDEX($X$5:$X$404,$AC443))</f>
        <v/>
      </c>
      <c r="AJ443">
        <f>IF($AD443&lt;&gt;"T",0,ROUND(SUMIF(oil!$B$4:$B$63,$AF443,oil!$AE$4:$AE$63),2))</f>
        <v/>
      </c>
      <c r="AQ443">
        <f>IF(OR($AD443="",$AD443="Z"),"",INDEX($AN$5:$AN$404,$AC443))</f>
        <v/>
      </c>
      <c r="AZ443">
        <f>IF(AND($AD443="T",$AQ443=1),N($AZ442)+1,N($AZ442))</f>
        <v/>
      </c>
    </row>
    <row r="444" ht="21" customHeight="1" s="66">
      <c r="A444" s="69">
        <f>IF($AD444="","",IF($AD444="Z","รวมจ่ายทั้งสิ้น",IF($AD444="H",INDEX($X$5:$X$404,$AC444),IF($AD444="T","รวม",IF($AD444="B",IFERROR(INDEX(อัตราค่าขนส่ง!$S$5:$S$14,MATCH(INDEX($AM$5:$AM$404,$AC444),อัตราค่าขนส่ง!$R$5:$R$14,0)),"รวมกลุ่ม "&amp;INDEX($AM$5:$AM$404,$AC444)),INDEX($AY$5:$AY$404,$AC444))))))</f>
        <v/>
      </c>
      <c r="B444" s="31">
        <f>IF($AD444&lt;&gt;"D","",INDEX($AW$5:$AW$404,$AC444))</f>
        <v/>
      </c>
      <c r="C444" s="68">
        <f>IF($AD444&lt;&gt;"D","",INDEX($AX$5:$AX$404,$AC444))</f>
        <v/>
      </c>
      <c r="D444" s="70">
        <f>IF($AD444&lt;&gt;"D","",INDEX($BA$5:$BA$404,$AC444))</f>
        <v/>
      </c>
      <c r="E444" s="31">
        <f>IF($AD444="Z",SUM($AR$5:$AR$404),IF($AD444="D",INDEX($AR$5:$AR$404,$AC444),IF($AD444="T",SUMIF($X$5:$X$404,$AF444,$AR$5:$AR$404),IF($AD444="B",SUMIF($AN$5:$AN$404,$AQ444,$AR$5:$AR$404),""))))</f>
        <v/>
      </c>
      <c r="F444" s="32">
        <f>IF($AD444="Z",ROUND(SUM($AS$5:$AS$404),2),IF($AD444="D",INDEX($AS$5:$AS$404,$AC444),IF($AD444="T",ROUND(SUMIF($X$5:$X$404,$AF444,$AS$5:$AS$404),2),IF($AD444="B",ROUND(SUMIF($AN$5:$AN$404,$AQ444,$AS$5:$AS$404),2),""))))</f>
        <v/>
      </c>
      <c r="G444" s="32">
        <f>IF($AD444&lt;&gt;"D","",INDEX($AT$5:$AT$404,$AC444))</f>
        <v/>
      </c>
      <c r="H444" s="32">
        <f>IF($AD444&lt;&gt;"D","",INDEX($BC$5:$BC$404,$AC444))</f>
        <v/>
      </c>
      <c r="I444" s="32">
        <f>IF($AD444&lt;&gt;"D","",INDEX($BD$5:$BD$404,$AC444))</f>
        <v/>
      </c>
      <c r="J444" s="46">
        <f>IF($AD444&lt;&gt;"D","",IF(N($B444)=0,"",ROUND($I444/$B444,4)))</f>
        <v/>
      </c>
      <c r="K444" s="32">
        <f>IF($AD444="Z",ROUND(SUM($AU$5:$AU$404),2),IF($AD444="D",INDEX($AU$5:$AU$404,$AC444),IF($AD444="T",ROUND(SUMIF($X$5:$X$404,$AF444,$AU$5:$AU$404),2),IF($AD444="B",ROUND(SUMIF($AN$5:$AN$404,$AQ444,$AU$5:$AU$404),2),""))))</f>
        <v/>
      </c>
      <c r="L444" s="32">
        <f>IF($AD444="Z",ROUND(SUM($AV$5:$AV$404),2),IF($AD444="D",INDEX($AV$5:$AV$404,$AC444),IF($AD444="T",ROUND(SUMIF($X$5:$X$404,$AF444,$AV$5:$AV$404),2),IF($AD444="B",ROUND(SUMIF($AN$5:$AN$404,$AQ444,$AV$5:$AV$404),2),""))))</f>
        <v/>
      </c>
      <c r="M444" s="32">
        <f>IF($AD444="Z",ROUND(SUM($AJ$5:$AJ$704),2),IF($AD444="B",ROUND(SUMIF($AQ$5:$AQ$704,$AQ444,$AJ$5:$AJ$704),2),IF($AD444&lt;&gt;"T","",$AJ444)))</f>
        <v/>
      </c>
      <c r="N444" s="32">
        <f>IF(OR($AD444="D",$AD444="T",$AD444="B",$AD444="Z"),ROUND(N($K444)-N($L444)-N($M444),2),"")</f>
        <v/>
      </c>
      <c r="O444" s="32">
        <f>IF(OR($AD444="D",$AD444="T",$AD444="B",$AD444="Z"),IF(N($E444)=0,"",ROUND($F444/$E444,2)),"")</f>
        <v/>
      </c>
      <c r="AC444">
        <f>IFERROR(MATCH(440,$AB$5:$AB$404,1),"")</f>
        <v/>
      </c>
      <c r="AD444">
        <f>IF(440=$AI$1+1,"Z",IF($AC444="","",IF(INDEX($V$5:$V$404,$AC444)="","",IF(440&gt;INDEX($AB$5:$AB$404,$AC444)+INDEX($Z$5:$Z$404,$AC444)+INDEX($AA$5:$AA$404,$AC444)+INDEX($AO$5:$AO$404,$AC444),"",IF(440=INDEX($AB$5:$AB$404,$AC444)+INDEX($Z$5:$Z$404,$AC444),"D",IF(AND(INDEX($Z$5:$Z$404,$AC444)=1,440=INDEX($AB$5:$AB$404,$AC444)),"H",IF(AND(INDEX($AO$5:$AO$404,$AC444)=1,440=INDEX($AB$5:$AB$404,$AC444)+INDEX($Z$5:$Z$404,$AC444)+INDEX($AA$5:$AA$404,$AC444)+INDEX($AO$5:$AO$404,$AC444)),"B","T")))))))</f>
        <v/>
      </c>
      <c r="AF444">
        <f>IF(OR($AD444="",$AD444="Z",$AD444="B"),"",INDEX($X$5:$X$404,$AC444))</f>
        <v/>
      </c>
      <c r="AJ444">
        <f>IF($AD444&lt;&gt;"T",0,ROUND(SUMIF(oil!$B$4:$B$63,$AF444,oil!$AE$4:$AE$63),2))</f>
        <v/>
      </c>
      <c r="AQ444">
        <f>IF(OR($AD444="",$AD444="Z"),"",INDEX($AN$5:$AN$404,$AC444))</f>
        <v/>
      </c>
      <c r="AZ444">
        <f>IF(AND($AD444="T",$AQ444=1),N($AZ443)+1,N($AZ443))</f>
        <v/>
      </c>
    </row>
    <row r="445" ht="21" customHeight="1" s="66">
      <c r="A445" s="69">
        <f>IF($AD445="","",IF($AD445="Z","รวมจ่ายทั้งสิ้น",IF($AD445="H",INDEX($X$5:$X$404,$AC445),IF($AD445="T","รวม",IF($AD445="B",IFERROR(INDEX(อัตราค่าขนส่ง!$S$5:$S$14,MATCH(INDEX($AM$5:$AM$404,$AC445),อัตราค่าขนส่ง!$R$5:$R$14,0)),"รวมกลุ่ม "&amp;INDEX($AM$5:$AM$404,$AC445)),INDEX($AY$5:$AY$404,$AC445))))))</f>
        <v/>
      </c>
      <c r="B445" s="31">
        <f>IF($AD445&lt;&gt;"D","",INDEX($AW$5:$AW$404,$AC445))</f>
        <v/>
      </c>
      <c r="C445" s="68">
        <f>IF($AD445&lt;&gt;"D","",INDEX($AX$5:$AX$404,$AC445))</f>
        <v/>
      </c>
      <c r="D445" s="70">
        <f>IF($AD445&lt;&gt;"D","",INDEX($BA$5:$BA$404,$AC445))</f>
        <v/>
      </c>
      <c r="E445" s="31">
        <f>IF($AD445="Z",SUM($AR$5:$AR$404),IF($AD445="D",INDEX($AR$5:$AR$404,$AC445),IF($AD445="T",SUMIF($X$5:$X$404,$AF445,$AR$5:$AR$404),IF($AD445="B",SUMIF($AN$5:$AN$404,$AQ445,$AR$5:$AR$404),""))))</f>
        <v/>
      </c>
      <c r="F445" s="32">
        <f>IF($AD445="Z",ROUND(SUM($AS$5:$AS$404),2),IF($AD445="D",INDEX($AS$5:$AS$404,$AC445),IF($AD445="T",ROUND(SUMIF($X$5:$X$404,$AF445,$AS$5:$AS$404),2),IF($AD445="B",ROUND(SUMIF($AN$5:$AN$404,$AQ445,$AS$5:$AS$404),2),""))))</f>
        <v/>
      </c>
      <c r="G445" s="32">
        <f>IF($AD445&lt;&gt;"D","",INDEX($AT$5:$AT$404,$AC445))</f>
        <v/>
      </c>
      <c r="H445" s="32">
        <f>IF($AD445&lt;&gt;"D","",INDEX($BC$5:$BC$404,$AC445))</f>
        <v/>
      </c>
      <c r="I445" s="32">
        <f>IF($AD445&lt;&gt;"D","",INDEX($BD$5:$BD$404,$AC445))</f>
        <v/>
      </c>
      <c r="J445" s="46">
        <f>IF($AD445&lt;&gt;"D","",IF(N($B445)=0,"",ROUND($I445/$B445,4)))</f>
        <v/>
      </c>
      <c r="K445" s="32">
        <f>IF($AD445="Z",ROUND(SUM($AU$5:$AU$404),2),IF($AD445="D",INDEX($AU$5:$AU$404,$AC445),IF($AD445="T",ROUND(SUMIF($X$5:$X$404,$AF445,$AU$5:$AU$404),2),IF($AD445="B",ROUND(SUMIF($AN$5:$AN$404,$AQ445,$AU$5:$AU$404),2),""))))</f>
        <v/>
      </c>
      <c r="L445" s="32">
        <f>IF($AD445="Z",ROUND(SUM($AV$5:$AV$404),2),IF($AD445="D",INDEX($AV$5:$AV$404,$AC445),IF($AD445="T",ROUND(SUMIF($X$5:$X$404,$AF445,$AV$5:$AV$404),2),IF($AD445="B",ROUND(SUMIF($AN$5:$AN$404,$AQ445,$AV$5:$AV$404),2),""))))</f>
        <v/>
      </c>
      <c r="M445" s="32">
        <f>IF($AD445="Z",ROUND(SUM($AJ$5:$AJ$704),2),IF($AD445="B",ROUND(SUMIF($AQ$5:$AQ$704,$AQ445,$AJ$5:$AJ$704),2),IF($AD445&lt;&gt;"T","",$AJ445)))</f>
        <v/>
      </c>
      <c r="N445" s="32">
        <f>IF(OR($AD445="D",$AD445="T",$AD445="B",$AD445="Z"),ROUND(N($K445)-N($L445)-N($M445),2),"")</f>
        <v/>
      </c>
      <c r="O445" s="32">
        <f>IF(OR($AD445="D",$AD445="T",$AD445="B",$AD445="Z"),IF(N($E445)=0,"",ROUND($F445/$E445,2)),"")</f>
        <v/>
      </c>
      <c r="AC445">
        <f>IFERROR(MATCH(441,$AB$5:$AB$404,1),"")</f>
        <v/>
      </c>
      <c r="AD445">
        <f>IF(441=$AI$1+1,"Z",IF($AC445="","",IF(INDEX($V$5:$V$404,$AC445)="","",IF(441&gt;INDEX($AB$5:$AB$404,$AC445)+INDEX($Z$5:$Z$404,$AC445)+INDEX($AA$5:$AA$404,$AC445)+INDEX($AO$5:$AO$404,$AC445),"",IF(441=INDEX($AB$5:$AB$404,$AC445)+INDEX($Z$5:$Z$404,$AC445),"D",IF(AND(INDEX($Z$5:$Z$404,$AC445)=1,441=INDEX($AB$5:$AB$404,$AC445)),"H",IF(AND(INDEX($AO$5:$AO$404,$AC445)=1,441=INDEX($AB$5:$AB$404,$AC445)+INDEX($Z$5:$Z$404,$AC445)+INDEX($AA$5:$AA$404,$AC445)+INDEX($AO$5:$AO$404,$AC445)),"B","T")))))))</f>
        <v/>
      </c>
      <c r="AF445">
        <f>IF(OR($AD445="",$AD445="Z",$AD445="B"),"",INDEX($X$5:$X$404,$AC445))</f>
        <v/>
      </c>
      <c r="AJ445">
        <f>IF($AD445&lt;&gt;"T",0,ROUND(SUMIF(oil!$B$4:$B$63,$AF445,oil!$AE$4:$AE$63),2))</f>
        <v/>
      </c>
      <c r="AQ445">
        <f>IF(OR($AD445="",$AD445="Z"),"",INDEX($AN$5:$AN$404,$AC445))</f>
        <v/>
      </c>
      <c r="AZ445">
        <f>IF(AND($AD445="T",$AQ445=1),N($AZ444)+1,N($AZ444))</f>
        <v/>
      </c>
    </row>
    <row r="446" ht="21" customHeight="1" s="66">
      <c r="A446" s="69">
        <f>IF($AD446="","",IF($AD446="Z","รวมจ่ายทั้งสิ้น",IF($AD446="H",INDEX($X$5:$X$404,$AC446),IF($AD446="T","รวม",IF($AD446="B",IFERROR(INDEX(อัตราค่าขนส่ง!$S$5:$S$14,MATCH(INDEX($AM$5:$AM$404,$AC446),อัตราค่าขนส่ง!$R$5:$R$14,0)),"รวมกลุ่ม "&amp;INDEX($AM$5:$AM$404,$AC446)),INDEX($AY$5:$AY$404,$AC446))))))</f>
        <v/>
      </c>
      <c r="B446" s="31">
        <f>IF($AD446&lt;&gt;"D","",INDEX($AW$5:$AW$404,$AC446))</f>
        <v/>
      </c>
      <c r="C446" s="68">
        <f>IF($AD446&lt;&gt;"D","",INDEX($AX$5:$AX$404,$AC446))</f>
        <v/>
      </c>
      <c r="D446" s="70">
        <f>IF($AD446&lt;&gt;"D","",INDEX($BA$5:$BA$404,$AC446))</f>
        <v/>
      </c>
      <c r="E446" s="31">
        <f>IF($AD446="Z",SUM($AR$5:$AR$404),IF($AD446="D",INDEX($AR$5:$AR$404,$AC446),IF($AD446="T",SUMIF($X$5:$X$404,$AF446,$AR$5:$AR$404),IF($AD446="B",SUMIF($AN$5:$AN$404,$AQ446,$AR$5:$AR$404),""))))</f>
        <v/>
      </c>
      <c r="F446" s="32">
        <f>IF($AD446="Z",ROUND(SUM($AS$5:$AS$404),2),IF($AD446="D",INDEX($AS$5:$AS$404,$AC446),IF($AD446="T",ROUND(SUMIF($X$5:$X$404,$AF446,$AS$5:$AS$404),2),IF($AD446="B",ROUND(SUMIF($AN$5:$AN$404,$AQ446,$AS$5:$AS$404),2),""))))</f>
        <v/>
      </c>
      <c r="G446" s="32">
        <f>IF($AD446&lt;&gt;"D","",INDEX($AT$5:$AT$404,$AC446))</f>
        <v/>
      </c>
      <c r="H446" s="32">
        <f>IF($AD446&lt;&gt;"D","",INDEX($BC$5:$BC$404,$AC446))</f>
        <v/>
      </c>
      <c r="I446" s="32">
        <f>IF($AD446&lt;&gt;"D","",INDEX($BD$5:$BD$404,$AC446))</f>
        <v/>
      </c>
      <c r="J446" s="46">
        <f>IF($AD446&lt;&gt;"D","",IF(N($B446)=0,"",ROUND($I446/$B446,4)))</f>
        <v/>
      </c>
      <c r="K446" s="32">
        <f>IF($AD446="Z",ROUND(SUM($AU$5:$AU$404),2),IF($AD446="D",INDEX($AU$5:$AU$404,$AC446),IF($AD446="T",ROUND(SUMIF($X$5:$X$404,$AF446,$AU$5:$AU$404),2),IF($AD446="B",ROUND(SUMIF($AN$5:$AN$404,$AQ446,$AU$5:$AU$404),2),""))))</f>
        <v/>
      </c>
      <c r="L446" s="32">
        <f>IF($AD446="Z",ROUND(SUM($AV$5:$AV$404),2),IF($AD446="D",INDEX($AV$5:$AV$404,$AC446),IF($AD446="T",ROUND(SUMIF($X$5:$X$404,$AF446,$AV$5:$AV$404),2),IF($AD446="B",ROUND(SUMIF($AN$5:$AN$404,$AQ446,$AV$5:$AV$404),2),""))))</f>
        <v/>
      </c>
      <c r="M446" s="32">
        <f>IF($AD446="Z",ROUND(SUM($AJ$5:$AJ$704),2),IF($AD446="B",ROUND(SUMIF($AQ$5:$AQ$704,$AQ446,$AJ$5:$AJ$704),2),IF($AD446&lt;&gt;"T","",$AJ446)))</f>
        <v/>
      </c>
      <c r="N446" s="32">
        <f>IF(OR($AD446="D",$AD446="T",$AD446="B",$AD446="Z"),ROUND(N($K446)-N($L446)-N($M446),2),"")</f>
        <v/>
      </c>
      <c r="O446" s="32">
        <f>IF(OR($AD446="D",$AD446="T",$AD446="B",$AD446="Z"),IF(N($E446)=0,"",ROUND($F446/$E446,2)),"")</f>
        <v/>
      </c>
      <c r="AC446">
        <f>IFERROR(MATCH(442,$AB$5:$AB$404,1),"")</f>
        <v/>
      </c>
      <c r="AD446">
        <f>IF(442=$AI$1+1,"Z",IF($AC446="","",IF(INDEX($V$5:$V$404,$AC446)="","",IF(442&gt;INDEX($AB$5:$AB$404,$AC446)+INDEX($Z$5:$Z$404,$AC446)+INDEX($AA$5:$AA$404,$AC446)+INDEX($AO$5:$AO$404,$AC446),"",IF(442=INDEX($AB$5:$AB$404,$AC446)+INDEX($Z$5:$Z$404,$AC446),"D",IF(AND(INDEX($Z$5:$Z$404,$AC446)=1,442=INDEX($AB$5:$AB$404,$AC446)),"H",IF(AND(INDEX($AO$5:$AO$404,$AC446)=1,442=INDEX($AB$5:$AB$404,$AC446)+INDEX($Z$5:$Z$404,$AC446)+INDEX($AA$5:$AA$404,$AC446)+INDEX($AO$5:$AO$404,$AC446)),"B","T")))))))</f>
        <v/>
      </c>
      <c r="AF446">
        <f>IF(OR($AD446="",$AD446="Z",$AD446="B"),"",INDEX($X$5:$X$404,$AC446))</f>
        <v/>
      </c>
      <c r="AJ446">
        <f>IF($AD446&lt;&gt;"T",0,ROUND(SUMIF(oil!$B$4:$B$63,$AF446,oil!$AE$4:$AE$63),2))</f>
        <v/>
      </c>
      <c r="AQ446">
        <f>IF(OR($AD446="",$AD446="Z"),"",INDEX($AN$5:$AN$404,$AC446))</f>
        <v/>
      </c>
      <c r="AZ446">
        <f>IF(AND($AD446="T",$AQ446=1),N($AZ445)+1,N($AZ445))</f>
        <v/>
      </c>
    </row>
    <row r="447" ht="21" customHeight="1" s="66">
      <c r="A447" s="69">
        <f>IF($AD447="","",IF($AD447="Z","รวมจ่ายทั้งสิ้น",IF($AD447="H",INDEX($X$5:$X$404,$AC447),IF($AD447="T","รวม",IF($AD447="B",IFERROR(INDEX(อัตราค่าขนส่ง!$S$5:$S$14,MATCH(INDEX($AM$5:$AM$404,$AC447),อัตราค่าขนส่ง!$R$5:$R$14,0)),"รวมกลุ่ม "&amp;INDEX($AM$5:$AM$404,$AC447)),INDEX($AY$5:$AY$404,$AC447))))))</f>
        <v/>
      </c>
      <c r="B447" s="31">
        <f>IF($AD447&lt;&gt;"D","",INDEX($AW$5:$AW$404,$AC447))</f>
        <v/>
      </c>
      <c r="C447" s="68">
        <f>IF($AD447&lt;&gt;"D","",INDEX($AX$5:$AX$404,$AC447))</f>
        <v/>
      </c>
      <c r="D447" s="70">
        <f>IF($AD447&lt;&gt;"D","",INDEX($BA$5:$BA$404,$AC447))</f>
        <v/>
      </c>
      <c r="E447" s="31">
        <f>IF($AD447="Z",SUM($AR$5:$AR$404),IF($AD447="D",INDEX($AR$5:$AR$404,$AC447),IF($AD447="T",SUMIF($X$5:$X$404,$AF447,$AR$5:$AR$404),IF($AD447="B",SUMIF($AN$5:$AN$404,$AQ447,$AR$5:$AR$404),""))))</f>
        <v/>
      </c>
      <c r="F447" s="32">
        <f>IF($AD447="Z",ROUND(SUM($AS$5:$AS$404),2),IF($AD447="D",INDEX($AS$5:$AS$404,$AC447),IF($AD447="T",ROUND(SUMIF($X$5:$X$404,$AF447,$AS$5:$AS$404),2),IF($AD447="B",ROUND(SUMIF($AN$5:$AN$404,$AQ447,$AS$5:$AS$404),2),""))))</f>
        <v/>
      </c>
      <c r="G447" s="32">
        <f>IF($AD447&lt;&gt;"D","",INDEX($AT$5:$AT$404,$AC447))</f>
        <v/>
      </c>
      <c r="H447" s="32">
        <f>IF($AD447&lt;&gt;"D","",INDEX($BC$5:$BC$404,$AC447))</f>
        <v/>
      </c>
      <c r="I447" s="32">
        <f>IF($AD447&lt;&gt;"D","",INDEX($BD$5:$BD$404,$AC447))</f>
        <v/>
      </c>
      <c r="J447" s="46">
        <f>IF($AD447&lt;&gt;"D","",IF(N($B447)=0,"",ROUND($I447/$B447,4)))</f>
        <v/>
      </c>
      <c r="K447" s="32">
        <f>IF($AD447="Z",ROUND(SUM($AU$5:$AU$404),2),IF($AD447="D",INDEX($AU$5:$AU$404,$AC447),IF($AD447="T",ROUND(SUMIF($X$5:$X$404,$AF447,$AU$5:$AU$404),2),IF($AD447="B",ROUND(SUMIF($AN$5:$AN$404,$AQ447,$AU$5:$AU$404),2),""))))</f>
        <v/>
      </c>
      <c r="L447" s="32">
        <f>IF($AD447="Z",ROUND(SUM($AV$5:$AV$404),2),IF($AD447="D",INDEX($AV$5:$AV$404,$AC447),IF($AD447="T",ROUND(SUMIF($X$5:$X$404,$AF447,$AV$5:$AV$404),2),IF($AD447="B",ROUND(SUMIF($AN$5:$AN$404,$AQ447,$AV$5:$AV$404),2),""))))</f>
        <v/>
      </c>
      <c r="M447" s="32">
        <f>IF($AD447="Z",ROUND(SUM($AJ$5:$AJ$704),2),IF($AD447="B",ROUND(SUMIF($AQ$5:$AQ$704,$AQ447,$AJ$5:$AJ$704),2),IF($AD447&lt;&gt;"T","",$AJ447)))</f>
        <v/>
      </c>
      <c r="N447" s="32">
        <f>IF(OR($AD447="D",$AD447="T",$AD447="B",$AD447="Z"),ROUND(N($K447)-N($L447)-N($M447),2),"")</f>
        <v/>
      </c>
      <c r="O447" s="32">
        <f>IF(OR($AD447="D",$AD447="T",$AD447="B",$AD447="Z"),IF(N($E447)=0,"",ROUND($F447/$E447,2)),"")</f>
        <v/>
      </c>
      <c r="AC447">
        <f>IFERROR(MATCH(443,$AB$5:$AB$404,1),"")</f>
        <v/>
      </c>
      <c r="AD447">
        <f>IF(443=$AI$1+1,"Z",IF($AC447="","",IF(INDEX($V$5:$V$404,$AC447)="","",IF(443&gt;INDEX($AB$5:$AB$404,$AC447)+INDEX($Z$5:$Z$404,$AC447)+INDEX($AA$5:$AA$404,$AC447)+INDEX($AO$5:$AO$404,$AC447),"",IF(443=INDEX($AB$5:$AB$404,$AC447)+INDEX($Z$5:$Z$404,$AC447),"D",IF(AND(INDEX($Z$5:$Z$404,$AC447)=1,443=INDEX($AB$5:$AB$404,$AC447)),"H",IF(AND(INDEX($AO$5:$AO$404,$AC447)=1,443=INDEX($AB$5:$AB$404,$AC447)+INDEX($Z$5:$Z$404,$AC447)+INDEX($AA$5:$AA$404,$AC447)+INDEX($AO$5:$AO$404,$AC447)),"B","T")))))))</f>
        <v/>
      </c>
      <c r="AF447">
        <f>IF(OR($AD447="",$AD447="Z",$AD447="B"),"",INDEX($X$5:$X$404,$AC447))</f>
        <v/>
      </c>
      <c r="AJ447">
        <f>IF($AD447&lt;&gt;"T",0,ROUND(SUMIF(oil!$B$4:$B$63,$AF447,oil!$AE$4:$AE$63),2))</f>
        <v/>
      </c>
      <c r="AQ447">
        <f>IF(OR($AD447="",$AD447="Z"),"",INDEX($AN$5:$AN$404,$AC447))</f>
        <v/>
      </c>
      <c r="AZ447">
        <f>IF(AND($AD447="T",$AQ447=1),N($AZ446)+1,N($AZ446))</f>
        <v/>
      </c>
    </row>
    <row r="448" ht="21" customHeight="1" s="66">
      <c r="A448" s="69">
        <f>IF($AD448="","",IF($AD448="Z","รวมจ่ายทั้งสิ้น",IF($AD448="H",INDEX($X$5:$X$404,$AC448),IF($AD448="T","รวม",IF($AD448="B",IFERROR(INDEX(อัตราค่าขนส่ง!$S$5:$S$14,MATCH(INDEX($AM$5:$AM$404,$AC448),อัตราค่าขนส่ง!$R$5:$R$14,0)),"รวมกลุ่ม "&amp;INDEX($AM$5:$AM$404,$AC448)),INDEX($AY$5:$AY$404,$AC448))))))</f>
        <v/>
      </c>
      <c r="B448" s="31">
        <f>IF($AD448&lt;&gt;"D","",INDEX($AW$5:$AW$404,$AC448))</f>
        <v/>
      </c>
      <c r="C448" s="68">
        <f>IF($AD448&lt;&gt;"D","",INDEX($AX$5:$AX$404,$AC448))</f>
        <v/>
      </c>
      <c r="D448" s="70">
        <f>IF($AD448&lt;&gt;"D","",INDEX($BA$5:$BA$404,$AC448))</f>
        <v/>
      </c>
      <c r="E448" s="31">
        <f>IF($AD448="Z",SUM($AR$5:$AR$404),IF($AD448="D",INDEX($AR$5:$AR$404,$AC448),IF($AD448="T",SUMIF($X$5:$X$404,$AF448,$AR$5:$AR$404),IF($AD448="B",SUMIF($AN$5:$AN$404,$AQ448,$AR$5:$AR$404),""))))</f>
        <v/>
      </c>
      <c r="F448" s="32">
        <f>IF($AD448="Z",ROUND(SUM($AS$5:$AS$404),2),IF($AD448="D",INDEX($AS$5:$AS$404,$AC448),IF($AD448="T",ROUND(SUMIF($X$5:$X$404,$AF448,$AS$5:$AS$404),2),IF($AD448="B",ROUND(SUMIF($AN$5:$AN$404,$AQ448,$AS$5:$AS$404),2),""))))</f>
        <v/>
      </c>
      <c r="G448" s="32">
        <f>IF($AD448&lt;&gt;"D","",INDEX($AT$5:$AT$404,$AC448))</f>
        <v/>
      </c>
      <c r="H448" s="32">
        <f>IF($AD448&lt;&gt;"D","",INDEX($BC$5:$BC$404,$AC448))</f>
        <v/>
      </c>
      <c r="I448" s="32">
        <f>IF($AD448&lt;&gt;"D","",INDEX($BD$5:$BD$404,$AC448))</f>
        <v/>
      </c>
      <c r="J448" s="46">
        <f>IF($AD448&lt;&gt;"D","",IF(N($B448)=0,"",ROUND($I448/$B448,4)))</f>
        <v/>
      </c>
      <c r="K448" s="32">
        <f>IF($AD448="Z",ROUND(SUM($AU$5:$AU$404),2),IF($AD448="D",INDEX($AU$5:$AU$404,$AC448),IF($AD448="T",ROUND(SUMIF($X$5:$X$404,$AF448,$AU$5:$AU$404),2),IF($AD448="B",ROUND(SUMIF($AN$5:$AN$404,$AQ448,$AU$5:$AU$404),2),""))))</f>
        <v/>
      </c>
      <c r="L448" s="32">
        <f>IF($AD448="Z",ROUND(SUM($AV$5:$AV$404),2),IF($AD448="D",INDEX($AV$5:$AV$404,$AC448),IF($AD448="T",ROUND(SUMIF($X$5:$X$404,$AF448,$AV$5:$AV$404),2),IF($AD448="B",ROUND(SUMIF($AN$5:$AN$404,$AQ448,$AV$5:$AV$404),2),""))))</f>
        <v/>
      </c>
      <c r="M448" s="32">
        <f>IF($AD448="Z",ROUND(SUM($AJ$5:$AJ$704),2),IF($AD448="B",ROUND(SUMIF($AQ$5:$AQ$704,$AQ448,$AJ$5:$AJ$704),2),IF($AD448&lt;&gt;"T","",$AJ448)))</f>
        <v/>
      </c>
      <c r="N448" s="32">
        <f>IF(OR($AD448="D",$AD448="T",$AD448="B",$AD448="Z"),ROUND(N($K448)-N($L448)-N($M448),2),"")</f>
        <v/>
      </c>
      <c r="O448" s="32">
        <f>IF(OR($AD448="D",$AD448="T",$AD448="B",$AD448="Z"),IF(N($E448)=0,"",ROUND($F448/$E448,2)),"")</f>
        <v/>
      </c>
      <c r="AC448">
        <f>IFERROR(MATCH(444,$AB$5:$AB$404,1),"")</f>
        <v/>
      </c>
      <c r="AD448">
        <f>IF(444=$AI$1+1,"Z",IF($AC448="","",IF(INDEX($V$5:$V$404,$AC448)="","",IF(444&gt;INDEX($AB$5:$AB$404,$AC448)+INDEX($Z$5:$Z$404,$AC448)+INDEX($AA$5:$AA$404,$AC448)+INDEX($AO$5:$AO$404,$AC448),"",IF(444=INDEX($AB$5:$AB$404,$AC448)+INDEX($Z$5:$Z$404,$AC448),"D",IF(AND(INDEX($Z$5:$Z$404,$AC448)=1,444=INDEX($AB$5:$AB$404,$AC448)),"H",IF(AND(INDEX($AO$5:$AO$404,$AC448)=1,444=INDEX($AB$5:$AB$404,$AC448)+INDEX($Z$5:$Z$404,$AC448)+INDEX($AA$5:$AA$404,$AC448)+INDEX($AO$5:$AO$404,$AC448)),"B","T")))))))</f>
        <v/>
      </c>
      <c r="AF448">
        <f>IF(OR($AD448="",$AD448="Z",$AD448="B"),"",INDEX($X$5:$X$404,$AC448))</f>
        <v/>
      </c>
      <c r="AJ448">
        <f>IF($AD448&lt;&gt;"T",0,ROUND(SUMIF(oil!$B$4:$B$63,$AF448,oil!$AE$4:$AE$63),2))</f>
        <v/>
      </c>
      <c r="AQ448">
        <f>IF(OR($AD448="",$AD448="Z"),"",INDEX($AN$5:$AN$404,$AC448))</f>
        <v/>
      </c>
      <c r="AZ448">
        <f>IF(AND($AD448="T",$AQ448=1),N($AZ447)+1,N($AZ447))</f>
        <v/>
      </c>
    </row>
    <row r="449" ht="21" customHeight="1" s="66">
      <c r="A449" s="69">
        <f>IF($AD449="","",IF($AD449="Z","รวมจ่ายทั้งสิ้น",IF($AD449="H",INDEX($X$5:$X$404,$AC449),IF($AD449="T","รวม",IF($AD449="B",IFERROR(INDEX(อัตราค่าขนส่ง!$S$5:$S$14,MATCH(INDEX($AM$5:$AM$404,$AC449),อัตราค่าขนส่ง!$R$5:$R$14,0)),"รวมกลุ่ม "&amp;INDEX($AM$5:$AM$404,$AC449)),INDEX($AY$5:$AY$404,$AC449))))))</f>
        <v/>
      </c>
      <c r="B449" s="31">
        <f>IF($AD449&lt;&gt;"D","",INDEX($AW$5:$AW$404,$AC449))</f>
        <v/>
      </c>
      <c r="C449" s="68">
        <f>IF($AD449&lt;&gt;"D","",INDEX($AX$5:$AX$404,$AC449))</f>
        <v/>
      </c>
      <c r="D449" s="70">
        <f>IF($AD449&lt;&gt;"D","",INDEX($BA$5:$BA$404,$AC449))</f>
        <v/>
      </c>
      <c r="E449" s="31">
        <f>IF($AD449="Z",SUM($AR$5:$AR$404),IF($AD449="D",INDEX($AR$5:$AR$404,$AC449),IF($AD449="T",SUMIF($X$5:$X$404,$AF449,$AR$5:$AR$404),IF($AD449="B",SUMIF($AN$5:$AN$404,$AQ449,$AR$5:$AR$404),""))))</f>
        <v/>
      </c>
      <c r="F449" s="32">
        <f>IF($AD449="Z",ROUND(SUM($AS$5:$AS$404),2),IF($AD449="D",INDEX($AS$5:$AS$404,$AC449),IF($AD449="T",ROUND(SUMIF($X$5:$X$404,$AF449,$AS$5:$AS$404),2),IF($AD449="B",ROUND(SUMIF($AN$5:$AN$404,$AQ449,$AS$5:$AS$404),2),""))))</f>
        <v/>
      </c>
      <c r="G449" s="32">
        <f>IF($AD449&lt;&gt;"D","",INDEX($AT$5:$AT$404,$AC449))</f>
        <v/>
      </c>
      <c r="H449" s="32">
        <f>IF($AD449&lt;&gt;"D","",INDEX($BC$5:$BC$404,$AC449))</f>
        <v/>
      </c>
      <c r="I449" s="32">
        <f>IF($AD449&lt;&gt;"D","",INDEX($BD$5:$BD$404,$AC449))</f>
        <v/>
      </c>
      <c r="J449" s="46">
        <f>IF($AD449&lt;&gt;"D","",IF(N($B449)=0,"",ROUND($I449/$B449,4)))</f>
        <v/>
      </c>
      <c r="K449" s="32">
        <f>IF($AD449="Z",ROUND(SUM($AU$5:$AU$404),2),IF($AD449="D",INDEX($AU$5:$AU$404,$AC449),IF($AD449="T",ROUND(SUMIF($X$5:$X$404,$AF449,$AU$5:$AU$404),2),IF($AD449="B",ROUND(SUMIF($AN$5:$AN$404,$AQ449,$AU$5:$AU$404),2),""))))</f>
        <v/>
      </c>
      <c r="L449" s="32">
        <f>IF($AD449="Z",ROUND(SUM($AV$5:$AV$404),2),IF($AD449="D",INDEX($AV$5:$AV$404,$AC449),IF($AD449="T",ROUND(SUMIF($X$5:$X$404,$AF449,$AV$5:$AV$404),2),IF($AD449="B",ROUND(SUMIF($AN$5:$AN$404,$AQ449,$AV$5:$AV$404),2),""))))</f>
        <v/>
      </c>
      <c r="M449" s="32">
        <f>IF($AD449="Z",ROUND(SUM($AJ$5:$AJ$704),2),IF($AD449="B",ROUND(SUMIF($AQ$5:$AQ$704,$AQ449,$AJ$5:$AJ$704),2),IF($AD449&lt;&gt;"T","",$AJ449)))</f>
        <v/>
      </c>
      <c r="N449" s="32">
        <f>IF(OR($AD449="D",$AD449="T",$AD449="B",$AD449="Z"),ROUND(N($K449)-N($L449)-N($M449),2),"")</f>
        <v/>
      </c>
      <c r="O449" s="32">
        <f>IF(OR($AD449="D",$AD449="T",$AD449="B",$AD449="Z"),IF(N($E449)=0,"",ROUND($F449/$E449,2)),"")</f>
        <v/>
      </c>
      <c r="AC449">
        <f>IFERROR(MATCH(445,$AB$5:$AB$404,1),"")</f>
        <v/>
      </c>
      <c r="AD449">
        <f>IF(445=$AI$1+1,"Z",IF($AC449="","",IF(INDEX($V$5:$V$404,$AC449)="","",IF(445&gt;INDEX($AB$5:$AB$404,$AC449)+INDEX($Z$5:$Z$404,$AC449)+INDEX($AA$5:$AA$404,$AC449)+INDEX($AO$5:$AO$404,$AC449),"",IF(445=INDEX($AB$5:$AB$404,$AC449)+INDEX($Z$5:$Z$404,$AC449),"D",IF(AND(INDEX($Z$5:$Z$404,$AC449)=1,445=INDEX($AB$5:$AB$404,$AC449)),"H",IF(AND(INDEX($AO$5:$AO$404,$AC449)=1,445=INDEX($AB$5:$AB$404,$AC449)+INDEX($Z$5:$Z$404,$AC449)+INDEX($AA$5:$AA$404,$AC449)+INDEX($AO$5:$AO$404,$AC449)),"B","T")))))))</f>
        <v/>
      </c>
      <c r="AF449">
        <f>IF(OR($AD449="",$AD449="Z",$AD449="B"),"",INDEX($X$5:$X$404,$AC449))</f>
        <v/>
      </c>
      <c r="AJ449">
        <f>IF($AD449&lt;&gt;"T",0,ROUND(SUMIF(oil!$B$4:$B$63,$AF449,oil!$AE$4:$AE$63),2))</f>
        <v/>
      </c>
      <c r="AQ449">
        <f>IF(OR($AD449="",$AD449="Z"),"",INDEX($AN$5:$AN$404,$AC449))</f>
        <v/>
      </c>
      <c r="AZ449">
        <f>IF(AND($AD449="T",$AQ449=1),N($AZ448)+1,N($AZ448))</f>
        <v/>
      </c>
    </row>
    <row r="450" ht="21" customHeight="1" s="66">
      <c r="A450" s="69">
        <f>IF($AD450="","",IF($AD450="Z","รวมจ่ายทั้งสิ้น",IF($AD450="H",INDEX($X$5:$X$404,$AC450),IF($AD450="T","รวม",IF($AD450="B",IFERROR(INDEX(อัตราค่าขนส่ง!$S$5:$S$14,MATCH(INDEX($AM$5:$AM$404,$AC450),อัตราค่าขนส่ง!$R$5:$R$14,0)),"รวมกลุ่ม "&amp;INDEX($AM$5:$AM$404,$AC450)),INDEX($AY$5:$AY$404,$AC450))))))</f>
        <v/>
      </c>
      <c r="B450" s="31">
        <f>IF($AD450&lt;&gt;"D","",INDEX($AW$5:$AW$404,$AC450))</f>
        <v/>
      </c>
      <c r="C450" s="68">
        <f>IF($AD450&lt;&gt;"D","",INDEX($AX$5:$AX$404,$AC450))</f>
        <v/>
      </c>
      <c r="D450" s="70">
        <f>IF($AD450&lt;&gt;"D","",INDEX($BA$5:$BA$404,$AC450))</f>
        <v/>
      </c>
      <c r="E450" s="31">
        <f>IF($AD450="Z",SUM($AR$5:$AR$404),IF($AD450="D",INDEX($AR$5:$AR$404,$AC450),IF($AD450="T",SUMIF($X$5:$X$404,$AF450,$AR$5:$AR$404),IF($AD450="B",SUMIF($AN$5:$AN$404,$AQ450,$AR$5:$AR$404),""))))</f>
        <v/>
      </c>
      <c r="F450" s="32">
        <f>IF($AD450="Z",ROUND(SUM($AS$5:$AS$404),2),IF($AD450="D",INDEX($AS$5:$AS$404,$AC450),IF($AD450="T",ROUND(SUMIF($X$5:$X$404,$AF450,$AS$5:$AS$404),2),IF($AD450="B",ROUND(SUMIF($AN$5:$AN$404,$AQ450,$AS$5:$AS$404),2),""))))</f>
        <v/>
      </c>
      <c r="G450" s="32">
        <f>IF($AD450&lt;&gt;"D","",INDEX($AT$5:$AT$404,$AC450))</f>
        <v/>
      </c>
      <c r="H450" s="32">
        <f>IF($AD450&lt;&gt;"D","",INDEX($BC$5:$BC$404,$AC450))</f>
        <v/>
      </c>
      <c r="I450" s="32">
        <f>IF($AD450&lt;&gt;"D","",INDEX($BD$5:$BD$404,$AC450))</f>
        <v/>
      </c>
      <c r="J450" s="46">
        <f>IF($AD450&lt;&gt;"D","",IF(N($B450)=0,"",ROUND($I450/$B450,4)))</f>
        <v/>
      </c>
      <c r="K450" s="32">
        <f>IF($AD450="Z",ROUND(SUM($AU$5:$AU$404),2),IF($AD450="D",INDEX($AU$5:$AU$404,$AC450),IF($AD450="T",ROUND(SUMIF($X$5:$X$404,$AF450,$AU$5:$AU$404),2),IF($AD450="B",ROUND(SUMIF($AN$5:$AN$404,$AQ450,$AU$5:$AU$404),2),""))))</f>
        <v/>
      </c>
      <c r="L450" s="32">
        <f>IF($AD450="Z",ROUND(SUM($AV$5:$AV$404),2),IF($AD450="D",INDEX($AV$5:$AV$404,$AC450),IF($AD450="T",ROUND(SUMIF($X$5:$X$404,$AF450,$AV$5:$AV$404),2),IF($AD450="B",ROUND(SUMIF($AN$5:$AN$404,$AQ450,$AV$5:$AV$404),2),""))))</f>
        <v/>
      </c>
      <c r="M450" s="32">
        <f>IF($AD450="Z",ROUND(SUM($AJ$5:$AJ$704),2),IF($AD450="B",ROUND(SUMIF($AQ$5:$AQ$704,$AQ450,$AJ$5:$AJ$704),2),IF($AD450&lt;&gt;"T","",$AJ450)))</f>
        <v/>
      </c>
      <c r="N450" s="32">
        <f>IF(OR($AD450="D",$AD450="T",$AD450="B",$AD450="Z"),ROUND(N($K450)-N($L450)-N($M450),2),"")</f>
        <v/>
      </c>
      <c r="O450" s="32">
        <f>IF(OR($AD450="D",$AD450="T",$AD450="B",$AD450="Z"),IF(N($E450)=0,"",ROUND($F450/$E450,2)),"")</f>
        <v/>
      </c>
      <c r="AC450">
        <f>IFERROR(MATCH(446,$AB$5:$AB$404,1),"")</f>
        <v/>
      </c>
      <c r="AD450">
        <f>IF(446=$AI$1+1,"Z",IF($AC450="","",IF(INDEX($V$5:$V$404,$AC450)="","",IF(446&gt;INDEX($AB$5:$AB$404,$AC450)+INDEX($Z$5:$Z$404,$AC450)+INDEX($AA$5:$AA$404,$AC450)+INDEX($AO$5:$AO$404,$AC450),"",IF(446=INDEX($AB$5:$AB$404,$AC450)+INDEX($Z$5:$Z$404,$AC450),"D",IF(AND(INDEX($Z$5:$Z$404,$AC450)=1,446=INDEX($AB$5:$AB$404,$AC450)),"H",IF(AND(INDEX($AO$5:$AO$404,$AC450)=1,446=INDEX($AB$5:$AB$404,$AC450)+INDEX($Z$5:$Z$404,$AC450)+INDEX($AA$5:$AA$404,$AC450)+INDEX($AO$5:$AO$404,$AC450)),"B","T")))))))</f>
        <v/>
      </c>
      <c r="AF450">
        <f>IF(OR($AD450="",$AD450="Z",$AD450="B"),"",INDEX($X$5:$X$404,$AC450))</f>
        <v/>
      </c>
      <c r="AJ450">
        <f>IF($AD450&lt;&gt;"T",0,ROUND(SUMIF(oil!$B$4:$B$63,$AF450,oil!$AE$4:$AE$63),2))</f>
        <v/>
      </c>
      <c r="AQ450">
        <f>IF(OR($AD450="",$AD450="Z"),"",INDEX($AN$5:$AN$404,$AC450))</f>
        <v/>
      </c>
      <c r="AZ450">
        <f>IF(AND($AD450="T",$AQ450=1),N($AZ449)+1,N($AZ449))</f>
        <v/>
      </c>
    </row>
    <row r="451" ht="21" customHeight="1" s="66">
      <c r="A451" s="69">
        <f>IF($AD451="","",IF($AD451="Z","รวมจ่ายทั้งสิ้น",IF($AD451="H",INDEX($X$5:$X$404,$AC451),IF($AD451="T","รวม",IF($AD451="B",IFERROR(INDEX(อัตราค่าขนส่ง!$S$5:$S$14,MATCH(INDEX($AM$5:$AM$404,$AC451),อัตราค่าขนส่ง!$R$5:$R$14,0)),"รวมกลุ่ม "&amp;INDEX($AM$5:$AM$404,$AC451)),INDEX($AY$5:$AY$404,$AC451))))))</f>
        <v/>
      </c>
      <c r="B451" s="31">
        <f>IF($AD451&lt;&gt;"D","",INDEX($AW$5:$AW$404,$AC451))</f>
        <v/>
      </c>
      <c r="C451" s="68">
        <f>IF($AD451&lt;&gt;"D","",INDEX($AX$5:$AX$404,$AC451))</f>
        <v/>
      </c>
      <c r="D451" s="70">
        <f>IF($AD451&lt;&gt;"D","",INDEX($BA$5:$BA$404,$AC451))</f>
        <v/>
      </c>
      <c r="E451" s="31">
        <f>IF($AD451="Z",SUM($AR$5:$AR$404),IF($AD451="D",INDEX($AR$5:$AR$404,$AC451),IF($AD451="T",SUMIF($X$5:$X$404,$AF451,$AR$5:$AR$404),IF($AD451="B",SUMIF($AN$5:$AN$404,$AQ451,$AR$5:$AR$404),""))))</f>
        <v/>
      </c>
      <c r="F451" s="32">
        <f>IF($AD451="Z",ROUND(SUM($AS$5:$AS$404),2),IF($AD451="D",INDEX($AS$5:$AS$404,$AC451),IF($AD451="T",ROUND(SUMIF($X$5:$X$404,$AF451,$AS$5:$AS$404),2),IF($AD451="B",ROUND(SUMIF($AN$5:$AN$404,$AQ451,$AS$5:$AS$404),2),""))))</f>
        <v/>
      </c>
      <c r="G451" s="32">
        <f>IF($AD451&lt;&gt;"D","",INDEX($AT$5:$AT$404,$AC451))</f>
        <v/>
      </c>
      <c r="H451" s="32">
        <f>IF($AD451&lt;&gt;"D","",INDEX($BC$5:$BC$404,$AC451))</f>
        <v/>
      </c>
      <c r="I451" s="32">
        <f>IF($AD451&lt;&gt;"D","",INDEX($BD$5:$BD$404,$AC451))</f>
        <v/>
      </c>
      <c r="J451" s="46">
        <f>IF($AD451&lt;&gt;"D","",IF(N($B451)=0,"",ROUND($I451/$B451,4)))</f>
        <v/>
      </c>
      <c r="K451" s="32">
        <f>IF($AD451="Z",ROUND(SUM($AU$5:$AU$404),2),IF($AD451="D",INDEX($AU$5:$AU$404,$AC451),IF($AD451="T",ROUND(SUMIF($X$5:$X$404,$AF451,$AU$5:$AU$404),2),IF($AD451="B",ROUND(SUMIF($AN$5:$AN$404,$AQ451,$AU$5:$AU$404),2),""))))</f>
        <v/>
      </c>
      <c r="L451" s="32">
        <f>IF($AD451="Z",ROUND(SUM($AV$5:$AV$404),2),IF($AD451="D",INDEX($AV$5:$AV$404,$AC451),IF($AD451="T",ROUND(SUMIF($X$5:$X$404,$AF451,$AV$5:$AV$404),2),IF($AD451="B",ROUND(SUMIF($AN$5:$AN$404,$AQ451,$AV$5:$AV$404),2),""))))</f>
        <v/>
      </c>
      <c r="M451" s="32">
        <f>IF($AD451="Z",ROUND(SUM($AJ$5:$AJ$704),2),IF($AD451="B",ROUND(SUMIF($AQ$5:$AQ$704,$AQ451,$AJ$5:$AJ$704),2),IF($AD451&lt;&gt;"T","",$AJ451)))</f>
        <v/>
      </c>
      <c r="N451" s="32">
        <f>IF(OR($AD451="D",$AD451="T",$AD451="B",$AD451="Z"),ROUND(N($K451)-N($L451)-N($M451),2),"")</f>
        <v/>
      </c>
      <c r="O451" s="32">
        <f>IF(OR($AD451="D",$AD451="T",$AD451="B",$AD451="Z"),IF(N($E451)=0,"",ROUND($F451/$E451,2)),"")</f>
        <v/>
      </c>
      <c r="AC451">
        <f>IFERROR(MATCH(447,$AB$5:$AB$404,1),"")</f>
        <v/>
      </c>
      <c r="AD451">
        <f>IF(447=$AI$1+1,"Z",IF($AC451="","",IF(INDEX($V$5:$V$404,$AC451)="","",IF(447&gt;INDEX($AB$5:$AB$404,$AC451)+INDEX($Z$5:$Z$404,$AC451)+INDEX($AA$5:$AA$404,$AC451)+INDEX($AO$5:$AO$404,$AC451),"",IF(447=INDEX($AB$5:$AB$404,$AC451)+INDEX($Z$5:$Z$404,$AC451),"D",IF(AND(INDEX($Z$5:$Z$404,$AC451)=1,447=INDEX($AB$5:$AB$404,$AC451)),"H",IF(AND(INDEX($AO$5:$AO$404,$AC451)=1,447=INDEX($AB$5:$AB$404,$AC451)+INDEX($Z$5:$Z$404,$AC451)+INDEX($AA$5:$AA$404,$AC451)+INDEX($AO$5:$AO$404,$AC451)),"B","T")))))))</f>
        <v/>
      </c>
      <c r="AF451">
        <f>IF(OR($AD451="",$AD451="Z",$AD451="B"),"",INDEX($X$5:$X$404,$AC451))</f>
        <v/>
      </c>
      <c r="AJ451">
        <f>IF($AD451&lt;&gt;"T",0,ROUND(SUMIF(oil!$B$4:$B$63,$AF451,oil!$AE$4:$AE$63),2))</f>
        <v/>
      </c>
      <c r="AQ451">
        <f>IF(OR($AD451="",$AD451="Z"),"",INDEX($AN$5:$AN$404,$AC451))</f>
        <v/>
      </c>
      <c r="AZ451">
        <f>IF(AND($AD451="T",$AQ451=1),N($AZ450)+1,N($AZ450))</f>
        <v/>
      </c>
    </row>
    <row r="452" ht="21" customHeight="1" s="66">
      <c r="A452" s="69">
        <f>IF($AD452="","",IF($AD452="Z","รวมจ่ายทั้งสิ้น",IF($AD452="H",INDEX($X$5:$X$404,$AC452),IF($AD452="T","รวม",IF($AD452="B",IFERROR(INDEX(อัตราค่าขนส่ง!$S$5:$S$14,MATCH(INDEX($AM$5:$AM$404,$AC452),อัตราค่าขนส่ง!$R$5:$R$14,0)),"รวมกลุ่ม "&amp;INDEX($AM$5:$AM$404,$AC452)),INDEX($AY$5:$AY$404,$AC452))))))</f>
        <v/>
      </c>
      <c r="B452" s="31">
        <f>IF($AD452&lt;&gt;"D","",INDEX($AW$5:$AW$404,$AC452))</f>
        <v/>
      </c>
      <c r="C452" s="68">
        <f>IF($AD452&lt;&gt;"D","",INDEX($AX$5:$AX$404,$AC452))</f>
        <v/>
      </c>
      <c r="D452" s="70">
        <f>IF($AD452&lt;&gt;"D","",INDEX($BA$5:$BA$404,$AC452))</f>
        <v/>
      </c>
      <c r="E452" s="31">
        <f>IF($AD452="Z",SUM($AR$5:$AR$404),IF($AD452="D",INDEX($AR$5:$AR$404,$AC452),IF($AD452="T",SUMIF($X$5:$X$404,$AF452,$AR$5:$AR$404),IF($AD452="B",SUMIF($AN$5:$AN$404,$AQ452,$AR$5:$AR$404),""))))</f>
        <v/>
      </c>
      <c r="F452" s="32">
        <f>IF($AD452="Z",ROUND(SUM($AS$5:$AS$404),2),IF($AD452="D",INDEX($AS$5:$AS$404,$AC452),IF($AD452="T",ROUND(SUMIF($X$5:$X$404,$AF452,$AS$5:$AS$404),2),IF($AD452="B",ROUND(SUMIF($AN$5:$AN$404,$AQ452,$AS$5:$AS$404),2),""))))</f>
        <v/>
      </c>
      <c r="G452" s="32">
        <f>IF($AD452&lt;&gt;"D","",INDEX($AT$5:$AT$404,$AC452))</f>
        <v/>
      </c>
      <c r="H452" s="32">
        <f>IF($AD452&lt;&gt;"D","",INDEX($BC$5:$BC$404,$AC452))</f>
        <v/>
      </c>
      <c r="I452" s="32">
        <f>IF($AD452&lt;&gt;"D","",INDEX($BD$5:$BD$404,$AC452))</f>
        <v/>
      </c>
      <c r="J452" s="46">
        <f>IF($AD452&lt;&gt;"D","",IF(N($B452)=0,"",ROUND($I452/$B452,4)))</f>
        <v/>
      </c>
      <c r="K452" s="32">
        <f>IF($AD452="Z",ROUND(SUM($AU$5:$AU$404),2),IF($AD452="D",INDEX($AU$5:$AU$404,$AC452),IF($AD452="T",ROUND(SUMIF($X$5:$X$404,$AF452,$AU$5:$AU$404),2),IF($AD452="B",ROUND(SUMIF($AN$5:$AN$404,$AQ452,$AU$5:$AU$404),2),""))))</f>
        <v/>
      </c>
      <c r="L452" s="32">
        <f>IF($AD452="Z",ROUND(SUM($AV$5:$AV$404),2),IF($AD452="D",INDEX($AV$5:$AV$404,$AC452),IF($AD452="T",ROUND(SUMIF($X$5:$X$404,$AF452,$AV$5:$AV$404),2),IF($AD452="B",ROUND(SUMIF($AN$5:$AN$404,$AQ452,$AV$5:$AV$404),2),""))))</f>
        <v/>
      </c>
      <c r="M452" s="32">
        <f>IF($AD452="Z",ROUND(SUM($AJ$5:$AJ$704),2),IF($AD452="B",ROUND(SUMIF($AQ$5:$AQ$704,$AQ452,$AJ$5:$AJ$704),2),IF($AD452&lt;&gt;"T","",$AJ452)))</f>
        <v/>
      </c>
      <c r="N452" s="32">
        <f>IF(OR($AD452="D",$AD452="T",$AD452="B",$AD452="Z"),ROUND(N($K452)-N($L452)-N($M452),2),"")</f>
        <v/>
      </c>
      <c r="O452" s="32">
        <f>IF(OR($AD452="D",$AD452="T",$AD452="B",$AD452="Z"),IF(N($E452)=0,"",ROUND($F452/$E452,2)),"")</f>
        <v/>
      </c>
      <c r="AC452">
        <f>IFERROR(MATCH(448,$AB$5:$AB$404,1),"")</f>
        <v/>
      </c>
      <c r="AD452">
        <f>IF(448=$AI$1+1,"Z",IF($AC452="","",IF(INDEX($V$5:$V$404,$AC452)="","",IF(448&gt;INDEX($AB$5:$AB$404,$AC452)+INDEX($Z$5:$Z$404,$AC452)+INDEX($AA$5:$AA$404,$AC452)+INDEX($AO$5:$AO$404,$AC452),"",IF(448=INDEX($AB$5:$AB$404,$AC452)+INDEX($Z$5:$Z$404,$AC452),"D",IF(AND(INDEX($Z$5:$Z$404,$AC452)=1,448=INDEX($AB$5:$AB$404,$AC452)),"H",IF(AND(INDEX($AO$5:$AO$404,$AC452)=1,448=INDEX($AB$5:$AB$404,$AC452)+INDEX($Z$5:$Z$404,$AC452)+INDEX($AA$5:$AA$404,$AC452)+INDEX($AO$5:$AO$404,$AC452)),"B","T")))))))</f>
        <v/>
      </c>
      <c r="AF452">
        <f>IF(OR($AD452="",$AD452="Z",$AD452="B"),"",INDEX($X$5:$X$404,$AC452))</f>
        <v/>
      </c>
      <c r="AJ452">
        <f>IF($AD452&lt;&gt;"T",0,ROUND(SUMIF(oil!$B$4:$B$63,$AF452,oil!$AE$4:$AE$63),2))</f>
        <v/>
      </c>
      <c r="AQ452">
        <f>IF(OR($AD452="",$AD452="Z"),"",INDEX($AN$5:$AN$404,$AC452))</f>
        <v/>
      </c>
      <c r="AZ452">
        <f>IF(AND($AD452="T",$AQ452=1),N($AZ451)+1,N($AZ451))</f>
        <v/>
      </c>
    </row>
    <row r="453" ht="21" customHeight="1" s="66">
      <c r="A453" s="69">
        <f>IF($AD453="","",IF($AD453="Z","รวมจ่ายทั้งสิ้น",IF($AD453="H",INDEX($X$5:$X$404,$AC453),IF($AD453="T","รวม",IF($AD453="B",IFERROR(INDEX(อัตราค่าขนส่ง!$S$5:$S$14,MATCH(INDEX($AM$5:$AM$404,$AC453),อัตราค่าขนส่ง!$R$5:$R$14,0)),"รวมกลุ่ม "&amp;INDEX($AM$5:$AM$404,$AC453)),INDEX($AY$5:$AY$404,$AC453))))))</f>
        <v/>
      </c>
      <c r="B453" s="31">
        <f>IF($AD453&lt;&gt;"D","",INDEX($AW$5:$AW$404,$AC453))</f>
        <v/>
      </c>
      <c r="C453" s="68">
        <f>IF($AD453&lt;&gt;"D","",INDEX($AX$5:$AX$404,$AC453))</f>
        <v/>
      </c>
      <c r="D453" s="70">
        <f>IF($AD453&lt;&gt;"D","",INDEX($BA$5:$BA$404,$AC453))</f>
        <v/>
      </c>
      <c r="E453" s="31">
        <f>IF($AD453="Z",SUM($AR$5:$AR$404),IF($AD453="D",INDEX($AR$5:$AR$404,$AC453),IF($AD453="T",SUMIF($X$5:$X$404,$AF453,$AR$5:$AR$404),IF($AD453="B",SUMIF($AN$5:$AN$404,$AQ453,$AR$5:$AR$404),""))))</f>
        <v/>
      </c>
      <c r="F453" s="32">
        <f>IF($AD453="Z",ROUND(SUM($AS$5:$AS$404),2),IF($AD453="D",INDEX($AS$5:$AS$404,$AC453),IF($AD453="T",ROUND(SUMIF($X$5:$X$404,$AF453,$AS$5:$AS$404),2),IF($AD453="B",ROUND(SUMIF($AN$5:$AN$404,$AQ453,$AS$5:$AS$404),2),""))))</f>
        <v/>
      </c>
      <c r="G453" s="32">
        <f>IF($AD453&lt;&gt;"D","",INDEX($AT$5:$AT$404,$AC453))</f>
        <v/>
      </c>
      <c r="H453" s="32">
        <f>IF($AD453&lt;&gt;"D","",INDEX($BC$5:$BC$404,$AC453))</f>
        <v/>
      </c>
      <c r="I453" s="32">
        <f>IF($AD453&lt;&gt;"D","",INDEX($BD$5:$BD$404,$AC453))</f>
        <v/>
      </c>
      <c r="J453" s="46">
        <f>IF($AD453&lt;&gt;"D","",IF(N($B453)=0,"",ROUND($I453/$B453,4)))</f>
        <v/>
      </c>
      <c r="K453" s="32">
        <f>IF($AD453="Z",ROUND(SUM($AU$5:$AU$404),2),IF($AD453="D",INDEX($AU$5:$AU$404,$AC453),IF($AD453="T",ROUND(SUMIF($X$5:$X$404,$AF453,$AU$5:$AU$404),2),IF($AD453="B",ROUND(SUMIF($AN$5:$AN$404,$AQ453,$AU$5:$AU$404),2),""))))</f>
        <v/>
      </c>
      <c r="L453" s="32">
        <f>IF($AD453="Z",ROUND(SUM($AV$5:$AV$404),2),IF($AD453="D",INDEX($AV$5:$AV$404,$AC453),IF($AD453="T",ROUND(SUMIF($X$5:$X$404,$AF453,$AV$5:$AV$404),2),IF($AD453="B",ROUND(SUMIF($AN$5:$AN$404,$AQ453,$AV$5:$AV$404),2),""))))</f>
        <v/>
      </c>
      <c r="M453" s="32">
        <f>IF($AD453="Z",ROUND(SUM($AJ$5:$AJ$704),2),IF($AD453="B",ROUND(SUMIF($AQ$5:$AQ$704,$AQ453,$AJ$5:$AJ$704),2),IF($AD453&lt;&gt;"T","",$AJ453)))</f>
        <v/>
      </c>
      <c r="N453" s="32">
        <f>IF(OR($AD453="D",$AD453="T",$AD453="B",$AD453="Z"),ROUND(N($K453)-N($L453)-N($M453),2),"")</f>
        <v/>
      </c>
      <c r="O453" s="32">
        <f>IF(OR($AD453="D",$AD453="T",$AD453="B",$AD453="Z"),IF(N($E453)=0,"",ROUND($F453/$E453,2)),"")</f>
        <v/>
      </c>
      <c r="AC453">
        <f>IFERROR(MATCH(449,$AB$5:$AB$404,1),"")</f>
        <v/>
      </c>
      <c r="AD453">
        <f>IF(449=$AI$1+1,"Z",IF($AC453="","",IF(INDEX($V$5:$V$404,$AC453)="","",IF(449&gt;INDEX($AB$5:$AB$404,$AC453)+INDEX($Z$5:$Z$404,$AC453)+INDEX($AA$5:$AA$404,$AC453)+INDEX($AO$5:$AO$404,$AC453),"",IF(449=INDEX($AB$5:$AB$404,$AC453)+INDEX($Z$5:$Z$404,$AC453),"D",IF(AND(INDEX($Z$5:$Z$404,$AC453)=1,449=INDEX($AB$5:$AB$404,$AC453)),"H",IF(AND(INDEX($AO$5:$AO$404,$AC453)=1,449=INDEX($AB$5:$AB$404,$AC453)+INDEX($Z$5:$Z$404,$AC453)+INDEX($AA$5:$AA$404,$AC453)+INDEX($AO$5:$AO$404,$AC453)),"B","T")))))))</f>
        <v/>
      </c>
      <c r="AF453">
        <f>IF(OR($AD453="",$AD453="Z",$AD453="B"),"",INDEX($X$5:$X$404,$AC453))</f>
        <v/>
      </c>
      <c r="AJ453">
        <f>IF($AD453&lt;&gt;"T",0,ROUND(SUMIF(oil!$B$4:$B$63,$AF453,oil!$AE$4:$AE$63),2))</f>
        <v/>
      </c>
      <c r="AQ453">
        <f>IF(OR($AD453="",$AD453="Z"),"",INDEX($AN$5:$AN$404,$AC453))</f>
        <v/>
      </c>
      <c r="AZ453">
        <f>IF(AND($AD453="T",$AQ453=1),N($AZ452)+1,N($AZ452))</f>
        <v/>
      </c>
    </row>
    <row r="454" ht="21" customHeight="1" s="66">
      <c r="A454" s="69">
        <f>IF($AD454="","",IF($AD454="Z","รวมจ่ายทั้งสิ้น",IF($AD454="H",INDEX($X$5:$X$404,$AC454),IF($AD454="T","รวม",IF($AD454="B",IFERROR(INDEX(อัตราค่าขนส่ง!$S$5:$S$14,MATCH(INDEX($AM$5:$AM$404,$AC454),อัตราค่าขนส่ง!$R$5:$R$14,0)),"รวมกลุ่ม "&amp;INDEX($AM$5:$AM$404,$AC454)),INDEX($AY$5:$AY$404,$AC454))))))</f>
        <v/>
      </c>
      <c r="B454" s="31">
        <f>IF($AD454&lt;&gt;"D","",INDEX($AW$5:$AW$404,$AC454))</f>
        <v/>
      </c>
      <c r="C454" s="68">
        <f>IF($AD454&lt;&gt;"D","",INDEX($AX$5:$AX$404,$AC454))</f>
        <v/>
      </c>
      <c r="D454" s="70">
        <f>IF($AD454&lt;&gt;"D","",INDEX($BA$5:$BA$404,$AC454))</f>
        <v/>
      </c>
      <c r="E454" s="31">
        <f>IF($AD454="Z",SUM($AR$5:$AR$404),IF($AD454="D",INDEX($AR$5:$AR$404,$AC454),IF($AD454="T",SUMIF($X$5:$X$404,$AF454,$AR$5:$AR$404),IF($AD454="B",SUMIF($AN$5:$AN$404,$AQ454,$AR$5:$AR$404),""))))</f>
        <v/>
      </c>
      <c r="F454" s="32">
        <f>IF($AD454="Z",ROUND(SUM($AS$5:$AS$404),2),IF($AD454="D",INDEX($AS$5:$AS$404,$AC454),IF($AD454="T",ROUND(SUMIF($X$5:$X$404,$AF454,$AS$5:$AS$404),2),IF($AD454="B",ROUND(SUMIF($AN$5:$AN$404,$AQ454,$AS$5:$AS$404),2),""))))</f>
        <v/>
      </c>
      <c r="G454" s="32">
        <f>IF($AD454&lt;&gt;"D","",INDEX($AT$5:$AT$404,$AC454))</f>
        <v/>
      </c>
      <c r="H454" s="32">
        <f>IF($AD454&lt;&gt;"D","",INDEX($BC$5:$BC$404,$AC454))</f>
        <v/>
      </c>
      <c r="I454" s="32">
        <f>IF($AD454&lt;&gt;"D","",INDEX($BD$5:$BD$404,$AC454))</f>
        <v/>
      </c>
      <c r="J454" s="46">
        <f>IF($AD454&lt;&gt;"D","",IF(N($B454)=0,"",ROUND($I454/$B454,4)))</f>
        <v/>
      </c>
      <c r="K454" s="32">
        <f>IF($AD454="Z",ROUND(SUM($AU$5:$AU$404),2),IF($AD454="D",INDEX($AU$5:$AU$404,$AC454),IF($AD454="T",ROUND(SUMIF($X$5:$X$404,$AF454,$AU$5:$AU$404),2),IF($AD454="B",ROUND(SUMIF($AN$5:$AN$404,$AQ454,$AU$5:$AU$404),2),""))))</f>
        <v/>
      </c>
      <c r="L454" s="32">
        <f>IF($AD454="Z",ROUND(SUM($AV$5:$AV$404),2),IF($AD454="D",INDEX($AV$5:$AV$404,$AC454),IF($AD454="T",ROUND(SUMIF($X$5:$X$404,$AF454,$AV$5:$AV$404),2),IF($AD454="B",ROUND(SUMIF($AN$5:$AN$404,$AQ454,$AV$5:$AV$404),2),""))))</f>
        <v/>
      </c>
      <c r="M454" s="32">
        <f>IF($AD454="Z",ROUND(SUM($AJ$5:$AJ$704),2),IF($AD454="B",ROUND(SUMIF($AQ$5:$AQ$704,$AQ454,$AJ$5:$AJ$704),2),IF($AD454&lt;&gt;"T","",$AJ454)))</f>
        <v/>
      </c>
      <c r="N454" s="32">
        <f>IF(OR($AD454="D",$AD454="T",$AD454="B",$AD454="Z"),ROUND(N($K454)-N($L454)-N($M454),2),"")</f>
        <v/>
      </c>
      <c r="O454" s="32">
        <f>IF(OR($AD454="D",$AD454="T",$AD454="B",$AD454="Z"),IF(N($E454)=0,"",ROUND($F454/$E454,2)),"")</f>
        <v/>
      </c>
      <c r="AC454">
        <f>IFERROR(MATCH(450,$AB$5:$AB$404,1),"")</f>
        <v/>
      </c>
      <c r="AD454">
        <f>IF(450=$AI$1+1,"Z",IF($AC454="","",IF(INDEX($V$5:$V$404,$AC454)="","",IF(450&gt;INDEX($AB$5:$AB$404,$AC454)+INDEX($Z$5:$Z$404,$AC454)+INDEX($AA$5:$AA$404,$AC454)+INDEX($AO$5:$AO$404,$AC454),"",IF(450=INDEX($AB$5:$AB$404,$AC454)+INDEX($Z$5:$Z$404,$AC454),"D",IF(AND(INDEX($Z$5:$Z$404,$AC454)=1,450=INDEX($AB$5:$AB$404,$AC454)),"H",IF(AND(INDEX($AO$5:$AO$404,$AC454)=1,450=INDEX($AB$5:$AB$404,$AC454)+INDEX($Z$5:$Z$404,$AC454)+INDEX($AA$5:$AA$404,$AC454)+INDEX($AO$5:$AO$404,$AC454)),"B","T")))))))</f>
        <v/>
      </c>
      <c r="AF454">
        <f>IF(OR($AD454="",$AD454="Z",$AD454="B"),"",INDEX($X$5:$X$404,$AC454))</f>
        <v/>
      </c>
      <c r="AJ454">
        <f>IF($AD454&lt;&gt;"T",0,ROUND(SUMIF(oil!$B$4:$B$63,$AF454,oil!$AE$4:$AE$63),2))</f>
        <v/>
      </c>
      <c r="AQ454">
        <f>IF(OR($AD454="",$AD454="Z"),"",INDEX($AN$5:$AN$404,$AC454))</f>
        <v/>
      </c>
      <c r="AZ454">
        <f>IF(AND($AD454="T",$AQ454=1),N($AZ453)+1,N($AZ453))</f>
        <v/>
      </c>
    </row>
    <row r="455" ht="21" customHeight="1" s="66">
      <c r="A455" s="69">
        <f>IF($AD455="","",IF($AD455="Z","รวมจ่ายทั้งสิ้น",IF($AD455="H",INDEX($X$5:$X$404,$AC455),IF($AD455="T","รวม",IF($AD455="B",IFERROR(INDEX(อัตราค่าขนส่ง!$S$5:$S$14,MATCH(INDEX($AM$5:$AM$404,$AC455),อัตราค่าขนส่ง!$R$5:$R$14,0)),"รวมกลุ่ม "&amp;INDEX($AM$5:$AM$404,$AC455)),INDEX($AY$5:$AY$404,$AC455))))))</f>
        <v/>
      </c>
      <c r="B455" s="31">
        <f>IF($AD455&lt;&gt;"D","",INDEX($AW$5:$AW$404,$AC455))</f>
        <v/>
      </c>
      <c r="C455" s="68">
        <f>IF($AD455&lt;&gt;"D","",INDEX($AX$5:$AX$404,$AC455))</f>
        <v/>
      </c>
      <c r="D455" s="70">
        <f>IF($AD455&lt;&gt;"D","",INDEX($BA$5:$BA$404,$AC455))</f>
        <v/>
      </c>
      <c r="E455" s="31">
        <f>IF($AD455="Z",SUM($AR$5:$AR$404),IF($AD455="D",INDEX($AR$5:$AR$404,$AC455),IF($AD455="T",SUMIF($X$5:$X$404,$AF455,$AR$5:$AR$404),IF($AD455="B",SUMIF($AN$5:$AN$404,$AQ455,$AR$5:$AR$404),""))))</f>
        <v/>
      </c>
      <c r="F455" s="32">
        <f>IF($AD455="Z",ROUND(SUM($AS$5:$AS$404),2),IF($AD455="D",INDEX($AS$5:$AS$404,$AC455),IF($AD455="T",ROUND(SUMIF($X$5:$X$404,$AF455,$AS$5:$AS$404),2),IF($AD455="B",ROUND(SUMIF($AN$5:$AN$404,$AQ455,$AS$5:$AS$404),2),""))))</f>
        <v/>
      </c>
      <c r="G455" s="32">
        <f>IF($AD455&lt;&gt;"D","",INDEX($AT$5:$AT$404,$AC455))</f>
        <v/>
      </c>
      <c r="H455" s="32">
        <f>IF($AD455&lt;&gt;"D","",INDEX($BC$5:$BC$404,$AC455))</f>
        <v/>
      </c>
      <c r="I455" s="32">
        <f>IF($AD455&lt;&gt;"D","",INDEX($BD$5:$BD$404,$AC455))</f>
        <v/>
      </c>
      <c r="J455" s="46">
        <f>IF($AD455&lt;&gt;"D","",IF(N($B455)=0,"",ROUND($I455/$B455,4)))</f>
        <v/>
      </c>
      <c r="K455" s="32">
        <f>IF($AD455="Z",ROUND(SUM($AU$5:$AU$404),2),IF($AD455="D",INDEX($AU$5:$AU$404,$AC455),IF($AD455="T",ROUND(SUMIF($X$5:$X$404,$AF455,$AU$5:$AU$404),2),IF($AD455="B",ROUND(SUMIF($AN$5:$AN$404,$AQ455,$AU$5:$AU$404),2),""))))</f>
        <v/>
      </c>
      <c r="L455" s="32">
        <f>IF($AD455="Z",ROUND(SUM($AV$5:$AV$404),2),IF($AD455="D",INDEX($AV$5:$AV$404,$AC455),IF($AD455="T",ROUND(SUMIF($X$5:$X$404,$AF455,$AV$5:$AV$404),2),IF($AD455="B",ROUND(SUMIF($AN$5:$AN$404,$AQ455,$AV$5:$AV$404),2),""))))</f>
        <v/>
      </c>
      <c r="M455" s="32">
        <f>IF($AD455="Z",ROUND(SUM($AJ$5:$AJ$704),2),IF($AD455="B",ROUND(SUMIF($AQ$5:$AQ$704,$AQ455,$AJ$5:$AJ$704),2),IF($AD455&lt;&gt;"T","",$AJ455)))</f>
        <v/>
      </c>
      <c r="N455" s="32">
        <f>IF(OR($AD455="D",$AD455="T",$AD455="B",$AD455="Z"),ROUND(N($K455)-N($L455)-N($M455),2),"")</f>
        <v/>
      </c>
      <c r="O455" s="32">
        <f>IF(OR($AD455="D",$AD455="T",$AD455="B",$AD455="Z"),IF(N($E455)=0,"",ROUND($F455/$E455,2)),"")</f>
        <v/>
      </c>
      <c r="AC455">
        <f>IFERROR(MATCH(451,$AB$5:$AB$404,1),"")</f>
        <v/>
      </c>
      <c r="AD455">
        <f>IF(451=$AI$1+1,"Z",IF($AC455="","",IF(INDEX($V$5:$V$404,$AC455)="","",IF(451&gt;INDEX($AB$5:$AB$404,$AC455)+INDEX($Z$5:$Z$404,$AC455)+INDEX($AA$5:$AA$404,$AC455)+INDEX($AO$5:$AO$404,$AC455),"",IF(451=INDEX($AB$5:$AB$404,$AC455)+INDEX($Z$5:$Z$404,$AC455),"D",IF(AND(INDEX($Z$5:$Z$404,$AC455)=1,451=INDEX($AB$5:$AB$404,$AC455)),"H",IF(AND(INDEX($AO$5:$AO$404,$AC455)=1,451=INDEX($AB$5:$AB$404,$AC455)+INDEX($Z$5:$Z$404,$AC455)+INDEX($AA$5:$AA$404,$AC455)+INDEX($AO$5:$AO$404,$AC455)),"B","T")))))))</f>
        <v/>
      </c>
      <c r="AF455">
        <f>IF(OR($AD455="",$AD455="Z",$AD455="B"),"",INDEX($X$5:$X$404,$AC455))</f>
        <v/>
      </c>
      <c r="AJ455">
        <f>IF($AD455&lt;&gt;"T",0,ROUND(SUMIF(oil!$B$4:$B$63,$AF455,oil!$AE$4:$AE$63),2))</f>
        <v/>
      </c>
      <c r="AQ455">
        <f>IF(OR($AD455="",$AD455="Z"),"",INDEX($AN$5:$AN$404,$AC455))</f>
        <v/>
      </c>
      <c r="AZ455">
        <f>IF(AND($AD455="T",$AQ455=1),N($AZ454)+1,N($AZ454))</f>
        <v/>
      </c>
    </row>
    <row r="456" ht="21" customHeight="1" s="66">
      <c r="A456" s="69">
        <f>IF($AD456="","",IF($AD456="Z","รวมจ่ายทั้งสิ้น",IF($AD456="H",INDEX($X$5:$X$404,$AC456),IF($AD456="T","รวม",IF($AD456="B",IFERROR(INDEX(อัตราค่าขนส่ง!$S$5:$S$14,MATCH(INDEX($AM$5:$AM$404,$AC456),อัตราค่าขนส่ง!$R$5:$R$14,0)),"รวมกลุ่ม "&amp;INDEX($AM$5:$AM$404,$AC456)),INDEX($AY$5:$AY$404,$AC456))))))</f>
        <v/>
      </c>
      <c r="B456" s="31">
        <f>IF($AD456&lt;&gt;"D","",INDEX($AW$5:$AW$404,$AC456))</f>
        <v/>
      </c>
      <c r="C456" s="68">
        <f>IF($AD456&lt;&gt;"D","",INDEX($AX$5:$AX$404,$AC456))</f>
        <v/>
      </c>
      <c r="D456" s="70">
        <f>IF($AD456&lt;&gt;"D","",INDEX($BA$5:$BA$404,$AC456))</f>
        <v/>
      </c>
      <c r="E456" s="31">
        <f>IF($AD456="Z",SUM($AR$5:$AR$404),IF($AD456="D",INDEX($AR$5:$AR$404,$AC456),IF($AD456="T",SUMIF($X$5:$X$404,$AF456,$AR$5:$AR$404),IF($AD456="B",SUMIF($AN$5:$AN$404,$AQ456,$AR$5:$AR$404),""))))</f>
        <v/>
      </c>
      <c r="F456" s="32">
        <f>IF($AD456="Z",ROUND(SUM($AS$5:$AS$404),2),IF($AD456="D",INDEX($AS$5:$AS$404,$AC456),IF($AD456="T",ROUND(SUMIF($X$5:$X$404,$AF456,$AS$5:$AS$404),2),IF($AD456="B",ROUND(SUMIF($AN$5:$AN$404,$AQ456,$AS$5:$AS$404),2),""))))</f>
        <v/>
      </c>
      <c r="G456" s="32">
        <f>IF($AD456&lt;&gt;"D","",INDEX($AT$5:$AT$404,$AC456))</f>
        <v/>
      </c>
      <c r="H456" s="32">
        <f>IF($AD456&lt;&gt;"D","",INDEX($BC$5:$BC$404,$AC456))</f>
        <v/>
      </c>
      <c r="I456" s="32">
        <f>IF($AD456&lt;&gt;"D","",INDEX($BD$5:$BD$404,$AC456))</f>
        <v/>
      </c>
      <c r="J456" s="46">
        <f>IF($AD456&lt;&gt;"D","",IF(N($B456)=0,"",ROUND($I456/$B456,4)))</f>
        <v/>
      </c>
      <c r="K456" s="32">
        <f>IF($AD456="Z",ROUND(SUM($AU$5:$AU$404),2),IF($AD456="D",INDEX($AU$5:$AU$404,$AC456),IF($AD456="T",ROUND(SUMIF($X$5:$X$404,$AF456,$AU$5:$AU$404),2),IF($AD456="B",ROUND(SUMIF($AN$5:$AN$404,$AQ456,$AU$5:$AU$404),2),""))))</f>
        <v/>
      </c>
      <c r="L456" s="32">
        <f>IF($AD456="Z",ROUND(SUM($AV$5:$AV$404),2),IF($AD456="D",INDEX($AV$5:$AV$404,$AC456),IF($AD456="T",ROUND(SUMIF($X$5:$X$404,$AF456,$AV$5:$AV$404),2),IF($AD456="B",ROUND(SUMIF($AN$5:$AN$404,$AQ456,$AV$5:$AV$404),2),""))))</f>
        <v/>
      </c>
      <c r="M456" s="32">
        <f>IF($AD456="Z",ROUND(SUM($AJ$5:$AJ$704),2),IF($AD456="B",ROUND(SUMIF($AQ$5:$AQ$704,$AQ456,$AJ$5:$AJ$704),2),IF($AD456&lt;&gt;"T","",$AJ456)))</f>
        <v/>
      </c>
      <c r="N456" s="32">
        <f>IF(OR($AD456="D",$AD456="T",$AD456="B",$AD456="Z"),ROUND(N($K456)-N($L456)-N($M456),2),"")</f>
        <v/>
      </c>
      <c r="O456" s="32">
        <f>IF(OR($AD456="D",$AD456="T",$AD456="B",$AD456="Z"),IF(N($E456)=0,"",ROUND($F456/$E456,2)),"")</f>
        <v/>
      </c>
      <c r="AC456">
        <f>IFERROR(MATCH(452,$AB$5:$AB$404,1),"")</f>
        <v/>
      </c>
      <c r="AD456">
        <f>IF(452=$AI$1+1,"Z",IF($AC456="","",IF(INDEX($V$5:$V$404,$AC456)="","",IF(452&gt;INDEX($AB$5:$AB$404,$AC456)+INDEX($Z$5:$Z$404,$AC456)+INDEX($AA$5:$AA$404,$AC456)+INDEX($AO$5:$AO$404,$AC456),"",IF(452=INDEX($AB$5:$AB$404,$AC456)+INDEX($Z$5:$Z$404,$AC456),"D",IF(AND(INDEX($Z$5:$Z$404,$AC456)=1,452=INDEX($AB$5:$AB$404,$AC456)),"H",IF(AND(INDEX($AO$5:$AO$404,$AC456)=1,452=INDEX($AB$5:$AB$404,$AC456)+INDEX($Z$5:$Z$404,$AC456)+INDEX($AA$5:$AA$404,$AC456)+INDEX($AO$5:$AO$404,$AC456)),"B","T")))))))</f>
        <v/>
      </c>
      <c r="AF456">
        <f>IF(OR($AD456="",$AD456="Z",$AD456="B"),"",INDEX($X$5:$X$404,$AC456))</f>
        <v/>
      </c>
      <c r="AJ456">
        <f>IF($AD456&lt;&gt;"T",0,ROUND(SUMIF(oil!$B$4:$B$63,$AF456,oil!$AE$4:$AE$63),2))</f>
        <v/>
      </c>
      <c r="AQ456">
        <f>IF(OR($AD456="",$AD456="Z"),"",INDEX($AN$5:$AN$404,$AC456))</f>
        <v/>
      </c>
      <c r="AZ456">
        <f>IF(AND($AD456="T",$AQ456=1),N($AZ455)+1,N($AZ455))</f>
        <v/>
      </c>
    </row>
    <row r="457" ht="21" customHeight="1" s="66">
      <c r="A457" s="69">
        <f>IF($AD457="","",IF($AD457="Z","รวมจ่ายทั้งสิ้น",IF($AD457="H",INDEX($X$5:$X$404,$AC457),IF($AD457="T","รวม",IF($AD457="B",IFERROR(INDEX(อัตราค่าขนส่ง!$S$5:$S$14,MATCH(INDEX($AM$5:$AM$404,$AC457),อัตราค่าขนส่ง!$R$5:$R$14,0)),"รวมกลุ่ม "&amp;INDEX($AM$5:$AM$404,$AC457)),INDEX($AY$5:$AY$404,$AC457))))))</f>
        <v/>
      </c>
      <c r="B457" s="31">
        <f>IF($AD457&lt;&gt;"D","",INDEX($AW$5:$AW$404,$AC457))</f>
        <v/>
      </c>
      <c r="C457" s="68">
        <f>IF($AD457&lt;&gt;"D","",INDEX($AX$5:$AX$404,$AC457))</f>
        <v/>
      </c>
      <c r="D457" s="70">
        <f>IF($AD457&lt;&gt;"D","",INDEX($BA$5:$BA$404,$AC457))</f>
        <v/>
      </c>
      <c r="E457" s="31">
        <f>IF($AD457="Z",SUM($AR$5:$AR$404),IF($AD457="D",INDEX($AR$5:$AR$404,$AC457),IF($AD457="T",SUMIF($X$5:$X$404,$AF457,$AR$5:$AR$404),IF($AD457="B",SUMIF($AN$5:$AN$404,$AQ457,$AR$5:$AR$404),""))))</f>
        <v/>
      </c>
      <c r="F457" s="32">
        <f>IF($AD457="Z",ROUND(SUM($AS$5:$AS$404),2),IF($AD457="D",INDEX($AS$5:$AS$404,$AC457),IF($AD457="T",ROUND(SUMIF($X$5:$X$404,$AF457,$AS$5:$AS$404),2),IF($AD457="B",ROUND(SUMIF($AN$5:$AN$404,$AQ457,$AS$5:$AS$404),2),""))))</f>
        <v/>
      </c>
      <c r="G457" s="32">
        <f>IF($AD457&lt;&gt;"D","",INDEX($AT$5:$AT$404,$AC457))</f>
        <v/>
      </c>
      <c r="H457" s="32">
        <f>IF($AD457&lt;&gt;"D","",INDEX($BC$5:$BC$404,$AC457))</f>
        <v/>
      </c>
      <c r="I457" s="32">
        <f>IF($AD457&lt;&gt;"D","",INDEX($BD$5:$BD$404,$AC457))</f>
        <v/>
      </c>
      <c r="J457" s="46">
        <f>IF($AD457&lt;&gt;"D","",IF(N($B457)=0,"",ROUND($I457/$B457,4)))</f>
        <v/>
      </c>
      <c r="K457" s="32">
        <f>IF($AD457="Z",ROUND(SUM($AU$5:$AU$404),2),IF($AD457="D",INDEX($AU$5:$AU$404,$AC457),IF($AD457="T",ROUND(SUMIF($X$5:$X$404,$AF457,$AU$5:$AU$404),2),IF($AD457="B",ROUND(SUMIF($AN$5:$AN$404,$AQ457,$AU$5:$AU$404),2),""))))</f>
        <v/>
      </c>
      <c r="L457" s="32">
        <f>IF($AD457="Z",ROUND(SUM($AV$5:$AV$404),2),IF($AD457="D",INDEX($AV$5:$AV$404,$AC457),IF($AD457="T",ROUND(SUMIF($X$5:$X$404,$AF457,$AV$5:$AV$404),2),IF($AD457="B",ROUND(SUMIF($AN$5:$AN$404,$AQ457,$AV$5:$AV$404),2),""))))</f>
        <v/>
      </c>
      <c r="M457" s="32">
        <f>IF($AD457="Z",ROUND(SUM($AJ$5:$AJ$704),2),IF($AD457="B",ROUND(SUMIF($AQ$5:$AQ$704,$AQ457,$AJ$5:$AJ$704),2),IF($AD457&lt;&gt;"T","",$AJ457)))</f>
        <v/>
      </c>
      <c r="N457" s="32">
        <f>IF(OR($AD457="D",$AD457="T",$AD457="B",$AD457="Z"),ROUND(N($K457)-N($L457)-N($M457),2),"")</f>
        <v/>
      </c>
      <c r="O457" s="32">
        <f>IF(OR($AD457="D",$AD457="T",$AD457="B",$AD457="Z"),IF(N($E457)=0,"",ROUND($F457/$E457,2)),"")</f>
        <v/>
      </c>
      <c r="AC457">
        <f>IFERROR(MATCH(453,$AB$5:$AB$404,1),"")</f>
        <v/>
      </c>
      <c r="AD457">
        <f>IF(453=$AI$1+1,"Z",IF($AC457="","",IF(INDEX($V$5:$V$404,$AC457)="","",IF(453&gt;INDEX($AB$5:$AB$404,$AC457)+INDEX($Z$5:$Z$404,$AC457)+INDEX($AA$5:$AA$404,$AC457)+INDEX($AO$5:$AO$404,$AC457),"",IF(453=INDEX($AB$5:$AB$404,$AC457)+INDEX($Z$5:$Z$404,$AC457),"D",IF(AND(INDEX($Z$5:$Z$404,$AC457)=1,453=INDEX($AB$5:$AB$404,$AC457)),"H",IF(AND(INDEX($AO$5:$AO$404,$AC457)=1,453=INDEX($AB$5:$AB$404,$AC457)+INDEX($Z$5:$Z$404,$AC457)+INDEX($AA$5:$AA$404,$AC457)+INDEX($AO$5:$AO$404,$AC457)),"B","T")))))))</f>
        <v/>
      </c>
      <c r="AF457">
        <f>IF(OR($AD457="",$AD457="Z",$AD457="B"),"",INDEX($X$5:$X$404,$AC457))</f>
        <v/>
      </c>
      <c r="AJ457">
        <f>IF($AD457&lt;&gt;"T",0,ROUND(SUMIF(oil!$B$4:$B$63,$AF457,oil!$AE$4:$AE$63),2))</f>
        <v/>
      </c>
      <c r="AQ457">
        <f>IF(OR($AD457="",$AD457="Z"),"",INDEX($AN$5:$AN$404,$AC457))</f>
        <v/>
      </c>
      <c r="AZ457">
        <f>IF(AND($AD457="T",$AQ457=1),N($AZ456)+1,N($AZ456))</f>
        <v/>
      </c>
    </row>
    <row r="458" ht="21" customHeight="1" s="66">
      <c r="A458" s="69">
        <f>IF($AD458="","",IF($AD458="Z","รวมจ่ายทั้งสิ้น",IF($AD458="H",INDEX($X$5:$X$404,$AC458),IF($AD458="T","รวม",IF($AD458="B",IFERROR(INDEX(อัตราค่าขนส่ง!$S$5:$S$14,MATCH(INDEX($AM$5:$AM$404,$AC458),อัตราค่าขนส่ง!$R$5:$R$14,0)),"รวมกลุ่ม "&amp;INDEX($AM$5:$AM$404,$AC458)),INDEX($AY$5:$AY$404,$AC458))))))</f>
        <v/>
      </c>
      <c r="B458" s="31">
        <f>IF($AD458&lt;&gt;"D","",INDEX($AW$5:$AW$404,$AC458))</f>
        <v/>
      </c>
      <c r="C458" s="68">
        <f>IF($AD458&lt;&gt;"D","",INDEX($AX$5:$AX$404,$AC458))</f>
        <v/>
      </c>
      <c r="D458" s="70">
        <f>IF($AD458&lt;&gt;"D","",INDEX($BA$5:$BA$404,$AC458))</f>
        <v/>
      </c>
      <c r="E458" s="31">
        <f>IF($AD458="Z",SUM($AR$5:$AR$404),IF($AD458="D",INDEX($AR$5:$AR$404,$AC458),IF($AD458="T",SUMIF($X$5:$X$404,$AF458,$AR$5:$AR$404),IF($AD458="B",SUMIF($AN$5:$AN$404,$AQ458,$AR$5:$AR$404),""))))</f>
        <v/>
      </c>
      <c r="F458" s="32">
        <f>IF($AD458="Z",ROUND(SUM($AS$5:$AS$404),2),IF($AD458="D",INDEX($AS$5:$AS$404,$AC458),IF($AD458="T",ROUND(SUMIF($X$5:$X$404,$AF458,$AS$5:$AS$404),2),IF($AD458="B",ROUND(SUMIF($AN$5:$AN$404,$AQ458,$AS$5:$AS$404),2),""))))</f>
        <v/>
      </c>
      <c r="G458" s="32">
        <f>IF($AD458&lt;&gt;"D","",INDEX($AT$5:$AT$404,$AC458))</f>
        <v/>
      </c>
      <c r="H458" s="32">
        <f>IF($AD458&lt;&gt;"D","",INDEX($BC$5:$BC$404,$AC458))</f>
        <v/>
      </c>
      <c r="I458" s="32">
        <f>IF($AD458&lt;&gt;"D","",INDEX($BD$5:$BD$404,$AC458))</f>
        <v/>
      </c>
      <c r="J458" s="46">
        <f>IF($AD458&lt;&gt;"D","",IF(N($B458)=0,"",ROUND($I458/$B458,4)))</f>
        <v/>
      </c>
      <c r="K458" s="32">
        <f>IF($AD458="Z",ROUND(SUM($AU$5:$AU$404),2),IF($AD458="D",INDEX($AU$5:$AU$404,$AC458),IF($AD458="T",ROUND(SUMIF($X$5:$X$404,$AF458,$AU$5:$AU$404),2),IF($AD458="B",ROUND(SUMIF($AN$5:$AN$404,$AQ458,$AU$5:$AU$404),2),""))))</f>
        <v/>
      </c>
      <c r="L458" s="32">
        <f>IF($AD458="Z",ROUND(SUM($AV$5:$AV$404),2),IF($AD458="D",INDEX($AV$5:$AV$404,$AC458),IF($AD458="T",ROUND(SUMIF($X$5:$X$404,$AF458,$AV$5:$AV$404),2),IF($AD458="B",ROUND(SUMIF($AN$5:$AN$404,$AQ458,$AV$5:$AV$404),2),""))))</f>
        <v/>
      </c>
      <c r="M458" s="32">
        <f>IF($AD458="Z",ROUND(SUM($AJ$5:$AJ$704),2),IF($AD458="B",ROUND(SUMIF($AQ$5:$AQ$704,$AQ458,$AJ$5:$AJ$704),2),IF($AD458&lt;&gt;"T","",$AJ458)))</f>
        <v/>
      </c>
      <c r="N458" s="32">
        <f>IF(OR($AD458="D",$AD458="T",$AD458="B",$AD458="Z"),ROUND(N($K458)-N($L458)-N($M458),2),"")</f>
        <v/>
      </c>
      <c r="O458" s="32">
        <f>IF(OR($AD458="D",$AD458="T",$AD458="B",$AD458="Z"),IF(N($E458)=0,"",ROUND($F458/$E458,2)),"")</f>
        <v/>
      </c>
      <c r="AC458">
        <f>IFERROR(MATCH(454,$AB$5:$AB$404,1),"")</f>
        <v/>
      </c>
      <c r="AD458">
        <f>IF(454=$AI$1+1,"Z",IF($AC458="","",IF(INDEX($V$5:$V$404,$AC458)="","",IF(454&gt;INDEX($AB$5:$AB$404,$AC458)+INDEX($Z$5:$Z$404,$AC458)+INDEX($AA$5:$AA$404,$AC458)+INDEX($AO$5:$AO$404,$AC458),"",IF(454=INDEX($AB$5:$AB$404,$AC458)+INDEX($Z$5:$Z$404,$AC458),"D",IF(AND(INDEX($Z$5:$Z$404,$AC458)=1,454=INDEX($AB$5:$AB$404,$AC458)),"H",IF(AND(INDEX($AO$5:$AO$404,$AC458)=1,454=INDEX($AB$5:$AB$404,$AC458)+INDEX($Z$5:$Z$404,$AC458)+INDEX($AA$5:$AA$404,$AC458)+INDEX($AO$5:$AO$404,$AC458)),"B","T")))))))</f>
        <v/>
      </c>
      <c r="AF458">
        <f>IF(OR($AD458="",$AD458="Z",$AD458="B"),"",INDEX($X$5:$X$404,$AC458))</f>
        <v/>
      </c>
      <c r="AJ458">
        <f>IF($AD458&lt;&gt;"T",0,ROUND(SUMIF(oil!$B$4:$B$63,$AF458,oil!$AE$4:$AE$63),2))</f>
        <v/>
      </c>
      <c r="AQ458">
        <f>IF(OR($AD458="",$AD458="Z"),"",INDEX($AN$5:$AN$404,$AC458))</f>
        <v/>
      </c>
      <c r="AZ458">
        <f>IF(AND($AD458="T",$AQ458=1),N($AZ457)+1,N($AZ457))</f>
        <v/>
      </c>
    </row>
    <row r="459" ht="21" customHeight="1" s="66">
      <c r="A459" s="69">
        <f>IF($AD459="","",IF($AD459="Z","รวมจ่ายทั้งสิ้น",IF($AD459="H",INDEX($X$5:$X$404,$AC459),IF($AD459="T","รวม",IF($AD459="B",IFERROR(INDEX(อัตราค่าขนส่ง!$S$5:$S$14,MATCH(INDEX($AM$5:$AM$404,$AC459),อัตราค่าขนส่ง!$R$5:$R$14,0)),"รวมกลุ่ม "&amp;INDEX($AM$5:$AM$404,$AC459)),INDEX($AY$5:$AY$404,$AC459))))))</f>
        <v/>
      </c>
      <c r="B459" s="31">
        <f>IF($AD459&lt;&gt;"D","",INDEX($AW$5:$AW$404,$AC459))</f>
        <v/>
      </c>
      <c r="C459" s="68">
        <f>IF($AD459&lt;&gt;"D","",INDEX($AX$5:$AX$404,$AC459))</f>
        <v/>
      </c>
      <c r="D459" s="70">
        <f>IF($AD459&lt;&gt;"D","",INDEX($BA$5:$BA$404,$AC459))</f>
        <v/>
      </c>
      <c r="E459" s="31">
        <f>IF($AD459="Z",SUM($AR$5:$AR$404),IF($AD459="D",INDEX($AR$5:$AR$404,$AC459),IF($AD459="T",SUMIF($X$5:$X$404,$AF459,$AR$5:$AR$404),IF($AD459="B",SUMIF($AN$5:$AN$404,$AQ459,$AR$5:$AR$404),""))))</f>
        <v/>
      </c>
      <c r="F459" s="32">
        <f>IF($AD459="Z",ROUND(SUM($AS$5:$AS$404),2),IF($AD459="D",INDEX($AS$5:$AS$404,$AC459),IF($AD459="T",ROUND(SUMIF($X$5:$X$404,$AF459,$AS$5:$AS$404),2),IF($AD459="B",ROUND(SUMIF($AN$5:$AN$404,$AQ459,$AS$5:$AS$404),2),""))))</f>
        <v/>
      </c>
      <c r="G459" s="32">
        <f>IF($AD459&lt;&gt;"D","",INDEX($AT$5:$AT$404,$AC459))</f>
        <v/>
      </c>
      <c r="H459" s="32">
        <f>IF($AD459&lt;&gt;"D","",INDEX($BC$5:$BC$404,$AC459))</f>
        <v/>
      </c>
      <c r="I459" s="32">
        <f>IF($AD459&lt;&gt;"D","",INDEX($BD$5:$BD$404,$AC459))</f>
        <v/>
      </c>
      <c r="J459" s="46">
        <f>IF($AD459&lt;&gt;"D","",IF(N($B459)=0,"",ROUND($I459/$B459,4)))</f>
        <v/>
      </c>
      <c r="K459" s="32">
        <f>IF($AD459="Z",ROUND(SUM($AU$5:$AU$404),2),IF($AD459="D",INDEX($AU$5:$AU$404,$AC459),IF($AD459="T",ROUND(SUMIF($X$5:$X$404,$AF459,$AU$5:$AU$404),2),IF($AD459="B",ROUND(SUMIF($AN$5:$AN$404,$AQ459,$AU$5:$AU$404),2),""))))</f>
        <v/>
      </c>
      <c r="L459" s="32">
        <f>IF($AD459="Z",ROUND(SUM($AV$5:$AV$404),2),IF($AD459="D",INDEX($AV$5:$AV$404,$AC459),IF($AD459="T",ROUND(SUMIF($X$5:$X$404,$AF459,$AV$5:$AV$404),2),IF($AD459="B",ROUND(SUMIF($AN$5:$AN$404,$AQ459,$AV$5:$AV$404),2),""))))</f>
        <v/>
      </c>
      <c r="M459" s="32">
        <f>IF($AD459="Z",ROUND(SUM($AJ$5:$AJ$704),2),IF($AD459="B",ROUND(SUMIF($AQ$5:$AQ$704,$AQ459,$AJ$5:$AJ$704),2),IF($AD459&lt;&gt;"T","",$AJ459)))</f>
        <v/>
      </c>
      <c r="N459" s="32">
        <f>IF(OR($AD459="D",$AD459="T",$AD459="B",$AD459="Z"),ROUND(N($K459)-N($L459)-N($M459),2),"")</f>
        <v/>
      </c>
      <c r="O459" s="32">
        <f>IF(OR($AD459="D",$AD459="T",$AD459="B",$AD459="Z"),IF(N($E459)=0,"",ROUND($F459/$E459,2)),"")</f>
        <v/>
      </c>
      <c r="AC459">
        <f>IFERROR(MATCH(455,$AB$5:$AB$404,1),"")</f>
        <v/>
      </c>
      <c r="AD459">
        <f>IF(455=$AI$1+1,"Z",IF($AC459="","",IF(INDEX($V$5:$V$404,$AC459)="","",IF(455&gt;INDEX($AB$5:$AB$404,$AC459)+INDEX($Z$5:$Z$404,$AC459)+INDEX($AA$5:$AA$404,$AC459)+INDEX($AO$5:$AO$404,$AC459),"",IF(455=INDEX($AB$5:$AB$404,$AC459)+INDEX($Z$5:$Z$404,$AC459),"D",IF(AND(INDEX($Z$5:$Z$404,$AC459)=1,455=INDEX($AB$5:$AB$404,$AC459)),"H",IF(AND(INDEX($AO$5:$AO$404,$AC459)=1,455=INDEX($AB$5:$AB$404,$AC459)+INDEX($Z$5:$Z$404,$AC459)+INDEX($AA$5:$AA$404,$AC459)+INDEX($AO$5:$AO$404,$AC459)),"B","T")))))))</f>
        <v/>
      </c>
      <c r="AF459">
        <f>IF(OR($AD459="",$AD459="Z",$AD459="B"),"",INDEX($X$5:$X$404,$AC459))</f>
        <v/>
      </c>
      <c r="AJ459">
        <f>IF($AD459&lt;&gt;"T",0,ROUND(SUMIF(oil!$B$4:$B$63,$AF459,oil!$AE$4:$AE$63),2))</f>
        <v/>
      </c>
      <c r="AQ459">
        <f>IF(OR($AD459="",$AD459="Z"),"",INDEX($AN$5:$AN$404,$AC459))</f>
        <v/>
      </c>
      <c r="AZ459">
        <f>IF(AND($AD459="T",$AQ459=1),N($AZ458)+1,N($AZ458))</f>
        <v/>
      </c>
    </row>
    <row r="460" ht="21" customHeight="1" s="66">
      <c r="A460" s="69">
        <f>IF($AD460="","",IF($AD460="Z","รวมจ่ายทั้งสิ้น",IF($AD460="H",INDEX($X$5:$X$404,$AC460),IF($AD460="T","รวม",IF($AD460="B",IFERROR(INDEX(อัตราค่าขนส่ง!$S$5:$S$14,MATCH(INDEX($AM$5:$AM$404,$AC460),อัตราค่าขนส่ง!$R$5:$R$14,0)),"รวมกลุ่ม "&amp;INDEX($AM$5:$AM$404,$AC460)),INDEX($AY$5:$AY$404,$AC460))))))</f>
        <v/>
      </c>
      <c r="B460" s="31">
        <f>IF($AD460&lt;&gt;"D","",INDEX($AW$5:$AW$404,$AC460))</f>
        <v/>
      </c>
      <c r="C460" s="68">
        <f>IF($AD460&lt;&gt;"D","",INDEX($AX$5:$AX$404,$AC460))</f>
        <v/>
      </c>
      <c r="D460" s="70">
        <f>IF($AD460&lt;&gt;"D","",INDEX($BA$5:$BA$404,$AC460))</f>
        <v/>
      </c>
      <c r="E460" s="31">
        <f>IF($AD460="Z",SUM($AR$5:$AR$404),IF($AD460="D",INDEX($AR$5:$AR$404,$AC460),IF($AD460="T",SUMIF($X$5:$X$404,$AF460,$AR$5:$AR$404),IF($AD460="B",SUMIF($AN$5:$AN$404,$AQ460,$AR$5:$AR$404),""))))</f>
        <v/>
      </c>
      <c r="F460" s="32">
        <f>IF($AD460="Z",ROUND(SUM($AS$5:$AS$404),2),IF($AD460="D",INDEX($AS$5:$AS$404,$AC460),IF($AD460="T",ROUND(SUMIF($X$5:$X$404,$AF460,$AS$5:$AS$404),2),IF($AD460="B",ROUND(SUMIF($AN$5:$AN$404,$AQ460,$AS$5:$AS$404),2),""))))</f>
        <v/>
      </c>
      <c r="G460" s="32">
        <f>IF($AD460&lt;&gt;"D","",INDEX($AT$5:$AT$404,$AC460))</f>
        <v/>
      </c>
      <c r="H460" s="32">
        <f>IF($AD460&lt;&gt;"D","",INDEX($BC$5:$BC$404,$AC460))</f>
        <v/>
      </c>
      <c r="I460" s="32">
        <f>IF($AD460&lt;&gt;"D","",INDEX($BD$5:$BD$404,$AC460))</f>
        <v/>
      </c>
      <c r="J460" s="46">
        <f>IF($AD460&lt;&gt;"D","",IF(N($B460)=0,"",ROUND($I460/$B460,4)))</f>
        <v/>
      </c>
      <c r="K460" s="32">
        <f>IF($AD460="Z",ROUND(SUM($AU$5:$AU$404),2),IF($AD460="D",INDEX($AU$5:$AU$404,$AC460),IF($AD460="T",ROUND(SUMIF($X$5:$X$404,$AF460,$AU$5:$AU$404),2),IF($AD460="B",ROUND(SUMIF($AN$5:$AN$404,$AQ460,$AU$5:$AU$404),2),""))))</f>
        <v/>
      </c>
      <c r="L460" s="32">
        <f>IF($AD460="Z",ROUND(SUM($AV$5:$AV$404),2),IF($AD460="D",INDEX($AV$5:$AV$404,$AC460),IF($AD460="T",ROUND(SUMIF($X$5:$X$404,$AF460,$AV$5:$AV$404),2),IF($AD460="B",ROUND(SUMIF($AN$5:$AN$404,$AQ460,$AV$5:$AV$404),2),""))))</f>
        <v/>
      </c>
      <c r="M460" s="32">
        <f>IF($AD460="Z",ROUND(SUM($AJ$5:$AJ$704),2),IF($AD460="B",ROUND(SUMIF($AQ$5:$AQ$704,$AQ460,$AJ$5:$AJ$704),2),IF($AD460&lt;&gt;"T","",$AJ460)))</f>
        <v/>
      </c>
      <c r="N460" s="32">
        <f>IF(OR($AD460="D",$AD460="T",$AD460="B",$AD460="Z"),ROUND(N($K460)-N($L460)-N($M460),2),"")</f>
        <v/>
      </c>
      <c r="O460" s="32">
        <f>IF(OR($AD460="D",$AD460="T",$AD460="B",$AD460="Z"),IF(N($E460)=0,"",ROUND($F460/$E460,2)),"")</f>
        <v/>
      </c>
      <c r="AC460">
        <f>IFERROR(MATCH(456,$AB$5:$AB$404,1),"")</f>
        <v/>
      </c>
      <c r="AD460">
        <f>IF(456=$AI$1+1,"Z",IF($AC460="","",IF(INDEX($V$5:$V$404,$AC460)="","",IF(456&gt;INDEX($AB$5:$AB$404,$AC460)+INDEX($Z$5:$Z$404,$AC460)+INDEX($AA$5:$AA$404,$AC460)+INDEX($AO$5:$AO$404,$AC460),"",IF(456=INDEX($AB$5:$AB$404,$AC460)+INDEX($Z$5:$Z$404,$AC460),"D",IF(AND(INDEX($Z$5:$Z$404,$AC460)=1,456=INDEX($AB$5:$AB$404,$AC460)),"H",IF(AND(INDEX($AO$5:$AO$404,$AC460)=1,456=INDEX($AB$5:$AB$404,$AC460)+INDEX($Z$5:$Z$404,$AC460)+INDEX($AA$5:$AA$404,$AC460)+INDEX($AO$5:$AO$404,$AC460)),"B","T")))))))</f>
        <v/>
      </c>
      <c r="AF460">
        <f>IF(OR($AD460="",$AD460="Z",$AD460="B"),"",INDEX($X$5:$X$404,$AC460))</f>
        <v/>
      </c>
      <c r="AJ460">
        <f>IF($AD460&lt;&gt;"T",0,ROUND(SUMIF(oil!$B$4:$B$63,$AF460,oil!$AE$4:$AE$63),2))</f>
        <v/>
      </c>
      <c r="AQ460">
        <f>IF(OR($AD460="",$AD460="Z"),"",INDEX($AN$5:$AN$404,$AC460))</f>
        <v/>
      </c>
      <c r="AZ460">
        <f>IF(AND($AD460="T",$AQ460=1),N($AZ459)+1,N($AZ459))</f>
        <v/>
      </c>
    </row>
    <row r="461" ht="21" customHeight="1" s="66">
      <c r="A461" s="69">
        <f>IF($AD461="","",IF($AD461="Z","รวมจ่ายทั้งสิ้น",IF($AD461="H",INDEX($X$5:$X$404,$AC461),IF($AD461="T","รวม",IF($AD461="B",IFERROR(INDEX(อัตราค่าขนส่ง!$S$5:$S$14,MATCH(INDEX($AM$5:$AM$404,$AC461),อัตราค่าขนส่ง!$R$5:$R$14,0)),"รวมกลุ่ม "&amp;INDEX($AM$5:$AM$404,$AC461)),INDEX($AY$5:$AY$404,$AC461))))))</f>
        <v/>
      </c>
      <c r="B461" s="31">
        <f>IF($AD461&lt;&gt;"D","",INDEX($AW$5:$AW$404,$AC461))</f>
        <v/>
      </c>
      <c r="C461" s="68">
        <f>IF($AD461&lt;&gt;"D","",INDEX($AX$5:$AX$404,$AC461))</f>
        <v/>
      </c>
      <c r="D461" s="70">
        <f>IF($AD461&lt;&gt;"D","",INDEX($BA$5:$BA$404,$AC461))</f>
        <v/>
      </c>
      <c r="E461" s="31">
        <f>IF($AD461="Z",SUM($AR$5:$AR$404),IF($AD461="D",INDEX($AR$5:$AR$404,$AC461),IF($AD461="T",SUMIF($X$5:$X$404,$AF461,$AR$5:$AR$404),IF($AD461="B",SUMIF($AN$5:$AN$404,$AQ461,$AR$5:$AR$404),""))))</f>
        <v/>
      </c>
      <c r="F461" s="32">
        <f>IF($AD461="Z",ROUND(SUM($AS$5:$AS$404),2),IF($AD461="D",INDEX($AS$5:$AS$404,$AC461),IF($AD461="T",ROUND(SUMIF($X$5:$X$404,$AF461,$AS$5:$AS$404),2),IF($AD461="B",ROUND(SUMIF($AN$5:$AN$404,$AQ461,$AS$5:$AS$404),2),""))))</f>
        <v/>
      </c>
      <c r="G461" s="32">
        <f>IF($AD461&lt;&gt;"D","",INDEX($AT$5:$AT$404,$AC461))</f>
        <v/>
      </c>
      <c r="H461" s="32">
        <f>IF($AD461&lt;&gt;"D","",INDEX($BC$5:$BC$404,$AC461))</f>
        <v/>
      </c>
      <c r="I461" s="32">
        <f>IF($AD461&lt;&gt;"D","",INDEX($BD$5:$BD$404,$AC461))</f>
        <v/>
      </c>
      <c r="J461" s="46">
        <f>IF($AD461&lt;&gt;"D","",IF(N($B461)=0,"",ROUND($I461/$B461,4)))</f>
        <v/>
      </c>
      <c r="K461" s="32">
        <f>IF($AD461="Z",ROUND(SUM($AU$5:$AU$404),2),IF($AD461="D",INDEX($AU$5:$AU$404,$AC461),IF($AD461="T",ROUND(SUMIF($X$5:$X$404,$AF461,$AU$5:$AU$404),2),IF($AD461="B",ROUND(SUMIF($AN$5:$AN$404,$AQ461,$AU$5:$AU$404),2),""))))</f>
        <v/>
      </c>
      <c r="L461" s="32">
        <f>IF($AD461="Z",ROUND(SUM($AV$5:$AV$404),2),IF($AD461="D",INDEX($AV$5:$AV$404,$AC461),IF($AD461="T",ROUND(SUMIF($X$5:$X$404,$AF461,$AV$5:$AV$404),2),IF($AD461="B",ROUND(SUMIF($AN$5:$AN$404,$AQ461,$AV$5:$AV$404),2),""))))</f>
        <v/>
      </c>
      <c r="M461" s="32">
        <f>IF($AD461="Z",ROUND(SUM($AJ$5:$AJ$704),2),IF($AD461="B",ROUND(SUMIF($AQ$5:$AQ$704,$AQ461,$AJ$5:$AJ$704),2),IF($AD461&lt;&gt;"T","",$AJ461)))</f>
        <v/>
      </c>
      <c r="N461" s="32">
        <f>IF(OR($AD461="D",$AD461="T",$AD461="B",$AD461="Z"),ROUND(N($K461)-N($L461)-N($M461),2),"")</f>
        <v/>
      </c>
      <c r="O461" s="32">
        <f>IF(OR($AD461="D",$AD461="T",$AD461="B",$AD461="Z"),IF(N($E461)=0,"",ROUND($F461/$E461,2)),"")</f>
        <v/>
      </c>
      <c r="AC461">
        <f>IFERROR(MATCH(457,$AB$5:$AB$404,1),"")</f>
        <v/>
      </c>
      <c r="AD461">
        <f>IF(457=$AI$1+1,"Z",IF($AC461="","",IF(INDEX($V$5:$V$404,$AC461)="","",IF(457&gt;INDEX($AB$5:$AB$404,$AC461)+INDEX($Z$5:$Z$404,$AC461)+INDEX($AA$5:$AA$404,$AC461)+INDEX($AO$5:$AO$404,$AC461),"",IF(457=INDEX($AB$5:$AB$404,$AC461)+INDEX($Z$5:$Z$404,$AC461),"D",IF(AND(INDEX($Z$5:$Z$404,$AC461)=1,457=INDEX($AB$5:$AB$404,$AC461)),"H",IF(AND(INDEX($AO$5:$AO$404,$AC461)=1,457=INDEX($AB$5:$AB$404,$AC461)+INDEX($Z$5:$Z$404,$AC461)+INDEX($AA$5:$AA$404,$AC461)+INDEX($AO$5:$AO$404,$AC461)),"B","T")))))))</f>
        <v/>
      </c>
      <c r="AF461">
        <f>IF(OR($AD461="",$AD461="Z",$AD461="B"),"",INDEX($X$5:$X$404,$AC461))</f>
        <v/>
      </c>
      <c r="AJ461">
        <f>IF($AD461&lt;&gt;"T",0,ROUND(SUMIF(oil!$B$4:$B$63,$AF461,oil!$AE$4:$AE$63),2))</f>
        <v/>
      </c>
      <c r="AQ461">
        <f>IF(OR($AD461="",$AD461="Z"),"",INDEX($AN$5:$AN$404,$AC461))</f>
        <v/>
      </c>
      <c r="AZ461">
        <f>IF(AND($AD461="T",$AQ461=1),N($AZ460)+1,N($AZ460))</f>
        <v/>
      </c>
    </row>
    <row r="462" ht="21" customHeight="1" s="66">
      <c r="A462" s="69">
        <f>IF($AD462="","",IF($AD462="Z","รวมจ่ายทั้งสิ้น",IF($AD462="H",INDEX($X$5:$X$404,$AC462),IF($AD462="T","รวม",IF($AD462="B",IFERROR(INDEX(อัตราค่าขนส่ง!$S$5:$S$14,MATCH(INDEX($AM$5:$AM$404,$AC462),อัตราค่าขนส่ง!$R$5:$R$14,0)),"รวมกลุ่ม "&amp;INDEX($AM$5:$AM$404,$AC462)),INDEX($AY$5:$AY$404,$AC462))))))</f>
        <v/>
      </c>
      <c r="B462" s="31">
        <f>IF($AD462&lt;&gt;"D","",INDEX($AW$5:$AW$404,$AC462))</f>
        <v/>
      </c>
      <c r="C462" s="68">
        <f>IF($AD462&lt;&gt;"D","",INDEX($AX$5:$AX$404,$AC462))</f>
        <v/>
      </c>
      <c r="D462" s="70">
        <f>IF($AD462&lt;&gt;"D","",INDEX($BA$5:$BA$404,$AC462))</f>
        <v/>
      </c>
      <c r="E462" s="31">
        <f>IF($AD462="Z",SUM($AR$5:$AR$404),IF($AD462="D",INDEX($AR$5:$AR$404,$AC462),IF($AD462="T",SUMIF($X$5:$X$404,$AF462,$AR$5:$AR$404),IF($AD462="B",SUMIF($AN$5:$AN$404,$AQ462,$AR$5:$AR$404),""))))</f>
        <v/>
      </c>
      <c r="F462" s="32">
        <f>IF($AD462="Z",ROUND(SUM($AS$5:$AS$404),2),IF($AD462="D",INDEX($AS$5:$AS$404,$AC462),IF($AD462="T",ROUND(SUMIF($X$5:$X$404,$AF462,$AS$5:$AS$404),2),IF($AD462="B",ROUND(SUMIF($AN$5:$AN$404,$AQ462,$AS$5:$AS$404),2),""))))</f>
        <v/>
      </c>
      <c r="G462" s="32">
        <f>IF($AD462&lt;&gt;"D","",INDEX($AT$5:$AT$404,$AC462))</f>
        <v/>
      </c>
      <c r="H462" s="32">
        <f>IF($AD462&lt;&gt;"D","",INDEX($BC$5:$BC$404,$AC462))</f>
        <v/>
      </c>
      <c r="I462" s="32">
        <f>IF($AD462&lt;&gt;"D","",INDEX($BD$5:$BD$404,$AC462))</f>
        <v/>
      </c>
      <c r="J462" s="46">
        <f>IF($AD462&lt;&gt;"D","",IF(N($B462)=0,"",ROUND($I462/$B462,4)))</f>
        <v/>
      </c>
      <c r="K462" s="32">
        <f>IF($AD462="Z",ROUND(SUM($AU$5:$AU$404),2),IF($AD462="D",INDEX($AU$5:$AU$404,$AC462),IF($AD462="T",ROUND(SUMIF($X$5:$X$404,$AF462,$AU$5:$AU$404),2),IF($AD462="B",ROUND(SUMIF($AN$5:$AN$404,$AQ462,$AU$5:$AU$404),2),""))))</f>
        <v/>
      </c>
      <c r="L462" s="32">
        <f>IF($AD462="Z",ROUND(SUM($AV$5:$AV$404),2),IF($AD462="D",INDEX($AV$5:$AV$404,$AC462),IF($AD462="T",ROUND(SUMIF($X$5:$X$404,$AF462,$AV$5:$AV$404),2),IF($AD462="B",ROUND(SUMIF($AN$5:$AN$404,$AQ462,$AV$5:$AV$404),2),""))))</f>
        <v/>
      </c>
      <c r="M462" s="32">
        <f>IF($AD462="Z",ROUND(SUM($AJ$5:$AJ$704),2),IF($AD462="B",ROUND(SUMIF($AQ$5:$AQ$704,$AQ462,$AJ$5:$AJ$704),2),IF($AD462&lt;&gt;"T","",$AJ462)))</f>
        <v/>
      </c>
      <c r="N462" s="32">
        <f>IF(OR($AD462="D",$AD462="T",$AD462="B",$AD462="Z"),ROUND(N($K462)-N($L462)-N($M462),2),"")</f>
        <v/>
      </c>
      <c r="O462" s="32">
        <f>IF(OR($AD462="D",$AD462="T",$AD462="B",$AD462="Z"),IF(N($E462)=0,"",ROUND($F462/$E462,2)),"")</f>
        <v/>
      </c>
      <c r="AC462">
        <f>IFERROR(MATCH(458,$AB$5:$AB$404,1),"")</f>
        <v/>
      </c>
      <c r="AD462">
        <f>IF(458=$AI$1+1,"Z",IF($AC462="","",IF(INDEX($V$5:$V$404,$AC462)="","",IF(458&gt;INDEX($AB$5:$AB$404,$AC462)+INDEX($Z$5:$Z$404,$AC462)+INDEX($AA$5:$AA$404,$AC462)+INDEX($AO$5:$AO$404,$AC462),"",IF(458=INDEX($AB$5:$AB$404,$AC462)+INDEX($Z$5:$Z$404,$AC462),"D",IF(AND(INDEX($Z$5:$Z$404,$AC462)=1,458=INDEX($AB$5:$AB$404,$AC462)),"H",IF(AND(INDEX($AO$5:$AO$404,$AC462)=1,458=INDEX($AB$5:$AB$404,$AC462)+INDEX($Z$5:$Z$404,$AC462)+INDEX($AA$5:$AA$404,$AC462)+INDEX($AO$5:$AO$404,$AC462)),"B","T")))))))</f>
        <v/>
      </c>
      <c r="AF462">
        <f>IF(OR($AD462="",$AD462="Z",$AD462="B"),"",INDEX($X$5:$X$404,$AC462))</f>
        <v/>
      </c>
      <c r="AJ462">
        <f>IF($AD462&lt;&gt;"T",0,ROUND(SUMIF(oil!$B$4:$B$63,$AF462,oil!$AE$4:$AE$63),2))</f>
        <v/>
      </c>
      <c r="AQ462">
        <f>IF(OR($AD462="",$AD462="Z"),"",INDEX($AN$5:$AN$404,$AC462))</f>
        <v/>
      </c>
      <c r="AZ462">
        <f>IF(AND($AD462="T",$AQ462=1),N($AZ461)+1,N($AZ461))</f>
        <v/>
      </c>
    </row>
    <row r="463" ht="21" customHeight="1" s="66">
      <c r="A463" s="69">
        <f>IF($AD463="","",IF($AD463="Z","รวมจ่ายทั้งสิ้น",IF($AD463="H",INDEX($X$5:$X$404,$AC463),IF($AD463="T","รวม",IF($AD463="B",IFERROR(INDEX(อัตราค่าขนส่ง!$S$5:$S$14,MATCH(INDEX($AM$5:$AM$404,$AC463),อัตราค่าขนส่ง!$R$5:$R$14,0)),"รวมกลุ่ม "&amp;INDEX($AM$5:$AM$404,$AC463)),INDEX($AY$5:$AY$404,$AC463))))))</f>
        <v/>
      </c>
      <c r="B463" s="31">
        <f>IF($AD463&lt;&gt;"D","",INDEX($AW$5:$AW$404,$AC463))</f>
        <v/>
      </c>
      <c r="C463" s="68">
        <f>IF($AD463&lt;&gt;"D","",INDEX($AX$5:$AX$404,$AC463))</f>
        <v/>
      </c>
      <c r="D463" s="70">
        <f>IF($AD463&lt;&gt;"D","",INDEX($BA$5:$BA$404,$AC463))</f>
        <v/>
      </c>
      <c r="E463" s="31">
        <f>IF($AD463="Z",SUM($AR$5:$AR$404),IF($AD463="D",INDEX($AR$5:$AR$404,$AC463),IF($AD463="T",SUMIF($X$5:$X$404,$AF463,$AR$5:$AR$404),IF($AD463="B",SUMIF($AN$5:$AN$404,$AQ463,$AR$5:$AR$404),""))))</f>
        <v/>
      </c>
      <c r="F463" s="32">
        <f>IF($AD463="Z",ROUND(SUM($AS$5:$AS$404),2),IF($AD463="D",INDEX($AS$5:$AS$404,$AC463),IF($AD463="T",ROUND(SUMIF($X$5:$X$404,$AF463,$AS$5:$AS$404),2),IF($AD463="B",ROUND(SUMIF($AN$5:$AN$404,$AQ463,$AS$5:$AS$404),2),""))))</f>
        <v/>
      </c>
      <c r="G463" s="32">
        <f>IF($AD463&lt;&gt;"D","",INDEX($AT$5:$AT$404,$AC463))</f>
        <v/>
      </c>
      <c r="H463" s="32">
        <f>IF($AD463&lt;&gt;"D","",INDEX($BC$5:$BC$404,$AC463))</f>
        <v/>
      </c>
      <c r="I463" s="32">
        <f>IF($AD463&lt;&gt;"D","",INDEX($BD$5:$BD$404,$AC463))</f>
        <v/>
      </c>
      <c r="J463" s="46">
        <f>IF($AD463&lt;&gt;"D","",IF(N($B463)=0,"",ROUND($I463/$B463,4)))</f>
        <v/>
      </c>
      <c r="K463" s="32">
        <f>IF($AD463="Z",ROUND(SUM($AU$5:$AU$404),2),IF($AD463="D",INDEX($AU$5:$AU$404,$AC463),IF($AD463="T",ROUND(SUMIF($X$5:$X$404,$AF463,$AU$5:$AU$404),2),IF($AD463="B",ROUND(SUMIF($AN$5:$AN$404,$AQ463,$AU$5:$AU$404),2),""))))</f>
        <v/>
      </c>
      <c r="L463" s="32">
        <f>IF($AD463="Z",ROUND(SUM($AV$5:$AV$404),2),IF($AD463="D",INDEX($AV$5:$AV$404,$AC463),IF($AD463="T",ROUND(SUMIF($X$5:$X$404,$AF463,$AV$5:$AV$404),2),IF($AD463="B",ROUND(SUMIF($AN$5:$AN$404,$AQ463,$AV$5:$AV$404),2),""))))</f>
        <v/>
      </c>
      <c r="M463" s="32">
        <f>IF($AD463="Z",ROUND(SUM($AJ$5:$AJ$704),2),IF($AD463="B",ROUND(SUMIF($AQ$5:$AQ$704,$AQ463,$AJ$5:$AJ$704),2),IF($AD463&lt;&gt;"T","",$AJ463)))</f>
        <v/>
      </c>
      <c r="N463" s="32">
        <f>IF(OR($AD463="D",$AD463="T",$AD463="B",$AD463="Z"),ROUND(N($K463)-N($L463)-N($M463),2),"")</f>
        <v/>
      </c>
      <c r="O463" s="32">
        <f>IF(OR($AD463="D",$AD463="T",$AD463="B",$AD463="Z"),IF(N($E463)=0,"",ROUND($F463/$E463,2)),"")</f>
        <v/>
      </c>
      <c r="AC463">
        <f>IFERROR(MATCH(459,$AB$5:$AB$404,1),"")</f>
        <v/>
      </c>
      <c r="AD463">
        <f>IF(459=$AI$1+1,"Z",IF($AC463="","",IF(INDEX($V$5:$V$404,$AC463)="","",IF(459&gt;INDEX($AB$5:$AB$404,$AC463)+INDEX($Z$5:$Z$404,$AC463)+INDEX($AA$5:$AA$404,$AC463)+INDEX($AO$5:$AO$404,$AC463),"",IF(459=INDEX($AB$5:$AB$404,$AC463)+INDEX($Z$5:$Z$404,$AC463),"D",IF(AND(INDEX($Z$5:$Z$404,$AC463)=1,459=INDEX($AB$5:$AB$404,$AC463)),"H",IF(AND(INDEX($AO$5:$AO$404,$AC463)=1,459=INDEX($AB$5:$AB$404,$AC463)+INDEX($Z$5:$Z$404,$AC463)+INDEX($AA$5:$AA$404,$AC463)+INDEX($AO$5:$AO$404,$AC463)),"B","T")))))))</f>
        <v/>
      </c>
      <c r="AF463">
        <f>IF(OR($AD463="",$AD463="Z",$AD463="B"),"",INDEX($X$5:$X$404,$AC463))</f>
        <v/>
      </c>
      <c r="AJ463">
        <f>IF($AD463&lt;&gt;"T",0,ROUND(SUMIF(oil!$B$4:$B$63,$AF463,oil!$AE$4:$AE$63),2))</f>
        <v/>
      </c>
      <c r="AQ463">
        <f>IF(OR($AD463="",$AD463="Z"),"",INDEX($AN$5:$AN$404,$AC463))</f>
        <v/>
      </c>
      <c r="AZ463">
        <f>IF(AND($AD463="T",$AQ463=1),N($AZ462)+1,N($AZ462))</f>
        <v/>
      </c>
    </row>
    <row r="464" ht="21" customHeight="1" s="66">
      <c r="A464" s="69">
        <f>IF($AD464="","",IF($AD464="Z","รวมจ่ายทั้งสิ้น",IF($AD464="H",INDEX($X$5:$X$404,$AC464),IF($AD464="T","รวม",IF($AD464="B",IFERROR(INDEX(อัตราค่าขนส่ง!$S$5:$S$14,MATCH(INDEX($AM$5:$AM$404,$AC464),อัตราค่าขนส่ง!$R$5:$R$14,0)),"รวมกลุ่ม "&amp;INDEX($AM$5:$AM$404,$AC464)),INDEX($AY$5:$AY$404,$AC464))))))</f>
        <v/>
      </c>
      <c r="B464" s="31">
        <f>IF($AD464&lt;&gt;"D","",INDEX($AW$5:$AW$404,$AC464))</f>
        <v/>
      </c>
      <c r="C464" s="68">
        <f>IF($AD464&lt;&gt;"D","",INDEX($AX$5:$AX$404,$AC464))</f>
        <v/>
      </c>
      <c r="D464" s="70">
        <f>IF($AD464&lt;&gt;"D","",INDEX($BA$5:$BA$404,$AC464))</f>
        <v/>
      </c>
      <c r="E464" s="31">
        <f>IF($AD464="Z",SUM($AR$5:$AR$404),IF($AD464="D",INDEX($AR$5:$AR$404,$AC464),IF($AD464="T",SUMIF($X$5:$X$404,$AF464,$AR$5:$AR$404),IF($AD464="B",SUMIF($AN$5:$AN$404,$AQ464,$AR$5:$AR$404),""))))</f>
        <v/>
      </c>
      <c r="F464" s="32">
        <f>IF($AD464="Z",ROUND(SUM($AS$5:$AS$404),2),IF($AD464="D",INDEX($AS$5:$AS$404,$AC464),IF($AD464="T",ROUND(SUMIF($X$5:$X$404,$AF464,$AS$5:$AS$404),2),IF($AD464="B",ROUND(SUMIF($AN$5:$AN$404,$AQ464,$AS$5:$AS$404),2),""))))</f>
        <v/>
      </c>
      <c r="G464" s="32">
        <f>IF($AD464&lt;&gt;"D","",INDEX($AT$5:$AT$404,$AC464))</f>
        <v/>
      </c>
      <c r="H464" s="32">
        <f>IF($AD464&lt;&gt;"D","",INDEX($BC$5:$BC$404,$AC464))</f>
        <v/>
      </c>
      <c r="I464" s="32">
        <f>IF($AD464&lt;&gt;"D","",INDEX($BD$5:$BD$404,$AC464))</f>
        <v/>
      </c>
      <c r="J464" s="46">
        <f>IF($AD464&lt;&gt;"D","",IF(N($B464)=0,"",ROUND($I464/$B464,4)))</f>
        <v/>
      </c>
      <c r="K464" s="32">
        <f>IF($AD464="Z",ROUND(SUM($AU$5:$AU$404),2),IF($AD464="D",INDEX($AU$5:$AU$404,$AC464),IF($AD464="T",ROUND(SUMIF($X$5:$X$404,$AF464,$AU$5:$AU$404),2),IF($AD464="B",ROUND(SUMIF($AN$5:$AN$404,$AQ464,$AU$5:$AU$404),2),""))))</f>
        <v/>
      </c>
      <c r="L464" s="32">
        <f>IF($AD464="Z",ROUND(SUM($AV$5:$AV$404),2),IF($AD464="D",INDEX($AV$5:$AV$404,$AC464),IF($AD464="T",ROUND(SUMIF($X$5:$X$404,$AF464,$AV$5:$AV$404),2),IF($AD464="B",ROUND(SUMIF($AN$5:$AN$404,$AQ464,$AV$5:$AV$404),2),""))))</f>
        <v/>
      </c>
      <c r="M464" s="32">
        <f>IF($AD464="Z",ROUND(SUM($AJ$5:$AJ$704),2),IF($AD464="B",ROUND(SUMIF($AQ$5:$AQ$704,$AQ464,$AJ$5:$AJ$704),2),IF($AD464&lt;&gt;"T","",$AJ464)))</f>
        <v/>
      </c>
      <c r="N464" s="32">
        <f>IF(OR($AD464="D",$AD464="T",$AD464="B",$AD464="Z"),ROUND(N($K464)-N($L464)-N($M464),2),"")</f>
        <v/>
      </c>
      <c r="O464" s="32">
        <f>IF(OR($AD464="D",$AD464="T",$AD464="B",$AD464="Z"),IF(N($E464)=0,"",ROUND($F464/$E464,2)),"")</f>
        <v/>
      </c>
      <c r="AC464">
        <f>IFERROR(MATCH(460,$AB$5:$AB$404,1),"")</f>
        <v/>
      </c>
      <c r="AD464">
        <f>IF(460=$AI$1+1,"Z",IF($AC464="","",IF(INDEX($V$5:$V$404,$AC464)="","",IF(460&gt;INDEX($AB$5:$AB$404,$AC464)+INDEX($Z$5:$Z$404,$AC464)+INDEX($AA$5:$AA$404,$AC464)+INDEX($AO$5:$AO$404,$AC464),"",IF(460=INDEX($AB$5:$AB$404,$AC464)+INDEX($Z$5:$Z$404,$AC464),"D",IF(AND(INDEX($Z$5:$Z$404,$AC464)=1,460=INDEX($AB$5:$AB$404,$AC464)),"H",IF(AND(INDEX($AO$5:$AO$404,$AC464)=1,460=INDEX($AB$5:$AB$404,$AC464)+INDEX($Z$5:$Z$404,$AC464)+INDEX($AA$5:$AA$404,$AC464)+INDEX($AO$5:$AO$404,$AC464)),"B","T")))))))</f>
        <v/>
      </c>
      <c r="AF464">
        <f>IF(OR($AD464="",$AD464="Z",$AD464="B"),"",INDEX($X$5:$X$404,$AC464))</f>
        <v/>
      </c>
      <c r="AJ464">
        <f>IF($AD464&lt;&gt;"T",0,ROUND(SUMIF(oil!$B$4:$B$63,$AF464,oil!$AE$4:$AE$63),2))</f>
        <v/>
      </c>
      <c r="AQ464">
        <f>IF(OR($AD464="",$AD464="Z"),"",INDEX($AN$5:$AN$404,$AC464))</f>
        <v/>
      </c>
      <c r="AZ464">
        <f>IF(AND($AD464="T",$AQ464=1),N($AZ463)+1,N($AZ463))</f>
        <v/>
      </c>
    </row>
    <row r="465" ht="21" customHeight="1" s="66">
      <c r="A465" s="69">
        <f>IF($AD465="","",IF($AD465="Z","รวมจ่ายทั้งสิ้น",IF($AD465="H",INDEX($X$5:$X$404,$AC465),IF($AD465="T","รวม",IF($AD465="B",IFERROR(INDEX(อัตราค่าขนส่ง!$S$5:$S$14,MATCH(INDEX($AM$5:$AM$404,$AC465),อัตราค่าขนส่ง!$R$5:$R$14,0)),"รวมกลุ่ม "&amp;INDEX($AM$5:$AM$404,$AC465)),INDEX($AY$5:$AY$404,$AC465))))))</f>
        <v/>
      </c>
      <c r="B465" s="31">
        <f>IF($AD465&lt;&gt;"D","",INDEX($AW$5:$AW$404,$AC465))</f>
        <v/>
      </c>
      <c r="C465" s="68">
        <f>IF($AD465&lt;&gt;"D","",INDEX($AX$5:$AX$404,$AC465))</f>
        <v/>
      </c>
      <c r="D465" s="70">
        <f>IF($AD465&lt;&gt;"D","",INDEX($BA$5:$BA$404,$AC465))</f>
        <v/>
      </c>
      <c r="E465" s="31">
        <f>IF($AD465="Z",SUM($AR$5:$AR$404),IF($AD465="D",INDEX($AR$5:$AR$404,$AC465),IF($AD465="T",SUMIF($X$5:$X$404,$AF465,$AR$5:$AR$404),IF($AD465="B",SUMIF($AN$5:$AN$404,$AQ465,$AR$5:$AR$404),""))))</f>
        <v/>
      </c>
      <c r="F465" s="32">
        <f>IF($AD465="Z",ROUND(SUM($AS$5:$AS$404),2),IF($AD465="D",INDEX($AS$5:$AS$404,$AC465),IF($AD465="T",ROUND(SUMIF($X$5:$X$404,$AF465,$AS$5:$AS$404),2),IF($AD465="B",ROUND(SUMIF($AN$5:$AN$404,$AQ465,$AS$5:$AS$404),2),""))))</f>
        <v/>
      </c>
      <c r="G465" s="32">
        <f>IF($AD465&lt;&gt;"D","",INDEX($AT$5:$AT$404,$AC465))</f>
        <v/>
      </c>
      <c r="H465" s="32">
        <f>IF($AD465&lt;&gt;"D","",INDEX($BC$5:$BC$404,$AC465))</f>
        <v/>
      </c>
      <c r="I465" s="32">
        <f>IF($AD465&lt;&gt;"D","",INDEX($BD$5:$BD$404,$AC465))</f>
        <v/>
      </c>
      <c r="J465" s="46">
        <f>IF($AD465&lt;&gt;"D","",IF(N($B465)=0,"",ROUND($I465/$B465,4)))</f>
        <v/>
      </c>
      <c r="K465" s="32">
        <f>IF($AD465="Z",ROUND(SUM($AU$5:$AU$404),2),IF($AD465="D",INDEX($AU$5:$AU$404,$AC465),IF($AD465="T",ROUND(SUMIF($X$5:$X$404,$AF465,$AU$5:$AU$404),2),IF($AD465="B",ROUND(SUMIF($AN$5:$AN$404,$AQ465,$AU$5:$AU$404),2),""))))</f>
        <v/>
      </c>
      <c r="L465" s="32">
        <f>IF($AD465="Z",ROUND(SUM($AV$5:$AV$404),2),IF($AD465="D",INDEX($AV$5:$AV$404,$AC465),IF($AD465="T",ROUND(SUMIF($X$5:$X$404,$AF465,$AV$5:$AV$404),2),IF($AD465="B",ROUND(SUMIF($AN$5:$AN$404,$AQ465,$AV$5:$AV$404),2),""))))</f>
        <v/>
      </c>
      <c r="M465" s="32">
        <f>IF($AD465="Z",ROUND(SUM($AJ$5:$AJ$704),2),IF($AD465="B",ROUND(SUMIF($AQ$5:$AQ$704,$AQ465,$AJ$5:$AJ$704),2),IF($AD465&lt;&gt;"T","",$AJ465)))</f>
        <v/>
      </c>
      <c r="N465" s="32">
        <f>IF(OR($AD465="D",$AD465="T",$AD465="B",$AD465="Z"),ROUND(N($K465)-N($L465)-N($M465),2),"")</f>
        <v/>
      </c>
      <c r="O465" s="32">
        <f>IF(OR($AD465="D",$AD465="T",$AD465="B",$AD465="Z"),IF(N($E465)=0,"",ROUND($F465/$E465,2)),"")</f>
        <v/>
      </c>
      <c r="AC465">
        <f>IFERROR(MATCH(461,$AB$5:$AB$404,1),"")</f>
        <v/>
      </c>
      <c r="AD465">
        <f>IF(461=$AI$1+1,"Z",IF($AC465="","",IF(INDEX($V$5:$V$404,$AC465)="","",IF(461&gt;INDEX($AB$5:$AB$404,$AC465)+INDEX($Z$5:$Z$404,$AC465)+INDEX($AA$5:$AA$404,$AC465)+INDEX($AO$5:$AO$404,$AC465),"",IF(461=INDEX($AB$5:$AB$404,$AC465)+INDEX($Z$5:$Z$404,$AC465),"D",IF(AND(INDEX($Z$5:$Z$404,$AC465)=1,461=INDEX($AB$5:$AB$404,$AC465)),"H",IF(AND(INDEX($AO$5:$AO$404,$AC465)=1,461=INDEX($AB$5:$AB$404,$AC465)+INDEX($Z$5:$Z$404,$AC465)+INDEX($AA$5:$AA$404,$AC465)+INDEX($AO$5:$AO$404,$AC465)),"B","T")))))))</f>
        <v/>
      </c>
      <c r="AF465">
        <f>IF(OR($AD465="",$AD465="Z",$AD465="B"),"",INDEX($X$5:$X$404,$AC465))</f>
        <v/>
      </c>
      <c r="AJ465">
        <f>IF($AD465&lt;&gt;"T",0,ROUND(SUMIF(oil!$B$4:$B$63,$AF465,oil!$AE$4:$AE$63),2))</f>
        <v/>
      </c>
      <c r="AQ465">
        <f>IF(OR($AD465="",$AD465="Z"),"",INDEX($AN$5:$AN$404,$AC465))</f>
        <v/>
      </c>
      <c r="AZ465">
        <f>IF(AND($AD465="T",$AQ465=1),N($AZ464)+1,N($AZ464))</f>
        <v/>
      </c>
    </row>
    <row r="466" ht="21" customHeight="1" s="66">
      <c r="A466" s="69">
        <f>IF($AD466="","",IF($AD466="Z","รวมจ่ายทั้งสิ้น",IF($AD466="H",INDEX($X$5:$X$404,$AC466),IF($AD466="T","รวม",IF($AD466="B",IFERROR(INDEX(อัตราค่าขนส่ง!$S$5:$S$14,MATCH(INDEX($AM$5:$AM$404,$AC466),อัตราค่าขนส่ง!$R$5:$R$14,0)),"รวมกลุ่ม "&amp;INDEX($AM$5:$AM$404,$AC466)),INDEX($AY$5:$AY$404,$AC466))))))</f>
        <v/>
      </c>
      <c r="B466" s="31">
        <f>IF($AD466&lt;&gt;"D","",INDEX($AW$5:$AW$404,$AC466))</f>
        <v/>
      </c>
      <c r="C466" s="68">
        <f>IF($AD466&lt;&gt;"D","",INDEX($AX$5:$AX$404,$AC466))</f>
        <v/>
      </c>
      <c r="D466" s="70">
        <f>IF($AD466&lt;&gt;"D","",INDEX($BA$5:$BA$404,$AC466))</f>
        <v/>
      </c>
      <c r="E466" s="31">
        <f>IF($AD466="Z",SUM($AR$5:$AR$404),IF($AD466="D",INDEX($AR$5:$AR$404,$AC466),IF($AD466="T",SUMIF($X$5:$X$404,$AF466,$AR$5:$AR$404),IF($AD466="B",SUMIF($AN$5:$AN$404,$AQ466,$AR$5:$AR$404),""))))</f>
        <v/>
      </c>
      <c r="F466" s="32">
        <f>IF($AD466="Z",ROUND(SUM($AS$5:$AS$404),2),IF($AD466="D",INDEX($AS$5:$AS$404,$AC466),IF($AD466="T",ROUND(SUMIF($X$5:$X$404,$AF466,$AS$5:$AS$404),2),IF($AD466="B",ROUND(SUMIF($AN$5:$AN$404,$AQ466,$AS$5:$AS$404),2),""))))</f>
        <v/>
      </c>
      <c r="G466" s="32">
        <f>IF($AD466&lt;&gt;"D","",INDEX($AT$5:$AT$404,$AC466))</f>
        <v/>
      </c>
      <c r="H466" s="32">
        <f>IF($AD466&lt;&gt;"D","",INDEX($BC$5:$BC$404,$AC466))</f>
        <v/>
      </c>
      <c r="I466" s="32">
        <f>IF($AD466&lt;&gt;"D","",INDEX($BD$5:$BD$404,$AC466))</f>
        <v/>
      </c>
      <c r="J466" s="46">
        <f>IF($AD466&lt;&gt;"D","",IF(N($B466)=0,"",ROUND($I466/$B466,4)))</f>
        <v/>
      </c>
      <c r="K466" s="32">
        <f>IF($AD466="Z",ROUND(SUM($AU$5:$AU$404),2),IF($AD466="D",INDEX($AU$5:$AU$404,$AC466),IF($AD466="T",ROUND(SUMIF($X$5:$X$404,$AF466,$AU$5:$AU$404),2),IF($AD466="B",ROUND(SUMIF($AN$5:$AN$404,$AQ466,$AU$5:$AU$404),2),""))))</f>
        <v/>
      </c>
      <c r="L466" s="32">
        <f>IF($AD466="Z",ROUND(SUM($AV$5:$AV$404),2),IF($AD466="D",INDEX($AV$5:$AV$404,$AC466),IF($AD466="T",ROUND(SUMIF($X$5:$X$404,$AF466,$AV$5:$AV$404),2),IF($AD466="B",ROUND(SUMIF($AN$5:$AN$404,$AQ466,$AV$5:$AV$404),2),""))))</f>
        <v/>
      </c>
      <c r="M466" s="32">
        <f>IF($AD466="Z",ROUND(SUM($AJ$5:$AJ$704),2),IF($AD466="B",ROUND(SUMIF($AQ$5:$AQ$704,$AQ466,$AJ$5:$AJ$704),2),IF($AD466&lt;&gt;"T","",$AJ466)))</f>
        <v/>
      </c>
      <c r="N466" s="32">
        <f>IF(OR($AD466="D",$AD466="T",$AD466="B",$AD466="Z"),ROUND(N($K466)-N($L466)-N($M466),2),"")</f>
        <v/>
      </c>
      <c r="O466" s="32">
        <f>IF(OR($AD466="D",$AD466="T",$AD466="B",$AD466="Z"),IF(N($E466)=0,"",ROUND($F466/$E466,2)),"")</f>
        <v/>
      </c>
      <c r="AC466">
        <f>IFERROR(MATCH(462,$AB$5:$AB$404,1),"")</f>
        <v/>
      </c>
      <c r="AD466">
        <f>IF(462=$AI$1+1,"Z",IF($AC466="","",IF(INDEX($V$5:$V$404,$AC466)="","",IF(462&gt;INDEX($AB$5:$AB$404,$AC466)+INDEX($Z$5:$Z$404,$AC466)+INDEX($AA$5:$AA$404,$AC466)+INDEX($AO$5:$AO$404,$AC466),"",IF(462=INDEX($AB$5:$AB$404,$AC466)+INDEX($Z$5:$Z$404,$AC466),"D",IF(AND(INDEX($Z$5:$Z$404,$AC466)=1,462=INDEX($AB$5:$AB$404,$AC466)),"H",IF(AND(INDEX($AO$5:$AO$404,$AC466)=1,462=INDEX($AB$5:$AB$404,$AC466)+INDEX($Z$5:$Z$404,$AC466)+INDEX($AA$5:$AA$404,$AC466)+INDEX($AO$5:$AO$404,$AC466)),"B","T")))))))</f>
        <v/>
      </c>
      <c r="AF466">
        <f>IF(OR($AD466="",$AD466="Z",$AD466="B"),"",INDEX($X$5:$X$404,$AC466))</f>
        <v/>
      </c>
      <c r="AJ466">
        <f>IF($AD466&lt;&gt;"T",0,ROUND(SUMIF(oil!$B$4:$B$63,$AF466,oil!$AE$4:$AE$63),2))</f>
        <v/>
      </c>
      <c r="AQ466">
        <f>IF(OR($AD466="",$AD466="Z"),"",INDEX($AN$5:$AN$404,$AC466))</f>
        <v/>
      </c>
      <c r="AZ466">
        <f>IF(AND($AD466="T",$AQ466=1),N($AZ465)+1,N($AZ465))</f>
        <v/>
      </c>
    </row>
    <row r="467" ht="21" customHeight="1" s="66">
      <c r="A467" s="69">
        <f>IF($AD467="","",IF($AD467="Z","รวมจ่ายทั้งสิ้น",IF($AD467="H",INDEX($X$5:$X$404,$AC467),IF($AD467="T","รวม",IF($AD467="B",IFERROR(INDEX(อัตราค่าขนส่ง!$S$5:$S$14,MATCH(INDEX($AM$5:$AM$404,$AC467),อัตราค่าขนส่ง!$R$5:$R$14,0)),"รวมกลุ่ม "&amp;INDEX($AM$5:$AM$404,$AC467)),INDEX($AY$5:$AY$404,$AC467))))))</f>
        <v/>
      </c>
      <c r="B467" s="31">
        <f>IF($AD467&lt;&gt;"D","",INDEX($AW$5:$AW$404,$AC467))</f>
        <v/>
      </c>
      <c r="C467" s="68">
        <f>IF($AD467&lt;&gt;"D","",INDEX($AX$5:$AX$404,$AC467))</f>
        <v/>
      </c>
      <c r="D467" s="70">
        <f>IF($AD467&lt;&gt;"D","",INDEX($BA$5:$BA$404,$AC467))</f>
        <v/>
      </c>
      <c r="E467" s="31">
        <f>IF($AD467="Z",SUM($AR$5:$AR$404),IF($AD467="D",INDEX($AR$5:$AR$404,$AC467),IF($AD467="T",SUMIF($X$5:$X$404,$AF467,$AR$5:$AR$404),IF($AD467="B",SUMIF($AN$5:$AN$404,$AQ467,$AR$5:$AR$404),""))))</f>
        <v/>
      </c>
      <c r="F467" s="32">
        <f>IF($AD467="Z",ROUND(SUM($AS$5:$AS$404),2),IF($AD467="D",INDEX($AS$5:$AS$404,$AC467),IF($AD467="T",ROUND(SUMIF($X$5:$X$404,$AF467,$AS$5:$AS$404),2),IF($AD467="B",ROUND(SUMIF($AN$5:$AN$404,$AQ467,$AS$5:$AS$404),2),""))))</f>
        <v/>
      </c>
      <c r="G467" s="32">
        <f>IF($AD467&lt;&gt;"D","",INDEX($AT$5:$AT$404,$AC467))</f>
        <v/>
      </c>
      <c r="H467" s="32">
        <f>IF($AD467&lt;&gt;"D","",INDEX($BC$5:$BC$404,$AC467))</f>
        <v/>
      </c>
      <c r="I467" s="32">
        <f>IF($AD467&lt;&gt;"D","",INDEX($BD$5:$BD$404,$AC467))</f>
        <v/>
      </c>
      <c r="J467" s="46">
        <f>IF($AD467&lt;&gt;"D","",IF(N($B467)=0,"",ROUND($I467/$B467,4)))</f>
        <v/>
      </c>
      <c r="K467" s="32">
        <f>IF($AD467="Z",ROUND(SUM($AU$5:$AU$404),2),IF($AD467="D",INDEX($AU$5:$AU$404,$AC467),IF($AD467="T",ROUND(SUMIF($X$5:$X$404,$AF467,$AU$5:$AU$404),2),IF($AD467="B",ROUND(SUMIF($AN$5:$AN$404,$AQ467,$AU$5:$AU$404),2),""))))</f>
        <v/>
      </c>
      <c r="L467" s="32">
        <f>IF($AD467="Z",ROUND(SUM($AV$5:$AV$404),2),IF($AD467="D",INDEX($AV$5:$AV$404,$AC467),IF($AD467="T",ROUND(SUMIF($X$5:$X$404,$AF467,$AV$5:$AV$404),2),IF($AD467="B",ROUND(SUMIF($AN$5:$AN$404,$AQ467,$AV$5:$AV$404),2),""))))</f>
        <v/>
      </c>
      <c r="M467" s="32">
        <f>IF($AD467="Z",ROUND(SUM($AJ$5:$AJ$704),2),IF($AD467="B",ROUND(SUMIF($AQ$5:$AQ$704,$AQ467,$AJ$5:$AJ$704),2),IF($AD467&lt;&gt;"T","",$AJ467)))</f>
        <v/>
      </c>
      <c r="N467" s="32">
        <f>IF(OR($AD467="D",$AD467="T",$AD467="B",$AD467="Z"),ROUND(N($K467)-N($L467)-N($M467),2),"")</f>
        <v/>
      </c>
      <c r="O467" s="32">
        <f>IF(OR($AD467="D",$AD467="T",$AD467="B",$AD467="Z"),IF(N($E467)=0,"",ROUND($F467/$E467,2)),"")</f>
        <v/>
      </c>
      <c r="AC467">
        <f>IFERROR(MATCH(463,$AB$5:$AB$404,1),"")</f>
        <v/>
      </c>
      <c r="AD467">
        <f>IF(463=$AI$1+1,"Z",IF($AC467="","",IF(INDEX($V$5:$V$404,$AC467)="","",IF(463&gt;INDEX($AB$5:$AB$404,$AC467)+INDEX($Z$5:$Z$404,$AC467)+INDEX($AA$5:$AA$404,$AC467)+INDEX($AO$5:$AO$404,$AC467),"",IF(463=INDEX($AB$5:$AB$404,$AC467)+INDEX($Z$5:$Z$404,$AC467),"D",IF(AND(INDEX($Z$5:$Z$404,$AC467)=1,463=INDEX($AB$5:$AB$404,$AC467)),"H",IF(AND(INDEX($AO$5:$AO$404,$AC467)=1,463=INDEX($AB$5:$AB$404,$AC467)+INDEX($Z$5:$Z$404,$AC467)+INDEX($AA$5:$AA$404,$AC467)+INDEX($AO$5:$AO$404,$AC467)),"B","T")))))))</f>
        <v/>
      </c>
      <c r="AF467">
        <f>IF(OR($AD467="",$AD467="Z",$AD467="B"),"",INDEX($X$5:$X$404,$AC467))</f>
        <v/>
      </c>
      <c r="AJ467">
        <f>IF($AD467&lt;&gt;"T",0,ROUND(SUMIF(oil!$B$4:$B$63,$AF467,oil!$AE$4:$AE$63),2))</f>
        <v/>
      </c>
      <c r="AQ467">
        <f>IF(OR($AD467="",$AD467="Z"),"",INDEX($AN$5:$AN$404,$AC467))</f>
        <v/>
      </c>
      <c r="AZ467">
        <f>IF(AND($AD467="T",$AQ467=1),N($AZ466)+1,N($AZ466))</f>
        <v/>
      </c>
    </row>
    <row r="468" ht="21" customHeight="1" s="66">
      <c r="A468" s="69">
        <f>IF($AD468="","",IF($AD468="Z","รวมจ่ายทั้งสิ้น",IF($AD468="H",INDEX($X$5:$X$404,$AC468),IF($AD468="T","รวม",IF($AD468="B",IFERROR(INDEX(อัตราค่าขนส่ง!$S$5:$S$14,MATCH(INDEX($AM$5:$AM$404,$AC468),อัตราค่าขนส่ง!$R$5:$R$14,0)),"รวมกลุ่ม "&amp;INDEX($AM$5:$AM$404,$AC468)),INDEX($AY$5:$AY$404,$AC468))))))</f>
        <v/>
      </c>
      <c r="B468" s="31">
        <f>IF($AD468&lt;&gt;"D","",INDEX($AW$5:$AW$404,$AC468))</f>
        <v/>
      </c>
      <c r="C468" s="68">
        <f>IF($AD468&lt;&gt;"D","",INDEX($AX$5:$AX$404,$AC468))</f>
        <v/>
      </c>
      <c r="D468" s="70">
        <f>IF($AD468&lt;&gt;"D","",INDEX($BA$5:$BA$404,$AC468))</f>
        <v/>
      </c>
      <c r="E468" s="31">
        <f>IF($AD468="Z",SUM($AR$5:$AR$404),IF($AD468="D",INDEX($AR$5:$AR$404,$AC468),IF($AD468="T",SUMIF($X$5:$X$404,$AF468,$AR$5:$AR$404),IF($AD468="B",SUMIF($AN$5:$AN$404,$AQ468,$AR$5:$AR$404),""))))</f>
        <v/>
      </c>
      <c r="F468" s="32">
        <f>IF($AD468="Z",ROUND(SUM($AS$5:$AS$404),2),IF($AD468="D",INDEX($AS$5:$AS$404,$AC468),IF($AD468="T",ROUND(SUMIF($X$5:$X$404,$AF468,$AS$5:$AS$404),2),IF($AD468="B",ROUND(SUMIF($AN$5:$AN$404,$AQ468,$AS$5:$AS$404),2),""))))</f>
        <v/>
      </c>
      <c r="G468" s="32">
        <f>IF($AD468&lt;&gt;"D","",INDEX($AT$5:$AT$404,$AC468))</f>
        <v/>
      </c>
      <c r="H468" s="32">
        <f>IF($AD468&lt;&gt;"D","",INDEX($BC$5:$BC$404,$AC468))</f>
        <v/>
      </c>
      <c r="I468" s="32">
        <f>IF($AD468&lt;&gt;"D","",INDEX($BD$5:$BD$404,$AC468))</f>
        <v/>
      </c>
      <c r="J468" s="46">
        <f>IF($AD468&lt;&gt;"D","",IF(N($B468)=0,"",ROUND($I468/$B468,4)))</f>
        <v/>
      </c>
      <c r="K468" s="32">
        <f>IF($AD468="Z",ROUND(SUM($AU$5:$AU$404),2),IF($AD468="D",INDEX($AU$5:$AU$404,$AC468),IF($AD468="T",ROUND(SUMIF($X$5:$X$404,$AF468,$AU$5:$AU$404),2),IF($AD468="B",ROUND(SUMIF($AN$5:$AN$404,$AQ468,$AU$5:$AU$404),2),""))))</f>
        <v/>
      </c>
      <c r="L468" s="32">
        <f>IF($AD468="Z",ROUND(SUM($AV$5:$AV$404),2),IF($AD468="D",INDEX($AV$5:$AV$404,$AC468),IF($AD468="T",ROUND(SUMIF($X$5:$X$404,$AF468,$AV$5:$AV$404),2),IF($AD468="B",ROUND(SUMIF($AN$5:$AN$404,$AQ468,$AV$5:$AV$404),2),""))))</f>
        <v/>
      </c>
      <c r="M468" s="32">
        <f>IF($AD468="Z",ROUND(SUM($AJ$5:$AJ$704),2),IF($AD468="B",ROUND(SUMIF($AQ$5:$AQ$704,$AQ468,$AJ$5:$AJ$704),2),IF($AD468&lt;&gt;"T","",$AJ468)))</f>
        <v/>
      </c>
      <c r="N468" s="32">
        <f>IF(OR($AD468="D",$AD468="T",$AD468="B",$AD468="Z"),ROUND(N($K468)-N($L468)-N($M468),2),"")</f>
        <v/>
      </c>
      <c r="O468" s="32">
        <f>IF(OR($AD468="D",$AD468="T",$AD468="B",$AD468="Z"),IF(N($E468)=0,"",ROUND($F468/$E468,2)),"")</f>
        <v/>
      </c>
      <c r="AC468">
        <f>IFERROR(MATCH(464,$AB$5:$AB$404,1),"")</f>
        <v/>
      </c>
      <c r="AD468">
        <f>IF(464=$AI$1+1,"Z",IF($AC468="","",IF(INDEX($V$5:$V$404,$AC468)="","",IF(464&gt;INDEX($AB$5:$AB$404,$AC468)+INDEX($Z$5:$Z$404,$AC468)+INDEX($AA$5:$AA$404,$AC468)+INDEX($AO$5:$AO$404,$AC468),"",IF(464=INDEX($AB$5:$AB$404,$AC468)+INDEX($Z$5:$Z$404,$AC468),"D",IF(AND(INDEX($Z$5:$Z$404,$AC468)=1,464=INDEX($AB$5:$AB$404,$AC468)),"H",IF(AND(INDEX($AO$5:$AO$404,$AC468)=1,464=INDEX($AB$5:$AB$404,$AC468)+INDEX($Z$5:$Z$404,$AC468)+INDEX($AA$5:$AA$404,$AC468)+INDEX($AO$5:$AO$404,$AC468)),"B","T")))))))</f>
        <v/>
      </c>
      <c r="AF468">
        <f>IF(OR($AD468="",$AD468="Z",$AD468="B"),"",INDEX($X$5:$X$404,$AC468))</f>
        <v/>
      </c>
      <c r="AJ468">
        <f>IF($AD468&lt;&gt;"T",0,ROUND(SUMIF(oil!$B$4:$B$63,$AF468,oil!$AE$4:$AE$63),2))</f>
        <v/>
      </c>
      <c r="AQ468">
        <f>IF(OR($AD468="",$AD468="Z"),"",INDEX($AN$5:$AN$404,$AC468))</f>
        <v/>
      </c>
      <c r="AZ468">
        <f>IF(AND($AD468="T",$AQ468=1),N($AZ467)+1,N($AZ467))</f>
        <v/>
      </c>
    </row>
    <row r="469" ht="21" customHeight="1" s="66">
      <c r="A469" s="69">
        <f>IF($AD469="","",IF($AD469="Z","รวมจ่ายทั้งสิ้น",IF($AD469="H",INDEX($X$5:$X$404,$AC469),IF($AD469="T","รวม",IF($AD469="B",IFERROR(INDEX(อัตราค่าขนส่ง!$S$5:$S$14,MATCH(INDEX($AM$5:$AM$404,$AC469),อัตราค่าขนส่ง!$R$5:$R$14,0)),"รวมกลุ่ม "&amp;INDEX($AM$5:$AM$404,$AC469)),INDEX($AY$5:$AY$404,$AC469))))))</f>
        <v/>
      </c>
      <c r="B469" s="31">
        <f>IF($AD469&lt;&gt;"D","",INDEX($AW$5:$AW$404,$AC469))</f>
        <v/>
      </c>
      <c r="C469" s="68">
        <f>IF($AD469&lt;&gt;"D","",INDEX($AX$5:$AX$404,$AC469))</f>
        <v/>
      </c>
      <c r="D469" s="70">
        <f>IF($AD469&lt;&gt;"D","",INDEX($BA$5:$BA$404,$AC469))</f>
        <v/>
      </c>
      <c r="E469" s="31">
        <f>IF($AD469="Z",SUM($AR$5:$AR$404),IF($AD469="D",INDEX($AR$5:$AR$404,$AC469),IF($AD469="T",SUMIF($X$5:$X$404,$AF469,$AR$5:$AR$404),IF($AD469="B",SUMIF($AN$5:$AN$404,$AQ469,$AR$5:$AR$404),""))))</f>
        <v/>
      </c>
      <c r="F469" s="32">
        <f>IF($AD469="Z",ROUND(SUM($AS$5:$AS$404),2),IF($AD469="D",INDEX($AS$5:$AS$404,$AC469),IF($AD469="T",ROUND(SUMIF($X$5:$X$404,$AF469,$AS$5:$AS$404),2),IF($AD469="B",ROUND(SUMIF($AN$5:$AN$404,$AQ469,$AS$5:$AS$404),2),""))))</f>
        <v/>
      </c>
      <c r="G469" s="32">
        <f>IF($AD469&lt;&gt;"D","",INDEX($AT$5:$AT$404,$AC469))</f>
        <v/>
      </c>
      <c r="H469" s="32">
        <f>IF($AD469&lt;&gt;"D","",INDEX($BC$5:$BC$404,$AC469))</f>
        <v/>
      </c>
      <c r="I469" s="32">
        <f>IF($AD469&lt;&gt;"D","",INDEX($BD$5:$BD$404,$AC469))</f>
        <v/>
      </c>
      <c r="J469" s="46">
        <f>IF($AD469&lt;&gt;"D","",IF(N($B469)=0,"",ROUND($I469/$B469,4)))</f>
        <v/>
      </c>
      <c r="K469" s="32">
        <f>IF($AD469="Z",ROUND(SUM($AU$5:$AU$404),2),IF($AD469="D",INDEX($AU$5:$AU$404,$AC469),IF($AD469="T",ROUND(SUMIF($X$5:$X$404,$AF469,$AU$5:$AU$404),2),IF($AD469="B",ROUND(SUMIF($AN$5:$AN$404,$AQ469,$AU$5:$AU$404),2),""))))</f>
        <v/>
      </c>
      <c r="L469" s="32">
        <f>IF($AD469="Z",ROUND(SUM($AV$5:$AV$404),2),IF($AD469="D",INDEX($AV$5:$AV$404,$AC469),IF($AD469="T",ROUND(SUMIF($X$5:$X$404,$AF469,$AV$5:$AV$404),2),IF($AD469="B",ROUND(SUMIF($AN$5:$AN$404,$AQ469,$AV$5:$AV$404),2),""))))</f>
        <v/>
      </c>
      <c r="M469" s="32">
        <f>IF($AD469="Z",ROUND(SUM($AJ$5:$AJ$704),2),IF($AD469="B",ROUND(SUMIF($AQ$5:$AQ$704,$AQ469,$AJ$5:$AJ$704),2),IF($AD469&lt;&gt;"T","",$AJ469)))</f>
        <v/>
      </c>
      <c r="N469" s="32">
        <f>IF(OR($AD469="D",$AD469="T",$AD469="B",$AD469="Z"),ROUND(N($K469)-N($L469)-N($M469),2),"")</f>
        <v/>
      </c>
      <c r="O469" s="32">
        <f>IF(OR($AD469="D",$AD469="T",$AD469="B",$AD469="Z"),IF(N($E469)=0,"",ROUND($F469/$E469,2)),"")</f>
        <v/>
      </c>
      <c r="AC469">
        <f>IFERROR(MATCH(465,$AB$5:$AB$404,1),"")</f>
        <v/>
      </c>
      <c r="AD469">
        <f>IF(465=$AI$1+1,"Z",IF($AC469="","",IF(INDEX($V$5:$V$404,$AC469)="","",IF(465&gt;INDEX($AB$5:$AB$404,$AC469)+INDEX($Z$5:$Z$404,$AC469)+INDEX($AA$5:$AA$404,$AC469)+INDEX($AO$5:$AO$404,$AC469),"",IF(465=INDEX($AB$5:$AB$404,$AC469)+INDEX($Z$5:$Z$404,$AC469),"D",IF(AND(INDEX($Z$5:$Z$404,$AC469)=1,465=INDEX($AB$5:$AB$404,$AC469)),"H",IF(AND(INDEX($AO$5:$AO$404,$AC469)=1,465=INDEX($AB$5:$AB$404,$AC469)+INDEX($Z$5:$Z$404,$AC469)+INDEX($AA$5:$AA$404,$AC469)+INDEX($AO$5:$AO$404,$AC469)),"B","T")))))))</f>
        <v/>
      </c>
      <c r="AF469">
        <f>IF(OR($AD469="",$AD469="Z",$AD469="B"),"",INDEX($X$5:$X$404,$AC469))</f>
        <v/>
      </c>
      <c r="AJ469">
        <f>IF($AD469&lt;&gt;"T",0,ROUND(SUMIF(oil!$B$4:$B$63,$AF469,oil!$AE$4:$AE$63),2))</f>
        <v/>
      </c>
      <c r="AQ469">
        <f>IF(OR($AD469="",$AD469="Z"),"",INDEX($AN$5:$AN$404,$AC469))</f>
        <v/>
      </c>
      <c r="AZ469">
        <f>IF(AND($AD469="T",$AQ469=1),N($AZ468)+1,N($AZ468))</f>
        <v/>
      </c>
    </row>
    <row r="470" ht="21" customHeight="1" s="66">
      <c r="A470" s="69">
        <f>IF($AD470="","",IF($AD470="Z","รวมจ่ายทั้งสิ้น",IF($AD470="H",INDEX($X$5:$X$404,$AC470),IF($AD470="T","รวม",IF($AD470="B",IFERROR(INDEX(อัตราค่าขนส่ง!$S$5:$S$14,MATCH(INDEX($AM$5:$AM$404,$AC470),อัตราค่าขนส่ง!$R$5:$R$14,0)),"รวมกลุ่ม "&amp;INDEX($AM$5:$AM$404,$AC470)),INDEX($AY$5:$AY$404,$AC470))))))</f>
        <v/>
      </c>
      <c r="B470" s="31">
        <f>IF($AD470&lt;&gt;"D","",INDEX($AW$5:$AW$404,$AC470))</f>
        <v/>
      </c>
      <c r="C470" s="68">
        <f>IF($AD470&lt;&gt;"D","",INDEX($AX$5:$AX$404,$AC470))</f>
        <v/>
      </c>
      <c r="D470" s="70">
        <f>IF($AD470&lt;&gt;"D","",INDEX($BA$5:$BA$404,$AC470))</f>
        <v/>
      </c>
      <c r="E470" s="31">
        <f>IF($AD470="Z",SUM($AR$5:$AR$404),IF($AD470="D",INDEX($AR$5:$AR$404,$AC470),IF($AD470="T",SUMIF($X$5:$X$404,$AF470,$AR$5:$AR$404),IF($AD470="B",SUMIF($AN$5:$AN$404,$AQ470,$AR$5:$AR$404),""))))</f>
        <v/>
      </c>
      <c r="F470" s="32">
        <f>IF($AD470="Z",ROUND(SUM($AS$5:$AS$404),2),IF($AD470="D",INDEX($AS$5:$AS$404,$AC470),IF($AD470="T",ROUND(SUMIF($X$5:$X$404,$AF470,$AS$5:$AS$404),2),IF($AD470="B",ROUND(SUMIF($AN$5:$AN$404,$AQ470,$AS$5:$AS$404),2),""))))</f>
        <v/>
      </c>
      <c r="G470" s="32">
        <f>IF($AD470&lt;&gt;"D","",INDEX($AT$5:$AT$404,$AC470))</f>
        <v/>
      </c>
      <c r="H470" s="32">
        <f>IF($AD470&lt;&gt;"D","",INDEX($BC$5:$BC$404,$AC470))</f>
        <v/>
      </c>
      <c r="I470" s="32">
        <f>IF($AD470&lt;&gt;"D","",INDEX($BD$5:$BD$404,$AC470))</f>
        <v/>
      </c>
      <c r="J470" s="46">
        <f>IF($AD470&lt;&gt;"D","",IF(N($B470)=0,"",ROUND($I470/$B470,4)))</f>
        <v/>
      </c>
      <c r="K470" s="32">
        <f>IF($AD470="Z",ROUND(SUM($AU$5:$AU$404),2),IF($AD470="D",INDEX($AU$5:$AU$404,$AC470),IF($AD470="T",ROUND(SUMIF($X$5:$X$404,$AF470,$AU$5:$AU$404),2),IF($AD470="B",ROUND(SUMIF($AN$5:$AN$404,$AQ470,$AU$5:$AU$404),2),""))))</f>
        <v/>
      </c>
      <c r="L470" s="32">
        <f>IF($AD470="Z",ROUND(SUM($AV$5:$AV$404),2),IF($AD470="D",INDEX($AV$5:$AV$404,$AC470),IF($AD470="T",ROUND(SUMIF($X$5:$X$404,$AF470,$AV$5:$AV$404),2),IF($AD470="B",ROUND(SUMIF($AN$5:$AN$404,$AQ470,$AV$5:$AV$404),2),""))))</f>
        <v/>
      </c>
      <c r="M470" s="32">
        <f>IF($AD470="Z",ROUND(SUM($AJ$5:$AJ$704),2),IF($AD470="B",ROUND(SUMIF($AQ$5:$AQ$704,$AQ470,$AJ$5:$AJ$704),2),IF($AD470&lt;&gt;"T","",$AJ470)))</f>
        <v/>
      </c>
      <c r="N470" s="32">
        <f>IF(OR($AD470="D",$AD470="T",$AD470="B",$AD470="Z"),ROUND(N($K470)-N($L470)-N($M470),2),"")</f>
        <v/>
      </c>
      <c r="O470" s="32">
        <f>IF(OR($AD470="D",$AD470="T",$AD470="B",$AD470="Z"),IF(N($E470)=0,"",ROUND($F470/$E470,2)),"")</f>
        <v/>
      </c>
      <c r="AC470">
        <f>IFERROR(MATCH(466,$AB$5:$AB$404,1),"")</f>
        <v/>
      </c>
      <c r="AD470">
        <f>IF(466=$AI$1+1,"Z",IF($AC470="","",IF(INDEX($V$5:$V$404,$AC470)="","",IF(466&gt;INDEX($AB$5:$AB$404,$AC470)+INDEX($Z$5:$Z$404,$AC470)+INDEX($AA$5:$AA$404,$AC470)+INDEX($AO$5:$AO$404,$AC470),"",IF(466=INDEX($AB$5:$AB$404,$AC470)+INDEX($Z$5:$Z$404,$AC470),"D",IF(AND(INDEX($Z$5:$Z$404,$AC470)=1,466=INDEX($AB$5:$AB$404,$AC470)),"H",IF(AND(INDEX($AO$5:$AO$404,$AC470)=1,466=INDEX($AB$5:$AB$404,$AC470)+INDEX($Z$5:$Z$404,$AC470)+INDEX($AA$5:$AA$404,$AC470)+INDEX($AO$5:$AO$404,$AC470)),"B","T")))))))</f>
        <v/>
      </c>
      <c r="AF470">
        <f>IF(OR($AD470="",$AD470="Z",$AD470="B"),"",INDEX($X$5:$X$404,$AC470))</f>
        <v/>
      </c>
      <c r="AJ470">
        <f>IF($AD470&lt;&gt;"T",0,ROUND(SUMIF(oil!$B$4:$B$63,$AF470,oil!$AE$4:$AE$63),2))</f>
        <v/>
      </c>
      <c r="AQ470">
        <f>IF(OR($AD470="",$AD470="Z"),"",INDEX($AN$5:$AN$404,$AC470))</f>
        <v/>
      </c>
      <c r="AZ470">
        <f>IF(AND($AD470="T",$AQ470=1),N($AZ469)+1,N($AZ469))</f>
        <v/>
      </c>
    </row>
    <row r="471" ht="21" customHeight="1" s="66">
      <c r="A471" s="69">
        <f>IF($AD471="","",IF($AD471="Z","รวมจ่ายทั้งสิ้น",IF($AD471="H",INDEX($X$5:$X$404,$AC471),IF($AD471="T","รวม",IF($AD471="B",IFERROR(INDEX(อัตราค่าขนส่ง!$S$5:$S$14,MATCH(INDEX($AM$5:$AM$404,$AC471),อัตราค่าขนส่ง!$R$5:$R$14,0)),"รวมกลุ่ม "&amp;INDEX($AM$5:$AM$404,$AC471)),INDEX($AY$5:$AY$404,$AC471))))))</f>
        <v/>
      </c>
      <c r="B471" s="31">
        <f>IF($AD471&lt;&gt;"D","",INDEX($AW$5:$AW$404,$AC471))</f>
        <v/>
      </c>
      <c r="C471" s="68">
        <f>IF($AD471&lt;&gt;"D","",INDEX($AX$5:$AX$404,$AC471))</f>
        <v/>
      </c>
      <c r="D471" s="70">
        <f>IF($AD471&lt;&gt;"D","",INDEX($BA$5:$BA$404,$AC471))</f>
        <v/>
      </c>
      <c r="E471" s="31">
        <f>IF($AD471="Z",SUM($AR$5:$AR$404),IF($AD471="D",INDEX($AR$5:$AR$404,$AC471),IF($AD471="T",SUMIF($X$5:$X$404,$AF471,$AR$5:$AR$404),IF($AD471="B",SUMIF($AN$5:$AN$404,$AQ471,$AR$5:$AR$404),""))))</f>
        <v/>
      </c>
      <c r="F471" s="32">
        <f>IF($AD471="Z",ROUND(SUM($AS$5:$AS$404),2),IF($AD471="D",INDEX($AS$5:$AS$404,$AC471),IF($AD471="T",ROUND(SUMIF($X$5:$X$404,$AF471,$AS$5:$AS$404),2),IF($AD471="B",ROUND(SUMIF($AN$5:$AN$404,$AQ471,$AS$5:$AS$404),2),""))))</f>
        <v/>
      </c>
      <c r="G471" s="32">
        <f>IF($AD471&lt;&gt;"D","",INDEX($AT$5:$AT$404,$AC471))</f>
        <v/>
      </c>
      <c r="H471" s="32">
        <f>IF($AD471&lt;&gt;"D","",INDEX($BC$5:$BC$404,$AC471))</f>
        <v/>
      </c>
      <c r="I471" s="32">
        <f>IF($AD471&lt;&gt;"D","",INDEX($BD$5:$BD$404,$AC471))</f>
        <v/>
      </c>
      <c r="J471" s="46">
        <f>IF($AD471&lt;&gt;"D","",IF(N($B471)=0,"",ROUND($I471/$B471,4)))</f>
        <v/>
      </c>
      <c r="K471" s="32">
        <f>IF($AD471="Z",ROUND(SUM($AU$5:$AU$404),2),IF($AD471="D",INDEX($AU$5:$AU$404,$AC471),IF($AD471="T",ROUND(SUMIF($X$5:$X$404,$AF471,$AU$5:$AU$404),2),IF($AD471="B",ROUND(SUMIF($AN$5:$AN$404,$AQ471,$AU$5:$AU$404),2),""))))</f>
        <v/>
      </c>
      <c r="L471" s="32">
        <f>IF($AD471="Z",ROUND(SUM($AV$5:$AV$404),2),IF($AD471="D",INDEX($AV$5:$AV$404,$AC471),IF($AD471="T",ROUND(SUMIF($X$5:$X$404,$AF471,$AV$5:$AV$404),2),IF($AD471="B",ROUND(SUMIF($AN$5:$AN$404,$AQ471,$AV$5:$AV$404),2),""))))</f>
        <v/>
      </c>
      <c r="M471" s="32">
        <f>IF($AD471="Z",ROUND(SUM($AJ$5:$AJ$704),2),IF($AD471="B",ROUND(SUMIF($AQ$5:$AQ$704,$AQ471,$AJ$5:$AJ$704),2),IF($AD471&lt;&gt;"T","",$AJ471)))</f>
        <v/>
      </c>
      <c r="N471" s="32">
        <f>IF(OR($AD471="D",$AD471="T",$AD471="B",$AD471="Z"),ROUND(N($K471)-N($L471)-N($M471),2),"")</f>
        <v/>
      </c>
      <c r="O471" s="32">
        <f>IF(OR($AD471="D",$AD471="T",$AD471="B",$AD471="Z"),IF(N($E471)=0,"",ROUND($F471/$E471,2)),"")</f>
        <v/>
      </c>
      <c r="AC471">
        <f>IFERROR(MATCH(467,$AB$5:$AB$404,1),"")</f>
        <v/>
      </c>
      <c r="AD471">
        <f>IF(467=$AI$1+1,"Z",IF($AC471="","",IF(INDEX($V$5:$V$404,$AC471)="","",IF(467&gt;INDEX($AB$5:$AB$404,$AC471)+INDEX($Z$5:$Z$404,$AC471)+INDEX($AA$5:$AA$404,$AC471)+INDEX($AO$5:$AO$404,$AC471),"",IF(467=INDEX($AB$5:$AB$404,$AC471)+INDEX($Z$5:$Z$404,$AC471),"D",IF(AND(INDEX($Z$5:$Z$404,$AC471)=1,467=INDEX($AB$5:$AB$404,$AC471)),"H",IF(AND(INDEX($AO$5:$AO$404,$AC471)=1,467=INDEX($AB$5:$AB$404,$AC471)+INDEX($Z$5:$Z$404,$AC471)+INDEX($AA$5:$AA$404,$AC471)+INDEX($AO$5:$AO$404,$AC471)),"B","T")))))))</f>
        <v/>
      </c>
      <c r="AF471">
        <f>IF(OR($AD471="",$AD471="Z",$AD471="B"),"",INDEX($X$5:$X$404,$AC471))</f>
        <v/>
      </c>
      <c r="AJ471">
        <f>IF($AD471&lt;&gt;"T",0,ROUND(SUMIF(oil!$B$4:$B$63,$AF471,oil!$AE$4:$AE$63),2))</f>
        <v/>
      </c>
      <c r="AQ471">
        <f>IF(OR($AD471="",$AD471="Z"),"",INDEX($AN$5:$AN$404,$AC471))</f>
        <v/>
      </c>
      <c r="AZ471">
        <f>IF(AND($AD471="T",$AQ471=1),N($AZ470)+1,N($AZ470))</f>
        <v/>
      </c>
    </row>
    <row r="472" ht="21" customHeight="1" s="66">
      <c r="A472" s="69">
        <f>IF($AD472="","",IF($AD472="Z","รวมจ่ายทั้งสิ้น",IF($AD472="H",INDEX($X$5:$X$404,$AC472),IF($AD472="T","รวม",IF($AD472="B",IFERROR(INDEX(อัตราค่าขนส่ง!$S$5:$S$14,MATCH(INDEX($AM$5:$AM$404,$AC472),อัตราค่าขนส่ง!$R$5:$R$14,0)),"รวมกลุ่ม "&amp;INDEX($AM$5:$AM$404,$AC472)),INDEX($AY$5:$AY$404,$AC472))))))</f>
        <v/>
      </c>
      <c r="B472" s="31">
        <f>IF($AD472&lt;&gt;"D","",INDEX($AW$5:$AW$404,$AC472))</f>
        <v/>
      </c>
      <c r="C472" s="68">
        <f>IF($AD472&lt;&gt;"D","",INDEX($AX$5:$AX$404,$AC472))</f>
        <v/>
      </c>
      <c r="D472" s="70">
        <f>IF($AD472&lt;&gt;"D","",INDEX($BA$5:$BA$404,$AC472))</f>
        <v/>
      </c>
      <c r="E472" s="31">
        <f>IF($AD472="Z",SUM($AR$5:$AR$404),IF($AD472="D",INDEX($AR$5:$AR$404,$AC472),IF($AD472="T",SUMIF($X$5:$X$404,$AF472,$AR$5:$AR$404),IF($AD472="B",SUMIF($AN$5:$AN$404,$AQ472,$AR$5:$AR$404),""))))</f>
        <v/>
      </c>
      <c r="F472" s="32">
        <f>IF($AD472="Z",ROUND(SUM($AS$5:$AS$404),2),IF($AD472="D",INDEX($AS$5:$AS$404,$AC472),IF($AD472="T",ROUND(SUMIF($X$5:$X$404,$AF472,$AS$5:$AS$404),2),IF($AD472="B",ROUND(SUMIF($AN$5:$AN$404,$AQ472,$AS$5:$AS$404),2),""))))</f>
        <v/>
      </c>
      <c r="G472" s="32">
        <f>IF($AD472&lt;&gt;"D","",INDEX($AT$5:$AT$404,$AC472))</f>
        <v/>
      </c>
      <c r="H472" s="32">
        <f>IF($AD472&lt;&gt;"D","",INDEX($BC$5:$BC$404,$AC472))</f>
        <v/>
      </c>
      <c r="I472" s="32">
        <f>IF($AD472&lt;&gt;"D","",INDEX($BD$5:$BD$404,$AC472))</f>
        <v/>
      </c>
      <c r="J472" s="46">
        <f>IF($AD472&lt;&gt;"D","",IF(N($B472)=0,"",ROUND($I472/$B472,4)))</f>
        <v/>
      </c>
      <c r="K472" s="32">
        <f>IF($AD472="Z",ROUND(SUM($AU$5:$AU$404),2),IF($AD472="D",INDEX($AU$5:$AU$404,$AC472),IF($AD472="T",ROUND(SUMIF($X$5:$X$404,$AF472,$AU$5:$AU$404),2),IF($AD472="B",ROUND(SUMIF($AN$5:$AN$404,$AQ472,$AU$5:$AU$404),2),""))))</f>
        <v/>
      </c>
      <c r="L472" s="32">
        <f>IF($AD472="Z",ROUND(SUM($AV$5:$AV$404),2),IF($AD472="D",INDEX($AV$5:$AV$404,$AC472),IF($AD472="T",ROUND(SUMIF($X$5:$X$404,$AF472,$AV$5:$AV$404),2),IF($AD472="B",ROUND(SUMIF($AN$5:$AN$404,$AQ472,$AV$5:$AV$404),2),""))))</f>
        <v/>
      </c>
      <c r="M472" s="32">
        <f>IF($AD472="Z",ROUND(SUM($AJ$5:$AJ$704),2),IF($AD472="B",ROUND(SUMIF($AQ$5:$AQ$704,$AQ472,$AJ$5:$AJ$704),2),IF($AD472&lt;&gt;"T","",$AJ472)))</f>
        <v/>
      </c>
      <c r="N472" s="32">
        <f>IF(OR($AD472="D",$AD472="T",$AD472="B",$AD472="Z"),ROUND(N($K472)-N($L472)-N($M472),2),"")</f>
        <v/>
      </c>
      <c r="O472" s="32">
        <f>IF(OR($AD472="D",$AD472="T",$AD472="B",$AD472="Z"),IF(N($E472)=0,"",ROUND($F472/$E472,2)),"")</f>
        <v/>
      </c>
      <c r="AC472">
        <f>IFERROR(MATCH(468,$AB$5:$AB$404,1),"")</f>
        <v/>
      </c>
      <c r="AD472">
        <f>IF(468=$AI$1+1,"Z",IF($AC472="","",IF(INDEX($V$5:$V$404,$AC472)="","",IF(468&gt;INDEX($AB$5:$AB$404,$AC472)+INDEX($Z$5:$Z$404,$AC472)+INDEX($AA$5:$AA$404,$AC472)+INDEX($AO$5:$AO$404,$AC472),"",IF(468=INDEX($AB$5:$AB$404,$AC472)+INDEX($Z$5:$Z$404,$AC472),"D",IF(AND(INDEX($Z$5:$Z$404,$AC472)=1,468=INDEX($AB$5:$AB$404,$AC472)),"H",IF(AND(INDEX($AO$5:$AO$404,$AC472)=1,468=INDEX($AB$5:$AB$404,$AC472)+INDEX($Z$5:$Z$404,$AC472)+INDEX($AA$5:$AA$404,$AC472)+INDEX($AO$5:$AO$404,$AC472)),"B","T")))))))</f>
        <v/>
      </c>
      <c r="AF472">
        <f>IF(OR($AD472="",$AD472="Z",$AD472="B"),"",INDEX($X$5:$X$404,$AC472))</f>
        <v/>
      </c>
      <c r="AJ472">
        <f>IF($AD472&lt;&gt;"T",0,ROUND(SUMIF(oil!$B$4:$B$63,$AF472,oil!$AE$4:$AE$63),2))</f>
        <v/>
      </c>
      <c r="AQ472">
        <f>IF(OR($AD472="",$AD472="Z"),"",INDEX($AN$5:$AN$404,$AC472))</f>
        <v/>
      </c>
      <c r="AZ472">
        <f>IF(AND($AD472="T",$AQ472=1),N($AZ471)+1,N($AZ471))</f>
        <v/>
      </c>
    </row>
    <row r="473" ht="21" customHeight="1" s="66">
      <c r="A473" s="69">
        <f>IF($AD473="","",IF($AD473="Z","รวมจ่ายทั้งสิ้น",IF($AD473="H",INDEX($X$5:$X$404,$AC473),IF($AD473="T","รวม",IF($AD473="B",IFERROR(INDEX(อัตราค่าขนส่ง!$S$5:$S$14,MATCH(INDEX($AM$5:$AM$404,$AC473),อัตราค่าขนส่ง!$R$5:$R$14,0)),"รวมกลุ่ม "&amp;INDEX($AM$5:$AM$404,$AC473)),INDEX($AY$5:$AY$404,$AC473))))))</f>
        <v/>
      </c>
      <c r="B473" s="31">
        <f>IF($AD473&lt;&gt;"D","",INDEX($AW$5:$AW$404,$AC473))</f>
        <v/>
      </c>
      <c r="C473" s="68">
        <f>IF($AD473&lt;&gt;"D","",INDEX($AX$5:$AX$404,$AC473))</f>
        <v/>
      </c>
      <c r="D473" s="70">
        <f>IF($AD473&lt;&gt;"D","",INDEX($BA$5:$BA$404,$AC473))</f>
        <v/>
      </c>
      <c r="E473" s="31">
        <f>IF($AD473="Z",SUM($AR$5:$AR$404),IF($AD473="D",INDEX($AR$5:$AR$404,$AC473),IF($AD473="T",SUMIF($X$5:$X$404,$AF473,$AR$5:$AR$404),IF($AD473="B",SUMIF($AN$5:$AN$404,$AQ473,$AR$5:$AR$404),""))))</f>
        <v/>
      </c>
      <c r="F473" s="32">
        <f>IF($AD473="Z",ROUND(SUM($AS$5:$AS$404),2),IF($AD473="D",INDEX($AS$5:$AS$404,$AC473),IF($AD473="T",ROUND(SUMIF($X$5:$X$404,$AF473,$AS$5:$AS$404),2),IF($AD473="B",ROUND(SUMIF($AN$5:$AN$404,$AQ473,$AS$5:$AS$404),2),""))))</f>
        <v/>
      </c>
      <c r="G473" s="32">
        <f>IF($AD473&lt;&gt;"D","",INDEX($AT$5:$AT$404,$AC473))</f>
        <v/>
      </c>
      <c r="H473" s="32">
        <f>IF($AD473&lt;&gt;"D","",INDEX($BC$5:$BC$404,$AC473))</f>
        <v/>
      </c>
      <c r="I473" s="32">
        <f>IF($AD473&lt;&gt;"D","",INDEX($BD$5:$BD$404,$AC473))</f>
        <v/>
      </c>
      <c r="J473" s="46">
        <f>IF($AD473&lt;&gt;"D","",IF(N($B473)=0,"",ROUND($I473/$B473,4)))</f>
        <v/>
      </c>
      <c r="K473" s="32">
        <f>IF($AD473="Z",ROUND(SUM($AU$5:$AU$404),2),IF($AD473="D",INDEX($AU$5:$AU$404,$AC473),IF($AD473="T",ROUND(SUMIF($X$5:$X$404,$AF473,$AU$5:$AU$404),2),IF($AD473="B",ROUND(SUMIF($AN$5:$AN$404,$AQ473,$AU$5:$AU$404),2),""))))</f>
        <v/>
      </c>
      <c r="L473" s="32">
        <f>IF($AD473="Z",ROUND(SUM($AV$5:$AV$404),2),IF($AD473="D",INDEX($AV$5:$AV$404,$AC473),IF($AD473="T",ROUND(SUMIF($X$5:$X$404,$AF473,$AV$5:$AV$404),2),IF($AD473="B",ROUND(SUMIF($AN$5:$AN$404,$AQ473,$AV$5:$AV$404),2),""))))</f>
        <v/>
      </c>
      <c r="M473" s="32">
        <f>IF($AD473="Z",ROUND(SUM($AJ$5:$AJ$704),2),IF($AD473="B",ROUND(SUMIF($AQ$5:$AQ$704,$AQ473,$AJ$5:$AJ$704),2),IF($AD473&lt;&gt;"T","",$AJ473)))</f>
        <v/>
      </c>
      <c r="N473" s="32">
        <f>IF(OR($AD473="D",$AD473="T",$AD473="B",$AD473="Z"),ROUND(N($K473)-N($L473)-N($M473),2),"")</f>
        <v/>
      </c>
      <c r="O473" s="32">
        <f>IF(OR($AD473="D",$AD473="T",$AD473="B",$AD473="Z"),IF(N($E473)=0,"",ROUND($F473/$E473,2)),"")</f>
        <v/>
      </c>
      <c r="AC473">
        <f>IFERROR(MATCH(469,$AB$5:$AB$404,1),"")</f>
        <v/>
      </c>
      <c r="AD473">
        <f>IF(469=$AI$1+1,"Z",IF($AC473="","",IF(INDEX($V$5:$V$404,$AC473)="","",IF(469&gt;INDEX($AB$5:$AB$404,$AC473)+INDEX($Z$5:$Z$404,$AC473)+INDEX($AA$5:$AA$404,$AC473)+INDEX($AO$5:$AO$404,$AC473),"",IF(469=INDEX($AB$5:$AB$404,$AC473)+INDEX($Z$5:$Z$404,$AC473),"D",IF(AND(INDEX($Z$5:$Z$404,$AC473)=1,469=INDEX($AB$5:$AB$404,$AC473)),"H",IF(AND(INDEX($AO$5:$AO$404,$AC473)=1,469=INDEX($AB$5:$AB$404,$AC473)+INDEX($Z$5:$Z$404,$AC473)+INDEX($AA$5:$AA$404,$AC473)+INDEX($AO$5:$AO$404,$AC473)),"B","T")))))))</f>
        <v/>
      </c>
      <c r="AF473">
        <f>IF(OR($AD473="",$AD473="Z",$AD473="B"),"",INDEX($X$5:$X$404,$AC473))</f>
        <v/>
      </c>
      <c r="AJ473">
        <f>IF($AD473&lt;&gt;"T",0,ROUND(SUMIF(oil!$B$4:$B$63,$AF473,oil!$AE$4:$AE$63),2))</f>
        <v/>
      </c>
      <c r="AQ473">
        <f>IF(OR($AD473="",$AD473="Z"),"",INDEX($AN$5:$AN$404,$AC473))</f>
        <v/>
      </c>
      <c r="AZ473">
        <f>IF(AND($AD473="T",$AQ473=1),N($AZ472)+1,N($AZ472))</f>
        <v/>
      </c>
    </row>
    <row r="474" ht="21" customHeight="1" s="66">
      <c r="A474" s="69">
        <f>IF($AD474="","",IF($AD474="Z","รวมจ่ายทั้งสิ้น",IF($AD474="H",INDEX($X$5:$X$404,$AC474),IF($AD474="T","รวม",IF($AD474="B",IFERROR(INDEX(อัตราค่าขนส่ง!$S$5:$S$14,MATCH(INDEX($AM$5:$AM$404,$AC474),อัตราค่าขนส่ง!$R$5:$R$14,0)),"รวมกลุ่ม "&amp;INDEX($AM$5:$AM$404,$AC474)),INDEX($AY$5:$AY$404,$AC474))))))</f>
        <v/>
      </c>
      <c r="B474" s="31">
        <f>IF($AD474&lt;&gt;"D","",INDEX($AW$5:$AW$404,$AC474))</f>
        <v/>
      </c>
      <c r="C474" s="68">
        <f>IF($AD474&lt;&gt;"D","",INDEX($AX$5:$AX$404,$AC474))</f>
        <v/>
      </c>
      <c r="D474" s="70">
        <f>IF($AD474&lt;&gt;"D","",INDEX($BA$5:$BA$404,$AC474))</f>
        <v/>
      </c>
      <c r="E474" s="31">
        <f>IF($AD474="Z",SUM($AR$5:$AR$404),IF($AD474="D",INDEX($AR$5:$AR$404,$AC474),IF($AD474="T",SUMIF($X$5:$X$404,$AF474,$AR$5:$AR$404),IF($AD474="B",SUMIF($AN$5:$AN$404,$AQ474,$AR$5:$AR$404),""))))</f>
        <v/>
      </c>
      <c r="F474" s="32">
        <f>IF($AD474="Z",ROUND(SUM($AS$5:$AS$404),2),IF($AD474="D",INDEX($AS$5:$AS$404,$AC474),IF($AD474="T",ROUND(SUMIF($X$5:$X$404,$AF474,$AS$5:$AS$404),2),IF($AD474="B",ROUND(SUMIF($AN$5:$AN$404,$AQ474,$AS$5:$AS$404),2),""))))</f>
        <v/>
      </c>
      <c r="G474" s="32">
        <f>IF($AD474&lt;&gt;"D","",INDEX($AT$5:$AT$404,$AC474))</f>
        <v/>
      </c>
      <c r="H474" s="32">
        <f>IF($AD474&lt;&gt;"D","",INDEX($BC$5:$BC$404,$AC474))</f>
        <v/>
      </c>
      <c r="I474" s="32">
        <f>IF($AD474&lt;&gt;"D","",INDEX($BD$5:$BD$404,$AC474))</f>
        <v/>
      </c>
      <c r="J474" s="46">
        <f>IF($AD474&lt;&gt;"D","",IF(N($B474)=0,"",ROUND($I474/$B474,4)))</f>
        <v/>
      </c>
      <c r="K474" s="32">
        <f>IF($AD474="Z",ROUND(SUM($AU$5:$AU$404),2),IF($AD474="D",INDEX($AU$5:$AU$404,$AC474),IF($AD474="T",ROUND(SUMIF($X$5:$X$404,$AF474,$AU$5:$AU$404),2),IF($AD474="B",ROUND(SUMIF($AN$5:$AN$404,$AQ474,$AU$5:$AU$404),2),""))))</f>
        <v/>
      </c>
      <c r="L474" s="32">
        <f>IF($AD474="Z",ROUND(SUM($AV$5:$AV$404),2),IF($AD474="D",INDEX($AV$5:$AV$404,$AC474),IF($AD474="T",ROUND(SUMIF($X$5:$X$404,$AF474,$AV$5:$AV$404),2),IF($AD474="B",ROUND(SUMIF($AN$5:$AN$404,$AQ474,$AV$5:$AV$404),2),""))))</f>
        <v/>
      </c>
      <c r="M474" s="32">
        <f>IF($AD474="Z",ROUND(SUM($AJ$5:$AJ$704),2),IF($AD474="B",ROUND(SUMIF($AQ$5:$AQ$704,$AQ474,$AJ$5:$AJ$704),2),IF($AD474&lt;&gt;"T","",$AJ474)))</f>
        <v/>
      </c>
      <c r="N474" s="32">
        <f>IF(OR($AD474="D",$AD474="T",$AD474="B",$AD474="Z"),ROUND(N($K474)-N($L474)-N($M474),2),"")</f>
        <v/>
      </c>
      <c r="O474" s="32">
        <f>IF(OR($AD474="D",$AD474="T",$AD474="B",$AD474="Z"),IF(N($E474)=0,"",ROUND($F474/$E474,2)),"")</f>
        <v/>
      </c>
      <c r="AC474">
        <f>IFERROR(MATCH(470,$AB$5:$AB$404,1),"")</f>
        <v/>
      </c>
      <c r="AD474">
        <f>IF(470=$AI$1+1,"Z",IF($AC474="","",IF(INDEX($V$5:$V$404,$AC474)="","",IF(470&gt;INDEX($AB$5:$AB$404,$AC474)+INDEX($Z$5:$Z$404,$AC474)+INDEX($AA$5:$AA$404,$AC474)+INDEX($AO$5:$AO$404,$AC474),"",IF(470=INDEX($AB$5:$AB$404,$AC474)+INDEX($Z$5:$Z$404,$AC474),"D",IF(AND(INDEX($Z$5:$Z$404,$AC474)=1,470=INDEX($AB$5:$AB$404,$AC474)),"H",IF(AND(INDEX($AO$5:$AO$404,$AC474)=1,470=INDEX($AB$5:$AB$404,$AC474)+INDEX($Z$5:$Z$404,$AC474)+INDEX($AA$5:$AA$404,$AC474)+INDEX($AO$5:$AO$404,$AC474)),"B","T")))))))</f>
        <v/>
      </c>
      <c r="AF474">
        <f>IF(OR($AD474="",$AD474="Z",$AD474="B"),"",INDEX($X$5:$X$404,$AC474))</f>
        <v/>
      </c>
      <c r="AJ474">
        <f>IF($AD474&lt;&gt;"T",0,ROUND(SUMIF(oil!$B$4:$B$63,$AF474,oil!$AE$4:$AE$63),2))</f>
        <v/>
      </c>
      <c r="AQ474">
        <f>IF(OR($AD474="",$AD474="Z"),"",INDEX($AN$5:$AN$404,$AC474))</f>
        <v/>
      </c>
      <c r="AZ474">
        <f>IF(AND($AD474="T",$AQ474=1),N($AZ473)+1,N($AZ473))</f>
        <v/>
      </c>
    </row>
    <row r="475" ht="21" customHeight="1" s="66">
      <c r="A475" s="69">
        <f>IF($AD475="","",IF($AD475="Z","รวมจ่ายทั้งสิ้น",IF($AD475="H",INDEX($X$5:$X$404,$AC475),IF($AD475="T","รวม",IF($AD475="B",IFERROR(INDEX(อัตราค่าขนส่ง!$S$5:$S$14,MATCH(INDEX($AM$5:$AM$404,$AC475),อัตราค่าขนส่ง!$R$5:$R$14,0)),"รวมกลุ่ม "&amp;INDEX($AM$5:$AM$404,$AC475)),INDEX($AY$5:$AY$404,$AC475))))))</f>
        <v/>
      </c>
      <c r="B475" s="31">
        <f>IF($AD475&lt;&gt;"D","",INDEX($AW$5:$AW$404,$AC475))</f>
        <v/>
      </c>
      <c r="C475" s="68">
        <f>IF($AD475&lt;&gt;"D","",INDEX($AX$5:$AX$404,$AC475))</f>
        <v/>
      </c>
      <c r="D475" s="70">
        <f>IF($AD475&lt;&gt;"D","",INDEX($BA$5:$BA$404,$AC475))</f>
        <v/>
      </c>
      <c r="E475" s="31">
        <f>IF($AD475="Z",SUM($AR$5:$AR$404),IF($AD475="D",INDEX($AR$5:$AR$404,$AC475),IF($AD475="T",SUMIF($X$5:$X$404,$AF475,$AR$5:$AR$404),IF($AD475="B",SUMIF($AN$5:$AN$404,$AQ475,$AR$5:$AR$404),""))))</f>
        <v/>
      </c>
      <c r="F475" s="32">
        <f>IF($AD475="Z",ROUND(SUM($AS$5:$AS$404),2),IF($AD475="D",INDEX($AS$5:$AS$404,$AC475),IF($AD475="T",ROUND(SUMIF($X$5:$X$404,$AF475,$AS$5:$AS$404),2),IF($AD475="B",ROUND(SUMIF($AN$5:$AN$404,$AQ475,$AS$5:$AS$404),2),""))))</f>
        <v/>
      </c>
      <c r="G475" s="32">
        <f>IF($AD475&lt;&gt;"D","",INDEX($AT$5:$AT$404,$AC475))</f>
        <v/>
      </c>
      <c r="H475" s="32">
        <f>IF($AD475&lt;&gt;"D","",INDEX($BC$5:$BC$404,$AC475))</f>
        <v/>
      </c>
      <c r="I475" s="32">
        <f>IF($AD475&lt;&gt;"D","",INDEX($BD$5:$BD$404,$AC475))</f>
        <v/>
      </c>
      <c r="J475" s="46">
        <f>IF($AD475&lt;&gt;"D","",IF(N($B475)=0,"",ROUND($I475/$B475,4)))</f>
        <v/>
      </c>
      <c r="K475" s="32">
        <f>IF($AD475="Z",ROUND(SUM($AU$5:$AU$404),2),IF($AD475="D",INDEX($AU$5:$AU$404,$AC475),IF($AD475="T",ROUND(SUMIF($X$5:$X$404,$AF475,$AU$5:$AU$404),2),IF($AD475="B",ROUND(SUMIF($AN$5:$AN$404,$AQ475,$AU$5:$AU$404),2),""))))</f>
        <v/>
      </c>
      <c r="L475" s="32">
        <f>IF($AD475="Z",ROUND(SUM($AV$5:$AV$404),2),IF($AD475="D",INDEX($AV$5:$AV$404,$AC475),IF($AD475="T",ROUND(SUMIF($X$5:$X$404,$AF475,$AV$5:$AV$404),2),IF($AD475="B",ROUND(SUMIF($AN$5:$AN$404,$AQ475,$AV$5:$AV$404),2),""))))</f>
        <v/>
      </c>
      <c r="M475" s="32">
        <f>IF($AD475="Z",ROUND(SUM($AJ$5:$AJ$704),2),IF($AD475="B",ROUND(SUMIF($AQ$5:$AQ$704,$AQ475,$AJ$5:$AJ$704),2),IF($AD475&lt;&gt;"T","",$AJ475)))</f>
        <v/>
      </c>
      <c r="N475" s="32">
        <f>IF(OR($AD475="D",$AD475="T",$AD475="B",$AD475="Z"),ROUND(N($K475)-N($L475)-N($M475),2),"")</f>
        <v/>
      </c>
      <c r="O475" s="32">
        <f>IF(OR($AD475="D",$AD475="T",$AD475="B",$AD475="Z"),IF(N($E475)=0,"",ROUND($F475/$E475,2)),"")</f>
        <v/>
      </c>
      <c r="AC475">
        <f>IFERROR(MATCH(471,$AB$5:$AB$404,1),"")</f>
        <v/>
      </c>
      <c r="AD475">
        <f>IF(471=$AI$1+1,"Z",IF($AC475="","",IF(INDEX($V$5:$V$404,$AC475)="","",IF(471&gt;INDEX($AB$5:$AB$404,$AC475)+INDEX($Z$5:$Z$404,$AC475)+INDEX($AA$5:$AA$404,$AC475)+INDEX($AO$5:$AO$404,$AC475),"",IF(471=INDEX($AB$5:$AB$404,$AC475)+INDEX($Z$5:$Z$404,$AC475),"D",IF(AND(INDEX($Z$5:$Z$404,$AC475)=1,471=INDEX($AB$5:$AB$404,$AC475)),"H",IF(AND(INDEX($AO$5:$AO$404,$AC475)=1,471=INDEX($AB$5:$AB$404,$AC475)+INDEX($Z$5:$Z$404,$AC475)+INDEX($AA$5:$AA$404,$AC475)+INDEX($AO$5:$AO$404,$AC475)),"B","T")))))))</f>
        <v/>
      </c>
      <c r="AF475">
        <f>IF(OR($AD475="",$AD475="Z",$AD475="B"),"",INDEX($X$5:$X$404,$AC475))</f>
        <v/>
      </c>
      <c r="AJ475">
        <f>IF($AD475&lt;&gt;"T",0,ROUND(SUMIF(oil!$B$4:$B$63,$AF475,oil!$AE$4:$AE$63),2))</f>
        <v/>
      </c>
      <c r="AQ475">
        <f>IF(OR($AD475="",$AD475="Z"),"",INDEX($AN$5:$AN$404,$AC475))</f>
        <v/>
      </c>
      <c r="AZ475">
        <f>IF(AND($AD475="T",$AQ475=1),N($AZ474)+1,N($AZ474))</f>
        <v/>
      </c>
    </row>
    <row r="476" ht="21" customHeight="1" s="66">
      <c r="A476" s="69">
        <f>IF($AD476="","",IF($AD476="Z","รวมจ่ายทั้งสิ้น",IF($AD476="H",INDEX($X$5:$X$404,$AC476),IF($AD476="T","รวม",IF($AD476="B",IFERROR(INDEX(อัตราค่าขนส่ง!$S$5:$S$14,MATCH(INDEX($AM$5:$AM$404,$AC476),อัตราค่าขนส่ง!$R$5:$R$14,0)),"รวมกลุ่ม "&amp;INDEX($AM$5:$AM$404,$AC476)),INDEX($AY$5:$AY$404,$AC476))))))</f>
        <v/>
      </c>
      <c r="B476" s="31">
        <f>IF($AD476&lt;&gt;"D","",INDEX($AW$5:$AW$404,$AC476))</f>
        <v/>
      </c>
      <c r="C476" s="68">
        <f>IF($AD476&lt;&gt;"D","",INDEX($AX$5:$AX$404,$AC476))</f>
        <v/>
      </c>
      <c r="D476" s="70">
        <f>IF($AD476&lt;&gt;"D","",INDEX($BA$5:$BA$404,$AC476))</f>
        <v/>
      </c>
      <c r="E476" s="31">
        <f>IF($AD476="Z",SUM($AR$5:$AR$404),IF($AD476="D",INDEX($AR$5:$AR$404,$AC476),IF($AD476="T",SUMIF($X$5:$X$404,$AF476,$AR$5:$AR$404),IF($AD476="B",SUMIF($AN$5:$AN$404,$AQ476,$AR$5:$AR$404),""))))</f>
        <v/>
      </c>
      <c r="F476" s="32">
        <f>IF($AD476="Z",ROUND(SUM($AS$5:$AS$404),2),IF($AD476="D",INDEX($AS$5:$AS$404,$AC476),IF($AD476="T",ROUND(SUMIF($X$5:$X$404,$AF476,$AS$5:$AS$404),2),IF($AD476="B",ROUND(SUMIF($AN$5:$AN$404,$AQ476,$AS$5:$AS$404),2),""))))</f>
        <v/>
      </c>
      <c r="G476" s="32">
        <f>IF($AD476&lt;&gt;"D","",INDEX($AT$5:$AT$404,$AC476))</f>
        <v/>
      </c>
      <c r="H476" s="32">
        <f>IF($AD476&lt;&gt;"D","",INDEX($BC$5:$BC$404,$AC476))</f>
        <v/>
      </c>
      <c r="I476" s="32">
        <f>IF($AD476&lt;&gt;"D","",INDEX($BD$5:$BD$404,$AC476))</f>
        <v/>
      </c>
      <c r="J476" s="46">
        <f>IF($AD476&lt;&gt;"D","",IF(N($B476)=0,"",ROUND($I476/$B476,4)))</f>
        <v/>
      </c>
      <c r="K476" s="32">
        <f>IF($AD476="Z",ROUND(SUM($AU$5:$AU$404),2),IF($AD476="D",INDEX($AU$5:$AU$404,$AC476),IF($AD476="T",ROUND(SUMIF($X$5:$X$404,$AF476,$AU$5:$AU$404),2),IF($AD476="B",ROUND(SUMIF($AN$5:$AN$404,$AQ476,$AU$5:$AU$404),2),""))))</f>
        <v/>
      </c>
      <c r="L476" s="32">
        <f>IF($AD476="Z",ROUND(SUM($AV$5:$AV$404),2),IF($AD476="D",INDEX($AV$5:$AV$404,$AC476),IF($AD476="T",ROUND(SUMIF($X$5:$X$404,$AF476,$AV$5:$AV$404),2),IF($AD476="B",ROUND(SUMIF($AN$5:$AN$404,$AQ476,$AV$5:$AV$404),2),""))))</f>
        <v/>
      </c>
      <c r="M476" s="32">
        <f>IF($AD476="Z",ROUND(SUM($AJ$5:$AJ$704),2),IF($AD476="B",ROUND(SUMIF($AQ$5:$AQ$704,$AQ476,$AJ$5:$AJ$704),2),IF($AD476&lt;&gt;"T","",$AJ476)))</f>
        <v/>
      </c>
      <c r="N476" s="32">
        <f>IF(OR($AD476="D",$AD476="T",$AD476="B",$AD476="Z"),ROUND(N($K476)-N($L476)-N($M476),2),"")</f>
        <v/>
      </c>
      <c r="O476" s="32">
        <f>IF(OR($AD476="D",$AD476="T",$AD476="B",$AD476="Z"),IF(N($E476)=0,"",ROUND($F476/$E476,2)),"")</f>
        <v/>
      </c>
      <c r="AC476">
        <f>IFERROR(MATCH(472,$AB$5:$AB$404,1),"")</f>
        <v/>
      </c>
      <c r="AD476">
        <f>IF(472=$AI$1+1,"Z",IF($AC476="","",IF(INDEX($V$5:$V$404,$AC476)="","",IF(472&gt;INDEX($AB$5:$AB$404,$AC476)+INDEX($Z$5:$Z$404,$AC476)+INDEX($AA$5:$AA$404,$AC476)+INDEX($AO$5:$AO$404,$AC476),"",IF(472=INDEX($AB$5:$AB$404,$AC476)+INDEX($Z$5:$Z$404,$AC476),"D",IF(AND(INDEX($Z$5:$Z$404,$AC476)=1,472=INDEX($AB$5:$AB$404,$AC476)),"H",IF(AND(INDEX($AO$5:$AO$404,$AC476)=1,472=INDEX($AB$5:$AB$404,$AC476)+INDEX($Z$5:$Z$404,$AC476)+INDEX($AA$5:$AA$404,$AC476)+INDEX($AO$5:$AO$404,$AC476)),"B","T")))))))</f>
        <v/>
      </c>
      <c r="AF476">
        <f>IF(OR($AD476="",$AD476="Z",$AD476="B"),"",INDEX($X$5:$X$404,$AC476))</f>
        <v/>
      </c>
      <c r="AJ476">
        <f>IF($AD476&lt;&gt;"T",0,ROUND(SUMIF(oil!$B$4:$B$63,$AF476,oil!$AE$4:$AE$63),2))</f>
        <v/>
      </c>
      <c r="AQ476">
        <f>IF(OR($AD476="",$AD476="Z"),"",INDEX($AN$5:$AN$404,$AC476))</f>
        <v/>
      </c>
      <c r="AZ476">
        <f>IF(AND($AD476="T",$AQ476=1),N($AZ475)+1,N($AZ475))</f>
        <v/>
      </c>
    </row>
    <row r="477" ht="21" customHeight="1" s="66">
      <c r="A477" s="69">
        <f>IF($AD477="","",IF($AD477="Z","รวมจ่ายทั้งสิ้น",IF($AD477="H",INDEX($X$5:$X$404,$AC477),IF($AD477="T","รวม",IF($AD477="B",IFERROR(INDEX(อัตราค่าขนส่ง!$S$5:$S$14,MATCH(INDEX($AM$5:$AM$404,$AC477),อัตราค่าขนส่ง!$R$5:$R$14,0)),"รวมกลุ่ม "&amp;INDEX($AM$5:$AM$404,$AC477)),INDEX($AY$5:$AY$404,$AC477))))))</f>
        <v/>
      </c>
      <c r="B477" s="31">
        <f>IF($AD477&lt;&gt;"D","",INDEX($AW$5:$AW$404,$AC477))</f>
        <v/>
      </c>
      <c r="C477" s="68">
        <f>IF($AD477&lt;&gt;"D","",INDEX($AX$5:$AX$404,$AC477))</f>
        <v/>
      </c>
      <c r="D477" s="70">
        <f>IF($AD477&lt;&gt;"D","",INDEX($BA$5:$BA$404,$AC477))</f>
        <v/>
      </c>
      <c r="E477" s="31">
        <f>IF($AD477="Z",SUM($AR$5:$AR$404),IF($AD477="D",INDEX($AR$5:$AR$404,$AC477),IF($AD477="T",SUMIF($X$5:$X$404,$AF477,$AR$5:$AR$404),IF($AD477="B",SUMIF($AN$5:$AN$404,$AQ477,$AR$5:$AR$404),""))))</f>
        <v/>
      </c>
      <c r="F477" s="32">
        <f>IF($AD477="Z",ROUND(SUM($AS$5:$AS$404),2),IF($AD477="D",INDEX($AS$5:$AS$404,$AC477),IF($AD477="T",ROUND(SUMIF($X$5:$X$404,$AF477,$AS$5:$AS$404),2),IF($AD477="B",ROUND(SUMIF($AN$5:$AN$404,$AQ477,$AS$5:$AS$404),2),""))))</f>
        <v/>
      </c>
      <c r="G477" s="32">
        <f>IF($AD477&lt;&gt;"D","",INDEX($AT$5:$AT$404,$AC477))</f>
        <v/>
      </c>
      <c r="H477" s="32">
        <f>IF($AD477&lt;&gt;"D","",INDEX($BC$5:$BC$404,$AC477))</f>
        <v/>
      </c>
      <c r="I477" s="32">
        <f>IF($AD477&lt;&gt;"D","",INDEX($BD$5:$BD$404,$AC477))</f>
        <v/>
      </c>
      <c r="J477" s="46">
        <f>IF($AD477&lt;&gt;"D","",IF(N($B477)=0,"",ROUND($I477/$B477,4)))</f>
        <v/>
      </c>
      <c r="K477" s="32">
        <f>IF($AD477="Z",ROUND(SUM($AU$5:$AU$404),2),IF($AD477="D",INDEX($AU$5:$AU$404,$AC477),IF($AD477="T",ROUND(SUMIF($X$5:$X$404,$AF477,$AU$5:$AU$404),2),IF($AD477="B",ROUND(SUMIF($AN$5:$AN$404,$AQ477,$AU$5:$AU$404),2),""))))</f>
        <v/>
      </c>
      <c r="L477" s="32">
        <f>IF($AD477="Z",ROUND(SUM($AV$5:$AV$404),2),IF($AD477="D",INDEX($AV$5:$AV$404,$AC477),IF($AD477="T",ROUND(SUMIF($X$5:$X$404,$AF477,$AV$5:$AV$404),2),IF($AD477="B",ROUND(SUMIF($AN$5:$AN$404,$AQ477,$AV$5:$AV$404),2),""))))</f>
        <v/>
      </c>
      <c r="M477" s="32">
        <f>IF($AD477="Z",ROUND(SUM($AJ$5:$AJ$704),2),IF($AD477="B",ROUND(SUMIF($AQ$5:$AQ$704,$AQ477,$AJ$5:$AJ$704),2),IF($AD477&lt;&gt;"T","",$AJ477)))</f>
        <v/>
      </c>
      <c r="N477" s="32">
        <f>IF(OR($AD477="D",$AD477="T",$AD477="B",$AD477="Z"),ROUND(N($K477)-N($L477)-N($M477),2),"")</f>
        <v/>
      </c>
      <c r="O477" s="32">
        <f>IF(OR($AD477="D",$AD477="T",$AD477="B",$AD477="Z"),IF(N($E477)=0,"",ROUND($F477/$E477,2)),"")</f>
        <v/>
      </c>
      <c r="AC477">
        <f>IFERROR(MATCH(473,$AB$5:$AB$404,1),"")</f>
        <v/>
      </c>
      <c r="AD477">
        <f>IF(473=$AI$1+1,"Z",IF($AC477="","",IF(INDEX($V$5:$V$404,$AC477)="","",IF(473&gt;INDEX($AB$5:$AB$404,$AC477)+INDEX($Z$5:$Z$404,$AC477)+INDEX($AA$5:$AA$404,$AC477)+INDEX($AO$5:$AO$404,$AC477),"",IF(473=INDEX($AB$5:$AB$404,$AC477)+INDEX($Z$5:$Z$404,$AC477),"D",IF(AND(INDEX($Z$5:$Z$404,$AC477)=1,473=INDEX($AB$5:$AB$404,$AC477)),"H",IF(AND(INDEX($AO$5:$AO$404,$AC477)=1,473=INDEX($AB$5:$AB$404,$AC477)+INDEX($Z$5:$Z$404,$AC477)+INDEX($AA$5:$AA$404,$AC477)+INDEX($AO$5:$AO$404,$AC477)),"B","T")))))))</f>
        <v/>
      </c>
      <c r="AF477">
        <f>IF(OR($AD477="",$AD477="Z",$AD477="B"),"",INDEX($X$5:$X$404,$AC477))</f>
        <v/>
      </c>
      <c r="AJ477">
        <f>IF($AD477&lt;&gt;"T",0,ROUND(SUMIF(oil!$B$4:$B$63,$AF477,oil!$AE$4:$AE$63),2))</f>
        <v/>
      </c>
      <c r="AQ477">
        <f>IF(OR($AD477="",$AD477="Z"),"",INDEX($AN$5:$AN$404,$AC477))</f>
        <v/>
      </c>
      <c r="AZ477">
        <f>IF(AND($AD477="T",$AQ477=1),N($AZ476)+1,N($AZ476))</f>
        <v/>
      </c>
    </row>
    <row r="478" ht="21" customHeight="1" s="66">
      <c r="A478" s="69">
        <f>IF($AD478="","",IF($AD478="Z","รวมจ่ายทั้งสิ้น",IF($AD478="H",INDEX($X$5:$X$404,$AC478),IF($AD478="T","รวม",IF($AD478="B",IFERROR(INDEX(อัตราค่าขนส่ง!$S$5:$S$14,MATCH(INDEX($AM$5:$AM$404,$AC478),อัตราค่าขนส่ง!$R$5:$R$14,0)),"รวมกลุ่ม "&amp;INDEX($AM$5:$AM$404,$AC478)),INDEX($AY$5:$AY$404,$AC478))))))</f>
        <v/>
      </c>
      <c r="B478" s="31">
        <f>IF($AD478&lt;&gt;"D","",INDEX($AW$5:$AW$404,$AC478))</f>
        <v/>
      </c>
      <c r="C478" s="68">
        <f>IF($AD478&lt;&gt;"D","",INDEX($AX$5:$AX$404,$AC478))</f>
        <v/>
      </c>
      <c r="D478" s="70">
        <f>IF($AD478&lt;&gt;"D","",INDEX($BA$5:$BA$404,$AC478))</f>
        <v/>
      </c>
      <c r="E478" s="31">
        <f>IF($AD478="Z",SUM($AR$5:$AR$404),IF($AD478="D",INDEX($AR$5:$AR$404,$AC478),IF($AD478="T",SUMIF($X$5:$X$404,$AF478,$AR$5:$AR$404),IF($AD478="B",SUMIF($AN$5:$AN$404,$AQ478,$AR$5:$AR$404),""))))</f>
        <v/>
      </c>
      <c r="F478" s="32">
        <f>IF($AD478="Z",ROUND(SUM($AS$5:$AS$404),2),IF($AD478="D",INDEX($AS$5:$AS$404,$AC478),IF($AD478="T",ROUND(SUMIF($X$5:$X$404,$AF478,$AS$5:$AS$404),2),IF($AD478="B",ROUND(SUMIF($AN$5:$AN$404,$AQ478,$AS$5:$AS$404),2),""))))</f>
        <v/>
      </c>
      <c r="G478" s="32">
        <f>IF($AD478&lt;&gt;"D","",INDEX($AT$5:$AT$404,$AC478))</f>
        <v/>
      </c>
      <c r="H478" s="32">
        <f>IF($AD478&lt;&gt;"D","",INDEX($BC$5:$BC$404,$AC478))</f>
        <v/>
      </c>
      <c r="I478" s="32">
        <f>IF($AD478&lt;&gt;"D","",INDEX($BD$5:$BD$404,$AC478))</f>
        <v/>
      </c>
      <c r="J478" s="46">
        <f>IF($AD478&lt;&gt;"D","",IF(N($B478)=0,"",ROUND($I478/$B478,4)))</f>
        <v/>
      </c>
      <c r="K478" s="32">
        <f>IF($AD478="Z",ROUND(SUM($AU$5:$AU$404),2),IF($AD478="D",INDEX($AU$5:$AU$404,$AC478),IF($AD478="T",ROUND(SUMIF($X$5:$X$404,$AF478,$AU$5:$AU$404),2),IF($AD478="B",ROUND(SUMIF($AN$5:$AN$404,$AQ478,$AU$5:$AU$404),2),""))))</f>
        <v/>
      </c>
      <c r="L478" s="32">
        <f>IF($AD478="Z",ROUND(SUM($AV$5:$AV$404),2),IF($AD478="D",INDEX($AV$5:$AV$404,$AC478),IF($AD478="T",ROUND(SUMIF($X$5:$X$404,$AF478,$AV$5:$AV$404),2),IF($AD478="B",ROUND(SUMIF($AN$5:$AN$404,$AQ478,$AV$5:$AV$404),2),""))))</f>
        <v/>
      </c>
      <c r="M478" s="32">
        <f>IF($AD478="Z",ROUND(SUM($AJ$5:$AJ$704),2),IF($AD478="B",ROUND(SUMIF($AQ$5:$AQ$704,$AQ478,$AJ$5:$AJ$704),2),IF($AD478&lt;&gt;"T","",$AJ478)))</f>
        <v/>
      </c>
      <c r="N478" s="32">
        <f>IF(OR($AD478="D",$AD478="T",$AD478="B",$AD478="Z"),ROUND(N($K478)-N($L478)-N($M478),2),"")</f>
        <v/>
      </c>
      <c r="O478" s="32">
        <f>IF(OR($AD478="D",$AD478="T",$AD478="B",$AD478="Z"),IF(N($E478)=0,"",ROUND($F478/$E478,2)),"")</f>
        <v/>
      </c>
      <c r="AC478">
        <f>IFERROR(MATCH(474,$AB$5:$AB$404,1),"")</f>
        <v/>
      </c>
      <c r="AD478">
        <f>IF(474=$AI$1+1,"Z",IF($AC478="","",IF(INDEX($V$5:$V$404,$AC478)="","",IF(474&gt;INDEX($AB$5:$AB$404,$AC478)+INDEX($Z$5:$Z$404,$AC478)+INDEX($AA$5:$AA$404,$AC478)+INDEX($AO$5:$AO$404,$AC478),"",IF(474=INDEX($AB$5:$AB$404,$AC478)+INDEX($Z$5:$Z$404,$AC478),"D",IF(AND(INDEX($Z$5:$Z$404,$AC478)=1,474=INDEX($AB$5:$AB$404,$AC478)),"H",IF(AND(INDEX($AO$5:$AO$404,$AC478)=1,474=INDEX($AB$5:$AB$404,$AC478)+INDEX($Z$5:$Z$404,$AC478)+INDEX($AA$5:$AA$404,$AC478)+INDEX($AO$5:$AO$404,$AC478)),"B","T")))))))</f>
        <v/>
      </c>
      <c r="AF478">
        <f>IF(OR($AD478="",$AD478="Z",$AD478="B"),"",INDEX($X$5:$X$404,$AC478))</f>
        <v/>
      </c>
      <c r="AJ478">
        <f>IF($AD478&lt;&gt;"T",0,ROUND(SUMIF(oil!$B$4:$B$63,$AF478,oil!$AE$4:$AE$63),2))</f>
        <v/>
      </c>
      <c r="AQ478">
        <f>IF(OR($AD478="",$AD478="Z"),"",INDEX($AN$5:$AN$404,$AC478))</f>
        <v/>
      </c>
      <c r="AZ478">
        <f>IF(AND($AD478="T",$AQ478=1),N($AZ477)+1,N($AZ477))</f>
        <v/>
      </c>
    </row>
    <row r="479" ht="21" customHeight="1" s="66">
      <c r="A479" s="69">
        <f>IF($AD479="","",IF($AD479="Z","รวมจ่ายทั้งสิ้น",IF($AD479="H",INDEX($X$5:$X$404,$AC479),IF($AD479="T","รวม",IF($AD479="B",IFERROR(INDEX(อัตราค่าขนส่ง!$S$5:$S$14,MATCH(INDEX($AM$5:$AM$404,$AC479),อัตราค่าขนส่ง!$R$5:$R$14,0)),"รวมกลุ่ม "&amp;INDEX($AM$5:$AM$404,$AC479)),INDEX($AY$5:$AY$404,$AC479))))))</f>
        <v/>
      </c>
      <c r="B479" s="31">
        <f>IF($AD479&lt;&gt;"D","",INDEX($AW$5:$AW$404,$AC479))</f>
        <v/>
      </c>
      <c r="C479" s="68">
        <f>IF($AD479&lt;&gt;"D","",INDEX($AX$5:$AX$404,$AC479))</f>
        <v/>
      </c>
      <c r="D479" s="70">
        <f>IF($AD479&lt;&gt;"D","",INDEX($BA$5:$BA$404,$AC479))</f>
        <v/>
      </c>
      <c r="E479" s="31">
        <f>IF($AD479="Z",SUM($AR$5:$AR$404),IF($AD479="D",INDEX($AR$5:$AR$404,$AC479),IF($AD479="T",SUMIF($X$5:$X$404,$AF479,$AR$5:$AR$404),IF($AD479="B",SUMIF($AN$5:$AN$404,$AQ479,$AR$5:$AR$404),""))))</f>
        <v/>
      </c>
      <c r="F479" s="32">
        <f>IF($AD479="Z",ROUND(SUM($AS$5:$AS$404),2),IF($AD479="D",INDEX($AS$5:$AS$404,$AC479),IF($AD479="T",ROUND(SUMIF($X$5:$X$404,$AF479,$AS$5:$AS$404),2),IF($AD479="B",ROUND(SUMIF($AN$5:$AN$404,$AQ479,$AS$5:$AS$404),2),""))))</f>
        <v/>
      </c>
      <c r="G479" s="32">
        <f>IF($AD479&lt;&gt;"D","",INDEX($AT$5:$AT$404,$AC479))</f>
        <v/>
      </c>
      <c r="H479" s="32">
        <f>IF($AD479&lt;&gt;"D","",INDEX($BC$5:$BC$404,$AC479))</f>
        <v/>
      </c>
      <c r="I479" s="32">
        <f>IF($AD479&lt;&gt;"D","",INDEX($BD$5:$BD$404,$AC479))</f>
        <v/>
      </c>
      <c r="J479" s="46">
        <f>IF($AD479&lt;&gt;"D","",IF(N($B479)=0,"",ROUND($I479/$B479,4)))</f>
        <v/>
      </c>
      <c r="K479" s="32">
        <f>IF($AD479="Z",ROUND(SUM($AU$5:$AU$404),2),IF($AD479="D",INDEX($AU$5:$AU$404,$AC479),IF($AD479="T",ROUND(SUMIF($X$5:$X$404,$AF479,$AU$5:$AU$404),2),IF($AD479="B",ROUND(SUMIF($AN$5:$AN$404,$AQ479,$AU$5:$AU$404),2),""))))</f>
        <v/>
      </c>
      <c r="L479" s="32">
        <f>IF($AD479="Z",ROUND(SUM($AV$5:$AV$404),2),IF($AD479="D",INDEX($AV$5:$AV$404,$AC479),IF($AD479="T",ROUND(SUMIF($X$5:$X$404,$AF479,$AV$5:$AV$404),2),IF($AD479="B",ROUND(SUMIF($AN$5:$AN$404,$AQ479,$AV$5:$AV$404),2),""))))</f>
        <v/>
      </c>
      <c r="M479" s="32">
        <f>IF($AD479="Z",ROUND(SUM($AJ$5:$AJ$704),2),IF($AD479="B",ROUND(SUMIF($AQ$5:$AQ$704,$AQ479,$AJ$5:$AJ$704),2),IF($AD479&lt;&gt;"T","",$AJ479)))</f>
        <v/>
      </c>
      <c r="N479" s="32">
        <f>IF(OR($AD479="D",$AD479="T",$AD479="B",$AD479="Z"),ROUND(N($K479)-N($L479)-N($M479),2),"")</f>
        <v/>
      </c>
      <c r="O479" s="32">
        <f>IF(OR($AD479="D",$AD479="T",$AD479="B",$AD479="Z"),IF(N($E479)=0,"",ROUND($F479/$E479,2)),"")</f>
        <v/>
      </c>
      <c r="AC479">
        <f>IFERROR(MATCH(475,$AB$5:$AB$404,1),"")</f>
        <v/>
      </c>
      <c r="AD479">
        <f>IF(475=$AI$1+1,"Z",IF($AC479="","",IF(INDEX($V$5:$V$404,$AC479)="","",IF(475&gt;INDEX($AB$5:$AB$404,$AC479)+INDEX($Z$5:$Z$404,$AC479)+INDEX($AA$5:$AA$404,$AC479)+INDEX($AO$5:$AO$404,$AC479),"",IF(475=INDEX($AB$5:$AB$404,$AC479)+INDEX($Z$5:$Z$404,$AC479),"D",IF(AND(INDEX($Z$5:$Z$404,$AC479)=1,475=INDEX($AB$5:$AB$404,$AC479)),"H",IF(AND(INDEX($AO$5:$AO$404,$AC479)=1,475=INDEX($AB$5:$AB$404,$AC479)+INDEX($Z$5:$Z$404,$AC479)+INDEX($AA$5:$AA$404,$AC479)+INDEX($AO$5:$AO$404,$AC479)),"B","T")))))))</f>
        <v/>
      </c>
      <c r="AF479">
        <f>IF(OR($AD479="",$AD479="Z",$AD479="B"),"",INDEX($X$5:$X$404,$AC479))</f>
        <v/>
      </c>
      <c r="AJ479">
        <f>IF($AD479&lt;&gt;"T",0,ROUND(SUMIF(oil!$B$4:$B$63,$AF479,oil!$AE$4:$AE$63),2))</f>
        <v/>
      </c>
      <c r="AQ479">
        <f>IF(OR($AD479="",$AD479="Z"),"",INDEX($AN$5:$AN$404,$AC479))</f>
        <v/>
      </c>
      <c r="AZ479">
        <f>IF(AND($AD479="T",$AQ479=1),N($AZ478)+1,N($AZ478))</f>
        <v/>
      </c>
    </row>
    <row r="480" ht="21" customHeight="1" s="66">
      <c r="A480" s="69">
        <f>IF($AD480="","",IF($AD480="Z","รวมจ่ายทั้งสิ้น",IF($AD480="H",INDEX($X$5:$X$404,$AC480),IF($AD480="T","รวม",IF($AD480="B",IFERROR(INDEX(อัตราค่าขนส่ง!$S$5:$S$14,MATCH(INDEX($AM$5:$AM$404,$AC480),อัตราค่าขนส่ง!$R$5:$R$14,0)),"รวมกลุ่ม "&amp;INDEX($AM$5:$AM$404,$AC480)),INDEX($AY$5:$AY$404,$AC480))))))</f>
        <v/>
      </c>
      <c r="B480" s="31">
        <f>IF($AD480&lt;&gt;"D","",INDEX($AW$5:$AW$404,$AC480))</f>
        <v/>
      </c>
      <c r="C480" s="68">
        <f>IF($AD480&lt;&gt;"D","",INDEX($AX$5:$AX$404,$AC480))</f>
        <v/>
      </c>
      <c r="D480" s="70">
        <f>IF($AD480&lt;&gt;"D","",INDEX($BA$5:$BA$404,$AC480))</f>
        <v/>
      </c>
      <c r="E480" s="31">
        <f>IF($AD480="Z",SUM($AR$5:$AR$404),IF($AD480="D",INDEX($AR$5:$AR$404,$AC480),IF($AD480="T",SUMIF($X$5:$X$404,$AF480,$AR$5:$AR$404),IF($AD480="B",SUMIF($AN$5:$AN$404,$AQ480,$AR$5:$AR$404),""))))</f>
        <v/>
      </c>
      <c r="F480" s="32">
        <f>IF($AD480="Z",ROUND(SUM($AS$5:$AS$404),2),IF($AD480="D",INDEX($AS$5:$AS$404,$AC480),IF($AD480="T",ROUND(SUMIF($X$5:$X$404,$AF480,$AS$5:$AS$404),2),IF($AD480="B",ROUND(SUMIF($AN$5:$AN$404,$AQ480,$AS$5:$AS$404),2),""))))</f>
        <v/>
      </c>
      <c r="G480" s="32">
        <f>IF($AD480&lt;&gt;"D","",INDEX($AT$5:$AT$404,$AC480))</f>
        <v/>
      </c>
      <c r="H480" s="32">
        <f>IF($AD480&lt;&gt;"D","",INDEX($BC$5:$BC$404,$AC480))</f>
        <v/>
      </c>
      <c r="I480" s="32">
        <f>IF($AD480&lt;&gt;"D","",INDEX($BD$5:$BD$404,$AC480))</f>
        <v/>
      </c>
      <c r="J480" s="46">
        <f>IF($AD480&lt;&gt;"D","",IF(N($B480)=0,"",ROUND($I480/$B480,4)))</f>
        <v/>
      </c>
      <c r="K480" s="32">
        <f>IF($AD480="Z",ROUND(SUM($AU$5:$AU$404),2),IF($AD480="D",INDEX($AU$5:$AU$404,$AC480),IF($AD480="T",ROUND(SUMIF($X$5:$X$404,$AF480,$AU$5:$AU$404),2),IF($AD480="B",ROUND(SUMIF($AN$5:$AN$404,$AQ480,$AU$5:$AU$404),2),""))))</f>
        <v/>
      </c>
      <c r="L480" s="32">
        <f>IF($AD480="Z",ROUND(SUM($AV$5:$AV$404),2),IF($AD480="D",INDEX($AV$5:$AV$404,$AC480),IF($AD480="T",ROUND(SUMIF($X$5:$X$404,$AF480,$AV$5:$AV$404),2),IF($AD480="B",ROUND(SUMIF($AN$5:$AN$404,$AQ480,$AV$5:$AV$404),2),""))))</f>
        <v/>
      </c>
      <c r="M480" s="32">
        <f>IF($AD480="Z",ROUND(SUM($AJ$5:$AJ$704),2),IF($AD480="B",ROUND(SUMIF($AQ$5:$AQ$704,$AQ480,$AJ$5:$AJ$704),2),IF($AD480&lt;&gt;"T","",$AJ480)))</f>
        <v/>
      </c>
      <c r="N480" s="32">
        <f>IF(OR($AD480="D",$AD480="T",$AD480="B",$AD480="Z"),ROUND(N($K480)-N($L480)-N($M480),2),"")</f>
        <v/>
      </c>
      <c r="O480" s="32">
        <f>IF(OR($AD480="D",$AD480="T",$AD480="B",$AD480="Z"),IF(N($E480)=0,"",ROUND($F480/$E480,2)),"")</f>
        <v/>
      </c>
      <c r="AC480">
        <f>IFERROR(MATCH(476,$AB$5:$AB$404,1),"")</f>
        <v/>
      </c>
      <c r="AD480">
        <f>IF(476=$AI$1+1,"Z",IF($AC480="","",IF(INDEX($V$5:$V$404,$AC480)="","",IF(476&gt;INDEX($AB$5:$AB$404,$AC480)+INDEX($Z$5:$Z$404,$AC480)+INDEX($AA$5:$AA$404,$AC480)+INDEX($AO$5:$AO$404,$AC480),"",IF(476=INDEX($AB$5:$AB$404,$AC480)+INDEX($Z$5:$Z$404,$AC480),"D",IF(AND(INDEX($Z$5:$Z$404,$AC480)=1,476=INDEX($AB$5:$AB$404,$AC480)),"H",IF(AND(INDEX($AO$5:$AO$404,$AC480)=1,476=INDEX($AB$5:$AB$404,$AC480)+INDEX($Z$5:$Z$404,$AC480)+INDEX($AA$5:$AA$404,$AC480)+INDEX($AO$5:$AO$404,$AC480)),"B","T")))))))</f>
        <v/>
      </c>
      <c r="AF480">
        <f>IF(OR($AD480="",$AD480="Z",$AD480="B"),"",INDEX($X$5:$X$404,$AC480))</f>
        <v/>
      </c>
      <c r="AJ480">
        <f>IF($AD480&lt;&gt;"T",0,ROUND(SUMIF(oil!$B$4:$B$63,$AF480,oil!$AE$4:$AE$63),2))</f>
        <v/>
      </c>
      <c r="AQ480">
        <f>IF(OR($AD480="",$AD480="Z"),"",INDEX($AN$5:$AN$404,$AC480))</f>
        <v/>
      </c>
      <c r="AZ480">
        <f>IF(AND($AD480="T",$AQ480=1),N($AZ479)+1,N($AZ479))</f>
        <v/>
      </c>
    </row>
    <row r="481" ht="21" customHeight="1" s="66">
      <c r="A481" s="69">
        <f>IF($AD481="","",IF($AD481="Z","รวมจ่ายทั้งสิ้น",IF($AD481="H",INDEX($X$5:$X$404,$AC481),IF($AD481="T","รวม",IF($AD481="B",IFERROR(INDEX(อัตราค่าขนส่ง!$S$5:$S$14,MATCH(INDEX($AM$5:$AM$404,$AC481),อัตราค่าขนส่ง!$R$5:$R$14,0)),"รวมกลุ่ม "&amp;INDEX($AM$5:$AM$404,$AC481)),INDEX($AY$5:$AY$404,$AC481))))))</f>
        <v/>
      </c>
      <c r="B481" s="31">
        <f>IF($AD481&lt;&gt;"D","",INDEX($AW$5:$AW$404,$AC481))</f>
        <v/>
      </c>
      <c r="C481" s="68">
        <f>IF($AD481&lt;&gt;"D","",INDEX($AX$5:$AX$404,$AC481))</f>
        <v/>
      </c>
      <c r="D481" s="70">
        <f>IF($AD481&lt;&gt;"D","",INDEX($BA$5:$BA$404,$AC481))</f>
        <v/>
      </c>
      <c r="E481" s="31">
        <f>IF($AD481="Z",SUM($AR$5:$AR$404),IF($AD481="D",INDEX($AR$5:$AR$404,$AC481),IF($AD481="T",SUMIF($X$5:$X$404,$AF481,$AR$5:$AR$404),IF($AD481="B",SUMIF($AN$5:$AN$404,$AQ481,$AR$5:$AR$404),""))))</f>
        <v/>
      </c>
      <c r="F481" s="32">
        <f>IF($AD481="Z",ROUND(SUM($AS$5:$AS$404),2),IF($AD481="D",INDEX($AS$5:$AS$404,$AC481),IF($AD481="T",ROUND(SUMIF($X$5:$X$404,$AF481,$AS$5:$AS$404),2),IF($AD481="B",ROUND(SUMIF($AN$5:$AN$404,$AQ481,$AS$5:$AS$404),2),""))))</f>
        <v/>
      </c>
      <c r="G481" s="32">
        <f>IF($AD481&lt;&gt;"D","",INDEX($AT$5:$AT$404,$AC481))</f>
        <v/>
      </c>
      <c r="H481" s="32">
        <f>IF($AD481&lt;&gt;"D","",INDEX($BC$5:$BC$404,$AC481))</f>
        <v/>
      </c>
      <c r="I481" s="32">
        <f>IF($AD481&lt;&gt;"D","",INDEX($BD$5:$BD$404,$AC481))</f>
        <v/>
      </c>
      <c r="J481" s="46">
        <f>IF($AD481&lt;&gt;"D","",IF(N($B481)=0,"",ROUND($I481/$B481,4)))</f>
        <v/>
      </c>
      <c r="K481" s="32">
        <f>IF($AD481="Z",ROUND(SUM($AU$5:$AU$404),2),IF($AD481="D",INDEX($AU$5:$AU$404,$AC481),IF($AD481="T",ROUND(SUMIF($X$5:$X$404,$AF481,$AU$5:$AU$404),2),IF($AD481="B",ROUND(SUMIF($AN$5:$AN$404,$AQ481,$AU$5:$AU$404),2),""))))</f>
        <v/>
      </c>
      <c r="L481" s="32">
        <f>IF($AD481="Z",ROUND(SUM($AV$5:$AV$404),2),IF($AD481="D",INDEX($AV$5:$AV$404,$AC481),IF($AD481="T",ROUND(SUMIF($X$5:$X$404,$AF481,$AV$5:$AV$404),2),IF($AD481="B",ROUND(SUMIF($AN$5:$AN$404,$AQ481,$AV$5:$AV$404),2),""))))</f>
        <v/>
      </c>
      <c r="M481" s="32">
        <f>IF($AD481="Z",ROUND(SUM($AJ$5:$AJ$704),2),IF($AD481="B",ROUND(SUMIF($AQ$5:$AQ$704,$AQ481,$AJ$5:$AJ$704),2),IF($AD481&lt;&gt;"T","",$AJ481)))</f>
        <v/>
      </c>
      <c r="N481" s="32">
        <f>IF(OR($AD481="D",$AD481="T",$AD481="B",$AD481="Z"),ROUND(N($K481)-N($L481)-N($M481),2),"")</f>
        <v/>
      </c>
      <c r="O481" s="32">
        <f>IF(OR($AD481="D",$AD481="T",$AD481="B",$AD481="Z"),IF(N($E481)=0,"",ROUND($F481/$E481,2)),"")</f>
        <v/>
      </c>
      <c r="AC481">
        <f>IFERROR(MATCH(477,$AB$5:$AB$404,1),"")</f>
        <v/>
      </c>
      <c r="AD481">
        <f>IF(477=$AI$1+1,"Z",IF($AC481="","",IF(INDEX($V$5:$V$404,$AC481)="","",IF(477&gt;INDEX($AB$5:$AB$404,$AC481)+INDEX($Z$5:$Z$404,$AC481)+INDEX($AA$5:$AA$404,$AC481)+INDEX($AO$5:$AO$404,$AC481),"",IF(477=INDEX($AB$5:$AB$404,$AC481)+INDEX($Z$5:$Z$404,$AC481),"D",IF(AND(INDEX($Z$5:$Z$404,$AC481)=1,477=INDEX($AB$5:$AB$404,$AC481)),"H",IF(AND(INDEX($AO$5:$AO$404,$AC481)=1,477=INDEX($AB$5:$AB$404,$AC481)+INDEX($Z$5:$Z$404,$AC481)+INDEX($AA$5:$AA$404,$AC481)+INDEX($AO$5:$AO$404,$AC481)),"B","T")))))))</f>
        <v/>
      </c>
      <c r="AF481">
        <f>IF(OR($AD481="",$AD481="Z",$AD481="B"),"",INDEX($X$5:$X$404,$AC481))</f>
        <v/>
      </c>
      <c r="AJ481">
        <f>IF($AD481&lt;&gt;"T",0,ROUND(SUMIF(oil!$B$4:$B$63,$AF481,oil!$AE$4:$AE$63),2))</f>
        <v/>
      </c>
      <c r="AQ481">
        <f>IF(OR($AD481="",$AD481="Z"),"",INDEX($AN$5:$AN$404,$AC481))</f>
        <v/>
      </c>
      <c r="AZ481">
        <f>IF(AND($AD481="T",$AQ481=1),N($AZ480)+1,N($AZ480))</f>
        <v/>
      </c>
    </row>
    <row r="482" ht="21" customHeight="1" s="66">
      <c r="A482" s="69">
        <f>IF($AD482="","",IF($AD482="Z","รวมจ่ายทั้งสิ้น",IF($AD482="H",INDEX($X$5:$X$404,$AC482),IF($AD482="T","รวม",IF($AD482="B",IFERROR(INDEX(อัตราค่าขนส่ง!$S$5:$S$14,MATCH(INDEX($AM$5:$AM$404,$AC482),อัตราค่าขนส่ง!$R$5:$R$14,0)),"รวมกลุ่ม "&amp;INDEX($AM$5:$AM$404,$AC482)),INDEX($AY$5:$AY$404,$AC482))))))</f>
        <v/>
      </c>
      <c r="B482" s="31">
        <f>IF($AD482&lt;&gt;"D","",INDEX($AW$5:$AW$404,$AC482))</f>
        <v/>
      </c>
      <c r="C482" s="68">
        <f>IF($AD482&lt;&gt;"D","",INDEX($AX$5:$AX$404,$AC482))</f>
        <v/>
      </c>
      <c r="D482" s="70">
        <f>IF($AD482&lt;&gt;"D","",INDEX($BA$5:$BA$404,$AC482))</f>
        <v/>
      </c>
      <c r="E482" s="31">
        <f>IF($AD482="Z",SUM($AR$5:$AR$404),IF($AD482="D",INDEX($AR$5:$AR$404,$AC482),IF($AD482="T",SUMIF($X$5:$X$404,$AF482,$AR$5:$AR$404),IF($AD482="B",SUMIF($AN$5:$AN$404,$AQ482,$AR$5:$AR$404),""))))</f>
        <v/>
      </c>
      <c r="F482" s="32">
        <f>IF($AD482="Z",ROUND(SUM($AS$5:$AS$404),2),IF($AD482="D",INDEX($AS$5:$AS$404,$AC482),IF($AD482="T",ROUND(SUMIF($X$5:$X$404,$AF482,$AS$5:$AS$404),2),IF($AD482="B",ROUND(SUMIF($AN$5:$AN$404,$AQ482,$AS$5:$AS$404),2),""))))</f>
        <v/>
      </c>
      <c r="G482" s="32">
        <f>IF($AD482&lt;&gt;"D","",INDEX($AT$5:$AT$404,$AC482))</f>
        <v/>
      </c>
      <c r="H482" s="32">
        <f>IF($AD482&lt;&gt;"D","",INDEX($BC$5:$BC$404,$AC482))</f>
        <v/>
      </c>
      <c r="I482" s="32">
        <f>IF($AD482&lt;&gt;"D","",INDEX($BD$5:$BD$404,$AC482))</f>
        <v/>
      </c>
      <c r="J482" s="46">
        <f>IF($AD482&lt;&gt;"D","",IF(N($B482)=0,"",ROUND($I482/$B482,4)))</f>
        <v/>
      </c>
      <c r="K482" s="32">
        <f>IF($AD482="Z",ROUND(SUM($AU$5:$AU$404),2),IF($AD482="D",INDEX($AU$5:$AU$404,$AC482),IF($AD482="T",ROUND(SUMIF($X$5:$X$404,$AF482,$AU$5:$AU$404),2),IF($AD482="B",ROUND(SUMIF($AN$5:$AN$404,$AQ482,$AU$5:$AU$404),2),""))))</f>
        <v/>
      </c>
      <c r="L482" s="32">
        <f>IF($AD482="Z",ROUND(SUM($AV$5:$AV$404),2),IF($AD482="D",INDEX($AV$5:$AV$404,$AC482),IF($AD482="T",ROUND(SUMIF($X$5:$X$404,$AF482,$AV$5:$AV$404),2),IF($AD482="B",ROUND(SUMIF($AN$5:$AN$404,$AQ482,$AV$5:$AV$404),2),""))))</f>
        <v/>
      </c>
      <c r="M482" s="32">
        <f>IF($AD482="Z",ROUND(SUM($AJ$5:$AJ$704),2),IF($AD482="B",ROUND(SUMIF($AQ$5:$AQ$704,$AQ482,$AJ$5:$AJ$704),2),IF($AD482&lt;&gt;"T","",$AJ482)))</f>
        <v/>
      </c>
      <c r="N482" s="32">
        <f>IF(OR($AD482="D",$AD482="T",$AD482="B",$AD482="Z"),ROUND(N($K482)-N($L482)-N($M482),2),"")</f>
        <v/>
      </c>
      <c r="O482" s="32">
        <f>IF(OR($AD482="D",$AD482="T",$AD482="B",$AD482="Z"),IF(N($E482)=0,"",ROUND($F482/$E482,2)),"")</f>
        <v/>
      </c>
      <c r="AC482">
        <f>IFERROR(MATCH(478,$AB$5:$AB$404,1),"")</f>
        <v/>
      </c>
      <c r="AD482">
        <f>IF(478=$AI$1+1,"Z",IF($AC482="","",IF(INDEX($V$5:$V$404,$AC482)="","",IF(478&gt;INDEX($AB$5:$AB$404,$AC482)+INDEX($Z$5:$Z$404,$AC482)+INDEX($AA$5:$AA$404,$AC482)+INDEX($AO$5:$AO$404,$AC482),"",IF(478=INDEX($AB$5:$AB$404,$AC482)+INDEX($Z$5:$Z$404,$AC482),"D",IF(AND(INDEX($Z$5:$Z$404,$AC482)=1,478=INDEX($AB$5:$AB$404,$AC482)),"H",IF(AND(INDEX($AO$5:$AO$404,$AC482)=1,478=INDEX($AB$5:$AB$404,$AC482)+INDEX($Z$5:$Z$404,$AC482)+INDEX($AA$5:$AA$404,$AC482)+INDEX($AO$5:$AO$404,$AC482)),"B","T")))))))</f>
        <v/>
      </c>
      <c r="AF482">
        <f>IF(OR($AD482="",$AD482="Z",$AD482="B"),"",INDEX($X$5:$X$404,$AC482))</f>
        <v/>
      </c>
      <c r="AJ482">
        <f>IF($AD482&lt;&gt;"T",0,ROUND(SUMIF(oil!$B$4:$B$63,$AF482,oil!$AE$4:$AE$63),2))</f>
        <v/>
      </c>
      <c r="AQ482">
        <f>IF(OR($AD482="",$AD482="Z"),"",INDEX($AN$5:$AN$404,$AC482))</f>
        <v/>
      </c>
      <c r="AZ482">
        <f>IF(AND($AD482="T",$AQ482=1),N($AZ481)+1,N($AZ481))</f>
        <v/>
      </c>
    </row>
    <row r="483" ht="21" customHeight="1" s="66">
      <c r="A483" s="69">
        <f>IF($AD483="","",IF($AD483="Z","รวมจ่ายทั้งสิ้น",IF($AD483="H",INDEX($X$5:$X$404,$AC483),IF($AD483="T","รวม",IF($AD483="B",IFERROR(INDEX(อัตราค่าขนส่ง!$S$5:$S$14,MATCH(INDEX($AM$5:$AM$404,$AC483),อัตราค่าขนส่ง!$R$5:$R$14,0)),"รวมกลุ่ม "&amp;INDEX($AM$5:$AM$404,$AC483)),INDEX($AY$5:$AY$404,$AC483))))))</f>
        <v/>
      </c>
      <c r="B483" s="31">
        <f>IF($AD483&lt;&gt;"D","",INDEX($AW$5:$AW$404,$AC483))</f>
        <v/>
      </c>
      <c r="C483" s="68">
        <f>IF($AD483&lt;&gt;"D","",INDEX($AX$5:$AX$404,$AC483))</f>
        <v/>
      </c>
      <c r="D483" s="70">
        <f>IF($AD483&lt;&gt;"D","",INDEX($BA$5:$BA$404,$AC483))</f>
        <v/>
      </c>
      <c r="E483" s="31">
        <f>IF($AD483="Z",SUM($AR$5:$AR$404),IF($AD483="D",INDEX($AR$5:$AR$404,$AC483),IF($AD483="T",SUMIF($X$5:$X$404,$AF483,$AR$5:$AR$404),IF($AD483="B",SUMIF($AN$5:$AN$404,$AQ483,$AR$5:$AR$404),""))))</f>
        <v/>
      </c>
      <c r="F483" s="32">
        <f>IF($AD483="Z",ROUND(SUM($AS$5:$AS$404),2),IF($AD483="D",INDEX($AS$5:$AS$404,$AC483),IF($AD483="T",ROUND(SUMIF($X$5:$X$404,$AF483,$AS$5:$AS$404),2),IF($AD483="B",ROUND(SUMIF($AN$5:$AN$404,$AQ483,$AS$5:$AS$404),2),""))))</f>
        <v/>
      </c>
      <c r="G483" s="32">
        <f>IF($AD483&lt;&gt;"D","",INDEX($AT$5:$AT$404,$AC483))</f>
        <v/>
      </c>
      <c r="H483" s="32">
        <f>IF($AD483&lt;&gt;"D","",INDEX($BC$5:$BC$404,$AC483))</f>
        <v/>
      </c>
      <c r="I483" s="32">
        <f>IF($AD483&lt;&gt;"D","",INDEX($BD$5:$BD$404,$AC483))</f>
        <v/>
      </c>
      <c r="J483" s="46">
        <f>IF($AD483&lt;&gt;"D","",IF(N($B483)=0,"",ROUND($I483/$B483,4)))</f>
        <v/>
      </c>
      <c r="K483" s="32">
        <f>IF($AD483="Z",ROUND(SUM($AU$5:$AU$404),2),IF($AD483="D",INDEX($AU$5:$AU$404,$AC483),IF($AD483="T",ROUND(SUMIF($X$5:$X$404,$AF483,$AU$5:$AU$404),2),IF($AD483="B",ROUND(SUMIF($AN$5:$AN$404,$AQ483,$AU$5:$AU$404),2),""))))</f>
        <v/>
      </c>
      <c r="L483" s="32">
        <f>IF($AD483="Z",ROUND(SUM($AV$5:$AV$404),2),IF($AD483="D",INDEX($AV$5:$AV$404,$AC483),IF($AD483="T",ROUND(SUMIF($X$5:$X$404,$AF483,$AV$5:$AV$404),2),IF($AD483="B",ROUND(SUMIF($AN$5:$AN$404,$AQ483,$AV$5:$AV$404),2),""))))</f>
        <v/>
      </c>
      <c r="M483" s="32">
        <f>IF($AD483="Z",ROUND(SUM($AJ$5:$AJ$704),2),IF($AD483="B",ROUND(SUMIF($AQ$5:$AQ$704,$AQ483,$AJ$5:$AJ$704),2),IF($AD483&lt;&gt;"T","",$AJ483)))</f>
        <v/>
      </c>
      <c r="N483" s="32">
        <f>IF(OR($AD483="D",$AD483="T",$AD483="B",$AD483="Z"),ROUND(N($K483)-N($L483)-N($M483),2),"")</f>
        <v/>
      </c>
      <c r="O483" s="32">
        <f>IF(OR($AD483="D",$AD483="T",$AD483="B",$AD483="Z"),IF(N($E483)=0,"",ROUND($F483/$E483,2)),"")</f>
        <v/>
      </c>
      <c r="AC483">
        <f>IFERROR(MATCH(479,$AB$5:$AB$404,1),"")</f>
        <v/>
      </c>
      <c r="AD483">
        <f>IF(479=$AI$1+1,"Z",IF($AC483="","",IF(INDEX($V$5:$V$404,$AC483)="","",IF(479&gt;INDEX($AB$5:$AB$404,$AC483)+INDEX($Z$5:$Z$404,$AC483)+INDEX($AA$5:$AA$404,$AC483)+INDEX($AO$5:$AO$404,$AC483),"",IF(479=INDEX($AB$5:$AB$404,$AC483)+INDEX($Z$5:$Z$404,$AC483),"D",IF(AND(INDEX($Z$5:$Z$404,$AC483)=1,479=INDEX($AB$5:$AB$404,$AC483)),"H",IF(AND(INDEX($AO$5:$AO$404,$AC483)=1,479=INDEX($AB$5:$AB$404,$AC483)+INDEX($Z$5:$Z$404,$AC483)+INDEX($AA$5:$AA$404,$AC483)+INDEX($AO$5:$AO$404,$AC483)),"B","T")))))))</f>
        <v/>
      </c>
      <c r="AF483">
        <f>IF(OR($AD483="",$AD483="Z",$AD483="B"),"",INDEX($X$5:$X$404,$AC483))</f>
        <v/>
      </c>
      <c r="AJ483">
        <f>IF($AD483&lt;&gt;"T",0,ROUND(SUMIF(oil!$B$4:$B$63,$AF483,oil!$AE$4:$AE$63),2))</f>
        <v/>
      </c>
      <c r="AQ483">
        <f>IF(OR($AD483="",$AD483="Z"),"",INDEX($AN$5:$AN$404,$AC483))</f>
        <v/>
      </c>
      <c r="AZ483">
        <f>IF(AND($AD483="T",$AQ483=1),N($AZ482)+1,N($AZ482))</f>
        <v/>
      </c>
    </row>
    <row r="484" ht="21" customHeight="1" s="66">
      <c r="A484" s="69">
        <f>IF($AD484="","",IF($AD484="Z","รวมจ่ายทั้งสิ้น",IF($AD484="H",INDEX($X$5:$X$404,$AC484),IF($AD484="T","รวม",IF($AD484="B",IFERROR(INDEX(อัตราค่าขนส่ง!$S$5:$S$14,MATCH(INDEX($AM$5:$AM$404,$AC484),อัตราค่าขนส่ง!$R$5:$R$14,0)),"รวมกลุ่ม "&amp;INDEX($AM$5:$AM$404,$AC484)),INDEX($AY$5:$AY$404,$AC484))))))</f>
        <v/>
      </c>
      <c r="B484" s="31">
        <f>IF($AD484&lt;&gt;"D","",INDEX($AW$5:$AW$404,$AC484))</f>
        <v/>
      </c>
      <c r="C484" s="68">
        <f>IF($AD484&lt;&gt;"D","",INDEX($AX$5:$AX$404,$AC484))</f>
        <v/>
      </c>
      <c r="D484" s="70">
        <f>IF($AD484&lt;&gt;"D","",INDEX($BA$5:$BA$404,$AC484))</f>
        <v/>
      </c>
      <c r="E484" s="31">
        <f>IF($AD484="Z",SUM($AR$5:$AR$404),IF($AD484="D",INDEX($AR$5:$AR$404,$AC484),IF($AD484="T",SUMIF($X$5:$X$404,$AF484,$AR$5:$AR$404),IF($AD484="B",SUMIF($AN$5:$AN$404,$AQ484,$AR$5:$AR$404),""))))</f>
        <v/>
      </c>
      <c r="F484" s="32">
        <f>IF($AD484="Z",ROUND(SUM($AS$5:$AS$404),2),IF($AD484="D",INDEX($AS$5:$AS$404,$AC484),IF($AD484="T",ROUND(SUMIF($X$5:$X$404,$AF484,$AS$5:$AS$404),2),IF($AD484="B",ROUND(SUMIF($AN$5:$AN$404,$AQ484,$AS$5:$AS$404),2),""))))</f>
        <v/>
      </c>
      <c r="G484" s="32">
        <f>IF($AD484&lt;&gt;"D","",INDEX($AT$5:$AT$404,$AC484))</f>
        <v/>
      </c>
      <c r="H484" s="32">
        <f>IF($AD484&lt;&gt;"D","",INDEX($BC$5:$BC$404,$AC484))</f>
        <v/>
      </c>
      <c r="I484" s="32">
        <f>IF($AD484&lt;&gt;"D","",INDEX($BD$5:$BD$404,$AC484))</f>
        <v/>
      </c>
      <c r="J484" s="46">
        <f>IF($AD484&lt;&gt;"D","",IF(N($B484)=0,"",ROUND($I484/$B484,4)))</f>
        <v/>
      </c>
      <c r="K484" s="32">
        <f>IF($AD484="Z",ROUND(SUM($AU$5:$AU$404),2),IF($AD484="D",INDEX($AU$5:$AU$404,$AC484),IF($AD484="T",ROUND(SUMIF($X$5:$X$404,$AF484,$AU$5:$AU$404),2),IF($AD484="B",ROUND(SUMIF($AN$5:$AN$404,$AQ484,$AU$5:$AU$404),2),""))))</f>
        <v/>
      </c>
      <c r="L484" s="32">
        <f>IF($AD484="Z",ROUND(SUM($AV$5:$AV$404),2),IF($AD484="D",INDEX($AV$5:$AV$404,$AC484),IF($AD484="T",ROUND(SUMIF($X$5:$X$404,$AF484,$AV$5:$AV$404),2),IF($AD484="B",ROUND(SUMIF($AN$5:$AN$404,$AQ484,$AV$5:$AV$404),2),""))))</f>
        <v/>
      </c>
      <c r="M484" s="32">
        <f>IF($AD484="Z",ROUND(SUM($AJ$5:$AJ$704),2),IF($AD484="B",ROUND(SUMIF($AQ$5:$AQ$704,$AQ484,$AJ$5:$AJ$704),2),IF($AD484&lt;&gt;"T","",$AJ484)))</f>
        <v/>
      </c>
      <c r="N484" s="32">
        <f>IF(OR($AD484="D",$AD484="T",$AD484="B",$AD484="Z"),ROUND(N($K484)-N($L484)-N($M484),2),"")</f>
        <v/>
      </c>
      <c r="O484" s="32">
        <f>IF(OR($AD484="D",$AD484="T",$AD484="B",$AD484="Z"),IF(N($E484)=0,"",ROUND($F484/$E484,2)),"")</f>
        <v/>
      </c>
      <c r="AC484">
        <f>IFERROR(MATCH(480,$AB$5:$AB$404,1),"")</f>
        <v/>
      </c>
      <c r="AD484">
        <f>IF(480=$AI$1+1,"Z",IF($AC484="","",IF(INDEX($V$5:$V$404,$AC484)="","",IF(480&gt;INDEX($AB$5:$AB$404,$AC484)+INDEX($Z$5:$Z$404,$AC484)+INDEX($AA$5:$AA$404,$AC484)+INDEX($AO$5:$AO$404,$AC484),"",IF(480=INDEX($AB$5:$AB$404,$AC484)+INDEX($Z$5:$Z$404,$AC484),"D",IF(AND(INDEX($Z$5:$Z$404,$AC484)=1,480=INDEX($AB$5:$AB$404,$AC484)),"H",IF(AND(INDEX($AO$5:$AO$404,$AC484)=1,480=INDEX($AB$5:$AB$404,$AC484)+INDEX($Z$5:$Z$404,$AC484)+INDEX($AA$5:$AA$404,$AC484)+INDEX($AO$5:$AO$404,$AC484)),"B","T")))))))</f>
        <v/>
      </c>
      <c r="AF484">
        <f>IF(OR($AD484="",$AD484="Z",$AD484="B"),"",INDEX($X$5:$X$404,$AC484))</f>
        <v/>
      </c>
      <c r="AJ484">
        <f>IF($AD484&lt;&gt;"T",0,ROUND(SUMIF(oil!$B$4:$B$63,$AF484,oil!$AE$4:$AE$63),2))</f>
        <v/>
      </c>
      <c r="AQ484">
        <f>IF(OR($AD484="",$AD484="Z"),"",INDEX($AN$5:$AN$404,$AC484))</f>
        <v/>
      </c>
      <c r="AZ484">
        <f>IF(AND($AD484="T",$AQ484=1),N($AZ483)+1,N($AZ483))</f>
        <v/>
      </c>
    </row>
    <row r="485" ht="21" customHeight="1" s="66">
      <c r="A485" s="69">
        <f>IF($AD485="","",IF($AD485="Z","รวมจ่ายทั้งสิ้น",IF($AD485="H",INDEX($X$5:$X$404,$AC485),IF($AD485="T","รวม",IF($AD485="B",IFERROR(INDEX(อัตราค่าขนส่ง!$S$5:$S$14,MATCH(INDEX($AM$5:$AM$404,$AC485),อัตราค่าขนส่ง!$R$5:$R$14,0)),"รวมกลุ่ม "&amp;INDEX($AM$5:$AM$404,$AC485)),INDEX($AY$5:$AY$404,$AC485))))))</f>
        <v/>
      </c>
      <c r="B485" s="31">
        <f>IF($AD485&lt;&gt;"D","",INDEX($AW$5:$AW$404,$AC485))</f>
        <v/>
      </c>
      <c r="C485" s="68">
        <f>IF($AD485&lt;&gt;"D","",INDEX($AX$5:$AX$404,$AC485))</f>
        <v/>
      </c>
      <c r="D485" s="70">
        <f>IF($AD485&lt;&gt;"D","",INDEX($BA$5:$BA$404,$AC485))</f>
        <v/>
      </c>
      <c r="E485" s="31">
        <f>IF($AD485="Z",SUM($AR$5:$AR$404),IF($AD485="D",INDEX($AR$5:$AR$404,$AC485),IF($AD485="T",SUMIF($X$5:$X$404,$AF485,$AR$5:$AR$404),IF($AD485="B",SUMIF($AN$5:$AN$404,$AQ485,$AR$5:$AR$404),""))))</f>
        <v/>
      </c>
      <c r="F485" s="32">
        <f>IF($AD485="Z",ROUND(SUM($AS$5:$AS$404),2),IF($AD485="D",INDEX($AS$5:$AS$404,$AC485),IF($AD485="T",ROUND(SUMIF($X$5:$X$404,$AF485,$AS$5:$AS$404),2),IF($AD485="B",ROUND(SUMIF($AN$5:$AN$404,$AQ485,$AS$5:$AS$404),2),""))))</f>
        <v/>
      </c>
      <c r="G485" s="32">
        <f>IF($AD485&lt;&gt;"D","",INDEX($AT$5:$AT$404,$AC485))</f>
        <v/>
      </c>
      <c r="H485" s="32">
        <f>IF($AD485&lt;&gt;"D","",INDEX($BC$5:$BC$404,$AC485))</f>
        <v/>
      </c>
      <c r="I485" s="32">
        <f>IF($AD485&lt;&gt;"D","",INDEX($BD$5:$BD$404,$AC485))</f>
        <v/>
      </c>
      <c r="J485" s="46">
        <f>IF($AD485&lt;&gt;"D","",IF(N($B485)=0,"",ROUND($I485/$B485,4)))</f>
        <v/>
      </c>
      <c r="K485" s="32">
        <f>IF($AD485="Z",ROUND(SUM($AU$5:$AU$404),2),IF($AD485="D",INDEX($AU$5:$AU$404,$AC485),IF($AD485="T",ROUND(SUMIF($X$5:$X$404,$AF485,$AU$5:$AU$404),2),IF($AD485="B",ROUND(SUMIF($AN$5:$AN$404,$AQ485,$AU$5:$AU$404),2),""))))</f>
        <v/>
      </c>
      <c r="L485" s="32">
        <f>IF($AD485="Z",ROUND(SUM($AV$5:$AV$404),2),IF($AD485="D",INDEX($AV$5:$AV$404,$AC485),IF($AD485="T",ROUND(SUMIF($X$5:$X$404,$AF485,$AV$5:$AV$404),2),IF($AD485="B",ROUND(SUMIF($AN$5:$AN$404,$AQ485,$AV$5:$AV$404),2),""))))</f>
        <v/>
      </c>
      <c r="M485" s="32">
        <f>IF($AD485="Z",ROUND(SUM($AJ$5:$AJ$704),2),IF($AD485="B",ROUND(SUMIF($AQ$5:$AQ$704,$AQ485,$AJ$5:$AJ$704),2),IF($AD485&lt;&gt;"T","",$AJ485)))</f>
        <v/>
      </c>
      <c r="N485" s="32">
        <f>IF(OR($AD485="D",$AD485="T",$AD485="B",$AD485="Z"),ROUND(N($K485)-N($L485)-N($M485),2),"")</f>
        <v/>
      </c>
      <c r="O485" s="32">
        <f>IF(OR($AD485="D",$AD485="T",$AD485="B",$AD485="Z"),IF(N($E485)=0,"",ROUND($F485/$E485,2)),"")</f>
        <v/>
      </c>
      <c r="AC485">
        <f>IFERROR(MATCH(481,$AB$5:$AB$404,1),"")</f>
        <v/>
      </c>
      <c r="AD485">
        <f>IF(481=$AI$1+1,"Z",IF($AC485="","",IF(INDEX($V$5:$V$404,$AC485)="","",IF(481&gt;INDEX($AB$5:$AB$404,$AC485)+INDEX($Z$5:$Z$404,$AC485)+INDEX($AA$5:$AA$404,$AC485)+INDEX($AO$5:$AO$404,$AC485),"",IF(481=INDEX($AB$5:$AB$404,$AC485)+INDEX($Z$5:$Z$404,$AC485),"D",IF(AND(INDEX($Z$5:$Z$404,$AC485)=1,481=INDEX($AB$5:$AB$404,$AC485)),"H",IF(AND(INDEX($AO$5:$AO$404,$AC485)=1,481=INDEX($AB$5:$AB$404,$AC485)+INDEX($Z$5:$Z$404,$AC485)+INDEX($AA$5:$AA$404,$AC485)+INDEX($AO$5:$AO$404,$AC485)),"B","T")))))))</f>
        <v/>
      </c>
      <c r="AF485">
        <f>IF(OR($AD485="",$AD485="Z",$AD485="B"),"",INDEX($X$5:$X$404,$AC485))</f>
        <v/>
      </c>
      <c r="AJ485">
        <f>IF($AD485&lt;&gt;"T",0,ROUND(SUMIF(oil!$B$4:$B$63,$AF485,oil!$AE$4:$AE$63),2))</f>
        <v/>
      </c>
      <c r="AQ485">
        <f>IF(OR($AD485="",$AD485="Z"),"",INDEX($AN$5:$AN$404,$AC485))</f>
        <v/>
      </c>
      <c r="AZ485">
        <f>IF(AND($AD485="T",$AQ485=1),N($AZ484)+1,N($AZ484))</f>
        <v/>
      </c>
    </row>
    <row r="486" ht="21" customHeight="1" s="66">
      <c r="A486" s="69">
        <f>IF($AD486="","",IF($AD486="Z","รวมจ่ายทั้งสิ้น",IF($AD486="H",INDEX($X$5:$X$404,$AC486),IF($AD486="T","รวม",IF($AD486="B",IFERROR(INDEX(อัตราค่าขนส่ง!$S$5:$S$14,MATCH(INDEX($AM$5:$AM$404,$AC486),อัตราค่าขนส่ง!$R$5:$R$14,0)),"รวมกลุ่ม "&amp;INDEX($AM$5:$AM$404,$AC486)),INDEX($AY$5:$AY$404,$AC486))))))</f>
        <v/>
      </c>
      <c r="B486" s="31">
        <f>IF($AD486&lt;&gt;"D","",INDEX($AW$5:$AW$404,$AC486))</f>
        <v/>
      </c>
      <c r="C486" s="68">
        <f>IF($AD486&lt;&gt;"D","",INDEX($AX$5:$AX$404,$AC486))</f>
        <v/>
      </c>
      <c r="D486" s="70">
        <f>IF($AD486&lt;&gt;"D","",INDEX($BA$5:$BA$404,$AC486))</f>
        <v/>
      </c>
      <c r="E486" s="31">
        <f>IF($AD486="Z",SUM($AR$5:$AR$404),IF($AD486="D",INDEX($AR$5:$AR$404,$AC486),IF($AD486="T",SUMIF($X$5:$X$404,$AF486,$AR$5:$AR$404),IF($AD486="B",SUMIF($AN$5:$AN$404,$AQ486,$AR$5:$AR$404),""))))</f>
        <v/>
      </c>
      <c r="F486" s="32">
        <f>IF($AD486="Z",ROUND(SUM($AS$5:$AS$404),2),IF($AD486="D",INDEX($AS$5:$AS$404,$AC486),IF($AD486="T",ROUND(SUMIF($X$5:$X$404,$AF486,$AS$5:$AS$404),2),IF($AD486="B",ROUND(SUMIF($AN$5:$AN$404,$AQ486,$AS$5:$AS$404),2),""))))</f>
        <v/>
      </c>
      <c r="G486" s="32">
        <f>IF($AD486&lt;&gt;"D","",INDEX($AT$5:$AT$404,$AC486))</f>
        <v/>
      </c>
      <c r="H486" s="32">
        <f>IF($AD486&lt;&gt;"D","",INDEX($BC$5:$BC$404,$AC486))</f>
        <v/>
      </c>
      <c r="I486" s="32">
        <f>IF($AD486&lt;&gt;"D","",INDEX($BD$5:$BD$404,$AC486))</f>
        <v/>
      </c>
      <c r="J486" s="46">
        <f>IF($AD486&lt;&gt;"D","",IF(N($B486)=0,"",ROUND($I486/$B486,4)))</f>
        <v/>
      </c>
      <c r="K486" s="32">
        <f>IF($AD486="Z",ROUND(SUM($AU$5:$AU$404),2),IF($AD486="D",INDEX($AU$5:$AU$404,$AC486),IF($AD486="T",ROUND(SUMIF($X$5:$X$404,$AF486,$AU$5:$AU$404),2),IF($AD486="B",ROUND(SUMIF($AN$5:$AN$404,$AQ486,$AU$5:$AU$404),2),""))))</f>
        <v/>
      </c>
      <c r="L486" s="32">
        <f>IF($AD486="Z",ROUND(SUM($AV$5:$AV$404),2),IF($AD486="D",INDEX($AV$5:$AV$404,$AC486),IF($AD486="T",ROUND(SUMIF($X$5:$X$404,$AF486,$AV$5:$AV$404),2),IF($AD486="B",ROUND(SUMIF($AN$5:$AN$404,$AQ486,$AV$5:$AV$404),2),""))))</f>
        <v/>
      </c>
      <c r="M486" s="32">
        <f>IF($AD486="Z",ROUND(SUM($AJ$5:$AJ$704),2),IF($AD486="B",ROUND(SUMIF($AQ$5:$AQ$704,$AQ486,$AJ$5:$AJ$704),2),IF($AD486&lt;&gt;"T","",$AJ486)))</f>
        <v/>
      </c>
      <c r="N486" s="32">
        <f>IF(OR($AD486="D",$AD486="T",$AD486="B",$AD486="Z"),ROUND(N($K486)-N($L486)-N($M486),2),"")</f>
        <v/>
      </c>
      <c r="O486" s="32">
        <f>IF(OR($AD486="D",$AD486="T",$AD486="B",$AD486="Z"),IF(N($E486)=0,"",ROUND($F486/$E486,2)),"")</f>
        <v/>
      </c>
      <c r="AC486">
        <f>IFERROR(MATCH(482,$AB$5:$AB$404,1),"")</f>
        <v/>
      </c>
      <c r="AD486">
        <f>IF(482=$AI$1+1,"Z",IF($AC486="","",IF(INDEX($V$5:$V$404,$AC486)="","",IF(482&gt;INDEX($AB$5:$AB$404,$AC486)+INDEX($Z$5:$Z$404,$AC486)+INDEX($AA$5:$AA$404,$AC486)+INDEX($AO$5:$AO$404,$AC486),"",IF(482=INDEX($AB$5:$AB$404,$AC486)+INDEX($Z$5:$Z$404,$AC486),"D",IF(AND(INDEX($Z$5:$Z$404,$AC486)=1,482=INDEX($AB$5:$AB$404,$AC486)),"H",IF(AND(INDEX($AO$5:$AO$404,$AC486)=1,482=INDEX($AB$5:$AB$404,$AC486)+INDEX($Z$5:$Z$404,$AC486)+INDEX($AA$5:$AA$404,$AC486)+INDEX($AO$5:$AO$404,$AC486)),"B","T")))))))</f>
        <v/>
      </c>
      <c r="AF486">
        <f>IF(OR($AD486="",$AD486="Z",$AD486="B"),"",INDEX($X$5:$X$404,$AC486))</f>
        <v/>
      </c>
      <c r="AJ486">
        <f>IF($AD486&lt;&gt;"T",0,ROUND(SUMIF(oil!$B$4:$B$63,$AF486,oil!$AE$4:$AE$63),2))</f>
        <v/>
      </c>
      <c r="AQ486">
        <f>IF(OR($AD486="",$AD486="Z"),"",INDEX($AN$5:$AN$404,$AC486))</f>
        <v/>
      </c>
      <c r="AZ486">
        <f>IF(AND($AD486="T",$AQ486=1),N($AZ485)+1,N($AZ485))</f>
        <v/>
      </c>
    </row>
    <row r="487" ht="21" customHeight="1" s="66">
      <c r="A487" s="69">
        <f>IF($AD487="","",IF($AD487="Z","รวมจ่ายทั้งสิ้น",IF($AD487="H",INDEX($X$5:$X$404,$AC487),IF($AD487="T","รวม",IF($AD487="B",IFERROR(INDEX(อัตราค่าขนส่ง!$S$5:$S$14,MATCH(INDEX($AM$5:$AM$404,$AC487),อัตราค่าขนส่ง!$R$5:$R$14,0)),"รวมกลุ่ม "&amp;INDEX($AM$5:$AM$404,$AC487)),INDEX($AY$5:$AY$404,$AC487))))))</f>
        <v/>
      </c>
      <c r="B487" s="31">
        <f>IF($AD487&lt;&gt;"D","",INDEX($AW$5:$AW$404,$AC487))</f>
        <v/>
      </c>
      <c r="C487" s="68">
        <f>IF($AD487&lt;&gt;"D","",INDEX($AX$5:$AX$404,$AC487))</f>
        <v/>
      </c>
      <c r="D487" s="70">
        <f>IF($AD487&lt;&gt;"D","",INDEX($BA$5:$BA$404,$AC487))</f>
        <v/>
      </c>
      <c r="E487" s="31">
        <f>IF($AD487="Z",SUM($AR$5:$AR$404),IF($AD487="D",INDEX($AR$5:$AR$404,$AC487),IF($AD487="T",SUMIF($X$5:$X$404,$AF487,$AR$5:$AR$404),IF($AD487="B",SUMIF($AN$5:$AN$404,$AQ487,$AR$5:$AR$404),""))))</f>
        <v/>
      </c>
      <c r="F487" s="32">
        <f>IF($AD487="Z",ROUND(SUM($AS$5:$AS$404),2),IF($AD487="D",INDEX($AS$5:$AS$404,$AC487),IF($AD487="T",ROUND(SUMIF($X$5:$X$404,$AF487,$AS$5:$AS$404),2),IF($AD487="B",ROUND(SUMIF($AN$5:$AN$404,$AQ487,$AS$5:$AS$404),2),""))))</f>
        <v/>
      </c>
      <c r="G487" s="32">
        <f>IF($AD487&lt;&gt;"D","",INDEX($AT$5:$AT$404,$AC487))</f>
        <v/>
      </c>
      <c r="H487" s="32">
        <f>IF($AD487&lt;&gt;"D","",INDEX($BC$5:$BC$404,$AC487))</f>
        <v/>
      </c>
      <c r="I487" s="32">
        <f>IF($AD487&lt;&gt;"D","",INDEX($BD$5:$BD$404,$AC487))</f>
        <v/>
      </c>
      <c r="J487" s="46">
        <f>IF($AD487&lt;&gt;"D","",IF(N($B487)=0,"",ROUND($I487/$B487,4)))</f>
        <v/>
      </c>
      <c r="K487" s="32">
        <f>IF($AD487="Z",ROUND(SUM($AU$5:$AU$404),2),IF($AD487="D",INDEX($AU$5:$AU$404,$AC487),IF($AD487="T",ROUND(SUMIF($X$5:$X$404,$AF487,$AU$5:$AU$404),2),IF($AD487="B",ROUND(SUMIF($AN$5:$AN$404,$AQ487,$AU$5:$AU$404),2),""))))</f>
        <v/>
      </c>
      <c r="L487" s="32">
        <f>IF($AD487="Z",ROUND(SUM($AV$5:$AV$404),2),IF($AD487="D",INDEX($AV$5:$AV$404,$AC487),IF($AD487="T",ROUND(SUMIF($X$5:$X$404,$AF487,$AV$5:$AV$404),2),IF($AD487="B",ROUND(SUMIF($AN$5:$AN$404,$AQ487,$AV$5:$AV$404),2),""))))</f>
        <v/>
      </c>
      <c r="M487" s="32">
        <f>IF($AD487="Z",ROUND(SUM($AJ$5:$AJ$704),2),IF($AD487="B",ROUND(SUMIF($AQ$5:$AQ$704,$AQ487,$AJ$5:$AJ$704),2),IF($AD487&lt;&gt;"T","",$AJ487)))</f>
        <v/>
      </c>
      <c r="N487" s="32">
        <f>IF(OR($AD487="D",$AD487="T",$AD487="B",$AD487="Z"),ROUND(N($K487)-N($L487)-N($M487),2),"")</f>
        <v/>
      </c>
      <c r="O487" s="32">
        <f>IF(OR($AD487="D",$AD487="T",$AD487="B",$AD487="Z"),IF(N($E487)=0,"",ROUND($F487/$E487,2)),"")</f>
        <v/>
      </c>
      <c r="AC487">
        <f>IFERROR(MATCH(483,$AB$5:$AB$404,1),"")</f>
        <v/>
      </c>
      <c r="AD487">
        <f>IF(483=$AI$1+1,"Z",IF($AC487="","",IF(INDEX($V$5:$V$404,$AC487)="","",IF(483&gt;INDEX($AB$5:$AB$404,$AC487)+INDEX($Z$5:$Z$404,$AC487)+INDEX($AA$5:$AA$404,$AC487)+INDEX($AO$5:$AO$404,$AC487),"",IF(483=INDEX($AB$5:$AB$404,$AC487)+INDEX($Z$5:$Z$404,$AC487),"D",IF(AND(INDEX($Z$5:$Z$404,$AC487)=1,483=INDEX($AB$5:$AB$404,$AC487)),"H",IF(AND(INDEX($AO$5:$AO$404,$AC487)=1,483=INDEX($AB$5:$AB$404,$AC487)+INDEX($Z$5:$Z$404,$AC487)+INDEX($AA$5:$AA$404,$AC487)+INDEX($AO$5:$AO$404,$AC487)),"B","T")))))))</f>
        <v/>
      </c>
      <c r="AF487">
        <f>IF(OR($AD487="",$AD487="Z",$AD487="B"),"",INDEX($X$5:$X$404,$AC487))</f>
        <v/>
      </c>
      <c r="AJ487">
        <f>IF($AD487&lt;&gt;"T",0,ROUND(SUMIF(oil!$B$4:$B$63,$AF487,oil!$AE$4:$AE$63),2))</f>
        <v/>
      </c>
      <c r="AQ487">
        <f>IF(OR($AD487="",$AD487="Z"),"",INDEX($AN$5:$AN$404,$AC487))</f>
        <v/>
      </c>
      <c r="AZ487">
        <f>IF(AND($AD487="T",$AQ487=1),N($AZ486)+1,N($AZ486))</f>
        <v/>
      </c>
    </row>
    <row r="488" ht="21" customHeight="1" s="66">
      <c r="A488" s="69">
        <f>IF($AD488="","",IF($AD488="Z","รวมจ่ายทั้งสิ้น",IF($AD488="H",INDEX($X$5:$X$404,$AC488),IF($AD488="T","รวม",IF($AD488="B",IFERROR(INDEX(อัตราค่าขนส่ง!$S$5:$S$14,MATCH(INDEX($AM$5:$AM$404,$AC488),อัตราค่าขนส่ง!$R$5:$R$14,0)),"รวมกลุ่ม "&amp;INDEX($AM$5:$AM$404,$AC488)),INDEX($AY$5:$AY$404,$AC488))))))</f>
        <v/>
      </c>
      <c r="B488" s="31">
        <f>IF($AD488&lt;&gt;"D","",INDEX($AW$5:$AW$404,$AC488))</f>
        <v/>
      </c>
      <c r="C488" s="68">
        <f>IF($AD488&lt;&gt;"D","",INDEX($AX$5:$AX$404,$AC488))</f>
        <v/>
      </c>
      <c r="D488" s="70">
        <f>IF($AD488&lt;&gt;"D","",INDEX($BA$5:$BA$404,$AC488))</f>
        <v/>
      </c>
      <c r="E488" s="31">
        <f>IF($AD488="Z",SUM($AR$5:$AR$404),IF($AD488="D",INDEX($AR$5:$AR$404,$AC488),IF($AD488="T",SUMIF($X$5:$X$404,$AF488,$AR$5:$AR$404),IF($AD488="B",SUMIF($AN$5:$AN$404,$AQ488,$AR$5:$AR$404),""))))</f>
        <v/>
      </c>
      <c r="F488" s="32">
        <f>IF($AD488="Z",ROUND(SUM($AS$5:$AS$404),2),IF($AD488="D",INDEX($AS$5:$AS$404,$AC488),IF($AD488="T",ROUND(SUMIF($X$5:$X$404,$AF488,$AS$5:$AS$404),2),IF($AD488="B",ROUND(SUMIF($AN$5:$AN$404,$AQ488,$AS$5:$AS$404),2),""))))</f>
        <v/>
      </c>
      <c r="G488" s="32">
        <f>IF($AD488&lt;&gt;"D","",INDEX($AT$5:$AT$404,$AC488))</f>
        <v/>
      </c>
      <c r="H488" s="32">
        <f>IF($AD488&lt;&gt;"D","",INDEX($BC$5:$BC$404,$AC488))</f>
        <v/>
      </c>
      <c r="I488" s="32">
        <f>IF($AD488&lt;&gt;"D","",INDEX($BD$5:$BD$404,$AC488))</f>
        <v/>
      </c>
      <c r="J488" s="46">
        <f>IF($AD488&lt;&gt;"D","",IF(N($B488)=0,"",ROUND($I488/$B488,4)))</f>
        <v/>
      </c>
      <c r="K488" s="32">
        <f>IF($AD488="Z",ROUND(SUM($AU$5:$AU$404),2),IF($AD488="D",INDEX($AU$5:$AU$404,$AC488),IF($AD488="T",ROUND(SUMIF($X$5:$X$404,$AF488,$AU$5:$AU$404),2),IF($AD488="B",ROUND(SUMIF($AN$5:$AN$404,$AQ488,$AU$5:$AU$404),2),""))))</f>
        <v/>
      </c>
      <c r="L488" s="32">
        <f>IF($AD488="Z",ROUND(SUM($AV$5:$AV$404),2),IF($AD488="D",INDEX($AV$5:$AV$404,$AC488),IF($AD488="T",ROUND(SUMIF($X$5:$X$404,$AF488,$AV$5:$AV$404),2),IF($AD488="B",ROUND(SUMIF($AN$5:$AN$404,$AQ488,$AV$5:$AV$404),2),""))))</f>
        <v/>
      </c>
      <c r="M488" s="32">
        <f>IF($AD488="Z",ROUND(SUM($AJ$5:$AJ$704),2),IF($AD488="B",ROUND(SUMIF($AQ$5:$AQ$704,$AQ488,$AJ$5:$AJ$704),2),IF($AD488&lt;&gt;"T","",$AJ488)))</f>
        <v/>
      </c>
      <c r="N488" s="32">
        <f>IF(OR($AD488="D",$AD488="T",$AD488="B",$AD488="Z"),ROUND(N($K488)-N($L488)-N($M488),2),"")</f>
        <v/>
      </c>
      <c r="O488" s="32">
        <f>IF(OR($AD488="D",$AD488="T",$AD488="B",$AD488="Z"),IF(N($E488)=0,"",ROUND($F488/$E488,2)),"")</f>
        <v/>
      </c>
      <c r="AC488">
        <f>IFERROR(MATCH(484,$AB$5:$AB$404,1),"")</f>
        <v/>
      </c>
      <c r="AD488">
        <f>IF(484=$AI$1+1,"Z",IF($AC488="","",IF(INDEX($V$5:$V$404,$AC488)="","",IF(484&gt;INDEX($AB$5:$AB$404,$AC488)+INDEX($Z$5:$Z$404,$AC488)+INDEX($AA$5:$AA$404,$AC488)+INDEX($AO$5:$AO$404,$AC488),"",IF(484=INDEX($AB$5:$AB$404,$AC488)+INDEX($Z$5:$Z$404,$AC488),"D",IF(AND(INDEX($Z$5:$Z$404,$AC488)=1,484=INDEX($AB$5:$AB$404,$AC488)),"H",IF(AND(INDEX($AO$5:$AO$404,$AC488)=1,484=INDEX($AB$5:$AB$404,$AC488)+INDEX($Z$5:$Z$404,$AC488)+INDEX($AA$5:$AA$404,$AC488)+INDEX($AO$5:$AO$404,$AC488)),"B","T")))))))</f>
        <v/>
      </c>
      <c r="AF488">
        <f>IF(OR($AD488="",$AD488="Z",$AD488="B"),"",INDEX($X$5:$X$404,$AC488))</f>
        <v/>
      </c>
      <c r="AJ488">
        <f>IF($AD488&lt;&gt;"T",0,ROUND(SUMIF(oil!$B$4:$B$63,$AF488,oil!$AE$4:$AE$63),2))</f>
        <v/>
      </c>
      <c r="AQ488">
        <f>IF(OR($AD488="",$AD488="Z"),"",INDEX($AN$5:$AN$404,$AC488))</f>
        <v/>
      </c>
      <c r="AZ488">
        <f>IF(AND($AD488="T",$AQ488=1),N($AZ487)+1,N($AZ487))</f>
        <v/>
      </c>
    </row>
    <row r="489" ht="21" customHeight="1" s="66">
      <c r="A489" s="69">
        <f>IF($AD489="","",IF($AD489="Z","รวมจ่ายทั้งสิ้น",IF($AD489="H",INDEX($X$5:$X$404,$AC489),IF($AD489="T","รวม",IF($AD489="B",IFERROR(INDEX(อัตราค่าขนส่ง!$S$5:$S$14,MATCH(INDEX($AM$5:$AM$404,$AC489),อัตราค่าขนส่ง!$R$5:$R$14,0)),"รวมกลุ่ม "&amp;INDEX($AM$5:$AM$404,$AC489)),INDEX($AY$5:$AY$404,$AC489))))))</f>
        <v/>
      </c>
      <c r="B489" s="31">
        <f>IF($AD489&lt;&gt;"D","",INDEX($AW$5:$AW$404,$AC489))</f>
        <v/>
      </c>
      <c r="C489" s="68">
        <f>IF($AD489&lt;&gt;"D","",INDEX($AX$5:$AX$404,$AC489))</f>
        <v/>
      </c>
      <c r="D489" s="70">
        <f>IF($AD489&lt;&gt;"D","",INDEX($BA$5:$BA$404,$AC489))</f>
        <v/>
      </c>
      <c r="E489" s="31">
        <f>IF($AD489="Z",SUM($AR$5:$AR$404),IF($AD489="D",INDEX($AR$5:$AR$404,$AC489),IF($AD489="T",SUMIF($X$5:$X$404,$AF489,$AR$5:$AR$404),IF($AD489="B",SUMIF($AN$5:$AN$404,$AQ489,$AR$5:$AR$404),""))))</f>
        <v/>
      </c>
      <c r="F489" s="32">
        <f>IF($AD489="Z",ROUND(SUM($AS$5:$AS$404),2),IF($AD489="D",INDEX($AS$5:$AS$404,$AC489),IF($AD489="T",ROUND(SUMIF($X$5:$X$404,$AF489,$AS$5:$AS$404),2),IF($AD489="B",ROUND(SUMIF($AN$5:$AN$404,$AQ489,$AS$5:$AS$404),2),""))))</f>
        <v/>
      </c>
      <c r="G489" s="32">
        <f>IF($AD489&lt;&gt;"D","",INDEX($AT$5:$AT$404,$AC489))</f>
        <v/>
      </c>
      <c r="H489" s="32">
        <f>IF($AD489&lt;&gt;"D","",INDEX($BC$5:$BC$404,$AC489))</f>
        <v/>
      </c>
      <c r="I489" s="32">
        <f>IF($AD489&lt;&gt;"D","",INDEX($BD$5:$BD$404,$AC489))</f>
        <v/>
      </c>
      <c r="J489" s="46">
        <f>IF($AD489&lt;&gt;"D","",IF(N($B489)=0,"",ROUND($I489/$B489,4)))</f>
        <v/>
      </c>
      <c r="K489" s="32">
        <f>IF($AD489="Z",ROUND(SUM($AU$5:$AU$404),2),IF($AD489="D",INDEX($AU$5:$AU$404,$AC489),IF($AD489="T",ROUND(SUMIF($X$5:$X$404,$AF489,$AU$5:$AU$404),2),IF($AD489="B",ROUND(SUMIF($AN$5:$AN$404,$AQ489,$AU$5:$AU$404),2),""))))</f>
        <v/>
      </c>
      <c r="L489" s="32">
        <f>IF($AD489="Z",ROUND(SUM($AV$5:$AV$404),2),IF($AD489="D",INDEX($AV$5:$AV$404,$AC489),IF($AD489="T",ROUND(SUMIF($X$5:$X$404,$AF489,$AV$5:$AV$404),2),IF($AD489="B",ROUND(SUMIF($AN$5:$AN$404,$AQ489,$AV$5:$AV$404),2),""))))</f>
        <v/>
      </c>
      <c r="M489" s="32">
        <f>IF($AD489="Z",ROUND(SUM($AJ$5:$AJ$704),2),IF($AD489="B",ROUND(SUMIF($AQ$5:$AQ$704,$AQ489,$AJ$5:$AJ$704),2),IF($AD489&lt;&gt;"T","",$AJ489)))</f>
        <v/>
      </c>
      <c r="N489" s="32">
        <f>IF(OR($AD489="D",$AD489="T",$AD489="B",$AD489="Z"),ROUND(N($K489)-N($L489)-N($M489),2),"")</f>
        <v/>
      </c>
      <c r="O489" s="32">
        <f>IF(OR($AD489="D",$AD489="T",$AD489="B",$AD489="Z"),IF(N($E489)=0,"",ROUND($F489/$E489,2)),"")</f>
        <v/>
      </c>
      <c r="AC489">
        <f>IFERROR(MATCH(485,$AB$5:$AB$404,1),"")</f>
        <v/>
      </c>
      <c r="AD489">
        <f>IF(485=$AI$1+1,"Z",IF($AC489="","",IF(INDEX($V$5:$V$404,$AC489)="","",IF(485&gt;INDEX($AB$5:$AB$404,$AC489)+INDEX($Z$5:$Z$404,$AC489)+INDEX($AA$5:$AA$404,$AC489)+INDEX($AO$5:$AO$404,$AC489),"",IF(485=INDEX($AB$5:$AB$404,$AC489)+INDEX($Z$5:$Z$404,$AC489),"D",IF(AND(INDEX($Z$5:$Z$404,$AC489)=1,485=INDEX($AB$5:$AB$404,$AC489)),"H",IF(AND(INDEX($AO$5:$AO$404,$AC489)=1,485=INDEX($AB$5:$AB$404,$AC489)+INDEX($Z$5:$Z$404,$AC489)+INDEX($AA$5:$AA$404,$AC489)+INDEX($AO$5:$AO$404,$AC489)),"B","T")))))))</f>
        <v/>
      </c>
      <c r="AF489">
        <f>IF(OR($AD489="",$AD489="Z",$AD489="B"),"",INDEX($X$5:$X$404,$AC489))</f>
        <v/>
      </c>
      <c r="AJ489">
        <f>IF($AD489&lt;&gt;"T",0,ROUND(SUMIF(oil!$B$4:$B$63,$AF489,oil!$AE$4:$AE$63),2))</f>
        <v/>
      </c>
      <c r="AQ489">
        <f>IF(OR($AD489="",$AD489="Z"),"",INDEX($AN$5:$AN$404,$AC489))</f>
        <v/>
      </c>
      <c r="AZ489">
        <f>IF(AND($AD489="T",$AQ489=1),N($AZ488)+1,N($AZ488))</f>
        <v/>
      </c>
    </row>
    <row r="490" ht="21" customHeight="1" s="66">
      <c r="A490" s="69">
        <f>IF($AD490="","",IF($AD490="Z","รวมจ่ายทั้งสิ้น",IF($AD490="H",INDEX($X$5:$X$404,$AC490),IF($AD490="T","รวม",IF($AD490="B",IFERROR(INDEX(อัตราค่าขนส่ง!$S$5:$S$14,MATCH(INDEX($AM$5:$AM$404,$AC490),อัตราค่าขนส่ง!$R$5:$R$14,0)),"รวมกลุ่ม "&amp;INDEX($AM$5:$AM$404,$AC490)),INDEX($AY$5:$AY$404,$AC490))))))</f>
        <v/>
      </c>
      <c r="B490" s="31">
        <f>IF($AD490&lt;&gt;"D","",INDEX($AW$5:$AW$404,$AC490))</f>
        <v/>
      </c>
      <c r="C490" s="68">
        <f>IF($AD490&lt;&gt;"D","",INDEX($AX$5:$AX$404,$AC490))</f>
        <v/>
      </c>
      <c r="D490" s="70">
        <f>IF($AD490&lt;&gt;"D","",INDEX($BA$5:$BA$404,$AC490))</f>
        <v/>
      </c>
      <c r="E490" s="31">
        <f>IF($AD490="Z",SUM($AR$5:$AR$404),IF($AD490="D",INDEX($AR$5:$AR$404,$AC490),IF($AD490="T",SUMIF($X$5:$X$404,$AF490,$AR$5:$AR$404),IF($AD490="B",SUMIF($AN$5:$AN$404,$AQ490,$AR$5:$AR$404),""))))</f>
        <v/>
      </c>
      <c r="F490" s="32">
        <f>IF($AD490="Z",ROUND(SUM($AS$5:$AS$404),2),IF($AD490="D",INDEX($AS$5:$AS$404,$AC490),IF($AD490="T",ROUND(SUMIF($X$5:$X$404,$AF490,$AS$5:$AS$404),2),IF($AD490="B",ROUND(SUMIF($AN$5:$AN$404,$AQ490,$AS$5:$AS$404),2),""))))</f>
        <v/>
      </c>
      <c r="G490" s="32">
        <f>IF($AD490&lt;&gt;"D","",INDEX($AT$5:$AT$404,$AC490))</f>
        <v/>
      </c>
      <c r="H490" s="32">
        <f>IF($AD490&lt;&gt;"D","",INDEX($BC$5:$BC$404,$AC490))</f>
        <v/>
      </c>
      <c r="I490" s="32">
        <f>IF($AD490&lt;&gt;"D","",INDEX($BD$5:$BD$404,$AC490))</f>
        <v/>
      </c>
      <c r="J490" s="46">
        <f>IF($AD490&lt;&gt;"D","",IF(N($B490)=0,"",ROUND($I490/$B490,4)))</f>
        <v/>
      </c>
      <c r="K490" s="32">
        <f>IF($AD490="Z",ROUND(SUM($AU$5:$AU$404),2),IF($AD490="D",INDEX($AU$5:$AU$404,$AC490),IF($AD490="T",ROUND(SUMIF($X$5:$X$404,$AF490,$AU$5:$AU$404),2),IF($AD490="B",ROUND(SUMIF($AN$5:$AN$404,$AQ490,$AU$5:$AU$404),2),""))))</f>
        <v/>
      </c>
      <c r="L490" s="32">
        <f>IF($AD490="Z",ROUND(SUM($AV$5:$AV$404),2),IF($AD490="D",INDEX($AV$5:$AV$404,$AC490),IF($AD490="T",ROUND(SUMIF($X$5:$X$404,$AF490,$AV$5:$AV$404),2),IF($AD490="B",ROUND(SUMIF($AN$5:$AN$404,$AQ490,$AV$5:$AV$404),2),""))))</f>
        <v/>
      </c>
      <c r="M490" s="32">
        <f>IF($AD490="Z",ROUND(SUM($AJ$5:$AJ$704),2),IF($AD490="B",ROUND(SUMIF($AQ$5:$AQ$704,$AQ490,$AJ$5:$AJ$704),2),IF($AD490&lt;&gt;"T","",$AJ490)))</f>
        <v/>
      </c>
      <c r="N490" s="32">
        <f>IF(OR($AD490="D",$AD490="T",$AD490="B",$AD490="Z"),ROUND(N($K490)-N($L490)-N($M490),2),"")</f>
        <v/>
      </c>
      <c r="O490" s="32">
        <f>IF(OR($AD490="D",$AD490="T",$AD490="B",$AD490="Z"),IF(N($E490)=0,"",ROUND($F490/$E490,2)),"")</f>
        <v/>
      </c>
      <c r="AC490">
        <f>IFERROR(MATCH(486,$AB$5:$AB$404,1),"")</f>
        <v/>
      </c>
      <c r="AD490">
        <f>IF(486=$AI$1+1,"Z",IF($AC490="","",IF(INDEX($V$5:$V$404,$AC490)="","",IF(486&gt;INDEX($AB$5:$AB$404,$AC490)+INDEX($Z$5:$Z$404,$AC490)+INDEX($AA$5:$AA$404,$AC490)+INDEX($AO$5:$AO$404,$AC490),"",IF(486=INDEX($AB$5:$AB$404,$AC490)+INDEX($Z$5:$Z$404,$AC490),"D",IF(AND(INDEX($Z$5:$Z$404,$AC490)=1,486=INDEX($AB$5:$AB$404,$AC490)),"H",IF(AND(INDEX($AO$5:$AO$404,$AC490)=1,486=INDEX($AB$5:$AB$404,$AC490)+INDEX($Z$5:$Z$404,$AC490)+INDEX($AA$5:$AA$404,$AC490)+INDEX($AO$5:$AO$404,$AC490)),"B","T")))))))</f>
        <v/>
      </c>
      <c r="AF490">
        <f>IF(OR($AD490="",$AD490="Z",$AD490="B"),"",INDEX($X$5:$X$404,$AC490))</f>
        <v/>
      </c>
      <c r="AJ490">
        <f>IF($AD490&lt;&gt;"T",0,ROUND(SUMIF(oil!$B$4:$B$63,$AF490,oil!$AE$4:$AE$63),2))</f>
        <v/>
      </c>
      <c r="AQ490">
        <f>IF(OR($AD490="",$AD490="Z"),"",INDEX($AN$5:$AN$404,$AC490))</f>
        <v/>
      </c>
      <c r="AZ490">
        <f>IF(AND($AD490="T",$AQ490=1),N($AZ489)+1,N($AZ489))</f>
        <v/>
      </c>
    </row>
    <row r="491" ht="21" customHeight="1" s="66">
      <c r="A491" s="69">
        <f>IF($AD491="","",IF($AD491="Z","รวมจ่ายทั้งสิ้น",IF($AD491="H",INDEX($X$5:$X$404,$AC491),IF($AD491="T","รวม",IF($AD491="B",IFERROR(INDEX(อัตราค่าขนส่ง!$S$5:$S$14,MATCH(INDEX($AM$5:$AM$404,$AC491),อัตราค่าขนส่ง!$R$5:$R$14,0)),"รวมกลุ่ม "&amp;INDEX($AM$5:$AM$404,$AC491)),INDEX($AY$5:$AY$404,$AC491))))))</f>
        <v/>
      </c>
      <c r="B491" s="31">
        <f>IF($AD491&lt;&gt;"D","",INDEX($AW$5:$AW$404,$AC491))</f>
        <v/>
      </c>
      <c r="C491" s="68">
        <f>IF($AD491&lt;&gt;"D","",INDEX($AX$5:$AX$404,$AC491))</f>
        <v/>
      </c>
      <c r="D491" s="70">
        <f>IF($AD491&lt;&gt;"D","",INDEX($BA$5:$BA$404,$AC491))</f>
        <v/>
      </c>
      <c r="E491" s="31">
        <f>IF($AD491="Z",SUM($AR$5:$AR$404),IF($AD491="D",INDEX($AR$5:$AR$404,$AC491),IF($AD491="T",SUMIF($X$5:$X$404,$AF491,$AR$5:$AR$404),IF($AD491="B",SUMIF($AN$5:$AN$404,$AQ491,$AR$5:$AR$404),""))))</f>
        <v/>
      </c>
      <c r="F491" s="32">
        <f>IF($AD491="Z",ROUND(SUM($AS$5:$AS$404),2),IF($AD491="D",INDEX($AS$5:$AS$404,$AC491),IF($AD491="T",ROUND(SUMIF($X$5:$X$404,$AF491,$AS$5:$AS$404),2),IF($AD491="B",ROUND(SUMIF($AN$5:$AN$404,$AQ491,$AS$5:$AS$404),2),""))))</f>
        <v/>
      </c>
      <c r="G491" s="32">
        <f>IF($AD491&lt;&gt;"D","",INDEX($AT$5:$AT$404,$AC491))</f>
        <v/>
      </c>
      <c r="H491" s="32">
        <f>IF($AD491&lt;&gt;"D","",INDEX($BC$5:$BC$404,$AC491))</f>
        <v/>
      </c>
      <c r="I491" s="32">
        <f>IF($AD491&lt;&gt;"D","",INDEX($BD$5:$BD$404,$AC491))</f>
        <v/>
      </c>
      <c r="J491" s="46">
        <f>IF($AD491&lt;&gt;"D","",IF(N($B491)=0,"",ROUND($I491/$B491,4)))</f>
        <v/>
      </c>
      <c r="K491" s="32">
        <f>IF($AD491="Z",ROUND(SUM($AU$5:$AU$404),2),IF($AD491="D",INDEX($AU$5:$AU$404,$AC491),IF($AD491="T",ROUND(SUMIF($X$5:$X$404,$AF491,$AU$5:$AU$404),2),IF($AD491="B",ROUND(SUMIF($AN$5:$AN$404,$AQ491,$AU$5:$AU$404),2),""))))</f>
        <v/>
      </c>
      <c r="L491" s="32">
        <f>IF($AD491="Z",ROUND(SUM($AV$5:$AV$404),2),IF($AD491="D",INDEX($AV$5:$AV$404,$AC491),IF($AD491="T",ROUND(SUMIF($X$5:$X$404,$AF491,$AV$5:$AV$404),2),IF($AD491="B",ROUND(SUMIF($AN$5:$AN$404,$AQ491,$AV$5:$AV$404),2),""))))</f>
        <v/>
      </c>
      <c r="M491" s="32">
        <f>IF($AD491="Z",ROUND(SUM($AJ$5:$AJ$704),2),IF($AD491="B",ROUND(SUMIF($AQ$5:$AQ$704,$AQ491,$AJ$5:$AJ$704),2),IF($AD491&lt;&gt;"T","",$AJ491)))</f>
        <v/>
      </c>
      <c r="N491" s="32">
        <f>IF(OR($AD491="D",$AD491="T",$AD491="B",$AD491="Z"),ROUND(N($K491)-N($L491)-N($M491),2),"")</f>
        <v/>
      </c>
      <c r="O491" s="32">
        <f>IF(OR($AD491="D",$AD491="T",$AD491="B",$AD491="Z"),IF(N($E491)=0,"",ROUND($F491/$E491,2)),"")</f>
        <v/>
      </c>
      <c r="AC491">
        <f>IFERROR(MATCH(487,$AB$5:$AB$404,1),"")</f>
        <v/>
      </c>
      <c r="AD491">
        <f>IF(487=$AI$1+1,"Z",IF($AC491="","",IF(INDEX($V$5:$V$404,$AC491)="","",IF(487&gt;INDEX($AB$5:$AB$404,$AC491)+INDEX($Z$5:$Z$404,$AC491)+INDEX($AA$5:$AA$404,$AC491)+INDEX($AO$5:$AO$404,$AC491),"",IF(487=INDEX($AB$5:$AB$404,$AC491)+INDEX($Z$5:$Z$404,$AC491),"D",IF(AND(INDEX($Z$5:$Z$404,$AC491)=1,487=INDEX($AB$5:$AB$404,$AC491)),"H",IF(AND(INDEX($AO$5:$AO$404,$AC491)=1,487=INDEX($AB$5:$AB$404,$AC491)+INDEX($Z$5:$Z$404,$AC491)+INDEX($AA$5:$AA$404,$AC491)+INDEX($AO$5:$AO$404,$AC491)),"B","T")))))))</f>
        <v/>
      </c>
      <c r="AF491">
        <f>IF(OR($AD491="",$AD491="Z",$AD491="B"),"",INDEX($X$5:$X$404,$AC491))</f>
        <v/>
      </c>
      <c r="AJ491">
        <f>IF($AD491&lt;&gt;"T",0,ROUND(SUMIF(oil!$B$4:$B$63,$AF491,oil!$AE$4:$AE$63),2))</f>
        <v/>
      </c>
      <c r="AQ491">
        <f>IF(OR($AD491="",$AD491="Z"),"",INDEX($AN$5:$AN$404,$AC491))</f>
        <v/>
      </c>
      <c r="AZ491">
        <f>IF(AND($AD491="T",$AQ491=1),N($AZ490)+1,N($AZ490))</f>
        <v/>
      </c>
    </row>
    <row r="492" ht="21" customHeight="1" s="66">
      <c r="A492" s="69">
        <f>IF($AD492="","",IF($AD492="Z","รวมจ่ายทั้งสิ้น",IF($AD492="H",INDEX($X$5:$X$404,$AC492),IF($AD492="T","รวม",IF($AD492="B",IFERROR(INDEX(อัตราค่าขนส่ง!$S$5:$S$14,MATCH(INDEX($AM$5:$AM$404,$AC492),อัตราค่าขนส่ง!$R$5:$R$14,0)),"รวมกลุ่ม "&amp;INDEX($AM$5:$AM$404,$AC492)),INDEX($AY$5:$AY$404,$AC492))))))</f>
        <v/>
      </c>
      <c r="B492" s="31">
        <f>IF($AD492&lt;&gt;"D","",INDEX($AW$5:$AW$404,$AC492))</f>
        <v/>
      </c>
      <c r="C492" s="68">
        <f>IF($AD492&lt;&gt;"D","",INDEX($AX$5:$AX$404,$AC492))</f>
        <v/>
      </c>
      <c r="D492" s="70">
        <f>IF($AD492&lt;&gt;"D","",INDEX($BA$5:$BA$404,$AC492))</f>
        <v/>
      </c>
      <c r="E492" s="31">
        <f>IF($AD492="Z",SUM($AR$5:$AR$404),IF($AD492="D",INDEX($AR$5:$AR$404,$AC492),IF($AD492="T",SUMIF($X$5:$X$404,$AF492,$AR$5:$AR$404),IF($AD492="B",SUMIF($AN$5:$AN$404,$AQ492,$AR$5:$AR$404),""))))</f>
        <v/>
      </c>
      <c r="F492" s="32">
        <f>IF($AD492="Z",ROUND(SUM($AS$5:$AS$404),2),IF($AD492="D",INDEX($AS$5:$AS$404,$AC492),IF($AD492="T",ROUND(SUMIF($X$5:$X$404,$AF492,$AS$5:$AS$404),2),IF($AD492="B",ROUND(SUMIF($AN$5:$AN$404,$AQ492,$AS$5:$AS$404),2),""))))</f>
        <v/>
      </c>
      <c r="G492" s="32">
        <f>IF($AD492&lt;&gt;"D","",INDEX($AT$5:$AT$404,$AC492))</f>
        <v/>
      </c>
      <c r="H492" s="32">
        <f>IF($AD492&lt;&gt;"D","",INDEX($BC$5:$BC$404,$AC492))</f>
        <v/>
      </c>
      <c r="I492" s="32">
        <f>IF($AD492&lt;&gt;"D","",INDEX($BD$5:$BD$404,$AC492))</f>
        <v/>
      </c>
      <c r="J492" s="46">
        <f>IF($AD492&lt;&gt;"D","",IF(N($B492)=0,"",ROUND($I492/$B492,4)))</f>
        <v/>
      </c>
      <c r="K492" s="32">
        <f>IF($AD492="Z",ROUND(SUM($AU$5:$AU$404),2),IF($AD492="D",INDEX($AU$5:$AU$404,$AC492),IF($AD492="T",ROUND(SUMIF($X$5:$X$404,$AF492,$AU$5:$AU$404),2),IF($AD492="B",ROUND(SUMIF($AN$5:$AN$404,$AQ492,$AU$5:$AU$404),2),""))))</f>
        <v/>
      </c>
      <c r="L492" s="32">
        <f>IF($AD492="Z",ROUND(SUM($AV$5:$AV$404),2),IF($AD492="D",INDEX($AV$5:$AV$404,$AC492),IF($AD492="T",ROUND(SUMIF($X$5:$X$404,$AF492,$AV$5:$AV$404),2),IF($AD492="B",ROUND(SUMIF($AN$5:$AN$404,$AQ492,$AV$5:$AV$404),2),""))))</f>
        <v/>
      </c>
      <c r="M492" s="32">
        <f>IF($AD492="Z",ROUND(SUM($AJ$5:$AJ$704),2),IF($AD492="B",ROUND(SUMIF($AQ$5:$AQ$704,$AQ492,$AJ$5:$AJ$704),2),IF($AD492&lt;&gt;"T","",$AJ492)))</f>
        <v/>
      </c>
      <c r="N492" s="32">
        <f>IF(OR($AD492="D",$AD492="T",$AD492="B",$AD492="Z"),ROUND(N($K492)-N($L492)-N($M492),2),"")</f>
        <v/>
      </c>
      <c r="O492" s="32">
        <f>IF(OR($AD492="D",$AD492="T",$AD492="B",$AD492="Z"),IF(N($E492)=0,"",ROUND($F492/$E492,2)),"")</f>
        <v/>
      </c>
      <c r="AC492">
        <f>IFERROR(MATCH(488,$AB$5:$AB$404,1),"")</f>
        <v/>
      </c>
      <c r="AD492">
        <f>IF(488=$AI$1+1,"Z",IF($AC492="","",IF(INDEX($V$5:$V$404,$AC492)="","",IF(488&gt;INDEX($AB$5:$AB$404,$AC492)+INDEX($Z$5:$Z$404,$AC492)+INDEX($AA$5:$AA$404,$AC492)+INDEX($AO$5:$AO$404,$AC492),"",IF(488=INDEX($AB$5:$AB$404,$AC492)+INDEX($Z$5:$Z$404,$AC492),"D",IF(AND(INDEX($Z$5:$Z$404,$AC492)=1,488=INDEX($AB$5:$AB$404,$AC492)),"H",IF(AND(INDEX($AO$5:$AO$404,$AC492)=1,488=INDEX($AB$5:$AB$404,$AC492)+INDEX($Z$5:$Z$404,$AC492)+INDEX($AA$5:$AA$404,$AC492)+INDEX($AO$5:$AO$404,$AC492)),"B","T")))))))</f>
        <v/>
      </c>
      <c r="AF492">
        <f>IF(OR($AD492="",$AD492="Z",$AD492="B"),"",INDEX($X$5:$X$404,$AC492))</f>
        <v/>
      </c>
      <c r="AJ492">
        <f>IF($AD492&lt;&gt;"T",0,ROUND(SUMIF(oil!$B$4:$B$63,$AF492,oil!$AE$4:$AE$63),2))</f>
        <v/>
      </c>
      <c r="AQ492">
        <f>IF(OR($AD492="",$AD492="Z"),"",INDEX($AN$5:$AN$404,$AC492))</f>
        <v/>
      </c>
      <c r="AZ492">
        <f>IF(AND($AD492="T",$AQ492=1),N($AZ491)+1,N($AZ491))</f>
        <v/>
      </c>
    </row>
    <row r="493" ht="21" customHeight="1" s="66">
      <c r="A493" s="69">
        <f>IF($AD493="","",IF($AD493="Z","รวมจ่ายทั้งสิ้น",IF($AD493="H",INDEX($X$5:$X$404,$AC493),IF($AD493="T","รวม",IF($AD493="B",IFERROR(INDEX(อัตราค่าขนส่ง!$S$5:$S$14,MATCH(INDEX($AM$5:$AM$404,$AC493),อัตราค่าขนส่ง!$R$5:$R$14,0)),"รวมกลุ่ม "&amp;INDEX($AM$5:$AM$404,$AC493)),INDEX($AY$5:$AY$404,$AC493))))))</f>
        <v/>
      </c>
      <c r="B493" s="31">
        <f>IF($AD493&lt;&gt;"D","",INDEX($AW$5:$AW$404,$AC493))</f>
        <v/>
      </c>
      <c r="C493" s="68">
        <f>IF($AD493&lt;&gt;"D","",INDEX($AX$5:$AX$404,$AC493))</f>
        <v/>
      </c>
      <c r="D493" s="70">
        <f>IF($AD493&lt;&gt;"D","",INDEX($BA$5:$BA$404,$AC493))</f>
        <v/>
      </c>
      <c r="E493" s="31">
        <f>IF($AD493="Z",SUM($AR$5:$AR$404),IF($AD493="D",INDEX($AR$5:$AR$404,$AC493),IF($AD493="T",SUMIF($X$5:$X$404,$AF493,$AR$5:$AR$404),IF($AD493="B",SUMIF($AN$5:$AN$404,$AQ493,$AR$5:$AR$404),""))))</f>
        <v/>
      </c>
      <c r="F493" s="32">
        <f>IF($AD493="Z",ROUND(SUM($AS$5:$AS$404),2),IF($AD493="D",INDEX($AS$5:$AS$404,$AC493),IF($AD493="T",ROUND(SUMIF($X$5:$X$404,$AF493,$AS$5:$AS$404),2),IF($AD493="B",ROUND(SUMIF($AN$5:$AN$404,$AQ493,$AS$5:$AS$404),2),""))))</f>
        <v/>
      </c>
      <c r="G493" s="32">
        <f>IF($AD493&lt;&gt;"D","",INDEX($AT$5:$AT$404,$AC493))</f>
        <v/>
      </c>
      <c r="H493" s="32">
        <f>IF($AD493&lt;&gt;"D","",INDEX($BC$5:$BC$404,$AC493))</f>
        <v/>
      </c>
      <c r="I493" s="32">
        <f>IF($AD493&lt;&gt;"D","",INDEX($BD$5:$BD$404,$AC493))</f>
        <v/>
      </c>
      <c r="J493" s="46">
        <f>IF($AD493&lt;&gt;"D","",IF(N($B493)=0,"",ROUND($I493/$B493,4)))</f>
        <v/>
      </c>
      <c r="K493" s="32">
        <f>IF($AD493="Z",ROUND(SUM($AU$5:$AU$404),2),IF($AD493="D",INDEX($AU$5:$AU$404,$AC493),IF($AD493="T",ROUND(SUMIF($X$5:$X$404,$AF493,$AU$5:$AU$404),2),IF($AD493="B",ROUND(SUMIF($AN$5:$AN$404,$AQ493,$AU$5:$AU$404),2),""))))</f>
        <v/>
      </c>
      <c r="L493" s="32">
        <f>IF($AD493="Z",ROUND(SUM($AV$5:$AV$404),2),IF($AD493="D",INDEX($AV$5:$AV$404,$AC493),IF($AD493="T",ROUND(SUMIF($X$5:$X$404,$AF493,$AV$5:$AV$404),2),IF($AD493="B",ROUND(SUMIF($AN$5:$AN$404,$AQ493,$AV$5:$AV$404),2),""))))</f>
        <v/>
      </c>
      <c r="M493" s="32">
        <f>IF($AD493="Z",ROUND(SUM($AJ$5:$AJ$704),2),IF($AD493="B",ROUND(SUMIF($AQ$5:$AQ$704,$AQ493,$AJ$5:$AJ$704),2),IF($AD493&lt;&gt;"T","",$AJ493)))</f>
        <v/>
      </c>
      <c r="N493" s="32">
        <f>IF(OR($AD493="D",$AD493="T",$AD493="B",$AD493="Z"),ROUND(N($K493)-N($L493)-N($M493),2),"")</f>
        <v/>
      </c>
      <c r="O493" s="32">
        <f>IF(OR($AD493="D",$AD493="T",$AD493="B",$AD493="Z"),IF(N($E493)=0,"",ROUND($F493/$E493,2)),"")</f>
        <v/>
      </c>
      <c r="AC493">
        <f>IFERROR(MATCH(489,$AB$5:$AB$404,1),"")</f>
        <v/>
      </c>
      <c r="AD493">
        <f>IF(489=$AI$1+1,"Z",IF($AC493="","",IF(INDEX($V$5:$V$404,$AC493)="","",IF(489&gt;INDEX($AB$5:$AB$404,$AC493)+INDEX($Z$5:$Z$404,$AC493)+INDEX($AA$5:$AA$404,$AC493)+INDEX($AO$5:$AO$404,$AC493),"",IF(489=INDEX($AB$5:$AB$404,$AC493)+INDEX($Z$5:$Z$404,$AC493),"D",IF(AND(INDEX($Z$5:$Z$404,$AC493)=1,489=INDEX($AB$5:$AB$404,$AC493)),"H",IF(AND(INDEX($AO$5:$AO$404,$AC493)=1,489=INDEX($AB$5:$AB$404,$AC493)+INDEX($Z$5:$Z$404,$AC493)+INDEX($AA$5:$AA$404,$AC493)+INDEX($AO$5:$AO$404,$AC493)),"B","T")))))))</f>
        <v/>
      </c>
      <c r="AF493">
        <f>IF(OR($AD493="",$AD493="Z",$AD493="B"),"",INDEX($X$5:$X$404,$AC493))</f>
        <v/>
      </c>
      <c r="AJ493">
        <f>IF($AD493&lt;&gt;"T",0,ROUND(SUMIF(oil!$B$4:$B$63,$AF493,oil!$AE$4:$AE$63),2))</f>
        <v/>
      </c>
      <c r="AQ493">
        <f>IF(OR($AD493="",$AD493="Z"),"",INDEX($AN$5:$AN$404,$AC493))</f>
        <v/>
      </c>
      <c r="AZ493">
        <f>IF(AND($AD493="T",$AQ493=1),N($AZ492)+1,N($AZ492))</f>
        <v/>
      </c>
    </row>
    <row r="494" ht="21" customHeight="1" s="66">
      <c r="A494" s="69">
        <f>IF($AD494="","",IF($AD494="Z","รวมจ่ายทั้งสิ้น",IF($AD494="H",INDEX($X$5:$X$404,$AC494),IF($AD494="T","รวม",IF($AD494="B",IFERROR(INDEX(อัตราค่าขนส่ง!$S$5:$S$14,MATCH(INDEX($AM$5:$AM$404,$AC494),อัตราค่าขนส่ง!$R$5:$R$14,0)),"รวมกลุ่ม "&amp;INDEX($AM$5:$AM$404,$AC494)),INDEX($AY$5:$AY$404,$AC494))))))</f>
        <v/>
      </c>
      <c r="B494" s="31">
        <f>IF($AD494&lt;&gt;"D","",INDEX($AW$5:$AW$404,$AC494))</f>
        <v/>
      </c>
      <c r="C494" s="68">
        <f>IF($AD494&lt;&gt;"D","",INDEX($AX$5:$AX$404,$AC494))</f>
        <v/>
      </c>
      <c r="D494" s="70">
        <f>IF($AD494&lt;&gt;"D","",INDEX($BA$5:$BA$404,$AC494))</f>
        <v/>
      </c>
      <c r="E494" s="31">
        <f>IF($AD494="Z",SUM($AR$5:$AR$404),IF($AD494="D",INDEX($AR$5:$AR$404,$AC494),IF($AD494="T",SUMIF($X$5:$X$404,$AF494,$AR$5:$AR$404),IF($AD494="B",SUMIF($AN$5:$AN$404,$AQ494,$AR$5:$AR$404),""))))</f>
        <v/>
      </c>
      <c r="F494" s="32">
        <f>IF($AD494="Z",ROUND(SUM($AS$5:$AS$404),2),IF($AD494="D",INDEX($AS$5:$AS$404,$AC494),IF($AD494="T",ROUND(SUMIF($X$5:$X$404,$AF494,$AS$5:$AS$404),2),IF($AD494="B",ROUND(SUMIF($AN$5:$AN$404,$AQ494,$AS$5:$AS$404),2),""))))</f>
        <v/>
      </c>
      <c r="G494" s="32">
        <f>IF($AD494&lt;&gt;"D","",INDEX($AT$5:$AT$404,$AC494))</f>
        <v/>
      </c>
      <c r="H494" s="32">
        <f>IF($AD494&lt;&gt;"D","",INDEX($BC$5:$BC$404,$AC494))</f>
        <v/>
      </c>
      <c r="I494" s="32">
        <f>IF($AD494&lt;&gt;"D","",INDEX($BD$5:$BD$404,$AC494))</f>
        <v/>
      </c>
      <c r="J494" s="46">
        <f>IF($AD494&lt;&gt;"D","",IF(N($B494)=0,"",ROUND($I494/$B494,4)))</f>
        <v/>
      </c>
      <c r="K494" s="32">
        <f>IF($AD494="Z",ROUND(SUM($AU$5:$AU$404),2),IF($AD494="D",INDEX($AU$5:$AU$404,$AC494),IF($AD494="T",ROUND(SUMIF($X$5:$X$404,$AF494,$AU$5:$AU$404),2),IF($AD494="B",ROUND(SUMIF($AN$5:$AN$404,$AQ494,$AU$5:$AU$404),2),""))))</f>
        <v/>
      </c>
      <c r="L494" s="32">
        <f>IF($AD494="Z",ROUND(SUM($AV$5:$AV$404),2),IF($AD494="D",INDEX($AV$5:$AV$404,$AC494),IF($AD494="T",ROUND(SUMIF($X$5:$X$404,$AF494,$AV$5:$AV$404),2),IF($AD494="B",ROUND(SUMIF($AN$5:$AN$404,$AQ494,$AV$5:$AV$404),2),""))))</f>
        <v/>
      </c>
      <c r="M494" s="32">
        <f>IF($AD494="Z",ROUND(SUM($AJ$5:$AJ$704),2),IF($AD494="B",ROUND(SUMIF($AQ$5:$AQ$704,$AQ494,$AJ$5:$AJ$704),2),IF($AD494&lt;&gt;"T","",$AJ494)))</f>
        <v/>
      </c>
      <c r="N494" s="32">
        <f>IF(OR($AD494="D",$AD494="T",$AD494="B",$AD494="Z"),ROUND(N($K494)-N($L494)-N($M494),2),"")</f>
        <v/>
      </c>
      <c r="O494" s="32">
        <f>IF(OR($AD494="D",$AD494="T",$AD494="B",$AD494="Z"),IF(N($E494)=0,"",ROUND($F494/$E494,2)),"")</f>
        <v/>
      </c>
      <c r="AC494">
        <f>IFERROR(MATCH(490,$AB$5:$AB$404,1),"")</f>
        <v/>
      </c>
      <c r="AD494">
        <f>IF(490=$AI$1+1,"Z",IF($AC494="","",IF(INDEX($V$5:$V$404,$AC494)="","",IF(490&gt;INDEX($AB$5:$AB$404,$AC494)+INDEX($Z$5:$Z$404,$AC494)+INDEX($AA$5:$AA$404,$AC494)+INDEX($AO$5:$AO$404,$AC494),"",IF(490=INDEX($AB$5:$AB$404,$AC494)+INDEX($Z$5:$Z$404,$AC494),"D",IF(AND(INDEX($Z$5:$Z$404,$AC494)=1,490=INDEX($AB$5:$AB$404,$AC494)),"H",IF(AND(INDEX($AO$5:$AO$404,$AC494)=1,490=INDEX($AB$5:$AB$404,$AC494)+INDEX($Z$5:$Z$404,$AC494)+INDEX($AA$5:$AA$404,$AC494)+INDEX($AO$5:$AO$404,$AC494)),"B","T")))))))</f>
        <v/>
      </c>
      <c r="AF494">
        <f>IF(OR($AD494="",$AD494="Z",$AD494="B"),"",INDEX($X$5:$X$404,$AC494))</f>
        <v/>
      </c>
      <c r="AJ494">
        <f>IF($AD494&lt;&gt;"T",0,ROUND(SUMIF(oil!$B$4:$B$63,$AF494,oil!$AE$4:$AE$63),2))</f>
        <v/>
      </c>
      <c r="AQ494">
        <f>IF(OR($AD494="",$AD494="Z"),"",INDEX($AN$5:$AN$404,$AC494))</f>
        <v/>
      </c>
      <c r="AZ494">
        <f>IF(AND($AD494="T",$AQ494=1),N($AZ493)+1,N($AZ493))</f>
        <v/>
      </c>
    </row>
    <row r="495" ht="21" customHeight="1" s="66">
      <c r="A495" s="69">
        <f>IF($AD495="","",IF($AD495="Z","รวมจ่ายทั้งสิ้น",IF($AD495="H",INDEX($X$5:$X$404,$AC495),IF($AD495="T","รวม",IF($AD495="B",IFERROR(INDEX(อัตราค่าขนส่ง!$S$5:$S$14,MATCH(INDEX($AM$5:$AM$404,$AC495),อัตราค่าขนส่ง!$R$5:$R$14,0)),"รวมกลุ่ม "&amp;INDEX($AM$5:$AM$404,$AC495)),INDEX($AY$5:$AY$404,$AC495))))))</f>
        <v/>
      </c>
      <c r="B495" s="31">
        <f>IF($AD495&lt;&gt;"D","",INDEX($AW$5:$AW$404,$AC495))</f>
        <v/>
      </c>
      <c r="C495" s="68">
        <f>IF($AD495&lt;&gt;"D","",INDEX($AX$5:$AX$404,$AC495))</f>
        <v/>
      </c>
      <c r="D495" s="70">
        <f>IF($AD495&lt;&gt;"D","",INDEX($BA$5:$BA$404,$AC495))</f>
        <v/>
      </c>
      <c r="E495" s="31">
        <f>IF($AD495="Z",SUM($AR$5:$AR$404),IF($AD495="D",INDEX($AR$5:$AR$404,$AC495),IF($AD495="T",SUMIF($X$5:$X$404,$AF495,$AR$5:$AR$404),IF($AD495="B",SUMIF($AN$5:$AN$404,$AQ495,$AR$5:$AR$404),""))))</f>
        <v/>
      </c>
      <c r="F495" s="32">
        <f>IF($AD495="Z",ROUND(SUM($AS$5:$AS$404),2),IF($AD495="D",INDEX($AS$5:$AS$404,$AC495),IF($AD495="T",ROUND(SUMIF($X$5:$X$404,$AF495,$AS$5:$AS$404),2),IF($AD495="B",ROUND(SUMIF($AN$5:$AN$404,$AQ495,$AS$5:$AS$404),2),""))))</f>
        <v/>
      </c>
      <c r="G495" s="32">
        <f>IF($AD495&lt;&gt;"D","",INDEX($AT$5:$AT$404,$AC495))</f>
        <v/>
      </c>
      <c r="H495" s="32">
        <f>IF($AD495&lt;&gt;"D","",INDEX($BC$5:$BC$404,$AC495))</f>
        <v/>
      </c>
      <c r="I495" s="32">
        <f>IF($AD495&lt;&gt;"D","",INDEX($BD$5:$BD$404,$AC495))</f>
        <v/>
      </c>
      <c r="J495" s="46">
        <f>IF($AD495&lt;&gt;"D","",IF(N($B495)=0,"",ROUND($I495/$B495,4)))</f>
        <v/>
      </c>
      <c r="K495" s="32">
        <f>IF($AD495="Z",ROUND(SUM($AU$5:$AU$404),2),IF($AD495="D",INDEX($AU$5:$AU$404,$AC495),IF($AD495="T",ROUND(SUMIF($X$5:$X$404,$AF495,$AU$5:$AU$404),2),IF($AD495="B",ROUND(SUMIF($AN$5:$AN$404,$AQ495,$AU$5:$AU$404),2),""))))</f>
        <v/>
      </c>
      <c r="L495" s="32">
        <f>IF($AD495="Z",ROUND(SUM($AV$5:$AV$404),2),IF($AD495="D",INDEX($AV$5:$AV$404,$AC495),IF($AD495="T",ROUND(SUMIF($X$5:$X$404,$AF495,$AV$5:$AV$404),2),IF($AD495="B",ROUND(SUMIF($AN$5:$AN$404,$AQ495,$AV$5:$AV$404),2),""))))</f>
        <v/>
      </c>
      <c r="M495" s="32">
        <f>IF($AD495="Z",ROUND(SUM($AJ$5:$AJ$704),2),IF($AD495="B",ROUND(SUMIF($AQ$5:$AQ$704,$AQ495,$AJ$5:$AJ$704),2),IF($AD495&lt;&gt;"T","",$AJ495)))</f>
        <v/>
      </c>
      <c r="N495" s="32">
        <f>IF(OR($AD495="D",$AD495="T",$AD495="B",$AD495="Z"),ROUND(N($K495)-N($L495)-N($M495),2),"")</f>
        <v/>
      </c>
      <c r="O495" s="32">
        <f>IF(OR($AD495="D",$AD495="T",$AD495="B",$AD495="Z"),IF(N($E495)=0,"",ROUND($F495/$E495,2)),"")</f>
        <v/>
      </c>
      <c r="AC495">
        <f>IFERROR(MATCH(491,$AB$5:$AB$404,1),"")</f>
        <v/>
      </c>
      <c r="AD495">
        <f>IF(491=$AI$1+1,"Z",IF($AC495="","",IF(INDEX($V$5:$V$404,$AC495)="","",IF(491&gt;INDEX($AB$5:$AB$404,$AC495)+INDEX($Z$5:$Z$404,$AC495)+INDEX($AA$5:$AA$404,$AC495)+INDEX($AO$5:$AO$404,$AC495),"",IF(491=INDEX($AB$5:$AB$404,$AC495)+INDEX($Z$5:$Z$404,$AC495),"D",IF(AND(INDEX($Z$5:$Z$404,$AC495)=1,491=INDEX($AB$5:$AB$404,$AC495)),"H",IF(AND(INDEX($AO$5:$AO$404,$AC495)=1,491=INDEX($AB$5:$AB$404,$AC495)+INDEX($Z$5:$Z$404,$AC495)+INDEX($AA$5:$AA$404,$AC495)+INDEX($AO$5:$AO$404,$AC495)),"B","T")))))))</f>
        <v/>
      </c>
      <c r="AF495">
        <f>IF(OR($AD495="",$AD495="Z",$AD495="B"),"",INDEX($X$5:$X$404,$AC495))</f>
        <v/>
      </c>
      <c r="AJ495">
        <f>IF($AD495&lt;&gt;"T",0,ROUND(SUMIF(oil!$B$4:$B$63,$AF495,oil!$AE$4:$AE$63),2))</f>
        <v/>
      </c>
      <c r="AQ495">
        <f>IF(OR($AD495="",$AD495="Z"),"",INDEX($AN$5:$AN$404,$AC495))</f>
        <v/>
      </c>
      <c r="AZ495">
        <f>IF(AND($AD495="T",$AQ495=1),N($AZ494)+1,N($AZ494))</f>
        <v/>
      </c>
    </row>
    <row r="496" ht="21" customHeight="1" s="66">
      <c r="A496" s="69">
        <f>IF($AD496="","",IF($AD496="Z","รวมจ่ายทั้งสิ้น",IF($AD496="H",INDEX($X$5:$X$404,$AC496),IF($AD496="T","รวม",IF($AD496="B",IFERROR(INDEX(อัตราค่าขนส่ง!$S$5:$S$14,MATCH(INDEX($AM$5:$AM$404,$AC496),อัตราค่าขนส่ง!$R$5:$R$14,0)),"รวมกลุ่ม "&amp;INDEX($AM$5:$AM$404,$AC496)),INDEX($AY$5:$AY$404,$AC496))))))</f>
        <v/>
      </c>
      <c r="B496" s="31">
        <f>IF($AD496&lt;&gt;"D","",INDEX($AW$5:$AW$404,$AC496))</f>
        <v/>
      </c>
      <c r="C496" s="68">
        <f>IF($AD496&lt;&gt;"D","",INDEX($AX$5:$AX$404,$AC496))</f>
        <v/>
      </c>
      <c r="D496" s="70">
        <f>IF($AD496&lt;&gt;"D","",INDEX($BA$5:$BA$404,$AC496))</f>
        <v/>
      </c>
      <c r="E496" s="31">
        <f>IF($AD496="Z",SUM($AR$5:$AR$404),IF($AD496="D",INDEX($AR$5:$AR$404,$AC496),IF($AD496="T",SUMIF($X$5:$X$404,$AF496,$AR$5:$AR$404),IF($AD496="B",SUMIF($AN$5:$AN$404,$AQ496,$AR$5:$AR$404),""))))</f>
        <v/>
      </c>
      <c r="F496" s="32">
        <f>IF($AD496="Z",ROUND(SUM($AS$5:$AS$404),2),IF($AD496="D",INDEX($AS$5:$AS$404,$AC496),IF($AD496="T",ROUND(SUMIF($X$5:$X$404,$AF496,$AS$5:$AS$404),2),IF($AD496="B",ROUND(SUMIF($AN$5:$AN$404,$AQ496,$AS$5:$AS$404),2),""))))</f>
        <v/>
      </c>
      <c r="G496" s="32">
        <f>IF($AD496&lt;&gt;"D","",INDEX($AT$5:$AT$404,$AC496))</f>
        <v/>
      </c>
      <c r="H496" s="32">
        <f>IF($AD496&lt;&gt;"D","",INDEX($BC$5:$BC$404,$AC496))</f>
        <v/>
      </c>
      <c r="I496" s="32">
        <f>IF($AD496&lt;&gt;"D","",INDEX($BD$5:$BD$404,$AC496))</f>
        <v/>
      </c>
      <c r="J496" s="46">
        <f>IF($AD496&lt;&gt;"D","",IF(N($B496)=0,"",ROUND($I496/$B496,4)))</f>
        <v/>
      </c>
      <c r="K496" s="32">
        <f>IF($AD496="Z",ROUND(SUM($AU$5:$AU$404),2),IF($AD496="D",INDEX($AU$5:$AU$404,$AC496),IF($AD496="T",ROUND(SUMIF($X$5:$X$404,$AF496,$AU$5:$AU$404),2),IF($AD496="B",ROUND(SUMIF($AN$5:$AN$404,$AQ496,$AU$5:$AU$404),2),""))))</f>
        <v/>
      </c>
      <c r="L496" s="32">
        <f>IF($AD496="Z",ROUND(SUM($AV$5:$AV$404),2),IF($AD496="D",INDEX($AV$5:$AV$404,$AC496),IF($AD496="T",ROUND(SUMIF($X$5:$X$404,$AF496,$AV$5:$AV$404),2),IF($AD496="B",ROUND(SUMIF($AN$5:$AN$404,$AQ496,$AV$5:$AV$404),2),""))))</f>
        <v/>
      </c>
      <c r="M496" s="32">
        <f>IF($AD496="Z",ROUND(SUM($AJ$5:$AJ$704),2),IF($AD496="B",ROUND(SUMIF($AQ$5:$AQ$704,$AQ496,$AJ$5:$AJ$704),2),IF($AD496&lt;&gt;"T","",$AJ496)))</f>
        <v/>
      </c>
      <c r="N496" s="32">
        <f>IF(OR($AD496="D",$AD496="T",$AD496="B",$AD496="Z"),ROUND(N($K496)-N($L496)-N($M496),2),"")</f>
        <v/>
      </c>
      <c r="O496" s="32">
        <f>IF(OR($AD496="D",$AD496="T",$AD496="B",$AD496="Z"),IF(N($E496)=0,"",ROUND($F496/$E496,2)),"")</f>
        <v/>
      </c>
      <c r="AC496">
        <f>IFERROR(MATCH(492,$AB$5:$AB$404,1),"")</f>
        <v/>
      </c>
      <c r="AD496">
        <f>IF(492=$AI$1+1,"Z",IF($AC496="","",IF(INDEX($V$5:$V$404,$AC496)="","",IF(492&gt;INDEX($AB$5:$AB$404,$AC496)+INDEX($Z$5:$Z$404,$AC496)+INDEX($AA$5:$AA$404,$AC496)+INDEX($AO$5:$AO$404,$AC496),"",IF(492=INDEX($AB$5:$AB$404,$AC496)+INDEX($Z$5:$Z$404,$AC496),"D",IF(AND(INDEX($Z$5:$Z$404,$AC496)=1,492=INDEX($AB$5:$AB$404,$AC496)),"H",IF(AND(INDEX($AO$5:$AO$404,$AC496)=1,492=INDEX($AB$5:$AB$404,$AC496)+INDEX($Z$5:$Z$404,$AC496)+INDEX($AA$5:$AA$404,$AC496)+INDEX($AO$5:$AO$404,$AC496)),"B","T")))))))</f>
        <v/>
      </c>
      <c r="AF496">
        <f>IF(OR($AD496="",$AD496="Z",$AD496="B"),"",INDEX($X$5:$X$404,$AC496))</f>
        <v/>
      </c>
      <c r="AJ496">
        <f>IF($AD496&lt;&gt;"T",0,ROUND(SUMIF(oil!$B$4:$B$63,$AF496,oil!$AE$4:$AE$63),2))</f>
        <v/>
      </c>
      <c r="AQ496">
        <f>IF(OR($AD496="",$AD496="Z"),"",INDEX($AN$5:$AN$404,$AC496))</f>
        <v/>
      </c>
      <c r="AZ496">
        <f>IF(AND($AD496="T",$AQ496=1),N($AZ495)+1,N($AZ495))</f>
        <v/>
      </c>
    </row>
    <row r="497" ht="21" customHeight="1" s="66">
      <c r="A497" s="69">
        <f>IF($AD497="","",IF($AD497="Z","รวมจ่ายทั้งสิ้น",IF($AD497="H",INDEX($X$5:$X$404,$AC497),IF($AD497="T","รวม",IF($AD497="B",IFERROR(INDEX(อัตราค่าขนส่ง!$S$5:$S$14,MATCH(INDEX($AM$5:$AM$404,$AC497),อัตราค่าขนส่ง!$R$5:$R$14,0)),"รวมกลุ่ม "&amp;INDEX($AM$5:$AM$404,$AC497)),INDEX($AY$5:$AY$404,$AC497))))))</f>
        <v/>
      </c>
      <c r="B497" s="31">
        <f>IF($AD497&lt;&gt;"D","",INDEX($AW$5:$AW$404,$AC497))</f>
        <v/>
      </c>
      <c r="C497" s="68">
        <f>IF($AD497&lt;&gt;"D","",INDEX($AX$5:$AX$404,$AC497))</f>
        <v/>
      </c>
      <c r="D497" s="70">
        <f>IF($AD497&lt;&gt;"D","",INDEX($BA$5:$BA$404,$AC497))</f>
        <v/>
      </c>
      <c r="E497" s="31">
        <f>IF($AD497="Z",SUM($AR$5:$AR$404),IF($AD497="D",INDEX($AR$5:$AR$404,$AC497),IF($AD497="T",SUMIF($X$5:$X$404,$AF497,$AR$5:$AR$404),IF($AD497="B",SUMIF($AN$5:$AN$404,$AQ497,$AR$5:$AR$404),""))))</f>
        <v/>
      </c>
      <c r="F497" s="32">
        <f>IF($AD497="Z",ROUND(SUM($AS$5:$AS$404),2),IF($AD497="D",INDEX($AS$5:$AS$404,$AC497),IF($AD497="T",ROUND(SUMIF($X$5:$X$404,$AF497,$AS$5:$AS$404),2),IF($AD497="B",ROUND(SUMIF($AN$5:$AN$404,$AQ497,$AS$5:$AS$404),2),""))))</f>
        <v/>
      </c>
      <c r="G497" s="32">
        <f>IF($AD497&lt;&gt;"D","",INDEX($AT$5:$AT$404,$AC497))</f>
        <v/>
      </c>
      <c r="H497" s="32">
        <f>IF($AD497&lt;&gt;"D","",INDEX($BC$5:$BC$404,$AC497))</f>
        <v/>
      </c>
      <c r="I497" s="32">
        <f>IF($AD497&lt;&gt;"D","",INDEX($BD$5:$BD$404,$AC497))</f>
        <v/>
      </c>
      <c r="J497" s="46">
        <f>IF($AD497&lt;&gt;"D","",IF(N($B497)=0,"",ROUND($I497/$B497,4)))</f>
        <v/>
      </c>
      <c r="K497" s="32">
        <f>IF($AD497="Z",ROUND(SUM($AU$5:$AU$404),2),IF($AD497="D",INDEX($AU$5:$AU$404,$AC497),IF($AD497="T",ROUND(SUMIF($X$5:$X$404,$AF497,$AU$5:$AU$404),2),IF($AD497="B",ROUND(SUMIF($AN$5:$AN$404,$AQ497,$AU$5:$AU$404),2),""))))</f>
        <v/>
      </c>
      <c r="L497" s="32">
        <f>IF($AD497="Z",ROUND(SUM($AV$5:$AV$404),2),IF($AD497="D",INDEX($AV$5:$AV$404,$AC497),IF($AD497="T",ROUND(SUMIF($X$5:$X$404,$AF497,$AV$5:$AV$404),2),IF($AD497="B",ROUND(SUMIF($AN$5:$AN$404,$AQ497,$AV$5:$AV$404),2),""))))</f>
        <v/>
      </c>
      <c r="M497" s="32">
        <f>IF($AD497="Z",ROUND(SUM($AJ$5:$AJ$704),2),IF($AD497="B",ROUND(SUMIF($AQ$5:$AQ$704,$AQ497,$AJ$5:$AJ$704),2),IF($AD497&lt;&gt;"T","",$AJ497)))</f>
        <v/>
      </c>
      <c r="N497" s="32">
        <f>IF(OR($AD497="D",$AD497="T",$AD497="B",$AD497="Z"),ROUND(N($K497)-N($L497)-N($M497),2),"")</f>
        <v/>
      </c>
      <c r="O497" s="32">
        <f>IF(OR($AD497="D",$AD497="T",$AD497="B",$AD497="Z"),IF(N($E497)=0,"",ROUND($F497/$E497,2)),"")</f>
        <v/>
      </c>
      <c r="AC497">
        <f>IFERROR(MATCH(493,$AB$5:$AB$404,1),"")</f>
        <v/>
      </c>
      <c r="AD497">
        <f>IF(493=$AI$1+1,"Z",IF($AC497="","",IF(INDEX($V$5:$V$404,$AC497)="","",IF(493&gt;INDEX($AB$5:$AB$404,$AC497)+INDEX($Z$5:$Z$404,$AC497)+INDEX($AA$5:$AA$404,$AC497)+INDEX($AO$5:$AO$404,$AC497),"",IF(493=INDEX($AB$5:$AB$404,$AC497)+INDEX($Z$5:$Z$404,$AC497),"D",IF(AND(INDEX($Z$5:$Z$404,$AC497)=1,493=INDEX($AB$5:$AB$404,$AC497)),"H",IF(AND(INDEX($AO$5:$AO$404,$AC497)=1,493=INDEX($AB$5:$AB$404,$AC497)+INDEX($Z$5:$Z$404,$AC497)+INDEX($AA$5:$AA$404,$AC497)+INDEX($AO$5:$AO$404,$AC497)),"B","T")))))))</f>
        <v/>
      </c>
      <c r="AF497">
        <f>IF(OR($AD497="",$AD497="Z",$AD497="B"),"",INDEX($X$5:$X$404,$AC497))</f>
        <v/>
      </c>
      <c r="AJ497">
        <f>IF($AD497&lt;&gt;"T",0,ROUND(SUMIF(oil!$B$4:$B$63,$AF497,oil!$AE$4:$AE$63),2))</f>
        <v/>
      </c>
      <c r="AQ497">
        <f>IF(OR($AD497="",$AD497="Z"),"",INDEX($AN$5:$AN$404,$AC497))</f>
        <v/>
      </c>
      <c r="AZ497">
        <f>IF(AND($AD497="T",$AQ497=1),N($AZ496)+1,N($AZ496))</f>
        <v/>
      </c>
    </row>
    <row r="498" ht="21" customHeight="1" s="66">
      <c r="A498" s="69">
        <f>IF($AD498="","",IF($AD498="Z","รวมจ่ายทั้งสิ้น",IF($AD498="H",INDEX($X$5:$X$404,$AC498),IF($AD498="T","รวม",IF($AD498="B",IFERROR(INDEX(อัตราค่าขนส่ง!$S$5:$S$14,MATCH(INDEX($AM$5:$AM$404,$AC498),อัตราค่าขนส่ง!$R$5:$R$14,0)),"รวมกลุ่ม "&amp;INDEX($AM$5:$AM$404,$AC498)),INDEX($AY$5:$AY$404,$AC498))))))</f>
        <v/>
      </c>
      <c r="B498" s="31">
        <f>IF($AD498&lt;&gt;"D","",INDEX($AW$5:$AW$404,$AC498))</f>
        <v/>
      </c>
      <c r="C498" s="68">
        <f>IF($AD498&lt;&gt;"D","",INDEX($AX$5:$AX$404,$AC498))</f>
        <v/>
      </c>
      <c r="D498" s="70">
        <f>IF($AD498&lt;&gt;"D","",INDEX($BA$5:$BA$404,$AC498))</f>
        <v/>
      </c>
      <c r="E498" s="31">
        <f>IF($AD498="Z",SUM($AR$5:$AR$404),IF($AD498="D",INDEX($AR$5:$AR$404,$AC498),IF($AD498="T",SUMIF($X$5:$X$404,$AF498,$AR$5:$AR$404),IF($AD498="B",SUMIF($AN$5:$AN$404,$AQ498,$AR$5:$AR$404),""))))</f>
        <v/>
      </c>
      <c r="F498" s="32">
        <f>IF($AD498="Z",ROUND(SUM($AS$5:$AS$404),2),IF($AD498="D",INDEX($AS$5:$AS$404,$AC498),IF($AD498="T",ROUND(SUMIF($X$5:$X$404,$AF498,$AS$5:$AS$404),2),IF($AD498="B",ROUND(SUMIF($AN$5:$AN$404,$AQ498,$AS$5:$AS$404),2),""))))</f>
        <v/>
      </c>
      <c r="G498" s="32">
        <f>IF($AD498&lt;&gt;"D","",INDEX($AT$5:$AT$404,$AC498))</f>
        <v/>
      </c>
      <c r="H498" s="32">
        <f>IF($AD498&lt;&gt;"D","",INDEX($BC$5:$BC$404,$AC498))</f>
        <v/>
      </c>
      <c r="I498" s="32">
        <f>IF($AD498&lt;&gt;"D","",INDEX($BD$5:$BD$404,$AC498))</f>
        <v/>
      </c>
      <c r="J498" s="46">
        <f>IF($AD498&lt;&gt;"D","",IF(N($B498)=0,"",ROUND($I498/$B498,4)))</f>
        <v/>
      </c>
      <c r="K498" s="32">
        <f>IF($AD498="Z",ROUND(SUM($AU$5:$AU$404),2),IF($AD498="D",INDEX($AU$5:$AU$404,$AC498),IF($AD498="T",ROUND(SUMIF($X$5:$X$404,$AF498,$AU$5:$AU$404),2),IF($AD498="B",ROUND(SUMIF($AN$5:$AN$404,$AQ498,$AU$5:$AU$404),2),""))))</f>
        <v/>
      </c>
      <c r="L498" s="32">
        <f>IF($AD498="Z",ROUND(SUM($AV$5:$AV$404),2),IF($AD498="D",INDEX($AV$5:$AV$404,$AC498),IF($AD498="T",ROUND(SUMIF($X$5:$X$404,$AF498,$AV$5:$AV$404),2),IF($AD498="B",ROUND(SUMIF($AN$5:$AN$404,$AQ498,$AV$5:$AV$404),2),""))))</f>
        <v/>
      </c>
      <c r="M498" s="32">
        <f>IF($AD498="Z",ROUND(SUM($AJ$5:$AJ$704),2),IF($AD498="B",ROUND(SUMIF($AQ$5:$AQ$704,$AQ498,$AJ$5:$AJ$704),2),IF($AD498&lt;&gt;"T","",$AJ498)))</f>
        <v/>
      </c>
      <c r="N498" s="32">
        <f>IF(OR($AD498="D",$AD498="T",$AD498="B",$AD498="Z"),ROUND(N($K498)-N($L498)-N($M498),2),"")</f>
        <v/>
      </c>
      <c r="O498" s="32">
        <f>IF(OR($AD498="D",$AD498="T",$AD498="B",$AD498="Z"),IF(N($E498)=0,"",ROUND($F498/$E498,2)),"")</f>
        <v/>
      </c>
      <c r="AC498">
        <f>IFERROR(MATCH(494,$AB$5:$AB$404,1),"")</f>
        <v/>
      </c>
      <c r="AD498">
        <f>IF(494=$AI$1+1,"Z",IF($AC498="","",IF(INDEX($V$5:$V$404,$AC498)="","",IF(494&gt;INDEX($AB$5:$AB$404,$AC498)+INDEX($Z$5:$Z$404,$AC498)+INDEX($AA$5:$AA$404,$AC498)+INDEX($AO$5:$AO$404,$AC498),"",IF(494=INDEX($AB$5:$AB$404,$AC498)+INDEX($Z$5:$Z$404,$AC498),"D",IF(AND(INDEX($Z$5:$Z$404,$AC498)=1,494=INDEX($AB$5:$AB$404,$AC498)),"H",IF(AND(INDEX($AO$5:$AO$404,$AC498)=1,494=INDEX($AB$5:$AB$404,$AC498)+INDEX($Z$5:$Z$404,$AC498)+INDEX($AA$5:$AA$404,$AC498)+INDEX($AO$5:$AO$404,$AC498)),"B","T")))))))</f>
        <v/>
      </c>
      <c r="AF498">
        <f>IF(OR($AD498="",$AD498="Z",$AD498="B"),"",INDEX($X$5:$X$404,$AC498))</f>
        <v/>
      </c>
      <c r="AJ498">
        <f>IF($AD498&lt;&gt;"T",0,ROUND(SUMIF(oil!$B$4:$B$63,$AF498,oil!$AE$4:$AE$63),2))</f>
        <v/>
      </c>
      <c r="AQ498">
        <f>IF(OR($AD498="",$AD498="Z"),"",INDEX($AN$5:$AN$404,$AC498))</f>
        <v/>
      </c>
      <c r="AZ498">
        <f>IF(AND($AD498="T",$AQ498=1),N($AZ497)+1,N($AZ497))</f>
        <v/>
      </c>
    </row>
    <row r="499" ht="21" customHeight="1" s="66">
      <c r="A499" s="69">
        <f>IF($AD499="","",IF($AD499="Z","รวมจ่ายทั้งสิ้น",IF($AD499="H",INDEX($X$5:$X$404,$AC499),IF($AD499="T","รวม",IF($AD499="B",IFERROR(INDEX(อัตราค่าขนส่ง!$S$5:$S$14,MATCH(INDEX($AM$5:$AM$404,$AC499),อัตราค่าขนส่ง!$R$5:$R$14,0)),"รวมกลุ่ม "&amp;INDEX($AM$5:$AM$404,$AC499)),INDEX($AY$5:$AY$404,$AC499))))))</f>
        <v/>
      </c>
      <c r="B499" s="31">
        <f>IF($AD499&lt;&gt;"D","",INDEX($AW$5:$AW$404,$AC499))</f>
        <v/>
      </c>
      <c r="C499" s="68">
        <f>IF($AD499&lt;&gt;"D","",INDEX($AX$5:$AX$404,$AC499))</f>
        <v/>
      </c>
      <c r="D499" s="70">
        <f>IF($AD499&lt;&gt;"D","",INDEX($BA$5:$BA$404,$AC499))</f>
        <v/>
      </c>
      <c r="E499" s="31">
        <f>IF($AD499="Z",SUM($AR$5:$AR$404),IF($AD499="D",INDEX($AR$5:$AR$404,$AC499),IF($AD499="T",SUMIF($X$5:$X$404,$AF499,$AR$5:$AR$404),IF($AD499="B",SUMIF($AN$5:$AN$404,$AQ499,$AR$5:$AR$404),""))))</f>
        <v/>
      </c>
      <c r="F499" s="32">
        <f>IF($AD499="Z",ROUND(SUM($AS$5:$AS$404),2),IF($AD499="D",INDEX($AS$5:$AS$404,$AC499),IF($AD499="T",ROUND(SUMIF($X$5:$X$404,$AF499,$AS$5:$AS$404),2),IF($AD499="B",ROUND(SUMIF($AN$5:$AN$404,$AQ499,$AS$5:$AS$404),2),""))))</f>
        <v/>
      </c>
      <c r="G499" s="32">
        <f>IF($AD499&lt;&gt;"D","",INDEX($AT$5:$AT$404,$AC499))</f>
        <v/>
      </c>
      <c r="H499" s="32">
        <f>IF($AD499&lt;&gt;"D","",INDEX($BC$5:$BC$404,$AC499))</f>
        <v/>
      </c>
      <c r="I499" s="32">
        <f>IF($AD499&lt;&gt;"D","",INDEX($BD$5:$BD$404,$AC499))</f>
        <v/>
      </c>
      <c r="J499" s="46">
        <f>IF($AD499&lt;&gt;"D","",IF(N($B499)=0,"",ROUND($I499/$B499,4)))</f>
        <v/>
      </c>
      <c r="K499" s="32">
        <f>IF($AD499="Z",ROUND(SUM($AU$5:$AU$404),2),IF($AD499="D",INDEX($AU$5:$AU$404,$AC499),IF($AD499="T",ROUND(SUMIF($X$5:$X$404,$AF499,$AU$5:$AU$404),2),IF($AD499="B",ROUND(SUMIF($AN$5:$AN$404,$AQ499,$AU$5:$AU$404),2),""))))</f>
        <v/>
      </c>
      <c r="L499" s="32">
        <f>IF($AD499="Z",ROUND(SUM($AV$5:$AV$404),2),IF($AD499="D",INDEX($AV$5:$AV$404,$AC499),IF($AD499="T",ROUND(SUMIF($X$5:$X$404,$AF499,$AV$5:$AV$404),2),IF($AD499="B",ROUND(SUMIF($AN$5:$AN$404,$AQ499,$AV$5:$AV$404),2),""))))</f>
        <v/>
      </c>
      <c r="M499" s="32">
        <f>IF($AD499="Z",ROUND(SUM($AJ$5:$AJ$704),2),IF($AD499="B",ROUND(SUMIF($AQ$5:$AQ$704,$AQ499,$AJ$5:$AJ$704),2),IF($AD499&lt;&gt;"T","",$AJ499)))</f>
        <v/>
      </c>
      <c r="N499" s="32">
        <f>IF(OR($AD499="D",$AD499="T",$AD499="B",$AD499="Z"),ROUND(N($K499)-N($L499)-N($M499),2),"")</f>
        <v/>
      </c>
      <c r="O499" s="32">
        <f>IF(OR($AD499="D",$AD499="T",$AD499="B",$AD499="Z"),IF(N($E499)=0,"",ROUND($F499/$E499,2)),"")</f>
        <v/>
      </c>
      <c r="AC499">
        <f>IFERROR(MATCH(495,$AB$5:$AB$404,1),"")</f>
        <v/>
      </c>
      <c r="AD499">
        <f>IF(495=$AI$1+1,"Z",IF($AC499="","",IF(INDEX($V$5:$V$404,$AC499)="","",IF(495&gt;INDEX($AB$5:$AB$404,$AC499)+INDEX($Z$5:$Z$404,$AC499)+INDEX($AA$5:$AA$404,$AC499)+INDEX($AO$5:$AO$404,$AC499),"",IF(495=INDEX($AB$5:$AB$404,$AC499)+INDEX($Z$5:$Z$404,$AC499),"D",IF(AND(INDEX($Z$5:$Z$404,$AC499)=1,495=INDEX($AB$5:$AB$404,$AC499)),"H",IF(AND(INDEX($AO$5:$AO$404,$AC499)=1,495=INDEX($AB$5:$AB$404,$AC499)+INDEX($Z$5:$Z$404,$AC499)+INDEX($AA$5:$AA$404,$AC499)+INDEX($AO$5:$AO$404,$AC499)),"B","T")))))))</f>
        <v/>
      </c>
      <c r="AF499">
        <f>IF(OR($AD499="",$AD499="Z",$AD499="B"),"",INDEX($X$5:$X$404,$AC499))</f>
        <v/>
      </c>
      <c r="AJ499">
        <f>IF($AD499&lt;&gt;"T",0,ROUND(SUMIF(oil!$B$4:$B$63,$AF499,oil!$AE$4:$AE$63),2))</f>
        <v/>
      </c>
      <c r="AQ499">
        <f>IF(OR($AD499="",$AD499="Z"),"",INDEX($AN$5:$AN$404,$AC499))</f>
        <v/>
      </c>
      <c r="AZ499">
        <f>IF(AND($AD499="T",$AQ499=1),N($AZ498)+1,N($AZ498))</f>
        <v/>
      </c>
    </row>
    <row r="500" ht="21" customHeight="1" s="66">
      <c r="A500" s="69">
        <f>IF($AD500="","",IF($AD500="Z","รวมจ่ายทั้งสิ้น",IF($AD500="H",INDEX($X$5:$X$404,$AC500),IF($AD500="T","รวม",IF($AD500="B",IFERROR(INDEX(อัตราค่าขนส่ง!$S$5:$S$14,MATCH(INDEX($AM$5:$AM$404,$AC500),อัตราค่าขนส่ง!$R$5:$R$14,0)),"รวมกลุ่ม "&amp;INDEX($AM$5:$AM$404,$AC500)),INDEX($AY$5:$AY$404,$AC500))))))</f>
        <v/>
      </c>
      <c r="B500" s="31">
        <f>IF($AD500&lt;&gt;"D","",INDEX($AW$5:$AW$404,$AC500))</f>
        <v/>
      </c>
      <c r="C500" s="68">
        <f>IF($AD500&lt;&gt;"D","",INDEX($AX$5:$AX$404,$AC500))</f>
        <v/>
      </c>
      <c r="D500" s="70">
        <f>IF($AD500&lt;&gt;"D","",INDEX($BA$5:$BA$404,$AC500))</f>
        <v/>
      </c>
      <c r="E500" s="31">
        <f>IF($AD500="Z",SUM($AR$5:$AR$404),IF($AD500="D",INDEX($AR$5:$AR$404,$AC500),IF($AD500="T",SUMIF($X$5:$X$404,$AF500,$AR$5:$AR$404),IF($AD500="B",SUMIF($AN$5:$AN$404,$AQ500,$AR$5:$AR$404),""))))</f>
        <v/>
      </c>
      <c r="F500" s="32">
        <f>IF($AD500="Z",ROUND(SUM($AS$5:$AS$404),2),IF($AD500="D",INDEX($AS$5:$AS$404,$AC500),IF($AD500="T",ROUND(SUMIF($X$5:$X$404,$AF500,$AS$5:$AS$404),2),IF($AD500="B",ROUND(SUMIF($AN$5:$AN$404,$AQ500,$AS$5:$AS$404),2),""))))</f>
        <v/>
      </c>
      <c r="G500" s="32">
        <f>IF($AD500&lt;&gt;"D","",INDEX($AT$5:$AT$404,$AC500))</f>
        <v/>
      </c>
      <c r="H500" s="32">
        <f>IF($AD500&lt;&gt;"D","",INDEX($BC$5:$BC$404,$AC500))</f>
        <v/>
      </c>
      <c r="I500" s="32">
        <f>IF($AD500&lt;&gt;"D","",INDEX($BD$5:$BD$404,$AC500))</f>
        <v/>
      </c>
      <c r="J500" s="46">
        <f>IF($AD500&lt;&gt;"D","",IF(N($B500)=0,"",ROUND($I500/$B500,4)))</f>
        <v/>
      </c>
      <c r="K500" s="32">
        <f>IF($AD500="Z",ROUND(SUM($AU$5:$AU$404),2),IF($AD500="D",INDEX($AU$5:$AU$404,$AC500),IF($AD500="T",ROUND(SUMIF($X$5:$X$404,$AF500,$AU$5:$AU$404),2),IF($AD500="B",ROUND(SUMIF($AN$5:$AN$404,$AQ500,$AU$5:$AU$404),2),""))))</f>
        <v/>
      </c>
      <c r="L500" s="32">
        <f>IF($AD500="Z",ROUND(SUM($AV$5:$AV$404),2),IF($AD500="D",INDEX($AV$5:$AV$404,$AC500),IF($AD500="T",ROUND(SUMIF($X$5:$X$404,$AF500,$AV$5:$AV$404),2),IF($AD500="B",ROUND(SUMIF($AN$5:$AN$404,$AQ500,$AV$5:$AV$404),2),""))))</f>
        <v/>
      </c>
      <c r="M500" s="32">
        <f>IF($AD500="Z",ROUND(SUM($AJ$5:$AJ$704),2),IF($AD500="B",ROUND(SUMIF($AQ$5:$AQ$704,$AQ500,$AJ$5:$AJ$704),2),IF($AD500&lt;&gt;"T","",$AJ500)))</f>
        <v/>
      </c>
      <c r="N500" s="32">
        <f>IF(OR($AD500="D",$AD500="T",$AD500="B",$AD500="Z"),ROUND(N($K500)-N($L500)-N($M500),2),"")</f>
        <v/>
      </c>
      <c r="O500" s="32">
        <f>IF(OR($AD500="D",$AD500="T",$AD500="B",$AD500="Z"),IF(N($E500)=0,"",ROUND($F500/$E500,2)),"")</f>
        <v/>
      </c>
      <c r="AC500">
        <f>IFERROR(MATCH(496,$AB$5:$AB$404,1),"")</f>
        <v/>
      </c>
      <c r="AD500">
        <f>IF(496=$AI$1+1,"Z",IF($AC500="","",IF(INDEX($V$5:$V$404,$AC500)="","",IF(496&gt;INDEX($AB$5:$AB$404,$AC500)+INDEX($Z$5:$Z$404,$AC500)+INDEX($AA$5:$AA$404,$AC500)+INDEX($AO$5:$AO$404,$AC500),"",IF(496=INDEX($AB$5:$AB$404,$AC500)+INDEX($Z$5:$Z$404,$AC500),"D",IF(AND(INDEX($Z$5:$Z$404,$AC500)=1,496=INDEX($AB$5:$AB$404,$AC500)),"H",IF(AND(INDEX($AO$5:$AO$404,$AC500)=1,496=INDEX($AB$5:$AB$404,$AC500)+INDEX($Z$5:$Z$404,$AC500)+INDEX($AA$5:$AA$404,$AC500)+INDEX($AO$5:$AO$404,$AC500)),"B","T")))))))</f>
        <v/>
      </c>
      <c r="AF500">
        <f>IF(OR($AD500="",$AD500="Z",$AD500="B"),"",INDEX($X$5:$X$404,$AC500))</f>
        <v/>
      </c>
      <c r="AJ500">
        <f>IF($AD500&lt;&gt;"T",0,ROUND(SUMIF(oil!$B$4:$B$63,$AF500,oil!$AE$4:$AE$63),2))</f>
        <v/>
      </c>
      <c r="AQ500">
        <f>IF(OR($AD500="",$AD500="Z"),"",INDEX($AN$5:$AN$404,$AC500))</f>
        <v/>
      </c>
      <c r="AZ500">
        <f>IF(AND($AD500="T",$AQ500=1),N($AZ499)+1,N($AZ499))</f>
        <v/>
      </c>
    </row>
    <row r="501" ht="21" customHeight="1" s="66">
      <c r="A501" s="69">
        <f>IF($AD501="","",IF($AD501="Z","รวมจ่ายทั้งสิ้น",IF($AD501="H",INDEX($X$5:$X$404,$AC501),IF($AD501="T","รวม",IF($AD501="B",IFERROR(INDEX(อัตราค่าขนส่ง!$S$5:$S$14,MATCH(INDEX($AM$5:$AM$404,$AC501),อัตราค่าขนส่ง!$R$5:$R$14,0)),"รวมกลุ่ม "&amp;INDEX($AM$5:$AM$404,$AC501)),INDEX($AY$5:$AY$404,$AC501))))))</f>
        <v/>
      </c>
      <c r="B501" s="31">
        <f>IF($AD501&lt;&gt;"D","",INDEX($AW$5:$AW$404,$AC501))</f>
        <v/>
      </c>
      <c r="C501" s="68">
        <f>IF($AD501&lt;&gt;"D","",INDEX($AX$5:$AX$404,$AC501))</f>
        <v/>
      </c>
      <c r="D501" s="70">
        <f>IF($AD501&lt;&gt;"D","",INDEX($BA$5:$BA$404,$AC501))</f>
        <v/>
      </c>
      <c r="E501" s="31">
        <f>IF($AD501="Z",SUM($AR$5:$AR$404),IF($AD501="D",INDEX($AR$5:$AR$404,$AC501),IF($AD501="T",SUMIF($X$5:$X$404,$AF501,$AR$5:$AR$404),IF($AD501="B",SUMIF($AN$5:$AN$404,$AQ501,$AR$5:$AR$404),""))))</f>
        <v/>
      </c>
      <c r="F501" s="32">
        <f>IF($AD501="Z",ROUND(SUM($AS$5:$AS$404),2),IF($AD501="D",INDEX($AS$5:$AS$404,$AC501),IF($AD501="T",ROUND(SUMIF($X$5:$X$404,$AF501,$AS$5:$AS$404),2),IF($AD501="B",ROUND(SUMIF($AN$5:$AN$404,$AQ501,$AS$5:$AS$404),2),""))))</f>
        <v/>
      </c>
      <c r="G501" s="32">
        <f>IF($AD501&lt;&gt;"D","",INDEX($AT$5:$AT$404,$AC501))</f>
        <v/>
      </c>
      <c r="H501" s="32">
        <f>IF($AD501&lt;&gt;"D","",INDEX($BC$5:$BC$404,$AC501))</f>
        <v/>
      </c>
      <c r="I501" s="32">
        <f>IF($AD501&lt;&gt;"D","",INDEX($BD$5:$BD$404,$AC501))</f>
        <v/>
      </c>
      <c r="J501" s="46">
        <f>IF($AD501&lt;&gt;"D","",IF(N($B501)=0,"",ROUND($I501/$B501,4)))</f>
        <v/>
      </c>
      <c r="K501" s="32">
        <f>IF($AD501="Z",ROUND(SUM($AU$5:$AU$404),2),IF($AD501="D",INDEX($AU$5:$AU$404,$AC501),IF($AD501="T",ROUND(SUMIF($X$5:$X$404,$AF501,$AU$5:$AU$404),2),IF($AD501="B",ROUND(SUMIF($AN$5:$AN$404,$AQ501,$AU$5:$AU$404),2),""))))</f>
        <v/>
      </c>
      <c r="L501" s="32">
        <f>IF($AD501="Z",ROUND(SUM($AV$5:$AV$404),2),IF($AD501="D",INDEX($AV$5:$AV$404,$AC501),IF($AD501="T",ROUND(SUMIF($X$5:$X$404,$AF501,$AV$5:$AV$404),2),IF($AD501="B",ROUND(SUMIF($AN$5:$AN$404,$AQ501,$AV$5:$AV$404),2),""))))</f>
        <v/>
      </c>
      <c r="M501" s="32">
        <f>IF($AD501="Z",ROUND(SUM($AJ$5:$AJ$704),2),IF($AD501="B",ROUND(SUMIF($AQ$5:$AQ$704,$AQ501,$AJ$5:$AJ$704),2),IF($AD501&lt;&gt;"T","",$AJ501)))</f>
        <v/>
      </c>
      <c r="N501" s="32">
        <f>IF(OR($AD501="D",$AD501="T",$AD501="B",$AD501="Z"),ROUND(N($K501)-N($L501)-N($M501),2),"")</f>
        <v/>
      </c>
      <c r="O501" s="32">
        <f>IF(OR($AD501="D",$AD501="T",$AD501="B",$AD501="Z"),IF(N($E501)=0,"",ROUND($F501/$E501,2)),"")</f>
        <v/>
      </c>
      <c r="AC501">
        <f>IFERROR(MATCH(497,$AB$5:$AB$404,1),"")</f>
        <v/>
      </c>
      <c r="AD501">
        <f>IF(497=$AI$1+1,"Z",IF($AC501="","",IF(INDEX($V$5:$V$404,$AC501)="","",IF(497&gt;INDEX($AB$5:$AB$404,$AC501)+INDEX($Z$5:$Z$404,$AC501)+INDEX($AA$5:$AA$404,$AC501)+INDEX($AO$5:$AO$404,$AC501),"",IF(497=INDEX($AB$5:$AB$404,$AC501)+INDEX($Z$5:$Z$404,$AC501),"D",IF(AND(INDEX($Z$5:$Z$404,$AC501)=1,497=INDEX($AB$5:$AB$404,$AC501)),"H",IF(AND(INDEX($AO$5:$AO$404,$AC501)=1,497=INDEX($AB$5:$AB$404,$AC501)+INDEX($Z$5:$Z$404,$AC501)+INDEX($AA$5:$AA$404,$AC501)+INDEX($AO$5:$AO$404,$AC501)),"B","T")))))))</f>
        <v/>
      </c>
      <c r="AF501">
        <f>IF(OR($AD501="",$AD501="Z",$AD501="B"),"",INDEX($X$5:$X$404,$AC501))</f>
        <v/>
      </c>
      <c r="AJ501">
        <f>IF($AD501&lt;&gt;"T",0,ROUND(SUMIF(oil!$B$4:$B$63,$AF501,oil!$AE$4:$AE$63),2))</f>
        <v/>
      </c>
      <c r="AQ501">
        <f>IF(OR($AD501="",$AD501="Z"),"",INDEX($AN$5:$AN$404,$AC501))</f>
        <v/>
      </c>
      <c r="AZ501">
        <f>IF(AND($AD501="T",$AQ501=1),N($AZ500)+1,N($AZ500))</f>
        <v/>
      </c>
    </row>
    <row r="502" ht="21" customHeight="1" s="66">
      <c r="A502" s="69">
        <f>IF($AD502="","",IF($AD502="Z","รวมจ่ายทั้งสิ้น",IF($AD502="H",INDEX($X$5:$X$404,$AC502),IF($AD502="T","รวม",IF($AD502="B",IFERROR(INDEX(อัตราค่าขนส่ง!$S$5:$S$14,MATCH(INDEX($AM$5:$AM$404,$AC502),อัตราค่าขนส่ง!$R$5:$R$14,0)),"รวมกลุ่ม "&amp;INDEX($AM$5:$AM$404,$AC502)),INDEX($AY$5:$AY$404,$AC502))))))</f>
        <v/>
      </c>
      <c r="B502" s="31">
        <f>IF($AD502&lt;&gt;"D","",INDEX($AW$5:$AW$404,$AC502))</f>
        <v/>
      </c>
      <c r="C502" s="68">
        <f>IF($AD502&lt;&gt;"D","",INDEX($AX$5:$AX$404,$AC502))</f>
        <v/>
      </c>
      <c r="D502" s="70">
        <f>IF($AD502&lt;&gt;"D","",INDEX($BA$5:$BA$404,$AC502))</f>
        <v/>
      </c>
      <c r="E502" s="31">
        <f>IF($AD502="Z",SUM($AR$5:$AR$404),IF($AD502="D",INDEX($AR$5:$AR$404,$AC502),IF($AD502="T",SUMIF($X$5:$X$404,$AF502,$AR$5:$AR$404),IF($AD502="B",SUMIF($AN$5:$AN$404,$AQ502,$AR$5:$AR$404),""))))</f>
        <v/>
      </c>
      <c r="F502" s="32">
        <f>IF($AD502="Z",ROUND(SUM($AS$5:$AS$404),2),IF($AD502="D",INDEX($AS$5:$AS$404,$AC502),IF($AD502="T",ROUND(SUMIF($X$5:$X$404,$AF502,$AS$5:$AS$404),2),IF($AD502="B",ROUND(SUMIF($AN$5:$AN$404,$AQ502,$AS$5:$AS$404),2),""))))</f>
        <v/>
      </c>
      <c r="G502" s="32">
        <f>IF($AD502&lt;&gt;"D","",INDEX($AT$5:$AT$404,$AC502))</f>
        <v/>
      </c>
      <c r="H502" s="32">
        <f>IF($AD502&lt;&gt;"D","",INDEX($BC$5:$BC$404,$AC502))</f>
        <v/>
      </c>
      <c r="I502" s="32">
        <f>IF($AD502&lt;&gt;"D","",INDEX($BD$5:$BD$404,$AC502))</f>
        <v/>
      </c>
      <c r="J502" s="46">
        <f>IF($AD502&lt;&gt;"D","",IF(N($B502)=0,"",ROUND($I502/$B502,4)))</f>
        <v/>
      </c>
      <c r="K502" s="32">
        <f>IF($AD502="Z",ROUND(SUM($AU$5:$AU$404),2),IF($AD502="D",INDEX($AU$5:$AU$404,$AC502),IF($AD502="T",ROUND(SUMIF($X$5:$X$404,$AF502,$AU$5:$AU$404),2),IF($AD502="B",ROUND(SUMIF($AN$5:$AN$404,$AQ502,$AU$5:$AU$404),2),""))))</f>
        <v/>
      </c>
      <c r="L502" s="32">
        <f>IF($AD502="Z",ROUND(SUM($AV$5:$AV$404),2),IF($AD502="D",INDEX($AV$5:$AV$404,$AC502),IF($AD502="T",ROUND(SUMIF($X$5:$X$404,$AF502,$AV$5:$AV$404),2),IF($AD502="B",ROUND(SUMIF($AN$5:$AN$404,$AQ502,$AV$5:$AV$404),2),""))))</f>
        <v/>
      </c>
      <c r="M502" s="32">
        <f>IF($AD502="Z",ROUND(SUM($AJ$5:$AJ$704),2),IF($AD502="B",ROUND(SUMIF($AQ$5:$AQ$704,$AQ502,$AJ$5:$AJ$704),2),IF($AD502&lt;&gt;"T","",$AJ502)))</f>
        <v/>
      </c>
      <c r="N502" s="32">
        <f>IF(OR($AD502="D",$AD502="T",$AD502="B",$AD502="Z"),ROUND(N($K502)-N($L502)-N($M502),2),"")</f>
        <v/>
      </c>
      <c r="O502" s="32">
        <f>IF(OR($AD502="D",$AD502="T",$AD502="B",$AD502="Z"),IF(N($E502)=0,"",ROUND($F502/$E502,2)),"")</f>
        <v/>
      </c>
      <c r="AC502">
        <f>IFERROR(MATCH(498,$AB$5:$AB$404,1),"")</f>
        <v/>
      </c>
      <c r="AD502">
        <f>IF(498=$AI$1+1,"Z",IF($AC502="","",IF(INDEX($V$5:$V$404,$AC502)="","",IF(498&gt;INDEX($AB$5:$AB$404,$AC502)+INDEX($Z$5:$Z$404,$AC502)+INDEX($AA$5:$AA$404,$AC502)+INDEX($AO$5:$AO$404,$AC502),"",IF(498=INDEX($AB$5:$AB$404,$AC502)+INDEX($Z$5:$Z$404,$AC502),"D",IF(AND(INDEX($Z$5:$Z$404,$AC502)=1,498=INDEX($AB$5:$AB$404,$AC502)),"H",IF(AND(INDEX($AO$5:$AO$404,$AC502)=1,498=INDEX($AB$5:$AB$404,$AC502)+INDEX($Z$5:$Z$404,$AC502)+INDEX($AA$5:$AA$404,$AC502)+INDEX($AO$5:$AO$404,$AC502)),"B","T")))))))</f>
        <v/>
      </c>
      <c r="AF502">
        <f>IF(OR($AD502="",$AD502="Z",$AD502="B"),"",INDEX($X$5:$X$404,$AC502))</f>
        <v/>
      </c>
      <c r="AJ502">
        <f>IF($AD502&lt;&gt;"T",0,ROUND(SUMIF(oil!$B$4:$B$63,$AF502,oil!$AE$4:$AE$63),2))</f>
        <v/>
      </c>
      <c r="AQ502">
        <f>IF(OR($AD502="",$AD502="Z"),"",INDEX($AN$5:$AN$404,$AC502))</f>
        <v/>
      </c>
      <c r="AZ502">
        <f>IF(AND($AD502="T",$AQ502=1),N($AZ501)+1,N($AZ501))</f>
        <v/>
      </c>
    </row>
    <row r="503" ht="21" customHeight="1" s="66">
      <c r="A503" s="69">
        <f>IF($AD503="","",IF($AD503="Z","รวมจ่ายทั้งสิ้น",IF($AD503="H",INDEX($X$5:$X$404,$AC503),IF($AD503="T","รวม",IF($AD503="B",IFERROR(INDEX(อัตราค่าขนส่ง!$S$5:$S$14,MATCH(INDEX($AM$5:$AM$404,$AC503),อัตราค่าขนส่ง!$R$5:$R$14,0)),"รวมกลุ่ม "&amp;INDEX($AM$5:$AM$404,$AC503)),INDEX($AY$5:$AY$404,$AC503))))))</f>
        <v/>
      </c>
      <c r="B503" s="31">
        <f>IF($AD503&lt;&gt;"D","",INDEX($AW$5:$AW$404,$AC503))</f>
        <v/>
      </c>
      <c r="C503" s="68">
        <f>IF($AD503&lt;&gt;"D","",INDEX($AX$5:$AX$404,$AC503))</f>
        <v/>
      </c>
      <c r="D503" s="70">
        <f>IF($AD503&lt;&gt;"D","",INDEX($BA$5:$BA$404,$AC503))</f>
        <v/>
      </c>
      <c r="E503" s="31">
        <f>IF($AD503="Z",SUM($AR$5:$AR$404),IF($AD503="D",INDEX($AR$5:$AR$404,$AC503),IF($AD503="T",SUMIF($X$5:$X$404,$AF503,$AR$5:$AR$404),IF($AD503="B",SUMIF($AN$5:$AN$404,$AQ503,$AR$5:$AR$404),""))))</f>
        <v/>
      </c>
      <c r="F503" s="32">
        <f>IF($AD503="Z",ROUND(SUM($AS$5:$AS$404),2),IF($AD503="D",INDEX($AS$5:$AS$404,$AC503),IF($AD503="T",ROUND(SUMIF($X$5:$X$404,$AF503,$AS$5:$AS$404),2),IF($AD503="B",ROUND(SUMIF($AN$5:$AN$404,$AQ503,$AS$5:$AS$404),2),""))))</f>
        <v/>
      </c>
      <c r="G503" s="32">
        <f>IF($AD503&lt;&gt;"D","",INDEX($AT$5:$AT$404,$AC503))</f>
        <v/>
      </c>
      <c r="H503" s="32">
        <f>IF($AD503&lt;&gt;"D","",INDEX($BC$5:$BC$404,$AC503))</f>
        <v/>
      </c>
      <c r="I503" s="32">
        <f>IF($AD503&lt;&gt;"D","",INDEX($BD$5:$BD$404,$AC503))</f>
        <v/>
      </c>
      <c r="J503" s="46">
        <f>IF($AD503&lt;&gt;"D","",IF(N($B503)=0,"",ROUND($I503/$B503,4)))</f>
        <v/>
      </c>
      <c r="K503" s="32">
        <f>IF($AD503="Z",ROUND(SUM($AU$5:$AU$404),2),IF($AD503="D",INDEX($AU$5:$AU$404,$AC503),IF($AD503="T",ROUND(SUMIF($X$5:$X$404,$AF503,$AU$5:$AU$404),2),IF($AD503="B",ROUND(SUMIF($AN$5:$AN$404,$AQ503,$AU$5:$AU$404),2),""))))</f>
        <v/>
      </c>
      <c r="L503" s="32">
        <f>IF($AD503="Z",ROUND(SUM($AV$5:$AV$404),2),IF($AD503="D",INDEX($AV$5:$AV$404,$AC503),IF($AD503="T",ROUND(SUMIF($X$5:$X$404,$AF503,$AV$5:$AV$404),2),IF($AD503="B",ROUND(SUMIF($AN$5:$AN$404,$AQ503,$AV$5:$AV$404),2),""))))</f>
        <v/>
      </c>
      <c r="M503" s="32">
        <f>IF($AD503="Z",ROUND(SUM($AJ$5:$AJ$704),2),IF($AD503="B",ROUND(SUMIF($AQ$5:$AQ$704,$AQ503,$AJ$5:$AJ$704),2),IF($AD503&lt;&gt;"T","",$AJ503)))</f>
        <v/>
      </c>
      <c r="N503" s="32">
        <f>IF(OR($AD503="D",$AD503="T",$AD503="B",$AD503="Z"),ROUND(N($K503)-N($L503)-N($M503),2),"")</f>
        <v/>
      </c>
      <c r="O503" s="32">
        <f>IF(OR($AD503="D",$AD503="T",$AD503="B",$AD503="Z"),IF(N($E503)=0,"",ROUND($F503/$E503,2)),"")</f>
        <v/>
      </c>
      <c r="AC503">
        <f>IFERROR(MATCH(499,$AB$5:$AB$404,1),"")</f>
        <v/>
      </c>
      <c r="AD503">
        <f>IF(499=$AI$1+1,"Z",IF($AC503="","",IF(INDEX($V$5:$V$404,$AC503)="","",IF(499&gt;INDEX($AB$5:$AB$404,$AC503)+INDEX($Z$5:$Z$404,$AC503)+INDEX($AA$5:$AA$404,$AC503)+INDEX($AO$5:$AO$404,$AC503),"",IF(499=INDEX($AB$5:$AB$404,$AC503)+INDEX($Z$5:$Z$404,$AC503),"D",IF(AND(INDEX($Z$5:$Z$404,$AC503)=1,499=INDEX($AB$5:$AB$404,$AC503)),"H",IF(AND(INDEX($AO$5:$AO$404,$AC503)=1,499=INDEX($AB$5:$AB$404,$AC503)+INDEX($Z$5:$Z$404,$AC503)+INDEX($AA$5:$AA$404,$AC503)+INDEX($AO$5:$AO$404,$AC503)),"B","T")))))))</f>
        <v/>
      </c>
      <c r="AF503">
        <f>IF(OR($AD503="",$AD503="Z",$AD503="B"),"",INDEX($X$5:$X$404,$AC503))</f>
        <v/>
      </c>
      <c r="AJ503">
        <f>IF($AD503&lt;&gt;"T",0,ROUND(SUMIF(oil!$B$4:$B$63,$AF503,oil!$AE$4:$AE$63),2))</f>
        <v/>
      </c>
      <c r="AQ503">
        <f>IF(OR($AD503="",$AD503="Z"),"",INDEX($AN$5:$AN$404,$AC503))</f>
        <v/>
      </c>
      <c r="AZ503">
        <f>IF(AND($AD503="T",$AQ503=1),N($AZ502)+1,N($AZ502))</f>
        <v/>
      </c>
    </row>
    <row r="504" ht="21" customHeight="1" s="66">
      <c r="A504" s="69">
        <f>IF($AD504="","",IF($AD504="Z","รวมจ่ายทั้งสิ้น",IF($AD504="H",INDEX($X$5:$X$404,$AC504),IF($AD504="T","รวม",IF($AD504="B",IFERROR(INDEX(อัตราค่าขนส่ง!$S$5:$S$14,MATCH(INDEX($AM$5:$AM$404,$AC504),อัตราค่าขนส่ง!$R$5:$R$14,0)),"รวมกลุ่ม "&amp;INDEX($AM$5:$AM$404,$AC504)),INDEX($AY$5:$AY$404,$AC504))))))</f>
        <v/>
      </c>
      <c r="B504" s="31">
        <f>IF($AD504&lt;&gt;"D","",INDEX($AW$5:$AW$404,$AC504))</f>
        <v/>
      </c>
      <c r="C504" s="68">
        <f>IF($AD504&lt;&gt;"D","",INDEX($AX$5:$AX$404,$AC504))</f>
        <v/>
      </c>
      <c r="D504" s="70">
        <f>IF($AD504&lt;&gt;"D","",INDEX($BA$5:$BA$404,$AC504))</f>
        <v/>
      </c>
      <c r="E504" s="31">
        <f>IF($AD504="Z",SUM($AR$5:$AR$404),IF($AD504="D",INDEX($AR$5:$AR$404,$AC504),IF($AD504="T",SUMIF($X$5:$X$404,$AF504,$AR$5:$AR$404),IF($AD504="B",SUMIF($AN$5:$AN$404,$AQ504,$AR$5:$AR$404),""))))</f>
        <v/>
      </c>
      <c r="F504" s="32">
        <f>IF($AD504="Z",ROUND(SUM($AS$5:$AS$404),2),IF($AD504="D",INDEX($AS$5:$AS$404,$AC504),IF($AD504="T",ROUND(SUMIF($X$5:$X$404,$AF504,$AS$5:$AS$404),2),IF($AD504="B",ROUND(SUMIF($AN$5:$AN$404,$AQ504,$AS$5:$AS$404),2),""))))</f>
        <v/>
      </c>
      <c r="G504" s="32">
        <f>IF($AD504&lt;&gt;"D","",INDEX($AT$5:$AT$404,$AC504))</f>
        <v/>
      </c>
      <c r="H504" s="32">
        <f>IF($AD504&lt;&gt;"D","",INDEX($BC$5:$BC$404,$AC504))</f>
        <v/>
      </c>
      <c r="I504" s="32">
        <f>IF($AD504&lt;&gt;"D","",INDEX($BD$5:$BD$404,$AC504))</f>
        <v/>
      </c>
      <c r="J504" s="46">
        <f>IF($AD504&lt;&gt;"D","",IF(N($B504)=0,"",ROUND($I504/$B504,4)))</f>
        <v/>
      </c>
      <c r="K504" s="32">
        <f>IF($AD504="Z",ROUND(SUM($AU$5:$AU$404),2),IF($AD504="D",INDEX($AU$5:$AU$404,$AC504),IF($AD504="T",ROUND(SUMIF($X$5:$X$404,$AF504,$AU$5:$AU$404),2),IF($AD504="B",ROUND(SUMIF($AN$5:$AN$404,$AQ504,$AU$5:$AU$404),2),""))))</f>
        <v/>
      </c>
      <c r="L504" s="32">
        <f>IF($AD504="Z",ROUND(SUM($AV$5:$AV$404),2),IF($AD504="D",INDEX($AV$5:$AV$404,$AC504),IF($AD504="T",ROUND(SUMIF($X$5:$X$404,$AF504,$AV$5:$AV$404),2),IF($AD504="B",ROUND(SUMIF($AN$5:$AN$404,$AQ504,$AV$5:$AV$404),2),""))))</f>
        <v/>
      </c>
      <c r="M504" s="32">
        <f>IF($AD504="Z",ROUND(SUM($AJ$5:$AJ$704),2),IF($AD504="B",ROUND(SUMIF($AQ$5:$AQ$704,$AQ504,$AJ$5:$AJ$704),2),IF($AD504&lt;&gt;"T","",$AJ504)))</f>
        <v/>
      </c>
      <c r="N504" s="32">
        <f>IF(OR($AD504="D",$AD504="T",$AD504="B",$AD504="Z"),ROUND(N($K504)-N($L504)-N($M504),2),"")</f>
        <v/>
      </c>
      <c r="O504" s="32">
        <f>IF(OR($AD504="D",$AD504="T",$AD504="B",$AD504="Z"),IF(N($E504)=0,"",ROUND($F504/$E504,2)),"")</f>
        <v/>
      </c>
      <c r="AC504">
        <f>IFERROR(MATCH(500,$AB$5:$AB$404,1),"")</f>
        <v/>
      </c>
      <c r="AD504">
        <f>IF(500=$AI$1+1,"Z",IF($AC504="","",IF(INDEX($V$5:$V$404,$AC504)="","",IF(500&gt;INDEX($AB$5:$AB$404,$AC504)+INDEX($Z$5:$Z$404,$AC504)+INDEX($AA$5:$AA$404,$AC504)+INDEX($AO$5:$AO$404,$AC504),"",IF(500=INDEX($AB$5:$AB$404,$AC504)+INDEX($Z$5:$Z$404,$AC504),"D",IF(AND(INDEX($Z$5:$Z$404,$AC504)=1,500=INDEX($AB$5:$AB$404,$AC504)),"H",IF(AND(INDEX($AO$5:$AO$404,$AC504)=1,500=INDEX($AB$5:$AB$404,$AC504)+INDEX($Z$5:$Z$404,$AC504)+INDEX($AA$5:$AA$404,$AC504)+INDEX($AO$5:$AO$404,$AC504)),"B","T")))))))</f>
        <v/>
      </c>
      <c r="AF504">
        <f>IF(OR($AD504="",$AD504="Z",$AD504="B"),"",INDEX($X$5:$X$404,$AC504))</f>
        <v/>
      </c>
      <c r="AJ504">
        <f>IF($AD504&lt;&gt;"T",0,ROUND(SUMIF(oil!$B$4:$B$63,$AF504,oil!$AE$4:$AE$63),2))</f>
        <v/>
      </c>
      <c r="AQ504">
        <f>IF(OR($AD504="",$AD504="Z"),"",INDEX($AN$5:$AN$404,$AC504))</f>
        <v/>
      </c>
      <c r="AZ504">
        <f>IF(AND($AD504="T",$AQ504=1),N($AZ503)+1,N($AZ503))</f>
        <v/>
      </c>
    </row>
    <row r="505" ht="21" customHeight="1" s="66">
      <c r="A505" s="69">
        <f>IF($AD505="","",IF($AD505="Z","รวมจ่ายทั้งสิ้น",IF($AD505="H",INDEX($X$5:$X$404,$AC505),IF($AD505="T","รวม",IF($AD505="B",IFERROR(INDEX(อัตราค่าขนส่ง!$S$5:$S$14,MATCH(INDEX($AM$5:$AM$404,$AC505),อัตราค่าขนส่ง!$R$5:$R$14,0)),"รวมกลุ่ม "&amp;INDEX($AM$5:$AM$404,$AC505)),INDEX($AY$5:$AY$404,$AC505))))))</f>
        <v/>
      </c>
      <c r="B505" s="31">
        <f>IF($AD505&lt;&gt;"D","",INDEX($AW$5:$AW$404,$AC505))</f>
        <v/>
      </c>
      <c r="C505" s="68">
        <f>IF($AD505&lt;&gt;"D","",INDEX($AX$5:$AX$404,$AC505))</f>
        <v/>
      </c>
      <c r="D505" s="70">
        <f>IF($AD505&lt;&gt;"D","",INDEX($BA$5:$BA$404,$AC505))</f>
        <v/>
      </c>
      <c r="E505" s="31">
        <f>IF($AD505="Z",SUM($AR$5:$AR$404),IF($AD505="D",INDEX($AR$5:$AR$404,$AC505),IF($AD505="T",SUMIF($X$5:$X$404,$AF505,$AR$5:$AR$404),IF($AD505="B",SUMIF($AN$5:$AN$404,$AQ505,$AR$5:$AR$404),""))))</f>
        <v/>
      </c>
      <c r="F505" s="32">
        <f>IF($AD505="Z",ROUND(SUM($AS$5:$AS$404),2),IF($AD505="D",INDEX($AS$5:$AS$404,$AC505),IF($AD505="T",ROUND(SUMIF($X$5:$X$404,$AF505,$AS$5:$AS$404),2),IF($AD505="B",ROUND(SUMIF($AN$5:$AN$404,$AQ505,$AS$5:$AS$404),2),""))))</f>
        <v/>
      </c>
      <c r="G505" s="32">
        <f>IF($AD505&lt;&gt;"D","",INDEX($AT$5:$AT$404,$AC505))</f>
        <v/>
      </c>
      <c r="H505" s="32">
        <f>IF($AD505&lt;&gt;"D","",INDEX($BC$5:$BC$404,$AC505))</f>
        <v/>
      </c>
      <c r="I505" s="32">
        <f>IF($AD505&lt;&gt;"D","",INDEX($BD$5:$BD$404,$AC505))</f>
        <v/>
      </c>
      <c r="J505" s="46">
        <f>IF($AD505&lt;&gt;"D","",IF(N($B505)=0,"",ROUND($I505/$B505,4)))</f>
        <v/>
      </c>
      <c r="K505" s="32">
        <f>IF($AD505="Z",ROUND(SUM($AU$5:$AU$404),2),IF($AD505="D",INDEX($AU$5:$AU$404,$AC505),IF($AD505="T",ROUND(SUMIF($X$5:$X$404,$AF505,$AU$5:$AU$404),2),IF($AD505="B",ROUND(SUMIF($AN$5:$AN$404,$AQ505,$AU$5:$AU$404),2),""))))</f>
        <v/>
      </c>
      <c r="L505" s="32">
        <f>IF($AD505="Z",ROUND(SUM($AV$5:$AV$404),2),IF($AD505="D",INDEX($AV$5:$AV$404,$AC505),IF($AD505="T",ROUND(SUMIF($X$5:$X$404,$AF505,$AV$5:$AV$404),2),IF($AD505="B",ROUND(SUMIF($AN$5:$AN$404,$AQ505,$AV$5:$AV$404),2),""))))</f>
        <v/>
      </c>
      <c r="M505" s="32">
        <f>IF($AD505="Z",ROUND(SUM($AJ$5:$AJ$704),2),IF($AD505="B",ROUND(SUMIF($AQ$5:$AQ$704,$AQ505,$AJ$5:$AJ$704),2),IF($AD505&lt;&gt;"T","",$AJ505)))</f>
        <v/>
      </c>
      <c r="N505" s="32">
        <f>IF(OR($AD505="D",$AD505="T",$AD505="B",$AD505="Z"),ROUND(N($K505)-N($L505)-N($M505),2),"")</f>
        <v/>
      </c>
      <c r="O505" s="32">
        <f>IF(OR($AD505="D",$AD505="T",$AD505="B",$AD505="Z"),IF(N($E505)=0,"",ROUND($F505/$E505,2)),"")</f>
        <v/>
      </c>
      <c r="AC505">
        <f>IFERROR(MATCH(501,$AB$5:$AB$404,1),"")</f>
        <v/>
      </c>
      <c r="AD505">
        <f>IF(501=$AI$1+1,"Z",IF($AC505="","",IF(INDEX($V$5:$V$404,$AC505)="","",IF(501&gt;INDEX($AB$5:$AB$404,$AC505)+INDEX($Z$5:$Z$404,$AC505)+INDEX($AA$5:$AA$404,$AC505)+INDEX($AO$5:$AO$404,$AC505),"",IF(501=INDEX($AB$5:$AB$404,$AC505)+INDEX($Z$5:$Z$404,$AC505),"D",IF(AND(INDEX($Z$5:$Z$404,$AC505)=1,501=INDEX($AB$5:$AB$404,$AC505)),"H",IF(AND(INDEX($AO$5:$AO$404,$AC505)=1,501=INDEX($AB$5:$AB$404,$AC505)+INDEX($Z$5:$Z$404,$AC505)+INDEX($AA$5:$AA$404,$AC505)+INDEX($AO$5:$AO$404,$AC505)),"B","T")))))))</f>
        <v/>
      </c>
      <c r="AF505">
        <f>IF(OR($AD505="",$AD505="Z",$AD505="B"),"",INDEX($X$5:$X$404,$AC505))</f>
        <v/>
      </c>
      <c r="AJ505">
        <f>IF($AD505&lt;&gt;"T",0,ROUND(SUMIF(oil!$B$4:$B$63,$AF505,oil!$AE$4:$AE$63),2))</f>
        <v/>
      </c>
      <c r="AQ505">
        <f>IF(OR($AD505="",$AD505="Z"),"",INDEX($AN$5:$AN$404,$AC505))</f>
        <v/>
      </c>
      <c r="AZ505">
        <f>IF(AND($AD505="T",$AQ505=1),N($AZ504)+1,N($AZ504))</f>
        <v/>
      </c>
    </row>
    <row r="506" ht="21" customHeight="1" s="66">
      <c r="A506" s="69">
        <f>IF($AD506="","",IF($AD506="Z","รวมจ่ายทั้งสิ้น",IF($AD506="H",INDEX($X$5:$X$404,$AC506),IF($AD506="T","รวม",IF($AD506="B",IFERROR(INDEX(อัตราค่าขนส่ง!$S$5:$S$14,MATCH(INDEX($AM$5:$AM$404,$AC506),อัตราค่าขนส่ง!$R$5:$R$14,0)),"รวมกลุ่ม "&amp;INDEX($AM$5:$AM$404,$AC506)),INDEX($AY$5:$AY$404,$AC506))))))</f>
        <v/>
      </c>
      <c r="B506" s="31">
        <f>IF($AD506&lt;&gt;"D","",INDEX($AW$5:$AW$404,$AC506))</f>
        <v/>
      </c>
      <c r="C506" s="68">
        <f>IF($AD506&lt;&gt;"D","",INDEX($AX$5:$AX$404,$AC506))</f>
        <v/>
      </c>
      <c r="D506" s="70">
        <f>IF($AD506&lt;&gt;"D","",INDEX($BA$5:$BA$404,$AC506))</f>
        <v/>
      </c>
      <c r="E506" s="31">
        <f>IF($AD506="Z",SUM($AR$5:$AR$404),IF($AD506="D",INDEX($AR$5:$AR$404,$AC506),IF($AD506="T",SUMIF($X$5:$X$404,$AF506,$AR$5:$AR$404),IF($AD506="B",SUMIF($AN$5:$AN$404,$AQ506,$AR$5:$AR$404),""))))</f>
        <v/>
      </c>
      <c r="F506" s="32">
        <f>IF($AD506="Z",ROUND(SUM($AS$5:$AS$404),2),IF($AD506="D",INDEX($AS$5:$AS$404,$AC506),IF($AD506="T",ROUND(SUMIF($X$5:$X$404,$AF506,$AS$5:$AS$404),2),IF($AD506="B",ROUND(SUMIF($AN$5:$AN$404,$AQ506,$AS$5:$AS$404),2),""))))</f>
        <v/>
      </c>
      <c r="G506" s="32">
        <f>IF($AD506&lt;&gt;"D","",INDEX($AT$5:$AT$404,$AC506))</f>
        <v/>
      </c>
      <c r="H506" s="32">
        <f>IF($AD506&lt;&gt;"D","",INDEX($BC$5:$BC$404,$AC506))</f>
        <v/>
      </c>
      <c r="I506" s="32">
        <f>IF($AD506&lt;&gt;"D","",INDEX($BD$5:$BD$404,$AC506))</f>
        <v/>
      </c>
      <c r="J506" s="46">
        <f>IF($AD506&lt;&gt;"D","",IF(N($B506)=0,"",ROUND($I506/$B506,4)))</f>
        <v/>
      </c>
      <c r="K506" s="32">
        <f>IF($AD506="Z",ROUND(SUM($AU$5:$AU$404),2),IF($AD506="D",INDEX($AU$5:$AU$404,$AC506),IF($AD506="T",ROUND(SUMIF($X$5:$X$404,$AF506,$AU$5:$AU$404),2),IF($AD506="B",ROUND(SUMIF($AN$5:$AN$404,$AQ506,$AU$5:$AU$404),2),""))))</f>
        <v/>
      </c>
      <c r="L506" s="32">
        <f>IF($AD506="Z",ROUND(SUM($AV$5:$AV$404),2),IF($AD506="D",INDEX($AV$5:$AV$404,$AC506),IF($AD506="T",ROUND(SUMIF($X$5:$X$404,$AF506,$AV$5:$AV$404),2),IF($AD506="B",ROUND(SUMIF($AN$5:$AN$404,$AQ506,$AV$5:$AV$404),2),""))))</f>
        <v/>
      </c>
      <c r="M506" s="32">
        <f>IF($AD506="Z",ROUND(SUM($AJ$5:$AJ$704),2),IF($AD506="B",ROUND(SUMIF($AQ$5:$AQ$704,$AQ506,$AJ$5:$AJ$704),2),IF($AD506&lt;&gt;"T","",$AJ506)))</f>
        <v/>
      </c>
      <c r="N506" s="32">
        <f>IF(OR($AD506="D",$AD506="T",$AD506="B",$AD506="Z"),ROUND(N($K506)-N($L506)-N($M506),2),"")</f>
        <v/>
      </c>
      <c r="O506" s="32">
        <f>IF(OR($AD506="D",$AD506="T",$AD506="B",$AD506="Z"),IF(N($E506)=0,"",ROUND($F506/$E506,2)),"")</f>
        <v/>
      </c>
      <c r="AC506">
        <f>IFERROR(MATCH(502,$AB$5:$AB$404,1),"")</f>
        <v/>
      </c>
      <c r="AD506">
        <f>IF(502=$AI$1+1,"Z",IF($AC506="","",IF(INDEX($V$5:$V$404,$AC506)="","",IF(502&gt;INDEX($AB$5:$AB$404,$AC506)+INDEX($Z$5:$Z$404,$AC506)+INDEX($AA$5:$AA$404,$AC506)+INDEX($AO$5:$AO$404,$AC506),"",IF(502=INDEX($AB$5:$AB$404,$AC506)+INDEX($Z$5:$Z$404,$AC506),"D",IF(AND(INDEX($Z$5:$Z$404,$AC506)=1,502=INDEX($AB$5:$AB$404,$AC506)),"H",IF(AND(INDEX($AO$5:$AO$404,$AC506)=1,502=INDEX($AB$5:$AB$404,$AC506)+INDEX($Z$5:$Z$404,$AC506)+INDEX($AA$5:$AA$404,$AC506)+INDEX($AO$5:$AO$404,$AC506)),"B","T")))))))</f>
        <v/>
      </c>
      <c r="AF506">
        <f>IF(OR($AD506="",$AD506="Z",$AD506="B"),"",INDEX($X$5:$X$404,$AC506))</f>
        <v/>
      </c>
      <c r="AJ506">
        <f>IF($AD506&lt;&gt;"T",0,ROUND(SUMIF(oil!$B$4:$B$63,$AF506,oil!$AE$4:$AE$63),2))</f>
        <v/>
      </c>
      <c r="AQ506">
        <f>IF(OR($AD506="",$AD506="Z"),"",INDEX($AN$5:$AN$404,$AC506))</f>
        <v/>
      </c>
      <c r="AZ506">
        <f>IF(AND($AD506="T",$AQ506=1),N($AZ505)+1,N($AZ505))</f>
        <v/>
      </c>
    </row>
    <row r="507" ht="21" customHeight="1" s="66">
      <c r="A507" s="69">
        <f>IF($AD507="","",IF($AD507="Z","รวมจ่ายทั้งสิ้น",IF($AD507="H",INDEX($X$5:$X$404,$AC507),IF($AD507="T","รวม",IF($AD507="B",IFERROR(INDEX(อัตราค่าขนส่ง!$S$5:$S$14,MATCH(INDEX($AM$5:$AM$404,$AC507),อัตราค่าขนส่ง!$R$5:$R$14,0)),"รวมกลุ่ม "&amp;INDEX($AM$5:$AM$404,$AC507)),INDEX($AY$5:$AY$404,$AC507))))))</f>
        <v/>
      </c>
      <c r="B507" s="31">
        <f>IF($AD507&lt;&gt;"D","",INDEX($AW$5:$AW$404,$AC507))</f>
        <v/>
      </c>
      <c r="C507" s="68">
        <f>IF($AD507&lt;&gt;"D","",INDEX($AX$5:$AX$404,$AC507))</f>
        <v/>
      </c>
      <c r="D507" s="70">
        <f>IF($AD507&lt;&gt;"D","",INDEX($BA$5:$BA$404,$AC507))</f>
        <v/>
      </c>
      <c r="E507" s="31">
        <f>IF($AD507="Z",SUM($AR$5:$AR$404),IF($AD507="D",INDEX($AR$5:$AR$404,$AC507),IF($AD507="T",SUMIF($X$5:$X$404,$AF507,$AR$5:$AR$404),IF($AD507="B",SUMIF($AN$5:$AN$404,$AQ507,$AR$5:$AR$404),""))))</f>
        <v/>
      </c>
      <c r="F507" s="32">
        <f>IF($AD507="Z",ROUND(SUM($AS$5:$AS$404),2),IF($AD507="D",INDEX($AS$5:$AS$404,$AC507),IF($AD507="T",ROUND(SUMIF($X$5:$X$404,$AF507,$AS$5:$AS$404),2),IF($AD507="B",ROUND(SUMIF($AN$5:$AN$404,$AQ507,$AS$5:$AS$404),2),""))))</f>
        <v/>
      </c>
      <c r="G507" s="32">
        <f>IF($AD507&lt;&gt;"D","",INDEX($AT$5:$AT$404,$AC507))</f>
        <v/>
      </c>
      <c r="H507" s="32">
        <f>IF($AD507&lt;&gt;"D","",INDEX($BC$5:$BC$404,$AC507))</f>
        <v/>
      </c>
      <c r="I507" s="32">
        <f>IF($AD507&lt;&gt;"D","",INDEX($BD$5:$BD$404,$AC507))</f>
        <v/>
      </c>
      <c r="J507" s="46">
        <f>IF($AD507&lt;&gt;"D","",IF(N($B507)=0,"",ROUND($I507/$B507,4)))</f>
        <v/>
      </c>
      <c r="K507" s="32">
        <f>IF($AD507="Z",ROUND(SUM($AU$5:$AU$404),2),IF($AD507="D",INDEX($AU$5:$AU$404,$AC507),IF($AD507="T",ROUND(SUMIF($X$5:$X$404,$AF507,$AU$5:$AU$404),2),IF($AD507="B",ROUND(SUMIF($AN$5:$AN$404,$AQ507,$AU$5:$AU$404),2),""))))</f>
        <v/>
      </c>
      <c r="L507" s="32">
        <f>IF($AD507="Z",ROUND(SUM($AV$5:$AV$404),2),IF($AD507="D",INDEX($AV$5:$AV$404,$AC507),IF($AD507="T",ROUND(SUMIF($X$5:$X$404,$AF507,$AV$5:$AV$404),2),IF($AD507="B",ROUND(SUMIF($AN$5:$AN$404,$AQ507,$AV$5:$AV$404),2),""))))</f>
        <v/>
      </c>
      <c r="M507" s="32">
        <f>IF($AD507="Z",ROUND(SUM($AJ$5:$AJ$704),2),IF($AD507="B",ROUND(SUMIF($AQ$5:$AQ$704,$AQ507,$AJ$5:$AJ$704),2),IF($AD507&lt;&gt;"T","",$AJ507)))</f>
        <v/>
      </c>
      <c r="N507" s="32">
        <f>IF(OR($AD507="D",$AD507="T",$AD507="B",$AD507="Z"),ROUND(N($K507)-N($L507)-N($M507),2),"")</f>
        <v/>
      </c>
      <c r="O507" s="32">
        <f>IF(OR($AD507="D",$AD507="T",$AD507="B",$AD507="Z"),IF(N($E507)=0,"",ROUND($F507/$E507,2)),"")</f>
        <v/>
      </c>
      <c r="AC507">
        <f>IFERROR(MATCH(503,$AB$5:$AB$404,1),"")</f>
        <v/>
      </c>
      <c r="AD507">
        <f>IF(503=$AI$1+1,"Z",IF($AC507="","",IF(INDEX($V$5:$V$404,$AC507)="","",IF(503&gt;INDEX($AB$5:$AB$404,$AC507)+INDEX($Z$5:$Z$404,$AC507)+INDEX($AA$5:$AA$404,$AC507)+INDEX($AO$5:$AO$404,$AC507),"",IF(503=INDEX($AB$5:$AB$404,$AC507)+INDEX($Z$5:$Z$404,$AC507),"D",IF(AND(INDEX($Z$5:$Z$404,$AC507)=1,503=INDEX($AB$5:$AB$404,$AC507)),"H",IF(AND(INDEX($AO$5:$AO$404,$AC507)=1,503=INDEX($AB$5:$AB$404,$AC507)+INDEX($Z$5:$Z$404,$AC507)+INDEX($AA$5:$AA$404,$AC507)+INDEX($AO$5:$AO$404,$AC507)),"B","T")))))))</f>
        <v/>
      </c>
      <c r="AF507">
        <f>IF(OR($AD507="",$AD507="Z",$AD507="B"),"",INDEX($X$5:$X$404,$AC507))</f>
        <v/>
      </c>
      <c r="AJ507">
        <f>IF($AD507&lt;&gt;"T",0,ROUND(SUMIF(oil!$B$4:$B$63,$AF507,oil!$AE$4:$AE$63),2))</f>
        <v/>
      </c>
      <c r="AQ507">
        <f>IF(OR($AD507="",$AD507="Z"),"",INDEX($AN$5:$AN$404,$AC507))</f>
        <v/>
      </c>
      <c r="AZ507">
        <f>IF(AND($AD507="T",$AQ507=1),N($AZ506)+1,N($AZ506))</f>
        <v/>
      </c>
    </row>
    <row r="508" ht="21" customHeight="1" s="66">
      <c r="A508" s="69">
        <f>IF($AD508="","",IF($AD508="Z","รวมจ่ายทั้งสิ้น",IF($AD508="H",INDEX($X$5:$X$404,$AC508),IF($AD508="T","รวม",IF($AD508="B",IFERROR(INDEX(อัตราค่าขนส่ง!$S$5:$S$14,MATCH(INDEX($AM$5:$AM$404,$AC508),อัตราค่าขนส่ง!$R$5:$R$14,0)),"รวมกลุ่ม "&amp;INDEX($AM$5:$AM$404,$AC508)),INDEX($AY$5:$AY$404,$AC508))))))</f>
        <v/>
      </c>
      <c r="B508" s="31">
        <f>IF($AD508&lt;&gt;"D","",INDEX($AW$5:$AW$404,$AC508))</f>
        <v/>
      </c>
      <c r="C508" s="68">
        <f>IF($AD508&lt;&gt;"D","",INDEX($AX$5:$AX$404,$AC508))</f>
        <v/>
      </c>
      <c r="D508" s="70">
        <f>IF($AD508&lt;&gt;"D","",INDEX($BA$5:$BA$404,$AC508))</f>
        <v/>
      </c>
      <c r="E508" s="31">
        <f>IF($AD508="Z",SUM($AR$5:$AR$404),IF($AD508="D",INDEX($AR$5:$AR$404,$AC508),IF($AD508="T",SUMIF($X$5:$X$404,$AF508,$AR$5:$AR$404),IF($AD508="B",SUMIF($AN$5:$AN$404,$AQ508,$AR$5:$AR$404),""))))</f>
        <v/>
      </c>
      <c r="F508" s="32">
        <f>IF($AD508="Z",ROUND(SUM($AS$5:$AS$404),2),IF($AD508="D",INDEX($AS$5:$AS$404,$AC508),IF($AD508="T",ROUND(SUMIF($X$5:$X$404,$AF508,$AS$5:$AS$404),2),IF($AD508="B",ROUND(SUMIF($AN$5:$AN$404,$AQ508,$AS$5:$AS$404),2),""))))</f>
        <v/>
      </c>
      <c r="G508" s="32">
        <f>IF($AD508&lt;&gt;"D","",INDEX($AT$5:$AT$404,$AC508))</f>
        <v/>
      </c>
      <c r="H508" s="32">
        <f>IF($AD508&lt;&gt;"D","",INDEX($BC$5:$BC$404,$AC508))</f>
        <v/>
      </c>
      <c r="I508" s="32">
        <f>IF($AD508&lt;&gt;"D","",INDEX($BD$5:$BD$404,$AC508))</f>
        <v/>
      </c>
      <c r="J508" s="46">
        <f>IF($AD508&lt;&gt;"D","",IF(N($B508)=0,"",ROUND($I508/$B508,4)))</f>
        <v/>
      </c>
      <c r="K508" s="32">
        <f>IF($AD508="Z",ROUND(SUM($AU$5:$AU$404),2),IF($AD508="D",INDEX($AU$5:$AU$404,$AC508),IF($AD508="T",ROUND(SUMIF($X$5:$X$404,$AF508,$AU$5:$AU$404),2),IF($AD508="B",ROUND(SUMIF($AN$5:$AN$404,$AQ508,$AU$5:$AU$404),2),""))))</f>
        <v/>
      </c>
      <c r="L508" s="32">
        <f>IF($AD508="Z",ROUND(SUM($AV$5:$AV$404),2),IF($AD508="D",INDEX($AV$5:$AV$404,$AC508),IF($AD508="T",ROUND(SUMIF($X$5:$X$404,$AF508,$AV$5:$AV$404),2),IF($AD508="B",ROUND(SUMIF($AN$5:$AN$404,$AQ508,$AV$5:$AV$404),2),""))))</f>
        <v/>
      </c>
      <c r="M508" s="32">
        <f>IF($AD508="Z",ROUND(SUM($AJ$5:$AJ$704),2),IF($AD508="B",ROUND(SUMIF($AQ$5:$AQ$704,$AQ508,$AJ$5:$AJ$704),2),IF($AD508&lt;&gt;"T","",$AJ508)))</f>
        <v/>
      </c>
      <c r="N508" s="32">
        <f>IF(OR($AD508="D",$AD508="T",$AD508="B",$AD508="Z"),ROUND(N($K508)-N($L508)-N($M508),2),"")</f>
        <v/>
      </c>
      <c r="O508" s="32">
        <f>IF(OR($AD508="D",$AD508="T",$AD508="B",$AD508="Z"),IF(N($E508)=0,"",ROUND($F508/$E508,2)),"")</f>
        <v/>
      </c>
      <c r="AC508">
        <f>IFERROR(MATCH(504,$AB$5:$AB$404,1),"")</f>
        <v/>
      </c>
      <c r="AD508">
        <f>IF(504=$AI$1+1,"Z",IF($AC508="","",IF(INDEX($V$5:$V$404,$AC508)="","",IF(504&gt;INDEX($AB$5:$AB$404,$AC508)+INDEX($Z$5:$Z$404,$AC508)+INDEX($AA$5:$AA$404,$AC508)+INDEX($AO$5:$AO$404,$AC508),"",IF(504=INDEX($AB$5:$AB$404,$AC508)+INDEX($Z$5:$Z$404,$AC508),"D",IF(AND(INDEX($Z$5:$Z$404,$AC508)=1,504=INDEX($AB$5:$AB$404,$AC508)),"H",IF(AND(INDEX($AO$5:$AO$404,$AC508)=1,504=INDEX($AB$5:$AB$404,$AC508)+INDEX($Z$5:$Z$404,$AC508)+INDEX($AA$5:$AA$404,$AC508)+INDEX($AO$5:$AO$404,$AC508)),"B","T")))))))</f>
        <v/>
      </c>
      <c r="AF508">
        <f>IF(OR($AD508="",$AD508="Z",$AD508="B"),"",INDEX($X$5:$X$404,$AC508))</f>
        <v/>
      </c>
      <c r="AJ508">
        <f>IF($AD508&lt;&gt;"T",0,ROUND(SUMIF(oil!$B$4:$B$63,$AF508,oil!$AE$4:$AE$63),2))</f>
        <v/>
      </c>
      <c r="AQ508">
        <f>IF(OR($AD508="",$AD508="Z"),"",INDEX($AN$5:$AN$404,$AC508))</f>
        <v/>
      </c>
      <c r="AZ508">
        <f>IF(AND($AD508="T",$AQ508=1),N($AZ507)+1,N($AZ507))</f>
        <v/>
      </c>
    </row>
    <row r="509" ht="21" customHeight="1" s="66">
      <c r="A509" s="69">
        <f>IF($AD509="","",IF($AD509="Z","รวมจ่ายทั้งสิ้น",IF($AD509="H",INDEX($X$5:$X$404,$AC509),IF($AD509="T","รวม",IF($AD509="B",IFERROR(INDEX(อัตราค่าขนส่ง!$S$5:$S$14,MATCH(INDEX($AM$5:$AM$404,$AC509),อัตราค่าขนส่ง!$R$5:$R$14,0)),"รวมกลุ่ม "&amp;INDEX($AM$5:$AM$404,$AC509)),INDEX($AY$5:$AY$404,$AC509))))))</f>
        <v/>
      </c>
      <c r="B509" s="31">
        <f>IF($AD509&lt;&gt;"D","",INDEX($AW$5:$AW$404,$AC509))</f>
        <v/>
      </c>
      <c r="C509" s="68">
        <f>IF($AD509&lt;&gt;"D","",INDEX($AX$5:$AX$404,$AC509))</f>
        <v/>
      </c>
      <c r="D509" s="70">
        <f>IF($AD509&lt;&gt;"D","",INDEX($BA$5:$BA$404,$AC509))</f>
        <v/>
      </c>
      <c r="E509" s="31">
        <f>IF($AD509="Z",SUM($AR$5:$AR$404),IF($AD509="D",INDEX($AR$5:$AR$404,$AC509),IF($AD509="T",SUMIF($X$5:$X$404,$AF509,$AR$5:$AR$404),IF($AD509="B",SUMIF($AN$5:$AN$404,$AQ509,$AR$5:$AR$404),""))))</f>
        <v/>
      </c>
      <c r="F509" s="32">
        <f>IF($AD509="Z",ROUND(SUM($AS$5:$AS$404),2),IF($AD509="D",INDEX($AS$5:$AS$404,$AC509),IF($AD509="T",ROUND(SUMIF($X$5:$X$404,$AF509,$AS$5:$AS$404),2),IF($AD509="B",ROUND(SUMIF($AN$5:$AN$404,$AQ509,$AS$5:$AS$404),2),""))))</f>
        <v/>
      </c>
      <c r="G509" s="32">
        <f>IF($AD509&lt;&gt;"D","",INDEX($AT$5:$AT$404,$AC509))</f>
        <v/>
      </c>
      <c r="H509" s="32">
        <f>IF($AD509&lt;&gt;"D","",INDEX($BC$5:$BC$404,$AC509))</f>
        <v/>
      </c>
      <c r="I509" s="32">
        <f>IF($AD509&lt;&gt;"D","",INDEX($BD$5:$BD$404,$AC509))</f>
        <v/>
      </c>
      <c r="J509" s="46">
        <f>IF($AD509&lt;&gt;"D","",IF(N($B509)=0,"",ROUND($I509/$B509,4)))</f>
        <v/>
      </c>
      <c r="K509" s="32">
        <f>IF($AD509="Z",ROUND(SUM($AU$5:$AU$404),2),IF($AD509="D",INDEX($AU$5:$AU$404,$AC509),IF($AD509="T",ROUND(SUMIF($X$5:$X$404,$AF509,$AU$5:$AU$404),2),IF($AD509="B",ROUND(SUMIF($AN$5:$AN$404,$AQ509,$AU$5:$AU$404),2),""))))</f>
        <v/>
      </c>
      <c r="L509" s="32">
        <f>IF($AD509="Z",ROUND(SUM($AV$5:$AV$404),2),IF($AD509="D",INDEX($AV$5:$AV$404,$AC509),IF($AD509="T",ROUND(SUMIF($X$5:$X$404,$AF509,$AV$5:$AV$404),2),IF($AD509="B",ROUND(SUMIF($AN$5:$AN$404,$AQ509,$AV$5:$AV$404),2),""))))</f>
        <v/>
      </c>
      <c r="M509" s="32">
        <f>IF($AD509="Z",ROUND(SUM($AJ$5:$AJ$704),2),IF($AD509="B",ROUND(SUMIF($AQ$5:$AQ$704,$AQ509,$AJ$5:$AJ$704),2),IF($AD509&lt;&gt;"T","",$AJ509)))</f>
        <v/>
      </c>
      <c r="N509" s="32">
        <f>IF(OR($AD509="D",$AD509="T",$AD509="B",$AD509="Z"),ROUND(N($K509)-N($L509)-N($M509),2),"")</f>
        <v/>
      </c>
      <c r="O509" s="32">
        <f>IF(OR($AD509="D",$AD509="T",$AD509="B",$AD509="Z"),IF(N($E509)=0,"",ROUND($F509/$E509,2)),"")</f>
        <v/>
      </c>
      <c r="AC509">
        <f>IFERROR(MATCH(505,$AB$5:$AB$404,1),"")</f>
        <v/>
      </c>
      <c r="AD509">
        <f>IF(505=$AI$1+1,"Z",IF($AC509="","",IF(INDEX($V$5:$V$404,$AC509)="","",IF(505&gt;INDEX($AB$5:$AB$404,$AC509)+INDEX($Z$5:$Z$404,$AC509)+INDEX($AA$5:$AA$404,$AC509)+INDEX($AO$5:$AO$404,$AC509),"",IF(505=INDEX($AB$5:$AB$404,$AC509)+INDEX($Z$5:$Z$404,$AC509),"D",IF(AND(INDEX($Z$5:$Z$404,$AC509)=1,505=INDEX($AB$5:$AB$404,$AC509)),"H",IF(AND(INDEX($AO$5:$AO$404,$AC509)=1,505=INDEX($AB$5:$AB$404,$AC509)+INDEX($Z$5:$Z$404,$AC509)+INDEX($AA$5:$AA$404,$AC509)+INDEX($AO$5:$AO$404,$AC509)),"B","T")))))))</f>
        <v/>
      </c>
      <c r="AF509">
        <f>IF(OR($AD509="",$AD509="Z",$AD509="B"),"",INDEX($X$5:$X$404,$AC509))</f>
        <v/>
      </c>
      <c r="AJ509">
        <f>IF($AD509&lt;&gt;"T",0,ROUND(SUMIF(oil!$B$4:$B$63,$AF509,oil!$AE$4:$AE$63),2))</f>
        <v/>
      </c>
      <c r="AQ509">
        <f>IF(OR($AD509="",$AD509="Z"),"",INDEX($AN$5:$AN$404,$AC509))</f>
        <v/>
      </c>
      <c r="AZ509">
        <f>IF(AND($AD509="T",$AQ509=1),N($AZ508)+1,N($AZ508))</f>
        <v/>
      </c>
    </row>
    <row r="510" ht="21" customHeight="1" s="66">
      <c r="A510" s="69">
        <f>IF($AD510="","",IF($AD510="Z","รวมจ่ายทั้งสิ้น",IF($AD510="H",INDEX($X$5:$X$404,$AC510),IF($AD510="T","รวม",IF($AD510="B",IFERROR(INDEX(อัตราค่าขนส่ง!$S$5:$S$14,MATCH(INDEX($AM$5:$AM$404,$AC510),อัตราค่าขนส่ง!$R$5:$R$14,0)),"รวมกลุ่ม "&amp;INDEX($AM$5:$AM$404,$AC510)),INDEX($AY$5:$AY$404,$AC510))))))</f>
        <v/>
      </c>
      <c r="B510" s="31">
        <f>IF($AD510&lt;&gt;"D","",INDEX($AW$5:$AW$404,$AC510))</f>
        <v/>
      </c>
      <c r="C510" s="68">
        <f>IF($AD510&lt;&gt;"D","",INDEX($AX$5:$AX$404,$AC510))</f>
        <v/>
      </c>
      <c r="D510" s="70">
        <f>IF($AD510&lt;&gt;"D","",INDEX($BA$5:$BA$404,$AC510))</f>
        <v/>
      </c>
      <c r="E510" s="31">
        <f>IF($AD510="Z",SUM($AR$5:$AR$404),IF($AD510="D",INDEX($AR$5:$AR$404,$AC510),IF($AD510="T",SUMIF($X$5:$X$404,$AF510,$AR$5:$AR$404),IF($AD510="B",SUMIF($AN$5:$AN$404,$AQ510,$AR$5:$AR$404),""))))</f>
        <v/>
      </c>
      <c r="F510" s="32">
        <f>IF($AD510="Z",ROUND(SUM($AS$5:$AS$404),2),IF($AD510="D",INDEX($AS$5:$AS$404,$AC510),IF($AD510="T",ROUND(SUMIF($X$5:$X$404,$AF510,$AS$5:$AS$404),2),IF($AD510="B",ROUND(SUMIF($AN$5:$AN$404,$AQ510,$AS$5:$AS$404),2),""))))</f>
        <v/>
      </c>
      <c r="G510" s="32">
        <f>IF($AD510&lt;&gt;"D","",INDEX($AT$5:$AT$404,$AC510))</f>
        <v/>
      </c>
      <c r="H510" s="32">
        <f>IF($AD510&lt;&gt;"D","",INDEX($BC$5:$BC$404,$AC510))</f>
        <v/>
      </c>
      <c r="I510" s="32">
        <f>IF($AD510&lt;&gt;"D","",INDEX($BD$5:$BD$404,$AC510))</f>
        <v/>
      </c>
      <c r="J510" s="46">
        <f>IF($AD510&lt;&gt;"D","",IF(N($B510)=0,"",ROUND($I510/$B510,4)))</f>
        <v/>
      </c>
      <c r="K510" s="32">
        <f>IF($AD510="Z",ROUND(SUM($AU$5:$AU$404),2),IF($AD510="D",INDEX($AU$5:$AU$404,$AC510),IF($AD510="T",ROUND(SUMIF($X$5:$X$404,$AF510,$AU$5:$AU$404),2),IF($AD510="B",ROUND(SUMIF($AN$5:$AN$404,$AQ510,$AU$5:$AU$404),2),""))))</f>
        <v/>
      </c>
      <c r="L510" s="32">
        <f>IF($AD510="Z",ROUND(SUM($AV$5:$AV$404),2),IF($AD510="D",INDEX($AV$5:$AV$404,$AC510),IF($AD510="T",ROUND(SUMIF($X$5:$X$404,$AF510,$AV$5:$AV$404),2),IF($AD510="B",ROUND(SUMIF($AN$5:$AN$404,$AQ510,$AV$5:$AV$404),2),""))))</f>
        <v/>
      </c>
      <c r="M510" s="32">
        <f>IF($AD510="Z",ROUND(SUM($AJ$5:$AJ$704),2),IF($AD510="B",ROUND(SUMIF($AQ$5:$AQ$704,$AQ510,$AJ$5:$AJ$704),2),IF($AD510&lt;&gt;"T","",$AJ510)))</f>
        <v/>
      </c>
      <c r="N510" s="32">
        <f>IF(OR($AD510="D",$AD510="T",$AD510="B",$AD510="Z"),ROUND(N($K510)-N($L510)-N($M510),2),"")</f>
        <v/>
      </c>
      <c r="O510" s="32">
        <f>IF(OR($AD510="D",$AD510="T",$AD510="B",$AD510="Z"),IF(N($E510)=0,"",ROUND($F510/$E510,2)),"")</f>
        <v/>
      </c>
      <c r="AC510">
        <f>IFERROR(MATCH(506,$AB$5:$AB$404,1),"")</f>
        <v/>
      </c>
      <c r="AD510">
        <f>IF(506=$AI$1+1,"Z",IF($AC510="","",IF(INDEX($V$5:$V$404,$AC510)="","",IF(506&gt;INDEX($AB$5:$AB$404,$AC510)+INDEX($Z$5:$Z$404,$AC510)+INDEX($AA$5:$AA$404,$AC510)+INDEX($AO$5:$AO$404,$AC510),"",IF(506=INDEX($AB$5:$AB$404,$AC510)+INDEX($Z$5:$Z$404,$AC510),"D",IF(AND(INDEX($Z$5:$Z$404,$AC510)=1,506=INDEX($AB$5:$AB$404,$AC510)),"H",IF(AND(INDEX($AO$5:$AO$404,$AC510)=1,506=INDEX($AB$5:$AB$404,$AC510)+INDEX($Z$5:$Z$404,$AC510)+INDEX($AA$5:$AA$404,$AC510)+INDEX($AO$5:$AO$404,$AC510)),"B","T")))))))</f>
        <v/>
      </c>
      <c r="AF510">
        <f>IF(OR($AD510="",$AD510="Z",$AD510="B"),"",INDEX($X$5:$X$404,$AC510))</f>
        <v/>
      </c>
      <c r="AJ510">
        <f>IF($AD510&lt;&gt;"T",0,ROUND(SUMIF(oil!$B$4:$B$63,$AF510,oil!$AE$4:$AE$63),2))</f>
        <v/>
      </c>
      <c r="AQ510">
        <f>IF(OR($AD510="",$AD510="Z"),"",INDEX($AN$5:$AN$404,$AC510))</f>
        <v/>
      </c>
      <c r="AZ510">
        <f>IF(AND($AD510="T",$AQ510=1),N($AZ509)+1,N($AZ509))</f>
        <v/>
      </c>
    </row>
    <row r="511" ht="21" customHeight="1" s="66">
      <c r="A511" s="69">
        <f>IF($AD511="","",IF($AD511="Z","รวมจ่ายทั้งสิ้น",IF($AD511="H",INDEX($X$5:$X$404,$AC511),IF($AD511="T","รวม",IF($AD511="B",IFERROR(INDEX(อัตราค่าขนส่ง!$S$5:$S$14,MATCH(INDEX($AM$5:$AM$404,$AC511),อัตราค่าขนส่ง!$R$5:$R$14,0)),"รวมกลุ่ม "&amp;INDEX($AM$5:$AM$404,$AC511)),INDEX($AY$5:$AY$404,$AC511))))))</f>
        <v/>
      </c>
      <c r="B511" s="31">
        <f>IF($AD511&lt;&gt;"D","",INDEX($AW$5:$AW$404,$AC511))</f>
        <v/>
      </c>
      <c r="C511" s="68">
        <f>IF($AD511&lt;&gt;"D","",INDEX($AX$5:$AX$404,$AC511))</f>
        <v/>
      </c>
      <c r="D511" s="70">
        <f>IF($AD511&lt;&gt;"D","",INDEX($BA$5:$BA$404,$AC511))</f>
        <v/>
      </c>
      <c r="E511" s="31">
        <f>IF($AD511="Z",SUM($AR$5:$AR$404),IF($AD511="D",INDEX($AR$5:$AR$404,$AC511),IF($AD511="T",SUMIF($X$5:$X$404,$AF511,$AR$5:$AR$404),IF($AD511="B",SUMIF($AN$5:$AN$404,$AQ511,$AR$5:$AR$404),""))))</f>
        <v/>
      </c>
      <c r="F511" s="32">
        <f>IF($AD511="Z",ROUND(SUM($AS$5:$AS$404),2),IF($AD511="D",INDEX($AS$5:$AS$404,$AC511),IF($AD511="T",ROUND(SUMIF($X$5:$X$404,$AF511,$AS$5:$AS$404),2),IF($AD511="B",ROUND(SUMIF($AN$5:$AN$404,$AQ511,$AS$5:$AS$404),2),""))))</f>
        <v/>
      </c>
      <c r="G511" s="32">
        <f>IF($AD511&lt;&gt;"D","",INDEX($AT$5:$AT$404,$AC511))</f>
        <v/>
      </c>
      <c r="H511" s="32">
        <f>IF($AD511&lt;&gt;"D","",INDEX($BC$5:$BC$404,$AC511))</f>
        <v/>
      </c>
      <c r="I511" s="32">
        <f>IF($AD511&lt;&gt;"D","",INDEX($BD$5:$BD$404,$AC511))</f>
        <v/>
      </c>
      <c r="J511" s="46">
        <f>IF($AD511&lt;&gt;"D","",IF(N($B511)=0,"",ROUND($I511/$B511,4)))</f>
        <v/>
      </c>
      <c r="K511" s="32">
        <f>IF($AD511="Z",ROUND(SUM($AU$5:$AU$404),2),IF($AD511="D",INDEX($AU$5:$AU$404,$AC511),IF($AD511="T",ROUND(SUMIF($X$5:$X$404,$AF511,$AU$5:$AU$404),2),IF($AD511="B",ROUND(SUMIF($AN$5:$AN$404,$AQ511,$AU$5:$AU$404),2),""))))</f>
        <v/>
      </c>
      <c r="L511" s="32">
        <f>IF($AD511="Z",ROUND(SUM($AV$5:$AV$404),2),IF($AD511="D",INDEX($AV$5:$AV$404,$AC511),IF($AD511="T",ROUND(SUMIF($X$5:$X$404,$AF511,$AV$5:$AV$404),2),IF($AD511="B",ROUND(SUMIF($AN$5:$AN$404,$AQ511,$AV$5:$AV$404),2),""))))</f>
        <v/>
      </c>
      <c r="M511" s="32">
        <f>IF($AD511="Z",ROUND(SUM($AJ$5:$AJ$704),2),IF($AD511="B",ROUND(SUMIF($AQ$5:$AQ$704,$AQ511,$AJ$5:$AJ$704),2),IF($AD511&lt;&gt;"T","",$AJ511)))</f>
        <v/>
      </c>
      <c r="N511" s="32">
        <f>IF(OR($AD511="D",$AD511="T",$AD511="B",$AD511="Z"),ROUND(N($K511)-N($L511)-N($M511),2),"")</f>
        <v/>
      </c>
      <c r="O511" s="32">
        <f>IF(OR($AD511="D",$AD511="T",$AD511="B",$AD511="Z"),IF(N($E511)=0,"",ROUND($F511/$E511,2)),"")</f>
        <v/>
      </c>
      <c r="AC511">
        <f>IFERROR(MATCH(507,$AB$5:$AB$404,1),"")</f>
        <v/>
      </c>
      <c r="AD511">
        <f>IF(507=$AI$1+1,"Z",IF($AC511="","",IF(INDEX($V$5:$V$404,$AC511)="","",IF(507&gt;INDEX($AB$5:$AB$404,$AC511)+INDEX($Z$5:$Z$404,$AC511)+INDEX($AA$5:$AA$404,$AC511)+INDEX($AO$5:$AO$404,$AC511),"",IF(507=INDEX($AB$5:$AB$404,$AC511)+INDEX($Z$5:$Z$404,$AC511),"D",IF(AND(INDEX($Z$5:$Z$404,$AC511)=1,507=INDEX($AB$5:$AB$404,$AC511)),"H",IF(AND(INDEX($AO$5:$AO$404,$AC511)=1,507=INDEX($AB$5:$AB$404,$AC511)+INDEX($Z$5:$Z$404,$AC511)+INDEX($AA$5:$AA$404,$AC511)+INDEX($AO$5:$AO$404,$AC511)),"B","T")))))))</f>
        <v/>
      </c>
      <c r="AF511">
        <f>IF(OR($AD511="",$AD511="Z",$AD511="B"),"",INDEX($X$5:$X$404,$AC511))</f>
        <v/>
      </c>
      <c r="AJ511">
        <f>IF($AD511&lt;&gt;"T",0,ROUND(SUMIF(oil!$B$4:$B$63,$AF511,oil!$AE$4:$AE$63),2))</f>
        <v/>
      </c>
      <c r="AQ511">
        <f>IF(OR($AD511="",$AD511="Z"),"",INDEX($AN$5:$AN$404,$AC511))</f>
        <v/>
      </c>
      <c r="AZ511">
        <f>IF(AND($AD511="T",$AQ511=1),N($AZ510)+1,N($AZ510))</f>
        <v/>
      </c>
    </row>
    <row r="512" ht="21" customHeight="1" s="66">
      <c r="A512" s="69">
        <f>IF($AD512="","",IF($AD512="Z","รวมจ่ายทั้งสิ้น",IF($AD512="H",INDEX($X$5:$X$404,$AC512),IF($AD512="T","รวม",IF($AD512="B",IFERROR(INDEX(อัตราค่าขนส่ง!$S$5:$S$14,MATCH(INDEX($AM$5:$AM$404,$AC512),อัตราค่าขนส่ง!$R$5:$R$14,0)),"รวมกลุ่ม "&amp;INDEX($AM$5:$AM$404,$AC512)),INDEX($AY$5:$AY$404,$AC512))))))</f>
        <v/>
      </c>
      <c r="B512" s="31">
        <f>IF($AD512&lt;&gt;"D","",INDEX($AW$5:$AW$404,$AC512))</f>
        <v/>
      </c>
      <c r="C512" s="68">
        <f>IF($AD512&lt;&gt;"D","",INDEX($AX$5:$AX$404,$AC512))</f>
        <v/>
      </c>
      <c r="D512" s="70">
        <f>IF($AD512&lt;&gt;"D","",INDEX($BA$5:$BA$404,$AC512))</f>
        <v/>
      </c>
      <c r="E512" s="31">
        <f>IF($AD512="Z",SUM($AR$5:$AR$404),IF($AD512="D",INDEX($AR$5:$AR$404,$AC512),IF($AD512="T",SUMIF($X$5:$X$404,$AF512,$AR$5:$AR$404),IF($AD512="B",SUMIF($AN$5:$AN$404,$AQ512,$AR$5:$AR$404),""))))</f>
        <v/>
      </c>
      <c r="F512" s="32">
        <f>IF($AD512="Z",ROUND(SUM($AS$5:$AS$404),2),IF($AD512="D",INDEX($AS$5:$AS$404,$AC512),IF($AD512="T",ROUND(SUMIF($X$5:$X$404,$AF512,$AS$5:$AS$404),2),IF($AD512="B",ROUND(SUMIF($AN$5:$AN$404,$AQ512,$AS$5:$AS$404),2),""))))</f>
        <v/>
      </c>
      <c r="G512" s="32">
        <f>IF($AD512&lt;&gt;"D","",INDEX($AT$5:$AT$404,$AC512))</f>
        <v/>
      </c>
      <c r="H512" s="32">
        <f>IF($AD512&lt;&gt;"D","",INDEX($BC$5:$BC$404,$AC512))</f>
        <v/>
      </c>
      <c r="I512" s="32">
        <f>IF($AD512&lt;&gt;"D","",INDEX($BD$5:$BD$404,$AC512))</f>
        <v/>
      </c>
      <c r="J512" s="46">
        <f>IF($AD512&lt;&gt;"D","",IF(N($B512)=0,"",ROUND($I512/$B512,4)))</f>
        <v/>
      </c>
      <c r="K512" s="32">
        <f>IF($AD512="Z",ROUND(SUM($AU$5:$AU$404),2),IF($AD512="D",INDEX($AU$5:$AU$404,$AC512),IF($AD512="T",ROUND(SUMIF($X$5:$X$404,$AF512,$AU$5:$AU$404),2),IF($AD512="B",ROUND(SUMIF($AN$5:$AN$404,$AQ512,$AU$5:$AU$404),2),""))))</f>
        <v/>
      </c>
      <c r="L512" s="32">
        <f>IF($AD512="Z",ROUND(SUM($AV$5:$AV$404),2),IF($AD512="D",INDEX($AV$5:$AV$404,$AC512),IF($AD512="T",ROUND(SUMIF($X$5:$X$404,$AF512,$AV$5:$AV$404),2),IF($AD512="B",ROUND(SUMIF($AN$5:$AN$404,$AQ512,$AV$5:$AV$404),2),""))))</f>
        <v/>
      </c>
      <c r="M512" s="32">
        <f>IF($AD512="Z",ROUND(SUM($AJ$5:$AJ$704),2),IF($AD512="B",ROUND(SUMIF($AQ$5:$AQ$704,$AQ512,$AJ$5:$AJ$704),2),IF($AD512&lt;&gt;"T","",$AJ512)))</f>
        <v/>
      </c>
      <c r="N512" s="32">
        <f>IF(OR($AD512="D",$AD512="T",$AD512="B",$AD512="Z"),ROUND(N($K512)-N($L512)-N($M512),2),"")</f>
        <v/>
      </c>
      <c r="O512" s="32">
        <f>IF(OR($AD512="D",$AD512="T",$AD512="B",$AD512="Z"),IF(N($E512)=0,"",ROUND($F512/$E512,2)),"")</f>
        <v/>
      </c>
      <c r="AC512">
        <f>IFERROR(MATCH(508,$AB$5:$AB$404,1),"")</f>
        <v/>
      </c>
      <c r="AD512">
        <f>IF(508=$AI$1+1,"Z",IF($AC512="","",IF(INDEX($V$5:$V$404,$AC512)="","",IF(508&gt;INDEX($AB$5:$AB$404,$AC512)+INDEX($Z$5:$Z$404,$AC512)+INDEX($AA$5:$AA$404,$AC512)+INDEX($AO$5:$AO$404,$AC512),"",IF(508=INDEX($AB$5:$AB$404,$AC512)+INDEX($Z$5:$Z$404,$AC512),"D",IF(AND(INDEX($Z$5:$Z$404,$AC512)=1,508=INDEX($AB$5:$AB$404,$AC512)),"H",IF(AND(INDEX($AO$5:$AO$404,$AC512)=1,508=INDEX($AB$5:$AB$404,$AC512)+INDEX($Z$5:$Z$404,$AC512)+INDEX($AA$5:$AA$404,$AC512)+INDEX($AO$5:$AO$404,$AC512)),"B","T")))))))</f>
        <v/>
      </c>
      <c r="AF512">
        <f>IF(OR($AD512="",$AD512="Z",$AD512="B"),"",INDEX($X$5:$X$404,$AC512))</f>
        <v/>
      </c>
      <c r="AJ512">
        <f>IF($AD512&lt;&gt;"T",0,ROUND(SUMIF(oil!$B$4:$B$63,$AF512,oil!$AE$4:$AE$63),2))</f>
        <v/>
      </c>
      <c r="AQ512">
        <f>IF(OR($AD512="",$AD512="Z"),"",INDEX($AN$5:$AN$404,$AC512))</f>
        <v/>
      </c>
      <c r="AZ512">
        <f>IF(AND($AD512="T",$AQ512=1),N($AZ511)+1,N($AZ511))</f>
        <v/>
      </c>
    </row>
    <row r="513" ht="21" customHeight="1" s="66">
      <c r="A513" s="69">
        <f>IF($AD513="","",IF($AD513="Z","รวมจ่ายทั้งสิ้น",IF($AD513="H",INDEX($X$5:$X$404,$AC513),IF($AD513="T","รวม",IF($AD513="B",IFERROR(INDEX(อัตราค่าขนส่ง!$S$5:$S$14,MATCH(INDEX($AM$5:$AM$404,$AC513),อัตราค่าขนส่ง!$R$5:$R$14,0)),"รวมกลุ่ม "&amp;INDEX($AM$5:$AM$404,$AC513)),INDEX($AY$5:$AY$404,$AC513))))))</f>
        <v/>
      </c>
      <c r="B513" s="31">
        <f>IF($AD513&lt;&gt;"D","",INDEX($AW$5:$AW$404,$AC513))</f>
        <v/>
      </c>
      <c r="C513" s="68">
        <f>IF($AD513&lt;&gt;"D","",INDEX($AX$5:$AX$404,$AC513))</f>
        <v/>
      </c>
      <c r="D513" s="70">
        <f>IF($AD513&lt;&gt;"D","",INDEX($BA$5:$BA$404,$AC513))</f>
        <v/>
      </c>
      <c r="E513" s="31">
        <f>IF($AD513="Z",SUM($AR$5:$AR$404),IF($AD513="D",INDEX($AR$5:$AR$404,$AC513),IF($AD513="T",SUMIF($X$5:$X$404,$AF513,$AR$5:$AR$404),IF($AD513="B",SUMIF($AN$5:$AN$404,$AQ513,$AR$5:$AR$404),""))))</f>
        <v/>
      </c>
      <c r="F513" s="32">
        <f>IF($AD513="Z",ROUND(SUM($AS$5:$AS$404),2),IF($AD513="D",INDEX($AS$5:$AS$404,$AC513),IF($AD513="T",ROUND(SUMIF($X$5:$X$404,$AF513,$AS$5:$AS$404),2),IF($AD513="B",ROUND(SUMIF($AN$5:$AN$404,$AQ513,$AS$5:$AS$404),2),""))))</f>
        <v/>
      </c>
      <c r="G513" s="32">
        <f>IF($AD513&lt;&gt;"D","",INDEX($AT$5:$AT$404,$AC513))</f>
        <v/>
      </c>
      <c r="H513" s="32">
        <f>IF($AD513&lt;&gt;"D","",INDEX($BC$5:$BC$404,$AC513))</f>
        <v/>
      </c>
      <c r="I513" s="32">
        <f>IF($AD513&lt;&gt;"D","",INDEX($BD$5:$BD$404,$AC513))</f>
        <v/>
      </c>
      <c r="J513" s="46">
        <f>IF($AD513&lt;&gt;"D","",IF(N($B513)=0,"",ROUND($I513/$B513,4)))</f>
        <v/>
      </c>
      <c r="K513" s="32">
        <f>IF($AD513="Z",ROUND(SUM($AU$5:$AU$404),2),IF($AD513="D",INDEX($AU$5:$AU$404,$AC513),IF($AD513="T",ROUND(SUMIF($X$5:$X$404,$AF513,$AU$5:$AU$404),2),IF($AD513="B",ROUND(SUMIF($AN$5:$AN$404,$AQ513,$AU$5:$AU$404),2),""))))</f>
        <v/>
      </c>
      <c r="L513" s="32">
        <f>IF($AD513="Z",ROUND(SUM($AV$5:$AV$404),2),IF($AD513="D",INDEX($AV$5:$AV$404,$AC513),IF($AD513="T",ROUND(SUMIF($X$5:$X$404,$AF513,$AV$5:$AV$404),2),IF($AD513="B",ROUND(SUMIF($AN$5:$AN$404,$AQ513,$AV$5:$AV$404),2),""))))</f>
        <v/>
      </c>
      <c r="M513" s="32">
        <f>IF($AD513="Z",ROUND(SUM($AJ$5:$AJ$704),2),IF($AD513="B",ROUND(SUMIF($AQ$5:$AQ$704,$AQ513,$AJ$5:$AJ$704),2),IF($AD513&lt;&gt;"T","",$AJ513)))</f>
        <v/>
      </c>
      <c r="N513" s="32">
        <f>IF(OR($AD513="D",$AD513="T",$AD513="B",$AD513="Z"),ROUND(N($K513)-N($L513)-N($M513),2),"")</f>
        <v/>
      </c>
      <c r="O513" s="32">
        <f>IF(OR($AD513="D",$AD513="T",$AD513="B",$AD513="Z"),IF(N($E513)=0,"",ROUND($F513/$E513,2)),"")</f>
        <v/>
      </c>
      <c r="AC513">
        <f>IFERROR(MATCH(509,$AB$5:$AB$404,1),"")</f>
        <v/>
      </c>
      <c r="AD513">
        <f>IF(509=$AI$1+1,"Z",IF($AC513="","",IF(INDEX($V$5:$V$404,$AC513)="","",IF(509&gt;INDEX($AB$5:$AB$404,$AC513)+INDEX($Z$5:$Z$404,$AC513)+INDEX($AA$5:$AA$404,$AC513)+INDEX($AO$5:$AO$404,$AC513),"",IF(509=INDEX($AB$5:$AB$404,$AC513)+INDEX($Z$5:$Z$404,$AC513),"D",IF(AND(INDEX($Z$5:$Z$404,$AC513)=1,509=INDEX($AB$5:$AB$404,$AC513)),"H",IF(AND(INDEX($AO$5:$AO$404,$AC513)=1,509=INDEX($AB$5:$AB$404,$AC513)+INDEX($Z$5:$Z$404,$AC513)+INDEX($AA$5:$AA$404,$AC513)+INDEX($AO$5:$AO$404,$AC513)),"B","T")))))))</f>
        <v/>
      </c>
      <c r="AF513">
        <f>IF(OR($AD513="",$AD513="Z",$AD513="B"),"",INDEX($X$5:$X$404,$AC513))</f>
        <v/>
      </c>
      <c r="AJ513">
        <f>IF($AD513&lt;&gt;"T",0,ROUND(SUMIF(oil!$B$4:$B$63,$AF513,oil!$AE$4:$AE$63),2))</f>
        <v/>
      </c>
      <c r="AQ513">
        <f>IF(OR($AD513="",$AD513="Z"),"",INDEX($AN$5:$AN$404,$AC513))</f>
        <v/>
      </c>
      <c r="AZ513">
        <f>IF(AND($AD513="T",$AQ513=1),N($AZ512)+1,N($AZ512))</f>
        <v/>
      </c>
    </row>
    <row r="514" ht="21" customHeight="1" s="66">
      <c r="A514" s="69">
        <f>IF($AD514="","",IF($AD514="Z","รวมจ่ายทั้งสิ้น",IF($AD514="H",INDEX($X$5:$X$404,$AC514),IF($AD514="T","รวม",IF($AD514="B",IFERROR(INDEX(อัตราค่าขนส่ง!$S$5:$S$14,MATCH(INDEX($AM$5:$AM$404,$AC514),อัตราค่าขนส่ง!$R$5:$R$14,0)),"รวมกลุ่ม "&amp;INDEX($AM$5:$AM$404,$AC514)),INDEX($AY$5:$AY$404,$AC514))))))</f>
        <v/>
      </c>
      <c r="B514" s="31">
        <f>IF($AD514&lt;&gt;"D","",INDEX($AW$5:$AW$404,$AC514))</f>
        <v/>
      </c>
      <c r="C514" s="68">
        <f>IF($AD514&lt;&gt;"D","",INDEX($AX$5:$AX$404,$AC514))</f>
        <v/>
      </c>
      <c r="D514" s="70">
        <f>IF($AD514&lt;&gt;"D","",INDEX($BA$5:$BA$404,$AC514))</f>
        <v/>
      </c>
      <c r="E514" s="31">
        <f>IF($AD514="Z",SUM($AR$5:$AR$404),IF($AD514="D",INDEX($AR$5:$AR$404,$AC514),IF($AD514="T",SUMIF($X$5:$X$404,$AF514,$AR$5:$AR$404),IF($AD514="B",SUMIF($AN$5:$AN$404,$AQ514,$AR$5:$AR$404),""))))</f>
        <v/>
      </c>
      <c r="F514" s="32">
        <f>IF($AD514="Z",ROUND(SUM($AS$5:$AS$404),2),IF($AD514="D",INDEX($AS$5:$AS$404,$AC514),IF($AD514="T",ROUND(SUMIF($X$5:$X$404,$AF514,$AS$5:$AS$404),2),IF($AD514="B",ROUND(SUMIF($AN$5:$AN$404,$AQ514,$AS$5:$AS$404),2),""))))</f>
        <v/>
      </c>
      <c r="G514" s="32">
        <f>IF($AD514&lt;&gt;"D","",INDEX($AT$5:$AT$404,$AC514))</f>
        <v/>
      </c>
      <c r="H514" s="32">
        <f>IF($AD514&lt;&gt;"D","",INDEX($BC$5:$BC$404,$AC514))</f>
        <v/>
      </c>
      <c r="I514" s="32">
        <f>IF($AD514&lt;&gt;"D","",INDEX($BD$5:$BD$404,$AC514))</f>
        <v/>
      </c>
      <c r="J514" s="46">
        <f>IF($AD514&lt;&gt;"D","",IF(N($B514)=0,"",ROUND($I514/$B514,4)))</f>
        <v/>
      </c>
      <c r="K514" s="32">
        <f>IF($AD514="Z",ROUND(SUM($AU$5:$AU$404),2),IF($AD514="D",INDEX($AU$5:$AU$404,$AC514),IF($AD514="T",ROUND(SUMIF($X$5:$X$404,$AF514,$AU$5:$AU$404),2),IF($AD514="B",ROUND(SUMIF($AN$5:$AN$404,$AQ514,$AU$5:$AU$404),2),""))))</f>
        <v/>
      </c>
      <c r="L514" s="32">
        <f>IF($AD514="Z",ROUND(SUM($AV$5:$AV$404),2),IF($AD514="D",INDEX($AV$5:$AV$404,$AC514),IF($AD514="T",ROUND(SUMIF($X$5:$X$404,$AF514,$AV$5:$AV$404),2),IF($AD514="B",ROUND(SUMIF($AN$5:$AN$404,$AQ514,$AV$5:$AV$404),2),""))))</f>
        <v/>
      </c>
      <c r="M514" s="32">
        <f>IF($AD514="Z",ROUND(SUM($AJ$5:$AJ$704),2),IF($AD514="B",ROUND(SUMIF($AQ$5:$AQ$704,$AQ514,$AJ$5:$AJ$704),2),IF($AD514&lt;&gt;"T","",$AJ514)))</f>
        <v/>
      </c>
      <c r="N514" s="32">
        <f>IF(OR($AD514="D",$AD514="T",$AD514="B",$AD514="Z"),ROUND(N($K514)-N($L514)-N($M514),2),"")</f>
        <v/>
      </c>
      <c r="O514" s="32">
        <f>IF(OR($AD514="D",$AD514="T",$AD514="B",$AD514="Z"),IF(N($E514)=0,"",ROUND($F514/$E514,2)),"")</f>
        <v/>
      </c>
      <c r="AC514">
        <f>IFERROR(MATCH(510,$AB$5:$AB$404,1),"")</f>
        <v/>
      </c>
      <c r="AD514">
        <f>IF(510=$AI$1+1,"Z",IF($AC514="","",IF(INDEX($V$5:$V$404,$AC514)="","",IF(510&gt;INDEX($AB$5:$AB$404,$AC514)+INDEX($Z$5:$Z$404,$AC514)+INDEX($AA$5:$AA$404,$AC514)+INDEX($AO$5:$AO$404,$AC514),"",IF(510=INDEX($AB$5:$AB$404,$AC514)+INDEX($Z$5:$Z$404,$AC514),"D",IF(AND(INDEX($Z$5:$Z$404,$AC514)=1,510=INDEX($AB$5:$AB$404,$AC514)),"H",IF(AND(INDEX($AO$5:$AO$404,$AC514)=1,510=INDEX($AB$5:$AB$404,$AC514)+INDEX($Z$5:$Z$404,$AC514)+INDEX($AA$5:$AA$404,$AC514)+INDEX($AO$5:$AO$404,$AC514)),"B","T")))))))</f>
        <v/>
      </c>
      <c r="AF514">
        <f>IF(OR($AD514="",$AD514="Z",$AD514="B"),"",INDEX($X$5:$X$404,$AC514))</f>
        <v/>
      </c>
      <c r="AJ514">
        <f>IF($AD514&lt;&gt;"T",0,ROUND(SUMIF(oil!$B$4:$B$63,$AF514,oil!$AE$4:$AE$63),2))</f>
        <v/>
      </c>
      <c r="AQ514">
        <f>IF(OR($AD514="",$AD514="Z"),"",INDEX($AN$5:$AN$404,$AC514))</f>
        <v/>
      </c>
      <c r="AZ514">
        <f>IF(AND($AD514="T",$AQ514=1),N($AZ513)+1,N($AZ513))</f>
        <v/>
      </c>
    </row>
    <row r="515" ht="21" customHeight="1" s="66">
      <c r="A515" s="69">
        <f>IF($AD515="","",IF($AD515="Z","รวมจ่ายทั้งสิ้น",IF($AD515="H",INDEX($X$5:$X$404,$AC515),IF($AD515="T","รวม",IF($AD515="B",IFERROR(INDEX(อัตราค่าขนส่ง!$S$5:$S$14,MATCH(INDEX($AM$5:$AM$404,$AC515),อัตราค่าขนส่ง!$R$5:$R$14,0)),"รวมกลุ่ม "&amp;INDEX($AM$5:$AM$404,$AC515)),INDEX($AY$5:$AY$404,$AC515))))))</f>
        <v/>
      </c>
      <c r="B515" s="31">
        <f>IF($AD515&lt;&gt;"D","",INDEX($AW$5:$AW$404,$AC515))</f>
        <v/>
      </c>
      <c r="C515" s="68">
        <f>IF($AD515&lt;&gt;"D","",INDEX($AX$5:$AX$404,$AC515))</f>
        <v/>
      </c>
      <c r="D515" s="70">
        <f>IF($AD515&lt;&gt;"D","",INDEX($BA$5:$BA$404,$AC515))</f>
        <v/>
      </c>
      <c r="E515" s="31">
        <f>IF($AD515="Z",SUM($AR$5:$AR$404),IF($AD515="D",INDEX($AR$5:$AR$404,$AC515),IF($AD515="T",SUMIF($X$5:$X$404,$AF515,$AR$5:$AR$404),IF($AD515="B",SUMIF($AN$5:$AN$404,$AQ515,$AR$5:$AR$404),""))))</f>
        <v/>
      </c>
      <c r="F515" s="32">
        <f>IF($AD515="Z",ROUND(SUM($AS$5:$AS$404),2),IF($AD515="D",INDEX($AS$5:$AS$404,$AC515),IF($AD515="T",ROUND(SUMIF($X$5:$X$404,$AF515,$AS$5:$AS$404),2),IF($AD515="B",ROUND(SUMIF($AN$5:$AN$404,$AQ515,$AS$5:$AS$404),2),""))))</f>
        <v/>
      </c>
      <c r="G515" s="32">
        <f>IF($AD515&lt;&gt;"D","",INDEX($AT$5:$AT$404,$AC515))</f>
        <v/>
      </c>
      <c r="H515" s="32">
        <f>IF($AD515&lt;&gt;"D","",INDEX($BC$5:$BC$404,$AC515))</f>
        <v/>
      </c>
      <c r="I515" s="32">
        <f>IF($AD515&lt;&gt;"D","",INDEX($BD$5:$BD$404,$AC515))</f>
        <v/>
      </c>
      <c r="J515" s="46">
        <f>IF($AD515&lt;&gt;"D","",IF(N($B515)=0,"",ROUND($I515/$B515,4)))</f>
        <v/>
      </c>
      <c r="K515" s="32">
        <f>IF($AD515="Z",ROUND(SUM($AU$5:$AU$404),2),IF($AD515="D",INDEX($AU$5:$AU$404,$AC515),IF($AD515="T",ROUND(SUMIF($X$5:$X$404,$AF515,$AU$5:$AU$404),2),IF($AD515="B",ROUND(SUMIF($AN$5:$AN$404,$AQ515,$AU$5:$AU$404),2),""))))</f>
        <v/>
      </c>
      <c r="L515" s="32">
        <f>IF($AD515="Z",ROUND(SUM($AV$5:$AV$404),2),IF($AD515="D",INDEX($AV$5:$AV$404,$AC515),IF($AD515="T",ROUND(SUMIF($X$5:$X$404,$AF515,$AV$5:$AV$404),2),IF($AD515="B",ROUND(SUMIF($AN$5:$AN$404,$AQ515,$AV$5:$AV$404),2),""))))</f>
        <v/>
      </c>
      <c r="M515" s="32">
        <f>IF($AD515="Z",ROUND(SUM($AJ$5:$AJ$704),2),IF($AD515="B",ROUND(SUMIF($AQ$5:$AQ$704,$AQ515,$AJ$5:$AJ$704),2),IF($AD515&lt;&gt;"T","",$AJ515)))</f>
        <v/>
      </c>
      <c r="N515" s="32">
        <f>IF(OR($AD515="D",$AD515="T",$AD515="B",$AD515="Z"),ROUND(N($K515)-N($L515)-N($M515),2),"")</f>
        <v/>
      </c>
      <c r="O515" s="32">
        <f>IF(OR($AD515="D",$AD515="T",$AD515="B",$AD515="Z"),IF(N($E515)=0,"",ROUND($F515/$E515,2)),"")</f>
        <v/>
      </c>
      <c r="AC515">
        <f>IFERROR(MATCH(511,$AB$5:$AB$404,1),"")</f>
        <v/>
      </c>
      <c r="AD515">
        <f>IF(511=$AI$1+1,"Z",IF($AC515="","",IF(INDEX($V$5:$V$404,$AC515)="","",IF(511&gt;INDEX($AB$5:$AB$404,$AC515)+INDEX($Z$5:$Z$404,$AC515)+INDEX($AA$5:$AA$404,$AC515)+INDEX($AO$5:$AO$404,$AC515),"",IF(511=INDEX($AB$5:$AB$404,$AC515)+INDEX($Z$5:$Z$404,$AC515),"D",IF(AND(INDEX($Z$5:$Z$404,$AC515)=1,511=INDEX($AB$5:$AB$404,$AC515)),"H",IF(AND(INDEX($AO$5:$AO$404,$AC515)=1,511=INDEX($AB$5:$AB$404,$AC515)+INDEX($Z$5:$Z$404,$AC515)+INDEX($AA$5:$AA$404,$AC515)+INDEX($AO$5:$AO$404,$AC515)),"B","T")))))))</f>
        <v/>
      </c>
      <c r="AF515">
        <f>IF(OR($AD515="",$AD515="Z",$AD515="B"),"",INDEX($X$5:$X$404,$AC515))</f>
        <v/>
      </c>
      <c r="AJ515">
        <f>IF($AD515&lt;&gt;"T",0,ROUND(SUMIF(oil!$B$4:$B$63,$AF515,oil!$AE$4:$AE$63),2))</f>
        <v/>
      </c>
      <c r="AQ515">
        <f>IF(OR($AD515="",$AD515="Z"),"",INDEX($AN$5:$AN$404,$AC515))</f>
        <v/>
      </c>
      <c r="AZ515">
        <f>IF(AND($AD515="T",$AQ515=1),N($AZ514)+1,N($AZ514))</f>
        <v/>
      </c>
    </row>
    <row r="516" ht="21" customHeight="1" s="66">
      <c r="A516" s="69">
        <f>IF($AD516="","",IF($AD516="Z","รวมจ่ายทั้งสิ้น",IF($AD516="H",INDEX($X$5:$X$404,$AC516),IF($AD516="T","รวม",IF($AD516="B",IFERROR(INDEX(อัตราค่าขนส่ง!$S$5:$S$14,MATCH(INDEX($AM$5:$AM$404,$AC516),อัตราค่าขนส่ง!$R$5:$R$14,0)),"รวมกลุ่ม "&amp;INDEX($AM$5:$AM$404,$AC516)),INDEX($AY$5:$AY$404,$AC516))))))</f>
        <v/>
      </c>
      <c r="B516" s="31">
        <f>IF($AD516&lt;&gt;"D","",INDEX($AW$5:$AW$404,$AC516))</f>
        <v/>
      </c>
      <c r="C516" s="68">
        <f>IF($AD516&lt;&gt;"D","",INDEX($AX$5:$AX$404,$AC516))</f>
        <v/>
      </c>
      <c r="D516" s="70">
        <f>IF($AD516&lt;&gt;"D","",INDEX($BA$5:$BA$404,$AC516))</f>
        <v/>
      </c>
      <c r="E516" s="31">
        <f>IF($AD516="Z",SUM($AR$5:$AR$404),IF($AD516="D",INDEX($AR$5:$AR$404,$AC516),IF($AD516="T",SUMIF($X$5:$X$404,$AF516,$AR$5:$AR$404),IF($AD516="B",SUMIF($AN$5:$AN$404,$AQ516,$AR$5:$AR$404),""))))</f>
        <v/>
      </c>
      <c r="F516" s="32">
        <f>IF($AD516="Z",ROUND(SUM($AS$5:$AS$404),2),IF($AD516="D",INDEX($AS$5:$AS$404,$AC516),IF($AD516="T",ROUND(SUMIF($X$5:$X$404,$AF516,$AS$5:$AS$404),2),IF($AD516="B",ROUND(SUMIF($AN$5:$AN$404,$AQ516,$AS$5:$AS$404),2),""))))</f>
        <v/>
      </c>
      <c r="G516" s="32">
        <f>IF($AD516&lt;&gt;"D","",INDEX($AT$5:$AT$404,$AC516))</f>
        <v/>
      </c>
      <c r="H516" s="32">
        <f>IF($AD516&lt;&gt;"D","",INDEX($BC$5:$BC$404,$AC516))</f>
        <v/>
      </c>
      <c r="I516" s="32">
        <f>IF($AD516&lt;&gt;"D","",INDEX($BD$5:$BD$404,$AC516))</f>
        <v/>
      </c>
      <c r="J516" s="46">
        <f>IF($AD516&lt;&gt;"D","",IF(N($B516)=0,"",ROUND($I516/$B516,4)))</f>
        <v/>
      </c>
      <c r="K516" s="32">
        <f>IF($AD516="Z",ROUND(SUM($AU$5:$AU$404),2),IF($AD516="D",INDEX($AU$5:$AU$404,$AC516),IF($AD516="T",ROUND(SUMIF($X$5:$X$404,$AF516,$AU$5:$AU$404),2),IF($AD516="B",ROUND(SUMIF($AN$5:$AN$404,$AQ516,$AU$5:$AU$404),2),""))))</f>
        <v/>
      </c>
      <c r="L516" s="32">
        <f>IF($AD516="Z",ROUND(SUM($AV$5:$AV$404),2),IF($AD516="D",INDEX($AV$5:$AV$404,$AC516),IF($AD516="T",ROUND(SUMIF($X$5:$X$404,$AF516,$AV$5:$AV$404),2),IF($AD516="B",ROUND(SUMIF($AN$5:$AN$404,$AQ516,$AV$5:$AV$404),2),""))))</f>
        <v/>
      </c>
      <c r="M516" s="32">
        <f>IF($AD516="Z",ROUND(SUM($AJ$5:$AJ$704),2),IF($AD516="B",ROUND(SUMIF($AQ$5:$AQ$704,$AQ516,$AJ$5:$AJ$704),2),IF($AD516&lt;&gt;"T","",$AJ516)))</f>
        <v/>
      </c>
      <c r="N516" s="32">
        <f>IF(OR($AD516="D",$AD516="T",$AD516="B",$AD516="Z"),ROUND(N($K516)-N($L516)-N($M516),2),"")</f>
        <v/>
      </c>
      <c r="O516" s="32">
        <f>IF(OR($AD516="D",$AD516="T",$AD516="B",$AD516="Z"),IF(N($E516)=0,"",ROUND($F516/$E516,2)),"")</f>
        <v/>
      </c>
      <c r="AC516">
        <f>IFERROR(MATCH(512,$AB$5:$AB$404,1),"")</f>
        <v/>
      </c>
      <c r="AD516">
        <f>IF(512=$AI$1+1,"Z",IF($AC516="","",IF(INDEX($V$5:$V$404,$AC516)="","",IF(512&gt;INDEX($AB$5:$AB$404,$AC516)+INDEX($Z$5:$Z$404,$AC516)+INDEX($AA$5:$AA$404,$AC516)+INDEX($AO$5:$AO$404,$AC516),"",IF(512=INDEX($AB$5:$AB$404,$AC516)+INDEX($Z$5:$Z$404,$AC516),"D",IF(AND(INDEX($Z$5:$Z$404,$AC516)=1,512=INDEX($AB$5:$AB$404,$AC516)),"H",IF(AND(INDEX($AO$5:$AO$404,$AC516)=1,512=INDEX($AB$5:$AB$404,$AC516)+INDEX($Z$5:$Z$404,$AC516)+INDEX($AA$5:$AA$404,$AC516)+INDEX($AO$5:$AO$404,$AC516)),"B","T")))))))</f>
        <v/>
      </c>
      <c r="AF516">
        <f>IF(OR($AD516="",$AD516="Z",$AD516="B"),"",INDEX($X$5:$X$404,$AC516))</f>
        <v/>
      </c>
      <c r="AJ516">
        <f>IF($AD516&lt;&gt;"T",0,ROUND(SUMIF(oil!$B$4:$B$63,$AF516,oil!$AE$4:$AE$63),2))</f>
        <v/>
      </c>
      <c r="AQ516">
        <f>IF(OR($AD516="",$AD516="Z"),"",INDEX($AN$5:$AN$404,$AC516))</f>
        <v/>
      </c>
      <c r="AZ516">
        <f>IF(AND($AD516="T",$AQ516=1),N($AZ515)+1,N($AZ515))</f>
        <v/>
      </c>
    </row>
    <row r="517" ht="21" customHeight="1" s="66">
      <c r="A517" s="69">
        <f>IF($AD517="","",IF($AD517="Z","รวมจ่ายทั้งสิ้น",IF($AD517="H",INDEX($X$5:$X$404,$AC517),IF($AD517="T","รวม",IF($AD517="B",IFERROR(INDEX(อัตราค่าขนส่ง!$S$5:$S$14,MATCH(INDEX($AM$5:$AM$404,$AC517),อัตราค่าขนส่ง!$R$5:$R$14,0)),"รวมกลุ่ม "&amp;INDEX($AM$5:$AM$404,$AC517)),INDEX($AY$5:$AY$404,$AC517))))))</f>
        <v/>
      </c>
      <c r="B517" s="31">
        <f>IF($AD517&lt;&gt;"D","",INDEX($AW$5:$AW$404,$AC517))</f>
        <v/>
      </c>
      <c r="C517" s="68">
        <f>IF($AD517&lt;&gt;"D","",INDEX($AX$5:$AX$404,$AC517))</f>
        <v/>
      </c>
      <c r="D517" s="70">
        <f>IF($AD517&lt;&gt;"D","",INDEX($BA$5:$BA$404,$AC517))</f>
        <v/>
      </c>
      <c r="E517" s="31">
        <f>IF($AD517="Z",SUM($AR$5:$AR$404),IF($AD517="D",INDEX($AR$5:$AR$404,$AC517),IF($AD517="T",SUMIF($X$5:$X$404,$AF517,$AR$5:$AR$404),IF($AD517="B",SUMIF($AN$5:$AN$404,$AQ517,$AR$5:$AR$404),""))))</f>
        <v/>
      </c>
      <c r="F517" s="32">
        <f>IF($AD517="Z",ROUND(SUM($AS$5:$AS$404),2),IF($AD517="D",INDEX($AS$5:$AS$404,$AC517),IF($AD517="T",ROUND(SUMIF($X$5:$X$404,$AF517,$AS$5:$AS$404),2),IF($AD517="B",ROUND(SUMIF($AN$5:$AN$404,$AQ517,$AS$5:$AS$404),2),""))))</f>
        <v/>
      </c>
      <c r="G517" s="32">
        <f>IF($AD517&lt;&gt;"D","",INDEX($AT$5:$AT$404,$AC517))</f>
        <v/>
      </c>
      <c r="H517" s="32">
        <f>IF($AD517&lt;&gt;"D","",INDEX($BC$5:$BC$404,$AC517))</f>
        <v/>
      </c>
      <c r="I517" s="32">
        <f>IF($AD517&lt;&gt;"D","",INDEX($BD$5:$BD$404,$AC517))</f>
        <v/>
      </c>
      <c r="J517" s="46">
        <f>IF($AD517&lt;&gt;"D","",IF(N($B517)=0,"",ROUND($I517/$B517,4)))</f>
        <v/>
      </c>
      <c r="K517" s="32">
        <f>IF($AD517="Z",ROUND(SUM($AU$5:$AU$404),2),IF($AD517="D",INDEX($AU$5:$AU$404,$AC517),IF($AD517="T",ROUND(SUMIF($X$5:$X$404,$AF517,$AU$5:$AU$404),2),IF($AD517="B",ROUND(SUMIF($AN$5:$AN$404,$AQ517,$AU$5:$AU$404),2),""))))</f>
        <v/>
      </c>
      <c r="L517" s="32">
        <f>IF($AD517="Z",ROUND(SUM($AV$5:$AV$404),2),IF($AD517="D",INDEX($AV$5:$AV$404,$AC517),IF($AD517="T",ROUND(SUMIF($X$5:$X$404,$AF517,$AV$5:$AV$404),2),IF($AD517="B",ROUND(SUMIF($AN$5:$AN$404,$AQ517,$AV$5:$AV$404),2),""))))</f>
        <v/>
      </c>
      <c r="M517" s="32">
        <f>IF($AD517="Z",ROUND(SUM($AJ$5:$AJ$704),2),IF($AD517="B",ROUND(SUMIF($AQ$5:$AQ$704,$AQ517,$AJ$5:$AJ$704),2),IF($AD517&lt;&gt;"T","",$AJ517)))</f>
        <v/>
      </c>
      <c r="N517" s="32">
        <f>IF(OR($AD517="D",$AD517="T",$AD517="B",$AD517="Z"),ROUND(N($K517)-N($L517)-N($M517),2),"")</f>
        <v/>
      </c>
      <c r="O517" s="32">
        <f>IF(OR($AD517="D",$AD517="T",$AD517="B",$AD517="Z"),IF(N($E517)=0,"",ROUND($F517/$E517,2)),"")</f>
        <v/>
      </c>
      <c r="AC517">
        <f>IFERROR(MATCH(513,$AB$5:$AB$404,1),"")</f>
        <v/>
      </c>
      <c r="AD517">
        <f>IF(513=$AI$1+1,"Z",IF($AC517="","",IF(INDEX($V$5:$V$404,$AC517)="","",IF(513&gt;INDEX($AB$5:$AB$404,$AC517)+INDEX($Z$5:$Z$404,$AC517)+INDEX($AA$5:$AA$404,$AC517)+INDEX($AO$5:$AO$404,$AC517),"",IF(513=INDEX($AB$5:$AB$404,$AC517)+INDEX($Z$5:$Z$404,$AC517),"D",IF(AND(INDEX($Z$5:$Z$404,$AC517)=1,513=INDEX($AB$5:$AB$404,$AC517)),"H",IF(AND(INDEX($AO$5:$AO$404,$AC517)=1,513=INDEX($AB$5:$AB$404,$AC517)+INDEX($Z$5:$Z$404,$AC517)+INDEX($AA$5:$AA$404,$AC517)+INDEX($AO$5:$AO$404,$AC517)),"B","T")))))))</f>
        <v/>
      </c>
      <c r="AF517">
        <f>IF(OR($AD517="",$AD517="Z",$AD517="B"),"",INDEX($X$5:$X$404,$AC517))</f>
        <v/>
      </c>
      <c r="AJ517">
        <f>IF($AD517&lt;&gt;"T",0,ROUND(SUMIF(oil!$B$4:$B$63,$AF517,oil!$AE$4:$AE$63),2))</f>
        <v/>
      </c>
      <c r="AQ517">
        <f>IF(OR($AD517="",$AD517="Z"),"",INDEX($AN$5:$AN$404,$AC517))</f>
        <v/>
      </c>
      <c r="AZ517">
        <f>IF(AND($AD517="T",$AQ517=1),N($AZ516)+1,N($AZ516))</f>
        <v/>
      </c>
    </row>
    <row r="518" ht="21" customHeight="1" s="66">
      <c r="A518" s="69">
        <f>IF($AD518="","",IF($AD518="Z","รวมจ่ายทั้งสิ้น",IF($AD518="H",INDEX($X$5:$X$404,$AC518),IF($AD518="T","รวม",IF($AD518="B",IFERROR(INDEX(อัตราค่าขนส่ง!$S$5:$S$14,MATCH(INDEX($AM$5:$AM$404,$AC518),อัตราค่าขนส่ง!$R$5:$R$14,0)),"รวมกลุ่ม "&amp;INDEX($AM$5:$AM$404,$AC518)),INDEX($AY$5:$AY$404,$AC518))))))</f>
        <v/>
      </c>
      <c r="B518" s="31">
        <f>IF($AD518&lt;&gt;"D","",INDEX($AW$5:$AW$404,$AC518))</f>
        <v/>
      </c>
      <c r="C518" s="68">
        <f>IF($AD518&lt;&gt;"D","",INDEX($AX$5:$AX$404,$AC518))</f>
        <v/>
      </c>
      <c r="D518" s="70">
        <f>IF($AD518&lt;&gt;"D","",INDEX($BA$5:$BA$404,$AC518))</f>
        <v/>
      </c>
      <c r="E518" s="31">
        <f>IF($AD518="Z",SUM($AR$5:$AR$404),IF($AD518="D",INDEX($AR$5:$AR$404,$AC518),IF($AD518="T",SUMIF($X$5:$X$404,$AF518,$AR$5:$AR$404),IF($AD518="B",SUMIF($AN$5:$AN$404,$AQ518,$AR$5:$AR$404),""))))</f>
        <v/>
      </c>
      <c r="F518" s="32">
        <f>IF($AD518="Z",ROUND(SUM($AS$5:$AS$404),2),IF($AD518="D",INDEX($AS$5:$AS$404,$AC518),IF($AD518="T",ROUND(SUMIF($X$5:$X$404,$AF518,$AS$5:$AS$404),2),IF($AD518="B",ROUND(SUMIF($AN$5:$AN$404,$AQ518,$AS$5:$AS$404),2),""))))</f>
        <v/>
      </c>
      <c r="G518" s="32">
        <f>IF($AD518&lt;&gt;"D","",INDEX($AT$5:$AT$404,$AC518))</f>
        <v/>
      </c>
      <c r="H518" s="32">
        <f>IF($AD518&lt;&gt;"D","",INDEX($BC$5:$BC$404,$AC518))</f>
        <v/>
      </c>
      <c r="I518" s="32">
        <f>IF($AD518&lt;&gt;"D","",INDEX($BD$5:$BD$404,$AC518))</f>
        <v/>
      </c>
      <c r="J518" s="46">
        <f>IF($AD518&lt;&gt;"D","",IF(N($B518)=0,"",ROUND($I518/$B518,4)))</f>
        <v/>
      </c>
      <c r="K518" s="32">
        <f>IF($AD518="Z",ROUND(SUM($AU$5:$AU$404),2),IF($AD518="D",INDEX($AU$5:$AU$404,$AC518),IF($AD518="T",ROUND(SUMIF($X$5:$X$404,$AF518,$AU$5:$AU$404),2),IF($AD518="B",ROUND(SUMIF($AN$5:$AN$404,$AQ518,$AU$5:$AU$404),2),""))))</f>
        <v/>
      </c>
      <c r="L518" s="32">
        <f>IF($AD518="Z",ROUND(SUM($AV$5:$AV$404),2),IF($AD518="D",INDEX($AV$5:$AV$404,$AC518),IF($AD518="T",ROUND(SUMIF($X$5:$X$404,$AF518,$AV$5:$AV$404),2),IF($AD518="B",ROUND(SUMIF($AN$5:$AN$404,$AQ518,$AV$5:$AV$404),2),""))))</f>
        <v/>
      </c>
      <c r="M518" s="32">
        <f>IF($AD518="Z",ROUND(SUM($AJ$5:$AJ$704),2),IF($AD518="B",ROUND(SUMIF($AQ$5:$AQ$704,$AQ518,$AJ$5:$AJ$704),2),IF($AD518&lt;&gt;"T","",$AJ518)))</f>
        <v/>
      </c>
      <c r="N518" s="32">
        <f>IF(OR($AD518="D",$AD518="T",$AD518="B",$AD518="Z"),ROUND(N($K518)-N($L518)-N($M518),2),"")</f>
        <v/>
      </c>
      <c r="O518" s="32">
        <f>IF(OR($AD518="D",$AD518="T",$AD518="B",$AD518="Z"),IF(N($E518)=0,"",ROUND($F518/$E518,2)),"")</f>
        <v/>
      </c>
      <c r="AC518">
        <f>IFERROR(MATCH(514,$AB$5:$AB$404,1),"")</f>
        <v/>
      </c>
      <c r="AD518">
        <f>IF(514=$AI$1+1,"Z",IF($AC518="","",IF(INDEX($V$5:$V$404,$AC518)="","",IF(514&gt;INDEX($AB$5:$AB$404,$AC518)+INDEX($Z$5:$Z$404,$AC518)+INDEX($AA$5:$AA$404,$AC518)+INDEX($AO$5:$AO$404,$AC518),"",IF(514=INDEX($AB$5:$AB$404,$AC518)+INDEX($Z$5:$Z$404,$AC518),"D",IF(AND(INDEX($Z$5:$Z$404,$AC518)=1,514=INDEX($AB$5:$AB$404,$AC518)),"H",IF(AND(INDEX($AO$5:$AO$404,$AC518)=1,514=INDEX($AB$5:$AB$404,$AC518)+INDEX($Z$5:$Z$404,$AC518)+INDEX($AA$5:$AA$404,$AC518)+INDEX($AO$5:$AO$404,$AC518)),"B","T")))))))</f>
        <v/>
      </c>
      <c r="AF518">
        <f>IF(OR($AD518="",$AD518="Z",$AD518="B"),"",INDEX($X$5:$X$404,$AC518))</f>
        <v/>
      </c>
      <c r="AJ518">
        <f>IF($AD518&lt;&gt;"T",0,ROUND(SUMIF(oil!$B$4:$B$63,$AF518,oil!$AE$4:$AE$63),2))</f>
        <v/>
      </c>
      <c r="AQ518">
        <f>IF(OR($AD518="",$AD518="Z"),"",INDEX($AN$5:$AN$404,$AC518))</f>
        <v/>
      </c>
      <c r="AZ518">
        <f>IF(AND($AD518="T",$AQ518=1),N($AZ517)+1,N($AZ517))</f>
        <v/>
      </c>
    </row>
    <row r="519" ht="21" customHeight="1" s="66">
      <c r="A519" s="69">
        <f>IF($AD519="","",IF($AD519="Z","รวมจ่ายทั้งสิ้น",IF($AD519="H",INDEX($X$5:$X$404,$AC519),IF($AD519="T","รวม",IF($AD519="B",IFERROR(INDEX(อัตราค่าขนส่ง!$S$5:$S$14,MATCH(INDEX($AM$5:$AM$404,$AC519),อัตราค่าขนส่ง!$R$5:$R$14,0)),"รวมกลุ่ม "&amp;INDEX($AM$5:$AM$404,$AC519)),INDEX($AY$5:$AY$404,$AC519))))))</f>
        <v/>
      </c>
      <c r="B519" s="31">
        <f>IF($AD519&lt;&gt;"D","",INDEX($AW$5:$AW$404,$AC519))</f>
        <v/>
      </c>
      <c r="C519" s="68">
        <f>IF($AD519&lt;&gt;"D","",INDEX($AX$5:$AX$404,$AC519))</f>
        <v/>
      </c>
      <c r="D519" s="70">
        <f>IF($AD519&lt;&gt;"D","",INDEX($BA$5:$BA$404,$AC519))</f>
        <v/>
      </c>
      <c r="E519" s="31">
        <f>IF($AD519="Z",SUM($AR$5:$AR$404),IF($AD519="D",INDEX($AR$5:$AR$404,$AC519),IF($AD519="T",SUMIF($X$5:$X$404,$AF519,$AR$5:$AR$404),IF($AD519="B",SUMIF($AN$5:$AN$404,$AQ519,$AR$5:$AR$404),""))))</f>
        <v/>
      </c>
      <c r="F519" s="32">
        <f>IF($AD519="Z",ROUND(SUM($AS$5:$AS$404),2),IF($AD519="D",INDEX($AS$5:$AS$404,$AC519),IF($AD519="T",ROUND(SUMIF($X$5:$X$404,$AF519,$AS$5:$AS$404),2),IF($AD519="B",ROUND(SUMIF($AN$5:$AN$404,$AQ519,$AS$5:$AS$404),2),""))))</f>
        <v/>
      </c>
      <c r="G519" s="32">
        <f>IF($AD519&lt;&gt;"D","",INDEX($AT$5:$AT$404,$AC519))</f>
        <v/>
      </c>
      <c r="H519" s="32">
        <f>IF($AD519&lt;&gt;"D","",INDEX($BC$5:$BC$404,$AC519))</f>
        <v/>
      </c>
      <c r="I519" s="32">
        <f>IF($AD519&lt;&gt;"D","",INDEX($BD$5:$BD$404,$AC519))</f>
        <v/>
      </c>
      <c r="J519" s="46">
        <f>IF($AD519&lt;&gt;"D","",IF(N($B519)=0,"",ROUND($I519/$B519,4)))</f>
        <v/>
      </c>
      <c r="K519" s="32">
        <f>IF($AD519="Z",ROUND(SUM($AU$5:$AU$404),2),IF($AD519="D",INDEX($AU$5:$AU$404,$AC519),IF($AD519="T",ROUND(SUMIF($X$5:$X$404,$AF519,$AU$5:$AU$404),2),IF($AD519="B",ROUND(SUMIF($AN$5:$AN$404,$AQ519,$AU$5:$AU$404),2),""))))</f>
        <v/>
      </c>
      <c r="L519" s="32">
        <f>IF($AD519="Z",ROUND(SUM($AV$5:$AV$404),2),IF($AD519="D",INDEX($AV$5:$AV$404,$AC519),IF($AD519="T",ROUND(SUMIF($X$5:$X$404,$AF519,$AV$5:$AV$404),2),IF($AD519="B",ROUND(SUMIF($AN$5:$AN$404,$AQ519,$AV$5:$AV$404),2),""))))</f>
        <v/>
      </c>
      <c r="M519" s="32">
        <f>IF($AD519="Z",ROUND(SUM($AJ$5:$AJ$704),2),IF($AD519="B",ROUND(SUMIF($AQ$5:$AQ$704,$AQ519,$AJ$5:$AJ$704),2),IF($AD519&lt;&gt;"T","",$AJ519)))</f>
        <v/>
      </c>
      <c r="N519" s="32">
        <f>IF(OR($AD519="D",$AD519="T",$AD519="B",$AD519="Z"),ROUND(N($K519)-N($L519)-N($M519),2),"")</f>
        <v/>
      </c>
      <c r="O519" s="32">
        <f>IF(OR($AD519="D",$AD519="T",$AD519="B",$AD519="Z"),IF(N($E519)=0,"",ROUND($F519/$E519,2)),"")</f>
        <v/>
      </c>
      <c r="AC519">
        <f>IFERROR(MATCH(515,$AB$5:$AB$404,1),"")</f>
        <v/>
      </c>
      <c r="AD519">
        <f>IF(515=$AI$1+1,"Z",IF($AC519="","",IF(INDEX($V$5:$V$404,$AC519)="","",IF(515&gt;INDEX($AB$5:$AB$404,$AC519)+INDEX($Z$5:$Z$404,$AC519)+INDEX($AA$5:$AA$404,$AC519)+INDEX($AO$5:$AO$404,$AC519),"",IF(515=INDEX($AB$5:$AB$404,$AC519)+INDEX($Z$5:$Z$404,$AC519),"D",IF(AND(INDEX($Z$5:$Z$404,$AC519)=1,515=INDEX($AB$5:$AB$404,$AC519)),"H",IF(AND(INDEX($AO$5:$AO$404,$AC519)=1,515=INDEX($AB$5:$AB$404,$AC519)+INDEX($Z$5:$Z$404,$AC519)+INDEX($AA$5:$AA$404,$AC519)+INDEX($AO$5:$AO$404,$AC519)),"B","T")))))))</f>
        <v/>
      </c>
      <c r="AF519">
        <f>IF(OR($AD519="",$AD519="Z",$AD519="B"),"",INDEX($X$5:$X$404,$AC519))</f>
        <v/>
      </c>
      <c r="AJ519">
        <f>IF($AD519&lt;&gt;"T",0,ROUND(SUMIF(oil!$B$4:$B$63,$AF519,oil!$AE$4:$AE$63),2))</f>
        <v/>
      </c>
      <c r="AQ519">
        <f>IF(OR($AD519="",$AD519="Z"),"",INDEX($AN$5:$AN$404,$AC519))</f>
        <v/>
      </c>
      <c r="AZ519">
        <f>IF(AND($AD519="T",$AQ519=1),N($AZ518)+1,N($AZ518))</f>
        <v/>
      </c>
    </row>
    <row r="520" ht="21" customHeight="1" s="66">
      <c r="A520" s="69">
        <f>IF($AD520="","",IF($AD520="Z","รวมจ่ายทั้งสิ้น",IF($AD520="H",INDEX($X$5:$X$404,$AC520),IF($AD520="T","รวม",IF($AD520="B",IFERROR(INDEX(อัตราค่าขนส่ง!$S$5:$S$14,MATCH(INDEX($AM$5:$AM$404,$AC520),อัตราค่าขนส่ง!$R$5:$R$14,0)),"รวมกลุ่ม "&amp;INDEX($AM$5:$AM$404,$AC520)),INDEX($AY$5:$AY$404,$AC520))))))</f>
        <v/>
      </c>
      <c r="B520" s="31">
        <f>IF($AD520&lt;&gt;"D","",INDEX($AW$5:$AW$404,$AC520))</f>
        <v/>
      </c>
      <c r="C520" s="68">
        <f>IF($AD520&lt;&gt;"D","",INDEX($AX$5:$AX$404,$AC520))</f>
        <v/>
      </c>
      <c r="D520" s="70">
        <f>IF($AD520&lt;&gt;"D","",INDEX($BA$5:$BA$404,$AC520))</f>
        <v/>
      </c>
      <c r="E520" s="31">
        <f>IF($AD520="Z",SUM($AR$5:$AR$404),IF($AD520="D",INDEX($AR$5:$AR$404,$AC520),IF($AD520="T",SUMIF($X$5:$X$404,$AF520,$AR$5:$AR$404),IF($AD520="B",SUMIF($AN$5:$AN$404,$AQ520,$AR$5:$AR$404),""))))</f>
        <v/>
      </c>
      <c r="F520" s="32">
        <f>IF($AD520="Z",ROUND(SUM($AS$5:$AS$404),2),IF($AD520="D",INDEX($AS$5:$AS$404,$AC520),IF($AD520="T",ROUND(SUMIF($X$5:$X$404,$AF520,$AS$5:$AS$404),2),IF($AD520="B",ROUND(SUMIF($AN$5:$AN$404,$AQ520,$AS$5:$AS$404),2),""))))</f>
        <v/>
      </c>
      <c r="G520" s="32">
        <f>IF($AD520&lt;&gt;"D","",INDEX($AT$5:$AT$404,$AC520))</f>
        <v/>
      </c>
      <c r="H520" s="32">
        <f>IF($AD520&lt;&gt;"D","",INDEX($BC$5:$BC$404,$AC520))</f>
        <v/>
      </c>
      <c r="I520" s="32">
        <f>IF($AD520&lt;&gt;"D","",INDEX($BD$5:$BD$404,$AC520))</f>
        <v/>
      </c>
      <c r="J520" s="46">
        <f>IF($AD520&lt;&gt;"D","",IF(N($B520)=0,"",ROUND($I520/$B520,4)))</f>
        <v/>
      </c>
      <c r="K520" s="32">
        <f>IF($AD520="Z",ROUND(SUM($AU$5:$AU$404),2),IF($AD520="D",INDEX($AU$5:$AU$404,$AC520),IF($AD520="T",ROUND(SUMIF($X$5:$X$404,$AF520,$AU$5:$AU$404),2),IF($AD520="B",ROUND(SUMIF($AN$5:$AN$404,$AQ520,$AU$5:$AU$404),2),""))))</f>
        <v/>
      </c>
      <c r="L520" s="32">
        <f>IF($AD520="Z",ROUND(SUM($AV$5:$AV$404),2),IF($AD520="D",INDEX($AV$5:$AV$404,$AC520),IF($AD520="T",ROUND(SUMIF($X$5:$X$404,$AF520,$AV$5:$AV$404),2),IF($AD520="B",ROUND(SUMIF($AN$5:$AN$404,$AQ520,$AV$5:$AV$404),2),""))))</f>
        <v/>
      </c>
      <c r="M520" s="32">
        <f>IF($AD520="Z",ROUND(SUM($AJ$5:$AJ$704),2),IF($AD520="B",ROUND(SUMIF($AQ$5:$AQ$704,$AQ520,$AJ$5:$AJ$704),2),IF($AD520&lt;&gt;"T","",$AJ520)))</f>
        <v/>
      </c>
      <c r="N520" s="32">
        <f>IF(OR($AD520="D",$AD520="T",$AD520="B",$AD520="Z"),ROUND(N($K520)-N($L520)-N($M520),2),"")</f>
        <v/>
      </c>
      <c r="O520" s="32">
        <f>IF(OR($AD520="D",$AD520="T",$AD520="B",$AD520="Z"),IF(N($E520)=0,"",ROUND($F520/$E520,2)),"")</f>
        <v/>
      </c>
      <c r="AC520">
        <f>IFERROR(MATCH(516,$AB$5:$AB$404,1),"")</f>
        <v/>
      </c>
      <c r="AD520">
        <f>IF(516=$AI$1+1,"Z",IF($AC520="","",IF(INDEX($V$5:$V$404,$AC520)="","",IF(516&gt;INDEX($AB$5:$AB$404,$AC520)+INDEX($Z$5:$Z$404,$AC520)+INDEX($AA$5:$AA$404,$AC520)+INDEX($AO$5:$AO$404,$AC520),"",IF(516=INDEX($AB$5:$AB$404,$AC520)+INDEX($Z$5:$Z$404,$AC520),"D",IF(AND(INDEX($Z$5:$Z$404,$AC520)=1,516=INDEX($AB$5:$AB$404,$AC520)),"H",IF(AND(INDEX($AO$5:$AO$404,$AC520)=1,516=INDEX($AB$5:$AB$404,$AC520)+INDEX($Z$5:$Z$404,$AC520)+INDEX($AA$5:$AA$404,$AC520)+INDEX($AO$5:$AO$404,$AC520)),"B","T")))))))</f>
        <v/>
      </c>
      <c r="AF520">
        <f>IF(OR($AD520="",$AD520="Z",$AD520="B"),"",INDEX($X$5:$X$404,$AC520))</f>
        <v/>
      </c>
      <c r="AJ520">
        <f>IF($AD520&lt;&gt;"T",0,ROUND(SUMIF(oil!$B$4:$B$63,$AF520,oil!$AE$4:$AE$63),2))</f>
        <v/>
      </c>
      <c r="AQ520">
        <f>IF(OR($AD520="",$AD520="Z"),"",INDEX($AN$5:$AN$404,$AC520))</f>
        <v/>
      </c>
      <c r="AZ520">
        <f>IF(AND($AD520="T",$AQ520=1),N($AZ519)+1,N($AZ519))</f>
        <v/>
      </c>
    </row>
    <row r="521" ht="21" customHeight="1" s="66">
      <c r="A521" s="69">
        <f>IF($AD521="","",IF($AD521="Z","รวมจ่ายทั้งสิ้น",IF($AD521="H",INDEX($X$5:$X$404,$AC521),IF($AD521="T","รวม",IF($AD521="B",IFERROR(INDEX(อัตราค่าขนส่ง!$S$5:$S$14,MATCH(INDEX($AM$5:$AM$404,$AC521),อัตราค่าขนส่ง!$R$5:$R$14,0)),"รวมกลุ่ม "&amp;INDEX($AM$5:$AM$404,$AC521)),INDEX($AY$5:$AY$404,$AC521))))))</f>
        <v/>
      </c>
      <c r="B521" s="31">
        <f>IF($AD521&lt;&gt;"D","",INDEX($AW$5:$AW$404,$AC521))</f>
        <v/>
      </c>
      <c r="C521" s="68">
        <f>IF($AD521&lt;&gt;"D","",INDEX($AX$5:$AX$404,$AC521))</f>
        <v/>
      </c>
      <c r="D521" s="70">
        <f>IF($AD521&lt;&gt;"D","",INDEX($BA$5:$BA$404,$AC521))</f>
        <v/>
      </c>
      <c r="E521" s="31">
        <f>IF($AD521="Z",SUM($AR$5:$AR$404),IF($AD521="D",INDEX($AR$5:$AR$404,$AC521),IF($AD521="T",SUMIF($X$5:$X$404,$AF521,$AR$5:$AR$404),IF($AD521="B",SUMIF($AN$5:$AN$404,$AQ521,$AR$5:$AR$404),""))))</f>
        <v/>
      </c>
      <c r="F521" s="32">
        <f>IF($AD521="Z",ROUND(SUM($AS$5:$AS$404),2),IF($AD521="D",INDEX($AS$5:$AS$404,$AC521),IF($AD521="T",ROUND(SUMIF($X$5:$X$404,$AF521,$AS$5:$AS$404),2),IF($AD521="B",ROUND(SUMIF($AN$5:$AN$404,$AQ521,$AS$5:$AS$404),2),""))))</f>
        <v/>
      </c>
      <c r="G521" s="32">
        <f>IF($AD521&lt;&gt;"D","",INDEX($AT$5:$AT$404,$AC521))</f>
        <v/>
      </c>
      <c r="H521" s="32">
        <f>IF($AD521&lt;&gt;"D","",INDEX($BC$5:$BC$404,$AC521))</f>
        <v/>
      </c>
      <c r="I521" s="32">
        <f>IF($AD521&lt;&gt;"D","",INDEX($BD$5:$BD$404,$AC521))</f>
        <v/>
      </c>
      <c r="J521" s="46">
        <f>IF($AD521&lt;&gt;"D","",IF(N($B521)=0,"",ROUND($I521/$B521,4)))</f>
        <v/>
      </c>
      <c r="K521" s="32">
        <f>IF($AD521="Z",ROUND(SUM($AU$5:$AU$404),2),IF($AD521="D",INDEX($AU$5:$AU$404,$AC521),IF($AD521="T",ROUND(SUMIF($X$5:$X$404,$AF521,$AU$5:$AU$404),2),IF($AD521="B",ROUND(SUMIF($AN$5:$AN$404,$AQ521,$AU$5:$AU$404),2),""))))</f>
        <v/>
      </c>
      <c r="L521" s="32">
        <f>IF($AD521="Z",ROUND(SUM($AV$5:$AV$404),2),IF($AD521="D",INDEX($AV$5:$AV$404,$AC521),IF($AD521="T",ROUND(SUMIF($X$5:$X$404,$AF521,$AV$5:$AV$404),2),IF($AD521="B",ROUND(SUMIF($AN$5:$AN$404,$AQ521,$AV$5:$AV$404),2),""))))</f>
        <v/>
      </c>
      <c r="M521" s="32">
        <f>IF($AD521="Z",ROUND(SUM($AJ$5:$AJ$704),2),IF($AD521="B",ROUND(SUMIF($AQ$5:$AQ$704,$AQ521,$AJ$5:$AJ$704),2),IF($AD521&lt;&gt;"T","",$AJ521)))</f>
        <v/>
      </c>
      <c r="N521" s="32">
        <f>IF(OR($AD521="D",$AD521="T",$AD521="B",$AD521="Z"),ROUND(N($K521)-N($L521)-N($M521),2),"")</f>
        <v/>
      </c>
      <c r="O521" s="32">
        <f>IF(OR($AD521="D",$AD521="T",$AD521="B",$AD521="Z"),IF(N($E521)=0,"",ROUND($F521/$E521,2)),"")</f>
        <v/>
      </c>
      <c r="AC521">
        <f>IFERROR(MATCH(517,$AB$5:$AB$404,1),"")</f>
        <v/>
      </c>
      <c r="AD521">
        <f>IF(517=$AI$1+1,"Z",IF($AC521="","",IF(INDEX($V$5:$V$404,$AC521)="","",IF(517&gt;INDEX($AB$5:$AB$404,$AC521)+INDEX($Z$5:$Z$404,$AC521)+INDEX($AA$5:$AA$404,$AC521)+INDEX($AO$5:$AO$404,$AC521),"",IF(517=INDEX($AB$5:$AB$404,$AC521)+INDEX($Z$5:$Z$404,$AC521),"D",IF(AND(INDEX($Z$5:$Z$404,$AC521)=1,517=INDEX($AB$5:$AB$404,$AC521)),"H",IF(AND(INDEX($AO$5:$AO$404,$AC521)=1,517=INDEX($AB$5:$AB$404,$AC521)+INDEX($Z$5:$Z$404,$AC521)+INDEX($AA$5:$AA$404,$AC521)+INDEX($AO$5:$AO$404,$AC521)),"B","T")))))))</f>
        <v/>
      </c>
      <c r="AF521">
        <f>IF(OR($AD521="",$AD521="Z",$AD521="B"),"",INDEX($X$5:$X$404,$AC521))</f>
        <v/>
      </c>
      <c r="AJ521">
        <f>IF($AD521&lt;&gt;"T",0,ROUND(SUMIF(oil!$B$4:$B$63,$AF521,oil!$AE$4:$AE$63),2))</f>
        <v/>
      </c>
      <c r="AQ521">
        <f>IF(OR($AD521="",$AD521="Z"),"",INDEX($AN$5:$AN$404,$AC521))</f>
        <v/>
      </c>
      <c r="AZ521">
        <f>IF(AND($AD521="T",$AQ521=1),N($AZ520)+1,N($AZ520))</f>
        <v/>
      </c>
    </row>
    <row r="522" ht="21" customHeight="1" s="66">
      <c r="A522" s="69">
        <f>IF($AD522="","",IF($AD522="Z","รวมจ่ายทั้งสิ้น",IF($AD522="H",INDEX($X$5:$X$404,$AC522),IF($AD522="T","รวม",IF($AD522="B",IFERROR(INDEX(อัตราค่าขนส่ง!$S$5:$S$14,MATCH(INDEX($AM$5:$AM$404,$AC522),อัตราค่าขนส่ง!$R$5:$R$14,0)),"รวมกลุ่ม "&amp;INDEX($AM$5:$AM$404,$AC522)),INDEX($AY$5:$AY$404,$AC522))))))</f>
        <v/>
      </c>
      <c r="B522" s="31">
        <f>IF($AD522&lt;&gt;"D","",INDEX($AW$5:$AW$404,$AC522))</f>
        <v/>
      </c>
      <c r="C522" s="68">
        <f>IF($AD522&lt;&gt;"D","",INDEX($AX$5:$AX$404,$AC522))</f>
        <v/>
      </c>
      <c r="D522" s="70">
        <f>IF($AD522&lt;&gt;"D","",INDEX($BA$5:$BA$404,$AC522))</f>
        <v/>
      </c>
      <c r="E522" s="31">
        <f>IF($AD522="Z",SUM($AR$5:$AR$404),IF($AD522="D",INDEX($AR$5:$AR$404,$AC522),IF($AD522="T",SUMIF($X$5:$X$404,$AF522,$AR$5:$AR$404),IF($AD522="B",SUMIF($AN$5:$AN$404,$AQ522,$AR$5:$AR$404),""))))</f>
        <v/>
      </c>
      <c r="F522" s="32">
        <f>IF($AD522="Z",ROUND(SUM($AS$5:$AS$404),2),IF($AD522="D",INDEX($AS$5:$AS$404,$AC522),IF($AD522="T",ROUND(SUMIF($X$5:$X$404,$AF522,$AS$5:$AS$404),2),IF($AD522="B",ROUND(SUMIF($AN$5:$AN$404,$AQ522,$AS$5:$AS$404),2),""))))</f>
        <v/>
      </c>
      <c r="G522" s="32">
        <f>IF($AD522&lt;&gt;"D","",INDEX($AT$5:$AT$404,$AC522))</f>
        <v/>
      </c>
      <c r="H522" s="32">
        <f>IF($AD522&lt;&gt;"D","",INDEX($BC$5:$BC$404,$AC522))</f>
        <v/>
      </c>
      <c r="I522" s="32">
        <f>IF($AD522&lt;&gt;"D","",INDEX($BD$5:$BD$404,$AC522))</f>
        <v/>
      </c>
      <c r="J522" s="46">
        <f>IF($AD522&lt;&gt;"D","",IF(N($B522)=0,"",ROUND($I522/$B522,4)))</f>
        <v/>
      </c>
      <c r="K522" s="32">
        <f>IF($AD522="Z",ROUND(SUM($AU$5:$AU$404),2),IF($AD522="D",INDEX($AU$5:$AU$404,$AC522),IF($AD522="T",ROUND(SUMIF($X$5:$X$404,$AF522,$AU$5:$AU$404),2),IF($AD522="B",ROUND(SUMIF($AN$5:$AN$404,$AQ522,$AU$5:$AU$404),2),""))))</f>
        <v/>
      </c>
      <c r="L522" s="32">
        <f>IF($AD522="Z",ROUND(SUM($AV$5:$AV$404),2),IF($AD522="D",INDEX($AV$5:$AV$404,$AC522),IF($AD522="T",ROUND(SUMIF($X$5:$X$404,$AF522,$AV$5:$AV$404),2),IF($AD522="B",ROUND(SUMIF($AN$5:$AN$404,$AQ522,$AV$5:$AV$404),2),""))))</f>
        <v/>
      </c>
      <c r="M522" s="32">
        <f>IF($AD522="Z",ROUND(SUM($AJ$5:$AJ$704),2),IF($AD522="B",ROUND(SUMIF($AQ$5:$AQ$704,$AQ522,$AJ$5:$AJ$704),2),IF($AD522&lt;&gt;"T","",$AJ522)))</f>
        <v/>
      </c>
      <c r="N522" s="32">
        <f>IF(OR($AD522="D",$AD522="T",$AD522="B",$AD522="Z"),ROUND(N($K522)-N($L522)-N($M522),2),"")</f>
        <v/>
      </c>
      <c r="O522" s="32">
        <f>IF(OR($AD522="D",$AD522="T",$AD522="B",$AD522="Z"),IF(N($E522)=0,"",ROUND($F522/$E522,2)),"")</f>
        <v/>
      </c>
      <c r="AC522">
        <f>IFERROR(MATCH(518,$AB$5:$AB$404,1),"")</f>
        <v/>
      </c>
      <c r="AD522">
        <f>IF(518=$AI$1+1,"Z",IF($AC522="","",IF(INDEX($V$5:$V$404,$AC522)="","",IF(518&gt;INDEX($AB$5:$AB$404,$AC522)+INDEX($Z$5:$Z$404,$AC522)+INDEX($AA$5:$AA$404,$AC522)+INDEX($AO$5:$AO$404,$AC522),"",IF(518=INDEX($AB$5:$AB$404,$AC522)+INDEX($Z$5:$Z$404,$AC522),"D",IF(AND(INDEX($Z$5:$Z$404,$AC522)=1,518=INDEX($AB$5:$AB$404,$AC522)),"H",IF(AND(INDEX($AO$5:$AO$404,$AC522)=1,518=INDEX($AB$5:$AB$404,$AC522)+INDEX($Z$5:$Z$404,$AC522)+INDEX($AA$5:$AA$404,$AC522)+INDEX($AO$5:$AO$404,$AC522)),"B","T")))))))</f>
        <v/>
      </c>
      <c r="AF522">
        <f>IF(OR($AD522="",$AD522="Z",$AD522="B"),"",INDEX($X$5:$X$404,$AC522))</f>
        <v/>
      </c>
      <c r="AJ522">
        <f>IF($AD522&lt;&gt;"T",0,ROUND(SUMIF(oil!$B$4:$B$63,$AF522,oil!$AE$4:$AE$63),2))</f>
        <v/>
      </c>
      <c r="AQ522">
        <f>IF(OR($AD522="",$AD522="Z"),"",INDEX($AN$5:$AN$404,$AC522))</f>
        <v/>
      </c>
      <c r="AZ522">
        <f>IF(AND($AD522="T",$AQ522=1),N($AZ521)+1,N($AZ521))</f>
        <v/>
      </c>
    </row>
    <row r="523" ht="21" customHeight="1" s="66">
      <c r="A523" s="69">
        <f>IF($AD523="","",IF($AD523="Z","รวมจ่ายทั้งสิ้น",IF($AD523="H",INDEX($X$5:$X$404,$AC523),IF($AD523="T","รวม",IF($AD523="B",IFERROR(INDEX(อัตราค่าขนส่ง!$S$5:$S$14,MATCH(INDEX($AM$5:$AM$404,$AC523),อัตราค่าขนส่ง!$R$5:$R$14,0)),"รวมกลุ่ม "&amp;INDEX($AM$5:$AM$404,$AC523)),INDEX($AY$5:$AY$404,$AC523))))))</f>
        <v/>
      </c>
      <c r="B523" s="31">
        <f>IF($AD523&lt;&gt;"D","",INDEX($AW$5:$AW$404,$AC523))</f>
        <v/>
      </c>
      <c r="C523" s="68">
        <f>IF($AD523&lt;&gt;"D","",INDEX($AX$5:$AX$404,$AC523))</f>
        <v/>
      </c>
      <c r="D523" s="70">
        <f>IF($AD523&lt;&gt;"D","",INDEX($BA$5:$BA$404,$AC523))</f>
        <v/>
      </c>
      <c r="E523" s="31">
        <f>IF($AD523="Z",SUM($AR$5:$AR$404),IF($AD523="D",INDEX($AR$5:$AR$404,$AC523),IF($AD523="T",SUMIF($X$5:$X$404,$AF523,$AR$5:$AR$404),IF($AD523="B",SUMIF($AN$5:$AN$404,$AQ523,$AR$5:$AR$404),""))))</f>
        <v/>
      </c>
      <c r="F523" s="32">
        <f>IF($AD523="Z",ROUND(SUM($AS$5:$AS$404),2),IF($AD523="D",INDEX($AS$5:$AS$404,$AC523),IF($AD523="T",ROUND(SUMIF($X$5:$X$404,$AF523,$AS$5:$AS$404),2),IF($AD523="B",ROUND(SUMIF($AN$5:$AN$404,$AQ523,$AS$5:$AS$404),2),""))))</f>
        <v/>
      </c>
      <c r="G523" s="32">
        <f>IF($AD523&lt;&gt;"D","",INDEX($AT$5:$AT$404,$AC523))</f>
        <v/>
      </c>
      <c r="H523" s="32">
        <f>IF($AD523&lt;&gt;"D","",INDEX($BC$5:$BC$404,$AC523))</f>
        <v/>
      </c>
      <c r="I523" s="32">
        <f>IF($AD523&lt;&gt;"D","",INDEX($BD$5:$BD$404,$AC523))</f>
        <v/>
      </c>
      <c r="J523" s="46">
        <f>IF($AD523&lt;&gt;"D","",IF(N($B523)=0,"",ROUND($I523/$B523,4)))</f>
        <v/>
      </c>
      <c r="K523" s="32">
        <f>IF($AD523="Z",ROUND(SUM($AU$5:$AU$404),2),IF($AD523="D",INDEX($AU$5:$AU$404,$AC523),IF($AD523="T",ROUND(SUMIF($X$5:$X$404,$AF523,$AU$5:$AU$404),2),IF($AD523="B",ROUND(SUMIF($AN$5:$AN$404,$AQ523,$AU$5:$AU$404),2),""))))</f>
        <v/>
      </c>
      <c r="L523" s="32">
        <f>IF($AD523="Z",ROUND(SUM($AV$5:$AV$404),2),IF($AD523="D",INDEX($AV$5:$AV$404,$AC523),IF($AD523="T",ROUND(SUMIF($X$5:$X$404,$AF523,$AV$5:$AV$404),2),IF($AD523="B",ROUND(SUMIF($AN$5:$AN$404,$AQ523,$AV$5:$AV$404),2),""))))</f>
        <v/>
      </c>
      <c r="M523" s="32">
        <f>IF($AD523="Z",ROUND(SUM($AJ$5:$AJ$704),2),IF($AD523="B",ROUND(SUMIF($AQ$5:$AQ$704,$AQ523,$AJ$5:$AJ$704),2),IF($AD523&lt;&gt;"T","",$AJ523)))</f>
        <v/>
      </c>
      <c r="N523" s="32">
        <f>IF(OR($AD523="D",$AD523="T",$AD523="B",$AD523="Z"),ROUND(N($K523)-N($L523)-N($M523),2),"")</f>
        <v/>
      </c>
      <c r="O523" s="32">
        <f>IF(OR($AD523="D",$AD523="T",$AD523="B",$AD523="Z"),IF(N($E523)=0,"",ROUND($F523/$E523,2)),"")</f>
        <v/>
      </c>
      <c r="AC523">
        <f>IFERROR(MATCH(519,$AB$5:$AB$404,1),"")</f>
        <v/>
      </c>
      <c r="AD523">
        <f>IF(519=$AI$1+1,"Z",IF($AC523="","",IF(INDEX($V$5:$V$404,$AC523)="","",IF(519&gt;INDEX($AB$5:$AB$404,$AC523)+INDEX($Z$5:$Z$404,$AC523)+INDEX($AA$5:$AA$404,$AC523)+INDEX($AO$5:$AO$404,$AC523),"",IF(519=INDEX($AB$5:$AB$404,$AC523)+INDEX($Z$5:$Z$404,$AC523),"D",IF(AND(INDEX($Z$5:$Z$404,$AC523)=1,519=INDEX($AB$5:$AB$404,$AC523)),"H",IF(AND(INDEX($AO$5:$AO$404,$AC523)=1,519=INDEX($AB$5:$AB$404,$AC523)+INDEX($Z$5:$Z$404,$AC523)+INDEX($AA$5:$AA$404,$AC523)+INDEX($AO$5:$AO$404,$AC523)),"B","T")))))))</f>
        <v/>
      </c>
      <c r="AF523">
        <f>IF(OR($AD523="",$AD523="Z",$AD523="B"),"",INDEX($X$5:$X$404,$AC523))</f>
        <v/>
      </c>
      <c r="AJ523">
        <f>IF($AD523&lt;&gt;"T",0,ROUND(SUMIF(oil!$B$4:$B$63,$AF523,oil!$AE$4:$AE$63),2))</f>
        <v/>
      </c>
      <c r="AQ523">
        <f>IF(OR($AD523="",$AD523="Z"),"",INDEX($AN$5:$AN$404,$AC523))</f>
        <v/>
      </c>
      <c r="AZ523">
        <f>IF(AND($AD523="T",$AQ523=1),N($AZ522)+1,N($AZ522))</f>
        <v/>
      </c>
    </row>
    <row r="524" ht="21" customHeight="1" s="66">
      <c r="A524" s="69">
        <f>IF($AD524="","",IF($AD524="Z","รวมจ่ายทั้งสิ้น",IF($AD524="H",INDEX($X$5:$X$404,$AC524),IF($AD524="T","รวม",IF($AD524="B",IFERROR(INDEX(อัตราค่าขนส่ง!$S$5:$S$14,MATCH(INDEX($AM$5:$AM$404,$AC524),อัตราค่าขนส่ง!$R$5:$R$14,0)),"รวมกลุ่ม "&amp;INDEX($AM$5:$AM$404,$AC524)),INDEX($AY$5:$AY$404,$AC524))))))</f>
        <v/>
      </c>
      <c r="B524" s="31">
        <f>IF($AD524&lt;&gt;"D","",INDEX($AW$5:$AW$404,$AC524))</f>
        <v/>
      </c>
      <c r="C524" s="68">
        <f>IF($AD524&lt;&gt;"D","",INDEX($AX$5:$AX$404,$AC524))</f>
        <v/>
      </c>
      <c r="D524" s="70">
        <f>IF($AD524&lt;&gt;"D","",INDEX($BA$5:$BA$404,$AC524))</f>
        <v/>
      </c>
      <c r="E524" s="31">
        <f>IF($AD524="Z",SUM($AR$5:$AR$404),IF($AD524="D",INDEX($AR$5:$AR$404,$AC524),IF($AD524="T",SUMIF($X$5:$X$404,$AF524,$AR$5:$AR$404),IF($AD524="B",SUMIF($AN$5:$AN$404,$AQ524,$AR$5:$AR$404),""))))</f>
        <v/>
      </c>
      <c r="F524" s="32">
        <f>IF($AD524="Z",ROUND(SUM($AS$5:$AS$404),2),IF($AD524="D",INDEX($AS$5:$AS$404,$AC524),IF($AD524="T",ROUND(SUMIF($X$5:$X$404,$AF524,$AS$5:$AS$404),2),IF($AD524="B",ROUND(SUMIF($AN$5:$AN$404,$AQ524,$AS$5:$AS$404),2),""))))</f>
        <v/>
      </c>
      <c r="G524" s="32">
        <f>IF($AD524&lt;&gt;"D","",INDEX($AT$5:$AT$404,$AC524))</f>
        <v/>
      </c>
      <c r="H524" s="32">
        <f>IF($AD524&lt;&gt;"D","",INDEX($BC$5:$BC$404,$AC524))</f>
        <v/>
      </c>
      <c r="I524" s="32">
        <f>IF($AD524&lt;&gt;"D","",INDEX($BD$5:$BD$404,$AC524))</f>
        <v/>
      </c>
      <c r="J524" s="46">
        <f>IF($AD524&lt;&gt;"D","",IF(N($B524)=0,"",ROUND($I524/$B524,4)))</f>
        <v/>
      </c>
      <c r="K524" s="32">
        <f>IF($AD524="Z",ROUND(SUM($AU$5:$AU$404),2),IF($AD524="D",INDEX($AU$5:$AU$404,$AC524),IF($AD524="T",ROUND(SUMIF($X$5:$X$404,$AF524,$AU$5:$AU$404),2),IF($AD524="B",ROUND(SUMIF($AN$5:$AN$404,$AQ524,$AU$5:$AU$404),2),""))))</f>
        <v/>
      </c>
      <c r="L524" s="32">
        <f>IF($AD524="Z",ROUND(SUM($AV$5:$AV$404),2),IF($AD524="D",INDEX($AV$5:$AV$404,$AC524),IF($AD524="T",ROUND(SUMIF($X$5:$X$404,$AF524,$AV$5:$AV$404),2),IF($AD524="B",ROUND(SUMIF($AN$5:$AN$404,$AQ524,$AV$5:$AV$404),2),""))))</f>
        <v/>
      </c>
      <c r="M524" s="32">
        <f>IF($AD524="Z",ROUND(SUM($AJ$5:$AJ$704),2),IF($AD524="B",ROUND(SUMIF($AQ$5:$AQ$704,$AQ524,$AJ$5:$AJ$704),2),IF($AD524&lt;&gt;"T","",$AJ524)))</f>
        <v/>
      </c>
      <c r="N524" s="32">
        <f>IF(OR($AD524="D",$AD524="T",$AD524="B",$AD524="Z"),ROUND(N($K524)-N($L524)-N($M524),2),"")</f>
        <v/>
      </c>
      <c r="O524" s="32">
        <f>IF(OR($AD524="D",$AD524="T",$AD524="B",$AD524="Z"),IF(N($E524)=0,"",ROUND($F524/$E524,2)),"")</f>
        <v/>
      </c>
      <c r="AC524">
        <f>IFERROR(MATCH(520,$AB$5:$AB$404,1),"")</f>
        <v/>
      </c>
      <c r="AD524">
        <f>IF(520=$AI$1+1,"Z",IF($AC524="","",IF(INDEX($V$5:$V$404,$AC524)="","",IF(520&gt;INDEX($AB$5:$AB$404,$AC524)+INDEX($Z$5:$Z$404,$AC524)+INDEX($AA$5:$AA$404,$AC524)+INDEX($AO$5:$AO$404,$AC524),"",IF(520=INDEX($AB$5:$AB$404,$AC524)+INDEX($Z$5:$Z$404,$AC524),"D",IF(AND(INDEX($Z$5:$Z$404,$AC524)=1,520=INDEX($AB$5:$AB$404,$AC524)),"H",IF(AND(INDEX($AO$5:$AO$404,$AC524)=1,520=INDEX($AB$5:$AB$404,$AC524)+INDEX($Z$5:$Z$404,$AC524)+INDEX($AA$5:$AA$404,$AC524)+INDEX($AO$5:$AO$404,$AC524)),"B","T")))))))</f>
        <v/>
      </c>
      <c r="AF524">
        <f>IF(OR($AD524="",$AD524="Z",$AD524="B"),"",INDEX($X$5:$X$404,$AC524))</f>
        <v/>
      </c>
      <c r="AJ524">
        <f>IF($AD524&lt;&gt;"T",0,ROUND(SUMIF(oil!$B$4:$B$63,$AF524,oil!$AE$4:$AE$63),2))</f>
        <v/>
      </c>
      <c r="AQ524">
        <f>IF(OR($AD524="",$AD524="Z"),"",INDEX($AN$5:$AN$404,$AC524))</f>
        <v/>
      </c>
      <c r="AZ524">
        <f>IF(AND($AD524="T",$AQ524=1),N($AZ523)+1,N($AZ523))</f>
        <v/>
      </c>
    </row>
    <row r="525" ht="21" customHeight="1" s="66">
      <c r="A525" s="69">
        <f>IF($AD525="","",IF($AD525="Z","รวมจ่ายทั้งสิ้น",IF($AD525="H",INDEX($X$5:$X$404,$AC525),IF($AD525="T","รวม",IF($AD525="B",IFERROR(INDEX(อัตราค่าขนส่ง!$S$5:$S$14,MATCH(INDEX($AM$5:$AM$404,$AC525),อัตราค่าขนส่ง!$R$5:$R$14,0)),"รวมกลุ่ม "&amp;INDEX($AM$5:$AM$404,$AC525)),INDEX($AY$5:$AY$404,$AC525))))))</f>
        <v/>
      </c>
      <c r="B525" s="31">
        <f>IF($AD525&lt;&gt;"D","",INDEX($AW$5:$AW$404,$AC525))</f>
        <v/>
      </c>
      <c r="C525" s="68">
        <f>IF($AD525&lt;&gt;"D","",INDEX($AX$5:$AX$404,$AC525))</f>
        <v/>
      </c>
      <c r="D525" s="70">
        <f>IF($AD525&lt;&gt;"D","",INDEX($BA$5:$BA$404,$AC525))</f>
        <v/>
      </c>
      <c r="E525" s="31">
        <f>IF($AD525="Z",SUM($AR$5:$AR$404),IF($AD525="D",INDEX($AR$5:$AR$404,$AC525),IF($AD525="T",SUMIF($X$5:$X$404,$AF525,$AR$5:$AR$404),IF($AD525="B",SUMIF($AN$5:$AN$404,$AQ525,$AR$5:$AR$404),""))))</f>
        <v/>
      </c>
      <c r="F525" s="32">
        <f>IF($AD525="Z",ROUND(SUM($AS$5:$AS$404),2),IF($AD525="D",INDEX($AS$5:$AS$404,$AC525),IF($AD525="T",ROUND(SUMIF($X$5:$X$404,$AF525,$AS$5:$AS$404),2),IF($AD525="B",ROUND(SUMIF($AN$5:$AN$404,$AQ525,$AS$5:$AS$404),2),""))))</f>
        <v/>
      </c>
      <c r="G525" s="32">
        <f>IF($AD525&lt;&gt;"D","",INDEX($AT$5:$AT$404,$AC525))</f>
        <v/>
      </c>
      <c r="H525" s="32">
        <f>IF($AD525&lt;&gt;"D","",INDEX($BC$5:$BC$404,$AC525))</f>
        <v/>
      </c>
      <c r="I525" s="32">
        <f>IF($AD525&lt;&gt;"D","",INDEX($BD$5:$BD$404,$AC525))</f>
        <v/>
      </c>
      <c r="J525" s="46">
        <f>IF($AD525&lt;&gt;"D","",IF(N($B525)=0,"",ROUND($I525/$B525,4)))</f>
        <v/>
      </c>
      <c r="K525" s="32">
        <f>IF($AD525="Z",ROUND(SUM($AU$5:$AU$404),2),IF($AD525="D",INDEX($AU$5:$AU$404,$AC525),IF($AD525="T",ROUND(SUMIF($X$5:$X$404,$AF525,$AU$5:$AU$404),2),IF($AD525="B",ROUND(SUMIF($AN$5:$AN$404,$AQ525,$AU$5:$AU$404),2),""))))</f>
        <v/>
      </c>
      <c r="L525" s="32">
        <f>IF($AD525="Z",ROUND(SUM($AV$5:$AV$404),2),IF($AD525="D",INDEX($AV$5:$AV$404,$AC525),IF($AD525="T",ROUND(SUMIF($X$5:$X$404,$AF525,$AV$5:$AV$404),2),IF($AD525="B",ROUND(SUMIF($AN$5:$AN$404,$AQ525,$AV$5:$AV$404),2),""))))</f>
        <v/>
      </c>
      <c r="M525" s="32">
        <f>IF($AD525="Z",ROUND(SUM($AJ$5:$AJ$704),2),IF($AD525="B",ROUND(SUMIF($AQ$5:$AQ$704,$AQ525,$AJ$5:$AJ$704),2),IF($AD525&lt;&gt;"T","",$AJ525)))</f>
        <v/>
      </c>
      <c r="N525" s="32">
        <f>IF(OR($AD525="D",$AD525="T",$AD525="B",$AD525="Z"),ROUND(N($K525)-N($L525)-N($M525),2),"")</f>
        <v/>
      </c>
      <c r="O525" s="32">
        <f>IF(OR($AD525="D",$AD525="T",$AD525="B",$AD525="Z"),IF(N($E525)=0,"",ROUND($F525/$E525,2)),"")</f>
        <v/>
      </c>
      <c r="AC525">
        <f>IFERROR(MATCH(521,$AB$5:$AB$404,1),"")</f>
        <v/>
      </c>
      <c r="AD525">
        <f>IF(521=$AI$1+1,"Z",IF($AC525="","",IF(INDEX($V$5:$V$404,$AC525)="","",IF(521&gt;INDEX($AB$5:$AB$404,$AC525)+INDEX($Z$5:$Z$404,$AC525)+INDEX($AA$5:$AA$404,$AC525)+INDEX($AO$5:$AO$404,$AC525),"",IF(521=INDEX($AB$5:$AB$404,$AC525)+INDEX($Z$5:$Z$404,$AC525),"D",IF(AND(INDEX($Z$5:$Z$404,$AC525)=1,521=INDEX($AB$5:$AB$404,$AC525)),"H",IF(AND(INDEX($AO$5:$AO$404,$AC525)=1,521=INDEX($AB$5:$AB$404,$AC525)+INDEX($Z$5:$Z$404,$AC525)+INDEX($AA$5:$AA$404,$AC525)+INDEX($AO$5:$AO$404,$AC525)),"B","T")))))))</f>
        <v/>
      </c>
      <c r="AF525">
        <f>IF(OR($AD525="",$AD525="Z",$AD525="B"),"",INDEX($X$5:$X$404,$AC525))</f>
        <v/>
      </c>
      <c r="AJ525">
        <f>IF($AD525&lt;&gt;"T",0,ROUND(SUMIF(oil!$B$4:$B$63,$AF525,oil!$AE$4:$AE$63),2))</f>
        <v/>
      </c>
      <c r="AQ525">
        <f>IF(OR($AD525="",$AD525="Z"),"",INDEX($AN$5:$AN$404,$AC525))</f>
        <v/>
      </c>
      <c r="AZ525">
        <f>IF(AND($AD525="T",$AQ525=1),N($AZ524)+1,N($AZ524))</f>
        <v/>
      </c>
    </row>
    <row r="526" ht="21" customHeight="1" s="66">
      <c r="A526" s="69">
        <f>IF($AD526="","",IF($AD526="Z","รวมจ่ายทั้งสิ้น",IF($AD526="H",INDEX($X$5:$X$404,$AC526),IF($AD526="T","รวม",IF($AD526="B",IFERROR(INDEX(อัตราค่าขนส่ง!$S$5:$S$14,MATCH(INDEX($AM$5:$AM$404,$AC526),อัตราค่าขนส่ง!$R$5:$R$14,0)),"รวมกลุ่ม "&amp;INDEX($AM$5:$AM$404,$AC526)),INDEX($AY$5:$AY$404,$AC526))))))</f>
        <v/>
      </c>
      <c r="B526" s="31">
        <f>IF($AD526&lt;&gt;"D","",INDEX($AW$5:$AW$404,$AC526))</f>
        <v/>
      </c>
      <c r="C526" s="68">
        <f>IF($AD526&lt;&gt;"D","",INDEX($AX$5:$AX$404,$AC526))</f>
        <v/>
      </c>
      <c r="D526" s="70">
        <f>IF($AD526&lt;&gt;"D","",INDEX($BA$5:$BA$404,$AC526))</f>
        <v/>
      </c>
      <c r="E526" s="31">
        <f>IF($AD526="Z",SUM($AR$5:$AR$404),IF($AD526="D",INDEX($AR$5:$AR$404,$AC526),IF($AD526="T",SUMIF($X$5:$X$404,$AF526,$AR$5:$AR$404),IF($AD526="B",SUMIF($AN$5:$AN$404,$AQ526,$AR$5:$AR$404),""))))</f>
        <v/>
      </c>
      <c r="F526" s="32">
        <f>IF($AD526="Z",ROUND(SUM($AS$5:$AS$404),2),IF($AD526="D",INDEX($AS$5:$AS$404,$AC526),IF($AD526="T",ROUND(SUMIF($X$5:$X$404,$AF526,$AS$5:$AS$404),2),IF($AD526="B",ROUND(SUMIF($AN$5:$AN$404,$AQ526,$AS$5:$AS$404),2),""))))</f>
        <v/>
      </c>
      <c r="G526" s="32">
        <f>IF($AD526&lt;&gt;"D","",INDEX($AT$5:$AT$404,$AC526))</f>
        <v/>
      </c>
      <c r="H526" s="32">
        <f>IF($AD526&lt;&gt;"D","",INDEX($BC$5:$BC$404,$AC526))</f>
        <v/>
      </c>
      <c r="I526" s="32">
        <f>IF($AD526&lt;&gt;"D","",INDEX($BD$5:$BD$404,$AC526))</f>
        <v/>
      </c>
      <c r="J526" s="46">
        <f>IF($AD526&lt;&gt;"D","",IF(N($B526)=0,"",ROUND($I526/$B526,4)))</f>
        <v/>
      </c>
      <c r="K526" s="32">
        <f>IF($AD526="Z",ROUND(SUM($AU$5:$AU$404),2),IF($AD526="D",INDEX($AU$5:$AU$404,$AC526),IF($AD526="T",ROUND(SUMIF($X$5:$X$404,$AF526,$AU$5:$AU$404),2),IF($AD526="B",ROUND(SUMIF($AN$5:$AN$404,$AQ526,$AU$5:$AU$404),2),""))))</f>
        <v/>
      </c>
      <c r="L526" s="32">
        <f>IF($AD526="Z",ROUND(SUM($AV$5:$AV$404),2),IF($AD526="D",INDEX($AV$5:$AV$404,$AC526),IF($AD526="T",ROUND(SUMIF($X$5:$X$404,$AF526,$AV$5:$AV$404),2),IF($AD526="B",ROUND(SUMIF($AN$5:$AN$404,$AQ526,$AV$5:$AV$404),2),""))))</f>
        <v/>
      </c>
      <c r="M526" s="32">
        <f>IF($AD526="Z",ROUND(SUM($AJ$5:$AJ$704),2),IF($AD526="B",ROUND(SUMIF($AQ$5:$AQ$704,$AQ526,$AJ$5:$AJ$704),2),IF($AD526&lt;&gt;"T","",$AJ526)))</f>
        <v/>
      </c>
      <c r="N526" s="32">
        <f>IF(OR($AD526="D",$AD526="T",$AD526="B",$AD526="Z"),ROUND(N($K526)-N($L526)-N($M526),2),"")</f>
        <v/>
      </c>
      <c r="O526" s="32">
        <f>IF(OR($AD526="D",$AD526="T",$AD526="B",$AD526="Z"),IF(N($E526)=0,"",ROUND($F526/$E526,2)),"")</f>
        <v/>
      </c>
      <c r="AC526">
        <f>IFERROR(MATCH(522,$AB$5:$AB$404,1),"")</f>
        <v/>
      </c>
      <c r="AD526">
        <f>IF(522=$AI$1+1,"Z",IF($AC526="","",IF(INDEX($V$5:$V$404,$AC526)="","",IF(522&gt;INDEX($AB$5:$AB$404,$AC526)+INDEX($Z$5:$Z$404,$AC526)+INDEX($AA$5:$AA$404,$AC526)+INDEX($AO$5:$AO$404,$AC526),"",IF(522=INDEX($AB$5:$AB$404,$AC526)+INDEX($Z$5:$Z$404,$AC526),"D",IF(AND(INDEX($Z$5:$Z$404,$AC526)=1,522=INDEX($AB$5:$AB$404,$AC526)),"H",IF(AND(INDEX($AO$5:$AO$404,$AC526)=1,522=INDEX($AB$5:$AB$404,$AC526)+INDEX($Z$5:$Z$404,$AC526)+INDEX($AA$5:$AA$404,$AC526)+INDEX($AO$5:$AO$404,$AC526)),"B","T")))))))</f>
        <v/>
      </c>
      <c r="AF526">
        <f>IF(OR($AD526="",$AD526="Z",$AD526="B"),"",INDEX($X$5:$X$404,$AC526))</f>
        <v/>
      </c>
      <c r="AJ526">
        <f>IF($AD526&lt;&gt;"T",0,ROUND(SUMIF(oil!$B$4:$B$63,$AF526,oil!$AE$4:$AE$63),2))</f>
        <v/>
      </c>
      <c r="AQ526">
        <f>IF(OR($AD526="",$AD526="Z"),"",INDEX($AN$5:$AN$404,$AC526))</f>
        <v/>
      </c>
      <c r="AZ526">
        <f>IF(AND($AD526="T",$AQ526=1),N($AZ525)+1,N($AZ525))</f>
        <v/>
      </c>
    </row>
    <row r="527" ht="21" customHeight="1" s="66">
      <c r="A527" s="69">
        <f>IF($AD527="","",IF($AD527="Z","รวมจ่ายทั้งสิ้น",IF($AD527="H",INDEX($X$5:$X$404,$AC527),IF($AD527="T","รวม",IF($AD527="B",IFERROR(INDEX(อัตราค่าขนส่ง!$S$5:$S$14,MATCH(INDEX($AM$5:$AM$404,$AC527),อัตราค่าขนส่ง!$R$5:$R$14,0)),"รวมกลุ่ม "&amp;INDEX($AM$5:$AM$404,$AC527)),INDEX($AY$5:$AY$404,$AC527))))))</f>
        <v/>
      </c>
      <c r="B527" s="31">
        <f>IF($AD527&lt;&gt;"D","",INDEX($AW$5:$AW$404,$AC527))</f>
        <v/>
      </c>
      <c r="C527" s="68">
        <f>IF($AD527&lt;&gt;"D","",INDEX($AX$5:$AX$404,$AC527))</f>
        <v/>
      </c>
      <c r="D527" s="70">
        <f>IF($AD527&lt;&gt;"D","",INDEX($BA$5:$BA$404,$AC527))</f>
        <v/>
      </c>
      <c r="E527" s="31">
        <f>IF($AD527="Z",SUM($AR$5:$AR$404),IF($AD527="D",INDEX($AR$5:$AR$404,$AC527),IF($AD527="T",SUMIF($X$5:$X$404,$AF527,$AR$5:$AR$404),IF($AD527="B",SUMIF($AN$5:$AN$404,$AQ527,$AR$5:$AR$404),""))))</f>
        <v/>
      </c>
      <c r="F527" s="32">
        <f>IF($AD527="Z",ROUND(SUM($AS$5:$AS$404),2),IF($AD527="D",INDEX($AS$5:$AS$404,$AC527),IF($AD527="T",ROUND(SUMIF($X$5:$X$404,$AF527,$AS$5:$AS$404),2),IF($AD527="B",ROUND(SUMIF($AN$5:$AN$404,$AQ527,$AS$5:$AS$404),2),""))))</f>
        <v/>
      </c>
      <c r="G527" s="32">
        <f>IF($AD527&lt;&gt;"D","",INDEX($AT$5:$AT$404,$AC527))</f>
        <v/>
      </c>
      <c r="H527" s="32">
        <f>IF($AD527&lt;&gt;"D","",INDEX($BC$5:$BC$404,$AC527))</f>
        <v/>
      </c>
      <c r="I527" s="32">
        <f>IF($AD527&lt;&gt;"D","",INDEX($BD$5:$BD$404,$AC527))</f>
        <v/>
      </c>
      <c r="J527" s="46">
        <f>IF($AD527&lt;&gt;"D","",IF(N($B527)=0,"",ROUND($I527/$B527,4)))</f>
        <v/>
      </c>
      <c r="K527" s="32">
        <f>IF($AD527="Z",ROUND(SUM($AU$5:$AU$404),2),IF($AD527="D",INDEX($AU$5:$AU$404,$AC527),IF($AD527="T",ROUND(SUMIF($X$5:$X$404,$AF527,$AU$5:$AU$404),2),IF($AD527="B",ROUND(SUMIF($AN$5:$AN$404,$AQ527,$AU$5:$AU$404),2),""))))</f>
        <v/>
      </c>
      <c r="L527" s="32">
        <f>IF($AD527="Z",ROUND(SUM($AV$5:$AV$404),2),IF($AD527="D",INDEX($AV$5:$AV$404,$AC527),IF($AD527="T",ROUND(SUMIF($X$5:$X$404,$AF527,$AV$5:$AV$404),2),IF($AD527="B",ROUND(SUMIF($AN$5:$AN$404,$AQ527,$AV$5:$AV$404),2),""))))</f>
        <v/>
      </c>
      <c r="M527" s="32">
        <f>IF($AD527="Z",ROUND(SUM($AJ$5:$AJ$704),2),IF($AD527="B",ROUND(SUMIF($AQ$5:$AQ$704,$AQ527,$AJ$5:$AJ$704),2),IF($AD527&lt;&gt;"T","",$AJ527)))</f>
        <v/>
      </c>
      <c r="N527" s="32">
        <f>IF(OR($AD527="D",$AD527="T",$AD527="B",$AD527="Z"),ROUND(N($K527)-N($L527)-N($M527),2),"")</f>
        <v/>
      </c>
      <c r="O527" s="32">
        <f>IF(OR($AD527="D",$AD527="T",$AD527="B",$AD527="Z"),IF(N($E527)=0,"",ROUND($F527/$E527,2)),"")</f>
        <v/>
      </c>
      <c r="AC527">
        <f>IFERROR(MATCH(523,$AB$5:$AB$404,1),"")</f>
        <v/>
      </c>
      <c r="AD527">
        <f>IF(523=$AI$1+1,"Z",IF($AC527="","",IF(INDEX($V$5:$V$404,$AC527)="","",IF(523&gt;INDEX($AB$5:$AB$404,$AC527)+INDEX($Z$5:$Z$404,$AC527)+INDEX($AA$5:$AA$404,$AC527)+INDEX($AO$5:$AO$404,$AC527),"",IF(523=INDEX($AB$5:$AB$404,$AC527)+INDEX($Z$5:$Z$404,$AC527),"D",IF(AND(INDEX($Z$5:$Z$404,$AC527)=1,523=INDEX($AB$5:$AB$404,$AC527)),"H",IF(AND(INDEX($AO$5:$AO$404,$AC527)=1,523=INDEX($AB$5:$AB$404,$AC527)+INDEX($Z$5:$Z$404,$AC527)+INDEX($AA$5:$AA$404,$AC527)+INDEX($AO$5:$AO$404,$AC527)),"B","T")))))))</f>
        <v/>
      </c>
      <c r="AF527">
        <f>IF(OR($AD527="",$AD527="Z",$AD527="B"),"",INDEX($X$5:$X$404,$AC527))</f>
        <v/>
      </c>
      <c r="AJ527">
        <f>IF($AD527&lt;&gt;"T",0,ROUND(SUMIF(oil!$B$4:$B$63,$AF527,oil!$AE$4:$AE$63),2))</f>
        <v/>
      </c>
      <c r="AQ527">
        <f>IF(OR($AD527="",$AD527="Z"),"",INDEX($AN$5:$AN$404,$AC527))</f>
        <v/>
      </c>
      <c r="AZ527">
        <f>IF(AND($AD527="T",$AQ527=1),N($AZ526)+1,N($AZ526))</f>
        <v/>
      </c>
    </row>
    <row r="528" ht="21" customHeight="1" s="66">
      <c r="A528" s="69">
        <f>IF($AD528="","",IF($AD528="Z","รวมจ่ายทั้งสิ้น",IF($AD528="H",INDEX($X$5:$X$404,$AC528),IF($AD528="T","รวม",IF($AD528="B",IFERROR(INDEX(อัตราค่าขนส่ง!$S$5:$S$14,MATCH(INDEX($AM$5:$AM$404,$AC528),อัตราค่าขนส่ง!$R$5:$R$14,0)),"รวมกลุ่ม "&amp;INDEX($AM$5:$AM$404,$AC528)),INDEX($AY$5:$AY$404,$AC528))))))</f>
        <v/>
      </c>
      <c r="B528" s="31">
        <f>IF($AD528&lt;&gt;"D","",INDEX($AW$5:$AW$404,$AC528))</f>
        <v/>
      </c>
      <c r="C528" s="68">
        <f>IF($AD528&lt;&gt;"D","",INDEX($AX$5:$AX$404,$AC528))</f>
        <v/>
      </c>
      <c r="D528" s="70">
        <f>IF($AD528&lt;&gt;"D","",INDEX($BA$5:$BA$404,$AC528))</f>
        <v/>
      </c>
      <c r="E528" s="31">
        <f>IF($AD528="Z",SUM($AR$5:$AR$404),IF($AD528="D",INDEX($AR$5:$AR$404,$AC528),IF($AD528="T",SUMIF($X$5:$X$404,$AF528,$AR$5:$AR$404),IF($AD528="B",SUMIF($AN$5:$AN$404,$AQ528,$AR$5:$AR$404),""))))</f>
        <v/>
      </c>
      <c r="F528" s="32">
        <f>IF($AD528="Z",ROUND(SUM($AS$5:$AS$404),2),IF($AD528="D",INDEX($AS$5:$AS$404,$AC528),IF($AD528="T",ROUND(SUMIF($X$5:$X$404,$AF528,$AS$5:$AS$404),2),IF($AD528="B",ROUND(SUMIF($AN$5:$AN$404,$AQ528,$AS$5:$AS$404),2),""))))</f>
        <v/>
      </c>
      <c r="G528" s="32">
        <f>IF($AD528&lt;&gt;"D","",INDEX($AT$5:$AT$404,$AC528))</f>
        <v/>
      </c>
      <c r="H528" s="32">
        <f>IF($AD528&lt;&gt;"D","",INDEX($BC$5:$BC$404,$AC528))</f>
        <v/>
      </c>
      <c r="I528" s="32">
        <f>IF($AD528&lt;&gt;"D","",INDEX($BD$5:$BD$404,$AC528))</f>
        <v/>
      </c>
      <c r="J528" s="46">
        <f>IF($AD528&lt;&gt;"D","",IF(N($B528)=0,"",ROUND($I528/$B528,4)))</f>
        <v/>
      </c>
      <c r="K528" s="32">
        <f>IF($AD528="Z",ROUND(SUM($AU$5:$AU$404),2),IF($AD528="D",INDEX($AU$5:$AU$404,$AC528),IF($AD528="T",ROUND(SUMIF($X$5:$X$404,$AF528,$AU$5:$AU$404),2),IF($AD528="B",ROUND(SUMIF($AN$5:$AN$404,$AQ528,$AU$5:$AU$404),2),""))))</f>
        <v/>
      </c>
      <c r="L528" s="32">
        <f>IF($AD528="Z",ROUND(SUM($AV$5:$AV$404),2),IF($AD528="D",INDEX($AV$5:$AV$404,$AC528),IF($AD528="T",ROUND(SUMIF($X$5:$X$404,$AF528,$AV$5:$AV$404),2),IF($AD528="B",ROUND(SUMIF($AN$5:$AN$404,$AQ528,$AV$5:$AV$404),2),""))))</f>
        <v/>
      </c>
      <c r="M528" s="32">
        <f>IF($AD528="Z",ROUND(SUM($AJ$5:$AJ$704),2),IF($AD528="B",ROUND(SUMIF($AQ$5:$AQ$704,$AQ528,$AJ$5:$AJ$704),2),IF($AD528&lt;&gt;"T","",$AJ528)))</f>
        <v/>
      </c>
      <c r="N528" s="32">
        <f>IF(OR($AD528="D",$AD528="T",$AD528="B",$AD528="Z"),ROUND(N($K528)-N($L528)-N($M528),2),"")</f>
        <v/>
      </c>
      <c r="O528" s="32">
        <f>IF(OR($AD528="D",$AD528="T",$AD528="B",$AD528="Z"),IF(N($E528)=0,"",ROUND($F528/$E528,2)),"")</f>
        <v/>
      </c>
      <c r="AC528">
        <f>IFERROR(MATCH(524,$AB$5:$AB$404,1),"")</f>
        <v/>
      </c>
      <c r="AD528">
        <f>IF(524=$AI$1+1,"Z",IF($AC528="","",IF(INDEX($V$5:$V$404,$AC528)="","",IF(524&gt;INDEX($AB$5:$AB$404,$AC528)+INDEX($Z$5:$Z$404,$AC528)+INDEX($AA$5:$AA$404,$AC528)+INDEX($AO$5:$AO$404,$AC528),"",IF(524=INDEX($AB$5:$AB$404,$AC528)+INDEX($Z$5:$Z$404,$AC528),"D",IF(AND(INDEX($Z$5:$Z$404,$AC528)=1,524=INDEX($AB$5:$AB$404,$AC528)),"H",IF(AND(INDEX($AO$5:$AO$404,$AC528)=1,524=INDEX($AB$5:$AB$404,$AC528)+INDEX($Z$5:$Z$404,$AC528)+INDEX($AA$5:$AA$404,$AC528)+INDEX($AO$5:$AO$404,$AC528)),"B","T")))))))</f>
        <v/>
      </c>
      <c r="AF528">
        <f>IF(OR($AD528="",$AD528="Z",$AD528="B"),"",INDEX($X$5:$X$404,$AC528))</f>
        <v/>
      </c>
      <c r="AJ528">
        <f>IF($AD528&lt;&gt;"T",0,ROUND(SUMIF(oil!$B$4:$B$63,$AF528,oil!$AE$4:$AE$63),2))</f>
        <v/>
      </c>
      <c r="AQ528">
        <f>IF(OR($AD528="",$AD528="Z"),"",INDEX($AN$5:$AN$404,$AC528))</f>
        <v/>
      </c>
      <c r="AZ528">
        <f>IF(AND($AD528="T",$AQ528=1),N($AZ527)+1,N($AZ527))</f>
        <v/>
      </c>
    </row>
    <row r="529" ht="21" customHeight="1" s="66">
      <c r="A529" s="69">
        <f>IF($AD529="","",IF($AD529="Z","รวมจ่ายทั้งสิ้น",IF($AD529="H",INDEX($X$5:$X$404,$AC529),IF($AD529="T","รวม",IF($AD529="B",IFERROR(INDEX(อัตราค่าขนส่ง!$S$5:$S$14,MATCH(INDEX($AM$5:$AM$404,$AC529),อัตราค่าขนส่ง!$R$5:$R$14,0)),"รวมกลุ่ม "&amp;INDEX($AM$5:$AM$404,$AC529)),INDEX($AY$5:$AY$404,$AC529))))))</f>
        <v/>
      </c>
      <c r="B529" s="31">
        <f>IF($AD529&lt;&gt;"D","",INDEX($AW$5:$AW$404,$AC529))</f>
        <v/>
      </c>
      <c r="C529" s="68">
        <f>IF($AD529&lt;&gt;"D","",INDEX($AX$5:$AX$404,$AC529))</f>
        <v/>
      </c>
      <c r="D529" s="70">
        <f>IF($AD529&lt;&gt;"D","",INDEX($BA$5:$BA$404,$AC529))</f>
        <v/>
      </c>
      <c r="E529" s="31">
        <f>IF($AD529="Z",SUM($AR$5:$AR$404),IF($AD529="D",INDEX($AR$5:$AR$404,$AC529),IF($AD529="T",SUMIF($X$5:$X$404,$AF529,$AR$5:$AR$404),IF($AD529="B",SUMIF($AN$5:$AN$404,$AQ529,$AR$5:$AR$404),""))))</f>
        <v/>
      </c>
      <c r="F529" s="32">
        <f>IF($AD529="Z",ROUND(SUM($AS$5:$AS$404),2),IF($AD529="D",INDEX($AS$5:$AS$404,$AC529),IF($AD529="T",ROUND(SUMIF($X$5:$X$404,$AF529,$AS$5:$AS$404),2),IF($AD529="B",ROUND(SUMIF($AN$5:$AN$404,$AQ529,$AS$5:$AS$404),2),""))))</f>
        <v/>
      </c>
      <c r="G529" s="32">
        <f>IF($AD529&lt;&gt;"D","",INDEX($AT$5:$AT$404,$AC529))</f>
        <v/>
      </c>
      <c r="H529" s="32">
        <f>IF($AD529&lt;&gt;"D","",INDEX($BC$5:$BC$404,$AC529))</f>
        <v/>
      </c>
      <c r="I529" s="32">
        <f>IF($AD529&lt;&gt;"D","",INDEX($BD$5:$BD$404,$AC529))</f>
        <v/>
      </c>
      <c r="J529" s="46">
        <f>IF($AD529&lt;&gt;"D","",IF(N($B529)=0,"",ROUND($I529/$B529,4)))</f>
        <v/>
      </c>
      <c r="K529" s="32">
        <f>IF($AD529="Z",ROUND(SUM($AU$5:$AU$404),2),IF($AD529="D",INDEX($AU$5:$AU$404,$AC529),IF($AD529="T",ROUND(SUMIF($X$5:$X$404,$AF529,$AU$5:$AU$404),2),IF($AD529="B",ROUND(SUMIF($AN$5:$AN$404,$AQ529,$AU$5:$AU$404),2),""))))</f>
        <v/>
      </c>
      <c r="L529" s="32">
        <f>IF($AD529="Z",ROUND(SUM($AV$5:$AV$404),2),IF($AD529="D",INDEX($AV$5:$AV$404,$AC529),IF($AD529="T",ROUND(SUMIF($X$5:$X$404,$AF529,$AV$5:$AV$404),2),IF($AD529="B",ROUND(SUMIF($AN$5:$AN$404,$AQ529,$AV$5:$AV$404),2),""))))</f>
        <v/>
      </c>
      <c r="M529" s="32">
        <f>IF($AD529="Z",ROUND(SUM($AJ$5:$AJ$704),2),IF($AD529="B",ROUND(SUMIF($AQ$5:$AQ$704,$AQ529,$AJ$5:$AJ$704),2),IF($AD529&lt;&gt;"T","",$AJ529)))</f>
        <v/>
      </c>
      <c r="N529" s="32">
        <f>IF(OR($AD529="D",$AD529="T",$AD529="B",$AD529="Z"),ROUND(N($K529)-N($L529)-N($M529),2),"")</f>
        <v/>
      </c>
      <c r="O529" s="32">
        <f>IF(OR($AD529="D",$AD529="T",$AD529="B",$AD529="Z"),IF(N($E529)=0,"",ROUND($F529/$E529,2)),"")</f>
        <v/>
      </c>
      <c r="AC529">
        <f>IFERROR(MATCH(525,$AB$5:$AB$404,1),"")</f>
        <v/>
      </c>
      <c r="AD529">
        <f>IF(525=$AI$1+1,"Z",IF($AC529="","",IF(INDEX($V$5:$V$404,$AC529)="","",IF(525&gt;INDEX($AB$5:$AB$404,$AC529)+INDEX($Z$5:$Z$404,$AC529)+INDEX($AA$5:$AA$404,$AC529)+INDEX($AO$5:$AO$404,$AC529),"",IF(525=INDEX($AB$5:$AB$404,$AC529)+INDEX($Z$5:$Z$404,$AC529),"D",IF(AND(INDEX($Z$5:$Z$404,$AC529)=1,525=INDEX($AB$5:$AB$404,$AC529)),"H",IF(AND(INDEX($AO$5:$AO$404,$AC529)=1,525=INDEX($AB$5:$AB$404,$AC529)+INDEX($Z$5:$Z$404,$AC529)+INDEX($AA$5:$AA$404,$AC529)+INDEX($AO$5:$AO$404,$AC529)),"B","T")))))))</f>
        <v/>
      </c>
      <c r="AF529">
        <f>IF(OR($AD529="",$AD529="Z",$AD529="B"),"",INDEX($X$5:$X$404,$AC529))</f>
        <v/>
      </c>
      <c r="AJ529">
        <f>IF($AD529&lt;&gt;"T",0,ROUND(SUMIF(oil!$B$4:$B$63,$AF529,oil!$AE$4:$AE$63),2))</f>
        <v/>
      </c>
      <c r="AQ529">
        <f>IF(OR($AD529="",$AD529="Z"),"",INDEX($AN$5:$AN$404,$AC529))</f>
        <v/>
      </c>
      <c r="AZ529">
        <f>IF(AND($AD529="T",$AQ529=1),N($AZ528)+1,N($AZ528))</f>
        <v/>
      </c>
    </row>
    <row r="530" ht="21" customHeight="1" s="66">
      <c r="A530" s="69">
        <f>IF($AD530="","",IF($AD530="Z","รวมจ่ายทั้งสิ้น",IF($AD530="H",INDEX($X$5:$X$404,$AC530),IF($AD530="T","รวม",IF($AD530="B",IFERROR(INDEX(อัตราค่าขนส่ง!$S$5:$S$14,MATCH(INDEX($AM$5:$AM$404,$AC530),อัตราค่าขนส่ง!$R$5:$R$14,0)),"รวมกลุ่ม "&amp;INDEX($AM$5:$AM$404,$AC530)),INDEX($AY$5:$AY$404,$AC530))))))</f>
        <v/>
      </c>
      <c r="B530" s="31">
        <f>IF($AD530&lt;&gt;"D","",INDEX($AW$5:$AW$404,$AC530))</f>
        <v/>
      </c>
      <c r="C530" s="68">
        <f>IF($AD530&lt;&gt;"D","",INDEX($AX$5:$AX$404,$AC530))</f>
        <v/>
      </c>
      <c r="D530" s="70">
        <f>IF($AD530&lt;&gt;"D","",INDEX($BA$5:$BA$404,$AC530))</f>
        <v/>
      </c>
      <c r="E530" s="31">
        <f>IF($AD530="Z",SUM($AR$5:$AR$404),IF($AD530="D",INDEX($AR$5:$AR$404,$AC530),IF($AD530="T",SUMIF($X$5:$X$404,$AF530,$AR$5:$AR$404),IF($AD530="B",SUMIF($AN$5:$AN$404,$AQ530,$AR$5:$AR$404),""))))</f>
        <v/>
      </c>
      <c r="F530" s="32">
        <f>IF($AD530="Z",ROUND(SUM($AS$5:$AS$404),2),IF($AD530="D",INDEX($AS$5:$AS$404,$AC530),IF($AD530="T",ROUND(SUMIF($X$5:$X$404,$AF530,$AS$5:$AS$404),2),IF($AD530="B",ROUND(SUMIF($AN$5:$AN$404,$AQ530,$AS$5:$AS$404),2),""))))</f>
        <v/>
      </c>
      <c r="G530" s="32">
        <f>IF($AD530&lt;&gt;"D","",INDEX($AT$5:$AT$404,$AC530))</f>
        <v/>
      </c>
      <c r="H530" s="32">
        <f>IF($AD530&lt;&gt;"D","",INDEX($BC$5:$BC$404,$AC530))</f>
        <v/>
      </c>
      <c r="I530" s="32">
        <f>IF($AD530&lt;&gt;"D","",INDEX($BD$5:$BD$404,$AC530))</f>
        <v/>
      </c>
      <c r="J530" s="46">
        <f>IF($AD530&lt;&gt;"D","",IF(N($B530)=0,"",ROUND($I530/$B530,4)))</f>
        <v/>
      </c>
      <c r="K530" s="32">
        <f>IF($AD530="Z",ROUND(SUM($AU$5:$AU$404),2),IF($AD530="D",INDEX($AU$5:$AU$404,$AC530),IF($AD530="T",ROUND(SUMIF($X$5:$X$404,$AF530,$AU$5:$AU$404),2),IF($AD530="B",ROUND(SUMIF($AN$5:$AN$404,$AQ530,$AU$5:$AU$404),2),""))))</f>
        <v/>
      </c>
      <c r="L530" s="32">
        <f>IF($AD530="Z",ROUND(SUM($AV$5:$AV$404),2),IF($AD530="D",INDEX($AV$5:$AV$404,$AC530),IF($AD530="T",ROUND(SUMIF($X$5:$X$404,$AF530,$AV$5:$AV$404),2),IF($AD530="B",ROUND(SUMIF($AN$5:$AN$404,$AQ530,$AV$5:$AV$404),2),""))))</f>
        <v/>
      </c>
      <c r="M530" s="32">
        <f>IF($AD530="Z",ROUND(SUM($AJ$5:$AJ$704),2),IF($AD530="B",ROUND(SUMIF($AQ$5:$AQ$704,$AQ530,$AJ$5:$AJ$704),2),IF($AD530&lt;&gt;"T","",$AJ530)))</f>
        <v/>
      </c>
      <c r="N530" s="32">
        <f>IF(OR($AD530="D",$AD530="T",$AD530="B",$AD530="Z"),ROUND(N($K530)-N($L530)-N($M530),2),"")</f>
        <v/>
      </c>
      <c r="O530" s="32">
        <f>IF(OR($AD530="D",$AD530="T",$AD530="B",$AD530="Z"),IF(N($E530)=0,"",ROUND($F530/$E530,2)),"")</f>
        <v/>
      </c>
      <c r="AC530">
        <f>IFERROR(MATCH(526,$AB$5:$AB$404,1),"")</f>
        <v/>
      </c>
      <c r="AD530">
        <f>IF(526=$AI$1+1,"Z",IF($AC530="","",IF(INDEX($V$5:$V$404,$AC530)="","",IF(526&gt;INDEX($AB$5:$AB$404,$AC530)+INDEX($Z$5:$Z$404,$AC530)+INDEX($AA$5:$AA$404,$AC530)+INDEX($AO$5:$AO$404,$AC530),"",IF(526=INDEX($AB$5:$AB$404,$AC530)+INDEX($Z$5:$Z$404,$AC530),"D",IF(AND(INDEX($Z$5:$Z$404,$AC530)=1,526=INDEX($AB$5:$AB$404,$AC530)),"H",IF(AND(INDEX($AO$5:$AO$404,$AC530)=1,526=INDEX($AB$5:$AB$404,$AC530)+INDEX($Z$5:$Z$404,$AC530)+INDEX($AA$5:$AA$404,$AC530)+INDEX($AO$5:$AO$404,$AC530)),"B","T")))))))</f>
        <v/>
      </c>
      <c r="AF530">
        <f>IF(OR($AD530="",$AD530="Z",$AD530="B"),"",INDEX($X$5:$X$404,$AC530))</f>
        <v/>
      </c>
      <c r="AJ530">
        <f>IF($AD530&lt;&gt;"T",0,ROUND(SUMIF(oil!$B$4:$B$63,$AF530,oil!$AE$4:$AE$63),2))</f>
        <v/>
      </c>
      <c r="AQ530">
        <f>IF(OR($AD530="",$AD530="Z"),"",INDEX($AN$5:$AN$404,$AC530))</f>
        <v/>
      </c>
      <c r="AZ530">
        <f>IF(AND($AD530="T",$AQ530=1),N($AZ529)+1,N($AZ529))</f>
        <v/>
      </c>
    </row>
    <row r="531" ht="21" customHeight="1" s="66">
      <c r="A531" s="69">
        <f>IF($AD531="","",IF($AD531="Z","รวมจ่ายทั้งสิ้น",IF($AD531="H",INDEX($X$5:$X$404,$AC531),IF($AD531="T","รวม",IF($AD531="B",IFERROR(INDEX(อัตราค่าขนส่ง!$S$5:$S$14,MATCH(INDEX($AM$5:$AM$404,$AC531),อัตราค่าขนส่ง!$R$5:$R$14,0)),"รวมกลุ่ม "&amp;INDEX($AM$5:$AM$404,$AC531)),INDEX($AY$5:$AY$404,$AC531))))))</f>
        <v/>
      </c>
      <c r="B531" s="31">
        <f>IF($AD531&lt;&gt;"D","",INDEX($AW$5:$AW$404,$AC531))</f>
        <v/>
      </c>
      <c r="C531" s="68">
        <f>IF($AD531&lt;&gt;"D","",INDEX($AX$5:$AX$404,$AC531))</f>
        <v/>
      </c>
      <c r="D531" s="70">
        <f>IF($AD531&lt;&gt;"D","",INDEX($BA$5:$BA$404,$AC531))</f>
        <v/>
      </c>
      <c r="E531" s="31">
        <f>IF($AD531="Z",SUM($AR$5:$AR$404),IF($AD531="D",INDEX($AR$5:$AR$404,$AC531),IF($AD531="T",SUMIF($X$5:$X$404,$AF531,$AR$5:$AR$404),IF($AD531="B",SUMIF($AN$5:$AN$404,$AQ531,$AR$5:$AR$404),""))))</f>
        <v/>
      </c>
      <c r="F531" s="32">
        <f>IF($AD531="Z",ROUND(SUM($AS$5:$AS$404),2),IF($AD531="D",INDEX($AS$5:$AS$404,$AC531),IF($AD531="T",ROUND(SUMIF($X$5:$X$404,$AF531,$AS$5:$AS$404),2),IF($AD531="B",ROUND(SUMIF($AN$5:$AN$404,$AQ531,$AS$5:$AS$404),2),""))))</f>
        <v/>
      </c>
      <c r="G531" s="32">
        <f>IF($AD531&lt;&gt;"D","",INDEX($AT$5:$AT$404,$AC531))</f>
        <v/>
      </c>
      <c r="H531" s="32">
        <f>IF($AD531&lt;&gt;"D","",INDEX($BC$5:$BC$404,$AC531))</f>
        <v/>
      </c>
      <c r="I531" s="32">
        <f>IF($AD531&lt;&gt;"D","",INDEX($BD$5:$BD$404,$AC531))</f>
        <v/>
      </c>
      <c r="J531" s="46">
        <f>IF($AD531&lt;&gt;"D","",IF(N($B531)=0,"",ROUND($I531/$B531,4)))</f>
        <v/>
      </c>
      <c r="K531" s="32">
        <f>IF($AD531="Z",ROUND(SUM($AU$5:$AU$404),2),IF($AD531="D",INDEX($AU$5:$AU$404,$AC531),IF($AD531="T",ROUND(SUMIF($X$5:$X$404,$AF531,$AU$5:$AU$404),2),IF($AD531="B",ROUND(SUMIF($AN$5:$AN$404,$AQ531,$AU$5:$AU$404),2),""))))</f>
        <v/>
      </c>
      <c r="L531" s="32">
        <f>IF($AD531="Z",ROUND(SUM($AV$5:$AV$404),2),IF($AD531="D",INDEX($AV$5:$AV$404,$AC531),IF($AD531="T",ROUND(SUMIF($X$5:$X$404,$AF531,$AV$5:$AV$404),2),IF($AD531="B",ROUND(SUMIF($AN$5:$AN$404,$AQ531,$AV$5:$AV$404),2),""))))</f>
        <v/>
      </c>
      <c r="M531" s="32">
        <f>IF($AD531="Z",ROUND(SUM($AJ$5:$AJ$704),2),IF($AD531="B",ROUND(SUMIF($AQ$5:$AQ$704,$AQ531,$AJ$5:$AJ$704),2),IF($AD531&lt;&gt;"T","",$AJ531)))</f>
        <v/>
      </c>
      <c r="N531" s="32">
        <f>IF(OR($AD531="D",$AD531="T",$AD531="B",$AD531="Z"),ROUND(N($K531)-N($L531)-N($M531),2),"")</f>
        <v/>
      </c>
      <c r="O531" s="32">
        <f>IF(OR($AD531="D",$AD531="T",$AD531="B",$AD531="Z"),IF(N($E531)=0,"",ROUND($F531/$E531,2)),"")</f>
        <v/>
      </c>
      <c r="AC531">
        <f>IFERROR(MATCH(527,$AB$5:$AB$404,1),"")</f>
        <v/>
      </c>
      <c r="AD531">
        <f>IF(527=$AI$1+1,"Z",IF($AC531="","",IF(INDEX($V$5:$V$404,$AC531)="","",IF(527&gt;INDEX($AB$5:$AB$404,$AC531)+INDEX($Z$5:$Z$404,$AC531)+INDEX($AA$5:$AA$404,$AC531)+INDEX($AO$5:$AO$404,$AC531),"",IF(527=INDEX($AB$5:$AB$404,$AC531)+INDEX($Z$5:$Z$404,$AC531),"D",IF(AND(INDEX($Z$5:$Z$404,$AC531)=1,527=INDEX($AB$5:$AB$404,$AC531)),"H",IF(AND(INDEX($AO$5:$AO$404,$AC531)=1,527=INDEX($AB$5:$AB$404,$AC531)+INDEX($Z$5:$Z$404,$AC531)+INDEX($AA$5:$AA$404,$AC531)+INDEX($AO$5:$AO$404,$AC531)),"B","T")))))))</f>
        <v/>
      </c>
      <c r="AF531">
        <f>IF(OR($AD531="",$AD531="Z",$AD531="B"),"",INDEX($X$5:$X$404,$AC531))</f>
        <v/>
      </c>
      <c r="AJ531">
        <f>IF($AD531&lt;&gt;"T",0,ROUND(SUMIF(oil!$B$4:$B$63,$AF531,oil!$AE$4:$AE$63),2))</f>
        <v/>
      </c>
      <c r="AQ531">
        <f>IF(OR($AD531="",$AD531="Z"),"",INDEX($AN$5:$AN$404,$AC531))</f>
        <v/>
      </c>
      <c r="AZ531">
        <f>IF(AND($AD531="T",$AQ531=1),N($AZ530)+1,N($AZ530))</f>
        <v/>
      </c>
    </row>
    <row r="532" ht="21" customHeight="1" s="66">
      <c r="A532" s="69">
        <f>IF($AD532="","",IF($AD532="Z","รวมจ่ายทั้งสิ้น",IF($AD532="H",INDEX($X$5:$X$404,$AC532),IF($AD532="T","รวม",IF($AD532="B",IFERROR(INDEX(อัตราค่าขนส่ง!$S$5:$S$14,MATCH(INDEX($AM$5:$AM$404,$AC532),อัตราค่าขนส่ง!$R$5:$R$14,0)),"รวมกลุ่ม "&amp;INDEX($AM$5:$AM$404,$AC532)),INDEX($AY$5:$AY$404,$AC532))))))</f>
        <v/>
      </c>
      <c r="B532" s="31">
        <f>IF($AD532&lt;&gt;"D","",INDEX($AW$5:$AW$404,$AC532))</f>
        <v/>
      </c>
      <c r="C532" s="68">
        <f>IF($AD532&lt;&gt;"D","",INDEX($AX$5:$AX$404,$AC532))</f>
        <v/>
      </c>
      <c r="D532" s="70">
        <f>IF($AD532&lt;&gt;"D","",INDEX($BA$5:$BA$404,$AC532))</f>
        <v/>
      </c>
      <c r="E532" s="31">
        <f>IF($AD532="Z",SUM($AR$5:$AR$404),IF($AD532="D",INDEX($AR$5:$AR$404,$AC532),IF($AD532="T",SUMIF($X$5:$X$404,$AF532,$AR$5:$AR$404),IF($AD532="B",SUMIF($AN$5:$AN$404,$AQ532,$AR$5:$AR$404),""))))</f>
        <v/>
      </c>
      <c r="F532" s="32">
        <f>IF($AD532="Z",ROUND(SUM($AS$5:$AS$404),2),IF($AD532="D",INDEX($AS$5:$AS$404,$AC532),IF($AD532="T",ROUND(SUMIF($X$5:$X$404,$AF532,$AS$5:$AS$404),2),IF($AD532="B",ROUND(SUMIF($AN$5:$AN$404,$AQ532,$AS$5:$AS$404),2),""))))</f>
        <v/>
      </c>
      <c r="G532" s="32">
        <f>IF($AD532&lt;&gt;"D","",INDEX($AT$5:$AT$404,$AC532))</f>
        <v/>
      </c>
      <c r="H532" s="32">
        <f>IF($AD532&lt;&gt;"D","",INDEX($BC$5:$BC$404,$AC532))</f>
        <v/>
      </c>
      <c r="I532" s="32">
        <f>IF($AD532&lt;&gt;"D","",INDEX($BD$5:$BD$404,$AC532))</f>
        <v/>
      </c>
      <c r="J532" s="46">
        <f>IF($AD532&lt;&gt;"D","",IF(N($B532)=0,"",ROUND($I532/$B532,4)))</f>
        <v/>
      </c>
      <c r="K532" s="32">
        <f>IF($AD532="Z",ROUND(SUM($AU$5:$AU$404),2),IF($AD532="D",INDEX($AU$5:$AU$404,$AC532),IF($AD532="T",ROUND(SUMIF($X$5:$X$404,$AF532,$AU$5:$AU$404),2),IF($AD532="B",ROUND(SUMIF($AN$5:$AN$404,$AQ532,$AU$5:$AU$404),2),""))))</f>
        <v/>
      </c>
      <c r="L532" s="32">
        <f>IF($AD532="Z",ROUND(SUM($AV$5:$AV$404),2),IF($AD532="D",INDEX($AV$5:$AV$404,$AC532),IF($AD532="T",ROUND(SUMIF($X$5:$X$404,$AF532,$AV$5:$AV$404),2),IF($AD532="B",ROUND(SUMIF($AN$5:$AN$404,$AQ532,$AV$5:$AV$404),2),""))))</f>
        <v/>
      </c>
      <c r="M532" s="32">
        <f>IF($AD532="Z",ROUND(SUM($AJ$5:$AJ$704),2),IF($AD532="B",ROUND(SUMIF($AQ$5:$AQ$704,$AQ532,$AJ$5:$AJ$704),2),IF($AD532&lt;&gt;"T","",$AJ532)))</f>
        <v/>
      </c>
      <c r="N532" s="32">
        <f>IF(OR($AD532="D",$AD532="T",$AD532="B",$AD532="Z"),ROUND(N($K532)-N($L532)-N($M532),2),"")</f>
        <v/>
      </c>
      <c r="O532" s="32">
        <f>IF(OR($AD532="D",$AD532="T",$AD532="B",$AD532="Z"),IF(N($E532)=0,"",ROUND($F532/$E532,2)),"")</f>
        <v/>
      </c>
      <c r="AC532">
        <f>IFERROR(MATCH(528,$AB$5:$AB$404,1),"")</f>
        <v/>
      </c>
      <c r="AD532">
        <f>IF(528=$AI$1+1,"Z",IF($AC532="","",IF(INDEX($V$5:$V$404,$AC532)="","",IF(528&gt;INDEX($AB$5:$AB$404,$AC532)+INDEX($Z$5:$Z$404,$AC532)+INDEX($AA$5:$AA$404,$AC532)+INDEX($AO$5:$AO$404,$AC532),"",IF(528=INDEX($AB$5:$AB$404,$AC532)+INDEX($Z$5:$Z$404,$AC532),"D",IF(AND(INDEX($Z$5:$Z$404,$AC532)=1,528=INDEX($AB$5:$AB$404,$AC532)),"H",IF(AND(INDEX($AO$5:$AO$404,$AC532)=1,528=INDEX($AB$5:$AB$404,$AC532)+INDEX($Z$5:$Z$404,$AC532)+INDEX($AA$5:$AA$404,$AC532)+INDEX($AO$5:$AO$404,$AC532)),"B","T")))))))</f>
        <v/>
      </c>
      <c r="AF532">
        <f>IF(OR($AD532="",$AD532="Z",$AD532="B"),"",INDEX($X$5:$X$404,$AC532))</f>
        <v/>
      </c>
      <c r="AJ532">
        <f>IF($AD532&lt;&gt;"T",0,ROUND(SUMIF(oil!$B$4:$B$63,$AF532,oil!$AE$4:$AE$63),2))</f>
        <v/>
      </c>
      <c r="AQ532">
        <f>IF(OR($AD532="",$AD532="Z"),"",INDEX($AN$5:$AN$404,$AC532))</f>
        <v/>
      </c>
      <c r="AZ532">
        <f>IF(AND($AD532="T",$AQ532=1),N($AZ531)+1,N($AZ531))</f>
        <v/>
      </c>
    </row>
    <row r="533" ht="21" customHeight="1" s="66">
      <c r="A533" s="69">
        <f>IF($AD533="","",IF($AD533="Z","รวมจ่ายทั้งสิ้น",IF($AD533="H",INDEX($X$5:$X$404,$AC533),IF($AD533="T","รวม",IF($AD533="B",IFERROR(INDEX(อัตราค่าขนส่ง!$S$5:$S$14,MATCH(INDEX($AM$5:$AM$404,$AC533),อัตราค่าขนส่ง!$R$5:$R$14,0)),"รวมกลุ่ม "&amp;INDEX($AM$5:$AM$404,$AC533)),INDEX($AY$5:$AY$404,$AC533))))))</f>
        <v/>
      </c>
      <c r="B533" s="31">
        <f>IF($AD533&lt;&gt;"D","",INDEX($AW$5:$AW$404,$AC533))</f>
        <v/>
      </c>
      <c r="C533" s="68">
        <f>IF($AD533&lt;&gt;"D","",INDEX($AX$5:$AX$404,$AC533))</f>
        <v/>
      </c>
      <c r="D533" s="70">
        <f>IF($AD533&lt;&gt;"D","",INDEX($BA$5:$BA$404,$AC533))</f>
        <v/>
      </c>
      <c r="E533" s="31">
        <f>IF($AD533="Z",SUM($AR$5:$AR$404),IF($AD533="D",INDEX($AR$5:$AR$404,$AC533),IF($AD533="T",SUMIF($X$5:$X$404,$AF533,$AR$5:$AR$404),IF($AD533="B",SUMIF($AN$5:$AN$404,$AQ533,$AR$5:$AR$404),""))))</f>
        <v/>
      </c>
      <c r="F533" s="32">
        <f>IF($AD533="Z",ROUND(SUM($AS$5:$AS$404),2),IF($AD533="D",INDEX($AS$5:$AS$404,$AC533),IF($AD533="T",ROUND(SUMIF($X$5:$X$404,$AF533,$AS$5:$AS$404),2),IF($AD533="B",ROUND(SUMIF($AN$5:$AN$404,$AQ533,$AS$5:$AS$404),2),""))))</f>
        <v/>
      </c>
      <c r="G533" s="32">
        <f>IF($AD533&lt;&gt;"D","",INDEX($AT$5:$AT$404,$AC533))</f>
        <v/>
      </c>
      <c r="H533" s="32">
        <f>IF($AD533&lt;&gt;"D","",INDEX($BC$5:$BC$404,$AC533))</f>
        <v/>
      </c>
      <c r="I533" s="32">
        <f>IF($AD533&lt;&gt;"D","",INDEX($BD$5:$BD$404,$AC533))</f>
        <v/>
      </c>
      <c r="J533" s="46">
        <f>IF($AD533&lt;&gt;"D","",IF(N($B533)=0,"",ROUND($I533/$B533,4)))</f>
        <v/>
      </c>
      <c r="K533" s="32">
        <f>IF($AD533="Z",ROUND(SUM($AU$5:$AU$404),2),IF($AD533="D",INDEX($AU$5:$AU$404,$AC533),IF($AD533="T",ROUND(SUMIF($X$5:$X$404,$AF533,$AU$5:$AU$404),2),IF($AD533="B",ROUND(SUMIF($AN$5:$AN$404,$AQ533,$AU$5:$AU$404),2),""))))</f>
        <v/>
      </c>
      <c r="L533" s="32">
        <f>IF($AD533="Z",ROUND(SUM($AV$5:$AV$404),2),IF($AD533="D",INDEX($AV$5:$AV$404,$AC533),IF($AD533="T",ROUND(SUMIF($X$5:$X$404,$AF533,$AV$5:$AV$404),2),IF($AD533="B",ROUND(SUMIF($AN$5:$AN$404,$AQ533,$AV$5:$AV$404),2),""))))</f>
        <v/>
      </c>
      <c r="M533" s="32">
        <f>IF($AD533="Z",ROUND(SUM($AJ$5:$AJ$704),2),IF($AD533="B",ROUND(SUMIF($AQ$5:$AQ$704,$AQ533,$AJ$5:$AJ$704),2),IF($AD533&lt;&gt;"T","",$AJ533)))</f>
        <v/>
      </c>
      <c r="N533" s="32">
        <f>IF(OR($AD533="D",$AD533="T",$AD533="B",$AD533="Z"),ROUND(N($K533)-N($L533)-N($M533),2),"")</f>
        <v/>
      </c>
      <c r="O533" s="32">
        <f>IF(OR($AD533="D",$AD533="T",$AD533="B",$AD533="Z"),IF(N($E533)=0,"",ROUND($F533/$E533,2)),"")</f>
        <v/>
      </c>
      <c r="AC533">
        <f>IFERROR(MATCH(529,$AB$5:$AB$404,1),"")</f>
        <v/>
      </c>
      <c r="AD533">
        <f>IF(529=$AI$1+1,"Z",IF($AC533="","",IF(INDEX($V$5:$V$404,$AC533)="","",IF(529&gt;INDEX($AB$5:$AB$404,$AC533)+INDEX($Z$5:$Z$404,$AC533)+INDEX($AA$5:$AA$404,$AC533)+INDEX($AO$5:$AO$404,$AC533),"",IF(529=INDEX($AB$5:$AB$404,$AC533)+INDEX($Z$5:$Z$404,$AC533),"D",IF(AND(INDEX($Z$5:$Z$404,$AC533)=1,529=INDEX($AB$5:$AB$404,$AC533)),"H",IF(AND(INDEX($AO$5:$AO$404,$AC533)=1,529=INDEX($AB$5:$AB$404,$AC533)+INDEX($Z$5:$Z$404,$AC533)+INDEX($AA$5:$AA$404,$AC533)+INDEX($AO$5:$AO$404,$AC533)),"B","T")))))))</f>
        <v/>
      </c>
      <c r="AF533">
        <f>IF(OR($AD533="",$AD533="Z",$AD533="B"),"",INDEX($X$5:$X$404,$AC533))</f>
        <v/>
      </c>
      <c r="AJ533">
        <f>IF($AD533&lt;&gt;"T",0,ROUND(SUMIF(oil!$B$4:$B$63,$AF533,oil!$AE$4:$AE$63),2))</f>
        <v/>
      </c>
      <c r="AQ533">
        <f>IF(OR($AD533="",$AD533="Z"),"",INDEX($AN$5:$AN$404,$AC533))</f>
        <v/>
      </c>
      <c r="AZ533">
        <f>IF(AND($AD533="T",$AQ533=1),N($AZ532)+1,N($AZ532))</f>
        <v/>
      </c>
    </row>
    <row r="534" ht="21" customHeight="1" s="66">
      <c r="A534" s="69">
        <f>IF($AD534="","",IF($AD534="Z","รวมจ่ายทั้งสิ้น",IF($AD534="H",INDEX($X$5:$X$404,$AC534),IF($AD534="T","รวม",IF($AD534="B",IFERROR(INDEX(อัตราค่าขนส่ง!$S$5:$S$14,MATCH(INDEX($AM$5:$AM$404,$AC534),อัตราค่าขนส่ง!$R$5:$R$14,0)),"รวมกลุ่ม "&amp;INDEX($AM$5:$AM$404,$AC534)),INDEX($AY$5:$AY$404,$AC534))))))</f>
        <v/>
      </c>
      <c r="B534" s="31">
        <f>IF($AD534&lt;&gt;"D","",INDEX($AW$5:$AW$404,$AC534))</f>
        <v/>
      </c>
      <c r="C534" s="68">
        <f>IF($AD534&lt;&gt;"D","",INDEX($AX$5:$AX$404,$AC534))</f>
        <v/>
      </c>
      <c r="D534" s="70">
        <f>IF($AD534&lt;&gt;"D","",INDEX($BA$5:$BA$404,$AC534))</f>
        <v/>
      </c>
      <c r="E534" s="31">
        <f>IF($AD534="Z",SUM($AR$5:$AR$404),IF($AD534="D",INDEX($AR$5:$AR$404,$AC534),IF($AD534="T",SUMIF($X$5:$X$404,$AF534,$AR$5:$AR$404),IF($AD534="B",SUMIF($AN$5:$AN$404,$AQ534,$AR$5:$AR$404),""))))</f>
        <v/>
      </c>
      <c r="F534" s="32">
        <f>IF($AD534="Z",ROUND(SUM($AS$5:$AS$404),2),IF($AD534="D",INDEX($AS$5:$AS$404,$AC534),IF($AD534="T",ROUND(SUMIF($X$5:$X$404,$AF534,$AS$5:$AS$404),2),IF($AD534="B",ROUND(SUMIF($AN$5:$AN$404,$AQ534,$AS$5:$AS$404),2),""))))</f>
        <v/>
      </c>
      <c r="G534" s="32">
        <f>IF($AD534&lt;&gt;"D","",INDEX($AT$5:$AT$404,$AC534))</f>
        <v/>
      </c>
      <c r="H534" s="32">
        <f>IF($AD534&lt;&gt;"D","",INDEX($BC$5:$BC$404,$AC534))</f>
        <v/>
      </c>
      <c r="I534" s="32">
        <f>IF($AD534&lt;&gt;"D","",INDEX($BD$5:$BD$404,$AC534))</f>
        <v/>
      </c>
      <c r="J534" s="46">
        <f>IF($AD534&lt;&gt;"D","",IF(N($B534)=0,"",ROUND($I534/$B534,4)))</f>
        <v/>
      </c>
      <c r="K534" s="32">
        <f>IF($AD534="Z",ROUND(SUM($AU$5:$AU$404),2),IF($AD534="D",INDEX($AU$5:$AU$404,$AC534),IF($AD534="T",ROUND(SUMIF($X$5:$X$404,$AF534,$AU$5:$AU$404),2),IF($AD534="B",ROUND(SUMIF($AN$5:$AN$404,$AQ534,$AU$5:$AU$404),2),""))))</f>
        <v/>
      </c>
      <c r="L534" s="32">
        <f>IF($AD534="Z",ROUND(SUM($AV$5:$AV$404),2),IF($AD534="D",INDEX($AV$5:$AV$404,$AC534),IF($AD534="T",ROUND(SUMIF($X$5:$X$404,$AF534,$AV$5:$AV$404),2),IF($AD534="B",ROUND(SUMIF($AN$5:$AN$404,$AQ534,$AV$5:$AV$404),2),""))))</f>
        <v/>
      </c>
      <c r="M534" s="32">
        <f>IF($AD534="Z",ROUND(SUM($AJ$5:$AJ$704),2),IF($AD534="B",ROUND(SUMIF($AQ$5:$AQ$704,$AQ534,$AJ$5:$AJ$704),2),IF($AD534&lt;&gt;"T","",$AJ534)))</f>
        <v/>
      </c>
      <c r="N534" s="32">
        <f>IF(OR($AD534="D",$AD534="T",$AD534="B",$AD534="Z"),ROUND(N($K534)-N($L534)-N($M534),2),"")</f>
        <v/>
      </c>
      <c r="O534" s="32">
        <f>IF(OR($AD534="D",$AD534="T",$AD534="B",$AD534="Z"),IF(N($E534)=0,"",ROUND($F534/$E534,2)),"")</f>
        <v/>
      </c>
      <c r="AC534">
        <f>IFERROR(MATCH(530,$AB$5:$AB$404,1),"")</f>
        <v/>
      </c>
      <c r="AD534">
        <f>IF(530=$AI$1+1,"Z",IF($AC534="","",IF(INDEX($V$5:$V$404,$AC534)="","",IF(530&gt;INDEX($AB$5:$AB$404,$AC534)+INDEX($Z$5:$Z$404,$AC534)+INDEX($AA$5:$AA$404,$AC534)+INDEX($AO$5:$AO$404,$AC534),"",IF(530=INDEX($AB$5:$AB$404,$AC534)+INDEX($Z$5:$Z$404,$AC534),"D",IF(AND(INDEX($Z$5:$Z$404,$AC534)=1,530=INDEX($AB$5:$AB$404,$AC534)),"H",IF(AND(INDEX($AO$5:$AO$404,$AC534)=1,530=INDEX($AB$5:$AB$404,$AC534)+INDEX($Z$5:$Z$404,$AC534)+INDEX($AA$5:$AA$404,$AC534)+INDEX($AO$5:$AO$404,$AC534)),"B","T")))))))</f>
        <v/>
      </c>
      <c r="AF534">
        <f>IF(OR($AD534="",$AD534="Z",$AD534="B"),"",INDEX($X$5:$X$404,$AC534))</f>
        <v/>
      </c>
      <c r="AJ534">
        <f>IF($AD534&lt;&gt;"T",0,ROUND(SUMIF(oil!$B$4:$B$63,$AF534,oil!$AE$4:$AE$63),2))</f>
        <v/>
      </c>
      <c r="AQ534">
        <f>IF(OR($AD534="",$AD534="Z"),"",INDEX($AN$5:$AN$404,$AC534))</f>
        <v/>
      </c>
      <c r="AZ534">
        <f>IF(AND($AD534="T",$AQ534=1),N($AZ533)+1,N($AZ533))</f>
        <v/>
      </c>
    </row>
    <row r="535" ht="21" customHeight="1" s="66">
      <c r="A535" s="69">
        <f>IF($AD535="","",IF($AD535="Z","รวมจ่ายทั้งสิ้น",IF($AD535="H",INDEX($X$5:$X$404,$AC535),IF($AD535="T","รวม",IF($AD535="B",IFERROR(INDEX(อัตราค่าขนส่ง!$S$5:$S$14,MATCH(INDEX($AM$5:$AM$404,$AC535),อัตราค่าขนส่ง!$R$5:$R$14,0)),"รวมกลุ่ม "&amp;INDEX($AM$5:$AM$404,$AC535)),INDEX($AY$5:$AY$404,$AC535))))))</f>
        <v/>
      </c>
      <c r="B535" s="31">
        <f>IF($AD535&lt;&gt;"D","",INDEX($AW$5:$AW$404,$AC535))</f>
        <v/>
      </c>
      <c r="C535" s="68">
        <f>IF($AD535&lt;&gt;"D","",INDEX($AX$5:$AX$404,$AC535))</f>
        <v/>
      </c>
      <c r="D535" s="70">
        <f>IF($AD535&lt;&gt;"D","",INDEX($BA$5:$BA$404,$AC535))</f>
        <v/>
      </c>
      <c r="E535" s="31">
        <f>IF($AD535="Z",SUM($AR$5:$AR$404),IF($AD535="D",INDEX($AR$5:$AR$404,$AC535),IF($AD535="T",SUMIF($X$5:$X$404,$AF535,$AR$5:$AR$404),IF($AD535="B",SUMIF($AN$5:$AN$404,$AQ535,$AR$5:$AR$404),""))))</f>
        <v/>
      </c>
      <c r="F535" s="32">
        <f>IF($AD535="Z",ROUND(SUM($AS$5:$AS$404),2),IF($AD535="D",INDEX($AS$5:$AS$404,$AC535),IF($AD535="T",ROUND(SUMIF($X$5:$X$404,$AF535,$AS$5:$AS$404),2),IF($AD535="B",ROUND(SUMIF($AN$5:$AN$404,$AQ535,$AS$5:$AS$404),2),""))))</f>
        <v/>
      </c>
      <c r="G535" s="32">
        <f>IF($AD535&lt;&gt;"D","",INDEX($AT$5:$AT$404,$AC535))</f>
        <v/>
      </c>
      <c r="H535" s="32">
        <f>IF($AD535&lt;&gt;"D","",INDEX($BC$5:$BC$404,$AC535))</f>
        <v/>
      </c>
      <c r="I535" s="32">
        <f>IF($AD535&lt;&gt;"D","",INDEX($BD$5:$BD$404,$AC535))</f>
        <v/>
      </c>
      <c r="J535" s="46">
        <f>IF($AD535&lt;&gt;"D","",IF(N($B535)=0,"",ROUND($I535/$B535,4)))</f>
        <v/>
      </c>
      <c r="K535" s="32">
        <f>IF($AD535="Z",ROUND(SUM($AU$5:$AU$404),2),IF($AD535="D",INDEX($AU$5:$AU$404,$AC535),IF($AD535="T",ROUND(SUMIF($X$5:$X$404,$AF535,$AU$5:$AU$404),2),IF($AD535="B",ROUND(SUMIF($AN$5:$AN$404,$AQ535,$AU$5:$AU$404),2),""))))</f>
        <v/>
      </c>
      <c r="L535" s="32">
        <f>IF($AD535="Z",ROUND(SUM($AV$5:$AV$404),2),IF($AD535="D",INDEX($AV$5:$AV$404,$AC535),IF($AD535="T",ROUND(SUMIF($X$5:$X$404,$AF535,$AV$5:$AV$404),2),IF($AD535="B",ROUND(SUMIF($AN$5:$AN$404,$AQ535,$AV$5:$AV$404),2),""))))</f>
        <v/>
      </c>
      <c r="M535" s="32">
        <f>IF($AD535="Z",ROUND(SUM($AJ$5:$AJ$704),2),IF($AD535="B",ROUND(SUMIF($AQ$5:$AQ$704,$AQ535,$AJ$5:$AJ$704),2),IF($AD535&lt;&gt;"T","",$AJ535)))</f>
        <v/>
      </c>
      <c r="N535" s="32">
        <f>IF(OR($AD535="D",$AD535="T",$AD535="B",$AD535="Z"),ROUND(N($K535)-N($L535)-N($M535),2),"")</f>
        <v/>
      </c>
      <c r="O535" s="32">
        <f>IF(OR($AD535="D",$AD535="T",$AD535="B",$AD535="Z"),IF(N($E535)=0,"",ROUND($F535/$E535,2)),"")</f>
        <v/>
      </c>
      <c r="AC535">
        <f>IFERROR(MATCH(531,$AB$5:$AB$404,1),"")</f>
        <v/>
      </c>
      <c r="AD535">
        <f>IF(531=$AI$1+1,"Z",IF($AC535="","",IF(INDEX($V$5:$V$404,$AC535)="","",IF(531&gt;INDEX($AB$5:$AB$404,$AC535)+INDEX($Z$5:$Z$404,$AC535)+INDEX($AA$5:$AA$404,$AC535)+INDEX($AO$5:$AO$404,$AC535),"",IF(531=INDEX($AB$5:$AB$404,$AC535)+INDEX($Z$5:$Z$404,$AC535),"D",IF(AND(INDEX($Z$5:$Z$404,$AC535)=1,531=INDEX($AB$5:$AB$404,$AC535)),"H",IF(AND(INDEX($AO$5:$AO$404,$AC535)=1,531=INDEX($AB$5:$AB$404,$AC535)+INDEX($Z$5:$Z$404,$AC535)+INDEX($AA$5:$AA$404,$AC535)+INDEX($AO$5:$AO$404,$AC535)),"B","T")))))))</f>
        <v/>
      </c>
      <c r="AF535">
        <f>IF(OR($AD535="",$AD535="Z",$AD535="B"),"",INDEX($X$5:$X$404,$AC535))</f>
        <v/>
      </c>
      <c r="AJ535">
        <f>IF($AD535&lt;&gt;"T",0,ROUND(SUMIF(oil!$B$4:$B$63,$AF535,oil!$AE$4:$AE$63),2))</f>
        <v/>
      </c>
      <c r="AQ535">
        <f>IF(OR($AD535="",$AD535="Z"),"",INDEX($AN$5:$AN$404,$AC535))</f>
        <v/>
      </c>
      <c r="AZ535">
        <f>IF(AND($AD535="T",$AQ535=1),N($AZ534)+1,N($AZ534))</f>
        <v/>
      </c>
    </row>
    <row r="536" ht="21" customHeight="1" s="66">
      <c r="A536" s="69">
        <f>IF($AD536="","",IF($AD536="Z","รวมจ่ายทั้งสิ้น",IF($AD536="H",INDEX($X$5:$X$404,$AC536),IF($AD536="T","รวม",IF($AD536="B",IFERROR(INDEX(อัตราค่าขนส่ง!$S$5:$S$14,MATCH(INDEX($AM$5:$AM$404,$AC536),อัตราค่าขนส่ง!$R$5:$R$14,0)),"รวมกลุ่ม "&amp;INDEX($AM$5:$AM$404,$AC536)),INDEX($AY$5:$AY$404,$AC536))))))</f>
        <v/>
      </c>
      <c r="B536" s="31">
        <f>IF($AD536&lt;&gt;"D","",INDEX($AW$5:$AW$404,$AC536))</f>
        <v/>
      </c>
      <c r="C536" s="68">
        <f>IF($AD536&lt;&gt;"D","",INDEX($AX$5:$AX$404,$AC536))</f>
        <v/>
      </c>
      <c r="D536" s="70">
        <f>IF($AD536&lt;&gt;"D","",INDEX($BA$5:$BA$404,$AC536))</f>
        <v/>
      </c>
      <c r="E536" s="31">
        <f>IF($AD536="Z",SUM($AR$5:$AR$404),IF($AD536="D",INDEX($AR$5:$AR$404,$AC536),IF($AD536="T",SUMIF($X$5:$X$404,$AF536,$AR$5:$AR$404),IF($AD536="B",SUMIF($AN$5:$AN$404,$AQ536,$AR$5:$AR$404),""))))</f>
        <v/>
      </c>
      <c r="F536" s="32">
        <f>IF($AD536="Z",ROUND(SUM($AS$5:$AS$404),2),IF($AD536="D",INDEX($AS$5:$AS$404,$AC536),IF($AD536="T",ROUND(SUMIF($X$5:$X$404,$AF536,$AS$5:$AS$404),2),IF($AD536="B",ROUND(SUMIF($AN$5:$AN$404,$AQ536,$AS$5:$AS$404),2),""))))</f>
        <v/>
      </c>
      <c r="G536" s="32">
        <f>IF($AD536&lt;&gt;"D","",INDEX($AT$5:$AT$404,$AC536))</f>
        <v/>
      </c>
      <c r="H536" s="32">
        <f>IF($AD536&lt;&gt;"D","",INDEX($BC$5:$BC$404,$AC536))</f>
        <v/>
      </c>
      <c r="I536" s="32">
        <f>IF($AD536&lt;&gt;"D","",INDEX($BD$5:$BD$404,$AC536))</f>
        <v/>
      </c>
      <c r="J536" s="46">
        <f>IF($AD536&lt;&gt;"D","",IF(N($B536)=0,"",ROUND($I536/$B536,4)))</f>
        <v/>
      </c>
      <c r="K536" s="32">
        <f>IF($AD536="Z",ROUND(SUM($AU$5:$AU$404),2),IF($AD536="D",INDEX($AU$5:$AU$404,$AC536),IF($AD536="T",ROUND(SUMIF($X$5:$X$404,$AF536,$AU$5:$AU$404),2),IF($AD536="B",ROUND(SUMIF($AN$5:$AN$404,$AQ536,$AU$5:$AU$404),2),""))))</f>
        <v/>
      </c>
      <c r="L536" s="32">
        <f>IF($AD536="Z",ROUND(SUM($AV$5:$AV$404),2),IF($AD536="D",INDEX($AV$5:$AV$404,$AC536),IF($AD536="T",ROUND(SUMIF($X$5:$X$404,$AF536,$AV$5:$AV$404),2),IF($AD536="B",ROUND(SUMIF($AN$5:$AN$404,$AQ536,$AV$5:$AV$404),2),""))))</f>
        <v/>
      </c>
      <c r="M536" s="32">
        <f>IF($AD536="Z",ROUND(SUM($AJ$5:$AJ$704),2),IF($AD536="B",ROUND(SUMIF($AQ$5:$AQ$704,$AQ536,$AJ$5:$AJ$704),2),IF($AD536&lt;&gt;"T","",$AJ536)))</f>
        <v/>
      </c>
      <c r="N536" s="32">
        <f>IF(OR($AD536="D",$AD536="T",$AD536="B",$AD536="Z"),ROUND(N($K536)-N($L536)-N($M536),2),"")</f>
        <v/>
      </c>
      <c r="O536" s="32">
        <f>IF(OR($AD536="D",$AD536="T",$AD536="B",$AD536="Z"),IF(N($E536)=0,"",ROUND($F536/$E536,2)),"")</f>
        <v/>
      </c>
      <c r="AC536">
        <f>IFERROR(MATCH(532,$AB$5:$AB$404,1),"")</f>
        <v/>
      </c>
      <c r="AD536">
        <f>IF(532=$AI$1+1,"Z",IF($AC536="","",IF(INDEX($V$5:$V$404,$AC536)="","",IF(532&gt;INDEX($AB$5:$AB$404,$AC536)+INDEX($Z$5:$Z$404,$AC536)+INDEX($AA$5:$AA$404,$AC536)+INDEX($AO$5:$AO$404,$AC536),"",IF(532=INDEX($AB$5:$AB$404,$AC536)+INDEX($Z$5:$Z$404,$AC536),"D",IF(AND(INDEX($Z$5:$Z$404,$AC536)=1,532=INDEX($AB$5:$AB$404,$AC536)),"H",IF(AND(INDEX($AO$5:$AO$404,$AC536)=1,532=INDEX($AB$5:$AB$404,$AC536)+INDEX($Z$5:$Z$404,$AC536)+INDEX($AA$5:$AA$404,$AC536)+INDEX($AO$5:$AO$404,$AC536)),"B","T")))))))</f>
        <v/>
      </c>
      <c r="AF536">
        <f>IF(OR($AD536="",$AD536="Z",$AD536="B"),"",INDEX($X$5:$X$404,$AC536))</f>
        <v/>
      </c>
      <c r="AJ536">
        <f>IF($AD536&lt;&gt;"T",0,ROUND(SUMIF(oil!$B$4:$B$63,$AF536,oil!$AE$4:$AE$63),2))</f>
        <v/>
      </c>
      <c r="AQ536">
        <f>IF(OR($AD536="",$AD536="Z"),"",INDEX($AN$5:$AN$404,$AC536))</f>
        <v/>
      </c>
      <c r="AZ536">
        <f>IF(AND($AD536="T",$AQ536=1),N($AZ535)+1,N($AZ535))</f>
        <v/>
      </c>
    </row>
    <row r="537" ht="21" customHeight="1" s="66">
      <c r="A537" s="69">
        <f>IF($AD537="","",IF($AD537="Z","รวมจ่ายทั้งสิ้น",IF($AD537="H",INDEX($X$5:$X$404,$AC537),IF($AD537="T","รวม",IF($AD537="B",IFERROR(INDEX(อัตราค่าขนส่ง!$S$5:$S$14,MATCH(INDEX($AM$5:$AM$404,$AC537),อัตราค่าขนส่ง!$R$5:$R$14,0)),"รวมกลุ่ม "&amp;INDEX($AM$5:$AM$404,$AC537)),INDEX($AY$5:$AY$404,$AC537))))))</f>
        <v/>
      </c>
      <c r="B537" s="31">
        <f>IF($AD537&lt;&gt;"D","",INDEX($AW$5:$AW$404,$AC537))</f>
        <v/>
      </c>
      <c r="C537" s="68">
        <f>IF($AD537&lt;&gt;"D","",INDEX($AX$5:$AX$404,$AC537))</f>
        <v/>
      </c>
      <c r="D537" s="70">
        <f>IF($AD537&lt;&gt;"D","",INDEX($BA$5:$BA$404,$AC537))</f>
        <v/>
      </c>
      <c r="E537" s="31">
        <f>IF($AD537="Z",SUM($AR$5:$AR$404),IF($AD537="D",INDEX($AR$5:$AR$404,$AC537),IF($AD537="T",SUMIF($X$5:$X$404,$AF537,$AR$5:$AR$404),IF($AD537="B",SUMIF($AN$5:$AN$404,$AQ537,$AR$5:$AR$404),""))))</f>
        <v/>
      </c>
      <c r="F537" s="32">
        <f>IF($AD537="Z",ROUND(SUM($AS$5:$AS$404),2),IF($AD537="D",INDEX($AS$5:$AS$404,$AC537),IF($AD537="T",ROUND(SUMIF($X$5:$X$404,$AF537,$AS$5:$AS$404),2),IF($AD537="B",ROUND(SUMIF($AN$5:$AN$404,$AQ537,$AS$5:$AS$404),2),""))))</f>
        <v/>
      </c>
      <c r="G537" s="32">
        <f>IF($AD537&lt;&gt;"D","",INDEX($AT$5:$AT$404,$AC537))</f>
        <v/>
      </c>
      <c r="H537" s="32">
        <f>IF($AD537&lt;&gt;"D","",INDEX($BC$5:$BC$404,$AC537))</f>
        <v/>
      </c>
      <c r="I537" s="32">
        <f>IF($AD537&lt;&gt;"D","",INDEX($BD$5:$BD$404,$AC537))</f>
        <v/>
      </c>
      <c r="J537" s="46">
        <f>IF($AD537&lt;&gt;"D","",IF(N($B537)=0,"",ROUND($I537/$B537,4)))</f>
        <v/>
      </c>
      <c r="K537" s="32">
        <f>IF($AD537="Z",ROUND(SUM($AU$5:$AU$404),2),IF($AD537="D",INDEX($AU$5:$AU$404,$AC537),IF($AD537="T",ROUND(SUMIF($X$5:$X$404,$AF537,$AU$5:$AU$404),2),IF($AD537="B",ROUND(SUMIF($AN$5:$AN$404,$AQ537,$AU$5:$AU$404),2),""))))</f>
        <v/>
      </c>
      <c r="L537" s="32">
        <f>IF($AD537="Z",ROUND(SUM($AV$5:$AV$404),2),IF($AD537="D",INDEX($AV$5:$AV$404,$AC537),IF($AD537="T",ROUND(SUMIF($X$5:$X$404,$AF537,$AV$5:$AV$404),2),IF($AD537="B",ROUND(SUMIF($AN$5:$AN$404,$AQ537,$AV$5:$AV$404),2),""))))</f>
        <v/>
      </c>
      <c r="M537" s="32">
        <f>IF($AD537="Z",ROUND(SUM($AJ$5:$AJ$704),2),IF($AD537="B",ROUND(SUMIF($AQ$5:$AQ$704,$AQ537,$AJ$5:$AJ$704),2),IF($AD537&lt;&gt;"T","",$AJ537)))</f>
        <v/>
      </c>
      <c r="N537" s="32">
        <f>IF(OR($AD537="D",$AD537="T",$AD537="B",$AD537="Z"),ROUND(N($K537)-N($L537)-N($M537),2),"")</f>
        <v/>
      </c>
      <c r="O537" s="32">
        <f>IF(OR($AD537="D",$AD537="T",$AD537="B",$AD537="Z"),IF(N($E537)=0,"",ROUND($F537/$E537,2)),"")</f>
        <v/>
      </c>
      <c r="AC537">
        <f>IFERROR(MATCH(533,$AB$5:$AB$404,1),"")</f>
        <v/>
      </c>
      <c r="AD537">
        <f>IF(533=$AI$1+1,"Z",IF($AC537="","",IF(INDEX($V$5:$V$404,$AC537)="","",IF(533&gt;INDEX($AB$5:$AB$404,$AC537)+INDEX($Z$5:$Z$404,$AC537)+INDEX($AA$5:$AA$404,$AC537)+INDEX($AO$5:$AO$404,$AC537),"",IF(533=INDEX($AB$5:$AB$404,$AC537)+INDEX($Z$5:$Z$404,$AC537),"D",IF(AND(INDEX($Z$5:$Z$404,$AC537)=1,533=INDEX($AB$5:$AB$404,$AC537)),"H",IF(AND(INDEX($AO$5:$AO$404,$AC537)=1,533=INDEX($AB$5:$AB$404,$AC537)+INDEX($Z$5:$Z$404,$AC537)+INDEX($AA$5:$AA$404,$AC537)+INDEX($AO$5:$AO$404,$AC537)),"B","T")))))))</f>
        <v/>
      </c>
      <c r="AF537">
        <f>IF(OR($AD537="",$AD537="Z",$AD537="B"),"",INDEX($X$5:$X$404,$AC537))</f>
        <v/>
      </c>
      <c r="AJ537">
        <f>IF($AD537&lt;&gt;"T",0,ROUND(SUMIF(oil!$B$4:$B$63,$AF537,oil!$AE$4:$AE$63),2))</f>
        <v/>
      </c>
      <c r="AQ537">
        <f>IF(OR($AD537="",$AD537="Z"),"",INDEX($AN$5:$AN$404,$AC537))</f>
        <v/>
      </c>
      <c r="AZ537">
        <f>IF(AND($AD537="T",$AQ537=1),N($AZ536)+1,N($AZ536))</f>
        <v/>
      </c>
    </row>
    <row r="538" ht="21" customHeight="1" s="66">
      <c r="A538" s="69">
        <f>IF($AD538="","",IF($AD538="Z","รวมจ่ายทั้งสิ้น",IF($AD538="H",INDEX($X$5:$X$404,$AC538),IF($AD538="T","รวม",IF($AD538="B",IFERROR(INDEX(อัตราค่าขนส่ง!$S$5:$S$14,MATCH(INDEX($AM$5:$AM$404,$AC538),อัตราค่าขนส่ง!$R$5:$R$14,0)),"รวมกลุ่ม "&amp;INDEX($AM$5:$AM$404,$AC538)),INDEX($AY$5:$AY$404,$AC538))))))</f>
        <v/>
      </c>
      <c r="B538" s="31">
        <f>IF($AD538&lt;&gt;"D","",INDEX($AW$5:$AW$404,$AC538))</f>
        <v/>
      </c>
      <c r="C538" s="68">
        <f>IF($AD538&lt;&gt;"D","",INDEX($AX$5:$AX$404,$AC538))</f>
        <v/>
      </c>
      <c r="D538" s="70">
        <f>IF($AD538&lt;&gt;"D","",INDEX($BA$5:$BA$404,$AC538))</f>
        <v/>
      </c>
      <c r="E538" s="31">
        <f>IF($AD538="Z",SUM($AR$5:$AR$404),IF($AD538="D",INDEX($AR$5:$AR$404,$AC538),IF($AD538="T",SUMIF($X$5:$X$404,$AF538,$AR$5:$AR$404),IF($AD538="B",SUMIF($AN$5:$AN$404,$AQ538,$AR$5:$AR$404),""))))</f>
        <v/>
      </c>
      <c r="F538" s="32">
        <f>IF($AD538="Z",ROUND(SUM($AS$5:$AS$404),2),IF($AD538="D",INDEX($AS$5:$AS$404,$AC538),IF($AD538="T",ROUND(SUMIF($X$5:$X$404,$AF538,$AS$5:$AS$404),2),IF($AD538="B",ROUND(SUMIF($AN$5:$AN$404,$AQ538,$AS$5:$AS$404),2),""))))</f>
        <v/>
      </c>
      <c r="G538" s="32">
        <f>IF($AD538&lt;&gt;"D","",INDEX($AT$5:$AT$404,$AC538))</f>
        <v/>
      </c>
      <c r="H538" s="32">
        <f>IF($AD538&lt;&gt;"D","",INDEX($BC$5:$BC$404,$AC538))</f>
        <v/>
      </c>
      <c r="I538" s="32">
        <f>IF($AD538&lt;&gt;"D","",INDEX($BD$5:$BD$404,$AC538))</f>
        <v/>
      </c>
      <c r="J538" s="46">
        <f>IF($AD538&lt;&gt;"D","",IF(N($B538)=0,"",ROUND($I538/$B538,4)))</f>
        <v/>
      </c>
      <c r="K538" s="32">
        <f>IF($AD538="Z",ROUND(SUM($AU$5:$AU$404),2),IF($AD538="D",INDEX($AU$5:$AU$404,$AC538),IF($AD538="T",ROUND(SUMIF($X$5:$X$404,$AF538,$AU$5:$AU$404),2),IF($AD538="B",ROUND(SUMIF($AN$5:$AN$404,$AQ538,$AU$5:$AU$404),2),""))))</f>
        <v/>
      </c>
      <c r="L538" s="32">
        <f>IF($AD538="Z",ROUND(SUM($AV$5:$AV$404),2),IF($AD538="D",INDEX($AV$5:$AV$404,$AC538),IF($AD538="T",ROUND(SUMIF($X$5:$X$404,$AF538,$AV$5:$AV$404),2),IF($AD538="B",ROUND(SUMIF($AN$5:$AN$404,$AQ538,$AV$5:$AV$404),2),""))))</f>
        <v/>
      </c>
      <c r="M538" s="32">
        <f>IF($AD538="Z",ROUND(SUM($AJ$5:$AJ$704),2),IF($AD538="B",ROUND(SUMIF($AQ$5:$AQ$704,$AQ538,$AJ$5:$AJ$704),2),IF($AD538&lt;&gt;"T","",$AJ538)))</f>
        <v/>
      </c>
      <c r="N538" s="32">
        <f>IF(OR($AD538="D",$AD538="T",$AD538="B",$AD538="Z"),ROUND(N($K538)-N($L538)-N($M538),2),"")</f>
        <v/>
      </c>
      <c r="O538" s="32">
        <f>IF(OR($AD538="D",$AD538="T",$AD538="B",$AD538="Z"),IF(N($E538)=0,"",ROUND($F538/$E538,2)),"")</f>
        <v/>
      </c>
      <c r="AC538">
        <f>IFERROR(MATCH(534,$AB$5:$AB$404,1),"")</f>
        <v/>
      </c>
      <c r="AD538">
        <f>IF(534=$AI$1+1,"Z",IF($AC538="","",IF(INDEX($V$5:$V$404,$AC538)="","",IF(534&gt;INDEX($AB$5:$AB$404,$AC538)+INDEX($Z$5:$Z$404,$AC538)+INDEX($AA$5:$AA$404,$AC538)+INDEX($AO$5:$AO$404,$AC538),"",IF(534=INDEX($AB$5:$AB$404,$AC538)+INDEX($Z$5:$Z$404,$AC538),"D",IF(AND(INDEX($Z$5:$Z$404,$AC538)=1,534=INDEX($AB$5:$AB$404,$AC538)),"H",IF(AND(INDEX($AO$5:$AO$404,$AC538)=1,534=INDEX($AB$5:$AB$404,$AC538)+INDEX($Z$5:$Z$404,$AC538)+INDEX($AA$5:$AA$404,$AC538)+INDEX($AO$5:$AO$404,$AC538)),"B","T")))))))</f>
        <v/>
      </c>
      <c r="AF538">
        <f>IF(OR($AD538="",$AD538="Z",$AD538="B"),"",INDEX($X$5:$X$404,$AC538))</f>
        <v/>
      </c>
      <c r="AJ538">
        <f>IF($AD538&lt;&gt;"T",0,ROUND(SUMIF(oil!$B$4:$B$63,$AF538,oil!$AE$4:$AE$63),2))</f>
        <v/>
      </c>
      <c r="AQ538">
        <f>IF(OR($AD538="",$AD538="Z"),"",INDEX($AN$5:$AN$404,$AC538))</f>
        <v/>
      </c>
      <c r="AZ538">
        <f>IF(AND($AD538="T",$AQ538=1),N($AZ537)+1,N($AZ537))</f>
        <v/>
      </c>
    </row>
    <row r="539" ht="21" customHeight="1" s="66">
      <c r="A539" s="69">
        <f>IF($AD539="","",IF($AD539="Z","รวมจ่ายทั้งสิ้น",IF($AD539="H",INDEX($X$5:$X$404,$AC539),IF($AD539="T","รวม",IF($AD539="B",IFERROR(INDEX(อัตราค่าขนส่ง!$S$5:$S$14,MATCH(INDEX($AM$5:$AM$404,$AC539),อัตราค่าขนส่ง!$R$5:$R$14,0)),"รวมกลุ่ม "&amp;INDEX($AM$5:$AM$404,$AC539)),INDEX($AY$5:$AY$404,$AC539))))))</f>
        <v/>
      </c>
      <c r="B539" s="31">
        <f>IF($AD539&lt;&gt;"D","",INDEX($AW$5:$AW$404,$AC539))</f>
        <v/>
      </c>
      <c r="C539" s="68">
        <f>IF($AD539&lt;&gt;"D","",INDEX($AX$5:$AX$404,$AC539))</f>
        <v/>
      </c>
      <c r="D539" s="70">
        <f>IF($AD539&lt;&gt;"D","",INDEX($BA$5:$BA$404,$AC539))</f>
        <v/>
      </c>
      <c r="E539" s="31">
        <f>IF($AD539="Z",SUM($AR$5:$AR$404),IF($AD539="D",INDEX($AR$5:$AR$404,$AC539),IF($AD539="T",SUMIF($X$5:$X$404,$AF539,$AR$5:$AR$404),IF($AD539="B",SUMIF($AN$5:$AN$404,$AQ539,$AR$5:$AR$404),""))))</f>
        <v/>
      </c>
      <c r="F539" s="32">
        <f>IF($AD539="Z",ROUND(SUM($AS$5:$AS$404),2),IF($AD539="D",INDEX($AS$5:$AS$404,$AC539),IF($AD539="T",ROUND(SUMIF($X$5:$X$404,$AF539,$AS$5:$AS$404),2),IF($AD539="B",ROUND(SUMIF($AN$5:$AN$404,$AQ539,$AS$5:$AS$404),2),""))))</f>
        <v/>
      </c>
      <c r="G539" s="32">
        <f>IF($AD539&lt;&gt;"D","",INDEX($AT$5:$AT$404,$AC539))</f>
        <v/>
      </c>
      <c r="H539" s="32">
        <f>IF($AD539&lt;&gt;"D","",INDEX($BC$5:$BC$404,$AC539))</f>
        <v/>
      </c>
      <c r="I539" s="32">
        <f>IF($AD539&lt;&gt;"D","",INDEX($BD$5:$BD$404,$AC539))</f>
        <v/>
      </c>
      <c r="J539" s="46">
        <f>IF($AD539&lt;&gt;"D","",IF(N($B539)=0,"",ROUND($I539/$B539,4)))</f>
        <v/>
      </c>
      <c r="K539" s="32">
        <f>IF($AD539="Z",ROUND(SUM($AU$5:$AU$404),2),IF($AD539="D",INDEX($AU$5:$AU$404,$AC539),IF($AD539="T",ROUND(SUMIF($X$5:$X$404,$AF539,$AU$5:$AU$404),2),IF($AD539="B",ROUND(SUMIF($AN$5:$AN$404,$AQ539,$AU$5:$AU$404),2),""))))</f>
        <v/>
      </c>
      <c r="L539" s="32">
        <f>IF($AD539="Z",ROUND(SUM($AV$5:$AV$404),2),IF($AD539="D",INDEX($AV$5:$AV$404,$AC539),IF($AD539="T",ROUND(SUMIF($X$5:$X$404,$AF539,$AV$5:$AV$404),2),IF($AD539="B",ROUND(SUMIF($AN$5:$AN$404,$AQ539,$AV$5:$AV$404),2),""))))</f>
        <v/>
      </c>
      <c r="M539" s="32">
        <f>IF($AD539="Z",ROUND(SUM($AJ$5:$AJ$704),2),IF($AD539="B",ROUND(SUMIF($AQ$5:$AQ$704,$AQ539,$AJ$5:$AJ$704),2),IF($AD539&lt;&gt;"T","",$AJ539)))</f>
        <v/>
      </c>
      <c r="N539" s="32">
        <f>IF(OR($AD539="D",$AD539="T",$AD539="B",$AD539="Z"),ROUND(N($K539)-N($L539)-N($M539),2),"")</f>
        <v/>
      </c>
      <c r="O539" s="32">
        <f>IF(OR($AD539="D",$AD539="T",$AD539="B",$AD539="Z"),IF(N($E539)=0,"",ROUND($F539/$E539,2)),"")</f>
        <v/>
      </c>
      <c r="AC539">
        <f>IFERROR(MATCH(535,$AB$5:$AB$404,1),"")</f>
        <v/>
      </c>
      <c r="AD539">
        <f>IF(535=$AI$1+1,"Z",IF($AC539="","",IF(INDEX($V$5:$V$404,$AC539)="","",IF(535&gt;INDEX($AB$5:$AB$404,$AC539)+INDEX($Z$5:$Z$404,$AC539)+INDEX($AA$5:$AA$404,$AC539)+INDEX($AO$5:$AO$404,$AC539),"",IF(535=INDEX($AB$5:$AB$404,$AC539)+INDEX($Z$5:$Z$404,$AC539),"D",IF(AND(INDEX($Z$5:$Z$404,$AC539)=1,535=INDEX($AB$5:$AB$404,$AC539)),"H",IF(AND(INDEX($AO$5:$AO$404,$AC539)=1,535=INDEX($AB$5:$AB$404,$AC539)+INDEX($Z$5:$Z$404,$AC539)+INDEX($AA$5:$AA$404,$AC539)+INDEX($AO$5:$AO$404,$AC539)),"B","T")))))))</f>
        <v/>
      </c>
      <c r="AF539">
        <f>IF(OR($AD539="",$AD539="Z",$AD539="B"),"",INDEX($X$5:$X$404,$AC539))</f>
        <v/>
      </c>
      <c r="AJ539">
        <f>IF($AD539&lt;&gt;"T",0,ROUND(SUMIF(oil!$B$4:$B$63,$AF539,oil!$AE$4:$AE$63),2))</f>
        <v/>
      </c>
      <c r="AQ539">
        <f>IF(OR($AD539="",$AD539="Z"),"",INDEX($AN$5:$AN$404,$AC539))</f>
        <v/>
      </c>
      <c r="AZ539">
        <f>IF(AND($AD539="T",$AQ539=1),N($AZ538)+1,N($AZ538))</f>
        <v/>
      </c>
    </row>
    <row r="540" ht="21" customHeight="1" s="66">
      <c r="A540" s="69">
        <f>IF($AD540="","",IF($AD540="Z","รวมจ่ายทั้งสิ้น",IF($AD540="H",INDEX($X$5:$X$404,$AC540),IF($AD540="T","รวม",IF($AD540="B",IFERROR(INDEX(อัตราค่าขนส่ง!$S$5:$S$14,MATCH(INDEX($AM$5:$AM$404,$AC540),อัตราค่าขนส่ง!$R$5:$R$14,0)),"รวมกลุ่ม "&amp;INDEX($AM$5:$AM$404,$AC540)),INDEX($AY$5:$AY$404,$AC540))))))</f>
        <v/>
      </c>
      <c r="B540" s="31">
        <f>IF($AD540&lt;&gt;"D","",INDEX($AW$5:$AW$404,$AC540))</f>
        <v/>
      </c>
      <c r="C540" s="68">
        <f>IF($AD540&lt;&gt;"D","",INDEX($AX$5:$AX$404,$AC540))</f>
        <v/>
      </c>
      <c r="D540" s="70">
        <f>IF($AD540&lt;&gt;"D","",INDEX($BA$5:$BA$404,$AC540))</f>
        <v/>
      </c>
      <c r="E540" s="31">
        <f>IF($AD540="Z",SUM($AR$5:$AR$404),IF($AD540="D",INDEX($AR$5:$AR$404,$AC540),IF($AD540="T",SUMIF($X$5:$X$404,$AF540,$AR$5:$AR$404),IF($AD540="B",SUMIF($AN$5:$AN$404,$AQ540,$AR$5:$AR$404),""))))</f>
        <v/>
      </c>
      <c r="F540" s="32">
        <f>IF($AD540="Z",ROUND(SUM($AS$5:$AS$404),2),IF($AD540="D",INDEX($AS$5:$AS$404,$AC540),IF($AD540="T",ROUND(SUMIF($X$5:$X$404,$AF540,$AS$5:$AS$404),2),IF($AD540="B",ROUND(SUMIF($AN$5:$AN$404,$AQ540,$AS$5:$AS$404),2),""))))</f>
        <v/>
      </c>
      <c r="G540" s="32">
        <f>IF($AD540&lt;&gt;"D","",INDEX($AT$5:$AT$404,$AC540))</f>
        <v/>
      </c>
      <c r="H540" s="32">
        <f>IF($AD540&lt;&gt;"D","",INDEX($BC$5:$BC$404,$AC540))</f>
        <v/>
      </c>
      <c r="I540" s="32">
        <f>IF($AD540&lt;&gt;"D","",INDEX($BD$5:$BD$404,$AC540))</f>
        <v/>
      </c>
      <c r="J540" s="46">
        <f>IF($AD540&lt;&gt;"D","",IF(N($B540)=0,"",ROUND($I540/$B540,4)))</f>
        <v/>
      </c>
      <c r="K540" s="32">
        <f>IF($AD540="Z",ROUND(SUM($AU$5:$AU$404),2),IF($AD540="D",INDEX($AU$5:$AU$404,$AC540),IF($AD540="T",ROUND(SUMIF($X$5:$X$404,$AF540,$AU$5:$AU$404),2),IF($AD540="B",ROUND(SUMIF($AN$5:$AN$404,$AQ540,$AU$5:$AU$404),2),""))))</f>
        <v/>
      </c>
      <c r="L540" s="32">
        <f>IF($AD540="Z",ROUND(SUM($AV$5:$AV$404),2),IF($AD540="D",INDEX($AV$5:$AV$404,$AC540),IF($AD540="T",ROUND(SUMIF($X$5:$X$404,$AF540,$AV$5:$AV$404),2),IF($AD540="B",ROUND(SUMIF($AN$5:$AN$404,$AQ540,$AV$5:$AV$404),2),""))))</f>
        <v/>
      </c>
      <c r="M540" s="32">
        <f>IF($AD540="Z",ROUND(SUM($AJ$5:$AJ$704),2),IF($AD540="B",ROUND(SUMIF($AQ$5:$AQ$704,$AQ540,$AJ$5:$AJ$704),2),IF($AD540&lt;&gt;"T","",$AJ540)))</f>
        <v/>
      </c>
      <c r="N540" s="32">
        <f>IF(OR($AD540="D",$AD540="T",$AD540="B",$AD540="Z"),ROUND(N($K540)-N($L540)-N($M540),2),"")</f>
        <v/>
      </c>
      <c r="O540" s="32">
        <f>IF(OR($AD540="D",$AD540="T",$AD540="B",$AD540="Z"),IF(N($E540)=0,"",ROUND($F540/$E540,2)),"")</f>
        <v/>
      </c>
      <c r="AC540">
        <f>IFERROR(MATCH(536,$AB$5:$AB$404,1),"")</f>
        <v/>
      </c>
      <c r="AD540">
        <f>IF(536=$AI$1+1,"Z",IF($AC540="","",IF(INDEX($V$5:$V$404,$AC540)="","",IF(536&gt;INDEX($AB$5:$AB$404,$AC540)+INDEX($Z$5:$Z$404,$AC540)+INDEX($AA$5:$AA$404,$AC540)+INDEX($AO$5:$AO$404,$AC540),"",IF(536=INDEX($AB$5:$AB$404,$AC540)+INDEX($Z$5:$Z$404,$AC540),"D",IF(AND(INDEX($Z$5:$Z$404,$AC540)=1,536=INDEX($AB$5:$AB$404,$AC540)),"H",IF(AND(INDEX($AO$5:$AO$404,$AC540)=1,536=INDEX($AB$5:$AB$404,$AC540)+INDEX($Z$5:$Z$404,$AC540)+INDEX($AA$5:$AA$404,$AC540)+INDEX($AO$5:$AO$404,$AC540)),"B","T")))))))</f>
        <v/>
      </c>
      <c r="AF540">
        <f>IF(OR($AD540="",$AD540="Z",$AD540="B"),"",INDEX($X$5:$X$404,$AC540))</f>
        <v/>
      </c>
      <c r="AJ540">
        <f>IF($AD540&lt;&gt;"T",0,ROUND(SUMIF(oil!$B$4:$B$63,$AF540,oil!$AE$4:$AE$63),2))</f>
        <v/>
      </c>
      <c r="AQ540">
        <f>IF(OR($AD540="",$AD540="Z"),"",INDEX($AN$5:$AN$404,$AC540))</f>
        <v/>
      </c>
      <c r="AZ540">
        <f>IF(AND($AD540="T",$AQ540=1),N($AZ539)+1,N($AZ539))</f>
        <v/>
      </c>
    </row>
    <row r="541" ht="21" customHeight="1" s="66">
      <c r="A541" s="69">
        <f>IF($AD541="","",IF($AD541="Z","รวมจ่ายทั้งสิ้น",IF($AD541="H",INDEX($X$5:$X$404,$AC541),IF($AD541="T","รวม",IF($AD541="B",IFERROR(INDEX(อัตราค่าขนส่ง!$S$5:$S$14,MATCH(INDEX($AM$5:$AM$404,$AC541),อัตราค่าขนส่ง!$R$5:$R$14,0)),"รวมกลุ่ม "&amp;INDEX($AM$5:$AM$404,$AC541)),INDEX($AY$5:$AY$404,$AC541))))))</f>
        <v/>
      </c>
      <c r="B541" s="31">
        <f>IF($AD541&lt;&gt;"D","",INDEX($AW$5:$AW$404,$AC541))</f>
        <v/>
      </c>
      <c r="C541" s="68">
        <f>IF($AD541&lt;&gt;"D","",INDEX($AX$5:$AX$404,$AC541))</f>
        <v/>
      </c>
      <c r="D541" s="70">
        <f>IF($AD541&lt;&gt;"D","",INDEX($BA$5:$BA$404,$AC541))</f>
        <v/>
      </c>
      <c r="E541" s="31">
        <f>IF($AD541="Z",SUM($AR$5:$AR$404),IF($AD541="D",INDEX($AR$5:$AR$404,$AC541),IF($AD541="T",SUMIF($X$5:$X$404,$AF541,$AR$5:$AR$404),IF($AD541="B",SUMIF($AN$5:$AN$404,$AQ541,$AR$5:$AR$404),""))))</f>
        <v/>
      </c>
      <c r="F541" s="32">
        <f>IF($AD541="Z",ROUND(SUM($AS$5:$AS$404),2),IF($AD541="D",INDEX($AS$5:$AS$404,$AC541),IF($AD541="T",ROUND(SUMIF($X$5:$X$404,$AF541,$AS$5:$AS$404),2),IF($AD541="B",ROUND(SUMIF($AN$5:$AN$404,$AQ541,$AS$5:$AS$404),2),""))))</f>
        <v/>
      </c>
      <c r="G541" s="32">
        <f>IF($AD541&lt;&gt;"D","",INDEX($AT$5:$AT$404,$AC541))</f>
        <v/>
      </c>
      <c r="H541" s="32">
        <f>IF($AD541&lt;&gt;"D","",INDEX($BC$5:$BC$404,$AC541))</f>
        <v/>
      </c>
      <c r="I541" s="32">
        <f>IF($AD541&lt;&gt;"D","",INDEX($BD$5:$BD$404,$AC541))</f>
        <v/>
      </c>
      <c r="J541" s="46">
        <f>IF($AD541&lt;&gt;"D","",IF(N($B541)=0,"",ROUND($I541/$B541,4)))</f>
        <v/>
      </c>
      <c r="K541" s="32">
        <f>IF($AD541="Z",ROUND(SUM($AU$5:$AU$404),2),IF($AD541="D",INDEX($AU$5:$AU$404,$AC541),IF($AD541="T",ROUND(SUMIF($X$5:$X$404,$AF541,$AU$5:$AU$404),2),IF($AD541="B",ROUND(SUMIF($AN$5:$AN$404,$AQ541,$AU$5:$AU$404),2),""))))</f>
        <v/>
      </c>
      <c r="L541" s="32">
        <f>IF($AD541="Z",ROUND(SUM($AV$5:$AV$404),2),IF($AD541="D",INDEX($AV$5:$AV$404,$AC541),IF($AD541="T",ROUND(SUMIF($X$5:$X$404,$AF541,$AV$5:$AV$404),2),IF($AD541="B",ROUND(SUMIF($AN$5:$AN$404,$AQ541,$AV$5:$AV$404),2),""))))</f>
        <v/>
      </c>
      <c r="M541" s="32">
        <f>IF($AD541="Z",ROUND(SUM($AJ$5:$AJ$704),2),IF($AD541="B",ROUND(SUMIF($AQ$5:$AQ$704,$AQ541,$AJ$5:$AJ$704),2),IF($AD541&lt;&gt;"T","",$AJ541)))</f>
        <v/>
      </c>
      <c r="N541" s="32">
        <f>IF(OR($AD541="D",$AD541="T",$AD541="B",$AD541="Z"),ROUND(N($K541)-N($L541)-N($M541),2),"")</f>
        <v/>
      </c>
      <c r="O541" s="32">
        <f>IF(OR($AD541="D",$AD541="T",$AD541="B",$AD541="Z"),IF(N($E541)=0,"",ROUND($F541/$E541,2)),"")</f>
        <v/>
      </c>
      <c r="AC541">
        <f>IFERROR(MATCH(537,$AB$5:$AB$404,1),"")</f>
        <v/>
      </c>
      <c r="AD541">
        <f>IF(537=$AI$1+1,"Z",IF($AC541="","",IF(INDEX($V$5:$V$404,$AC541)="","",IF(537&gt;INDEX($AB$5:$AB$404,$AC541)+INDEX($Z$5:$Z$404,$AC541)+INDEX($AA$5:$AA$404,$AC541)+INDEX($AO$5:$AO$404,$AC541),"",IF(537=INDEX($AB$5:$AB$404,$AC541)+INDEX($Z$5:$Z$404,$AC541),"D",IF(AND(INDEX($Z$5:$Z$404,$AC541)=1,537=INDEX($AB$5:$AB$404,$AC541)),"H",IF(AND(INDEX($AO$5:$AO$404,$AC541)=1,537=INDEX($AB$5:$AB$404,$AC541)+INDEX($Z$5:$Z$404,$AC541)+INDEX($AA$5:$AA$404,$AC541)+INDEX($AO$5:$AO$404,$AC541)),"B","T")))))))</f>
        <v/>
      </c>
      <c r="AF541">
        <f>IF(OR($AD541="",$AD541="Z",$AD541="B"),"",INDEX($X$5:$X$404,$AC541))</f>
        <v/>
      </c>
      <c r="AJ541">
        <f>IF($AD541&lt;&gt;"T",0,ROUND(SUMIF(oil!$B$4:$B$63,$AF541,oil!$AE$4:$AE$63),2))</f>
        <v/>
      </c>
      <c r="AQ541">
        <f>IF(OR($AD541="",$AD541="Z"),"",INDEX($AN$5:$AN$404,$AC541))</f>
        <v/>
      </c>
      <c r="AZ541">
        <f>IF(AND($AD541="T",$AQ541=1),N($AZ540)+1,N($AZ540))</f>
        <v/>
      </c>
    </row>
    <row r="542" ht="21" customHeight="1" s="66">
      <c r="A542" s="69">
        <f>IF($AD542="","",IF($AD542="Z","รวมจ่ายทั้งสิ้น",IF($AD542="H",INDEX($X$5:$X$404,$AC542),IF($AD542="T","รวม",IF($AD542="B",IFERROR(INDEX(อัตราค่าขนส่ง!$S$5:$S$14,MATCH(INDEX($AM$5:$AM$404,$AC542),อัตราค่าขนส่ง!$R$5:$R$14,0)),"รวมกลุ่ม "&amp;INDEX($AM$5:$AM$404,$AC542)),INDEX($AY$5:$AY$404,$AC542))))))</f>
        <v/>
      </c>
      <c r="B542" s="31">
        <f>IF($AD542&lt;&gt;"D","",INDEX($AW$5:$AW$404,$AC542))</f>
        <v/>
      </c>
      <c r="C542" s="68">
        <f>IF($AD542&lt;&gt;"D","",INDEX($AX$5:$AX$404,$AC542))</f>
        <v/>
      </c>
      <c r="D542" s="70">
        <f>IF($AD542&lt;&gt;"D","",INDEX($BA$5:$BA$404,$AC542))</f>
        <v/>
      </c>
      <c r="E542" s="31">
        <f>IF($AD542="Z",SUM($AR$5:$AR$404),IF($AD542="D",INDEX($AR$5:$AR$404,$AC542),IF($AD542="T",SUMIF($X$5:$X$404,$AF542,$AR$5:$AR$404),IF($AD542="B",SUMIF($AN$5:$AN$404,$AQ542,$AR$5:$AR$404),""))))</f>
        <v/>
      </c>
      <c r="F542" s="32">
        <f>IF($AD542="Z",ROUND(SUM($AS$5:$AS$404),2),IF($AD542="D",INDEX($AS$5:$AS$404,$AC542),IF($AD542="T",ROUND(SUMIF($X$5:$X$404,$AF542,$AS$5:$AS$404),2),IF($AD542="B",ROUND(SUMIF($AN$5:$AN$404,$AQ542,$AS$5:$AS$404),2),""))))</f>
        <v/>
      </c>
      <c r="G542" s="32">
        <f>IF($AD542&lt;&gt;"D","",INDEX($AT$5:$AT$404,$AC542))</f>
        <v/>
      </c>
      <c r="H542" s="32">
        <f>IF($AD542&lt;&gt;"D","",INDEX($BC$5:$BC$404,$AC542))</f>
        <v/>
      </c>
      <c r="I542" s="32">
        <f>IF($AD542&lt;&gt;"D","",INDEX($BD$5:$BD$404,$AC542))</f>
        <v/>
      </c>
      <c r="J542" s="46">
        <f>IF($AD542&lt;&gt;"D","",IF(N($B542)=0,"",ROUND($I542/$B542,4)))</f>
        <v/>
      </c>
      <c r="K542" s="32">
        <f>IF($AD542="Z",ROUND(SUM($AU$5:$AU$404),2),IF($AD542="D",INDEX($AU$5:$AU$404,$AC542),IF($AD542="T",ROUND(SUMIF($X$5:$X$404,$AF542,$AU$5:$AU$404),2),IF($AD542="B",ROUND(SUMIF($AN$5:$AN$404,$AQ542,$AU$5:$AU$404),2),""))))</f>
        <v/>
      </c>
      <c r="L542" s="32">
        <f>IF($AD542="Z",ROUND(SUM($AV$5:$AV$404),2),IF($AD542="D",INDEX($AV$5:$AV$404,$AC542),IF($AD542="T",ROUND(SUMIF($X$5:$X$404,$AF542,$AV$5:$AV$404),2),IF($AD542="B",ROUND(SUMIF($AN$5:$AN$404,$AQ542,$AV$5:$AV$404),2),""))))</f>
        <v/>
      </c>
      <c r="M542" s="32">
        <f>IF($AD542="Z",ROUND(SUM($AJ$5:$AJ$704),2),IF($AD542="B",ROUND(SUMIF($AQ$5:$AQ$704,$AQ542,$AJ$5:$AJ$704),2),IF($AD542&lt;&gt;"T","",$AJ542)))</f>
        <v/>
      </c>
      <c r="N542" s="32">
        <f>IF(OR($AD542="D",$AD542="T",$AD542="B",$AD542="Z"),ROUND(N($K542)-N($L542)-N($M542),2),"")</f>
        <v/>
      </c>
      <c r="O542" s="32">
        <f>IF(OR($AD542="D",$AD542="T",$AD542="B",$AD542="Z"),IF(N($E542)=0,"",ROUND($F542/$E542,2)),"")</f>
        <v/>
      </c>
      <c r="AC542">
        <f>IFERROR(MATCH(538,$AB$5:$AB$404,1),"")</f>
        <v/>
      </c>
      <c r="AD542">
        <f>IF(538=$AI$1+1,"Z",IF($AC542="","",IF(INDEX($V$5:$V$404,$AC542)="","",IF(538&gt;INDEX($AB$5:$AB$404,$AC542)+INDEX($Z$5:$Z$404,$AC542)+INDEX($AA$5:$AA$404,$AC542)+INDEX($AO$5:$AO$404,$AC542),"",IF(538=INDEX($AB$5:$AB$404,$AC542)+INDEX($Z$5:$Z$404,$AC542),"D",IF(AND(INDEX($Z$5:$Z$404,$AC542)=1,538=INDEX($AB$5:$AB$404,$AC542)),"H",IF(AND(INDEX($AO$5:$AO$404,$AC542)=1,538=INDEX($AB$5:$AB$404,$AC542)+INDEX($Z$5:$Z$404,$AC542)+INDEX($AA$5:$AA$404,$AC542)+INDEX($AO$5:$AO$404,$AC542)),"B","T")))))))</f>
        <v/>
      </c>
      <c r="AF542">
        <f>IF(OR($AD542="",$AD542="Z",$AD542="B"),"",INDEX($X$5:$X$404,$AC542))</f>
        <v/>
      </c>
      <c r="AJ542">
        <f>IF($AD542&lt;&gt;"T",0,ROUND(SUMIF(oil!$B$4:$B$63,$AF542,oil!$AE$4:$AE$63),2))</f>
        <v/>
      </c>
      <c r="AQ542">
        <f>IF(OR($AD542="",$AD542="Z"),"",INDEX($AN$5:$AN$404,$AC542))</f>
        <v/>
      </c>
      <c r="AZ542">
        <f>IF(AND($AD542="T",$AQ542=1),N($AZ541)+1,N($AZ541))</f>
        <v/>
      </c>
    </row>
    <row r="543" ht="21" customHeight="1" s="66">
      <c r="A543" s="69">
        <f>IF($AD543="","",IF($AD543="Z","รวมจ่ายทั้งสิ้น",IF($AD543="H",INDEX($X$5:$X$404,$AC543),IF($AD543="T","รวม",IF($AD543="B",IFERROR(INDEX(อัตราค่าขนส่ง!$S$5:$S$14,MATCH(INDEX($AM$5:$AM$404,$AC543),อัตราค่าขนส่ง!$R$5:$R$14,0)),"รวมกลุ่ม "&amp;INDEX($AM$5:$AM$404,$AC543)),INDEX($AY$5:$AY$404,$AC543))))))</f>
        <v/>
      </c>
      <c r="B543" s="31">
        <f>IF($AD543&lt;&gt;"D","",INDEX($AW$5:$AW$404,$AC543))</f>
        <v/>
      </c>
      <c r="C543" s="68">
        <f>IF($AD543&lt;&gt;"D","",INDEX($AX$5:$AX$404,$AC543))</f>
        <v/>
      </c>
      <c r="D543" s="70">
        <f>IF($AD543&lt;&gt;"D","",INDEX($BA$5:$BA$404,$AC543))</f>
        <v/>
      </c>
      <c r="E543" s="31">
        <f>IF($AD543="Z",SUM($AR$5:$AR$404),IF($AD543="D",INDEX($AR$5:$AR$404,$AC543),IF($AD543="T",SUMIF($X$5:$X$404,$AF543,$AR$5:$AR$404),IF($AD543="B",SUMIF($AN$5:$AN$404,$AQ543,$AR$5:$AR$404),""))))</f>
        <v/>
      </c>
      <c r="F543" s="32">
        <f>IF($AD543="Z",ROUND(SUM($AS$5:$AS$404),2),IF($AD543="D",INDEX($AS$5:$AS$404,$AC543),IF($AD543="T",ROUND(SUMIF($X$5:$X$404,$AF543,$AS$5:$AS$404),2),IF($AD543="B",ROUND(SUMIF($AN$5:$AN$404,$AQ543,$AS$5:$AS$404),2),""))))</f>
        <v/>
      </c>
      <c r="G543" s="32">
        <f>IF($AD543&lt;&gt;"D","",INDEX($AT$5:$AT$404,$AC543))</f>
        <v/>
      </c>
      <c r="H543" s="32">
        <f>IF($AD543&lt;&gt;"D","",INDEX($BC$5:$BC$404,$AC543))</f>
        <v/>
      </c>
      <c r="I543" s="32">
        <f>IF($AD543&lt;&gt;"D","",INDEX($BD$5:$BD$404,$AC543))</f>
        <v/>
      </c>
      <c r="J543" s="46">
        <f>IF($AD543&lt;&gt;"D","",IF(N($B543)=0,"",ROUND($I543/$B543,4)))</f>
        <v/>
      </c>
      <c r="K543" s="32">
        <f>IF($AD543="Z",ROUND(SUM($AU$5:$AU$404),2),IF($AD543="D",INDEX($AU$5:$AU$404,$AC543),IF($AD543="T",ROUND(SUMIF($X$5:$X$404,$AF543,$AU$5:$AU$404),2),IF($AD543="B",ROUND(SUMIF($AN$5:$AN$404,$AQ543,$AU$5:$AU$404),2),""))))</f>
        <v/>
      </c>
      <c r="L543" s="32">
        <f>IF($AD543="Z",ROUND(SUM($AV$5:$AV$404),2),IF($AD543="D",INDEX($AV$5:$AV$404,$AC543),IF($AD543="T",ROUND(SUMIF($X$5:$X$404,$AF543,$AV$5:$AV$404),2),IF($AD543="B",ROUND(SUMIF($AN$5:$AN$404,$AQ543,$AV$5:$AV$404),2),""))))</f>
        <v/>
      </c>
      <c r="M543" s="32">
        <f>IF($AD543="Z",ROUND(SUM($AJ$5:$AJ$704),2),IF($AD543="B",ROUND(SUMIF($AQ$5:$AQ$704,$AQ543,$AJ$5:$AJ$704),2),IF($AD543&lt;&gt;"T","",$AJ543)))</f>
        <v/>
      </c>
      <c r="N543" s="32">
        <f>IF(OR($AD543="D",$AD543="T",$AD543="B",$AD543="Z"),ROUND(N($K543)-N($L543)-N($M543),2),"")</f>
        <v/>
      </c>
      <c r="O543" s="32">
        <f>IF(OR($AD543="D",$AD543="T",$AD543="B",$AD543="Z"),IF(N($E543)=0,"",ROUND($F543/$E543,2)),"")</f>
        <v/>
      </c>
      <c r="AC543">
        <f>IFERROR(MATCH(539,$AB$5:$AB$404,1),"")</f>
        <v/>
      </c>
      <c r="AD543">
        <f>IF(539=$AI$1+1,"Z",IF($AC543="","",IF(INDEX($V$5:$V$404,$AC543)="","",IF(539&gt;INDEX($AB$5:$AB$404,$AC543)+INDEX($Z$5:$Z$404,$AC543)+INDEX($AA$5:$AA$404,$AC543)+INDEX($AO$5:$AO$404,$AC543),"",IF(539=INDEX($AB$5:$AB$404,$AC543)+INDEX($Z$5:$Z$404,$AC543),"D",IF(AND(INDEX($Z$5:$Z$404,$AC543)=1,539=INDEX($AB$5:$AB$404,$AC543)),"H",IF(AND(INDEX($AO$5:$AO$404,$AC543)=1,539=INDEX($AB$5:$AB$404,$AC543)+INDEX($Z$5:$Z$404,$AC543)+INDEX($AA$5:$AA$404,$AC543)+INDEX($AO$5:$AO$404,$AC543)),"B","T")))))))</f>
        <v/>
      </c>
      <c r="AF543">
        <f>IF(OR($AD543="",$AD543="Z",$AD543="B"),"",INDEX($X$5:$X$404,$AC543))</f>
        <v/>
      </c>
      <c r="AJ543">
        <f>IF($AD543&lt;&gt;"T",0,ROUND(SUMIF(oil!$B$4:$B$63,$AF543,oil!$AE$4:$AE$63),2))</f>
        <v/>
      </c>
      <c r="AQ543">
        <f>IF(OR($AD543="",$AD543="Z"),"",INDEX($AN$5:$AN$404,$AC543))</f>
        <v/>
      </c>
      <c r="AZ543">
        <f>IF(AND($AD543="T",$AQ543=1),N($AZ542)+1,N($AZ542))</f>
        <v/>
      </c>
    </row>
    <row r="544" ht="21" customHeight="1" s="66">
      <c r="A544" s="69">
        <f>IF($AD544="","",IF($AD544="Z","รวมจ่ายทั้งสิ้น",IF($AD544="H",INDEX($X$5:$X$404,$AC544),IF($AD544="T","รวม",IF($AD544="B",IFERROR(INDEX(อัตราค่าขนส่ง!$S$5:$S$14,MATCH(INDEX($AM$5:$AM$404,$AC544),อัตราค่าขนส่ง!$R$5:$R$14,0)),"รวมกลุ่ม "&amp;INDEX($AM$5:$AM$404,$AC544)),INDEX($AY$5:$AY$404,$AC544))))))</f>
        <v/>
      </c>
      <c r="B544" s="31">
        <f>IF($AD544&lt;&gt;"D","",INDEX($AW$5:$AW$404,$AC544))</f>
        <v/>
      </c>
      <c r="C544" s="68">
        <f>IF($AD544&lt;&gt;"D","",INDEX($AX$5:$AX$404,$AC544))</f>
        <v/>
      </c>
      <c r="D544" s="70">
        <f>IF($AD544&lt;&gt;"D","",INDEX($BA$5:$BA$404,$AC544))</f>
        <v/>
      </c>
      <c r="E544" s="31">
        <f>IF($AD544="Z",SUM($AR$5:$AR$404),IF($AD544="D",INDEX($AR$5:$AR$404,$AC544),IF($AD544="T",SUMIF($X$5:$X$404,$AF544,$AR$5:$AR$404),IF($AD544="B",SUMIF($AN$5:$AN$404,$AQ544,$AR$5:$AR$404),""))))</f>
        <v/>
      </c>
      <c r="F544" s="32">
        <f>IF($AD544="Z",ROUND(SUM($AS$5:$AS$404),2),IF($AD544="D",INDEX($AS$5:$AS$404,$AC544),IF($AD544="T",ROUND(SUMIF($X$5:$X$404,$AF544,$AS$5:$AS$404),2),IF($AD544="B",ROUND(SUMIF($AN$5:$AN$404,$AQ544,$AS$5:$AS$404),2),""))))</f>
        <v/>
      </c>
      <c r="G544" s="32">
        <f>IF($AD544&lt;&gt;"D","",INDEX($AT$5:$AT$404,$AC544))</f>
        <v/>
      </c>
      <c r="H544" s="32">
        <f>IF($AD544&lt;&gt;"D","",INDEX($BC$5:$BC$404,$AC544))</f>
        <v/>
      </c>
      <c r="I544" s="32">
        <f>IF($AD544&lt;&gt;"D","",INDEX($BD$5:$BD$404,$AC544))</f>
        <v/>
      </c>
      <c r="J544" s="46">
        <f>IF($AD544&lt;&gt;"D","",IF(N($B544)=0,"",ROUND($I544/$B544,4)))</f>
        <v/>
      </c>
      <c r="K544" s="32">
        <f>IF($AD544="Z",ROUND(SUM($AU$5:$AU$404),2),IF($AD544="D",INDEX($AU$5:$AU$404,$AC544),IF($AD544="T",ROUND(SUMIF($X$5:$X$404,$AF544,$AU$5:$AU$404),2),IF($AD544="B",ROUND(SUMIF($AN$5:$AN$404,$AQ544,$AU$5:$AU$404),2),""))))</f>
        <v/>
      </c>
      <c r="L544" s="32">
        <f>IF($AD544="Z",ROUND(SUM($AV$5:$AV$404),2),IF($AD544="D",INDEX($AV$5:$AV$404,$AC544),IF($AD544="T",ROUND(SUMIF($X$5:$X$404,$AF544,$AV$5:$AV$404),2),IF($AD544="B",ROUND(SUMIF($AN$5:$AN$404,$AQ544,$AV$5:$AV$404),2),""))))</f>
        <v/>
      </c>
      <c r="M544" s="32">
        <f>IF($AD544="Z",ROUND(SUM($AJ$5:$AJ$704),2),IF($AD544="B",ROUND(SUMIF($AQ$5:$AQ$704,$AQ544,$AJ$5:$AJ$704),2),IF($AD544&lt;&gt;"T","",$AJ544)))</f>
        <v/>
      </c>
      <c r="N544" s="32">
        <f>IF(OR($AD544="D",$AD544="T",$AD544="B",$AD544="Z"),ROUND(N($K544)-N($L544)-N($M544),2),"")</f>
        <v/>
      </c>
      <c r="O544" s="32">
        <f>IF(OR($AD544="D",$AD544="T",$AD544="B",$AD544="Z"),IF(N($E544)=0,"",ROUND($F544/$E544,2)),"")</f>
        <v/>
      </c>
      <c r="AC544">
        <f>IFERROR(MATCH(540,$AB$5:$AB$404,1),"")</f>
        <v/>
      </c>
      <c r="AD544">
        <f>IF(540=$AI$1+1,"Z",IF($AC544="","",IF(INDEX($V$5:$V$404,$AC544)="","",IF(540&gt;INDEX($AB$5:$AB$404,$AC544)+INDEX($Z$5:$Z$404,$AC544)+INDEX($AA$5:$AA$404,$AC544)+INDEX($AO$5:$AO$404,$AC544),"",IF(540=INDEX($AB$5:$AB$404,$AC544)+INDEX($Z$5:$Z$404,$AC544),"D",IF(AND(INDEX($Z$5:$Z$404,$AC544)=1,540=INDEX($AB$5:$AB$404,$AC544)),"H",IF(AND(INDEX($AO$5:$AO$404,$AC544)=1,540=INDEX($AB$5:$AB$404,$AC544)+INDEX($Z$5:$Z$404,$AC544)+INDEX($AA$5:$AA$404,$AC544)+INDEX($AO$5:$AO$404,$AC544)),"B","T")))))))</f>
        <v/>
      </c>
      <c r="AF544">
        <f>IF(OR($AD544="",$AD544="Z",$AD544="B"),"",INDEX($X$5:$X$404,$AC544))</f>
        <v/>
      </c>
      <c r="AJ544">
        <f>IF($AD544&lt;&gt;"T",0,ROUND(SUMIF(oil!$B$4:$B$63,$AF544,oil!$AE$4:$AE$63),2))</f>
        <v/>
      </c>
      <c r="AQ544">
        <f>IF(OR($AD544="",$AD544="Z"),"",INDEX($AN$5:$AN$404,$AC544))</f>
        <v/>
      </c>
      <c r="AZ544">
        <f>IF(AND($AD544="T",$AQ544=1),N($AZ543)+1,N($AZ543))</f>
        <v/>
      </c>
    </row>
    <row r="545" ht="21" customHeight="1" s="66">
      <c r="A545" s="69">
        <f>IF($AD545="","",IF($AD545="Z","รวมจ่ายทั้งสิ้น",IF($AD545="H",INDEX($X$5:$X$404,$AC545),IF($AD545="T","รวม",IF($AD545="B",IFERROR(INDEX(อัตราค่าขนส่ง!$S$5:$S$14,MATCH(INDEX($AM$5:$AM$404,$AC545),อัตราค่าขนส่ง!$R$5:$R$14,0)),"รวมกลุ่ม "&amp;INDEX($AM$5:$AM$404,$AC545)),INDEX($AY$5:$AY$404,$AC545))))))</f>
        <v/>
      </c>
      <c r="B545" s="31">
        <f>IF($AD545&lt;&gt;"D","",INDEX($AW$5:$AW$404,$AC545))</f>
        <v/>
      </c>
      <c r="C545" s="68">
        <f>IF($AD545&lt;&gt;"D","",INDEX($AX$5:$AX$404,$AC545))</f>
        <v/>
      </c>
      <c r="D545" s="70">
        <f>IF($AD545&lt;&gt;"D","",INDEX($BA$5:$BA$404,$AC545))</f>
        <v/>
      </c>
      <c r="E545" s="31">
        <f>IF($AD545="Z",SUM($AR$5:$AR$404),IF($AD545="D",INDEX($AR$5:$AR$404,$AC545),IF($AD545="T",SUMIF($X$5:$X$404,$AF545,$AR$5:$AR$404),IF($AD545="B",SUMIF($AN$5:$AN$404,$AQ545,$AR$5:$AR$404),""))))</f>
        <v/>
      </c>
      <c r="F545" s="32">
        <f>IF($AD545="Z",ROUND(SUM($AS$5:$AS$404),2),IF($AD545="D",INDEX($AS$5:$AS$404,$AC545),IF($AD545="T",ROUND(SUMIF($X$5:$X$404,$AF545,$AS$5:$AS$404),2),IF($AD545="B",ROUND(SUMIF($AN$5:$AN$404,$AQ545,$AS$5:$AS$404),2),""))))</f>
        <v/>
      </c>
      <c r="G545" s="32">
        <f>IF($AD545&lt;&gt;"D","",INDEX($AT$5:$AT$404,$AC545))</f>
        <v/>
      </c>
      <c r="H545" s="32">
        <f>IF($AD545&lt;&gt;"D","",INDEX($BC$5:$BC$404,$AC545))</f>
        <v/>
      </c>
      <c r="I545" s="32">
        <f>IF($AD545&lt;&gt;"D","",INDEX($BD$5:$BD$404,$AC545))</f>
        <v/>
      </c>
      <c r="J545" s="46">
        <f>IF($AD545&lt;&gt;"D","",IF(N($B545)=0,"",ROUND($I545/$B545,4)))</f>
        <v/>
      </c>
      <c r="K545" s="32">
        <f>IF($AD545="Z",ROUND(SUM($AU$5:$AU$404),2),IF($AD545="D",INDEX($AU$5:$AU$404,$AC545),IF($AD545="T",ROUND(SUMIF($X$5:$X$404,$AF545,$AU$5:$AU$404),2),IF($AD545="B",ROUND(SUMIF($AN$5:$AN$404,$AQ545,$AU$5:$AU$404),2),""))))</f>
        <v/>
      </c>
      <c r="L545" s="32">
        <f>IF($AD545="Z",ROUND(SUM($AV$5:$AV$404),2),IF($AD545="D",INDEX($AV$5:$AV$404,$AC545),IF($AD545="T",ROUND(SUMIF($X$5:$X$404,$AF545,$AV$5:$AV$404),2),IF($AD545="B",ROUND(SUMIF($AN$5:$AN$404,$AQ545,$AV$5:$AV$404),2),""))))</f>
        <v/>
      </c>
      <c r="M545" s="32">
        <f>IF($AD545="Z",ROUND(SUM($AJ$5:$AJ$704),2),IF($AD545="B",ROUND(SUMIF($AQ$5:$AQ$704,$AQ545,$AJ$5:$AJ$704),2),IF($AD545&lt;&gt;"T","",$AJ545)))</f>
        <v/>
      </c>
      <c r="N545" s="32">
        <f>IF(OR($AD545="D",$AD545="T",$AD545="B",$AD545="Z"),ROUND(N($K545)-N($L545)-N($M545),2),"")</f>
        <v/>
      </c>
      <c r="O545" s="32">
        <f>IF(OR($AD545="D",$AD545="T",$AD545="B",$AD545="Z"),IF(N($E545)=0,"",ROUND($F545/$E545,2)),"")</f>
        <v/>
      </c>
      <c r="AC545">
        <f>IFERROR(MATCH(541,$AB$5:$AB$404,1),"")</f>
        <v/>
      </c>
      <c r="AD545">
        <f>IF(541=$AI$1+1,"Z",IF($AC545="","",IF(INDEX($V$5:$V$404,$AC545)="","",IF(541&gt;INDEX($AB$5:$AB$404,$AC545)+INDEX($Z$5:$Z$404,$AC545)+INDEX($AA$5:$AA$404,$AC545)+INDEX($AO$5:$AO$404,$AC545),"",IF(541=INDEX($AB$5:$AB$404,$AC545)+INDEX($Z$5:$Z$404,$AC545),"D",IF(AND(INDEX($Z$5:$Z$404,$AC545)=1,541=INDEX($AB$5:$AB$404,$AC545)),"H",IF(AND(INDEX($AO$5:$AO$404,$AC545)=1,541=INDEX($AB$5:$AB$404,$AC545)+INDEX($Z$5:$Z$404,$AC545)+INDEX($AA$5:$AA$404,$AC545)+INDEX($AO$5:$AO$404,$AC545)),"B","T")))))))</f>
        <v/>
      </c>
      <c r="AF545">
        <f>IF(OR($AD545="",$AD545="Z",$AD545="B"),"",INDEX($X$5:$X$404,$AC545))</f>
        <v/>
      </c>
      <c r="AJ545">
        <f>IF($AD545&lt;&gt;"T",0,ROUND(SUMIF(oil!$B$4:$B$63,$AF545,oil!$AE$4:$AE$63),2))</f>
        <v/>
      </c>
      <c r="AQ545">
        <f>IF(OR($AD545="",$AD545="Z"),"",INDEX($AN$5:$AN$404,$AC545))</f>
        <v/>
      </c>
      <c r="AZ545">
        <f>IF(AND($AD545="T",$AQ545=1),N($AZ544)+1,N($AZ544))</f>
        <v/>
      </c>
    </row>
    <row r="546" ht="21" customHeight="1" s="66">
      <c r="A546" s="69">
        <f>IF($AD546="","",IF($AD546="Z","รวมจ่ายทั้งสิ้น",IF($AD546="H",INDEX($X$5:$X$404,$AC546),IF($AD546="T","รวม",IF($AD546="B",IFERROR(INDEX(อัตราค่าขนส่ง!$S$5:$S$14,MATCH(INDEX($AM$5:$AM$404,$AC546),อัตราค่าขนส่ง!$R$5:$R$14,0)),"รวมกลุ่ม "&amp;INDEX($AM$5:$AM$404,$AC546)),INDEX($AY$5:$AY$404,$AC546))))))</f>
        <v/>
      </c>
      <c r="B546" s="31">
        <f>IF($AD546&lt;&gt;"D","",INDEX($AW$5:$AW$404,$AC546))</f>
        <v/>
      </c>
      <c r="C546" s="68">
        <f>IF($AD546&lt;&gt;"D","",INDEX($AX$5:$AX$404,$AC546))</f>
        <v/>
      </c>
      <c r="D546" s="70">
        <f>IF($AD546&lt;&gt;"D","",INDEX($BA$5:$BA$404,$AC546))</f>
        <v/>
      </c>
      <c r="E546" s="31">
        <f>IF($AD546="Z",SUM($AR$5:$AR$404),IF($AD546="D",INDEX($AR$5:$AR$404,$AC546),IF($AD546="T",SUMIF($X$5:$X$404,$AF546,$AR$5:$AR$404),IF($AD546="B",SUMIF($AN$5:$AN$404,$AQ546,$AR$5:$AR$404),""))))</f>
        <v/>
      </c>
      <c r="F546" s="32">
        <f>IF($AD546="Z",ROUND(SUM($AS$5:$AS$404),2),IF($AD546="D",INDEX($AS$5:$AS$404,$AC546),IF($AD546="T",ROUND(SUMIF($X$5:$X$404,$AF546,$AS$5:$AS$404),2),IF($AD546="B",ROUND(SUMIF($AN$5:$AN$404,$AQ546,$AS$5:$AS$404),2),""))))</f>
        <v/>
      </c>
      <c r="G546" s="32">
        <f>IF($AD546&lt;&gt;"D","",INDEX($AT$5:$AT$404,$AC546))</f>
        <v/>
      </c>
      <c r="H546" s="32">
        <f>IF($AD546&lt;&gt;"D","",INDEX($BC$5:$BC$404,$AC546))</f>
        <v/>
      </c>
      <c r="I546" s="32">
        <f>IF($AD546&lt;&gt;"D","",INDEX($BD$5:$BD$404,$AC546))</f>
        <v/>
      </c>
      <c r="J546" s="46">
        <f>IF($AD546&lt;&gt;"D","",IF(N($B546)=0,"",ROUND($I546/$B546,4)))</f>
        <v/>
      </c>
      <c r="K546" s="32">
        <f>IF($AD546="Z",ROUND(SUM($AU$5:$AU$404),2),IF($AD546="D",INDEX($AU$5:$AU$404,$AC546),IF($AD546="T",ROUND(SUMIF($X$5:$X$404,$AF546,$AU$5:$AU$404),2),IF($AD546="B",ROUND(SUMIF($AN$5:$AN$404,$AQ546,$AU$5:$AU$404),2),""))))</f>
        <v/>
      </c>
      <c r="L546" s="32">
        <f>IF($AD546="Z",ROUND(SUM($AV$5:$AV$404),2),IF($AD546="D",INDEX($AV$5:$AV$404,$AC546),IF($AD546="T",ROUND(SUMIF($X$5:$X$404,$AF546,$AV$5:$AV$404),2),IF($AD546="B",ROUND(SUMIF($AN$5:$AN$404,$AQ546,$AV$5:$AV$404),2),""))))</f>
        <v/>
      </c>
      <c r="M546" s="32">
        <f>IF($AD546="Z",ROUND(SUM($AJ$5:$AJ$704),2),IF($AD546="B",ROUND(SUMIF($AQ$5:$AQ$704,$AQ546,$AJ$5:$AJ$704),2),IF($AD546&lt;&gt;"T","",$AJ546)))</f>
        <v/>
      </c>
      <c r="N546" s="32">
        <f>IF(OR($AD546="D",$AD546="T",$AD546="B",$AD546="Z"),ROUND(N($K546)-N($L546)-N($M546),2),"")</f>
        <v/>
      </c>
      <c r="O546" s="32">
        <f>IF(OR($AD546="D",$AD546="T",$AD546="B",$AD546="Z"),IF(N($E546)=0,"",ROUND($F546/$E546,2)),"")</f>
        <v/>
      </c>
      <c r="AC546">
        <f>IFERROR(MATCH(542,$AB$5:$AB$404,1),"")</f>
        <v/>
      </c>
      <c r="AD546">
        <f>IF(542=$AI$1+1,"Z",IF($AC546="","",IF(INDEX($V$5:$V$404,$AC546)="","",IF(542&gt;INDEX($AB$5:$AB$404,$AC546)+INDEX($Z$5:$Z$404,$AC546)+INDEX($AA$5:$AA$404,$AC546)+INDEX($AO$5:$AO$404,$AC546),"",IF(542=INDEX($AB$5:$AB$404,$AC546)+INDEX($Z$5:$Z$404,$AC546),"D",IF(AND(INDEX($Z$5:$Z$404,$AC546)=1,542=INDEX($AB$5:$AB$404,$AC546)),"H",IF(AND(INDEX($AO$5:$AO$404,$AC546)=1,542=INDEX($AB$5:$AB$404,$AC546)+INDEX($Z$5:$Z$404,$AC546)+INDEX($AA$5:$AA$404,$AC546)+INDEX($AO$5:$AO$404,$AC546)),"B","T")))))))</f>
        <v/>
      </c>
      <c r="AF546">
        <f>IF(OR($AD546="",$AD546="Z",$AD546="B"),"",INDEX($X$5:$X$404,$AC546))</f>
        <v/>
      </c>
      <c r="AJ546">
        <f>IF($AD546&lt;&gt;"T",0,ROUND(SUMIF(oil!$B$4:$B$63,$AF546,oil!$AE$4:$AE$63),2))</f>
        <v/>
      </c>
      <c r="AQ546">
        <f>IF(OR($AD546="",$AD546="Z"),"",INDEX($AN$5:$AN$404,$AC546))</f>
        <v/>
      </c>
      <c r="AZ546">
        <f>IF(AND($AD546="T",$AQ546=1),N($AZ545)+1,N($AZ545))</f>
        <v/>
      </c>
    </row>
    <row r="547" ht="21" customHeight="1" s="66">
      <c r="A547" s="69">
        <f>IF($AD547="","",IF($AD547="Z","รวมจ่ายทั้งสิ้น",IF($AD547="H",INDEX($X$5:$X$404,$AC547),IF($AD547="T","รวม",IF($AD547="B",IFERROR(INDEX(อัตราค่าขนส่ง!$S$5:$S$14,MATCH(INDEX($AM$5:$AM$404,$AC547),อัตราค่าขนส่ง!$R$5:$R$14,0)),"รวมกลุ่ม "&amp;INDEX($AM$5:$AM$404,$AC547)),INDEX($AY$5:$AY$404,$AC547))))))</f>
        <v/>
      </c>
      <c r="B547" s="31">
        <f>IF($AD547&lt;&gt;"D","",INDEX($AW$5:$AW$404,$AC547))</f>
        <v/>
      </c>
      <c r="C547" s="68">
        <f>IF($AD547&lt;&gt;"D","",INDEX($AX$5:$AX$404,$AC547))</f>
        <v/>
      </c>
      <c r="D547" s="70">
        <f>IF($AD547&lt;&gt;"D","",INDEX($BA$5:$BA$404,$AC547))</f>
        <v/>
      </c>
      <c r="E547" s="31">
        <f>IF($AD547="Z",SUM($AR$5:$AR$404),IF($AD547="D",INDEX($AR$5:$AR$404,$AC547),IF($AD547="T",SUMIF($X$5:$X$404,$AF547,$AR$5:$AR$404),IF($AD547="B",SUMIF($AN$5:$AN$404,$AQ547,$AR$5:$AR$404),""))))</f>
        <v/>
      </c>
      <c r="F547" s="32">
        <f>IF($AD547="Z",ROUND(SUM($AS$5:$AS$404),2),IF($AD547="D",INDEX($AS$5:$AS$404,$AC547),IF($AD547="T",ROUND(SUMIF($X$5:$X$404,$AF547,$AS$5:$AS$404),2),IF($AD547="B",ROUND(SUMIF($AN$5:$AN$404,$AQ547,$AS$5:$AS$404),2),""))))</f>
        <v/>
      </c>
      <c r="G547" s="32">
        <f>IF($AD547&lt;&gt;"D","",INDEX($AT$5:$AT$404,$AC547))</f>
        <v/>
      </c>
      <c r="H547" s="32">
        <f>IF($AD547&lt;&gt;"D","",INDEX($BC$5:$BC$404,$AC547))</f>
        <v/>
      </c>
      <c r="I547" s="32">
        <f>IF($AD547&lt;&gt;"D","",INDEX($BD$5:$BD$404,$AC547))</f>
        <v/>
      </c>
      <c r="J547" s="46">
        <f>IF($AD547&lt;&gt;"D","",IF(N($B547)=0,"",ROUND($I547/$B547,4)))</f>
        <v/>
      </c>
      <c r="K547" s="32">
        <f>IF($AD547="Z",ROUND(SUM($AU$5:$AU$404),2),IF($AD547="D",INDEX($AU$5:$AU$404,$AC547),IF($AD547="T",ROUND(SUMIF($X$5:$X$404,$AF547,$AU$5:$AU$404),2),IF($AD547="B",ROUND(SUMIF($AN$5:$AN$404,$AQ547,$AU$5:$AU$404),2),""))))</f>
        <v/>
      </c>
      <c r="L547" s="32">
        <f>IF($AD547="Z",ROUND(SUM($AV$5:$AV$404),2),IF($AD547="D",INDEX($AV$5:$AV$404,$AC547),IF($AD547="T",ROUND(SUMIF($X$5:$X$404,$AF547,$AV$5:$AV$404),2),IF($AD547="B",ROUND(SUMIF($AN$5:$AN$404,$AQ547,$AV$5:$AV$404),2),""))))</f>
        <v/>
      </c>
      <c r="M547" s="32">
        <f>IF($AD547="Z",ROUND(SUM($AJ$5:$AJ$704),2),IF($AD547="B",ROUND(SUMIF($AQ$5:$AQ$704,$AQ547,$AJ$5:$AJ$704),2),IF($AD547&lt;&gt;"T","",$AJ547)))</f>
        <v/>
      </c>
      <c r="N547" s="32">
        <f>IF(OR($AD547="D",$AD547="T",$AD547="B",$AD547="Z"),ROUND(N($K547)-N($L547)-N($M547),2),"")</f>
        <v/>
      </c>
      <c r="O547" s="32">
        <f>IF(OR($AD547="D",$AD547="T",$AD547="B",$AD547="Z"),IF(N($E547)=0,"",ROUND($F547/$E547,2)),"")</f>
        <v/>
      </c>
      <c r="AC547">
        <f>IFERROR(MATCH(543,$AB$5:$AB$404,1),"")</f>
        <v/>
      </c>
      <c r="AD547">
        <f>IF(543=$AI$1+1,"Z",IF($AC547="","",IF(INDEX($V$5:$V$404,$AC547)="","",IF(543&gt;INDEX($AB$5:$AB$404,$AC547)+INDEX($Z$5:$Z$404,$AC547)+INDEX($AA$5:$AA$404,$AC547)+INDEX($AO$5:$AO$404,$AC547),"",IF(543=INDEX($AB$5:$AB$404,$AC547)+INDEX($Z$5:$Z$404,$AC547),"D",IF(AND(INDEX($Z$5:$Z$404,$AC547)=1,543=INDEX($AB$5:$AB$404,$AC547)),"H",IF(AND(INDEX($AO$5:$AO$404,$AC547)=1,543=INDEX($AB$5:$AB$404,$AC547)+INDEX($Z$5:$Z$404,$AC547)+INDEX($AA$5:$AA$404,$AC547)+INDEX($AO$5:$AO$404,$AC547)),"B","T")))))))</f>
        <v/>
      </c>
      <c r="AF547">
        <f>IF(OR($AD547="",$AD547="Z",$AD547="B"),"",INDEX($X$5:$X$404,$AC547))</f>
        <v/>
      </c>
      <c r="AJ547">
        <f>IF($AD547&lt;&gt;"T",0,ROUND(SUMIF(oil!$B$4:$B$63,$AF547,oil!$AE$4:$AE$63),2))</f>
        <v/>
      </c>
      <c r="AQ547">
        <f>IF(OR($AD547="",$AD547="Z"),"",INDEX($AN$5:$AN$404,$AC547))</f>
        <v/>
      </c>
      <c r="AZ547">
        <f>IF(AND($AD547="T",$AQ547=1),N($AZ546)+1,N($AZ546))</f>
        <v/>
      </c>
    </row>
    <row r="548" ht="21" customHeight="1" s="66">
      <c r="A548" s="69">
        <f>IF($AD548="","",IF($AD548="Z","รวมจ่ายทั้งสิ้น",IF($AD548="H",INDEX($X$5:$X$404,$AC548),IF($AD548="T","รวม",IF($AD548="B",IFERROR(INDEX(อัตราค่าขนส่ง!$S$5:$S$14,MATCH(INDEX($AM$5:$AM$404,$AC548),อัตราค่าขนส่ง!$R$5:$R$14,0)),"รวมกลุ่ม "&amp;INDEX($AM$5:$AM$404,$AC548)),INDEX($AY$5:$AY$404,$AC548))))))</f>
        <v/>
      </c>
      <c r="B548" s="31">
        <f>IF($AD548&lt;&gt;"D","",INDEX($AW$5:$AW$404,$AC548))</f>
        <v/>
      </c>
      <c r="C548" s="68">
        <f>IF($AD548&lt;&gt;"D","",INDEX($AX$5:$AX$404,$AC548))</f>
        <v/>
      </c>
      <c r="D548" s="70">
        <f>IF($AD548&lt;&gt;"D","",INDEX($BA$5:$BA$404,$AC548))</f>
        <v/>
      </c>
      <c r="E548" s="31">
        <f>IF($AD548="Z",SUM($AR$5:$AR$404),IF($AD548="D",INDEX($AR$5:$AR$404,$AC548),IF($AD548="T",SUMIF($X$5:$X$404,$AF548,$AR$5:$AR$404),IF($AD548="B",SUMIF($AN$5:$AN$404,$AQ548,$AR$5:$AR$404),""))))</f>
        <v/>
      </c>
      <c r="F548" s="32">
        <f>IF($AD548="Z",ROUND(SUM($AS$5:$AS$404),2),IF($AD548="D",INDEX($AS$5:$AS$404,$AC548),IF($AD548="T",ROUND(SUMIF($X$5:$X$404,$AF548,$AS$5:$AS$404),2),IF($AD548="B",ROUND(SUMIF($AN$5:$AN$404,$AQ548,$AS$5:$AS$404),2),""))))</f>
        <v/>
      </c>
      <c r="G548" s="32">
        <f>IF($AD548&lt;&gt;"D","",INDEX($AT$5:$AT$404,$AC548))</f>
        <v/>
      </c>
      <c r="H548" s="32">
        <f>IF($AD548&lt;&gt;"D","",INDEX($BC$5:$BC$404,$AC548))</f>
        <v/>
      </c>
      <c r="I548" s="32">
        <f>IF($AD548&lt;&gt;"D","",INDEX($BD$5:$BD$404,$AC548))</f>
        <v/>
      </c>
      <c r="J548" s="46">
        <f>IF($AD548&lt;&gt;"D","",IF(N($B548)=0,"",ROUND($I548/$B548,4)))</f>
        <v/>
      </c>
      <c r="K548" s="32">
        <f>IF($AD548="Z",ROUND(SUM($AU$5:$AU$404),2),IF($AD548="D",INDEX($AU$5:$AU$404,$AC548),IF($AD548="T",ROUND(SUMIF($X$5:$X$404,$AF548,$AU$5:$AU$404),2),IF($AD548="B",ROUND(SUMIF($AN$5:$AN$404,$AQ548,$AU$5:$AU$404),2),""))))</f>
        <v/>
      </c>
      <c r="L548" s="32">
        <f>IF($AD548="Z",ROUND(SUM($AV$5:$AV$404),2),IF($AD548="D",INDEX($AV$5:$AV$404,$AC548),IF($AD548="T",ROUND(SUMIF($X$5:$X$404,$AF548,$AV$5:$AV$404),2),IF($AD548="B",ROUND(SUMIF($AN$5:$AN$404,$AQ548,$AV$5:$AV$404),2),""))))</f>
        <v/>
      </c>
      <c r="M548" s="32">
        <f>IF($AD548="Z",ROUND(SUM($AJ$5:$AJ$704),2),IF($AD548="B",ROUND(SUMIF($AQ$5:$AQ$704,$AQ548,$AJ$5:$AJ$704),2),IF($AD548&lt;&gt;"T","",$AJ548)))</f>
        <v/>
      </c>
      <c r="N548" s="32">
        <f>IF(OR($AD548="D",$AD548="T",$AD548="B",$AD548="Z"),ROUND(N($K548)-N($L548)-N($M548),2),"")</f>
        <v/>
      </c>
      <c r="O548" s="32">
        <f>IF(OR($AD548="D",$AD548="T",$AD548="B",$AD548="Z"),IF(N($E548)=0,"",ROUND($F548/$E548,2)),"")</f>
        <v/>
      </c>
      <c r="AC548">
        <f>IFERROR(MATCH(544,$AB$5:$AB$404,1),"")</f>
        <v/>
      </c>
      <c r="AD548">
        <f>IF(544=$AI$1+1,"Z",IF($AC548="","",IF(INDEX($V$5:$V$404,$AC548)="","",IF(544&gt;INDEX($AB$5:$AB$404,$AC548)+INDEX($Z$5:$Z$404,$AC548)+INDEX($AA$5:$AA$404,$AC548)+INDEX($AO$5:$AO$404,$AC548),"",IF(544=INDEX($AB$5:$AB$404,$AC548)+INDEX($Z$5:$Z$404,$AC548),"D",IF(AND(INDEX($Z$5:$Z$404,$AC548)=1,544=INDEX($AB$5:$AB$404,$AC548)),"H",IF(AND(INDEX($AO$5:$AO$404,$AC548)=1,544=INDEX($AB$5:$AB$404,$AC548)+INDEX($Z$5:$Z$404,$AC548)+INDEX($AA$5:$AA$404,$AC548)+INDEX($AO$5:$AO$404,$AC548)),"B","T")))))))</f>
        <v/>
      </c>
      <c r="AF548">
        <f>IF(OR($AD548="",$AD548="Z",$AD548="B"),"",INDEX($X$5:$X$404,$AC548))</f>
        <v/>
      </c>
      <c r="AJ548">
        <f>IF($AD548&lt;&gt;"T",0,ROUND(SUMIF(oil!$B$4:$B$63,$AF548,oil!$AE$4:$AE$63),2))</f>
        <v/>
      </c>
      <c r="AQ548">
        <f>IF(OR($AD548="",$AD548="Z"),"",INDEX($AN$5:$AN$404,$AC548))</f>
        <v/>
      </c>
      <c r="AZ548">
        <f>IF(AND($AD548="T",$AQ548=1),N($AZ547)+1,N($AZ547))</f>
        <v/>
      </c>
    </row>
    <row r="549" ht="21" customHeight="1" s="66">
      <c r="A549" s="69">
        <f>IF($AD549="","",IF($AD549="Z","รวมจ่ายทั้งสิ้น",IF($AD549="H",INDEX($X$5:$X$404,$AC549),IF($AD549="T","รวม",IF($AD549="B",IFERROR(INDEX(อัตราค่าขนส่ง!$S$5:$S$14,MATCH(INDEX($AM$5:$AM$404,$AC549),อัตราค่าขนส่ง!$R$5:$R$14,0)),"รวมกลุ่ม "&amp;INDEX($AM$5:$AM$404,$AC549)),INDEX($AY$5:$AY$404,$AC549))))))</f>
        <v/>
      </c>
      <c r="B549" s="31">
        <f>IF($AD549&lt;&gt;"D","",INDEX($AW$5:$AW$404,$AC549))</f>
        <v/>
      </c>
      <c r="C549" s="68">
        <f>IF($AD549&lt;&gt;"D","",INDEX($AX$5:$AX$404,$AC549))</f>
        <v/>
      </c>
      <c r="D549" s="70">
        <f>IF($AD549&lt;&gt;"D","",INDEX($BA$5:$BA$404,$AC549))</f>
        <v/>
      </c>
      <c r="E549" s="31">
        <f>IF($AD549="Z",SUM($AR$5:$AR$404),IF($AD549="D",INDEX($AR$5:$AR$404,$AC549),IF($AD549="T",SUMIF($X$5:$X$404,$AF549,$AR$5:$AR$404),IF($AD549="B",SUMIF($AN$5:$AN$404,$AQ549,$AR$5:$AR$404),""))))</f>
        <v/>
      </c>
      <c r="F549" s="32">
        <f>IF($AD549="Z",ROUND(SUM($AS$5:$AS$404),2),IF($AD549="D",INDEX($AS$5:$AS$404,$AC549),IF($AD549="T",ROUND(SUMIF($X$5:$X$404,$AF549,$AS$5:$AS$404),2),IF($AD549="B",ROUND(SUMIF($AN$5:$AN$404,$AQ549,$AS$5:$AS$404),2),""))))</f>
        <v/>
      </c>
      <c r="G549" s="32">
        <f>IF($AD549&lt;&gt;"D","",INDEX($AT$5:$AT$404,$AC549))</f>
        <v/>
      </c>
      <c r="H549" s="32">
        <f>IF($AD549&lt;&gt;"D","",INDEX($BC$5:$BC$404,$AC549))</f>
        <v/>
      </c>
      <c r="I549" s="32">
        <f>IF($AD549&lt;&gt;"D","",INDEX($BD$5:$BD$404,$AC549))</f>
        <v/>
      </c>
      <c r="J549" s="46">
        <f>IF($AD549&lt;&gt;"D","",IF(N($B549)=0,"",ROUND($I549/$B549,4)))</f>
        <v/>
      </c>
      <c r="K549" s="32">
        <f>IF($AD549="Z",ROUND(SUM($AU$5:$AU$404),2),IF($AD549="D",INDEX($AU$5:$AU$404,$AC549),IF($AD549="T",ROUND(SUMIF($X$5:$X$404,$AF549,$AU$5:$AU$404),2),IF($AD549="B",ROUND(SUMIF($AN$5:$AN$404,$AQ549,$AU$5:$AU$404),2),""))))</f>
        <v/>
      </c>
      <c r="L549" s="32">
        <f>IF($AD549="Z",ROUND(SUM($AV$5:$AV$404),2),IF($AD549="D",INDEX($AV$5:$AV$404,$AC549),IF($AD549="T",ROUND(SUMIF($X$5:$X$404,$AF549,$AV$5:$AV$404),2),IF($AD549="B",ROUND(SUMIF($AN$5:$AN$404,$AQ549,$AV$5:$AV$404),2),""))))</f>
        <v/>
      </c>
      <c r="M549" s="32">
        <f>IF($AD549="Z",ROUND(SUM($AJ$5:$AJ$704),2),IF($AD549="B",ROUND(SUMIF($AQ$5:$AQ$704,$AQ549,$AJ$5:$AJ$704),2),IF($AD549&lt;&gt;"T","",$AJ549)))</f>
        <v/>
      </c>
      <c r="N549" s="32">
        <f>IF(OR($AD549="D",$AD549="T",$AD549="B",$AD549="Z"),ROUND(N($K549)-N($L549)-N($M549),2),"")</f>
        <v/>
      </c>
      <c r="O549" s="32">
        <f>IF(OR($AD549="D",$AD549="T",$AD549="B",$AD549="Z"),IF(N($E549)=0,"",ROUND($F549/$E549,2)),"")</f>
        <v/>
      </c>
      <c r="AC549">
        <f>IFERROR(MATCH(545,$AB$5:$AB$404,1),"")</f>
        <v/>
      </c>
      <c r="AD549">
        <f>IF(545=$AI$1+1,"Z",IF($AC549="","",IF(INDEX($V$5:$V$404,$AC549)="","",IF(545&gt;INDEX($AB$5:$AB$404,$AC549)+INDEX($Z$5:$Z$404,$AC549)+INDEX($AA$5:$AA$404,$AC549)+INDEX($AO$5:$AO$404,$AC549),"",IF(545=INDEX($AB$5:$AB$404,$AC549)+INDEX($Z$5:$Z$404,$AC549),"D",IF(AND(INDEX($Z$5:$Z$404,$AC549)=1,545=INDEX($AB$5:$AB$404,$AC549)),"H",IF(AND(INDEX($AO$5:$AO$404,$AC549)=1,545=INDEX($AB$5:$AB$404,$AC549)+INDEX($Z$5:$Z$404,$AC549)+INDEX($AA$5:$AA$404,$AC549)+INDEX($AO$5:$AO$404,$AC549)),"B","T")))))))</f>
        <v/>
      </c>
      <c r="AF549">
        <f>IF(OR($AD549="",$AD549="Z",$AD549="B"),"",INDEX($X$5:$X$404,$AC549))</f>
        <v/>
      </c>
      <c r="AJ549">
        <f>IF($AD549&lt;&gt;"T",0,ROUND(SUMIF(oil!$B$4:$B$63,$AF549,oil!$AE$4:$AE$63),2))</f>
        <v/>
      </c>
      <c r="AQ549">
        <f>IF(OR($AD549="",$AD549="Z"),"",INDEX($AN$5:$AN$404,$AC549))</f>
        <v/>
      </c>
      <c r="AZ549">
        <f>IF(AND($AD549="T",$AQ549=1),N($AZ548)+1,N($AZ548))</f>
        <v/>
      </c>
    </row>
    <row r="550" ht="21" customHeight="1" s="66">
      <c r="A550" s="69">
        <f>IF($AD550="","",IF($AD550="Z","รวมจ่ายทั้งสิ้น",IF($AD550="H",INDEX($X$5:$X$404,$AC550),IF($AD550="T","รวม",IF($AD550="B",IFERROR(INDEX(อัตราค่าขนส่ง!$S$5:$S$14,MATCH(INDEX($AM$5:$AM$404,$AC550),อัตราค่าขนส่ง!$R$5:$R$14,0)),"รวมกลุ่ม "&amp;INDEX($AM$5:$AM$404,$AC550)),INDEX($AY$5:$AY$404,$AC550))))))</f>
        <v/>
      </c>
      <c r="B550" s="31">
        <f>IF($AD550&lt;&gt;"D","",INDEX($AW$5:$AW$404,$AC550))</f>
        <v/>
      </c>
      <c r="C550" s="68">
        <f>IF($AD550&lt;&gt;"D","",INDEX($AX$5:$AX$404,$AC550))</f>
        <v/>
      </c>
      <c r="D550" s="70">
        <f>IF($AD550&lt;&gt;"D","",INDEX($BA$5:$BA$404,$AC550))</f>
        <v/>
      </c>
      <c r="E550" s="31">
        <f>IF($AD550="Z",SUM($AR$5:$AR$404),IF($AD550="D",INDEX($AR$5:$AR$404,$AC550),IF($AD550="T",SUMIF($X$5:$X$404,$AF550,$AR$5:$AR$404),IF($AD550="B",SUMIF($AN$5:$AN$404,$AQ550,$AR$5:$AR$404),""))))</f>
        <v/>
      </c>
      <c r="F550" s="32">
        <f>IF($AD550="Z",ROUND(SUM($AS$5:$AS$404),2),IF($AD550="D",INDEX($AS$5:$AS$404,$AC550),IF($AD550="T",ROUND(SUMIF($X$5:$X$404,$AF550,$AS$5:$AS$404),2),IF($AD550="B",ROUND(SUMIF($AN$5:$AN$404,$AQ550,$AS$5:$AS$404),2),""))))</f>
        <v/>
      </c>
      <c r="G550" s="32">
        <f>IF($AD550&lt;&gt;"D","",INDEX($AT$5:$AT$404,$AC550))</f>
        <v/>
      </c>
      <c r="H550" s="32">
        <f>IF($AD550&lt;&gt;"D","",INDEX($BC$5:$BC$404,$AC550))</f>
        <v/>
      </c>
      <c r="I550" s="32">
        <f>IF($AD550&lt;&gt;"D","",INDEX($BD$5:$BD$404,$AC550))</f>
        <v/>
      </c>
      <c r="J550" s="46">
        <f>IF($AD550&lt;&gt;"D","",IF(N($B550)=0,"",ROUND($I550/$B550,4)))</f>
        <v/>
      </c>
      <c r="K550" s="32">
        <f>IF($AD550="Z",ROUND(SUM($AU$5:$AU$404),2),IF($AD550="D",INDEX($AU$5:$AU$404,$AC550),IF($AD550="T",ROUND(SUMIF($X$5:$X$404,$AF550,$AU$5:$AU$404),2),IF($AD550="B",ROUND(SUMIF($AN$5:$AN$404,$AQ550,$AU$5:$AU$404),2),""))))</f>
        <v/>
      </c>
      <c r="L550" s="32">
        <f>IF($AD550="Z",ROUND(SUM($AV$5:$AV$404),2),IF($AD550="D",INDEX($AV$5:$AV$404,$AC550),IF($AD550="T",ROUND(SUMIF($X$5:$X$404,$AF550,$AV$5:$AV$404),2),IF($AD550="B",ROUND(SUMIF($AN$5:$AN$404,$AQ550,$AV$5:$AV$404),2),""))))</f>
        <v/>
      </c>
      <c r="M550" s="32">
        <f>IF($AD550="Z",ROUND(SUM($AJ$5:$AJ$704),2),IF($AD550="B",ROUND(SUMIF($AQ$5:$AQ$704,$AQ550,$AJ$5:$AJ$704),2),IF($AD550&lt;&gt;"T","",$AJ550)))</f>
        <v/>
      </c>
      <c r="N550" s="32">
        <f>IF(OR($AD550="D",$AD550="T",$AD550="B",$AD550="Z"),ROUND(N($K550)-N($L550)-N($M550),2),"")</f>
        <v/>
      </c>
      <c r="O550" s="32">
        <f>IF(OR($AD550="D",$AD550="T",$AD550="B",$AD550="Z"),IF(N($E550)=0,"",ROUND($F550/$E550,2)),"")</f>
        <v/>
      </c>
      <c r="AC550">
        <f>IFERROR(MATCH(546,$AB$5:$AB$404,1),"")</f>
        <v/>
      </c>
      <c r="AD550">
        <f>IF(546=$AI$1+1,"Z",IF($AC550="","",IF(INDEX($V$5:$V$404,$AC550)="","",IF(546&gt;INDEX($AB$5:$AB$404,$AC550)+INDEX($Z$5:$Z$404,$AC550)+INDEX($AA$5:$AA$404,$AC550)+INDEX($AO$5:$AO$404,$AC550),"",IF(546=INDEX($AB$5:$AB$404,$AC550)+INDEX($Z$5:$Z$404,$AC550),"D",IF(AND(INDEX($Z$5:$Z$404,$AC550)=1,546=INDEX($AB$5:$AB$404,$AC550)),"H",IF(AND(INDEX($AO$5:$AO$404,$AC550)=1,546=INDEX($AB$5:$AB$404,$AC550)+INDEX($Z$5:$Z$404,$AC550)+INDEX($AA$5:$AA$404,$AC550)+INDEX($AO$5:$AO$404,$AC550)),"B","T")))))))</f>
        <v/>
      </c>
      <c r="AF550">
        <f>IF(OR($AD550="",$AD550="Z",$AD550="B"),"",INDEX($X$5:$X$404,$AC550))</f>
        <v/>
      </c>
      <c r="AJ550">
        <f>IF($AD550&lt;&gt;"T",0,ROUND(SUMIF(oil!$B$4:$B$63,$AF550,oil!$AE$4:$AE$63),2))</f>
        <v/>
      </c>
      <c r="AQ550">
        <f>IF(OR($AD550="",$AD550="Z"),"",INDEX($AN$5:$AN$404,$AC550))</f>
        <v/>
      </c>
      <c r="AZ550">
        <f>IF(AND($AD550="T",$AQ550=1),N($AZ549)+1,N($AZ549))</f>
        <v/>
      </c>
    </row>
    <row r="551" ht="21" customHeight="1" s="66">
      <c r="A551" s="69">
        <f>IF($AD551="","",IF($AD551="Z","รวมจ่ายทั้งสิ้น",IF($AD551="H",INDEX($X$5:$X$404,$AC551),IF($AD551="T","รวม",IF($AD551="B",IFERROR(INDEX(อัตราค่าขนส่ง!$S$5:$S$14,MATCH(INDEX($AM$5:$AM$404,$AC551),อัตราค่าขนส่ง!$R$5:$R$14,0)),"รวมกลุ่ม "&amp;INDEX($AM$5:$AM$404,$AC551)),INDEX($AY$5:$AY$404,$AC551))))))</f>
        <v/>
      </c>
      <c r="B551" s="31">
        <f>IF($AD551&lt;&gt;"D","",INDEX($AW$5:$AW$404,$AC551))</f>
        <v/>
      </c>
      <c r="C551" s="68">
        <f>IF($AD551&lt;&gt;"D","",INDEX($AX$5:$AX$404,$AC551))</f>
        <v/>
      </c>
      <c r="D551" s="70">
        <f>IF($AD551&lt;&gt;"D","",INDEX($BA$5:$BA$404,$AC551))</f>
        <v/>
      </c>
      <c r="E551" s="31">
        <f>IF($AD551="Z",SUM($AR$5:$AR$404),IF($AD551="D",INDEX($AR$5:$AR$404,$AC551),IF($AD551="T",SUMIF($X$5:$X$404,$AF551,$AR$5:$AR$404),IF($AD551="B",SUMIF($AN$5:$AN$404,$AQ551,$AR$5:$AR$404),""))))</f>
        <v/>
      </c>
      <c r="F551" s="32">
        <f>IF($AD551="Z",ROUND(SUM($AS$5:$AS$404),2),IF($AD551="D",INDEX($AS$5:$AS$404,$AC551),IF($AD551="T",ROUND(SUMIF($X$5:$X$404,$AF551,$AS$5:$AS$404),2),IF($AD551="B",ROUND(SUMIF($AN$5:$AN$404,$AQ551,$AS$5:$AS$404),2),""))))</f>
        <v/>
      </c>
      <c r="G551" s="32">
        <f>IF($AD551&lt;&gt;"D","",INDEX($AT$5:$AT$404,$AC551))</f>
        <v/>
      </c>
      <c r="H551" s="32">
        <f>IF($AD551&lt;&gt;"D","",INDEX($BC$5:$BC$404,$AC551))</f>
        <v/>
      </c>
      <c r="I551" s="32">
        <f>IF($AD551&lt;&gt;"D","",INDEX($BD$5:$BD$404,$AC551))</f>
        <v/>
      </c>
      <c r="J551" s="46">
        <f>IF($AD551&lt;&gt;"D","",IF(N($B551)=0,"",ROUND($I551/$B551,4)))</f>
        <v/>
      </c>
      <c r="K551" s="32">
        <f>IF($AD551="Z",ROUND(SUM($AU$5:$AU$404),2),IF($AD551="D",INDEX($AU$5:$AU$404,$AC551),IF($AD551="T",ROUND(SUMIF($X$5:$X$404,$AF551,$AU$5:$AU$404),2),IF($AD551="B",ROUND(SUMIF($AN$5:$AN$404,$AQ551,$AU$5:$AU$404),2),""))))</f>
        <v/>
      </c>
      <c r="L551" s="32">
        <f>IF($AD551="Z",ROUND(SUM($AV$5:$AV$404),2),IF($AD551="D",INDEX($AV$5:$AV$404,$AC551),IF($AD551="T",ROUND(SUMIF($X$5:$X$404,$AF551,$AV$5:$AV$404),2),IF($AD551="B",ROUND(SUMIF($AN$5:$AN$404,$AQ551,$AV$5:$AV$404),2),""))))</f>
        <v/>
      </c>
      <c r="M551" s="32">
        <f>IF($AD551="Z",ROUND(SUM($AJ$5:$AJ$704),2),IF($AD551="B",ROUND(SUMIF($AQ$5:$AQ$704,$AQ551,$AJ$5:$AJ$704),2),IF($AD551&lt;&gt;"T","",$AJ551)))</f>
        <v/>
      </c>
      <c r="N551" s="32">
        <f>IF(OR($AD551="D",$AD551="T",$AD551="B",$AD551="Z"),ROUND(N($K551)-N($L551)-N($M551),2),"")</f>
        <v/>
      </c>
      <c r="O551" s="32">
        <f>IF(OR($AD551="D",$AD551="T",$AD551="B",$AD551="Z"),IF(N($E551)=0,"",ROUND($F551/$E551,2)),"")</f>
        <v/>
      </c>
      <c r="AC551">
        <f>IFERROR(MATCH(547,$AB$5:$AB$404,1),"")</f>
        <v/>
      </c>
      <c r="AD551">
        <f>IF(547=$AI$1+1,"Z",IF($AC551="","",IF(INDEX($V$5:$V$404,$AC551)="","",IF(547&gt;INDEX($AB$5:$AB$404,$AC551)+INDEX($Z$5:$Z$404,$AC551)+INDEX($AA$5:$AA$404,$AC551)+INDEX($AO$5:$AO$404,$AC551),"",IF(547=INDEX($AB$5:$AB$404,$AC551)+INDEX($Z$5:$Z$404,$AC551),"D",IF(AND(INDEX($Z$5:$Z$404,$AC551)=1,547=INDEX($AB$5:$AB$404,$AC551)),"H",IF(AND(INDEX($AO$5:$AO$404,$AC551)=1,547=INDEX($AB$5:$AB$404,$AC551)+INDEX($Z$5:$Z$404,$AC551)+INDEX($AA$5:$AA$404,$AC551)+INDEX($AO$5:$AO$404,$AC551)),"B","T")))))))</f>
        <v/>
      </c>
      <c r="AF551">
        <f>IF(OR($AD551="",$AD551="Z",$AD551="B"),"",INDEX($X$5:$X$404,$AC551))</f>
        <v/>
      </c>
      <c r="AJ551">
        <f>IF($AD551&lt;&gt;"T",0,ROUND(SUMIF(oil!$B$4:$B$63,$AF551,oil!$AE$4:$AE$63),2))</f>
        <v/>
      </c>
      <c r="AQ551">
        <f>IF(OR($AD551="",$AD551="Z"),"",INDEX($AN$5:$AN$404,$AC551))</f>
        <v/>
      </c>
      <c r="AZ551">
        <f>IF(AND($AD551="T",$AQ551=1),N($AZ550)+1,N($AZ550))</f>
        <v/>
      </c>
    </row>
    <row r="552" ht="21" customHeight="1" s="66">
      <c r="A552" s="69">
        <f>IF($AD552="","",IF($AD552="Z","รวมจ่ายทั้งสิ้น",IF($AD552="H",INDEX($X$5:$X$404,$AC552),IF($AD552="T","รวม",IF($AD552="B",IFERROR(INDEX(อัตราค่าขนส่ง!$S$5:$S$14,MATCH(INDEX($AM$5:$AM$404,$AC552),อัตราค่าขนส่ง!$R$5:$R$14,0)),"รวมกลุ่ม "&amp;INDEX($AM$5:$AM$404,$AC552)),INDEX($AY$5:$AY$404,$AC552))))))</f>
        <v/>
      </c>
      <c r="B552" s="31">
        <f>IF($AD552&lt;&gt;"D","",INDEX($AW$5:$AW$404,$AC552))</f>
        <v/>
      </c>
      <c r="C552" s="68">
        <f>IF($AD552&lt;&gt;"D","",INDEX($AX$5:$AX$404,$AC552))</f>
        <v/>
      </c>
      <c r="D552" s="70">
        <f>IF($AD552&lt;&gt;"D","",INDEX($BA$5:$BA$404,$AC552))</f>
        <v/>
      </c>
      <c r="E552" s="31">
        <f>IF($AD552="Z",SUM($AR$5:$AR$404),IF($AD552="D",INDEX($AR$5:$AR$404,$AC552),IF($AD552="T",SUMIF($X$5:$X$404,$AF552,$AR$5:$AR$404),IF($AD552="B",SUMIF($AN$5:$AN$404,$AQ552,$AR$5:$AR$404),""))))</f>
        <v/>
      </c>
      <c r="F552" s="32">
        <f>IF($AD552="Z",ROUND(SUM($AS$5:$AS$404),2),IF($AD552="D",INDEX($AS$5:$AS$404,$AC552),IF($AD552="T",ROUND(SUMIF($X$5:$X$404,$AF552,$AS$5:$AS$404),2),IF($AD552="B",ROUND(SUMIF($AN$5:$AN$404,$AQ552,$AS$5:$AS$404),2),""))))</f>
        <v/>
      </c>
      <c r="G552" s="32">
        <f>IF($AD552&lt;&gt;"D","",INDEX($AT$5:$AT$404,$AC552))</f>
        <v/>
      </c>
      <c r="H552" s="32">
        <f>IF($AD552&lt;&gt;"D","",INDEX($BC$5:$BC$404,$AC552))</f>
        <v/>
      </c>
      <c r="I552" s="32">
        <f>IF($AD552&lt;&gt;"D","",INDEX($BD$5:$BD$404,$AC552))</f>
        <v/>
      </c>
      <c r="J552" s="46">
        <f>IF($AD552&lt;&gt;"D","",IF(N($B552)=0,"",ROUND($I552/$B552,4)))</f>
        <v/>
      </c>
      <c r="K552" s="32">
        <f>IF($AD552="Z",ROUND(SUM($AU$5:$AU$404),2),IF($AD552="D",INDEX($AU$5:$AU$404,$AC552),IF($AD552="T",ROUND(SUMIF($X$5:$X$404,$AF552,$AU$5:$AU$404),2),IF($AD552="B",ROUND(SUMIF($AN$5:$AN$404,$AQ552,$AU$5:$AU$404),2),""))))</f>
        <v/>
      </c>
      <c r="L552" s="32">
        <f>IF($AD552="Z",ROUND(SUM($AV$5:$AV$404),2),IF($AD552="D",INDEX($AV$5:$AV$404,$AC552),IF($AD552="T",ROUND(SUMIF($X$5:$X$404,$AF552,$AV$5:$AV$404),2),IF($AD552="B",ROUND(SUMIF($AN$5:$AN$404,$AQ552,$AV$5:$AV$404),2),""))))</f>
        <v/>
      </c>
      <c r="M552" s="32">
        <f>IF($AD552="Z",ROUND(SUM($AJ$5:$AJ$704),2),IF($AD552="B",ROUND(SUMIF($AQ$5:$AQ$704,$AQ552,$AJ$5:$AJ$704),2),IF($AD552&lt;&gt;"T","",$AJ552)))</f>
        <v/>
      </c>
      <c r="N552" s="32">
        <f>IF(OR($AD552="D",$AD552="T",$AD552="B",$AD552="Z"),ROUND(N($K552)-N($L552)-N($M552),2),"")</f>
        <v/>
      </c>
      <c r="O552" s="32">
        <f>IF(OR($AD552="D",$AD552="T",$AD552="B",$AD552="Z"),IF(N($E552)=0,"",ROUND($F552/$E552,2)),"")</f>
        <v/>
      </c>
      <c r="AC552">
        <f>IFERROR(MATCH(548,$AB$5:$AB$404,1),"")</f>
        <v/>
      </c>
      <c r="AD552">
        <f>IF(548=$AI$1+1,"Z",IF($AC552="","",IF(INDEX($V$5:$V$404,$AC552)="","",IF(548&gt;INDEX($AB$5:$AB$404,$AC552)+INDEX($Z$5:$Z$404,$AC552)+INDEX($AA$5:$AA$404,$AC552)+INDEX($AO$5:$AO$404,$AC552),"",IF(548=INDEX($AB$5:$AB$404,$AC552)+INDEX($Z$5:$Z$404,$AC552),"D",IF(AND(INDEX($Z$5:$Z$404,$AC552)=1,548=INDEX($AB$5:$AB$404,$AC552)),"H",IF(AND(INDEX($AO$5:$AO$404,$AC552)=1,548=INDEX($AB$5:$AB$404,$AC552)+INDEX($Z$5:$Z$404,$AC552)+INDEX($AA$5:$AA$404,$AC552)+INDEX($AO$5:$AO$404,$AC552)),"B","T")))))))</f>
        <v/>
      </c>
      <c r="AF552">
        <f>IF(OR($AD552="",$AD552="Z",$AD552="B"),"",INDEX($X$5:$X$404,$AC552))</f>
        <v/>
      </c>
      <c r="AJ552">
        <f>IF($AD552&lt;&gt;"T",0,ROUND(SUMIF(oil!$B$4:$B$63,$AF552,oil!$AE$4:$AE$63),2))</f>
        <v/>
      </c>
      <c r="AQ552">
        <f>IF(OR($AD552="",$AD552="Z"),"",INDEX($AN$5:$AN$404,$AC552))</f>
        <v/>
      </c>
      <c r="AZ552">
        <f>IF(AND($AD552="T",$AQ552=1),N($AZ551)+1,N($AZ551))</f>
        <v/>
      </c>
    </row>
    <row r="553" ht="21" customHeight="1" s="66">
      <c r="A553" s="69">
        <f>IF($AD553="","",IF($AD553="Z","รวมจ่ายทั้งสิ้น",IF($AD553="H",INDEX($X$5:$X$404,$AC553),IF($AD553="T","รวม",IF($AD553="B",IFERROR(INDEX(อัตราค่าขนส่ง!$S$5:$S$14,MATCH(INDEX($AM$5:$AM$404,$AC553),อัตราค่าขนส่ง!$R$5:$R$14,0)),"รวมกลุ่ม "&amp;INDEX($AM$5:$AM$404,$AC553)),INDEX($AY$5:$AY$404,$AC553))))))</f>
        <v/>
      </c>
      <c r="B553" s="31">
        <f>IF($AD553&lt;&gt;"D","",INDEX($AW$5:$AW$404,$AC553))</f>
        <v/>
      </c>
      <c r="C553" s="68">
        <f>IF($AD553&lt;&gt;"D","",INDEX($AX$5:$AX$404,$AC553))</f>
        <v/>
      </c>
      <c r="D553" s="70">
        <f>IF($AD553&lt;&gt;"D","",INDEX($BA$5:$BA$404,$AC553))</f>
        <v/>
      </c>
      <c r="E553" s="31">
        <f>IF($AD553="Z",SUM($AR$5:$AR$404),IF($AD553="D",INDEX($AR$5:$AR$404,$AC553),IF($AD553="T",SUMIF($X$5:$X$404,$AF553,$AR$5:$AR$404),IF($AD553="B",SUMIF($AN$5:$AN$404,$AQ553,$AR$5:$AR$404),""))))</f>
        <v/>
      </c>
      <c r="F553" s="32">
        <f>IF($AD553="Z",ROUND(SUM($AS$5:$AS$404),2),IF($AD553="D",INDEX($AS$5:$AS$404,$AC553),IF($AD553="T",ROUND(SUMIF($X$5:$X$404,$AF553,$AS$5:$AS$404),2),IF($AD553="B",ROUND(SUMIF($AN$5:$AN$404,$AQ553,$AS$5:$AS$404),2),""))))</f>
        <v/>
      </c>
      <c r="G553" s="32">
        <f>IF($AD553&lt;&gt;"D","",INDEX($AT$5:$AT$404,$AC553))</f>
        <v/>
      </c>
      <c r="H553" s="32">
        <f>IF($AD553&lt;&gt;"D","",INDEX($BC$5:$BC$404,$AC553))</f>
        <v/>
      </c>
      <c r="I553" s="32">
        <f>IF($AD553&lt;&gt;"D","",INDEX($BD$5:$BD$404,$AC553))</f>
        <v/>
      </c>
      <c r="J553" s="46">
        <f>IF($AD553&lt;&gt;"D","",IF(N($B553)=0,"",ROUND($I553/$B553,4)))</f>
        <v/>
      </c>
      <c r="K553" s="32">
        <f>IF($AD553="Z",ROUND(SUM($AU$5:$AU$404),2),IF($AD553="D",INDEX($AU$5:$AU$404,$AC553),IF($AD553="T",ROUND(SUMIF($X$5:$X$404,$AF553,$AU$5:$AU$404),2),IF($AD553="B",ROUND(SUMIF($AN$5:$AN$404,$AQ553,$AU$5:$AU$404),2),""))))</f>
        <v/>
      </c>
      <c r="L553" s="32">
        <f>IF($AD553="Z",ROUND(SUM($AV$5:$AV$404),2),IF($AD553="D",INDEX($AV$5:$AV$404,$AC553),IF($AD553="T",ROUND(SUMIF($X$5:$X$404,$AF553,$AV$5:$AV$404),2),IF($AD553="B",ROUND(SUMIF($AN$5:$AN$404,$AQ553,$AV$5:$AV$404),2),""))))</f>
        <v/>
      </c>
      <c r="M553" s="32">
        <f>IF($AD553="Z",ROUND(SUM($AJ$5:$AJ$704),2),IF($AD553="B",ROUND(SUMIF($AQ$5:$AQ$704,$AQ553,$AJ$5:$AJ$704),2),IF($AD553&lt;&gt;"T","",$AJ553)))</f>
        <v/>
      </c>
      <c r="N553" s="32">
        <f>IF(OR($AD553="D",$AD553="T",$AD553="B",$AD553="Z"),ROUND(N($K553)-N($L553)-N($M553),2),"")</f>
        <v/>
      </c>
      <c r="O553" s="32">
        <f>IF(OR($AD553="D",$AD553="T",$AD553="B",$AD553="Z"),IF(N($E553)=0,"",ROUND($F553/$E553,2)),"")</f>
        <v/>
      </c>
      <c r="AC553">
        <f>IFERROR(MATCH(549,$AB$5:$AB$404,1),"")</f>
        <v/>
      </c>
      <c r="AD553">
        <f>IF(549=$AI$1+1,"Z",IF($AC553="","",IF(INDEX($V$5:$V$404,$AC553)="","",IF(549&gt;INDEX($AB$5:$AB$404,$AC553)+INDEX($Z$5:$Z$404,$AC553)+INDEX($AA$5:$AA$404,$AC553)+INDEX($AO$5:$AO$404,$AC553),"",IF(549=INDEX($AB$5:$AB$404,$AC553)+INDEX($Z$5:$Z$404,$AC553),"D",IF(AND(INDEX($Z$5:$Z$404,$AC553)=1,549=INDEX($AB$5:$AB$404,$AC553)),"H",IF(AND(INDEX($AO$5:$AO$404,$AC553)=1,549=INDEX($AB$5:$AB$404,$AC553)+INDEX($Z$5:$Z$404,$AC553)+INDEX($AA$5:$AA$404,$AC553)+INDEX($AO$5:$AO$404,$AC553)),"B","T")))))))</f>
        <v/>
      </c>
      <c r="AF553">
        <f>IF(OR($AD553="",$AD553="Z",$AD553="B"),"",INDEX($X$5:$X$404,$AC553))</f>
        <v/>
      </c>
      <c r="AJ553">
        <f>IF($AD553&lt;&gt;"T",0,ROUND(SUMIF(oil!$B$4:$B$63,$AF553,oil!$AE$4:$AE$63),2))</f>
        <v/>
      </c>
      <c r="AQ553">
        <f>IF(OR($AD553="",$AD553="Z"),"",INDEX($AN$5:$AN$404,$AC553))</f>
        <v/>
      </c>
      <c r="AZ553">
        <f>IF(AND($AD553="T",$AQ553=1),N($AZ552)+1,N($AZ552))</f>
        <v/>
      </c>
    </row>
    <row r="554" ht="21" customHeight="1" s="66">
      <c r="A554" s="69">
        <f>IF($AD554="","",IF($AD554="Z","รวมจ่ายทั้งสิ้น",IF($AD554="H",INDEX($X$5:$X$404,$AC554),IF($AD554="T","รวม",IF($AD554="B",IFERROR(INDEX(อัตราค่าขนส่ง!$S$5:$S$14,MATCH(INDEX($AM$5:$AM$404,$AC554),อัตราค่าขนส่ง!$R$5:$R$14,0)),"รวมกลุ่ม "&amp;INDEX($AM$5:$AM$404,$AC554)),INDEX($AY$5:$AY$404,$AC554))))))</f>
        <v/>
      </c>
      <c r="B554" s="31">
        <f>IF($AD554&lt;&gt;"D","",INDEX($AW$5:$AW$404,$AC554))</f>
        <v/>
      </c>
      <c r="C554" s="68">
        <f>IF($AD554&lt;&gt;"D","",INDEX($AX$5:$AX$404,$AC554))</f>
        <v/>
      </c>
      <c r="D554" s="70">
        <f>IF($AD554&lt;&gt;"D","",INDEX($BA$5:$BA$404,$AC554))</f>
        <v/>
      </c>
      <c r="E554" s="31">
        <f>IF($AD554="Z",SUM($AR$5:$AR$404),IF($AD554="D",INDEX($AR$5:$AR$404,$AC554),IF($AD554="T",SUMIF($X$5:$X$404,$AF554,$AR$5:$AR$404),IF($AD554="B",SUMIF($AN$5:$AN$404,$AQ554,$AR$5:$AR$404),""))))</f>
        <v/>
      </c>
      <c r="F554" s="32">
        <f>IF($AD554="Z",ROUND(SUM($AS$5:$AS$404),2),IF($AD554="D",INDEX($AS$5:$AS$404,$AC554),IF($AD554="T",ROUND(SUMIF($X$5:$X$404,$AF554,$AS$5:$AS$404),2),IF($AD554="B",ROUND(SUMIF($AN$5:$AN$404,$AQ554,$AS$5:$AS$404),2),""))))</f>
        <v/>
      </c>
      <c r="G554" s="32">
        <f>IF($AD554&lt;&gt;"D","",INDEX($AT$5:$AT$404,$AC554))</f>
        <v/>
      </c>
      <c r="H554" s="32">
        <f>IF($AD554&lt;&gt;"D","",INDEX($BC$5:$BC$404,$AC554))</f>
        <v/>
      </c>
      <c r="I554" s="32">
        <f>IF($AD554&lt;&gt;"D","",INDEX($BD$5:$BD$404,$AC554))</f>
        <v/>
      </c>
      <c r="J554" s="46">
        <f>IF($AD554&lt;&gt;"D","",IF(N($B554)=0,"",ROUND($I554/$B554,4)))</f>
        <v/>
      </c>
      <c r="K554" s="32">
        <f>IF($AD554="Z",ROUND(SUM($AU$5:$AU$404),2),IF($AD554="D",INDEX($AU$5:$AU$404,$AC554),IF($AD554="T",ROUND(SUMIF($X$5:$X$404,$AF554,$AU$5:$AU$404),2),IF($AD554="B",ROUND(SUMIF($AN$5:$AN$404,$AQ554,$AU$5:$AU$404),2),""))))</f>
        <v/>
      </c>
      <c r="L554" s="32">
        <f>IF($AD554="Z",ROUND(SUM($AV$5:$AV$404),2),IF($AD554="D",INDEX($AV$5:$AV$404,$AC554),IF($AD554="T",ROUND(SUMIF($X$5:$X$404,$AF554,$AV$5:$AV$404),2),IF($AD554="B",ROUND(SUMIF($AN$5:$AN$404,$AQ554,$AV$5:$AV$404),2),""))))</f>
        <v/>
      </c>
      <c r="M554" s="32">
        <f>IF($AD554="Z",ROUND(SUM($AJ$5:$AJ$704),2),IF($AD554="B",ROUND(SUMIF($AQ$5:$AQ$704,$AQ554,$AJ$5:$AJ$704),2),IF($AD554&lt;&gt;"T","",$AJ554)))</f>
        <v/>
      </c>
      <c r="N554" s="32">
        <f>IF(OR($AD554="D",$AD554="T",$AD554="B",$AD554="Z"),ROUND(N($K554)-N($L554)-N($M554),2),"")</f>
        <v/>
      </c>
      <c r="O554" s="32">
        <f>IF(OR($AD554="D",$AD554="T",$AD554="B",$AD554="Z"),IF(N($E554)=0,"",ROUND($F554/$E554,2)),"")</f>
        <v/>
      </c>
      <c r="AC554">
        <f>IFERROR(MATCH(550,$AB$5:$AB$404,1),"")</f>
        <v/>
      </c>
      <c r="AD554">
        <f>IF(550=$AI$1+1,"Z",IF($AC554="","",IF(INDEX($V$5:$V$404,$AC554)="","",IF(550&gt;INDEX($AB$5:$AB$404,$AC554)+INDEX($Z$5:$Z$404,$AC554)+INDEX($AA$5:$AA$404,$AC554)+INDEX($AO$5:$AO$404,$AC554),"",IF(550=INDEX($AB$5:$AB$404,$AC554)+INDEX($Z$5:$Z$404,$AC554),"D",IF(AND(INDEX($Z$5:$Z$404,$AC554)=1,550=INDEX($AB$5:$AB$404,$AC554)),"H",IF(AND(INDEX($AO$5:$AO$404,$AC554)=1,550=INDEX($AB$5:$AB$404,$AC554)+INDEX($Z$5:$Z$404,$AC554)+INDEX($AA$5:$AA$404,$AC554)+INDEX($AO$5:$AO$404,$AC554)),"B","T")))))))</f>
        <v/>
      </c>
      <c r="AF554">
        <f>IF(OR($AD554="",$AD554="Z",$AD554="B"),"",INDEX($X$5:$X$404,$AC554))</f>
        <v/>
      </c>
      <c r="AJ554">
        <f>IF($AD554&lt;&gt;"T",0,ROUND(SUMIF(oil!$B$4:$B$63,$AF554,oil!$AE$4:$AE$63),2))</f>
        <v/>
      </c>
      <c r="AQ554">
        <f>IF(OR($AD554="",$AD554="Z"),"",INDEX($AN$5:$AN$404,$AC554))</f>
        <v/>
      </c>
      <c r="AZ554">
        <f>IF(AND($AD554="T",$AQ554=1),N($AZ553)+1,N($AZ553))</f>
        <v/>
      </c>
    </row>
    <row r="555" ht="21" customHeight="1" s="66">
      <c r="A555" s="69">
        <f>IF($AD555="","",IF($AD555="Z","รวมจ่ายทั้งสิ้น",IF($AD555="H",INDEX($X$5:$X$404,$AC555),IF($AD555="T","รวม",IF($AD555="B",IFERROR(INDEX(อัตราค่าขนส่ง!$S$5:$S$14,MATCH(INDEX($AM$5:$AM$404,$AC555),อัตราค่าขนส่ง!$R$5:$R$14,0)),"รวมกลุ่ม "&amp;INDEX($AM$5:$AM$404,$AC555)),INDEX($AY$5:$AY$404,$AC555))))))</f>
        <v/>
      </c>
      <c r="B555" s="31">
        <f>IF($AD555&lt;&gt;"D","",INDEX($AW$5:$AW$404,$AC555))</f>
        <v/>
      </c>
      <c r="C555" s="68">
        <f>IF($AD555&lt;&gt;"D","",INDEX($AX$5:$AX$404,$AC555))</f>
        <v/>
      </c>
      <c r="D555" s="70">
        <f>IF($AD555&lt;&gt;"D","",INDEX($BA$5:$BA$404,$AC555))</f>
        <v/>
      </c>
      <c r="E555" s="31">
        <f>IF($AD555="Z",SUM($AR$5:$AR$404),IF($AD555="D",INDEX($AR$5:$AR$404,$AC555),IF($AD555="T",SUMIF($X$5:$X$404,$AF555,$AR$5:$AR$404),IF($AD555="B",SUMIF($AN$5:$AN$404,$AQ555,$AR$5:$AR$404),""))))</f>
        <v/>
      </c>
      <c r="F555" s="32">
        <f>IF($AD555="Z",ROUND(SUM($AS$5:$AS$404),2),IF($AD555="D",INDEX($AS$5:$AS$404,$AC555),IF($AD555="T",ROUND(SUMIF($X$5:$X$404,$AF555,$AS$5:$AS$404),2),IF($AD555="B",ROUND(SUMIF($AN$5:$AN$404,$AQ555,$AS$5:$AS$404),2),""))))</f>
        <v/>
      </c>
      <c r="G555" s="32">
        <f>IF($AD555&lt;&gt;"D","",INDEX($AT$5:$AT$404,$AC555))</f>
        <v/>
      </c>
      <c r="H555" s="32">
        <f>IF($AD555&lt;&gt;"D","",INDEX($BC$5:$BC$404,$AC555))</f>
        <v/>
      </c>
      <c r="I555" s="32">
        <f>IF($AD555&lt;&gt;"D","",INDEX($BD$5:$BD$404,$AC555))</f>
        <v/>
      </c>
      <c r="J555" s="46">
        <f>IF($AD555&lt;&gt;"D","",IF(N($B555)=0,"",ROUND($I555/$B555,4)))</f>
        <v/>
      </c>
      <c r="K555" s="32">
        <f>IF($AD555="Z",ROUND(SUM($AU$5:$AU$404),2),IF($AD555="D",INDEX($AU$5:$AU$404,$AC555),IF($AD555="T",ROUND(SUMIF($X$5:$X$404,$AF555,$AU$5:$AU$404),2),IF($AD555="B",ROUND(SUMIF($AN$5:$AN$404,$AQ555,$AU$5:$AU$404),2),""))))</f>
        <v/>
      </c>
      <c r="L555" s="32">
        <f>IF($AD555="Z",ROUND(SUM($AV$5:$AV$404),2),IF($AD555="D",INDEX($AV$5:$AV$404,$AC555),IF($AD555="T",ROUND(SUMIF($X$5:$X$404,$AF555,$AV$5:$AV$404),2),IF($AD555="B",ROUND(SUMIF($AN$5:$AN$404,$AQ555,$AV$5:$AV$404),2),""))))</f>
        <v/>
      </c>
      <c r="M555" s="32">
        <f>IF($AD555="Z",ROUND(SUM($AJ$5:$AJ$704),2),IF($AD555="B",ROUND(SUMIF($AQ$5:$AQ$704,$AQ555,$AJ$5:$AJ$704),2),IF($AD555&lt;&gt;"T","",$AJ555)))</f>
        <v/>
      </c>
      <c r="N555" s="32">
        <f>IF(OR($AD555="D",$AD555="T",$AD555="B",$AD555="Z"),ROUND(N($K555)-N($L555)-N($M555),2),"")</f>
        <v/>
      </c>
      <c r="O555" s="32">
        <f>IF(OR($AD555="D",$AD555="T",$AD555="B",$AD555="Z"),IF(N($E555)=0,"",ROUND($F555/$E555,2)),"")</f>
        <v/>
      </c>
      <c r="AC555">
        <f>IFERROR(MATCH(551,$AB$5:$AB$404,1),"")</f>
        <v/>
      </c>
      <c r="AD555">
        <f>IF(551=$AI$1+1,"Z",IF($AC555="","",IF(INDEX($V$5:$V$404,$AC555)="","",IF(551&gt;INDEX($AB$5:$AB$404,$AC555)+INDEX($Z$5:$Z$404,$AC555)+INDEX($AA$5:$AA$404,$AC555)+INDEX($AO$5:$AO$404,$AC555),"",IF(551=INDEX($AB$5:$AB$404,$AC555)+INDEX($Z$5:$Z$404,$AC555),"D",IF(AND(INDEX($Z$5:$Z$404,$AC555)=1,551=INDEX($AB$5:$AB$404,$AC555)),"H",IF(AND(INDEX($AO$5:$AO$404,$AC555)=1,551=INDEX($AB$5:$AB$404,$AC555)+INDEX($Z$5:$Z$404,$AC555)+INDEX($AA$5:$AA$404,$AC555)+INDEX($AO$5:$AO$404,$AC555)),"B","T")))))))</f>
        <v/>
      </c>
      <c r="AF555">
        <f>IF(OR($AD555="",$AD555="Z",$AD555="B"),"",INDEX($X$5:$X$404,$AC555))</f>
        <v/>
      </c>
      <c r="AJ555">
        <f>IF($AD555&lt;&gt;"T",0,ROUND(SUMIF(oil!$B$4:$B$63,$AF555,oil!$AE$4:$AE$63),2))</f>
        <v/>
      </c>
      <c r="AQ555">
        <f>IF(OR($AD555="",$AD555="Z"),"",INDEX($AN$5:$AN$404,$AC555))</f>
        <v/>
      </c>
      <c r="AZ555">
        <f>IF(AND($AD555="T",$AQ555=1),N($AZ554)+1,N($AZ554))</f>
        <v/>
      </c>
    </row>
    <row r="556" ht="21" customHeight="1" s="66">
      <c r="A556" s="69">
        <f>IF($AD556="","",IF($AD556="Z","รวมจ่ายทั้งสิ้น",IF($AD556="H",INDEX($X$5:$X$404,$AC556),IF($AD556="T","รวม",IF($AD556="B",IFERROR(INDEX(อัตราค่าขนส่ง!$S$5:$S$14,MATCH(INDEX($AM$5:$AM$404,$AC556),อัตราค่าขนส่ง!$R$5:$R$14,0)),"รวมกลุ่ม "&amp;INDEX($AM$5:$AM$404,$AC556)),INDEX($AY$5:$AY$404,$AC556))))))</f>
        <v/>
      </c>
      <c r="B556" s="31">
        <f>IF($AD556&lt;&gt;"D","",INDEX($AW$5:$AW$404,$AC556))</f>
        <v/>
      </c>
      <c r="C556" s="68">
        <f>IF($AD556&lt;&gt;"D","",INDEX($AX$5:$AX$404,$AC556))</f>
        <v/>
      </c>
      <c r="D556" s="70">
        <f>IF($AD556&lt;&gt;"D","",INDEX($BA$5:$BA$404,$AC556))</f>
        <v/>
      </c>
      <c r="E556" s="31">
        <f>IF($AD556="Z",SUM($AR$5:$AR$404),IF($AD556="D",INDEX($AR$5:$AR$404,$AC556),IF($AD556="T",SUMIF($X$5:$X$404,$AF556,$AR$5:$AR$404),IF($AD556="B",SUMIF($AN$5:$AN$404,$AQ556,$AR$5:$AR$404),""))))</f>
        <v/>
      </c>
      <c r="F556" s="32">
        <f>IF($AD556="Z",ROUND(SUM($AS$5:$AS$404),2),IF($AD556="D",INDEX($AS$5:$AS$404,$AC556),IF($AD556="T",ROUND(SUMIF($X$5:$X$404,$AF556,$AS$5:$AS$404),2),IF($AD556="B",ROUND(SUMIF($AN$5:$AN$404,$AQ556,$AS$5:$AS$404),2),""))))</f>
        <v/>
      </c>
      <c r="G556" s="32">
        <f>IF($AD556&lt;&gt;"D","",INDEX($AT$5:$AT$404,$AC556))</f>
        <v/>
      </c>
      <c r="H556" s="32">
        <f>IF($AD556&lt;&gt;"D","",INDEX($BC$5:$BC$404,$AC556))</f>
        <v/>
      </c>
      <c r="I556" s="32">
        <f>IF($AD556&lt;&gt;"D","",INDEX($BD$5:$BD$404,$AC556))</f>
        <v/>
      </c>
      <c r="J556" s="46">
        <f>IF($AD556&lt;&gt;"D","",IF(N($B556)=0,"",ROUND($I556/$B556,4)))</f>
        <v/>
      </c>
      <c r="K556" s="32">
        <f>IF($AD556="Z",ROUND(SUM($AU$5:$AU$404),2),IF($AD556="D",INDEX($AU$5:$AU$404,$AC556),IF($AD556="T",ROUND(SUMIF($X$5:$X$404,$AF556,$AU$5:$AU$404),2),IF($AD556="B",ROUND(SUMIF($AN$5:$AN$404,$AQ556,$AU$5:$AU$404),2),""))))</f>
        <v/>
      </c>
      <c r="L556" s="32">
        <f>IF($AD556="Z",ROUND(SUM($AV$5:$AV$404),2),IF($AD556="D",INDEX($AV$5:$AV$404,$AC556),IF($AD556="T",ROUND(SUMIF($X$5:$X$404,$AF556,$AV$5:$AV$404),2),IF($AD556="B",ROUND(SUMIF($AN$5:$AN$404,$AQ556,$AV$5:$AV$404),2),""))))</f>
        <v/>
      </c>
      <c r="M556" s="32">
        <f>IF($AD556="Z",ROUND(SUM($AJ$5:$AJ$704),2),IF($AD556="B",ROUND(SUMIF($AQ$5:$AQ$704,$AQ556,$AJ$5:$AJ$704),2),IF($AD556&lt;&gt;"T","",$AJ556)))</f>
        <v/>
      </c>
      <c r="N556" s="32">
        <f>IF(OR($AD556="D",$AD556="T",$AD556="B",$AD556="Z"),ROUND(N($K556)-N($L556)-N($M556),2),"")</f>
        <v/>
      </c>
      <c r="O556" s="32">
        <f>IF(OR($AD556="D",$AD556="T",$AD556="B",$AD556="Z"),IF(N($E556)=0,"",ROUND($F556/$E556,2)),"")</f>
        <v/>
      </c>
      <c r="AC556">
        <f>IFERROR(MATCH(552,$AB$5:$AB$404,1),"")</f>
        <v/>
      </c>
      <c r="AD556">
        <f>IF(552=$AI$1+1,"Z",IF($AC556="","",IF(INDEX($V$5:$V$404,$AC556)="","",IF(552&gt;INDEX($AB$5:$AB$404,$AC556)+INDEX($Z$5:$Z$404,$AC556)+INDEX($AA$5:$AA$404,$AC556)+INDEX($AO$5:$AO$404,$AC556),"",IF(552=INDEX($AB$5:$AB$404,$AC556)+INDEX($Z$5:$Z$404,$AC556),"D",IF(AND(INDEX($Z$5:$Z$404,$AC556)=1,552=INDEX($AB$5:$AB$404,$AC556)),"H",IF(AND(INDEX($AO$5:$AO$404,$AC556)=1,552=INDEX($AB$5:$AB$404,$AC556)+INDEX($Z$5:$Z$404,$AC556)+INDEX($AA$5:$AA$404,$AC556)+INDEX($AO$5:$AO$404,$AC556)),"B","T")))))))</f>
        <v/>
      </c>
      <c r="AF556">
        <f>IF(OR($AD556="",$AD556="Z",$AD556="B"),"",INDEX($X$5:$X$404,$AC556))</f>
        <v/>
      </c>
      <c r="AJ556">
        <f>IF($AD556&lt;&gt;"T",0,ROUND(SUMIF(oil!$B$4:$B$63,$AF556,oil!$AE$4:$AE$63),2))</f>
        <v/>
      </c>
      <c r="AQ556">
        <f>IF(OR($AD556="",$AD556="Z"),"",INDEX($AN$5:$AN$404,$AC556))</f>
        <v/>
      </c>
      <c r="AZ556">
        <f>IF(AND($AD556="T",$AQ556=1),N($AZ555)+1,N($AZ555))</f>
        <v/>
      </c>
    </row>
    <row r="557" ht="21" customHeight="1" s="66">
      <c r="A557" s="69">
        <f>IF($AD557="","",IF($AD557="Z","รวมจ่ายทั้งสิ้น",IF($AD557="H",INDEX($X$5:$X$404,$AC557),IF($AD557="T","รวม",IF($AD557="B",IFERROR(INDEX(อัตราค่าขนส่ง!$S$5:$S$14,MATCH(INDEX($AM$5:$AM$404,$AC557),อัตราค่าขนส่ง!$R$5:$R$14,0)),"รวมกลุ่ม "&amp;INDEX($AM$5:$AM$404,$AC557)),INDEX($AY$5:$AY$404,$AC557))))))</f>
        <v/>
      </c>
      <c r="B557" s="31">
        <f>IF($AD557&lt;&gt;"D","",INDEX($AW$5:$AW$404,$AC557))</f>
        <v/>
      </c>
      <c r="C557" s="68">
        <f>IF($AD557&lt;&gt;"D","",INDEX($AX$5:$AX$404,$AC557))</f>
        <v/>
      </c>
      <c r="D557" s="70">
        <f>IF($AD557&lt;&gt;"D","",INDEX($BA$5:$BA$404,$AC557))</f>
        <v/>
      </c>
      <c r="E557" s="31">
        <f>IF($AD557="Z",SUM($AR$5:$AR$404),IF($AD557="D",INDEX($AR$5:$AR$404,$AC557),IF($AD557="T",SUMIF($X$5:$X$404,$AF557,$AR$5:$AR$404),IF($AD557="B",SUMIF($AN$5:$AN$404,$AQ557,$AR$5:$AR$404),""))))</f>
        <v/>
      </c>
      <c r="F557" s="32">
        <f>IF($AD557="Z",ROUND(SUM($AS$5:$AS$404),2),IF($AD557="D",INDEX($AS$5:$AS$404,$AC557),IF($AD557="T",ROUND(SUMIF($X$5:$X$404,$AF557,$AS$5:$AS$404),2),IF($AD557="B",ROUND(SUMIF($AN$5:$AN$404,$AQ557,$AS$5:$AS$404),2),""))))</f>
        <v/>
      </c>
      <c r="G557" s="32">
        <f>IF($AD557&lt;&gt;"D","",INDEX($AT$5:$AT$404,$AC557))</f>
        <v/>
      </c>
      <c r="H557" s="32">
        <f>IF($AD557&lt;&gt;"D","",INDEX($BC$5:$BC$404,$AC557))</f>
        <v/>
      </c>
      <c r="I557" s="32">
        <f>IF($AD557&lt;&gt;"D","",INDEX($BD$5:$BD$404,$AC557))</f>
        <v/>
      </c>
      <c r="J557" s="46">
        <f>IF($AD557&lt;&gt;"D","",IF(N($B557)=0,"",ROUND($I557/$B557,4)))</f>
        <v/>
      </c>
      <c r="K557" s="32">
        <f>IF($AD557="Z",ROUND(SUM($AU$5:$AU$404),2),IF($AD557="D",INDEX($AU$5:$AU$404,$AC557),IF($AD557="T",ROUND(SUMIF($X$5:$X$404,$AF557,$AU$5:$AU$404),2),IF($AD557="B",ROUND(SUMIF($AN$5:$AN$404,$AQ557,$AU$5:$AU$404),2),""))))</f>
        <v/>
      </c>
      <c r="L557" s="32">
        <f>IF($AD557="Z",ROUND(SUM($AV$5:$AV$404),2),IF($AD557="D",INDEX($AV$5:$AV$404,$AC557),IF($AD557="T",ROUND(SUMIF($X$5:$X$404,$AF557,$AV$5:$AV$404),2),IF($AD557="B",ROUND(SUMIF($AN$5:$AN$404,$AQ557,$AV$5:$AV$404),2),""))))</f>
        <v/>
      </c>
      <c r="M557" s="32">
        <f>IF($AD557="Z",ROUND(SUM($AJ$5:$AJ$704),2),IF($AD557="B",ROUND(SUMIF($AQ$5:$AQ$704,$AQ557,$AJ$5:$AJ$704),2),IF($AD557&lt;&gt;"T","",$AJ557)))</f>
        <v/>
      </c>
      <c r="N557" s="32">
        <f>IF(OR($AD557="D",$AD557="T",$AD557="B",$AD557="Z"),ROUND(N($K557)-N($L557)-N($M557),2),"")</f>
        <v/>
      </c>
      <c r="O557" s="32">
        <f>IF(OR($AD557="D",$AD557="T",$AD557="B",$AD557="Z"),IF(N($E557)=0,"",ROUND($F557/$E557,2)),"")</f>
        <v/>
      </c>
      <c r="AC557">
        <f>IFERROR(MATCH(553,$AB$5:$AB$404,1),"")</f>
        <v/>
      </c>
      <c r="AD557">
        <f>IF(553=$AI$1+1,"Z",IF($AC557="","",IF(INDEX($V$5:$V$404,$AC557)="","",IF(553&gt;INDEX($AB$5:$AB$404,$AC557)+INDEX($Z$5:$Z$404,$AC557)+INDEX($AA$5:$AA$404,$AC557)+INDEX($AO$5:$AO$404,$AC557),"",IF(553=INDEX($AB$5:$AB$404,$AC557)+INDEX($Z$5:$Z$404,$AC557),"D",IF(AND(INDEX($Z$5:$Z$404,$AC557)=1,553=INDEX($AB$5:$AB$404,$AC557)),"H",IF(AND(INDEX($AO$5:$AO$404,$AC557)=1,553=INDEX($AB$5:$AB$404,$AC557)+INDEX($Z$5:$Z$404,$AC557)+INDEX($AA$5:$AA$404,$AC557)+INDEX($AO$5:$AO$404,$AC557)),"B","T")))))))</f>
        <v/>
      </c>
      <c r="AF557">
        <f>IF(OR($AD557="",$AD557="Z",$AD557="B"),"",INDEX($X$5:$X$404,$AC557))</f>
        <v/>
      </c>
      <c r="AJ557">
        <f>IF($AD557&lt;&gt;"T",0,ROUND(SUMIF(oil!$B$4:$B$63,$AF557,oil!$AE$4:$AE$63),2))</f>
        <v/>
      </c>
      <c r="AQ557">
        <f>IF(OR($AD557="",$AD557="Z"),"",INDEX($AN$5:$AN$404,$AC557))</f>
        <v/>
      </c>
      <c r="AZ557">
        <f>IF(AND($AD557="T",$AQ557=1),N($AZ556)+1,N($AZ556))</f>
        <v/>
      </c>
    </row>
    <row r="558" ht="21" customHeight="1" s="66">
      <c r="A558" s="69">
        <f>IF($AD558="","",IF($AD558="Z","รวมจ่ายทั้งสิ้น",IF($AD558="H",INDEX($X$5:$X$404,$AC558),IF($AD558="T","รวม",IF($AD558="B",IFERROR(INDEX(อัตราค่าขนส่ง!$S$5:$S$14,MATCH(INDEX($AM$5:$AM$404,$AC558),อัตราค่าขนส่ง!$R$5:$R$14,0)),"รวมกลุ่ม "&amp;INDEX($AM$5:$AM$404,$AC558)),INDEX($AY$5:$AY$404,$AC558))))))</f>
        <v/>
      </c>
      <c r="B558" s="31">
        <f>IF($AD558&lt;&gt;"D","",INDEX($AW$5:$AW$404,$AC558))</f>
        <v/>
      </c>
      <c r="C558" s="68">
        <f>IF($AD558&lt;&gt;"D","",INDEX($AX$5:$AX$404,$AC558))</f>
        <v/>
      </c>
      <c r="D558" s="70">
        <f>IF($AD558&lt;&gt;"D","",INDEX($BA$5:$BA$404,$AC558))</f>
        <v/>
      </c>
      <c r="E558" s="31">
        <f>IF($AD558="Z",SUM($AR$5:$AR$404),IF($AD558="D",INDEX($AR$5:$AR$404,$AC558),IF($AD558="T",SUMIF($X$5:$X$404,$AF558,$AR$5:$AR$404),IF($AD558="B",SUMIF($AN$5:$AN$404,$AQ558,$AR$5:$AR$404),""))))</f>
        <v/>
      </c>
      <c r="F558" s="32">
        <f>IF($AD558="Z",ROUND(SUM($AS$5:$AS$404),2),IF($AD558="D",INDEX($AS$5:$AS$404,$AC558),IF($AD558="T",ROUND(SUMIF($X$5:$X$404,$AF558,$AS$5:$AS$404),2),IF($AD558="B",ROUND(SUMIF($AN$5:$AN$404,$AQ558,$AS$5:$AS$404),2),""))))</f>
        <v/>
      </c>
      <c r="G558" s="32">
        <f>IF($AD558&lt;&gt;"D","",INDEX($AT$5:$AT$404,$AC558))</f>
        <v/>
      </c>
      <c r="H558" s="32">
        <f>IF($AD558&lt;&gt;"D","",INDEX($BC$5:$BC$404,$AC558))</f>
        <v/>
      </c>
      <c r="I558" s="32">
        <f>IF($AD558&lt;&gt;"D","",INDEX($BD$5:$BD$404,$AC558))</f>
        <v/>
      </c>
      <c r="J558" s="46">
        <f>IF($AD558&lt;&gt;"D","",IF(N($B558)=0,"",ROUND($I558/$B558,4)))</f>
        <v/>
      </c>
      <c r="K558" s="32">
        <f>IF($AD558="Z",ROUND(SUM($AU$5:$AU$404),2),IF($AD558="D",INDEX($AU$5:$AU$404,$AC558),IF($AD558="T",ROUND(SUMIF($X$5:$X$404,$AF558,$AU$5:$AU$404),2),IF($AD558="B",ROUND(SUMIF($AN$5:$AN$404,$AQ558,$AU$5:$AU$404),2),""))))</f>
        <v/>
      </c>
      <c r="L558" s="32">
        <f>IF($AD558="Z",ROUND(SUM($AV$5:$AV$404),2),IF($AD558="D",INDEX($AV$5:$AV$404,$AC558),IF($AD558="T",ROUND(SUMIF($X$5:$X$404,$AF558,$AV$5:$AV$404),2),IF($AD558="B",ROUND(SUMIF($AN$5:$AN$404,$AQ558,$AV$5:$AV$404),2),""))))</f>
        <v/>
      </c>
      <c r="M558" s="32">
        <f>IF($AD558="Z",ROUND(SUM($AJ$5:$AJ$704),2),IF($AD558="B",ROUND(SUMIF($AQ$5:$AQ$704,$AQ558,$AJ$5:$AJ$704),2),IF($AD558&lt;&gt;"T","",$AJ558)))</f>
        <v/>
      </c>
      <c r="N558" s="32">
        <f>IF(OR($AD558="D",$AD558="T",$AD558="B",$AD558="Z"),ROUND(N($K558)-N($L558)-N($M558),2),"")</f>
        <v/>
      </c>
      <c r="O558" s="32">
        <f>IF(OR($AD558="D",$AD558="T",$AD558="B",$AD558="Z"),IF(N($E558)=0,"",ROUND($F558/$E558,2)),"")</f>
        <v/>
      </c>
      <c r="AC558">
        <f>IFERROR(MATCH(554,$AB$5:$AB$404,1),"")</f>
        <v/>
      </c>
      <c r="AD558">
        <f>IF(554=$AI$1+1,"Z",IF($AC558="","",IF(INDEX($V$5:$V$404,$AC558)="","",IF(554&gt;INDEX($AB$5:$AB$404,$AC558)+INDEX($Z$5:$Z$404,$AC558)+INDEX($AA$5:$AA$404,$AC558)+INDEX($AO$5:$AO$404,$AC558),"",IF(554=INDEX($AB$5:$AB$404,$AC558)+INDEX($Z$5:$Z$404,$AC558),"D",IF(AND(INDEX($Z$5:$Z$404,$AC558)=1,554=INDEX($AB$5:$AB$404,$AC558)),"H",IF(AND(INDEX($AO$5:$AO$404,$AC558)=1,554=INDEX($AB$5:$AB$404,$AC558)+INDEX($Z$5:$Z$404,$AC558)+INDEX($AA$5:$AA$404,$AC558)+INDEX($AO$5:$AO$404,$AC558)),"B","T")))))))</f>
        <v/>
      </c>
      <c r="AF558">
        <f>IF(OR($AD558="",$AD558="Z",$AD558="B"),"",INDEX($X$5:$X$404,$AC558))</f>
        <v/>
      </c>
      <c r="AJ558">
        <f>IF($AD558&lt;&gt;"T",0,ROUND(SUMIF(oil!$B$4:$B$63,$AF558,oil!$AE$4:$AE$63),2))</f>
        <v/>
      </c>
      <c r="AQ558">
        <f>IF(OR($AD558="",$AD558="Z"),"",INDEX($AN$5:$AN$404,$AC558))</f>
        <v/>
      </c>
      <c r="AZ558">
        <f>IF(AND($AD558="T",$AQ558=1),N($AZ557)+1,N($AZ557))</f>
        <v/>
      </c>
    </row>
    <row r="559" ht="21" customHeight="1" s="66">
      <c r="A559" s="69">
        <f>IF($AD559="","",IF($AD559="Z","รวมจ่ายทั้งสิ้น",IF($AD559="H",INDEX($X$5:$X$404,$AC559),IF($AD559="T","รวม",IF($AD559="B",IFERROR(INDEX(อัตราค่าขนส่ง!$S$5:$S$14,MATCH(INDEX($AM$5:$AM$404,$AC559),อัตราค่าขนส่ง!$R$5:$R$14,0)),"รวมกลุ่ม "&amp;INDEX($AM$5:$AM$404,$AC559)),INDEX($AY$5:$AY$404,$AC559))))))</f>
        <v/>
      </c>
      <c r="B559" s="31">
        <f>IF($AD559&lt;&gt;"D","",INDEX($AW$5:$AW$404,$AC559))</f>
        <v/>
      </c>
      <c r="C559" s="68">
        <f>IF($AD559&lt;&gt;"D","",INDEX($AX$5:$AX$404,$AC559))</f>
        <v/>
      </c>
      <c r="D559" s="70">
        <f>IF($AD559&lt;&gt;"D","",INDEX($BA$5:$BA$404,$AC559))</f>
        <v/>
      </c>
      <c r="E559" s="31">
        <f>IF($AD559="Z",SUM($AR$5:$AR$404),IF($AD559="D",INDEX($AR$5:$AR$404,$AC559),IF($AD559="T",SUMIF($X$5:$X$404,$AF559,$AR$5:$AR$404),IF($AD559="B",SUMIF($AN$5:$AN$404,$AQ559,$AR$5:$AR$404),""))))</f>
        <v/>
      </c>
      <c r="F559" s="32">
        <f>IF($AD559="Z",ROUND(SUM($AS$5:$AS$404),2),IF($AD559="D",INDEX($AS$5:$AS$404,$AC559),IF($AD559="T",ROUND(SUMIF($X$5:$X$404,$AF559,$AS$5:$AS$404),2),IF($AD559="B",ROUND(SUMIF($AN$5:$AN$404,$AQ559,$AS$5:$AS$404),2),""))))</f>
        <v/>
      </c>
      <c r="G559" s="32">
        <f>IF($AD559&lt;&gt;"D","",INDEX($AT$5:$AT$404,$AC559))</f>
        <v/>
      </c>
      <c r="H559" s="32">
        <f>IF($AD559&lt;&gt;"D","",INDEX($BC$5:$BC$404,$AC559))</f>
        <v/>
      </c>
      <c r="I559" s="32">
        <f>IF($AD559&lt;&gt;"D","",INDEX($BD$5:$BD$404,$AC559))</f>
        <v/>
      </c>
      <c r="J559" s="46">
        <f>IF($AD559&lt;&gt;"D","",IF(N($B559)=0,"",ROUND($I559/$B559,4)))</f>
        <v/>
      </c>
      <c r="K559" s="32">
        <f>IF($AD559="Z",ROUND(SUM($AU$5:$AU$404),2),IF($AD559="D",INDEX($AU$5:$AU$404,$AC559),IF($AD559="T",ROUND(SUMIF($X$5:$X$404,$AF559,$AU$5:$AU$404),2),IF($AD559="B",ROUND(SUMIF($AN$5:$AN$404,$AQ559,$AU$5:$AU$404),2),""))))</f>
        <v/>
      </c>
      <c r="L559" s="32">
        <f>IF($AD559="Z",ROUND(SUM($AV$5:$AV$404),2),IF($AD559="D",INDEX($AV$5:$AV$404,$AC559),IF($AD559="T",ROUND(SUMIF($X$5:$X$404,$AF559,$AV$5:$AV$404),2),IF($AD559="B",ROUND(SUMIF($AN$5:$AN$404,$AQ559,$AV$5:$AV$404),2),""))))</f>
        <v/>
      </c>
      <c r="M559" s="32">
        <f>IF($AD559="Z",ROUND(SUM($AJ$5:$AJ$704),2),IF($AD559="B",ROUND(SUMIF($AQ$5:$AQ$704,$AQ559,$AJ$5:$AJ$704),2),IF($AD559&lt;&gt;"T","",$AJ559)))</f>
        <v/>
      </c>
      <c r="N559" s="32">
        <f>IF(OR($AD559="D",$AD559="T",$AD559="B",$AD559="Z"),ROUND(N($K559)-N($L559)-N($M559),2),"")</f>
        <v/>
      </c>
      <c r="O559" s="32">
        <f>IF(OR($AD559="D",$AD559="T",$AD559="B",$AD559="Z"),IF(N($E559)=0,"",ROUND($F559/$E559,2)),"")</f>
        <v/>
      </c>
      <c r="AC559">
        <f>IFERROR(MATCH(555,$AB$5:$AB$404,1),"")</f>
        <v/>
      </c>
      <c r="AD559">
        <f>IF(555=$AI$1+1,"Z",IF($AC559="","",IF(INDEX($V$5:$V$404,$AC559)="","",IF(555&gt;INDEX($AB$5:$AB$404,$AC559)+INDEX($Z$5:$Z$404,$AC559)+INDEX($AA$5:$AA$404,$AC559)+INDEX($AO$5:$AO$404,$AC559),"",IF(555=INDEX($AB$5:$AB$404,$AC559)+INDEX($Z$5:$Z$404,$AC559),"D",IF(AND(INDEX($Z$5:$Z$404,$AC559)=1,555=INDEX($AB$5:$AB$404,$AC559)),"H",IF(AND(INDEX($AO$5:$AO$404,$AC559)=1,555=INDEX($AB$5:$AB$404,$AC559)+INDEX($Z$5:$Z$404,$AC559)+INDEX($AA$5:$AA$404,$AC559)+INDEX($AO$5:$AO$404,$AC559)),"B","T")))))))</f>
        <v/>
      </c>
      <c r="AF559">
        <f>IF(OR($AD559="",$AD559="Z",$AD559="B"),"",INDEX($X$5:$X$404,$AC559))</f>
        <v/>
      </c>
      <c r="AJ559">
        <f>IF($AD559&lt;&gt;"T",0,ROUND(SUMIF(oil!$B$4:$B$63,$AF559,oil!$AE$4:$AE$63),2))</f>
        <v/>
      </c>
      <c r="AQ559">
        <f>IF(OR($AD559="",$AD559="Z"),"",INDEX($AN$5:$AN$404,$AC559))</f>
        <v/>
      </c>
      <c r="AZ559">
        <f>IF(AND($AD559="T",$AQ559=1),N($AZ558)+1,N($AZ558))</f>
        <v/>
      </c>
    </row>
    <row r="560" ht="21" customHeight="1" s="66">
      <c r="A560" s="69">
        <f>IF($AD560="","",IF($AD560="Z","รวมจ่ายทั้งสิ้น",IF($AD560="H",INDEX($X$5:$X$404,$AC560),IF($AD560="T","รวม",IF($AD560="B",IFERROR(INDEX(อัตราค่าขนส่ง!$S$5:$S$14,MATCH(INDEX($AM$5:$AM$404,$AC560),อัตราค่าขนส่ง!$R$5:$R$14,0)),"รวมกลุ่ม "&amp;INDEX($AM$5:$AM$404,$AC560)),INDEX($AY$5:$AY$404,$AC560))))))</f>
        <v/>
      </c>
      <c r="B560" s="31">
        <f>IF($AD560&lt;&gt;"D","",INDEX($AW$5:$AW$404,$AC560))</f>
        <v/>
      </c>
      <c r="C560" s="68">
        <f>IF($AD560&lt;&gt;"D","",INDEX($AX$5:$AX$404,$AC560))</f>
        <v/>
      </c>
      <c r="D560" s="70">
        <f>IF($AD560&lt;&gt;"D","",INDEX($BA$5:$BA$404,$AC560))</f>
        <v/>
      </c>
      <c r="E560" s="31">
        <f>IF($AD560="Z",SUM($AR$5:$AR$404),IF($AD560="D",INDEX($AR$5:$AR$404,$AC560),IF($AD560="T",SUMIF($X$5:$X$404,$AF560,$AR$5:$AR$404),IF($AD560="B",SUMIF($AN$5:$AN$404,$AQ560,$AR$5:$AR$404),""))))</f>
        <v/>
      </c>
      <c r="F560" s="32">
        <f>IF($AD560="Z",ROUND(SUM($AS$5:$AS$404),2),IF($AD560="D",INDEX($AS$5:$AS$404,$AC560),IF($AD560="T",ROUND(SUMIF($X$5:$X$404,$AF560,$AS$5:$AS$404),2),IF($AD560="B",ROUND(SUMIF($AN$5:$AN$404,$AQ560,$AS$5:$AS$404),2),""))))</f>
        <v/>
      </c>
      <c r="G560" s="32">
        <f>IF($AD560&lt;&gt;"D","",INDEX($AT$5:$AT$404,$AC560))</f>
        <v/>
      </c>
      <c r="H560" s="32">
        <f>IF($AD560&lt;&gt;"D","",INDEX($BC$5:$BC$404,$AC560))</f>
        <v/>
      </c>
      <c r="I560" s="32">
        <f>IF($AD560&lt;&gt;"D","",INDEX($BD$5:$BD$404,$AC560))</f>
        <v/>
      </c>
      <c r="J560" s="46">
        <f>IF($AD560&lt;&gt;"D","",IF(N($B560)=0,"",ROUND($I560/$B560,4)))</f>
        <v/>
      </c>
      <c r="K560" s="32">
        <f>IF($AD560="Z",ROUND(SUM($AU$5:$AU$404),2),IF($AD560="D",INDEX($AU$5:$AU$404,$AC560),IF($AD560="T",ROUND(SUMIF($X$5:$X$404,$AF560,$AU$5:$AU$404),2),IF($AD560="B",ROUND(SUMIF($AN$5:$AN$404,$AQ560,$AU$5:$AU$404),2),""))))</f>
        <v/>
      </c>
      <c r="L560" s="32">
        <f>IF($AD560="Z",ROUND(SUM($AV$5:$AV$404),2),IF($AD560="D",INDEX($AV$5:$AV$404,$AC560),IF($AD560="T",ROUND(SUMIF($X$5:$X$404,$AF560,$AV$5:$AV$404),2),IF($AD560="B",ROUND(SUMIF($AN$5:$AN$404,$AQ560,$AV$5:$AV$404),2),""))))</f>
        <v/>
      </c>
      <c r="M560" s="32">
        <f>IF($AD560="Z",ROUND(SUM($AJ$5:$AJ$704),2),IF($AD560="B",ROUND(SUMIF($AQ$5:$AQ$704,$AQ560,$AJ$5:$AJ$704),2),IF($AD560&lt;&gt;"T","",$AJ560)))</f>
        <v/>
      </c>
      <c r="N560" s="32">
        <f>IF(OR($AD560="D",$AD560="T",$AD560="B",$AD560="Z"),ROUND(N($K560)-N($L560)-N($M560),2),"")</f>
        <v/>
      </c>
      <c r="O560" s="32">
        <f>IF(OR($AD560="D",$AD560="T",$AD560="B",$AD560="Z"),IF(N($E560)=0,"",ROUND($F560/$E560,2)),"")</f>
        <v/>
      </c>
      <c r="AC560">
        <f>IFERROR(MATCH(556,$AB$5:$AB$404,1),"")</f>
        <v/>
      </c>
      <c r="AD560">
        <f>IF(556=$AI$1+1,"Z",IF($AC560="","",IF(INDEX($V$5:$V$404,$AC560)="","",IF(556&gt;INDEX($AB$5:$AB$404,$AC560)+INDEX($Z$5:$Z$404,$AC560)+INDEX($AA$5:$AA$404,$AC560)+INDEX($AO$5:$AO$404,$AC560),"",IF(556=INDEX($AB$5:$AB$404,$AC560)+INDEX($Z$5:$Z$404,$AC560),"D",IF(AND(INDEX($Z$5:$Z$404,$AC560)=1,556=INDEX($AB$5:$AB$404,$AC560)),"H",IF(AND(INDEX($AO$5:$AO$404,$AC560)=1,556=INDEX($AB$5:$AB$404,$AC560)+INDEX($Z$5:$Z$404,$AC560)+INDEX($AA$5:$AA$404,$AC560)+INDEX($AO$5:$AO$404,$AC560)),"B","T")))))))</f>
        <v/>
      </c>
      <c r="AF560">
        <f>IF(OR($AD560="",$AD560="Z",$AD560="B"),"",INDEX($X$5:$X$404,$AC560))</f>
        <v/>
      </c>
      <c r="AJ560">
        <f>IF($AD560&lt;&gt;"T",0,ROUND(SUMIF(oil!$B$4:$B$63,$AF560,oil!$AE$4:$AE$63),2))</f>
        <v/>
      </c>
      <c r="AQ560">
        <f>IF(OR($AD560="",$AD560="Z"),"",INDEX($AN$5:$AN$404,$AC560))</f>
        <v/>
      </c>
      <c r="AZ560">
        <f>IF(AND($AD560="T",$AQ560=1),N($AZ559)+1,N($AZ559))</f>
        <v/>
      </c>
    </row>
    <row r="561" ht="21" customHeight="1" s="66">
      <c r="A561" s="69">
        <f>IF($AD561="","",IF($AD561="Z","รวมจ่ายทั้งสิ้น",IF($AD561="H",INDEX($X$5:$X$404,$AC561),IF($AD561="T","รวม",IF($AD561="B",IFERROR(INDEX(อัตราค่าขนส่ง!$S$5:$S$14,MATCH(INDEX($AM$5:$AM$404,$AC561),อัตราค่าขนส่ง!$R$5:$R$14,0)),"รวมกลุ่ม "&amp;INDEX($AM$5:$AM$404,$AC561)),INDEX($AY$5:$AY$404,$AC561))))))</f>
        <v/>
      </c>
      <c r="B561" s="31">
        <f>IF($AD561&lt;&gt;"D","",INDEX($AW$5:$AW$404,$AC561))</f>
        <v/>
      </c>
      <c r="C561" s="68">
        <f>IF($AD561&lt;&gt;"D","",INDEX($AX$5:$AX$404,$AC561))</f>
        <v/>
      </c>
      <c r="D561" s="70">
        <f>IF($AD561&lt;&gt;"D","",INDEX($BA$5:$BA$404,$AC561))</f>
        <v/>
      </c>
      <c r="E561" s="31">
        <f>IF($AD561="Z",SUM($AR$5:$AR$404),IF($AD561="D",INDEX($AR$5:$AR$404,$AC561),IF($AD561="T",SUMIF($X$5:$X$404,$AF561,$AR$5:$AR$404),IF($AD561="B",SUMIF($AN$5:$AN$404,$AQ561,$AR$5:$AR$404),""))))</f>
        <v/>
      </c>
      <c r="F561" s="32">
        <f>IF($AD561="Z",ROUND(SUM($AS$5:$AS$404),2),IF($AD561="D",INDEX($AS$5:$AS$404,$AC561),IF($AD561="T",ROUND(SUMIF($X$5:$X$404,$AF561,$AS$5:$AS$404),2),IF($AD561="B",ROUND(SUMIF($AN$5:$AN$404,$AQ561,$AS$5:$AS$404),2),""))))</f>
        <v/>
      </c>
      <c r="G561" s="32">
        <f>IF($AD561&lt;&gt;"D","",INDEX($AT$5:$AT$404,$AC561))</f>
        <v/>
      </c>
      <c r="H561" s="32">
        <f>IF($AD561&lt;&gt;"D","",INDEX($BC$5:$BC$404,$AC561))</f>
        <v/>
      </c>
      <c r="I561" s="32">
        <f>IF($AD561&lt;&gt;"D","",INDEX($BD$5:$BD$404,$AC561))</f>
        <v/>
      </c>
      <c r="J561" s="46">
        <f>IF($AD561&lt;&gt;"D","",IF(N($B561)=0,"",ROUND($I561/$B561,4)))</f>
        <v/>
      </c>
      <c r="K561" s="32">
        <f>IF($AD561="Z",ROUND(SUM($AU$5:$AU$404),2),IF($AD561="D",INDEX($AU$5:$AU$404,$AC561),IF($AD561="T",ROUND(SUMIF($X$5:$X$404,$AF561,$AU$5:$AU$404),2),IF($AD561="B",ROUND(SUMIF($AN$5:$AN$404,$AQ561,$AU$5:$AU$404),2),""))))</f>
        <v/>
      </c>
      <c r="L561" s="32">
        <f>IF($AD561="Z",ROUND(SUM($AV$5:$AV$404),2),IF($AD561="D",INDEX($AV$5:$AV$404,$AC561),IF($AD561="T",ROUND(SUMIF($X$5:$X$404,$AF561,$AV$5:$AV$404),2),IF($AD561="B",ROUND(SUMIF($AN$5:$AN$404,$AQ561,$AV$5:$AV$404),2),""))))</f>
        <v/>
      </c>
      <c r="M561" s="32">
        <f>IF($AD561="Z",ROUND(SUM($AJ$5:$AJ$704),2),IF($AD561="B",ROUND(SUMIF($AQ$5:$AQ$704,$AQ561,$AJ$5:$AJ$704),2),IF($AD561&lt;&gt;"T","",$AJ561)))</f>
        <v/>
      </c>
      <c r="N561" s="32">
        <f>IF(OR($AD561="D",$AD561="T",$AD561="B",$AD561="Z"),ROUND(N($K561)-N($L561)-N($M561),2),"")</f>
        <v/>
      </c>
      <c r="O561" s="32">
        <f>IF(OR($AD561="D",$AD561="T",$AD561="B",$AD561="Z"),IF(N($E561)=0,"",ROUND($F561/$E561,2)),"")</f>
        <v/>
      </c>
      <c r="AC561">
        <f>IFERROR(MATCH(557,$AB$5:$AB$404,1),"")</f>
        <v/>
      </c>
      <c r="AD561">
        <f>IF(557=$AI$1+1,"Z",IF($AC561="","",IF(INDEX($V$5:$V$404,$AC561)="","",IF(557&gt;INDEX($AB$5:$AB$404,$AC561)+INDEX($Z$5:$Z$404,$AC561)+INDEX($AA$5:$AA$404,$AC561)+INDEX($AO$5:$AO$404,$AC561),"",IF(557=INDEX($AB$5:$AB$404,$AC561)+INDEX($Z$5:$Z$404,$AC561),"D",IF(AND(INDEX($Z$5:$Z$404,$AC561)=1,557=INDEX($AB$5:$AB$404,$AC561)),"H",IF(AND(INDEX($AO$5:$AO$404,$AC561)=1,557=INDEX($AB$5:$AB$404,$AC561)+INDEX($Z$5:$Z$404,$AC561)+INDEX($AA$5:$AA$404,$AC561)+INDEX($AO$5:$AO$404,$AC561)),"B","T")))))))</f>
        <v/>
      </c>
      <c r="AF561">
        <f>IF(OR($AD561="",$AD561="Z",$AD561="B"),"",INDEX($X$5:$X$404,$AC561))</f>
        <v/>
      </c>
      <c r="AJ561">
        <f>IF($AD561&lt;&gt;"T",0,ROUND(SUMIF(oil!$B$4:$B$63,$AF561,oil!$AE$4:$AE$63),2))</f>
        <v/>
      </c>
      <c r="AQ561">
        <f>IF(OR($AD561="",$AD561="Z"),"",INDEX($AN$5:$AN$404,$AC561))</f>
        <v/>
      </c>
      <c r="AZ561">
        <f>IF(AND($AD561="T",$AQ561=1),N($AZ560)+1,N($AZ560))</f>
        <v/>
      </c>
    </row>
    <row r="562" ht="21" customHeight="1" s="66">
      <c r="A562" s="69">
        <f>IF($AD562="","",IF($AD562="Z","รวมจ่ายทั้งสิ้น",IF($AD562="H",INDEX($X$5:$X$404,$AC562),IF($AD562="T","รวม",IF($AD562="B",IFERROR(INDEX(อัตราค่าขนส่ง!$S$5:$S$14,MATCH(INDEX($AM$5:$AM$404,$AC562),อัตราค่าขนส่ง!$R$5:$R$14,0)),"รวมกลุ่ม "&amp;INDEX($AM$5:$AM$404,$AC562)),INDEX($AY$5:$AY$404,$AC562))))))</f>
        <v/>
      </c>
      <c r="B562" s="31">
        <f>IF($AD562&lt;&gt;"D","",INDEX($AW$5:$AW$404,$AC562))</f>
        <v/>
      </c>
      <c r="C562" s="68">
        <f>IF($AD562&lt;&gt;"D","",INDEX($AX$5:$AX$404,$AC562))</f>
        <v/>
      </c>
      <c r="D562" s="70">
        <f>IF($AD562&lt;&gt;"D","",INDEX($BA$5:$BA$404,$AC562))</f>
        <v/>
      </c>
      <c r="E562" s="31">
        <f>IF($AD562="Z",SUM($AR$5:$AR$404),IF($AD562="D",INDEX($AR$5:$AR$404,$AC562),IF($AD562="T",SUMIF($X$5:$X$404,$AF562,$AR$5:$AR$404),IF($AD562="B",SUMIF($AN$5:$AN$404,$AQ562,$AR$5:$AR$404),""))))</f>
        <v/>
      </c>
      <c r="F562" s="32">
        <f>IF($AD562="Z",ROUND(SUM($AS$5:$AS$404),2),IF($AD562="D",INDEX($AS$5:$AS$404,$AC562),IF($AD562="T",ROUND(SUMIF($X$5:$X$404,$AF562,$AS$5:$AS$404),2),IF($AD562="B",ROUND(SUMIF($AN$5:$AN$404,$AQ562,$AS$5:$AS$404),2),""))))</f>
        <v/>
      </c>
      <c r="G562" s="32">
        <f>IF($AD562&lt;&gt;"D","",INDEX($AT$5:$AT$404,$AC562))</f>
        <v/>
      </c>
      <c r="H562" s="32">
        <f>IF($AD562&lt;&gt;"D","",INDEX($BC$5:$BC$404,$AC562))</f>
        <v/>
      </c>
      <c r="I562" s="32">
        <f>IF($AD562&lt;&gt;"D","",INDEX($BD$5:$BD$404,$AC562))</f>
        <v/>
      </c>
      <c r="J562" s="46">
        <f>IF($AD562&lt;&gt;"D","",IF(N($B562)=0,"",ROUND($I562/$B562,4)))</f>
        <v/>
      </c>
      <c r="K562" s="32">
        <f>IF($AD562="Z",ROUND(SUM($AU$5:$AU$404),2),IF($AD562="D",INDEX($AU$5:$AU$404,$AC562),IF($AD562="T",ROUND(SUMIF($X$5:$X$404,$AF562,$AU$5:$AU$404),2),IF($AD562="B",ROUND(SUMIF($AN$5:$AN$404,$AQ562,$AU$5:$AU$404),2),""))))</f>
        <v/>
      </c>
      <c r="L562" s="32">
        <f>IF($AD562="Z",ROUND(SUM($AV$5:$AV$404),2),IF($AD562="D",INDEX($AV$5:$AV$404,$AC562),IF($AD562="T",ROUND(SUMIF($X$5:$X$404,$AF562,$AV$5:$AV$404),2),IF($AD562="B",ROUND(SUMIF($AN$5:$AN$404,$AQ562,$AV$5:$AV$404),2),""))))</f>
        <v/>
      </c>
      <c r="M562" s="32">
        <f>IF($AD562="Z",ROUND(SUM($AJ$5:$AJ$704),2),IF($AD562="B",ROUND(SUMIF($AQ$5:$AQ$704,$AQ562,$AJ$5:$AJ$704),2),IF($AD562&lt;&gt;"T","",$AJ562)))</f>
        <v/>
      </c>
      <c r="N562" s="32">
        <f>IF(OR($AD562="D",$AD562="T",$AD562="B",$AD562="Z"),ROUND(N($K562)-N($L562)-N($M562),2),"")</f>
        <v/>
      </c>
      <c r="O562" s="32">
        <f>IF(OR($AD562="D",$AD562="T",$AD562="B",$AD562="Z"),IF(N($E562)=0,"",ROUND($F562/$E562,2)),"")</f>
        <v/>
      </c>
      <c r="AC562">
        <f>IFERROR(MATCH(558,$AB$5:$AB$404,1),"")</f>
        <v/>
      </c>
      <c r="AD562">
        <f>IF(558=$AI$1+1,"Z",IF($AC562="","",IF(INDEX($V$5:$V$404,$AC562)="","",IF(558&gt;INDEX($AB$5:$AB$404,$AC562)+INDEX($Z$5:$Z$404,$AC562)+INDEX($AA$5:$AA$404,$AC562)+INDEX($AO$5:$AO$404,$AC562),"",IF(558=INDEX($AB$5:$AB$404,$AC562)+INDEX($Z$5:$Z$404,$AC562),"D",IF(AND(INDEX($Z$5:$Z$404,$AC562)=1,558=INDEX($AB$5:$AB$404,$AC562)),"H",IF(AND(INDEX($AO$5:$AO$404,$AC562)=1,558=INDEX($AB$5:$AB$404,$AC562)+INDEX($Z$5:$Z$404,$AC562)+INDEX($AA$5:$AA$404,$AC562)+INDEX($AO$5:$AO$404,$AC562)),"B","T")))))))</f>
        <v/>
      </c>
      <c r="AF562">
        <f>IF(OR($AD562="",$AD562="Z",$AD562="B"),"",INDEX($X$5:$X$404,$AC562))</f>
        <v/>
      </c>
      <c r="AJ562">
        <f>IF($AD562&lt;&gt;"T",0,ROUND(SUMIF(oil!$B$4:$B$63,$AF562,oil!$AE$4:$AE$63),2))</f>
        <v/>
      </c>
      <c r="AQ562">
        <f>IF(OR($AD562="",$AD562="Z"),"",INDEX($AN$5:$AN$404,$AC562))</f>
        <v/>
      </c>
      <c r="AZ562">
        <f>IF(AND($AD562="T",$AQ562=1),N($AZ561)+1,N($AZ561))</f>
        <v/>
      </c>
    </row>
    <row r="563" ht="21" customHeight="1" s="66">
      <c r="A563" s="69">
        <f>IF($AD563="","",IF($AD563="Z","รวมจ่ายทั้งสิ้น",IF($AD563="H",INDEX($X$5:$X$404,$AC563),IF($AD563="T","รวม",IF($AD563="B",IFERROR(INDEX(อัตราค่าขนส่ง!$S$5:$S$14,MATCH(INDEX($AM$5:$AM$404,$AC563),อัตราค่าขนส่ง!$R$5:$R$14,0)),"รวมกลุ่ม "&amp;INDEX($AM$5:$AM$404,$AC563)),INDEX($AY$5:$AY$404,$AC563))))))</f>
        <v/>
      </c>
      <c r="B563" s="31">
        <f>IF($AD563&lt;&gt;"D","",INDEX($AW$5:$AW$404,$AC563))</f>
        <v/>
      </c>
      <c r="C563" s="68">
        <f>IF($AD563&lt;&gt;"D","",INDEX($AX$5:$AX$404,$AC563))</f>
        <v/>
      </c>
      <c r="D563" s="70">
        <f>IF($AD563&lt;&gt;"D","",INDEX($BA$5:$BA$404,$AC563))</f>
        <v/>
      </c>
      <c r="E563" s="31">
        <f>IF($AD563="Z",SUM($AR$5:$AR$404),IF($AD563="D",INDEX($AR$5:$AR$404,$AC563),IF($AD563="T",SUMIF($X$5:$X$404,$AF563,$AR$5:$AR$404),IF($AD563="B",SUMIF($AN$5:$AN$404,$AQ563,$AR$5:$AR$404),""))))</f>
        <v/>
      </c>
      <c r="F563" s="32">
        <f>IF($AD563="Z",ROUND(SUM($AS$5:$AS$404),2),IF($AD563="D",INDEX($AS$5:$AS$404,$AC563),IF($AD563="T",ROUND(SUMIF($X$5:$X$404,$AF563,$AS$5:$AS$404),2),IF($AD563="B",ROUND(SUMIF($AN$5:$AN$404,$AQ563,$AS$5:$AS$404),2),""))))</f>
        <v/>
      </c>
      <c r="G563" s="32">
        <f>IF($AD563&lt;&gt;"D","",INDEX($AT$5:$AT$404,$AC563))</f>
        <v/>
      </c>
      <c r="H563" s="32">
        <f>IF($AD563&lt;&gt;"D","",INDEX($BC$5:$BC$404,$AC563))</f>
        <v/>
      </c>
      <c r="I563" s="32">
        <f>IF($AD563&lt;&gt;"D","",INDEX($BD$5:$BD$404,$AC563))</f>
        <v/>
      </c>
      <c r="J563" s="46">
        <f>IF($AD563&lt;&gt;"D","",IF(N($B563)=0,"",ROUND($I563/$B563,4)))</f>
        <v/>
      </c>
      <c r="K563" s="32">
        <f>IF($AD563="Z",ROUND(SUM($AU$5:$AU$404),2),IF($AD563="D",INDEX($AU$5:$AU$404,$AC563),IF($AD563="T",ROUND(SUMIF($X$5:$X$404,$AF563,$AU$5:$AU$404),2),IF($AD563="B",ROUND(SUMIF($AN$5:$AN$404,$AQ563,$AU$5:$AU$404),2),""))))</f>
        <v/>
      </c>
      <c r="L563" s="32">
        <f>IF($AD563="Z",ROUND(SUM($AV$5:$AV$404),2),IF($AD563="D",INDEX($AV$5:$AV$404,$AC563),IF($AD563="T",ROUND(SUMIF($X$5:$X$404,$AF563,$AV$5:$AV$404),2),IF($AD563="B",ROUND(SUMIF($AN$5:$AN$404,$AQ563,$AV$5:$AV$404),2),""))))</f>
        <v/>
      </c>
      <c r="M563" s="32">
        <f>IF($AD563="Z",ROUND(SUM($AJ$5:$AJ$704),2),IF($AD563="B",ROUND(SUMIF($AQ$5:$AQ$704,$AQ563,$AJ$5:$AJ$704),2),IF($AD563&lt;&gt;"T","",$AJ563)))</f>
        <v/>
      </c>
      <c r="N563" s="32">
        <f>IF(OR($AD563="D",$AD563="T",$AD563="B",$AD563="Z"),ROUND(N($K563)-N($L563)-N($M563),2),"")</f>
        <v/>
      </c>
      <c r="O563" s="32">
        <f>IF(OR($AD563="D",$AD563="T",$AD563="B",$AD563="Z"),IF(N($E563)=0,"",ROUND($F563/$E563,2)),"")</f>
        <v/>
      </c>
      <c r="AC563">
        <f>IFERROR(MATCH(559,$AB$5:$AB$404,1),"")</f>
        <v/>
      </c>
      <c r="AD563">
        <f>IF(559=$AI$1+1,"Z",IF($AC563="","",IF(INDEX($V$5:$V$404,$AC563)="","",IF(559&gt;INDEX($AB$5:$AB$404,$AC563)+INDEX($Z$5:$Z$404,$AC563)+INDEX($AA$5:$AA$404,$AC563)+INDEX($AO$5:$AO$404,$AC563),"",IF(559=INDEX($AB$5:$AB$404,$AC563)+INDEX($Z$5:$Z$404,$AC563),"D",IF(AND(INDEX($Z$5:$Z$404,$AC563)=1,559=INDEX($AB$5:$AB$404,$AC563)),"H",IF(AND(INDEX($AO$5:$AO$404,$AC563)=1,559=INDEX($AB$5:$AB$404,$AC563)+INDEX($Z$5:$Z$404,$AC563)+INDEX($AA$5:$AA$404,$AC563)+INDEX($AO$5:$AO$404,$AC563)),"B","T")))))))</f>
        <v/>
      </c>
      <c r="AF563">
        <f>IF(OR($AD563="",$AD563="Z",$AD563="B"),"",INDEX($X$5:$X$404,$AC563))</f>
        <v/>
      </c>
      <c r="AJ563">
        <f>IF($AD563&lt;&gt;"T",0,ROUND(SUMIF(oil!$B$4:$B$63,$AF563,oil!$AE$4:$AE$63),2))</f>
        <v/>
      </c>
      <c r="AQ563">
        <f>IF(OR($AD563="",$AD563="Z"),"",INDEX($AN$5:$AN$404,$AC563))</f>
        <v/>
      </c>
      <c r="AZ563">
        <f>IF(AND($AD563="T",$AQ563=1),N($AZ562)+1,N($AZ562))</f>
        <v/>
      </c>
    </row>
    <row r="564" ht="21" customHeight="1" s="66">
      <c r="A564" s="69">
        <f>IF($AD564="","",IF($AD564="Z","รวมจ่ายทั้งสิ้น",IF($AD564="H",INDEX($X$5:$X$404,$AC564),IF($AD564="T","รวม",IF($AD564="B",IFERROR(INDEX(อัตราค่าขนส่ง!$S$5:$S$14,MATCH(INDEX($AM$5:$AM$404,$AC564),อัตราค่าขนส่ง!$R$5:$R$14,0)),"รวมกลุ่ม "&amp;INDEX($AM$5:$AM$404,$AC564)),INDEX($AY$5:$AY$404,$AC564))))))</f>
        <v/>
      </c>
      <c r="B564" s="31">
        <f>IF($AD564&lt;&gt;"D","",INDEX($AW$5:$AW$404,$AC564))</f>
        <v/>
      </c>
      <c r="C564" s="68">
        <f>IF($AD564&lt;&gt;"D","",INDEX($AX$5:$AX$404,$AC564))</f>
        <v/>
      </c>
      <c r="D564" s="70">
        <f>IF($AD564&lt;&gt;"D","",INDEX($BA$5:$BA$404,$AC564))</f>
        <v/>
      </c>
      <c r="E564" s="31">
        <f>IF($AD564="Z",SUM($AR$5:$AR$404),IF($AD564="D",INDEX($AR$5:$AR$404,$AC564),IF($AD564="T",SUMIF($X$5:$X$404,$AF564,$AR$5:$AR$404),IF($AD564="B",SUMIF($AN$5:$AN$404,$AQ564,$AR$5:$AR$404),""))))</f>
        <v/>
      </c>
      <c r="F564" s="32">
        <f>IF($AD564="Z",ROUND(SUM($AS$5:$AS$404),2),IF($AD564="D",INDEX($AS$5:$AS$404,$AC564),IF($AD564="T",ROUND(SUMIF($X$5:$X$404,$AF564,$AS$5:$AS$404),2),IF($AD564="B",ROUND(SUMIF($AN$5:$AN$404,$AQ564,$AS$5:$AS$404),2),""))))</f>
        <v/>
      </c>
      <c r="G564" s="32">
        <f>IF($AD564&lt;&gt;"D","",INDEX($AT$5:$AT$404,$AC564))</f>
        <v/>
      </c>
      <c r="H564" s="32">
        <f>IF($AD564&lt;&gt;"D","",INDEX($BC$5:$BC$404,$AC564))</f>
        <v/>
      </c>
      <c r="I564" s="32">
        <f>IF($AD564&lt;&gt;"D","",INDEX($BD$5:$BD$404,$AC564))</f>
        <v/>
      </c>
      <c r="J564" s="46">
        <f>IF($AD564&lt;&gt;"D","",IF(N($B564)=0,"",ROUND($I564/$B564,4)))</f>
        <v/>
      </c>
      <c r="K564" s="32">
        <f>IF($AD564="Z",ROUND(SUM($AU$5:$AU$404),2),IF($AD564="D",INDEX($AU$5:$AU$404,$AC564),IF($AD564="T",ROUND(SUMIF($X$5:$X$404,$AF564,$AU$5:$AU$404),2),IF($AD564="B",ROUND(SUMIF($AN$5:$AN$404,$AQ564,$AU$5:$AU$404),2),""))))</f>
        <v/>
      </c>
      <c r="L564" s="32">
        <f>IF($AD564="Z",ROUND(SUM($AV$5:$AV$404),2),IF($AD564="D",INDEX($AV$5:$AV$404,$AC564),IF($AD564="T",ROUND(SUMIF($X$5:$X$404,$AF564,$AV$5:$AV$404),2),IF($AD564="B",ROUND(SUMIF($AN$5:$AN$404,$AQ564,$AV$5:$AV$404),2),""))))</f>
        <v/>
      </c>
      <c r="M564" s="32">
        <f>IF($AD564="Z",ROUND(SUM($AJ$5:$AJ$704),2),IF($AD564="B",ROUND(SUMIF($AQ$5:$AQ$704,$AQ564,$AJ$5:$AJ$704),2),IF($AD564&lt;&gt;"T","",$AJ564)))</f>
        <v/>
      </c>
      <c r="N564" s="32">
        <f>IF(OR($AD564="D",$AD564="T",$AD564="B",$AD564="Z"),ROUND(N($K564)-N($L564)-N($M564),2),"")</f>
        <v/>
      </c>
      <c r="O564" s="32">
        <f>IF(OR($AD564="D",$AD564="T",$AD564="B",$AD564="Z"),IF(N($E564)=0,"",ROUND($F564/$E564,2)),"")</f>
        <v/>
      </c>
      <c r="AC564">
        <f>IFERROR(MATCH(560,$AB$5:$AB$404,1),"")</f>
        <v/>
      </c>
      <c r="AD564">
        <f>IF(560=$AI$1+1,"Z",IF($AC564="","",IF(INDEX($V$5:$V$404,$AC564)="","",IF(560&gt;INDEX($AB$5:$AB$404,$AC564)+INDEX($Z$5:$Z$404,$AC564)+INDEX($AA$5:$AA$404,$AC564)+INDEX($AO$5:$AO$404,$AC564),"",IF(560=INDEX($AB$5:$AB$404,$AC564)+INDEX($Z$5:$Z$404,$AC564),"D",IF(AND(INDEX($Z$5:$Z$404,$AC564)=1,560=INDEX($AB$5:$AB$404,$AC564)),"H",IF(AND(INDEX($AO$5:$AO$404,$AC564)=1,560=INDEX($AB$5:$AB$404,$AC564)+INDEX($Z$5:$Z$404,$AC564)+INDEX($AA$5:$AA$404,$AC564)+INDEX($AO$5:$AO$404,$AC564)),"B","T")))))))</f>
        <v/>
      </c>
      <c r="AF564">
        <f>IF(OR($AD564="",$AD564="Z",$AD564="B"),"",INDEX($X$5:$X$404,$AC564))</f>
        <v/>
      </c>
      <c r="AJ564">
        <f>IF($AD564&lt;&gt;"T",0,ROUND(SUMIF(oil!$B$4:$B$63,$AF564,oil!$AE$4:$AE$63),2))</f>
        <v/>
      </c>
      <c r="AQ564">
        <f>IF(OR($AD564="",$AD564="Z"),"",INDEX($AN$5:$AN$404,$AC564))</f>
        <v/>
      </c>
      <c r="AZ564">
        <f>IF(AND($AD564="T",$AQ564=1),N($AZ563)+1,N($AZ563))</f>
        <v/>
      </c>
    </row>
    <row r="565" ht="21" customHeight="1" s="66">
      <c r="A565" s="69">
        <f>IF($AD565="","",IF($AD565="Z","รวมจ่ายทั้งสิ้น",IF($AD565="H",INDEX($X$5:$X$404,$AC565),IF($AD565="T","รวม",IF($AD565="B",IFERROR(INDEX(อัตราค่าขนส่ง!$S$5:$S$14,MATCH(INDEX($AM$5:$AM$404,$AC565),อัตราค่าขนส่ง!$R$5:$R$14,0)),"รวมกลุ่ม "&amp;INDEX($AM$5:$AM$404,$AC565)),INDEX($AY$5:$AY$404,$AC565))))))</f>
        <v/>
      </c>
      <c r="B565" s="31">
        <f>IF($AD565&lt;&gt;"D","",INDEX($AW$5:$AW$404,$AC565))</f>
        <v/>
      </c>
      <c r="C565" s="68">
        <f>IF($AD565&lt;&gt;"D","",INDEX($AX$5:$AX$404,$AC565))</f>
        <v/>
      </c>
      <c r="D565" s="70">
        <f>IF($AD565&lt;&gt;"D","",INDEX($BA$5:$BA$404,$AC565))</f>
        <v/>
      </c>
      <c r="E565" s="31">
        <f>IF($AD565="Z",SUM($AR$5:$AR$404),IF($AD565="D",INDEX($AR$5:$AR$404,$AC565),IF($AD565="T",SUMIF($X$5:$X$404,$AF565,$AR$5:$AR$404),IF($AD565="B",SUMIF($AN$5:$AN$404,$AQ565,$AR$5:$AR$404),""))))</f>
        <v/>
      </c>
      <c r="F565" s="32">
        <f>IF($AD565="Z",ROUND(SUM($AS$5:$AS$404),2),IF($AD565="D",INDEX($AS$5:$AS$404,$AC565),IF($AD565="T",ROUND(SUMIF($X$5:$X$404,$AF565,$AS$5:$AS$404),2),IF($AD565="B",ROUND(SUMIF($AN$5:$AN$404,$AQ565,$AS$5:$AS$404),2),""))))</f>
        <v/>
      </c>
      <c r="G565" s="32">
        <f>IF($AD565&lt;&gt;"D","",INDEX($AT$5:$AT$404,$AC565))</f>
        <v/>
      </c>
      <c r="H565" s="32">
        <f>IF($AD565&lt;&gt;"D","",INDEX($BC$5:$BC$404,$AC565))</f>
        <v/>
      </c>
      <c r="I565" s="32">
        <f>IF($AD565&lt;&gt;"D","",INDEX($BD$5:$BD$404,$AC565))</f>
        <v/>
      </c>
      <c r="J565" s="46">
        <f>IF($AD565&lt;&gt;"D","",IF(N($B565)=0,"",ROUND($I565/$B565,4)))</f>
        <v/>
      </c>
      <c r="K565" s="32">
        <f>IF($AD565="Z",ROUND(SUM($AU$5:$AU$404),2),IF($AD565="D",INDEX($AU$5:$AU$404,$AC565),IF($AD565="T",ROUND(SUMIF($X$5:$X$404,$AF565,$AU$5:$AU$404),2),IF($AD565="B",ROUND(SUMIF($AN$5:$AN$404,$AQ565,$AU$5:$AU$404),2),""))))</f>
        <v/>
      </c>
      <c r="L565" s="32">
        <f>IF($AD565="Z",ROUND(SUM($AV$5:$AV$404),2),IF($AD565="D",INDEX($AV$5:$AV$404,$AC565),IF($AD565="T",ROUND(SUMIF($X$5:$X$404,$AF565,$AV$5:$AV$404),2),IF($AD565="B",ROUND(SUMIF($AN$5:$AN$404,$AQ565,$AV$5:$AV$404),2),""))))</f>
        <v/>
      </c>
      <c r="M565" s="32">
        <f>IF($AD565="Z",ROUND(SUM($AJ$5:$AJ$704),2),IF($AD565="B",ROUND(SUMIF($AQ$5:$AQ$704,$AQ565,$AJ$5:$AJ$704),2),IF($AD565&lt;&gt;"T","",$AJ565)))</f>
        <v/>
      </c>
      <c r="N565" s="32">
        <f>IF(OR($AD565="D",$AD565="T",$AD565="B",$AD565="Z"),ROUND(N($K565)-N($L565)-N($M565),2),"")</f>
        <v/>
      </c>
      <c r="O565" s="32">
        <f>IF(OR($AD565="D",$AD565="T",$AD565="B",$AD565="Z"),IF(N($E565)=0,"",ROUND($F565/$E565,2)),"")</f>
        <v/>
      </c>
      <c r="AC565">
        <f>IFERROR(MATCH(561,$AB$5:$AB$404,1),"")</f>
        <v/>
      </c>
      <c r="AD565">
        <f>IF(561=$AI$1+1,"Z",IF($AC565="","",IF(INDEX($V$5:$V$404,$AC565)="","",IF(561&gt;INDEX($AB$5:$AB$404,$AC565)+INDEX($Z$5:$Z$404,$AC565)+INDEX($AA$5:$AA$404,$AC565)+INDEX($AO$5:$AO$404,$AC565),"",IF(561=INDEX($AB$5:$AB$404,$AC565)+INDEX($Z$5:$Z$404,$AC565),"D",IF(AND(INDEX($Z$5:$Z$404,$AC565)=1,561=INDEX($AB$5:$AB$404,$AC565)),"H",IF(AND(INDEX($AO$5:$AO$404,$AC565)=1,561=INDEX($AB$5:$AB$404,$AC565)+INDEX($Z$5:$Z$404,$AC565)+INDEX($AA$5:$AA$404,$AC565)+INDEX($AO$5:$AO$404,$AC565)),"B","T")))))))</f>
        <v/>
      </c>
      <c r="AF565">
        <f>IF(OR($AD565="",$AD565="Z",$AD565="B"),"",INDEX($X$5:$X$404,$AC565))</f>
        <v/>
      </c>
      <c r="AJ565">
        <f>IF($AD565&lt;&gt;"T",0,ROUND(SUMIF(oil!$B$4:$B$63,$AF565,oil!$AE$4:$AE$63),2))</f>
        <v/>
      </c>
      <c r="AQ565">
        <f>IF(OR($AD565="",$AD565="Z"),"",INDEX($AN$5:$AN$404,$AC565))</f>
        <v/>
      </c>
      <c r="AZ565">
        <f>IF(AND($AD565="T",$AQ565=1),N($AZ564)+1,N($AZ564))</f>
        <v/>
      </c>
    </row>
    <row r="566" ht="21" customHeight="1" s="66">
      <c r="A566" s="69">
        <f>IF($AD566="","",IF($AD566="Z","รวมจ่ายทั้งสิ้น",IF($AD566="H",INDEX($X$5:$X$404,$AC566),IF($AD566="T","รวม",IF($AD566="B",IFERROR(INDEX(อัตราค่าขนส่ง!$S$5:$S$14,MATCH(INDEX($AM$5:$AM$404,$AC566),อัตราค่าขนส่ง!$R$5:$R$14,0)),"รวมกลุ่ม "&amp;INDEX($AM$5:$AM$404,$AC566)),INDEX($AY$5:$AY$404,$AC566))))))</f>
        <v/>
      </c>
      <c r="B566" s="31">
        <f>IF($AD566&lt;&gt;"D","",INDEX($AW$5:$AW$404,$AC566))</f>
        <v/>
      </c>
      <c r="C566" s="68">
        <f>IF($AD566&lt;&gt;"D","",INDEX($AX$5:$AX$404,$AC566))</f>
        <v/>
      </c>
      <c r="D566" s="70">
        <f>IF($AD566&lt;&gt;"D","",INDEX($BA$5:$BA$404,$AC566))</f>
        <v/>
      </c>
      <c r="E566" s="31">
        <f>IF($AD566="Z",SUM($AR$5:$AR$404),IF($AD566="D",INDEX($AR$5:$AR$404,$AC566),IF($AD566="T",SUMIF($X$5:$X$404,$AF566,$AR$5:$AR$404),IF($AD566="B",SUMIF($AN$5:$AN$404,$AQ566,$AR$5:$AR$404),""))))</f>
        <v/>
      </c>
      <c r="F566" s="32">
        <f>IF($AD566="Z",ROUND(SUM($AS$5:$AS$404),2),IF($AD566="D",INDEX($AS$5:$AS$404,$AC566),IF($AD566="T",ROUND(SUMIF($X$5:$X$404,$AF566,$AS$5:$AS$404),2),IF($AD566="B",ROUND(SUMIF($AN$5:$AN$404,$AQ566,$AS$5:$AS$404),2),""))))</f>
        <v/>
      </c>
      <c r="G566" s="32">
        <f>IF($AD566&lt;&gt;"D","",INDEX($AT$5:$AT$404,$AC566))</f>
        <v/>
      </c>
      <c r="H566" s="32">
        <f>IF($AD566&lt;&gt;"D","",INDEX($BC$5:$BC$404,$AC566))</f>
        <v/>
      </c>
      <c r="I566" s="32">
        <f>IF($AD566&lt;&gt;"D","",INDEX($BD$5:$BD$404,$AC566))</f>
        <v/>
      </c>
      <c r="J566" s="46">
        <f>IF($AD566&lt;&gt;"D","",IF(N($B566)=0,"",ROUND($I566/$B566,4)))</f>
        <v/>
      </c>
      <c r="K566" s="32">
        <f>IF($AD566="Z",ROUND(SUM($AU$5:$AU$404),2),IF($AD566="D",INDEX($AU$5:$AU$404,$AC566),IF($AD566="T",ROUND(SUMIF($X$5:$X$404,$AF566,$AU$5:$AU$404),2),IF($AD566="B",ROUND(SUMIF($AN$5:$AN$404,$AQ566,$AU$5:$AU$404),2),""))))</f>
        <v/>
      </c>
      <c r="L566" s="32">
        <f>IF($AD566="Z",ROUND(SUM($AV$5:$AV$404),2),IF($AD566="D",INDEX($AV$5:$AV$404,$AC566),IF($AD566="T",ROUND(SUMIF($X$5:$X$404,$AF566,$AV$5:$AV$404),2),IF($AD566="B",ROUND(SUMIF($AN$5:$AN$404,$AQ566,$AV$5:$AV$404),2),""))))</f>
        <v/>
      </c>
      <c r="M566" s="32">
        <f>IF($AD566="Z",ROUND(SUM($AJ$5:$AJ$704),2),IF($AD566="B",ROUND(SUMIF($AQ$5:$AQ$704,$AQ566,$AJ$5:$AJ$704),2),IF($AD566&lt;&gt;"T","",$AJ566)))</f>
        <v/>
      </c>
      <c r="N566" s="32">
        <f>IF(OR($AD566="D",$AD566="T",$AD566="B",$AD566="Z"),ROUND(N($K566)-N($L566)-N($M566),2),"")</f>
        <v/>
      </c>
      <c r="O566" s="32">
        <f>IF(OR($AD566="D",$AD566="T",$AD566="B",$AD566="Z"),IF(N($E566)=0,"",ROUND($F566/$E566,2)),"")</f>
        <v/>
      </c>
      <c r="AC566">
        <f>IFERROR(MATCH(562,$AB$5:$AB$404,1),"")</f>
        <v/>
      </c>
      <c r="AD566">
        <f>IF(562=$AI$1+1,"Z",IF($AC566="","",IF(INDEX($V$5:$V$404,$AC566)="","",IF(562&gt;INDEX($AB$5:$AB$404,$AC566)+INDEX($Z$5:$Z$404,$AC566)+INDEX($AA$5:$AA$404,$AC566)+INDEX($AO$5:$AO$404,$AC566),"",IF(562=INDEX($AB$5:$AB$404,$AC566)+INDEX($Z$5:$Z$404,$AC566),"D",IF(AND(INDEX($Z$5:$Z$404,$AC566)=1,562=INDEX($AB$5:$AB$404,$AC566)),"H",IF(AND(INDEX($AO$5:$AO$404,$AC566)=1,562=INDEX($AB$5:$AB$404,$AC566)+INDEX($Z$5:$Z$404,$AC566)+INDEX($AA$5:$AA$404,$AC566)+INDEX($AO$5:$AO$404,$AC566)),"B","T")))))))</f>
        <v/>
      </c>
      <c r="AF566">
        <f>IF(OR($AD566="",$AD566="Z",$AD566="B"),"",INDEX($X$5:$X$404,$AC566))</f>
        <v/>
      </c>
      <c r="AJ566">
        <f>IF($AD566&lt;&gt;"T",0,ROUND(SUMIF(oil!$B$4:$B$63,$AF566,oil!$AE$4:$AE$63),2))</f>
        <v/>
      </c>
      <c r="AQ566">
        <f>IF(OR($AD566="",$AD566="Z"),"",INDEX($AN$5:$AN$404,$AC566))</f>
        <v/>
      </c>
      <c r="AZ566">
        <f>IF(AND($AD566="T",$AQ566=1),N($AZ565)+1,N($AZ565))</f>
        <v/>
      </c>
    </row>
    <row r="567" ht="21" customHeight="1" s="66">
      <c r="A567" s="69">
        <f>IF($AD567="","",IF($AD567="Z","รวมจ่ายทั้งสิ้น",IF($AD567="H",INDEX($X$5:$X$404,$AC567),IF($AD567="T","รวม",IF($AD567="B",IFERROR(INDEX(อัตราค่าขนส่ง!$S$5:$S$14,MATCH(INDEX($AM$5:$AM$404,$AC567),อัตราค่าขนส่ง!$R$5:$R$14,0)),"รวมกลุ่ม "&amp;INDEX($AM$5:$AM$404,$AC567)),INDEX($AY$5:$AY$404,$AC567))))))</f>
        <v/>
      </c>
      <c r="B567" s="31">
        <f>IF($AD567&lt;&gt;"D","",INDEX($AW$5:$AW$404,$AC567))</f>
        <v/>
      </c>
      <c r="C567" s="68">
        <f>IF($AD567&lt;&gt;"D","",INDEX($AX$5:$AX$404,$AC567))</f>
        <v/>
      </c>
      <c r="D567" s="70">
        <f>IF($AD567&lt;&gt;"D","",INDEX($BA$5:$BA$404,$AC567))</f>
        <v/>
      </c>
      <c r="E567" s="31">
        <f>IF($AD567="Z",SUM($AR$5:$AR$404),IF($AD567="D",INDEX($AR$5:$AR$404,$AC567),IF($AD567="T",SUMIF($X$5:$X$404,$AF567,$AR$5:$AR$404),IF($AD567="B",SUMIF($AN$5:$AN$404,$AQ567,$AR$5:$AR$404),""))))</f>
        <v/>
      </c>
      <c r="F567" s="32">
        <f>IF($AD567="Z",ROUND(SUM($AS$5:$AS$404),2),IF($AD567="D",INDEX($AS$5:$AS$404,$AC567),IF($AD567="T",ROUND(SUMIF($X$5:$X$404,$AF567,$AS$5:$AS$404),2),IF($AD567="B",ROUND(SUMIF($AN$5:$AN$404,$AQ567,$AS$5:$AS$404),2),""))))</f>
        <v/>
      </c>
      <c r="G567" s="32">
        <f>IF($AD567&lt;&gt;"D","",INDEX($AT$5:$AT$404,$AC567))</f>
        <v/>
      </c>
      <c r="H567" s="32">
        <f>IF($AD567&lt;&gt;"D","",INDEX($BC$5:$BC$404,$AC567))</f>
        <v/>
      </c>
      <c r="I567" s="32">
        <f>IF($AD567&lt;&gt;"D","",INDEX($BD$5:$BD$404,$AC567))</f>
        <v/>
      </c>
      <c r="J567" s="46">
        <f>IF($AD567&lt;&gt;"D","",IF(N($B567)=0,"",ROUND($I567/$B567,4)))</f>
        <v/>
      </c>
      <c r="K567" s="32">
        <f>IF($AD567="Z",ROUND(SUM($AU$5:$AU$404),2),IF($AD567="D",INDEX($AU$5:$AU$404,$AC567),IF($AD567="T",ROUND(SUMIF($X$5:$X$404,$AF567,$AU$5:$AU$404),2),IF($AD567="B",ROUND(SUMIF($AN$5:$AN$404,$AQ567,$AU$5:$AU$404),2),""))))</f>
        <v/>
      </c>
      <c r="L567" s="32">
        <f>IF($AD567="Z",ROUND(SUM($AV$5:$AV$404),2),IF($AD567="D",INDEX($AV$5:$AV$404,$AC567),IF($AD567="T",ROUND(SUMIF($X$5:$X$404,$AF567,$AV$5:$AV$404),2),IF($AD567="B",ROUND(SUMIF($AN$5:$AN$404,$AQ567,$AV$5:$AV$404),2),""))))</f>
        <v/>
      </c>
      <c r="M567" s="32">
        <f>IF($AD567="Z",ROUND(SUM($AJ$5:$AJ$704),2),IF($AD567="B",ROUND(SUMIF($AQ$5:$AQ$704,$AQ567,$AJ$5:$AJ$704),2),IF($AD567&lt;&gt;"T","",$AJ567)))</f>
        <v/>
      </c>
      <c r="N567" s="32">
        <f>IF(OR($AD567="D",$AD567="T",$AD567="B",$AD567="Z"),ROUND(N($K567)-N($L567)-N($M567),2),"")</f>
        <v/>
      </c>
      <c r="O567" s="32">
        <f>IF(OR($AD567="D",$AD567="T",$AD567="B",$AD567="Z"),IF(N($E567)=0,"",ROUND($F567/$E567,2)),"")</f>
        <v/>
      </c>
      <c r="AC567">
        <f>IFERROR(MATCH(563,$AB$5:$AB$404,1),"")</f>
        <v/>
      </c>
      <c r="AD567">
        <f>IF(563=$AI$1+1,"Z",IF($AC567="","",IF(INDEX($V$5:$V$404,$AC567)="","",IF(563&gt;INDEX($AB$5:$AB$404,$AC567)+INDEX($Z$5:$Z$404,$AC567)+INDEX($AA$5:$AA$404,$AC567)+INDEX($AO$5:$AO$404,$AC567),"",IF(563=INDEX($AB$5:$AB$404,$AC567)+INDEX($Z$5:$Z$404,$AC567),"D",IF(AND(INDEX($Z$5:$Z$404,$AC567)=1,563=INDEX($AB$5:$AB$404,$AC567)),"H",IF(AND(INDEX($AO$5:$AO$404,$AC567)=1,563=INDEX($AB$5:$AB$404,$AC567)+INDEX($Z$5:$Z$404,$AC567)+INDEX($AA$5:$AA$404,$AC567)+INDEX($AO$5:$AO$404,$AC567)),"B","T")))))))</f>
        <v/>
      </c>
      <c r="AF567">
        <f>IF(OR($AD567="",$AD567="Z",$AD567="B"),"",INDEX($X$5:$X$404,$AC567))</f>
        <v/>
      </c>
      <c r="AJ567">
        <f>IF($AD567&lt;&gt;"T",0,ROUND(SUMIF(oil!$B$4:$B$63,$AF567,oil!$AE$4:$AE$63),2))</f>
        <v/>
      </c>
      <c r="AQ567">
        <f>IF(OR($AD567="",$AD567="Z"),"",INDEX($AN$5:$AN$404,$AC567))</f>
        <v/>
      </c>
      <c r="AZ567">
        <f>IF(AND($AD567="T",$AQ567=1),N($AZ566)+1,N($AZ566))</f>
        <v/>
      </c>
    </row>
    <row r="568" ht="21" customHeight="1" s="66">
      <c r="A568" s="69">
        <f>IF($AD568="","",IF($AD568="Z","รวมจ่ายทั้งสิ้น",IF($AD568="H",INDEX($X$5:$X$404,$AC568),IF($AD568="T","รวม",IF($AD568="B",IFERROR(INDEX(อัตราค่าขนส่ง!$S$5:$S$14,MATCH(INDEX($AM$5:$AM$404,$AC568),อัตราค่าขนส่ง!$R$5:$R$14,0)),"รวมกลุ่ม "&amp;INDEX($AM$5:$AM$404,$AC568)),INDEX($AY$5:$AY$404,$AC568))))))</f>
        <v/>
      </c>
      <c r="B568" s="31">
        <f>IF($AD568&lt;&gt;"D","",INDEX($AW$5:$AW$404,$AC568))</f>
        <v/>
      </c>
      <c r="C568" s="68">
        <f>IF($AD568&lt;&gt;"D","",INDEX($AX$5:$AX$404,$AC568))</f>
        <v/>
      </c>
      <c r="D568" s="70">
        <f>IF($AD568&lt;&gt;"D","",INDEX($BA$5:$BA$404,$AC568))</f>
        <v/>
      </c>
      <c r="E568" s="31">
        <f>IF($AD568="Z",SUM($AR$5:$AR$404),IF($AD568="D",INDEX($AR$5:$AR$404,$AC568),IF($AD568="T",SUMIF($X$5:$X$404,$AF568,$AR$5:$AR$404),IF($AD568="B",SUMIF($AN$5:$AN$404,$AQ568,$AR$5:$AR$404),""))))</f>
        <v/>
      </c>
      <c r="F568" s="32">
        <f>IF($AD568="Z",ROUND(SUM($AS$5:$AS$404),2),IF($AD568="D",INDEX($AS$5:$AS$404,$AC568),IF($AD568="T",ROUND(SUMIF($X$5:$X$404,$AF568,$AS$5:$AS$404),2),IF($AD568="B",ROUND(SUMIF($AN$5:$AN$404,$AQ568,$AS$5:$AS$404),2),""))))</f>
        <v/>
      </c>
      <c r="G568" s="32">
        <f>IF($AD568&lt;&gt;"D","",INDEX($AT$5:$AT$404,$AC568))</f>
        <v/>
      </c>
      <c r="H568" s="32">
        <f>IF($AD568&lt;&gt;"D","",INDEX($BC$5:$BC$404,$AC568))</f>
        <v/>
      </c>
      <c r="I568" s="32">
        <f>IF($AD568&lt;&gt;"D","",INDEX($BD$5:$BD$404,$AC568))</f>
        <v/>
      </c>
      <c r="J568" s="46">
        <f>IF($AD568&lt;&gt;"D","",IF(N($B568)=0,"",ROUND($I568/$B568,4)))</f>
        <v/>
      </c>
      <c r="K568" s="32">
        <f>IF($AD568="Z",ROUND(SUM($AU$5:$AU$404),2),IF($AD568="D",INDEX($AU$5:$AU$404,$AC568),IF($AD568="T",ROUND(SUMIF($X$5:$X$404,$AF568,$AU$5:$AU$404),2),IF($AD568="B",ROUND(SUMIF($AN$5:$AN$404,$AQ568,$AU$5:$AU$404),2),""))))</f>
        <v/>
      </c>
      <c r="L568" s="32">
        <f>IF($AD568="Z",ROUND(SUM($AV$5:$AV$404),2),IF($AD568="D",INDEX($AV$5:$AV$404,$AC568),IF($AD568="T",ROUND(SUMIF($X$5:$X$404,$AF568,$AV$5:$AV$404),2),IF($AD568="B",ROUND(SUMIF($AN$5:$AN$404,$AQ568,$AV$5:$AV$404),2),""))))</f>
        <v/>
      </c>
      <c r="M568" s="32">
        <f>IF($AD568="Z",ROUND(SUM($AJ$5:$AJ$704),2),IF($AD568="B",ROUND(SUMIF($AQ$5:$AQ$704,$AQ568,$AJ$5:$AJ$704),2),IF($AD568&lt;&gt;"T","",$AJ568)))</f>
        <v/>
      </c>
      <c r="N568" s="32">
        <f>IF(OR($AD568="D",$AD568="T",$AD568="B",$AD568="Z"),ROUND(N($K568)-N($L568)-N($M568),2),"")</f>
        <v/>
      </c>
      <c r="O568" s="32">
        <f>IF(OR($AD568="D",$AD568="T",$AD568="B",$AD568="Z"),IF(N($E568)=0,"",ROUND($F568/$E568,2)),"")</f>
        <v/>
      </c>
      <c r="AC568">
        <f>IFERROR(MATCH(564,$AB$5:$AB$404,1),"")</f>
        <v/>
      </c>
      <c r="AD568">
        <f>IF(564=$AI$1+1,"Z",IF($AC568="","",IF(INDEX($V$5:$V$404,$AC568)="","",IF(564&gt;INDEX($AB$5:$AB$404,$AC568)+INDEX($Z$5:$Z$404,$AC568)+INDEX($AA$5:$AA$404,$AC568)+INDEX($AO$5:$AO$404,$AC568),"",IF(564=INDEX($AB$5:$AB$404,$AC568)+INDEX($Z$5:$Z$404,$AC568),"D",IF(AND(INDEX($Z$5:$Z$404,$AC568)=1,564=INDEX($AB$5:$AB$404,$AC568)),"H",IF(AND(INDEX($AO$5:$AO$404,$AC568)=1,564=INDEX($AB$5:$AB$404,$AC568)+INDEX($Z$5:$Z$404,$AC568)+INDEX($AA$5:$AA$404,$AC568)+INDEX($AO$5:$AO$404,$AC568)),"B","T")))))))</f>
        <v/>
      </c>
      <c r="AF568">
        <f>IF(OR($AD568="",$AD568="Z",$AD568="B"),"",INDEX($X$5:$X$404,$AC568))</f>
        <v/>
      </c>
      <c r="AJ568">
        <f>IF($AD568&lt;&gt;"T",0,ROUND(SUMIF(oil!$B$4:$B$63,$AF568,oil!$AE$4:$AE$63),2))</f>
        <v/>
      </c>
      <c r="AQ568">
        <f>IF(OR($AD568="",$AD568="Z"),"",INDEX($AN$5:$AN$404,$AC568))</f>
        <v/>
      </c>
      <c r="AZ568">
        <f>IF(AND($AD568="T",$AQ568=1),N($AZ567)+1,N($AZ567))</f>
        <v/>
      </c>
    </row>
    <row r="569" ht="21" customHeight="1" s="66">
      <c r="A569" s="69">
        <f>IF($AD569="","",IF($AD569="Z","รวมจ่ายทั้งสิ้น",IF($AD569="H",INDEX($X$5:$X$404,$AC569),IF($AD569="T","รวม",IF($AD569="B",IFERROR(INDEX(อัตราค่าขนส่ง!$S$5:$S$14,MATCH(INDEX($AM$5:$AM$404,$AC569),อัตราค่าขนส่ง!$R$5:$R$14,0)),"รวมกลุ่ม "&amp;INDEX($AM$5:$AM$404,$AC569)),INDEX($AY$5:$AY$404,$AC569))))))</f>
        <v/>
      </c>
      <c r="B569" s="31">
        <f>IF($AD569&lt;&gt;"D","",INDEX($AW$5:$AW$404,$AC569))</f>
        <v/>
      </c>
      <c r="C569" s="68">
        <f>IF($AD569&lt;&gt;"D","",INDEX($AX$5:$AX$404,$AC569))</f>
        <v/>
      </c>
      <c r="D569" s="70">
        <f>IF($AD569&lt;&gt;"D","",INDEX($BA$5:$BA$404,$AC569))</f>
        <v/>
      </c>
      <c r="E569" s="31">
        <f>IF($AD569="Z",SUM($AR$5:$AR$404),IF($AD569="D",INDEX($AR$5:$AR$404,$AC569),IF($AD569="T",SUMIF($X$5:$X$404,$AF569,$AR$5:$AR$404),IF($AD569="B",SUMIF($AN$5:$AN$404,$AQ569,$AR$5:$AR$404),""))))</f>
        <v/>
      </c>
      <c r="F569" s="32">
        <f>IF($AD569="Z",ROUND(SUM($AS$5:$AS$404),2),IF($AD569="D",INDEX($AS$5:$AS$404,$AC569),IF($AD569="T",ROUND(SUMIF($X$5:$X$404,$AF569,$AS$5:$AS$404),2),IF($AD569="B",ROUND(SUMIF($AN$5:$AN$404,$AQ569,$AS$5:$AS$404),2),""))))</f>
        <v/>
      </c>
      <c r="G569" s="32">
        <f>IF($AD569&lt;&gt;"D","",INDEX($AT$5:$AT$404,$AC569))</f>
        <v/>
      </c>
      <c r="H569" s="32">
        <f>IF($AD569&lt;&gt;"D","",INDEX($BC$5:$BC$404,$AC569))</f>
        <v/>
      </c>
      <c r="I569" s="32">
        <f>IF($AD569&lt;&gt;"D","",INDEX($BD$5:$BD$404,$AC569))</f>
        <v/>
      </c>
      <c r="J569" s="46">
        <f>IF($AD569&lt;&gt;"D","",IF(N($B569)=0,"",ROUND($I569/$B569,4)))</f>
        <v/>
      </c>
      <c r="K569" s="32">
        <f>IF($AD569="Z",ROUND(SUM($AU$5:$AU$404),2),IF($AD569="D",INDEX($AU$5:$AU$404,$AC569),IF($AD569="T",ROUND(SUMIF($X$5:$X$404,$AF569,$AU$5:$AU$404),2),IF($AD569="B",ROUND(SUMIF($AN$5:$AN$404,$AQ569,$AU$5:$AU$404),2),""))))</f>
        <v/>
      </c>
      <c r="L569" s="32">
        <f>IF($AD569="Z",ROUND(SUM($AV$5:$AV$404),2),IF($AD569="D",INDEX($AV$5:$AV$404,$AC569),IF($AD569="T",ROUND(SUMIF($X$5:$X$404,$AF569,$AV$5:$AV$404),2),IF($AD569="B",ROUND(SUMIF($AN$5:$AN$404,$AQ569,$AV$5:$AV$404),2),""))))</f>
        <v/>
      </c>
      <c r="M569" s="32">
        <f>IF($AD569="Z",ROUND(SUM($AJ$5:$AJ$704),2),IF($AD569="B",ROUND(SUMIF($AQ$5:$AQ$704,$AQ569,$AJ$5:$AJ$704),2),IF($AD569&lt;&gt;"T","",$AJ569)))</f>
        <v/>
      </c>
      <c r="N569" s="32">
        <f>IF(OR($AD569="D",$AD569="T",$AD569="B",$AD569="Z"),ROUND(N($K569)-N($L569)-N($M569),2),"")</f>
        <v/>
      </c>
      <c r="O569" s="32">
        <f>IF(OR($AD569="D",$AD569="T",$AD569="B",$AD569="Z"),IF(N($E569)=0,"",ROUND($F569/$E569,2)),"")</f>
        <v/>
      </c>
      <c r="AC569">
        <f>IFERROR(MATCH(565,$AB$5:$AB$404,1),"")</f>
        <v/>
      </c>
      <c r="AD569">
        <f>IF(565=$AI$1+1,"Z",IF($AC569="","",IF(INDEX($V$5:$V$404,$AC569)="","",IF(565&gt;INDEX($AB$5:$AB$404,$AC569)+INDEX($Z$5:$Z$404,$AC569)+INDEX($AA$5:$AA$404,$AC569)+INDEX($AO$5:$AO$404,$AC569),"",IF(565=INDEX($AB$5:$AB$404,$AC569)+INDEX($Z$5:$Z$404,$AC569),"D",IF(AND(INDEX($Z$5:$Z$404,$AC569)=1,565=INDEX($AB$5:$AB$404,$AC569)),"H",IF(AND(INDEX($AO$5:$AO$404,$AC569)=1,565=INDEX($AB$5:$AB$404,$AC569)+INDEX($Z$5:$Z$404,$AC569)+INDEX($AA$5:$AA$404,$AC569)+INDEX($AO$5:$AO$404,$AC569)),"B","T")))))))</f>
        <v/>
      </c>
      <c r="AF569">
        <f>IF(OR($AD569="",$AD569="Z",$AD569="B"),"",INDEX($X$5:$X$404,$AC569))</f>
        <v/>
      </c>
      <c r="AJ569">
        <f>IF($AD569&lt;&gt;"T",0,ROUND(SUMIF(oil!$B$4:$B$63,$AF569,oil!$AE$4:$AE$63),2))</f>
        <v/>
      </c>
      <c r="AQ569">
        <f>IF(OR($AD569="",$AD569="Z"),"",INDEX($AN$5:$AN$404,$AC569))</f>
        <v/>
      </c>
      <c r="AZ569">
        <f>IF(AND($AD569="T",$AQ569=1),N($AZ568)+1,N($AZ568))</f>
        <v/>
      </c>
    </row>
    <row r="570" ht="21" customHeight="1" s="66">
      <c r="A570" s="69">
        <f>IF($AD570="","",IF($AD570="Z","รวมจ่ายทั้งสิ้น",IF($AD570="H",INDEX($X$5:$X$404,$AC570),IF($AD570="T","รวม",IF($AD570="B",IFERROR(INDEX(อัตราค่าขนส่ง!$S$5:$S$14,MATCH(INDEX($AM$5:$AM$404,$AC570),อัตราค่าขนส่ง!$R$5:$R$14,0)),"รวมกลุ่ม "&amp;INDEX($AM$5:$AM$404,$AC570)),INDEX($AY$5:$AY$404,$AC570))))))</f>
        <v/>
      </c>
      <c r="B570" s="31">
        <f>IF($AD570&lt;&gt;"D","",INDEX($AW$5:$AW$404,$AC570))</f>
        <v/>
      </c>
      <c r="C570" s="68">
        <f>IF($AD570&lt;&gt;"D","",INDEX($AX$5:$AX$404,$AC570))</f>
        <v/>
      </c>
      <c r="D570" s="70">
        <f>IF($AD570&lt;&gt;"D","",INDEX($BA$5:$BA$404,$AC570))</f>
        <v/>
      </c>
      <c r="E570" s="31">
        <f>IF($AD570="Z",SUM($AR$5:$AR$404),IF($AD570="D",INDEX($AR$5:$AR$404,$AC570),IF($AD570="T",SUMIF($X$5:$X$404,$AF570,$AR$5:$AR$404),IF($AD570="B",SUMIF($AN$5:$AN$404,$AQ570,$AR$5:$AR$404),""))))</f>
        <v/>
      </c>
      <c r="F570" s="32">
        <f>IF($AD570="Z",ROUND(SUM($AS$5:$AS$404),2),IF($AD570="D",INDEX($AS$5:$AS$404,$AC570),IF($AD570="T",ROUND(SUMIF($X$5:$X$404,$AF570,$AS$5:$AS$404),2),IF($AD570="B",ROUND(SUMIF($AN$5:$AN$404,$AQ570,$AS$5:$AS$404),2),""))))</f>
        <v/>
      </c>
      <c r="G570" s="32">
        <f>IF($AD570&lt;&gt;"D","",INDEX($AT$5:$AT$404,$AC570))</f>
        <v/>
      </c>
      <c r="H570" s="32">
        <f>IF($AD570&lt;&gt;"D","",INDEX($BC$5:$BC$404,$AC570))</f>
        <v/>
      </c>
      <c r="I570" s="32">
        <f>IF($AD570&lt;&gt;"D","",INDEX($BD$5:$BD$404,$AC570))</f>
        <v/>
      </c>
      <c r="J570" s="46">
        <f>IF($AD570&lt;&gt;"D","",IF(N($B570)=0,"",ROUND($I570/$B570,4)))</f>
        <v/>
      </c>
      <c r="K570" s="32">
        <f>IF($AD570="Z",ROUND(SUM($AU$5:$AU$404),2),IF($AD570="D",INDEX($AU$5:$AU$404,$AC570),IF($AD570="T",ROUND(SUMIF($X$5:$X$404,$AF570,$AU$5:$AU$404),2),IF($AD570="B",ROUND(SUMIF($AN$5:$AN$404,$AQ570,$AU$5:$AU$404),2),""))))</f>
        <v/>
      </c>
      <c r="L570" s="32">
        <f>IF($AD570="Z",ROUND(SUM($AV$5:$AV$404),2),IF($AD570="D",INDEX($AV$5:$AV$404,$AC570),IF($AD570="T",ROUND(SUMIF($X$5:$X$404,$AF570,$AV$5:$AV$404),2),IF($AD570="B",ROUND(SUMIF($AN$5:$AN$404,$AQ570,$AV$5:$AV$404),2),""))))</f>
        <v/>
      </c>
      <c r="M570" s="32">
        <f>IF($AD570="Z",ROUND(SUM($AJ$5:$AJ$704),2),IF($AD570="B",ROUND(SUMIF($AQ$5:$AQ$704,$AQ570,$AJ$5:$AJ$704),2),IF($AD570&lt;&gt;"T","",$AJ570)))</f>
        <v/>
      </c>
      <c r="N570" s="32">
        <f>IF(OR($AD570="D",$AD570="T",$AD570="B",$AD570="Z"),ROUND(N($K570)-N($L570)-N($M570),2),"")</f>
        <v/>
      </c>
      <c r="O570" s="32">
        <f>IF(OR($AD570="D",$AD570="T",$AD570="B",$AD570="Z"),IF(N($E570)=0,"",ROUND($F570/$E570,2)),"")</f>
        <v/>
      </c>
      <c r="AC570">
        <f>IFERROR(MATCH(566,$AB$5:$AB$404,1),"")</f>
        <v/>
      </c>
      <c r="AD570">
        <f>IF(566=$AI$1+1,"Z",IF($AC570="","",IF(INDEX($V$5:$V$404,$AC570)="","",IF(566&gt;INDEX($AB$5:$AB$404,$AC570)+INDEX($Z$5:$Z$404,$AC570)+INDEX($AA$5:$AA$404,$AC570)+INDEX($AO$5:$AO$404,$AC570),"",IF(566=INDEX($AB$5:$AB$404,$AC570)+INDEX($Z$5:$Z$404,$AC570),"D",IF(AND(INDEX($Z$5:$Z$404,$AC570)=1,566=INDEX($AB$5:$AB$404,$AC570)),"H",IF(AND(INDEX($AO$5:$AO$404,$AC570)=1,566=INDEX($AB$5:$AB$404,$AC570)+INDEX($Z$5:$Z$404,$AC570)+INDEX($AA$5:$AA$404,$AC570)+INDEX($AO$5:$AO$404,$AC570)),"B","T")))))))</f>
        <v/>
      </c>
      <c r="AF570">
        <f>IF(OR($AD570="",$AD570="Z",$AD570="B"),"",INDEX($X$5:$X$404,$AC570))</f>
        <v/>
      </c>
      <c r="AJ570">
        <f>IF($AD570&lt;&gt;"T",0,ROUND(SUMIF(oil!$B$4:$B$63,$AF570,oil!$AE$4:$AE$63),2))</f>
        <v/>
      </c>
      <c r="AQ570">
        <f>IF(OR($AD570="",$AD570="Z"),"",INDEX($AN$5:$AN$404,$AC570))</f>
        <v/>
      </c>
      <c r="AZ570">
        <f>IF(AND($AD570="T",$AQ570=1),N($AZ569)+1,N($AZ569))</f>
        <v/>
      </c>
    </row>
    <row r="571" ht="21" customHeight="1" s="66">
      <c r="A571" s="69">
        <f>IF($AD571="","",IF($AD571="Z","รวมจ่ายทั้งสิ้น",IF($AD571="H",INDEX($X$5:$X$404,$AC571),IF($AD571="T","รวม",IF($AD571="B",IFERROR(INDEX(อัตราค่าขนส่ง!$S$5:$S$14,MATCH(INDEX($AM$5:$AM$404,$AC571),อัตราค่าขนส่ง!$R$5:$R$14,0)),"รวมกลุ่ม "&amp;INDEX($AM$5:$AM$404,$AC571)),INDEX($AY$5:$AY$404,$AC571))))))</f>
        <v/>
      </c>
      <c r="B571" s="31">
        <f>IF($AD571&lt;&gt;"D","",INDEX($AW$5:$AW$404,$AC571))</f>
        <v/>
      </c>
      <c r="C571" s="68">
        <f>IF($AD571&lt;&gt;"D","",INDEX($AX$5:$AX$404,$AC571))</f>
        <v/>
      </c>
      <c r="D571" s="70">
        <f>IF($AD571&lt;&gt;"D","",INDEX($BA$5:$BA$404,$AC571))</f>
        <v/>
      </c>
      <c r="E571" s="31">
        <f>IF($AD571="Z",SUM($AR$5:$AR$404),IF($AD571="D",INDEX($AR$5:$AR$404,$AC571),IF($AD571="T",SUMIF($X$5:$X$404,$AF571,$AR$5:$AR$404),IF($AD571="B",SUMIF($AN$5:$AN$404,$AQ571,$AR$5:$AR$404),""))))</f>
        <v/>
      </c>
      <c r="F571" s="32">
        <f>IF($AD571="Z",ROUND(SUM($AS$5:$AS$404),2),IF($AD571="D",INDEX($AS$5:$AS$404,$AC571),IF($AD571="T",ROUND(SUMIF($X$5:$X$404,$AF571,$AS$5:$AS$404),2),IF($AD571="B",ROUND(SUMIF($AN$5:$AN$404,$AQ571,$AS$5:$AS$404),2),""))))</f>
        <v/>
      </c>
      <c r="G571" s="32">
        <f>IF($AD571&lt;&gt;"D","",INDEX($AT$5:$AT$404,$AC571))</f>
        <v/>
      </c>
      <c r="H571" s="32">
        <f>IF($AD571&lt;&gt;"D","",INDEX($BC$5:$BC$404,$AC571))</f>
        <v/>
      </c>
      <c r="I571" s="32">
        <f>IF($AD571&lt;&gt;"D","",INDEX($BD$5:$BD$404,$AC571))</f>
        <v/>
      </c>
      <c r="J571" s="46">
        <f>IF($AD571&lt;&gt;"D","",IF(N($B571)=0,"",ROUND($I571/$B571,4)))</f>
        <v/>
      </c>
      <c r="K571" s="32">
        <f>IF($AD571="Z",ROUND(SUM($AU$5:$AU$404),2),IF($AD571="D",INDEX($AU$5:$AU$404,$AC571),IF($AD571="T",ROUND(SUMIF($X$5:$X$404,$AF571,$AU$5:$AU$404),2),IF($AD571="B",ROUND(SUMIF($AN$5:$AN$404,$AQ571,$AU$5:$AU$404),2),""))))</f>
        <v/>
      </c>
      <c r="L571" s="32">
        <f>IF($AD571="Z",ROUND(SUM($AV$5:$AV$404),2),IF($AD571="D",INDEX($AV$5:$AV$404,$AC571),IF($AD571="T",ROUND(SUMIF($X$5:$X$404,$AF571,$AV$5:$AV$404),2),IF($AD571="B",ROUND(SUMIF($AN$5:$AN$404,$AQ571,$AV$5:$AV$404),2),""))))</f>
        <v/>
      </c>
      <c r="M571" s="32">
        <f>IF($AD571="Z",ROUND(SUM($AJ$5:$AJ$704),2),IF($AD571="B",ROUND(SUMIF($AQ$5:$AQ$704,$AQ571,$AJ$5:$AJ$704),2),IF($AD571&lt;&gt;"T","",$AJ571)))</f>
        <v/>
      </c>
      <c r="N571" s="32">
        <f>IF(OR($AD571="D",$AD571="T",$AD571="B",$AD571="Z"),ROUND(N($K571)-N($L571)-N($M571),2),"")</f>
        <v/>
      </c>
      <c r="O571" s="32">
        <f>IF(OR($AD571="D",$AD571="T",$AD571="B",$AD571="Z"),IF(N($E571)=0,"",ROUND($F571/$E571,2)),"")</f>
        <v/>
      </c>
      <c r="AC571">
        <f>IFERROR(MATCH(567,$AB$5:$AB$404,1),"")</f>
        <v/>
      </c>
      <c r="AD571">
        <f>IF(567=$AI$1+1,"Z",IF($AC571="","",IF(INDEX($V$5:$V$404,$AC571)="","",IF(567&gt;INDEX($AB$5:$AB$404,$AC571)+INDEX($Z$5:$Z$404,$AC571)+INDEX($AA$5:$AA$404,$AC571)+INDEX($AO$5:$AO$404,$AC571),"",IF(567=INDEX($AB$5:$AB$404,$AC571)+INDEX($Z$5:$Z$404,$AC571),"D",IF(AND(INDEX($Z$5:$Z$404,$AC571)=1,567=INDEX($AB$5:$AB$404,$AC571)),"H",IF(AND(INDEX($AO$5:$AO$404,$AC571)=1,567=INDEX($AB$5:$AB$404,$AC571)+INDEX($Z$5:$Z$404,$AC571)+INDEX($AA$5:$AA$404,$AC571)+INDEX($AO$5:$AO$404,$AC571)),"B","T")))))))</f>
        <v/>
      </c>
      <c r="AF571">
        <f>IF(OR($AD571="",$AD571="Z",$AD571="B"),"",INDEX($X$5:$X$404,$AC571))</f>
        <v/>
      </c>
      <c r="AJ571">
        <f>IF($AD571&lt;&gt;"T",0,ROUND(SUMIF(oil!$B$4:$B$63,$AF571,oil!$AE$4:$AE$63),2))</f>
        <v/>
      </c>
      <c r="AQ571">
        <f>IF(OR($AD571="",$AD571="Z"),"",INDEX($AN$5:$AN$404,$AC571))</f>
        <v/>
      </c>
      <c r="AZ571">
        <f>IF(AND($AD571="T",$AQ571=1),N($AZ570)+1,N($AZ570))</f>
        <v/>
      </c>
    </row>
    <row r="572" ht="21" customHeight="1" s="66">
      <c r="A572" s="69">
        <f>IF($AD572="","",IF($AD572="Z","รวมจ่ายทั้งสิ้น",IF($AD572="H",INDEX($X$5:$X$404,$AC572),IF($AD572="T","รวม",IF($AD572="B",IFERROR(INDEX(อัตราค่าขนส่ง!$S$5:$S$14,MATCH(INDEX($AM$5:$AM$404,$AC572),อัตราค่าขนส่ง!$R$5:$R$14,0)),"รวมกลุ่ม "&amp;INDEX($AM$5:$AM$404,$AC572)),INDEX($AY$5:$AY$404,$AC572))))))</f>
        <v/>
      </c>
      <c r="B572" s="31">
        <f>IF($AD572&lt;&gt;"D","",INDEX($AW$5:$AW$404,$AC572))</f>
        <v/>
      </c>
      <c r="C572" s="68">
        <f>IF($AD572&lt;&gt;"D","",INDEX($AX$5:$AX$404,$AC572))</f>
        <v/>
      </c>
      <c r="D572" s="70">
        <f>IF($AD572&lt;&gt;"D","",INDEX($BA$5:$BA$404,$AC572))</f>
        <v/>
      </c>
      <c r="E572" s="31">
        <f>IF($AD572="Z",SUM($AR$5:$AR$404),IF($AD572="D",INDEX($AR$5:$AR$404,$AC572),IF($AD572="T",SUMIF($X$5:$X$404,$AF572,$AR$5:$AR$404),IF($AD572="B",SUMIF($AN$5:$AN$404,$AQ572,$AR$5:$AR$404),""))))</f>
        <v/>
      </c>
      <c r="F572" s="32">
        <f>IF($AD572="Z",ROUND(SUM($AS$5:$AS$404),2),IF($AD572="D",INDEX($AS$5:$AS$404,$AC572),IF($AD572="T",ROUND(SUMIF($X$5:$X$404,$AF572,$AS$5:$AS$404),2),IF($AD572="B",ROUND(SUMIF($AN$5:$AN$404,$AQ572,$AS$5:$AS$404),2),""))))</f>
        <v/>
      </c>
      <c r="G572" s="32">
        <f>IF($AD572&lt;&gt;"D","",INDEX($AT$5:$AT$404,$AC572))</f>
        <v/>
      </c>
      <c r="H572" s="32">
        <f>IF($AD572&lt;&gt;"D","",INDEX($BC$5:$BC$404,$AC572))</f>
        <v/>
      </c>
      <c r="I572" s="32">
        <f>IF($AD572&lt;&gt;"D","",INDEX($BD$5:$BD$404,$AC572))</f>
        <v/>
      </c>
      <c r="J572" s="46">
        <f>IF($AD572&lt;&gt;"D","",IF(N($B572)=0,"",ROUND($I572/$B572,4)))</f>
        <v/>
      </c>
      <c r="K572" s="32">
        <f>IF($AD572="Z",ROUND(SUM($AU$5:$AU$404),2),IF($AD572="D",INDEX($AU$5:$AU$404,$AC572),IF($AD572="T",ROUND(SUMIF($X$5:$X$404,$AF572,$AU$5:$AU$404),2),IF($AD572="B",ROUND(SUMIF($AN$5:$AN$404,$AQ572,$AU$5:$AU$404),2),""))))</f>
        <v/>
      </c>
      <c r="L572" s="32">
        <f>IF($AD572="Z",ROUND(SUM($AV$5:$AV$404),2),IF($AD572="D",INDEX($AV$5:$AV$404,$AC572),IF($AD572="T",ROUND(SUMIF($X$5:$X$404,$AF572,$AV$5:$AV$404),2),IF($AD572="B",ROUND(SUMIF($AN$5:$AN$404,$AQ572,$AV$5:$AV$404),2),""))))</f>
        <v/>
      </c>
      <c r="M572" s="32">
        <f>IF($AD572="Z",ROUND(SUM($AJ$5:$AJ$704),2),IF($AD572="B",ROUND(SUMIF($AQ$5:$AQ$704,$AQ572,$AJ$5:$AJ$704),2),IF($AD572&lt;&gt;"T","",$AJ572)))</f>
        <v/>
      </c>
      <c r="N572" s="32">
        <f>IF(OR($AD572="D",$AD572="T",$AD572="B",$AD572="Z"),ROUND(N($K572)-N($L572)-N($M572),2),"")</f>
        <v/>
      </c>
      <c r="O572" s="32">
        <f>IF(OR($AD572="D",$AD572="T",$AD572="B",$AD572="Z"),IF(N($E572)=0,"",ROUND($F572/$E572,2)),"")</f>
        <v/>
      </c>
      <c r="AC572">
        <f>IFERROR(MATCH(568,$AB$5:$AB$404,1),"")</f>
        <v/>
      </c>
      <c r="AD572">
        <f>IF(568=$AI$1+1,"Z",IF($AC572="","",IF(INDEX($V$5:$V$404,$AC572)="","",IF(568&gt;INDEX($AB$5:$AB$404,$AC572)+INDEX($Z$5:$Z$404,$AC572)+INDEX($AA$5:$AA$404,$AC572)+INDEX($AO$5:$AO$404,$AC572),"",IF(568=INDEX($AB$5:$AB$404,$AC572)+INDEX($Z$5:$Z$404,$AC572),"D",IF(AND(INDEX($Z$5:$Z$404,$AC572)=1,568=INDEX($AB$5:$AB$404,$AC572)),"H",IF(AND(INDEX($AO$5:$AO$404,$AC572)=1,568=INDEX($AB$5:$AB$404,$AC572)+INDEX($Z$5:$Z$404,$AC572)+INDEX($AA$5:$AA$404,$AC572)+INDEX($AO$5:$AO$404,$AC572)),"B","T")))))))</f>
        <v/>
      </c>
      <c r="AF572">
        <f>IF(OR($AD572="",$AD572="Z",$AD572="B"),"",INDEX($X$5:$X$404,$AC572))</f>
        <v/>
      </c>
      <c r="AJ572">
        <f>IF($AD572&lt;&gt;"T",0,ROUND(SUMIF(oil!$B$4:$B$63,$AF572,oil!$AE$4:$AE$63),2))</f>
        <v/>
      </c>
      <c r="AQ572">
        <f>IF(OR($AD572="",$AD572="Z"),"",INDEX($AN$5:$AN$404,$AC572))</f>
        <v/>
      </c>
      <c r="AZ572">
        <f>IF(AND($AD572="T",$AQ572=1),N($AZ571)+1,N($AZ571))</f>
        <v/>
      </c>
    </row>
    <row r="573" ht="21" customHeight="1" s="66">
      <c r="A573" s="69">
        <f>IF($AD573="","",IF($AD573="Z","รวมจ่ายทั้งสิ้น",IF($AD573="H",INDEX($X$5:$X$404,$AC573),IF($AD573="T","รวม",IF($AD573="B",IFERROR(INDEX(อัตราค่าขนส่ง!$S$5:$S$14,MATCH(INDEX($AM$5:$AM$404,$AC573),อัตราค่าขนส่ง!$R$5:$R$14,0)),"รวมกลุ่ม "&amp;INDEX($AM$5:$AM$404,$AC573)),INDEX($AY$5:$AY$404,$AC573))))))</f>
        <v/>
      </c>
      <c r="B573" s="31">
        <f>IF($AD573&lt;&gt;"D","",INDEX($AW$5:$AW$404,$AC573))</f>
        <v/>
      </c>
      <c r="C573" s="68">
        <f>IF($AD573&lt;&gt;"D","",INDEX($AX$5:$AX$404,$AC573))</f>
        <v/>
      </c>
      <c r="D573" s="70">
        <f>IF($AD573&lt;&gt;"D","",INDEX($BA$5:$BA$404,$AC573))</f>
        <v/>
      </c>
      <c r="E573" s="31">
        <f>IF($AD573="Z",SUM($AR$5:$AR$404),IF($AD573="D",INDEX($AR$5:$AR$404,$AC573),IF($AD573="T",SUMIF($X$5:$X$404,$AF573,$AR$5:$AR$404),IF($AD573="B",SUMIF($AN$5:$AN$404,$AQ573,$AR$5:$AR$404),""))))</f>
        <v/>
      </c>
      <c r="F573" s="32">
        <f>IF($AD573="Z",ROUND(SUM($AS$5:$AS$404),2),IF($AD573="D",INDEX($AS$5:$AS$404,$AC573),IF($AD573="T",ROUND(SUMIF($X$5:$X$404,$AF573,$AS$5:$AS$404),2),IF($AD573="B",ROUND(SUMIF($AN$5:$AN$404,$AQ573,$AS$5:$AS$404),2),""))))</f>
        <v/>
      </c>
      <c r="G573" s="32">
        <f>IF($AD573&lt;&gt;"D","",INDEX($AT$5:$AT$404,$AC573))</f>
        <v/>
      </c>
      <c r="H573" s="32">
        <f>IF($AD573&lt;&gt;"D","",INDEX($BC$5:$BC$404,$AC573))</f>
        <v/>
      </c>
      <c r="I573" s="32">
        <f>IF($AD573&lt;&gt;"D","",INDEX($BD$5:$BD$404,$AC573))</f>
        <v/>
      </c>
      <c r="J573" s="46">
        <f>IF($AD573&lt;&gt;"D","",IF(N($B573)=0,"",ROUND($I573/$B573,4)))</f>
        <v/>
      </c>
      <c r="K573" s="32">
        <f>IF($AD573="Z",ROUND(SUM($AU$5:$AU$404),2),IF($AD573="D",INDEX($AU$5:$AU$404,$AC573),IF($AD573="T",ROUND(SUMIF($X$5:$X$404,$AF573,$AU$5:$AU$404),2),IF($AD573="B",ROUND(SUMIF($AN$5:$AN$404,$AQ573,$AU$5:$AU$404),2),""))))</f>
        <v/>
      </c>
      <c r="L573" s="32">
        <f>IF($AD573="Z",ROUND(SUM($AV$5:$AV$404),2),IF($AD573="D",INDEX($AV$5:$AV$404,$AC573),IF($AD573="T",ROUND(SUMIF($X$5:$X$404,$AF573,$AV$5:$AV$404),2),IF($AD573="B",ROUND(SUMIF($AN$5:$AN$404,$AQ573,$AV$5:$AV$404),2),""))))</f>
        <v/>
      </c>
      <c r="M573" s="32">
        <f>IF($AD573="Z",ROUND(SUM($AJ$5:$AJ$704),2),IF($AD573="B",ROUND(SUMIF($AQ$5:$AQ$704,$AQ573,$AJ$5:$AJ$704),2),IF($AD573&lt;&gt;"T","",$AJ573)))</f>
        <v/>
      </c>
      <c r="N573" s="32">
        <f>IF(OR($AD573="D",$AD573="T",$AD573="B",$AD573="Z"),ROUND(N($K573)-N($L573)-N($M573),2),"")</f>
        <v/>
      </c>
      <c r="O573" s="32">
        <f>IF(OR($AD573="D",$AD573="T",$AD573="B",$AD573="Z"),IF(N($E573)=0,"",ROUND($F573/$E573,2)),"")</f>
        <v/>
      </c>
      <c r="AC573">
        <f>IFERROR(MATCH(569,$AB$5:$AB$404,1),"")</f>
        <v/>
      </c>
      <c r="AD573">
        <f>IF(569=$AI$1+1,"Z",IF($AC573="","",IF(INDEX($V$5:$V$404,$AC573)="","",IF(569&gt;INDEX($AB$5:$AB$404,$AC573)+INDEX($Z$5:$Z$404,$AC573)+INDEX($AA$5:$AA$404,$AC573)+INDEX($AO$5:$AO$404,$AC573),"",IF(569=INDEX($AB$5:$AB$404,$AC573)+INDEX($Z$5:$Z$404,$AC573),"D",IF(AND(INDEX($Z$5:$Z$404,$AC573)=1,569=INDEX($AB$5:$AB$404,$AC573)),"H",IF(AND(INDEX($AO$5:$AO$404,$AC573)=1,569=INDEX($AB$5:$AB$404,$AC573)+INDEX($Z$5:$Z$404,$AC573)+INDEX($AA$5:$AA$404,$AC573)+INDEX($AO$5:$AO$404,$AC573)),"B","T")))))))</f>
        <v/>
      </c>
      <c r="AF573">
        <f>IF(OR($AD573="",$AD573="Z",$AD573="B"),"",INDEX($X$5:$X$404,$AC573))</f>
        <v/>
      </c>
      <c r="AJ573">
        <f>IF($AD573&lt;&gt;"T",0,ROUND(SUMIF(oil!$B$4:$B$63,$AF573,oil!$AE$4:$AE$63),2))</f>
        <v/>
      </c>
      <c r="AQ573">
        <f>IF(OR($AD573="",$AD573="Z"),"",INDEX($AN$5:$AN$404,$AC573))</f>
        <v/>
      </c>
      <c r="AZ573">
        <f>IF(AND($AD573="T",$AQ573=1),N($AZ572)+1,N($AZ572))</f>
        <v/>
      </c>
    </row>
    <row r="574" ht="21" customHeight="1" s="66">
      <c r="A574" s="69">
        <f>IF($AD574="","",IF($AD574="Z","รวมจ่ายทั้งสิ้น",IF($AD574="H",INDEX($X$5:$X$404,$AC574),IF($AD574="T","รวม",IF($AD574="B",IFERROR(INDEX(อัตราค่าขนส่ง!$S$5:$S$14,MATCH(INDEX($AM$5:$AM$404,$AC574),อัตราค่าขนส่ง!$R$5:$R$14,0)),"รวมกลุ่ม "&amp;INDEX($AM$5:$AM$404,$AC574)),INDEX($AY$5:$AY$404,$AC574))))))</f>
        <v/>
      </c>
      <c r="B574" s="31">
        <f>IF($AD574&lt;&gt;"D","",INDEX($AW$5:$AW$404,$AC574))</f>
        <v/>
      </c>
      <c r="C574" s="68">
        <f>IF($AD574&lt;&gt;"D","",INDEX($AX$5:$AX$404,$AC574))</f>
        <v/>
      </c>
      <c r="D574" s="70">
        <f>IF($AD574&lt;&gt;"D","",INDEX($BA$5:$BA$404,$AC574))</f>
        <v/>
      </c>
      <c r="E574" s="31">
        <f>IF($AD574="Z",SUM($AR$5:$AR$404),IF($AD574="D",INDEX($AR$5:$AR$404,$AC574),IF($AD574="T",SUMIF($X$5:$X$404,$AF574,$AR$5:$AR$404),IF($AD574="B",SUMIF($AN$5:$AN$404,$AQ574,$AR$5:$AR$404),""))))</f>
        <v/>
      </c>
      <c r="F574" s="32">
        <f>IF($AD574="Z",ROUND(SUM($AS$5:$AS$404),2),IF($AD574="D",INDEX($AS$5:$AS$404,$AC574),IF($AD574="T",ROUND(SUMIF($X$5:$X$404,$AF574,$AS$5:$AS$404),2),IF($AD574="B",ROUND(SUMIF($AN$5:$AN$404,$AQ574,$AS$5:$AS$404),2),""))))</f>
        <v/>
      </c>
      <c r="G574" s="32">
        <f>IF($AD574&lt;&gt;"D","",INDEX($AT$5:$AT$404,$AC574))</f>
        <v/>
      </c>
      <c r="H574" s="32">
        <f>IF($AD574&lt;&gt;"D","",INDEX($BC$5:$BC$404,$AC574))</f>
        <v/>
      </c>
      <c r="I574" s="32">
        <f>IF($AD574&lt;&gt;"D","",INDEX($BD$5:$BD$404,$AC574))</f>
        <v/>
      </c>
      <c r="J574" s="46">
        <f>IF($AD574&lt;&gt;"D","",IF(N($B574)=0,"",ROUND($I574/$B574,4)))</f>
        <v/>
      </c>
      <c r="K574" s="32">
        <f>IF($AD574="Z",ROUND(SUM($AU$5:$AU$404),2),IF($AD574="D",INDEX($AU$5:$AU$404,$AC574),IF($AD574="T",ROUND(SUMIF($X$5:$X$404,$AF574,$AU$5:$AU$404),2),IF($AD574="B",ROUND(SUMIF($AN$5:$AN$404,$AQ574,$AU$5:$AU$404),2),""))))</f>
        <v/>
      </c>
      <c r="L574" s="32">
        <f>IF($AD574="Z",ROUND(SUM($AV$5:$AV$404),2),IF($AD574="D",INDEX($AV$5:$AV$404,$AC574),IF($AD574="T",ROUND(SUMIF($X$5:$X$404,$AF574,$AV$5:$AV$404),2),IF($AD574="B",ROUND(SUMIF($AN$5:$AN$404,$AQ574,$AV$5:$AV$404),2),""))))</f>
        <v/>
      </c>
      <c r="M574" s="32">
        <f>IF($AD574="Z",ROUND(SUM($AJ$5:$AJ$704),2),IF($AD574="B",ROUND(SUMIF($AQ$5:$AQ$704,$AQ574,$AJ$5:$AJ$704),2),IF($AD574&lt;&gt;"T","",$AJ574)))</f>
        <v/>
      </c>
      <c r="N574" s="32">
        <f>IF(OR($AD574="D",$AD574="T",$AD574="B",$AD574="Z"),ROUND(N($K574)-N($L574)-N($M574),2),"")</f>
        <v/>
      </c>
      <c r="O574" s="32">
        <f>IF(OR($AD574="D",$AD574="T",$AD574="B",$AD574="Z"),IF(N($E574)=0,"",ROUND($F574/$E574,2)),"")</f>
        <v/>
      </c>
      <c r="AC574">
        <f>IFERROR(MATCH(570,$AB$5:$AB$404,1),"")</f>
        <v/>
      </c>
      <c r="AD574">
        <f>IF(570=$AI$1+1,"Z",IF($AC574="","",IF(INDEX($V$5:$V$404,$AC574)="","",IF(570&gt;INDEX($AB$5:$AB$404,$AC574)+INDEX($Z$5:$Z$404,$AC574)+INDEX($AA$5:$AA$404,$AC574)+INDEX($AO$5:$AO$404,$AC574),"",IF(570=INDEX($AB$5:$AB$404,$AC574)+INDEX($Z$5:$Z$404,$AC574),"D",IF(AND(INDEX($Z$5:$Z$404,$AC574)=1,570=INDEX($AB$5:$AB$404,$AC574)),"H",IF(AND(INDEX($AO$5:$AO$404,$AC574)=1,570=INDEX($AB$5:$AB$404,$AC574)+INDEX($Z$5:$Z$404,$AC574)+INDEX($AA$5:$AA$404,$AC574)+INDEX($AO$5:$AO$404,$AC574)),"B","T")))))))</f>
        <v/>
      </c>
      <c r="AF574">
        <f>IF(OR($AD574="",$AD574="Z",$AD574="B"),"",INDEX($X$5:$X$404,$AC574))</f>
        <v/>
      </c>
      <c r="AJ574">
        <f>IF($AD574&lt;&gt;"T",0,ROUND(SUMIF(oil!$B$4:$B$63,$AF574,oil!$AE$4:$AE$63),2))</f>
        <v/>
      </c>
      <c r="AQ574">
        <f>IF(OR($AD574="",$AD574="Z"),"",INDEX($AN$5:$AN$404,$AC574))</f>
        <v/>
      </c>
      <c r="AZ574">
        <f>IF(AND($AD574="T",$AQ574=1),N($AZ573)+1,N($AZ573))</f>
        <v/>
      </c>
    </row>
    <row r="575" ht="21" customHeight="1" s="66">
      <c r="A575" s="69">
        <f>IF($AD575="","",IF($AD575="Z","รวมจ่ายทั้งสิ้น",IF($AD575="H",INDEX($X$5:$X$404,$AC575),IF($AD575="T","รวม",IF($AD575="B",IFERROR(INDEX(อัตราค่าขนส่ง!$S$5:$S$14,MATCH(INDEX($AM$5:$AM$404,$AC575),อัตราค่าขนส่ง!$R$5:$R$14,0)),"รวมกลุ่ม "&amp;INDEX($AM$5:$AM$404,$AC575)),INDEX($AY$5:$AY$404,$AC575))))))</f>
        <v/>
      </c>
      <c r="B575" s="31">
        <f>IF($AD575&lt;&gt;"D","",INDEX($AW$5:$AW$404,$AC575))</f>
        <v/>
      </c>
      <c r="C575" s="68">
        <f>IF($AD575&lt;&gt;"D","",INDEX($AX$5:$AX$404,$AC575))</f>
        <v/>
      </c>
      <c r="D575" s="70">
        <f>IF($AD575&lt;&gt;"D","",INDEX($BA$5:$BA$404,$AC575))</f>
        <v/>
      </c>
      <c r="E575" s="31">
        <f>IF($AD575="Z",SUM($AR$5:$AR$404),IF($AD575="D",INDEX($AR$5:$AR$404,$AC575),IF($AD575="T",SUMIF($X$5:$X$404,$AF575,$AR$5:$AR$404),IF($AD575="B",SUMIF($AN$5:$AN$404,$AQ575,$AR$5:$AR$404),""))))</f>
        <v/>
      </c>
      <c r="F575" s="32">
        <f>IF($AD575="Z",ROUND(SUM($AS$5:$AS$404),2),IF($AD575="D",INDEX($AS$5:$AS$404,$AC575),IF($AD575="T",ROUND(SUMIF($X$5:$X$404,$AF575,$AS$5:$AS$404),2),IF($AD575="B",ROUND(SUMIF($AN$5:$AN$404,$AQ575,$AS$5:$AS$404),2),""))))</f>
        <v/>
      </c>
      <c r="G575" s="32">
        <f>IF($AD575&lt;&gt;"D","",INDEX($AT$5:$AT$404,$AC575))</f>
        <v/>
      </c>
      <c r="H575" s="32">
        <f>IF($AD575&lt;&gt;"D","",INDEX($BC$5:$BC$404,$AC575))</f>
        <v/>
      </c>
      <c r="I575" s="32">
        <f>IF($AD575&lt;&gt;"D","",INDEX($BD$5:$BD$404,$AC575))</f>
        <v/>
      </c>
      <c r="J575" s="46">
        <f>IF($AD575&lt;&gt;"D","",IF(N($B575)=0,"",ROUND($I575/$B575,4)))</f>
        <v/>
      </c>
      <c r="K575" s="32">
        <f>IF($AD575="Z",ROUND(SUM($AU$5:$AU$404),2),IF($AD575="D",INDEX($AU$5:$AU$404,$AC575),IF($AD575="T",ROUND(SUMIF($X$5:$X$404,$AF575,$AU$5:$AU$404),2),IF($AD575="B",ROUND(SUMIF($AN$5:$AN$404,$AQ575,$AU$5:$AU$404),2),""))))</f>
        <v/>
      </c>
      <c r="L575" s="32">
        <f>IF($AD575="Z",ROUND(SUM($AV$5:$AV$404),2),IF($AD575="D",INDEX($AV$5:$AV$404,$AC575),IF($AD575="T",ROUND(SUMIF($X$5:$X$404,$AF575,$AV$5:$AV$404),2),IF($AD575="B",ROUND(SUMIF($AN$5:$AN$404,$AQ575,$AV$5:$AV$404),2),""))))</f>
        <v/>
      </c>
      <c r="M575" s="32">
        <f>IF($AD575="Z",ROUND(SUM($AJ$5:$AJ$704),2),IF($AD575="B",ROUND(SUMIF($AQ$5:$AQ$704,$AQ575,$AJ$5:$AJ$704),2),IF($AD575&lt;&gt;"T","",$AJ575)))</f>
        <v/>
      </c>
      <c r="N575" s="32">
        <f>IF(OR($AD575="D",$AD575="T",$AD575="B",$AD575="Z"),ROUND(N($K575)-N($L575)-N($M575),2),"")</f>
        <v/>
      </c>
      <c r="O575" s="32">
        <f>IF(OR($AD575="D",$AD575="T",$AD575="B",$AD575="Z"),IF(N($E575)=0,"",ROUND($F575/$E575,2)),"")</f>
        <v/>
      </c>
      <c r="AC575">
        <f>IFERROR(MATCH(571,$AB$5:$AB$404,1),"")</f>
        <v/>
      </c>
      <c r="AD575">
        <f>IF(571=$AI$1+1,"Z",IF($AC575="","",IF(INDEX($V$5:$V$404,$AC575)="","",IF(571&gt;INDEX($AB$5:$AB$404,$AC575)+INDEX($Z$5:$Z$404,$AC575)+INDEX($AA$5:$AA$404,$AC575)+INDEX($AO$5:$AO$404,$AC575),"",IF(571=INDEX($AB$5:$AB$404,$AC575)+INDEX($Z$5:$Z$404,$AC575),"D",IF(AND(INDEX($Z$5:$Z$404,$AC575)=1,571=INDEX($AB$5:$AB$404,$AC575)),"H",IF(AND(INDEX($AO$5:$AO$404,$AC575)=1,571=INDEX($AB$5:$AB$404,$AC575)+INDEX($Z$5:$Z$404,$AC575)+INDEX($AA$5:$AA$404,$AC575)+INDEX($AO$5:$AO$404,$AC575)),"B","T")))))))</f>
        <v/>
      </c>
      <c r="AF575">
        <f>IF(OR($AD575="",$AD575="Z",$AD575="B"),"",INDEX($X$5:$X$404,$AC575))</f>
        <v/>
      </c>
      <c r="AJ575">
        <f>IF($AD575&lt;&gt;"T",0,ROUND(SUMIF(oil!$B$4:$B$63,$AF575,oil!$AE$4:$AE$63),2))</f>
        <v/>
      </c>
      <c r="AQ575">
        <f>IF(OR($AD575="",$AD575="Z"),"",INDEX($AN$5:$AN$404,$AC575))</f>
        <v/>
      </c>
      <c r="AZ575">
        <f>IF(AND($AD575="T",$AQ575=1),N($AZ574)+1,N($AZ574))</f>
        <v/>
      </c>
    </row>
    <row r="576" ht="21" customHeight="1" s="66">
      <c r="A576" s="69">
        <f>IF($AD576="","",IF($AD576="Z","รวมจ่ายทั้งสิ้น",IF($AD576="H",INDEX($X$5:$X$404,$AC576),IF($AD576="T","รวม",IF($AD576="B",IFERROR(INDEX(อัตราค่าขนส่ง!$S$5:$S$14,MATCH(INDEX($AM$5:$AM$404,$AC576),อัตราค่าขนส่ง!$R$5:$R$14,0)),"รวมกลุ่ม "&amp;INDEX($AM$5:$AM$404,$AC576)),INDEX($AY$5:$AY$404,$AC576))))))</f>
        <v/>
      </c>
      <c r="B576" s="31">
        <f>IF($AD576&lt;&gt;"D","",INDEX($AW$5:$AW$404,$AC576))</f>
        <v/>
      </c>
      <c r="C576" s="68">
        <f>IF($AD576&lt;&gt;"D","",INDEX($AX$5:$AX$404,$AC576))</f>
        <v/>
      </c>
      <c r="D576" s="70">
        <f>IF($AD576&lt;&gt;"D","",INDEX($BA$5:$BA$404,$AC576))</f>
        <v/>
      </c>
      <c r="E576" s="31">
        <f>IF($AD576="Z",SUM($AR$5:$AR$404),IF($AD576="D",INDEX($AR$5:$AR$404,$AC576),IF($AD576="T",SUMIF($X$5:$X$404,$AF576,$AR$5:$AR$404),IF($AD576="B",SUMIF($AN$5:$AN$404,$AQ576,$AR$5:$AR$404),""))))</f>
        <v/>
      </c>
      <c r="F576" s="32">
        <f>IF($AD576="Z",ROUND(SUM($AS$5:$AS$404),2),IF($AD576="D",INDEX($AS$5:$AS$404,$AC576),IF($AD576="T",ROUND(SUMIF($X$5:$X$404,$AF576,$AS$5:$AS$404),2),IF($AD576="B",ROUND(SUMIF($AN$5:$AN$404,$AQ576,$AS$5:$AS$404),2),""))))</f>
        <v/>
      </c>
      <c r="G576" s="32">
        <f>IF($AD576&lt;&gt;"D","",INDEX($AT$5:$AT$404,$AC576))</f>
        <v/>
      </c>
      <c r="H576" s="32">
        <f>IF($AD576&lt;&gt;"D","",INDEX($BC$5:$BC$404,$AC576))</f>
        <v/>
      </c>
      <c r="I576" s="32">
        <f>IF($AD576&lt;&gt;"D","",INDEX($BD$5:$BD$404,$AC576))</f>
        <v/>
      </c>
      <c r="J576" s="46">
        <f>IF($AD576&lt;&gt;"D","",IF(N($B576)=0,"",ROUND($I576/$B576,4)))</f>
        <v/>
      </c>
      <c r="K576" s="32">
        <f>IF($AD576="Z",ROUND(SUM($AU$5:$AU$404),2),IF($AD576="D",INDEX($AU$5:$AU$404,$AC576),IF($AD576="T",ROUND(SUMIF($X$5:$X$404,$AF576,$AU$5:$AU$404),2),IF($AD576="B",ROUND(SUMIF($AN$5:$AN$404,$AQ576,$AU$5:$AU$404),2),""))))</f>
        <v/>
      </c>
      <c r="L576" s="32">
        <f>IF($AD576="Z",ROUND(SUM($AV$5:$AV$404),2),IF($AD576="D",INDEX($AV$5:$AV$404,$AC576),IF($AD576="T",ROUND(SUMIF($X$5:$X$404,$AF576,$AV$5:$AV$404),2),IF($AD576="B",ROUND(SUMIF($AN$5:$AN$404,$AQ576,$AV$5:$AV$404),2),""))))</f>
        <v/>
      </c>
      <c r="M576" s="32">
        <f>IF($AD576="Z",ROUND(SUM($AJ$5:$AJ$704),2),IF($AD576="B",ROUND(SUMIF($AQ$5:$AQ$704,$AQ576,$AJ$5:$AJ$704),2),IF($AD576&lt;&gt;"T","",$AJ576)))</f>
        <v/>
      </c>
      <c r="N576" s="32">
        <f>IF(OR($AD576="D",$AD576="T",$AD576="B",$AD576="Z"),ROUND(N($K576)-N($L576)-N($M576),2),"")</f>
        <v/>
      </c>
      <c r="O576" s="32">
        <f>IF(OR($AD576="D",$AD576="T",$AD576="B",$AD576="Z"),IF(N($E576)=0,"",ROUND($F576/$E576,2)),"")</f>
        <v/>
      </c>
      <c r="AC576">
        <f>IFERROR(MATCH(572,$AB$5:$AB$404,1),"")</f>
        <v/>
      </c>
      <c r="AD576">
        <f>IF(572=$AI$1+1,"Z",IF($AC576="","",IF(INDEX($V$5:$V$404,$AC576)="","",IF(572&gt;INDEX($AB$5:$AB$404,$AC576)+INDEX($Z$5:$Z$404,$AC576)+INDEX($AA$5:$AA$404,$AC576)+INDEX($AO$5:$AO$404,$AC576),"",IF(572=INDEX($AB$5:$AB$404,$AC576)+INDEX($Z$5:$Z$404,$AC576),"D",IF(AND(INDEX($Z$5:$Z$404,$AC576)=1,572=INDEX($AB$5:$AB$404,$AC576)),"H",IF(AND(INDEX($AO$5:$AO$404,$AC576)=1,572=INDEX($AB$5:$AB$404,$AC576)+INDEX($Z$5:$Z$404,$AC576)+INDEX($AA$5:$AA$404,$AC576)+INDEX($AO$5:$AO$404,$AC576)),"B","T")))))))</f>
        <v/>
      </c>
      <c r="AF576">
        <f>IF(OR($AD576="",$AD576="Z",$AD576="B"),"",INDEX($X$5:$X$404,$AC576))</f>
        <v/>
      </c>
      <c r="AJ576">
        <f>IF($AD576&lt;&gt;"T",0,ROUND(SUMIF(oil!$B$4:$B$63,$AF576,oil!$AE$4:$AE$63),2))</f>
        <v/>
      </c>
      <c r="AQ576">
        <f>IF(OR($AD576="",$AD576="Z"),"",INDEX($AN$5:$AN$404,$AC576))</f>
        <v/>
      </c>
      <c r="AZ576">
        <f>IF(AND($AD576="T",$AQ576=1),N($AZ575)+1,N($AZ575))</f>
        <v/>
      </c>
    </row>
    <row r="577" ht="21" customHeight="1" s="66">
      <c r="A577" s="69">
        <f>IF($AD577="","",IF($AD577="Z","รวมจ่ายทั้งสิ้น",IF($AD577="H",INDEX($X$5:$X$404,$AC577),IF($AD577="T","รวม",IF($AD577="B",IFERROR(INDEX(อัตราค่าขนส่ง!$S$5:$S$14,MATCH(INDEX($AM$5:$AM$404,$AC577),อัตราค่าขนส่ง!$R$5:$R$14,0)),"รวมกลุ่ม "&amp;INDEX($AM$5:$AM$404,$AC577)),INDEX($AY$5:$AY$404,$AC577))))))</f>
        <v/>
      </c>
      <c r="B577" s="31">
        <f>IF($AD577&lt;&gt;"D","",INDEX($AW$5:$AW$404,$AC577))</f>
        <v/>
      </c>
      <c r="C577" s="68">
        <f>IF($AD577&lt;&gt;"D","",INDEX($AX$5:$AX$404,$AC577))</f>
        <v/>
      </c>
      <c r="D577" s="70">
        <f>IF($AD577&lt;&gt;"D","",INDEX($BA$5:$BA$404,$AC577))</f>
        <v/>
      </c>
      <c r="E577" s="31">
        <f>IF($AD577="Z",SUM($AR$5:$AR$404),IF($AD577="D",INDEX($AR$5:$AR$404,$AC577),IF($AD577="T",SUMIF($X$5:$X$404,$AF577,$AR$5:$AR$404),IF($AD577="B",SUMIF($AN$5:$AN$404,$AQ577,$AR$5:$AR$404),""))))</f>
        <v/>
      </c>
      <c r="F577" s="32">
        <f>IF($AD577="Z",ROUND(SUM($AS$5:$AS$404),2),IF($AD577="D",INDEX($AS$5:$AS$404,$AC577),IF($AD577="T",ROUND(SUMIF($X$5:$X$404,$AF577,$AS$5:$AS$404),2),IF($AD577="B",ROUND(SUMIF($AN$5:$AN$404,$AQ577,$AS$5:$AS$404),2),""))))</f>
        <v/>
      </c>
      <c r="G577" s="32">
        <f>IF($AD577&lt;&gt;"D","",INDEX($AT$5:$AT$404,$AC577))</f>
        <v/>
      </c>
      <c r="H577" s="32">
        <f>IF($AD577&lt;&gt;"D","",INDEX($BC$5:$BC$404,$AC577))</f>
        <v/>
      </c>
      <c r="I577" s="32">
        <f>IF($AD577&lt;&gt;"D","",INDEX($BD$5:$BD$404,$AC577))</f>
        <v/>
      </c>
      <c r="J577" s="46">
        <f>IF($AD577&lt;&gt;"D","",IF(N($B577)=0,"",ROUND($I577/$B577,4)))</f>
        <v/>
      </c>
      <c r="K577" s="32">
        <f>IF($AD577="Z",ROUND(SUM($AU$5:$AU$404),2),IF($AD577="D",INDEX($AU$5:$AU$404,$AC577),IF($AD577="T",ROUND(SUMIF($X$5:$X$404,$AF577,$AU$5:$AU$404),2),IF($AD577="B",ROUND(SUMIF($AN$5:$AN$404,$AQ577,$AU$5:$AU$404),2),""))))</f>
        <v/>
      </c>
      <c r="L577" s="32">
        <f>IF($AD577="Z",ROUND(SUM($AV$5:$AV$404),2),IF($AD577="D",INDEX($AV$5:$AV$404,$AC577),IF($AD577="T",ROUND(SUMIF($X$5:$X$404,$AF577,$AV$5:$AV$404),2),IF($AD577="B",ROUND(SUMIF($AN$5:$AN$404,$AQ577,$AV$5:$AV$404),2),""))))</f>
        <v/>
      </c>
      <c r="M577" s="32">
        <f>IF($AD577="Z",ROUND(SUM($AJ$5:$AJ$704),2),IF($AD577="B",ROUND(SUMIF($AQ$5:$AQ$704,$AQ577,$AJ$5:$AJ$704),2),IF($AD577&lt;&gt;"T","",$AJ577)))</f>
        <v/>
      </c>
      <c r="N577" s="32">
        <f>IF(OR($AD577="D",$AD577="T",$AD577="B",$AD577="Z"),ROUND(N($K577)-N($L577)-N($M577),2),"")</f>
        <v/>
      </c>
      <c r="O577" s="32">
        <f>IF(OR($AD577="D",$AD577="T",$AD577="B",$AD577="Z"),IF(N($E577)=0,"",ROUND($F577/$E577,2)),"")</f>
        <v/>
      </c>
      <c r="AC577">
        <f>IFERROR(MATCH(573,$AB$5:$AB$404,1),"")</f>
        <v/>
      </c>
      <c r="AD577">
        <f>IF(573=$AI$1+1,"Z",IF($AC577="","",IF(INDEX($V$5:$V$404,$AC577)="","",IF(573&gt;INDEX($AB$5:$AB$404,$AC577)+INDEX($Z$5:$Z$404,$AC577)+INDEX($AA$5:$AA$404,$AC577)+INDEX($AO$5:$AO$404,$AC577),"",IF(573=INDEX($AB$5:$AB$404,$AC577)+INDEX($Z$5:$Z$404,$AC577),"D",IF(AND(INDEX($Z$5:$Z$404,$AC577)=1,573=INDEX($AB$5:$AB$404,$AC577)),"H",IF(AND(INDEX($AO$5:$AO$404,$AC577)=1,573=INDEX($AB$5:$AB$404,$AC577)+INDEX($Z$5:$Z$404,$AC577)+INDEX($AA$5:$AA$404,$AC577)+INDEX($AO$5:$AO$404,$AC577)),"B","T")))))))</f>
        <v/>
      </c>
      <c r="AF577">
        <f>IF(OR($AD577="",$AD577="Z",$AD577="B"),"",INDEX($X$5:$X$404,$AC577))</f>
        <v/>
      </c>
      <c r="AJ577">
        <f>IF($AD577&lt;&gt;"T",0,ROUND(SUMIF(oil!$B$4:$B$63,$AF577,oil!$AE$4:$AE$63),2))</f>
        <v/>
      </c>
      <c r="AQ577">
        <f>IF(OR($AD577="",$AD577="Z"),"",INDEX($AN$5:$AN$404,$AC577))</f>
        <v/>
      </c>
      <c r="AZ577">
        <f>IF(AND($AD577="T",$AQ577=1),N($AZ576)+1,N($AZ576))</f>
        <v/>
      </c>
    </row>
    <row r="578" ht="21" customHeight="1" s="66">
      <c r="A578" s="69">
        <f>IF($AD578="","",IF($AD578="Z","รวมจ่ายทั้งสิ้น",IF($AD578="H",INDEX($X$5:$X$404,$AC578),IF($AD578="T","รวม",IF($AD578="B",IFERROR(INDEX(อัตราค่าขนส่ง!$S$5:$S$14,MATCH(INDEX($AM$5:$AM$404,$AC578),อัตราค่าขนส่ง!$R$5:$R$14,0)),"รวมกลุ่ม "&amp;INDEX($AM$5:$AM$404,$AC578)),INDEX($AY$5:$AY$404,$AC578))))))</f>
        <v/>
      </c>
      <c r="B578" s="31">
        <f>IF($AD578&lt;&gt;"D","",INDEX($AW$5:$AW$404,$AC578))</f>
        <v/>
      </c>
      <c r="C578" s="68">
        <f>IF($AD578&lt;&gt;"D","",INDEX($AX$5:$AX$404,$AC578))</f>
        <v/>
      </c>
      <c r="D578" s="70">
        <f>IF($AD578&lt;&gt;"D","",INDEX($BA$5:$BA$404,$AC578))</f>
        <v/>
      </c>
      <c r="E578" s="31">
        <f>IF($AD578="Z",SUM($AR$5:$AR$404),IF($AD578="D",INDEX($AR$5:$AR$404,$AC578),IF($AD578="T",SUMIF($X$5:$X$404,$AF578,$AR$5:$AR$404),IF($AD578="B",SUMIF($AN$5:$AN$404,$AQ578,$AR$5:$AR$404),""))))</f>
        <v/>
      </c>
      <c r="F578" s="32">
        <f>IF($AD578="Z",ROUND(SUM($AS$5:$AS$404),2),IF($AD578="D",INDEX($AS$5:$AS$404,$AC578),IF($AD578="T",ROUND(SUMIF($X$5:$X$404,$AF578,$AS$5:$AS$404),2),IF($AD578="B",ROUND(SUMIF($AN$5:$AN$404,$AQ578,$AS$5:$AS$404),2),""))))</f>
        <v/>
      </c>
      <c r="G578" s="32">
        <f>IF($AD578&lt;&gt;"D","",INDEX($AT$5:$AT$404,$AC578))</f>
        <v/>
      </c>
      <c r="H578" s="32">
        <f>IF($AD578&lt;&gt;"D","",INDEX($BC$5:$BC$404,$AC578))</f>
        <v/>
      </c>
      <c r="I578" s="32">
        <f>IF($AD578&lt;&gt;"D","",INDEX($BD$5:$BD$404,$AC578))</f>
        <v/>
      </c>
      <c r="J578" s="46">
        <f>IF($AD578&lt;&gt;"D","",IF(N($B578)=0,"",ROUND($I578/$B578,4)))</f>
        <v/>
      </c>
      <c r="K578" s="32">
        <f>IF($AD578="Z",ROUND(SUM($AU$5:$AU$404),2),IF($AD578="D",INDEX($AU$5:$AU$404,$AC578),IF($AD578="T",ROUND(SUMIF($X$5:$X$404,$AF578,$AU$5:$AU$404),2),IF($AD578="B",ROUND(SUMIF($AN$5:$AN$404,$AQ578,$AU$5:$AU$404),2),""))))</f>
        <v/>
      </c>
      <c r="L578" s="32">
        <f>IF($AD578="Z",ROUND(SUM($AV$5:$AV$404),2),IF($AD578="D",INDEX($AV$5:$AV$404,$AC578),IF($AD578="T",ROUND(SUMIF($X$5:$X$404,$AF578,$AV$5:$AV$404),2),IF($AD578="B",ROUND(SUMIF($AN$5:$AN$404,$AQ578,$AV$5:$AV$404),2),""))))</f>
        <v/>
      </c>
      <c r="M578" s="32">
        <f>IF($AD578="Z",ROUND(SUM($AJ$5:$AJ$704),2),IF($AD578="B",ROUND(SUMIF($AQ$5:$AQ$704,$AQ578,$AJ$5:$AJ$704),2),IF($AD578&lt;&gt;"T","",$AJ578)))</f>
        <v/>
      </c>
      <c r="N578" s="32">
        <f>IF(OR($AD578="D",$AD578="T",$AD578="B",$AD578="Z"),ROUND(N($K578)-N($L578)-N($M578),2),"")</f>
        <v/>
      </c>
      <c r="O578" s="32">
        <f>IF(OR($AD578="D",$AD578="T",$AD578="B",$AD578="Z"),IF(N($E578)=0,"",ROUND($F578/$E578,2)),"")</f>
        <v/>
      </c>
      <c r="AC578">
        <f>IFERROR(MATCH(574,$AB$5:$AB$404,1),"")</f>
        <v/>
      </c>
      <c r="AD578">
        <f>IF(574=$AI$1+1,"Z",IF($AC578="","",IF(INDEX($V$5:$V$404,$AC578)="","",IF(574&gt;INDEX($AB$5:$AB$404,$AC578)+INDEX($Z$5:$Z$404,$AC578)+INDEX($AA$5:$AA$404,$AC578)+INDEX($AO$5:$AO$404,$AC578),"",IF(574=INDEX($AB$5:$AB$404,$AC578)+INDEX($Z$5:$Z$404,$AC578),"D",IF(AND(INDEX($Z$5:$Z$404,$AC578)=1,574=INDEX($AB$5:$AB$404,$AC578)),"H",IF(AND(INDEX($AO$5:$AO$404,$AC578)=1,574=INDEX($AB$5:$AB$404,$AC578)+INDEX($Z$5:$Z$404,$AC578)+INDEX($AA$5:$AA$404,$AC578)+INDEX($AO$5:$AO$404,$AC578)),"B","T")))))))</f>
        <v/>
      </c>
      <c r="AF578">
        <f>IF(OR($AD578="",$AD578="Z",$AD578="B"),"",INDEX($X$5:$X$404,$AC578))</f>
        <v/>
      </c>
      <c r="AJ578">
        <f>IF($AD578&lt;&gt;"T",0,ROUND(SUMIF(oil!$B$4:$B$63,$AF578,oil!$AE$4:$AE$63),2))</f>
        <v/>
      </c>
      <c r="AQ578">
        <f>IF(OR($AD578="",$AD578="Z"),"",INDEX($AN$5:$AN$404,$AC578))</f>
        <v/>
      </c>
      <c r="AZ578">
        <f>IF(AND($AD578="T",$AQ578=1),N($AZ577)+1,N($AZ577))</f>
        <v/>
      </c>
    </row>
    <row r="579" ht="21" customHeight="1" s="66">
      <c r="A579" s="69">
        <f>IF($AD579="","",IF($AD579="Z","รวมจ่ายทั้งสิ้น",IF($AD579="H",INDEX($X$5:$X$404,$AC579),IF($AD579="T","รวม",IF($AD579="B",IFERROR(INDEX(อัตราค่าขนส่ง!$S$5:$S$14,MATCH(INDEX($AM$5:$AM$404,$AC579),อัตราค่าขนส่ง!$R$5:$R$14,0)),"รวมกลุ่ม "&amp;INDEX($AM$5:$AM$404,$AC579)),INDEX($AY$5:$AY$404,$AC579))))))</f>
        <v/>
      </c>
      <c r="B579" s="31">
        <f>IF($AD579&lt;&gt;"D","",INDEX($AW$5:$AW$404,$AC579))</f>
        <v/>
      </c>
      <c r="C579" s="68">
        <f>IF($AD579&lt;&gt;"D","",INDEX($AX$5:$AX$404,$AC579))</f>
        <v/>
      </c>
      <c r="D579" s="70">
        <f>IF($AD579&lt;&gt;"D","",INDEX($BA$5:$BA$404,$AC579))</f>
        <v/>
      </c>
      <c r="E579" s="31">
        <f>IF($AD579="Z",SUM($AR$5:$AR$404),IF($AD579="D",INDEX($AR$5:$AR$404,$AC579),IF($AD579="T",SUMIF($X$5:$X$404,$AF579,$AR$5:$AR$404),IF($AD579="B",SUMIF($AN$5:$AN$404,$AQ579,$AR$5:$AR$404),""))))</f>
        <v/>
      </c>
      <c r="F579" s="32">
        <f>IF($AD579="Z",ROUND(SUM($AS$5:$AS$404),2),IF($AD579="D",INDEX($AS$5:$AS$404,$AC579),IF($AD579="T",ROUND(SUMIF($X$5:$X$404,$AF579,$AS$5:$AS$404),2),IF($AD579="B",ROUND(SUMIF($AN$5:$AN$404,$AQ579,$AS$5:$AS$404),2),""))))</f>
        <v/>
      </c>
      <c r="G579" s="32">
        <f>IF($AD579&lt;&gt;"D","",INDEX($AT$5:$AT$404,$AC579))</f>
        <v/>
      </c>
      <c r="H579" s="32">
        <f>IF($AD579&lt;&gt;"D","",INDEX($BC$5:$BC$404,$AC579))</f>
        <v/>
      </c>
      <c r="I579" s="32">
        <f>IF($AD579&lt;&gt;"D","",INDEX($BD$5:$BD$404,$AC579))</f>
        <v/>
      </c>
      <c r="J579" s="46">
        <f>IF($AD579&lt;&gt;"D","",IF(N($B579)=0,"",ROUND($I579/$B579,4)))</f>
        <v/>
      </c>
      <c r="K579" s="32">
        <f>IF($AD579="Z",ROUND(SUM($AU$5:$AU$404),2),IF($AD579="D",INDEX($AU$5:$AU$404,$AC579),IF($AD579="T",ROUND(SUMIF($X$5:$X$404,$AF579,$AU$5:$AU$404),2),IF($AD579="B",ROUND(SUMIF($AN$5:$AN$404,$AQ579,$AU$5:$AU$404),2),""))))</f>
        <v/>
      </c>
      <c r="L579" s="32">
        <f>IF($AD579="Z",ROUND(SUM($AV$5:$AV$404),2),IF($AD579="D",INDEX($AV$5:$AV$404,$AC579),IF($AD579="T",ROUND(SUMIF($X$5:$X$404,$AF579,$AV$5:$AV$404),2),IF($AD579="B",ROUND(SUMIF($AN$5:$AN$404,$AQ579,$AV$5:$AV$404),2),""))))</f>
        <v/>
      </c>
      <c r="M579" s="32">
        <f>IF($AD579="Z",ROUND(SUM($AJ$5:$AJ$704),2),IF($AD579="B",ROUND(SUMIF($AQ$5:$AQ$704,$AQ579,$AJ$5:$AJ$704),2),IF($AD579&lt;&gt;"T","",$AJ579)))</f>
        <v/>
      </c>
      <c r="N579" s="32">
        <f>IF(OR($AD579="D",$AD579="T",$AD579="B",$AD579="Z"),ROUND(N($K579)-N($L579)-N($M579),2),"")</f>
        <v/>
      </c>
      <c r="O579" s="32">
        <f>IF(OR($AD579="D",$AD579="T",$AD579="B",$AD579="Z"),IF(N($E579)=0,"",ROUND($F579/$E579,2)),"")</f>
        <v/>
      </c>
      <c r="AC579">
        <f>IFERROR(MATCH(575,$AB$5:$AB$404,1),"")</f>
        <v/>
      </c>
      <c r="AD579">
        <f>IF(575=$AI$1+1,"Z",IF($AC579="","",IF(INDEX($V$5:$V$404,$AC579)="","",IF(575&gt;INDEX($AB$5:$AB$404,$AC579)+INDEX($Z$5:$Z$404,$AC579)+INDEX($AA$5:$AA$404,$AC579)+INDEX($AO$5:$AO$404,$AC579),"",IF(575=INDEX($AB$5:$AB$404,$AC579)+INDEX($Z$5:$Z$404,$AC579),"D",IF(AND(INDEX($Z$5:$Z$404,$AC579)=1,575=INDEX($AB$5:$AB$404,$AC579)),"H",IF(AND(INDEX($AO$5:$AO$404,$AC579)=1,575=INDEX($AB$5:$AB$404,$AC579)+INDEX($Z$5:$Z$404,$AC579)+INDEX($AA$5:$AA$404,$AC579)+INDEX($AO$5:$AO$404,$AC579)),"B","T")))))))</f>
        <v/>
      </c>
      <c r="AF579">
        <f>IF(OR($AD579="",$AD579="Z",$AD579="B"),"",INDEX($X$5:$X$404,$AC579))</f>
        <v/>
      </c>
      <c r="AJ579">
        <f>IF($AD579&lt;&gt;"T",0,ROUND(SUMIF(oil!$B$4:$B$63,$AF579,oil!$AE$4:$AE$63),2))</f>
        <v/>
      </c>
      <c r="AQ579">
        <f>IF(OR($AD579="",$AD579="Z"),"",INDEX($AN$5:$AN$404,$AC579))</f>
        <v/>
      </c>
      <c r="AZ579">
        <f>IF(AND($AD579="T",$AQ579=1),N($AZ578)+1,N($AZ578))</f>
        <v/>
      </c>
    </row>
    <row r="580" ht="21" customHeight="1" s="66">
      <c r="A580" s="69">
        <f>IF($AD580="","",IF($AD580="Z","รวมจ่ายทั้งสิ้น",IF($AD580="H",INDEX($X$5:$X$404,$AC580),IF($AD580="T","รวม",IF($AD580="B",IFERROR(INDEX(อัตราค่าขนส่ง!$S$5:$S$14,MATCH(INDEX($AM$5:$AM$404,$AC580),อัตราค่าขนส่ง!$R$5:$R$14,0)),"รวมกลุ่ม "&amp;INDEX($AM$5:$AM$404,$AC580)),INDEX($AY$5:$AY$404,$AC580))))))</f>
        <v/>
      </c>
      <c r="B580" s="31">
        <f>IF($AD580&lt;&gt;"D","",INDEX($AW$5:$AW$404,$AC580))</f>
        <v/>
      </c>
      <c r="C580" s="68">
        <f>IF($AD580&lt;&gt;"D","",INDEX($AX$5:$AX$404,$AC580))</f>
        <v/>
      </c>
      <c r="D580" s="70">
        <f>IF($AD580&lt;&gt;"D","",INDEX($BA$5:$BA$404,$AC580))</f>
        <v/>
      </c>
      <c r="E580" s="31">
        <f>IF($AD580="Z",SUM($AR$5:$AR$404),IF($AD580="D",INDEX($AR$5:$AR$404,$AC580),IF($AD580="T",SUMIF($X$5:$X$404,$AF580,$AR$5:$AR$404),IF($AD580="B",SUMIF($AN$5:$AN$404,$AQ580,$AR$5:$AR$404),""))))</f>
        <v/>
      </c>
      <c r="F580" s="32">
        <f>IF($AD580="Z",ROUND(SUM($AS$5:$AS$404),2),IF($AD580="D",INDEX($AS$5:$AS$404,$AC580),IF($AD580="T",ROUND(SUMIF($X$5:$X$404,$AF580,$AS$5:$AS$404),2),IF($AD580="B",ROUND(SUMIF($AN$5:$AN$404,$AQ580,$AS$5:$AS$404),2),""))))</f>
        <v/>
      </c>
      <c r="G580" s="32">
        <f>IF($AD580&lt;&gt;"D","",INDEX($AT$5:$AT$404,$AC580))</f>
        <v/>
      </c>
      <c r="H580" s="32">
        <f>IF($AD580&lt;&gt;"D","",INDEX($BC$5:$BC$404,$AC580))</f>
        <v/>
      </c>
      <c r="I580" s="32">
        <f>IF($AD580&lt;&gt;"D","",INDEX($BD$5:$BD$404,$AC580))</f>
        <v/>
      </c>
      <c r="J580" s="46">
        <f>IF($AD580&lt;&gt;"D","",IF(N($B580)=0,"",ROUND($I580/$B580,4)))</f>
        <v/>
      </c>
      <c r="K580" s="32">
        <f>IF($AD580="Z",ROUND(SUM($AU$5:$AU$404),2),IF($AD580="D",INDEX($AU$5:$AU$404,$AC580),IF($AD580="T",ROUND(SUMIF($X$5:$X$404,$AF580,$AU$5:$AU$404),2),IF($AD580="B",ROUND(SUMIF($AN$5:$AN$404,$AQ580,$AU$5:$AU$404),2),""))))</f>
        <v/>
      </c>
      <c r="L580" s="32">
        <f>IF($AD580="Z",ROUND(SUM($AV$5:$AV$404),2),IF($AD580="D",INDEX($AV$5:$AV$404,$AC580),IF($AD580="T",ROUND(SUMIF($X$5:$X$404,$AF580,$AV$5:$AV$404),2),IF($AD580="B",ROUND(SUMIF($AN$5:$AN$404,$AQ580,$AV$5:$AV$404),2),""))))</f>
        <v/>
      </c>
      <c r="M580" s="32">
        <f>IF($AD580="Z",ROUND(SUM($AJ$5:$AJ$704),2),IF($AD580="B",ROUND(SUMIF($AQ$5:$AQ$704,$AQ580,$AJ$5:$AJ$704),2),IF($AD580&lt;&gt;"T","",$AJ580)))</f>
        <v/>
      </c>
      <c r="N580" s="32">
        <f>IF(OR($AD580="D",$AD580="T",$AD580="B",$AD580="Z"),ROUND(N($K580)-N($L580)-N($M580),2),"")</f>
        <v/>
      </c>
      <c r="O580" s="32">
        <f>IF(OR($AD580="D",$AD580="T",$AD580="B",$AD580="Z"),IF(N($E580)=0,"",ROUND($F580/$E580,2)),"")</f>
        <v/>
      </c>
      <c r="AC580">
        <f>IFERROR(MATCH(576,$AB$5:$AB$404,1),"")</f>
        <v/>
      </c>
      <c r="AD580">
        <f>IF(576=$AI$1+1,"Z",IF($AC580="","",IF(INDEX($V$5:$V$404,$AC580)="","",IF(576&gt;INDEX($AB$5:$AB$404,$AC580)+INDEX($Z$5:$Z$404,$AC580)+INDEX($AA$5:$AA$404,$AC580)+INDEX($AO$5:$AO$404,$AC580),"",IF(576=INDEX($AB$5:$AB$404,$AC580)+INDEX($Z$5:$Z$404,$AC580),"D",IF(AND(INDEX($Z$5:$Z$404,$AC580)=1,576=INDEX($AB$5:$AB$404,$AC580)),"H",IF(AND(INDEX($AO$5:$AO$404,$AC580)=1,576=INDEX($AB$5:$AB$404,$AC580)+INDEX($Z$5:$Z$404,$AC580)+INDEX($AA$5:$AA$404,$AC580)+INDEX($AO$5:$AO$404,$AC580)),"B","T")))))))</f>
        <v/>
      </c>
      <c r="AF580">
        <f>IF(OR($AD580="",$AD580="Z",$AD580="B"),"",INDEX($X$5:$X$404,$AC580))</f>
        <v/>
      </c>
      <c r="AJ580">
        <f>IF($AD580&lt;&gt;"T",0,ROUND(SUMIF(oil!$B$4:$B$63,$AF580,oil!$AE$4:$AE$63),2))</f>
        <v/>
      </c>
      <c r="AQ580">
        <f>IF(OR($AD580="",$AD580="Z"),"",INDEX($AN$5:$AN$404,$AC580))</f>
        <v/>
      </c>
      <c r="AZ580">
        <f>IF(AND($AD580="T",$AQ580=1),N($AZ579)+1,N($AZ579))</f>
        <v/>
      </c>
    </row>
    <row r="581" ht="21" customHeight="1" s="66">
      <c r="A581" s="69">
        <f>IF($AD581="","",IF($AD581="Z","รวมจ่ายทั้งสิ้น",IF($AD581="H",INDEX($X$5:$X$404,$AC581),IF($AD581="T","รวม",IF($AD581="B",IFERROR(INDEX(อัตราค่าขนส่ง!$S$5:$S$14,MATCH(INDEX($AM$5:$AM$404,$AC581),อัตราค่าขนส่ง!$R$5:$R$14,0)),"รวมกลุ่ม "&amp;INDEX($AM$5:$AM$404,$AC581)),INDEX($AY$5:$AY$404,$AC581))))))</f>
        <v/>
      </c>
      <c r="B581" s="31">
        <f>IF($AD581&lt;&gt;"D","",INDEX($AW$5:$AW$404,$AC581))</f>
        <v/>
      </c>
      <c r="C581" s="68">
        <f>IF($AD581&lt;&gt;"D","",INDEX($AX$5:$AX$404,$AC581))</f>
        <v/>
      </c>
      <c r="D581" s="70">
        <f>IF($AD581&lt;&gt;"D","",INDEX($BA$5:$BA$404,$AC581))</f>
        <v/>
      </c>
      <c r="E581" s="31">
        <f>IF($AD581="Z",SUM($AR$5:$AR$404),IF($AD581="D",INDEX($AR$5:$AR$404,$AC581),IF($AD581="T",SUMIF($X$5:$X$404,$AF581,$AR$5:$AR$404),IF($AD581="B",SUMIF($AN$5:$AN$404,$AQ581,$AR$5:$AR$404),""))))</f>
        <v/>
      </c>
      <c r="F581" s="32">
        <f>IF($AD581="Z",ROUND(SUM($AS$5:$AS$404),2),IF($AD581="D",INDEX($AS$5:$AS$404,$AC581),IF($AD581="T",ROUND(SUMIF($X$5:$X$404,$AF581,$AS$5:$AS$404),2),IF($AD581="B",ROUND(SUMIF($AN$5:$AN$404,$AQ581,$AS$5:$AS$404),2),""))))</f>
        <v/>
      </c>
      <c r="G581" s="32">
        <f>IF($AD581&lt;&gt;"D","",INDEX($AT$5:$AT$404,$AC581))</f>
        <v/>
      </c>
      <c r="H581" s="32">
        <f>IF($AD581&lt;&gt;"D","",INDEX($BC$5:$BC$404,$AC581))</f>
        <v/>
      </c>
      <c r="I581" s="32">
        <f>IF($AD581&lt;&gt;"D","",INDEX($BD$5:$BD$404,$AC581))</f>
        <v/>
      </c>
      <c r="J581" s="46">
        <f>IF($AD581&lt;&gt;"D","",IF(N($B581)=0,"",ROUND($I581/$B581,4)))</f>
        <v/>
      </c>
      <c r="K581" s="32">
        <f>IF($AD581="Z",ROUND(SUM($AU$5:$AU$404),2),IF($AD581="D",INDEX($AU$5:$AU$404,$AC581),IF($AD581="T",ROUND(SUMIF($X$5:$X$404,$AF581,$AU$5:$AU$404),2),IF($AD581="B",ROUND(SUMIF($AN$5:$AN$404,$AQ581,$AU$5:$AU$404),2),""))))</f>
        <v/>
      </c>
      <c r="L581" s="32">
        <f>IF($AD581="Z",ROUND(SUM($AV$5:$AV$404),2),IF($AD581="D",INDEX($AV$5:$AV$404,$AC581),IF($AD581="T",ROUND(SUMIF($X$5:$X$404,$AF581,$AV$5:$AV$404),2),IF($AD581="B",ROUND(SUMIF($AN$5:$AN$404,$AQ581,$AV$5:$AV$404),2),""))))</f>
        <v/>
      </c>
      <c r="M581" s="32">
        <f>IF($AD581="Z",ROUND(SUM($AJ$5:$AJ$704),2),IF($AD581="B",ROUND(SUMIF($AQ$5:$AQ$704,$AQ581,$AJ$5:$AJ$704),2),IF($AD581&lt;&gt;"T","",$AJ581)))</f>
        <v/>
      </c>
      <c r="N581" s="32">
        <f>IF(OR($AD581="D",$AD581="T",$AD581="B",$AD581="Z"),ROUND(N($K581)-N($L581)-N($M581),2),"")</f>
        <v/>
      </c>
      <c r="O581" s="32">
        <f>IF(OR($AD581="D",$AD581="T",$AD581="B",$AD581="Z"),IF(N($E581)=0,"",ROUND($F581/$E581,2)),"")</f>
        <v/>
      </c>
      <c r="AC581">
        <f>IFERROR(MATCH(577,$AB$5:$AB$404,1),"")</f>
        <v/>
      </c>
      <c r="AD581">
        <f>IF(577=$AI$1+1,"Z",IF($AC581="","",IF(INDEX($V$5:$V$404,$AC581)="","",IF(577&gt;INDEX($AB$5:$AB$404,$AC581)+INDEX($Z$5:$Z$404,$AC581)+INDEX($AA$5:$AA$404,$AC581)+INDEX($AO$5:$AO$404,$AC581),"",IF(577=INDEX($AB$5:$AB$404,$AC581)+INDEX($Z$5:$Z$404,$AC581),"D",IF(AND(INDEX($Z$5:$Z$404,$AC581)=1,577=INDEX($AB$5:$AB$404,$AC581)),"H",IF(AND(INDEX($AO$5:$AO$404,$AC581)=1,577=INDEX($AB$5:$AB$404,$AC581)+INDEX($Z$5:$Z$404,$AC581)+INDEX($AA$5:$AA$404,$AC581)+INDEX($AO$5:$AO$404,$AC581)),"B","T")))))))</f>
        <v/>
      </c>
      <c r="AF581">
        <f>IF(OR($AD581="",$AD581="Z",$AD581="B"),"",INDEX($X$5:$X$404,$AC581))</f>
        <v/>
      </c>
      <c r="AJ581">
        <f>IF($AD581&lt;&gt;"T",0,ROUND(SUMIF(oil!$B$4:$B$63,$AF581,oil!$AE$4:$AE$63),2))</f>
        <v/>
      </c>
      <c r="AQ581">
        <f>IF(OR($AD581="",$AD581="Z"),"",INDEX($AN$5:$AN$404,$AC581))</f>
        <v/>
      </c>
      <c r="AZ581">
        <f>IF(AND($AD581="T",$AQ581=1),N($AZ580)+1,N($AZ580))</f>
        <v/>
      </c>
    </row>
    <row r="582" ht="21" customHeight="1" s="66">
      <c r="A582" s="69">
        <f>IF($AD582="","",IF($AD582="Z","รวมจ่ายทั้งสิ้น",IF($AD582="H",INDEX($X$5:$X$404,$AC582),IF($AD582="T","รวม",IF($AD582="B",IFERROR(INDEX(อัตราค่าขนส่ง!$S$5:$S$14,MATCH(INDEX($AM$5:$AM$404,$AC582),อัตราค่าขนส่ง!$R$5:$R$14,0)),"รวมกลุ่ม "&amp;INDEX($AM$5:$AM$404,$AC582)),INDEX($AY$5:$AY$404,$AC582))))))</f>
        <v/>
      </c>
      <c r="B582" s="31">
        <f>IF($AD582&lt;&gt;"D","",INDEX($AW$5:$AW$404,$AC582))</f>
        <v/>
      </c>
      <c r="C582" s="68">
        <f>IF($AD582&lt;&gt;"D","",INDEX($AX$5:$AX$404,$AC582))</f>
        <v/>
      </c>
      <c r="D582" s="70">
        <f>IF($AD582&lt;&gt;"D","",INDEX($BA$5:$BA$404,$AC582))</f>
        <v/>
      </c>
      <c r="E582" s="31">
        <f>IF($AD582="Z",SUM($AR$5:$AR$404),IF($AD582="D",INDEX($AR$5:$AR$404,$AC582),IF($AD582="T",SUMIF($X$5:$X$404,$AF582,$AR$5:$AR$404),IF($AD582="B",SUMIF($AN$5:$AN$404,$AQ582,$AR$5:$AR$404),""))))</f>
        <v/>
      </c>
      <c r="F582" s="32">
        <f>IF($AD582="Z",ROUND(SUM($AS$5:$AS$404),2),IF($AD582="D",INDEX($AS$5:$AS$404,$AC582),IF($AD582="T",ROUND(SUMIF($X$5:$X$404,$AF582,$AS$5:$AS$404),2),IF($AD582="B",ROUND(SUMIF($AN$5:$AN$404,$AQ582,$AS$5:$AS$404),2),""))))</f>
        <v/>
      </c>
      <c r="G582" s="32">
        <f>IF($AD582&lt;&gt;"D","",INDEX($AT$5:$AT$404,$AC582))</f>
        <v/>
      </c>
      <c r="H582" s="32">
        <f>IF($AD582&lt;&gt;"D","",INDEX($BC$5:$BC$404,$AC582))</f>
        <v/>
      </c>
      <c r="I582" s="32">
        <f>IF($AD582&lt;&gt;"D","",INDEX($BD$5:$BD$404,$AC582))</f>
        <v/>
      </c>
      <c r="J582" s="46">
        <f>IF($AD582&lt;&gt;"D","",IF(N($B582)=0,"",ROUND($I582/$B582,4)))</f>
        <v/>
      </c>
      <c r="K582" s="32">
        <f>IF($AD582="Z",ROUND(SUM($AU$5:$AU$404),2),IF($AD582="D",INDEX($AU$5:$AU$404,$AC582),IF($AD582="T",ROUND(SUMIF($X$5:$X$404,$AF582,$AU$5:$AU$404),2),IF($AD582="B",ROUND(SUMIF($AN$5:$AN$404,$AQ582,$AU$5:$AU$404),2),""))))</f>
        <v/>
      </c>
      <c r="L582" s="32">
        <f>IF($AD582="Z",ROUND(SUM($AV$5:$AV$404),2),IF($AD582="D",INDEX($AV$5:$AV$404,$AC582),IF($AD582="T",ROUND(SUMIF($X$5:$X$404,$AF582,$AV$5:$AV$404),2),IF($AD582="B",ROUND(SUMIF($AN$5:$AN$404,$AQ582,$AV$5:$AV$404),2),""))))</f>
        <v/>
      </c>
      <c r="M582" s="32">
        <f>IF($AD582="Z",ROUND(SUM($AJ$5:$AJ$704),2),IF($AD582="B",ROUND(SUMIF($AQ$5:$AQ$704,$AQ582,$AJ$5:$AJ$704),2),IF($AD582&lt;&gt;"T","",$AJ582)))</f>
        <v/>
      </c>
      <c r="N582" s="32">
        <f>IF(OR($AD582="D",$AD582="T",$AD582="B",$AD582="Z"),ROUND(N($K582)-N($L582)-N($M582),2),"")</f>
        <v/>
      </c>
      <c r="O582" s="32">
        <f>IF(OR($AD582="D",$AD582="T",$AD582="B",$AD582="Z"),IF(N($E582)=0,"",ROUND($F582/$E582,2)),"")</f>
        <v/>
      </c>
      <c r="AC582">
        <f>IFERROR(MATCH(578,$AB$5:$AB$404,1),"")</f>
        <v/>
      </c>
      <c r="AD582">
        <f>IF(578=$AI$1+1,"Z",IF($AC582="","",IF(INDEX($V$5:$V$404,$AC582)="","",IF(578&gt;INDEX($AB$5:$AB$404,$AC582)+INDEX($Z$5:$Z$404,$AC582)+INDEX($AA$5:$AA$404,$AC582)+INDEX($AO$5:$AO$404,$AC582),"",IF(578=INDEX($AB$5:$AB$404,$AC582)+INDEX($Z$5:$Z$404,$AC582),"D",IF(AND(INDEX($Z$5:$Z$404,$AC582)=1,578=INDEX($AB$5:$AB$404,$AC582)),"H",IF(AND(INDEX($AO$5:$AO$404,$AC582)=1,578=INDEX($AB$5:$AB$404,$AC582)+INDEX($Z$5:$Z$404,$AC582)+INDEX($AA$5:$AA$404,$AC582)+INDEX($AO$5:$AO$404,$AC582)),"B","T")))))))</f>
        <v/>
      </c>
      <c r="AF582">
        <f>IF(OR($AD582="",$AD582="Z",$AD582="B"),"",INDEX($X$5:$X$404,$AC582))</f>
        <v/>
      </c>
      <c r="AJ582">
        <f>IF($AD582&lt;&gt;"T",0,ROUND(SUMIF(oil!$B$4:$B$63,$AF582,oil!$AE$4:$AE$63),2))</f>
        <v/>
      </c>
      <c r="AQ582">
        <f>IF(OR($AD582="",$AD582="Z"),"",INDEX($AN$5:$AN$404,$AC582))</f>
        <v/>
      </c>
      <c r="AZ582">
        <f>IF(AND($AD582="T",$AQ582=1),N($AZ581)+1,N($AZ581))</f>
        <v/>
      </c>
    </row>
    <row r="583" ht="21" customHeight="1" s="66">
      <c r="A583" s="69">
        <f>IF($AD583="","",IF($AD583="Z","รวมจ่ายทั้งสิ้น",IF($AD583="H",INDEX($X$5:$X$404,$AC583),IF($AD583="T","รวม",IF($AD583="B",IFERROR(INDEX(อัตราค่าขนส่ง!$S$5:$S$14,MATCH(INDEX($AM$5:$AM$404,$AC583),อัตราค่าขนส่ง!$R$5:$R$14,0)),"รวมกลุ่ม "&amp;INDEX($AM$5:$AM$404,$AC583)),INDEX($AY$5:$AY$404,$AC583))))))</f>
        <v/>
      </c>
      <c r="B583" s="31">
        <f>IF($AD583&lt;&gt;"D","",INDEX($AW$5:$AW$404,$AC583))</f>
        <v/>
      </c>
      <c r="C583" s="68">
        <f>IF($AD583&lt;&gt;"D","",INDEX($AX$5:$AX$404,$AC583))</f>
        <v/>
      </c>
      <c r="D583" s="70">
        <f>IF($AD583&lt;&gt;"D","",INDEX($BA$5:$BA$404,$AC583))</f>
        <v/>
      </c>
      <c r="E583" s="31">
        <f>IF($AD583="Z",SUM($AR$5:$AR$404),IF($AD583="D",INDEX($AR$5:$AR$404,$AC583),IF($AD583="T",SUMIF($X$5:$X$404,$AF583,$AR$5:$AR$404),IF($AD583="B",SUMIF($AN$5:$AN$404,$AQ583,$AR$5:$AR$404),""))))</f>
        <v/>
      </c>
      <c r="F583" s="32">
        <f>IF($AD583="Z",ROUND(SUM($AS$5:$AS$404),2),IF($AD583="D",INDEX($AS$5:$AS$404,$AC583),IF($AD583="T",ROUND(SUMIF($X$5:$X$404,$AF583,$AS$5:$AS$404),2),IF($AD583="B",ROUND(SUMIF($AN$5:$AN$404,$AQ583,$AS$5:$AS$404),2),""))))</f>
        <v/>
      </c>
      <c r="G583" s="32">
        <f>IF($AD583&lt;&gt;"D","",INDEX($AT$5:$AT$404,$AC583))</f>
        <v/>
      </c>
      <c r="H583" s="32">
        <f>IF($AD583&lt;&gt;"D","",INDEX($BC$5:$BC$404,$AC583))</f>
        <v/>
      </c>
      <c r="I583" s="32">
        <f>IF($AD583&lt;&gt;"D","",INDEX($BD$5:$BD$404,$AC583))</f>
        <v/>
      </c>
      <c r="J583" s="46">
        <f>IF($AD583&lt;&gt;"D","",IF(N($B583)=0,"",ROUND($I583/$B583,4)))</f>
        <v/>
      </c>
      <c r="K583" s="32">
        <f>IF($AD583="Z",ROUND(SUM($AU$5:$AU$404),2),IF($AD583="D",INDEX($AU$5:$AU$404,$AC583),IF($AD583="T",ROUND(SUMIF($X$5:$X$404,$AF583,$AU$5:$AU$404),2),IF($AD583="B",ROUND(SUMIF($AN$5:$AN$404,$AQ583,$AU$5:$AU$404),2),""))))</f>
        <v/>
      </c>
      <c r="L583" s="32">
        <f>IF($AD583="Z",ROUND(SUM($AV$5:$AV$404),2),IF($AD583="D",INDEX($AV$5:$AV$404,$AC583),IF($AD583="T",ROUND(SUMIF($X$5:$X$404,$AF583,$AV$5:$AV$404),2),IF($AD583="B",ROUND(SUMIF($AN$5:$AN$404,$AQ583,$AV$5:$AV$404),2),""))))</f>
        <v/>
      </c>
      <c r="M583" s="32">
        <f>IF($AD583="Z",ROUND(SUM($AJ$5:$AJ$704),2),IF($AD583="B",ROUND(SUMIF($AQ$5:$AQ$704,$AQ583,$AJ$5:$AJ$704),2),IF($AD583&lt;&gt;"T","",$AJ583)))</f>
        <v/>
      </c>
      <c r="N583" s="32">
        <f>IF(OR($AD583="D",$AD583="T",$AD583="B",$AD583="Z"),ROUND(N($K583)-N($L583)-N($M583),2),"")</f>
        <v/>
      </c>
      <c r="O583" s="32">
        <f>IF(OR($AD583="D",$AD583="T",$AD583="B",$AD583="Z"),IF(N($E583)=0,"",ROUND($F583/$E583,2)),"")</f>
        <v/>
      </c>
      <c r="AC583">
        <f>IFERROR(MATCH(579,$AB$5:$AB$404,1),"")</f>
        <v/>
      </c>
      <c r="AD583">
        <f>IF(579=$AI$1+1,"Z",IF($AC583="","",IF(INDEX($V$5:$V$404,$AC583)="","",IF(579&gt;INDEX($AB$5:$AB$404,$AC583)+INDEX($Z$5:$Z$404,$AC583)+INDEX($AA$5:$AA$404,$AC583)+INDEX($AO$5:$AO$404,$AC583),"",IF(579=INDEX($AB$5:$AB$404,$AC583)+INDEX($Z$5:$Z$404,$AC583),"D",IF(AND(INDEX($Z$5:$Z$404,$AC583)=1,579=INDEX($AB$5:$AB$404,$AC583)),"H",IF(AND(INDEX($AO$5:$AO$404,$AC583)=1,579=INDEX($AB$5:$AB$404,$AC583)+INDEX($Z$5:$Z$404,$AC583)+INDEX($AA$5:$AA$404,$AC583)+INDEX($AO$5:$AO$404,$AC583)),"B","T")))))))</f>
        <v/>
      </c>
      <c r="AF583">
        <f>IF(OR($AD583="",$AD583="Z",$AD583="B"),"",INDEX($X$5:$X$404,$AC583))</f>
        <v/>
      </c>
      <c r="AJ583">
        <f>IF($AD583&lt;&gt;"T",0,ROUND(SUMIF(oil!$B$4:$B$63,$AF583,oil!$AE$4:$AE$63),2))</f>
        <v/>
      </c>
      <c r="AQ583">
        <f>IF(OR($AD583="",$AD583="Z"),"",INDEX($AN$5:$AN$404,$AC583))</f>
        <v/>
      </c>
      <c r="AZ583">
        <f>IF(AND($AD583="T",$AQ583=1),N($AZ582)+1,N($AZ582))</f>
        <v/>
      </c>
    </row>
    <row r="584" ht="21" customHeight="1" s="66">
      <c r="A584" s="69">
        <f>IF($AD584="","",IF($AD584="Z","รวมจ่ายทั้งสิ้น",IF($AD584="H",INDEX($X$5:$X$404,$AC584),IF($AD584="T","รวม",IF($AD584="B",IFERROR(INDEX(อัตราค่าขนส่ง!$S$5:$S$14,MATCH(INDEX($AM$5:$AM$404,$AC584),อัตราค่าขนส่ง!$R$5:$R$14,0)),"รวมกลุ่ม "&amp;INDEX($AM$5:$AM$404,$AC584)),INDEX($AY$5:$AY$404,$AC584))))))</f>
        <v/>
      </c>
      <c r="B584" s="31">
        <f>IF($AD584&lt;&gt;"D","",INDEX($AW$5:$AW$404,$AC584))</f>
        <v/>
      </c>
      <c r="C584" s="68">
        <f>IF($AD584&lt;&gt;"D","",INDEX($AX$5:$AX$404,$AC584))</f>
        <v/>
      </c>
      <c r="D584" s="70">
        <f>IF($AD584&lt;&gt;"D","",INDEX($BA$5:$BA$404,$AC584))</f>
        <v/>
      </c>
      <c r="E584" s="31">
        <f>IF($AD584="Z",SUM($AR$5:$AR$404),IF($AD584="D",INDEX($AR$5:$AR$404,$AC584),IF($AD584="T",SUMIF($X$5:$X$404,$AF584,$AR$5:$AR$404),IF($AD584="B",SUMIF($AN$5:$AN$404,$AQ584,$AR$5:$AR$404),""))))</f>
        <v/>
      </c>
      <c r="F584" s="32">
        <f>IF($AD584="Z",ROUND(SUM($AS$5:$AS$404),2),IF($AD584="D",INDEX($AS$5:$AS$404,$AC584),IF($AD584="T",ROUND(SUMIF($X$5:$X$404,$AF584,$AS$5:$AS$404),2),IF($AD584="B",ROUND(SUMIF($AN$5:$AN$404,$AQ584,$AS$5:$AS$404),2),""))))</f>
        <v/>
      </c>
      <c r="G584" s="32">
        <f>IF($AD584&lt;&gt;"D","",INDEX($AT$5:$AT$404,$AC584))</f>
        <v/>
      </c>
      <c r="H584" s="32">
        <f>IF($AD584&lt;&gt;"D","",INDEX($BC$5:$BC$404,$AC584))</f>
        <v/>
      </c>
      <c r="I584" s="32">
        <f>IF($AD584&lt;&gt;"D","",INDEX($BD$5:$BD$404,$AC584))</f>
        <v/>
      </c>
      <c r="J584" s="46">
        <f>IF($AD584&lt;&gt;"D","",IF(N($B584)=0,"",ROUND($I584/$B584,4)))</f>
        <v/>
      </c>
      <c r="K584" s="32">
        <f>IF($AD584="Z",ROUND(SUM($AU$5:$AU$404),2),IF($AD584="D",INDEX($AU$5:$AU$404,$AC584),IF($AD584="T",ROUND(SUMIF($X$5:$X$404,$AF584,$AU$5:$AU$404),2),IF($AD584="B",ROUND(SUMIF($AN$5:$AN$404,$AQ584,$AU$5:$AU$404),2),""))))</f>
        <v/>
      </c>
      <c r="L584" s="32">
        <f>IF($AD584="Z",ROUND(SUM($AV$5:$AV$404),2),IF($AD584="D",INDEX($AV$5:$AV$404,$AC584),IF($AD584="T",ROUND(SUMIF($X$5:$X$404,$AF584,$AV$5:$AV$404),2),IF($AD584="B",ROUND(SUMIF($AN$5:$AN$404,$AQ584,$AV$5:$AV$404),2),""))))</f>
        <v/>
      </c>
      <c r="M584" s="32">
        <f>IF($AD584="Z",ROUND(SUM($AJ$5:$AJ$704),2),IF($AD584="B",ROUND(SUMIF($AQ$5:$AQ$704,$AQ584,$AJ$5:$AJ$704),2),IF($AD584&lt;&gt;"T","",$AJ584)))</f>
        <v/>
      </c>
      <c r="N584" s="32">
        <f>IF(OR($AD584="D",$AD584="T",$AD584="B",$AD584="Z"),ROUND(N($K584)-N($L584)-N($M584),2),"")</f>
        <v/>
      </c>
      <c r="O584" s="32">
        <f>IF(OR($AD584="D",$AD584="T",$AD584="B",$AD584="Z"),IF(N($E584)=0,"",ROUND($F584/$E584,2)),"")</f>
        <v/>
      </c>
      <c r="AC584">
        <f>IFERROR(MATCH(580,$AB$5:$AB$404,1),"")</f>
        <v/>
      </c>
      <c r="AD584">
        <f>IF(580=$AI$1+1,"Z",IF($AC584="","",IF(INDEX($V$5:$V$404,$AC584)="","",IF(580&gt;INDEX($AB$5:$AB$404,$AC584)+INDEX($Z$5:$Z$404,$AC584)+INDEX($AA$5:$AA$404,$AC584)+INDEX($AO$5:$AO$404,$AC584),"",IF(580=INDEX($AB$5:$AB$404,$AC584)+INDEX($Z$5:$Z$404,$AC584),"D",IF(AND(INDEX($Z$5:$Z$404,$AC584)=1,580=INDEX($AB$5:$AB$404,$AC584)),"H",IF(AND(INDEX($AO$5:$AO$404,$AC584)=1,580=INDEX($AB$5:$AB$404,$AC584)+INDEX($Z$5:$Z$404,$AC584)+INDEX($AA$5:$AA$404,$AC584)+INDEX($AO$5:$AO$404,$AC584)),"B","T")))))))</f>
        <v/>
      </c>
      <c r="AF584">
        <f>IF(OR($AD584="",$AD584="Z",$AD584="B"),"",INDEX($X$5:$X$404,$AC584))</f>
        <v/>
      </c>
      <c r="AJ584">
        <f>IF($AD584&lt;&gt;"T",0,ROUND(SUMIF(oil!$B$4:$B$63,$AF584,oil!$AE$4:$AE$63),2))</f>
        <v/>
      </c>
      <c r="AQ584">
        <f>IF(OR($AD584="",$AD584="Z"),"",INDEX($AN$5:$AN$404,$AC584))</f>
        <v/>
      </c>
      <c r="AZ584">
        <f>IF(AND($AD584="T",$AQ584=1),N($AZ583)+1,N($AZ583))</f>
        <v/>
      </c>
    </row>
    <row r="585" ht="21" customHeight="1" s="66">
      <c r="A585" s="69">
        <f>IF($AD585="","",IF($AD585="Z","รวมจ่ายทั้งสิ้น",IF($AD585="H",INDEX($X$5:$X$404,$AC585),IF($AD585="T","รวม",IF($AD585="B",IFERROR(INDEX(อัตราค่าขนส่ง!$S$5:$S$14,MATCH(INDEX($AM$5:$AM$404,$AC585),อัตราค่าขนส่ง!$R$5:$R$14,0)),"รวมกลุ่ม "&amp;INDEX($AM$5:$AM$404,$AC585)),INDEX($AY$5:$AY$404,$AC585))))))</f>
        <v/>
      </c>
      <c r="B585" s="31">
        <f>IF($AD585&lt;&gt;"D","",INDEX($AW$5:$AW$404,$AC585))</f>
        <v/>
      </c>
      <c r="C585" s="68">
        <f>IF($AD585&lt;&gt;"D","",INDEX($AX$5:$AX$404,$AC585))</f>
        <v/>
      </c>
      <c r="D585" s="70">
        <f>IF($AD585&lt;&gt;"D","",INDEX($BA$5:$BA$404,$AC585))</f>
        <v/>
      </c>
      <c r="E585" s="31">
        <f>IF($AD585="Z",SUM($AR$5:$AR$404),IF($AD585="D",INDEX($AR$5:$AR$404,$AC585),IF($AD585="T",SUMIF($X$5:$X$404,$AF585,$AR$5:$AR$404),IF($AD585="B",SUMIF($AN$5:$AN$404,$AQ585,$AR$5:$AR$404),""))))</f>
        <v/>
      </c>
      <c r="F585" s="32">
        <f>IF($AD585="Z",ROUND(SUM($AS$5:$AS$404),2),IF($AD585="D",INDEX($AS$5:$AS$404,$AC585),IF($AD585="T",ROUND(SUMIF($X$5:$X$404,$AF585,$AS$5:$AS$404),2),IF($AD585="B",ROUND(SUMIF($AN$5:$AN$404,$AQ585,$AS$5:$AS$404),2),""))))</f>
        <v/>
      </c>
      <c r="G585" s="32">
        <f>IF($AD585&lt;&gt;"D","",INDEX($AT$5:$AT$404,$AC585))</f>
        <v/>
      </c>
      <c r="H585" s="32">
        <f>IF($AD585&lt;&gt;"D","",INDEX($BC$5:$BC$404,$AC585))</f>
        <v/>
      </c>
      <c r="I585" s="32">
        <f>IF($AD585&lt;&gt;"D","",INDEX($BD$5:$BD$404,$AC585))</f>
        <v/>
      </c>
      <c r="J585" s="46">
        <f>IF($AD585&lt;&gt;"D","",IF(N($B585)=0,"",ROUND($I585/$B585,4)))</f>
        <v/>
      </c>
      <c r="K585" s="32">
        <f>IF($AD585="Z",ROUND(SUM($AU$5:$AU$404),2),IF($AD585="D",INDEX($AU$5:$AU$404,$AC585),IF($AD585="T",ROUND(SUMIF($X$5:$X$404,$AF585,$AU$5:$AU$404),2),IF($AD585="B",ROUND(SUMIF($AN$5:$AN$404,$AQ585,$AU$5:$AU$404),2),""))))</f>
        <v/>
      </c>
      <c r="L585" s="32">
        <f>IF($AD585="Z",ROUND(SUM($AV$5:$AV$404),2),IF($AD585="D",INDEX($AV$5:$AV$404,$AC585),IF($AD585="T",ROUND(SUMIF($X$5:$X$404,$AF585,$AV$5:$AV$404),2),IF($AD585="B",ROUND(SUMIF($AN$5:$AN$404,$AQ585,$AV$5:$AV$404),2),""))))</f>
        <v/>
      </c>
      <c r="M585" s="32">
        <f>IF($AD585="Z",ROUND(SUM($AJ$5:$AJ$704),2),IF($AD585="B",ROUND(SUMIF($AQ$5:$AQ$704,$AQ585,$AJ$5:$AJ$704),2),IF($AD585&lt;&gt;"T","",$AJ585)))</f>
        <v/>
      </c>
      <c r="N585" s="32">
        <f>IF(OR($AD585="D",$AD585="T",$AD585="B",$AD585="Z"),ROUND(N($K585)-N($L585)-N($M585),2),"")</f>
        <v/>
      </c>
      <c r="O585" s="32">
        <f>IF(OR($AD585="D",$AD585="T",$AD585="B",$AD585="Z"),IF(N($E585)=0,"",ROUND($F585/$E585,2)),"")</f>
        <v/>
      </c>
      <c r="AC585">
        <f>IFERROR(MATCH(581,$AB$5:$AB$404,1),"")</f>
        <v/>
      </c>
      <c r="AD585">
        <f>IF(581=$AI$1+1,"Z",IF($AC585="","",IF(INDEX($V$5:$V$404,$AC585)="","",IF(581&gt;INDEX($AB$5:$AB$404,$AC585)+INDEX($Z$5:$Z$404,$AC585)+INDEX($AA$5:$AA$404,$AC585)+INDEX($AO$5:$AO$404,$AC585),"",IF(581=INDEX($AB$5:$AB$404,$AC585)+INDEX($Z$5:$Z$404,$AC585),"D",IF(AND(INDEX($Z$5:$Z$404,$AC585)=1,581=INDEX($AB$5:$AB$404,$AC585)),"H",IF(AND(INDEX($AO$5:$AO$404,$AC585)=1,581=INDEX($AB$5:$AB$404,$AC585)+INDEX($Z$5:$Z$404,$AC585)+INDEX($AA$5:$AA$404,$AC585)+INDEX($AO$5:$AO$404,$AC585)),"B","T")))))))</f>
        <v/>
      </c>
      <c r="AF585">
        <f>IF(OR($AD585="",$AD585="Z",$AD585="B"),"",INDEX($X$5:$X$404,$AC585))</f>
        <v/>
      </c>
      <c r="AJ585">
        <f>IF($AD585&lt;&gt;"T",0,ROUND(SUMIF(oil!$B$4:$B$63,$AF585,oil!$AE$4:$AE$63),2))</f>
        <v/>
      </c>
      <c r="AQ585">
        <f>IF(OR($AD585="",$AD585="Z"),"",INDEX($AN$5:$AN$404,$AC585))</f>
        <v/>
      </c>
      <c r="AZ585">
        <f>IF(AND($AD585="T",$AQ585=1),N($AZ584)+1,N($AZ584))</f>
        <v/>
      </c>
    </row>
    <row r="586" ht="21" customHeight="1" s="66">
      <c r="A586" s="69">
        <f>IF($AD586="","",IF($AD586="Z","รวมจ่ายทั้งสิ้น",IF($AD586="H",INDEX($X$5:$X$404,$AC586),IF($AD586="T","รวม",IF($AD586="B",IFERROR(INDEX(อัตราค่าขนส่ง!$S$5:$S$14,MATCH(INDEX($AM$5:$AM$404,$AC586),อัตราค่าขนส่ง!$R$5:$R$14,0)),"รวมกลุ่ม "&amp;INDEX($AM$5:$AM$404,$AC586)),INDEX($AY$5:$AY$404,$AC586))))))</f>
        <v/>
      </c>
      <c r="B586" s="31">
        <f>IF($AD586&lt;&gt;"D","",INDEX($AW$5:$AW$404,$AC586))</f>
        <v/>
      </c>
      <c r="C586" s="68">
        <f>IF($AD586&lt;&gt;"D","",INDEX($AX$5:$AX$404,$AC586))</f>
        <v/>
      </c>
      <c r="D586" s="70">
        <f>IF($AD586&lt;&gt;"D","",INDEX($BA$5:$BA$404,$AC586))</f>
        <v/>
      </c>
      <c r="E586" s="31">
        <f>IF($AD586="Z",SUM($AR$5:$AR$404),IF($AD586="D",INDEX($AR$5:$AR$404,$AC586),IF($AD586="T",SUMIF($X$5:$X$404,$AF586,$AR$5:$AR$404),IF($AD586="B",SUMIF($AN$5:$AN$404,$AQ586,$AR$5:$AR$404),""))))</f>
        <v/>
      </c>
      <c r="F586" s="32">
        <f>IF($AD586="Z",ROUND(SUM($AS$5:$AS$404),2),IF($AD586="D",INDEX($AS$5:$AS$404,$AC586),IF($AD586="T",ROUND(SUMIF($X$5:$X$404,$AF586,$AS$5:$AS$404),2),IF($AD586="B",ROUND(SUMIF($AN$5:$AN$404,$AQ586,$AS$5:$AS$404),2),""))))</f>
        <v/>
      </c>
      <c r="G586" s="32">
        <f>IF($AD586&lt;&gt;"D","",INDEX($AT$5:$AT$404,$AC586))</f>
        <v/>
      </c>
      <c r="H586" s="32">
        <f>IF($AD586&lt;&gt;"D","",INDEX($BC$5:$BC$404,$AC586))</f>
        <v/>
      </c>
      <c r="I586" s="32">
        <f>IF($AD586&lt;&gt;"D","",INDEX($BD$5:$BD$404,$AC586))</f>
        <v/>
      </c>
      <c r="J586" s="46">
        <f>IF($AD586&lt;&gt;"D","",IF(N($B586)=0,"",ROUND($I586/$B586,4)))</f>
        <v/>
      </c>
      <c r="K586" s="32">
        <f>IF($AD586="Z",ROUND(SUM($AU$5:$AU$404),2),IF($AD586="D",INDEX($AU$5:$AU$404,$AC586),IF($AD586="T",ROUND(SUMIF($X$5:$X$404,$AF586,$AU$5:$AU$404),2),IF($AD586="B",ROUND(SUMIF($AN$5:$AN$404,$AQ586,$AU$5:$AU$404),2),""))))</f>
        <v/>
      </c>
      <c r="L586" s="32">
        <f>IF($AD586="Z",ROUND(SUM($AV$5:$AV$404),2),IF($AD586="D",INDEX($AV$5:$AV$404,$AC586),IF($AD586="T",ROUND(SUMIF($X$5:$X$404,$AF586,$AV$5:$AV$404),2),IF($AD586="B",ROUND(SUMIF($AN$5:$AN$404,$AQ586,$AV$5:$AV$404),2),""))))</f>
        <v/>
      </c>
      <c r="M586" s="32">
        <f>IF($AD586="Z",ROUND(SUM($AJ$5:$AJ$704),2),IF($AD586="B",ROUND(SUMIF($AQ$5:$AQ$704,$AQ586,$AJ$5:$AJ$704),2),IF($AD586&lt;&gt;"T","",$AJ586)))</f>
        <v/>
      </c>
      <c r="N586" s="32">
        <f>IF(OR($AD586="D",$AD586="T",$AD586="B",$AD586="Z"),ROUND(N($K586)-N($L586)-N($M586),2),"")</f>
        <v/>
      </c>
      <c r="O586" s="32">
        <f>IF(OR($AD586="D",$AD586="T",$AD586="B",$AD586="Z"),IF(N($E586)=0,"",ROUND($F586/$E586,2)),"")</f>
        <v/>
      </c>
      <c r="AC586">
        <f>IFERROR(MATCH(582,$AB$5:$AB$404,1),"")</f>
        <v/>
      </c>
      <c r="AD586">
        <f>IF(582=$AI$1+1,"Z",IF($AC586="","",IF(INDEX($V$5:$V$404,$AC586)="","",IF(582&gt;INDEX($AB$5:$AB$404,$AC586)+INDEX($Z$5:$Z$404,$AC586)+INDEX($AA$5:$AA$404,$AC586)+INDEX($AO$5:$AO$404,$AC586),"",IF(582=INDEX($AB$5:$AB$404,$AC586)+INDEX($Z$5:$Z$404,$AC586),"D",IF(AND(INDEX($Z$5:$Z$404,$AC586)=1,582=INDEX($AB$5:$AB$404,$AC586)),"H",IF(AND(INDEX($AO$5:$AO$404,$AC586)=1,582=INDEX($AB$5:$AB$404,$AC586)+INDEX($Z$5:$Z$404,$AC586)+INDEX($AA$5:$AA$404,$AC586)+INDEX($AO$5:$AO$404,$AC586)),"B","T")))))))</f>
        <v/>
      </c>
      <c r="AF586">
        <f>IF(OR($AD586="",$AD586="Z",$AD586="B"),"",INDEX($X$5:$X$404,$AC586))</f>
        <v/>
      </c>
      <c r="AJ586">
        <f>IF($AD586&lt;&gt;"T",0,ROUND(SUMIF(oil!$B$4:$B$63,$AF586,oil!$AE$4:$AE$63),2))</f>
        <v/>
      </c>
      <c r="AQ586">
        <f>IF(OR($AD586="",$AD586="Z"),"",INDEX($AN$5:$AN$404,$AC586))</f>
        <v/>
      </c>
      <c r="AZ586">
        <f>IF(AND($AD586="T",$AQ586=1),N($AZ585)+1,N($AZ585))</f>
        <v/>
      </c>
    </row>
    <row r="587" ht="21" customHeight="1" s="66">
      <c r="A587" s="69">
        <f>IF($AD587="","",IF($AD587="Z","รวมจ่ายทั้งสิ้น",IF($AD587="H",INDEX($X$5:$X$404,$AC587),IF($AD587="T","รวม",IF($AD587="B",IFERROR(INDEX(อัตราค่าขนส่ง!$S$5:$S$14,MATCH(INDEX($AM$5:$AM$404,$AC587),อัตราค่าขนส่ง!$R$5:$R$14,0)),"รวมกลุ่ม "&amp;INDEX($AM$5:$AM$404,$AC587)),INDEX($AY$5:$AY$404,$AC587))))))</f>
        <v/>
      </c>
      <c r="B587" s="31">
        <f>IF($AD587&lt;&gt;"D","",INDEX($AW$5:$AW$404,$AC587))</f>
        <v/>
      </c>
      <c r="C587" s="68">
        <f>IF($AD587&lt;&gt;"D","",INDEX($AX$5:$AX$404,$AC587))</f>
        <v/>
      </c>
      <c r="D587" s="70">
        <f>IF($AD587&lt;&gt;"D","",INDEX($BA$5:$BA$404,$AC587))</f>
        <v/>
      </c>
      <c r="E587" s="31">
        <f>IF($AD587="Z",SUM($AR$5:$AR$404),IF($AD587="D",INDEX($AR$5:$AR$404,$AC587),IF($AD587="T",SUMIF($X$5:$X$404,$AF587,$AR$5:$AR$404),IF($AD587="B",SUMIF($AN$5:$AN$404,$AQ587,$AR$5:$AR$404),""))))</f>
        <v/>
      </c>
      <c r="F587" s="32">
        <f>IF($AD587="Z",ROUND(SUM($AS$5:$AS$404),2),IF($AD587="D",INDEX($AS$5:$AS$404,$AC587),IF($AD587="T",ROUND(SUMIF($X$5:$X$404,$AF587,$AS$5:$AS$404),2),IF($AD587="B",ROUND(SUMIF($AN$5:$AN$404,$AQ587,$AS$5:$AS$404),2),""))))</f>
        <v/>
      </c>
      <c r="G587" s="32">
        <f>IF($AD587&lt;&gt;"D","",INDEX($AT$5:$AT$404,$AC587))</f>
        <v/>
      </c>
      <c r="H587" s="32">
        <f>IF($AD587&lt;&gt;"D","",INDEX($BC$5:$BC$404,$AC587))</f>
        <v/>
      </c>
      <c r="I587" s="32">
        <f>IF($AD587&lt;&gt;"D","",INDEX($BD$5:$BD$404,$AC587))</f>
        <v/>
      </c>
      <c r="J587" s="46">
        <f>IF($AD587&lt;&gt;"D","",IF(N($B587)=0,"",ROUND($I587/$B587,4)))</f>
        <v/>
      </c>
      <c r="K587" s="32">
        <f>IF($AD587="Z",ROUND(SUM($AU$5:$AU$404),2),IF($AD587="D",INDEX($AU$5:$AU$404,$AC587),IF($AD587="T",ROUND(SUMIF($X$5:$X$404,$AF587,$AU$5:$AU$404),2),IF($AD587="B",ROUND(SUMIF($AN$5:$AN$404,$AQ587,$AU$5:$AU$404),2),""))))</f>
        <v/>
      </c>
      <c r="L587" s="32">
        <f>IF($AD587="Z",ROUND(SUM($AV$5:$AV$404),2),IF($AD587="D",INDEX($AV$5:$AV$404,$AC587),IF($AD587="T",ROUND(SUMIF($X$5:$X$404,$AF587,$AV$5:$AV$404),2),IF($AD587="B",ROUND(SUMIF($AN$5:$AN$404,$AQ587,$AV$5:$AV$404),2),""))))</f>
        <v/>
      </c>
      <c r="M587" s="32">
        <f>IF($AD587="Z",ROUND(SUM($AJ$5:$AJ$704),2),IF($AD587="B",ROUND(SUMIF($AQ$5:$AQ$704,$AQ587,$AJ$5:$AJ$704),2),IF($AD587&lt;&gt;"T","",$AJ587)))</f>
        <v/>
      </c>
      <c r="N587" s="32">
        <f>IF(OR($AD587="D",$AD587="T",$AD587="B",$AD587="Z"),ROUND(N($K587)-N($L587)-N($M587),2),"")</f>
        <v/>
      </c>
      <c r="O587" s="32">
        <f>IF(OR($AD587="D",$AD587="T",$AD587="B",$AD587="Z"),IF(N($E587)=0,"",ROUND($F587/$E587,2)),"")</f>
        <v/>
      </c>
      <c r="AC587">
        <f>IFERROR(MATCH(583,$AB$5:$AB$404,1),"")</f>
        <v/>
      </c>
      <c r="AD587">
        <f>IF(583=$AI$1+1,"Z",IF($AC587="","",IF(INDEX($V$5:$V$404,$AC587)="","",IF(583&gt;INDEX($AB$5:$AB$404,$AC587)+INDEX($Z$5:$Z$404,$AC587)+INDEX($AA$5:$AA$404,$AC587)+INDEX($AO$5:$AO$404,$AC587),"",IF(583=INDEX($AB$5:$AB$404,$AC587)+INDEX($Z$5:$Z$404,$AC587),"D",IF(AND(INDEX($Z$5:$Z$404,$AC587)=1,583=INDEX($AB$5:$AB$404,$AC587)),"H",IF(AND(INDEX($AO$5:$AO$404,$AC587)=1,583=INDEX($AB$5:$AB$404,$AC587)+INDEX($Z$5:$Z$404,$AC587)+INDEX($AA$5:$AA$404,$AC587)+INDEX($AO$5:$AO$404,$AC587)),"B","T")))))))</f>
        <v/>
      </c>
      <c r="AF587">
        <f>IF(OR($AD587="",$AD587="Z",$AD587="B"),"",INDEX($X$5:$X$404,$AC587))</f>
        <v/>
      </c>
      <c r="AJ587">
        <f>IF($AD587&lt;&gt;"T",0,ROUND(SUMIF(oil!$B$4:$B$63,$AF587,oil!$AE$4:$AE$63),2))</f>
        <v/>
      </c>
      <c r="AQ587">
        <f>IF(OR($AD587="",$AD587="Z"),"",INDEX($AN$5:$AN$404,$AC587))</f>
        <v/>
      </c>
      <c r="AZ587">
        <f>IF(AND($AD587="T",$AQ587=1),N($AZ586)+1,N($AZ586))</f>
        <v/>
      </c>
    </row>
    <row r="588" ht="21" customHeight="1" s="66">
      <c r="A588" s="69">
        <f>IF($AD588="","",IF($AD588="Z","รวมจ่ายทั้งสิ้น",IF($AD588="H",INDEX($X$5:$X$404,$AC588),IF($AD588="T","รวม",IF($AD588="B",IFERROR(INDEX(อัตราค่าขนส่ง!$S$5:$S$14,MATCH(INDEX($AM$5:$AM$404,$AC588),อัตราค่าขนส่ง!$R$5:$R$14,0)),"รวมกลุ่ม "&amp;INDEX($AM$5:$AM$404,$AC588)),INDEX($AY$5:$AY$404,$AC588))))))</f>
        <v/>
      </c>
      <c r="B588" s="31">
        <f>IF($AD588&lt;&gt;"D","",INDEX($AW$5:$AW$404,$AC588))</f>
        <v/>
      </c>
      <c r="C588" s="68">
        <f>IF($AD588&lt;&gt;"D","",INDEX($AX$5:$AX$404,$AC588))</f>
        <v/>
      </c>
      <c r="D588" s="70">
        <f>IF($AD588&lt;&gt;"D","",INDEX($BA$5:$BA$404,$AC588))</f>
        <v/>
      </c>
      <c r="E588" s="31">
        <f>IF($AD588="Z",SUM($AR$5:$AR$404),IF($AD588="D",INDEX($AR$5:$AR$404,$AC588),IF($AD588="T",SUMIF($X$5:$X$404,$AF588,$AR$5:$AR$404),IF($AD588="B",SUMIF($AN$5:$AN$404,$AQ588,$AR$5:$AR$404),""))))</f>
        <v/>
      </c>
      <c r="F588" s="32">
        <f>IF($AD588="Z",ROUND(SUM($AS$5:$AS$404),2),IF($AD588="D",INDEX($AS$5:$AS$404,$AC588),IF($AD588="T",ROUND(SUMIF($X$5:$X$404,$AF588,$AS$5:$AS$404),2),IF($AD588="B",ROUND(SUMIF($AN$5:$AN$404,$AQ588,$AS$5:$AS$404),2),""))))</f>
        <v/>
      </c>
      <c r="G588" s="32">
        <f>IF($AD588&lt;&gt;"D","",INDEX($AT$5:$AT$404,$AC588))</f>
        <v/>
      </c>
      <c r="H588" s="32">
        <f>IF($AD588&lt;&gt;"D","",INDEX($BC$5:$BC$404,$AC588))</f>
        <v/>
      </c>
      <c r="I588" s="32">
        <f>IF($AD588&lt;&gt;"D","",INDEX($BD$5:$BD$404,$AC588))</f>
        <v/>
      </c>
      <c r="J588" s="46">
        <f>IF($AD588&lt;&gt;"D","",IF(N($B588)=0,"",ROUND($I588/$B588,4)))</f>
        <v/>
      </c>
      <c r="K588" s="32">
        <f>IF($AD588="Z",ROUND(SUM($AU$5:$AU$404),2),IF($AD588="D",INDEX($AU$5:$AU$404,$AC588),IF($AD588="T",ROUND(SUMIF($X$5:$X$404,$AF588,$AU$5:$AU$404),2),IF($AD588="B",ROUND(SUMIF($AN$5:$AN$404,$AQ588,$AU$5:$AU$404),2),""))))</f>
        <v/>
      </c>
      <c r="L588" s="32">
        <f>IF($AD588="Z",ROUND(SUM($AV$5:$AV$404),2),IF($AD588="D",INDEX($AV$5:$AV$404,$AC588),IF($AD588="T",ROUND(SUMIF($X$5:$X$404,$AF588,$AV$5:$AV$404),2),IF($AD588="B",ROUND(SUMIF($AN$5:$AN$404,$AQ588,$AV$5:$AV$404),2),""))))</f>
        <v/>
      </c>
      <c r="M588" s="32">
        <f>IF($AD588="Z",ROUND(SUM($AJ$5:$AJ$704),2),IF($AD588="B",ROUND(SUMIF($AQ$5:$AQ$704,$AQ588,$AJ$5:$AJ$704),2),IF($AD588&lt;&gt;"T","",$AJ588)))</f>
        <v/>
      </c>
      <c r="N588" s="32">
        <f>IF(OR($AD588="D",$AD588="T",$AD588="B",$AD588="Z"),ROUND(N($K588)-N($L588)-N($M588),2),"")</f>
        <v/>
      </c>
      <c r="O588" s="32">
        <f>IF(OR($AD588="D",$AD588="T",$AD588="B",$AD588="Z"),IF(N($E588)=0,"",ROUND($F588/$E588,2)),"")</f>
        <v/>
      </c>
      <c r="AC588">
        <f>IFERROR(MATCH(584,$AB$5:$AB$404,1),"")</f>
        <v/>
      </c>
      <c r="AD588">
        <f>IF(584=$AI$1+1,"Z",IF($AC588="","",IF(INDEX($V$5:$V$404,$AC588)="","",IF(584&gt;INDEX($AB$5:$AB$404,$AC588)+INDEX($Z$5:$Z$404,$AC588)+INDEX($AA$5:$AA$404,$AC588)+INDEX($AO$5:$AO$404,$AC588),"",IF(584=INDEX($AB$5:$AB$404,$AC588)+INDEX($Z$5:$Z$404,$AC588),"D",IF(AND(INDEX($Z$5:$Z$404,$AC588)=1,584=INDEX($AB$5:$AB$404,$AC588)),"H",IF(AND(INDEX($AO$5:$AO$404,$AC588)=1,584=INDEX($AB$5:$AB$404,$AC588)+INDEX($Z$5:$Z$404,$AC588)+INDEX($AA$5:$AA$404,$AC588)+INDEX($AO$5:$AO$404,$AC588)),"B","T")))))))</f>
        <v/>
      </c>
      <c r="AF588">
        <f>IF(OR($AD588="",$AD588="Z",$AD588="B"),"",INDEX($X$5:$X$404,$AC588))</f>
        <v/>
      </c>
      <c r="AJ588">
        <f>IF($AD588&lt;&gt;"T",0,ROUND(SUMIF(oil!$B$4:$B$63,$AF588,oil!$AE$4:$AE$63),2))</f>
        <v/>
      </c>
      <c r="AQ588">
        <f>IF(OR($AD588="",$AD588="Z"),"",INDEX($AN$5:$AN$404,$AC588))</f>
        <v/>
      </c>
      <c r="AZ588">
        <f>IF(AND($AD588="T",$AQ588=1),N($AZ587)+1,N($AZ587))</f>
        <v/>
      </c>
    </row>
    <row r="589" ht="21" customHeight="1" s="66">
      <c r="A589" s="69">
        <f>IF($AD589="","",IF($AD589="Z","รวมจ่ายทั้งสิ้น",IF($AD589="H",INDEX($X$5:$X$404,$AC589),IF($AD589="T","รวม",IF($AD589="B",IFERROR(INDEX(อัตราค่าขนส่ง!$S$5:$S$14,MATCH(INDEX($AM$5:$AM$404,$AC589),อัตราค่าขนส่ง!$R$5:$R$14,0)),"รวมกลุ่ม "&amp;INDEX($AM$5:$AM$404,$AC589)),INDEX($AY$5:$AY$404,$AC589))))))</f>
        <v/>
      </c>
      <c r="B589" s="31">
        <f>IF($AD589&lt;&gt;"D","",INDEX($AW$5:$AW$404,$AC589))</f>
        <v/>
      </c>
      <c r="C589" s="68">
        <f>IF($AD589&lt;&gt;"D","",INDEX($AX$5:$AX$404,$AC589))</f>
        <v/>
      </c>
      <c r="D589" s="70">
        <f>IF($AD589&lt;&gt;"D","",INDEX($BA$5:$BA$404,$AC589))</f>
        <v/>
      </c>
      <c r="E589" s="31">
        <f>IF($AD589="Z",SUM($AR$5:$AR$404),IF($AD589="D",INDEX($AR$5:$AR$404,$AC589),IF($AD589="T",SUMIF($X$5:$X$404,$AF589,$AR$5:$AR$404),IF($AD589="B",SUMIF($AN$5:$AN$404,$AQ589,$AR$5:$AR$404),""))))</f>
        <v/>
      </c>
      <c r="F589" s="32">
        <f>IF($AD589="Z",ROUND(SUM($AS$5:$AS$404),2),IF($AD589="D",INDEX($AS$5:$AS$404,$AC589),IF($AD589="T",ROUND(SUMIF($X$5:$X$404,$AF589,$AS$5:$AS$404),2),IF($AD589="B",ROUND(SUMIF($AN$5:$AN$404,$AQ589,$AS$5:$AS$404),2),""))))</f>
        <v/>
      </c>
      <c r="G589" s="32">
        <f>IF($AD589&lt;&gt;"D","",INDEX($AT$5:$AT$404,$AC589))</f>
        <v/>
      </c>
      <c r="H589" s="32">
        <f>IF($AD589&lt;&gt;"D","",INDEX($BC$5:$BC$404,$AC589))</f>
        <v/>
      </c>
      <c r="I589" s="32">
        <f>IF($AD589&lt;&gt;"D","",INDEX($BD$5:$BD$404,$AC589))</f>
        <v/>
      </c>
      <c r="J589" s="46">
        <f>IF($AD589&lt;&gt;"D","",IF(N($B589)=0,"",ROUND($I589/$B589,4)))</f>
        <v/>
      </c>
      <c r="K589" s="32">
        <f>IF($AD589="Z",ROUND(SUM($AU$5:$AU$404),2),IF($AD589="D",INDEX($AU$5:$AU$404,$AC589),IF($AD589="T",ROUND(SUMIF($X$5:$X$404,$AF589,$AU$5:$AU$404),2),IF($AD589="B",ROUND(SUMIF($AN$5:$AN$404,$AQ589,$AU$5:$AU$404),2),""))))</f>
        <v/>
      </c>
      <c r="L589" s="32">
        <f>IF($AD589="Z",ROUND(SUM($AV$5:$AV$404),2),IF($AD589="D",INDEX($AV$5:$AV$404,$AC589),IF($AD589="T",ROUND(SUMIF($X$5:$X$404,$AF589,$AV$5:$AV$404),2),IF($AD589="B",ROUND(SUMIF($AN$5:$AN$404,$AQ589,$AV$5:$AV$404),2),""))))</f>
        <v/>
      </c>
      <c r="M589" s="32">
        <f>IF($AD589="Z",ROUND(SUM($AJ$5:$AJ$704),2),IF($AD589="B",ROUND(SUMIF($AQ$5:$AQ$704,$AQ589,$AJ$5:$AJ$704),2),IF($AD589&lt;&gt;"T","",$AJ589)))</f>
        <v/>
      </c>
      <c r="N589" s="32">
        <f>IF(OR($AD589="D",$AD589="T",$AD589="B",$AD589="Z"),ROUND(N($K589)-N($L589)-N($M589),2),"")</f>
        <v/>
      </c>
      <c r="O589" s="32">
        <f>IF(OR($AD589="D",$AD589="T",$AD589="B",$AD589="Z"),IF(N($E589)=0,"",ROUND($F589/$E589,2)),"")</f>
        <v/>
      </c>
      <c r="AC589">
        <f>IFERROR(MATCH(585,$AB$5:$AB$404,1),"")</f>
        <v/>
      </c>
      <c r="AD589">
        <f>IF(585=$AI$1+1,"Z",IF($AC589="","",IF(INDEX($V$5:$V$404,$AC589)="","",IF(585&gt;INDEX($AB$5:$AB$404,$AC589)+INDEX($Z$5:$Z$404,$AC589)+INDEX($AA$5:$AA$404,$AC589)+INDEX($AO$5:$AO$404,$AC589),"",IF(585=INDEX($AB$5:$AB$404,$AC589)+INDEX($Z$5:$Z$404,$AC589),"D",IF(AND(INDEX($Z$5:$Z$404,$AC589)=1,585=INDEX($AB$5:$AB$404,$AC589)),"H",IF(AND(INDEX($AO$5:$AO$404,$AC589)=1,585=INDEX($AB$5:$AB$404,$AC589)+INDEX($Z$5:$Z$404,$AC589)+INDEX($AA$5:$AA$404,$AC589)+INDEX($AO$5:$AO$404,$AC589)),"B","T")))))))</f>
        <v/>
      </c>
      <c r="AF589">
        <f>IF(OR($AD589="",$AD589="Z",$AD589="B"),"",INDEX($X$5:$X$404,$AC589))</f>
        <v/>
      </c>
      <c r="AJ589">
        <f>IF($AD589&lt;&gt;"T",0,ROUND(SUMIF(oil!$B$4:$B$63,$AF589,oil!$AE$4:$AE$63),2))</f>
        <v/>
      </c>
      <c r="AQ589">
        <f>IF(OR($AD589="",$AD589="Z"),"",INDEX($AN$5:$AN$404,$AC589))</f>
        <v/>
      </c>
      <c r="AZ589">
        <f>IF(AND($AD589="T",$AQ589=1),N($AZ588)+1,N($AZ588))</f>
        <v/>
      </c>
    </row>
    <row r="590" ht="21" customHeight="1" s="66">
      <c r="A590" s="69">
        <f>IF($AD590="","",IF($AD590="Z","รวมจ่ายทั้งสิ้น",IF($AD590="H",INDEX($X$5:$X$404,$AC590),IF($AD590="T","รวม",IF($AD590="B",IFERROR(INDEX(อัตราค่าขนส่ง!$S$5:$S$14,MATCH(INDEX($AM$5:$AM$404,$AC590),อัตราค่าขนส่ง!$R$5:$R$14,0)),"รวมกลุ่ม "&amp;INDEX($AM$5:$AM$404,$AC590)),INDEX($AY$5:$AY$404,$AC590))))))</f>
        <v/>
      </c>
      <c r="B590" s="31">
        <f>IF($AD590&lt;&gt;"D","",INDEX($AW$5:$AW$404,$AC590))</f>
        <v/>
      </c>
      <c r="C590" s="68">
        <f>IF($AD590&lt;&gt;"D","",INDEX($AX$5:$AX$404,$AC590))</f>
        <v/>
      </c>
      <c r="D590" s="70">
        <f>IF($AD590&lt;&gt;"D","",INDEX($BA$5:$BA$404,$AC590))</f>
        <v/>
      </c>
      <c r="E590" s="31">
        <f>IF($AD590="Z",SUM($AR$5:$AR$404),IF($AD590="D",INDEX($AR$5:$AR$404,$AC590),IF($AD590="T",SUMIF($X$5:$X$404,$AF590,$AR$5:$AR$404),IF($AD590="B",SUMIF($AN$5:$AN$404,$AQ590,$AR$5:$AR$404),""))))</f>
        <v/>
      </c>
      <c r="F590" s="32">
        <f>IF($AD590="Z",ROUND(SUM($AS$5:$AS$404),2),IF($AD590="D",INDEX($AS$5:$AS$404,$AC590),IF($AD590="T",ROUND(SUMIF($X$5:$X$404,$AF590,$AS$5:$AS$404),2),IF($AD590="B",ROUND(SUMIF($AN$5:$AN$404,$AQ590,$AS$5:$AS$404),2),""))))</f>
        <v/>
      </c>
      <c r="G590" s="32">
        <f>IF($AD590&lt;&gt;"D","",INDEX($AT$5:$AT$404,$AC590))</f>
        <v/>
      </c>
      <c r="H590" s="32">
        <f>IF($AD590&lt;&gt;"D","",INDEX($BC$5:$BC$404,$AC590))</f>
        <v/>
      </c>
      <c r="I590" s="32">
        <f>IF($AD590&lt;&gt;"D","",INDEX($BD$5:$BD$404,$AC590))</f>
        <v/>
      </c>
      <c r="J590" s="46">
        <f>IF($AD590&lt;&gt;"D","",IF(N($B590)=0,"",ROUND($I590/$B590,4)))</f>
        <v/>
      </c>
      <c r="K590" s="32">
        <f>IF($AD590="Z",ROUND(SUM($AU$5:$AU$404),2),IF($AD590="D",INDEX($AU$5:$AU$404,$AC590),IF($AD590="T",ROUND(SUMIF($X$5:$X$404,$AF590,$AU$5:$AU$404),2),IF($AD590="B",ROUND(SUMIF($AN$5:$AN$404,$AQ590,$AU$5:$AU$404),2),""))))</f>
        <v/>
      </c>
      <c r="L590" s="32">
        <f>IF($AD590="Z",ROUND(SUM($AV$5:$AV$404),2),IF($AD590="D",INDEX($AV$5:$AV$404,$AC590),IF($AD590="T",ROUND(SUMIF($X$5:$X$404,$AF590,$AV$5:$AV$404),2),IF($AD590="B",ROUND(SUMIF($AN$5:$AN$404,$AQ590,$AV$5:$AV$404),2),""))))</f>
        <v/>
      </c>
      <c r="M590" s="32">
        <f>IF($AD590="Z",ROUND(SUM($AJ$5:$AJ$704),2),IF($AD590="B",ROUND(SUMIF($AQ$5:$AQ$704,$AQ590,$AJ$5:$AJ$704),2),IF($AD590&lt;&gt;"T","",$AJ590)))</f>
        <v/>
      </c>
      <c r="N590" s="32">
        <f>IF(OR($AD590="D",$AD590="T",$AD590="B",$AD590="Z"),ROUND(N($K590)-N($L590)-N($M590),2),"")</f>
        <v/>
      </c>
      <c r="O590" s="32">
        <f>IF(OR($AD590="D",$AD590="T",$AD590="B",$AD590="Z"),IF(N($E590)=0,"",ROUND($F590/$E590,2)),"")</f>
        <v/>
      </c>
      <c r="AC590">
        <f>IFERROR(MATCH(586,$AB$5:$AB$404,1),"")</f>
        <v/>
      </c>
      <c r="AD590">
        <f>IF(586=$AI$1+1,"Z",IF($AC590="","",IF(INDEX($V$5:$V$404,$AC590)="","",IF(586&gt;INDEX($AB$5:$AB$404,$AC590)+INDEX($Z$5:$Z$404,$AC590)+INDEX($AA$5:$AA$404,$AC590)+INDEX($AO$5:$AO$404,$AC590),"",IF(586=INDEX($AB$5:$AB$404,$AC590)+INDEX($Z$5:$Z$404,$AC590),"D",IF(AND(INDEX($Z$5:$Z$404,$AC590)=1,586=INDEX($AB$5:$AB$404,$AC590)),"H",IF(AND(INDEX($AO$5:$AO$404,$AC590)=1,586=INDEX($AB$5:$AB$404,$AC590)+INDEX($Z$5:$Z$404,$AC590)+INDEX($AA$5:$AA$404,$AC590)+INDEX($AO$5:$AO$404,$AC590)),"B","T")))))))</f>
        <v/>
      </c>
      <c r="AF590">
        <f>IF(OR($AD590="",$AD590="Z",$AD590="B"),"",INDEX($X$5:$X$404,$AC590))</f>
        <v/>
      </c>
      <c r="AJ590">
        <f>IF($AD590&lt;&gt;"T",0,ROUND(SUMIF(oil!$B$4:$B$63,$AF590,oil!$AE$4:$AE$63),2))</f>
        <v/>
      </c>
      <c r="AQ590">
        <f>IF(OR($AD590="",$AD590="Z"),"",INDEX($AN$5:$AN$404,$AC590))</f>
        <v/>
      </c>
      <c r="AZ590">
        <f>IF(AND($AD590="T",$AQ590=1),N($AZ589)+1,N($AZ589))</f>
        <v/>
      </c>
    </row>
    <row r="591" ht="21" customHeight="1" s="66">
      <c r="A591" s="69">
        <f>IF($AD591="","",IF($AD591="Z","รวมจ่ายทั้งสิ้น",IF($AD591="H",INDEX($X$5:$X$404,$AC591),IF($AD591="T","รวม",IF($AD591="B",IFERROR(INDEX(อัตราค่าขนส่ง!$S$5:$S$14,MATCH(INDEX($AM$5:$AM$404,$AC591),อัตราค่าขนส่ง!$R$5:$R$14,0)),"รวมกลุ่ม "&amp;INDEX($AM$5:$AM$404,$AC591)),INDEX($AY$5:$AY$404,$AC591))))))</f>
        <v/>
      </c>
      <c r="B591" s="31">
        <f>IF($AD591&lt;&gt;"D","",INDEX($AW$5:$AW$404,$AC591))</f>
        <v/>
      </c>
      <c r="C591" s="68">
        <f>IF($AD591&lt;&gt;"D","",INDEX($AX$5:$AX$404,$AC591))</f>
        <v/>
      </c>
      <c r="D591" s="70">
        <f>IF($AD591&lt;&gt;"D","",INDEX($BA$5:$BA$404,$AC591))</f>
        <v/>
      </c>
      <c r="E591" s="31">
        <f>IF($AD591="Z",SUM($AR$5:$AR$404),IF($AD591="D",INDEX($AR$5:$AR$404,$AC591),IF($AD591="T",SUMIF($X$5:$X$404,$AF591,$AR$5:$AR$404),IF($AD591="B",SUMIF($AN$5:$AN$404,$AQ591,$AR$5:$AR$404),""))))</f>
        <v/>
      </c>
      <c r="F591" s="32">
        <f>IF($AD591="Z",ROUND(SUM($AS$5:$AS$404),2),IF($AD591="D",INDEX($AS$5:$AS$404,$AC591),IF($AD591="T",ROUND(SUMIF($X$5:$X$404,$AF591,$AS$5:$AS$404),2),IF($AD591="B",ROUND(SUMIF($AN$5:$AN$404,$AQ591,$AS$5:$AS$404),2),""))))</f>
        <v/>
      </c>
      <c r="G591" s="32">
        <f>IF($AD591&lt;&gt;"D","",INDEX($AT$5:$AT$404,$AC591))</f>
        <v/>
      </c>
      <c r="H591" s="32">
        <f>IF($AD591&lt;&gt;"D","",INDEX($BC$5:$BC$404,$AC591))</f>
        <v/>
      </c>
      <c r="I591" s="32">
        <f>IF($AD591&lt;&gt;"D","",INDEX($BD$5:$BD$404,$AC591))</f>
        <v/>
      </c>
      <c r="J591" s="46">
        <f>IF($AD591&lt;&gt;"D","",IF(N($B591)=0,"",ROUND($I591/$B591,4)))</f>
        <v/>
      </c>
      <c r="K591" s="32">
        <f>IF($AD591="Z",ROUND(SUM($AU$5:$AU$404),2),IF($AD591="D",INDEX($AU$5:$AU$404,$AC591),IF($AD591="T",ROUND(SUMIF($X$5:$X$404,$AF591,$AU$5:$AU$404),2),IF($AD591="B",ROUND(SUMIF($AN$5:$AN$404,$AQ591,$AU$5:$AU$404),2),""))))</f>
        <v/>
      </c>
      <c r="L591" s="32">
        <f>IF($AD591="Z",ROUND(SUM($AV$5:$AV$404),2),IF($AD591="D",INDEX($AV$5:$AV$404,$AC591),IF($AD591="T",ROUND(SUMIF($X$5:$X$404,$AF591,$AV$5:$AV$404),2),IF($AD591="B",ROUND(SUMIF($AN$5:$AN$404,$AQ591,$AV$5:$AV$404),2),""))))</f>
        <v/>
      </c>
      <c r="M591" s="32">
        <f>IF($AD591="Z",ROUND(SUM($AJ$5:$AJ$704),2),IF($AD591="B",ROUND(SUMIF($AQ$5:$AQ$704,$AQ591,$AJ$5:$AJ$704),2),IF($AD591&lt;&gt;"T","",$AJ591)))</f>
        <v/>
      </c>
      <c r="N591" s="32">
        <f>IF(OR($AD591="D",$AD591="T",$AD591="B",$AD591="Z"),ROUND(N($K591)-N($L591)-N($M591),2),"")</f>
        <v/>
      </c>
      <c r="O591" s="32">
        <f>IF(OR($AD591="D",$AD591="T",$AD591="B",$AD591="Z"),IF(N($E591)=0,"",ROUND($F591/$E591,2)),"")</f>
        <v/>
      </c>
      <c r="AC591">
        <f>IFERROR(MATCH(587,$AB$5:$AB$404,1),"")</f>
        <v/>
      </c>
      <c r="AD591">
        <f>IF(587=$AI$1+1,"Z",IF($AC591="","",IF(INDEX($V$5:$V$404,$AC591)="","",IF(587&gt;INDEX($AB$5:$AB$404,$AC591)+INDEX($Z$5:$Z$404,$AC591)+INDEX($AA$5:$AA$404,$AC591)+INDEX($AO$5:$AO$404,$AC591),"",IF(587=INDEX($AB$5:$AB$404,$AC591)+INDEX($Z$5:$Z$404,$AC591),"D",IF(AND(INDEX($Z$5:$Z$404,$AC591)=1,587=INDEX($AB$5:$AB$404,$AC591)),"H",IF(AND(INDEX($AO$5:$AO$404,$AC591)=1,587=INDEX($AB$5:$AB$404,$AC591)+INDEX($Z$5:$Z$404,$AC591)+INDEX($AA$5:$AA$404,$AC591)+INDEX($AO$5:$AO$404,$AC591)),"B","T")))))))</f>
        <v/>
      </c>
      <c r="AF591">
        <f>IF(OR($AD591="",$AD591="Z",$AD591="B"),"",INDEX($X$5:$X$404,$AC591))</f>
        <v/>
      </c>
      <c r="AJ591">
        <f>IF($AD591&lt;&gt;"T",0,ROUND(SUMIF(oil!$B$4:$B$63,$AF591,oil!$AE$4:$AE$63),2))</f>
        <v/>
      </c>
      <c r="AQ591">
        <f>IF(OR($AD591="",$AD591="Z"),"",INDEX($AN$5:$AN$404,$AC591))</f>
        <v/>
      </c>
      <c r="AZ591">
        <f>IF(AND($AD591="T",$AQ591=1),N($AZ590)+1,N($AZ590))</f>
        <v/>
      </c>
    </row>
    <row r="592" ht="21" customHeight="1" s="66">
      <c r="A592" s="69">
        <f>IF($AD592="","",IF($AD592="Z","รวมจ่ายทั้งสิ้น",IF($AD592="H",INDEX($X$5:$X$404,$AC592),IF($AD592="T","รวม",IF($AD592="B",IFERROR(INDEX(อัตราค่าขนส่ง!$S$5:$S$14,MATCH(INDEX($AM$5:$AM$404,$AC592),อัตราค่าขนส่ง!$R$5:$R$14,0)),"รวมกลุ่ม "&amp;INDEX($AM$5:$AM$404,$AC592)),INDEX($AY$5:$AY$404,$AC592))))))</f>
        <v/>
      </c>
      <c r="B592" s="31">
        <f>IF($AD592&lt;&gt;"D","",INDEX($AW$5:$AW$404,$AC592))</f>
        <v/>
      </c>
      <c r="C592" s="68">
        <f>IF($AD592&lt;&gt;"D","",INDEX($AX$5:$AX$404,$AC592))</f>
        <v/>
      </c>
      <c r="D592" s="70">
        <f>IF($AD592&lt;&gt;"D","",INDEX($BA$5:$BA$404,$AC592))</f>
        <v/>
      </c>
      <c r="E592" s="31">
        <f>IF($AD592="Z",SUM($AR$5:$AR$404),IF($AD592="D",INDEX($AR$5:$AR$404,$AC592),IF($AD592="T",SUMIF($X$5:$X$404,$AF592,$AR$5:$AR$404),IF($AD592="B",SUMIF($AN$5:$AN$404,$AQ592,$AR$5:$AR$404),""))))</f>
        <v/>
      </c>
      <c r="F592" s="32">
        <f>IF($AD592="Z",ROUND(SUM($AS$5:$AS$404),2),IF($AD592="D",INDEX($AS$5:$AS$404,$AC592),IF($AD592="T",ROUND(SUMIF($X$5:$X$404,$AF592,$AS$5:$AS$404),2),IF($AD592="B",ROUND(SUMIF($AN$5:$AN$404,$AQ592,$AS$5:$AS$404),2),""))))</f>
        <v/>
      </c>
      <c r="G592" s="32">
        <f>IF($AD592&lt;&gt;"D","",INDEX($AT$5:$AT$404,$AC592))</f>
        <v/>
      </c>
      <c r="H592" s="32">
        <f>IF($AD592&lt;&gt;"D","",INDEX($BC$5:$BC$404,$AC592))</f>
        <v/>
      </c>
      <c r="I592" s="32">
        <f>IF($AD592&lt;&gt;"D","",INDEX($BD$5:$BD$404,$AC592))</f>
        <v/>
      </c>
      <c r="J592" s="46">
        <f>IF($AD592&lt;&gt;"D","",IF(N($B592)=0,"",ROUND($I592/$B592,4)))</f>
        <v/>
      </c>
      <c r="K592" s="32">
        <f>IF($AD592="Z",ROUND(SUM($AU$5:$AU$404),2),IF($AD592="D",INDEX($AU$5:$AU$404,$AC592),IF($AD592="T",ROUND(SUMIF($X$5:$X$404,$AF592,$AU$5:$AU$404),2),IF($AD592="B",ROUND(SUMIF($AN$5:$AN$404,$AQ592,$AU$5:$AU$404),2),""))))</f>
        <v/>
      </c>
      <c r="L592" s="32">
        <f>IF($AD592="Z",ROUND(SUM($AV$5:$AV$404),2),IF($AD592="D",INDEX($AV$5:$AV$404,$AC592),IF($AD592="T",ROUND(SUMIF($X$5:$X$404,$AF592,$AV$5:$AV$404),2),IF($AD592="B",ROUND(SUMIF($AN$5:$AN$404,$AQ592,$AV$5:$AV$404),2),""))))</f>
        <v/>
      </c>
      <c r="M592" s="32">
        <f>IF($AD592="Z",ROUND(SUM($AJ$5:$AJ$704),2),IF($AD592="B",ROUND(SUMIF($AQ$5:$AQ$704,$AQ592,$AJ$5:$AJ$704),2),IF($AD592&lt;&gt;"T","",$AJ592)))</f>
        <v/>
      </c>
      <c r="N592" s="32">
        <f>IF(OR($AD592="D",$AD592="T",$AD592="B",$AD592="Z"),ROUND(N($K592)-N($L592)-N($M592),2),"")</f>
        <v/>
      </c>
      <c r="O592" s="32">
        <f>IF(OR($AD592="D",$AD592="T",$AD592="B",$AD592="Z"),IF(N($E592)=0,"",ROUND($F592/$E592,2)),"")</f>
        <v/>
      </c>
      <c r="AC592">
        <f>IFERROR(MATCH(588,$AB$5:$AB$404,1),"")</f>
        <v/>
      </c>
      <c r="AD592">
        <f>IF(588=$AI$1+1,"Z",IF($AC592="","",IF(INDEX($V$5:$V$404,$AC592)="","",IF(588&gt;INDEX($AB$5:$AB$404,$AC592)+INDEX($Z$5:$Z$404,$AC592)+INDEX($AA$5:$AA$404,$AC592)+INDEX($AO$5:$AO$404,$AC592),"",IF(588=INDEX($AB$5:$AB$404,$AC592)+INDEX($Z$5:$Z$404,$AC592),"D",IF(AND(INDEX($Z$5:$Z$404,$AC592)=1,588=INDEX($AB$5:$AB$404,$AC592)),"H",IF(AND(INDEX($AO$5:$AO$404,$AC592)=1,588=INDEX($AB$5:$AB$404,$AC592)+INDEX($Z$5:$Z$404,$AC592)+INDEX($AA$5:$AA$404,$AC592)+INDEX($AO$5:$AO$404,$AC592)),"B","T")))))))</f>
        <v/>
      </c>
      <c r="AF592">
        <f>IF(OR($AD592="",$AD592="Z",$AD592="B"),"",INDEX($X$5:$X$404,$AC592))</f>
        <v/>
      </c>
      <c r="AJ592">
        <f>IF($AD592&lt;&gt;"T",0,ROUND(SUMIF(oil!$B$4:$B$63,$AF592,oil!$AE$4:$AE$63),2))</f>
        <v/>
      </c>
      <c r="AQ592">
        <f>IF(OR($AD592="",$AD592="Z"),"",INDEX($AN$5:$AN$404,$AC592))</f>
        <v/>
      </c>
      <c r="AZ592">
        <f>IF(AND($AD592="T",$AQ592=1),N($AZ591)+1,N($AZ591))</f>
        <v/>
      </c>
    </row>
    <row r="593" ht="21" customHeight="1" s="66">
      <c r="A593" s="69">
        <f>IF($AD593="","",IF($AD593="Z","รวมจ่ายทั้งสิ้น",IF($AD593="H",INDEX($X$5:$X$404,$AC593),IF($AD593="T","รวม",IF($AD593="B",IFERROR(INDEX(อัตราค่าขนส่ง!$S$5:$S$14,MATCH(INDEX($AM$5:$AM$404,$AC593),อัตราค่าขนส่ง!$R$5:$R$14,0)),"รวมกลุ่ม "&amp;INDEX($AM$5:$AM$404,$AC593)),INDEX($AY$5:$AY$404,$AC593))))))</f>
        <v/>
      </c>
      <c r="B593" s="31">
        <f>IF($AD593&lt;&gt;"D","",INDEX($AW$5:$AW$404,$AC593))</f>
        <v/>
      </c>
      <c r="C593" s="68">
        <f>IF($AD593&lt;&gt;"D","",INDEX($AX$5:$AX$404,$AC593))</f>
        <v/>
      </c>
      <c r="D593" s="70">
        <f>IF($AD593&lt;&gt;"D","",INDEX($BA$5:$BA$404,$AC593))</f>
        <v/>
      </c>
      <c r="E593" s="31">
        <f>IF($AD593="Z",SUM($AR$5:$AR$404),IF($AD593="D",INDEX($AR$5:$AR$404,$AC593),IF($AD593="T",SUMIF($X$5:$X$404,$AF593,$AR$5:$AR$404),IF($AD593="B",SUMIF($AN$5:$AN$404,$AQ593,$AR$5:$AR$404),""))))</f>
        <v/>
      </c>
      <c r="F593" s="32">
        <f>IF($AD593="Z",ROUND(SUM($AS$5:$AS$404),2),IF($AD593="D",INDEX($AS$5:$AS$404,$AC593),IF($AD593="T",ROUND(SUMIF($X$5:$X$404,$AF593,$AS$5:$AS$404),2),IF($AD593="B",ROUND(SUMIF($AN$5:$AN$404,$AQ593,$AS$5:$AS$404),2),""))))</f>
        <v/>
      </c>
      <c r="G593" s="32">
        <f>IF($AD593&lt;&gt;"D","",INDEX($AT$5:$AT$404,$AC593))</f>
        <v/>
      </c>
      <c r="H593" s="32">
        <f>IF($AD593&lt;&gt;"D","",INDEX($BC$5:$BC$404,$AC593))</f>
        <v/>
      </c>
      <c r="I593" s="32">
        <f>IF($AD593&lt;&gt;"D","",INDEX($BD$5:$BD$404,$AC593))</f>
        <v/>
      </c>
      <c r="J593" s="46">
        <f>IF($AD593&lt;&gt;"D","",IF(N($B593)=0,"",ROUND($I593/$B593,4)))</f>
        <v/>
      </c>
      <c r="K593" s="32">
        <f>IF($AD593="Z",ROUND(SUM($AU$5:$AU$404),2),IF($AD593="D",INDEX($AU$5:$AU$404,$AC593),IF($AD593="T",ROUND(SUMIF($X$5:$X$404,$AF593,$AU$5:$AU$404),2),IF($AD593="B",ROUND(SUMIF($AN$5:$AN$404,$AQ593,$AU$5:$AU$404),2),""))))</f>
        <v/>
      </c>
      <c r="L593" s="32">
        <f>IF($AD593="Z",ROUND(SUM($AV$5:$AV$404),2),IF($AD593="D",INDEX($AV$5:$AV$404,$AC593),IF($AD593="T",ROUND(SUMIF($X$5:$X$404,$AF593,$AV$5:$AV$404),2),IF($AD593="B",ROUND(SUMIF($AN$5:$AN$404,$AQ593,$AV$5:$AV$404),2),""))))</f>
        <v/>
      </c>
      <c r="M593" s="32">
        <f>IF($AD593="Z",ROUND(SUM($AJ$5:$AJ$704),2),IF($AD593="B",ROUND(SUMIF($AQ$5:$AQ$704,$AQ593,$AJ$5:$AJ$704),2),IF($AD593&lt;&gt;"T","",$AJ593)))</f>
        <v/>
      </c>
      <c r="N593" s="32">
        <f>IF(OR($AD593="D",$AD593="T",$AD593="B",$AD593="Z"),ROUND(N($K593)-N($L593)-N($M593),2),"")</f>
        <v/>
      </c>
      <c r="O593" s="32">
        <f>IF(OR($AD593="D",$AD593="T",$AD593="B",$AD593="Z"),IF(N($E593)=0,"",ROUND($F593/$E593,2)),"")</f>
        <v/>
      </c>
      <c r="AC593">
        <f>IFERROR(MATCH(589,$AB$5:$AB$404,1),"")</f>
        <v/>
      </c>
      <c r="AD593">
        <f>IF(589=$AI$1+1,"Z",IF($AC593="","",IF(INDEX($V$5:$V$404,$AC593)="","",IF(589&gt;INDEX($AB$5:$AB$404,$AC593)+INDEX($Z$5:$Z$404,$AC593)+INDEX($AA$5:$AA$404,$AC593)+INDEX($AO$5:$AO$404,$AC593),"",IF(589=INDEX($AB$5:$AB$404,$AC593)+INDEX($Z$5:$Z$404,$AC593),"D",IF(AND(INDEX($Z$5:$Z$404,$AC593)=1,589=INDEX($AB$5:$AB$404,$AC593)),"H",IF(AND(INDEX($AO$5:$AO$404,$AC593)=1,589=INDEX($AB$5:$AB$404,$AC593)+INDEX($Z$5:$Z$404,$AC593)+INDEX($AA$5:$AA$404,$AC593)+INDEX($AO$5:$AO$404,$AC593)),"B","T")))))))</f>
        <v/>
      </c>
      <c r="AF593">
        <f>IF(OR($AD593="",$AD593="Z",$AD593="B"),"",INDEX($X$5:$X$404,$AC593))</f>
        <v/>
      </c>
      <c r="AJ593">
        <f>IF($AD593&lt;&gt;"T",0,ROUND(SUMIF(oil!$B$4:$B$63,$AF593,oil!$AE$4:$AE$63),2))</f>
        <v/>
      </c>
      <c r="AQ593">
        <f>IF(OR($AD593="",$AD593="Z"),"",INDEX($AN$5:$AN$404,$AC593))</f>
        <v/>
      </c>
      <c r="AZ593">
        <f>IF(AND($AD593="T",$AQ593=1),N($AZ592)+1,N($AZ592))</f>
        <v/>
      </c>
    </row>
    <row r="594" ht="21" customHeight="1" s="66">
      <c r="A594" s="69">
        <f>IF($AD594="","",IF($AD594="Z","รวมจ่ายทั้งสิ้น",IF($AD594="H",INDEX($X$5:$X$404,$AC594),IF($AD594="T","รวม",IF($AD594="B",IFERROR(INDEX(อัตราค่าขนส่ง!$S$5:$S$14,MATCH(INDEX($AM$5:$AM$404,$AC594),อัตราค่าขนส่ง!$R$5:$R$14,0)),"รวมกลุ่ม "&amp;INDEX($AM$5:$AM$404,$AC594)),INDEX($AY$5:$AY$404,$AC594))))))</f>
        <v/>
      </c>
      <c r="B594" s="31">
        <f>IF($AD594&lt;&gt;"D","",INDEX($AW$5:$AW$404,$AC594))</f>
        <v/>
      </c>
      <c r="C594" s="68">
        <f>IF($AD594&lt;&gt;"D","",INDEX($AX$5:$AX$404,$AC594))</f>
        <v/>
      </c>
      <c r="D594" s="70">
        <f>IF($AD594&lt;&gt;"D","",INDEX($BA$5:$BA$404,$AC594))</f>
        <v/>
      </c>
      <c r="E594" s="31">
        <f>IF($AD594="Z",SUM($AR$5:$AR$404),IF($AD594="D",INDEX($AR$5:$AR$404,$AC594),IF($AD594="T",SUMIF($X$5:$X$404,$AF594,$AR$5:$AR$404),IF($AD594="B",SUMIF($AN$5:$AN$404,$AQ594,$AR$5:$AR$404),""))))</f>
        <v/>
      </c>
      <c r="F594" s="32">
        <f>IF($AD594="Z",ROUND(SUM($AS$5:$AS$404),2),IF($AD594="D",INDEX($AS$5:$AS$404,$AC594),IF($AD594="T",ROUND(SUMIF($X$5:$X$404,$AF594,$AS$5:$AS$404),2),IF($AD594="B",ROUND(SUMIF($AN$5:$AN$404,$AQ594,$AS$5:$AS$404),2),""))))</f>
        <v/>
      </c>
      <c r="G594" s="32">
        <f>IF($AD594&lt;&gt;"D","",INDEX($AT$5:$AT$404,$AC594))</f>
        <v/>
      </c>
      <c r="H594" s="32">
        <f>IF($AD594&lt;&gt;"D","",INDEX($BC$5:$BC$404,$AC594))</f>
        <v/>
      </c>
      <c r="I594" s="32">
        <f>IF($AD594&lt;&gt;"D","",INDEX($BD$5:$BD$404,$AC594))</f>
        <v/>
      </c>
      <c r="J594" s="46">
        <f>IF($AD594&lt;&gt;"D","",IF(N($B594)=0,"",ROUND($I594/$B594,4)))</f>
        <v/>
      </c>
      <c r="K594" s="32">
        <f>IF($AD594="Z",ROUND(SUM($AU$5:$AU$404),2),IF($AD594="D",INDEX($AU$5:$AU$404,$AC594),IF($AD594="T",ROUND(SUMIF($X$5:$X$404,$AF594,$AU$5:$AU$404),2),IF($AD594="B",ROUND(SUMIF($AN$5:$AN$404,$AQ594,$AU$5:$AU$404),2),""))))</f>
        <v/>
      </c>
      <c r="L594" s="32">
        <f>IF($AD594="Z",ROUND(SUM($AV$5:$AV$404),2),IF($AD594="D",INDEX($AV$5:$AV$404,$AC594),IF($AD594="T",ROUND(SUMIF($X$5:$X$404,$AF594,$AV$5:$AV$404),2),IF($AD594="B",ROUND(SUMIF($AN$5:$AN$404,$AQ594,$AV$5:$AV$404),2),""))))</f>
        <v/>
      </c>
      <c r="M594" s="32">
        <f>IF($AD594="Z",ROUND(SUM($AJ$5:$AJ$704),2),IF($AD594="B",ROUND(SUMIF($AQ$5:$AQ$704,$AQ594,$AJ$5:$AJ$704),2),IF($AD594&lt;&gt;"T","",$AJ594)))</f>
        <v/>
      </c>
      <c r="N594" s="32">
        <f>IF(OR($AD594="D",$AD594="T",$AD594="B",$AD594="Z"),ROUND(N($K594)-N($L594)-N($M594),2),"")</f>
        <v/>
      </c>
      <c r="O594" s="32">
        <f>IF(OR($AD594="D",$AD594="T",$AD594="B",$AD594="Z"),IF(N($E594)=0,"",ROUND($F594/$E594,2)),"")</f>
        <v/>
      </c>
      <c r="AC594">
        <f>IFERROR(MATCH(590,$AB$5:$AB$404,1),"")</f>
        <v/>
      </c>
      <c r="AD594">
        <f>IF(590=$AI$1+1,"Z",IF($AC594="","",IF(INDEX($V$5:$V$404,$AC594)="","",IF(590&gt;INDEX($AB$5:$AB$404,$AC594)+INDEX($Z$5:$Z$404,$AC594)+INDEX($AA$5:$AA$404,$AC594)+INDEX($AO$5:$AO$404,$AC594),"",IF(590=INDEX($AB$5:$AB$404,$AC594)+INDEX($Z$5:$Z$404,$AC594),"D",IF(AND(INDEX($Z$5:$Z$404,$AC594)=1,590=INDEX($AB$5:$AB$404,$AC594)),"H",IF(AND(INDEX($AO$5:$AO$404,$AC594)=1,590=INDEX($AB$5:$AB$404,$AC594)+INDEX($Z$5:$Z$404,$AC594)+INDEX($AA$5:$AA$404,$AC594)+INDEX($AO$5:$AO$404,$AC594)),"B","T")))))))</f>
        <v/>
      </c>
      <c r="AF594">
        <f>IF(OR($AD594="",$AD594="Z",$AD594="B"),"",INDEX($X$5:$X$404,$AC594))</f>
        <v/>
      </c>
      <c r="AJ594">
        <f>IF($AD594&lt;&gt;"T",0,ROUND(SUMIF(oil!$B$4:$B$63,$AF594,oil!$AE$4:$AE$63),2))</f>
        <v/>
      </c>
      <c r="AQ594">
        <f>IF(OR($AD594="",$AD594="Z"),"",INDEX($AN$5:$AN$404,$AC594))</f>
        <v/>
      </c>
      <c r="AZ594">
        <f>IF(AND($AD594="T",$AQ594=1),N($AZ593)+1,N($AZ593))</f>
        <v/>
      </c>
    </row>
    <row r="595" ht="21" customHeight="1" s="66">
      <c r="A595" s="69">
        <f>IF($AD595="","",IF($AD595="Z","รวมจ่ายทั้งสิ้น",IF($AD595="H",INDEX($X$5:$X$404,$AC595),IF($AD595="T","รวม",IF($AD595="B",IFERROR(INDEX(อัตราค่าขนส่ง!$S$5:$S$14,MATCH(INDEX($AM$5:$AM$404,$AC595),อัตราค่าขนส่ง!$R$5:$R$14,0)),"รวมกลุ่ม "&amp;INDEX($AM$5:$AM$404,$AC595)),INDEX($AY$5:$AY$404,$AC595))))))</f>
        <v/>
      </c>
      <c r="B595" s="31">
        <f>IF($AD595&lt;&gt;"D","",INDEX($AW$5:$AW$404,$AC595))</f>
        <v/>
      </c>
      <c r="C595" s="68">
        <f>IF($AD595&lt;&gt;"D","",INDEX($AX$5:$AX$404,$AC595))</f>
        <v/>
      </c>
      <c r="D595" s="70">
        <f>IF($AD595&lt;&gt;"D","",INDEX($BA$5:$BA$404,$AC595))</f>
        <v/>
      </c>
      <c r="E595" s="31">
        <f>IF($AD595="Z",SUM($AR$5:$AR$404),IF($AD595="D",INDEX($AR$5:$AR$404,$AC595),IF($AD595="T",SUMIF($X$5:$X$404,$AF595,$AR$5:$AR$404),IF($AD595="B",SUMIF($AN$5:$AN$404,$AQ595,$AR$5:$AR$404),""))))</f>
        <v/>
      </c>
      <c r="F595" s="32">
        <f>IF($AD595="Z",ROUND(SUM($AS$5:$AS$404),2),IF($AD595="D",INDEX($AS$5:$AS$404,$AC595),IF($AD595="T",ROUND(SUMIF($X$5:$X$404,$AF595,$AS$5:$AS$404),2),IF($AD595="B",ROUND(SUMIF($AN$5:$AN$404,$AQ595,$AS$5:$AS$404),2),""))))</f>
        <v/>
      </c>
      <c r="G595" s="32">
        <f>IF($AD595&lt;&gt;"D","",INDEX($AT$5:$AT$404,$AC595))</f>
        <v/>
      </c>
      <c r="H595" s="32">
        <f>IF($AD595&lt;&gt;"D","",INDEX($BC$5:$BC$404,$AC595))</f>
        <v/>
      </c>
      <c r="I595" s="32">
        <f>IF($AD595&lt;&gt;"D","",INDEX($BD$5:$BD$404,$AC595))</f>
        <v/>
      </c>
      <c r="J595" s="46">
        <f>IF($AD595&lt;&gt;"D","",IF(N($B595)=0,"",ROUND($I595/$B595,4)))</f>
        <v/>
      </c>
      <c r="K595" s="32">
        <f>IF($AD595="Z",ROUND(SUM($AU$5:$AU$404),2),IF($AD595="D",INDEX($AU$5:$AU$404,$AC595),IF($AD595="T",ROUND(SUMIF($X$5:$X$404,$AF595,$AU$5:$AU$404),2),IF($AD595="B",ROUND(SUMIF($AN$5:$AN$404,$AQ595,$AU$5:$AU$404),2),""))))</f>
        <v/>
      </c>
      <c r="L595" s="32">
        <f>IF($AD595="Z",ROUND(SUM($AV$5:$AV$404),2),IF($AD595="D",INDEX($AV$5:$AV$404,$AC595),IF($AD595="T",ROUND(SUMIF($X$5:$X$404,$AF595,$AV$5:$AV$404),2),IF($AD595="B",ROUND(SUMIF($AN$5:$AN$404,$AQ595,$AV$5:$AV$404),2),""))))</f>
        <v/>
      </c>
      <c r="M595" s="32">
        <f>IF($AD595="Z",ROUND(SUM($AJ$5:$AJ$704),2),IF($AD595="B",ROUND(SUMIF($AQ$5:$AQ$704,$AQ595,$AJ$5:$AJ$704),2),IF($AD595&lt;&gt;"T","",$AJ595)))</f>
        <v/>
      </c>
      <c r="N595" s="32">
        <f>IF(OR($AD595="D",$AD595="T",$AD595="B",$AD595="Z"),ROUND(N($K595)-N($L595)-N($M595),2),"")</f>
        <v/>
      </c>
      <c r="O595" s="32">
        <f>IF(OR($AD595="D",$AD595="T",$AD595="B",$AD595="Z"),IF(N($E595)=0,"",ROUND($F595/$E595,2)),"")</f>
        <v/>
      </c>
      <c r="AC595">
        <f>IFERROR(MATCH(591,$AB$5:$AB$404,1),"")</f>
        <v/>
      </c>
      <c r="AD595">
        <f>IF(591=$AI$1+1,"Z",IF($AC595="","",IF(INDEX($V$5:$V$404,$AC595)="","",IF(591&gt;INDEX($AB$5:$AB$404,$AC595)+INDEX($Z$5:$Z$404,$AC595)+INDEX($AA$5:$AA$404,$AC595)+INDEX($AO$5:$AO$404,$AC595),"",IF(591=INDEX($AB$5:$AB$404,$AC595)+INDEX($Z$5:$Z$404,$AC595),"D",IF(AND(INDEX($Z$5:$Z$404,$AC595)=1,591=INDEX($AB$5:$AB$404,$AC595)),"H",IF(AND(INDEX($AO$5:$AO$404,$AC595)=1,591=INDEX($AB$5:$AB$404,$AC595)+INDEX($Z$5:$Z$404,$AC595)+INDEX($AA$5:$AA$404,$AC595)+INDEX($AO$5:$AO$404,$AC595)),"B","T")))))))</f>
        <v/>
      </c>
      <c r="AF595">
        <f>IF(OR($AD595="",$AD595="Z",$AD595="B"),"",INDEX($X$5:$X$404,$AC595))</f>
        <v/>
      </c>
      <c r="AJ595">
        <f>IF($AD595&lt;&gt;"T",0,ROUND(SUMIF(oil!$B$4:$B$63,$AF595,oil!$AE$4:$AE$63),2))</f>
        <v/>
      </c>
      <c r="AQ595">
        <f>IF(OR($AD595="",$AD595="Z"),"",INDEX($AN$5:$AN$404,$AC595))</f>
        <v/>
      </c>
      <c r="AZ595">
        <f>IF(AND($AD595="T",$AQ595=1),N($AZ594)+1,N($AZ594))</f>
        <v/>
      </c>
    </row>
    <row r="596" ht="21" customHeight="1" s="66">
      <c r="A596" s="69">
        <f>IF($AD596="","",IF($AD596="Z","รวมจ่ายทั้งสิ้น",IF($AD596="H",INDEX($X$5:$X$404,$AC596),IF($AD596="T","รวม",IF($AD596="B",IFERROR(INDEX(อัตราค่าขนส่ง!$S$5:$S$14,MATCH(INDEX($AM$5:$AM$404,$AC596),อัตราค่าขนส่ง!$R$5:$R$14,0)),"รวมกลุ่ม "&amp;INDEX($AM$5:$AM$404,$AC596)),INDEX($AY$5:$AY$404,$AC596))))))</f>
        <v/>
      </c>
      <c r="B596" s="31">
        <f>IF($AD596&lt;&gt;"D","",INDEX($AW$5:$AW$404,$AC596))</f>
        <v/>
      </c>
      <c r="C596" s="68">
        <f>IF($AD596&lt;&gt;"D","",INDEX($AX$5:$AX$404,$AC596))</f>
        <v/>
      </c>
      <c r="D596" s="70">
        <f>IF($AD596&lt;&gt;"D","",INDEX($BA$5:$BA$404,$AC596))</f>
        <v/>
      </c>
      <c r="E596" s="31">
        <f>IF($AD596="Z",SUM($AR$5:$AR$404),IF($AD596="D",INDEX($AR$5:$AR$404,$AC596),IF($AD596="T",SUMIF($X$5:$X$404,$AF596,$AR$5:$AR$404),IF($AD596="B",SUMIF($AN$5:$AN$404,$AQ596,$AR$5:$AR$404),""))))</f>
        <v/>
      </c>
      <c r="F596" s="32">
        <f>IF($AD596="Z",ROUND(SUM($AS$5:$AS$404),2),IF($AD596="D",INDEX($AS$5:$AS$404,$AC596),IF($AD596="T",ROUND(SUMIF($X$5:$X$404,$AF596,$AS$5:$AS$404),2),IF($AD596="B",ROUND(SUMIF($AN$5:$AN$404,$AQ596,$AS$5:$AS$404),2),""))))</f>
        <v/>
      </c>
      <c r="G596" s="32">
        <f>IF($AD596&lt;&gt;"D","",INDEX($AT$5:$AT$404,$AC596))</f>
        <v/>
      </c>
      <c r="H596" s="32">
        <f>IF($AD596&lt;&gt;"D","",INDEX($BC$5:$BC$404,$AC596))</f>
        <v/>
      </c>
      <c r="I596" s="32">
        <f>IF($AD596&lt;&gt;"D","",INDEX($BD$5:$BD$404,$AC596))</f>
        <v/>
      </c>
      <c r="J596" s="46">
        <f>IF($AD596&lt;&gt;"D","",IF(N($B596)=0,"",ROUND($I596/$B596,4)))</f>
        <v/>
      </c>
      <c r="K596" s="32">
        <f>IF($AD596="Z",ROUND(SUM($AU$5:$AU$404),2),IF($AD596="D",INDEX($AU$5:$AU$404,$AC596),IF($AD596="T",ROUND(SUMIF($X$5:$X$404,$AF596,$AU$5:$AU$404),2),IF($AD596="B",ROUND(SUMIF($AN$5:$AN$404,$AQ596,$AU$5:$AU$404),2),""))))</f>
        <v/>
      </c>
      <c r="L596" s="32">
        <f>IF($AD596="Z",ROUND(SUM($AV$5:$AV$404),2),IF($AD596="D",INDEX($AV$5:$AV$404,$AC596),IF($AD596="T",ROUND(SUMIF($X$5:$X$404,$AF596,$AV$5:$AV$404),2),IF($AD596="B",ROUND(SUMIF($AN$5:$AN$404,$AQ596,$AV$5:$AV$404),2),""))))</f>
        <v/>
      </c>
      <c r="M596" s="32">
        <f>IF($AD596="Z",ROUND(SUM($AJ$5:$AJ$704),2),IF($AD596="B",ROUND(SUMIF($AQ$5:$AQ$704,$AQ596,$AJ$5:$AJ$704),2),IF($AD596&lt;&gt;"T","",$AJ596)))</f>
        <v/>
      </c>
      <c r="N596" s="32">
        <f>IF(OR($AD596="D",$AD596="T",$AD596="B",$AD596="Z"),ROUND(N($K596)-N($L596)-N($M596),2),"")</f>
        <v/>
      </c>
      <c r="O596" s="32">
        <f>IF(OR($AD596="D",$AD596="T",$AD596="B",$AD596="Z"),IF(N($E596)=0,"",ROUND($F596/$E596,2)),"")</f>
        <v/>
      </c>
      <c r="AC596">
        <f>IFERROR(MATCH(592,$AB$5:$AB$404,1),"")</f>
        <v/>
      </c>
      <c r="AD596">
        <f>IF(592=$AI$1+1,"Z",IF($AC596="","",IF(INDEX($V$5:$V$404,$AC596)="","",IF(592&gt;INDEX($AB$5:$AB$404,$AC596)+INDEX($Z$5:$Z$404,$AC596)+INDEX($AA$5:$AA$404,$AC596)+INDEX($AO$5:$AO$404,$AC596),"",IF(592=INDEX($AB$5:$AB$404,$AC596)+INDEX($Z$5:$Z$404,$AC596),"D",IF(AND(INDEX($Z$5:$Z$404,$AC596)=1,592=INDEX($AB$5:$AB$404,$AC596)),"H",IF(AND(INDEX($AO$5:$AO$404,$AC596)=1,592=INDEX($AB$5:$AB$404,$AC596)+INDEX($Z$5:$Z$404,$AC596)+INDEX($AA$5:$AA$404,$AC596)+INDEX($AO$5:$AO$404,$AC596)),"B","T")))))))</f>
        <v/>
      </c>
      <c r="AF596">
        <f>IF(OR($AD596="",$AD596="Z",$AD596="B"),"",INDEX($X$5:$X$404,$AC596))</f>
        <v/>
      </c>
      <c r="AJ596">
        <f>IF($AD596&lt;&gt;"T",0,ROUND(SUMIF(oil!$B$4:$B$63,$AF596,oil!$AE$4:$AE$63),2))</f>
        <v/>
      </c>
      <c r="AQ596">
        <f>IF(OR($AD596="",$AD596="Z"),"",INDEX($AN$5:$AN$404,$AC596))</f>
        <v/>
      </c>
      <c r="AZ596">
        <f>IF(AND($AD596="T",$AQ596=1),N($AZ595)+1,N($AZ595))</f>
        <v/>
      </c>
    </row>
    <row r="597" ht="21" customHeight="1" s="66">
      <c r="A597" s="69">
        <f>IF($AD597="","",IF($AD597="Z","รวมจ่ายทั้งสิ้น",IF($AD597="H",INDEX($X$5:$X$404,$AC597),IF($AD597="T","รวม",IF($AD597="B",IFERROR(INDEX(อัตราค่าขนส่ง!$S$5:$S$14,MATCH(INDEX($AM$5:$AM$404,$AC597),อัตราค่าขนส่ง!$R$5:$R$14,0)),"รวมกลุ่ม "&amp;INDEX($AM$5:$AM$404,$AC597)),INDEX($AY$5:$AY$404,$AC597))))))</f>
        <v/>
      </c>
      <c r="B597" s="31">
        <f>IF($AD597&lt;&gt;"D","",INDEX($AW$5:$AW$404,$AC597))</f>
        <v/>
      </c>
      <c r="C597" s="68">
        <f>IF($AD597&lt;&gt;"D","",INDEX($AX$5:$AX$404,$AC597))</f>
        <v/>
      </c>
      <c r="D597" s="70">
        <f>IF($AD597&lt;&gt;"D","",INDEX($BA$5:$BA$404,$AC597))</f>
        <v/>
      </c>
      <c r="E597" s="31">
        <f>IF($AD597="Z",SUM($AR$5:$AR$404),IF($AD597="D",INDEX($AR$5:$AR$404,$AC597),IF($AD597="T",SUMIF($X$5:$X$404,$AF597,$AR$5:$AR$404),IF($AD597="B",SUMIF($AN$5:$AN$404,$AQ597,$AR$5:$AR$404),""))))</f>
        <v/>
      </c>
      <c r="F597" s="32">
        <f>IF($AD597="Z",ROUND(SUM($AS$5:$AS$404),2),IF($AD597="D",INDEX($AS$5:$AS$404,$AC597),IF($AD597="T",ROUND(SUMIF($X$5:$X$404,$AF597,$AS$5:$AS$404),2),IF($AD597="B",ROUND(SUMIF($AN$5:$AN$404,$AQ597,$AS$5:$AS$404),2),""))))</f>
        <v/>
      </c>
      <c r="G597" s="32">
        <f>IF($AD597&lt;&gt;"D","",INDEX($AT$5:$AT$404,$AC597))</f>
        <v/>
      </c>
      <c r="H597" s="32">
        <f>IF($AD597&lt;&gt;"D","",INDEX($BC$5:$BC$404,$AC597))</f>
        <v/>
      </c>
      <c r="I597" s="32">
        <f>IF($AD597&lt;&gt;"D","",INDEX($BD$5:$BD$404,$AC597))</f>
        <v/>
      </c>
      <c r="J597" s="46">
        <f>IF($AD597&lt;&gt;"D","",IF(N($B597)=0,"",ROUND($I597/$B597,4)))</f>
        <v/>
      </c>
      <c r="K597" s="32">
        <f>IF($AD597="Z",ROUND(SUM($AU$5:$AU$404),2),IF($AD597="D",INDEX($AU$5:$AU$404,$AC597),IF($AD597="T",ROUND(SUMIF($X$5:$X$404,$AF597,$AU$5:$AU$404),2),IF($AD597="B",ROUND(SUMIF($AN$5:$AN$404,$AQ597,$AU$5:$AU$404),2),""))))</f>
        <v/>
      </c>
      <c r="L597" s="32">
        <f>IF($AD597="Z",ROUND(SUM($AV$5:$AV$404),2),IF($AD597="D",INDEX($AV$5:$AV$404,$AC597),IF($AD597="T",ROUND(SUMIF($X$5:$X$404,$AF597,$AV$5:$AV$404),2),IF($AD597="B",ROUND(SUMIF($AN$5:$AN$404,$AQ597,$AV$5:$AV$404),2),""))))</f>
        <v/>
      </c>
      <c r="M597" s="32">
        <f>IF($AD597="Z",ROUND(SUM($AJ$5:$AJ$704),2),IF($AD597="B",ROUND(SUMIF($AQ$5:$AQ$704,$AQ597,$AJ$5:$AJ$704),2),IF($AD597&lt;&gt;"T","",$AJ597)))</f>
        <v/>
      </c>
      <c r="N597" s="32">
        <f>IF(OR($AD597="D",$AD597="T",$AD597="B",$AD597="Z"),ROUND(N($K597)-N($L597)-N($M597),2),"")</f>
        <v/>
      </c>
      <c r="O597" s="32">
        <f>IF(OR($AD597="D",$AD597="T",$AD597="B",$AD597="Z"),IF(N($E597)=0,"",ROUND($F597/$E597,2)),"")</f>
        <v/>
      </c>
      <c r="AC597">
        <f>IFERROR(MATCH(593,$AB$5:$AB$404,1),"")</f>
        <v/>
      </c>
      <c r="AD597">
        <f>IF(593=$AI$1+1,"Z",IF($AC597="","",IF(INDEX($V$5:$V$404,$AC597)="","",IF(593&gt;INDEX($AB$5:$AB$404,$AC597)+INDEX($Z$5:$Z$404,$AC597)+INDEX($AA$5:$AA$404,$AC597)+INDEX($AO$5:$AO$404,$AC597),"",IF(593=INDEX($AB$5:$AB$404,$AC597)+INDEX($Z$5:$Z$404,$AC597),"D",IF(AND(INDEX($Z$5:$Z$404,$AC597)=1,593=INDEX($AB$5:$AB$404,$AC597)),"H",IF(AND(INDEX($AO$5:$AO$404,$AC597)=1,593=INDEX($AB$5:$AB$404,$AC597)+INDEX($Z$5:$Z$404,$AC597)+INDEX($AA$5:$AA$404,$AC597)+INDEX($AO$5:$AO$404,$AC597)),"B","T")))))))</f>
        <v/>
      </c>
      <c r="AF597">
        <f>IF(OR($AD597="",$AD597="Z",$AD597="B"),"",INDEX($X$5:$X$404,$AC597))</f>
        <v/>
      </c>
      <c r="AJ597">
        <f>IF($AD597&lt;&gt;"T",0,ROUND(SUMIF(oil!$B$4:$B$63,$AF597,oil!$AE$4:$AE$63),2))</f>
        <v/>
      </c>
      <c r="AQ597">
        <f>IF(OR($AD597="",$AD597="Z"),"",INDEX($AN$5:$AN$404,$AC597))</f>
        <v/>
      </c>
      <c r="AZ597">
        <f>IF(AND($AD597="T",$AQ597=1),N($AZ596)+1,N($AZ596))</f>
        <v/>
      </c>
    </row>
    <row r="598" ht="21" customHeight="1" s="66">
      <c r="A598" s="69">
        <f>IF($AD598="","",IF($AD598="Z","รวมจ่ายทั้งสิ้น",IF($AD598="H",INDEX($X$5:$X$404,$AC598),IF($AD598="T","รวม",IF($AD598="B",IFERROR(INDEX(อัตราค่าขนส่ง!$S$5:$S$14,MATCH(INDEX($AM$5:$AM$404,$AC598),อัตราค่าขนส่ง!$R$5:$R$14,0)),"รวมกลุ่ม "&amp;INDEX($AM$5:$AM$404,$AC598)),INDEX($AY$5:$AY$404,$AC598))))))</f>
        <v/>
      </c>
      <c r="B598" s="31">
        <f>IF($AD598&lt;&gt;"D","",INDEX($AW$5:$AW$404,$AC598))</f>
        <v/>
      </c>
      <c r="C598" s="68">
        <f>IF($AD598&lt;&gt;"D","",INDEX($AX$5:$AX$404,$AC598))</f>
        <v/>
      </c>
      <c r="D598" s="70">
        <f>IF($AD598&lt;&gt;"D","",INDEX($BA$5:$BA$404,$AC598))</f>
        <v/>
      </c>
      <c r="E598" s="31">
        <f>IF($AD598="Z",SUM($AR$5:$AR$404),IF($AD598="D",INDEX($AR$5:$AR$404,$AC598),IF($AD598="T",SUMIF($X$5:$X$404,$AF598,$AR$5:$AR$404),IF($AD598="B",SUMIF($AN$5:$AN$404,$AQ598,$AR$5:$AR$404),""))))</f>
        <v/>
      </c>
      <c r="F598" s="32">
        <f>IF($AD598="Z",ROUND(SUM($AS$5:$AS$404),2),IF($AD598="D",INDEX($AS$5:$AS$404,$AC598),IF($AD598="T",ROUND(SUMIF($X$5:$X$404,$AF598,$AS$5:$AS$404),2),IF($AD598="B",ROUND(SUMIF($AN$5:$AN$404,$AQ598,$AS$5:$AS$404),2),""))))</f>
        <v/>
      </c>
      <c r="G598" s="32">
        <f>IF($AD598&lt;&gt;"D","",INDEX($AT$5:$AT$404,$AC598))</f>
        <v/>
      </c>
      <c r="H598" s="32">
        <f>IF($AD598&lt;&gt;"D","",INDEX($BC$5:$BC$404,$AC598))</f>
        <v/>
      </c>
      <c r="I598" s="32">
        <f>IF($AD598&lt;&gt;"D","",INDEX($BD$5:$BD$404,$AC598))</f>
        <v/>
      </c>
      <c r="J598" s="46">
        <f>IF($AD598&lt;&gt;"D","",IF(N($B598)=0,"",ROUND($I598/$B598,4)))</f>
        <v/>
      </c>
      <c r="K598" s="32">
        <f>IF($AD598="Z",ROUND(SUM($AU$5:$AU$404),2),IF($AD598="D",INDEX($AU$5:$AU$404,$AC598),IF($AD598="T",ROUND(SUMIF($X$5:$X$404,$AF598,$AU$5:$AU$404),2),IF($AD598="B",ROUND(SUMIF($AN$5:$AN$404,$AQ598,$AU$5:$AU$404),2),""))))</f>
        <v/>
      </c>
      <c r="L598" s="32">
        <f>IF($AD598="Z",ROUND(SUM($AV$5:$AV$404),2),IF($AD598="D",INDEX($AV$5:$AV$404,$AC598),IF($AD598="T",ROUND(SUMIF($X$5:$X$404,$AF598,$AV$5:$AV$404),2),IF($AD598="B",ROUND(SUMIF($AN$5:$AN$404,$AQ598,$AV$5:$AV$404),2),""))))</f>
        <v/>
      </c>
      <c r="M598" s="32">
        <f>IF($AD598="Z",ROUND(SUM($AJ$5:$AJ$704),2),IF($AD598="B",ROUND(SUMIF($AQ$5:$AQ$704,$AQ598,$AJ$5:$AJ$704),2),IF($AD598&lt;&gt;"T","",$AJ598)))</f>
        <v/>
      </c>
      <c r="N598" s="32">
        <f>IF(OR($AD598="D",$AD598="T",$AD598="B",$AD598="Z"),ROUND(N($K598)-N($L598)-N($M598),2),"")</f>
        <v/>
      </c>
      <c r="O598" s="32">
        <f>IF(OR($AD598="D",$AD598="T",$AD598="B",$AD598="Z"),IF(N($E598)=0,"",ROUND($F598/$E598,2)),"")</f>
        <v/>
      </c>
      <c r="AC598">
        <f>IFERROR(MATCH(594,$AB$5:$AB$404,1),"")</f>
        <v/>
      </c>
      <c r="AD598">
        <f>IF(594=$AI$1+1,"Z",IF($AC598="","",IF(INDEX($V$5:$V$404,$AC598)="","",IF(594&gt;INDEX($AB$5:$AB$404,$AC598)+INDEX($Z$5:$Z$404,$AC598)+INDEX($AA$5:$AA$404,$AC598)+INDEX($AO$5:$AO$404,$AC598),"",IF(594=INDEX($AB$5:$AB$404,$AC598)+INDEX($Z$5:$Z$404,$AC598),"D",IF(AND(INDEX($Z$5:$Z$404,$AC598)=1,594=INDEX($AB$5:$AB$404,$AC598)),"H",IF(AND(INDEX($AO$5:$AO$404,$AC598)=1,594=INDEX($AB$5:$AB$404,$AC598)+INDEX($Z$5:$Z$404,$AC598)+INDEX($AA$5:$AA$404,$AC598)+INDEX($AO$5:$AO$404,$AC598)),"B","T")))))))</f>
        <v/>
      </c>
      <c r="AF598">
        <f>IF(OR($AD598="",$AD598="Z",$AD598="B"),"",INDEX($X$5:$X$404,$AC598))</f>
        <v/>
      </c>
      <c r="AJ598">
        <f>IF($AD598&lt;&gt;"T",0,ROUND(SUMIF(oil!$B$4:$B$63,$AF598,oil!$AE$4:$AE$63),2))</f>
        <v/>
      </c>
      <c r="AQ598">
        <f>IF(OR($AD598="",$AD598="Z"),"",INDEX($AN$5:$AN$404,$AC598))</f>
        <v/>
      </c>
      <c r="AZ598">
        <f>IF(AND($AD598="T",$AQ598=1),N($AZ597)+1,N($AZ597))</f>
        <v/>
      </c>
    </row>
    <row r="599" ht="21" customHeight="1" s="66">
      <c r="A599" s="69">
        <f>IF($AD599="","",IF($AD599="Z","รวมจ่ายทั้งสิ้น",IF($AD599="H",INDEX($X$5:$X$404,$AC599),IF($AD599="T","รวม",IF($AD599="B",IFERROR(INDEX(อัตราค่าขนส่ง!$S$5:$S$14,MATCH(INDEX($AM$5:$AM$404,$AC599),อัตราค่าขนส่ง!$R$5:$R$14,0)),"รวมกลุ่ม "&amp;INDEX($AM$5:$AM$404,$AC599)),INDEX($AY$5:$AY$404,$AC599))))))</f>
        <v/>
      </c>
      <c r="B599" s="31">
        <f>IF($AD599&lt;&gt;"D","",INDEX($AW$5:$AW$404,$AC599))</f>
        <v/>
      </c>
      <c r="C599" s="68">
        <f>IF($AD599&lt;&gt;"D","",INDEX($AX$5:$AX$404,$AC599))</f>
        <v/>
      </c>
      <c r="D599" s="70">
        <f>IF($AD599&lt;&gt;"D","",INDEX($BA$5:$BA$404,$AC599))</f>
        <v/>
      </c>
      <c r="E599" s="31">
        <f>IF($AD599="Z",SUM($AR$5:$AR$404),IF($AD599="D",INDEX($AR$5:$AR$404,$AC599),IF($AD599="T",SUMIF($X$5:$X$404,$AF599,$AR$5:$AR$404),IF($AD599="B",SUMIF($AN$5:$AN$404,$AQ599,$AR$5:$AR$404),""))))</f>
        <v/>
      </c>
      <c r="F599" s="32">
        <f>IF($AD599="Z",ROUND(SUM($AS$5:$AS$404),2),IF($AD599="D",INDEX($AS$5:$AS$404,$AC599),IF($AD599="T",ROUND(SUMIF($X$5:$X$404,$AF599,$AS$5:$AS$404),2),IF($AD599="B",ROUND(SUMIF($AN$5:$AN$404,$AQ599,$AS$5:$AS$404),2),""))))</f>
        <v/>
      </c>
      <c r="G599" s="32">
        <f>IF($AD599&lt;&gt;"D","",INDEX($AT$5:$AT$404,$AC599))</f>
        <v/>
      </c>
      <c r="H599" s="32">
        <f>IF($AD599&lt;&gt;"D","",INDEX($BC$5:$BC$404,$AC599))</f>
        <v/>
      </c>
      <c r="I599" s="32">
        <f>IF($AD599&lt;&gt;"D","",INDEX($BD$5:$BD$404,$AC599))</f>
        <v/>
      </c>
      <c r="J599" s="46">
        <f>IF($AD599&lt;&gt;"D","",IF(N($B599)=0,"",ROUND($I599/$B599,4)))</f>
        <v/>
      </c>
      <c r="K599" s="32">
        <f>IF($AD599="Z",ROUND(SUM($AU$5:$AU$404),2),IF($AD599="D",INDEX($AU$5:$AU$404,$AC599),IF($AD599="T",ROUND(SUMIF($X$5:$X$404,$AF599,$AU$5:$AU$404),2),IF($AD599="B",ROUND(SUMIF($AN$5:$AN$404,$AQ599,$AU$5:$AU$404),2),""))))</f>
        <v/>
      </c>
      <c r="L599" s="32">
        <f>IF($AD599="Z",ROUND(SUM($AV$5:$AV$404),2),IF($AD599="D",INDEX($AV$5:$AV$404,$AC599),IF($AD599="T",ROUND(SUMIF($X$5:$X$404,$AF599,$AV$5:$AV$404),2),IF($AD599="B",ROUND(SUMIF($AN$5:$AN$404,$AQ599,$AV$5:$AV$404),2),""))))</f>
        <v/>
      </c>
      <c r="M599" s="32">
        <f>IF($AD599="Z",ROUND(SUM($AJ$5:$AJ$704),2),IF($AD599="B",ROUND(SUMIF($AQ$5:$AQ$704,$AQ599,$AJ$5:$AJ$704),2),IF($AD599&lt;&gt;"T","",$AJ599)))</f>
        <v/>
      </c>
      <c r="N599" s="32">
        <f>IF(OR($AD599="D",$AD599="T",$AD599="B",$AD599="Z"),ROUND(N($K599)-N($L599)-N($M599),2),"")</f>
        <v/>
      </c>
      <c r="O599" s="32">
        <f>IF(OR($AD599="D",$AD599="T",$AD599="B",$AD599="Z"),IF(N($E599)=0,"",ROUND($F599/$E599,2)),"")</f>
        <v/>
      </c>
      <c r="AC599">
        <f>IFERROR(MATCH(595,$AB$5:$AB$404,1),"")</f>
        <v/>
      </c>
      <c r="AD599">
        <f>IF(595=$AI$1+1,"Z",IF($AC599="","",IF(INDEX($V$5:$V$404,$AC599)="","",IF(595&gt;INDEX($AB$5:$AB$404,$AC599)+INDEX($Z$5:$Z$404,$AC599)+INDEX($AA$5:$AA$404,$AC599)+INDEX($AO$5:$AO$404,$AC599),"",IF(595=INDEX($AB$5:$AB$404,$AC599)+INDEX($Z$5:$Z$404,$AC599),"D",IF(AND(INDEX($Z$5:$Z$404,$AC599)=1,595=INDEX($AB$5:$AB$404,$AC599)),"H",IF(AND(INDEX($AO$5:$AO$404,$AC599)=1,595=INDEX($AB$5:$AB$404,$AC599)+INDEX($Z$5:$Z$404,$AC599)+INDEX($AA$5:$AA$404,$AC599)+INDEX($AO$5:$AO$404,$AC599)),"B","T")))))))</f>
        <v/>
      </c>
      <c r="AF599">
        <f>IF(OR($AD599="",$AD599="Z",$AD599="B"),"",INDEX($X$5:$X$404,$AC599))</f>
        <v/>
      </c>
      <c r="AJ599">
        <f>IF($AD599&lt;&gt;"T",0,ROUND(SUMIF(oil!$B$4:$B$63,$AF599,oil!$AE$4:$AE$63),2))</f>
        <v/>
      </c>
      <c r="AQ599">
        <f>IF(OR($AD599="",$AD599="Z"),"",INDEX($AN$5:$AN$404,$AC599))</f>
        <v/>
      </c>
      <c r="AZ599">
        <f>IF(AND($AD599="T",$AQ599=1),N($AZ598)+1,N($AZ598))</f>
        <v/>
      </c>
    </row>
    <row r="600" ht="21" customHeight="1" s="66">
      <c r="A600" s="69">
        <f>IF($AD600="","",IF($AD600="Z","รวมจ่ายทั้งสิ้น",IF($AD600="H",INDEX($X$5:$X$404,$AC600),IF($AD600="T","รวม",IF($AD600="B",IFERROR(INDEX(อัตราค่าขนส่ง!$S$5:$S$14,MATCH(INDEX($AM$5:$AM$404,$AC600),อัตราค่าขนส่ง!$R$5:$R$14,0)),"รวมกลุ่ม "&amp;INDEX($AM$5:$AM$404,$AC600)),INDEX($AY$5:$AY$404,$AC600))))))</f>
        <v/>
      </c>
      <c r="B600" s="31">
        <f>IF($AD600&lt;&gt;"D","",INDEX($AW$5:$AW$404,$AC600))</f>
        <v/>
      </c>
      <c r="C600" s="68">
        <f>IF($AD600&lt;&gt;"D","",INDEX($AX$5:$AX$404,$AC600))</f>
        <v/>
      </c>
      <c r="D600" s="70">
        <f>IF($AD600&lt;&gt;"D","",INDEX($BA$5:$BA$404,$AC600))</f>
        <v/>
      </c>
      <c r="E600" s="31">
        <f>IF($AD600="Z",SUM($AR$5:$AR$404),IF($AD600="D",INDEX($AR$5:$AR$404,$AC600),IF($AD600="T",SUMIF($X$5:$X$404,$AF600,$AR$5:$AR$404),IF($AD600="B",SUMIF($AN$5:$AN$404,$AQ600,$AR$5:$AR$404),""))))</f>
        <v/>
      </c>
      <c r="F600" s="32">
        <f>IF($AD600="Z",ROUND(SUM($AS$5:$AS$404),2),IF($AD600="D",INDEX($AS$5:$AS$404,$AC600),IF($AD600="T",ROUND(SUMIF($X$5:$X$404,$AF600,$AS$5:$AS$404),2),IF($AD600="B",ROUND(SUMIF($AN$5:$AN$404,$AQ600,$AS$5:$AS$404),2),""))))</f>
        <v/>
      </c>
      <c r="G600" s="32">
        <f>IF($AD600&lt;&gt;"D","",INDEX($AT$5:$AT$404,$AC600))</f>
        <v/>
      </c>
      <c r="H600" s="32">
        <f>IF($AD600&lt;&gt;"D","",INDEX($BC$5:$BC$404,$AC600))</f>
        <v/>
      </c>
      <c r="I600" s="32">
        <f>IF($AD600&lt;&gt;"D","",INDEX($BD$5:$BD$404,$AC600))</f>
        <v/>
      </c>
      <c r="J600" s="46">
        <f>IF($AD600&lt;&gt;"D","",IF(N($B600)=0,"",ROUND($I600/$B600,4)))</f>
        <v/>
      </c>
      <c r="K600" s="32">
        <f>IF($AD600="Z",ROUND(SUM($AU$5:$AU$404),2),IF($AD600="D",INDEX($AU$5:$AU$404,$AC600),IF($AD600="T",ROUND(SUMIF($X$5:$X$404,$AF600,$AU$5:$AU$404),2),IF($AD600="B",ROUND(SUMIF($AN$5:$AN$404,$AQ600,$AU$5:$AU$404),2),""))))</f>
        <v/>
      </c>
      <c r="L600" s="32">
        <f>IF($AD600="Z",ROUND(SUM($AV$5:$AV$404),2),IF($AD600="D",INDEX($AV$5:$AV$404,$AC600),IF($AD600="T",ROUND(SUMIF($X$5:$X$404,$AF600,$AV$5:$AV$404),2),IF($AD600="B",ROUND(SUMIF($AN$5:$AN$404,$AQ600,$AV$5:$AV$404),2),""))))</f>
        <v/>
      </c>
      <c r="M600" s="32">
        <f>IF($AD600="Z",ROUND(SUM($AJ$5:$AJ$704),2),IF($AD600="B",ROUND(SUMIF($AQ$5:$AQ$704,$AQ600,$AJ$5:$AJ$704),2),IF($AD600&lt;&gt;"T","",$AJ600)))</f>
        <v/>
      </c>
      <c r="N600" s="32">
        <f>IF(OR($AD600="D",$AD600="T",$AD600="B",$AD600="Z"),ROUND(N($K600)-N($L600)-N($M600),2),"")</f>
        <v/>
      </c>
      <c r="O600" s="32">
        <f>IF(OR($AD600="D",$AD600="T",$AD600="B",$AD600="Z"),IF(N($E600)=0,"",ROUND($F600/$E600,2)),"")</f>
        <v/>
      </c>
      <c r="AC600">
        <f>IFERROR(MATCH(596,$AB$5:$AB$404,1),"")</f>
        <v/>
      </c>
      <c r="AD600">
        <f>IF(596=$AI$1+1,"Z",IF($AC600="","",IF(INDEX($V$5:$V$404,$AC600)="","",IF(596&gt;INDEX($AB$5:$AB$404,$AC600)+INDEX($Z$5:$Z$404,$AC600)+INDEX($AA$5:$AA$404,$AC600)+INDEX($AO$5:$AO$404,$AC600),"",IF(596=INDEX($AB$5:$AB$404,$AC600)+INDEX($Z$5:$Z$404,$AC600),"D",IF(AND(INDEX($Z$5:$Z$404,$AC600)=1,596=INDEX($AB$5:$AB$404,$AC600)),"H",IF(AND(INDEX($AO$5:$AO$404,$AC600)=1,596=INDEX($AB$5:$AB$404,$AC600)+INDEX($Z$5:$Z$404,$AC600)+INDEX($AA$5:$AA$404,$AC600)+INDEX($AO$5:$AO$404,$AC600)),"B","T")))))))</f>
        <v/>
      </c>
      <c r="AF600">
        <f>IF(OR($AD600="",$AD600="Z",$AD600="B"),"",INDEX($X$5:$X$404,$AC600))</f>
        <v/>
      </c>
      <c r="AJ600">
        <f>IF($AD600&lt;&gt;"T",0,ROUND(SUMIF(oil!$B$4:$B$63,$AF600,oil!$AE$4:$AE$63),2))</f>
        <v/>
      </c>
      <c r="AQ600">
        <f>IF(OR($AD600="",$AD600="Z"),"",INDEX($AN$5:$AN$404,$AC600))</f>
        <v/>
      </c>
      <c r="AZ600">
        <f>IF(AND($AD600="T",$AQ600=1),N($AZ599)+1,N($AZ599))</f>
        <v/>
      </c>
    </row>
    <row r="601" ht="21" customHeight="1" s="66">
      <c r="A601" s="69">
        <f>IF($AD601="","",IF($AD601="Z","รวมจ่ายทั้งสิ้น",IF($AD601="H",INDEX($X$5:$X$404,$AC601),IF($AD601="T","รวม",IF($AD601="B",IFERROR(INDEX(อัตราค่าขนส่ง!$S$5:$S$14,MATCH(INDEX($AM$5:$AM$404,$AC601),อัตราค่าขนส่ง!$R$5:$R$14,0)),"รวมกลุ่ม "&amp;INDEX($AM$5:$AM$404,$AC601)),INDEX($AY$5:$AY$404,$AC601))))))</f>
        <v/>
      </c>
      <c r="B601" s="31">
        <f>IF($AD601&lt;&gt;"D","",INDEX($AW$5:$AW$404,$AC601))</f>
        <v/>
      </c>
      <c r="C601" s="68">
        <f>IF($AD601&lt;&gt;"D","",INDEX($AX$5:$AX$404,$AC601))</f>
        <v/>
      </c>
      <c r="D601" s="70">
        <f>IF($AD601&lt;&gt;"D","",INDEX($BA$5:$BA$404,$AC601))</f>
        <v/>
      </c>
      <c r="E601" s="31">
        <f>IF($AD601="Z",SUM($AR$5:$AR$404),IF($AD601="D",INDEX($AR$5:$AR$404,$AC601),IF($AD601="T",SUMIF($X$5:$X$404,$AF601,$AR$5:$AR$404),IF($AD601="B",SUMIF($AN$5:$AN$404,$AQ601,$AR$5:$AR$404),""))))</f>
        <v/>
      </c>
      <c r="F601" s="32">
        <f>IF($AD601="Z",ROUND(SUM($AS$5:$AS$404),2),IF($AD601="D",INDEX($AS$5:$AS$404,$AC601),IF($AD601="T",ROUND(SUMIF($X$5:$X$404,$AF601,$AS$5:$AS$404),2),IF($AD601="B",ROUND(SUMIF($AN$5:$AN$404,$AQ601,$AS$5:$AS$404),2),""))))</f>
        <v/>
      </c>
      <c r="G601" s="32">
        <f>IF($AD601&lt;&gt;"D","",INDEX($AT$5:$AT$404,$AC601))</f>
        <v/>
      </c>
      <c r="H601" s="32">
        <f>IF($AD601&lt;&gt;"D","",INDEX($BC$5:$BC$404,$AC601))</f>
        <v/>
      </c>
      <c r="I601" s="32">
        <f>IF($AD601&lt;&gt;"D","",INDEX($BD$5:$BD$404,$AC601))</f>
        <v/>
      </c>
      <c r="J601" s="46">
        <f>IF($AD601&lt;&gt;"D","",IF(N($B601)=0,"",ROUND($I601/$B601,4)))</f>
        <v/>
      </c>
      <c r="K601" s="32">
        <f>IF($AD601="Z",ROUND(SUM($AU$5:$AU$404),2),IF($AD601="D",INDEX($AU$5:$AU$404,$AC601),IF($AD601="T",ROUND(SUMIF($X$5:$X$404,$AF601,$AU$5:$AU$404),2),IF($AD601="B",ROUND(SUMIF($AN$5:$AN$404,$AQ601,$AU$5:$AU$404),2),""))))</f>
        <v/>
      </c>
      <c r="L601" s="32">
        <f>IF($AD601="Z",ROUND(SUM($AV$5:$AV$404),2),IF($AD601="D",INDEX($AV$5:$AV$404,$AC601),IF($AD601="T",ROUND(SUMIF($X$5:$X$404,$AF601,$AV$5:$AV$404),2),IF($AD601="B",ROUND(SUMIF($AN$5:$AN$404,$AQ601,$AV$5:$AV$404),2),""))))</f>
        <v/>
      </c>
      <c r="M601" s="32">
        <f>IF($AD601="Z",ROUND(SUM($AJ$5:$AJ$704),2),IF($AD601="B",ROUND(SUMIF($AQ$5:$AQ$704,$AQ601,$AJ$5:$AJ$704),2),IF($AD601&lt;&gt;"T","",$AJ601)))</f>
        <v/>
      </c>
      <c r="N601" s="32">
        <f>IF(OR($AD601="D",$AD601="T",$AD601="B",$AD601="Z"),ROUND(N($K601)-N($L601)-N($M601),2),"")</f>
        <v/>
      </c>
      <c r="O601" s="32">
        <f>IF(OR($AD601="D",$AD601="T",$AD601="B",$AD601="Z"),IF(N($E601)=0,"",ROUND($F601/$E601,2)),"")</f>
        <v/>
      </c>
      <c r="AC601">
        <f>IFERROR(MATCH(597,$AB$5:$AB$404,1),"")</f>
        <v/>
      </c>
      <c r="AD601">
        <f>IF(597=$AI$1+1,"Z",IF($AC601="","",IF(INDEX($V$5:$V$404,$AC601)="","",IF(597&gt;INDEX($AB$5:$AB$404,$AC601)+INDEX($Z$5:$Z$404,$AC601)+INDEX($AA$5:$AA$404,$AC601)+INDEX($AO$5:$AO$404,$AC601),"",IF(597=INDEX($AB$5:$AB$404,$AC601)+INDEX($Z$5:$Z$404,$AC601),"D",IF(AND(INDEX($Z$5:$Z$404,$AC601)=1,597=INDEX($AB$5:$AB$404,$AC601)),"H",IF(AND(INDEX($AO$5:$AO$404,$AC601)=1,597=INDEX($AB$5:$AB$404,$AC601)+INDEX($Z$5:$Z$404,$AC601)+INDEX($AA$5:$AA$404,$AC601)+INDEX($AO$5:$AO$404,$AC601)),"B","T")))))))</f>
        <v/>
      </c>
      <c r="AF601">
        <f>IF(OR($AD601="",$AD601="Z",$AD601="B"),"",INDEX($X$5:$X$404,$AC601))</f>
        <v/>
      </c>
      <c r="AJ601">
        <f>IF($AD601&lt;&gt;"T",0,ROUND(SUMIF(oil!$B$4:$B$63,$AF601,oil!$AE$4:$AE$63),2))</f>
        <v/>
      </c>
      <c r="AQ601">
        <f>IF(OR($AD601="",$AD601="Z"),"",INDEX($AN$5:$AN$404,$AC601))</f>
        <v/>
      </c>
      <c r="AZ601">
        <f>IF(AND($AD601="T",$AQ601=1),N($AZ600)+1,N($AZ600))</f>
        <v/>
      </c>
    </row>
    <row r="602" ht="21" customHeight="1" s="66">
      <c r="A602" s="69">
        <f>IF($AD602="","",IF($AD602="Z","รวมจ่ายทั้งสิ้น",IF($AD602="H",INDEX($X$5:$X$404,$AC602),IF($AD602="T","รวม",IF($AD602="B",IFERROR(INDEX(อัตราค่าขนส่ง!$S$5:$S$14,MATCH(INDEX($AM$5:$AM$404,$AC602),อัตราค่าขนส่ง!$R$5:$R$14,0)),"รวมกลุ่ม "&amp;INDEX($AM$5:$AM$404,$AC602)),INDEX($AY$5:$AY$404,$AC602))))))</f>
        <v/>
      </c>
      <c r="B602" s="31">
        <f>IF($AD602&lt;&gt;"D","",INDEX($AW$5:$AW$404,$AC602))</f>
        <v/>
      </c>
      <c r="C602" s="68">
        <f>IF($AD602&lt;&gt;"D","",INDEX($AX$5:$AX$404,$AC602))</f>
        <v/>
      </c>
      <c r="D602" s="70">
        <f>IF($AD602&lt;&gt;"D","",INDEX($BA$5:$BA$404,$AC602))</f>
        <v/>
      </c>
      <c r="E602" s="31">
        <f>IF($AD602="Z",SUM($AR$5:$AR$404),IF($AD602="D",INDEX($AR$5:$AR$404,$AC602),IF($AD602="T",SUMIF($X$5:$X$404,$AF602,$AR$5:$AR$404),IF($AD602="B",SUMIF($AN$5:$AN$404,$AQ602,$AR$5:$AR$404),""))))</f>
        <v/>
      </c>
      <c r="F602" s="32">
        <f>IF($AD602="Z",ROUND(SUM($AS$5:$AS$404),2),IF($AD602="D",INDEX($AS$5:$AS$404,$AC602),IF($AD602="T",ROUND(SUMIF($X$5:$X$404,$AF602,$AS$5:$AS$404),2),IF($AD602="B",ROUND(SUMIF($AN$5:$AN$404,$AQ602,$AS$5:$AS$404),2),""))))</f>
        <v/>
      </c>
      <c r="G602" s="32">
        <f>IF($AD602&lt;&gt;"D","",INDEX($AT$5:$AT$404,$AC602))</f>
        <v/>
      </c>
      <c r="H602" s="32">
        <f>IF($AD602&lt;&gt;"D","",INDEX($BC$5:$BC$404,$AC602))</f>
        <v/>
      </c>
      <c r="I602" s="32">
        <f>IF($AD602&lt;&gt;"D","",INDEX($BD$5:$BD$404,$AC602))</f>
        <v/>
      </c>
      <c r="J602" s="46">
        <f>IF($AD602&lt;&gt;"D","",IF(N($B602)=0,"",ROUND($I602/$B602,4)))</f>
        <v/>
      </c>
      <c r="K602" s="32">
        <f>IF($AD602="Z",ROUND(SUM($AU$5:$AU$404),2),IF($AD602="D",INDEX($AU$5:$AU$404,$AC602),IF($AD602="T",ROUND(SUMIF($X$5:$X$404,$AF602,$AU$5:$AU$404),2),IF($AD602="B",ROUND(SUMIF($AN$5:$AN$404,$AQ602,$AU$5:$AU$404),2),""))))</f>
        <v/>
      </c>
      <c r="L602" s="32">
        <f>IF($AD602="Z",ROUND(SUM($AV$5:$AV$404),2),IF($AD602="D",INDEX($AV$5:$AV$404,$AC602),IF($AD602="T",ROUND(SUMIF($X$5:$X$404,$AF602,$AV$5:$AV$404),2),IF($AD602="B",ROUND(SUMIF($AN$5:$AN$404,$AQ602,$AV$5:$AV$404),2),""))))</f>
        <v/>
      </c>
      <c r="M602" s="32">
        <f>IF($AD602="Z",ROUND(SUM($AJ$5:$AJ$704),2),IF($AD602="B",ROUND(SUMIF($AQ$5:$AQ$704,$AQ602,$AJ$5:$AJ$704),2),IF($AD602&lt;&gt;"T","",$AJ602)))</f>
        <v/>
      </c>
      <c r="N602" s="32">
        <f>IF(OR($AD602="D",$AD602="T",$AD602="B",$AD602="Z"),ROUND(N($K602)-N($L602)-N($M602),2),"")</f>
        <v/>
      </c>
      <c r="O602" s="32">
        <f>IF(OR($AD602="D",$AD602="T",$AD602="B",$AD602="Z"),IF(N($E602)=0,"",ROUND($F602/$E602,2)),"")</f>
        <v/>
      </c>
      <c r="AC602">
        <f>IFERROR(MATCH(598,$AB$5:$AB$404,1),"")</f>
        <v/>
      </c>
      <c r="AD602">
        <f>IF(598=$AI$1+1,"Z",IF($AC602="","",IF(INDEX($V$5:$V$404,$AC602)="","",IF(598&gt;INDEX($AB$5:$AB$404,$AC602)+INDEX($Z$5:$Z$404,$AC602)+INDEX($AA$5:$AA$404,$AC602)+INDEX($AO$5:$AO$404,$AC602),"",IF(598=INDEX($AB$5:$AB$404,$AC602)+INDEX($Z$5:$Z$404,$AC602),"D",IF(AND(INDEX($Z$5:$Z$404,$AC602)=1,598=INDEX($AB$5:$AB$404,$AC602)),"H",IF(AND(INDEX($AO$5:$AO$404,$AC602)=1,598=INDEX($AB$5:$AB$404,$AC602)+INDEX($Z$5:$Z$404,$AC602)+INDEX($AA$5:$AA$404,$AC602)+INDEX($AO$5:$AO$404,$AC602)),"B","T")))))))</f>
        <v/>
      </c>
      <c r="AF602">
        <f>IF(OR($AD602="",$AD602="Z",$AD602="B"),"",INDEX($X$5:$X$404,$AC602))</f>
        <v/>
      </c>
      <c r="AJ602">
        <f>IF($AD602&lt;&gt;"T",0,ROUND(SUMIF(oil!$B$4:$B$63,$AF602,oil!$AE$4:$AE$63),2))</f>
        <v/>
      </c>
      <c r="AQ602">
        <f>IF(OR($AD602="",$AD602="Z"),"",INDEX($AN$5:$AN$404,$AC602))</f>
        <v/>
      </c>
      <c r="AZ602">
        <f>IF(AND($AD602="T",$AQ602=1),N($AZ601)+1,N($AZ601))</f>
        <v/>
      </c>
    </row>
    <row r="603" ht="21" customHeight="1" s="66">
      <c r="A603" s="69">
        <f>IF($AD603="","",IF($AD603="Z","รวมจ่ายทั้งสิ้น",IF($AD603="H",INDEX($X$5:$X$404,$AC603),IF($AD603="T","รวม",IF($AD603="B",IFERROR(INDEX(อัตราค่าขนส่ง!$S$5:$S$14,MATCH(INDEX($AM$5:$AM$404,$AC603),อัตราค่าขนส่ง!$R$5:$R$14,0)),"รวมกลุ่ม "&amp;INDEX($AM$5:$AM$404,$AC603)),INDEX($AY$5:$AY$404,$AC603))))))</f>
        <v/>
      </c>
      <c r="B603" s="31">
        <f>IF($AD603&lt;&gt;"D","",INDEX($AW$5:$AW$404,$AC603))</f>
        <v/>
      </c>
      <c r="C603" s="68">
        <f>IF($AD603&lt;&gt;"D","",INDEX($AX$5:$AX$404,$AC603))</f>
        <v/>
      </c>
      <c r="D603" s="70">
        <f>IF($AD603&lt;&gt;"D","",INDEX($BA$5:$BA$404,$AC603))</f>
        <v/>
      </c>
      <c r="E603" s="31">
        <f>IF($AD603="Z",SUM($AR$5:$AR$404),IF($AD603="D",INDEX($AR$5:$AR$404,$AC603),IF($AD603="T",SUMIF($X$5:$X$404,$AF603,$AR$5:$AR$404),IF($AD603="B",SUMIF($AN$5:$AN$404,$AQ603,$AR$5:$AR$404),""))))</f>
        <v/>
      </c>
      <c r="F603" s="32">
        <f>IF($AD603="Z",ROUND(SUM($AS$5:$AS$404),2),IF($AD603="D",INDEX($AS$5:$AS$404,$AC603),IF($AD603="T",ROUND(SUMIF($X$5:$X$404,$AF603,$AS$5:$AS$404),2),IF($AD603="B",ROUND(SUMIF($AN$5:$AN$404,$AQ603,$AS$5:$AS$404),2),""))))</f>
        <v/>
      </c>
      <c r="G603" s="32">
        <f>IF($AD603&lt;&gt;"D","",INDEX($AT$5:$AT$404,$AC603))</f>
        <v/>
      </c>
      <c r="H603" s="32">
        <f>IF($AD603&lt;&gt;"D","",INDEX($BC$5:$BC$404,$AC603))</f>
        <v/>
      </c>
      <c r="I603" s="32">
        <f>IF($AD603&lt;&gt;"D","",INDEX($BD$5:$BD$404,$AC603))</f>
        <v/>
      </c>
      <c r="J603" s="46">
        <f>IF($AD603&lt;&gt;"D","",IF(N($B603)=0,"",ROUND($I603/$B603,4)))</f>
        <v/>
      </c>
      <c r="K603" s="32">
        <f>IF($AD603="Z",ROUND(SUM($AU$5:$AU$404),2),IF($AD603="D",INDEX($AU$5:$AU$404,$AC603),IF($AD603="T",ROUND(SUMIF($X$5:$X$404,$AF603,$AU$5:$AU$404),2),IF($AD603="B",ROUND(SUMIF($AN$5:$AN$404,$AQ603,$AU$5:$AU$404),2),""))))</f>
        <v/>
      </c>
      <c r="L603" s="32">
        <f>IF($AD603="Z",ROUND(SUM($AV$5:$AV$404),2),IF($AD603="D",INDEX($AV$5:$AV$404,$AC603),IF($AD603="T",ROUND(SUMIF($X$5:$X$404,$AF603,$AV$5:$AV$404),2),IF($AD603="B",ROUND(SUMIF($AN$5:$AN$404,$AQ603,$AV$5:$AV$404),2),""))))</f>
        <v/>
      </c>
      <c r="M603" s="32">
        <f>IF($AD603="Z",ROUND(SUM($AJ$5:$AJ$704),2),IF($AD603="B",ROUND(SUMIF($AQ$5:$AQ$704,$AQ603,$AJ$5:$AJ$704),2),IF($AD603&lt;&gt;"T","",$AJ603)))</f>
        <v/>
      </c>
      <c r="N603" s="32">
        <f>IF(OR($AD603="D",$AD603="T",$AD603="B",$AD603="Z"),ROUND(N($K603)-N($L603)-N($M603),2),"")</f>
        <v/>
      </c>
      <c r="O603" s="32">
        <f>IF(OR($AD603="D",$AD603="T",$AD603="B",$AD603="Z"),IF(N($E603)=0,"",ROUND($F603/$E603,2)),"")</f>
        <v/>
      </c>
      <c r="AC603">
        <f>IFERROR(MATCH(599,$AB$5:$AB$404,1),"")</f>
        <v/>
      </c>
      <c r="AD603">
        <f>IF(599=$AI$1+1,"Z",IF($AC603="","",IF(INDEX($V$5:$V$404,$AC603)="","",IF(599&gt;INDEX($AB$5:$AB$404,$AC603)+INDEX($Z$5:$Z$404,$AC603)+INDEX($AA$5:$AA$404,$AC603)+INDEX($AO$5:$AO$404,$AC603),"",IF(599=INDEX($AB$5:$AB$404,$AC603)+INDEX($Z$5:$Z$404,$AC603),"D",IF(AND(INDEX($Z$5:$Z$404,$AC603)=1,599=INDEX($AB$5:$AB$404,$AC603)),"H",IF(AND(INDEX($AO$5:$AO$404,$AC603)=1,599=INDEX($AB$5:$AB$404,$AC603)+INDEX($Z$5:$Z$404,$AC603)+INDEX($AA$5:$AA$404,$AC603)+INDEX($AO$5:$AO$404,$AC603)),"B","T")))))))</f>
        <v/>
      </c>
      <c r="AF603">
        <f>IF(OR($AD603="",$AD603="Z",$AD603="B"),"",INDEX($X$5:$X$404,$AC603))</f>
        <v/>
      </c>
      <c r="AJ603">
        <f>IF($AD603&lt;&gt;"T",0,ROUND(SUMIF(oil!$B$4:$B$63,$AF603,oil!$AE$4:$AE$63),2))</f>
        <v/>
      </c>
      <c r="AQ603">
        <f>IF(OR($AD603="",$AD603="Z"),"",INDEX($AN$5:$AN$404,$AC603))</f>
        <v/>
      </c>
      <c r="AZ603">
        <f>IF(AND($AD603="T",$AQ603=1),N($AZ602)+1,N($AZ602))</f>
        <v/>
      </c>
    </row>
    <row r="604" ht="21" customHeight="1" s="66">
      <c r="A604" s="69">
        <f>IF($AD604="","",IF($AD604="Z","รวมจ่ายทั้งสิ้น",IF($AD604="H",INDEX($X$5:$X$404,$AC604),IF($AD604="T","รวม",IF($AD604="B",IFERROR(INDEX(อัตราค่าขนส่ง!$S$5:$S$14,MATCH(INDEX($AM$5:$AM$404,$AC604),อัตราค่าขนส่ง!$R$5:$R$14,0)),"รวมกลุ่ม "&amp;INDEX($AM$5:$AM$404,$AC604)),INDEX($AY$5:$AY$404,$AC604))))))</f>
        <v/>
      </c>
      <c r="B604" s="31">
        <f>IF($AD604&lt;&gt;"D","",INDEX($AW$5:$AW$404,$AC604))</f>
        <v/>
      </c>
      <c r="C604" s="68">
        <f>IF($AD604&lt;&gt;"D","",INDEX($AX$5:$AX$404,$AC604))</f>
        <v/>
      </c>
      <c r="D604" s="70">
        <f>IF($AD604&lt;&gt;"D","",INDEX($BA$5:$BA$404,$AC604))</f>
        <v/>
      </c>
      <c r="E604" s="31">
        <f>IF($AD604="Z",SUM($AR$5:$AR$404),IF($AD604="D",INDEX($AR$5:$AR$404,$AC604),IF($AD604="T",SUMIF($X$5:$X$404,$AF604,$AR$5:$AR$404),IF($AD604="B",SUMIF($AN$5:$AN$404,$AQ604,$AR$5:$AR$404),""))))</f>
        <v/>
      </c>
      <c r="F604" s="32">
        <f>IF($AD604="Z",ROUND(SUM($AS$5:$AS$404),2),IF($AD604="D",INDEX($AS$5:$AS$404,$AC604),IF($AD604="T",ROUND(SUMIF($X$5:$X$404,$AF604,$AS$5:$AS$404),2),IF($AD604="B",ROUND(SUMIF($AN$5:$AN$404,$AQ604,$AS$5:$AS$404),2),""))))</f>
        <v/>
      </c>
      <c r="G604" s="32">
        <f>IF($AD604&lt;&gt;"D","",INDEX($AT$5:$AT$404,$AC604))</f>
        <v/>
      </c>
      <c r="H604" s="32">
        <f>IF($AD604&lt;&gt;"D","",INDEX($BC$5:$BC$404,$AC604))</f>
        <v/>
      </c>
      <c r="I604" s="32">
        <f>IF($AD604&lt;&gt;"D","",INDEX($BD$5:$BD$404,$AC604))</f>
        <v/>
      </c>
      <c r="J604" s="46">
        <f>IF($AD604&lt;&gt;"D","",IF(N($B604)=0,"",ROUND($I604/$B604,4)))</f>
        <v/>
      </c>
      <c r="K604" s="32">
        <f>IF($AD604="Z",ROUND(SUM($AU$5:$AU$404),2),IF($AD604="D",INDEX($AU$5:$AU$404,$AC604),IF($AD604="T",ROUND(SUMIF($X$5:$X$404,$AF604,$AU$5:$AU$404),2),IF($AD604="B",ROUND(SUMIF($AN$5:$AN$404,$AQ604,$AU$5:$AU$404),2),""))))</f>
        <v/>
      </c>
      <c r="L604" s="32">
        <f>IF($AD604="Z",ROUND(SUM($AV$5:$AV$404),2),IF($AD604="D",INDEX($AV$5:$AV$404,$AC604),IF($AD604="T",ROUND(SUMIF($X$5:$X$404,$AF604,$AV$5:$AV$404),2),IF($AD604="B",ROUND(SUMIF($AN$5:$AN$404,$AQ604,$AV$5:$AV$404),2),""))))</f>
        <v/>
      </c>
      <c r="M604" s="32">
        <f>IF($AD604="Z",ROUND(SUM($AJ$5:$AJ$704),2),IF($AD604="B",ROUND(SUMIF($AQ$5:$AQ$704,$AQ604,$AJ$5:$AJ$704),2),IF($AD604&lt;&gt;"T","",$AJ604)))</f>
        <v/>
      </c>
      <c r="N604" s="32">
        <f>IF(OR($AD604="D",$AD604="T",$AD604="B",$AD604="Z"),ROUND(N($K604)-N($L604)-N($M604),2),"")</f>
        <v/>
      </c>
      <c r="O604" s="32">
        <f>IF(OR($AD604="D",$AD604="T",$AD604="B",$AD604="Z"),IF(N($E604)=0,"",ROUND($F604/$E604,2)),"")</f>
        <v/>
      </c>
      <c r="AC604">
        <f>IFERROR(MATCH(600,$AB$5:$AB$404,1),"")</f>
        <v/>
      </c>
      <c r="AD604">
        <f>IF(600=$AI$1+1,"Z",IF($AC604="","",IF(INDEX($V$5:$V$404,$AC604)="","",IF(600&gt;INDEX($AB$5:$AB$404,$AC604)+INDEX($Z$5:$Z$404,$AC604)+INDEX($AA$5:$AA$404,$AC604)+INDEX($AO$5:$AO$404,$AC604),"",IF(600=INDEX($AB$5:$AB$404,$AC604)+INDEX($Z$5:$Z$404,$AC604),"D",IF(AND(INDEX($Z$5:$Z$404,$AC604)=1,600=INDEX($AB$5:$AB$404,$AC604)),"H",IF(AND(INDEX($AO$5:$AO$404,$AC604)=1,600=INDEX($AB$5:$AB$404,$AC604)+INDEX($Z$5:$Z$404,$AC604)+INDEX($AA$5:$AA$404,$AC604)+INDEX($AO$5:$AO$404,$AC604)),"B","T")))))))</f>
        <v/>
      </c>
      <c r="AF604">
        <f>IF(OR($AD604="",$AD604="Z",$AD604="B"),"",INDEX($X$5:$X$404,$AC604))</f>
        <v/>
      </c>
      <c r="AJ604">
        <f>IF($AD604&lt;&gt;"T",0,ROUND(SUMIF(oil!$B$4:$B$63,$AF604,oil!$AE$4:$AE$63),2))</f>
        <v/>
      </c>
      <c r="AQ604">
        <f>IF(OR($AD604="",$AD604="Z"),"",INDEX($AN$5:$AN$404,$AC604))</f>
        <v/>
      </c>
      <c r="AZ604">
        <f>IF(AND($AD604="T",$AQ604=1),N($AZ603)+1,N($AZ603))</f>
        <v/>
      </c>
    </row>
    <row r="605" ht="21" customHeight="1" s="66">
      <c r="A605" s="69">
        <f>IF($AD605="","",IF($AD605="Z","รวมจ่ายทั้งสิ้น",IF($AD605="H",INDEX($X$5:$X$404,$AC605),IF($AD605="T","รวม",IF($AD605="B",IFERROR(INDEX(อัตราค่าขนส่ง!$S$5:$S$14,MATCH(INDEX($AM$5:$AM$404,$AC605),อัตราค่าขนส่ง!$R$5:$R$14,0)),"รวมกลุ่ม "&amp;INDEX($AM$5:$AM$404,$AC605)),INDEX($AY$5:$AY$404,$AC605))))))</f>
        <v/>
      </c>
      <c r="B605" s="31">
        <f>IF($AD605&lt;&gt;"D","",INDEX($AW$5:$AW$404,$AC605))</f>
        <v/>
      </c>
      <c r="C605" s="68">
        <f>IF($AD605&lt;&gt;"D","",INDEX($AX$5:$AX$404,$AC605))</f>
        <v/>
      </c>
      <c r="D605" s="70">
        <f>IF($AD605&lt;&gt;"D","",INDEX($BA$5:$BA$404,$AC605))</f>
        <v/>
      </c>
      <c r="E605" s="31">
        <f>IF($AD605="Z",SUM($AR$5:$AR$404),IF($AD605="D",INDEX($AR$5:$AR$404,$AC605),IF($AD605="T",SUMIF($X$5:$X$404,$AF605,$AR$5:$AR$404),IF($AD605="B",SUMIF($AN$5:$AN$404,$AQ605,$AR$5:$AR$404),""))))</f>
        <v/>
      </c>
      <c r="F605" s="32">
        <f>IF($AD605="Z",ROUND(SUM($AS$5:$AS$404),2),IF($AD605="D",INDEX($AS$5:$AS$404,$AC605),IF($AD605="T",ROUND(SUMIF($X$5:$X$404,$AF605,$AS$5:$AS$404),2),IF($AD605="B",ROUND(SUMIF($AN$5:$AN$404,$AQ605,$AS$5:$AS$404),2),""))))</f>
        <v/>
      </c>
      <c r="G605" s="32">
        <f>IF($AD605&lt;&gt;"D","",INDEX($AT$5:$AT$404,$AC605))</f>
        <v/>
      </c>
      <c r="H605" s="32">
        <f>IF($AD605&lt;&gt;"D","",INDEX($BC$5:$BC$404,$AC605))</f>
        <v/>
      </c>
      <c r="I605" s="32">
        <f>IF($AD605&lt;&gt;"D","",INDEX($BD$5:$BD$404,$AC605))</f>
        <v/>
      </c>
      <c r="J605" s="46">
        <f>IF($AD605&lt;&gt;"D","",IF(N($B605)=0,"",ROUND($I605/$B605,4)))</f>
        <v/>
      </c>
      <c r="K605" s="32">
        <f>IF($AD605="Z",ROUND(SUM($AU$5:$AU$404),2),IF($AD605="D",INDEX($AU$5:$AU$404,$AC605),IF($AD605="T",ROUND(SUMIF($X$5:$X$404,$AF605,$AU$5:$AU$404),2),IF($AD605="B",ROUND(SUMIF($AN$5:$AN$404,$AQ605,$AU$5:$AU$404),2),""))))</f>
        <v/>
      </c>
      <c r="L605" s="32">
        <f>IF($AD605="Z",ROUND(SUM($AV$5:$AV$404),2),IF($AD605="D",INDEX($AV$5:$AV$404,$AC605),IF($AD605="T",ROUND(SUMIF($X$5:$X$404,$AF605,$AV$5:$AV$404),2),IF($AD605="B",ROUND(SUMIF($AN$5:$AN$404,$AQ605,$AV$5:$AV$404),2),""))))</f>
        <v/>
      </c>
      <c r="M605" s="32">
        <f>IF($AD605="Z",ROUND(SUM($AJ$5:$AJ$704),2),IF($AD605="B",ROUND(SUMIF($AQ$5:$AQ$704,$AQ605,$AJ$5:$AJ$704),2),IF($AD605&lt;&gt;"T","",$AJ605)))</f>
        <v/>
      </c>
      <c r="N605" s="32">
        <f>IF(OR($AD605="D",$AD605="T",$AD605="B",$AD605="Z"),ROUND(N($K605)-N($L605)-N($M605),2),"")</f>
        <v/>
      </c>
      <c r="O605" s="32">
        <f>IF(OR($AD605="D",$AD605="T",$AD605="B",$AD605="Z"),IF(N($E605)=0,"",ROUND($F605/$E605,2)),"")</f>
        <v/>
      </c>
      <c r="AC605">
        <f>IFERROR(MATCH(601,$AB$5:$AB$404,1),"")</f>
        <v/>
      </c>
      <c r="AD605">
        <f>IF(601=$AI$1+1,"Z",IF($AC605="","",IF(INDEX($V$5:$V$404,$AC605)="","",IF(601&gt;INDEX($AB$5:$AB$404,$AC605)+INDEX($Z$5:$Z$404,$AC605)+INDEX($AA$5:$AA$404,$AC605)+INDEX($AO$5:$AO$404,$AC605),"",IF(601=INDEX($AB$5:$AB$404,$AC605)+INDEX($Z$5:$Z$404,$AC605),"D",IF(AND(INDEX($Z$5:$Z$404,$AC605)=1,601=INDEX($AB$5:$AB$404,$AC605)),"H",IF(AND(INDEX($AO$5:$AO$404,$AC605)=1,601=INDEX($AB$5:$AB$404,$AC605)+INDEX($Z$5:$Z$404,$AC605)+INDEX($AA$5:$AA$404,$AC605)+INDEX($AO$5:$AO$404,$AC605)),"B","T")))))))</f>
        <v/>
      </c>
      <c r="AF605">
        <f>IF(OR($AD605="",$AD605="Z",$AD605="B"),"",INDEX($X$5:$X$404,$AC605))</f>
        <v/>
      </c>
      <c r="AJ605">
        <f>IF($AD605&lt;&gt;"T",0,ROUND(SUMIF(oil!$B$4:$B$63,$AF605,oil!$AE$4:$AE$63),2))</f>
        <v/>
      </c>
      <c r="AQ605">
        <f>IF(OR($AD605="",$AD605="Z"),"",INDEX($AN$5:$AN$404,$AC605))</f>
        <v/>
      </c>
      <c r="AZ605">
        <f>IF(AND($AD605="T",$AQ605=1),N($AZ604)+1,N($AZ604))</f>
        <v/>
      </c>
    </row>
    <row r="606" ht="21" customHeight="1" s="66">
      <c r="A606" s="69">
        <f>IF($AD606="","",IF($AD606="Z","รวมจ่ายทั้งสิ้น",IF($AD606="H",INDEX($X$5:$X$404,$AC606),IF($AD606="T","รวม",IF($AD606="B",IFERROR(INDEX(อัตราค่าขนส่ง!$S$5:$S$14,MATCH(INDEX($AM$5:$AM$404,$AC606),อัตราค่าขนส่ง!$R$5:$R$14,0)),"รวมกลุ่ม "&amp;INDEX($AM$5:$AM$404,$AC606)),INDEX($AY$5:$AY$404,$AC606))))))</f>
        <v/>
      </c>
      <c r="B606" s="31">
        <f>IF($AD606&lt;&gt;"D","",INDEX($AW$5:$AW$404,$AC606))</f>
        <v/>
      </c>
      <c r="C606" s="68">
        <f>IF($AD606&lt;&gt;"D","",INDEX($AX$5:$AX$404,$AC606))</f>
        <v/>
      </c>
      <c r="D606" s="70">
        <f>IF($AD606&lt;&gt;"D","",INDEX($BA$5:$BA$404,$AC606))</f>
        <v/>
      </c>
      <c r="E606" s="31">
        <f>IF($AD606="Z",SUM($AR$5:$AR$404),IF($AD606="D",INDEX($AR$5:$AR$404,$AC606),IF($AD606="T",SUMIF($X$5:$X$404,$AF606,$AR$5:$AR$404),IF($AD606="B",SUMIF($AN$5:$AN$404,$AQ606,$AR$5:$AR$404),""))))</f>
        <v/>
      </c>
      <c r="F606" s="32">
        <f>IF($AD606="Z",ROUND(SUM($AS$5:$AS$404),2),IF($AD606="D",INDEX($AS$5:$AS$404,$AC606),IF($AD606="T",ROUND(SUMIF($X$5:$X$404,$AF606,$AS$5:$AS$404),2),IF($AD606="B",ROUND(SUMIF($AN$5:$AN$404,$AQ606,$AS$5:$AS$404),2),""))))</f>
        <v/>
      </c>
      <c r="G606" s="32">
        <f>IF($AD606&lt;&gt;"D","",INDEX($AT$5:$AT$404,$AC606))</f>
        <v/>
      </c>
      <c r="H606" s="32">
        <f>IF($AD606&lt;&gt;"D","",INDEX($BC$5:$BC$404,$AC606))</f>
        <v/>
      </c>
      <c r="I606" s="32">
        <f>IF($AD606&lt;&gt;"D","",INDEX($BD$5:$BD$404,$AC606))</f>
        <v/>
      </c>
      <c r="J606" s="46">
        <f>IF($AD606&lt;&gt;"D","",IF(N($B606)=0,"",ROUND($I606/$B606,4)))</f>
        <v/>
      </c>
      <c r="K606" s="32">
        <f>IF($AD606="Z",ROUND(SUM($AU$5:$AU$404),2),IF($AD606="D",INDEX($AU$5:$AU$404,$AC606),IF($AD606="T",ROUND(SUMIF($X$5:$X$404,$AF606,$AU$5:$AU$404),2),IF($AD606="B",ROUND(SUMIF($AN$5:$AN$404,$AQ606,$AU$5:$AU$404),2),""))))</f>
        <v/>
      </c>
      <c r="L606" s="32">
        <f>IF($AD606="Z",ROUND(SUM($AV$5:$AV$404),2),IF($AD606="D",INDEX($AV$5:$AV$404,$AC606),IF($AD606="T",ROUND(SUMIF($X$5:$X$404,$AF606,$AV$5:$AV$404),2),IF($AD606="B",ROUND(SUMIF($AN$5:$AN$404,$AQ606,$AV$5:$AV$404),2),""))))</f>
        <v/>
      </c>
      <c r="M606" s="32">
        <f>IF($AD606="Z",ROUND(SUM($AJ$5:$AJ$704),2),IF($AD606="B",ROUND(SUMIF($AQ$5:$AQ$704,$AQ606,$AJ$5:$AJ$704),2),IF($AD606&lt;&gt;"T","",$AJ606)))</f>
        <v/>
      </c>
      <c r="N606" s="32">
        <f>IF(OR($AD606="D",$AD606="T",$AD606="B",$AD606="Z"),ROUND(N($K606)-N($L606)-N($M606),2),"")</f>
        <v/>
      </c>
      <c r="O606" s="32">
        <f>IF(OR($AD606="D",$AD606="T",$AD606="B",$AD606="Z"),IF(N($E606)=0,"",ROUND($F606/$E606,2)),"")</f>
        <v/>
      </c>
      <c r="AC606">
        <f>IFERROR(MATCH(602,$AB$5:$AB$404,1),"")</f>
        <v/>
      </c>
      <c r="AD606">
        <f>IF(602=$AI$1+1,"Z",IF($AC606="","",IF(INDEX($V$5:$V$404,$AC606)="","",IF(602&gt;INDEX($AB$5:$AB$404,$AC606)+INDEX($Z$5:$Z$404,$AC606)+INDEX($AA$5:$AA$404,$AC606)+INDEX($AO$5:$AO$404,$AC606),"",IF(602=INDEX($AB$5:$AB$404,$AC606)+INDEX($Z$5:$Z$404,$AC606),"D",IF(AND(INDEX($Z$5:$Z$404,$AC606)=1,602=INDEX($AB$5:$AB$404,$AC606)),"H",IF(AND(INDEX($AO$5:$AO$404,$AC606)=1,602=INDEX($AB$5:$AB$404,$AC606)+INDEX($Z$5:$Z$404,$AC606)+INDEX($AA$5:$AA$404,$AC606)+INDEX($AO$5:$AO$404,$AC606)),"B","T")))))))</f>
        <v/>
      </c>
      <c r="AF606">
        <f>IF(OR($AD606="",$AD606="Z",$AD606="B"),"",INDEX($X$5:$X$404,$AC606))</f>
        <v/>
      </c>
      <c r="AJ606">
        <f>IF($AD606&lt;&gt;"T",0,ROUND(SUMIF(oil!$B$4:$B$63,$AF606,oil!$AE$4:$AE$63),2))</f>
        <v/>
      </c>
      <c r="AQ606">
        <f>IF(OR($AD606="",$AD606="Z"),"",INDEX($AN$5:$AN$404,$AC606))</f>
        <v/>
      </c>
      <c r="AZ606">
        <f>IF(AND($AD606="T",$AQ606=1),N($AZ605)+1,N($AZ605))</f>
        <v/>
      </c>
    </row>
    <row r="607" ht="21" customHeight="1" s="66">
      <c r="A607" s="69">
        <f>IF($AD607="","",IF($AD607="Z","รวมจ่ายทั้งสิ้น",IF($AD607="H",INDEX($X$5:$X$404,$AC607),IF($AD607="T","รวม",IF($AD607="B",IFERROR(INDEX(อัตราค่าขนส่ง!$S$5:$S$14,MATCH(INDEX($AM$5:$AM$404,$AC607),อัตราค่าขนส่ง!$R$5:$R$14,0)),"รวมกลุ่ม "&amp;INDEX($AM$5:$AM$404,$AC607)),INDEX($AY$5:$AY$404,$AC607))))))</f>
        <v/>
      </c>
      <c r="B607" s="31">
        <f>IF($AD607&lt;&gt;"D","",INDEX($AW$5:$AW$404,$AC607))</f>
        <v/>
      </c>
      <c r="C607" s="68">
        <f>IF($AD607&lt;&gt;"D","",INDEX($AX$5:$AX$404,$AC607))</f>
        <v/>
      </c>
      <c r="D607" s="70">
        <f>IF($AD607&lt;&gt;"D","",INDEX($BA$5:$BA$404,$AC607))</f>
        <v/>
      </c>
      <c r="E607" s="31">
        <f>IF($AD607="Z",SUM($AR$5:$AR$404),IF($AD607="D",INDEX($AR$5:$AR$404,$AC607),IF($AD607="T",SUMIF($X$5:$X$404,$AF607,$AR$5:$AR$404),IF($AD607="B",SUMIF($AN$5:$AN$404,$AQ607,$AR$5:$AR$404),""))))</f>
        <v/>
      </c>
      <c r="F607" s="32">
        <f>IF($AD607="Z",ROUND(SUM($AS$5:$AS$404),2),IF($AD607="D",INDEX($AS$5:$AS$404,$AC607),IF($AD607="T",ROUND(SUMIF($X$5:$X$404,$AF607,$AS$5:$AS$404),2),IF($AD607="B",ROUND(SUMIF($AN$5:$AN$404,$AQ607,$AS$5:$AS$404),2),""))))</f>
        <v/>
      </c>
      <c r="G607" s="32">
        <f>IF($AD607&lt;&gt;"D","",INDEX($AT$5:$AT$404,$AC607))</f>
        <v/>
      </c>
      <c r="H607" s="32">
        <f>IF($AD607&lt;&gt;"D","",INDEX($BC$5:$BC$404,$AC607))</f>
        <v/>
      </c>
      <c r="I607" s="32">
        <f>IF($AD607&lt;&gt;"D","",INDEX($BD$5:$BD$404,$AC607))</f>
        <v/>
      </c>
      <c r="J607" s="46">
        <f>IF($AD607&lt;&gt;"D","",IF(N($B607)=0,"",ROUND($I607/$B607,4)))</f>
        <v/>
      </c>
      <c r="K607" s="32">
        <f>IF($AD607="Z",ROUND(SUM($AU$5:$AU$404),2),IF($AD607="D",INDEX($AU$5:$AU$404,$AC607),IF($AD607="T",ROUND(SUMIF($X$5:$X$404,$AF607,$AU$5:$AU$404),2),IF($AD607="B",ROUND(SUMIF($AN$5:$AN$404,$AQ607,$AU$5:$AU$404),2),""))))</f>
        <v/>
      </c>
      <c r="L607" s="32">
        <f>IF($AD607="Z",ROUND(SUM($AV$5:$AV$404),2),IF($AD607="D",INDEX($AV$5:$AV$404,$AC607),IF($AD607="T",ROUND(SUMIF($X$5:$X$404,$AF607,$AV$5:$AV$404),2),IF($AD607="B",ROUND(SUMIF($AN$5:$AN$404,$AQ607,$AV$5:$AV$404),2),""))))</f>
        <v/>
      </c>
      <c r="M607" s="32">
        <f>IF($AD607="Z",ROUND(SUM($AJ$5:$AJ$704),2),IF($AD607="B",ROUND(SUMIF($AQ$5:$AQ$704,$AQ607,$AJ$5:$AJ$704),2),IF($AD607&lt;&gt;"T","",$AJ607)))</f>
        <v/>
      </c>
      <c r="N607" s="32">
        <f>IF(OR($AD607="D",$AD607="T",$AD607="B",$AD607="Z"),ROUND(N($K607)-N($L607)-N($M607),2),"")</f>
        <v/>
      </c>
      <c r="O607" s="32">
        <f>IF(OR($AD607="D",$AD607="T",$AD607="B",$AD607="Z"),IF(N($E607)=0,"",ROUND($F607/$E607,2)),"")</f>
        <v/>
      </c>
      <c r="AC607">
        <f>IFERROR(MATCH(603,$AB$5:$AB$404,1),"")</f>
        <v/>
      </c>
      <c r="AD607">
        <f>IF(603=$AI$1+1,"Z",IF($AC607="","",IF(INDEX($V$5:$V$404,$AC607)="","",IF(603&gt;INDEX($AB$5:$AB$404,$AC607)+INDEX($Z$5:$Z$404,$AC607)+INDEX($AA$5:$AA$404,$AC607)+INDEX($AO$5:$AO$404,$AC607),"",IF(603=INDEX($AB$5:$AB$404,$AC607)+INDEX($Z$5:$Z$404,$AC607),"D",IF(AND(INDEX($Z$5:$Z$404,$AC607)=1,603=INDEX($AB$5:$AB$404,$AC607)),"H",IF(AND(INDEX($AO$5:$AO$404,$AC607)=1,603=INDEX($AB$5:$AB$404,$AC607)+INDEX($Z$5:$Z$404,$AC607)+INDEX($AA$5:$AA$404,$AC607)+INDEX($AO$5:$AO$404,$AC607)),"B","T")))))))</f>
        <v/>
      </c>
      <c r="AF607">
        <f>IF(OR($AD607="",$AD607="Z",$AD607="B"),"",INDEX($X$5:$X$404,$AC607))</f>
        <v/>
      </c>
      <c r="AJ607">
        <f>IF($AD607&lt;&gt;"T",0,ROUND(SUMIF(oil!$B$4:$B$63,$AF607,oil!$AE$4:$AE$63),2))</f>
        <v/>
      </c>
      <c r="AQ607">
        <f>IF(OR($AD607="",$AD607="Z"),"",INDEX($AN$5:$AN$404,$AC607))</f>
        <v/>
      </c>
      <c r="AZ607">
        <f>IF(AND($AD607="T",$AQ607=1),N($AZ606)+1,N($AZ606))</f>
        <v/>
      </c>
    </row>
    <row r="608" ht="21" customHeight="1" s="66">
      <c r="A608" s="69">
        <f>IF($AD608="","",IF($AD608="Z","รวมจ่ายทั้งสิ้น",IF($AD608="H",INDEX($X$5:$X$404,$AC608),IF($AD608="T","รวม",IF($AD608="B",IFERROR(INDEX(อัตราค่าขนส่ง!$S$5:$S$14,MATCH(INDEX($AM$5:$AM$404,$AC608),อัตราค่าขนส่ง!$R$5:$R$14,0)),"รวมกลุ่ม "&amp;INDEX($AM$5:$AM$404,$AC608)),INDEX($AY$5:$AY$404,$AC608))))))</f>
        <v/>
      </c>
      <c r="B608" s="31">
        <f>IF($AD608&lt;&gt;"D","",INDEX($AW$5:$AW$404,$AC608))</f>
        <v/>
      </c>
      <c r="C608" s="68">
        <f>IF($AD608&lt;&gt;"D","",INDEX($AX$5:$AX$404,$AC608))</f>
        <v/>
      </c>
      <c r="D608" s="70">
        <f>IF($AD608&lt;&gt;"D","",INDEX($BA$5:$BA$404,$AC608))</f>
        <v/>
      </c>
      <c r="E608" s="31">
        <f>IF($AD608="Z",SUM($AR$5:$AR$404),IF($AD608="D",INDEX($AR$5:$AR$404,$AC608),IF($AD608="T",SUMIF($X$5:$X$404,$AF608,$AR$5:$AR$404),IF($AD608="B",SUMIF($AN$5:$AN$404,$AQ608,$AR$5:$AR$404),""))))</f>
        <v/>
      </c>
      <c r="F608" s="32">
        <f>IF($AD608="Z",ROUND(SUM($AS$5:$AS$404),2),IF($AD608="D",INDEX($AS$5:$AS$404,$AC608),IF($AD608="T",ROUND(SUMIF($X$5:$X$404,$AF608,$AS$5:$AS$404),2),IF($AD608="B",ROUND(SUMIF($AN$5:$AN$404,$AQ608,$AS$5:$AS$404),2),""))))</f>
        <v/>
      </c>
      <c r="G608" s="32">
        <f>IF($AD608&lt;&gt;"D","",INDEX($AT$5:$AT$404,$AC608))</f>
        <v/>
      </c>
      <c r="H608" s="32">
        <f>IF($AD608&lt;&gt;"D","",INDEX($BC$5:$BC$404,$AC608))</f>
        <v/>
      </c>
      <c r="I608" s="32">
        <f>IF($AD608&lt;&gt;"D","",INDEX($BD$5:$BD$404,$AC608))</f>
        <v/>
      </c>
      <c r="J608" s="46">
        <f>IF($AD608&lt;&gt;"D","",IF(N($B608)=0,"",ROUND($I608/$B608,4)))</f>
        <v/>
      </c>
      <c r="K608" s="32">
        <f>IF($AD608="Z",ROUND(SUM($AU$5:$AU$404),2),IF($AD608="D",INDEX($AU$5:$AU$404,$AC608),IF($AD608="T",ROUND(SUMIF($X$5:$X$404,$AF608,$AU$5:$AU$404),2),IF($AD608="B",ROUND(SUMIF($AN$5:$AN$404,$AQ608,$AU$5:$AU$404),2),""))))</f>
        <v/>
      </c>
      <c r="L608" s="32">
        <f>IF($AD608="Z",ROUND(SUM($AV$5:$AV$404),2),IF($AD608="D",INDEX($AV$5:$AV$404,$AC608),IF($AD608="T",ROUND(SUMIF($X$5:$X$404,$AF608,$AV$5:$AV$404),2),IF($AD608="B",ROUND(SUMIF($AN$5:$AN$404,$AQ608,$AV$5:$AV$404),2),""))))</f>
        <v/>
      </c>
      <c r="M608" s="32">
        <f>IF($AD608="Z",ROUND(SUM($AJ$5:$AJ$704),2),IF($AD608="B",ROUND(SUMIF($AQ$5:$AQ$704,$AQ608,$AJ$5:$AJ$704),2),IF($AD608&lt;&gt;"T","",$AJ608)))</f>
        <v/>
      </c>
      <c r="N608" s="32">
        <f>IF(OR($AD608="D",$AD608="T",$AD608="B",$AD608="Z"),ROUND(N($K608)-N($L608)-N($M608),2),"")</f>
        <v/>
      </c>
      <c r="O608" s="32">
        <f>IF(OR($AD608="D",$AD608="T",$AD608="B",$AD608="Z"),IF(N($E608)=0,"",ROUND($F608/$E608,2)),"")</f>
        <v/>
      </c>
      <c r="AC608">
        <f>IFERROR(MATCH(604,$AB$5:$AB$404,1),"")</f>
        <v/>
      </c>
      <c r="AD608">
        <f>IF(604=$AI$1+1,"Z",IF($AC608="","",IF(INDEX($V$5:$V$404,$AC608)="","",IF(604&gt;INDEX($AB$5:$AB$404,$AC608)+INDEX($Z$5:$Z$404,$AC608)+INDEX($AA$5:$AA$404,$AC608)+INDEX($AO$5:$AO$404,$AC608),"",IF(604=INDEX($AB$5:$AB$404,$AC608)+INDEX($Z$5:$Z$404,$AC608),"D",IF(AND(INDEX($Z$5:$Z$404,$AC608)=1,604=INDEX($AB$5:$AB$404,$AC608)),"H",IF(AND(INDEX($AO$5:$AO$404,$AC608)=1,604=INDEX($AB$5:$AB$404,$AC608)+INDEX($Z$5:$Z$404,$AC608)+INDEX($AA$5:$AA$404,$AC608)+INDEX($AO$5:$AO$404,$AC608)),"B","T")))))))</f>
        <v/>
      </c>
      <c r="AF608">
        <f>IF(OR($AD608="",$AD608="Z",$AD608="B"),"",INDEX($X$5:$X$404,$AC608))</f>
        <v/>
      </c>
      <c r="AJ608">
        <f>IF($AD608&lt;&gt;"T",0,ROUND(SUMIF(oil!$B$4:$B$63,$AF608,oil!$AE$4:$AE$63),2))</f>
        <v/>
      </c>
      <c r="AQ608">
        <f>IF(OR($AD608="",$AD608="Z"),"",INDEX($AN$5:$AN$404,$AC608))</f>
        <v/>
      </c>
      <c r="AZ608">
        <f>IF(AND($AD608="T",$AQ608=1),N($AZ607)+1,N($AZ607))</f>
        <v/>
      </c>
    </row>
    <row r="609" ht="21" customHeight="1" s="66">
      <c r="A609" s="69">
        <f>IF($AD609="","",IF($AD609="Z","รวมจ่ายทั้งสิ้น",IF($AD609="H",INDEX($X$5:$X$404,$AC609),IF($AD609="T","รวม",IF($AD609="B",IFERROR(INDEX(อัตราค่าขนส่ง!$S$5:$S$14,MATCH(INDEX($AM$5:$AM$404,$AC609),อัตราค่าขนส่ง!$R$5:$R$14,0)),"รวมกลุ่ม "&amp;INDEX($AM$5:$AM$404,$AC609)),INDEX($AY$5:$AY$404,$AC609))))))</f>
        <v/>
      </c>
      <c r="B609" s="31">
        <f>IF($AD609&lt;&gt;"D","",INDEX($AW$5:$AW$404,$AC609))</f>
        <v/>
      </c>
      <c r="C609" s="68">
        <f>IF($AD609&lt;&gt;"D","",INDEX($AX$5:$AX$404,$AC609))</f>
        <v/>
      </c>
      <c r="D609" s="70">
        <f>IF($AD609&lt;&gt;"D","",INDEX($BA$5:$BA$404,$AC609))</f>
        <v/>
      </c>
      <c r="E609" s="31">
        <f>IF($AD609="Z",SUM($AR$5:$AR$404),IF($AD609="D",INDEX($AR$5:$AR$404,$AC609),IF($AD609="T",SUMIF($X$5:$X$404,$AF609,$AR$5:$AR$404),IF($AD609="B",SUMIF($AN$5:$AN$404,$AQ609,$AR$5:$AR$404),""))))</f>
        <v/>
      </c>
      <c r="F609" s="32">
        <f>IF($AD609="Z",ROUND(SUM($AS$5:$AS$404),2),IF($AD609="D",INDEX($AS$5:$AS$404,$AC609),IF($AD609="T",ROUND(SUMIF($X$5:$X$404,$AF609,$AS$5:$AS$404),2),IF($AD609="B",ROUND(SUMIF($AN$5:$AN$404,$AQ609,$AS$5:$AS$404),2),""))))</f>
        <v/>
      </c>
      <c r="G609" s="32">
        <f>IF($AD609&lt;&gt;"D","",INDEX($AT$5:$AT$404,$AC609))</f>
        <v/>
      </c>
      <c r="H609" s="32">
        <f>IF($AD609&lt;&gt;"D","",INDEX($BC$5:$BC$404,$AC609))</f>
        <v/>
      </c>
      <c r="I609" s="32">
        <f>IF($AD609&lt;&gt;"D","",INDEX($BD$5:$BD$404,$AC609))</f>
        <v/>
      </c>
      <c r="J609" s="46">
        <f>IF($AD609&lt;&gt;"D","",IF(N($B609)=0,"",ROUND($I609/$B609,4)))</f>
        <v/>
      </c>
      <c r="K609" s="32">
        <f>IF($AD609="Z",ROUND(SUM($AU$5:$AU$404),2),IF($AD609="D",INDEX($AU$5:$AU$404,$AC609),IF($AD609="T",ROUND(SUMIF($X$5:$X$404,$AF609,$AU$5:$AU$404),2),IF($AD609="B",ROUND(SUMIF($AN$5:$AN$404,$AQ609,$AU$5:$AU$404),2),""))))</f>
        <v/>
      </c>
      <c r="L609" s="32">
        <f>IF($AD609="Z",ROUND(SUM($AV$5:$AV$404),2),IF($AD609="D",INDEX($AV$5:$AV$404,$AC609),IF($AD609="T",ROUND(SUMIF($X$5:$X$404,$AF609,$AV$5:$AV$404),2),IF($AD609="B",ROUND(SUMIF($AN$5:$AN$404,$AQ609,$AV$5:$AV$404),2),""))))</f>
        <v/>
      </c>
      <c r="M609" s="32">
        <f>IF($AD609="Z",ROUND(SUM($AJ$5:$AJ$704),2),IF($AD609="B",ROUND(SUMIF($AQ$5:$AQ$704,$AQ609,$AJ$5:$AJ$704),2),IF($AD609&lt;&gt;"T","",$AJ609)))</f>
        <v/>
      </c>
      <c r="N609" s="32">
        <f>IF(OR($AD609="D",$AD609="T",$AD609="B",$AD609="Z"),ROUND(N($K609)-N($L609)-N($M609),2),"")</f>
        <v/>
      </c>
      <c r="O609" s="32">
        <f>IF(OR($AD609="D",$AD609="T",$AD609="B",$AD609="Z"),IF(N($E609)=0,"",ROUND($F609/$E609,2)),"")</f>
        <v/>
      </c>
      <c r="AC609">
        <f>IFERROR(MATCH(605,$AB$5:$AB$404,1),"")</f>
        <v/>
      </c>
      <c r="AD609">
        <f>IF(605=$AI$1+1,"Z",IF($AC609="","",IF(INDEX($V$5:$V$404,$AC609)="","",IF(605&gt;INDEX($AB$5:$AB$404,$AC609)+INDEX($Z$5:$Z$404,$AC609)+INDEX($AA$5:$AA$404,$AC609)+INDEX($AO$5:$AO$404,$AC609),"",IF(605=INDEX($AB$5:$AB$404,$AC609)+INDEX($Z$5:$Z$404,$AC609),"D",IF(AND(INDEX($Z$5:$Z$404,$AC609)=1,605=INDEX($AB$5:$AB$404,$AC609)),"H",IF(AND(INDEX($AO$5:$AO$404,$AC609)=1,605=INDEX($AB$5:$AB$404,$AC609)+INDEX($Z$5:$Z$404,$AC609)+INDEX($AA$5:$AA$404,$AC609)+INDEX($AO$5:$AO$404,$AC609)),"B","T")))))))</f>
        <v/>
      </c>
      <c r="AF609">
        <f>IF(OR($AD609="",$AD609="Z",$AD609="B"),"",INDEX($X$5:$X$404,$AC609))</f>
        <v/>
      </c>
      <c r="AJ609">
        <f>IF($AD609&lt;&gt;"T",0,ROUND(SUMIF(oil!$B$4:$B$63,$AF609,oil!$AE$4:$AE$63),2))</f>
        <v/>
      </c>
      <c r="AQ609">
        <f>IF(OR($AD609="",$AD609="Z"),"",INDEX($AN$5:$AN$404,$AC609))</f>
        <v/>
      </c>
      <c r="AZ609">
        <f>IF(AND($AD609="T",$AQ609=1),N($AZ608)+1,N($AZ608))</f>
        <v/>
      </c>
    </row>
    <row r="610" ht="21" customHeight="1" s="66">
      <c r="A610" s="69">
        <f>IF($AD610="","",IF($AD610="Z","รวมจ่ายทั้งสิ้น",IF($AD610="H",INDEX($X$5:$X$404,$AC610),IF($AD610="T","รวม",IF($AD610="B",IFERROR(INDEX(อัตราค่าขนส่ง!$S$5:$S$14,MATCH(INDEX($AM$5:$AM$404,$AC610),อัตราค่าขนส่ง!$R$5:$R$14,0)),"รวมกลุ่ม "&amp;INDEX($AM$5:$AM$404,$AC610)),INDEX($AY$5:$AY$404,$AC610))))))</f>
        <v/>
      </c>
      <c r="B610" s="31">
        <f>IF($AD610&lt;&gt;"D","",INDEX($AW$5:$AW$404,$AC610))</f>
        <v/>
      </c>
      <c r="C610" s="68">
        <f>IF($AD610&lt;&gt;"D","",INDEX($AX$5:$AX$404,$AC610))</f>
        <v/>
      </c>
      <c r="D610" s="70">
        <f>IF($AD610&lt;&gt;"D","",INDEX($BA$5:$BA$404,$AC610))</f>
        <v/>
      </c>
      <c r="E610" s="31">
        <f>IF($AD610="Z",SUM($AR$5:$AR$404),IF($AD610="D",INDEX($AR$5:$AR$404,$AC610),IF($AD610="T",SUMIF($X$5:$X$404,$AF610,$AR$5:$AR$404),IF($AD610="B",SUMIF($AN$5:$AN$404,$AQ610,$AR$5:$AR$404),""))))</f>
        <v/>
      </c>
      <c r="F610" s="32">
        <f>IF($AD610="Z",ROUND(SUM($AS$5:$AS$404),2),IF($AD610="D",INDEX($AS$5:$AS$404,$AC610),IF($AD610="T",ROUND(SUMIF($X$5:$X$404,$AF610,$AS$5:$AS$404),2),IF($AD610="B",ROUND(SUMIF($AN$5:$AN$404,$AQ610,$AS$5:$AS$404),2),""))))</f>
        <v/>
      </c>
      <c r="G610" s="32">
        <f>IF($AD610&lt;&gt;"D","",INDEX($AT$5:$AT$404,$AC610))</f>
        <v/>
      </c>
      <c r="H610" s="32">
        <f>IF($AD610&lt;&gt;"D","",INDEX($BC$5:$BC$404,$AC610))</f>
        <v/>
      </c>
      <c r="I610" s="32">
        <f>IF($AD610&lt;&gt;"D","",INDEX($BD$5:$BD$404,$AC610))</f>
        <v/>
      </c>
      <c r="J610" s="46">
        <f>IF($AD610&lt;&gt;"D","",IF(N($B610)=0,"",ROUND($I610/$B610,4)))</f>
        <v/>
      </c>
      <c r="K610" s="32">
        <f>IF($AD610="Z",ROUND(SUM($AU$5:$AU$404),2),IF($AD610="D",INDEX($AU$5:$AU$404,$AC610),IF($AD610="T",ROUND(SUMIF($X$5:$X$404,$AF610,$AU$5:$AU$404),2),IF($AD610="B",ROUND(SUMIF($AN$5:$AN$404,$AQ610,$AU$5:$AU$404),2),""))))</f>
        <v/>
      </c>
      <c r="L610" s="32">
        <f>IF($AD610="Z",ROUND(SUM($AV$5:$AV$404),2),IF($AD610="D",INDEX($AV$5:$AV$404,$AC610),IF($AD610="T",ROUND(SUMIF($X$5:$X$404,$AF610,$AV$5:$AV$404),2),IF($AD610="B",ROUND(SUMIF($AN$5:$AN$404,$AQ610,$AV$5:$AV$404),2),""))))</f>
        <v/>
      </c>
      <c r="M610" s="32">
        <f>IF($AD610="Z",ROUND(SUM($AJ$5:$AJ$704),2),IF($AD610="B",ROUND(SUMIF($AQ$5:$AQ$704,$AQ610,$AJ$5:$AJ$704),2),IF($AD610&lt;&gt;"T","",$AJ610)))</f>
        <v/>
      </c>
      <c r="N610" s="32">
        <f>IF(OR($AD610="D",$AD610="T",$AD610="B",$AD610="Z"),ROUND(N($K610)-N($L610)-N($M610),2),"")</f>
        <v/>
      </c>
      <c r="O610" s="32">
        <f>IF(OR($AD610="D",$AD610="T",$AD610="B",$AD610="Z"),IF(N($E610)=0,"",ROUND($F610/$E610,2)),"")</f>
        <v/>
      </c>
      <c r="AC610">
        <f>IFERROR(MATCH(606,$AB$5:$AB$404,1),"")</f>
        <v/>
      </c>
      <c r="AD610">
        <f>IF(606=$AI$1+1,"Z",IF($AC610="","",IF(INDEX($V$5:$V$404,$AC610)="","",IF(606&gt;INDEX($AB$5:$AB$404,$AC610)+INDEX($Z$5:$Z$404,$AC610)+INDEX($AA$5:$AA$404,$AC610)+INDEX($AO$5:$AO$404,$AC610),"",IF(606=INDEX($AB$5:$AB$404,$AC610)+INDEX($Z$5:$Z$404,$AC610),"D",IF(AND(INDEX($Z$5:$Z$404,$AC610)=1,606=INDEX($AB$5:$AB$404,$AC610)),"H",IF(AND(INDEX($AO$5:$AO$404,$AC610)=1,606=INDEX($AB$5:$AB$404,$AC610)+INDEX($Z$5:$Z$404,$AC610)+INDEX($AA$5:$AA$404,$AC610)+INDEX($AO$5:$AO$404,$AC610)),"B","T")))))))</f>
        <v/>
      </c>
      <c r="AF610">
        <f>IF(OR($AD610="",$AD610="Z",$AD610="B"),"",INDEX($X$5:$X$404,$AC610))</f>
        <v/>
      </c>
      <c r="AJ610">
        <f>IF($AD610&lt;&gt;"T",0,ROUND(SUMIF(oil!$B$4:$B$63,$AF610,oil!$AE$4:$AE$63),2))</f>
        <v/>
      </c>
      <c r="AQ610">
        <f>IF(OR($AD610="",$AD610="Z"),"",INDEX($AN$5:$AN$404,$AC610))</f>
        <v/>
      </c>
      <c r="AZ610">
        <f>IF(AND($AD610="T",$AQ610=1),N($AZ609)+1,N($AZ609))</f>
        <v/>
      </c>
    </row>
    <row r="611" ht="21" customHeight="1" s="66">
      <c r="A611" s="69">
        <f>IF($AD611="","",IF($AD611="Z","รวมจ่ายทั้งสิ้น",IF($AD611="H",INDEX($X$5:$X$404,$AC611),IF($AD611="T","รวม",IF($AD611="B",IFERROR(INDEX(อัตราค่าขนส่ง!$S$5:$S$14,MATCH(INDEX($AM$5:$AM$404,$AC611),อัตราค่าขนส่ง!$R$5:$R$14,0)),"รวมกลุ่ม "&amp;INDEX($AM$5:$AM$404,$AC611)),INDEX($AY$5:$AY$404,$AC611))))))</f>
        <v/>
      </c>
      <c r="B611" s="31">
        <f>IF($AD611&lt;&gt;"D","",INDEX($AW$5:$AW$404,$AC611))</f>
        <v/>
      </c>
      <c r="C611" s="68">
        <f>IF($AD611&lt;&gt;"D","",INDEX($AX$5:$AX$404,$AC611))</f>
        <v/>
      </c>
      <c r="D611" s="70">
        <f>IF($AD611&lt;&gt;"D","",INDEX($BA$5:$BA$404,$AC611))</f>
        <v/>
      </c>
      <c r="E611" s="31">
        <f>IF($AD611="Z",SUM($AR$5:$AR$404),IF($AD611="D",INDEX($AR$5:$AR$404,$AC611),IF($AD611="T",SUMIF($X$5:$X$404,$AF611,$AR$5:$AR$404),IF($AD611="B",SUMIF($AN$5:$AN$404,$AQ611,$AR$5:$AR$404),""))))</f>
        <v/>
      </c>
      <c r="F611" s="32">
        <f>IF($AD611="Z",ROUND(SUM($AS$5:$AS$404),2),IF($AD611="D",INDEX($AS$5:$AS$404,$AC611),IF($AD611="T",ROUND(SUMIF($X$5:$X$404,$AF611,$AS$5:$AS$404),2),IF($AD611="B",ROUND(SUMIF($AN$5:$AN$404,$AQ611,$AS$5:$AS$404),2),""))))</f>
        <v/>
      </c>
      <c r="G611" s="32">
        <f>IF($AD611&lt;&gt;"D","",INDEX($AT$5:$AT$404,$AC611))</f>
        <v/>
      </c>
      <c r="H611" s="32">
        <f>IF($AD611&lt;&gt;"D","",INDEX($BC$5:$BC$404,$AC611))</f>
        <v/>
      </c>
      <c r="I611" s="32">
        <f>IF($AD611&lt;&gt;"D","",INDEX($BD$5:$BD$404,$AC611))</f>
        <v/>
      </c>
      <c r="J611" s="46">
        <f>IF($AD611&lt;&gt;"D","",IF(N($B611)=0,"",ROUND($I611/$B611,4)))</f>
        <v/>
      </c>
      <c r="K611" s="32">
        <f>IF($AD611="Z",ROUND(SUM($AU$5:$AU$404),2),IF($AD611="D",INDEX($AU$5:$AU$404,$AC611),IF($AD611="T",ROUND(SUMIF($X$5:$X$404,$AF611,$AU$5:$AU$404),2),IF($AD611="B",ROUND(SUMIF($AN$5:$AN$404,$AQ611,$AU$5:$AU$404),2),""))))</f>
        <v/>
      </c>
      <c r="L611" s="32">
        <f>IF($AD611="Z",ROUND(SUM($AV$5:$AV$404),2),IF($AD611="D",INDEX($AV$5:$AV$404,$AC611),IF($AD611="T",ROUND(SUMIF($X$5:$X$404,$AF611,$AV$5:$AV$404),2),IF($AD611="B",ROUND(SUMIF($AN$5:$AN$404,$AQ611,$AV$5:$AV$404),2),""))))</f>
        <v/>
      </c>
      <c r="M611" s="32">
        <f>IF($AD611="Z",ROUND(SUM($AJ$5:$AJ$704),2),IF($AD611="B",ROUND(SUMIF($AQ$5:$AQ$704,$AQ611,$AJ$5:$AJ$704),2),IF($AD611&lt;&gt;"T","",$AJ611)))</f>
        <v/>
      </c>
      <c r="N611" s="32">
        <f>IF(OR($AD611="D",$AD611="T",$AD611="B",$AD611="Z"),ROUND(N($K611)-N($L611)-N($M611),2),"")</f>
        <v/>
      </c>
      <c r="O611" s="32">
        <f>IF(OR($AD611="D",$AD611="T",$AD611="B",$AD611="Z"),IF(N($E611)=0,"",ROUND($F611/$E611,2)),"")</f>
        <v/>
      </c>
      <c r="AC611">
        <f>IFERROR(MATCH(607,$AB$5:$AB$404,1),"")</f>
        <v/>
      </c>
      <c r="AD611">
        <f>IF(607=$AI$1+1,"Z",IF($AC611="","",IF(INDEX($V$5:$V$404,$AC611)="","",IF(607&gt;INDEX($AB$5:$AB$404,$AC611)+INDEX($Z$5:$Z$404,$AC611)+INDEX($AA$5:$AA$404,$AC611)+INDEX($AO$5:$AO$404,$AC611),"",IF(607=INDEX($AB$5:$AB$404,$AC611)+INDEX($Z$5:$Z$404,$AC611),"D",IF(AND(INDEX($Z$5:$Z$404,$AC611)=1,607=INDEX($AB$5:$AB$404,$AC611)),"H",IF(AND(INDEX($AO$5:$AO$404,$AC611)=1,607=INDEX($AB$5:$AB$404,$AC611)+INDEX($Z$5:$Z$404,$AC611)+INDEX($AA$5:$AA$404,$AC611)+INDEX($AO$5:$AO$404,$AC611)),"B","T")))))))</f>
        <v/>
      </c>
      <c r="AF611">
        <f>IF(OR($AD611="",$AD611="Z",$AD611="B"),"",INDEX($X$5:$X$404,$AC611))</f>
        <v/>
      </c>
      <c r="AJ611">
        <f>IF($AD611&lt;&gt;"T",0,ROUND(SUMIF(oil!$B$4:$B$63,$AF611,oil!$AE$4:$AE$63),2))</f>
        <v/>
      </c>
      <c r="AQ611">
        <f>IF(OR($AD611="",$AD611="Z"),"",INDEX($AN$5:$AN$404,$AC611))</f>
        <v/>
      </c>
      <c r="AZ611">
        <f>IF(AND($AD611="T",$AQ611=1),N($AZ610)+1,N($AZ610))</f>
        <v/>
      </c>
    </row>
    <row r="612" ht="21" customHeight="1" s="66">
      <c r="A612" s="69">
        <f>IF($AD612="","",IF($AD612="Z","รวมจ่ายทั้งสิ้น",IF($AD612="H",INDEX($X$5:$X$404,$AC612),IF($AD612="T","รวม",IF($AD612="B",IFERROR(INDEX(อัตราค่าขนส่ง!$S$5:$S$14,MATCH(INDEX($AM$5:$AM$404,$AC612),อัตราค่าขนส่ง!$R$5:$R$14,0)),"รวมกลุ่ม "&amp;INDEX($AM$5:$AM$404,$AC612)),INDEX($AY$5:$AY$404,$AC612))))))</f>
        <v/>
      </c>
      <c r="B612" s="31">
        <f>IF($AD612&lt;&gt;"D","",INDEX($AW$5:$AW$404,$AC612))</f>
        <v/>
      </c>
      <c r="C612" s="68">
        <f>IF($AD612&lt;&gt;"D","",INDEX($AX$5:$AX$404,$AC612))</f>
        <v/>
      </c>
      <c r="D612" s="70">
        <f>IF($AD612&lt;&gt;"D","",INDEX($BA$5:$BA$404,$AC612))</f>
        <v/>
      </c>
      <c r="E612" s="31">
        <f>IF($AD612="Z",SUM($AR$5:$AR$404),IF($AD612="D",INDEX($AR$5:$AR$404,$AC612),IF($AD612="T",SUMIF($X$5:$X$404,$AF612,$AR$5:$AR$404),IF($AD612="B",SUMIF($AN$5:$AN$404,$AQ612,$AR$5:$AR$404),""))))</f>
        <v/>
      </c>
      <c r="F612" s="32">
        <f>IF($AD612="Z",ROUND(SUM($AS$5:$AS$404),2),IF($AD612="D",INDEX($AS$5:$AS$404,$AC612),IF($AD612="T",ROUND(SUMIF($X$5:$X$404,$AF612,$AS$5:$AS$404),2),IF($AD612="B",ROUND(SUMIF($AN$5:$AN$404,$AQ612,$AS$5:$AS$404),2),""))))</f>
        <v/>
      </c>
      <c r="G612" s="32">
        <f>IF($AD612&lt;&gt;"D","",INDEX($AT$5:$AT$404,$AC612))</f>
        <v/>
      </c>
      <c r="H612" s="32">
        <f>IF($AD612&lt;&gt;"D","",INDEX($BC$5:$BC$404,$AC612))</f>
        <v/>
      </c>
      <c r="I612" s="32">
        <f>IF($AD612&lt;&gt;"D","",INDEX($BD$5:$BD$404,$AC612))</f>
        <v/>
      </c>
      <c r="J612" s="46">
        <f>IF($AD612&lt;&gt;"D","",IF(N($B612)=0,"",ROUND($I612/$B612,4)))</f>
        <v/>
      </c>
      <c r="K612" s="32">
        <f>IF($AD612="Z",ROUND(SUM($AU$5:$AU$404),2),IF($AD612="D",INDEX($AU$5:$AU$404,$AC612),IF($AD612="T",ROUND(SUMIF($X$5:$X$404,$AF612,$AU$5:$AU$404),2),IF($AD612="B",ROUND(SUMIF($AN$5:$AN$404,$AQ612,$AU$5:$AU$404),2),""))))</f>
        <v/>
      </c>
      <c r="L612" s="32">
        <f>IF($AD612="Z",ROUND(SUM($AV$5:$AV$404),2),IF($AD612="D",INDEX($AV$5:$AV$404,$AC612),IF($AD612="T",ROUND(SUMIF($X$5:$X$404,$AF612,$AV$5:$AV$404),2),IF($AD612="B",ROUND(SUMIF($AN$5:$AN$404,$AQ612,$AV$5:$AV$404),2),""))))</f>
        <v/>
      </c>
      <c r="M612" s="32">
        <f>IF($AD612="Z",ROUND(SUM($AJ$5:$AJ$704),2),IF($AD612="B",ROUND(SUMIF($AQ$5:$AQ$704,$AQ612,$AJ$5:$AJ$704),2),IF($AD612&lt;&gt;"T","",$AJ612)))</f>
        <v/>
      </c>
      <c r="N612" s="32">
        <f>IF(OR($AD612="D",$AD612="T",$AD612="B",$AD612="Z"),ROUND(N($K612)-N($L612)-N($M612),2),"")</f>
        <v/>
      </c>
      <c r="O612" s="32">
        <f>IF(OR($AD612="D",$AD612="T",$AD612="B",$AD612="Z"),IF(N($E612)=0,"",ROUND($F612/$E612,2)),"")</f>
        <v/>
      </c>
      <c r="AC612">
        <f>IFERROR(MATCH(608,$AB$5:$AB$404,1),"")</f>
        <v/>
      </c>
      <c r="AD612">
        <f>IF(608=$AI$1+1,"Z",IF($AC612="","",IF(INDEX($V$5:$V$404,$AC612)="","",IF(608&gt;INDEX($AB$5:$AB$404,$AC612)+INDEX($Z$5:$Z$404,$AC612)+INDEX($AA$5:$AA$404,$AC612)+INDEX($AO$5:$AO$404,$AC612),"",IF(608=INDEX($AB$5:$AB$404,$AC612)+INDEX($Z$5:$Z$404,$AC612),"D",IF(AND(INDEX($Z$5:$Z$404,$AC612)=1,608=INDEX($AB$5:$AB$404,$AC612)),"H",IF(AND(INDEX($AO$5:$AO$404,$AC612)=1,608=INDEX($AB$5:$AB$404,$AC612)+INDEX($Z$5:$Z$404,$AC612)+INDEX($AA$5:$AA$404,$AC612)+INDEX($AO$5:$AO$404,$AC612)),"B","T")))))))</f>
        <v/>
      </c>
      <c r="AF612">
        <f>IF(OR($AD612="",$AD612="Z",$AD612="B"),"",INDEX($X$5:$X$404,$AC612))</f>
        <v/>
      </c>
      <c r="AJ612">
        <f>IF($AD612&lt;&gt;"T",0,ROUND(SUMIF(oil!$B$4:$B$63,$AF612,oil!$AE$4:$AE$63),2))</f>
        <v/>
      </c>
      <c r="AQ612">
        <f>IF(OR($AD612="",$AD612="Z"),"",INDEX($AN$5:$AN$404,$AC612))</f>
        <v/>
      </c>
      <c r="AZ612">
        <f>IF(AND($AD612="T",$AQ612=1),N($AZ611)+1,N($AZ611))</f>
        <v/>
      </c>
    </row>
    <row r="613" ht="21" customHeight="1" s="66">
      <c r="A613" s="69">
        <f>IF($AD613="","",IF($AD613="Z","รวมจ่ายทั้งสิ้น",IF($AD613="H",INDEX($X$5:$X$404,$AC613),IF($AD613="T","รวม",IF($AD613="B",IFERROR(INDEX(อัตราค่าขนส่ง!$S$5:$S$14,MATCH(INDEX($AM$5:$AM$404,$AC613),อัตราค่าขนส่ง!$R$5:$R$14,0)),"รวมกลุ่ม "&amp;INDEX($AM$5:$AM$404,$AC613)),INDEX($AY$5:$AY$404,$AC613))))))</f>
        <v/>
      </c>
      <c r="B613" s="31">
        <f>IF($AD613&lt;&gt;"D","",INDEX($AW$5:$AW$404,$AC613))</f>
        <v/>
      </c>
      <c r="C613" s="68">
        <f>IF($AD613&lt;&gt;"D","",INDEX($AX$5:$AX$404,$AC613))</f>
        <v/>
      </c>
      <c r="D613" s="70">
        <f>IF($AD613&lt;&gt;"D","",INDEX($BA$5:$BA$404,$AC613))</f>
        <v/>
      </c>
      <c r="E613" s="31">
        <f>IF($AD613="Z",SUM($AR$5:$AR$404),IF($AD613="D",INDEX($AR$5:$AR$404,$AC613),IF($AD613="T",SUMIF($X$5:$X$404,$AF613,$AR$5:$AR$404),IF($AD613="B",SUMIF($AN$5:$AN$404,$AQ613,$AR$5:$AR$404),""))))</f>
        <v/>
      </c>
      <c r="F613" s="32">
        <f>IF($AD613="Z",ROUND(SUM($AS$5:$AS$404),2),IF($AD613="D",INDEX($AS$5:$AS$404,$AC613),IF($AD613="T",ROUND(SUMIF($X$5:$X$404,$AF613,$AS$5:$AS$404),2),IF($AD613="B",ROUND(SUMIF($AN$5:$AN$404,$AQ613,$AS$5:$AS$404),2),""))))</f>
        <v/>
      </c>
      <c r="G613" s="32">
        <f>IF($AD613&lt;&gt;"D","",INDEX($AT$5:$AT$404,$AC613))</f>
        <v/>
      </c>
      <c r="H613" s="32">
        <f>IF($AD613&lt;&gt;"D","",INDEX($BC$5:$BC$404,$AC613))</f>
        <v/>
      </c>
      <c r="I613" s="32">
        <f>IF($AD613&lt;&gt;"D","",INDEX($BD$5:$BD$404,$AC613))</f>
        <v/>
      </c>
      <c r="J613" s="46">
        <f>IF($AD613&lt;&gt;"D","",IF(N($B613)=0,"",ROUND($I613/$B613,4)))</f>
        <v/>
      </c>
      <c r="K613" s="32">
        <f>IF($AD613="Z",ROUND(SUM($AU$5:$AU$404),2),IF($AD613="D",INDEX($AU$5:$AU$404,$AC613),IF($AD613="T",ROUND(SUMIF($X$5:$X$404,$AF613,$AU$5:$AU$404),2),IF($AD613="B",ROUND(SUMIF($AN$5:$AN$404,$AQ613,$AU$5:$AU$404),2),""))))</f>
        <v/>
      </c>
      <c r="L613" s="32">
        <f>IF($AD613="Z",ROUND(SUM($AV$5:$AV$404),2),IF($AD613="D",INDEX($AV$5:$AV$404,$AC613),IF($AD613="T",ROUND(SUMIF($X$5:$X$404,$AF613,$AV$5:$AV$404),2),IF($AD613="B",ROUND(SUMIF($AN$5:$AN$404,$AQ613,$AV$5:$AV$404),2),""))))</f>
        <v/>
      </c>
      <c r="M613" s="32">
        <f>IF($AD613="Z",ROUND(SUM($AJ$5:$AJ$704),2),IF($AD613="B",ROUND(SUMIF($AQ$5:$AQ$704,$AQ613,$AJ$5:$AJ$704),2),IF($AD613&lt;&gt;"T","",$AJ613)))</f>
        <v/>
      </c>
      <c r="N613" s="32">
        <f>IF(OR($AD613="D",$AD613="T",$AD613="B",$AD613="Z"),ROUND(N($K613)-N($L613)-N($M613),2),"")</f>
        <v/>
      </c>
      <c r="O613" s="32">
        <f>IF(OR($AD613="D",$AD613="T",$AD613="B",$AD613="Z"),IF(N($E613)=0,"",ROUND($F613/$E613,2)),"")</f>
        <v/>
      </c>
      <c r="AC613">
        <f>IFERROR(MATCH(609,$AB$5:$AB$404,1),"")</f>
        <v/>
      </c>
      <c r="AD613">
        <f>IF(609=$AI$1+1,"Z",IF($AC613="","",IF(INDEX($V$5:$V$404,$AC613)="","",IF(609&gt;INDEX($AB$5:$AB$404,$AC613)+INDEX($Z$5:$Z$404,$AC613)+INDEX($AA$5:$AA$404,$AC613)+INDEX($AO$5:$AO$404,$AC613),"",IF(609=INDEX($AB$5:$AB$404,$AC613)+INDEX($Z$5:$Z$404,$AC613),"D",IF(AND(INDEX($Z$5:$Z$404,$AC613)=1,609=INDEX($AB$5:$AB$404,$AC613)),"H",IF(AND(INDEX($AO$5:$AO$404,$AC613)=1,609=INDEX($AB$5:$AB$404,$AC613)+INDEX($Z$5:$Z$404,$AC613)+INDEX($AA$5:$AA$404,$AC613)+INDEX($AO$5:$AO$404,$AC613)),"B","T")))))))</f>
        <v/>
      </c>
      <c r="AF613">
        <f>IF(OR($AD613="",$AD613="Z",$AD613="B"),"",INDEX($X$5:$X$404,$AC613))</f>
        <v/>
      </c>
      <c r="AJ613">
        <f>IF($AD613&lt;&gt;"T",0,ROUND(SUMIF(oil!$B$4:$B$63,$AF613,oil!$AE$4:$AE$63),2))</f>
        <v/>
      </c>
      <c r="AQ613">
        <f>IF(OR($AD613="",$AD613="Z"),"",INDEX($AN$5:$AN$404,$AC613))</f>
        <v/>
      </c>
      <c r="AZ613">
        <f>IF(AND($AD613="T",$AQ613=1),N($AZ612)+1,N($AZ612))</f>
        <v/>
      </c>
    </row>
    <row r="614" ht="21" customHeight="1" s="66">
      <c r="A614" s="69">
        <f>IF($AD614="","",IF($AD614="Z","รวมจ่ายทั้งสิ้น",IF($AD614="H",INDEX($X$5:$X$404,$AC614),IF($AD614="T","รวม",IF($AD614="B",IFERROR(INDEX(อัตราค่าขนส่ง!$S$5:$S$14,MATCH(INDEX($AM$5:$AM$404,$AC614),อัตราค่าขนส่ง!$R$5:$R$14,0)),"รวมกลุ่ม "&amp;INDEX($AM$5:$AM$404,$AC614)),INDEX($AY$5:$AY$404,$AC614))))))</f>
        <v/>
      </c>
      <c r="B614" s="31">
        <f>IF($AD614&lt;&gt;"D","",INDEX($AW$5:$AW$404,$AC614))</f>
        <v/>
      </c>
      <c r="C614" s="68">
        <f>IF($AD614&lt;&gt;"D","",INDEX($AX$5:$AX$404,$AC614))</f>
        <v/>
      </c>
      <c r="D614" s="70">
        <f>IF($AD614&lt;&gt;"D","",INDEX($BA$5:$BA$404,$AC614))</f>
        <v/>
      </c>
      <c r="E614" s="31">
        <f>IF($AD614="Z",SUM($AR$5:$AR$404),IF($AD614="D",INDEX($AR$5:$AR$404,$AC614),IF($AD614="T",SUMIF($X$5:$X$404,$AF614,$AR$5:$AR$404),IF($AD614="B",SUMIF($AN$5:$AN$404,$AQ614,$AR$5:$AR$404),""))))</f>
        <v/>
      </c>
      <c r="F614" s="32">
        <f>IF($AD614="Z",ROUND(SUM($AS$5:$AS$404),2),IF($AD614="D",INDEX($AS$5:$AS$404,$AC614),IF($AD614="T",ROUND(SUMIF($X$5:$X$404,$AF614,$AS$5:$AS$404),2),IF($AD614="B",ROUND(SUMIF($AN$5:$AN$404,$AQ614,$AS$5:$AS$404),2),""))))</f>
        <v/>
      </c>
      <c r="G614" s="32">
        <f>IF($AD614&lt;&gt;"D","",INDEX($AT$5:$AT$404,$AC614))</f>
        <v/>
      </c>
      <c r="H614" s="32">
        <f>IF($AD614&lt;&gt;"D","",INDEX($BC$5:$BC$404,$AC614))</f>
        <v/>
      </c>
      <c r="I614" s="32">
        <f>IF($AD614&lt;&gt;"D","",INDEX($BD$5:$BD$404,$AC614))</f>
        <v/>
      </c>
      <c r="J614" s="46">
        <f>IF($AD614&lt;&gt;"D","",IF(N($B614)=0,"",ROUND($I614/$B614,4)))</f>
        <v/>
      </c>
      <c r="K614" s="32">
        <f>IF($AD614="Z",ROUND(SUM($AU$5:$AU$404),2),IF($AD614="D",INDEX($AU$5:$AU$404,$AC614),IF($AD614="T",ROUND(SUMIF($X$5:$X$404,$AF614,$AU$5:$AU$404),2),IF($AD614="B",ROUND(SUMIF($AN$5:$AN$404,$AQ614,$AU$5:$AU$404),2),""))))</f>
        <v/>
      </c>
      <c r="L614" s="32">
        <f>IF($AD614="Z",ROUND(SUM($AV$5:$AV$404),2),IF($AD614="D",INDEX($AV$5:$AV$404,$AC614),IF($AD614="T",ROUND(SUMIF($X$5:$X$404,$AF614,$AV$5:$AV$404),2),IF($AD614="B",ROUND(SUMIF($AN$5:$AN$404,$AQ614,$AV$5:$AV$404),2),""))))</f>
        <v/>
      </c>
      <c r="M614" s="32">
        <f>IF($AD614="Z",ROUND(SUM($AJ$5:$AJ$704),2),IF($AD614="B",ROUND(SUMIF($AQ$5:$AQ$704,$AQ614,$AJ$5:$AJ$704),2),IF($AD614&lt;&gt;"T","",$AJ614)))</f>
        <v/>
      </c>
      <c r="N614" s="32">
        <f>IF(OR($AD614="D",$AD614="T",$AD614="B",$AD614="Z"),ROUND(N($K614)-N($L614)-N($M614),2),"")</f>
        <v/>
      </c>
      <c r="O614" s="32">
        <f>IF(OR($AD614="D",$AD614="T",$AD614="B",$AD614="Z"),IF(N($E614)=0,"",ROUND($F614/$E614,2)),"")</f>
        <v/>
      </c>
      <c r="AC614">
        <f>IFERROR(MATCH(610,$AB$5:$AB$404,1),"")</f>
        <v/>
      </c>
      <c r="AD614">
        <f>IF(610=$AI$1+1,"Z",IF($AC614="","",IF(INDEX($V$5:$V$404,$AC614)="","",IF(610&gt;INDEX($AB$5:$AB$404,$AC614)+INDEX($Z$5:$Z$404,$AC614)+INDEX($AA$5:$AA$404,$AC614)+INDEX($AO$5:$AO$404,$AC614),"",IF(610=INDEX($AB$5:$AB$404,$AC614)+INDEX($Z$5:$Z$404,$AC614),"D",IF(AND(INDEX($Z$5:$Z$404,$AC614)=1,610=INDEX($AB$5:$AB$404,$AC614)),"H",IF(AND(INDEX($AO$5:$AO$404,$AC614)=1,610=INDEX($AB$5:$AB$404,$AC614)+INDEX($Z$5:$Z$404,$AC614)+INDEX($AA$5:$AA$404,$AC614)+INDEX($AO$5:$AO$404,$AC614)),"B","T")))))))</f>
        <v/>
      </c>
      <c r="AF614">
        <f>IF(OR($AD614="",$AD614="Z",$AD614="B"),"",INDEX($X$5:$X$404,$AC614))</f>
        <v/>
      </c>
      <c r="AJ614">
        <f>IF($AD614&lt;&gt;"T",0,ROUND(SUMIF(oil!$B$4:$B$63,$AF614,oil!$AE$4:$AE$63),2))</f>
        <v/>
      </c>
      <c r="AQ614">
        <f>IF(OR($AD614="",$AD614="Z"),"",INDEX($AN$5:$AN$404,$AC614))</f>
        <v/>
      </c>
      <c r="AZ614">
        <f>IF(AND($AD614="T",$AQ614=1),N($AZ613)+1,N($AZ613))</f>
        <v/>
      </c>
    </row>
    <row r="615" ht="21" customHeight="1" s="66">
      <c r="A615" s="69">
        <f>IF($AD615="","",IF($AD615="Z","รวมจ่ายทั้งสิ้น",IF($AD615="H",INDEX($X$5:$X$404,$AC615),IF($AD615="T","รวม",IF($AD615="B",IFERROR(INDEX(อัตราค่าขนส่ง!$S$5:$S$14,MATCH(INDEX($AM$5:$AM$404,$AC615),อัตราค่าขนส่ง!$R$5:$R$14,0)),"รวมกลุ่ม "&amp;INDEX($AM$5:$AM$404,$AC615)),INDEX($AY$5:$AY$404,$AC615))))))</f>
        <v/>
      </c>
      <c r="B615" s="31">
        <f>IF($AD615&lt;&gt;"D","",INDEX($AW$5:$AW$404,$AC615))</f>
        <v/>
      </c>
      <c r="C615" s="68">
        <f>IF($AD615&lt;&gt;"D","",INDEX($AX$5:$AX$404,$AC615))</f>
        <v/>
      </c>
      <c r="D615" s="70">
        <f>IF($AD615&lt;&gt;"D","",INDEX($BA$5:$BA$404,$AC615))</f>
        <v/>
      </c>
      <c r="E615" s="31">
        <f>IF($AD615="Z",SUM($AR$5:$AR$404),IF($AD615="D",INDEX($AR$5:$AR$404,$AC615),IF($AD615="T",SUMIF($X$5:$X$404,$AF615,$AR$5:$AR$404),IF($AD615="B",SUMIF($AN$5:$AN$404,$AQ615,$AR$5:$AR$404),""))))</f>
        <v/>
      </c>
      <c r="F615" s="32">
        <f>IF($AD615="Z",ROUND(SUM($AS$5:$AS$404),2),IF($AD615="D",INDEX($AS$5:$AS$404,$AC615),IF($AD615="T",ROUND(SUMIF($X$5:$X$404,$AF615,$AS$5:$AS$404),2),IF($AD615="B",ROUND(SUMIF($AN$5:$AN$404,$AQ615,$AS$5:$AS$404),2),""))))</f>
        <v/>
      </c>
      <c r="G615" s="32">
        <f>IF($AD615&lt;&gt;"D","",INDEX($AT$5:$AT$404,$AC615))</f>
        <v/>
      </c>
      <c r="H615" s="32">
        <f>IF($AD615&lt;&gt;"D","",INDEX($BC$5:$BC$404,$AC615))</f>
        <v/>
      </c>
      <c r="I615" s="32">
        <f>IF($AD615&lt;&gt;"D","",INDEX($BD$5:$BD$404,$AC615))</f>
        <v/>
      </c>
      <c r="J615" s="46">
        <f>IF($AD615&lt;&gt;"D","",IF(N($B615)=0,"",ROUND($I615/$B615,4)))</f>
        <v/>
      </c>
      <c r="K615" s="32">
        <f>IF($AD615="Z",ROUND(SUM($AU$5:$AU$404),2),IF($AD615="D",INDEX($AU$5:$AU$404,$AC615),IF($AD615="T",ROUND(SUMIF($X$5:$X$404,$AF615,$AU$5:$AU$404),2),IF($AD615="B",ROUND(SUMIF($AN$5:$AN$404,$AQ615,$AU$5:$AU$404),2),""))))</f>
        <v/>
      </c>
      <c r="L615" s="32">
        <f>IF($AD615="Z",ROUND(SUM($AV$5:$AV$404),2),IF($AD615="D",INDEX($AV$5:$AV$404,$AC615),IF($AD615="T",ROUND(SUMIF($X$5:$X$404,$AF615,$AV$5:$AV$404),2),IF($AD615="B",ROUND(SUMIF($AN$5:$AN$404,$AQ615,$AV$5:$AV$404),2),""))))</f>
        <v/>
      </c>
      <c r="M615" s="32">
        <f>IF($AD615="Z",ROUND(SUM($AJ$5:$AJ$704),2),IF($AD615="B",ROUND(SUMIF($AQ$5:$AQ$704,$AQ615,$AJ$5:$AJ$704),2),IF($AD615&lt;&gt;"T","",$AJ615)))</f>
        <v/>
      </c>
      <c r="N615" s="32">
        <f>IF(OR($AD615="D",$AD615="T",$AD615="B",$AD615="Z"),ROUND(N($K615)-N($L615)-N($M615),2),"")</f>
        <v/>
      </c>
      <c r="O615" s="32">
        <f>IF(OR($AD615="D",$AD615="T",$AD615="B",$AD615="Z"),IF(N($E615)=0,"",ROUND($F615/$E615,2)),"")</f>
        <v/>
      </c>
      <c r="AC615">
        <f>IFERROR(MATCH(611,$AB$5:$AB$404,1),"")</f>
        <v/>
      </c>
      <c r="AD615">
        <f>IF(611=$AI$1+1,"Z",IF($AC615="","",IF(INDEX($V$5:$V$404,$AC615)="","",IF(611&gt;INDEX($AB$5:$AB$404,$AC615)+INDEX($Z$5:$Z$404,$AC615)+INDEX($AA$5:$AA$404,$AC615)+INDEX($AO$5:$AO$404,$AC615),"",IF(611=INDEX($AB$5:$AB$404,$AC615)+INDEX($Z$5:$Z$404,$AC615),"D",IF(AND(INDEX($Z$5:$Z$404,$AC615)=1,611=INDEX($AB$5:$AB$404,$AC615)),"H",IF(AND(INDEX($AO$5:$AO$404,$AC615)=1,611=INDEX($AB$5:$AB$404,$AC615)+INDEX($Z$5:$Z$404,$AC615)+INDEX($AA$5:$AA$404,$AC615)+INDEX($AO$5:$AO$404,$AC615)),"B","T")))))))</f>
        <v/>
      </c>
      <c r="AF615">
        <f>IF(OR($AD615="",$AD615="Z",$AD615="B"),"",INDEX($X$5:$X$404,$AC615))</f>
        <v/>
      </c>
      <c r="AJ615">
        <f>IF($AD615&lt;&gt;"T",0,ROUND(SUMIF(oil!$B$4:$B$63,$AF615,oil!$AE$4:$AE$63),2))</f>
        <v/>
      </c>
      <c r="AQ615">
        <f>IF(OR($AD615="",$AD615="Z"),"",INDEX($AN$5:$AN$404,$AC615))</f>
        <v/>
      </c>
      <c r="AZ615">
        <f>IF(AND($AD615="T",$AQ615=1),N($AZ614)+1,N($AZ614))</f>
        <v/>
      </c>
    </row>
    <row r="616" ht="21" customHeight="1" s="66">
      <c r="A616" s="69">
        <f>IF($AD616="","",IF($AD616="Z","รวมจ่ายทั้งสิ้น",IF($AD616="H",INDEX($X$5:$X$404,$AC616),IF($AD616="T","รวม",IF($AD616="B",IFERROR(INDEX(อัตราค่าขนส่ง!$S$5:$S$14,MATCH(INDEX($AM$5:$AM$404,$AC616),อัตราค่าขนส่ง!$R$5:$R$14,0)),"รวมกลุ่ม "&amp;INDEX($AM$5:$AM$404,$AC616)),INDEX($AY$5:$AY$404,$AC616))))))</f>
        <v/>
      </c>
      <c r="B616" s="31">
        <f>IF($AD616&lt;&gt;"D","",INDEX($AW$5:$AW$404,$AC616))</f>
        <v/>
      </c>
      <c r="C616" s="68">
        <f>IF($AD616&lt;&gt;"D","",INDEX($AX$5:$AX$404,$AC616))</f>
        <v/>
      </c>
      <c r="D616" s="70">
        <f>IF($AD616&lt;&gt;"D","",INDEX($BA$5:$BA$404,$AC616))</f>
        <v/>
      </c>
      <c r="E616" s="31">
        <f>IF($AD616="Z",SUM($AR$5:$AR$404),IF($AD616="D",INDEX($AR$5:$AR$404,$AC616),IF($AD616="T",SUMIF($X$5:$X$404,$AF616,$AR$5:$AR$404),IF($AD616="B",SUMIF($AN$5:$AN$404,$AQ616,$AR$5:$AR$404),""))))</f>
        <v/>
      </c>
      <c r="F616" s="32">
        <f>IF($AD616="Z",ROUND(SUM($AS$5:$AS$404),2),IF($AD616="D",INDEX($AS$5:$AS$404,$AC616),IF($AD616="T",ROUND(SUMIF($X$5:$X$404,$AF616,$AS$5:$AS$404),2),IF($AD616="B",ROUND(SUMIF($AN$5:$AN$404,$AQ616,$AS$5:$AS$404),2),""))))</f>
        <v/>
      </c>
      <c r="G616" s="32">
        <f>IF($AD616&lt;&gt;"D","",INDEX($AT$5:$AT$404,$AC616))</f>
        <v/>
      </c>
      <c r="H616" s="32">
        <f>IF($AD616&lt;&gt;"D","",INDEX($BC$5:$BC$404,$AC616))</f>
        <v/>
      </c>
      <c r="I616" s="32">
        <f>IF($AD616&lt;&gt;"D","",INDEX($BD$5:$BD$404,$AC616))</f>
        <v/>
      </c>
      <c r="J616" s="46">
        <f>IF($AD616&lt;&gt;"D","",IF(N($B616)=0,"",ROUND($I616/$B616,4)))</f>
        <v/>
      </c>
      <c r="K616" s="32">
        <f>IF($AD616="Z",ROUND(SUM($AU$5:$AU$404),2),IF($AD616="D",INDEX($AU$5:$AU$404,$AC616),IF($AD616="T",ROUND(SUMIF($X$5:$X$404,$AF616,$AU$5:$AU$404),2),IF($AD616="B",ROUND(SUMIF($AN$5:$AN$404,$AQ616,$AU$5:$AU$404),2),""))))</f>
        <v/>
      </c>
      <c r="L616" s="32">
        <f>IF($AD616="Z",ROUND(SUM($AV$5:$AV$404),2),IF($AD616="D",INDEX($AV$5:$AV$404,$AC616),IF($AD616="T",ROUND(SUMIF($X$5:$X$404,$AF616,$AV$5:$AV$404),2),IF($AD616="B",ROUND(SUMIF($AN$5:$AN$404,$AQ616,$AV$5:$AV$404),2),""))))</f>
        <v/>
      </c>
      <c r="M616" s="32">
        <f>IF($AD616="Z",ROUND(SUM($AJ$5:$AJ$704),2),IF($AD616="B",ROUND(SUMIF($AQ$5:$AQ$704,$AQ616,$AJ$5:$AJ$704),2),IF($AD616&lt;&gt;"T","",$AJ616)))</f>
        <v/>
      </c>
      <c r="N616" s="32">
        <f>IF(OR($AD616="D",$AD616="T",$AD616="B",$AD616="Z"),ROUND(N($K616)-N($L616)-N($M616),2),"")</f>
        <v/>
      </c>
      <c r="O616" s="32">
        <f>IF(OR($AD616="D",$AD616="T",$AD616="B",$AD616="Z"),IF(N($E616)=0,"",ROUND($F616/$E616,2)),"")</f>
        <v/>
      </c>
      <c r="AC616">
        <f>IFERROR(MATCH(612,$AB$5:$AB$404,1),"")</f>
        <v/>
      </c>
      <c r="AD616">
        <f>IF(612=$AI$1+1,"Z",IF($AC616="","",IF(INDEX($V$5:$V$404,$AC616)="","",IF(612&gt;INDEX($AB$5:$AB$404,$AC616)+INDEX($Z$5:$Z$404,$AC616)+INDEX($AA$5:$AA$404,$AC616)+INDEX($AO$5:$AO$404,$AC616),"",IF(612=INDEX($AB$5:$AB$404,$AC616)+INDEX($Z$5:$Z$404,$AC616),"D",IF(AND(INDEX($Z$5:$Z$404,$AC616)=1,612=INDEX($AB$5:$AB$404,$AC616)),"H",IF(AND(INDEX($AO$5:$AO$404,$AC616)=1,612=INDEX($AB$5:$AB$404,$AC616)+INDEX($Z$5:$Z$404,$AC616)+INDEX($AA$5:$AA$404,$AC616)+INDEX($AO$5:$AO$404,$AC616)),"B","T")))))))</f>
        <v/>
      </c>
      <c r="AF616">
        <f>IF(OR($AD616="",$AD616="Z",$AD616="B"),"",INDEX($X$5:$X$404,$AC616))</f>
        <v/>
      </c>
      <c r="AJ616">
        <f>IF($AD616&lt;&gt;"T",0,ROUND(SUMIF(oil!$B$4:$B$63,$AF616,oil!$AE$4:$AE$63),2))</f>
        <v/>
      </c>
      <c r="AQ616">
        <f>IF(OR($AD616="",$AD616="Z"),"",INDEX($AN$5:$AN$404,$AC616))</f>
        <v/>
      </c>
      <c r="AZ616">
        <f>IF(AND($AD616="T",$AQ616=1),N($AZ615)+1,N($AZ615))</f>
        <v/>
      </c>
    </row>
    <row r="617" ht="21" customHeight="1" s="66">
      <c r="A617" s="69">
        <f>IF($AD617="","",IF($AD617="Z","รวมจ่ายทั้งสิ้น",IF($AD617="H",INDEX($X$5:$X$404,$AC617),IF($AD617="T","รวม",IF($AD617="B",IFERROR(INDEX(อัตราค่าขนส่ง!$S$5:$S$14,MATCH(INDEX($AM$5:$AM$404,$AC617),อัตราค่าขนส่ง!$R$5:$R$14,0)),"รวมกลุ่ม "&amp;INDEX($AM$5:$AM$404,$AC617)),INDEX($AY$5:$AY$404,$AC617))))))</f>
        <v/>
      </c>
      <c r="B617" s="31">
        <f>IF($AD617&lt;&gt;"D","",INDEX($AW$5:$AW$404,$AC617))</f>
        <v/>
      </c>
      <c r="C617" s="68">
        <f>IF($AD617&lt;&gt;"D","",INDEX($AX$5:$AX$404,$AC617))</f>
        <v/>
      </c>
      <c r="D617" s="70">
        <f>IF($AD617&lt;&gt;"D","",INDEX($BA$5:$BA$404,$AC617))</f>
        <v/>
      </c>
      <c r="E617" s="31">
        <f>IF($AD617="Z",SUM($AR$5:$AR$404),IF($AD617="D",INDEX($AR$5:$AR$404,$AC617),IF($AD617="T",SUMIF($X$5:$X$404,$AF617,$AR$5:$AR$404),IF($AD617="B",SUMIF($AN$5:$AN$404,$AQ617,$AR$5:$AR$404),""))))</f>
        <v/>
      </c>
      <c r="F617" s="32">
        <f>IF($AD617="Z",ROUND(SUM($AS$5:$AS$404),2),IF($AD617="D",INDEX($AS$5:$AS$404,$AC617),IF($AD617="T",ROUND(SUMIF($X$5:$X$404,$AF617,$AS$5:$AS$404),2),IF($AD617="B",ROUND(SUMIF($AN$5:$AN$404,$AQ617,$AS$5:$AS$404),2),""))))</f>
        <v/>
      </c>
      <c r="G617" s="32">
        <f>IF($AD617&lt;&gt;"D","",INDEX($AT$5:$AT$404,$AC617))</f>
        <v/>
      </c>
      <c r="H617" s="32">
        <f>IF($AD617&lt;&gt;"D","",INDEX($BC$5:$BC$404,$AC617))</f>
        <v/>
      </c>
      <c r="I617" s="32">
        <f>IF($AD617&lt;&gt;"D","",INDEX($BD$5:$BD$404,$AC617))</f>
        <v/>
      </c>
      <c r="J617" s="46">
        <f>IF($AD617&lt;&gt;"D","",IF(N($B617)=0,"",ROUND($I617/$B617,4)))</f>
        <v/>
      </c>
      <c r="K617" s="32">
        <f>IF($AD617="Z",ROUND(SUM($AU$5:$AU$404),2),IF($AD617="D",INDEX($AU$5:$AU$404,$AC617),IF($AD617="T",ROUND(SUMIF($X$5:$X$404,$AF617,$AU$5:$AU$404),2),IF($AD617="B",ROUND(SUMIF($AN$5:$AN$404,$AQ617,$AU$5:$AU$404),2),""))))</f>
        <v/>
      </c>
      <c r="L617" s="32">
        <f>IF($AD617="Z",ROUND(SUM($AV$5:$AV$404),2),IF($AD617="D",INDEX($AV$5:$AV$404,$AC617),IF($AD617="T",ROUND(SUMIF($X$5:$X$404,$AF617,$AV$5:$AV$404),2),IF($AD617="B",ROUND(SUMIF($AN$5:$AN$404,$AQ617,$AV$5:$AV$404),2),""))))</f>
        <v/>
      </c>
      <c r="M617" s="32">
        <f>IF($AD617="Z",ROUND(SUM($AJ$5:$AJ$704),2),IF($AD617="B",ROUND(SUMIF($AQ$5:$AQ$704,$AQ617,$AJ$5:$AJ$704),2),IF($AD617&lt;&gt;"T","",$AJ617)))</f>
        <v/>
      </c>
      <c r="N617" s="32">
        <f>IF(OR($AD617="D",$AD617="T",$AD617="B",$AD617="Z"),ROUND(N($K617)-N($L617)-N($M617),2),"")</f>
        <v/>
      </c>
      <c r="O617" s="32">
        <f>IF(OR($AD617="D",$AD617="T",$AD617="B",$AD617="Z"),IF(N($E617)=0,"",ROUND($F617/$E617,2)),"")</f>
        <v/>
      </c>
      <c r="AC617">
        <f>IFERROR(MATCH(613,$AB$5:$AB$404,1),"")</f>
        <v/>
      </c>
      <c r="AD617">
        <f>IF(613=$AI$1+1,"Z",IF($AC617="","",IF(INDEX($V$5:$V$404,$AC617)="","",IF(613&gt;INDEX($AB$5:$AB$404,$AC617)+INDEX($Z$5:$Z$404,$AC617)+INDEX($AA$5:$AA$404,$AC617)+INDEX($AO$5:$AO$404,$AC617),"",IF(613=INDEX($AB$5:$AB$404,$AC617)+INDEX($Z$5:$Z$404,$AC617),"D",IF(AND(INDEX($Z$5:$Z$404,$AC617)=1,613=INDEX($AB$5:$AB$404,$AC617)),"H",IF(AND(INDEX($AO$5:$AO$404,$AC617)=1,613=INDEX($AB$5:$AB$404,$AC617)+INDEX($Z$5:$Z$404,$AC617)+INDEX($AA$5:$AA$404,$AC617)+INDEX($AO$5:$AO$404,$AC617)),"B","T")))))))</f>
        <v/>
      </c>
      <c r="AF617">
        <f>IF(OR($AD617="",$AD617="Z",$AD617="B"),"",INDEX($X$5:$X$404,$AC617))</f>
        <v/>
      </c>
      <c r="AJ617">
        <f>IF($AD617&lt;&gt;"T",0,ROUND(SUMIF(oil!$B$4:$B$63,$AF617,oil!$AE$4:$AE$63),2))</f>
        <v/>
      </c>
      <c r="AQ617">
        <f>IF(OR($AD617="",$AD617="Z"),"",INDEX($AN$5:$AN$404,$AC617))</f>
        <v/>
      </c>
      <c r="AZ617">
        <f>IF(AND($AD617="T",$AQ617=1),N($AZ616)+1,N($AZ616))</f>
        <v/>
      </c>
    </row>
    <row r="618" ht="21" customHeight="1" s="66">
      <c r="A618" s="69">
        <f>IF($AD618="","",IF($AD618="Z","รวมจ่ายทั้งสิ้น",IF($AD618="H",INDEX($X$5:$X$404,$AC618),IF($AD618="T","รวม",IF($AD618="B",IFERROR(INDEX(อัตราค่าขนส่ง!$S$5:$S$14,MATCH(INDEX($AM$5:$AM$404,$AC618),อัตราค่าขนส่ง!$R$5:$R$14,0)),"รวมกลุ่ม "&amp;INDEX($AM$5:$AM$404,$AC618)),INDEX($AY$5:$AY$404,$AC618))))))</f>
        <v/>
      </c>
      <c r="B618" s="31">
        <f>IF($AD618&lt;&gt;"D","",INDEX($AW$5:$AW$404,$AC618))</f>
        <v/>
      </c>
      <c r="C618" s="68">
        <f>IF($AD618&lt;&gt;"D","",INDEX($AX$5:$AX$404,$AC618))</f>
        <v/>
      </c>
      <c r="D618" s="70">
        <f>IF($AD618&lt;&gt;"D","",INDEX($BA$5:$BA$404,$AC618))</f>
        <v/>
      </c>
      <c r="E618" s="31">
        <f>IF($AD618="Z",SUM($AR$5:$AR$404),IF($AD618="D",INDEX($AR$5:$AR$404,$AC618),IF($AD618="T",SUMIF($X$5:$X$404,$AF618,$AR$5:$AR$404),IF($AD618="B",SUMIF($AN$5:$AN$404,$AQ618,$AR$5:$AR$404),""))))</f>
        <v/>
      </c>
      <c r="F618" s="32">
        <f>IF($AD618="Z",ROUND(SUM($AS$5:$AS$404),2),IF($AD618="D",INDEX($AS$5:$AS$404,$AC618),IF($AD618="T",ROUND(SUMIF($X$5:$X$404,$AF618,$AS$5:$AS$404),2),IF($AD618="B",ROUND(SUMIF($AN$5:$AN$404,$AQ618,$AS$5:$AS$404),2),""))))</f>
        <v/>
      </c>
      <c r="G618" s="32">
        <f>IF($AD618&lt;&gt;"D","",INDEX($AT$5:$AT$404,$AC618))</f>
        <v/>
      </c>
      <c r="H618" s="32">
        <f>IF($AD618&lt;&gt;"D","",INDEX($BC$5:$BC$404,$AC618))</f>
        <v/>
      </c>
      <c r="I618" s="32">
        <f>IF($AD618&lt;&gt;"D","",INDEX($BD$5:$BD$404,$AC618))</f>
        <v/>
      </c>
      <c r="J618" s="46">
        <f>IF($AD618&lt;&gt;"D","",IF(N($B618)=0,"",ROUND($I618/$B618,4)))</f>
        <v/>
      </c>
      <c r="K618" s="32">
        <f>IF($AD618="Z",ROUND(SUM($AU$5:$AU$404),2),IF($AD618="D",INDEX($AU$5:$AU$404,$AC618),IF($AD618="T",ROUND(SUMIF($X$5:$X$404,$AF618,$AU$5:$AU$404),2),IF($AD618="B",ROUND(SUMIF($AN$5:$AN$404,$AQ618,$AU$5:$AU$404),2),""))))</f>
        <v/>
      </c>
      <c r="L618" s="32">
        <f>IF($AD618="Z",ROUND(SUM($AV$5:$AV$404),2),IF($AD618="D",INDEX($AV$5:$AV$404,$AC618),IF($AD618="T",ROUND(SUMIF($X$5:$X$404,$AF618,$AV$5:$AV$404),2),IF($AD618="B",ROUND(SUMIF($AN$5:$AN$404,$AQ618,$AV$5:$AV$404),2),""))))</f>
        <v/>
      </c>
      <c r="M618" s="32">
        <f>IF($AD618="Z",ROUND(SUM($AJ$5:$AJ$704),2),IF($AD618="B",ROUND(SUMIF($AQ$5:$AQ$704,$AQ618,$AJ$5:$AJ$704),2),IF($AD618&lt;&gt;"T","",$AJ618)))</f>
        <v/>
      </c>
      <c r="N618" s="32">
        <f>IF(OR($AD618="D",$AD618="T",$AD618="B",$AD618="Z"),ROUND(N($K618)-N($L618)-N($M618),2),"")</f>
        <v/>
      </c>
      <c r="O618" s="32">
        <f>IF(OR($AD618="D",$AD618="T",$AD618="B",$AD618="Z"),IF(N($E618)=0,"",ROUND($F618/$E618,2)),"")</f>
        <v/>
      </c>
      <c r="AC618">
        <f>IFERROR(MATCH(614,$AB$5:$AB$404,1),"")</f>
        <v/>
      </c>
      <c r="AD618">
        <f>IF(614=$AI$1+1,"Z",IF($AC618="","",IF(INDEX($V$5:$V$404,$AC618)="","",IF(614&gt;INDEX($AB$5:$AB$404,$AC618)+INDEX($Z$5:$Z$404,$AC618)+INDEX($AA$5:$AA$404,$AC618)+INDEX($AO$5:$AO$404,$AC618),"",IF(614=INDEX($AB$5:$AB$404,$AC618)+INDEX($Z$5:$Z$404,$AC618),"D",IF(AND(INDEX($Z$5:$Z$404,$AC618)=1,614=INDEX($AB$5:$AB$404,$AC618)),"H",IF(AND(INDEX($AO$5:$AO$404,$AC618)=1,614=INDEX($AB$5:$AB$404,$AC618)+INDEX($Z$5:$Z$404,$AC618)+INDEX($AA$5:$AA$404,$AC618)+INDEX($AO$5:$AO$404,$AC618)),"B","T")))))))</f>
        <v/>
      </c>
      <c r="AF618">
        <f>IF(OR($AD618="",$AD618="Z",$AD618="B"),"",INDEX($X$5:$X$404,$AC618))</f>
        <v/>
      </c>
      <c r="AJ618">
        <f>IF($AD618&lt;&gt;"T",0,ROUND(SUMIF(oil!$B$4:$B$63,$AF618,oil!$AE$4:$AE$63),2))</f>
        <v/>
      </c>
      <c r="AQ618">
        <f>IF(OR($AD618="",$AD618="Z"),"",INDEX($AN$5:$AN$404,$AC618))</f>
        <v/>
      </c>
      <c r="AZ618">
        <f>IF(AND($AD618="T",$AQ618=1),N($AZ617)+1,N($AZ617))</f>
        <v/>
      </c>
    </row>
    <row r="619" ht="21" customHeight="1" s="66">
      <c r="A619" s="69">
        <f>IF($AD619="","",IF($AD619="Z","รวมจ่ายทั้งสิ้น",IF($AD619="H",INDEX($X$5:$X$404,$AC619),IF($AD619="T","รวม",IF($AD619="B",IFERROR(INDEX(อัตราค่าขนส่ง!$S$5:$S$14,MATCH(INDEX($AM$5:$AM$404,$AC619),อัตราค่าขนส่ง!$R$5:$R$14,0)),"รวมกลุ่ม "&amp;INDEX($AM$5:$AM$404,$AC619)),INDEX($AY$5:$AY$404,$AC619))))))</f>
        <v/>
      </c>
      <c r="B619" s="31">
        <f>IF($AD619&lt;&gt;"D","",INDEX($AW$5:$AW$404,$AC619))</f>
        <v/>
      </c>
      <c r="C619" s="68">
        <f>IF($AD619&lt;&gt;"D","",INDEX($AX$5:$AX$404,$AC619))</f>
        <v/>
      </c>
      <c r="D619" s="70">
        <f>IF($AD619&lt;&gt;"D","",INDEX($BA$5:$BA$404,$AC619))</f>
        <v/>
      </c>
      <c r="E619" s="31">
        <f>IF($AD619="Z",SUM($AR$5:$AR$404),IF($AD619="D",INDEX($AR$5:$AR$404,$AC619),IF($AD619="T",SUMIF($X$5:$X$404,$AF619,$AR$5:$AR$404),IF($AD619="B",SUMIF($AN$5:$AN$404,$AQ619,$AR$5:$AR$404),""))))</f>
        <v/>
      </c>
      <c r="F619" s="32">
        <f>IF($AD619="Z",ROUND(SUM($AS$5:$AS$404),2),IF($AD619="D",INDEX($AS$5:$AS$404,$AC619),IF($AD619="T",ROUND(SUMIF($X$5:$X$404,$AF619,$AS$5:$AS$404),2),IF($AD619="B",ROUND(SUMIF($AN$5:$AN$404,$AQ619,$AS$5:$AS$404),2),""))))</f>
        <v/>
      </c>
      <c r="G619" s="32">
        <f>IF($AD619&lt;&gt;"D","",INDEX($AT$5:$AT$404,$AC619))</f>
        <v/>
      </c>
      <c r="H619" s="32">
        <f>IF($AD619&lt;&gt;"D","",INDEX($BC$5:$BC$404,$AC619))</f>
        <v/>
      </c>
      <c r="I619" s="32">
        <f>IF($AD619&lt;&gt;"D","",INDEX($BD$5:$BD$404,$AC619))</f>
        <v/>
      </c>
      <c r="J619" s="46">
        <f>IF($AD619&lt;&gt;"D","",IF(N($B619)=0,"",ROUND($I619/$B619,4)))</f>
        <v/>
      </c>
      <c r="K619" s="32">
        <f>IF($AD619="Z",ROUND(SUM($AU$5:$AU$404),2),IF($AD619="D",INDEX($AU$5:$AU$404,$AC619),IF($AD619="T",ROUND(SUMIF($X$5:$X$404,$AF619,$AU$5:$AU$404),2),IF($AD619="B",ROUND(SUMIF($AN$5:$AN$404,$AQ619,$AU$5:$AU$404),2),""))))</f>
        <v/>
      </c>
      <c r="L619" s="32">
        <f>IF($AD619="Z",ROUND(SUM($AV$5:$AV$404),2),IF($AD619="D",INDEX($AV$5:$AV$404,$AC619),IF($AD619="T",ROUND(SUMIF($X$5:$X$404,$AF619,$AV$5:$AV$404),2),IF($AD619="B",ROUND(SUMIF($AN$5:$AN$404,$AQ619,$AV$5:$AV$404),2),""))))</f>
        <v/>
      </c>
      <c r="M619" s="32">
        <f>IF($AD619="Z",ROUND(SUM($AJ$5:$AJ$704),2),IF($AD619="B",ROUND(SUMIF($AQ$5:$AQ$704,$AQ619,$AJ$5:$AJ$704),2),IF($AD619&lt;&gt;"T","",$AJ619)))</f>
        <v/>
      </c>
      <c r="N619" s="32">
        <f>IF(OR($AD619="D",$AD619="T",$AD619="B",$AD619="Z"),ROUND(N($K619)-N($L619)-N($M619),2),"")</f>
        <v/>
      </c>
      <c r="O619" s="32">
        <f>IF(OR($AD619="D",$AD619="T",$AD619="B",$AD619="Z"),IF(N($E619)=0,"",ROUND($F619/$E619,2)),"")</f>
        <v/>
      </c>
      <c r="AC619">
        <f>IFERROR(MATCH(615,$AB$5:$AB$404,1),"")</f>
        <v/>
      </c>
      <c r="AD619">
        <f>IF(615=$AI$1+1,"Z",IF($AC619="","",IF(INDEX($V$5:$V$404,$AC619)="","",IF(615&gt;INDEX($AB$5:$AB$404,$AC619)+INDEX($Z$5:$Z$404,$AC619)+INDEX($AA$5:$AA$404,$AC619)+INDEX($AO$5:$AO$404,$AC619),"",IF(615=INDEX($AB$5:$AB$404,$AC619)+INDEX($Z$5:$Z$404,$AC619),"D",IF(AND(INDEX($Z$5:$Z$404,$AC619)=1,615=INDEX($AB$5:$AB$404,$AC619)),"H",IF(AND(INDEX($AO$5:$AO$404,$AC619)=1,615=INDEX($AB$5:$AB$404,$AC619)+INDEX($Z$5:$Z$404,$AC619)+INDEX($AA$5:$AA$404,$AC619)+INDEX($AO$5:$AO$404,$AC619)),"B","T")))))))</f>
        <v/>
      </c>
      <c r="AF619">
        <f>IF(OR($AD619="",$AD619="Z",$AD619="B"),"",INDEX($X$5:$X$404,$AC619))</f>
        <v/>
      </c>
      <c r="AJ619">
        <f>IF($AD619&lt;&gt;"T",0,ROUND(SUMIF(oil!$B$4:$B$63,$AF619,oil!$AE$4:$AE$63),2))</f>
        <v/>
      </c>
      <c r="AQ619">
        <f>IF(OR($AD619="",$AD619="Z"),"",INDEX($AN$5:$AN$404,$AC619))</f>
        <v/>
      </c>
      <c r="AZ619">
        <f>IF(AND($AD619="T",$AQ619=1),N($AZ618)+1,N($AZ618))</f>
        <v/>
      </c>
    </row>
    <row r="620" ht="21" customHeight="1" s="66">
      <c r="A620" s="69">
        <f>IF($AD620="","",IF($AD620="Z","รวมจ่ายทั้งสิ้น",IF($AD620="H",INDEX($X$5:$X$404,$AC620),IF($AD620="T","รวม",IF($AD620="B",IFERROR(INDEX(อัตราค่าขนส่ง!$S$5:$S$14,MATCH(INDEX($AM$5:$AM$404,$AC620),อัตราค่าขนส่ง!$R$5:$R$14,0)),"รวมกลุ่ม "&amp;INDEX($AM$5:$AM$404,$AC620)),INDEX($AY$5:$AY$404,$AC620))))))</f>
        <v/>
      </c>
      <c r="B620" s="31">
        <f>IF($AD620&lt;&gt;"D","",INDEX($AW$5:$AW$404,$AC620))</f>
        <v/>
      </c>
      <c r="C620" s="68">
        <f>IF($AD620&lt;&gt;"D","",INDEX($AX$5:$AX$404,$AC620))</f>
        <v/>
      </c>
      <c r="D620" s="70">
        <f>IF($AD620&lt;&gt;"D","",INDEX($BA$5:$BA$404,$AC620))</f>
        <v/>
      </c>
      <c r="E620" s="31">
        <f>IF($AD620="Z",SUM($AR$5:$AR$404),IF($AD620="D",INDEX($AR$5:$AR$404,$AC620),IF($AD620="T",SUMIF($X$5:$X$404,$AF620,$AR$5:$AR$404),IF($AD620="B",SUMIF($AN$5:$AN$404,$AQ620,$AR$5:$AR$404),""))))</f>
        <v/>
      </c>
      <c r="F620" s="32">
        <f>IF($AD620="Z",ROUND(SUM($AS$5:$AS$404),2),IF($AD620="D",INDEX($AS$5:$AS$404,$AC620),IF($AD620="T",ROUND(SUMIF($X$5:$X$404,$AF620,$AS$5:$AS$404),2),IF($AD620="B",ROUND(SUMIF($AN$5:$AN$404,$AQ620,$AS$5:$AS$404),2),""))))</f>
        <v/>
      </c>
      <c r="G620" s="32">
        <f>IF($AD620&lt;&gt;"D","",INDEX($AT$5:$AT$404,$AC620))</f>
        <v/>
      </c>
      <c r="H620" s="32">
        <f>IF($AD620&lt;&gt;"D","",INDEX($BC$5:$BC$404,$AC620))</f>
        <v/>
      </c>
      <c r="I620" s="32">
        <f>IF($AD620&lt;&gt;"D","",INDEX($BD$5:$BD$404,$AC620))</f>
        <v/>
      </c>
      <c r="J620" s="46">
        <f>IF($AD620&lt;&gt;"D","",IF(N($B620)=0,"",ROUND($I620/$B620,4)))</f>
        <v/>
      </c>
      <c r="K620" s="32">
        <f>IF($AD620="Z",ROUND(SUM($AU$5:$AU$404),2),IF($AD620="D",INDEX($AU$5:$AU$404,$AC620),IF($AD620="T",ROUND(SUMIF($X$5:$X$404,$AF620,$AU$5:$AU$404),2),IF($AD620="B",ROUND(SUMIF($AN$5:$AN$404,$AQ620,$AU$5:$AU$404),2),""))))</f>
        <v/>
      </c>
      <c r="L620" s="32">
        <f>IF($AD620="Z",ROUND(SUM($AV$5:$AV$404),2),IF($AD620="D",INDEX($AV$5:$AV$404,$AC620),IF($AD620="T",ROUND(SUMIF($X$5:$X$404,$AF620,$AV$5:$AV$404),2),IF($AD620="B",ROUND(SUMIF($AN$5:$AN$404,$AQ620,$AV$5:$AV$404),2),""))))</f>
        <v/>
      </c>
      <c r="M620" s="32">
        <f>IF($AD620="Z",ROUND(SUM($AJ$5:$AJ$704),2),IF($AD620="B",ROUND(SUMIF($AQ$5:$AQ$704,$AQ620,$AJ$5:$AJ$704),2),IF($AD620&lt;&gt;"T","",$AJ620)))</f>
        <v/>
      </c>
      <c r="N620" s="32">
        <f>IF(OR($AD620="D",$AD620="T",$AD620="B",$AD620="Z"),ROUND(N($K620)-N($L620)-N($M620),2),"")</f>
        <v/>
      </c>
      <c r="O620" s="32">
        <f>IF(OR($AD620="D",$AD620="T",$AD620="B",$AD620="Z"),IF(N($E620)=0,"",ROUND($F620/$E620,2)),"")</f>
        <v/>
      </c>
      <c r="AC620">
        <f>IFERROR(MATCH(616,$AB$5:$AB$404,1),"")</f>
        <v/>
      </c>
      <c r="AD620">
        <f>IF(616=$AI$1+1,"Z",IF($AC620="","",IF(INDEX($V$5:$V$404,$AC620)="","",IF(616&gt;INDEX($AB$5:$AB$404,$AC620)+INDEX($Z$5:$Z$404,$AC620)+INDEX($AA$5:$AA$404,$AC620)+INDEX($AO$5:$AO$404,$AC620),"",IF(616=INDEX($AB$5:$AB$404,$AC620)+INDEX($Z$5:$Z$404,$AC620),"D",IF(AND(INDEX($Z$5:$Z$404,$AC620)=1,616=INDEX($AB$5:$AB$404,$AC620)),"H",IF(AND(INDEX($AO$5:$AO$404,$AC620)=1,616=INDEX($AB$5:$AB$404,$AC620)+INDEX($Z$5:$Z$404,$AC620)+INDEX($AA$5:$AA$404,$AC620)+INDEX($AO$5:$AO$404,$AC620)),"B","T")))))))</f>
        <v/>
      </c>
      <c r="AF620">
        <f>IF(OR($AD620="",$AD620="Z",$AD620="B"),"",INDEX($X$5:$X$404,$AC620))</f>
        <v/>
      </c>
      <c r="AJ620">
        <f>IF($AD620&lt;&gt;"T",0,ROUND(SUMIF(oil!$B$4:$B$63,$AF620,oil!$AE$4:$AE$63),2))</f>
        <v/>
      </c>
      <c r="AQ620">
        <f>IF(OR($AD620="",$AD620="Z"),"",INDEX($AN$5:$AN$404,$AC620))</f>
        <v/>
      </c>
      <c r="AZ620">
        <f>IF(AND($AD620="T",$AQ620=1),N($AZ619)+1,N($AZ619))</f>
        <v/>
      </c>
    </row>
    <row r="621" ht="21" customHeight="1" s="66">
      <c r="A621" s="69">
        <f>IF($AD621="","",IF($AD621="Z","รวมจ่ายทั้งสิ้น",IF($AD621="H",INDEX($X$5:$X$404,$AC621),IF($AD621="T","รวม",IF($AD621="B",IFERROR(INDEX(อัตราค่าขนส่ง!$S$5:$S$14,MATCH(INDEX($AM$5:$AM$404,$AC621),อัตราค่าขนส่ง!$R$5:$R$14,0)),"รวมกลุ่ม "&amp;INDEX($AM$5:$AM$404,$AC621)),INDEX($AY$5:$AY$404,$AC621))))))</f>
        <v/>
      </c>
      <c r="B621" s="31">
        <f>IF($AD621&lt;&gt;"D","",INDEX($AW$5:$AW$404,$AC621))</f>
        <v/>
      </c>
      <c r="C621" s="68">
        <f>IF($AD621&lt;&gt;"D","",INDEX($AX$5:$AX$404,$AC621))</f>
        <v/>
      </c>
      <c r="D621" s="70">
        <f>IF($AD621&lt;&gt;"D","",INDEX($BA$5:$BA$404,$AC621))</f>
        <v/>
      </c>
      <c r="E621" s="31">
        <f>IF($AD621="Z",SUM($AR$5:$AR$404),IF($AD621="D",INDEX($AR$5:$AR$404,$AC621),IF($AD621="T",SUMIF($X$5:$X$404,$AF621,$AR$5:$AR$404),IF($AD621="B",SUMIF($AN$5:$AN$404,$AQ621,$AR$5:$AR$404),""))))</f>
        <v/>
      </c>
      <c r="F621" s="32">
        <f>IF($AD621="Z",ROUND(SUM($AS$5:$AS$404),2),IF($AD621="D",INDEX($AS$5:$AS$404,$AC621),IF($AD621="T",ROUND(SUMIF($X$5:$X$404,$AF621,$AS$5:$AS$404),2),IF($AD621="B",ROUND(SUMIF($AN$5:$AN$404,$AQ621,$AS$5:$AS$404),2),""))))</f>
        <v/>
      </c>
      <c r="G621" s="32">
        <f>IF($AD621&lt;&gt;"D","",INDEX($AT$5:$AT$404,$AC621))</f>
        <v/>
      </c>
      <c r="H621" s="32">
        <f>IF($AD621&lt;&gt;"D","",INDEX($BC$5:$BC$404,$AC621))</f>
        <v/>
      </c>
      <c r="I621" s="32">
        <f>IF($AD621&lt;&gt;"D","",INDEX($BD$5:$BD$404,$AC621))</f>
        <v/>
      </c>
      <c r="J621" s="46">
        <f>IF($AD621&lt;&gt;"D","",IF(N($B621)=0,"",ROUND($I621/$B621,4)))</f>
        <v/>
      </c>
      <c r="K621" s="32">
        <f>IF($AD621="Z",ROUND(SUM($AU$5:$AU$404),2),IF($AD621="D",INDEX($AU$5:$AU$404,$AC621),IF($AD621="T",ROUND(SUMIF($X$5:$X$404,$AF621,$AU$5:$AU$404),2),IF($AD621="B",ROUND(SUMIF($AN$5:$AN$404,$AQ621,$AU$5:$AU$404),2),""))))</f>
        <v/>
      </c>
      <c r="L621" s="32">
        <f>IF($AD621="Z",ROUND(SUM($AV$5:$AV$404),2),IF($AD621="D",INDEX($AV$5:$AV$404,$AC621),IF($AD621="T",ROUND(SUMIF($X$5:$X$404,$AF621,$AV$5:$AV$404),2),IF($AD621="B",ROUND(SUMIF($AN$5:$AN$404,$AQ621,$AV$5:$AV$404),2),""))))</f>
        <v/>
      </c>
      <c r="M621" s="32">
        <f>IF($AD621="Z",ROUND(SUM($AJ$5:$AJ$704),2),IF($AD621="B",ROUND(SUMIF($AQ$5:$AQ$704,$AQ621,$AJ$5:$AJ$704),2),IF($AD621&lt;&gt;"T","",$AJ621)))</f>
        <v/>
      </c>
      <c r="N621" s="32">
        <f>IF(OR($AD621="D",$AD621="T",$AD621="B",$AD621="Z"),ROUND(N($K621)-N($L621)-N($M621),2),"")</f>
        <v/>
      </c>
      <c r="O621" s="32">
        <f>IF(OR($AD621="D",$AD621="T",$AD621="B",$AD621="Z"),IF(N($E621)=0,"",ROUND($F621/$E621,2)),"")</f>
        <v/>
      </c>
      <c r="AC621">
        <f>IFERROR(MATCH(617,$AB$5:$AB$404,1),"")</f>
        <v/>
      </c>
      <c r="AD621">
        <f>IF(617=$AI$1+1,"Z",IF($AC621="","",IF(INDEX($V$5:$V$404,$AC621)="","",IF(617&gt;INDEX($AB$5:$AB$404,$AC621)+INDEX($Z$5:$Z$404,$AC621)+INDEX($AA$5:$AA$404,$AC621)+INDEX($AO$5:$AO$404,$AC621),"",IF(617=INDEX($AB$5:$AB$404,$AC621)+INDEX($Z$5:$Z$404,$AC621),"D",IF(AND(INDEX($Z$5:$Z$404,$AC621)=1,617=INDEX($AB$5:$AB$404,$AC621)),"H",IF(AND(INDEX($AO$5:$AO$404,$AC621)=1,617=INDEX($AB$5:$AB$404,$AC621)+INDEX($Z$5:$Z$404,$AC621)+INDEX($AA$5:$AA$404,$AC621)+INDEX($AO$5:$AO$404,$AC621)),"B","T")))))))</f>
        <v/>
      </c>
      <c r="AF621">
        <f>IF(OR($AD621="",$AD621="Z",$AD621="B"),"",INDEX($X$5:$X$404,$AC621))</f>
        <v/>
      </c>
      <c r="AJ621">
        <f>IF($AD621&lt;&gt;"T",0,ROUND(SUMIF(oil!$B$4:$B$63,$AF621,oil!$AE$4:$AE$63),2))</f>
        <v/>
      </c>
      <c r="AQ621">
        <f>IF(OR($AD621="",$AD621="Z"),"",INDEX($AN$5:$AN$404,$AC621))</f>
        <v/>
      </c>
      <c r="AZ621">
        <f>IF(AND($AD621="T",$AQ621=1),N($AZ620)+1,N($AZ620))</f>
        <v/>
      </c>
    </row>
    <row r="622" ht="21" customHeight="1" s="66">
      <c r="A622" s="69">
        <f>IF($AD622="","",IF($AD622="Z","รวมจ่ายทั้งสิ้น",IF($AD622="H",INDEX($X$5:$X$404,$AC622),IF($AD622="T","รวม",IF($AD622="B",IFERROR(INDEX(อัตราค่าขนส่ง!$S$5:$S$14,MATCH(INDEX($AM$5:$AM$404,$AC622),อัตราค่าขนส่ง!$R$5:$R$14,0)),"รวมกลุ่ม "&amp;INDEX($AM$5:$AM$404,$AC622)),INDEX($AY$5:$AY$404,$AC622))))))</f>
        <v/>
      </c>
      <c r="B622" s="31">
        <f>IF($AD622&lt;&gt;"D","",INDEX($AW$5:$AW$404,$AC622))</f>
        <v/>
      </c>
      <c r="C622" s="68">
        <f>IF($AD622&lt;&gt;"D","",INDEX($AX$5:$AX$404,$AC622))</f>
        <v/>
      </c>
      <c r="D622" s="70">
        <f>IF($AD622&lt;&gt;"D","",INDEX($BA$5:$BA$404,$AC622))</f>
        <v/>
      </c>
      <c r="E622" s="31">
        <f>IF($AD622="Z",SUM($AR$5:$AR$404),IF($AD622="D",INDEX($AR$5:$AR$404,$AC622),IF($AD622="T",SUMIF($X$5:$X$404,$AF622,$AR$5:$AR$404),IF($AD622="B",SUMIF($AN$5:$AN$404,$AQ622,$AR$5:$AR$404),""))))</f>
        <v/>
      </c>
      <c r="F622" s="32">
        <f>IF($AD622="Z",ROUND(SUM($AS$5:$AS$404),2),IF($AD622="D",INDEX($AS$5:$AS$404,$AC622),IF($AD622="T",ROUND(SUMIF($X$5:$X$404,$AF622,$AS$5:$AS$404),2),IF($AD622="B",ROUND(SUMIF($AN$5:$AN$404,$AQ622,$AS$5:$AS$404),2),""))))</f>
        <v/>
      </c>
      <c r="G622" s="32">
        <f>IF($AD622&lt;&gt;"D","",INDEX($AT$5:$AT$404,$AC622))</f>
        <v/>
      </c>
      <c r="H622" s="32">
        <f>IF($AD622&lt;&gt;"D","",INDEX($BC$5:$BC$404,$AC622))</f>
        <v/>
      </c>
      <c r="I622" s="32">
        <f>IF($AD622&lt;&gt;"D","",INDEX($BD$5:$BD$404,$AC622))</f>
        <v/>
      </c>
      <c r="J622" s="46">
        <f>IF($AD622&lt;&gt;"D","",IF(N($B622)=0,"",ROUND($I622/$B622,4)))</f>
        <v/>
      </c>
      <c r="K622" s="32">
        <f>IF($AD622="Z",ROUND(SUM($AU$5:$AU$404),2),IF($AD622="D",INDEX($AU$5:$AU$404,$AC622),IF($AD622="T",ROUND(SUMIF($X$5:$X$404,$AF622,$AU$5:$AU$404),2),IF($AD622="B",ROUND(SUMIF($AN$5:$AN$404,$AQ622,$AU$5:$AU$404),2),""))))</f>
        <v/>
      </c>
      <c r="L622" s="32">
        <f>IF($AD622="Z",ROUND(SUM($AV$5:$AV$404),2),IF($AD622="D",INDEX($AV$5:$AV$404,$AC622),IF($AD622="T",ROUND(SUMIF($X$5:$X$404,$AF622,$AV$5:$AV$404),2),IF($AD622="B",ROUND(SUMIF($AN$5:$AN$404,$AQ622,$AV$5:$AV$404),2),""))))</f>
        <v/>
      </c>
      <c r="M622" s="32">
        <f>IF($AD622="Z",ROUND(SUM($AJ$5:$AJ$704),2),IF($AD622="B",ROUND(SUMIF($AQ$5:$AQ$704,$AQ622,$AJ$5:$AJ$704),2),IF($AD622&lt;&gt;"T","",$AJ622)))</f>
        <v/>
      </c>
      <c r="N622" s="32">
        <f>IF(OR($AD622="D",$AD622="T",$AD622="B",$AD622="Z"),ROUND(N($K622)-N($L622)-N($M622),2),"")</f>
        <v/>
      </c>
      <c r="O622" s="32">
        <f>IF(OR($AD622="D",$AD622="T",$AD622="B",$AD622="Z"),IF(N($E622)=0,"",ROUND($F622/$E622,2)),"")</f>
        <v/>
      </c>
      <c r="AC622">
        <f>IFERROR(MATCH(618,$AB$5:$AB$404,1),"")</f>
        <v/>
      </c>
      <c r="AD622">
        <f>IF(618=$AI$1+1,"Z",IF($AC622="","",IF(INDEX($V$5:$V$404,$AC622)="","",IF(618&gt;INDEX($AB$5:$AB$404,$AC622)+INDEX($Z$5:$Z$404,$AC622)+INDEX($AA$5:$AA$404,$AC622)+INDEX($AO$5:$AO$404,$AC622),"",IF(618=INDEX($AB$5:$AB$404,$AC622)+INDEX($Z$5:$Z$404,$AC622),"D",IF(AND(INDEX($Z$5:$Z$404,$AC622)=1,618=INDEX($AB$5:$AB$404,$AC622)),"H",IF(AND(INDEX($AO$5:$AO$404,$AC622)=1,618=INDEX($AB$5:$AB$404,$AC622)+INDEX($Z$5:$Z$404,$AC622)+INDEX($AA$5:$AA$404,$AC622)+INDEX($AO$5:$AO$404,$AC622)),"B","T")))))))</f>
        <v/>
      </c>
      <c r="AF622">
        <f>IF(OR($AD622="",$AD622="Z",$AD622="B"),"",INDEX($X$5:$X$404,$AC622))</f>
        <v/>
      </c>
      <c r="AJ622">
        <f>IF($AD622&lt;&gt;"T",0,ROUND(SUMIF(oil!$B$4:$B$63,$AF622,oil!$AE$4:$AE$63),2))</f>
        <v/>
      </c>
      <c r="AQ622">
        <f>IF(OR($AD622="",$AD622="Z"),"",INDEX($AN$5:$AN$404,$AC622))</f>
        <v/>
      </c>
      <c r="AZ622">
        <f>IF(AND($AD622="T",$AQ622=1),N($AZ621)+1,N($AZ621))</f>
        <v/>
      </c>
    </row>
    <row r="623" ht="21" customHeight="1" s="66">
      <c r="A623" s="69">
        <f>IF($AD623="","",IF($AD623="Z","รวมจ่ายทั้งสิ้น",IF($AD623="H",INDEX($X$5:$X$404,$AC623),IF($AD623="T","รวม",IF($AD623="B",IFERROR(INDEX(อัตราค่าขนส่ง!$S$5:$S$14,MATCH(INDEX($AM$5:$AM$404,$AC623),อัตราค่าขนส่ง!$R$5:$R$14,0)),"รวมกลุ่ม "&amp;INDEX($AM$5:$AM$404,$AC623)),INDEX($AY$5:$AY$404,$AC623))))))</f>
        <v/>
      </c>
      <c r="B623" s="31">
        <f>IF($AD623&lt;&gt;"D","",INDEX($AW$5:$AW$404,$AC623))</f>
        <v/>
      </c>
      <c r="C623" s="68">
        <f>IF($AD623&lt;&gt;"D","",INDEX($AX$5:$AX$404,$AC623))</f>
        <v/>
      </c>
      <c r="D623" s="70">
        <f>IF($AD623&lt;&gt;"D","",INDEX($BA$5:$BA$404,$AC623))</f>
        <v/>
      </c>
      <c r="E623" s="31">
        <f>IF($AD623="Z",SUM($AR$5:$AR$404),IF($AD623="D",INDEX($AR$5:$AR$404,$AC623),IF($AD623="T",SUMIF($X$5:$X$404,$AF623,$AR$5:$AR$404),IF($AD623="B",SUMIF($AN$5:$AN$404,$AQ623,$AR$5:$AR$404),""))))</f>
        <v/>
      </c>
      <c r="F623" s="32">
        <f>IF($AD623="Z",ROUND(SUM($AS$5:$AS$404),2),IF($AD623="D",INDEX($AS$5:$AS$404,$AC623),IF($AD623="T",ROUND(SUMIF($X$5:$X$404,$AF623,$AS$5:$AS$404),2),IF($AD623="B",ROUND(SUMIF($AN$5:$AN$404,$AQ623,$AS$5:$AS$404),2),""))))</f>
        <v/>
      </c>
      <c r="G623" s="32">
        <f>IF($AD623&lt;&gt;"D","",INDEX($AT$5:$AT$404,$AC623))</f>
        <v/>
      </c>
      <c r="H623" s="32">
        <f>IF($AD623&lt;&gt;"D","",INDEX($BC$5:$BC$404,$AC623))</f>
        <v/>
      </c>
      <c r="I623" s="32">
        <f>IF($AD623&lt;&gt;"D","",INDEX($BD$5:$BD$404,$AC623))</f>
        <v/>
      </c>
      <c r="J623" s="46">
        <f>IF($AD623&lt;&gt;"D","",IF(N($B623)=0,"",ROUND($I623/$B623,4)))</f>
        <v/>
      </c>
      <c r="K623" s="32">
        <f>IF($AD623="Z",ROUND(SUM($AU$5:$AU$404),2),IF($AD623="D",INDEX($AU$5:$AU$404,$AC623),IF($AD623="T",ROUND(SUMIF($X$5:$X$404,$AF623,$AU$5:$AU$404),2),IF($AD623="B",ROUND(SUMIF($AN$5:$AN$404,$AQ623,$AU$5:$AU$404),2),""))))</f>
        <v/>
      </c>
      <c r="L623" s="32">
        <f>IF($AD623="Z",ROUND(SUM($AV$5:$AV$404),2),IF($AD623="D",INDEX($AV$5:$AV$404,$AC623),IF($AD623="T",ROUND(SUMIF($X$5:$X$404,$AF623,$AV$5:$AV$404),2),IF($AD623="B",ROUND(SUMIF($AN$5:$AN$404,$AQ623,$AV$5:$AV$404),2),""))))</f>
        <v/>
      </c>
      <c r="M623" s="32">
        <f>IF($AD623="Z",ROUND(SUM($AJ$5:$AJ$704),2),IF($AD623="B",ROUND(SUMIF($AQ$5:$AQ$704,$AQ623,$AJ$5:$AJ$704),2),IF($AD623&lt;&gt;"T","",$AJ623)))</f>
        <v/>
      </c>
      <c r="N623" s="32">
        <f>IF(OR($AD623="D",$AD623="T",$AD623="B",$AD623="Z"),ROUND(N($K623)-N($L623)-N($M623),2),"")</f>
        <v/>
      </c>
      <c r="O623" s="32">
        <f>IF(OR($AD623="D",$AD623="T",$AD623="B",$AD623="Z"),IF(N($E623)=0,"",ROUND($F623/$E623,2)),"")</f>
        <v/>
      </c>
      <c r="AC623">
        <f>IFERROR(MATCH(619,$AB$5:$AB$404,1),"")</f>
        <v/>
      </c>
      <c r="AD623">
        <f>IF(619=$AI$1+1,"Z",IF($AC623="","",IF(INDEX($V$5:$V$404,$AC623)="","",IF(619&gt;INDEX($AB$5:$AB$404,$AC623)+INDEX($Z$5:$Z$404,$AC623)+INDEX($AA$5:$AA$404,$AC623)+INDEX($AO$5:$AO$404,$AC623),"",IF(619=INDEX($AB$5:$AB$404,$AC623)+INDEX($Z$5:$Z$404,$AC623),"D",IF(AND(INDEX($Z$5:$Z$404,$AC623)=1,619=INDEX($AB$5:$AB$404,$AC623)),"H",IF(AND(INDEX($AO$5:$AO$404,$AC623)=1,619=INDEX($AB$5:$AB$404,$AC623)+INDEX($Z$5:$Z$404,$AC623)+INDEX($AA$5:$AA$404,$AC623)+INDEX($AO$5:$AO$404,$AC623)),"B","T")))))))</f>
        <v/>
      </c>
      <c r="AF623">
        <f>IF(OR($AD623="",$AD623="Z",$AD623="B"),"",INDEX($X$5:$X$404,$AC623))</f>
        <v/>
      </c>
      <c r="AJ623">
        <f>IF($AD623&lt;&gt;"T",0,ROUND(SUMIF(oil!$B$4:$B$63,$AF623,oil!$AE$4:$AE$63),2))</f>
        <v/>
      </c>
      <c r="AQ623">
        <f>IF(OR($AD623="",$AD623="Z"),"",INDEX($AN$5:$AN$404,$AC623))</f>
        <v/>
      </c>
      <c r="AZ623">
        <f>IF(AND($AD623="T",$AQ623=1),N($AZ622)+1,N($AZ622))</f>
        <v/>
      </c>
    </row>
    <row r="624" ht="21" customHeight="1" s="66">
      <c r="A624" s="69">
        <f>IF($AD624="","",IF($AD624="Z","รวมจ่ายทั้งสิ้น",IF($AD624="H",INDEX($X$5:$X$404,$AC624),IF($AD624="T","รวม",IF($AD624="B",IFERROR(INDEX(อัตราค่าขนส่ง!$S$5:$S$14,MATCH(INDEX($AM$5:$AM$404,$AC624),อัตราค่าขนส่ง!$R$5:$R$14,0)),"รวมกลุ่ม "&amp;INDEX($AM$5:$AM$404,$AC624)),INDEX($AY$5:$AY$404,$AC624))))))</f>
        <v/>
      </c>
      <c r="B624" s="31">
        <f>IF($AD624&lt;&gt;"D","",INDEX($AW$5:$AW$404,$AC624))</f>
        <v/>
      </c>
      <c r="C624" s="68">
        <f>IF($AD624&lt;&gt;"D","",INDEX($AX$5:$AX$404,$AC624))</f>
        <v/>
      </c>
      <c r="D624" s="70">
        <f>IF($AD624&lt;&gt;"D","",INDEX($BA$5:$BA$404,$AC624))</f>
        <v/>
      </c>
      <c r="E624" s="31">
        <f>IF($AD624="Z",SUM($AR$5:$AR$404),IF($AD624="D",INDEX($AR$5:$AR$404,$AC624),IF($AD624="T",SUMIF($X$5:$X$404,$AF624,$AR$5:$AR$404),IF($AD624="B",SUMIF($AN$5:$AN$404,$AQ624,$AR$5:$AR$404),""))))</f>
        <v/>
      </c>
      <c r="F624" s="32">
        <f>IF($AD624="Z",ROUND(SUM($AS$5:$AS$404),2),IF($AD624="D",INDEX($AS$5:$AS$404,$AC624),IF($AD624="T",ROUND(SUMIF($X$5:$X$404,$AF624,$AS$5:$AS$404),2),IF($AD624="B",ROUND(SUMIF($AN$5:$AN$404,$AQ624,$AS$5:$AS$404),2),""))))</f>
        <v/>
      </c>
      <c r="G624" s="32">
        <f>IF($AD624&lt;&gt;"D","",INDEX($AT$5:$AT$404,$AC624))</f>
        <v/>
      </c>
      <c r="H624" s="32">
        <f>IF($AD624&lt;&gt;"D","",INDEX($BC$5:$BC$404,$AC624))</f>
        <v/>
      </c>
      <c r="I624" s="32">
        <f>IF($AD624&lt;&gt;"D","",INDEX($BD$5:$BD$404,$AC624))</f>
        <v/>
      </c>
      <c r="J624" s="46">
        <f>IF($AD624&lt;&gt;"D","",IF(N($B624)=0,"",ROUND($I624/$B624,4)))</f>
        <v/>
      </c>
      <c r="K624" s="32">
        <f>IF($AD624="Z",ROUND(SUM($AU$5:$AU$404),2),IF($AD624="D",INDEX($AU$5:$AU$404,$AC624),IF($AD624="T",ROUND(SUMIF($X$5:$X$404,$AF624,$AU$5:$AU$404),2),IF($AD624="B",ROUND(SUMIF($AN$5:$AN$404,$AQ624,$AU$5:$AU$404),2),""))))</f>
        <v/>
      </c>
      <c r="L624" s="32">
        <f>IF($AD624="Z",ROUND(SUM($AV$5:$AV$404),2),IF($AD624="D",INDEX($AV$5:$AV$404,$AC624),IF($AD624="T",ROUND(SUMIF($X$5:$X$404,$AF624,$AV$5:$AV$404),2),IF($AD624="B",ROUND(SUMIF($AN$5:$AN$404,$AQ624,$AV$5:$AV$404),2),""))))</f>
        <v/>
      </c>
      <c r="M624" s="32">
        <f>IF($AD624="Z",ROUND(SUM($AJ$5:$AJ$704),2),IF($AD624="B",ROUND(SUMIF($AQ$5:$AQ$704,$AQ624,$AJ$5:$AJ$704),2),IF($AD624&lt;&gt;"T","",$AJ624)))</f>
        <v/>
      </c>
      <c r="N624" s="32">
        <f>IF(OR($AD624="D",$AD624="T",$AD624="B",$AD624="Z"),ROUND(N($K624)-N($L624)-N($M624),2),"")</f>
        <v/>
      </c>
      <c r="O624" s="32">
        <f>IF(OR($AD624="D",$AD624="T",$AD624="B",$AD624="Z"),IF(N($E624)=0,"",ROUND($F624/$E624,2)),"")</f>
        <v/>
      </c>
      <c r="AC624">
        <f>IFERROR(MATCH(620,$AB$5:$AB$404,1),"")</f>
        <v/>
      </c>
      <c r="AD624">
        <f>IF(620=$AI$1+1,"Z",IF($AC624="","",IF(INDEX($V$5:$V$404,$AC624)="","",IF(620&gt;INDEX($AB$5:$AB$404,$AC624)+INDEX($Z$5:$Z$404,$AC624)+INDEX($AA$5:$AA$404,$AC624)+INDEX($AO$5:$AO$404,$AC624),"",IF(620=INDEX($AB$5:$AB$404,$AC624)+INDEX($Z$5:$Z$404,$AC624),"D",IF(AND(INDEX($Z$5:$Z$404,$AC624)=1,620=INDEX($AB$5:$AB$404,$AC624)),"H",IF(AND(INDEX($AO$5:$AO$404,$AC624)=1,620=INDEX($AB$5:$AB$404,$AC624)+INDEX($Z$5:$Z$404,$AC624)+INDEX($AA$5:$AA$404,$AC624)+INDEX($AO$5:$AO$404,$AC624)),"B","T")))))))</f>
        <v/>
      </c>
      <c r="AF624">
        <f>IF(OR($AD624="",$AD624="Z",$AD624="B"),"",INDEX($X$5:$X$404,$AC624))</f>
        <v/>
      </c>
      <c r="AJ624">
        <f>IF($AD624&lt;&gt;"T",0,ROUND(SUMIF(oil!$B$4:$B$63,$AF624,oil!$AE$4:$AE$63),2))</f>
        <v/>
      </c>
      <c r="AQ624">
        <f>IF(OR($AD624="",$AD624="Z"),"",INDEX($AN$5:$AN$404,$AC624))</f>
        <v/>
      </c>
      <c r="AZ624">
        <f>IF(AND($AD624="T",$AQ624=1),N($AZ623)+1,N($AZ623))</f>
        <v/>
      </c>
    </row>
    <row r="625" ht="21" customHeight="1" s="66">
      <c r="A625" s="69">
        <f>IF($AD625="","",IF($AD625="Z","รวมจ่ายทั้งสิ้น",IF($AD625="H",INDEX($X$5:$X$404,$AC625),IF($AD625="T","รวม",IF($AD625="B",IFERROR(INDEX(อัตราค่าขนส่ง!$S$5:$S$14,MATCH(INDEX($AM$5:$AM$404,$AC625),อัตราค่าขนส่ง!$R$5:$R$14,0)),"รวมกลุ่ม "&amp;INDEX($AM$5:$AM$404,$AC625)),INDEX($AY$5:$AY$404,$AC625))))))</f>
        <v/>
      </c>
      <c r="B625" s="31">
        <f>IF($AD625&lt;&gt;"D","",INDEX($AW$5:$AW$404,$AC625))</f>
        <v/>
      </c>
      <c r="C625" s="68">
        <f>IF($AD625&lt;&gt;"D","",INDEX($AX$5:$AX$404,$AC625))</f>
        <v/>
      </c>
      <c r="D625" s="70">
        <f>IF($AD625&lt;&gt;"D","",INDEX($BA$5:$BA$404,$AC625))</f>
        <v/>
      </c>
      <c r="E625" s="31">
        <f>IF($AD625="Z",SUM($AR$5:$AR$404),IF($AD625="D",INDEX($AR$5:$AR$404,$AC625),IF($AD625="T",SUMIF($X$5:$X$404,$AF625,$AR$5:$AR$404),IF($AD625="B",SUMIF($AN$5:$AN$404,$AQ625,$AR$5:$AR$404),""))))</f>
        <v/>
      </c>
      <c r="F625" s="32">
        <f>IF($AD625="Z",ROUND(SUM($AS$5:$AS$404),2),IF($AD625="D",INDEX($AS$5:$AS$404,$AC625),IF($AD625="T",ROUND(SUMIF($X$5:$X$404,$AF625,$AS$5:$AS$404),2),IF($AD625="B",ROUND(SUMIF($AN$5:$AN$404,$AQ625,$AS$5:$AS$404),2),""))))</f>
        <v/>
      </c>
      <c r="G625" s="32">
        <f>IF($AD625&lt;&gt;"D","",INDEX($AT$5:$AT$404,$AC625))</f>
        <v/>
      </c>
      <c r="H625" s="32">
        <f>IF($AD625&lt;&gt;"D","",INDEX($BC$5:$BC$404,$AC625))</f>
        <v/>
      </c>
      <c r="I625" s="32">
        <f>IF($AD625&lt;&gt;"D","",INDEX($BD$5:$BD$404,$AC625))</f>
        <v/>
      </c>
      <c r="J625" s="46">
        <f>IF($AD625&lt;&gt;"D","",IF(N($B625)=0,"",ROUND($I625/$B625,4)))</f>
        <v/>
      </c>
      <c r="K625" s="32">
        <f>IF($AD625="Z",ROUND(SUM($AU$5:$AU$404),2),IF($AD625="D",INDEX($AU$5:$AU$404,$AC625),IF($AD625="T",ROUND(SUMIF($X$5:$X$404,$AF625,$AU$5:$AU$404),2),IF($AD625="B",ROUND(SUMIF($AN$5:$AN$404,$AQ625,$AU$5:$AU$404),2),""))))</f>
        <v/>
      </c>
      <c r="L625" s="32">
        <f>IF($AD625="Z",ROUND(SUM($AV$5:$AV$404),2),IF($AD625="D",INDEX($AV$5:$AV$404,$AC625),IF($AD625="T",ROUND(SUMIF($X$5:$X$404,$AF625,$AV$5:$AV$404),2),IF($AD625="B",ROUND(SUMIF($AN$5:$AN$404,$AQ625,$AV$5:$AV$404),2),""))))</f>
        <v/>
      </c>
      <c r="M625" s="32">
        <f>IF($AD625="Z",ROUND(SUM($AJ$5:$AJ$704),2),IF($AD625="B",ROUND(SUMIF($AQ$5:$AQ$704,$AQ625,$AJ$5:$AJ$704),2),IF($AD625&lt;&gt;"T","",$AJ625)))</f>
        <v/>
      </c>
      <c r="N625" s="32">
        <f>IF(OR($AD625="D",$AD625="T",$AD625="B",$AD625="Z"),ROUND(N($K625)-N($L625)-N($M625),2),"")</f>
        <v/>
      </c>
      <c r="O625" s="32">
        <f>IF(OR($AD625="D",$AD625="T",$AD625="B",$AD625="Z"),IF(N($E625)=0,"",ROUND($F625/$E625,2)),"")</f>
        <v/>
      </c>
      <c r="AC625">
        <f>IFERROR(MATCH(621,$AB$5:$AB$404,1),"")</f>
        <v/>
      </c>
      <c r="AD625">
        <f>IF(621=$AI$1+1,"Z",IF($AC625="","",IF(INDEX($V$5:$V$404,$AC625)="","",IF(621&gt;INDEX($AB$5:$AB$404,$AC625)+INDEX($Z$5:$Z$404,$AC625)+INDEX($AA$5:$AA$404,$AC625)+INDEX($AO$5:$AO$404,$AC625),"",IF(621=INDEX($AB$5:$AB$404,$AC625)+INDEX($Z$5:$Z$404,$AC625),"D",IF(AND(INDEX($Z$5:$Z$404,$AC625)=1,621=INDEX($AB$5:$AB$404,$AC625)),"H",IF(AND(INDEX($AO$5:$AO$404,$AC625)=1,621=INDEX($AB$5:$AB$404,$AC625)+INDEX($Z$5:$Z$404,$AC625)+INDEX($AA$5:$AA$404,$AC625)+INDEX($AO$5:$AO$404,$AC625)),"B","T")))))))</f>
        <v/>
      </c>
      <c r="AF625">
        <f>IF(OR($AD625="",$AD625="Z",$AD625="B"),"",INDEX($X$5:$X$404,$AC625))</f>
        <v/>
      </c>
      <c r="AJ625">
        <f>IF($AD625&lt;&gt;"T",0,ROUND(SUMIF(oil!$B$4:$B$63,$AF625,oil!$AE$4:$AE$63),2))</f>
        <v/>
      </c>
      <c r="AQ625">
        <f>IF(OR($AD625="",$AD625="Z"),"",INDEX($AN$5:$AN$404,$AC625))</f>
        <v/>
      </c>
      <c r="AZ625">
        <f>IF(AND($AD625="T",$AQ625=1),N($AZ624)+1,N($AZ624))</f>
        <v/>
      </c>
    </row>
    <row r="626" ht="21" customHeight="1" s="66">
      <c r="A626" s="69">
        <f>IF($AD626="","",IF($AD626="Z","รวมจ่ายทั้งสิ้น",IF($AD626="H",INDEX($X$5:$X$404,$AC626),IF($AD626="T","รวม",IF($AD626="B",IFERROR(INDEX(อัตราค่าขนส่ง!$S$5:$S$14,MATCH(INDEX($AM$5:$AM$404,$AC626),อัตราค่าขนส่ง!$R$5:$R$14,0)),"รวมกลุ่ม "&amp;INDEX($AM$5:$AM$404,$AC626)),INDEX($AY$5:$AY$404,$AC626))))))</f>
        <v/>
      </c>
      <c r="B626" s="31">
        <f>IF($AD626&lt;&gt;"D","",INDEX($AW$5:$AW$404,$AC626))</f>
        <v/>
      </c>
      <c r="C626" s="68">
        <f>IF($AD626&lt;&gt;"D","",INDEX($AX$5:$AX$404,$AC626))</f>
        <v/>
      </c>
      <c r="D626" s="70">
        <f>IF($AD626&lt;&gt;"D","",INDEX($BA$5:$BA$404,$AC626))</f>
        <v/>
      </c>
      <c r="E626" s="31">
        <f>IF($AD626="Z",SUM($AR$5:$AR$404),IF($AD626="D",INDEX($AR$5:$AR$404,$AC626),IF($AD626="T",SUMIF($X$5:$X$404,$AF626,$AR$5:$AR$404),IF($AD626="B",SUMIF($AN$5:$AN$404,$AQ626,$AR$5:$AR$404),""))))</f>
        <v/>
      </c>
      <c r="F626" s="32">
        <f>IF($AD626="Z",ROUND(SUM($AS$5:$AS$404),2),IF($AD626="D",INDEX($AS$5:$AS$404,$AC626),IF($AD626="T",ROUND(SUMIF($X$5:$X$404,$AF626,$AS$5:$AS$404),2),IF($AD626="B",ROUND(SUMIF($AN$5:$AN$404,$AQ626,$AS$5:$AS$404),2),""))))</f>
        <v/>
      </c>
      <c r="G626" s="32">
        <f>IF($AD626&lt;&gt;"D","",INDEX($AT$5:$AT$404,$AC626))</f>
        <v/>
      </c>
      <c r="H626" s="32">
        <f>IF($AD626&lt;&gt;"D","",INDEX($BC$5:$BC$404,$AC626))</f>
        <v/>
      </c>
      <c r="I626" s="32">
        <f>IF($AD626&lt;&gt;"D","",INDEX($BD$5:$BD$404,$AC626))</f>
        <v/>
      </c>
      <c r="J626" s="46">
        <f>IF($AD626&lt;&gt;"D","",IF(N($B626)=0,"",ROUND($I626/$B626,4)))</f>
        <v/>
      </c>
      <c r="K626" s="32">
        <f>IF($AD626="Z",ROUND(SUM($AU$5:$AU$404),2),IF($AD626="D",INDEX($AU$5:$AU$404,$AC626),IF($AD626="T",ROUND(SUMIF($X$5:$X$404,$AF626,$AU$5:$AU$404),2),IF($AD626="B",ROUND(SUMIF($AN$5:$AN$404,$AQ626,$AU$5:$AU$404),2),""))))</f>
        <v/>
      </c>
      <c r="L626" s="32">
        <f>IF($AD626="Z",ROUND(SUM($AV$5:$AV$404),2),IF($AD626="D",INDEX($AV$5:$AV$404,$AC626),IF($AD626="T",ROUND(SUMIF($X$5:$X$404,$AF626,$AV$5:$AV$404),2),IF($AD626="B",ROUND(SUMIF($AN$5:$AN$404,$AQ626,$AV$5:$AV$404),2),""))))</f>
        <v/>
      </c>
      <c r="M626" s="32">
        <f>IF($AD626="Z",ROUND(SUM($AJ$5:$AJ$704),2),IF($AD626="B",ROUND(SUMIF($AQ$5:$AQ$704,$AQ626,$AJ$5:$AJ$704),2),IF($AD626&lt;&gt;"T","",$AJ626)))</f>
        <v/>
      </c>
      <c r="N626" s="32">
        <f>IF(OR($AD626="D",$AD626="T",$AD626="B",$AD626="Z"),ROUND(N($K626)-N($L626)-N($M626),2),"")</f>
        <v/>
      </c>
      <c r="O626" s="32">
        <f>IF(OR($AD626="D",$AD626="T",$AD626="B",$AD626="Z"),IF(N($E626)=0,"",ROUND($F626/$E626,2)),"")</f>
        <v/>
      </c>
      <c r="AC626">
        <f>IFERROR(MATCH(622,$AB$5:$AB$404,1),"")</f>
        <v/>
      </c>
      <c r="AD626">
        <f>IF(622=$AI$1+1,"Z",IF($AC626="","",IF(INDEX($V$5:$V$404,$AC626)="","",IF(622&gt;INDEX($AB$5:$AB$404,$AC626)+INDEX($Z$5:$Z$404,$AC626)+INDEX($AA$5:$AA$404,$AC626)+INDEX($AO$5:$AO$404,$AC626),"",IF(622=INDEX($AB$5:$AB$404,$AC626)+INDEX($Z$5:$Z$404,$AC626),"D",IF(AND(INDEX($Z$5:$Z$404,$AC626)=1,622=INDEX($AB$5:$AB$404,$AC626)),"H",IF(AND(INDEX($AO$5:$AO$404,$AC626)=1,622=INDEX($AB$5:$AB$404,$AC626)+INDEX($Z$5:$Z$404,$AC626)+INDEX($AA$5:$AA$404,$AC626)+INDEX($AO$5:$AO$404,$AC626)),"B","T")))))))</f>
        <v/>
      </c>
      <c r="AF626">
        <f>IF(OR($AD626="",$AD626="Z",$AD626="B"),"",INDEX($X$5:$X$404,$AC626))</f>
        <v/>
      </c>
      <c r="AJ626">
        <f>IF($AD626&lt;&gt;"T",0,ROUND(SUMIF(oil!$B$4:$B$63,$AF626,oil!$AE$4:$AE$63),2))</f>
        <v/>
      </c>
      <c r="AQ626">
        <f>IF(OR($AD626="",$AD626="Z"),"",INDEX($AN$5:$AN$404,$AC626))</f>
        <v/>
      </c>
      <c r="AZ626">
        <f>IF(AND($AD626="T",$AQ626=1),N($AZ625)+1,N($AZ625))</f>
        <v/>
      </c>
    </row>
    <row r="627" ht="21" customHeight="1" s="66">
      <c r="A627" s="69">
        <f>IF($AD627="","",IF($AD627="Z","รวมจ่ายทั้งสิ้น",IF($AD627="H",INDEX($X$5:$X$404,$AC627),IF($AD627="T","รวม",IF($AD627="B",IFERROR(INDEX(อัตราค่าขนส่ง!$S$5:$S$14,MATCH(INDEX($AM$5:$AM$404,$AC627),อัตราค่าขนส่ง!$R$5:$R$14,0)),"รวมกลุ่ม "&amp;INDEX($AM$5:$AM$404,$AC627)),INDEX($AY$5:$AY$404,$AC627))))))</f>
        <v/>
      </c>
      <c r="B627" s="31">
        <f>IF($AD627&lt;&gt;"D","",INDEX($AW$5:$AW$404,$AC627))</f>
        <v/>
      </c>
      <c r="C627" s="68">
        <f>IF($AD627&lt;&gt;"D","",INDEX($AX$5:$AX$404,$AC627))</f>
        <v/>
      </c>
      <c r="D627" s="70">
        <f>IF($AD627&lt;&gt;"D","",INDEX($BA$5:$BA$404,$AC627))</f>
        <v/>
      </c>
      <c r="E627" s="31">
        <f>IF($AD627="Z",SUM($AR$5:$AR$404),IF($AD627="D",INDEX($AR$5:$AR$404,$AC627),IF($AD627="T",SUMIF($X$5:$X$404,$AF627,$AR$5:$AR$404),IF($AD627="B",SUMIF($AN$5:$AN$404,$AQ627,$AR$5:$AR$404),""))))</f>
        <v/>
      </c>
      <c r="F627" s="32">
        <f>IF($AD627="Z",ROUND(SUM($AS$5:$AS$404),2),IF($AD627="D",INDEX($AS$5:$AS$404,$AC627),IF($AD627="T",ROUND(SUMIF($X$5:$X$404,$AF627,$AS$5:$AS$404),2),IF($AD627="B",ROUND(SUMIF($AN$5:$AN$404,$AQ627,$AS$5:$AS$404),2),""))))</f>
        <v/>
      </c>
      <c r="G627" s="32">
        <f>IF($AD627&lt;&gt;"D","",INDEX($AT$5:$AT$404,$AC627))</f>
        <v/>
      </c>
      <c r="H627" s="32">
        <f>IF($AD627&lt;&gt;"D","",INDEX($BC$5:$BC$404,$AC627))</f>
        <v/>
      </c>
      <c r="I627" s="32">
        <f>IF($AD627&lt;&gt;"D","",INDEX($BD$5:$BD$404,$AC627))</f>
        <v/>
      </c>
      <c r="J627" s="46">
        <f>IF($AD627&lt;&gt;"D","",IF(N($B627)=0,"",ROUND($I627/$B627,4)))</f>
        <v/>
      </c>
      <c r="K627" s="32">
        <f>IF($AD627="Z",ROUND(SUM($AU$5:$AU$404),2),IF($AD627="D",INDEX($AU$5:$AU$404,$AC627),IF($AD627="T",ROUND(SUMIF($X$5:$X$404,$AF627,$AU$5:$AU$404),2),IF($AD627="B",ROUND(SUMIF($AN$5:$AN$404,$AQ627,$AU$5:$AU$404),2),""))))</f>
        <v/>
      </c>
      <c r="L627" s="32">
        <f>IF($AD627="Z",ROUND(SUM($AV$5:$AV$404),2),IF($AD627="D",INDEX($AV$5:$AV$404,$AC627),IF($AD627="T",ROUND(SUMIF($X$5:$X$404,$AF627,$AV$5:$AV$404),2),IF($AD627="B",ROUND(SUMIF($AN$5:$AN$404,$AQ627,$AV$5:$AV$404),2),""))))</f>
        <v/>
      </c>
      <c r="M627" s="32">
        <f>IF($AD627="Z",ROUND(SUM($AJ$5:$AJ$704),2),IF($AD627="B",ROUND(SUMIF($AQ$5:$AQ$704,$AQ627,$AJ$5:$AJ$704),2),IF($AD627&lt;&gt;"T","",$AJ627)))</f>
        <v/>
      </c>
      <c r="N627" s="32">
        <f>IF(OR($AD627="D",$AD627="T",$AD627="B",$AD627="Z"),ROUND(N($K627)-N($L627)-N($M627),2),"")</f>
        <v/>
      </c>
      <c r="O627" s="32">
        <f>IF(OR($AD627="D",$AD627="T",$AD627="B",$AD627="Z"),IF(N($E627)=0,"",ROUND($F627/$E627,2)),"")</f>
        <v/>
      </c>
      <c r="AC627">
        <f>IFERROR(MATCH(623,$AB$5:$AB$404,1),"")</f>
        <v/>
      </c>
      <c r="AD627">
        <f>IF(623=$AI$1+1,"Z",IF($AC627="","",IF(INDEX($V$5:$V$404,$AC627)="","",IF(623&gt;INDEX($AB$5:$AB$404,$AC627)+INDEX($Z$5:$Z$404,$AC627)+INDEX($AA$5:$AA$404,$AC627)+INDEX($AO$5:$AO$404,$AC627),"",IF(623=INDEX($AB$5:$AB$404,$AC627)+INDEX($Z$5:$Z$404,$AC627),"D",IF(AND(INDEX($Z$5:$Z$404,$AC627)=1,623=INDEX($AB$5:$AB$404,$AC627)),"H",IF(AND(INDEX($AO$5:$AO$404,$AC627)=1,623=INDEX($AB$5:$AB$404,$AC627)+INDEX($Z$5:$Z$404,$AC627)+INDEX($AA$5:$AA$404,$AC627)+INDEX($AO$5:$AO$404,$AC627)),"B","T")))))))</f>
        <v/>
      </c>
      <c r="AF627">
        <f>IF(OR($AD627="",$AD627="Z",$AD627="B"),"",INDEX($X$5:$X$404,$AC627))</f>
        <v/>
      </c>
      <c r="AJ627">
        <f>IF($AD627&lt;&gt;"T",0,ROUND(SUMIF(oil!$B$4:$B$63,$AF627,oil!$AE$4:$AE$63),2))</f>
        <v/>
      </c>
      <c r="AQ627">
        <f>IF(OR($AD627="",$AD627="Z"),"",INDEX($AN$5:$AN$404,$AC627))</f>
        <v/>
      </c>
      <c r="AZ627">
        <f>IF(AND($AD627="T",$AQ627=1),N($AZ626)+1,N($AZ626))</f>
        <v/>
      </c>
    </row>
    <row r="628" ht="21" customHeight="1" s="66">
      <c r="A628" s="69">
        <f>IF($AD628="","",IF($AD628="Z","รวมจ่ายทั้งสิ้น",IF($AD628="H",INDEX($X$5:$X$404,$AC628),IF($AD628="T","รวม",IF($AD628="B",IFERROR(INDEX(อัตราค่าขนส่ง!$S$5:$S$14,MATCH(INDEX($AM$5:$AM$404,$AC628),อัตราค่าขนส่ง!$R$5:$R$14,0)),"รวมกลุ่ม "&amp;INDEX($AM$5:$AM$404,$AC628)),INDEX($AY$5:$AY$404,$AC628))))))</f>
        <v/>
      </c>
      <c r="B628" s="31">
        <f>IF($AD628&lt;&gt;"D","",INDEX($AW$5:$AW$404,$AC628))</f>
        <v/>
      </c>
      <c r="C628" s="68">
        <f>IF($AD628&lt;&gt;"D","",INDEX($AX$5:$AX$404,$AC628))</f>
        <v/>
      </c>
      <c r="D628" s="70">
        <f>IF($AD628&lt;&gt;"D","",INDEX($BA$5:$BA$404,$AC628))</f>
        <v/>
      </c>
      <c r="E628" s="31">
        <f>IF($AD628="Z",SUM($AR$5:$AR$404),IF($AD628="D",INDEX($AR$5:$AR$404,$AC628),IF($AD628="T",SUMIF($X$5:$X$404,$AF628,$AR$5:$AR$404),IF($AD628="B",SUMIF($AN$5:$AN$404,$AQ628,$AR$5:$AR$404),""))))</f>
        <v/>
      </c>
      <c r="F628" s="32">
        <f>IF($AD628="Z",ROUND(SUM($AS$5:$AS$404),2),IF($AD628="D",INDEX($AS$5:$AS$404,$AC628),IF($AD628="T",ROUND(SUMIF($X$5:$X$404,$AF628,$AS$5:$AS$404),2),IF($AD628="B",ROUND(SUMIF($AN$5:$AN$404,$AQ628,$AS$5:$AS$404),2),""))))</f>
        <v/>
      </c>
      <c r="G628" s="32">
        <f>IF($AD628&lt;&gt;"D","",INDEX($AT$5:$AT$404,$AC628))</f>
        <v/>
      </c>
      <c r="H628" s="32">
        <f>IF($AD628&lt;&gt;"D","",INDEX($BC$5:$BC$404,$AC628))</f>
        <v/>
      </c>
      <c r="I628" s="32">
        <f>IF($AD628&lt;&gt;"D","",INDEX($BD$5:$BD$404,$AC628))</f>
        <v/>
      </c>
      <c r="J628" s="46">
        <f>IF($AD628&lt;&gt;"D","",IF(N($B628)=0,"",ROUND($I628/$B628,4)))</f>
        <v/>
      </c>
      <c r="K628" s="32">
        <f>IF($AD628="Z",ROUND(SUM($AU$5:$AU$404),2),IF($AD628="D",INDEX($AU$5:$AU$404,$AC628),IF($AD628="T",ROUND(SUMIF($X$5:$X$404,$AF628,$AU$5:$AU$404),2),IF($AD628="B",ROUND(SUMIF($AN$5:$AN$404,$AQ628,$AU$5:$AU$404),2),""))))</f>
        <v/>
      </c>
      <c r="L628" s="32">
        <f>IF($AD628="Z",ROUND(SUM($AV$5:$AV$404),2),IF($AD628="D",INDEX($AV$5:$AV$404,$AC628),IF($AD628="T",ROUND(SUMIF($X$5:$X$404,$AF628,$AV$5:$AV$404),2),IF($AD628="B",ROUND(SUMIF($AN$5:$AN$404,$AQ628,$AV$5:$AV$404),2),""))))</f>
        <v/>
      </c>
      <c r="M628" s="32">
        <f>IF($AD628="Z",ROUND(SUM($AJ$5:$AJ$704),2),IF($AD628="B",ROUND(SUMIF($AQ$5:$AQ$704,$AQ628,$AJ$5:$AJ$704),2),IF($AD628&lt;&gt;"T","",$AJ628)))</f>
        <v/>
      </c>
      <c r="N628" s="32">
        <f>IF(OR($AD628="D",$AD628="T",$AD628="B",$AD628="Z"),ROUND(N($K628)-N($L628)-N($M628),2),"")</f>
        <v/>
      </c>
      <c r="O628" s="32">
        <f>IF(OR($AD628="D",$AD628="T",$AD628="B",$AD628="Z"),IF(N($E628)=0,"",ROUND($F628/$E628,2)),"")</f>
        <v/>
      </c>
      <c r="AC628">
        <f>IFERROR(MATCH(624,$AB$5:$AB$404,1),"")</f>
        <v/>
      </c>
      <c r="AD628">
        <f>IF(624=$AI$1+1,"Z",IF($AC628="","",IF(INDEX($V$5:$V$404,$AC628)="","",IF(624&gt;INDEX($AB$5:$AB$404,$AC628)+INDEX($Z$5:$Z$404,$AC628)+INDEX($AA$5:$AA$404,$AC628)+INDEX($AO$5:$AO$404,$AC628),"",IF(624=INDEX($AB$5:$AB$404,$AC628)+INDEX($Z$5:$Z$404,$AC628),"D",IF(AND(INDEX($Z$5:$Z$404,$AC628)=1,624=INDEX($AB$5:$AB$404,$AC628)),"H",IF(AND(INDEX($AO$5:$AO$404,$AC628)=1,624=INDEX($AB$5:$AB$404,$AC628)+INDEX($Z$5:$Z$404,$AC628)+INDEX($AA$5:$AA$404,$AC628)+INDEX($AO$5:$AO$404,$AC628)),"B","T")))))))</f>
        <v/>
      </c>
      <c r="AF628">
        <f>IF(OR($AD628="",$AD628="Z",$AD628="B"),"",INDEX($X$5:$X$404,$AC628))</f>
        <v/>
      </c>
      <c r="AJ628">
        <f>IF($AD628&lt;&gt;"T",0,ROUND(SUMIF(oil!$B$4:$B$63,$AF628,oil!$AE$4:$AE$63),2))</f>
        <v/>
      </c>
      <c r="AQ628">
        <f>IF(OR($AD628="",$AD628="Z"),"",INDEX($AN$5:$AN$404,$AC628))</f>
        <v/>
      </c>
      <c r="AZ628">
        <f>IF(AND($AD628="T",$AQ628=1),N($AZ627)+1,N($AZ627))</f>
        <v/>
      </c>
    </row>
    <row r="629" ht="21" customHeight="1" s="66">
      <c r="A629" s="69">
        <f>IF($AD629="","",IF($AD629="Z","รวมจ่ายทั้งสิ้น",IF($AD629="H",INDEX($X$5:$X$404,$AC629),IF($AD629="T","รวม",IF($AD629="B",IFERROR(INDEX(อัตราค่าขนส่ง!$S$5:$S$14,MATCH(INDEX($AM$5:$AM$404,$AC629),อัตราค่าขนส่ง!$R$5:$R$14,0)),"รวมกลุ่ม "&amp;INDEX($AM$5:$AM$404,$AC629)),INDEX($AY$5:$AY$404,$AC629))))))</f>
        <v/>
      </c>
      <c r="B629" s="31">
        <f>IF($AD629&lt;&gt;"D","",INDEX($AW$5:$AW$404,$AC629))</f>
        <v/>
      </c>
      <c r="C629" s="68">
        <f>IF($AD629&lt;&gt;"D","",INDEX($AX$5:$AX$404,$AC629))</f>
        <v/>
      </c>
      <c r="D629" s="70">
        <f>IF($AD629&lt;&gt;"D","",INDEX($BA$5:$BA$404,$AC629))</f>
        <v/>
      </c>
      <c r="E629" s="31">
        <f>IF($AD629="Z",SUM($AR$5:$AR$404),IF($AD629="D",INDEX($AR$5:$AR$404,$AC629),IF($AD629="T",SUMIF($X$5:$X$404,$AF629,$AR$5:$AR$404),IF($AD629="B",SUMIF($AN$5:$AN$404,$AQ629,$AR$5:$AR$404),""))))</f>
        <v/>
      </c>
      <c r="F629" s="32">
        <f>IF($AD629="Z",ROUND(SUM($AS$5:$AS$404),2),IF($AD629="D",INDEX($AS$5:$AS$404,$AC629),IF($AD629="T",ROUND(SUMIF($X$5:$X$404,$AF629,$AS$5:$AS$404),2),IF($AD629="B",ROUND(SUMIF($AN$5:$AN$404,$AQ629,$AS$5:$AS$404),2),""))))</f>
        <v/>
      </c>
      <c r="G629" s="32">
        <f>IF($AD629&lt;&gt;"D","",INDEX($AT$5:$AT$404,$AC629))</f>
        <v/>
      </c>
      <c r="H629" s="32">
        <f>IF($AD629&lt;&gt;"D","",INDEX($BC$5:$BC$404,$AC629))</f>
        <v/>
      </c>
      <c r="I629" s="32">
        <f>IF($AD629&lt;&gt;"D","",INDEX($BD$5:$BD$404,$AC629))</f>
        <v/>
      </c>
      <c r="J629" s="46">
        <f>IF($AD629&lt;&gt;"D","",IF(N($B629)=0,"",ROUND($I629/$B629,4)))</f>
        <v/>
      </c>
      <c r="K629" s="32">
        <f>IF($AD629="Z",ROUND(SUM($AU$5:$AU$404),2),IF($AD629="D",INDEX($AU$5:$AU$404,$AC629),IF($AD629="T",ROUND(SUMIF($X$5:$X$404,$AF629,$AU$5:$AU$404),2),IF($AD629="B",ROUND(SUMIF($AN$5:$AN$404,$AQ629,$AU$5:$AU$404),2),""))))</f>
        <v/>
      </c>
      <c r="L629" s="32">
        <f>IF($AD629="Z",ROUND(SUM($AV$5:$AV$404),2),IF($AD629="D",INDEX($AV$5:$AV$404,$AC629),IF($AD629="T",ROUND(SUMIF($X$5:$X$404,$AF629,$AV$5:$AV$404),2),IF($AD629="B",ROUND(SUMIF($AN$5:$AN$404,$AQ629,$AV$5:$AV$404),2),""))))</f>
        <v/>
      </c>
      <c r="M629" s="32">
        <f>IF($AD629="Z",ROUND(SUM($AJ$5:$AJ$704),2),IF($AD629="B",ROUND(SUMIF($AQ$5:$AQ$704,$AQ629,$AJ$5:$AJ$704),2),IF($AD629&lt;&gt;"T","",$AJ629)))</f>
        <v/>
      </c>
      <c r="N629" s="32">
        <f>IF(OR($AD629="D",$AD629="T",$AD629="B",$AD629="Z"),ROUND(N($K629)-N($L629)-N($M629),2),"")</f>
        <v/>
      </c>
      <c r="O629" s="32">
        <f>IF(OR($AD629="D",$AD629="T",$AD629="B",$AD629="Z"),IF(N($E629)=0,"",ROUND($F629/$E629,2)),"")</f>
        <v/>
      </c>
      <c r="AC629">
        <f>IFERROR(MATCH(625,$AB$5:$AB$404,1),"")</f>
        <v/>
      </c>
      <c r="AD629">
        <f>IF(625=$AI$1+1,"Z",IF($AC629="","",IF(INDEX($V$5:$V$404,$AC629)="","",IF(625&gt;INDEX($AB$5:$AB$404,$AC629)+INDEX($Z$5:$Z$404,$AC629)+INDEX($AA$5:$AA$404,$AC629)+INDEX($AO$5:$AO$404,$AC629),"",IF(625=INDEX($AB$5:$AB$404,$AC629)+INDEX($Z$5:$Z$404,$AC629),"D",IF(AND(INDEX($Z$5:$Z$404,$AC629)=1,625=INDEX($AB$5:$AB$404,$AC629)),"H",IF(AND(INDEX($AO$5:$AO$404,$AC629)=1,625=INDEX($AB$5:$AB$404,$AC629)+INDEX($Z$5:$Z$404,$AC629)+INDEX($AA$5:$AA$404,$AC629)+INDEX($AO$5:$AO$404,$AC629)),"B","T")))))))</f>
        <v/>
      </c>
      <c r="AF629">
        <f>IF(OR($AD629="",$AD629="Z",$AD629="B"),"",INDEX($X$5:$X$404,$AC629))</f>
        <v/>
      </c>
      <c r="AJ629">
        <f>IF($AD629&lt;&gt;"T",0,ROUND(SUMIF(oil!$B$4:$B$63,$AF629,oil!$AE$4:$AE$63),2))</f>
        <v/>
      </c>
      <c r="AQ629">
        <f>IF(OR($AD629="",$AD629="Z"),"",INDEX($AN$5:$AN$404,$AC629))</f>
        <v/>
      </c>
      <c r="AZ629">
        <f>IF(AND($AD629="T",$AQ629=1),N($AZ628)+1,N($AZ628))</f>
        <v/>
      </c>
    </row>
    <row r="630" ht="21" customHeight="1" s="66">
      <c r="A630" s="69">
        <f>IF($AD630="","",IF($AD630="Z","รวมจ่ายทั้งสิ้น",IF($AD630="H",INDEX($X$5:$X$404,$AC630),IF($AD630="T","รวม",IF($AD630="B",IFERROR(INDEX(อัตราค่าขนส่ง!$S$5:$S$14,MATCH(INDEX($AM$5:$AM$404,$AC630),อัตราค่าขนส่ง!$R$5:$R$14,0)),"รวมกลุ่ม "&amp;INDEX($AM$5:$AM$404,$AC630)),INDEX($AY$5:$AY$404,$AC630))))))</f>
        <v/>
      </c>
      <c r="B630" s="31">
        <f>IF($AD630&lt;&gt;"D","",INDEX($AW$5:$AW$404,$AC630))</f>
        <v/>
      </c>
      <c r="C630" s="68">
        <f>IF($AD630&lt;&gt;"D","",INDEX($AX$5:$AX$404,$AC630))</f>
        <v/>
      </c>
      <c r="D630" s="70">
        <f>IF($AD630&lt;&gt;"D","",INDEX($BA$5:$BA$404,$AC630))</f>
        <v/>
      </c>
      <c r="E630" s="31">
        <f>IF($AD630="Z",SUM($AR$5:$AR$404),IF($AD630="D",INDEX($AR$5:$AR$404,$AC630),IF($AD630="T",SUMIF($X$5:$X$404,$AF630,$AR$5:$AR$404),IF($AD630="B",SUMIF($AN$5:$AN$404,$AQ630,$AR$5:$AR$404),""))))</f>
        <v/>
      </c>
      <c r="F630" s="32">
        <f>IF($AD630="Z",ROUND(SUM($AS$5:$AS$404),2),IF($AD630="D",INDEX($AS$5:$AS$404,$AC630),IF($AD630="T",ROUND(SUMIF($X$5:$X$404,$AF630,$AS$5:$AS$404),2),IF($AD630="B",ROUND(SUMIF($AN$5:$AN$404,$AQ630,$AS$5:$AS$404),2),""))))</f>
        <v/>
      </c>
      <c r="G630" s="32">
        <f>IF($AD630&lt;&gt;"D","",INDEX($AT$5:$AT$404,$AC630))</f>
        <v/>
      </c>
      <c r="H630" s="32">
        <f>IF($AD630&lt;&gt;"D","",INDEX($BC$5:$BC$404,$AC630))</f>
        <v/>
      </c>
      <c r="I630" s="32">
        <f>IF($AD630&lt;&gt;"D","",INDEX($BD$5:$BD$404,$AC630))</f>
        <v/>
      </c>
      <c r="J630" s="46">
        <f>IF($AD630&lt;&gt;"D","",IF(N($B630)=0,"",ROUND($I630/$B630,4)))</f>
        <v/>
      </c>
      <c r="K630" s="32">
        <f>IF($AD630="Z",ROUND(SUM($AU$5:$AU$404),2),IF($AD630="D",INDEX($AU$5:$AU$404,$AC630),IF($AD630="T",ROUND(SUMIF($X$5:$X$404,$AF630,$AU$5:$AU$404),2),IF($AD630="B",ROUND(SUMIF($AN$5:$AN$404,$AQ630,$AU$5:$AU$404),2),""))))</f>
        <v/>
      </c>
      <c r="L630" s="32">
        <f>IF($AD630="Z",ROUND(SUM($AV$5:$AV$404),2),IF($AD630="D",INDEX($AV$5:$AV$404,$AC630),IF($AD630="T",ROUND(SUMIF($X$5:$X$404,$AF630,$AV$5:$AV$404),2),IF($AD630="B",ROUND(SUMIF($AN$5:$AN$404,$AQ630,$AV$5:$AV$404),2),""))))</f>
        <v/>
      </c>
      <c r="M630" s="32">
        <f>IF($AD630="Z",ROUND(SUM($AJ$5:$AJ$704),2),IF($AD630="B",ROUND(SUMIF($AQ$5:$AQ$704,$AQ630,$AJ$5:$AJ$704),2),IF($AD630&lt;&gt;"T","",$AJ630)))</f>
        <v/>
      </c>
      <c r="N630" s="32">
        <f>IF(OR($AD630="D",$AD630="T",$AD630="B",$AD630="Z"),ROUND(N($K630)-N($L630)-N($M630),2),"")</f>
        <v/>
      </c>
      <c r="O630" s="32">
        <f>IF(OR($AD630="D",$AD630="T",$AD630="B",$AD630="Z"),IF(N($E630)=0,"",ROUND($F630/$E630,2)),"")</f>
        <v/>
      </c>
      <c r="AC630">
        <f>IFERROR(MATCH(626,$AB$5:$AB$404,1),"")</f>
        <v/>
      </c>
      <c r="AD630">
        <f>IF(626=$AI$1+1,"Z",IF($AC630="","",IF(INDEX($V$5:$V$404,$AC630)="","",IF(626&gt;INDEX($AB$5:$AB$404,$AC630)+INDEX($Z$5:$Z$404,$AC630)+INDEX($AA$5:$AA$404,$AC630)+INDEX($AO$5:$AO$404,$AC630),"",IF(626=INDEX($AB$5:$AB$404,$AC630)+INDEX($Z$5:$Z$404,$AC630),"D",IF(AND(INDEX($Z$5:$Z$404,$AC630)=1,626=INDEX($AB$5:$AB$404,$AC630)),"H",IF(AND(INDEX($AO$5:$AO$404,$AC630)=1,626=INDEX($AB$5:$AB$404,$AC630)+INDEX($Z$5:$Z$404,$AC630)+INDEX($AA$5:$AA$404,$AC630)+INDEX($AO$5:$AO$404,$AC630)),"B","T")))))))</f>
        <v/>
      </c>
      <c r="AF630">
        <f>IF(OR($AD630="",$AD630="Z",$AD630="B"),"",INDEX($X$5:$X$404,$AC630))</f>
        <v/>
      </c>
      <c r="AJ630">
        <f>IF($AD630&lt;&gt;"T",0,ROUND(SUMIF(oil!$B$4:$B$63,$AF630,oil!$AE$4:$AE$63),2))</f>
        <v/>
      </c>
      <c r="AQ630">
        <f>IF(OR($AD630="",$AD630="Z"),"",INDEX($AN$5:$AN$404,$AC630))</f>
        <v/>
      </c>
      <c r="AZ630">
        <f>IF(AND($AD630="T",$AQ630=1),N($AZ629)+1,N($AZ629))</f>
        <v/>
      </c>
    </row>
    <row r="631" ht="21" customHeight="1" s="66">
      <c r="A631" s="69">
        <f>IF($AD631="","",IF($AD631="Z","รวมจ่ายทั้งสิ้น",IF($AD631="H",INDEX($X$5:$X$404,$AC631),IF($AD631="T","รวม",IF($AD631="B",IFERROR(INDEX(อัตราค่าขนส่ง!$S$5:$S$14,MATCH(INDEX($AM$5:$AM$404,$AC631),อัตราค่าขนส่ง!$R$5:$R$14,0)),"รวมกลุ่ม "&amp;INDEX($AM$5:$AM$404,$AC631)),INDEX($AY$5:$AY$404,$AC631))))))</f>
        <v/>
      </c>
      <c r="B631" s="31">
        <f>IF($AD631&lt;&gt;"D","",INDEX($AW$5:$AW$404,$AC631))</f>
        <v/>
      </c>
      <c r="C631" s="68">
        <f>IF($AD631&lt;&gt;"D","",INDEX($AX$5:$AX$404,$AC631))</f>
        <v/>
      </c>
      <c r="D631" s="70">
        <f>IF($AD631&lt;&gt;"D","",INDEX($BA$5:$BA$404,$AC631))</f>
        <v/>
      </c>
      <c r="E631" s="31">
        <f>IF($AD631="Z",SUM($AR$5:$AR$404),IF($AD631="D",INDEX($AR$5:$AR$404,$AC631),IF($AD631="T",SUMIF($X$5:$X$404,$AF631,$AR$5:$AR$404),IF($AD631="B",SUMIF($AN$5:$AN$404,$AQ631,$AR$5:$AR$404),""))))</f>
        <v/>
      </c>
      <c r="F631" s="32">
        <f>IF($AD631="Z",ROUND(SUM($AS$5:$AS$404),2),IF($AD631="D",INDEX($AS$5:$AS$404,$AC631),IF($AD631="T",ROUND(SUMIF($X$5:$X$404,$AF631,$AS$5:$AS$404),2),IF($AD631="B",ROUND(SUMIF($AN$5:$AN$404,$AQ631,$AS$5:$AS$404),2),""))))</f>
        <v/>
      </c>
      <c r="G631" s="32">
        <f>IF($AD631&lt;&gt;"D","",INDEX($AT$5:$AT$404,$AC631))</f>
        <v/>
      </c>
      <c r="H631" s="32">
        <f>IF($AD631&lt;&gt;"D","",INDEX($BC$5:$BC$404,$AC631))</f>
        <v/>
      </c>
      <c r="I631" s="32">
        <f>IF($AD631&lt;&gt;"D","",INDEX($BD$5:$BD$404,$AC631))</f>
        <v/>
      </c>
      <c r="J631" s="46">
        <f>IF($AD631&lt;&gt;"D","",IF(N($B631)=0,"",ROUND($I631/$B631,4)))</f>
        <v/>
      </c>
      <c r="K631" s="32">
        <f>IF($AD631="Z",ROUND(SUM($AU$5:$AU$404),2),IF($AD631="D",INDEX($AU$5:$AU$404,$AC631),IF($AD631="T",ROUND(SUMIF($X$5:$X$404,$AF631,$AU$5:$AU$404),2),IF($AD631="B",ROUND(SUMIF($AN$5:$AN$404,$AQ631,$AU$5:$AU$404),2),""))))</f>
        <v/>
      </c>
      <c r="L631" s="32">
        <f>IF($AD631="Z",ROUND(SUM($AV$5:$AV$404),2),IF($AD631="D",INDEX($AV$5:$AV$404,$AC631),IF($AD631="T",ROUND(SUMIF($X$5:$X$404,$AF631,$AV$5:$AV$404),2),IF($AD631="B",ROUND(SUMIF($AN$5:$AN$404,$AQ631,$AV$5:$AV$404),2),""))))</f>
        <v/>
      </c>
      <c r="M631" s="32">
        <f>IF($AD631="Z",ROUND(SUM($AJ$5:$AJ$704),2),IF($AD631="B",ROUND(SUMIF($AQ$5:$AQ$704,$AQ631,$AJ$5:$AJ$704),2),IF($AD631&lt;&gt;"T","",$AJ631)))</f>
        <v/>
      </c>
      <c r="N631" s="32">
        <f>IF(OR($AD631="D",$AD631="T",$AD631="B",$AD631="Z"),ROUND(N($K631)-N($L631)-N($M631),2),"")</f>
        <v/>
      </c>
      <c r="O631" s="32">
        <f>IF(OR($AD631="D",$AD631="T",$AD631="B",$AD631="Z"),IF(N($E631)=0,"",ROUND($F631/$E631,2)),"")</f>
        <v/>
      </c>
      <c r="AC631">
        <f>IFERROR(MATCH(627,$AB$5:$AB$404,1),"")</f>
        <v/>
      </c>
      <c r="AD631">
        <f>IF(627=$AI$1+1,"Z",IF($AC631="","",IF(INDEX($V$5:$V$404,$AC631)="","",IF(627&gt;INDEX($AB$5:$AB$404,$AC631)+INDEX($Z$5:$Z$404,$AC631)+INDEX($AA$5:$AA$404,$AC631)+INDEX($AO$5:$AO$404,$AC631),"",IF(627=INDEX($AB$5:$AB$404,$AC631)+INDEX($Z$5:$Z$404,$AC631),"D",IF(AND(INDEX($Z$5:$Z$404,$AC631)=1,627=INDEX($AB$5:$AB$404,$AC631)),"H",IF(AND(INDEX($AO$5:$AO$404,$AC631)=1,627=INDEX($AB$5:$AB$404,$AC631)+INDEX($Z$5:$Z$404,$AC631)+INDEX($AA$5:$AA$404,$AC631)+INDEX($AO$5:$AO$404,$AC631)),"B","T")))))))</f>
        <v/>
      </c>
      <c r="AF631">
        <f>IF(OR($AD631="",$AD631="Z",$AD631="B"),"",INDEX($X$5:$X$404,$AC631))</f>
        <v/>
      </c>
      <c r="AJ631">
        <f>IF($AD631&lt;&gt;"T",0,ROUND(SUMIF(oil!$B$4:$B$63,$AF631,oil!$AE$4:$AE$63),2))</f>
        <v/>
      </c>
      <c r="AQ631">
        <f>IF(OR($AD631="",$AD631="Z"),"",INDEX($AN$5:$AN$404,$AC631))</f>
        <v/>
      </c>
      <c r="AZ631">
        <f>IF(AND($AD631="T",$AQ631=1),N($AZ630)+1,N($AZ630))</f>
        <v/>
      </c>
    </row>
    <row r="632" ht="21" customHeight="1" s="66">
      <c r="A632" s="69">
        <f>IF($AD632="","",IF($AD632="Z","รวมจ่ายทั้งสิ้น",IF($AD632="H",INDEX($X$5:$X$404,$AC632),IF($AD632="T","รวม",IF($AD632="B",IFERROR(INDEX(อัตราค่าขนส่ง!$S$5:$S$14,MATCH(INDEX($AM$5:$AM$404,$AC632),อัตราค่าขนส่ง!$R$5:$R$14,0)),"รวมกลุ่ม "&amp;INDEX($AM$5:$AM$404,$AC632)),INDEX($AY$5:$AY$404,$AC632))))))</f>
        <v/>
      </c>
      <c r="B632" s="31">
        <f>IF($AD632&lt;&gt;"D","",INDEX($AW$5:$AW$404,$AC632))</f>
        <v/>
      </c>
      <c r="C632" s="68">
        <f>IF($AD632&lt;&gt;"D","",INDEX($AX$5:$AX$404,$AC632))</f>
        <v/>
      </c>
      <c r="D632" s="70">
        <f>IF($AD632&lt;&gt;"D","",INDEX($BA$5:$BA$404,$AC632))</f>
        <v/>
      </c>
      <c r="E632" s="31">
        <f>IF($AD632="Z",SUM($AR$5:$AR$404),IF($AD632="D",INDEX($AR$5:$AR$404,$AC632),IF($AD632="T",SUMIF($X$5:$X$404,$AF632,$AR$5:$AR$404),IF($AD632="B",SUMIF($AN$5:$AN$404,$AQ632,$AR$5:$AR$404),""))))</f>
        <v/>
      </c>
      <c r="F632" s="32">
        <f>IF($AD632="Z",ROUND(SUM($AS$5:$AS$404),2),IF($AD632="D",INDEX($AS$5:$AS$404,$AC632),IF($AD632="T",ROUND(SUMIF($X$5:$X$404,$AF632,$AS$5:$AS$404),2),IF($AD632="B",ROUND(SUMIF($AN$5:$AN$404,$AQ632,$AS$5:$AS$404),2),""))))</f>
        <v/>
      </c>
      <c r="G632" s="32">
        <f>IF($AD632&lt;&gt;"D","",INDEX($AT$5:$AT$404,$AC632))</f>
        <v/>
      </c>
      <c r="H632" s="32">
        <f>IF($AD632&lt;&gt;"D","",INDEX($BC$5:$BC$404,$AC632))</f>
        <v/>
      </c>
      <c r="I632" s="32">
        <f>IF($AD632&lt;&gt;"D","",INDEX($BD$5:$BD$404,$AC632))</f>
        <v/>
      </c>
      <c r="J632" s="46">
        <f>IF($AD632&lt;&gt;"D","",IF(N($B632)=0,"",ROUND($I632/$B632,4)))</f>
        <v/>
      </c>
      <c r="K632" s="32">
        <f>IF($AD632="Z",ROUND(SUM($AU$5:$AU$404),2),IF($AD632="D",INDEX($AU$5:$AU$404,$AC632),IF($AD632="T",ROUND(SUMIF($X$5:$X$404,$AF632,$AU$5:$AU$404),2),IF($AD632="B",ROUND(SUMIF($AN$5:$AN$404,$AQ632,$AU$5:$AU$404),2),""))))</f>
        <v/>
      </c>
      <c r="L632" s="32">
        <f>IF($AD632="Z",ROUND(SUM($AV$5:$AV$404),2),IF($AD632="D",INDEX($AV$5:$AV$404,$AC632),IF($AD632="T",ROUND(SUMIF($X$5:$X$404,$AF632,$AV$5:$AV$404),2),IF($AD632="B",ROUND(SUMIF($AN$5:$AN$404,$AQ632,$AV$5:$AV$404),2),""))))</f>
        <v/>
      </c>
      <c r="M632" s="32">
        <f>IF($AD632="Z",ROUND(SUM($AJ$5:$AJ$704),2),IF($AD632="B",ROUND(SUMIF($AQ$5:$AQ$704,$AQ632,$AJ$5:$AJ$704),2),IF($AD632&lt;&gt;"T","",$AJ632)))</f>
        <v/>
      </c>
      <c r="N632" s="32">
        <f>IF(OR($AD632="D",$AD632="T",$AD632="B",$AD632="Z"),ROUND(N($K632)-N($L632)-N($M632),2),"")</f>
        <v/>
      </c>
      <c r="O632" s="32">
        <f>IF(OR($AD632="D",$AD632="T",$AD632="B",$AD632="Z"),IF(N($E632)=0,"",ROUND($F632/$E632,2)),"")</f>
        <v/>
      </c>
      <c r="AC632">
        <f>IFERROR(MATCH(628,$AB$5:$AB$404,1),"")</f>
        <v/>
      </c>
      <c r="AD632">
        <f>IF(628=$AI$1+1,"Z",IF($AC632="","",IF(INDEX($V$5:$V$404,$AC632)="","",IF(628&gt;INDEX($AB$5:$AB$404,$AC632)+INDEX($Z$5:$Z$404,$AC632)+INDEX($AA$5:$AA$404,$AC632)+INDEX($AO$5:$AO$404,$AC632),"",IF(628=INDEX($AB$5:$AB$404,$AC632)+INDEX($Z$5:$Z$404,$AC632),"D",IF(AND(INDEX($Z$5:$Z$404,$AC632)=1,628=INDEX($AB$5:$AB$404,$AC632)),"H",IF(AND(INDEX($AO$5:$AO$404,$AC632)=1,628=INDEX($AB$5:$AB$404,$AC632)+INDEX($Z$5:$Z$404,$AC632)+INDEX($AA$5:$AA$404,$AC632)+INDEX($AO$5:$AO$404,$AC632)),"B","T")))))))</f>
        <v/>
      </c>
      <c r="AF632">
        <f>IF(OR($AD632="",$AD632="Z",$AD632="B"),"",INDEX($X$5:$X$404,$AC632))</f>
        <v/>
      </c>
      <c r="AJ632">
        <f>IF($AD632&lt;&gt;"T",0,ROUND(SUMIF(oil!$B$4:$B$63,$AF632,oil!$AE$4:$AE$63),2))</f>
        <v/>
      </c>
      <c r="AQ632">
        <f>IF(OR($AD632="",$AD632="Z"),"",INDEX($AN$5:$AN$404,$AC632))</f>
        <v/>
      </c>
      <c r="AZ632">
        <f>IF(AND($AD632="T",$AQ632=1),N($AZ631)+1,N($AZ631))</f>
        <v/>
      </c>
    </row>
    <row r="633" ht="21" customHeight="1" s="66">
      <c r="A633" s="69">
        <f>IF($AD633="","",IF($AD633="Z","รวมจ่ายทั้งสิ้น",IF($AD633="H",INDEX($X$5:$X$404,$AC633),IF($AD633="T","รวม",IF($AD633="B",IFERROR(INDEX(อัตราค่าขนส่ง!$S$5:$S$14,MATCH(INDEX($AM$5:$AM$404,$AC633),อัตราค่าขนส่ง!$R$5:$R$14,0)),"รวมกลุ่ม "&amp;INDEX($AM$5:$AM$404,$AC633)),INDEX($AY$5:$AY$404,$AC633))))))</f>
        <v/>
      </c>
      <c r="B633" s="31">
        <f>IF($AD633&lt;&gt;"D","",INDEX($AW$5:$AW$404,$AC633))</f>
        <v/>
      </c>
      <c r="C633" s="68">
        <f>IF($AD633&lt;&gt;"D","",INDEX($AX$5:$AX$404,$AC633))</f>
        <v/>
      </c>
      <c r="D633" s="70">
        <f>IF($AD633&lt;&gt;"D","",INDEX($BA$5:$BA$404,$AC633))</f>
        <v/>
      </c>
      <c r="E633" s="31">
        <f>IF($AD633="Z",SUM($AR$5:$AR$404),IF($AD633="D",INDEX($AR$5:$AR$404,$AC633),IF($AD633="T",SUMIF($X$5:$X$404,$AF633,$AR$5:$AR$404),IF($AD633="B",SUMIF($AN$5:$AN$404,$AQ633,$AR$5:$AR$404),""))))</f>
        <v/>
      </c>
      <c r="F633" s="32">
        <f>IF($AD633="Z",ROUND(SUM($AS$5:$AS$404),2),IF($AD633="D",INDEX($AS$5:$AS$404,$AC633),IF($AD633="T",ROUND(SUMIF($X$5:$X$404,$AF633,$AS$5:$AS$404),2),IF($AD633="B",ROUND(SUMIF($AN$5:$AN$404,$AQ633,$AS$5:$AS$404),2),""))))</f>
        <v/>
      </c>
      <c r="G633" s="32">
        <f>IF($AD633&lt;&gt;"D","",INDEX($AT$5:$AT$404,$AC633))</f>
        <v/>
      </c>
      <c r="H633" s="32">
        <f>IF($AD633&lt;&gt;"D","",INDEX($BC$5:$BC$404,$AC633))</f>
        <v/>
      </c>
      <c r="I633" s="32">
        <f>IF($AD633&lt;&gt;"D","",INDEX($BD$5:$BD$404,$AC633))</f>
        <v/>
      </c>
      <c r="J633" s="46">
        <f>IF($AD633&lt;&gt;"D","",IF(N($B633)=0,"",ROUND($I633/$B633,4)))</f>
        <v/>
      </c>
      <c r="K633" s="32">
        <f>IF($AD633="Z",ROUND(SUM($AU$5:$AU$404),2),IF($AD633="D",INDEX($AU$5:$AU$404,$AC633),IF($AD633="T",ROUND(SUMIF($X$5:$X$404,$AF633,$AU$5:$AU$404),2),IF($AD633="B",ROUND(SUMIF($AN$5:$AN$404,$AQ633,$AU$5:$AU$404),2),""))))</f>
        <v/>
      </c>
      <c r="L633" s="32">
        <f>IF($AD633="Z",ROUND(SUM($AV$5:$AV$404),2),IF($AD633="D",INDEX($AV$5:$AV$404,$AC633),IF($AD633="T",ROUND(SUMIF($X$5:$X$404,$AF633,$AV$5:$AV$404),2),IF($AD633="B",ROUND(SUMIF($AN$5:$AN$404,$AQ633,$AV$5:$AV$404),2),""))))</f>
        <v/>
      </c>
      <c r="M633" s="32">
        <f>IF($AD633="Z",ROUND(SUM($AJ$5:$AJ$704),2),IF($AD633="B",ROUND(SUMIF($AQ$5:$AQ$704,$AQ633,$AJ$5:$AJ$704),2),IF($AD633&lt;&gt;"T","",$AJ633)))</f>
        <v/>
      </c>
      <c r="N633" s="32">
        <f>IF(OR($AD633="D",$AD633="T",$AD633="B",$AD633="Z"),ROUND(N($K633)-N($L633)-N($M633),2),"")</f>
        <v/>
      </c>
      <c r="O633" s="32">
        <f>IF(OR($AD633="D",$AD633="T",$AD633="B",$AD633="Z"),IF(N($E633)=0,"",ROUND($F633/$E633,2)),"")</f>
        <v/>
      </c>
      <c r="AC633">
        <f>IFERROR(MATCH(629,$AB$5:$AB$404,1),"")</f>
        <v/>
      </c>
      <c r="AD633">
        <f>IF(629=$AI$1+1,"Z",IF($AC633="","",IF(INDEX($V$5:$V$404,$AC633)="","",IF(629&gt;INDEX($AB$5:$AB$404,$AC633)+INDEX($Z$5:$Z$404,$AC633)+INDEX($AA$5:$AA$404,$AC633)+INDEX($AO$5:$AO$404,$AC633),"",IF(629=INDEX($AB$5:$AB$404,$AC633)+INDEX($Z$5:$Z$404,$AC633),"D",IF(AND(INDEX($Z$5:$Z$404,$AC633)=1,629=INDEX($AB$5:$AB$404,$AC633)),"H",IF(AND(INDEX($AO$5:$AO$404,$AC633)=1,629=INDEX($AB$5:$AB$404,$AC633)+INDEX($Z$5:$Z$404,$AC633)+INDEX($AA$5:$AA$404,$AC633)+INDEX($AO$5:$AO$404,$AC633)),"B","T")))))))</f>
        <v/>
      </c>
      <c r="AF633">
        <f>IF(OR($AD633="",$AD633="Z",$AD633="B"),"",INDEX($X$5:$X$404,$AC633))</f>
        <v/>
      </c>
      <c r="AJ633">
        <f>IF($AD633&lt;&gt;"T",0,ROUND(SUMIF(oil!$B$4:$B$63,$AF633,oil!$AE$4:$AE$63),2))</f>
        <v/>
      </c>
      <c r="AQ633">
        <f>IF(OR($AD633="",$AD633="Z"),"",INDEX($AN$5:$AN$404,$AC633))</f>
        <v/>
      </c>
      <c r="AZ633">
        <f>IF(AND($AD633="T",$AQ633=1),N($AZ632)+1,N($AZ632))</f>
        <v/>
      </c>
    </row>
    <row r="634" ht="21" customHeight="1" s="66">
      <c r="A634" s="69">
        <f>IF($AD634="","",IF($AD634="Z","รวมจ่ายทั้งสิ้น",IF($AD634="H",INDEX($X$5:$X$404,$AC634),IF($AD634="T","รวม",IF($AD634="B",IFERROR(INDEX(อัตราค่าขนส่ง!$S$5:$S$14,MATCH(INDEX($AM$5:$AM$404,$AC634),อัตราค่าขนส่ง!$R$5:$R$14,0)),"รวมกลุ่ม "&amp;INDEX($AM$5:$AM$404,$AC634)),INDEX($AY$5:$AY$404,$AC634))))))</f>
        <v/>
      </c>
      <c r="B634" s="31">
        <f>IF($AD634&lt;&gt;"D","",INDEX($AW$5:$AW$404,$AC634))</f>
        <v/>
      </c>
      <c r="C634" s="68">
        <f>IF($AD634&lt;&gt;"D","",INDEX($AX$5:$AX$404,$AC634))</f>
        <v/>
      </c>
      <c r="D634" s="70">
        <f>IF($AD634&lt;&gt;"D","",INDEX($BA$5:$BA$404,$AC634))</f>
        <v/>
      </c>
      <c r="E634" s="31">
        <f>IF($AD634="Z",SUM($AR$5:$AR$404),IF($AD634="D",INDEX($AR$5:$AR$404,$AC634),IF($AD634="T",SUMIF($X$5:$X$404,$AF634,$AR$5:$AR$404),IF($AD634="B",SUMIF($AN$5:$AN$404,$AQ634,$AR$5:$AR$404),""))))</f>
        <v/>
      </c>
      <c r="F634" s="32">
        <f>IF($AD634="Z",ROUND(SUM($AS$5:$AS$404),2),IF($AD634="D",INDEX($AS$5:$AS$404,$AC634),IF($AD634="T",ROUND(SUMIF($X$5:$X$404,$AF634,$AS$5:$AS$404),2),IF($AD634="B",ROUND(SUMIF($AN$5:$AN$404,$AQ634,$AS$5:$AS$404),2),""))))</f>
        <v/>
      </c>
      <c r="G634" s="32">
        <f>IF($AD634&lt;&gt;"D","",INDEX($AT$5:$AT$404,$AC634))</f>
        <v/>
      </c>
      <c r="H634" s="32">
        <f>IF($AD634&lt;&gt;"D","",INDEX($BC$5:$BC$404,$AC634))</f>
        <v/>
      </c>
      <c r="I634" s="32">
        <f>IF($AD634&lt;&gt;"D","",INDEX($BD$5:$BD$404,$AC634))</f>
        <v/>
      </c>
      <c r="J634" s="46">
        <f>IF($AD634&lt;&gt;"D","",IF(N($B634)=0,"",ROUND($I634/$B634,4)))</f>
        <v/>
      </c>
      <c r="K634" s="32">
        <f>IF($AD634="Z",ROUND(SUM($AU$5:$AU$404),2),IF($AD634="D",INDEX($AU$5:$AU$404,$AC634),IF($AD634="T",ROUND(SUMIF($X$5:$X$404,$AF634,$AU$5:$AU$404),2),IF($AD634="B",ROUND(SUMIF($AN$5:$AN$404,$AQ634,$AU$5:$AU$404),2),""))))</f>
        <v/>
      </c>
      <c r="L634" s="32">
        <f>IF($AD634="Z",ROUND(SUM($AV$5:$AV$404),2),IF($AD634="D",INDEX($AV$5:$AV$404,$AC634),IF($AD634="T",ROUND(SUMIF($X$5:$X$404,$AF634,$AV$5:$AV$404),2),IF($AD634="B",ROUND(SUMIF($AN$5:$AN$404,$AQ634,$AV$5:$AV$404),2),""))))</f>
        <v/>
      </c>
      <c r="M634" s="32">
        <f>IF($AD634="Z",ROUND(SUM($AJ$5:$AJ$704),2),IF($AD634="B",ROUND(SUMIF($AQ$5:$AQ$704,$AQ634,$AJ$5:$AJ$704),2),IF($AD634&lt;&gt;"T","",$AJ634)))</f>
        <v/>
      </c>
      <c r="N634" s="32">
        <f>IF(OR($AD634="D",$AD634="T",$AD634="B",$AD634="Z"),ROUND(N($K634)-N($L634)-N($M634),2),"")</f>
        <v/>
      </c>
      <c r="O634" s="32">
        <f>IF(OR($AD634="D",$AD634="T",$AD634="B",$AD634="Z"),IF(N($E634)=0,"",ROUND($F634/$E634,2)),"")</f>
        <v/>
      </c>
      <c r="AC634">
        <f>IFERROR(MATCH(630,$AB$5:$AB$404,1),"")</f>
        <v/>
      </c>
      <c r="AD634">
        <f>IF(630=$AI$1+1,"Z",IF($AC634="","",IF(INDEX($V$5:$V$404,$AC634)="","",IF(630&gt;INDEX($AB$5:$AB$404,$AC634)+INDEX($Z$5:$Z$404,$AC634)+INDEX($AA$5:$AA$404,$AC634)+INDEX($AO$5:$AO$404,$AC634),"",IF(630=INDEX($AB$5:$AB$404,$AC634)+INDEX($Z$5:$Z$404,$AC634),"D",IF(AND(INDEX($Z$5:$Z$404,$AC634)=1,630=INDEX($AB$5:$AB$404,$AC634)),"H",IF(AND(INDEX($AO$5:$AO$404,$AC634)=1,630=INDEX($AB$5:$AB$404,$AC634)+INDEX($Z$5:$Z$404,$AC634)+INDEX($AA$5:$AA$404,$AC634)+INDEX($AO$5:$AO$404,$AC634)),"B","T")))))))</f>
        <v/>
      </c>
      <c r="AF634">
        <f>IF(OR($AD634="",$AD634="Z",$AD634="B"),"",INDEX($X$5:$X$404,$AC634))</f>
        <v/>
      </c>
      <c r="AJ634">
        <f>IF($AD634&lt;&gt;"T",0,ROUND(SUMIF(oil!$B$4:$B$63,$AF634,oil!$AE$4:$AE$63),2))</f>
        <v/>
      </c>
      <c r="AQ634">
        <f>IF(OR($AD634="",$AD634="Z"),"",INDEX($AN$5:$AN$404,$AC634))</f>
        <v/>
      </c>
      <c r="AZ634">
        <f>IF(AND($AD634="T",$AQ634=1),N($AZ633)+1,N($AZ633))</f>
        <v/>
      </c>
    </row>
    <row r="635" ht="21" customHeight="1" s="66">
      <c r="A635" s="69">
        <f>IF($AD635="","",IF($AD635="Z","รวมจ่ายทั้งสิ้น",IF($AD635="H",INDEX($X$5:$X$404,$AC635),IF($AD635="T","รวม",IF($AD635="B",IFERROR(INDEX(อัตราค่าขนส่ง!$S$5:$S$14,MATCH(INDEX($AM$5:$AM$404,$AC635),อัตราค่าขนส่ง!$R$5:$R$14,0)),"รวมกลุ่ม "&amp;INDEX($AM$5:$AM$404,$AC635)),INDEX($AY$5:$AY$404,$AC635))))))</f>
        <v/>
      </c>
      <c r="B635" s="31">
        <f>IF($AD635&lt;&gt;"D","",INDEX($AW$5:$AW$404,$AC635))</f>
        <v/>
      </c>
      <c r="C635" s="68">
        <f>IF($AD635&lt;&gt;"D","",INDEX($AX$5:$AX$404,$AC635))</f>
        <v/>
      </c>
      <c r="D635" s="70">
        <f>IF($AD635&lt;&gt;"D","",INDEX($BA$5:$BA$404,$AC635))</f>
        <v/>
      </c>
      <c r="E635" s="31">
        <f>IF($AD635="Z",SUM($AR$5:$AR$404),IF($AD635="D",INDEX($AR$5:$AR$404,$AC635),IF($AD635="T",SUMIF($X$5:$X$404,$AF635,$AR$5:$AR$404),IF($AD635="B",SUMIF($AN$5:$AN$404,$AQ635,$AR$5:$AR$404),""))))</f>
        <v/>
      </c>
      <c r="F635" s="32">
        <f>IF($AD635="Z",ROUND(SUM($AS$5:$AS$404),2),IF($AD635="D",INDEX($AS$5:$AS$404,$AC635),IF($AD635="T",ROUND(SUMIF($X$5:$X$404,$AF635,$AS$5:$AS$404),2),IF($AD635="B",ROUND(SUMIF($AN$5:$AN$404,$AQ635,$AS$5:$AS$404),2),""))))</f>
        <v/>
      </c>
      <c r="G635" s="32">
        <f>IF($AD635&lt;&gt;"D","",INDEX($AT$5:$AT$404,$AC635))</f>
        <v/>
      </c>
      <c r="H635" s="32">
        <f>IF($AD635&lt;&gt;"D","",INDEX($BC$5:$BC$404,$AC635))</f>
        <v/>
      </c>
      <c r="I635" s="32">
        <f>IF($AD635&lt;&gt;"D","",INDEX($BD$5:$BD$404,$AC635))</f>
        <v/>
      </c>
      <c r="J635" s="46">
        <f>IF($AD635&lt;&gt;"D","",IF(N($B635)=0,"",ROUND($I635/$B635,4)))</f>
        <v/>
      </c>
      <c r="K635" s="32">
        <f>IF($AD635="Z",ROUND(SUM($AU$5:$AU$404),2),IF($AD635="D",INDEX($AU$5:$AU$404,$AC635),IF($AD635="T",ROUND(SUMIF($X$5:$X$404,$AF635,$AU$5:$AU$404),2),IF($AD635="B",ROUND(SUMIF($AN$5:$AN$404,$AQ635,$AU$5:$AU$404),2),""))))</f>
        <v/>
      </c>
      <c r="L635" s="32">
        <f>IF($AD635="Z",ROUND(SUM($AV$5:$AV$404),2),IF($AD635="D",INDEX($AV$5:$AV$404,$AC635),IF($AD635="T",ROUND(SUMIF($X$5:$X$404,$AF635,$AV$5:$AV$404),2),IF($AD635="B",ROUND(SUMIF($AN$5:$AN$404,$AQ635,$AV$5:$AV$404),2),""))))</f>
        <v/>
      </c>
      <c r="M635" s="32">
        <f>IF($AD635="Z",ROUND(SUM($AJ$5:$AJ$704),2),IF($AD635="B",ROUND(SUMIF($AQ$5:$AQ$704,$AQ635,$AJ$5:$AJ$704),2),IF($AD635&lt;&gt;"T","",$AJ635)))</f>
        <v/>
      </c>
      <c r="N635" s="32">
        <f>IF(OR($AD635="D",$AD635="T",$AD635="B",$AD635="Z"),ROUND(N($K635)-N($L635)-N($M635),2),"")</f>
        <v/>
      </c>
      <c r="O635" s="32">
        <f>IF(OR($AD635="D",$AD635="T",$AD635="B",$AD635="Z"),IF(N($E635)=0,"",ROUND($F635/$E635,2)),"")</f>
        <v/>
      </c>
      <c r="AC635">
        <f>IFERROR(MATCH(631,$AB$5:$AB$404,1),"")</f>
        <v/>
      </c>
      <c r="AD635">
        <f>IF(631=$AI$1+1,"Z",IF($AC635="","",IF(INDEX($V$5:$V$404,$AC635)="","",IF(631&gt;INDEX($AB$5:$AB$404,$AC635)+INDEX($Z$5:$Z$404,$AC635)+INDEX($AA$5:$AA$404,$AC635)+INDEX($AO$5:$AO$404,$AC635),"",IF(631=INDEX($AB$5:$AB$404,$AC635)+INDEX($Z$5:$Z$404,$AC635),"D",IF(AND(INDEX($Z$5:$Z$404,$AC635)=1,631=INDEX($AB$5:$AB$404,$AC635)),"H",IF(AND(INDEX($AO$5:$AO$404,$AC635)=1,631=INDEX($AB$5:$AB$404,$AC635)+INDEX($Z$5:$Z$404,$AC635)+INDEX($AA$5:$AA$404,$AC635)+INDEX($AO$5:$AO$404,$AC635)),"B","T")))))))</f>
        <v/>
      </c>
      <c r="AF635">
        <f>IF(OR($AD635="",$AD635="Z",$AD635="B"),"",INDEX($X$5:$X$404,$AC635))</f>
        <v/>
      </c>
      <c r="AJ635">
        <f>IF($AD635&lt;&gt;"T",0,ROUND(SUMIF(oil!$B$4:$B$63,$AF635,oil!$AE$4:$AE$63),2))</f>
        <v/>
      </c>
      <c r="AQ635">
        <f>IF(OR($AD635="",$AD635="Z"),"",INDEX($AN$5:$AN$404,$AC635))</f>
        <v/>
      </c>
      <c r="AZ635">
        <f>IF(AND($AD635="T",$AQ635=1),N($AZ634)+1,N($AZ634))</f>
        <v/>
      </c>
    </row>
    <row r="636" ht="21" customHeight="1" s="66">
      <c r="A636" s="69">
        <f>IF($AD636="","",IF($AD636="Z","รวมจ่ายทั้งสิ้น",IF($AD636="H",INDEX($X$5:$X$404,$AC636),IF($AD636="T","รวม",IF($AD636="B",IFERROR(INDEX(อัตราค่าขนส่ง!$S$5:$S$14,MATCH(INDEX($AM$5:$AM$404,$AC636),อัตราค่าขนส่ง!$R$5:$R$14,0)),"รวมกลุ่ม "&amp;INDEX($AM$5:$AM$404,$AC636)),INDEX($AY$5:$AY$404,$AC636))))))</f>
        <v/>
      </c>
      <c r="B636" s="31">
        <f>IF($AD636&lt;&gt;"D","",INDEX($AW$5:$AW$404,$AC636))</f>
        <v/>
      </c>
      <c r="C636" s="68">
        <f>IF($AD636&lt;&gt;"D","",INDEX($AX$5:$AX$404,$AC636))</f>
        <v/>
      </c>
      <c r="D636" s="70">
        <f>IF($AD636&lt;&gt;"D","",INDEX($BA$5:$BA$404,$AC636))</f>
        <v/>
      </c>
      <c r="E636" s="31">
        <f>IF($AD636="Z",SUM($AR$5:$AR$404),IF($AD636="D",INDEX($AR$5:$AR$404,$AC636),IF($AD636="T",SUMIF($X$5:$X$404,$AF636,$AR$5:$AR$404),IF($AD636="B",SUMIF($AN$5:$AN$404,$AQ636,$AR$5:$AR$404),""))))</f>
        <v/>
      </c>
      <c r="F636" s="32">
        <f>IF($AD636="Z",ROUND(SUM($AS$5:$AS$404),2),IF($AD636="D",INDEX($AS$5:$AS$404,$AC636),IF($AD636="T",ROUND(SUMIF($X$5:$X$404,$AF636,$AS$5:$AS$404),2),IF($AD636="B",ROUND(SUMIF($AN$5:$AN$404,$AQ636,$AS$5:$AS$404),2),""))))</f>
        <v/>
      </c>
      <c r="G636" s="32">
        <f>IF($AD636&lt;&gt;"D","",INDEX($AT$5:$AT$404,$AC636))</f>
        <v/>
      </c>
      <c r="H636" s="32">
        <f>IF($AD636&lt;&gt;"D","",INDEX($BC$5:$BC$404,$AC636))</f>
        <v/>
      </c>
      <c r="I636" s="32">
        <f>IF($AD636&lt;&gt;"D","",INDEX($BD$5:$BD$404,$AC636))</f>
        <v/>
      </c>
      <c r="J636" s="46">
        <f>IF($AD636&lt;&gt;"D","",IF(N($B636)=0,"",ROUND($I636/$B636,4)))</f>
        <v/>
      </c>
      <c r="K636" s="32">
        <f>IF($AD636="Z",ROUND(SUM($AU$5:$AU$404),2),IF($AD636="D",INDEX($AU$5:$AU$404,$AC636),IF($AD636="T",ROUND(SUMIF($X$5:$X$404,$AF636,$AU$5:$AU$404),2),IF($AD636="B",ROUND(SUMIF($AN$5:$AN$404,$AQ636,$AU$5:$AU$404),2),""))))</f>
        <v/>
      </c>
      <c r="L636" s="32">
        <f>IF($AD636="Z",ROUND(SUM($AV$5:$AV$404),2),IF($AD636="D",INDEX($AV$5:$AV$404,$AC636),IF($AD636="T",ROUND(SUMIF($X$5:$X$404,$AF636,$AV$5:$AV$404),2),IF($AD636="B",ROUND(SUMIF($AN$5:$AN$404,$AQ636,$AV$5:$AV$404),2),""))))</f>
        <v/>
      </c>
      <c r="M636" s="32">
        <f>IF($AD636="Z",ROUND(SUM($AJ$5:$AJ$704),2),IF($AD636="B",ROUND(SUMIF($AQ$5:$AQ$704,$AQ636,$AJ$5:$AJ$704),2),IF($AD636&lt;&gt;"T","",$AJ636)))</f>
        <v/>
      </c>
      <c r="N636" s="32">
        <f>IF(OR($AD636="D",$AD636="T",$AD636="B",$AD636="Z"),ROUND(N($K636)-N($L636)-N($M636),2),"")</f>
        <v/>
      </c>
      <c r="O636" s="32">
        <f>IF(OR($AD636="D",$AD636="T",$AD636="B",$AD636="Z"),IF(N($E636)=0,"",ROUND($F636/$E636,2)),"")</f>
        <v/>
      </c>
      <c r="AC636">
        <f>IFERROR(MATCH(632,$AB$5:$AB$404,1),"")</f>
        <v/>
      </c>
      <c r="AD636">
        <f>IF(632=$AI$1+1,"Z",IF($AC636="","",IF(INDEX($V$5:$V$404,$AC636)="","",IF(632&gt;INDEX($AB$5:$AB$404,$AC636)+INDEX($Z$5:$Z$404,$AC636)+INDEX($AA$5:$AA$404,$AC636)+INDEX($AO$5:$AO$404,$AC636),"",IF(632=INDEX($AB$5:$AB$404,$AC636)+INDEX($Z$5:$Z$404,$AC636),"D",IF(AND(INDEX($Z$5:$Z$404,$AC636)=1,632=INDEX($AB$5:$AB$404,$AC636)),"H",IF(AND(INDEX($AO$5:$AO$404,$AC636)=1,632=INDEX($AB$5:$AB$404,$AC636)+INDEX($Z$5:$Z$404,$AC636)+INDEX($AA$5:$AA$404,$AC636)+INDEX($AO$5:$AO$404,$AC636)),"B","T")))))))</f>
        <v/>
      </c>
      <c r="AF636">
        <f>IF(OR($AD636="",$AD636="Z",$AD636="B"),"",INDEX($X$5:$X$404,$AC636))</f>
        <v/>
      </c>
      <c r="AJ636">
        <f>IF($AD636&lt;&gt;"T",0,ROUND(SUMIF(oil!$B$4:$B$63,$AF636,oil!$AE$4:$AE$63),2))</f>
        <v/>
      </c>
      <c r="AQ636">
        <f>IF(OR($AD636="",$AD636="Z"),"",INDEX($AN$5:$AN$404,$AC636))</f>
        <v/>
      </c>
      <c r="AZ636">
        <f>IF(AND($AD636="T",$AQ636=1),N($AZ635)+1,N($AZ635))</f>
        <v/>
      </c>
    </row>
    <row r="637" ht="21" customHeight="1" s="66">
      <c r="A637" s="69">
        <f>IF($AD637="","",IF($AD637="Z","รวมจ่ายทั้งสิ้น",IF($AD637="H",INDEX($X$5:$X$404,$AC637),IF($AD637="T","รวม",IF($AD637="B",IFERROR(INDEX(อัตราค่าขนส่ง!$S$5:$S$14,MATCH(INDEX($AM$5:$AM$404,$AC637),อัตราค่าขนส่ง!$R$5:$R$14,0)),"รวมกลุ่ม "&amp;INDEX($AM$5:$AM$404,$AC637)),INDEX($AY$5:$AY$404,$AC637))))))</f>
        <v/>
      </c>
      <c r="B637" s="31">
        <f>IF($AD637&lt;&gt;"D","",INDEX($AW$5:$AW$404,$AC637))</f>
        <v/>
      </c>
      <c r="C637" s="68">
        <f>IF($AD637&lt;&gt;"D","",INDEX($AX$5:$AX$404,$AC637))</f>
        <v/>
      </c>
      <c r="D637" s="70">
        <f>IF($AD637&lt;&gt;"D","",INDEX($BA$5:$BA$404,$AC637))</f>
        <v/>
      </c>
      <c r="E637" s="31">
        <f>IF($AD637="Z",SUM($AR$5:$AR$404),IF($AD637="D",INDEX($AR$5:$AR$404,$AC637),IF($AD637="T",SUMIF($X$5:$X$404,$AF637,$AR$5:$AR$404),IF($AD637="B",SUMIF($AN$5:$AN$404,$AQ637,$AR$5:$AR$404),""))))</f>
        <v/>
      </c>
      <c r="F637" s="32">
        <f>IF($AD637="Z",ROUND(SUM($AS$5:$AS$404),2),IF($AD637="D",INDEX($AS$5:$AS$404,$AC637),IF($AD637="T",ROUND(SUMIF($X$5:$X$404,$AF637,$AS$5:$AS$404),2),IF($AD637="B",ROUND(SUMIF($AN$5:$AN$404,$AQ637,$AS$5:$AS$404),2),""))))</f>
        <v/>
      </c>
      <c r="G637" s="32">
        <f>IF($AD637&lt;&gt;"D","",INDEX($AT$5:$AT$404,$AC637))</f>
        <v/>
      </c>
      <c r="H637" s="32">
        <f>IF($AD637&lt;&gt;"D","",INDEX($BC$5:$BC$404,$AC637))</f>
        <v/>
      </c>
      <c r="I637" s="32">
        <f>IF($AD637&lt;&gt;"D","",INDEX($BD$5:$BD$404,$AC637))</f>
        <v/>
      </c>
      <c r="J637" s="46">
        <f>IF($AD637&lt;&gt;"D","",IF(N($B637)=0,"",ROUND($I637/$B637,4)))</f>
        <v/>
      </c>
      <c r="K637" s="32">
        <f>IF($AD637="Z",ROUND(SUM($AU$5:$AU$404),2),IF($AD637="D",INDEX($AU$5:$AU$404,$AC637),IF($AD637="T",ROUND(SUMIF($X$5:$X$404,$AF637,$AU$5:$AU$404),2),IF($AD637="B",ROUND(SUMIF($AN$5:$AN$404,$AQ637,$AU$5:$AU$404),2),""))))</f>
        <v/>
      </c>
      <c r="L637" s="32">
        <f>IF($AD637="Z",ROUND(SUM($AV$5:$AV$404),2),IF($AD637="D",INDEX($AV$5:$AV$404,$AC637),IF($AD637="T",ROUND(SUMIF($X$5:$X$404,$AF637,$AV$5:$AV$404),2),IF($AD637="B",ROUND(SUMIF($AN$5:$AN$404,$AQ637,$AV$5:$AV$404),2),""))))</f>
        <v/>
      </c>
      <c r="M637" s="32">
        <f>IF($AD637="Z",ROUND(SUM($AJ$5:$AJ$704),2),IF($AD637="B",ROUND(SUMIF($AQ$5:$AQ$704,$AQ637,$AJ$5:$AJ$704),2),IF($AD637&lt;&gt;"T","",$AJ637)))</f>
        <v/>
      </c>
      <c r="N637" s="32">
        <f>IF(OR($AD637="D",$AD637="T",$AD637="B",$AD637="Z"),ROUND(N($K637)-N($L637)-N($M637),2),"")</f>
        <v/>
      </c>
      <c r="O637" s="32">
        <f>IF(OR($AD637="D",$AD637="T",$AD637="B",$AD637="Z"),IF(N($E637)=0,"",ROUND($F637/$E637,2)),"")</f>
        <v/>
      </c>
      <c r="AC637">
        <f>IFERROR(MATCH(633,$AB$5:$AB$404,1),"")</f>
        <v/>
      </c>
      <c r="AD637">
        <f>IF(633=$AI$1+1,"Z",IF($AC637="","",IF(INDEX($V$5:$V$404,$AC637)="","",IF(633&gt;INDEX($AB$5:$AB$404,$AC637)+INDEX($Z$5:$Z$404,$AC637)+INDEX($AA$5:$AA$404,$AC637)+INDEX($AO$5:$AO$404,$AC637),"",IF(633=INDEX($AB$5:$AB$404,$AC637)+INDEX($Z$5:$Z$404,$AC637),"D",IF(AND(INDEX($Z$5:$Z$404,$AC637)=1,633=INDEX($AB$5:$AB$404,$AC637)),"H",IF(AND(INDEX($AO$5:$AO$404,$AC637)=1,633=INDEX($AB$5:$AB$404,$AC637)+INDEX($Z$5:$Z$404,$AC637)+INDEX($AA$5:$AA$404,$AC637)+INDEX($AO$5:$AO$404,$AC637)),"B","T")))))))</f>
        <v/>
      </c>
      <c r="AF637">
        <f>IF(OR($AD637="",$AD637="Z",$AD637="B"),"",INDEX($X$5:$X$404,$AC637))</f>
        <v/>
      </c>
      <c r="AJ637">
        <f>IF($AD637&lt;&gt;"T",0,ROUND(SUMIF(oil!$B$4:$B$63,$AF637,oil!$AE$4:$AE$63),2))</f>
        <v/>
      </c>
      <c r="AQ637">
        <f>IF(OR($AD637="",$AD637="Z"),"",INDEX($AN$5:$AN$404,$AC637))</f>
        <v/>
      </c>
      <c r="AZ637">
        <f>IF(AND($AD637="T",$AQ637=1),N($AZ636)+1,N($AZ636))</f>
        <v/>
      </c>
    </row>
    <row r="638" ht="21" customHeight="1" s="66">
      <c r="A638" s="69">
        <f>IF($AD638="","",IF($AD638="Z","รวมจ่ายทั้งสิ้น",IF($AD638="H",INDEX($X$5:$X$404,$AC638),IF($AD638="T","รวม",IF($AD638="B",IFERROR(INDEX(อัตราค่าขนส่ง!$S$5:$S$14,MATCH(INDEX($AM$5:$AM$404,$AC638),อัตราค่าขนส่ง!$R$5:$R$14,0)),"รวมกลุ่ม "&amp;INDEX($AM$5:$AM$404,$AC638)),INDEX($AY$5:$AY$404,$AC638))))))</f>
        <v/>
      </c>
      <c r="B638" s="31">
        <f>IF($AD638&lt;&gt;"D","",INDEX($AW$5:$AW$404,$AC638))</f>
        <v/>
      </c>
      <c r="C638" s="68">
        <f>IF($AD638&lt;&gt;"D","",INDEX($AX$5:$AX$404,$AC638))</f>
        <v/>
      </c>
      <c r="D638" s="70">
        <f>IF($AD638&lt;&gt;"D","",INDEX($BA$5:$BA$404,$AC638))</f>
        <v/>
      </c>
      <c r="E638" s="31">
        <f>IF($AD638="Z",SUM($AR$5:$AR$404),IF($AD638="D",INDEX($AR$5:$AR$404,$AC638),IF($AD638="T",SUMIF($X$5:$X$404,$AF638,$AR$5:$AR$404),IF($AD638="B",SUMIF($AN$5:$AN$404,$AQ638,$AR$5:$AR$404),""))))</f>
        <v/>
      </c>
      <c r="F638" s="32">
        <f>IF($AD638="Z",ROUND(SUM($AS$5:$AS$404),2),IF($AD638="D",INDEX($AS$5:$AS$404,$AC638),IF($AD638="T",ROUND(SUMIF($X$5:$X$404,$AF638,$AS$5:$AS$404),2),IF($AD638="B",ROUND(SUMIF($AN$5:$AN$404,$AQ638,$AS$5:$AS$404),2),""))))</f>
        <v/>
      </c>
      <c r="G638" s="32">
        <f>IF($AD638&lt;&gt;"D","",INDEX($AT$5:$AT$404,$AC638))</f>
        <v/>
      </c>
      <c r="H638" s="32">
        <f>IF($AD638&lt;&gt;"D","",INDEX($BC$5:$BC$404,$AC638))</f>
        <v/>
      </c>
      <c r="I638" s="32">
        <f>IF($AD638&lt;&gt;"D","",INDEX($BD$5:$BD$404,$AC638))</f>
        <v/>
      </c>
      <c r="J638" s="46">
        <f>IF($AD638&lt;&gt;"D","",IF(N($B638)=0,"",ROUND($I638/$B638,4)))</f>
        <v/>
      </c>
      <c r="K638" s="32">
        <f>IF($AD638="Z",ROUND(SUM($AU$5:$AU$404),2),IF($AD638="D",INDEX($AU$5:$AU$404,$AC638),IF($AD638="T",ROUND(SUMIF($X$5:$X$404,$AF638,$AU$5:$AU$404),2),IF($AD638="B",ROUND(SUMIF($AN$5:$AN$404,$AQ638,$AU$5:$AU$404),2),""))))</f>
        <v/>
      </c>
      <c r="L638" s="32">
        <f>IF($AD638="Z",ROUND(SUM($AV$5:$AV$404),2),IF($AD638="D",INDEX($AV$5:$AV$404,$AC638),IF($AD638="T",ROUND(SUMIF($X$5:$X$404,$AF638,$AV$5:$AV$404),2),IF($AD638="B",ROUND(SUMIF($AN$5:$AN$404,$AQ638,$AV$5:$AV$404),2),""))))</f>
        <v/>
      </c>
      <c r="M638" s="32">
        <f>IF($AD638="Z",ROUND(SUM($AJ$5:$AJ$704),2),IF($AD638="B",ROUND(SUMIF($AQ$5:$AQ$704,$AQ638,$AJ$5:$AJ$704),2),IF($AD638&lt;&gt;"T","",$AJ638)))</f>
        <v/>
      </c>
      <c r="N638" s="32">
        <f>IF(OR($AD638="D",$AD638="T",$AD638="B",$AD638="Z"),ROUND(N($K638)-N($L638)-N($M638),2),"")</f>
        <v/>
      </c>
      <c r="O638" s="32">
        <f>IF(OR($AD638="D",$AD638="T",$AD638="B",$AD638="Z"),IF(N($E638)=0,"",ROUND($F638/$E638,2)),"")</f>
        <v/>
      </c>
      <c r="AC638">
        <f>IFERROR(MATCH(634,$AB$5:$AB$404,1),"")</f>
        <v/>
      </c>
      <c r="AD638">
        <f>IF(634=$AI$1+1,"Z",IF($AC638="","",IF(INDEX($V$5:$V$404,$AC638)="","",IF(634&gt;INDEX($AB$5:$AB$404,$AC638)+INDEX($Z$5:$Z$404,$AC638)+INDEX($AA$5:$AA$404,$AC638)+INDEX($AO$5:$AO$404,$AC638),"",IF(634=INDEX($AB$5:$AB$404,$AC638)+INDEX($Z$5:$Z$404,$AC638),"D",IF(AND(INDEX($Z$5:$Z$404,$AC638)=1,634=INDEX($AB$5:$AB$404,$AC638)),"H",IF(AND(INDEX($AO$5:$AO$404,$AC638)=1,634=INDEX($AB$5:$AB$404,$AC638)+INDEX($Z$5:$Z$404,$AC638)+INDEX($AA$5:$AA$404,$AC638)+INDEX($AO$5:$AO$404,$AC638)),"B","T")))))))</f>
        <v/>
      </c>
      <c r="AF638">
        <f>IF(OR($AD638="",$AD638="Z",$AD638="B"),"",INDEX($X$5:$X$404,$AC638))</f>
        <v/>
      </c>
      <c r="AJ638">
        <f>IF($AD638&lt;&gt;"T",0,ROUND(SUMIF(oil!$B$4:$B$63,$AF638,oil!$AE$4:$AE$63),2))</f>
        <v/>
      </c>
      <c r="AQ638">
        <f>IF(OR($AD638="",$AD638="Z"),"",INDEX($AN$5:$AN$404,$AC638))</f>
        <v/>
      </c>
      <c r="AZ638">
        <f>IF(AND($AD638="T",$AQ638=1),N($AZ637)+1,N($AZ637))</f>
        <v/>
      </c>
    </row>
    <row r="639" ht="21" customHeight="1" s="66">
      <c r="A639" s="69">
        <f>IF($AD639="","",IF($AD639="Z","รวมจ่ายทั้งสิ้น",IF($AD639="H",INDEX($X$5:$X$404,$AC639),IF($AD639="T","รวม",IF($AD639="B",IFERROR(INDEX(อัตราค่าขนส่ง!$S$5:$S$14,MATCH(INDEX($AM$5:$AM$404,$AC639),อัตราค่าขนส่ง!$R$5:$R$14,0)),"รวมกลุ่ม "&amp;INDEX($AM$5:$AM$404,$AC639)),INDEX($AY$5:$AY$404,$AC639))))))</f>
        <v/>
      </c>
      <c r="B639" s="31">
        <f>IF($AD639&lt;&gt;"D","",INDEX($AW$5:$AW$404,$AC639))</f>
        <v/>
      </c>
      <c r="C639" s="68">
        <f>IF($AD639&lt;&gt;"D","",INDEX($AX$5:$AX$404,$AC639))</f>
        <v/>
      </c>
      <c r="D639" s="70">
        <f>IF($AD639&lt;&gt;"D","",INDEX($BA$5:$BA$404,$AC639))</f>
        <v/>
      </c>
      <c r="E639" s="31">
        <f>IF($AD639="Z",SUM($AR$5:$AR$404),IF($AD639="D",INDEX($AR$5:$AR$404,$AC639),IF($AD639="T",SUMIF($X$5:$X$404,$AF639,$AR$5:$AR$404),IF($AD639="B",SUMIF($AN$5:$AN$404,$AQ639,$AR$5:$AR$404),""))))</f>
        <v/>
      </c>
      <c r="F639" s="32">
        <f>IF($AD639="Z",ROUND(SUM($AS$5:$AS$404),2),IF($AD639="D",INDEX($AS$5:$AS$404,$AC639),IF($AD639="T",ROUND(SUMIF($X$5:$X$404,$AF639,$AS$5:$AS$404),2),IF($AD639="B",ROUND(SUMIF($AN$5:$AN$404,$AQ639,$AS$5:$AS$404),2),""))))</f>
        <v/>
      </c>
      <c r="G639" s="32">
        <f>IF($AD639&lt;&gt;"D","",INDEX($AT$5:$AT$404,$AC639))</f>
        <v/>
      </c>
      <c r="H639" s="32">
        <f>IF($AD639&lt;&gt;"D","",INDEX($BC$5:$BC$404,$AC639))</f>
        <v/>
      </c>
      <c r="I639" s="32">
        <f>IF($AD639&lt;&gt;"D","",INDEX($BD$5:$BD$404,$AC639))</f>
        <v/>
      </c>
      <c r="J639" s="46">
        <f>IF($AD639&lt;&gt;"D","",IF(N($B639)=0,"",ROUND($I639/$B639,4)))</f>
        <v/>
      </c>
      <c r="K639" s="32">
        <f>IF($AD639="Z",ROUND(SUM($AU$5:$AU$404),2),IF($AD639="D",INDEX($AU$5:$AU$404,$AC639),IF($AD639="T",ROUND(SUMIF($X$5:$X$404,$AF639,$AU$5:$AU$404),2),IF($AD639="B",ROUND(SUMIF($AN$5:$AN$404,$AQ639,$AU$5:$AU$404),2),""))))</f>
        <v/>
      </c>
      <c r="L639" s="32">
        <f>IF($AD639="Z",ROUND(SUM($AV$5:$AV$404),2),IF($AD639="D",INDEX($AV$5:$AV$404,$AC639),IF($AD639="T",ROUND(SUMIF($X$5:$X$404,$AF639,$AV$5:$AV$404),2),IF($AD639="B",ROUND(SUMIF($AN$5:$AN$404,$AQ639,$AV$5:$AV$404),2),""))))</f>
        <v/>
      </c>
      <c r="M639" s="32">
        <f>IF($AD639="Z",ROUND(SUM($AJ$5:$AJ$704),2),IF($AD639="B",ROUND(SUMIF($AQ$5:$AQ$704,$AQ639,$AJ$5:$AJ$704),2),IF($AD639&lt;&gt;"T","",$AJ639)))</f>
        <v/>
      </c>
      <c r="N639" s="32">
        <f>IF(OR($AD639="D",$AD639="T",$AD639="B",$AD639="Z"),ROUND(N($K639)-N($L639)-N($M639),2),"")</f>
        <v/>
      </c>
      <c r="O639" s="32">
        <f>IF(OR($AD639="D",$AD639="T",$AD639="B",$AD639="Z"),IF(N($E639)=0,"",ROUND($F639/$E639,2)),"")</f>
        <v/>
      </c>
      <c r="AC639">
        <f>IFERROR(MATCH(635,$AB$5:$AB$404,1),"")</f>
        <v/>
      </c>
      <c r="AD639">
        <f>IF(635=$AI$1+1,"Z",IF($AC639="","",IF(INDEX($V$5:$V$404,$AC639)="","",IF(635&gt;INDEX($AB$5:$AB$404,$AC639)+INDEX($Z$5:$Z$404,$AC639)+INDEX($AA$5:$AA$404,$AC639)+INDEX($AO$5:$AO$404,$AC639),"",IF(635=INDEX($AB$5:$AB$404,$AC639)+INDEX($Z$5:$Z$404,$AC639),"D",IF(AND(INDEX($Z$5:$Z$404,$AC639)=1,635=INDEX($AB$5:$AB$404,$AC639)),"H",IF(AND(INDEX($AO$5:$AO$404,$AC639)=1,635=INDEX($AB$5:$AB$404,$AC639)+INDEX($Z$5:$Z$404,$AC639)+INDEX($AA$5:$AA$404,$AC639)+INDEX($AO$5:$AO$404,$AC639)),"B","T")))))))</f>
        <v/>
      </c>
      <c r="AF639">
        <f>IF(OR($AD639="",$AD639="Z",$AD639="B"),"",INDEX($X$5:$X$404,$AC639))</f>
        <v/>
      </c>
      <c r="AJ639">
        <f>IF($AD639&lt;&gt;"T",0,ROUND(SUMIF(oil!$B$4:$B$63,$AF639,oil!$AE$4:$AE$63),2))</f>
        <v/>
      </c>
      <c r="AQ639">
        <f>IF(OR($AD639="",$AD639="Z"),"",INDEX($AN$5:$AN$404,$AC639))</f>
        <v/>
      </c>
      <c r="AZ639">
        <f>IF(AND($AD639="T",$AQ639=1),N($AZ638)+1,N($AZ638))</f>
        <v/>
      </c>
    </row>
    <row r="640" ht="21" customHeight="1" s="66">
      <c r="A640" s="69">
        <f>IF($AD640="","",IF($AD640="Z","รวมจ่ายทั้งสิ้น",IF($AD640="H",INDEX($X$5:$X$404,$AC640),IF($AD640="T","รวม",IF($AD640="B",IFERROR(INDEX(อัตราค่าขนส่ง!$S$5:$S$14,MATCH(INDEX($AM$5:$AM$404,$AC640),อัตราค่าขนส่ง!$R$5:$R$14,0)),"รวมกลุ่ม "&amp;INDEX($AM$5:$AM$404,$AC640)),INDEX($AY$5:$AY$404,$AC640))))))</f>
        <v/>
      </c>
      <c r="B640" s="31">
        <f>IF($AD640&lt;&gt;"D","",INDEX($AW$5:$AW$404,$AC640))</f>
        <v/>
      </c>
      <c r="C640" s="68">
        <f>IF($AD640&lt;&gt;"D","",INDEX($AX$5:$AX$404,$AC640))</f>
        <v/>
      </c>
      <c r="D640" s="70">
        <f>IF($AD640&lt;&gt;"D","",INDEX($BA$5:$BA$404,$AC640))</f>
        <v/>
      </c>
      <c r="E640" s="31">
        <f>IF($AD640="Z",SUM($AR$5:$AR$404),IF($AD640="D",INDEX($AR$5:$AR$404,$AC640),IF($AD640="T",SUMIF($X$5:$X$404,$AF640,$AR$5:$AR$404),IF($AD640="B",SUMIF($AN$5:$AN$404,$AQ640,$AR$5:$AR$404),""))))</f>
        <v/>
      </c>
      <c r="F640" s="32">
        <f>IF($AD640="Z",ROUND(SUM($AS$5:$AS$404),2),IF($AD640="D",INDEX($AS$5:$AS$404,$AC640),IF($AD640="T",ROUND(SUMIF($X$5:$X$404,$AF640,$AS$5:$AS$404),2),IF($AD640="B",ROUND(SUMIF($AN$5:$AN$404,$AQ640,$AS$5:$AS$404),2),""))))</f>
        <v/>
      </c>
      <c r="G640" s="32">
        <f>IF($AD640&lt;&gt;"D","",INDEX($AT$5:$AT$404,$AC640))</f>
        <v/>
      </c>
      <c r="H640" s="32">
        <f>IF($AD640&lt;&gt;"D","",INDEX($BC$5:$BC$404,$AC640))</f>
        <v/>
      </c>
      <c r="I640" s="32">
        <f>IF($AD640&lt;&gt;"D","",INDEX($BD$5:$BD$404,$AC640))</f>
        <v/>
      </c>
      <c r="J640" s="46">
        <f>IF($AD640&lt;&gt;"D","",IF(N($B640)=0,"",ROUND($I640/$B640,4)))</f>
        <v/>
      </c>
      <c r="K640" s="32">
        <f>IF($AD640="Z",ROUND(SUM($AU$5:$AU$404),2),IF($AD640="D",INDEX($AU$5:$AU$404,$AC640),IF($AD640="T",ROUND(SUMIF($X$5:$X$404,$AF640,$AU$5:$AU$404),2),IF($AD640="B",ROUND(SUMIF($AN$5:$AN$404,$AQ640,$AU$5:$AU$404),2),""))))</f>
        <v/>
      </c>
      <c r="L640" s="32">
        <f>IF($AD640="Z",ROUND(SUM($AV$5:$AV$404),2),IF($AD640="D",INDEX($AV$5:$AV$404,$AC640),IF($AD640="T",ROUND(SUMIF($X$5:$X$404,$AF640,$AV$5:$AV$404),2),IF($AD640="B",ROUND(SUMIF($AN$5:$AN$404,$AQ640,$AV$5:$AV$404),2),""))))</f>
        <v/>
      </c>
      <c r="M640" s="32">
        <f>IF($AD640="Z",ROUND(SUM($AJ$5:$AJ$704),2),IF($AD640="B",ROUND(SUMIF($AQ$5:$AQ$704,$AQ640,$AJ$5:$AJ$704),2),IF($AD640&lt;&gt;"T","",$AJ640)))</f>
        <v/>
      </c>
      <c r="N640" s="32">
        <f>IF(OR($AD640="D",$AD640="T",$AD640="B",$AD640="Z"),ROUND(N($K640)-N($L640)-N($M640),2),"")</f>
        <v/>
      </c>
      <c r="O640" s="32">
        <f>IF(OR($AD640="D",$AD640="T",$AD640="B",$AD640="Z"),IF(N($E640)=0,"",ROUND($F640/$E640,2)),"")</f>
        <v/>
      </c>
      <c r="AC640">
        <f>IFERROR(MATCH(636,$AB$5:$AB$404,1),"")</f>
        <v/>
      </c>
      <c r="AD640">
        <f>IF(636=$AI$1+1,"Z",IF($AC640="","",IF(INDEX($V$5:$V$404,$AC640)="","",IF(636&gt;INDEX($AB$5:$AB$404,$AC640)+INDEX($Z$5:$Z$404,$AC640)+INDEX($AA$5:$AA$404,$AC640)+INDEX($AO$5:$AO$404,$AC640),"",IF(636=INDEX($AB$5:$AB$404,$AC640)+INDEX($Z$5:$Z$404,$AC640),"D",IF(AND(INDEX($Z$5:$Z$404,$AC640)=1,636=INDEX($AB$5:$AB$404,$AC640)),"H",IF(AND(INDEX($AO$5:$AO$404,$AC640)=1,636=INDEX($AB$5:$AB$404,$AC640)+INDEX($Z$5:$Z$404,$AC640)+INDEX($AA$5:$AA$404,$AC640)+INDEX($AO$5:$AO$404,$AC640)),"B","T")))))))</f>
        <v/>
      </c>
      <c r="AF640">
        <f>IF(OR($AD640="",$AD640="Z",$AD640="B"),"",INDEX($X$5:$X$404,$AC640))</f>
        <v/>
      </c>
      <c r="AJ640">
        <f>IF($AD640&lt;&gt;"T",0,ROUND(SUMIF(oil!$B$4:$B$63,$AF640,oil!$AE$4:$AE$63),2))</f>
        <v/>
      </c>
      <c r="AQ640">
        <f>IF(OR($AD640="",$AD640="Z"),"",INDEX($AN$5:$AN$404,$AC640))</f>
        <v/>
      </c>
      <c r="AZ640">
        <f>IF(AND($AD640="T",$AQ640=1),N($AZ639)+1,N($AZ639))</f>
        <v/>
      </c>
    </row>
    <row r="641" ht="21" customHeight="1" s="66">
      <c r="A641" s="69">
        <f>IF($AD641="","",IF($AD641="Z","รวมจ่ายทั้งสิ้น",IF($AD641="H",INDEX($X$5:$X$404,$AC641),IF($AD641="T","รวม",IF($AD641="B",IFERROR(INDEX(อัตราค่าขนส่ง!$S$5:$S$14,MATCH(INDEX($AM$5:$AM$404,$AC641),อัตราค่าขนส่ง!$R$5:$R$14,0)),"รวมกลุ่ม "&amp;INDEX($AM$5:$AM$404,$AC641)),INDEX($AY$5:$AY$404,$AC641))))))</f>
        <v/>
      </c>
      <c r="B641" s="31">
        <f>IF($AD641&lt;&gt;"D","",INDEX($AW$5:$AW$404,$AC641))</f>
        <v/>
      </c>
      <c r="C641" s="68">
        <f>IF($AD641&lt;&gt;"D","",INDEX($AX$5:$AX$404,$AC641))</f>
        <v/>
      </c>
      <c r="D641" s="70">
        <f>IF($AD641&lt;&gt;"D","",INDEX($BA$5:$BA$404,$AC641))</f>
        <v/>
      </c>
      <c r="E641" s="31">
        <f>IF($AD641="Z",SUM($AR$5:$AR$404),IF($AD641="D",INDEX($AR$5:$AR$404,$AC641),IF($AD641="T",SUMIF($X$5:$X$404,$AF641,$AR$5:$AR$404),IF($AD641="B",SUMIF($AN$5:$AN$404,$AQ641,$AR$5:$AR$404),""))))</f>
        <v/>
      </c>
      <c r="F641" s="32">
        <f>IF($AD641="Z",ROUND(SUM($AS$5:$AS$404),2),IF($AD641="D",INDEX($AS$5:$AS$404,$AC641),IF($AD641="T",ROUND(SUMIF($X$5:$X$404,$AF641,$AS$5:$AS$404),2),IF($AD641="B",ROUND(SUMIF($AN$5:$AN$404,$AQ641,$AS$5:$AS$404),2),""))))</f>
        <v/>
      </c>
      <c r="G641" s="32">
        <f>IF($AD641&lt;&gt;"D","",INDEX($AT$5:$AT$404,$AC641))</f>
        <v/>
      </c>
      <c r="H641" s="32">
        <f>IF($AD641&lt;&gt;"D","",INDEX($BC$5:$BC$404,$AC641))</f>
        <v/>
      </c>
      <c r="I641" s="32">
        <f>IF($AD641&lt;&gt;"D","",INDEX($BD$5:$BD$404,$AC641))</f>
        <v/>
      </c>
      <c r="J641" s="46">
        <f>IF($AD641&lt;&gt;"D","",IF(N($B641)=0,"",ROUND($I641/$B641,4)))</f>
        <v/>
      </c>
      <c r="K641" s="32">
        <f>IF($AD641="Z",ROUND(SUM($AU$5:$AU$404),2),IF($AD641="D",INDEX($AU$5:$AU$404,$AC641),IF($AD641="T",ROUND(SUMIF($X$5:$X$404,$AF641,$AU$5:$AU$404),2),IF($AD641="B",ROUND(SUMIF($AN$5:$AN$404,$AQ641,$AU$5:$AU$404),2),""))))</f>
        <v/>
      </c>
      <c r="L641" s="32">
        <f>IF($AD641="Z",ROUND(SUM($AV$5:$AV$404),2),IF($AD641="D",INDEX($AV$5:$AV$404,$AC641),IF($AD641="T",ROUND(SUMIF($X$5:$X$404,$AF641,$AV$5:$AV$404),2),IF($AD641="B",ROUND(SUMIF($AN$5:$AN$404,$AQ641,$AV$5:$AV$404),2),""))))</f>
        <v/>
      </c>
      <c r="M641" s="32">
        <f>IF($AD641="Z",ROUND(SUM($AJ$5:$AJ$704),2),IF($AD641="B",ROUND(SUMIF($AQ$5:$AQ$704,$AQ641,$AJ$5:$AJ$704),2),IF($AD641&lt;&gt;"T","",$AJ641)))</f>
        <v/>
      </c>
      <c r="N641" s="32">
        <f>IF(OR($AD641="D",$AD641="T",$AD641="B",$AD641="Z"),ROUND(N($K641)-N($L641)-N($M641),2),"")</f>
        <v/>
      </c>
      <c r="O641" s="32">
        <f>IF(OR($AD641="D",$AD641="T",$AD641="B",$AD641="Z"),IF(N($E641)=0,"",ROUND($F641/$E641,2)),"")</f>
        <v/>
      </c>
      <c r="AC641">
        <f>IFERROR(MATCH(637,$AB$5:$AB$404,1),"")</f>
        <v/>
      </c>
      <c r="AD641">
        <f>IF(637=$AI$1+1,"Z",IF($AC641="","",IF(INDEX($V$5:$V$404,$AC641)="","",IF(637&gt;INDEX($AB$5:$AB$404,$AC641)+INDEX($Z$5:$Z$404,$AC641)+INDEX($AA$5:$AA$404,$AC641)+INDEX($AO$5:$AO$404,$AC641),"",IF(637=INDEX($AB$5:$AB$404,$AC641)+INDEX($Z$5:$Z$404,$AC641),"D",IF(AND(INDEX($Z$5:$Z$404,$AC641)=1,637=INDEX($AB$5:$AB$404,$AC641)),"H",IF(AND(INDEX($AO$5:$AO$404,$AC641)=1,637=INDEX($AB$5:$AB$404,$AC641)+INDEX($Z$5:$Z$404,$AC641)+INDEX($AA$5:$AA$404,$AC641)+INDEX($AO$5:$AO$404,$AC641)),"B","T")))))))</f>
        <v/>
      </c>
      <c r="AF641">
        <f>IF(OR($AD641="",$AD641="Z",$AD641="B"),"",INDEX($X$5:$X$404,$AC641))</f>
        <v/>
      </c>
      <c r="AJ641">
        <f>IF($AD641&lt;&gt;"T",0,ROUND(SUMIF(oil!$B$4:$B$63,$AF641,oil!$AE$4:$AE$63),2))</f>
        <v/>
      </c>
      <c r="AQ641">
        <f>IF(OR($AD641="",$AD641="Z"),"",INDEX($AN$5:$AN$404,$AC641))</f>
        <v/>
      </c>
      <c r="AZ641">
        <f>IF(AND($AD641="T",$AQ641=1),N($AZ640)+1,N($AZ640))</f>
        <v/>
      </c>
    </row>
    <row r="642" ht="21" customHeight="1" s="66">
      <c r="A642" s="69">
        <f>IF($AD642="","",IF($AD642="Z","รวมจ่ายทั้งสิ้น",IF($AD642="H",INDEX($X$5:$X$404,$AC642),IF($AD642="T","รวม",IF($AD642="B",IFERROR(INDEX(อัตราค่าขนส่ง!$S$5:$S$14,MATCH(INDEX($AM$5:$AM$404,$AC642),อัตราค่าขนส่ง!$R$5:$R$14,0)),"รวมกลุ่ม "&amp;INDEX($AM$5:$AM$404,$AC642)),INDEX($AY$5:$AY$404,$AC642))))))</f>
        <v/>
      </c>
      <c r="B642" s="31">
        <f>IF($AD642&lt;&gt;"D","",INDEX($AW$5:$AW$404,$AC642))</f>
        <v/>
      </c>
      <c r="C642" s="68">
        <f>IF($AD642&lt;&gt;"D","",INDEX($AX$5:$AX$404,$AC642))</f>
        <v/>
      </c>
      <c r="D642" s="70">
        <f>IF($AD642&lt;&gt;"D","",INDEX($BA$5:$BA$404,$AC642))</f>
        <v/>
      </c>
      <c r="E642" s="31">
        <f>IF($AD642="Z",SUM($AR$5:$AR$404),IF($AD642="D",INDEX($AR$5:$AR$404,$AC642),IF($AD642="T",SUMIF($X$5:$X$404,$AF642,$AR$5:$AR$404),IF($AD642="B",SUMIF($AN$5:$AN$404,$AQ642,$AR$5:$AR$404),""))))</f>
        <v/>
      </c>
      <c r="F642" s="32">
        <f>IF($AD642="Z",ROUND(SUM($AS$5:$AS$404),2),IF($AD642="D",INDEX($AS$5:$AS$404,$AC642),IF($AD642="T",ROUND(SUMIF($X$5:$X$404,$AF642,$AS$5:$AS$404),2),IF($AD642="B",ROUND(SUMIF($AN$5:$AN$404,$AQ642,$AS$5:$AS$404),2),""))))</f>
        <v/>
      </c>
      <c r="G642" s="32">
        <f>IF($AD642&lt;&gt;"D","",INDEX($AT$5:$AT$404,$AC642))</f>
        <v/>
      </c>
      <c r="H642" s="32">
        <f>IF($AD642&lt;&gt;"D","",INDEX($BC$5:$BC$404,$AC642))</f>
        <v/>
      </c>
      <c r="I642" s="32">
        <f>IF($AD642&lt;&gt;"D","",INDEX($BD$5:$BD$404,$AC642))</f>
        <v/>
      </c>
      <c r="J642" s="46">
        <f>IF($AD642&lt;&gt;"D","",IF(N($B642)=0,"",ROUND($I642/$B642,4)))</f>
        <v/>
      </c>
      <c r="K642" s="32">
        <f>IF($AD642="Z",ROUND(SUM($AU$5:$AU$404),2),IF($AD642="D",INDEX($AU$5:$AU$404,$AC642),IF($AD642="T",ROUND(SUMIF($X$5:$X$404,$AF642,$AU$5:$AU$404),2),IF($AD642="B",ROUND(SUMIF($AN$5:$AN$404,$AQ642,$AU$5:$AU$404),2),""))))</f>
        <v/>
      </c>
      <c r="L642" s="32">
        <f>IF($AD642="Z",ROUND(SUM($AV$5:$AV$404),2),IF($AD642="D",INDEX($AV$5:$AV$404,$AC642),IF($AD642="T",ROUND(SUMIF($X$5:$X$404,$AF642,$AV$5:$AV$404),2),IF($AD642="B",ROUND(SUMIF($AN$5:$AN$404,$AQ642,$AV$5:$AV$404),2),""))))</f>
        <v/>
      </c>
      <c r="M642" s="32">
        <f>IF($AD642="Z",ROUND(SUM($AJ$5:$AJ$704),2),IF($AD642="B",ROUND(SUMIF($AQ$5:$AQ$704,$AQ642,$AJ$5:$AJ$704),2),IF($AD642&lt;&gt;"T","",$AJ642)))</f>
        <v/>
      </c>
      <c r="N642" s="32">
        <f>IF(OR($AD642="D",$AD642="T",$AD642="B",$AD642="Z"),ROUND(N($K642)-N($L642)-N($M642),2),"")</f>
        <v/>
      </c>
      <c r="O642" s="32">
        <f>IF(OR($AD642="D",$AD642="T",$AD642="B",$AD642="Z"),IF(N($E642)=0,"",ROUND($F642/$E642,2)),"")</f>
        <v/>
      </c>
      <c r="AC642">
        <f>IFERROR(MATCH(638,$AB$5:$AB$404,1),"")</f>
        <v/>
      </c>
      <c r="AD642">
        <f>IF(638=$AI$1+1,"Z",IF($AC642="","",IF(INDEX($V$5:$V$404,$AC642)="","",IF(638&gt;INDEX($AB$5:$AB$404,$AC642)+INDEX($Z$5:$Z$404,$AC642)+INDEX($AA$5:$AA$404,$AC642)+INDEX($AO$5:$AO$404,$AC642),"",IF(638=INDEX($AB$5:$AB$404,$AC642)+INDEX($Z$5:$Z$404,$AC642),"D",IF(AND(INDEX($Z$5:$Z$404,$AC642)=1,638=INDEX($AB$5:$AB$404,$AC642)),"H",IF(AND(INDEX($AO$5:$AO$404,$AC642)=1,638=INDEX($AB$5:$AB$404,$AC642)+INDEX($Z$5:$Z$404,$AC642)+INDEX($AA$5:$AA$404,$AC642)+INDEX($AO$5:$AO$404,$AC642)),"B","T")))))))</f>
        <v/>
      </c>
      <c r="AF642">
        <f>IF(OR($AD642="",$AD642="Z",$AD642="B"),"",INDEX($X$5:$X$404,$AC642))</f>
        <v/>
      </c>
      <c r="AJ642">
        <f>IF($AD642&lt;&gt;"T",0,ROUND(SUMIF(oil!$B$4:$B$63,$AF642,oil!$AE$4:$AE$63),2))</f>
        <v/>
      </c>
      <c r="AQ642">
        <f>IF(OR($AD642="",$AD642="Z"),"",INDEX($AN$5:$AN$404,$AC642))</f>
        <v/>
      </c>
      <c r="AZ642">
        <f>IF(AND($AD642="T",$AQ642=1),N($AZ641)+1,N($AZ641))</f>
        <v/>
      </c>
    </row>
    <row r="643" ht="21" customHeight="1" s="66">
      <c r="A643" s="69">
        <f>IF($AD643="","",IF($AD643="Z","รวมจ่ายทั้งสิ้น",IF($AD643="H",INDEX($X$5:$X$404,$AC643),IF($AD643="T","รวม",IF($AD643="B",IFERROR(INDEX(อัตราค่าขนส่ง!$S$5:$S$14,MATCH(INDEX($AM$5:$AM$404,$AC643),อัตราค่าขนส่ง!$R$5:$R$14,0)),"รวมกลุ่ม "&amp;INDEX($AM$5:$AM$404,$AC643)),INDEX($AY$5:$AY$404,$AC643))))))</f>
        <v/>
      </c>
      <c r="B643" s="31">
        <f>IF($AD643&lt;&gt;"D","",INDEX($AW$5:$AW$404,$AC643))</f>
        <v/>
      </c>
      <c r="C643" s="68">
        <f>IF($AD643&lt;&gt;"D","",INDEX($AX$5:$AX$404,$AC643))</f>
        <v/>
      </c>
      <c r="D643" s="70">
        <f>IF($AD643&lt;&gt;"D","",INDEX($BA$5:$BA$404,$AC643))</f>
        <v/>
      </c>
      <c r="E643" s="31">
        <f>IF($AD643="Z",SUM($AR$5:$AR$404),IF($AD643="D",INDEX($AR$5:$AR$404,$AC643),IF($AD643="T",SUMIF($X$5:$X$404,$AF643,$AR$5:$AR$404),IF($AD643="B",SUMIF($AN$5:$AN$404,$AQ643,$AR$5:$AR$404),""))))</f>
        <v/>
      </c>
      <c r="F643" s="32">
        <f>IF($AD643="Z",ROUND(SUM($AS$5:$AS$404),2),IF($AD643="D",INDEX($AS$5:$AS$404,$AC643),IF($AD643="T",ROUND(SUMIF($X$5:$X$404,$AF643,$AS$5:$AS$404),2),IF($AD643="B",ROUND(SUMIF($AN$5:$AN$404,$AQ643,$AS$5:$AS$404),2),""))))</f>
        <v/>
      </c>
      <c r="G643" s="32">
        <f>IF($AD643&lt;&gt;"D","",INDEX($AT$5:$AT$404,$AC643))</f>
        <v/>
      </c>
      <c r="H643" s="32">
        <f>IF($AD643&lt;&gt;"D","",INDEX($BC$5:$BC$404,$AC643))</f>
        <v/>
      </c>
      <c r="I643" s="32">
        <f>IF($AD643&lt;&gt;"D","",INDEX($BD$5:$BD$404,$AC643))</f>
        <v/>
      </c>
      <c r="J643" s="46">
        <f>IF($AD643&lt;&gt;"D","",IF(N($B643)=0,"",ROUND($I643/$B643,4)))</f>
        <v/>
      </c>
      <c r="K643" s="32">
        <f>IF($AD643="Z",ROUND(SUM($AU$5:$AU$404),2),IF($AD643="D",INDEX($AU$5:$AU$404,$AC643),IF($AD643="T",ROUND(SUMIF($X$5:$X$404,$AF643,$AU$5:$AU$404),2),IF($AD643="B",ROUND(SUMIF($AN$5:$AN$404,$AQ643,$AU$5:$AU$404),2),""))))</f>
        <v/>
      </c>
      <c r="L643" s="32">
        <f>IF($AD643="Z",ROUND(SUM($AV$5:$AV$404),2),IF($AD643="D",INDEX($AV$5:$AV$404,$AC643),IF($AD643="T",ROUND(SUMIF($X$5:$X$404,$AF643,$AV$5:$AV$404),2),IF($AD643="B",ROUND(SUMIF($AN$5:$AN$404,$AQ643,$AV$5:$AV$404),2),""))))</f>
        <v/>
      </c>
      <c r="M643" s="32">
        <f>IF($AD643="Z",ROUND(SUM($AJ$5:$AJ$704),2),IF($AD643="B",ROUND(SUMIF($AQ$5:$AQ$704,$AQ643,$AJ$5:$AJ$704),2),IF($AD643&lt;&gt;"T","",$AJ643)))</f>
        <v/>
      </c>
      <c r="N643" s="32">
        <f>IF(OR($AD643="D",$AD643="T",$AD643="B",$AD643="Z"),ROUND(N($K643)-N($L643)-N($M643),2),"")</f>
        <v/>
      </c>
      <c r="O643" s="32">
        <f>IF(OR($AD643="D",$AD643="T",$AD643="B",$AD643="Z"),IF(N($E643)=0,"",ROUND($F643/$E643,2)),"")</f>
        <v/>
      </c>
      <c r="AC643">
        <f>IFERROR(MATCH(639,$AB$5:$AB$404,1),"")</f>
        <v/>
      </c>
      <c r="AD643">
        <f>IF(639=$AI$1+1,"Z",IF($AC643="","",IF(INDEX($V$5:$V$404,$AC643)="","",IF(639&gt;INDEX($AB$5:$AB$404,$AC643)+INDEX($Z$5:$Z$404,$AC643)+INDEX($AA$5:$AA$404,$AC643)+INDEX($AO$5:$AO$404,$AC643),"",IF(639=INDEX($AB$5:$AB$404,$AC643)+INDEX($Z$5:$Z$404,$AC643),"D",IF(AND(INDEX($Z$5:$Z$404,$AC643)=1,639=INDEX($AB$5:$AB$404,$AC643)),"H",IF(AND(INDEX($AO$5:$AO$404,$AC643)=1,639=INDEX($AB$5:$AB$404,$AC643)+INDEX($Z$5:$Z$404,$AC643)+INDEX($AA$5:$AA$404,$AC643)+INDEX($AO$5:$AO$404,$AC643)),"B","T")))))))</f>
        <v/>
      </c>
      <c r="AF643">
        <f>IF(OR($AD643="",$AD643="Z",$AD643="B"),"",INDEX($X$5:$X$404,$AC643))</f>
        <v/>
      </c>
      <c r="AJ643">
        <f>IF($AD643&lt;&gt;"T",0,ROUND(SUMIF(oil!$B$4:$B$63,$AF643,oil!$AE$4:$AE$63),2))</f>
        <v/>
      </c>
      <c r="AQ643">
        <f>IF(OR($AD643="",$AD643="Z"),"",INDEX($AN$5:$AN$404,$AC643))</f>
        <v/>
      </c>
      <c r="AZ643">
        <f>IF(AND($AD643="T",$AQ643=1),N($AZ642)+1,N($AZ642))</f>
        <v/>
      </c>
    </row>
    <row r="644" ht="21" customHeight="1" s="66">
      <c r="A644" s="69">
        <f>IF($AD644="","",IF($AD644="Z","รวมจ่ายทั้งสิ้น",IF($AD644="H",INDEX($X$5:$X$404,$AC644),IF($AD644="T","รวม",IF($AD644="B",IFERROR(INDEX(อัตราค่าขนส่ง!$S$5:$S$14,MATCH(INDEX($AM$5:$AM$404,$AC644),อัตราค่าขนส่ง!$R$5:$R$14,0)),"รวมกลุ่ม "&amp;INDEX($AM$5:$AM$404,$AC644)),INDEX($AY$5:$AY$404,$AC644))))))</f>
        <v/>
      </c>
      <c r="B644" s="31">
        <f>IF($AD644&lt;&gt;"D","",INDEX($AW$5:$AW$404,$AC644))</f>
        <v/>
      </c>
      <c r="C644" s="68">
        <f>IF($AD644&lt;&gt;"D","",INDEX($AX$5:$AX$404,$AC644))</f>
        <v/>
      </c>
      <c r="D644" s="70">
        <f>IF($AD644&lt;&gt;"D","",INDEX($BA$5:$BA$404,$AC644))</f>
        <v/>
      </c>
      <c r="E644" s="31">
        <f>IF($AD644="Z",SUM($AR$5:$AR$404),IF($AD644="D",INDEX($AR$5:$AR$404,$AC644),IF($AD644="T",SUMIF($X$5:$X$404,$AF644,$AR$5:$AR$404),IF($AD644="B",SUMIF($AN$5:$AN$404,$AQ644,$AR$5:$AR$404),""))))</f>
        <v/>
      </c>
      <c r="F644" s="32">
        <f>IF($AD644="Z",ROUND(SUM($AS$5:$AS$404),2),IF($AD644="D",INDEX($AS$5:$AS$404,$AC644),IF($AD644="T",ROUND(SUMIF($X$5:$X$404,$AF644,$AS$5:$AS$404),2),IF($AD644="B",ROUND(SUMIF($AN$5:$AN$404,$AQ644,$AS$5:$AS$404),2),""))))</f>
        <v/>
      </c>
      <c r="G644" s="32">
        <f>IF($AD644&lt;&gt;"D","",INDEX($AT$5:$AT$404,$AC644))</f>
        <v/>
      </c>
      <c r="H644" s="32">
        <f>IF($AD644&lt;&gt;"D","",INDEX($BC$5:$BC$404,$AC644))</f>
        <v/>
      </c>
      <c r="I644" s="32">
        <f>IF($AD644&lt;&gt;"D","",INDEX($BD$5:$BD$404,$AC644))</f>
        <v/>
      </c>
      <c r="J644" s="46">
        <f>IF($AD644&lt;&gt;"D","",IF(N($B644)=0,"",ROUND($I644/$B644,4)))</f>
        <v/>
      </c>
      <c r="K644" s="32">
        <f>IF($AD644="Z",ROUND(SUM($AU$5:$AU$404),2),IF($AD644="D",INDEX($AU$5:$AU$404,$AC644),IF($AD644="T",ROUND(SUMIF($X$5:$X$404,$AF644,$AU$5:$AU$404),2),IF($AD644="B",ROUND(SUMIF($AN$5:$AN$404,$AQ644,$AU$5:$AU$404),2),""))))</f>
        <v/>
      </c>
      <c r="L644" s="32">
        <f>IF($AD644="Z",ROUND(SUM($AV$5:$AV$404),2),IF($AD644="D",INDEX($AV$5:$AV$404,$AC644),IF($AD644="T",ROUND(SUMIF($X$5:$X$404,$AF644,$AV$5:$AV$404),2),IF($AD644="B",ROUND(SUMIF($AN$5:$AN$404,$AQ644,$AV$5:$AV$404),2),""))))</f>
        <v/>
      </c>
      <c r="M644" s="32">
        <f>IF($AD644="Z",ROUND(SUM($AJ$5:$AJ$704),2),IF($AD644="B",ROUND(SUMIF($AQ$5:$AQ$704,$AQ644,$AJ$5:$AJ$704),2),IF($AD644&lt;&gt;"T","",$AJ644)))</f>
        <v/>
      </c>
      <c r="N644" s="32">
        <f>IF(OR($AD644="D",$AD644="T",$AD644="B",$AD644="Z"),ROUND(N($K644)-N($L644)-N($M644),2),"")</f>
        <v/>
      </c>
      <c r="O644" s="32">
        <f>IF(OR($AD644="D",$AD644="T",$AD644="B",$AD644="Z"),IF(N($E644)=0,"",ROUND($F644/$E644,2)),"")</f>
        <v/>
      </c>
      <c r="AC644">
        <f>IFERROR(MATCH(640,$AB$5:$AB$404,1),"")</f>
        <v/>
      </c>
      <c r="AD644">
        <f>IF(640=$AI$1+1,"Z",IF($AC644="","",IF(INDEX($V$5:$V$404,$AC644)="","",IF(640&gt;INDEX($AB$5:$AB$404,$AC644)+INDEX($Z$5:$Z$404,$AC644)+INDEX($AA$5:$AA$404,$AC644)+INDEX($AO$5:$AO$404,$AC644),"",IF(640=INDEX($AB$5:$AB$404,$AC644)+INDEX($Z$5:$Z$404,$AC644),"D",IF(AND(INDEX($Z$5:$Z$404,$AC644)=1,640=INDEX($AB$5:$AB$404,$AC644)),"H",IF(AND(INDEX($AO$5:$AO$404,$AC644)=1,640=INDEX($AB$5:$AB$404,$AC644)+INDEX($Z$5:$Z$404,$AC644)+INDEX($AA$5:$AA$404,$AC644)+INDEX($AO$5:$AO$404,$AC644)),"B","T")))))))</f>
        <v/>
      </c>
      <c r="AF644">
        <f>IF(OR($AD644="",$AD644="Z",$AD644="B"),"",INDEX($X$5:$X$404,$AC644))</f>
        <v/>
      </c>
      <c r="AJ644">
        <f>IF($AD644&lt;&gt;"T",0,ROUND(SUMIF(oil!$B$4:$B$63,$AF644,oil!$AE$4:$AE$63),2))</f>
        <v/>
      </c>
      <c r="AQ644">
        <f>IF(OR($AD644="",$AD644="Z"),"",INDEX($AN$5:$AN$404,$AC644))</f>
        <v/>
      </c>
      <c r="AZ644">
        <f>IF(AND($AD644="T",$AQ644=1),N($AZ643)+1,N($AZ643))</f>
        <v/>
      </c>
    </row>
    <row r="645" ht="21" customHeight="1" s="66">
      <c r="A645" s="69">
        <f>IF($AD645="","",IF($AD645="Z","รวมจ่ายทั้งสิ้น",IF($AD645="H",INDEX($X$5:$X$404,$AC645),IF($AD645="T","รวม",IF($AD645="B",IFERROR(INDEX(อัตราค่าขนส่ง!$S$5:$S$14,MATCH(INDEX($AM$5:$AM$404,$AC645),อัตราค่าขนส่ง!$R$5:$R$14,0)),"รวมกลุ่ม "&amp;INDEX($AM$5:$AM$404,$AC645)),INDEX($AY$5:$AY$404,$AC645))))))</f>
        <v/>
      </c>
      <c r="B645" s="31">
        <f>IF($AD645&lt;&gt;"D","",INDEX($AW$5:$AW$404,$AC645))</f>
        <v/>
      </c>
      <c r="C645" s="68">
        <f>IF($AD645&lt;&gt;"D","",INDEX($AX$5:$AX$404,$AC645))</f>
        <v/>
      </c>
      <c r="D645" s="70">
        <f>IF($AD645&lt;&gt;"D","",INDEX($BA$5:$BA$404,$AC645))</f>
        <v/>
      </c>
      <c r="E645" s="31">
        <f>IF($AD645="Z",SUM($AR$5:$AR$404),IF($AD645="D",INDEX($AR$5:$AR$404,$AC645),IF($AD645="T",SUMIF($X$5:$X$404,$AF645,$AR$5:$AR$404),IF($AD645="B",SUMIF($AN$5:$AN$404,$AQ645,$AR$5:$AR$404),""))))</f>
        <v/>
      </c>
      <c r="F645" s="32">
        <f>IF($AD645="Z",ROUND(SUM($AS$5:$AS$404),2),IF($AD645="D",INDEX($AS$5:$AS$404,$AC645),IF($AD645="T",ROUND(SUMIF($X$5:$X$404,$AF645,$AS$5:$AS$404),2),IF($AD645="B",ROUND(SUMIF($AN$5:$AN$404,$AQ645,$AS$5:$AS$404),2),""))))</f>
        <v/>
      </c>
      <c r="G645" s="32">
        <f>IF($AD645&lt;&gt;"D","",INDEX($AT$5:$AT$404,$AC645))</f>
        <v/>
      </c>
      <c r="H645" s="32">
        <f>IF($AD645&lt;&gt;"D","",INDEX($BC$5:$BC$404,$AC645))</f>
        <v/>
      </c>
      <c r="I645" s="32">
        <f>IF($AD645&lt;&gt;"D","",INDEX($BD$5:$BD$404,$AC645))</f>
        <v/>
      </c>
      <c r="J645" s="46">
        <f>IF($AD645&lt;&gt;"D","",IF(N($B645)=0,"",ROUND($I645/$B645,4)))</f>
        <v/>
      </c>
      <c r="K645" s="32">
        <f>IF($AD645="Z",ROUND(SUM($AU$5:$AU$404),2),IF($AD645="D",INDEX($AU$5:$AU$404,$AC645),IF($AD645="T",ROUND(SUMIF($X$5:$X$404,$AF645,$AU$5:$AU$404),2),IF($AD645="B",ROUND(SUMIF($AN$5:$AN$404,$AQ645,$AU$5:$AU$404),2),""))))</f>
        <v/>
      </c>
      <c r="L645" s="32">
        <f>IF($AD645="Z",ROUND(SUM($AV$5:$AV$404),2),IF($AD645="D",INDEX($AV$5:$AV$404,$AC645),IF($AD645="T",ROUND(SUMIF($X$5:$X$404,$AF645,$AV$5:$AV$404),2),IF($AD645="B",ROUND(SUMIF($AN$5:$AN$404,$AQ645,$AV$5:$AV$404),2),""))))</f>
        <v/>
      </c>
      <c r="M645" s="32">
        <f>IF($AD645="Z",ROUND(SUM($AJ$5:$AJ$704),2),IF($AD645="B",ROUND(SUMIF($AQ$5:$AQ$704,$AQ645,$AJ$5:$AJ$704),2),IF($AD645&lt;&gt;"T","",$AJ645)))</f>
        <v/>
      </c>
      <c r="N645" s="32">
        <f>IF(OR($AD645="D",$AD645="T",$AD645="B",$AD645="Z"),ROUND(N($K645)-N($L645)-N($M645),2),"")</f>
        <v/>
      </c>
      <c r="O645" s="32">
        <f>IF(OR($AD645="D",$AD645="T",$AD645="B",$AD645="Z"),IF(N($E645)=0,"",ROUND($F645/$E645,2)),"")</f>
        <v/>
      </c>
      <c r="AC645">
        <f>IFERROR(MATCH(641,$AB$5:$AB$404,1),"")</f>
        <v/>
      </c>
      <c r="AD645">
        <f>IF(641=$AI$1+1,"Z",IF($AC645="","",IF(INDEX($V$5:$V$404,$AC645)="","",IF(641&gt;INDEX($AB$5:$AB$404,$AC645)+INDEX($Z$5:$Z$404,$AC645)+INDEX($AA$5:$AA$404,$AC645)+INDEX($AO$5:$AO$404,$AC645),"",IF(641=INDEX($AB$5:$AB$404,$AC645)+INDEX($Z$5:$Z$404,$AC645),"D",IF(AND(INDEX($Z$5:$Z$404,$AC645)=1,641=INDEX($AB$5:$AB$404,$AC645)),"H",IF(AND(INDEX($AO$5:$AO$404,$AC645)=1,641=INDEX($AB$5:$AB$404,$AC645)+INDEX($Z$5:$Z$404,$AC645)+INDEX($AA$5:$AA$404,$AC645)+INDEX($AO$5:$AO$404,$AC645)),"B","T")))))))</f>
        <v/>
      </c>
      <c r="AF645">
        <f>IF(OR($AD645="",$AD645="Z",$AD645="B"),"",INDEX($X$5:$X$404,$AC645))</f>
        <v/>
      </c>
      <c r="AJ645">
        <f>IF($AD645&lt;&gt;"T",0,ROUND(SUMIF(oil!$B$4:$B$63,$AF645,oil!$AE$4:$AE$63),2))</f>
        <v/>
      </c>
      <c r="AQ645">
        <f>IF(OR($AD645="",$AD645="Z"),"",INDEX($AN$5:$AN$404,$AC645))</f>
        <v/>
      </c>
      <c r="AZ645">
        <f>IF(AND($AD645="T",$AQ645=1),N($AZ644)+1,N($AZ644))</f>
        <v/>
      </c>
    </row>
    <row r="646" ht="21" customHeight="1" s="66">
      <c r="A646" s="69">
        <f>IF($AD646="","",IF($AD646="Z","รวมจ่ายทั้งสิ้น",IF($AD646="H",INDEX($X$5:$X$404,$AC646),IF($AD646="T","รวม",IF($AD646="B",IFERROR(INDEX(อัตราค่าขนส่ง!$S$5:$S$14,MATCH(INDEX($AM$5:$AM$404,$AC646),อัตราค่าขนส่ง!$R$5:$R$14,0)),"รวมกลุ่ม "&amp;INDEX($AM$5:$AM$404,$AC646)),INDEX($AY$5:$AY$404,$AC646))))))</f>
        <v/>
      </c>
      <c r="B646" s="31">
        <f>IF($AD646&lt;&gt;"D","",INDEX($AW$5:$AW$404,$AC646))</f>
        <v/>
      </c>
      <c r="C646" s="68">
        <f>IF($AD646&lt;&gt;"D","",INDEX($AX$5:$AX$404,$AC646))</f>
        <v/>
      </c>
      <c r="D646" s="70">
        <f>IF($AD646&lt;&gt;"D","",INDEX($BA$5:$BA$404,$AC646))</f>
        <v/>
      </c>
      <c r="E646" s="31">
        <f>IF($AD646="Z",SUM($AR$5:$AR$404),IF($AD646="D",INDEX($AR$5:$AR$404,$AC646),IF($AD646="T",SUMIF($X$5:$X$404,$AF646,$AR$5:$AR$404),IF($AD646="B",SUMIF($AN$5:$AN$404,$AQ646,$AR$5:$AR$404),""))))</f>
        <v/>
      </c>
      <c r="F646" s="32">
        <f>IF($AD646="Z",ROUND(SUM($AS$5:$AS$404),2),IF($AD646="D",INDEX($AS$5:$AS$404,$AC646),IF($AD646="T",ROUND(SUMIF($X$5:$X$404,$AF646,$AS$5:$AS$404),2),IF($AD646="B",ROUND(SUMIF($AN$5:$AN$404,$AQ646,$AS$5:$AS$404),2),""))))</f>
        <v/>
      </c>
      <c r="G646" s="32">
        <f>IF($AD646&lt;&gt;"D","",INDEX($AT$5:$AT$404,$AC646))</f>
        <v/>
      </c>
      <c r="H646" s="32">
        <f>IF($AD646&lt;&gt;"D","",INDEX($BC$5:$BC$404,$AC646))</f>
        <v/>
      </c>
      <c r="I646" s="32">
        <f>IF($AD646&lt;&gt;"D","",INDEX($BD$5:$BD$404,$AC646))</f>
        <v/>
      </c>
      <c r="J646" s="46">
        <f>IF($AD646&lt;&gt;"D","",IF(N($B646)=0,"",ROUND($I646/$B646,4)))</f>
        <v/>
      </c>
      <c r="K646" s="32">
        <f>IF($AD646="Z",ROUND(SUM($AU$5:$AU$404),2),IF($AD646="D",INDEX($AU$5:$AU$404,$AC646),IF($AD646="T",ROUND(SUMIF($X$5:$X$404,$AF646,$AU$5:$AU$404),2),IF($AD646="B",ROUND(SUMIF($AN$5:$AN$404,$AQ646,$AU$5:$AU$404),2),""))))</f>
        <v/>
      </c>
      <c r="L646" s="32">
        <f>IF($AD646="Z",ROUND(SUM($AV$5:$AV$404),2),IF($AD646="D",INDEX($AV$5:$AV$404,$AC646),IF($AD646="T",ROUND(SUMIF($X$5:$X$404,$AF646,$AV$5:$AV$404),2),IF($AD646="B",ROUND(SUMIF($AN$5:$AN$404,$AQ646,$AV$5:$AV$404),2),""))))</f>
        <v/>
      </c>
      <c r="M646" s="32">
        <f>IF($AD646="Z",ROUND(SUM($AJ$5:$AJ$704),2),IF($AD646="B",ROUND(SUMIF($AQ$5:$AQ$704,$AQ646,$AJ$5:$AJ$704),2),IF($AD646&lt;&gt;"T","",$AJ646)))</f>
        <v/>
      </c>
      <c r="N646" s="32">
        <f>IF(OR($AD646="D",$AD646="T",$AD646="B",$AD646="Z"),ROUND(N($K646)-N($L646)-N($M646),2),"")</f>
        <v/>
      </c>
      <c r="O646" s="32">
        <f>IF(OR($AD646="D",$AD646="T",$AD646="B",$AD646="Z"),IF(N($E646)=0,"",ROUND($F646/$E646,2)),"")</f>
        <v/>
      </c>
      <c r="AC646">
        <f>IFERROR(MATCH(642,$AB$5:$AB$404,1),"")</f>
        <v/>
      </c>
      <c r="AD646">
        <f>IF(642=$AI$1+1,"Z",IF($AC646="","",IF(INDEX($V$5:$V$404,$AC646)="","",IF(642&gt;INDEX($AB$5:$AB$404,$AC646)+INDEX($Z$5:$Z$404,$AC646)+INDEX($AA$5:$AA$404,$AC646)+INDEX($AO$5:$AO$404,$AC646),"",IF(642=INDEX($AB$5:$AB$404,$AC646)+INDEX($Z$5:$Z$404,$AC646),"D",IF(AND(INDEX($Z$5:$Z$404,$AC646)=1,642=INDEX($AB$5:$AB$404,$AC646)),"H",IF(AND(INDEX($AO$5:$AO$404,$AC646)=1,642=INDEX($AB$5:$AB$404,$AC646)+INDEX($Z$5:$Z$404,$AC646)+INDEX($AA$5:$AA$404,$AC646)+INDEX($AO$5:$AO$404,$AC646)),"B","T")))))))</f>
        <v/>
      </c>
      <c r="AF646">
        <f>IF(OR($AD646="",$AD646="Z",$AD646="B"),"",INDEX($X$5:$X$404,$AC646))</f>
        <v/>
      </c>
      <c r="AJ646">
        <f>IF($AD646&lt;&gt;"T",0,ROUND(SUMIF(oil!$B$4:$B$63,$AF646,oil!$AE$4:$AE$63),2))</f>
        <v/>
      </c>
      <c r="AQ646">
        <f>IF(OR($AD646="",$AD646="Z"),"",INDEX($AN$5:$AN$404,$AC646))</f>
        <v/>
      </c>
      <c r="AZ646">
        <f>IF(AND($AD646="T",$AQ646=1),N($AZ645)+1,N($AZ645))</f>
        <v/>
      </c>
    </row>
    <row r="647" ht="21" customHeight="1" s="66">
      <c r="A647" s="69">
        <f>IF($AD647="","",IF($AD647="Z","รวมจ่ายทั้งสิ้น",IF($AD647="H",INDEX($X$5:$X$404,$AC647),IF($AD647="T","รวม",IF($AD647="B",IFERROR(INDEX(อัตราค่าขนส่ง!$S$5:$S$14,MATCH(INDEX($AM$5:$AM$404,$AC647),อัตราค่าขนส่ง!$R$5:$R$14,0)),"รวมกลุ่ม "&amp;INDEX($AM$5:$AM$404,$AC647)),INDEX($AY$5:$AY$404,$AC647))))))</f>
        <v/>
      </c>
      <c r="B647" s="31">
        <f>IF($AD647&lt;&gt;"D","",INDEX($AW$5:$AW$404,$AC647))</f>
        <v/>
      </c>
      <c r="C647" s="68">
        <f>IF($AD647&lt;&gt;"D","",INDEX($AX$5:$AX$404,$AC647))</f>
        <v/>
      </c>
      <c r="D647" s="70">
        <f>IF($AD647&lt;&gt;"D","",INDEX($BA$5:$BA$404,$AC647))</f>
        <v/>
      </c>
      <c r="E647" s="31">
        <f>IF($AD647="Z",SUM($AR$5:$AR$404),IF($AD647="D",INDEX($AR$5:$AR$404,$AC647),IF($AD647="T",SUMIF($X$5:$X$404,$AF647,$AR$5:$AR$404),IF($AD647="B",SUMIF($AN$5:$AN$404,$AQ647,$AR$5:$AR$404),""))))</f>
        <v/>
      </c>
      <c r="F647" s="32">
        <f>IF($AD647="Z",ROUND(SUM($AS$5:$AS$404),2),IF($AD647="D",INDEX($AS$5:$AS$404,$AC647),IF($AD647="T",ROUND(SUMIF($X$5:$X$404,$AF647,$AS$5:$AS$404),2),IF($AD647="B",ROUND(SUMIF($AN$5:$AN$404,$AQ647,$AS$5:$AS$404),2),""))))</f>
        <v/>
      </c>
      <c r="G647" s="32">
        <f>IF($AD647&lt;&gt;"D","",INDEX($AT$5:$AT$404,$AC647))</f>
        <v/>
      </c>
      <c r="H647" s="32">
        <f>IF($AD647&lt;&gt;"D","",INDEX($BC$5:$BC$404,$AC647))</f>
        <v/>
      </c>
      <c r="I647" s="32">
        <f>IF($AD647&lt;&gt;"D","",INDEX($BD$5:$BD$404,$AC647))</f>
        <v/>
      </c>
      <c r="J647" s="46">
        <f>IF($AD647&lt;&gt;"D","",IF(N($B647)=0,"",ROUND($I647/$B647,4)))</f>
        <v/>
      </c>
      <c r="K647" s="32">
        <f>IF($AD647="Z",ROUND(SUM($AU$5:$AU$404),2),IF($AD647="D",INDEX($AU$5:$AU$404,$AC647),IF($AD647="T",ROUND(SUMIF($X$5:$X$404,$AF647,$AU$5:$AU$404),2),IF($AD647="B",ROUND(SUMIF($AN$5:$AN$404,$AQ647,$AU$5:$AU$404),2),""))))</f>
        <v/>
      </c>
      <c r="L647" s="32">
        <f>IF($AD647="Z",ROUND(SUM($AV$5:$AV$404),2),IF($AD647="D",INDEX($AV$5:$AV$404,$AC647),IF($AD647="T",ROUND(SUMIF($X$5:$X$404,$AF647,$AV$5:$AV$404),2),IF($AD647="B",ROUND(SUMIF($AN$5:$AN$404,$AQ647,$AV$5:$AV$404),2),""))))</f>
        <v/>
      </c>
      <c r="M647" s="32">
        <f>IF($AD647="Z",ROUND(SUM($AJ$5:$AJ$704),2),IF($AD647="B",ROUND(SUMIF($AQ$5:$AQ$704,$AQ647,$AJ$5:$AJ$704),2),IF($AD647&lt;&gt;"T","",$AJ647)))</f>
        <v/>
      </c>
      <c r="N647" s="32">
        <f>IF(OR($AD647="D",$AD647="T",$AD647="B",$AD647="Z"),ROUND(N($K647)-N($L647)-N($M647),2),"")</f>
        <v/>
      </c>
      <c r="O647" s="32">
        <f>IF(OR($AD647="D",$AD647="T",$AD647="B",$AD647="Z"),IF(N($E647)=0,"",ROUND($F647/$E647,2)),"")</f>
        <v/>
      </c>
      <c r="AC647">
        <f>IFERROR(MATCH(643,$AB$5:$AB$404,1),"")</f>
        <v/>
      </c>
      <c r="AD647">
        <f>IF(643=$AI$1+1,"Z",IF($AC647="","",IF(INDEX($V$5:$V$404,$AC647)="","",IF(643&gt;INDEX($AB$5:$AB$404,$AC647)+INDEX($Z$5:$Z$404,$AC647)+INDEX($AA$5:$AA$404,$AC647)+INDEX($AO$5:$AO$404,$AC647),"",IF(643=INDEX($AB$5:$AB$404,$AC647)+INDEX($Z$5:$Z$404,$AC647),"D",IF(AND(INDEX($Z$5:$Z$404,$AC647)=1,643=INDEX($AB$5:$AB$404,$AC647)),"H",IF(AND(INDEX($AO$5:$AO$404,$AC647)=1,643=INDEX($AB$5:$AB$404,$AC647)+INDEX($Z$5:$Z$404,$AC647)+INDEX($AA$5:$AA$404,$AC647)+INDEX($AO$5:$AO$404,$AC647)),"B","T")))))))</f>
        <v/>
      </c>
      <c r="AF647">
        <f>IF(OR($AD647="",$AD647="Z",$AD647="B"),"",INDEX($X$5:$X$404,$AC647))</f>
        <v/>
      </c>
      <c r="AJ647">
        <f>IF($AD647&lt;&gt;"T",0,ROUND(SUMIF(oil!$B$4:$B$63,$AF647,oil!$AE$4:$AE$63),2))</f>
        <v/>
      </c>
      <c r="AQ647">
        <f>IF(OR($AD647="",$AD647="Z"),"",INDEX($AN$5:$AN$404,$AC647))</f>
        <v/>
      </c>
      <c r="AZ647">
        <f>IF(AND($AD647="T",$AQ647=1),N($AZ646)+1,N($AZ646))</f>
        <v/>
      </c>
    </row>
    <row r="648" ht="21" customHeight="1" s="66">
      <c r="A648" s="69">
        <f>IF($AD648="","",IF($AD648="Z","รวมจ่ายทั้งสิ้น",IF($AD648="H",INDEX($X$5:$X$404,$AC648),IF($AD648="T","รวม",IF($AD648="B",IFERROR(INDEX(อัตราค่าขนส่ง!$S$5:$S$14,MATCH(INDEX($AM$5:$AM$404,$AC648),อัตราค่าขนส่ง!$R$5:$R$14,0)),"รวมกลุ่ม "&amp;INDEX($AM$5:$AM$404,$AC648)),INDEX($AY$5:$AY$404,$AC648))))))</f>
        <v/>
      </c>
      <c r="B648" s="31">
        <f>IF($AD648&lt;&gt;"D","",INDEX($AW$5:$AW$404,$AC648))</f>
        <v/>
      </c>
      <c r="C648" s="68">
        <f>IF($AD648&lt;&gt;"D","",INDEX($AX$5:$AX$404,$AC648))</f>
        <v/>
      </c>
      <c r="D648" s="70">
        <f>IF($AD648&lt;&gt;"D","",INDEX($BA$5:$BA$404,$AC648))</f>
        <v/>
      </c>
      <c r="E648" s="31">
        <f>IF($AD648="Z",SUM($AR$5:$AR$404),IF($AD648="D",INDEX($AR$5:$AR$404,$AC648),IF($AD648="T",SUMIF($X$5:$X$404,$AF648,$AR$5:$AR$404),IF($AD648="B",SUMIF($AN$5:$AN$404,$AQ648,$AR$5:$AR$404),""))))</f>
        <v/>
      </c>
      <c r="F648" s="32">
        <f>IF($AD648="Z",ROUND(SUM($AS$5:$AS$404),2),IF($AD648="D",INDEX($AS$5:$AS$404,$AC648),IF($AD648="T",ROUND(SUMIF($X$5:$X$404,$AF648,$AS$5:$AS$404),2),IF($AD648="B",ROUND(SUMIF($AN$5:$AN$404,$AQ648,$AS$5:$AS$404),2),""))))</f>
        <v/>
      </c>
      <c r="G648" s="32">
        <f>IF($AD648&lt;&gt;"D","",INDEX($AT$5:$AT$404,$AC648))</f>
        <v/>
      </c>
      <c r="H648" s="32">
        <f>IF($AD648&lt;&gt;"D","",INDEX($BC$5:$BC$404,$AC648))</f>
        <v/>
      </c>
      <c r="I648" s="32">
        <f>IF($AD648&lt;&gt;"D","",INDEX($BD$5:$BD$404,$AC648))</f>
        <v/>
      </c>
      <c r="J648" s="46">
        <f>IF($AD648&lt;&gt;"D","",IF(N($B648)=0,"",ROUND($I648/$B648,4)))</f>
        <v/>
      </c>
      <c r="K648" s="32">
        <f>IF($AD648="Z",ROUND(SUM($AU$5:$AU$404),2),IF($AD648="D",INDEX($AU$5:$AU$404,$AC648),IF($AD648="T",ROUND(SUMIF($X$5:$X$404,$AF648,$AU$5:$AU$404),2),IF($AD648="B",ROUND(SUMIF($AN$5:$AN$404,$AQ648,$AU$5:$AU$404),2),""))))</f>
        <v/>
      </c>
      <c r="L648" s="32">
        <f>IF($AD648="Z",ROUND(SUM($AV$5:$AV$404),2),IF($AD648="D",INDEX($AV$5:$AV$404,$AC648),IF($AD648="T",ROUND(SUMIF($X$5:$X$404,$AF648,$AV$5:$AV$404),2),IF($AD648="B",ROUND(SUMIF($AN$5:$AN$404,$AQ648,$AV$5:$AV$404),2),""))))</f>
        <v/>
      </c>
      <c r="M648" s="32">
        <f>IF($AD648="Z",ROUND(SUM($AJ$5:$AJ$704),2),IF($AD648="B",ROUND(SUMIF($AQ$5:$AQ$704,$AQ648,$AJ$5:$AJ$704),2),IF($AD648&lt;&gt;"T","",$AJ648)))</f>
        <v/>
      </c>
      <c r="N648" s="32">
        <f>IF(OR($AD648="D",$AD648="T",$AD648="B",$AD648="Z"),ROUND(N($K648)-N($L648)-N($M648),2),"")</f>
        <v/>
      </c>
      <c r="O648" s="32">
        <f>IF(OR($AD648="D",$AD648="T",$AD648="B",$AD648="Z"),IF(N($E648)=0,"",ROUND($F648/$E648,2)),"")</f>
        <v/>
      </c>
      <c r="AC648">
        <f>IFERROR(MATCH(644,$AB$5:$AB$404,1),"")</f>
        <v/>
      </c>
      <c r="AD648">
        <f>IF(644=$AI$1+1,"Z",IF($AC648="","",IF(INDEX($V$5:$V$404,$AC648)="","",IF(644&gt;INDEX($AB$5:$AB$404,$AC648)+INDEX($Z$5:$Z$404,$AC648)+INDEX($AA$5:$AA$404,$AC648)+INDEX($AO$5:$AO$404,$AC648),"",IF(644=INDEX($AB$5:$AB$404,$AC648)+INDEX($Z$5:$Z$404,$AC648),"D",IF(AND(INDEX($Z$5:$Z$404,$AC648)=1,644=INDEX($AB$5:$AB$404,$AC648)),"H",IF(AND(INDEX($AO$5:$AO$404,$AC648)=1,644=INDEX($AB$5:$AB$404,$AC648)+INDEX($Z$5:$Z$404,$AC648)+INDEX($AA$5:$AA$404,$AC648)+INDEX($AO$5:$AO$404,$AC648)),"B","T")))))))</f>
        <v/>
      </c>
      <c r="AF648">
        <f>IF(OR($AD648="",$AD648="Z",$AD648="B"),"",INDEX($X$5:$X$404,$AC648))</f>
        <v/>
      </c>
      <c r="AJ648">
        <f>IF($AD648&lt;&gt;"T",0,ROUND(SUMIF(oil!$B$4:$B$63,$AF648,oil!$AE$4:$AE$63),2))</f>
        <v/>
      </c>
      <c r="AQ648">
        <f>IF(OR($AD648="",$AD648="Z"),"",INDEX($AN$5:$AN$404,$AC648))</f>
        <v/>
      </c>
      <c r="AZ648">
        <f>IF(AND($AD648="T",$AQ648=1),N($AZ647)+1,N($AZ647))</f>
        <v/>
      </c>
    </row>
    <row r="649" ht="21" customHeight="1" s="66">
      <c r="A649" s="69">
        <f>IF($AD649="","",IF($AD649="Z","รวมจ่ายทั้งสิ้น",IF($AD649="H",INDEX($X$5:$X$404,$AC649),IF($AD649="T","รวม",IF($AD649="B",IFERROR(INDEX(อัตราค่าขนส่ง!$S$5:$S$14,MATCH(INDEX($AM$5:$AM$404,$AC649),อัตราค่าขนส่ง!$R$5:$R$14,0)),"รวมกลุ่ม "&amp;INDEX($AM$5:$AM$404,$AC649)),INDEX($AY$5:$AY$404,$AC649))))))</f>
        <v/>
      </c>
      <c r="B649" s="31">
        <f>IF($AD649&lt;&gt;"D","",INDEX($AW$5:$AW$404,$AC649))</f>
        <v/>
      </c>
      <c r="C649" s="68">
        <f>IF($AD649&lt;&gt;"D","",INDEX($AX$5:$AX$404,$AC649))</f>
        <v/>
      </c>
      <c r="D649" s="70">
        <f>IF($AD649&lt;&gt;"D","",INDEX($BA$5:$BA$404,$AC649))</f>
        <v/>
      </c>
      <c r="E649" s="31">
        <f>IF($AD649="Z",SUM($AR$5:$AR$404),IF($AD649="D",INDEX($AR$5:$AR$404,$AC649),IF($AD649="T",SUMIF($X$5:$X$404,$AF649,$AR$5:$AR$404),IF($AD649="B",SUMIF($AN$5:$AN$404,$AQ649,$AR$5:$AR$404),""))))</f>
        <v/>
      </c>
      <c r="F649" s="32">
        <f>IF($AD649="Z",ROUND(SUM($AS$5:$AS$404),2),IF($AD649="D",INDEX($AS$5:$AS$404,$AC649),IF($AD649="T",ROUND(SUMIF($X$5:$X$404,$AF649,$AS$5:$AS$404),2),IF($AD649="B",ROUND(SUMIF($AN$5:$AN$404,$AQ649,$AS$5:$AS$404),2),""))))</f>
        <v/>
      </c>
      <c r="G649" s="32">
        <f>IF($AD649&lt;&gt;"D","",INDEX($AT$5:$AT$404,$AC649))</f>
        <v/>
      </c>
      <c r="H649" s="32">
        <f>IF($AD649&lt;&gt;"D","",INDEX($BC$5:$BC$404,$AC649))</f>
        <v/>
      </c>
      <c r="I649" s="32">
        <f>IF($AD649&lt;&gt;"D","",INDEX($BD$5:$BD$404,$AC649))</f>
        <v/>
      </c>
      <c r="J649" s="46">
        <f>IF($AD649&lt;&gt;"D","",IF(N($B649)=0,"",ROUND($I649/$B649,4)))</f>
        <v/>
      </c>
      <c r="K649" s="32">
        <f>IF($AD649="Z",ROUND(SUM($AU$5:$AU$404),2),IF($AD649="D",INDEX($AU$5:$AU$404,$AC649),IF($AD649="T",ROUND(SUMIF($X$5:$X$404,$AF649,$AU$5:$AU$404),2),IF($AD649="B",ROUND(SUMIF($AN$5:$AN$404,$AQ649,$AU$5:$AU$404),2),""))))</f>
        <v/>
      </c>
      <c r="L649" s="32">
        <f>IF($AD649="Z",ROUND(SUM($AV$5:$AV$404),2),IF($AD649="D",INDEX($AV$5:$AV$404,$AC649),IF($AD649="T",ROUND(SUMIF($X$5:$X$404,$AF649,$AV$5:$AV$404),2),IF($AD649="B",ROUND(SUMIF($AN$5:$AN$404,$AQ649,$AV$5:$AV$404),2),""))))</f>
        <v/>
      </c>
      <c r="M649" s="32">
        <f>IF($AD649="Z",ROUND(SUM($AJ$5:$AJ$704),2),IF($AD649="B",ROUND(SUMIF($AQ$5:$AQ$704,$AQ649,$AJ$5:$AJ$704),2),IF($AD649&lt;&gt;"T","",$AJ649)))</f>
        <v/>
      </c>
      <c r="N649" s="32">
        <f>IF(OR($AD649="D",$AD649="T",$AD649="B",$AD649="Z"),ROUND(N($K649)-N($L649)-N($M649),2),"")</f>
        <v/>
      </c>
      <c r="O649" s="32">
        <f>IF(OR($AD649="D",$AD649="T",$AD649="B",$AD649="Z"),IF(N($E649)=0,"",ROUND($F649/$E649,2)),"")</f>
        <v/>
      </c>
      <c r="AC649">
        <f>IFERROR(MATCH(645,$AB$5:$AB$404,1),"")</f>
        <v/>
      </c>
      <c r="AD649">
        <f>IF(645=$AI$1+1,"Z",IF($AC649="","",IF(INDEX($V$5:$V$404,$AC649)="","",IF(645&gt;INDEX($AB$5:$AB$404,$AC649)+INDEX($Z$5:$Z$404,$AC649)+INDEX($AA$5:$AA$404,$AC649)+INDEX($AO$5:$AO$404,$AC649),"",IF(645=INDEX($AB$5:$AB$404,$AC649)+INDEX($Z$5:$Z$404,$AC649),"D",IF(AND(INDEX($Z$5:$Z$404,$AC649)=1,645=INDEX($AB$5:$AB$404,$AC649)),"H",IF(AND(INDEX($AO$5:$AO$404,$AC649)=1,645=INDEX($AB$5:$AB$404,$AC649)+INDEX($Z$5:$Z$404,$AC649)+INDEX($AA$5:$AA$404,$AC649)+INDEX($AO$5:$AO$404,$AC649)),"B","T")))))))</f>
        <v/>
      </c>
      <c r="AF649">
        <f>IF(OR($AD649="",$AD649="Z",$AD649="B"),"",INDEX($X$5:$X$404,$AC649))</f>
        <v/>
      </c>
      <c r="AJ649">
        <f>IF($AD649&lt;&gt;"T",0,ROUND(SUMIF(oil!$B$4:$B$63,$AF649,oil!$AE$4:$AE$63),2))</f>
        <v/>
      </c>
      <c r="AQ649">
        <f>IF(OR($AD649="",$AD649="Z"),"",INDEX($AN$5:$AN$404,$AC649))</f>
        <v/>
      </c>
      <c r="AZ649">
        <f>IF(AND($AD649="T",$AQ649=1),N($AZ648)+1,N($AZ648))</f>
        <v/>
      </c>
    </row>
    <row r="650" ht="21" customHeight="1" s="66">
      <c r="A650" s="69">
        <f>IF($AD650="","",IF($AD650="Z","รวมจ่ายทั้งสิ้น",IF($AD650="H",INDEX($X$5:$X$404,$AC650),IF($AD650="T","รวม",IF($AD650="B",IFERROR(INDEX(อัตราค่าขนส่ง!$S$5:$S$14,MATCH(INDEX($AM$5:$AM$404,$AC650),อัตราค่าขนส่ง!$R$5:$R$14,0)),"รวมกลุ่ม "&amp;INDEX($AM$5:$AM$404,$AC650)),INDEX($AY$5:$AY$404,$AC650))))))</f>
        <v/>
      </c>
      <c r="B650" s="31">
        <f>IF($AD650&lt;&gt;"D","",INDEX($AW$5:$AW$404,$AC650))</f>
        <v/>
      </c>
      <c r="C650" s="68">
        <f>IF($AD650&lt;&gt;"D","",INDEX($AX$5:$AX$404,$AC650))</f>
        <v/>
      </c>
      <c r="D650" s="70">
        <f>IF($AD650&lt;&gt;"D","",INDEX($BA$5:$BA$404,$AC650))</f>
        <v/>
      </c>
      <c r="E650" s="31">
        <f>IF($AD650="Z",SUM($AR$5:$AR$404),IF($AD650="D",INDEX($AR$5:$AR$404,$AC650),IF($AD650="T",SUMIF($X$5:$X$404,$AF650,$AR$5:$AR$404),IF($AD650="B",SUMIF($AN$5:$AN$404,$AQ650,$AR$5:$AR$404),""))))</f>
        <v/>
      </c>
      <c r="F650" s="32">
        <f>IF($AD650="Z",ROUND(SUM($AS$5:$AS$404),2),IF($AD650="D",INDEX($AS$5:$AS$404,$AC650),IF($AD650="T",ROUND(SUMIF($X$5:$X$404,$AF650,$AS$5:$AS$404),2),IF($AD650="B",ROUND(SUMIF($AN$5:$AN$404,$AQ650,$AS$5:$AS$404),2),""))))</f>
        <v/>
      </c>
      <c r="G650" s="32">
        <f>IF($AD650&lt;&gt;"D","",INDEX($AT$5:$AT$404,$AC650))</f>
        <v/>
      </c>
      <c r="H650" s="32">
        <f>IF($AD650&lt;&gt;"D","",INDEX($BC$5:$BC$404,$AC650))</f>
        <v/>
      </c>
      <c r="I650" s="32">
        <f>IF($AD650&lt;&gt;"D","",INDEX($BD$5:$BD$404,$AC650))</f>
        <v/>
      </c>
      <c r="J650" s="46">
        <f>IF($AD650&lt;&gt;"D","",IF(N($B650)=0,"",ROUND($I650/$B650,4)))</f>
        <v/>
      </c>
      <c r="K650" s="32">
        <f>IF($AD650="Z",ROUND(SUM($AU$5:$AU$404),2),IF($AD650="D",INDEX($AU$5:$AU$404,$AC650),IF($AD650="T",ROUND(SUMIF($X$5:$X$404,$AF650,$AU$5:$AU$404),2),IF($AD650="B",ROUND(SUMIF($AN$5:$AN$404,$AQ650,$AU$5:$AU$404),2),""))))</f>
        <v/>
      </c>
      <c r="L650" s="32">
        <f>IF($AD650="Z",ROUND(SUM($AV$5:$AV$404),2),IF($AD650="D",INDEX($AV$5:$AV$404,$AC650),IF($AD650="T",ROUND(SUMIF($X$5:$X$404,$AF650,$AV$5:$AV$404),2),IF($AD650="B",ROUND(SUMIF($AN$5:$AN$404,$AQ650,$AV$5:$AV$404),2),""))))</f>
        <v/>
      </c>
      <c r="M650" s="32">
        <f>IF($AD650="Z",ROUND(SUM($AJ$5:$AJ$704),2),IF($AD650="B",ROUND(SUMIF($AQ$5:$AQ$704,$AQ650,$AJ$5:$AJ$704),2),IF($AD650&lt;&gt;"T","",$AJ650)))</f>
        <v/>
      </c>
      <c r="N650" s="32">
        <f>IF(OR($AD650="D",$AD650="T",$AD650="B",$AD650="Z"),ROUND(N($K650)-N($L650)-N($M650),2),"")</f>
        <v/>
      </c>
      <c r="O650" s="32">
        <f>IF(OR($AD650="D",$AD650="T",$AD650="B",$AD650="Z"),IF(N($E650)=0,"",ROUND($F650/$E650,2)),"")</f>
        <v/>
      </c>
      <c r="AC650">
        <f>IFERROR(MATCH(646,$AB$5:$AB$404,1),"")</f>
        <v/>
      </c>
      <c r="AD650">
        <f>IF(646=$AI$1+1,"Z",IF($AC650="","",IF(INDEX($V$5:$V$404,$AC650)="","",IF(646&gt;INDEX($AB$5:$AB$404,$AC650)+INDEX($Z$5:$Z$404,$AC650)+INDEX($AA$5:$AA$404,$AC650)+INDEX($AO$5:$AO$404,$AC650),"",IF(646=INDEX($AB$5:$AB$404,$AC650)+INDEX($Z$5:$Z$404,$AC650),"D",IF(AND(INDEX($Z$5:$Z$404,$AC650)=1,646=INDEX($AB$5:$AB$404,$AC650)),"H",IF(AND(INDEX($AO$5:$AO$404,$AC650)=1,646=INDEX($AB$5:$AB$404,$AC650)+INDEX($Z$5:$Z$404,$AC650)+INDEX($AA$5:$AA$404,$AC650)+INDEX($AO$5:$AO$404,$AC650)),"B","T")))))))</f>
        <v/>
      </c>
      <c r="AF650">
        <f>IF(OR($AD650="",$AD650="Z",$AD650="B"),"",INDEX($X$5:$X$404,$AC650))</f>
        <v/>
      </c>
      <c r="AJ650">
        <f>IF($AD650&lt;&gt;"T",0,ROUND(SUMIF(oil!$B$4:$B$63,$AF650,oil!$AE$4:$AE$63),2))</f>
        <v/>
      </c>
      <c r="AQ650">
        <f>IF(OR($AD650="",$AD650="Z"),"",INDEX($AN$5:$AN$404,$AC650))</f>
        <v/>
      </c>
      <c r="AZ650">
        <f>IF(AND($AD650="T",$AQ650=1),N($AZ649)+1,N($AZ649))</f>
        <v/>
      </c>
    </row>
    <row r="651" ht="21" customHeight="1" s="66">
      <c r="A651" s="69">
        <f>IF($AD651="","",IF($AD651="Z","รวมจ่ายทั้งสิ้น",IF($AD651="H",INDEX($X$5:$X$404,$AC651),IF($AD651="T","รวม",IF($AD651="B",IFERROR(INDEX(อัตราค่าขนส่ง!$S$5:$S$14,MATCH(INDEX($AM$5:$AM$404,$AC651),อัตราค่าขนส่ง!$R$5:$R$14,0)),"รวมกลุ่ม "&amp;INDEX($AM$5:$AM$404,$AC651)),INDEX($AY$5:$AY$404,$AC651))))))</f>
        <v/>
      </c>
      <c r="B651" s="31">
        <f>IF($AD651&lt;&gt;"D","",INDEX($AW$5:$AW$404,$AC651))</f>
        <v/>
      </c>
      <c r="C651" s="68">
        <f>IF($AD651&lt;&gt;"D","",INDEX($AX$5:$AX$404,$AC651))</f>
        <v/>
      </c>
      <c r="D651" s="70">
        <f>IF($AD651&lt;&gt;"D","",INDEX($BA$5:$BA$404,$AC651))</f>
        <v/>
      </c>
      <c r="E651" s="31">
        <f>IF($AD651="Z",SUM($AR$5:$AR$404),IF($AD651="D",INDEX($AR$5:$AR$404,$AC651),IF($AD651="T",SUMIF($X$5:$X$404,$AF651,$AR$5:$AR$404),IF($AD651="B",SUMIF($AN$5:$AN$404,$AQ651,$AR$5:$AR$404),""))))</f>
        <v/>
      </c>
      <c r="F651" s="32">
        <f>IF($AD651="Z",ROUND(SUM($AS$5:$AS$404),2),IF($AD651="D",INDEX($AS$5:$AS$404,$AC651),IF($AD651="T",ROUND(SUMIF($X$5:$X$404,$AF651,$AS$5:$AS$404),2),IF($AD651="B",ROUND(SUMIF($AN$5:$AN$404,$AQ651,$AS$5:$AS$404),2),""))))</f>
        <v/>
      </c>
      <c r="G651" s="32">
        <f>IF($AD651&lt;&gt;"D","",INDEX($AT$5:$AT$404,$AC651))</f>
        <v/>
      </c>
      <c r="H651" s="32">
        <f>IF($AD651&lt;&gt;"D","",INDEX($BC$5:$BC$404,$AC651))</f>
        <v/>
      </c>
      <c r="I651" s="32">
        <f>IF($AD651&lt;&gt;"D","",INDEX($BD$5:$BD$404,$AC651))</f>
        <v/>
      </c>
      <c r="J651" s="46">
        <f>IF($AD651&lt;&gt;"D","",IF(N($B651)=0,"",ROUND($I651/$B651,4)))</f>
        <v/>
      </c>
      <c r="K651" s="32">
        <f>IF($AD651="Z",ROUND(SUM($AU$5:$AU$404),2),IF($AD651="D",INDEX($AU$5:$AU$404,$AC651),IF($AD651="T",ROUND(SUMIF($X$5:$X$404,$AF651,$AU$5:$AU$404),2),IF($AD651="B",ROUND(SUMIF($AN$5:$AN$404,$AQ651,$AU$5:$AU$404),2),""))))</f>
        <v/>
      </c>
      <c r="L651" s="32">
        <f>IF($AD651="Z",ROUND(SUM($AV$5:$AV$404),2),IF($AD651="D",INDEX($AV$5:$AV$404,$AC651),IF($AD651="T",ROUND(SUMIF($X$5:$X$404,$AF651,$AV$5:$AV$404),2),IF($AD651="B",ROUND(SUMIF($AN$5:$AN$404,$AQ651,$AV$5:$AV$404),2),""))))</f>
        <v/>
      </c>
      <c r="M651" s="32">
        <f>IF($AD651="Z",ROUND(SUM($AJ$5:$AJ$704),2),IF($AD651="B",ROUND(SUMIF($AQ$5:$AQ$704,$AQ651,$AJ$5:$AJ$704),2),IF($AD651&lt;&gt;"T","",$AJ651)))</f>
        <v/>
      </c>
      <c r="N651" s="32">
        <f>IF(OR($AD651="D",$AD651="T",$AD651="B",$AD651="Z"),ROUND(N($K651)-N($L651)-N($M651),2),"")</f>
        <v/>
      </c>
      <c r="O651" s="32">
        <f>IF(OR($AD651="D",$AD651="T",$AD651="B",$AD651="Z"),IF(N($E651)=0,"",ROUND($F651/$E651,2)),"")</f>
        <v/>
      </c>
      <c r="AC651">
        <f>IFERROR(MATCH(647,$AB$5:$AB$404,1),"")</f>
        <v/>
      </c>
      <c r="AD651">
        <f>IF(647=$AI$1+1,"Z",IF($AC651="","",IF(INDEX($V$5:$V$404,$AC651)="","",IF(647&gt;INDEX($AB$5:$AB$404,$AC651)+INDEX($Z$5:$Z$404,$AC651)+INDEX($AA$5:$AA$404,$AC651)+INDEX($AO$5:$AO$404,$AC651),"",IF(647=INDEX($AB$5:$AB$404,$AC651)+INDEX($Z$5:$Z$404,$AC651),"D",IF(AND(INDEX($Z$5:$Z$404,$AC651)=1,647=INDEX($AB$5:$AB$404,$AC651)),"H",IF(AND(INDEX($AO$5:$AO$404,$AC651)=1,647=INDEX($AB$5:$AB$404,$AC651)+INDEX($Z$5:$Z$404,$AC651)+INDEX($AA$5:$AA$404,$AC651)+INDEX($AO$5:$AO$404,$AC651)),"B","T")))))))</f>
        <v/>
      </c>
      <c r="AF651">
        <f>IF(OR($AD651="",$AD651="Z",$AD651="B"),"",INDEX($X$5:$X$404,$AC651))</f>
        <v/>
      </c>
      <c r="AJ651">
        <f>IF($AD651&lt;&gt;"T",0,ROUND(SUMIF(oil!$B$4:$B$63,$AF651,oil!$AE$4:$AE$63),2))</f>
        <v/>
      </c>
      <c r="AQ651">
        <f>IF(OR($AD651="",$AD651="Z"),"",INDEX($AN$5:$AN$404,$AC651))</f>
        <v/>
      </c>
      <c r="AZ651">
        <f>IF(AND($AD651="T",$AQ651=1),N($AZ650)+1,N($AZ650))</f>
        <v/>
      </c>
    </row>
    <row r="652" ht="21" customHeight="1" s="66">
      <c r="A652" s="69">
        <f>IF($AD652="","",IF($AD652="Z","รวมจ่ายทั้งสิ้น",IF($AD652="H",INDEX($X$5:$X$404,$AC652),IF($AD652="T","รวม",IF($AD652="B",IFERROR(INDEX(อัตราค่าขนส่ง!$S$5:$S$14,MATCH(INDEX($AM$5:$AM$404,$AC652),อัตราค่าขนส่ง!$R$5:$R$14,0)),"รวมกลุ่ม "&amp;INDEX($AM$5:$AM$404,$AC652)),INDEX($AY$5:$AY$404,$AC652))))))</f>
        <v/>
      </c>
      <c r="B652" s="31">
        <f>IF($AD652&lt;&gt;"D","",INDEX($AW$5:$AW$404,$AC652))</f>
        <v/>
      </c>
      <c r="C652" s="68">
        <f>IF($AD652&lt;&gt;"D","",INDEX($AX$5:$AX$404,$AC652))</f>
        <v/>
      </c>
      <c r="D652" s="70">
        <f>IF($AD652&lt;&gt;"D","",INDEX($BA$5:$BA$404,$AC652))</f>
        <v/>
      </c>
      <c r="E652" s="31">
        <f>IF($AD652="Z",SUM($AR$5:$AR$404),IF($AD652="D",INDEX($AR$5:$AR$404,$AC652),IF($AD652="T",SUMIF($X$5:$X$404,$AF652,$AR$5:$AR$404),IF($AD652="B",SUMIF($AN$5:$AN$404,$AQ652,$AR$5:$AR$404),""))))</f>
        <v/>
      </c>
      <c r="F652" s="32">
        <f>IF($AD652="Z",ROUND(SUM($AS$5:$AS$404),2),IF($AD652="D",INDEX($AS$5:$AS$404,$AC652),IF($AD652="T",ROUND(SUMIF($X$5:$X$404,$AF652,$AS$5:$AS$404),2),IF($AD652="B",ROUND(SUMIF($AN$5:$AN$404,$AQ652,$AS$5:$AS$404),2),""))))</f>
        <v/>
      </c>
      <c r="G652" s="32">
        <f>IF($AD652&lt;&gt;"D","",INDEX($AT$5:$AT$404,$AC652))</f>
        <v/>
      </c>
      <c r="H652" s="32">
        <f>IF($AD652&lt;&gt;"D","",INDEX($BC$5:$BC$404,$AC652))</f>
        <v/>
      </c>
      <c r="I652" s="32">
        <f>IF($AD652&lt;&gt;"D","",INDEX($BD$5:$BD$404,$AC652))</f>
        <v/>
      </c>
      <c r="J652" s="46">
        <f>IF($AD652&lt;&gt;"D","",IF(N($B652)=0,"",ROUND($I652/$B652,4)))</f>
        <v/>
      </c>
      <c r="K652" s="32">
        <f>IF($AD652="Z",ROUND(SUM($AU$5:$AU$404),2),IF($AD652="D",INDEX($AU$5:$AU$404,$AC652),IF($AD652="T",ROUND(SUMIF($X$5:$X$404,$AF652,$AU$5:$AU$404),2),IF($AD652="B",ROUND(SUMIF($AN$5:$AN$404,$AQ652,$AU$5:$AU$404),2),""))))</f>
        <v/>
      </c>
      <c r="L652" s="32">
        <f>IF($AD652="Z",ROUND(SUM($AV$5:$AV$404),2),IF($AD652="D",INDEX($AV$5:$AV$404,$AC652),IF($AD652="T",ROUND(SUMIF($X$5:$X$404,$AF652,$AV$5:$AV$404),2),IF($AD652="B",ROUND(SUMIF($AN$5:$AN$404,$AQ652,$AV$5:$AV$404),2),""))))</f>
        <v/>
      </c>
      <c r="M652" s="32">
        <f>IF($AD652="Z",ROUND(SUM($AJ$5:$AJ$704),2),IF($AD652="B",ROUND(SUMIF($AQ$5:$AQ$704,$AQ652,$AJ$5:$AJ$704),2),IF($AD652&lt;&gt;"T","",$AJ652)))</f>
        <v/>
      </c>
      <c r="N652" s="32">
        <f>IF(OR($AD652="D",$AD652="T",$AD652="B",$AD652="Z"),ROUND(N($K652)-N($L652)-N($M652),2),"")</f>
        <v/>
      </c>
      <c r="O652" s="32">
        <f>IF(OR($AD652="D",$AD652="T",$AD652="B",$AD652="Z"),IF(N($E652)=0,"",ROUND($F652/$E652,2)),"")</f>
        <v/>
      </c>
      <c r="AC652">
        <f>IFERROR(MATCH(648,$AB$5:$AB$404,1),"")</f>
        <v/>
      </c>
      <c r="AD652">
        <f>IF(648=$AI$1+1,"Z",IF($AC652="","",IF(INDEX($V$5:$V$404,$AC652)="","",IF(648&gt;INDEX($AB$5:$AB$404,$AC652)+INDEX($Z$5:$Z$404,$AC652)+INDEX($AA$5:$AA$404,$AC652)+INDEX($AO$5:$AO$404,$AC652),"",IF(648=INDEX($AB$5:$AB$404,$AC652)+INDEX($Z$5:$Z$404,$AC652),"D",IF(AND(INDEX($Z$5:$Z$404,$AC652)=1,648=INDEX($AB$5:$AB$404,$AC652)),"H",IF(AND(INDEX($AO$5:$AO$404,$AC652)=1,648=INDEX($AB$5:$AB$404,$AC652)+INDEX($Z$5:$Z$404,$AC652)+INDEX($AA$5:$AA$404,$AC652)+INDEX($AO$5:$AO$404,$AC652)),"B","T")))))))</f>
        <v/>
      </c>
      <c r="AF652">
        <f>IF(OR($AD652="",$AD652="Z",$AD652="B"),"",INDEX($X$5:$X$404,$AC652))</f>
        <v/>
      </c>
      <c r="AJ652">
        <f>IF($AD652&lt;&gt;"T",0,ROUND(SUMIF(oil!$B$4:$B$63,$AF652,oil!$AE$4:$AE$63),2))</f>
        <v/>
      </c>
      <c r="AQ652">
        <f>IF(OR($AD652="",$AD652="Z"),"",INDEX($AN$5:$AN$404,$AC652))</f>
        <v/>
      </c>
      <c r="AZ652">
        <f>IF(AND($AD652="T",$AQ652=1),N($AZ651)+1,N($AZ651))</f>
        <v/>
      </c>
    </row>
    <row r="653" ht="21" customHeight="1" s="66">
      <c r="A653" s="69">
        <f>IF($AD653="","",IF($AD653="Z","รวมจ่ายทั้งสิ้น",IF($AD653="H",INDEX($X$5:$X$404,$AC653),IF($AD653="T","รวม",IF($AD653="B",IFERROR(INDEX(อัตราค่าขนส่ง!$S$5:$S$14,MATCH(INDEX($AM$5:$AM$404,$AC653),อัตราค่าขนส่ง!$R$5:$R$14,0)),"รวมกลุ่ม "&amp;INDEX($AM$5:$AM$404,$AC653)),INDEX($AY$5:$AY$404,$AC653))))))</f>
        <v/>
      </c>
      <c r="B653" s="31">
        <f>IF($AD653&lt;&gt;"D","",INDEX($AW$5:$AW$404,$AC653))</f>
        <v/>
      </c>
      <c r="C653" s="68">
        <f>IF($AD653&lt;&gt;"D","",INDEX($AX$5:$AX$404,$AC653))</f>
        <v/>
      </c>
      <c r="D653" s="70">
        <f>IF($AD653&lt;&gt;"D","",INDEX($BA$5:$BA$404,$AC653))</f>
        <v/>
      </c>
      <c r="E653" s="31">
        <f>IF($AD653="Z",SUM($AR$5:$AR$404),IF($AD653="D",INDEX($AR$5:$AR$404,$AC653),IF($AD653="T",SUMIF($X$5:$X$404,$AF653,$AR$5:$AR$404),IF($AD653="B",SUMIF($AN$5:$AN$404,$AQ653,$AR$5:$AR$404),""))))</f>
        <v/>
      </c>
      <c r="F653" s="32">
        <f>IF($AD653="Z",ROUND(SUM($AS$5:$AS$404),2),IF($AD653="D",INDEX($AS$5:$AS$404,$AC653),IF($AD653="T",ROUND(SUMIF($X$5:$X$404,$AF653,$AS$5:$AS$404),2),IF($AD653="B",ROUND(SUMIF($AN$5:$AN$404,$AQ653,$AS$5:$AS$404),2),""))))</f>
        <v/>
      </c>
      <c r="G653" s="32">
        <f>IF($AD653&lt;&gt;"D","",INDEX($AT$5:$AT$404,$AC653))</f>
        <v/>
      </c>
      <c r="H653" s="32">
        <f>IF($AD653&lt;&gt;"D","",INDEX($BC$5:$BC$404,$AC653))</f>
        <v/>
      </c>
      <c r="I653" s="32">
        <f>IF($AD653&lt;&gt;"D","",INDEX($BD$5:$BD$404,$AC653))</f>
        <v/>
      </c>
      <c r="J653" s="46">
        <f>IF($AD653&lt;&gt;"D","",IF(N($B653)=0,"",ROUND($I653/$B653,4)))</f>
        <v/>
      </c>
      <c r="K653" s="32">
        <f>IF($AD653="Z",ROUND(SUM($AU$5:$AU$404),2),IF($AD653="D",INDEX($AU$5:$AU$404,$AC653),IF($AD653="T",ROUND(SUMIF($X$5:$X$404,$AF653,$AU$5:$AU$404),2),IF($AD653="B",ROUND(SUMIF($AN$5:$AN$404,$AQ653,$AU$5:$AU$404),2),""))))</f>
        <v/>
      </c>
      <c r="L653" s="32">
        <f>IF($AD653="Z",ROUND(SUM($AV$5:$AV$404),2),IF($AD653="D",INDEX($AV$5:$AV$404,$AC653),IF($AD653="T",ROUND(SUMIF($X$5:$X$404,$AF653,$AV$5:$AV$404),2),IF($AD653="B",ROUND(SUMIF($AN$5:$AN$404,$AQ653,$AV$5:$AV$404),2),""))))</f>
        <v/>
      </c>
      <c r="M653" s="32">
        <f>IF($AD653="Z",ROUND(SUM($AJ$5:$AJ$704),2),IF($AD653="B",ROUND(SUMIF($AQ$5:$AQ$704,$AQ653,$AJ$5:$AJ$704),2),IF($AD653&lt;&gt;"T","",$AJ653)))</f>
        <v/>
      </c>
      <c r="N653" s="32">
        <f>IF(OR($AD653="D",$AD653="T",$AD653="B",$AD653="Z"),ROUND(N($K653)-N($L653)-N($M653),2),"")</f>
        <v/>
      </c>
      <c r="O653" s="32">
        <f>IF(OR($AD653="D",$AD653="T",$AD653="B",$AD653="Z"),IF(N($E653)=0,"",ROUND($F653/$E653,2)),"")</f>
        <v/>
      </c>
      <c r="AC653">
        <f>IFERROR(MATCH(649,$AB$5:$AB$404,1),"")</f>
        <v/>
      </c>
      <c r="AD653">
        <f>IF(649=$AI$1+1,"Z",IF($AC653="","",IF(INDEX($V$5:$V$404,$AC653)="","",IF(649&gt;INDEX($AB$5:$AB$404,$AC653)+INDEX($Z$5:$Z$404,$AC653)+INDEX($AA$5:$AA$404,$AC653)+INDEX($AO$5:$AO$404,$AC653),"",IF(649=INDEX($AB$5:$AB$404,$AC653)+INDEX($Z$5:$Z$404,$AC653),"D",IF(AND(INDEX($Z$5:$Z$404,$AC653)=1,649=INDEX($AB$5:$AB$404,$AC653)),"H",IF(AND(INDEX($AO$5:$AO$404,$AC653)=1,649=INDEX($AB$5:$AB$404,$AC653)+INDEX($Z$5:$Z$404,$AC653)+INDEX($AA$5:$AA$404,$AC653)+INDEX($AO$5:$AO$404,$AC653)),"B","T")))))))</f>
        <v/>
      </c>
      <c r="AF653">
        <f>IF(OR($AD653="",$AD653="Z",$AD653="B"),"",INDEX($X$5:$X$404,$AC653))</f>
        <v/>
      </c>
      <c r="AJ653">
        <f>IF($AD653&lt;&gt;"T",0,ROUND(SUMIF(oil!$B$4:$B$63,$AF653,oil!$AE$4:$AE$63),2))</f>
        <v/>
      </c>
      <c r="AQ653">
        <f>IF(OR($AD653="",$AD653="Z"),"",INDEX($AN$5:$AN$404,$AC653))</f>
        <v/>
      </c>
      <c r="AZ653">
        <f>IF(AND($AD653="T",$AQ653=1),N($AZ652)+1,N($AZ652))</f>
        <v/>
      </c>
    </row>
    <row r="654" ht="21" customHeight="1" s="66">
      <c r="A654" s="69">
        <f>IF($AD654="","",IF($AD654="Z","รวมจ่ายทั้งสิ้น",IF($AD654="H",INDEX($X$5:$X$404,$AC654),IF($AD654="T","รวม",IF($AD654="B",IFERROR(INDEX(อัตราค่าขนส่ง!$S$5:$S$14,MATCH(INDEX($AM$5:$AM$404,$AC654),อัตราค่าขนส่ง!$R$5:$R$14,0)),"รวมกลุ่ม "&amp;INDEX($AM$5:$AM$404,$AC654)),INDEX($AY$5:$AY$404,$AC654))))))</f>
        <v/>
      </c>
      <c r="B654" s="31">
        <f>IF($AD654&lt;&gt;"D","",INDEX($AW$5:$AW$404,$AC654))</f>
        <v/>
      </c>
      <c r="C654" s="68">
        <f>IF($AD654&lt;&gt;"D","",INDEX($AX$5:$AX$404,$AC654))</f>
        <v/>
      </c>
      <c r="D654" s="70">
        <f>IF($AD654&lt;&gt;"D","",INDEX($BA$5:$BA$404,$AC654))</f>
        <v/>
      </c>
      <c r="E654" s="31">
        <f>IF($AD654="Z",SUM($AR$5:$AR$404),IF($AD654="D",INDEX($AR$5:$AR$404,$AC654),IF($AD654="T",SUMIF($X$5:$X$404,$AF654,$AR$5:$AR$404),IF($AD654="B",SUMIF($AN$5:$AN$404,$AQ654,$AR$5:$AR$404),""))))</f>
        <v/>
      </c>
      <c r="F654" s="32">
        <f>IF($AD654="Z",ROUND(SUM($AS$5:$AS$404),2),IF($AD654="D",INDEX($AS$5:$AS$404,$AC654),IF($AD654="T",ROUND(SUMIF($X$5:$X$404,$AF654,$AS$5:$AS$404),2),IF($AD654="B",ROUND(SUMIF($AN$5:$AN$404,$AQ654,$AS$5:$AS$404),2),""))))</f>
        <v/>
      </c>
      <c r="G654" s="32">
        <f>IF($AD654&lt;&gt;"D","",INDEX($AT$5:$AT$404,$AC654))</f>
        <v/>
      </c>
      <c r="H654" s="32">
        <f>IF($AD654&lt;&gt;"D","",INDEX($BC$5:$BC$404,$AC654))</f>
        <v/>
      </c>
      <c r="I654" s="32">
        <f>IF($AD654&lt;&gt;"D","",INDEX($BD$5:$BD$404,$AC654))</f>
        <v/>
      </c>
      <c r="J654" s="46">
        <f>IF($AD654&lt;&gt;"D","",IF(N($B654)=0,"",ROUND($I654/$B654,4)))</f>
        <v/>
      </c>
      <c r="K654" s="32">
        <f>IF($AD654="Z",ROUND(SUM($AU$5:$AU$404),2),IF($AD654="D",INDEX($AU$5:$AU$404,$AC654),IF($AD654="T",ROUND(SUMIF($X$5:$X$404,$AF654,$AU$5:$AU$404),2),IF($AD654="B",ROUND(SUMIF($AN$5:$AN$404,$AQ654,$AU$5:$AU$404),2),""))))</f>
        <v/>
      </c>
      <c r="L654" s="32">
        <f>IF($AD654="Z",ROUND(SUM($AV$5:$AV$404),2),IF($AD654="D",INDEX($AV$5:$AV$404,$AC654),IF($AD654="T",ROUND(SUMIF($X$5:$X$404,$AF654,$AV$5:$AV$404),2),IF($AD654="B",ROUND(SUMIF($AN$5:$AN$404,$AQ654,$AV$5:$AV$404),2),""))))</f>
        <v/>
      </c>
      <c r="M654" s="32">
        <f>IF($AD654="Z",ROUND(SUM($AJ$5:$AJ$704),2),IF($AD654="B",ROUND(SUMIF($AQ$5:$AQ$704,$AQ654,$AJ$5:$AJ$704),2),IF($AD654&lt;&gt;"T","",$AJ654)))</f>
        <v/>
      </c>
      <c r="N654" s="32">
        <f>IF(OR($AD654="D",$AD654="T",$AD654="B",$AD654="Z"),ROUND(N($K654)-N($L654)-N($M654),2),"")</f>
        <v/>
      </c>
      <c r="O654" s="32">
        <f>IF(OR($AD654="D",$AD654="T",$AD654="B",$AD654="Z"),IF(N($E654)=0,"",ROUND($F654/$E654,2)),"")</f>
        <v/>
      </c>
      <c r="AC654">
        <f>IFERROR(MATCH(650,$AB$5:$AB$404,1),"")</f>
        <v/>
      </c>
      <c r="AD654">
        <f>IF(650=$AI$1+1,"Z",IF($AC654="","",IF(INDEX($V$5:$V$404,$AC654)="","",IF(650&gt;INDEX($AB$5:$AB$404,$AC654)+INDEX($Z$5:$Z$404,$AC654)+INDEX($AA$5:$AA$404,$AC654)+INDEX($AO$5:$AO$404,$AC654),"",IF(650=INDEX($AB$5:$AB$404,$AC654)+INDEX($Z$5:$Z$404,$AC654),"D",IF(AND(INDEX($Z$5:$Z$404,$AC654)=1,650=INDEX($AB$5:$AB$404,$AC654)),"H",IF(AND(INDEX($AO$5:$AO$404,$AC654)=1,650=INDEX($AB$5:$AB$404,$AC654)+INDEX($Z$5:$Z$404,$AC654)+INDEX($AA$5:$AA$404,$AC654)+INDEX($AO$5:$AO$404,$AC654)),"B","T")))))))</f>
        <v/>
      </c>
      <c r="AF654">
        <f>IF(OR($AD654="",$AD654="Z",$AD654="B"),"",INDEX($X$5:$X$404,$AC654))</f>
        <v/>
      </c>
      <c r="AJ654">
        <f>IF($AD654&lt;&gt;"T",0,ROUND(SUMIF(oil!$B$4:$B$63,$AF654,oil!$AE$4:$AE$63),2))</f>
        <v/>
      </c>
      <c r="AQ654">
        <f>IF(OR($AD654="",$AD654="Z"),"",INDEX($AN$5:$AN$404,$AC654))</f>
        <v/>
      </c>
      <c r="AZ654">
        <f>IF(AND($AD654="T",$AQ654=1),N($AZ653)+1,N($AZ653))</f>
        <v/>
      </c>
    </row>
    <row r="655" ht="21" customHeight="1" s="66">
      <c r="A655" s="69">
        <f>IF($AD655="","",IF($AD655="Z","รวมจ่ายทั้งสิ้น",IF($AD655="H",INDEX($X$5:$X$404,$AC655),IF($AD655="T","รวม",IF($AD655="B",IFERROR(INDEX(อัตราค่าขนส่ง!$S$5:$S$14,MATCH(INDEX($AM$5:$AM$404,$AC655),อัตราค่าขนส่ง!$R$5:$R$14,0)),"รวมกลุ่ม "&amp;INDEX($AM$5:$AM$404,$AC655)),INDEX($AY$5:$AY$404,$AC655))))))</f>
        <v/>
      </c>
      <c r="B655" s="31">
        <f>IF($AD655&lt;&gt;"D","",INDEX($AW$5:$AW$404,$AC655))</f>
        <v/>
      </c>
      <c r="C655" s="68">
        <f>IF($AD655&lt;&gt;"D","",INDEX($AX$5:$AX$404,$AC655))</f>
        <v/>
      </c>
      <c r="D655" s="70">
        <f>IF($AD655&lt;&gt;"D","",INDEX($BA$5:$BA$404,$AC655))</f>
        <v/>
      </c>
      <c r="E655" s="31">
        <f>IF($AD655="Z",SUM($AR$5:$AR$404),IF($AD655="D",INDEX($AR$5:$AR$404,$AC655),IF($AD655="T",SUMIF($X$5:$X$404,$AF655,$AR$5:$AR$404),IF($AD655="B",SUMIF($AN$5:$AN$404,$AQ655,$AR$5:$AR$404),""))))</f>
        <v/>
      </c>
      <c r="F655" s="32">
        <f>IF($AD655="Z",ROUND(SUM($AS$5:$AS$404),2),IF($AD655="D",INDEX($AS$5:$AS$404,$AC655),IF($AD655="T",ROUND(SUMIF($X$5:$X$404,$AF655,$AS$5:$AS$404),2),IF($AD655="B",ROUND(SUMIF($AN$5:$AN$404,$AQ655,$AS$5:$AS$404),2),""))))</f>
        <v/>
      </c>
      <c r="G655" s="32">
        <f>IF($AD655&lt;&gt;"D","",INDEX($AT$5:$AT$404,$AC655))</f>
        <v/>
      </c>
      <c r="H655" s="32">
        <f>IF($AD655&lt;&gt;"D","",INDEX($BC$5:$BC$404,$AC655))</f>
        <v/>
      </c>
      <c r="I655" s="32">
        <f>IF($AD655&lt;&gt;"D","",INDEX($BD$5:$BD$404,$AC655))</f>
        <v/>
      </c>
      <c r="J655" s="46">
        <f>IF($AD655&lt;&gt;"D","",IF(N($B655)=0,"",ROUND($I655/$B655,4)))</f>
        <v/>
      </c>
      <c r="K655" s="32">
        <f>IF($AD655="Z",ROUND(SUM($AU$5:$AU$404),2),IF($AD655="D",INDEX($AU$5:$AU$404,$AC655),IF($AD655="T",ROUND(SUMIF($X$5:$X$404,$AF655,$AU$5:$AU$404),2),IF($AD655="B",ROUND(SUMIF($AN$5:$AN$404,$AQ655,$AU$5:$AU$404),2),""))))</f>
        <v/>
      </c>
      <c r="L655" s="32">
        <f>IF($AD655="Z",ROUND(SUM($AV$5:$AV$404),2),IF($AD655="D",INDEX($AV$5:$AV$404,$AC655),IF($AD655="T",ROUND(SUMIF($X$5:$X$404,$AF655,$AV$5:$AV$404),2),IF($AD655="B",ROUND(SUMIF($AN$5:$AN$404,$AQ655,$AV$5:$AV$404),2),""))))</f>
        <v/>
      </c>
      <c r="M655" s="32">
        <f>IF($AD655="Z",ROUND(SUM($AJ$5:$AJ$704),2),IF($AD655="B",ROUND(SUMIF($AQ$5:$AQ$704,$AQ655,$AJ$5:$AJ$704),2),IF($AD655&lt;&gt;"T","",$AJ655)))</f>
        <v/>
      </c>
      <c r="N655" s="32">
        <f>IF(OR($AD655="D",$AD655="T",$AD655="B",$AD655="Z"),ROUND(N($K655)-N($L655)-N($M655),2),"")</f>
        <v/>
      </c>
      <c r="O655" s="32">
        <f>IF(OR($AD655="D",$AD655="T",$AD655="B",$AD655="Z"),IF(N($E655)=0,"",ROUND($F655/$E655,2)),"")</f>
        <v/>
      </c>
      <c r="AC655">
        <f>IFERROR(MATCH(651,$AB$5:$AB$404,1),"")</f>
        <v/>
      </c>
      <c r="AD655">
        <f>IF(651=$AI$1+1,"Z",IF($AC655="","",IF(INDEX($V$5:$V$404,$AC655)="","",IF(651&gt;INDEX($AB$5:$AB$404,$AC655)+INDEX($Z$5:$Z$404,$AC655)+INDEX($AA$5:$AA$404,$AC655)+INDEX($AO$5:$AO$404,$AC655),"",IF(651=INDEX($AB$5:$AB$404,$AC655)+INDEX($Z$5:$Z$404,$AC655),"D",IF(AND(INDEX($Z$5:$Z$404,$AC655)=1,651=INDEX($AB$5:$AB$404,$AC655)),"H",IF(AND(INDEX($AO$5:$AO$404,$AC655)=1,651=INDEX($AB$5:$AB$404,$AC655)+INDEX($Z$5:$Z$404,$AC655)+INDEX($AA$5:$AA$404,$AC655)+INDEX($AO$5:$AO$404,$AC655)),"B","T")))))))</f>
        <v/>
      </c>
      <c r="AF655">
        <f>IF(OR($AD655="",$AD655="Z",$AD655="B"),"",INDEX($X$5:$X$404,$AC655))</f>
        <v/>
      </c>
      <c r="AJ655">
        <f>IF($AD655&lt;&gt;"T",0,ROUND(SUMIF(oil!$B$4:$B$63,$AF655,oil!$AE$4:$AE$63),2))</f>
        <v/>
      </c>
      <c r="AQ655">
        <f>IF(OR($AD655="",$AD655="Z"),"",INDEX($AN$5:$AN$404,$AC655))</f>
        <v/>
      </c>
      <c r="AZ655">
        <f>IF(AND($AD655="T",$AQ655=1),N($AZ654)+1,N($AZ654))</f>
        <v/>
      </c>
    </row>
    <row r="656" ht="21" customHeight="1" s="66">
      <c r="A656" s="69">
        <f>IF($AD656="","",IF($AD656="Z","รวมจ่ายทั้งสิ้น",IF($AD656="H",INDEX($X$5:$X$404,$AC656),IF($AD656="T","รวม",IF($AD656="B",IFERROR(INDEX(อัตราค่าขนส่ง!$S$5:$S$14,MATCH(INDEX($AM$5:$AM$404,$AC656),อัตราค่าขนส่ง!$R$5:$R$14,0)),"รวมกลุ่ม "&amp;INDEX($AM$5:$AM$404,$AC656)),INDEX($AY$5:$AY$404,$AC656))))))</f>
        <v/>
      </c>
      <c r="B656" s="31">
        <f>IF($AD656&lt;&gt;"D","",INDEX($AW$5:$AW$404,$AC656))</f>
        <v/>
      </c>
      <c r="C656" s="68">
        <f>IF($AD656&lt;&gt;"D","",INDEX($AX$5:$AX$404,$AC656))</f>
        <v/>
      </c>
      <c r="D656" s="70">
        <f>IF($AD656&lt;&gt;"D","",INDEX($BA$5:$BA$404,$AC656))</f>
        <v/>
      </c>
      <c r="E656" s="31">
        <f>IF($AD656="Z",SUM($AR$5:$AR$404),IF($AD656="D",INDEX($AR$5:$AR$404,$AC656),IF($AD656="T",SUMIF($X$5:$X$404,$AF656,$AR$5:$AR$404),IF($AD656="B",SUMIF($AN$5:$AN$404,$AQ656,$AR$5:$AR$404),""))))</f>
        <v/>
      </c>
      <c r="F656" s="32">
        <f>IF($AD656="Z",ROUND(SUM($AS$5:$AS$404),2),IF($AD656="D",INDEX($AS$5:$AS$404,$AC656),IF($AD656="T",ROUND(SUMIF($X$5:$X$404,$AF656,$AS$5:$AS$404),2),IF($AD656="B",ROUND(SUMIF($AN$5:$AN$404,$AQ656,$AS$5:$AS$404),2),""))))</f>
        <v/>
      </c>
      <c r="G656" s="32">
        <f>IF($AD656&lt;&gt;"D","",INDEX($AT$5:$AT$404,$AC656))</f>
        <v/>
      </c>
      <c r="H656" s="32">
        <f>IF($AD656&lt;&gt;"D","",INDEX($BC$5:$BC$404,$AC656))</f>
        <v/>
      </c>
      <c r="I656" s="32">
        <f>IF($AD656&lt;&gt;"D","",INDEX($BD$5:$BD$404,$AC656))</f>
        <v/>
      </c>
      <c r="J656" s="46">
        <f>IF($AD656&lt;&gt;"D","",IF(N($B656)=0,"",ROUND($I656/$B656,4)))</f>
        <v/>
      </c>
      <c r="K656" s="32">
        <f>IF($AD656="Z",ROUND(SUM($AU$5:$AU$404),2),IF($AD656="D",INDEX($AU$5:$AU$404,$AC656),IF($AD656="T",ROUND(SUMIF($X$5:$X$404,$AF656,$AU$5:$AU$404),2),IF($AD656="B",ROUND(SUMIF($AN$5:$AN$404,$AQ656,$AU$5:$AU$404),2),""))))</f>
        <v/>
      </c>
      <c r="L656" s="32">
        <f>IF($AD656="Z",ROUND(SUM($AV$5:$AV$404),2),IF($AD656="D",INDEX($AV$5:$AV$404,$AC656),IF($AD656="T",ROUND(SUMIF($X$5:$X$404,$AF656,$AV$5:$AV$404),2),IF($AD656="B",ROUND(SUMIF($AN$5:$AN$404,$AQ656,$AV$5:$AV$404),2),""))))</f>
        <v/>
      </c>
      <c r="M656" s="32">
        <f>IF($AD656="Z",ROUND(SUM($AJ$5:$AJ$704),2),IF($AD656="B",ROUND(SUMIF($AQ$5:$AQ$704,$AQ656,$AJ$5:$AJ$704),2),IF($AD656&lt;&gt;"T","",$AJ656)))</f>
        <v/>
      </c>
      <c r="N656" s="32">
        <f>IF(OR($AD656="D",$AD656="T",$AD656="B",$AD656="Z"),ROUND(N($K656)-N($L656)-N($M656),2),"")</f>
        <v/>
      </c>
      <c r="O656" s="32">
        <f>IF(OR($AD656="D",$AD656="T",$AD656="B",$AD656="Z"),IF(N($E656)=0,"",ROUND($F656/$E656,2)),"")</f>
        <v/>
      </c>
      <c r="AC656">
        <f>IFERROR(MATCH(652,$AB$5:$AB$404,1),"")</f>
        <v/>
      </c>
      <c r="AD656">
        <f>IF(652=$AI$1+1,"Z",IF($AC656="","",IF(INDEX($V$5:$V$404,$AC656)="","",IF(652&gt;INDEX($AB$5:$AB$404,$AC656)+INDEX($Z$5:$Z$404,$AC656)+INDEX($AA$5:$AA$404,$AC656)+INDEX($AO$5:$AO$404,$AC656),"",IF(652=INDEX($AB$5:$AB$404,$AC656)+INDEX($Z$5:$Z$404,$AC656),"D",IF(AND(INDEX($Z$5:$Z$404,$AC656)=1,652=INDEX($AB$5:$AB$404,$AC656)),"H",IF(AND(INDEX($AO$5:$AO$404,$AC656)=1,652=INDEX($AB$5:$AB$404,$AC656)+INDEX($Z$5:$Z$404,$AC656)+INDEX($AA$5:$AA$404,$AC656)+INDEX($AO$5:$AO$404,$AC656)),"B","T")))))))</f>
        <v/>
      </c>
      <c r="AF656">
        <f>IF(OR($AD656="",$AD656="Z",$AD656="B"),"",INDEX($X$5:$X$404,$AC656))</f>
        <v/>
      </c>
      <c r="AJ656">
        <f>IF($AD656&lt;&gt;"T",0,ROUND(SUMIF(oil!$B$4:$B$63,$AF656,oil!$AE$4:$AE$63),2))</f>
        <v/>
      </c>
      <c r="AQ656">
        <f>IF(OR($AD656="",$AD656="Z"),"",INDEX($AN$5:$AN$404,$AC656))</f>
        <v/>
      </c>
      <c r="AZ656">
        <f>IF(AND($AD656="T",$AQ656=1),N($AZ655)+1,N($AZ655))</f>
        <v/>
      </c>
    </row>
    <row r="657" ht="21" customHeight="1" s="66">
      <c r="A657" s="69">
        <f>IF($AD657="","",IF($AD657="Z","รวมจ่ายทั้งสิ้น",IF($AD657="H",INDEX($X$5:$X$404,$AC657),IF($AD657="T","รวม",IF($AD657="B",IFERROR(INDEX(อัตราค่าขนส่ง!$S$5:$S$14,MATCH(INDEX($AM$5:$AM$404,$AC657),อัตราค่าขนส่ง!$R$5:$R$14,0)),"รวมกลุ่ม "&amp;INDEX($AM$5:$AM$404,$AC657)),INDEX($AY$5:$AY$404,$AC657))))))</f>
        <v/>
      </c>
      <c r="B657" s="31">
        <f>IF($AD657&lt;&gt;"D","",INDEX($AW$5:$AW$404,$AC657))</f>
        <v/>
      </c>
      <c r="C657" s="68">
        <f>IF($AD657&lt;&gt;"D","",INDEX($AX$5:$AX$404,$AC657))</f>
        <v/>
      </c>
      <c r="D657" s="70">
        <f>IF($AD657&lt;&gt;"D","",INDEX($BA$5:$BA$404,$AC657))</f>
        <v/>
      </c>
      <c r="E657" s="31">
        <f>IF($AD657="Z",SUM($AR$5:$AR$404),IF($AD657="D",INDEX($AR$5:$AR$404,$AC657),IF($AD657="T",SUMIF($X$5:$X$404,$AF657,$AR$5:$AR$404),IF($AD657="B",SUMIF($AN$5:$AN$404,$AQ657,$AR$5:$AR$404),""))))</f>
        <v/>
      </c>
      <c r="F657" s="32">
        <f>IF($AD657="Z",ROUND(SUM($AS$5:$AS$404),2),IF($AD657="D",INDEX($AS$5:$AS$404,$AC657),IF($AD657="T",ROUND(SUMIF($X$5:$X$404,$AF657,$AS$5:$AS$404),2),IF($AD657="B",ROUND(SUMIF($AN$5:$AN$404,$AQ657,$AS$5:$AS$404),2),""))))</f>
        <v/>
      </c>
      <c r="G657" s="32">
        <f>IF($AD657&lt;&gt;"D","",INDEX($AT$5:$AT$404,$AC657))</f>
        <v/>
      </c>
      <c r="H657" s="32">
        <f>IF($AD657&lt;&gt;"D","",INDEX($BC$5:$BC$404,$AC657))</f>
        <v/>
      </c>
      <c r="I657" s="32">
        <f>IF($AD657&lt;&gt;"D","",INDEX($BD$5:$BD$404,$AC657))</f>
        <v/>
      </c>
      <c r="J657" s="46">
        <f>IF($AD657&lt;&gt;"D","",IF(N($B657)=0,"",ROUND($I657/$B657,4)))</f>
        <v/>
      </c>
      <c r="K657" s="32">
        <f>IF($AD657="Z",ROUND(SUM($AU$5:$AU$404),2),IF($AD657="D",INDEX($AU$5:$AU$404,$AC657),IF($AD657="T",ROUND(SUMIF($X$5:$X$404,$AF657,$AU$5:$AU$404),2),IF($AD657="B",ROUND(SUMIF($AN$5:$AN$404,$AQ657,$AU$5:$AU$404),2),""))))</f>
        <v/>
      </c>
      <c r="L657" s="32">
        <f>IF($AD657="Z",ROUND(SUM($AV$5:$AV$404),2),IF($AD657="D",INDEX($AV$5:$AV$404,$AC657),IF($AD657="T",ROUND(SUMIF($X$5:$X$404,$AF657,$AV$5:$AV$404),2),IF($AD657="B",ROUND(SUMIF($AN$5:$AN$404,$AQ657,$AV$5:$AV$404),2),""))))</f>
        <v/>
      </c>
      <c r="M657" s="32">
        <f>IF($AD657="Z",ROUND(SUM($AJ$5:$AJ$704),2),IF($AD657="B",ROUND(SUMIF($AQ$5:$AQ$704,$AQ657,$AJ$5:$AJ$704),2),IF($AD657&lt;&gt;"T","",$AJ657)))</f>
        <v/>
      </c>
      <c r="N657" s="32">
        <f>IF(OR($AD657="D",$AD657="T",$AD657="B",$AD657="Z"),ROUND(N($K657)-N($L657)-N($M657),2),"")</f>
        <v/>
      </c>
      <c r="O657" s="32">
        <f>IF(OR($AD657="D",$AD657="T",$AD657="B",$AD657="Z"),IF(N($E657)=0,"",ROUND($F657/$E657,2)),"")</f>
        <v/>
      </c>
      <c r="AC657">
        <f>IFERROR(MATCH(653,$AB$5:$AB$404,1),"")</f>
        <v/>
      </c>
      <c r="AD657">
        <f>IF(653=$AI$1+1,"Z",IF($AC657="","",IF(INDEX($V$5:$V$404,$AC657)="","",IF(653&gt;INDEX($AB$5:$AB$404,$AC657)+INDEX($Z$5:$Z$404,$AC657)+INDEX($AA$5:$AA$404,$AC657)+INDEX($AO$5:$AO$404,$AC657),"",IF(653=INDEX($AB$5:$AB$404,$AC657)+INDEX($Z$5:$Z$404,$AC657),"D",IF(AND(INDEX($Z$5:$Z$404,$AC657)=1,653=INDEX($AB$5:$AB$404,$AC657)),"H",IF(AND(INDEX($AO$5:$AO$404,$AC657)=1,653=INDEX($AB$5:$AB$404,$AC657)+INDEX($Z$5:$Z$404,$AC657)+INDEX($AA$5:$AA$404,$AC657)+INDEX($AO$5:$AO$404,$AC657)),"B","T")))))))</f>
        <v/>
      </c>
      <c r="AF657">
        <f>IF(OR($AD657="",$AD657="Z",$AD657="B"),"",INDEX($X$5:$X$404,$AC657))</f>
        <v/>
      </c>
      <c r="AJ657">
        <f>IF($AD657&lt;&gt;"T",0,ROUND(SUMIF(oil!$B$4:$B$63,$AF657,oil!$AE$4:$AE$63),2))</f>
        <v/>
      </c>
      <c r="AQ657">
        <f>IF(OR($AD657="",$AD657="Z"),"",INDEX($AN$5:$AN$404,$AC657))</f>
        <v/>
      </c>
      <c r="AZ657">
        <f>IF(AND($AD657="T",$AQ657=1),N($AZ656)+1,N($AZ656))</f>
        <v/>
      </c>
    </row>
    <row r="658" ht="21" customHeight="1" s="66">
      <c r="A658" s="69">
        <f>IF($AD658="","",IF($AD658="Z","รวมจ่ายทั้งสิ้น",IF($AD658="H",INDEX($X$5:$X$404,$AC658),IF($AD658="T","รวม",IF($AD658="B",IFERROR(INDEX(อัตราค่าขนส่ง!$S$5:$S$14,MATCH(INDEX($AM$5:$AM$404,$AC658),อัตราค่าขนส่ง!$R$5:$R$14,0)),"รวมกลุ่ม "&amp;INDEX($AM$5:$AM$404,$AC658)),INDEX($AY$5:$AY$404,$AC658))))))</f>
        <v/>
      </c>
      <c r="B658" s="31">
        <f>IF($AD658&lt;&gt;"D","",INDEX($AW$5:$AW$404,$AC658))</f>
        <v/>
      </c>
      <c r="C658" s="68">
        <f>IF($AD658&lt;&gt;"D","",INDEX($AX$5:$AX$404,$AC658))</f>
        <v/>
      </c>
      <c r="D658" s="70">
        <f>IF($AD658&lt;&gt;"D","",INDEX($BA$5:$BA$404,$AC658))</f>
        <v/>
      </c>
      <c r="E658" s="31">
        <f>IF($AD658="Z",SUM($AR$5:$AR$404),IF($AD658="D",INDEX($AR$5:$AR$404,$AC658),IF($AD658="T",SUMIF($X$5:$X$404,$AF658,$AR$5:$AR$404),IF($AD658="B",SUMIF($AN$5:$AN$404,$AQ658,$AR$5:$AR$404),""))))</f>
        <v/>
      </c>
      <c r="F658" s="32">
        <f>IF($AD658="Z",ROUND(SUM($AS$5:$AS$404),2),IF($AD658="D",INDEX($AS$5:$AS$404,$AC658),IF($AD658="T",ROUND(SUMIF($X$5:$X$404,$AF658,$AS$5:$AS$404),2),IF($AD658="B",ROUND(SUMIF($AN$5:$AN$404,$AQ658,$AS$5:$AS$404),2),""))))</f>
        <v/>
      </c>
      <c r="G658" s="32">
        <f>IF($AD658&lt;&gt;"D","",INDEX($AT$5:$AT$404,$AC658))</f>
        <v/>
      </c>
      <c r="H658" s="32">
        <f>IF($AD658&lt;&gt;"D","",INDEX($BC$5:$BC$404,$AC658))</f>
        <v/>
      </c>
      <c r="I658" s="32">
        <f>IF($AD658&lt;&gt;"D","",INDEX($BD$5:$BD$404,$AC658))</f>
        <v/>
      </c>
      <c r="J658" s="46">
        <f>IF($AD658&lt;&gt;"D","",IF(N($B658)=0,"",ROUND($I658/$B658,4)))</f>
        <v/>
      </c>
      <c r="K658" s="32">
        <f>IF($AD658="Z",ROUND(SUM($AU$5:$AU$404),2),IF($AD658="D",INDEX($AU$5:$AU$404,$AC658),IF($AD658="T",ROUND(SUMIF($X$5:$X$404,$AF658,$AU$5:$AU$404),2),IF($AD658="B",ROUND(SUMIF($AN$5:$AN$404,$AQ658,$AU$5:$AU$404),2),""))))</f>
        <v/>
      </c>
      <c r="L658" s="32">
        <f>IF($AD658="Z",ROUND(SUM($AV$5:$AV$404),2),IF($AD658="D",INDEX($AV$5:$AV$404,$AC658),IF($AD658="T",ROUND(SUMIF($X$5:$X$404,$AF658,$AV$5:$AV$404),2),IF($AD658="B",ROUND(SUMIF($AN$5:$AN$404,$AQ658,$AV$5:$AV$404),2),""))))</f>
        <v/>
      </c>
      <c r="M658" s="32">
        <f>IF($AD658="Z",ROUND(SUM($AJ$5:$AJ$704),2),IF($AD658="B",ROUND(SUMIF($AQ$5:$AQ$704,$AQ658,$AJ$5:$AJ$704),2),IF($AD658&lt;&gt;"T","",$AJ658)))</f>
        <v/>
      </c>
      <c r="N658" s="32">
        <f>IF(OR($AD658="D",$AD658="T",$AD658="B",$AD658="Z"),ROUND(N($K658)-N($L658)-N($M658),2),"")</f>
        <v/>
      </c>
      <c r="O658" s="32">
        <f>IF(OR($AD658="D",$AD658="T",$AD658="B",$AD658="Z"),IF(N($E658)=0,"",ROUND($F658/$E658,2)),"")</f>
        <v/>
      </c>
      <c r="AC658">
        <f>IFERROR(MATCH(654,$AB$5:$AB$404,1),"")</f>
        <v/>
      </c>
      <c r="AD658">
        <f>IF(654=$AI$1+1,"Z",IF($AC658="","",IF(INDEX($V$5:$V$404,$AC658)="","",IF(654&gt;INDEX($AB$5:$AB$404,$AC658)+INDEX($Z$5:$Z$404,$AC658)+INDEX($AA$5:$AA$404,$AC658)+INDEX($AO$5:$AO$404,$AC658),"",IF(654=INDEX($AB$5:$AB$404,$AC658)+INDEX($Z$5:$Z$404,$AC658),"D",IF(AND(INDEX($Z$5:$Z$404,$AC658)=1,654=INDEX($AB$5:$AB$404,$AC658)),"H",IF(AND(INDEX($AO$5:$AO$404,$AC658)=1,654=INDEX($AB$5:$AB$404,$AC658)+INDEX($Z$5:$Z$404,$AC658)+INDEX($AA$5:$AA$404,$AC658)+INDEX($AO$5:$AO$404,$AC658)),"B","T")))))))</f>
        <v/>
      </c>
      <c r="AF658">
        <f>IF(OR($AD658="",$AD658="Z",$AD658="B"),"",INDEX($X$5:$X$404,$AC658))</f>
        <v/>
      </c>
      <c r="AJ658">
        <f>IF($AD658&lt;&gt;"T",0,ROUND(SUMIF(oil!$B$4:$B$63,$AF658,oil!$AE$4:$AE$63),2))</f>
        <v/>
      </c>
      <c r="AQ658">
        <f>IF(OR($AD658="",$AD658="Z"),"",INDEX($AN$5:$AN$404,$AC658))</f>
        <v/>
      </c>
      <c r="AZ658">
        <f>IF(AND($AD658="T",$AQ658=1),N($AZ657)+1,N($AZ657))</f>
        <v/>
      </c>
    </row>
    <row r="659" ht="21" customHeight="1" s="66">
      <c r="A659" s="69">
        <f>IF($AD659="","",IF($AD659="Z","รวมจ่ายทั้งสิ้น",IF($AD659="H",INDEX($X$5:$X$404,$AC659),IF($AD659="T","รวม",IF($AD659="B",IFERROR(INDEX(อัตราค่าขนส่ง!$S$5:$S$14,MATCH(INDEX($AM$5:$AM$404,$AC659),อัตราค่าขนส่ง!$R$5:$R$14,0)),"รวมกลุ่ม "&amp;INDEX($AM$5:$AM$404,$AC659)),INDEX($AY$5:$AY$404,$AC659))))))</f>
        <v/>
      </c>
      <c r="B659" s="31">
        <f>IF($AD659&lt;&gt;"D","",INDEX($AW$5:$AW$404,$AC659))</f>
        <v/>
      </c>
      <c r="C659" s="68">
        <f>IF($AD659&lt;&gt;"D","",INDEX($AX$5:$AX$404,$AC659))</f>
        <v/>
      </c>
      <c r="D659" s="70">
        <f>IF($AD659&lt;&gt;"D","",INDEX($BA$5:$BA$404,$AC659))</f>
        <v/>
      </c>
      <c r="E659" s="31">
        <f>IF($AD659="Z",SUM($AR$5:$AR$404),IF($AD659="D",INDEX($AR$5:$AR$404,$AC659),IF($AD659="T",SUMIF($X$5:$X$404,$AF659,$AR$5:$AR$404),IF($AD659="B",SUMIF($AN$5:$AN$404,$AQ659,$AR$5:$AR$404),""))))</f>
        <v/>
      </c>
      <c r="F659" s="32">
        <f>IF($AD659="Z",ROUND(SUM($AS$5:$AS$404),2),IF($AD659="D",INDEX($AS$5:$AS$404,$AC659),IF($AD659="T",ROUND(SUMIF($X$5:$X$404,$AF659,$AS$5:$AS$404),2),IF($AD659="B",ROUND(SUMIF($AN$5:$AN$404,$AQ659,$AS$5:$AS$404),2),""))))</f>
        <v/>
      </c>
      <c r="G659" s="32">
        <f>IF($AD659&lt;&gt;"D","",INDEX($AT$5:$AT$404,$AC659))</f>
        <v/>
      </c>
      <c r="H659" s="32">
        <f>IF($AD659&lt;&gt;"D","",INDEX($BC$5:$BC$404,$AC659))</f>
        <v/>
      </c>
      <c r="I659" s="32">
        <f>IF($AD659&lt;&gt;"D","",INDEX($BD$5:$BD$404,$AC659))</f>
        <v/>
      </c>
      <c r="J659" s="46">
        <f>IF($AD659&lt;&gt;"D","",IF(N($B659)=0,"",ROUND($I659/$B659,4)))</f>
        <v/>
      </c>
      <c r="K659" s="32">
        <f>IF($AD659="Z",ROUND(SUM($AU$5:$AU$404),2),IF($AD659="D",INDEX($AU$5:$AU$404,$AC659),IF($AD659="T",ROUND(SUMIF($X$5:$X$404,$AF659,$AU$5:$AU$404),2),IF($AD659="B",ROUND(SUMIF($AN$5:$AN$404,$AQ659,$AU$5:$AU$404),2),""))))</f>
        <v/>
      </c>
      <c r="L659" s="32">
        <f>IF($AD659="Z",ROUND(SUM($AV$5:$AV$404),2),IF($AD659="D",INDEX($AV$5:$AV$404,$AC659),IF($AD659="T",ROUND(SUMIF($X$5:$X$404,$AF659,$AV$5:$AV$404),2),IF($AD659="B",ROUND(SUMIF($AN$5:$AN$404,$AQ659,$AV$5:$AV$404),2),""))))</f>
        <v/>
      </c>
      <c r="M659" s="32">
        <f>IF($AD659="Z",ROUND(SUM($AJ$5:$AJ$704),2),IF($AD659="B",ROUND(SUMIF($AQ$5:$AQ$704,$AQ659,$AJ$5:$AJ$704),2),IF($AD659&lt;&gt;"T","",$AJ659)))</f>
        <v/>
      </c>
      <c r="N659" s="32">
        <f>IF(OR($AD659="D",$AD659="T",$AD659="B",$AD659="Z"),ROUND(N($K659)-N($L659)-N($M659),2),"")</f>
        <v/>
      </c>
      <c r="O659" s="32">
        <f>IF(OR($AD659="D",$AD659="T",$AD659="B",$AD659="Z"),IF(N($E659)=0,"",ROUND($F659/$E659,2)),"")</f>
        <v/>
      </c>
      <c r="AC659">
        <f>IFERROR(MATCH(655,$AB$5:$AB$404,1),"")</f>
        <v/>
      </c>
      <c r="AD659">
        <f>IF(655=$AI$1+1,"Z",IF($AC659="","",IF(INDEX($V$5:$V$404,$AC659)="","",IF(655&gt;INDEX($AB$5:$AB$404,$AC659)+INDEX($Z$5:$Z$404,$AC659)+INDEX($AA$5:$AA$404,$AC659)+INDEX($AO$5:$AO$404,$AC659),"",IF(655=INDEX($AB$5:$AB$404,$AC659)+INDEX($Z$5:$Z$404,$AC659),"D",IF(AND(INDEX($Z$5:$Z$404,$AC659)=1,655=INDEX($AB$5:$AB$404,$AC659)),"H",IF(AND(INDEX($AO$5:$AO$404,$AC659)=1,655=INDEX($AB$5:$AB$404,$AC659)+INDEX($Z$5:$Z$404,$AC659)+INDEX($AA$5:$AA$404,$AC659)+INDEX($AO$5:$AO$404,$AC659)),"B","T")))))))</f>
        <v/>
      </c>
      <c r="AF659">
        <f>IF(OR($AD659="",$AD659="Z",$AD659="B"),"",INDEX($X$5:$X$404,$AC659))</f>
        <v/>
      </c>
      <c r="AJ659">
        <f>IF($AD659&lt;&gt;"T",0,ROUND(SUMIF(oil!$B$4:$B$63,$AF659,oil!$AE$4:$AE$63),2))</f>
        <v/>
      </c>
      <c r="AQ659">
        <f>IF(OR($AD659="",$AD659="Z"),"",INDEX($AN$5:$AN$404,$AC659))</f>
        <v/>
      </c>
      <c r="AZ659">
        <f>IF(AND($AD659="T",$AQ659=1),N($AZ658)+1,N($AZ658))</f>
        <v/>
      </c>
    </row>
    <row r="660" ht="21" customHeight="1" s="66">
      <c r="A660" s="69">
        <f>IF($AD660="","",IF($AD660="Z","รวมจ่ายทั้งสิ้น",IF($AD660="H",INDEX($X$5:$X$404,$AC660),IF($AD660="T","รวม",IF($AD660="B",IFERROR(INDEX(อัตราค่าขนส่ง!$S$5:$S$14,MATCH(INDEX($AM$5:$AM$404,$AC660),อัตราค่าขนส่ง!$R$5:$R$14,0)),"รวมกลุ่ม "&amp;INDEX($AM$5:$AM$404,$AC660)),INDEX($AY$5:$AY$404,$AC660))))))</f>
        <v/>
      </c>
      <c r="B660" s="31">
        <f>IF($AD660&lt;&gt;"D","",INDEX($AW$5:$AW$404,$AC660))</f>
        <v/>
      </c>
      <c r="C660" s="68">
        <f>IF($AD660&lt;&gt;"D","",INDEX($AX$5:$AX$404,$AC660))</f>
        <v/>
      </c>
      <c r="D660" s="70">
        <f>IF($AD660&lt;&gt;"D","",INDEX($BA$5:$BA$404,$AC660))</f>
        <v/>
      </c>
      <c r="E660" s="31">
        <f>IF($AD660="Z",SUM($AR$5:$AR$404),IF($AD660="D",INDEX($AR$5:$AR$404,$AC660),IF($AD660="T",SUMIF($X$5:$X$404,$AF660,$AR$5:$AR$404),IF($AD660="B",SUMIF($AN$5:$AN$404,$AQ660,$AR$5:$AR$404),""))))</f>
        <v/>
      </c>
      <c r="F660" s="32">
        <f>IF($AD660="Z",ROUND(SUM($AS$5:$AS$404),2),IF($AD660="D",INDEX($AS$5:$AS$404,$AC660),IF($AD660="T",ROUND(SUMIF($X$5:$X$404,$AF660,$AS$5:$AS$404),2),IF($AD660="B",ROUND(SUMIF($AN$5:$AN$404,$AQ660,$AS$5:$AS$404),2),""))))</f>
        <v/>
      </c>
      <c r="G660" s="32">
        <f>IF($AD660&lt;&gt;"D","",INDEX($AT$5:$AT$404,$AC660))</f>
        <v/>
      </c>
      <c r="H660" s="32">
        <f>IF($AD660&lt;&gt;"D","",INDEX($BC$5:$BC$404,$AC660))</f>
        <v/>
      </c>
      <c r="I660" s="32">
        <f>IF($AD660&lt;&gt;"D","",INDEX($BD$5:$BD$404,$AC660))</f>
        <v/>
      </c>
      <c r="J660" s="46">
        <f>IF($AD660&lt;&gt;"D","",IF(N($B660)=0,"",ROUND($I660/$B660,4)))</f>
        <v/>
      </c>
      <c r="K660" s="32">
        <f>IF($AD660="Z",ROUND(SUM($AU$5:$AU$404),2),IF($AD660="D",INDEX($AU$5:$AU$404,$AC660),IF($AD660="T",ROUND(SUMIF($X$5:$X$404,$AF660,$AU$5:$AU$404),2),IF($AD660="B",ROUND(SUMIF($AN$5:$AN$404,$AQ660,$AU$5:$AU$404),2),""))))</f>
        <v/>
      </c>
      <c r="L660" s="32">
        <f>IF($AD660="Z",ROUND(SUM($AV$5:$AV$404),2),IF($AD660="D",INDEX($AV$5:$AV$404,$AC660),IF($AD660="T",ROUND(SUMIF($X$5:$X$404,$AF660,$AV$5:$AV$404),2),IF($AD660="B",ROUND(SUMIF($AN$5:$AN$404,$AQ660,$AV$5:$AV$404),2),""))))</f>
        <v/>
      </c>
      <c r="M660" s="32">
        <f>IF($AD660="Z",ROUND(SUM($AJ$5:$AJ$704),2),IF($AD660="B",ROUND(SUMIF($AQ$5:$AQ$704,$AQ660,$AJ$5:$AJ$704),2),IF($AD660&lt;&gt;"T","",$AJ660)))</f>
        <v/>
      </c>
      <c r="N660" s="32">
        <f>IF(OR($AD660="D",$AD660="T",$AD660="B",$AD660="Z"),ROUND(N($K660)-N($L660)-N($M660),2),"")</f>
        <v/>
      </c>
      <c r="O660" s="32">
        <f>IF(OR($AD660="D",$AD660="T",$AD660="B",$AD660="Z"),IF(N($E660)=0,"",ROUND($F660/$E660,2)),"")</f>
        <v/>
      </c>
      <c r="AC660">
        <f>IFERROR(MATCH(656,$AB$5:$AB$404,1),"")</f>
        <v/>
      </c>
      <c r="AD660">
        <f>IF(656=$AI$1+1,"Z",IF($AC660="","",IF(INDEX($V$5:$V$404,$AC660)="","",IF(656&gt;INDEX($AB$5:$AB$404,$AC660)+INDEX($Z$5:$Z$404,$AC660)+INDEX($AA$5:$AA$404,$AC660)+INDEX($AO$5:$AO$404,$AC660),"",IF(656=INDEX($AB$5:$AB$404,$AC660)+INDEX($Z$5:$Z$404,$AC660),"D",IF(AND(INDEX($Z$5:$Z$404,$AC660)=1,656=INDEX($AB$5:$AB$404,$AC660)),"H",IF(AND(INDEX($AO$5:$AO$404,$AC660)=1,656=INDEX($AB$5:$AB$404,$AC660)+INDEX($Z$5:$Z$404,$AC660)+INDEX($AA$5:$AA$404,$AC660)+INDEX($AO$5:$AO$404,$AC660)),"B","T")))))))</f>
        <v/>
      </c>
      <c r="AF660">
        <f>IF(OR($AD660="",$AD660="Z",$AD660="B"),"",INDEX($X$5:$X$404,$AC660))</f>
        <v/>
      </c>
      <c r="AJ660">
        <f>IF($AD660&lt;&gt;"T",0,ROUND(SUMIF(oil!$B$4:$B$63,$AF660,oil!$AE$4:$AE$63),2))</f>
        <v/>
      </c>
      <c r="AQ660">
        <f>IF(OR($AD660="",$AD660="Z"),"",INDEX($AN$5:$AN$404,$AC660))</f>
        <v/>
      </c>
      <c r="AZ660">
        <f>IF(AND($AD660="T",$AQ660=1),N($AZ659)+1,N($AZ659))</f>
        <v/>
      </c>
    </row>
    <row r="661" ht="21" customHeight="1" s="66">
      <c r="A661" s="69">
        <f>IF($AD661="","",IF($AD661="Z","รวมจ่ายทั้งสิ้น",IF($AD661="H",INDEX($X$5:$X$404,$AC661),IF($AD661="T","รวม",IF($AD661="B",IFERROR(INDEX(อัตราค่าขนส่ง!$S$5:$S$14,MATCH(INDEX($AM$5:$AM$404,$AC661),อัตราค่าขนส่ง!$R$5:$R$14,0)),"รวมกลุ่ม "&amp;INDEX($AM$5:$AM$404,$AC661)),INDEX($AY$5:$AY$404,$AC661))))))</f>
        <v/>
      </c>
      <c r="B661" s="31">
        <f>IF($AD661&lt;&gt;"D","",INDEX($AW$5:$AW$404,$AC661))</f>
        <v/>
      </c>
      <c r="C661" s="68">
        <f>IF($AD661&lt;&gt;"D","",INDEX($AX$5:$AX$404,$AC661))</f>
        <v/>
      </c>
      <c r="D661" s="70">
        <f>IF($AD661&lt;&gt;"D","",INDEX($BA$5:$BA$404,$AC661))</f>
        <v/>
      </c>
      <c r="E661" s="31">
        <f>IF($AD661="Z",SUM($AR$5:$AR$404),IF($AD661="D",INDEX($AR$5:$AR$404,$AC661),IF($AD661="T",SUMIF($X$5:$X$404,$AF661,$AR$5:$AR$404),IF($AD661="B",SUMIF($AN$5:$AN$404,$AQ661,$AR$5:$AR$404),""))))</f>
        <v/>
      </c>
      <c r="F661" s="32">
        <f>IF($AD661="Z",ROUND(SUM($AS$5:$AS$404),2),IF($AD661="D",INDEX($AS$5:$AS$404,$AC661),IF($AD661="T",ROUND(SUMIF($X$5:$X$404,$AF661,$AS$5:$AS$404),2),IF($AD661="B",ROUND(SUMIF($AN$5:$AN$404,$AQ661,$AS$5:$AS$404),2),""))))</f>
        <v/>
      </c>
      <c r="G661" s="32">
        <f>IF($AD661&lt;&gt;"D","",INDEX($AT$5:$AT$404,$AC661))</f>
        <v/>
      </c>
      <c r="H661" s="32">
        <f>IF($AD661&lt;&gt;"D","",INDEX($BC$5:$BC$404,$AC661))</f>
        <v/>
      </c>
      <c r="I661" s="32">
        <f>IF($AD661&lt;&gt;"D","",INDEX($BD$5:$BD$404,$AC661))</f>
        <v/>
      </c>
      <c r="J661" s="46">
        <f>IF($AD661&lt;&gt;"D","",IF(N($B661)=0,"",ROUND($I661/$B661,4)))</f>
        <v/>
      </c>
      <c r="K661" s="32">
        <f>IF($AD661="Z",ROUND(SUM($AU$5:$AU$404),2),IF($AD661="D",INDEX($AU$5:$AU$404,$AC661),IF($AD661="T",ROUND(SUMIF($X$5:$X$404,$AF661,$AU$5:$AU$404),2),IF($AD661="B",ROUND(SUMIF($AN$5:$AN$404,$AQ661,$AU$5:$AU$404),2),""))))</f>
        <v/>
      </c>
      <c r="L661" s="32">
        <f>IF($AD661="Z",ROUND(SUM($AV$5:$AV$404),2),IF($AD661="D",INDEX($AV$5:$AV$404,$AC661),IF($AD661="T",ROUND(SUMIF($X$5:$X$404,$AF661,$AV$5:$AV$404),2),IF($AD661="B",ROUND(SUMIF($AN$5:$AN$404,$AQ661,$AV$5:$AV$404),2),""))))</f>
        <v/>
      </c>
      <c r="M661" s="32">
        <f>IF($AD661="Z",ROUND(SUM($AJ$5:$AJ$704),2),IF($AD661="B",ROUND(SUMIF($AQ$5:$AQ$704,$AQ661,$AJ$5:$AJ$704),2),IF($AD661&lt;&gt;"T","",$AJ661)))</f>
        <v/>
      </c>
      <c r="N661" s="32">
        <f>IF(OR($AD661="D",$AD661="T",$AD661="B",$AD661="Z"),ROUND(N($K661)-N($L661)-N($M661),2),"")</f>
        <v/>
      </c>
      <c r="O661" s="32">
        <f>IF(OR($AD661="D",$AD661="T",$AD661="B",$AD661="Z"),IF(N($E661)=0,"",ROUND($F661/$E661,2)),"")</f>
        <v/>
      </c>
      <c r="AC661">
        <f>IFERROR(MATCH(657,$AB$5:$AB$404,1),"")</f>
        <v/>
      </c>
      <c r="AD661">
        <f>IF(657=$AI$1+1,"Z",IF($AC661="","",IF(INDEX($V$5:$V$404,$AC661)="","",IF(657&gt;INDEX($AB$5:$AB$404,$AC661)+INDEX($Z$5:$Z$404,$AC661)+INDEX($AA$5:$AA$404,$AC661)+INDEX($AO$5:$AO$404,$AC661),"",IF(657=INDEX($AB$5:$AB$404,$AC661)+INDEX($Z$5:$Z$404,$AC661),"D",IF(AND(INDEX($Z$5:$Z$404,$AC661)=1,657=INDEX($AB$5:$AB$404,$AC661)),"H",IF(AND(INDEX($AO$5:$AO$404,$AC661)=1,657=INDEX($AB$5:$AB$404,$AC661)+INDEX($Z$5:$Z$404,$AC661)+INDEX($AA$5:$AA$404,$AC661)+INDEX($AO$5:$AO$404,$AC661)),"B","T")))))))</f>
        <v/>
      </c>
      <c r="AF661">
        <f>IF(OR($AD661="",$AD661="Z",$AD661="B"),"",INDEX($X$5:$X$404,$AC661))</f>
        <v/>
      </c>
      <c r="AJ661">
        <f>IF($AD661&lt;&gt;"T",0,ROUND(SUMIF(oil!$B$4:$B$63,$AF661,oil!$AE$4:$AE$63),2))</f>
        <v/>
      </c>
      <c r="AQ661">
        <f>IF(OR($AD661="",$AD661="Z"),"",INDEX($AN$5:$AN$404,$AC661))</f>
        <v/>
      </c>
      <c r="AZ661">
        <f>IF(AND($AD661="T",$AQ661=1),N($AZ660)+1,N($AZ660))</f>
        <v/>
      </c>
    </row>
    <row r="662" ht="21" customHeight="1" s="66">
      <c r="A662" s="69">
        <f>IF($AD662="","",IF($AD662="Z","รวมจ่ายทั้งสิ้น",IF($AD662="H",INDEX($X$5:$X$404,$AC662),IF($AD662="T","รวม",IF($AD662="B",IFERROR(INDEX(อัตราค่าขนส่ง!$S$5:$S$14,MATCH(INDEX($AM$5:$AM$404,$AC662),อัตราค่าขนส่ง!$R$5:$R$14,0)),"รวมกลุ่ม "&amp;INDEX($AM$5:$AM$404,$AC662)),INDEX($AY$5:$AY$404,$AC662))))))</f>
        <v/>
      </c>
      <c r="B662" s="31">
        <f>IF($AD662&lt;&gt;"D","",INDEX($AW$5:$AW$404,$AC662))</f>
        <v/>
      </c>
      <c r="C662" s="68">
        <f>IF($AD662&lt;&gt;"D","",INDEX($AX$5:$AX$404,$AC662))</f>
        <v/>
      </c>
      <c r="D662" s="70">
        <f>IF($AD662&lt;&gt;"D","",INDEX($BA$5:$BA$404,$AC662))</f>
        <v/>
      </c>
      <c r="E662" s="31">
        <f>IF($AD662="Z",SUM($AR$5:$AR$404),IF($AD662="D",INDEX($AR$5:$AR$404,$AC662),IF($AD662="T",SUMIF($X$5:$X$404,$AF662,$AR$5:$AR$404),IF($AD662="B",SUMIF($AN$5:$AN$404,$AQ662,$AR$5:$AR$404),""))))</f>
        <v/>
      </c>
      <c r="F662" s="32">
        <f>IF($AD662="Z",ROUND(SUM($AS$5:$AS$404),2),IF($AD662="D",INDEX($AS$5:$AS$404,$AC662),IF($AD662="T",ROUND(SUMIF($X$5:$X$404,$AF662,$AS$5:$AS$404),2),IF($AD662="B",ROUND(SUMIF($AN$5:$AN$404,$AQ662,$AS$5:$AS$404),2),""))))</f>
        <v/>
      </c>
      <c r="G662" s="32">
        <f>IF($AD662&lt;&gt;"D","",INDEX($AT$5:$AT$404,$AC662))</f>
        <v/>
      </c>
      <c r="H662" s="32">
        <f>IF($AD662&lt;&gt;"D","",INDEX($BC$5:$BC$404,$AC662))</f>
        <v/>
      </c>
      <c r="I662" s="32">
        <f>IF($AD662&lt;&gt;"D","",INDEX($BD$5:$BD$404,$AC662))</f>
        <v/>
      </c>
      <c r="J662" s="46">
        <f>IF($AD662&lt;&gt;"D","",IF(N($B662)=0,"",ROUND($I662/$B662,4)))</f>
        <v/>
      </c>
      <c r="K662" s="32">
        <f>IF($AD662="Z",ROUND(SUM($AU$5:$AU$404),2),IF($AD662="D",INDEX($AU$5:$AU$404,$AC662),IF($AD662="T",ROUND(SUMIF($X$5:$X$404,$AF662,$AU$5:$AU$404),2),IF($AD662="B",ROUND(SUMIF($AN$5:$AN$404,$AQ662,$AU$5:$AU$404),2),""))))</f>
        <v/>
      </c>
      <c r="L662" s="32">
        <f>IF($AD662="Z",ROUND(SUM($AV$5:$AV$404),2),IF($AD662="D",INDEX($AV$5:$AV$404,$AC662),IF($AD662="T",ROUND(SUMIF($X$5:$X$404,$AF662,$AV$5:$AV$404),2),IF($AD662="B",ROUND(SUMIF($AN$5:$AN$404,$AQ662,$AV$5:$AV$404),2),""))))</f>
        <v/>
      </c>
      <c r="M662" s="32">
        <f>IF($AD662="Z",ROUND(SUM($AJ$5:$AJ$704),2),IF($AD662="B",ROUND(SUMIF($AQ$5:$AQ$704,$AQ662,$AJ$5:$AJ$704),2),IF($AD662&lt;&gt;"T","",$AJ662)))</f>
        <v/>
      </c>
      <c r="N662" s="32">
        <f>IF(OR($AD662="D",$AD662="T",$AD662="B",$AD662="Z"),ROUND(N($K662)-N($L662)-N($M662),2),"")</f>
        <v/>
      </c>
      <c r="O662" s="32">
        <f>IF(OR($AD662="D",$AD662="T",$AD662="B",$AD662="Z"),IF(N($E662)=0,"",ROUND($F662/$E662,2)),"")</f>
        <v/>
      </c>
      <c r="AC662">
        <f>IFERROR(MATCH(658,$AB$5:$AB$404,1),"")</f>
        <v/>
      </c>
      <c r="AD662">
        <f>IF(658=$AI$1+1,"Z",IF($AC662="","",IF(INDEX($V$5:$V$404,$AC662)="","",IF(658&gt;INDEX($AB$5:$AB$404,$AC662)+INDEX($Z$5:$Z$404,$AC662)+INDEX($AA$5:$AA$404,$AC662)+INDEX($AO$5:$AO$404,$AC662),"",IF(658=INDEX($AB$5:$AB$404,$AC662)+INDEX($Z$5:$Z$404,$AC662),"D",IF(AND(INDEX($Z$5:$Z$404,$AC662)=1,658=INDEX($AB$5:$AB$404,$AC662)),"H",IF(AND(INDEX($AO$5:$AO$404,$AC662)=1,658=INDEX($AB$5:$AB$404,$AC662)+INDEX($Z$5:$Z$404,$AC662)+INDEX($AA$5:$AA$404,$AC662)+INDEX($AO$5:$AO$404,$AC662)),"B","T")))))))</f>
        <v/>
      </c>
      <c r="AF662">
        <f>IF(OR($AD662="",$AD662="Z",$AD662="B"),"",INDEX($X$5:$X$404,$AC662))</f>
        <v/>
      </c>
      <c r="AJ662">
        <f>IF($AD662&lt;&gt;"T",0,ROUND(SUMIF(oil!$B$4:$B$63,$AF662,oil!$AE$4:$AE$63),2))</f>
        <v/>
      </c>
      <c r="AQ662">
        <f>IF(OR($AD662="",$AD662="Z"),"",INDEX($AN$5:$AN$404,$AC662))</f>
        <v/>
      </c>
      <c r="AZ662">
        <f>IF(AND($AD662="T",$AQ662=1),N($AZ661)+1,N($AZ661))</f>
        <v/>
      </c>
    </row>
    <row r="663" ht="21" customHeight="1" s="66">
      <c r="A663" s="69">
        <f>IF($AD663="","",IF($AD663="Z","รวมจ่ายทั้งสิ้น",IF($AD663="H",INDEX($X$5:$X$404,$AC663),IF($AD663="T","รวม",IF($AD663="B",IFERROR(INDEX(อัตราค่าขนส่ง!$S$5:$S$14,MATCH(INDEX($AM$5:$AM$404,$AC663),อัตราค่าขนส่ง!$R$5:$R$14,0)),"รวมกลุ่ม "&amp;INDEX($AM$5:$AM$404,$AC663)),INDEX($AY$5:$AY$404,$AC663))))))</f>
        <v/>
      </c>
      <c r="B663" s="31">
        <f>IF($AD663&lt;&gt;"D","",INDEX($AW$5:$AW$404,$AC663))</f>
        <v/>
      </c>
      <c r="C663" s="68">
        <f>IF($AD663&lt;&gt;"D","",INDEX($AX$5:$AX$404,$AC663))</f>
        <v/>
      </c>
      <c r="D663" s="70">
        <f>IF($AD663&lt;&gt;"D","",INDEX($BA$5:$BA$404,$AC663))</f>
        <v/>
      </c>
      <c r="E663" s="31">
        <f>IF($AD663="Z",SUM($AR$5:$AR$404),IF($AD663="D",INDEX($AR$5:$AR$404,$AC663),IF($AD663="T",SUMIF($X$5:$X$404,$AF663,$AR$5:$AR$404),IF($AD663="B",SUMIF($AN$5:$AN$404,$AQ663,$AR$5:$AR$404),""))))</f>
        <v/>
      </c>
      <c r="F663" s="32">
        <f>IF($AD663="Z",ROUND(SUM($AS$5:$AS$404),2),IF($AD663="D",INDEX($AS$5:$AS$404,$AC663),IF($AD663="T",ROUND(SUMIF($X$5:$X$404,$AF663,$AS$5:$AS$404),2),IF($AD663="B",ROUND(SUMIF($AN$5:$AN$404,$AQ663,$AS$5:$AS$404),2),""))))</f>
        <v/>
      </c>
      <c r="G663" s="32">
        <f>IF($AD663&lt;&gt;"D","",INDEX($AT$5:$AT$404,$AC663))</f>
        <v/>
      </c>
      <c r="H663" s="32">
        <f>IF($AD663&lt;&gt;"D","",INDEX($BC$5:$BC$404,$AC663))</f>
        <v/>
      </c>
      <c r="I663" s="32">
        <f>IF($AD663&lt;&gt;"D","",INDEX($BD$5:$BD$404,$AC663))</f>
        <v/>
      </c>
      <c r="J663" s="46">
        <f>IF($AD663&lt;&gt;"D","",IF(N($B663)=0,"",ROUND($I663/$B663,4)))</f>
        <v/>
      </c>
      <c r="K663" s="32">
        <f>IF($AD663="Z",ROUND(SUM($AU$5:$AU$404),2),IF($AD663="D",INDEX($AU$5:$AU$404,$AC663),IF($AD663="T",ROUND(SUMIF($X$5:$X$404,$AF663,$AU$5:$AU$404),2),IF($AD663="B",ROUND(SUMIF($AN$5:$AN$404,$AQ663,$AU$5:$AU$404),2),""))))</f>
        <v/>
      </c>
      <c r="L663" s="32">
        <f>IF($AD663="Z",ROUND(SUM($AV$5:$AV$404),2),IF($AD663="D",INDEX($AV$5:$AV$404,$AC663),IF($AD663="T",ROUND(SUMIF($X$5:$X$404,$AF663,$AV$5:$AV$404),2),IF($AD663="B",ROUND(SUMIF($AN$5:$AN$404,$AQ663,$AV$5:$AV$404),2),""))))</f>
        <v/>
      </c>
      <c r="M663" s="32">
        <f>IF($AD663="Z",ROUND(SUM($AJ$5:$AJ$704),2),IF($AD663="B",ROUND(SUMIF($AQ$5:$AQ$704,$AQ663,$AJ$5:$AJ$704),2),IF($AD663&lt;&gt;"T","",$AJ663)))</f>
        <v/>
      </c>
      <c r="N663" s="32">
        <f>IF(OR($AD663="D",$AD663="T",$AD663="B",$AD663="Z"),ROUND(N($K663)-N($L663)-N($M663),2),"")</f>
        <v/>
      </c>
      <c r="O663" s="32">
        <f>IF(OR($AD663="D",$AD663="T",$AD663="B",$AD663="Z"),IF(N($E663)=0,"",ROUND($F663/$E663,2)),"")</f>
        <v/>
      </c>
      <c r="AC663">
        <f>IFERROR(MATCH(659,$AB$5:$AB$404,1),"")</f>
        <v/>
      </c>
      <c r="AD663">
        <f>IF(659=$AI$1+1,"Z",IF($AC663="","",IF(INDEX($V$5:$V$404,$AC663)="","",IF(659&gt;INDEX($AB$5:$AB$404,$AC663)+INDEX($Z$5:$Z$404,$AC663)+INDEX($AA$5:$AA$404,$AC663)+INDEX($AO$5:$AO$404,$AC663),"",IF(659=INDEX($AB$5:$AB$404,$AC663)+INDEX($Z$5:$Z$404,$AC663),"D",IF(AND(INDEX($Z$5:$Z$404,$AC663)=1,659=INDEX($AB$5:$AB$404,$AC663)),"H",IF(AND(INDEX($AO$5:$AO$404,$AC663)=1,659=INDEX($AB$5:$AB$404,$AC663)+INDEX($Z$5:$Z$404,$AC663)+INDEX($AA$5:$AA$404,$AC663)+INDEX($AO$5:$AO$404,$AC663)),"B","T")))))))</f>
        <v/>
      </c>
      <c r="AF663">
        <f>IF(OR($AD663="",$AD663="Z",$AD663="B"),"",INDEX($X$5:$X$404,$AC663))</f>
        <v/>
      </c>
      <c r="AJ663">
        <f>IF($AD663&lt;&gt;"T",0,ROUND(SUMIF(oil!$B$4:$B$63,$AF663,oil!$AE$4:$AE$63),2))</f>
        <v/>
      </c>
      <c r="AQ663">
        <f>IF(OR($AD663="",$AD663="Z"),"",INDEX($AN$5:$AN$404,$AC663))</f>
        <v/>
      </c>
      <c r="AZ663">
        <f>IF(AND($AD663="T",$AQ663=1),N($AZ662)+1,N($AZ662))</f>
        <v/>
      </c>
    </row>
    <row r="664" ht="21" customHeight="1" s="66">
      <c r="A664" s="69">
        <f>IF($AD664="","",IF($AD664="Z","รวมจ่ายทั้งสิ้น",IF($AD664="H",INDEX($X$5:$X$404,$AC664),IF($AD664="T","รวม",IF($AD664="B",IFERROR(INDEX(อัตราค่าขนส่ง!$S$5:$S$14,MATCH(INDEX($AM$5:$AM$404,$AC664),อัตราค่าขนส่ง!$R$5:$R$14,0)),"รวมกลุ่ม "&amp;INDEX($AM$5:$AM$404,$AC664)),INDEX($AY$5:$AY$404,$AC664))))))</f>
        <v/>
      </c>
      <c r="B664" s="31">
        <f>IF($AD664&lt;&gt;"D","",INDEX($AW$5:$AW$404,$AC664))</f>
        <v/>
      </c>
      <c r="C664" s="68">
        <f>IF($AD664&lt;&gt;"D","",INDEX($AX$5:$AX$404,$AC664))</f>
        <v/>
      </c>
      <c r="D664" s="70">
        <f>IF($AD664&lt;&gt;"D","",INDEX($BA$5:$BA$404,$AC664))</f>
        <v/>
      </c>
      <c r="E664" s="31">
        <f>IF($AD664="Z",SUM($AR$5:$AR$404),IF($AD664="D",INDEX($AR$5:$AR$404,$AC664),IF($AD664="T",SUMIF($X$5:$X$404,$AF664,$AR$5:$AR$404),IF($AD664="B",SUMIF($AN$5:$AN$404,$AQ664,$AR$5:$AR$404),""))))</f>
        <v/>
      </c>
      <c r="F664" s="32">
        <f>IF($AD664="Z",ROUND(SUM($AS$5:$AS$404),2),IF($AD664="D",INDEX($AS$5:$AS$404,$AC664),IF($AD664="T",ROUND(SUMIF($X$5:$X$404,$AF664,$AS$5:$AS$404),2),IF($AD664="B",ROUND(SUMIF($AN$5:$AN$404,$AQ664,$AS$5:$AS$404),2),""))))</f>
        <v/>
      </c>
      <c r="G664" s="32">
        <f>IF($AD664&lt;&gt;"D","",INDEX($AT$5:$AT$404,$AC664))</f>
        <v/>
      </c>
      <c r="H664" s="32">
        <f>IF($AD664&lt;&gt;"D","",INDEX($BC$5:$BC$404,$AC664))</f>
        <v/>
      </c>
      <c r="I664" s="32">
        <f>IF($AD664&lt;&gt;"D","",INDEX($BD$5:$BD$404,$AC664))</f>
        <v/>
      </c>
      <c r="J664" s="46">
        <f>IF($AD664&lt;&gt;"D","",IF(N($B664)=0,"",ROUND($I664/$B664,4)))</f>
        <v/>
      </c>
      <c r="K664" s="32">
        <f>IF($AD664="Z",ROUND(SUM($AU$5:$AU$404),2),IF($AD664="D",INDEX($AU$5:$AU$404,$AC664),IF($AD664="T",ROUND(SUMIF($X$5:$X$404,$AF664,$AU$5:$AU$404),2),IF($AD664="B",ROUND(SUMIF($AN$5:$AN$404,$AQ664,$AU$5:$AU$404),2),""))))</f>
        <v/>
      </c>
      <c r="L664" s="32">
        <f>IF($AD664="Z",ROUND(SUM($AV$5:$AV$404),2),IF($AD664="D",INDEX($AV$5:$AV$404,$AC664),IF($AD664="T",ROUND(SUMIF($X$5:$X$404,$AF664,$AV$5:$AV$404),2),IF($AD664="B",ROUND(SUMIF($AN$5:$AN$404,$AQ664,$AV$5:$AV$404),2),""))))</f>
        <v/>
      </c>
      <c r="M664" s="32">
        <f>IF($AD664="Z",ROUND(SUM($AJ$5:$AJ$704),2),IF($AD664="B",ROUND(SUMIF($AQ$5:$AQ$704,$AQ664,$AJ$5:$AJ$704),2),IF($AD664&lt;&gt;"T","",$AJ664)))</f>
        <v/>
      </c>
      <c r="N664" s="32">
        <f>IF(OR($AD664="D",$AD664="T",$AD664="B",$AD664="Z"),ROUND(N($K664)-N($L664)-N($M664),2),"")</f>
        <v/>
      </c>
      <c r="O664" s="32">
        <f>IF(OR($AD664="D",$AD664="T",$AD664="B",$AD664="Z"),IF(N($E664)=0,"",ROUND($F664/$E664,2)),"")</f>
        <v/>
      </c>
      <c r="AC664">
        <f>IFERROR(MATCH(660,$AB$5:$AB$404,1),"")</f>
        <v/>
      </c>
      <c r="AD664">
        <f>IF(660=$AI$1+1,"Z",IF($AC664="","",IF(INDEX($V$5:$V$404,$AC664)="","",IF(660&gt;INDEX($AB$5:$AB$404,$AC664)+INDEX($Z$5:$Z$404,$AC664)+INDEX($AA$5:$AA$404,$AC664)+INDEX($AO$5:$AO$404,$AC664),"",IF(660=INDEX($AB$5:$AB$404,$AC664)+INDEX($Z$5:$Z$404,$AC664),"D",IF(AND(INDEX($Z$5:$Z$404,$AC664)=1,660=INDEX($AB$5:$AB$404,$AC664)),"H",IF(AND(INDEX($AO$5:$AO$404,$AC664)=1,660=INDEX($AB$5:$AB$404,$AC664)+INDEX($Z$5:$Z$404,$AC664)+INDEX($AA$5:$AA$404,$AC664)+INDEX($AO$5:$AO$404,$AC664)),"B","T")))))))</f>
        <v/>
      </c>
      <c r="AF664">
        <f>IF(OR($AD664="",$AD664="Z",$AD664="B"),"",INDEX($X$5:$X$404,$AC664))</f>
        <v/>
      </c>
      <c r="AJ664">
        <f>IF($AD664&lt;&gt;"T",0,ROUND(SUMIF(oil!$B$4:$B$63,$AF664,oil!$AE$4:$AE$63),2))</f>
        <v/>
      </c>
      <c r="AQ664">
        <f>IF(OR($AD664="",$AD664="Z"),"",INDEX($AN$5:$AN$404,$AC664))</f>
        <v/>
      </c>
      <c r="AZ664">
        <f>IF(AND($AD664="T",$AQ664=1),N($AZ663)+1,N($AZ663))</f>
        <v/>
      </c>
    </row>
    <row r="665" ht="21" customHeight="1" s="66">
      <c r="A665" s="69">
        <f>IF($AD665="","",IF($AD665="Z","รวมจ่ายทั้งสิ้น",IF($AD665="H",INDEX($X$5:$X$404,$AC665),IF($AD665="T","รวม",IF($AD665="B",IFERROR(INDEX(อัตราค่าขนส่ง!$S$5:$S$14,MATCH(INDEX($AM$5:$AM$404,$AC665),อัตราค่าขนส่ง!$R$5:$R$14,0)),"รวมกลุ่ม "&amp;INDEX($AM$5:$AM$404,$AC665)),INDEX($AY$5:$AY$404,$AC665))))))</f>
        <v/>
      </c>
      <c r="B665" s="31">
        <f>IF($AD665&lt;&gt;"D","",INDEX($AW$5:$AW$404,$AC665))</f>
        <v/>
      </c>
      <c r="C665" s="68">
        <f>IF($AD665&lt;&gt;"D","",INDEX($AX$5:$AX$404,$AC665))</f>
        <v/>
      </c>
      <c r="D665" s="70">
        <f>IF($AD665&lt;&gt;"D","",INDEX($BA$5:$BA$404,$AC665))</f>
        <v/>
      </c>
      <c r="E665" s="31">
        <f>IF($AD665="Z",SUM($AR$5:$AR$404),IF($AD665="D",INDEX($AR$5:$AR$404,$AC665),IF($AD665="T",SUMIF($X$5:$X$404,$AF665,$AR$5:$AR$404),IF($AD665="B",SUMIF($AN$5:$AN$404,$AQ665,$AR$5:$AR$404),""))))</f>
        <v/>
      </c>
      <c r="F665" s="32">
        <f>IF($AD665="Z",ROUND(SUM($AS$5:$AS$404),2),IF($AD665="D",INDEX($AS$5:$AS$404,$AC665),IF($AD665="T",ROUND(SUMIF($X$5:$X$404,$AF665,$AS$5:$AS$404),2),IF($AD665="B",ROUND(SUMIF($AN$5:$AN$404,$AQ665,$AS$5:$AS$404),2),""))))</f>
        <v/>
      </c>
      <c r="G665" s="32">
        <f>IF($AD665&lt;&gt;"D","",INDEX($AT$5:$AT$404,$AC665))</f>
        <v/>
      </c>
      <c r="H665" s="32">
        <f>IF($AD665&lt;&gt;"D","",INDEX($BC$5:$BC$404,$AC665))</f>
        <v/>
      </c>
      <c r="I665" s="32">
        <f>IF($AD665&lt;&gt;"D","",INDEX($BD$5:$BD$404,$AC665))</f>
        <v/>
      </c>
      <c r="J665" s="46">
        <f>IF($AD665&lt;&gt;"D","",IF(N($B665)=0,"",ROUND($I665/$B665,4)))</f>
        <v/>
      </c>
      <c r="K665" s="32">
        <f>IF($AD665="Z",ROUND(SUM($AU$5:$AU$404),2),IF($AD665="D",INDEX($AU$5:$AU$404,$AC665),IF($AD665="T",ROUND(SUMIF($X$5:$X$404,$AF665,$AU$5:$AU$404),2),IF($AD665="B",ROUND(SUMIF($AN$5:$AN$404,$AQ665,$AU$5:$AU$404),2),""))))</f>
        <v/>
      </c>
      <c r="L665" s="32">
        <f>IF($AD665="Z",ROUND(SUM($AV$5:$AV$404),2),IF($AD665="D",INDEX($AV$5:$AV$404,$AC665),IF($AD665="T",ROUND(SUMIF($X$5:$X$404,$AF665,$AV$5:$AV$404),2),IF($AD665="B",ROUND(SUMIF($AN$5:$AN$404,$AQ665,$AV$5:$AV$404),2),""))))</f>
        <v/>
      </c>
      <c r="M665" s="32">
        <f>IF($AD665="Z",ROUND(SUM($AJ$5:$AJ$704),2),IF($AD665="B",ROUND(SUMIF($AQ$5:$AQ$704,$AQ665,$AJ$5:$AJ$704),2),IF($AD665&lt;&gt;"T","",$AJ665)))</f>
        <v/>
      </c>
      <c r="N665" s="32">
        <f>IF(OR($AD665="D",$AD665="T",$AD665="B",$AD665="Z"),ROUND(N($K665)-N($L665)-N($M665),2),"")</f>
        <v/>
      </c>
      <c r="O665" s="32">
        <f>IF(OR($AD665="D",$AD665="T",$AD665="B",$AD665="Z"),IF(N($E665)=0,"",ROUND($F665/$E665,2)),"")</f>
        <v/>
      </c>
      <c r="AC665">
        <f>IFERROR(MATCH(661,$AB$5:$AB$404,1),"")</f>
        <v/>
      </c>
      <c r="AD665">
        <f>IF(661=$AI$1+1,"Z",IF($AC665="","",IF(INDEX($V$5:$V$404,$AC665)="","",IF(661&gt;INDEX($AB$5:$AB$404,$AC665)+INDEX($Z$5:$Z$404,$AC665)+INDEX($AA$5:$AA$404,$AC665)+INDEX($AO$5:$AO$404,$AC665),"",IF(661=INDEX($AB$5:$AB$404,$AC665)+INDEX($Z$5:$Z$404,$AC665),"D",IF(AND(INDEX($Z$5:$Z$404,$AC665)=1,661=INDEX($AB$5:$AB$404,$AC665)),"H",IF(AND(INDEX($AO$5:$AO$404,$AC665)=1,661=INDEX($AB$5:$AB$404,$AC665)+INDEX($Z$5:$Z$404,$AC665)+INDEX($AA$5:$AA$404,$AC665)+INDEX($AO$5:$AO$404,$AC665)),"B","T")))))))</f>
        <v/>
      </c>
      <c r="AF665">
        <f>IF(OR($AD665="",$AD665="Z",$AD665="B"),"",INDEX($X$5:$X$404,$AC665))</f>
        <v/>
      </c>
      <c r="AJ665">
        <f>IF($AD665&lt;&gt;"T",0,ROUND(SUMIF(oil!$B$4:$B$63,$AF665,oil!$AE$4:$AE$63),2))</f>
        <v/>
      </c>
      <c r="AQ665">
        <f>IF(OR($AD665="",$AD665="Z"),"",INDEX($AN$5:$AN$404,$AC665))</f>
        <v/>
      </c>
      <c r="AZ665">
        <f>IF(AND($AD665="T",$AQ665=1),N($AZ664)+1,N($AZ664))</f>
        <v/>
      </c>
    </row>
    <row r="666" ht="21" customHeight="1" s="66">
      <c r="A666" s="69">
        <f>IF($AD666="","",IF($AD666="Z","รวมจ่ายทั้งสิ้น",IF($AD666="H",INDEX($X$5:$X$404,$AC666),IF($AD666="T","รวม",IF($AD666="B",IFERROR(INDEX(อัตราค่าขนส่ง!$S$5:$S$14,MATCH(INDEX($AM$5:$AM$404,$AC666),อัตราค่าขนส่ง!$R$5:$R$14,0)),"รวมกลุ่ม "&amp;INDEX($AM$5:$AM$404,$AC666)),INDEX($AY$5:$AY$404,$AC666))))))</f>
        <v/>
      </c>
      <c r="B666" s="31">
        <f>IF($AD666&lt;&gt;"D","",INDEX($AW$5:$AW$404,$AC666))</f>
        <v/>
      </c>
      <c r="C666" s="68">
        <f>IF($AD666&lt;&gt;"D","",INDEX($AX$5:$AX$404,$AC666))</f>
        <v/>
      </c>
      <c r="D666" s="70">
        <f>IF($AD666&lt;&gt;"D","",INDEX($BA$5:$BA$404,$AC666))</f>
        <v/>
      </c>
      <c r="E666" s="31">
        <f>IF($AD666="Z",SUM($AR$5:$AR$404),IF($AD666="D",INDEX($AR$5:$AR$404,$AC666),IF($AD666="T",SUMIF($X$5:$X$404,$AF666,$AR$5:$AR$404),IF($AD666="B",SUMIF($AN$5:$AN$404,$AQ666,$AR$5:$AR$404),""))))</f>
        <v/>
      </c>
      <c r="F666" s="32">
        <f>IF($AD666="Z",ROUND(SUM($AS$5:$AS$404),2),IF($AD666="D",INDEX($AS$5:$AS$404,$AC666),IF($AD666="T",ROUND(SUMIF($X$5:$X$404,$AF666,$AS$5:$AS$404),2),IF($AD666="B",ROUND(SUMIF($AN$5:$AN$404,$AQ666,$AS$5:$AS$404),2),""))))</f>
        <v/>
      </c>
      <c r="G666" s="32">
        <f>IF($AD666&lt;&gt;"D","",INDEX($AT$5:$AT$404,$AC666))</f>
        <v/>
      </c>
      <c r="H666" s="32">
        <f>IF($AD666&lt;&gt;"D","",INDEX($BC$5:$BC$404,$AC666))</f>
        <v/>
      </c>
      <c r="I666" s="32">
        <f>IF($AD666&lt;&gt;"D","",INDEX($BD$5:$BD$404,$AC666))</f>
        <v/>
      </c>
      <c r="J666" s="46">
        <f>IF($AD666&lt;&gt;"D","",IF(N($B666)=0,"",ROUND($I666/$B666,4)))</f>
        <v/>
      </c>
      <c r="K666" s="32">
        <f>IF($AD666="Z",ROUND(SUM($AU$5:$AU$404),2),IF($AD666="D",INDEX($AU$5:$AU$404,$AC666),IF($AD666="T",ROUND(SUMIF($X$5:$X$404,$AF666,$AU$5:$AU$404),2),IF($AD666="B",ROUND(SUMIF($AN$5:$AN$404,$AQ666,$AU$5:$AU$404),2),""))))</f>
        <v/>
      </c>
      <c r="L666" s="32">
        <f>IF($AD666="Z",ROUND(SUM($AV$5:$AV$404),2),IF($AD666="D",INDEX($AV$5:$AV$404,$AC666),IF($AD666="T",ROUND(SUMIF($X$5:$X$404,$AF666,$AV$5:$AV$404),2),IF($AD666="B",ROUND(SUMIF($AN$5:$AN$404,$AQ666,$AV$5:$AV$404),2),""))))</f>
        <v/>
      </c>
      <c r="M666" s="32">
        <f>IF($AD666="Z",ROUND(SUM($AJ$5:$AJ$704),2),IF($AD666="B",ROUND(SUMIF($AQ$5:$AQ$704,$AQ666,$AJ$5:$AJ$704),2),IF($AD666&lt;&gt;"T","",$AJ666)))</f>
        <v/>
      </c>
      <c r="N666" s="32">
        <f>IF(OR($AD666="D",$AD666="T",$AD666="B",$AD666="Z"),ROUND(N($K666)-N($L666)-N($M666),2),"")</f>
        <v/>
      </c>
      <c r="O666" s="32">
        <f>IF(OR($AD666="D",$AD666="T",$AD666="B",$AD666="Z"),IF(N($E666)=0,"",ROUND($F666/$E666,2)),"")</f>
        <v/>
      </c>
      <c r="AC666">
        <f>IFERROR(MATCH(662,$AB$5:$AB$404,1),"")</f>
        <v/>
      </c>
      <c r="AD666">
        <f>IF(662=$AI$1+1,"Z",IF($AC666="","",IF(INDEX($V$5:$V$404,$AC666)="","",IF(662&gt;INDEX($AB$5:$AB$404,$AC666)+INDEX($Z$5:$Z$404,$AC666)+INDEX($AA$5:$AA$404,$AC666)+INDEX($AO$5:$AO$404,$AC666),"",IF(662=INDEX($AB$5:$AB$404,$AC666)+INDEX($Z$5:$Z$404,$AC666),"D",IF(AND(INDEX($Z$5:$Z$404,$AC666)=1,662=INDEX($AB$5:$AB$404,$AC666)),"H",IF(AND(INDEX($AO$5:$AO$404,$AC666)=1,662=INDEX($AB$5:$AB$404,$AC666)+INDEX($Z$5:$Z$404,$AC666)+INDEX($AA$5:$AA$404,$AC666)+INDEX($AO$5:$AO$404,$AC666)),"B","T")))))))</f>
        <v/>
      </c>
      <c r="AF666">
        <f>IF(OR($AD666="",$AD666="Z",$AD666="B"),"",INDEX($X$5:$X$404,$AC666))</f>
        <v/>
      </c>
      <c r="AJ666">
        <f>IF($AD666&lt;&gt;"T",0,ROUND(SUMIF(oil!$B$4:$B$63,$AF666,oil!$AE$4:$AE$63),2))</f>
        <v/>
      </c>
      <c r="AQ666">
        <f>IF(OR($AD666="",$AD666="Z"),"",INDEX($AN$5:$AN$404,$AC666))</f>
        <v/>
      </c>
      <c r="AZ666">
        <f>IF(AND($AD666="T",$AQ666=1),N($AZ665)+1,N($AZ665))</f>
        <v/>
      </c>
    </row>
    <row r="667" ht="21" customHeight="1" s="66">
      <c r="A667" s="69">
        <f>IF($AD667="","",IF($AD667="Z","รวมจ่ายทั้งสิ้น",IF($AD667="H",INDEX($X$5:$X$404,$AC667),IF($AD667="T","รวม",IF($AD667="B",IFERROR(INDEX(อัตราค่าขนส่ง!$S$5:$S$14,MATCH(INDEX($AM$5:$AM$404,$AC667),อัตราค่าขนส่ง!$R$5:$R$14,0)),"รวมกลุ่ม "&amp;INDEX($AM$5:$AM$404,$AC667)),INDEX($AY$5:$AY$404,$AC667))))))</f>
        <v/>
      </c>
      <c r="B667" s="31">
        <f>IF($AD667&lt;&gt;"D","",INDEX($AW$5:$AW$404,$AC667))</f>
        <v/>
      </c>
      <c r="C667" s="68">
        <f>IF($AD667&lt;&gt;"D","",INDEX($AX$5:$AX$404,$AC667))</f>
        <v/>
      </c>
      <c r="D667" s="70">
        <f>IF($AD667&lt;&gt;"D","",INDEX($BA$5:$BA$404,$AC667))</f>
        <v/>
      </c>
      <c r="E667" s="31">
        <f>IF($AD667="Z",SUM($AR$5:$AR$404),IF($AD667="D",INDEX($AR$5:$AR$404,$AC667),IF($AD667="T",SUMIF($X$5:$X$404,$AF667,$AR$5:$AR$404),IF($AD667="B",SUMIF($AN$5:$AN$404,$AQ667,$AR$5:$AR$404),""))))</f>
        <v/>
      </c>
      <c r="F667" s="32">
        <f>IF($AD667="Z",ROUND(SUM($AS$5:$AS$404),2),IF($AD667="D",INDEX($AS$5:$AS$404,$AC667),IF($AD667="T",ROUND(SUMIF($X$5:$X$404,$AF667,$AS$5:$AS$404),2),IF($AD667="B",ROUND(SUMIF($AN$5:$AN$404,$AQ667,$AS$5:$AS$404),2),""))))</f>
        <v/>
      </c>
      <c r="G667" s="32">
        <f>IF($AD667&lt;&gt;"D","",INDEX($AT$5:$AT$404,$AC667))</f>
        <v/>
      </c>
      <c r="H667" s="32">
        <f>IF($AD667&lt;&gt;"D","",INDEX($BC$5:$BC$404,$AC667))</f>
        <v/>
      </c>
      <c r="I667" s="32">
        <f>IF($AD667&lt;&gt;"D","",INDEX($BD$5:$BD$404,$AC667))</f>
        <v/>
      </c>
      <c r="J667" s="46">
        <f>IF($AD667&lt;&gt;"D","",IF(N($B667)=0,"",ROUND($I667/$B667,4)))</f>
        <v/>
      </c>
      <c r="K667" s="32">
        <f>IF($AD667="Z",ROUND(SUM($AU$5:$AU$404),2),IF($AD667="D",INDEX($AU$5:$AU$404,$AC667),IF($AD667="T",ROUND(SUMIF($X$5:$X$404,$AF667,$AU$5:$AU$404),2),IF($AD667="B",ROUND(SUMIF($AN$5:$AN$404,$AQ667,$AU$5:$AU$404),2),""))))</f>
        <v/>
      </c>
      <c r="L667" s="32">
        <f>IF($AD667="Z",ROUND(SUM($AV$5:$AV$404),2),IF($AD667="D",INDEX($AV$5:$AV$404,$AC667),IF($AD667="T",ROUND(SUMIF($X$5:$X$404,$AF667,$AV$5:$AV$404),2),IF($AD667="B",ROUND(SUMIF($AN$5:$AN$404,$AQ667,$AV$5:$AV$404),2),""))))</f>
        <v/>
      </c>
      <c r="M667" s="32">
        <f>IF($AD667="Z",ROUND(SUM($AJ$5:$AJ$704),2),IF($AD667="B",ROUND(SUMIF($AQ$5:$AQ$704,$AQ667,$AJ$5:$AJ$704),2),IF($AD667&lt;&gt;"T","",$AJ667)))</f>
        <v/>
      </c>
      <c r="N667" s="32">
        <f>IF(OR($AD667="D",$AD667="T",$AD667="B",$AD667="Z"),ROUND(N($K667)-N($L667)-N($M667),2),"")</f>
        <v/>
      </c>
      <c r="O667" s="32">
        <f>IF(OR($AD667="D",$AD667="T",$AD667="B",$AD667="Z"),IF(N($E667)=0,"",ROUND($F667/$E667,2)),"")</f>
        <v/>
      </c>
      <c r="AC667">
        <f>IFERROR(MATCH(663,$AB$5:$AB$404,1),"")</f>
        <v/>
      </c>
      <c r="AD667">
        <f>IF(663=$AI$1+1,"Z",IF($AC667="","",IF(INDEX($V$5:$V$404,$AC667)="","",IF(663&gt;INDEX($AB$5:$AB$404,$AC667)+INDEX($Z$5:$Z$404,$AC667)+INDEX($AA$5:$AA$404,$AC667)+INDEX($AO$5:$AO$404,$AC667),"",IF(663=INDEX($AB$5:$AB$404,$AC667)+INDEX($Z$5:$Z$404,$AC667),"D",IF(AND(INDEX($Z$5:$Z$404,$AC667)=1,663=INDEX($AB$5:$AB$404,$AC667)),"H",IF(AND(INDEX($AO$5:$AO$404,$AC667)=1,663=INDEX($AB$5:$AB$404,$AC667)+INDEX($Z$5:$Z$404,$AC667)+INDEX($AA$5:$AA$404,$AC667)+INDEX($AO$5:$AO$404,$AC667)),"B","T")))))))</f>
        <v/>
      </c>
      <c r="AF667">
        <f>IF(OR($AD667="",$AD667="Z",$AD667="B"),"",INDEX($X$5:$X$404,$AC667))</f>
        <v/>
      </c>
      <c r="AJ667">
        <f>IF($AD667&lt;&gt;"T",0,ROUND(SUMIF(oil!$B$4:$B$63,$AF667,oil!$AE$4:$AE$63),2))</f>
        <v/>
      </c>
      <c r="AQ667">
        <f>IF(OR($AD667="",$AD667="Z"),"",INDEX($AN$5:$AN$404,$AC667))</f>
        <v/>
      </c>
      <c r="AZ667">
        <f>IF(AND($AD667="T",$AQ667=1),N($AZ666)+1,N($AZ666))</f>
        <v/>
      </c>
    </row>
    <row r="668" ht="21" customHeight="1" s="66">
      <c r="A668" s="69">
        <f>IF($AD668="","",IF($AD668="Z","รวมจ่ายทั้งสิ้น",IF($AD668="H",INDEX($X$5:$X$404,$AC668),IF($AD668="T","รวม",IF($AD668="B",IFERROR(INDEX(อัตราค่าขนส่ง!$S$5:$S$14,MATCH(INDEX($AM$5:$AM$404,$AC668),อัตราค่าขนส่ง!$R$5:$R$14,0)),"รวมกลุ่ม "&amp;INDEX($AM$5:$AM$404,$AC668)),INDEX($AY$5:$AY$404,$AC668))))))</f>
        <v/>
      </c>
      <c r="B668" s="31">
        <f>IF($AD668&lt;&gt;"D","",INDEX($AW$5:$AW$404,$AC668))</f>
        <v/>
      </c>
      <c r="C668" s="68">
        <f>IF($AD668&lt;&gt;"D","",INDEX($AX$5:$AX$404,$AC668))</f>
        <v/>
      </c>
      <c r="D668" s="70">
        <f>IF($AD668&lt;&gt;"D","",INDEX($BA$5:$BA$404,$AC668))</f>
        <v/>
      </c>
      <c r="E668" s="31">
        <f>IF($AD668="Z",SUM($AR$5:$AR$404),IF($AD668="D",INDEX($AR$5:$AR$404,$AC668),IF($AD668="T",SUMIF($X$5:$X$404,$AF668,$AR$5:$AR$404),IF($AD668="B",SUMIF($AN$5:$AN$404,$AQ668,$AR$5:$AR$404),""))))</f>
        <v/>
      </c>
      <c r="F668" s="32">
        <f>IF($AD668="Z",ROUND(SUM($AS$5:$AS$404),2),IF($AD668="D",INDEX($AS$5:$AS$404,$AC668),IF($AD668="T",ROUND(SUMIF($X$5:$X$404,$AF668,$AS$5:$AS$404),2),IF($AD668="B",ROUND(SUMIF($AN$5:$AN$404,$AQ668,$AS$5:$AS$404),2),""))))</f>
        <v/>
      </c>
      <c r="G668" s="32">
        <f>IF($AD668&lt;&gt;"D","",INDEX($AT$5:$AT$404,$AC668))</f>
        <v/>
      </c>
      <c r="H668" s="32">
        <f>IF($AD668&lt;&gt;"D","",INDEX($BC$5:$BC$404,$AC668))</f>
        <v/>
      </c>
      <c r="I668" s="32">
        <f>IF($AD668&lt;&gt;"D","",INDEX($BD$5:$BD$404,$AC668))</f>
        <v/>
      </c>
      <c r="J668" s="46">
        <f>IF($AD668&lt;&gt;"D","",IF(N($B668)=0,"",ROUND($I668/$B668,4)))</f>
        <v/>
      </c>
      <c r="K668" s="32">
        <f>IF($AD668="Z",ROUND(SUM($AU$5:$AU$404),2),IF($AD668="D",INDEX($AU$5:$AU$404,$AC668),IF($AD668="T",ROUND(SUMIF($X$5:$X$404,$AF668,$AU$5:$AU$404),2),IF($AD668="B",ROUND(SUMIF($AN$5:$AN$404,$AQ668,$AU$5:$AU$404),2),""))))</f>
        <v/>
      </c>
      <c r="L668" s="32">
        <f>IF($AD668="Z",ROUND(SUM($AV$5:$AV$404),2),IF($AD668="D",INDEX($AV$5:$AV$404,$AC668),IF($AD668="T",ROUND(SUMIF($X$5:$X$404,$AF668,$AV$5:$AV$404),2),IF($AD668="B",ROUND(SUMIF($AN$5:$AN$404,$AQ668,$AV$5:$AV$404),2),""))))</f>
        <v/>
      </c>
      <c r="M668" s="32">
        <f>IF($AD668="Z",ROUND(SUM($AJ$5:$AJ$704),2),IF($AD668="B",ROUND(SUMIF($AQ$5:$AQ$704,$AQ668,$AJ$5:$AJ$704),2),IF($AD668&lt;&gt;"T","",$AJ668)))</f>
        <v/>
      </c>
      <c r="N668" s="32">
        <f>IF(OR($AD668="D",$AD668="T",$AD668="B",$AD668="Z"),ROUND(N($K668)-N($L668)-N($M668),2),"")</f>
        <v/>
      </c>
      <c r="O668" s="32">
        <f>IF(OR($AD668="D",$AD668="T",$AD668="B",$AD668="Z"),IF(N($E668)=0,"",ROUND($F668/$E668,2)),"")</f>
        <v/>
      </c>
      <c r="AC668">
        <f>IFERROR(MATCH(664,$AB$5:$AB$404,1),"")</f>
        <v/>
      </c>
      <c r="AD668">
        <f>IF(664=$AI$1+1,"Z",IF($AC668="","",IF(INDEX($V$5:$V$404,$AC668)="","",IF(664&gt;INDEX($AB$5:$AB$404,$AC668)+INDEX($Z$5:$Z$404,$AC668)+INDEX($AA$5:$AA$404,$AC668)+INDEX($AO$5:$AO$404,$AC668),"",IF(664=INDEX($AB$5:$AB$404,$AC668)+INDEX($Z$5:$Z$404,$AC668),"D",IF(AND(INDEX($Z$5:$Z$404,$AC668)=1,664=INDEX($AB$5:$AB$404,$AC668)),"H",IF(AND(INDEX($AO$5:$AO$404,$AC668)=1,664=INDEX($AB$5:$AB$404,$AC668)+INDEX($Z$5:$Z$404,$AC668)+INDEX($AA$5:$AA$404,$AC668)+INDEX($AO$5:$AO$404,$AC668)),"B","T")))))))</f>
        <v/>
      </c>
      <c r="AF668">
        <f>IF(OR($AD668="",$AD668="Z",$AD668="B"),"",INDEX($X$5:$X$404,$AC668))</f>
        <v/>
      </c>
      <c r="AJ668">
        <f>IF($AD668&lt;&gt;"T",0,ROUND(SUMIF(oil!$B$4:$B$63,$AF668,oil!$AE$4:$AE$63),2))</f>
        <v/>
      </c>
      <c r="AQ668">
        <f>IF(OR($AD668="",$AD668="Z"),"",INDEX($AN$5:$AN$404,$AC668))</f>
        <v/>
      </c>
      <c r="AZ668">
        <f>IF(AND($AD668="T",$AQ668=1),N($AZ667)+1,N($AZ667))</f>
        <v/>
      </c>
    </row>
    <row r="669" ht="21" customHeight="1" s="66">
      <c r="A669" s="69">
        <f>IF($AD669="","",IF($AD669="Z","รวมจ่ายทั้งสิ้น",IF($AD669="H",INDEX($X$5:$X$404,$AC669),IF($AD669="T","รวม",IF($AD669="B",IFERROR(INDEX(อัตราค่าขนส่ง!$S$5:$S$14,MATCH(INDEX($AM$5:$AM$404,$AC669),อัตราค่าขนส่ง!$R$5:$R$14,0)),"รวมกลุ่ม "&amp;INDEX($AM$5:$AM$404,$AC669)),INDEX($AY$5:$AY$404,$AC669))))))</f>
        <v/>
      </c>
      <c r="B669" s="31">
        <f>IF($AD669&lt;&gt;"D","",INDEX($AW$5:$AW$404,$AC669))</f>
        <v/>
      </c>
      <c r="C669" s="68">
        <f>IF($AD669&lt;&gt;"D","",INDEX($AX$5:$AX$404,$AC669))</f>
        <v/>
      </c>
      <c r="D669" s="70">
        <f>IF($AD669&lt;&gt;"D","",INDEX($BA$5:$BA$404,$AC669))</f>
        <v/>
      </c>
      <c r="E669" s="31">
        <f>IF($AD669="Z",SUM($AR$5:$AR$404),IF($AD669="D",INDEX($AR$5:$AR$404,$AC669),IF($AD669="T",SUMIF($X$5:$X$404,$AF669,$AR$5:$AR$404),IF($AD669="B",SUMIF($AN$5:$AN$404,$AQ669,$AR$5:$AR$404),""))))</f>
        <v/>
      </c>
      <c r="F669" s="32">
        <f>IF($AD669="Z",ROUND(SUM($AS$5:$AS$404),2),IF($AD669="D",INDEX($AS$5:$AS$404,$AC669),IF($AD669="T",ROUND(SUMIF($X$5:$X$404,$AF669,$AS$5:$AS$404),2),IF($AD669="B",ROUND(SUMIF($AN$5:$AN$404,$AQ669,$AS$5:$AS$404),2),""))))</f>
        <v/>
      </c>
      <c r="G669" s="32">
        <f>IF($AD669&lt;&gt;"D","",INDEX($AT$5:$AT$404,$AC669))</f>
        <v/>
      </c>
      <c r="H669" s="32">
        <f>IF($AD669&lt;&gt;"D","",INDEX($BC$5:$BC$404,$AC669))</f>
        <v/>
      </c>
      <c r="I669" s="32">
        <f>IF($AD669&lt;&gt;"D","",INDEX($BD$5:$BD$404,$AC669))</f>
        <v/>
      </c>
      <c r="J669" s="46">
        <f>IF($AD669&lt;&gt;"D","",IF(N($B669)=0,"",ROUND($I669/$B669,4)))</f>
        <v/>
      </c>
      <c r="K669" s="32">
        <f>IF($AD669="Z",ROUND(SUM($AU$5:$AU$404),2),IF($AD669="D",INDEX($AU$5:$AU$404,$AC669),IF($AD669="T",ROUND(SUMIF($X$5:$X$404,$AF669,$AU$5:$AU$404),2),IF($AD669="B",ROUND(SUMIF($AN$5:$AN$404,$AQ669,$AU$5:$AU$404),2),""))))</f>
        <v/>
      </c>
      <c r="L669" s="32">
        <f>IF($AD669="Z",ROUND(SUM($AV$5:$AV$404),2),IF($AD669="D",INDEX($AV$5:$AV$404,$AC669),IF($AD669="T",ROUND(SUMIF($X$5:$X$404,$AF669,$AV$5:$AV$404),2),IF($AD669="B",ROUND(SUMIF($AN$5:$AN$404,$AQ669,$AV$5:$AV$404),2),""))))</f>
        <v/>
      </c>
      <c r="M669" s="32">
        <f>IF($AD669="Z",ROUND(SUM($AJ$5:$AJ$704),2),IF($AD669="B",ROUND(SUMIF($AQ$5:$AQ$704,$AQ669,$AJ$5:$AJ$704),2),IF($AD669&lt;&gt;"T","",$AJ669)))</f>
        <v/>
      </c>
      <c r="N669" s="32">
        <f>IF(OR($AD669="D",$AD669="T",$AD669="B",$AD669="Z"),ROUND(N($K669)-N($L669)-N($M669),2),"")</f>
        <v/>
      </c>
      <c r="O669" s="32">
        <f>IF(OR($AD669="D",$AD669="T",$AD669="B",$AD669="Z"),IF(N($E669)=0,"",ROUND($F669/$E669,2)),"")</f>
        <v/>
      </c>
      <c r="AC669">
        <f>IFERROR(MATCH(665,$AB$5:$AB$404,1),"")</f>
        <v/>
      </c>
      <c r="AD669">
        <f>IF(665=$AI$1+1,"Z",IF($AC669="","",IF(INDEX($V$5:$V$404,$AC669)="","",IF(665&gt;INDEX($AB$5:$AB$404,$AC669)+INDEX($Z$5:$Z$404,$AC669)+INDEX($AA$5:$AA$404,$AC669)+INDEX($AO$5:$AO$404,$AC669),"",IF(665=INDEX($AB$5:$AB$404,$AC669)+INDEX($Z$5:$Z$404,$AC669),"D",IF(AND(INDEX($Z$5:$Z$404,$AC669)=1,665=INDEX($AB$5:$AB$404,$AC669)),"H",IF(AND(INDEX($AO$5:$AO$404,$AC669)=1,665=INDEX($AB$5:$AB$404,$AC669)+INDEX($Z$5:$Z$404,$AC669)+INDEX($AA$5:$AA$404,$AC669)+INDEX($AO$5:$AO$404,$AC669)),"B","T")))))))</f>
        <v/>
      </c>
      <c r="AF669">
        <f>IF(OR($AD669="",$AD669="Z",$AD669="B"),"",INDEX($X$5:$X$404,$AC669))</f>
        <v/>
      </c>
      <c r="AJ669">
        <f>IF($AD669&lt;&gt;"T",0,ROUND(SUMIF(oil!$B$4:$B$63,$AF669,oil!$AE$4:$AE$63),2))</f>
        <v/>
      </c>
      <c r="AQ669">
        <f>IF(OR($AD669="",$AD669="Z"),"",INDEX($AN$5:$AN$404,$AC669))</f>
        <v/>
      </c>
      <c r="AZ669">
        <f>IF(AND($AD669="T",$AQ669=1),N($AZ668)+1,N($AZ668))</f>
        <v/>
      </c>
    </row>
    <row r="670" ht="21" customHeight="1" s="66">
      <c r="A670" s="69">
        <f>IF($AD670="","",IF($AD670="Z","รวมจ่ายทั้งสิ้น",IF($AD670="H",INDEX($X$5:$X$404,$AC670),IF($AD670="T","รวม",IF($AD670="B",IFERROR(INDEX(อัตราค่าขนส่ง!$S$5:$S$14,MATCH(INDEX($AM$5:$AM$404,$AC670),อัตราค่าขนส่ง!$R$5:$R$14,0)),"รวมกลุ่ม "&amp;INDEX($AM$5:$AM$404,$AC670)),INDEX($AY$5:$AY$404,$AC670))))))</f>
        <v/>
      </c>
      <c r="B670" s="31">
        <f>IF($AD670&lt;&gt;"D","",INDEX($AW$5:$AW$404,$AC670))</f>
        <v/>
      </c>
      <c r="C670" s="68">
        <f>IF($AD670&lt;&gt;"D","",INDEX($AX$5:$AX$404,$AC670))</f>
        <v/>
      </c>
      <c r="D670" s="70">
        <f>IF($AD670&lt;&gt;"D","",INDEX($BA$5:$BA$404,$AC670))</f>
        <v/>
      </c>
      <c r="E670" s="31">
        <f>IF($AD670="Z",SUM($AR$5:$AR$404),IF($AD670="D",INDEX($AR$5:$AR$404,$AC670),IF($AD670="T",SUMIF($X$5:$X$404,$AF670,$AR$5:$AR$404),IF($AD670="B",SUMIF($AN$5:$AN$404,$AQ670,$AR$5:$AR$404),""))))</f>
        <v/>
      </c>
      <c r="F670" s="32">
        <f>IF($AD670="Z",ROUND(SUM($AS$5:$AS$404),2),IF($AD670="D",INDEX($AS$5:$AS$404,$AC670),IF($AD670="T",ROUND(SUMIF($X$5:$X$404,$AF670,$AS$5:$AS$404),2),IF($AD670="B",ROUND(SUMIF($AN$5:$AN$404,$AQ670,$AS$5:$AS$404),2),""))))</f>
        <v/>
      </c>
      <c r="G670" s="32">
        <f>IF($AD670&lt;&gt;"D","",INDEX($AT$5:$AT$404,$AC670))</f>
        <v/>
      </c>
      <c r="H670" s="32">
        <f>IF($AD670&lt;&gt;"D","",INDEX($BC$5:$BC$404,$AC670))</f>
        <v/>
      </c>
      <c r="I670" s="32">
        <f>IF($AD670&lt;&gt;"D","",INDEX($BD$5:$BD$404,$AC670))</f>
        <v/>
      </c>
      <c r="J670" s="46">
        <f>IF($AD670&lt;&gt;"D","",IF(N($B670)=0,"",ROUND($I670/$B670,4)))</f>
        <v/>
      </c>
      <c r="K670" s="32">
        <f>IF($AD670="Z",ROUND(SUM($AU$5:$AU$404),2),IF($AD670="D",INDEX($AU$5:$AU$404,$AC670),IF($AD670="T",ROUND(SUMIF($X$5:$X$404,$AF670,$AU$5:$AU$404),2),IF($AD670="B",ROUND(SUMIF($AN$5:$AN$404,$AQ670,$AU$5:$AU$404),2),""))))</f>
        <v/>
      </c>
      <c r="L670" s="32">
        <f>IF($AD670="Z",ROUND(SUM($AV$5:$AV$404),2),IF($AD670="D",INDEX($AV$5:$AV$404,$AC670),IF($AD670="T",ROUND(SUMIF($X$5:$X$404,$AF670,$AV$5:$AV$404),2),IF($AD670="B",ROUND(SUMIF($AN$5:$AN$404,$AQ670,$AV$5:$AV$404),2),""))))</f>
        <v/>
      </c>
      <c r="M670" s="32">
        <f>IF($AD670="Z",ROUND(SUM($AJ$5:$AJ$704),2),IF($AD670="B",ROUND(SUMIF($AQ$5:$AQ$704,$AQ670,$AJ$5:$AJ$704),2),IF($AD670&lt;&gt;"T","",$AJ670)))</f>
        <v/>
      </c>
      <c r="N670" s="32">
        <f>IF(OR($AD670="D",$AD670="T",$AD670="B",$AD670="Z"),ROUND(N($K670)-N($L670)-N($M670),2),"")</f>
        <v/>
      </c>
      <c r="O670" s="32">
        <f>IF(OR($AD670="D",$AD670="T",$AD670="B",$AD670="Z"),IF(N($E670)=0,"",ROUND($F670/$E670,2)),"")</f>
        <v/>
      </c>
      <c r="AC670">
        <f>IFERROR(MATCH(666,$AB$5:$AB$404,1),"")</f>
        <v/>
      </c>
      <c r="AD670">
        <f>IF(666=$AI$1+1,"Z",IF($AC670="","",IF(INDEX($V$5:$V$404,$AC670)="","",IF(666&gt;INDEX($AB$5:$AB$404,$AC670)+INDEX($Z$5:$Z$404,$AC670)+INDEX($AA$5:$AA$404,$AC670)+INDEX($AO$5:$AO$404,$AC670),"",IF(666=INDEX($AB$5:$AB$404,$AC670)+INDEX($Z$5:$Z$404,$AC670),"D",IF(AND(INDEX($Z$5:$Z$404,$AC670)=1,666=INDEX($AB$5:$AB$404,$AC670)),"H",IF(AND(INDEX($AO$5:$AO$404,$AC670)=1,666=INDEX($AB$5:$AB$404,$AC670)+INDEX($Z$5:$Z$404,$AC670)+INDEX($AA$5:$AA$404,$AC670)+INDEX($AO$5:$AO$404,$AC670)),"B","T")))))))</f>
        <v/>
      </c>
      <c r="AF670">
        <f>IF(OR($AD670="",$AD670="Z",$AD670="B"),"",INDEX($X$5:$X$404,$AC670))</f>
        <v/>
      </c>
      <c r="AJ670">
        <f>IF($AD670&lt;&gt;"T",0,ROUND(SUMIF(oil!$B$4:$B$63,$AF670,oil!$AE$4:$AE$63),2))</f>
        <v/>
      </c>
      <c r="AQ670">
        <f>IF(OR($AD670="",$AD670="Z"),"",INDEX($AN$5:$AN$404,$AC670))</f>
        <v/>
      </c>
      <c r="AZ670">
        <f>IF(AND($AD670="T",$AQ670=1),N($AZ669)+1,N($AZ669))</f>
        <v/>
      </c>
    </row>
    <row r="671" ht="21" customHeight="1" s="66">
      <c r="A671" s="69">
        <f>IF($AD671="","",IF($AD671="Z","รวมจ่ายทั้งสิ้น",IF($AD671="H",INDEX($X$5:$X$404,$AC671),IF($AD671="T","รวม",IF($AD671="B",IFERROR(INDEX(อัตราค่าขนส่ง!$S$5:$S$14,MATCH(INDEX($AM$5:$AM$404,$AC671),อัตราค่าขนส่ง!$R$5:$R$14,0)),"รวมกลุ่ม "&amp;INDEX($AM$5:$AM$404,$AC671)),INDEX($AY$5:$AY$404,$AC671))))))</f>
        <v/>
      </c>
      <c r="B671" s="31">
        <f>IF($AD671&lt;&gt;"D","",INDEX($AW$5:$AW$404,$AC671))</f>
        <v/>
      </c>
      <c r="C671" s="68">
        <f>IF($AD671&lt;&gt;"D","",INDEX($AX$5:$AX$404,$AC671))</f>
        <v/>
      </c>
      <c r="D671" s="70">
        <f>IF($AD671&lt;&gt;"D","",INDEX($BA$5:$BA$404,$AC671))</f>
        <v/>
      </c>
      <c r="E671" s="31">
        <f>IF($AD671="Z",SUM($AR$5:$AR$404),IF($AD671="D",INDEX($AR$5:$AR$404,$AC671),IF($AD671="T",SUMIF($X$5:$X$404,$AF671,$AR$5:$AR$404),IF($AD671="B",SUMIF($AN$5:$AN$404,$AQ671,$AR$5:$AR$404),""))))</f>
        <v/>
      </c>
      <c r="F671" s="32">
        <f>IF($AD671="Z",ROUND(SUM($AS$5:$AS$404),2),IF($AD671="D",INDEX($AS$5:$AS$404,$AC671),IF($AD671="T",ROUND(SUMIF($X$5:$X$404,$AF671,$AS$5:$AS$404),2),IF($AD671="B",ROUND(SUMIF($AN$5:$AN$404,$AQ671,$AS$5:$AS$404),2),""))))</f>
        <v/>
      </c>
      <c r="G671" s="32">
        <f>IF($AD671&lt;&gt;"D","",INDEX($AT$5:$AT$404,$AC671))</f>
        <v/>
      </c>
      <c r="H671" s="32">
        <f>IF($AD671&lt;&gt;"D","",INDEX($BC$5:$BC$404,$AC671))</f>
        <v/>
      </c>
      <c r="I671" s="32">
        <f>IF($AD671&lt;&gt;"D","",INDEX($BD$5:$BD$404,$AC671))</f>
        <v/>
      </c>
      <c r="J671" s="46">
        <f>IF($AD671&lt;&gt;"D","",IF(N($B671)=0,"",ROUND($I671/$B671,4)))</f>
        <v/>
      </c>
      <c r="K671" s="32">
        <f>IF($AD671="Z",ROUND(SUM($AU$5:$AU$404),2),IF($AD671="D",INDEX($AU$5:$AU$404,$AC671),IF($AD671="T",ROUND(SUMIF($X$5:$X$404,$AF671,$AU$5:$AU$404),2),IF($AD671="B",ROUND(SUMIF($AN$5:$AN$404,$AQ671,$AU$5:$AU$404),2),""))))</f>
        <v/>
      </c>
      <c r="L671" s="32">
        <f>IF($AD671="Z",ROUND(SUM($AV$5:$AV$404),2),IF($AD671="D",INDEX($AV$5:$AV$404,$AC671),IF($AD671="T",ROUND(SUMIF($X$5:$X$404,$AF671,$AV$5:$AV$404),2),IF($AD671="B",ROUND(SUMIF($AN$5:$AN$404,$AQ671,$AV$5:$AV$404),2),""))))</f>
        <v/>
      </c>
      <c r="M671" s="32">
        <f>IF($AD671="Z",ROUND(SUM($AJ$5:$AJ$704),2),IF($AD671="B",ROUND(SUMIF($AQ$5:$AQ$704,$AQ671,$AJ$5:$AJ$704),2),IF($AD671&lt;&gt;"T","",$AJ671)))</f>
        <v/>
      </c>
      <c r="N671" s="32">
        <f>IF(OR($AD671="D",$AD671="T",$AD671="B",$AD671="Z"),ROUND(N($K671)-N($L671)-N($M671),2),"")</f>
        <v/>
      </c>
      <c r="O671" s="32">
        <f>IF(OR($AD671="D",$AD671="T",$AD671="B",$AD671="Z"),IF(N($E671)=0,"",ROUND($F671/$E671,2)),"")</f>
        <v/>
      </c>
      <c r="AC671">
        <f>IFERROR(MATCH(667,$AB$5:$AB$404,1),"")</f>
        <v/>
      </c>
      <c r="AD671">
        <f>IF(667=$AI$1+1,"Z",IF($AC671="","",IF(INDEX($V$5:$V$404,$AC671)="","",IF(667&gt;INDEX($AB$5:$AB$404,$AC671)+INDEX($Z$5:$Z$404,$AC671)+INDEX($AA$5:$AA$404,$AC671)+INDEX($AO$5:$AO$404,$AC671),"",IF(667=INDEX($AB$5:$AB$404,$AC671)+INDEX($Z$5:$Z$404,$AC671),"D",IF(AND(INDEX($Z$5:$Z$404,$AC671)=1,667=INDEX($AB$5:$AB$404,$AC671)),"H",IF(AND(INDEX($AO$5:$AO$404,$AC671)=1,667=INDEX($AB$5:$AB$404,$AC671)+INDEX($Z$5:$Z$404,$AC671)+INDEX($AA$5:$AA$404,$AC671)+INDEX($AO$5:$AO$404,$AC671)),"B","T")))))))</f>
        <v/>
      </c>
      <c r="AF671">
        <f>IF(OR($AD671="",$AD671="Z",$AD671="B"),"",INDEX($X$5:$X$404,$AC671))</f>
        <v/>
      </c>
      <c r="AJ671">
        <f>IF($AD671&lt;&gt;"T",0,ROUND(SUMIF(oil!$B$4:$B$63,$AF671,oil!$AE$4:$AE$63),2))</f>
        <v/>
      </c>
      <c r="AQ671">
        <f>IF(OR($AD671="",$AD671="Z"),"",INDEX($AN$5:$AN$404,$AC671))</f>
        <v/>
      </c>
      <c r="AZ671">
        <f>IF(AND($AD671="T",$AQ671=1),N($AZ670)+1,N($AZ670))</f>
        <v/>
      </c>
    </row>
    <row r="672" ht="21" customHeight="1" s="66">
      <c r="A672" s="69">
        <f>IF($AD672="","",IF($AD672="Z","รวมจ่ายทั้งสิ้น",IF($AD672="H",INDEX($X$5:$X$404,$AC672),IF($AD672="T","รวม",IF($AD672="B",IFERROR(INDEX(อัตราค่าขนส่ง!$S$5:$S$14,MATCH(INDEX($AM$5:$AM$404,$AC672),อัตราค่าขนส่ง!$R$5:$R$14,0)),"รวมกลุ่ม "&amp;INDEX($AM$5:$AM$404,$AC672)),INDEX($AY$5:$AY$404,$AC672))))))</f>
        <v/>
      </c>
      <c r="B672" s="31">
        <f>IF($AD672&lt;&gt;"D","",INDEX($AW$5:$AW$404,$AC672))</f>
        <v/>
      </c>
      <c r="C672" s="68">
        <f>IF($AD672&lt;&gt;"D","",INDEX($AX$5:$AX$404,$AC672))</f>
        <v/>
      </c>
      <c r="D672" s="70">
        <f>IF($AD672&lt;&gt;"D","",INDEX($BA$5:$BA$404,$AC672))</f>
        <v/>
      </c>
      <c r="E672" s="31">
        <f>IF($AD672="Z",SUM($AR$5:$AR$404),IF($AD672="D",INDEX($AR$5:$AR$404,$AC672),IF($AD672="T",SUMIF($X$5:$X$404,$AF672,$AR$5:$AR$404),IF($AD672="B",SUMIF($AN$5:$AN$404,$AQ672,$AR$5:$AR$404),""))))</f>
        <v/>
      </c>
      <c r="F672" s="32">
        <f>IF($AD672="Z",ROUND(SUM($AS$5:$AS$404),2),IF($AD672="D",INDEX($AS$5:$AS$404,$AC672),IF($AD672="T",ROUND(SUMIF($X$5:$X$404,$AF672,$AS$5:$AS$404),2),IF($AD672="B",ROUND(SUMIF($AN$5:$AN$404,$AQ672,$AS$5:$AS$404),2),""))))</f>
        <v/>
      </c>
      <c r="G672" s="32">
        <f>IF($AD672&lt;&gt;"D","",INDEX($AT$5:$AT$404,$AC672))</f>
        <v/>
      </c>
      <c r="H672" s="32">
        <f>IF($AD672&lt;&gt;"D","",INDEX($BC$5:$BC$404,$AC672))</f>
        <v/>
      </c>
      <c r="I672" s="32">
        <f>IF($AD672&lt;&gt;"D","",INDEX($BD$5:$BD$404,$AC672))</f>
        <v/>
      </c>
      <c r="J672" s="46">
        <f>IF($AD672&lt;&gt;"D","",IF(N($B672)=0,"",ROUND($I672/$B672,4)))</f>
        <v/>
      </c>
      <c r="K672" s="32">
        <f>IF($AD672="Z",ROUND(SUM($AU$5:$AU$404),2),IF($AD672="D",INDEX($AU$5:$AU$404,$AC672),IF($AD672="T",ROUND(SUMIF($X$5:$X$404,$AF672,$AU$5:$AU$404),2),IF($AD672="B",ROUND(SUMIF($AN$5:$AN$404,$AQ672,$AU$5:$AU$404),2),""))))</f>
        <v/>
      </c>
      <c r="L672" s="32">
        <f>IF($AD672="Z",ROUND(SUM($AV$5:$AV$404),2),IF($AD672="D",INDEX($AV$5:$AV$404,$AC672),IF($AD672="T",ROUND(SUMIF($X$5:$X$404,$AF672,$AV$5:$AV$404),2),IF($AD672="B",ROUND(SUMIF($AN$5:$AN$404,$AQ672,$AV$5:$AV$404),2),""))))</f>
        <v/>
      </c>
      <c r="M672" s="32">
        <f>IF($AD672="Z",ROUND(SUM($AJ$5:$AJ$704),2),IF($AD672="B",ROUND(SUMIF($AQ$5:$AQ$704,$AQ672,$AJ$5:$AJ$704),2),IF($AD672&lt;&gt;"T","",$AJ672)))</f>
        <v/>
      </c>
      <c r="N672" s="32">
        <f>IF(OR($AD672="D",$AD672="T",$AD672="B",$AD672="Z"),ROUND(N($K672)-N($L672)-N($M672),2),"")</f>
        <v/>
      </c>
      <c r="O672" s="32">
        <f>IF(OR($AD672="D",$AD672="T",$AD672="B",$AD672="Z"),IF(N($E672)=0,"",ROUND($F672/$E672,2)),"")</f>
        <v/>
      </c>
      <c r="AC672">
        <f>IFERROR(MATCH(668,$AB$5:$AB$404,1),"")</f>
        <v/>
      </c>
      <c r="AD672">
        <f>IF(668=$AI$1+1,"Z",IF($AC672="","",IF(INDEX($V$5:$V$404,$AC672)="","",IF(668&gt;INDEX($AB$5:$AB$404,$AC672)+INDEX($Z$5:$Z$404,$AC672)+INDEX($AA$5:$AA$404,$AC672)+INDEX($AO$5:$AO$404,$AC672),"",IF(668=INDEX($AB$5:$AB$404,$AC672)+INDEX($Z$5:$Z$404,$AC672),"D",IF(AND(INDEX($Z$5:$Z$404,$AC672)=1,668=INDEX($AB$5:$AB$404,$AC672)),"H",IF(AND(INDEX($AO$5:$AO$404,$AC672)=1,668=INDEX($AB$5:$AB$404,$AC672)+INDEX($Z$5:$Z$404,$AC672)+INDEX($AA$5:$AA$404,$AC672)+INDEX($AO$5:$AO$404,$AC672)),"B","T")))))))</f>
        <v/>
      </c>
      <c r="AF672">
        <f>IF(OR($AD672="",$AD672="Z",$AD672="B"),"",INDEX($X$5:$X$404,$AC672))</f>
        <v/>
      </c>
      <c r="AJ672">
        <f>IF($AD672&lt;&gt;"T",0,ROUND(SUMIF(oil!$B$4:$B$63,$AF672,oil!$AE$4:$AE$63),2))</f>
        <v/>
      </c>
      <c r="AQ672">
        <f>IF(OR($AD672="",$AD672="Z"),"",INDEX($AN$5:$AN$404,$AC672))</f>
        <v/>
      </c>
      <c r="AZ672">
        <f>IF(AND($AD672="T",$AQ672=1),N($AZ671)+1,N($AZ671))</f>
        <v/>
      </c>
    </row>
    <row r="673" ht="21" customHeight="1" s="66">
      <c r="A673" s="69">
        <f>IF($AD673="","",IF($AD673="Z","รวมจ่ายทั้งสิ้น",IF($AD673="H",INDEX($X$5:$X$404,$AC673),IF($AD673="T","รวม",IF($AD673="B",IFERROR(INDEX(อัตราค่าขนส่ง!$S$5:$S$14,MATCH(INDEX($AM$5:$AM$404,$AC673),อัตราค่าขนส่ง!$R$5:$R$14,0)),"รวมกลุ่ม "&amp;INDEX($AM$5:$AM$404,$AC673)),INDEX($AY$5:$AY$404,$AC673))))))</f>
        <v/>
      </c>
      <c r="B673" s="31">
        <f>IF($AD673&lt;&gt;"D","",INDEX($AW$5:$AW$404,$AC673))</f>
        <v/>
      </c>
      <c r="C673" s="68">
        <f>IF($AD673&lt;&gt;"D","",INDEX($AX$5:$AX$404,$AC673))</f>
        <v/>
      </c>
      <c r="D673" s="70">
        <f>IF($AD673&lt;&gt;"D","",INDEX($BA$5:$BA$404,$AC673))</f>
        <v/>
      </c>
      <c r="E673" s="31">
        <f>IF($AD673="Z",SUM($AR$5:$AR$404),IF($AD673="D",INDEX($AR$5:$AR$404,$AC673),IF($AD673="T",SUMIF($X$5:$X$404,$AF673,$AR$5:$AR$404),IF($AD673="B",SUMIF($AN$5:$AN$404,$AQ673,$AR$5:$AR$404),""))))</f>
        <v/>
      </c>
      <c r="F673" s="32">
        <f>IF($AD673="Z",ROUND(SUM($AS$5:$AS$404),2),IF($AD673="D",INDEX($AS$5:$AS$404,$AC673),IF($AD673="T",ROUND(SUMIF($X$5:$X$404,$AF673,$AS$5:$AS$404),2),IF($AD673="B",ROUND(SUMIF($AN$5:$AN$404,$AQ673,$AS$5:$AS$404),2),""))))</f>
        <v/>
      </c>
      <c r="G673" s="32">
        <f>IF($AD673&lt;&gt;"D","",INDEX($AT$5:$AT$404,$AC673))</f>
        <v/>
      </c>
      <c r="H673" s="32">
        <f>IF($AD673&lt;&gt;"D","",INDEX($BC$5:$BC$404,$AC673))</f>
        <v/>
      </c>
      <c r="I673" s="32">
        <f>IF($AD673&lt;&gt;"D","",INDEX($BD$5:$BD$404,$AC673))</f>
        <v/>
      </c>
      <c r="J673" s="46">
        <f>IF($AD673&lt;&gt;"D","",IF(N($B673)=0,"",ROUND($I673/$B673,4)))</f>
        <v/>
      </c>
      <c r="K673" s="32">
        <f>IF($AD673="Z",ROUND(SUM($AU$5:$AU$404),2),IF($AD673="D",INDEX($AU$5:$AU$404,$AC673),IF($AD673="T",ROUND(SUMIF($X$5:$X$404,$AF673,$AU$5:$AU$404),2),IF($AD673="B",ROUND(SUMIF($AN$5:$AN$404,$AQ673,$AU$5:$AU$404),2),""))))</f>
        <v/>
      </c>
      <c r="L673" s="32">
        <f>IF($AD673="Z",ROUND(SUM($AV$5:$AV$404),2),IF($AD673="D",INDEX($AV$5:$AV$404,$AC673),IF($AD673="T",ROUND(SUMIF($X$5:$X$404,$AF673,$AV$5:$AV$404),2),IF($AD673="B",ROUND(SUMIF($AN$5:$AN$404,$AQ673,$AV$5:$AV$404),2),""))))</f>
        <v/>
      </c>
      <c r="M673" s="32">
        <f>IF($AD673="Z",ROUND(SUM($AJ$5:$AJ$704),2),IF($AD673="B",ROUND(SUMIF($AQ$5:$AQ$704,$AQ673,$AJ$5:$AJ$704),2),IF($AD673&lt;&gt;"T","",$AJ673)))</f>
        <v/>
      </c>
      <c r="N673" s="32">
        <f>IF(OR($AD673="D",$AD673="T",$AD673="B",$AD673="Z"),ROUND(N($K673)-N($L673)-N($M673),2),"")</f>
        <v/>
      </c>
      <c r="O673" s="32">
        <f>IF(OR($AD673="D",$AD673="T",$AD673="B",$AD673="Z"),IF(N($E673)=0,"",ROUND($F673/$E673,2)),"")</f>
        <v/>
      </c>
      <c r="AC673">
        <f>IFERROR(MATCH(669,$AB$5:$AB$404,1),"")</f>
        <v/>
      </c>
      <c r="AD673">
        <f>IF(669=$AI$1+1,"Z",IF($AC673="","",IF(INDEX($V$5:$V$404,$AC673)="","",IF(669&gt;INDEX($AB$5:$AB$404,$AC673)+INDEX($Z$5:$Z$404,$AC673)+INDEX($AA$5:$AA$404,$AC673)+INDEX($AO$5:$AO$404,$AC673),"",IF(669=INDEX($AB$5:$AB$404,$AC673)+INDEX($Z$5:$Z$404,$AC673),"D",IF(AND(INDEX($Z$5:$Z$404,$AC673)=1,669=INDEX($AB$5:$AB$404,$AC673)),"H",IF(AND(INDEX($AO$5:$AO$404,$AC673)=1,669=INDEX($AB$5:$AB$404,$AC673)+INDEX($Z$5:$Z$404,$AC673)+INDEX($AA$5:$AA$404,$AC673)+INDEX($AO$5:$AO$404,$AC673)),"B","T")))))))</f>
        <v/>
      </c>
      <c r="AF673">
        <f>IF(OR($AD673="",$AD673="Z",$AD673="B"),"",INDEX($X$5:$X$404,$AC673))</f>
        <v/>
      </c>
      <c r="AJ673">
        <f>IF($AD673&lt;&gt;"T",0,ROUND(SUMIF(oil!$B$4:$B$63,$AF673,oil!$AE$4:$AE$63),2))</f>
        <v/>
      </c>
      <c r="AQ673">
        <f>IF(OR($AD673="",$AD673="Z"),"",INDEX($AN$5:$AN$404,$AC673))</f>
        <v/>
      </c>
      <c r="AZ673">
        <f>IF(AND($AD673="T",$AQ673=1),N($AZ672)+1,N($AZ672))</f>
        <v/>
      </c>
    </row>
    <row r="674" ht="21" customHeight="1" s="66">
      <c r="A674" s="69">
        <f>IF($AD674="","",IF($AD674="Z","รวมจ่ายทั้งสิ้น",IF($AD674="H",INDEX($X$5:$X$404,$AC674),IF($AD674="T","รวม",IF($AD674="B",IFERROR(INDEX(อัตราค่าขนส่ง!$S$5:$S$14,MATCH(INDEX($AM$5:$AM$404,$AC674),อัตราค่าขนส่ง!$R$5:$R$14,0)),"รวมกลุ่ม "&amp;INDEX($AM$5:$AM$404,$AC674)),INDEX($AY$5:$AY$404,$AC674))))))</f>
        <v/>
      </c>
      <c r="B674" s="31">
        <f>IF($AD674&lt;&gt;"D","",INDEX($AW$5:$AW$404,$AC674))</f>
        <v/>
      </c>
      <c r="C674" s="68">
        <f>IF($AD674&lt;&gt;"D","",INDEX($AX$5:$AX$404,$AC674))</f>
        <v/>
      </c>
      <c r="D674" s="70">
        <f>IF($AD674&lt;&gt;"D","",INDEX($BA$5:$BA$404,$AC674))</f>
        <v/>
      </c>
      <c r="E674" s="31">
        <f>IF($AD674="Z",SUM($AR$5:$AR$404),IF($AD674="D",INDEX($AR$5:$AR$404,$AC674),IF($AD674="T",SUMIF($X$5:$X$404,$AF674,$AR$5:$AR$404),IF($AD674="B",SUMIF($AN$5:$AN$404,$AQ674,$AR$5:$AR$404),""))))</f>
        <v/>
      </c>
      <c r="F674" s="32">
        <f>IF($AD674="Z",ROUND(SUM($AS$5:$AS$404),2),IF($AD674="D",INDEX($AS$5:$AS$404,$AC674),IF($AD674="T",ROUND(SUMIF($X$5:$X$404,$AF674,$AS$5:$AS$404),2),IF($AD674="B",ROUND(SUMIF($AN$5:$AN$404,$AQ674,$AS$5:$AS$404),2),""))))</f>
        <v/>
      </c>
      <c r="G674" s="32">
        <f>IF($AD674&lt;&gt;"D","",INDEX($AT$5:$AT$404,$AC674))</f>
        <v/>
      </c>
      <c r="H674" s="32">
        <f>IF($AD674&lt;&gt;"D","",INDEX($BC$5:$BC$404,$AC674))</f>
        <v/>
      </c>
      <c r="I674" s="32">
        <f>IF($AD674&lt;&gt;"D","",INDEX($BD$5:$BD$404,$AC674))</f>
        <v/>
      </c>
      <c r="J674" s="46">
        <f>IF($AD674&lt;&gt;"D","",IF(N($B674)=0,"",ROUND($I674/$B674,4)))</f>
        <v/>
      </c>
      <c r="K674" s="32">
        <f>IF($AD674="Z",ROUND(SUM($AU$5:$AU$404),2),IF($AD674="D",INDEX($AU$5:$AU$404,$AC674),IF($AD674="T",ROUND(SUMIF($X$5:$X$404,$AF674,$AU$5:$AU$404),2),IF($AD674="B",ROUND(SUMIF($AN$5:$AN$404,$AQ674,$AU$5:$AU$404),2),""))))</f>
        <v/>
      </c>
      <c r="L674" s="32">
        <f>IF($AD674="Z",ROUND(SUM($AV$5:$AV$404),2),IF($AD674="D",INDEX($AV$5:$AV$404,$AC674),IF($AD674="T",ROUND(SUMIF($X$5:$X$404,$AF674,$AV$5:$AV$404),2),IF($AD674="B",ROUND(SUMIF($AN$5:$AN$404,$AQ674,$AV$5:$AV$404),2),""))))</f>
        <v/>
      </c>
      <c r="M674" s="32">
        <f>IF($AD674="Z",ROUND(SUM($AJ$5:$AJ$704),2),IF($AD674="B",ROUND(SUMIF($AQ$5:$AQ$704,$AQ674,$AJ$5:$AJ$704),2),IF($AD674&lt;&gt;"T","",$AJ674)))</f>
        <v/>
      </c>
      <c r="N674" s="32">
        <f>IF(OR($AD674="D",$AD674="T",$AD674="B",$AD674="Z"),ROUND(N($K674)-N($L674)-N($M674),2),"")</f>
        <v/>
      </c>
      <c r="O674" s="32">
        <f>IF(OR($AD674="D",$AD674="T",$AD674="B",$AD674="Z"),IF(N($E674)=0,"",ROUND($F674/$E674,2)),"")</f>
        <v/>
      </c>
      <c r="AC674">
        <f>IFERROR(MATCH(670,$AB$5:$AB$404,1),"")</f>
        <v/>
      </c>
      <c r="AD674">
        <f>IF(670=$AI$1+1,"Z",IF($AC674="","",IF(INDEX($V$5:$V$404,$AC674)="","",IF(670&gt;INDEX($AB$5:$AB$404,$AC674)+INDEX($Z$5:$Z$404,$AC674)+INDEX($AA$5:$AA$404,$AC674)+INDEX($AO$5:$AO$404,$AC674),"",IF(670=INDEX($AB$5:$AB$404,$AC674)+INDEX($Z$5:$Z$404,$AC674),"D",IF(AND(INDEX($Z$5:$Z$404,$AC674)=1,670=INDEX($AB$5:$AB$404,$AC674)),"H",IF(AND(INDEX($AO$5:$AO$404,$AC674)=1,670=INDEX($AB$5:$AB$404,$AC674)+INDEX($Z$5:$Z$404,$AC674)+INDEX($AA$5:$AA$404,$AC674)+INDEX($AO$5:$AO$404,$AC674)),"B","T")))))))</f>
        <v/>
      </c>
      <c r="AF674">
        <f>IF(OR($AD674="",$AD674="Z",$AD674="B"),"",INDEX($X$5:$X$404,$AC674))</f>
        <v/>
      </c>
      <c r="AJ674">
        <f>IF($AD674&lt;&gt;"T",0,ROUND(SUMIF(oil!$B$4:$B$63,$AF674,oil!$AE$4:$AE$63),2))</f>
        <v/>
      </c>
      <c r="AQ674">
        <f>IF(OR($AD674="",$AD674="Z"),"",INDEX($AN$5:$AN$404,$AC674))</f>
        <v/>
      </c>
      <c r="AZ674">
        <f>IF(AND($AD674="T",$AQ674=1),N($AZ673)+1,N($AZ673))</f>
        <v/>
      </c>
    </row>
    <row r="675" ht="21" customHeight="1" s="66">
      <c r="A675" s="69">
        <f>IF($AD675="","",IF($AD675="Z","รวมจ่ายทั้งสิ้น",IF($AD675="H",INDEX($X$5:$X$404,$AC675),IF($AD675="T","รวม",IF($AD675="B",IFERROR(INDEX(อัตราค่าขนส่ง!$S$5:$S$14,MATCH(INDEX($AM$5:$AM$404,$AC675),อัตราค่าขนส่ง!$R$5:$R$14,0)),"รวมกลุ่ม "&amp;INDEX($AM$5:$AM$404,$AC675)),INDEX($AY$5:$AY$404,$AC675))))))</f>
        <v/>
      </c>
      <c r="B675" s="31">
        <f>IF($AD675&lt;&gt;"D","",INDEX($AW$5:$AW$404,$AC675))</f>
        <v/>
      </c>
      <c r="C675" s="68">
        <f>IF($AD675&lt;&gt;"D","",INDEX($AX$5:$AX$404,$AC675))</f>
        <v/>
      </c>
      <c r="D675" s="70">
        <f>IF($AD675&lt;&gt;"D","",INDEX($BA$5:$BA$404,$AC675))</f>
        <v/>
      </c>
      <c r="E675" s="31">
        <f>IF($AD675="Z",SUM($AR$5:$AR$404),IF($AD675="D",INDEX($AR$5:$AR$404,$AC675),IF($AD675="T",SUMIF($X$5:$X$404,$AF675,$AR$5:$AR$404),IF($AD675="B",SUMIF($AN$5:$AN$404,$AQ675,$AR$5:$AR$404),""))))</f>
        <v/>
      </c>
      <c r="F675" s="32">
        <f>IF($AD675="Z",ROUND(SUM($AS$5:$AS$404),2),IF($AD675="D",INDEX($AS$5:$AS$404,$AC675),IF($AD675="T",ROUND(SUMIF($X$5:$X$404,$AF675,$AS$5:$AS$404),2),IF($AD675="B",ROUND(SUMIF($AN$5:$AN$404,$AQ675,$AS$5:$AS$404),2),""))))</f>
        <v/>
      </c>
      <c r="G675" s="32">
        <f>IF($AD675&lt;&gt;"D","",INDEX($AT$5:$AT$404,$AC675))</f>
        <v/>
      </c>
      <c r="H675" s="32">
        <f>IF($AD675&lt;&gt;"D","",INDEX($BC$5:$BC$404,$AC675))</f>
        <v/>
      </c>
      <c r="I675" s="32">
        <f>IF($AD675&lt;&gt;"D","",INDEX($BD$5:$BD$404,$AC675))</f>
        <v/>
      </c>
      <c r="J675" s="46">
        <f>IF($AD675&lt;&gt;"D","",IF(N($B675)=0,"",ROUND($I675/$B675,4)))</f>
        <v/>
      </c>
      <c r="K675" s="32">
        <f>IF($AD675="Z",ROUND(SUM($AU$5:$AU$404),2),IF($AD675="D",INDEX($AU$5:$AU$404,$AC675),IF($AD675="T",ROUND(SUMIF($X$5:$X$404,$AF675,$AU$5:$AU$404),2),IF($AD675="B",ROUND(SUMIF($AN$5:$AN$404,$AQ675,$AU$5:$AU$404),2),""))))</f>
        <v/>
      </c>
      <c r="L675" s="32">
        <f>IF($AD675="Z",ROUND(SUM($AV$5:$AV$404),2),IF($AD675="D",INDEX($AV$5:$AV$404,$AC675),IF($AD675="T",ROUND(SUMIF($X$5:$X$404,$AF675,$AV$5:$AV$404),2),IF($AD675="B",ROUND(SUMIF($AN$5:$AN$404,$AQ675,$AV$5:$AV$404),2),""))))</f>
        <v/>
      </c>
      <c r="M675" s="32">
        <f>IF($AD675="Z",ROUND(SUM($AJ$5:$AJ$704),2),IF($AD675="B",ROUND(SUMIF($AQ$5:$AQ$704,$AQ675,$AJ$5:$AJ$704),2),IF($AD675&lt;&gt;"T","",$AJ675)))</f>
        <v/>
      </c>
      <c r="N675" s="32">
        <f>IF(OR($AD675="D",$AD675="T",$AD675="B",$AD675="Z"),ROUND(N($K675)-N($L675)-N($M675),2),"")</f>
        <v/>
      </c>
      <c r="O675" s="32">
        <f>IF(OR($AD675="D",$AD675="T",$AD675="B",$AD675="Z"),IF(N($E675)=0,"",ROUND($F675/$E675,2)),"")</f>
        <v/>
      </c>
      <c r="AC675">
        <f>IFERROR(MATCH(671,$AB$5:$AB$404,1),"")</f>
        <v/>
      </c>
      <c r="AD675">
        <f>IF(671=$AI$1+1,"Z",IF($AC675="","",IF(INDEX($V$5:$V$404,$AC675)="","",IF(671&gt;INDEX($AB$5:$AB$404,$AC675)+INDEX($Z$5:$Z$404,$AC675)+INDEX($AA$5:$AA$404,$AC675)+INDEX($AO$5:$AO$404,$AC675),"",IF(671=INDEX($AB$5:$AB$404,$AC675)+INDEX($Z$5:$Z$404,$AC675),"D",IF(AND(INDEX($Z$5:$Z$404,$AC675)=1,671=INDEX($AB$5:$AB$404,$AC675)),"H",IF(AND(INDEX($AO$5:$AO$404,$AC675)=1,671=INDEX($AB$5:$AB$404,$AC675)+INDEX($Z$5:$Z$404,$AC675)+INDEX($AA$5:$AA$404,$AC675)+INDEX($AO$5:$AO$404,$AC675)),"B","T")))))))</f>
        <v/>
      </c>
      <c r="AF675">
        <f>IF(OR($AD675="",$AD675="Z",$AD675="B"),"",INDEX($X$5:$X$404,$AC675))</f>
        <v/>
      </c>
      <c r="AJ675">
        <f>IF($AD675&lt;&gt;"T",0,ROUND(SUMIF(oil!$B$4:$B$63,$AF675,oil!$AE$4:$AE$63),2))</f>
        <v/>
      </c>
      <c r="AQ675">
        <f>IF(OR($AD675="",$AD675="Z"),"",INDEX($AN$5:$AN$404,$AC675))</f>
        <v/>
      </c>
      <c r="AZ675">
        <f>IF(AND($AD675="T",$AQ675=1),N($AZ674)+1,N($AZ674))</f>
        <v/>
      </c>
    </row>
    <row r="676" ht="21" customHeight="1" s="66">
      <c r="A676" s="69">
        <f>IF($AD676="","",IF($AD676="Z","รวมจ่ายทั้งสิ้น",IF($AD676="H",INDEX($X$5:$X$404,$AC676),IF($AD676="T","รวม",IF($AD676="B",IFERROR(INDEX(อัตราค่าขนส่ง!$S$5:$S$14,MATCH(INDEX($AM$5:$AM$404,$AC676),อัตราค่าขนส่ง!$R$5:$R$14,0)),"รวมกลุ่ม "&amp;INDEX($AM$5:$AM$404,$AC676)),INDEX($AY$5:$AY$404,$AC676))))))</f>
        <v/>
      </c>
      <c r="B676" s="31">
        <f>IF($AD676&lt;&gt;"D","",INDEX($AW$5:$AW$404,$AC676))</f>
        <v/>
      </c>
      <c r="C676" s="68">
        <f>IF($AD676&lt;&gt;"D","",INDEX($AX$5:$AX$404,$AC676))</f>
        <v/>
      </c>
      <c r="D676" s="70">
        <f>IF($AD676&lt;&gt;"D","",INDEX($BA$5:$BA$404,$AC676))</f>
        <v/>
      </c>
      <c r="E676" s="31">
        <f>IF($AD676="Z",SUM($AR$5:$AR$404),IF($AD676="D",INDEX($AR$5:$AR$404,$AC676),IF($AD676="T",SUMIF($X$5:$X$404,$AF676,$AR$5:$AR$404),IF($AD676="B",SUMIF($AN$5:$AN$404,$AQ676,$AR$5:$AR$404),""))))</f>
        <v/>
      </c>
      <c r="F676" s="32">
        <f>IF($AD676="Z",ROUND(SUM($AS$5:$AS$404),2),IF($AD676="D",INDEX($AS$5:$AS$404,$AC676),IF($AD676="T",ROUND(SUMIF($X$5:$X$404,$AF676,$AS$5:$AS$404),2),IF($AD676="B",ROUND(SUMIF($AN$5:$AN$404,$AQ676,$AS$5:$AS$404),2),""))))</f>
        <v/>
      </c>
      <c r="G676" s="32">
        <f>IF($AD676&lt;&gt;"D","",INDEX($AT$5:$AT$404,$AC676))</f>
        <v/>
      </c>
      <c r="H676" s="32">
        <f>IF($AD676&lt;&gt;"D","",INDEX($BC$5:$BC$404,$AC676))</f>
        <v/>
      </c>
      <c r="I676" s="32">
        <f>IF($AD676&lt;&gt;"D","",INDEX($BD$5:$BD$404,$AC676))</f>
        <v/>
      </c>
      <c r="J676" s="46">
        <f>IF($AD676&lt;&gt;"D","",IF(N($B676)=0,"",ROUND($I676/$B676,4)))</f>
        <v/>
      </c>
      <c r="K676" s="32">
        <f>IF($AD676="Z",ROUND(SUM($AU$5:$AU$404),2),IF($AD676="D",INDEX($AU$5:$AU$404,$AC676),IF($AD676="T",ROUND(SUMIF($X$5:$X$404,$AF676,$AU$5:$AU$404),2),IF($AD676="B",ROUND(SUMIF($AN$5:$AN$404,$AQ676,$AU$5:$AU$404),2),""))))</f>
        <v/>
      </c>
      <c r="L676" s="32">
        <f>IF($AD676="Z",ROUND(SUM($AV$5:$AV$404),2),IF($AD676="D",INDEX($AV$5:$AV$404,$AC676),IF($AD676="T",ROUND(SUMIF($X$5:$X$404,$AF676,$AV$5:$AV$404),2),IF($AD676="B",ROUND(SUMIF($AN$5:$AN$404,$AQ676,$AV$5:$AV$404),2),""))))</f>
        <v/>
      </c>
      <c r="M676" s="32">
        <f>IF($AD676="Z",ROUND(SUM($AJ$5:$AJ$704),2),IF($AD676="B",ROUND(SUMIF($AQ$5:$AQ$704,$AQ676,$AJ$5:$AJ$704),2),IF($AD676&lt;&gt;"T","",$AJ676)))</f>
        <v/>
      </c>
      <c r="N676" s="32">
        <f>IF(OR($AD676="D",$AD676="T",$AD676="B",$AD676="Z"),ROUND(N($K676)-N($L676)-N($M676),2),"")</f>
        <v/>
      </c>
      <c r="O676" s="32">
        <f>IF(OR($AD676="D",$AD676="T",$AD676="B",$AD676="Z"),IF(N($E676)=0,"",ROUND($F676/$E676,2)),"")</f>
        <v/>
      </c>
      <c r="AC676">
        <f>IFERROR(MATCH(672,$AB$5:$AB$404,1),"")</f>
        <v/>
      </c>
      <c r="AD676">
        <f>IF(672=$AI$1+1,"Z",IF($AC676="","",IF(INDEX($V$5:$V$404,$AC676)="","",IF(672&gt;INDEX($AB$5:$AB$404,$AC676)+INDEX($Z$5:$Z$404,$AC676)+INDEX($AA$5:$AA$404,$AC676)+INDEX($AO$5:$AO$404,$AC676),"",IF(672=INDEX($AB$5:$AB$404,$AC676)+INDEX($Z$5:$Z$404,$AC676),"D",IF(AND(INDEX($Z$5:$Z$404,$AC676)=1,672=INDEX($AB$5:$AB$404,$AC676)),"H",IF(AND(INDEX($AO$5:$AO$404,$AC676)=1,672=INDEX($AB$5:$AB$404,$AC676)+INDEX($Z$5:$Z$404,$AC676)+INDEX($AA$5:$AA$404,$AC676)+INDEX($AO$5:$AO$404,$AC676)),"B","T")))))))</f>
        <v/>
      </c>
      <c r="AF676">
        <f>IF(OR($AD676="",$AD676="Z",$AD676="B"),"",INDEX($X$5:$X$404,$AC676))</f>
        <v/>
      </c>
      <c r="AJ676">
        <f>IF($AD676&lt;&gt;"T",0,ROUND(SUMIF(oil!$B$4:$B$63,$AF676,oil!$AE$4:$AE$63),2))</f>
        <v/>
      </c>
      <c r="AQ676">
        <f>IF(OR($AD676="",$AD676="Z"),"",INDEX($AN$5:$AN$404,$AC676))</f>
        <v/>
      </c>
      <c r="AZ676">
        <f>IF(AND($AD676="T",$AQ676=1),N($AZ675)+1,N($AZ675))</f>
        <v/>
      </c>
    </row>
    <row r="677" ht="21" customHeight="1" s="66">
      <c r="A677" s="69">
        <f>IF($AD677="","",IF($AD677="Z","รวมจ่ายทั้งสิ้น",IF($AD677="H",INDEX($X$5:$X$404,$AC677),IF($AD677="T","รวม",IF($AD677="B",IFERROR(INDEX(อัตราค่าขนส่ง!$S$5:$S$14,MATCH(INDEX($AM$5:$AM$404,$AC677),อัตราค่าขนส่ง!$R$5:$R$14,0)),"รวมกลุ่ม "&amp;INDEX($AM$5:$AM$404,$AC677)),INDEX($AY$5:$AY$404,$AC677))))))</f>
        <v/>
      </c>
      <c r="B677" s="31">
        <f>IF($AD677&lt;&gt;"D","",INDEX($AW$5:$AW$404,$AC677))</f>
        <v/>
      </c>
      <c r="C677" s="68">
        <f>IF($AD677&lt;&gt;"D","",INDEX($AX$5:$AX$404,$AC677))</f>
        <v/>
      </c>
      <c r="D677" s="70">
        <f>IF($AD677&lt;&gt;"D","",INDEX($BA$5:$BA$404,$AC677))</f>
        <v/>
      </c>
      <c r="E677" s="31">
        <f>IF($AD677="Z",SUM($AR$5:$AR$404),IF($AD677="D",INDEX($AR$5:$AR$404,$AC677),IF($AD677="T",SUMIF($X$5:$X$404,$AF677,$AR$5:$AR$404),IF($AD677="B",SUMIF($AN$5:$AN$404,$AQ677,$AR$5:$AR$404),""))))</f>
        <v/>
      </c>
      <c r="F677" s="32">
        <f>IF($AD677="Z",ROUND(SUM($AS$5:$AS$404),2),IF($AD677="D",INDEX($AS$5:$AS$404,$AC677),IF($AD677="T",ROUND(SUMIF($X$5:$X$404,$AF677,$AS$5:$AS$404),2),IF($AD677="B",ROUND(SUMIF($AN$5:$AN$404,$AQ677,$AS$5:$AS$404),2),""))))</f>
        <v/>
      </c>
      <c r="G677" s="32">
        <f>IF($AD677&lt;&gt;"D","",INDEX($AT$5:$AT$404,$AC677))</f>
        <v/>
      </c>
      <c r="H677" s="32">
        <f>IF($AD677&lt;&gt;"D","",INDEX($BC$5:$BC$404,$AC677))</f>
        <v/>
      </c>
      <c r="I677" s="32">
        <f>IF($AD677&lt;&gt;"D","",INDEX($BD$5:$BD$404,$AC677))</f>
        <v/>
      </c>
      <c r="J677" s="46">
        <f>IF($AD677&lt;&gt;"D","",IF(N($B677)=0,"",ROUND($I677/$B677,4)))</f>
        <v/>
      </c>
      <c r="K677" s="32">
        <f>IF($AD677="Z",ROUND(SUM($AU$5:$AU$404),2),IF($AD677="D",INDEX($AU$5:$AU$404,$AC677),IF($AD677="T",ROUND(SUMIF($X$5:$X$404,$AF677,$AU$5:$AU$404),2),IF($AD677="B",ROUND(SUMIF($AN$5:$AN$404,$AQ677,$AU$5:$AU$404),2),""))))</f>
        <v/>
      </c>
      <c r="L677" s="32">
        <f>IF($AD677="Z",ROUND(SUM($AV$5:$AV$404),2),IF($AD677="D",INDEX($AV$5:$AV$404,$AC677),IF($AD677="T",ROUND(SUMIF($X$5:$X$404,$AF677,$AV$5:$AV$404),2),IF($AD677="B",ROUND(SUMIF($AN$5:$AN$404,$AQ677,$AV$5:$AV$404),2),""))))</f>
        <v/>
      </c>
      <c r="M677" s="32">
        <f>IF($AD677="Z",ROUND(SUM($AJ$5:$AJ$704),2),IF($AD677="B",ROUND(SUMIF($AQ$5:$AQ$704,$AQ677,$AJ$5:$AJ$704),2),IF($AD677&lt;&gt;"T","",$AJ677)))</f>
        <v/>
      </c>
      <c r="N677" s="32">
        <f>IF(OR($AD677="D",$AD677="T",$AD677="B",$AD677="Z"),ROUND(N($K677)-N($L677)-N($M677),2),"")</f>
        <v/>
      </c>
      <c r="O677" s="32">
        <f>IF(OR($AD677="D",$AD677="T",$AD677="B",$AD677="Z"),IF(N($E677)=0,"",ROUND($F677/$E677,2)),"")</f>
        <v/>
      </c>
      <c r="AC677">
        <f>IFERROR(MATCH(673,$AB$5:$AB$404,1),"")</f>
        <v/>
      </c>
      <c r="AD677">
        <f>IF(673=$AI$1+1,"Z",IF($AC677="","",IF(INDEX($V$5:$V$404,$AC677)="","",IF(673&gt;INDEX($AB$5:$AB$404,$AC677)+INDEX($Z$5:$Z$404,$AC677)+INDEX($AA$5:$AA$404,$AC677)+INDEX($AO$5:$AO$404,$AC677),"",IF(673=INDEX($AB$5:$AB$404,$AC677)+INDEX($Z$5:$Z$404,$AC677),"D",IF(AND(INDEX($Z$5:$Z$404,$AC677)=1,673=INDEX($AB$5:$AB$404,$AC677)),"H",IF(AND(INDEX($AO$5:$AO$404,$AC677)=1,673=INDEX($AB$5:$AB$404,$AC677)+INDEX($Z$5:$Z$404,$AC677)+INDEX($AA$5:$AA$404,$AC677)+INDEX($AO$5:$AO$404,$AC677)),"B","T")))))))</f>
        <v/>
      </c>
      <c r="AF677">
        <f>IF(OR($AD677="",$AD677="Z",$AD677="B"),"",INDEX($X$5:$X$404,$AC677))</f>
        <v/>
      </c>
      <c r="AJ677">
        <f>IF($AD677&lt;&gt;"T",0,ROUND(SUMIF(oil!$B$4:$B$63,$AF677,oil!$AE$4:$AE$63),2))</f>
        <v/>
      </c>
      <c r="AQ677">
        <f>IF(OR($AD677="",$AD677="Z"),"",INDEX($AN$5:$AN$404,$AC677))</f>
        <v/>
      </c>
      <c r="AZ677">
        <f>IF(AND($AD677="T",$AQ677=1),N($AZ676)+1,N($AZ676))</f>
        <v/>
      </c>
    </row>
    <row r="678" ht="21" customHeight="1" s="66">
      <c r="A678" s="69">
        <f>IF($AD678="","",IF($AD678="Z","รวมจ่ายทั้งสิ้น",IF($AD678="H",INDEX($X$5:$X$404,$AC678),IF($AD678="T","รวม",IF($AD678="B",IFERROR(INDEX(อัตราค่าขนส่ง!$S$5:$S$14,MATCH(INDEX($AM$5:$AM$404,$AC678),อัตราค่าขนส่ง!$R$5:$R$14,0)),"รวมกลุ่ม "&amp;INDEX($AM$5:$AM$404,$AC678)),INDEX($AY$5:$AY$404,$AC678))))))</f>
        <v/>
      </c>
      <c r="B678" s="31">
        <f>IF($AD678&lt;&gt;"D","",INDEX($AW$5:$AW$404,$AC678))</f>
        <v/>
      </c>
      <c r="C678" s="68">
        <f>IF($AD678&lt;&gt;"D","",INDEX($AX$5:$AX$404,$AC678))</f>
        <v/>
      </c>
      <c r="D678" s="70">
        <f>IF($AD678&lt;&gt;"D","",INDEX($BA$5:$BA$404,$AC678))</f>
        <v/>
      </c>
      <c r="E678" s="31">
        <f>IF($AD678="Z",SUM($AR$5:$AR$404),IF($AD678="D",INDEX($AR$5:$AR$404,$AC678),IF($AD678="T",SUMIF($X$5:$X$404,$AF678,$AR$5:$AR$404),IF($AD678="B",SUMIF($AN$5:$AN$404,$AQ678,$AR$5:$AR$404),""))))</f>
        <v/>
      </c>
      <c r="F678" s="32">
        <f>IF($AD678="Z",ROUND(SUM($AS$5:$AS$404),2),IF($AD678="D",INDEX($AS$5:$AS$404,$AC678),IF($AD678="T",ROUND(SUMIF($X$5:$X$404,$AF678,$AS$5:$AS$404),2),IF($AD678="B",ROUND(SUMIF($AN$5:$AN$404,$AQ678,$AS$5:$AS$404),2),""))))</f>
        <v/>
      </c>
      <c r="G678" s="32">
        <f>IF($AD678&lt;&gt;"D","",INDEX($AT$5:$AT$404,$AC678))</f>
        <v/>
      </c>
      <c r="H678" s="32">
        <f>IF($AD678&lt;&gt;"D","",INDEX($BC$5:$BC$404,$AC678))</f>
        <v/>
      </c>
      <c r="I678" s="32">
        <f>IF($AD678&lt;&gt;"D","",INDEX($BD$5:$BD$404,$AC678))</f>
        <v/>
      </c>
      <c r="J678" s="46">
        <f>IF($AD678&lt;&gt;"D","",IF(N($B678)=0,"",ROUND($I678/$B678,4)))</f>
        <v/>
      </c>
      <c r="K678" s="32">
        <f>IF($AD678="Z",ROUND(SUM($AU$5:$AU$404),2),IF($AD678="D",INDEX($AU$5:$AU$404,$AC678),IF($AD678="T",ROUND(SUMIF($X$5:$X$404,$AF678,$AU$5:$AU$404),2),IF($AD678="B",ROUND(SUMIF($AN$5:$AN$404,$AQ678,$AU$5:$AU$404),2),""))))</f>
        <v/>
      </c>
      <c r="L678" s="32">
        <f>IF($AD678="Z",ROUND(SUM($AV$5:$AV$404),2),IF($AD678="D",INDEX($AV$5:$AV$404,$AC678),IF($AD678="T",ROUND(SUMIF($X$5:$X$404,$AF678,$AV$5:$AV$404),2),IF($AD678="B",ROUND(SUMIF($AN$5:$AN$404,$AQ678,$AV$5:$AV$404),2),""))))</f>
        <v/>
      </c>
      <c r="M678" s="32">
        <f>IF($AD678="Z",ROUND(SUM($AJ$5:$AJ$704),2),IF($AD678="B",ROUND(SUMIF($AQ$5:$AQ$704,$AQ678,$AJ$5:$AJ$704),2),IF($AD678&lt;&gt;"T","",$AJ678)))</f>
        <v/>
      </c>
      <c r="N678" s="32">
        <f>IF(OR($AD678="D",$AD678="T",$AD678="B",$AD678="Z"),ROUND(N($K678)-N($L678)-N($M678),2),"")</f>
        <v/>
      </c>
      <c r="O678" s="32">
        <f>IF(OR($AD678="D",$AD678="T",$AD678="B",$AD678="Z"),IF(N($E678)=0,"",ROUND($F678/$E678,2)),"")</f>
        <v/>
      </c>
      <c r="AC678">
        <f>IFERROR(MATCH(674,$AB$5:$AB$404,1),"")</f>
        <v/>
      </c>
      <c r="AD678">
        <f>IF(674=$AI$1+1,"Z",IF($AC678="","",IF(INDEX($V$5:$V$404,$AC678)="","",IF(674&gt;INDEX($AB$5:$AB$404,$AC678)+INDEX($Z$5:$Z$404,$AC678)+INDEX($AA$5:$AA$404,$AC678)+INDEX($AO$5:$AO$404,$AC678),"",IF(674=INDEX($AB$5:$AB$404,$AC678)+INDEX($Z$5:$Z$404,$AC678),"D",IF(AND(INDEX($Z$5:$Z$404,$AC678)=1,674=INDEX($AB$5:$AB$404,$AC678)),"H",IF(AND(INDEX($AO$5:$AO$404,$AC678)=1,674=INDEX($AB$5:$AB$404,$AC678)+INDEX($Z$5:$Z$404,$AC678)+INDEX($AA$5:$AA$404,$AC678)+INDEX($AO$5:$AO$404,$AC678)),"B","T")))))))</f>
        <v/>
      </c>
      <c r="AF678">
        <f>IF(OR($AD678="",$AD678="Z",$AD678="B"),"",INDEX($X$5:$X$404,$AC678))</f>
        <v/>
      </c>
      <c r="AJ678">
        <f>IF($AD678&lt;&gt;"T",0,ROUND(SUMIF(oil!$B$4:$B$63,$AF678,oil!$AE$4:$AE$63),2))</f>
        <v/>
      </c>
      <c r="AQ678">
        <f>IF(OR($AD678="",$AD678="Z"),"",INDEX($AN$5:$AN$404,$AC678))</f>
        <v/>
      </c>
      <c r="AZ678">
        <f>IF(AND($AD678="T",$AQ678=1),N($AZ677)+1,N($AZ677))</f>
        <v/>
      </c>
    </row>
    <row r="679" ht="21" customHeight="1" s="66">
      <c r="A679" s="69">
        <f>IF($AD679="","",IF($AD679="Z","รวมจ่ายทั้งสิ้น",IF($AD679="H",INDEX($X$5:$X$404,$AC679),IF($AD679="T","รวม",IF($AD679="B",IFERROR(INDEX(อัตราค่าขนส่ง!$S$5:$S$14,MATCH(INDEX($AM$5:$AM$404,$AC679),อัตราค่าขนส่ง!$R$5:$R$14,0)),"รวมกลุ่ม "&amp;INDEX($AM$5:$AM$404,$AC679)),INDEX($AY$5:$AY$404,$AC679))))))</f>
        <v/>
      </c>
      <c r="B679" s="31">
        <f>IF($AD679&lt;&gt;"D","",INDEX($AW$5:$AW$404,$AC679))</f>
        <v/>
      </c>
      <c r="C679" s="68">
        <f>IF($AD679&lt;&gt;"D","",INDEX($AX$5:$AX$404,$AC679))</f>
        <v/>
      </c>
      <c r="D679" s="70">
        <f>IF($AD679&lt;&gt;"D","",INDEX($BA$5:$BA$404,$AC679))</f>
        <v/>
      </c>
      <c r="E679" s="31">
        <f>IF($AD679="Z",SUM($AR$5:$AR$404),IF($AD679="D",INDEX($AR$5:$AR$404,$AC679),IF($AD679="T",SUMIF($X$5:$X$404,$AF679,$AR$5:$AR$404),IF($AD679="B",SUMIF($AN$5:$AN$404,$AQ679,$AR$5:$AR$404),""))))</f>
        <v/>
      </c>
      <c r="F679" s="32">
        <f>IF($AD679="Z",ROUND(SUM($AS$5:$AS$404),2),IF($AD679="D",INDEX($AS$5:$AS$404,$AC679),IF($AD679="T",ROUND(SUMIF($X$5:$X$404,$AF679,$AS$5:$AS$404),2),IF($AD679="B",ROUND(SUMIF($AN$5:$AN$404,$AQ679,$AS$5:$AS$404),2),""))))</f>
        <v/>
      </c>
      <c r="G679" s="32">
        <f>IF($AD679&lt;&gt;"D","",INDEX($AT$5:$AT$404,$AC679))</f>
        <v/>
      </c>
      <c r="H679" s="32">
        <f>IF($AD679&lt;&gt;"D","",INDEX($BC$5:$BC$404,$AC679))</f>
        <v/>
      </c>
      <c r="I679" s="32">
        <f>IF($AD679&lt;&gt;"D","",INDEX($BD$5:$BD$404,$AC679))</f>
        <v/>
      </c>
      <c r="J679" s="46">
        <f>IF($AD679&lt;&gt;"D","",IF(N($B679)=0,"",ROUND($I679/$B679,4)))</f>
        <v/>
      </c>
      <c r="K679" s="32">
        <f>IF($AD679="Z",ROUND(SUM($AU$5:$AU$404),2),IF($AD679="D",INDEX($AU$5:$AU$404,$AC679),IF($AD679="T",ROUND(SUMIF($X$5:$X$404,$AF679,$AU$5:$AU$404),2),IF($AD679="B",ROUND(SUMIF($AN$5:$AN$404,$AQ679,$AU$5:$AU$404),2),""))))</f>
        <v/>
      </c>
      <c r="L679" s="32">
        <f>IF($AD679="Z",ROUND(SUM($AV$5:$AV$404),2),IF($AD679="D",INDEX($AV$5:$AV$404,$AC679),IF($AD679="T",ROUND(SUMIF($X$5:$X$404,$AF679,$AV$5:$AV$404),2),IF($AD679="B",ROUND(SUMIF($AN$5:$AN$404,$AQ679,$AV$5:$AV$404),2),""))))</f>
        <v/>
      </c>
      <c r="M679" s="32">
        <f>IF($AD679="Z",ROUND(SUM($AJ$5:$AJ$704),2),IF($AD679="B",ROUND(SUMIF($AQ$5:$AQ$704,$AQ679,$AJ$5:$AJ$704),2),IF($AD679&lt;&gt;"T","",$AJ679)))</f>
        <v/>
      </c>
      <c r="N679" s="32">
        <f>IF(OR($AD679="D",$AD679="T",$AD679="B",$AD679="Z"),ROUND(N($K679)-N($L679)-N($M679),2),"")</f>
        <v/>
      </c>
      <c r="O679" s="32">
        <f>IF(OR($AD679="D",$AD679="T",$AD679="B",$AD679="Z"),IF(N($E679)=0,"",ROUND($F679/$E679,2)),"")</f>
        <v/>
      </c>
      <c r="AC679">
        <f>IFERROR(MATCH(675,$AB$5:$AB$404,1),"")</f>
        <v/>
      </c>
      <c r="AD679">
        <f>IF(675=$AI$1+1,"Z",IF($AC679="","",IF(INDEX($V$5:$V$404,$AC679)="","",IF(675&gt;INDEX($AB$5:$AB$404,$AC679)+INDEX($Z$5:$Z$404,$AC679)+INDEX($AA$5:$AA$404,$AC679)+INDEX($AO$5:$AO$404,$AC679),"",IF(675=INDEX($AB$5:$AB$404,$AC679)+INDEX($Z$5:$Z$404,$AC679),"D",IF(AND(INDEX($Z$5:$Z$404,$AC679)=1,675=INDEX($AB$5:$AB$404,$AC679)),"H",IF(AND(INDEX($AO$5:$AO$404,$AC679)=1,675=INDEX($AB$5:$AB$404,$AC679)+INDEX($Z$5:$Z$404,$AC679)+INDEX($AA$5:$AA$404,$AC679)+INDEX($AO$5:$AO$404,$AC679)),"B","T")))))))</f>
        <v/>
      </c>
      <c r="AF679">
        <f>IF(OR($AD679="",$AD679="Z",$AD679="B"),"",INDEX($X$5:$X$404,$AC679))</f>
        <v/>
      </c>
      <c r="AJ679">
        <f>IF($AD679&lt;&gt;"T",0,ROUND(SUMIF(oil!$B$4:$B$63,$AF679,oil!$AE$4:$AE$63),2))</f>
        <v/>
      </c>
      <c r="AQ679">
        <f>IF(OR($AD679="",$AD679="Z"),"",INDEX($AN$5:$AN$404,$AC679))</f>
        <v/>
      </c>
      <c r="AZ679">
        <f>IF(AND($AD679="T",$AQ679=1),N($AZ678)+1,N($AZ678))</f>
        <v/>
      </c>
    </row>
    <row r="680" ht="21" customHeight="1" s="66">
      <c r="A680" s="69">
        <f>IF($AD680="","",IF($AD680="Z","รวมจ่ายทั้งสิ้น",IF($AD680="H",INDEX($X$5:$X$404,$AC680),IF($AD680="T","รวม",IF($AD680="B",IFERROR(INDEX(อัตราค่าขนส่ง!$S$5:$S$14,MATCH(INDEX($AM$5:$AM$404,$AC680),อัตราค่าขนส่ง!$R$5:$R$14,0)),"รวมกลุ่ม "&amp;INDEX($AM$5:$AM$404,$AC680)),INDEX($AY$5:$AY$404,$AC680))))))</f>
        <v/>
      </c>
      <c r="B680" s="31">
        <f>IF($AD680&lt;&gt;"D","",INDEX($AW$5:$AW$404,$AC680))</f>
        <v/>
      </c>
      <c r="C680" s="68">
        <f>IF($AD680&lt;&gt;"D","",INDEX($AX$5:$AX$404,$AC680))</f>
        <v/>
      </c>
      <c r="D680" s="70">
        <f>IF($AD680&lt;&gt;"D","",INDEX($BA$5:$BA$404,$AC680))</f>
        <v/>
      </c>
      <c r="E680" s="31">
        <f>IF($AD680="Z",SUM($AR$5:$AR$404),IF($AD680="D",INDEX($AR$5:$AR$404,$AC680),IF($AD680="T",SUMIF($X$5:$X$404,$AF680,$AR$5:$AR$404),IF($AD680="B",SUMIF($AN$5:$AN$404,$AQ680,$AR$5:$AR$404),""))))</f>
        <v/>
      </c>
      <c r="F680" s="32">
        <f>IF($AD680="Z",ROUND(SUM($AS$5:$AS$404),2),IF($AD680="D",INDEX($AS$5:$AS$404,$AC680),IF($AD680="T",ROUND(SUMIF($X$5:$X$404,$AF680,$AS$5:$AS$404),2),IF($AD680="B",ROUND(SUMIF($AN$5:$AN$404,$AQ680,$AS$5:$AS$404),2),""))))</f>
        <v/>
      </c>
      <c r="G680" s="32">
        <f>IF($AD680&lt;&gt;"D","",INDEX($AT$5:$AT$404,$AC680))</f>
        <v/>
      </c>
      <c r="H680" s="32">
        <f>IF($AD680&lt;&gt;"D","",INDEX($BC$5:$BC$404,$AC680))</f>
        <v/>
      </c>
      <c r="I680" s="32">
        <f>IF($AD680&lt;&gt;"D","",INDEX($BD$5:$BD$404,$AC680))</f>
        <v/>
      </c>
      <c r="J680" s="46">
        <f>IF($AD680&lt;&gt;"D","",IF(N($B680)=0,"",ROUND($I680/$B680,4)))</f>
        <v/>
      </c>
      <c r="K680" s="32">
        <f>IF($AD680="Z",ROUND(SUM($AU$5:$AU$404),2),IF($AD680="D",INDEX($AU$5:$AU$404,$AC680),IF($AD680="T",ROUND(SUMIF($X$5:$X$404,$AF680,$AU$5:$AU$404),2),IF($AD680="B",ROUND(SUMIF($AN$5:$AN$404,$AQ680,$AU$5:$AU$404),2),""))))</f>
        <v/>
      </c>
      <c r="L680" s="32">
        <f>IF($AD680="Z",ROUND(SUM($AV$5:$AV$404),2),IF($AD680="D",INDEX($AV$5:$AV$404,$AC680),IF($AD680="T",ROUND(SUMIF($X$5:$X$404,$AF680,$AV$5:$AV$404),2),IF($AD680="B",ROUND(SUMIF($AN$5:$AN$404,$AQ680,$AV$5:$AV$404),2),""))))</f>
        <v/>
      </c>
      <c r="M680" s="32">
        <f>IF($AD680="Z",ROUND(SUM($AJ$5:$AJ$704),2),IF($AD680="B",ROUND(SUMIF($AQ$5:$AQ$704,$AQ680,$AJ$5:$AJ$704),2),IF($AD680&lt;&gt;"T","",$AJ680)))</f>
        <v/>
      </c>
      <c r="N680" s="32">
        <f>IF(OR($AD680="D",$AD680="T",$AD680="B",$AD680="Z"),ROUND(N($K680)-N($L680)-N($M680),2),"")</f>
        <v/>
      </c>
      <c r="O680" s="32">
        <f>IF(OR($AD680="D",$AD680="T",$AD680="B",$AD680="Z"),IF(N($E680)=0,"",ROUND($F680/$E680,2)),"")</f>
        <v/>
      </c>
      <c r="AC680">
        <f>IFERROR(MATCH(676,$AB$5:$AB$404,1),"")</f>
        <v/>
      </c>
      <c r="AD680">
        <f>IF(676=$AI$1+1,"Z",IF($AC680="","",IF(INDEX($V$5:$V$404,$AC680)="","",IF(676&gt;INDEX($AB$5:$AB$404,$AC680)+INDEX($Z$5:$Z$404,$AC680)+INDEX($AA$5:$AA$404,$AC680)+INDEX($AO$5:$AO$404,$AC680),"",IF(676=INDEX($AB$5:$AB$404,$AC680)+INDEX($Z$5:$Z$404,$AC680),"D",IF(AND(INDEX($Z$5:$Z$404,$AC680)=1,676=INDEX($AB$5:$AB$404,$AC680)),"H",IF(AND(INDEX($AO$5:$AO$404,$AC680)=1,676=INDEX($AB$5:$AB$404,$AC680)+INDEX($Z$5:$Z$404,$AC680)+INDEX($AA$5:$AA$404,$AC680)+INDEX($AO$5:$AO$404,$AC680)),"B","T")))))))</f>
        <v/>
      </c>
      <c r="AF680">
        <f>IF(OR($AD680="",$AD680="Z",$AD680="B"),"",INDEX($X$5:$X$404,$AC680))</f>
        <v/>
      </c>
      <c r="AJ680">
        <f>IF($AD680&lt;&gt;"T",0,ROUND(SUMIF(oil!$B$4:$B$63,$AF680,oil!$AE$4:$AE$63),2))</f>
        <v/>
      </c>
      <c r="AQ680">
        <f>IF(OR($AD680="",$AD680="Z"),"",INDEX($AN$5:$AN$404,$AC680))</f>
        <v/>
      </c>
      <c r="AZ680">
        <f>IF(AND($AD680="T",$AQ680=1),N($AZ679)+1,N($AZ679))</f>
        <v/>
      </c>
    </row>
    <row r="681" ht="21" customHeight="1" s="66">
      <c r="A681" s="69">
        <f>IF($AD681="","",IF($AD681="Z","รวมจ่ายทั้งสิ้น",IF($AD681="H",INDEX($X$5:$X$404,$AC681),IF($AD681="T","รวม",IF($AD681="B",IFERROR(INDEX(อัตราค่าขนส่ง!$S$5:$S$14,MATCH(INDEX($AM$5:$AM$404,$AC681),อัตราค่าขนส่ง!$R$5:$R$14,0)),"รวมกลุ่ม "&amp;INDEX($AM$5:$AM$404,$AC681)),INDEX($AY$5:$AY$404,$AC681))))))</f>
        <v/>
      </c>
      <c r="B681" s="31">
        <f>IF($AD681&lt;&gt;"D","",INDEX($AW$5:$AW$404,$AC681))</f>
        <v/>
      </c>
      <c r="C681" s="68">
        <f>IF($AD681&lt;&gt;"D","",INDEX($AX$5:$AX$404,$AC681))</f>
        <v/>
      </c>
      <c r="D681" s="70">
        <f>IF($AD681&lt;&gt;"D","",INDEX($BA$5:$BA$404,$AC681))</f>
        <v/>
      </c>
      <c r="E681" s="31">
        <f>IF($AD681="Z",SUM($AR$5:$AR$404),IF($AD681="D",INDEX($AR$5:$AR$404,$AC681),IF($AD681="T",SUMIF($X$5:$X$404,$AF681,$AR$5:$AR$404),IF($AD681="B",SUMIF($AN$5:$AN$404,$AQ681,$AR$5:$AR$404),""))))</f>
        <v/>
      </c>
      <c r="F681" s="32">
        <f>IF($AD681="Z",ROUND(SUM($AS$5:$AS$404),2),IF($AD681="D",INDEX($AS$5:$AS$404,$AC681),IF($AD681="T",ROUND(SUMIF($X$5:$X$404,$AF681,$AS$5:$AS$404),2),IF($AD681="B",ROUND(SUMIF($AN$5:$AN$404,$AQ681,$AS$5:$AS$404),2),""))))</f>
        <v/>
      </c>
      <c r="G681" s="32">
        <f>IF($AD681&lt;&gt;"D","",INDEX($AT$5:$AT$404,$AC681))</f>
        <v/>
      </c>
      <c r="H681" s="32">
        <f>IF($AD681&lt;&gt;"D","",INDEX($BC$5:$BC$404,$AC681))</f>
        <v/>
      </c>
      <c r="I681" s="32">
        <f>IF($AD681&lt;&gt;"D","",INDEX($BD$5:$BD$404,$AC681))</f>
        <v/>
      </c>
      <c r="J681" s="46">
        <f>IF($AD681&lt;&gt;"D","",IF(N($B681)=0,"",ROUND($I681/$B681,4)))</f>
        <v/>
      </c>
      <c r="K681" s="32">
        <f>IF($AD681="Z",ROUND(SUM($AU$5:$AU$404),2),IF($AD681="D",INDEX($AU$5:$AU$404,$AC681),IF($AD681="T",ROUND(SUMIF($X$5:$X$404,$AF681,$AU$5:$AU$404),2),IF($AD681="B",ROUND(SUMIF($AN$5:$AN$404,$AQ681,$AU$5:$AU$404),2),""))))</f>
        <v/>
      </c>
      <c r="L681" s="32">
        <f>IF($AD681="Z",ROUND(SUM($AV$5:$AV$404),2),IF($AD681="D",INDEX($AV$5:$AV$404,$AC681),IF($AD681="T",ROUND(SUMIF($X$5:$X$404,$AF681,$AV$5:$AV$404),2),IF($AD681="B",ROUND(SUMIF($AN$5:$AN$404,$AQ681,$AV$5:$AV$404),2),""))))</f>
        <v/>
      </c>
      <c r="M681" s="32">
        <f>IF($AD681="Z",ROUND(SUM($AJ$5:$AJ$704),2),IF($AD681="B",ROUND(SUMIF($AQ$5:$AQ$704,$AQ681,$AJ$5:$AJ$704),2),IF($AD681&lt;&gt;"T","",$AJ681)))</f>
        <v/>
      </c>
      <c r="N681" s="32">
        <f>IF(OR($AD681="D",$AD681="T",$AD681="B",$AD681="Z"),ROUND(N($K681)-N($L681)-N($M681),2),"")</f>
        <v/>
      </c>
      <c r="O681" s="32">
        <f>IF(OR($AD681="D",$AD681="T",$AD681="B",$AD681="Z"),IF(N($E681)=0,"",ROUND($F681/$E681,2)),"")</f>
        <v/>
      </c>
      <c r="AC681">
        <f>IFERROR(MATCH(677,$AB$5:$AB$404,1),"")</f>
        <v/>
      </c>
      <c r="AD681">
        <f>IF(677=$AI$1+1,"Z",IF($AC681="","",IF(INDEX($V$5:$V$404,$AC681)="","",IF(677&gt;INDEX($AB$5:$AB$404,$AC681)+INDEX($Z$5:$Z$404,$AC681)+INDEX($AA$5:$AA$404,$AC681)+INDEX($AO$5:$AO$404,$AC681),"",IF(677=INDEX($AB$5:$AB$404,$AC681)+INDEX($Z$5:$Z$404,$AC681),"D",IF(AND(INDEX($Z$5:$Z$404,$AC681)=1,677=INDEX($AB$5:$AB$404,$AC681)),"H",IF(AND(INDEX($AO$5:$AO$404,$AC681)=1,677=INDEX($AB$5:$AB$404,$AC681)+INDEX($Z$5:$Z$404,$AC681)+INDEX($AA$5:$AA$404,$AC681)+INDEX($AO$5:$AO$404,$AC681)),"B","T")))))))</f>
        <v/>
      </c>
      <c r="AF681">
        <f>IF(OR($AD681="",$AD681="Z",$AD681="B"),"",INDEX($X$5:$X$404,$AC681))</f>
        <v/>
      </c>
      <c r="AJ681">
        <f>IF($AD681&lt;&gt;"T",0,ROUND(SUMIF(oil!$B$4:$B$63,$AF681,oil!$AE$4:$AE$63),2))</f>
        <v/>
      </c>
      <c r="AQ681">
        <f>IF(OR($AD681="",$AD681="Z"),"",INDEX($AN$5:$AN$404,$AC681))</f>
        <v/>
      </c>
      <c r="AZ681">
        <f>IF(AND($AD681="T",$AQ681=1),N($AZ680)+1,N($AZ680))</f>
        <v/>
      </c>
    </row>
    <row r="682" ht="21" customHeight="1" s="66">
      <c r="A682" s="69">
        <f>IF($AD682="","",IF($AD682="Z","รวมจ่ายทั้งสิ้น",IF($AD682="H",INDEX($X$5:$X$404,$AC682),IF($AD682="T","รวม",IF($AD682="B",IFERROR(INDEX(อัตราค่าขนส่ง!$S$5:$S$14,MATCH(INDEX($AM$5:$AM$404,$AC682),อัตราค่าขนส่ง!$R$5:$R$14,0)),"รวมกลุ่ม "&amp;INDEX($AM$5:$AM$404,$AC682)),INDEX($AY$5:$AY$404,$AC682))))))</f>
        <v/>
      </c>
      <c r="B682" s="31">
        <f>IF($AD682&lt;&gt;"D","",INDEX($AW$5:$AW$404,$AC682))</f>
        <v/>
      </c>
      <c r="C682" s="68">
        <f>IF($AD682&lt;&gt;"D","",INDEX($AX$5:$AX$404,$AC682))</f>
        <v/>
      </c>
      <c r="D682" s="70">
        <f>IF($AD682&lt;&gt;"D","",INDEX($BA$5:$BA$404,$AC682))</f>
        <v/>
      </c>
      <c r="E682" s="31">
        <f>IF($AD682="Z",SUM($AR$5:$AR$404),IF($AD682="D",INDEX($AR$5:$AR$404,$AC682),IF($AD682="T",SUMIF($X$5:$X$404,$AF682,$AR$5:$AR$404),IF($AD682="B",SUMIF($AN$5:$AN$404,$AQ682,$AR$5:$AR$404),""))))</f>
        <v/>
      </c>
      <c r="F682" s="32">
        <f>IF($AD682="Z",ROUND(SUM($AS$5:$AS$404),2),IF($AD682="D",INDEX($AS$5:$AS$404,$AC682),IF($AD682="T",ROUND(SUMIF($X$5:$X$404,$AF682,$AS$5:$AS$404),2),IF($AD682="B",ROUND(SUMIF($AN$5:$AN$404,$AQ682,$AS$5:$AS$404),2),""))))</f>
        <v/>
      </c>
      <c r="G682" s="32">
        <f>IF($AD682&lt;&gt;"D","",INDEX($AT$5:$AT$404,$AC682))</f>
        <v/>
      </c>
      <c r="H682" s="32">
        <f>IF($AD682&lt;&gt;"D","",INDEX($BC$5:$BC$404,$AC682))</f>
        <v/>
      </c>
      <c r="I682" s="32">
        <f>IF($AD682&lt;&gt;"D","",INDEX($BD$5:$BD$404,$AC682))</f>
        <v/>
      </c>
      <c r="J682" s="46">
        <f>IF($AD682&lt;&gt;"D","",IF(N($B682)=0,"",ROUND($I682/$B682,4)))</f>
        <v/>
      </c>
      <c r="K682" s="32">
        <f>IF($AD682="Z",ROUND(SUM($AU$5:$AU$404),2),IF($AD682="D",INDEX($AU$5:$AU$404,$AC682),IF($AD682="T",ROUND(SUMIF($X$5:$X$404,$AF682,$AU$5:$AU$404),2),IF($AD682="B",ROUND(SUMIF($AN$5:$AN$404,$AQ682,$AU$5:$AU$404),2),""))))</f>
        <v/>
      </c>
      <c r="L682" s="32">
        <f>IF($AD682="Z",ROUND(SUM($AV$5:$AV$404),2),IF($AD682="D",INDEX($AV$5:$AV$404,$AC682),IF($AD682="T",ROUND(SUMIF($X$5:$X$404,$AF682,$AV$5:$AV$404),2),IF($AD682="B",ROUND(SUMIF($AN$5:$AN$404,$AQ682,$AV$5:$AV$404),2),""))))</f>
        <v/>
      </c>
      <c r="M682" s="32">
        <f>IF($AD682="Z",ROUND(SUM($AJ$5:$AJ$704),2),IF($AD682="B",ROUND(SUMIF($AQ$5:$AQ$704,$AQ682,$AJ$5:$AJ$704),2),IF($AD682&lt;&gt;"T","",$AJ682)))</f>
        <v/>
      </c>
      <c r="N682" s="32">
        <f>IF(OR($AD682="D",$AD682="T",$AD682="B",$AD682="Z"),ROUND(N($K682)-N($L682)-N($M682),2),"")</f>
        <v/>
      </c>
      <c r="O682" s="32">
        <f>IF(OR($AD682="D",$AD682="T",$AD682="B",$AD682="Z"),IF(N($E682)=0,"",ROUND($F682/$E682,2)),"")</f>
        <v/>
      </c>
      <c r="AC682">
        <f>IFERROR(MATCH(678,$AB$5:$AB$404,1),"")</f>
        <v/>
      </c>
      <c r="AD682">
        <f>IF(678=$AI$1+1,"Z",IF($AC682="","",IF(INDEX($V$5:$V$404,$AC682)="","",IF(678&gt;INDEX($AB$5:$AB$404,$AC682)+INDEX($Z$5:$Z$404,$AC682)+INDEX($AA$5:$AA$404,$AC682)+INDEX($AO$5:$AO$404,$AC682),"",IF(678=INDEX($AB$5:$AB$404,$AC682)+INDEX($Z$5:$Z$404,$AC682),"D",IF(AND(INDEX($Z$5:$Z$404,$AC682)=1,678=INDEX($AB$5:$AB$404,$AC682)),"H",IF(AND(INDEX($AO$5:$AO$404,$AC682)=1,678=INDEX($AB$5:$AB$404,$AC682)+INDEX($Z$5:$Z$404,$AC682)+INDEX($AA$5:$AA$404,$AC682)+INDEX($AO$5:$AO$404,$AC682)),"B","T")))))))</f>
        <v/>
      </c>
      <c r="AF682">
        <f>IF(OR($AD682="",$AD682="Z",$AD682="B"),"",INDEX($X$5:$X$404,$AC682))</f>
        <v/>
      </c>
      <c r="AJ682">
        <f>IF($AD682&lt;&gt;"T",0,ROUND(SUMIF(oil!$B$4:$B$63,$AF682,oil!$AE$4:$AE$63),2))</f>
        <v/>
      </c>
      <c r="AQ682">
        <f>IF(OR($AD682="",$AD682="Z"),"",INDEX($AN$5:$AN$404,$AC682))</f>
        <v/>
      </c>
      <c r="AZ682">
        <f>IF(AND($AD682="T",$AQ682=1),N($AZ681)+1,N($AZ681))</f>
        <v/>
      </c>
    </row>
    <row r="683" ht="21" customHeight="1" s="66">
      <c r="A683" s="69">
        <f>IF($AD683="","",IF($AD683="Z","รวมจ่ายทั้งสิ้น",IF($AD683="H",INDEX($X$5:$X$404,$AC683),IF($AD683="T","รวม",IF($AD683="B",IFERROR(INDEX(อัตราค่าขนส่ง!$S$5:$S$14,MATCH(INDEX($AM$5:$AM$404,$AC683),อัตราค่าขนส่ง!$R$5:$R$14,0)),"รวมกลุ่ม "&amp;INDEX($AM$5:$AM$404,$AC683)),INDEX($AY$5:$AY$404,$AC683))))))</f>
        <v/>
      </c>
      <c r="B683" s="31">
        <f>IF($AD683&lt;&gt;"D","",INDEX($AW$5:$AW$404,$AC683))</f>
        <v/>
      </c>
      <c r="C683" s="68">
        <f>IF($AD683&lt;&gt;"D","",INDEX($AX$5:$AX$404,$AC683))</f>
        <v/>
      </c>
      <c r="D683" s="70">
        <f>IF($AD683&lt;&gt;"D","",INDEX($BA$5:$BA$404,$AC683))</f>
        <v/>
      </c>
      <c r="E683" s="31">
        <f>IF($AD683="Z",SUM($AR$5:$AR$404),IF($AD683="D",INDEX($AR$5:$AR$404,$AC683),IF($AD683="T",SUMIF($X$5:$X$404,$AF683,$AR$5:$AR$404),IF($AD683="B",SUMIF($AN$5:$AN$404,$AQ683,$AR$5:$AR$404),""))))</f>
        <v/>
      </c>
      <c r="F683" s="32">
        <f>IF($AD683="Z",ROUND(SUM($AS$5:$AS$404),2),IF($AD683="D",INDEX($AS$5:$AS$404,$AC683),IF($AD683="T",ROUND(SUMIF($X$5:$X$404,$AF683,$AS$5:$AS$404),2),IF($AD683="B",ROUND(SUMIF($AN$5:$AN$404,$AQ683,$AS$5:$AS$404),2),""))))</f>
        <v/>
      </c>
      <c r="G683" s="32">
        <f>IF($AD683&lt;&gt;"D","",INDEX($AT$5:$AT$404,$AC683))</f>
        <v/>
      </c>
      <c r="H683" s="32">
        <f>IF($AD683&lt;&gt;"D","",INDEX($BC$5:$BC$404,$AC683))</f>
        <v/>
      </c>
      <c r="I683" s="32">
        <f>IF($AD683&lt;&gt;"D","",INDEX($BD$5:$BD$404,$AC683))</f>
        <v/>
      </c>
      <c r="J683" s="46">
        <f>IF($AD683&lt;&gt;"D","",IF(N($B683)=0,"",ROUND($I683/$B683,4)))</f>
        <v/>
      </c>
      <c r="K683" s="32">
        <f>IF($AD683="Z",ROUND(SUM($AU$5:$AU$404),2),IF($AD683="D",INDEX($AU$5:$AU$404,$AC683),IF($AD683="T",ROUND(SUMIF($X$5:$X$404,$AF683,$AU$5:$AU$404),2),IF($AD683="B",ROUND(SUMIF($AN$5:$AN$404,$AQ683,$AU$5:$AU$404),2),""))))</f>
        <v/>
      </c>
      <c r="L683" s="32">
        <f>IF($AD683="Z",ROUND(SUM($AV$5:$AV$404),2),IF($AD683="D",INDEX($AV$5:$AV$404,$AC683),IF($AD683="T",ROUND(SUMIF($X$5:$X$404,$AF683,$AV$5:$AV$404),2),IF($AD683="B",ROUND(SUMIF($AN$5:$AN$404,$AQ683,$AV$5:$AV$404),2),""))))</f>
        <v/>
      </c>
      <c r="M683" s="32">
        <f>IF($AD683="Z",ROUND(SUM($AJ$5:$AJ$704),2),IF($AD683="B",ROUND(SUMIF($AQ$5:$AQ$704,$AQ683,$AJ$5:$AJ$704),2),IF($AD683&lt;&gt;"T","",$AJ683)))</f>
        <v/>
      </c>
      <c r="N683" s="32">
        <f>IF(OR($AD683="D",$AD683="T",$AD683="B",$AD683="Z"),ROUND(N($K683)-N($L683)-N($M683),2),"")</f>
        <v/>
      </c>
      <c r="O683" s="32">
        <f>IF(OR($AD683="D",$AD683="T",$AD683="B",$AD683="Z"),IF(N($E683)=0,"",ROUND($F683/$E683,2)),"")</f>
        <v/>
      </c>
      <c r="AC683">
        <f>IFERROR(MATCH(679,$AB$5:$AB$404,1),"")</f>
        <v/>
      </c>
      <c r="AD683">
        <f>IF(679=$AI$1+1,"Z",IF($AC683="","",IF(INDEX($V$5:$V$404,$AC683)="","",IF(679&gt;INDEX($AB$5:$AB$404,$AC683)+INDEX($Z$5:$Z$404,$AC683)+INDEX($AA$5:$AA$404,$AC683)+INDEX($AO$5:$AO$404,$AC683),"",IF(679=INDEX($AB$5:$AB$404,$AC683)+INDEX($Z$5:$Z$404,$AC683),"D",IF(AND(INDEX($Z$5:$Z$404,$AC683)=1,679=INDEX($AB$5:$AB$404,$AC683)),"H",IF(AND(INDEX($AO$5:$AO$404,$AC683)=1,679=INDEX($AB$5:$AB$404,$AC683)+INDEX($Z$5:$Z$404,$AC683)+INDEX($AA$5:$AA$404,$AC683)+INDEX($AO$5:$AO$404,$AC683)),"B","T")))))))</f>
        <v/>
      </c>
      <c r="AF683">
        <f>IF(OR($AD683="",$AD683="Z",$AD683="B"),"",INDEX($X$5:$X$404,$AC683))</f>
        <v/>
      </c>
      <c r="AJ683">
        <f>IF($AD683&lt;&gt;"T",0,ROUND(SUMIF(oil!$B$4:$B$63,$AF683,oil!$AE$4:$AE$63),2))</f>
        <v/>
      </c>
      <c r="AQ683">
        <f>IF(OR($AD683="",$AD683="Z"),"",INDEX($AN$5:$AN$404,$AC683))</f>
        <v/>
      </c>
      <c r="AZ683">
        <f>IF(AND($AD683="T",$AQ683=1),N($AZ682)+1,N($AZ682))</f>
        <v/>
      </c>
    </row>
    <row r="684" ht="21" customHeight="1" s="66">
      <c r="A684" s="69">
        <f>IF($AD684="","",IF($AD684="Z","รวมจ่ายทั้งสิ้น",IF($AD684="H",INDEX($X$5:$X$404,$AC684),IF($AD684="T","รวม",IF($AD684="B",IFERROR(INDEX(อัตราค่าขนส่ง!$S$5:$S$14,MATCH(INDEX($AM$5:$AM$404,$AC684),อัตราค่าขนส่ง!$R$5:$R$14,0)),"รวมกลุ่ม "&amp;INDEX($AM$5:$AM$404,$AC684)),INDEX($AY$5:$AY$404,$AC684))))))</f>
        <v/>
      </c>
      <c r="B684" s="31">
        <f>IF($AD684&lt;&gt;"D","",INDEX($AW$5:$AW$404,$AC684))</f>
        <v/>
      </c>
      <c r="C684" s="68">
        <f>IF($AD684&lt;&gt;"D","",INDEX($AX$5:$AX$404,$AC684))</f>
        <v/>
      </c>
      <c r="D684" s="70">
        <f>IF($AD684&lt;&gt;"D","",INDEX($BA$5:$BA$404,$AC684))</f>
        <v/>
      </c>
      <c r="E684" s="31">
        <f>IF($AD684="Z",SUM($AR$5:$AR$404),IF($AD684="D",INDEX($AR$5:$AR$404,$AC684),IF($AD684="T",SUMIF($X$5:$X$404,$AF684,$AR$5:$AR$404),IF($AD684="B",SUMIF($AN$5:$AN$404,$AQ684,$AR$5:$AR$404),""))))</f>
        <v/>
      </c>
      <c r="F684" s="32">
        <f>IF($AD684="Z",ROUND(SUM($AS$5:$AS$404),2),IF($AD684="D",INDEX($AS$5:$AS$404,$AC684),IF($AD684="T",ROUND(SUMIF($X$5:$X$404,$AF684,$AS$5:$AS$404),2),IF($AD684="B",ROUND(SUMIF($AN$5:$AN$404,$AQ684,$AS$5:$AS$404),2),""))))</f>
        <v/>
      </c>
      <c r="G684" s="32">
        <f>IF($AD684&lt;&gt;"D","",INDEX($AT$5:$AT$404,$AC684))</f>
        <v/>
      </c>
      <c r="H684" s="32">
        <f>IF($AD684&lt;&gt;"D","",INDEX($BC$5:$BC$404,$AC684))</f>
        <v/>
      </c>
      <c r="I684" s="32">
        <f>IF($AD684&lt;&gt;"D","",INDEX($BD$5:$BD$404,$AC684))</f>
        <v/>
      </c>
      <c r="J684" s="46">
        <f>IF($AD684&lt;&gt;"D","",IF(N($B684)=0,"",ROUND($I684/$B684,4)))</f>
        <v/>
      </c>
      <c r="K684" s="32">
        <f>IF($AD684="Z",ROUND(SUM($AU$5:$AU$404),2),IF($AD684="D",INDEX($AU$5:$AU$404,$AC684),IF($AD684="T",ROUND(SUMIF($X$5:$X$404,$AF684,$AU$5:$AU$404),2),IF($AD684="B",ROUND(SUMIF($AN$5:$AN$404,$AQ684,$AU$5:$AU$404),2),""))))</f>
        <v/>
      </c>
      <c r="L684" s="32">
        <f>IF($AD684="Z",ROUND(SUM($AV$5:$AV$404),2),IF($AD684="D",INDEX($AV$5:$AV$404,$AC684),IF($AD684="T",ROUND(SUMIF($X$5:$X$404,$AF684,$AV$5:$AV$404),2),IF($AD684="B",ROUND(SUMIF($AN$5:$AN$404,$AQ684,$AV$5:$AV$404),2),""))))</f>
        <v/>
      </c>
      <c r="M684" s="32">
        <f>IF($AD684="Z",ROUND(SUM($AJ$5:$AJ$704),2),IF($AD684="B",ROUND(SUMIF($AQ$5:$AQ$704,$AQ684,$AJ$5:$AJ$704),2),IF($AD684&lt;&gt;"T","",$AJ684)))</f>
        <v/>
      </c>
      <c r="N684" s="32">
        <f>IF(OR($AD684="D",$AD684="T",$AD684="B",$AD684="Z"),ROUND(N($K684)-N($L684)-N($M684),2),"")</f>
        <v/>
      </c>
      <c r="O684" s="32">
        <f>IF(OR($AD684="D",$AD684="T",$AD684="B",$AD684="Z"),IF(N($E684)=0,"",ROUND($F684/$E684,2)),"")</f>
        <v/>
      </c>
      <c r="AC684">
        <f>IFERROR(MATCH(680,$AB$5:$AB$404,1),"")</f>
        <v/>
      </c>
      <c r="AD684">
        <f>IF(680=$AI$1+1,"Z",IF($AC684="","",IF(INDEX($V$5:$V$404,$AC684)="","",IF(680&gt;INDEX($AB$5:$AB$404,$AC684)+INDEX($Z$5:$Z$404,$AC684)+INDEX($AA$5:$AA$404,$AC684)+INDEX($AO$5:$AO$404,$AC684),"",IF(680=INDEX($AB$5:$AB$404,$AC684)+INDEX($Z$5:$Z$404,$AC684),"D",IF(AND(INDEX($Z$5:$Z$404,$AC684)=1,680=INDEX($AB$5:$AB$404,$AC684)),"H",IF(AND(INDEX($AO$5:$AO$404,$AC684)=1,680=INDEX($AB$5:$AB$404,$AC684)+INDEX($Z$5:$Z$404,$AC684)+INDEX($AA$5:$AA$404,$AC684)+INDEX($AO$5:$AO$404,$AC684)),"B","T")))))))</f>
        <v/>
      </c>
      <c r="AF684">
        <f>IF(OR($AD684="",$AD684="Z",$AD684="B"),"",INDEX($X$5:$X$404,$AC684))</f>
        <v/>
      </c>
      <c r="AJ684">
        <f>IF($AD684&lt;&gt;"T",0,ROUND(SUMIF(oil!$B$4:$B$63,$AF684,oil!$AE$4:$AE$63),2))</f>
        <v/>
      </c>
      <c r="AQ684">
        <f>IF(OR($AD684="",$AD684="Z"),"",INDEX($AN$5:$AN$404,$AC684))</f>
        <v/>
      </c>
      <c r="AZ684">
        <f>IF(AND($AD684="T",$AQ684=1),N($AZ683)+1,N($AZ683))</f>
        <v/>
      </c>
    </row>
    <row r="685" ht="21" customHeight="1" s="66">
      <c r="A685" s="69">
        <f>IF($AD685="","",IF($AD685="Z","รวมจ่ายทั้งสิ้น",IF($AD685="H",INDEX($X$5:$X$404,$AC685),IF($AD685="T","รวม",IF($AD685="B",IFERROR(INDEX(อัตราค่าขนส่ง!$S$5:$S$14,MATCH(INDEX($AM$5:$AM$404,$AC685),อัตราค่าขนส่ง!$R$5:$R$14,0)),"รวมกลุ่ม "&amp;INDEX($AM$5:$AM$404,$AC685)),INDEX($AY$5:$AY$404,$AC685))))))</f>
        <v/>
      </c>
      <c r="B685" s="31">
        <f>IF($AD685&lt;&gt;"D","",INDEX($AW$5:$AW$404,$AC685))</f>
        <v/>
      </c>
      <c r="C685" s="68">
        <f>IF($AD685&lt;&gt;"D","",INDEX($AX$5:$AX$404,$AC685))</f>
        <v/>
      </c>
      <c r="D685" s="70">
        <f>IF($AD685&lt;&gt;"D","",INDEX($BA$5:$BA$404,$AC685))</f>
        <v/>
      </c>
      <c r="E685" s="31">
        <f>IF($AD685="Z",SUM($AR$5:$AR$404),IF($AD685="D",INDEX($AR$5:$AR$404,$AC685),IF($AD685="T",SUMIF($X$5:$X$404,$AF685,$AR$5:$AR$404),IF($AD685="B",SUMIF($AN$5:$AN$404,$AQ685,$AR$5:$AR$404),""))))</f>
        <v/>
      </c>
      <c r="F685" s="32">
        <f>IF($AD685="Z",ROUND(SUM($AS$5:$AS$404),2),IF($AD685="D",INDEX($AS$5:$AS$404,$AC685),IF($AD685="T",ROUND(SUMIF($X$5:$X$404,$AF685,$AS$5:$AS$404),2),IF($AD685="B",ROUND(SUMIF($AN$5:$AN$404,$AQ685,$AS$5:$AS$404),2),""))))</f>
        <v/>
      </c>
      <c r="G685" s="32">
        <f>IF($AD685&lt;&gt;"D","",INDEX($AT$5:$AT$404,$AC685))</f>
        <v/>
      </c>
      <c r="H685" s="32">
        <f>IF($AD685&lt;&gt;"D","",INDEX($BC$5:$BC$404,$AC685))</f>
        <v/>
      </c>
      <c r="I685" s="32">
        <f>IF($AD685&lt;&gt;"D","",INDEX($BD$5:$BD$404,$AC685))</f>
        <v/>
      </c>
      <c r="J685" s="46">
        <f>IF($AD685&lt;&gt;"D","",IF(N($B685)=0,"",ROUND($I685/$B685,4)))</f>
        <v/>
      </c>
      <c r="K685" s="32">
        <f>IF($AD685="Z",ROUND(SUM($AU$5:$AU$404),2),IF($AD685="D",INDEX($AU$5:$AU$404,$AC685),IF($AD685="T",ROUND(SUMIF($X$5:$X$404,$AF685,$AU$5:$AU$404),2),IF($AD685="B",ROUND(SUMIF($AN$5:$AN$404,$AQ685,$AU$5:$AU$404),2),""))))</f>
        <v/>
      </c>
      <c r="L685" s="32">
        <f>IF($AD685="Z",ROUND(SUM($AV$5:$AV$404),2),IF($AD685="D",INDEX($AV$5:$AV$404,$AC685),IF($AD685="T",ROUND(SUMIF($X$5:$X$404,$AF685,$AV$5:$AV$404),2),IF($AD685="B",ROUND(SUMIF($AN$5:$AN$404,$AQ685,$AV$5:$AV$404),2),""))))</f>
        <v/>
      </c>
      <c r="M685" s="32">
        <f>IF($AD685="Z",ROUND(SUM($AJ$5:$AJ$704),2),IF($AD685="B",ROUND(SUMIF($AQ$5:$AQ$704,$AQ685,$AJ$5:$AJ$704),2),IF($AD685&lt;&gt;"T","",$AJ685)))</f>
        <v/>
      </c>
      <c r="N685" s="32">
        <f>IF(OR($AD685="D",$AD685="T",$AD685="B",$AD685="Z"),ROUND(N($K685)-N($L685)-N($M685),2),"")</f>
        <v/>
      </c>
      <c r="O685" s="32">
        <f>IF(OR($AD685="D",$AD685="T",$AD685="B",$AD685="Z"),IF(N($E685)=0,"",ROUND($F685/$E685,2)),"")</f>
        <v/>
      </c>
      <c r="AC685">
        <f>IFERROR(MATCH(681,$AB$5:$AB$404,1),"")</f>
        <v/>
      </c>
      <c r="AD685">
        <f>IF(681=$AI$1+1,"Z",IF($AC685="","",IF(INDEX($V$5:$V$404,$AC685)="","",IF(681&gt;INDEX($AB$5:$AB$404,$AC685)+INDEX($Z$5:$Z$404,$AC685)+INDEX($AA$5:$AA$404,$AC685)+INDEX($AO$5:$AO$404,$AC685),"",IF(681=INDEX($AB$5:$AB$404,$AC685)+INDEX($Z$5:$Z$404,$AC685),"D",IF(AND(INDEX($Z$5:$Z$404,$AC685)=1,681=INDEX($AB$5:$AB$404,$AC685)),"H",IF(AND(INDEX($AO$5:$AO$404,$AC685)=1,681=INDEX($AB$5:$AB$404,$AC685)+INDEX($Z$5:$Z$404,$AC685)+INDEX($AA$5:$AA$404,$AC685)+INDEX($AO$5:$AO$404,$AC685)),"B","T")))))))</f>
        <v/>
      </c>
      <c r="AF685">
        <f>IF(OR($AD685="",$AD685="Z",$AD685="B"),"",INDEX($X$5:$X$404,$AC685))</f>
        <v/>
      </c>
      <c r="AJ685">
        <f>IF($AD685&lt;&gt;"T",0,ROUND(SUMIF(oil!$B$4:$B$63,$AF685,oil!$AE$4:$AE$63),2))</f>
        <v/>
      </c>
      <c r="AQ685">
        <f>IF(OR($AD685="",$AD685="Z"),"",INDEX($AN$5:$AN$404,$AC685))</f>
        <v/>
      </c>
      <c r="AZ685">
        <f>IF(AND($AD685="T",$AQ685=1),N($AZ684)+1,N($AZ684))</f>
        <v/>
      </c>
    </row>
    <row r="686" ht="21" customHeight="1" s="66">
      <c r="A686" s="69">
        <f>IF($AD686="","",IF($AD686="Z","รวมจ่ายทั้งสิ้น",IF($AD686="H",INDEX($X$5:$X$404,$AC686),IF($AD686="T","รวม",IF($AD686="B",IFERROR(INDEX(อัตราค่าขนส่ง!$S$5:$S$14,MATCH(INDEX($AM$5:$AM$404,$AC686),อัตราค่าขนส่ง!$R$5:$R$14,0)),"รวมกลุ่ม "&amp;INDEX($AM$5:$AM$404,$AC686)),INDEX($AY$5:$AY$404,$AC686))))))</f>
        <v/>
      </c>
      <c r="B686" s="31">
        <f>IF($AD686&lt;&gt;"D","",INDEX($AW$5:$AW$404,$AC686))</f>
        <v/>
      </c>
      <c r="C686" s="68">
        <f>IF($AD686&lt;&gt;"D","",INDEX($AX$5:$AX$404,$AC686))</f>
        <v/>
      </c>
      <c r="D686" s="70">
        <f>IF($AD686&lt;&gt;"D","",INDEX($BA$5:$BA$404,$AC686))</f>
        <v/>
      </c>
      <c r="E686" s="31">
        <f>IF($AD686="Z",SUM($AR$5:$AR$404),IF($AD686="D",INDEX($AR$5:$AR$404,$AC686),IF($AD686="T",SUMIF($X$5:$X$404,$AF686,$AR$5:$AR$404),IF($AD686="B",SUMIF($AN$5:$AN$404,$AQ686,$AR$5:$AR$404),""))))</f>
        <v/>
      </c>
      <c r="F686" s="32">
        <f>IF($AD686="Z",ROUND(SUM($AS$5:$AS$404),2),IF($AD686="D",INDEX($AS$5:$AS$404,$AC686),IF($AD686="T",ROUND(SUMIF($X$5:$X$404,$AF686,$AS$5:$AS$404),2),IF($AD686="B",ROUND(SUMIF($AN$5:$AN$404,$AQ686,$AS$5:$AS$404),2),""))))</f>
        <v/>
      </c>
      <c r="G686" s="32">
        <f>IF($AD686&lt;&gt;"D","",INDEX($AT$5:$AT$404,$AC686))</f>
        <v/>
      </c>
      <c r="H686" s="32">
        <f>IF($AD686&lt;&gt;"D","",INDEX($BC$5:$BC$404,$AC686))</f>
        <v/>
      </c>
      <c r="I686" s="32">
        <f>IF($AD686&lt;&gt;"D","",INDEX($BD$5:$BD$404,$AC686))</f>
        <v/>
      </c>
      <c r="J686" s="46">
        <f>IF($AD686&lt;&gt;"D","",IF(N($B686)=0,"",ROUND($I686/$B686,4)))</f>
        <v/>
      </c>
      <c r="K686" s="32">
        <f>IF($AD686="Z",ROUND(SUM($AU$5:$AU$404),2),IF($AD686="D",INDEX($AU$5:$AU$404,$AC686),IF($AD686="T",ROUND(SUMIF($X$5:$X$404,$AF686,$AU$5:$AU$404),2),IF($AD686="B",ROUND(SUMIF($AN$5:$AN$404,$AQ686,$AU$5:$AU$404),2),""))))</f>
        <v/>
      </c>
      <c r="L686" s="32">
        <f>IF($AD686="Z",ROUND(SUM($AV$5:$AV$404),2),IF($AD686="D",INDEX($AV$5:$AV$404,$AC686),IF($AD686="T",ROUND(SUMIF($X$5:$X$404,$AF686,$AV$5:$AV$404),2),IF($AD686="B",ROUND(SUMIF($AN$5:$AN$404,$AQ686,$AV$5:$AV$404),2),""))))</f>
        <v/>
      </c>
      <c r="M686" s="32">
        <f>IF($AD686="Z",ROUND(SUM($AJ$5:$AJ$704),2),IF($AD686="B",ROUND(SUMIF($AQ$5:$AQ$704,$AQ686,$AJ$5:$AJ$704),2),IF($AD686&lt;&gt;"T","",$AJ686)))</f>
        <v/>
      </c>
      <c r="N686" s="32">
        <f>IF(OR($AD686="D",$AD686="T",$AD686="B",$AD686="Z"),ROUND(N($K686)-N($L686)-N($M686),2),"")</f>
        <v/>
      </c>
      <c r="O686" s="32">
        <f>IF(OR($AD686="D",$AD686="T",$AD686="B",$AD686="Z"),IF(N($E686)=0,"",ROUND($F686/$E686,2)),"")</f>
        <v/>
      </c>
      <c r="AC686">
        <f>IFERROR(MATCH(682,$AB$5:$AB$404,1),"")</f>
        <v/>
      </c>
      <c r="AD686">
        <f>IF(682=$AI$1+1,"Z",IF($AC686="","",IF(INDEX($V$5:$V$404,$AC686)="","",IF(682&gt;INDEX($AB$5:$AB$404,$AC686)+INDEX($Z$5:$Z$404,$AC686)+INDEX($AA$5:$AA$404,$AC686)+INDEX($AO$5:$AO$404,$AC686),"",IF(682=INDEX($AB$5:$AB$404,$AC686)+INDEX($Z$5:$Z$404,$AC686),"D",IF(AND(INDEX($Z$5:$Z$404,$AC686)=1,682=INDEX($AB$5:$AB$404,$AC686)),"H",IF(AND(INDEX($AO$5:$AO$404,$AC686)=1,682=INDEX($AB$5:$AB$404,$AC686)+INDEX($Z$5:$Z$404,$AC686)+INDEX($AA$5:$AA$404,$AC686)+INDEX($AO$5:$AO$404,$AC686)),"B","T")))))))</f>
        <v/>
      </c>
      <c r="AF686">
        <f>IF(OR($AD686="",$AD686="Z",$AD686="B"),"",INDEX($X$5:$X$404,$AC686))</f>
        <v/>
      </c>
      <c r="AJ686">
        <f>IF($AD686&lt;&gt;"T",0,ROUND(SUMIF(oil!$B$4:$B$63,$AF686,oil!$AE$4:$AE$63),2))</f>
        <v/>
      </c>
      <c r="AQ686">
        <f>IF(OR($AD686="",$AD686="Z"),"",INDEX($AN$5:$AN$404,$AC686))</f>
        <v/>
      </c>
      <c r="AZ686">
        <f>IF(AND($AD686="T",$AQ686=1),N($AZ685)+1,N($AZ685))</f>
        <v/>
      </c>
    </row>
    <row r="687" ht="21" customHeight="1" s="66">
      <c r="A687" s="69">
        <f>IF($AD687="","",IF($AD687="Z","รวมจ่ายทั้งสิ้น",IF($AD687="H",INDEX($X$5:$X$404,$AC687),IF($AD687="T","รวม",IF($AD687="B",IFERROR(INDEX(อัตราค่าขนส่ง!$S$5:$S$14,MATCH(INDEX($AM$5:$AM$404,$AC687),อัตราค่าขนส่ง!$R$5:$R$14,0)),"รวมกลุ่ม "&amp;INDEX($AM$5:$AM$404,$AC687)),INDEX($AY$5:$AY$404,$AC687))))))</f>
        <v/>
      </c>
      <c r="B687" s="31">
        <f>IF($AD687&lt;&gt;"D","",INDEX($AW$5:$AW$404,$AC687))</f>
        <v/>
      </c>
      <c r="C687" s="68">
        <f>IF($AD687&lt;&gt;"D","",INDEX($AX$5:$AX$404,$AC687))</f>
        <v/>
      </c>
      <c r="D687" s="70">
        <f>IF($AD687&lt;&gt;"D","",INDEX($BA$5:$BA$404,$AC687))</f>
        <v/>
      </c>
      <c r="E687" s="31">
        <f>IF($AD687="Z",SUM($AR$5:$AR$404),IF($AD687="D",INDEX($AR$5:$AR$404,$AC687),IF($AD687="T",SUMIF($X$5:$X$404,$AF687,$AR$5:$AR$404),IF($AD687="B",SUMIF($AN$5:$AN$404,$AQ687,$AR$5:$AR$404),""))))</f>
        <v/>
      </c>
      <c r="F687" s="32">
        <f>IF($AD687="Z",ROUND(SUM($AS$5:$AS$404),2),IF($AD687="D",INDEX($AS$5:$AS$404,$AC687),IF($AD687="T",ROUND(SUMIF($X$5:$X$404,$AF687,$AS$5:$AS$404),2),IF($AD687="B",ROUND(SUMIF($AN$5:$AN$404,$AQ687,$AS$5:$AS$404),2),""))))</f>
        <v/>
      </c>
      <c r="G687" s="32">
        <f>IF($AD687&lt;&gt;"D","",INDEX($AT$5:$AT$404,$AC687))</f>
        <v/>
      </c>
      <c r="H687" s="32">
        <f>IF($AD687&lt;&gt;"D","",INDEX($BC$5:$BC$404,$AC687))</f>
        <v/>
      </c>
      <c r="I687" s="32">
        <f>IF($AD687&lt;&gt;"D","",INDEX($BD$5:$BD$404,$AC687))</f>
        <v/>
      </c>
      <c r="J687" s="46">
        <f>IF($AD687&lt;&gt;"D","",IF(N($B687)=0,"",ROUND($I687/$B687,4)))</f>
        <v/>
      </c>
      <c r="K687" s="32">
        <f>IF($AD687="Z",ROUND(SUM($AU$5:$AU$404),2),IF($AD687="D",INDEX($AU$5:$AU$404,$AC687),IF($AD687="T",ROUND(SUMIF($X$5:$X$404,$AF687,$AU$5:$AU$404),2),IF($AD687="B",ROUND(SUMIF($AN$5:$AN$404,$AQ687,$AU$5:$AU$404),2),""))))</f>
        <v/>
      </c>
      <c r="L687" s="32">
        <f>IF($AD687="Z",ROUND(SUM($AV$5:$AV$404),2),IF($AD687="D",INDEX($AV$5:$AV$404,$AC687),IF($AD687="T",ROUND(SUMIF($X$5:$X$404,$AF687,$AV$5:$AV$404),2),IF($AD687="B",ROUND(SUMIF($AN$5:$AN$404,$AQ687,$AV$5:$AV$404),2),""))))</f>
        <v/>
      </c>
      <c r="M687" s="32">
        <f>IF($AD687="Z",ROUND(SUM($AJ$5:$AJ$704),2),IF($AD687="B",ROUND(SUMIF($AQ$5:$AQ$704,$AQ687,$AJ$5:$AJ$704),2),IF($AD687&lt;&gt;"T","",$AJ687)))</f>
        <v/>
      </c>
      <c r="N687" s="32">
        <f>IF(OR($AD687="D",$AD687="T",$AD687="B",$AD687="Z"),ROUND(N($K687)-N($L687)-N($M687),2),"")</f>
        <v/>
      </c>
      <c r="O687" s="32">
        <f>IF(OR($AD687="D",$AD687="T",$AD687="B",$AD687="Z"),IF(N($E687)=0,"",ROUND($F687/$E687,2)),"")</f>
        <v/>
      </c>
      <c r="AC687">
        <f>IFERROR(MATCH(683,$AB$5:$AB$404,1),"")</f>
        <v/>
      </c>
      <c r="AD687">
        <f>IF(683=$AI$1+1,"Z",IF($AC687="","",IF(INDEX($V$5:$V$404,$AC687)="","",IF(683&gt;INDEX($AB$5:$AB$404,$AC687)+INDEX($Z$5:$Z$404,$AC687)+INDEX($AA$5:$AA$404,$AC687)+INDEX($AO$5:$AO$404,$AC687),"",IF(683=INDEX($AB$5:$AB$404,$AC687)+INDEX($Z$5:$Z$404,$AC687),"D",IF(AND(INDEX($Z$5:$Z$404,$AC687)=1,683=INDEX($AB$5:$AB$404,$AC687)),"H",IF(AND(INDEX($AO$5:$AO$404,$AC687)=1,683=INDEX($AB$5:$AB$404,$AC687)+INDEX($Z$5:$Z$404,$AC687)+INDEX($AA$5:$AA$404,$AC687)+INDEX($AO$5:$AO$404,$AC687)),"B","T")))))))</f>
        <v/>
      </c>
      <c r="AF687">
        <f>IF(OR($AD687="",$AD687="Z",$AD687="B"),"",INDEX($X$5:$X$404,$AC687))</f>
        <v/>
      </c>
      <c r="AJ687">
        <f>IF($AD687&lt;&gt;"T",0,ROUND(SUMIF(oil!$B$4:$B$63,$AF687,oil!$AE$4:$AE$63),2))</f>
        <v/>
      </c>
      <c r="AQ687">
        <f>IF(OR($AD687="",$AD687="Z"),"",INDEX($AN$5:$AN$404,$AC687))</f>
        <v/>
      </c>
      <c r="AZ687">
        <f>IF(AND($AD687="T",$AQ687=1),N($AZ686)+1,N($AZ686))</f>
        <v/>
      </c>
    </row>
    <row r="688" ht="21" customHeight="1" s="66">
      <c r="A688" s="69">
        <f>IF($AD688="","",IF($AD688="Z","รวมจ่ายทั้งสิ้น",IF($AD688="H",INDEX($X$5:$X$404,$AC688),IF($AD688="T","รวม",IF($AD688="B",IFERROR(INDEX(อัตราค่าขนส่ง!$S$5:$S$14,MATCH(INDEX($AM$5:$AM$404,$AC688),อัตราค่าขนส่ง!$R$5:$R$14,0)),"รวมกลุ่ม "&amp;INDEX($AM$5:$AM$404,$AC688)),INDEX($AY$5:$AY$404,$AC688))))))</f>
        <v/>
      </c>
      <c r="B688" s="31">
        <f>IF($AD688&lt;&gt;"D","",INDEX($AW$5:$AW$404,$AC688))</f>
        <v/>
      </c>
      <c r="C688" s="68">
        <f>IF($AD688&lt;&gt;"D","",INDEX($AX$5:$AX$404,$AC688))</f>
        <v/>
      </c>
      <c r="D688" s="70">
        <f>IF($AD688&lt;&gt;"D","",INDEX($BA$5:$BA$404,$AC688))</f>
        <v/>
      </c>
      <c r="E688" s="31">
        <f>IF($AD688="Z",SUM($AR$5:$AR$404),IF($AD688="D",INDEX($AR$5:$AR$404,$AC688),IF($AD688="T",SUMIF($X$5:$X$404,$AF688,$AR$5:$AR$404),IF($AD688="B",SUMIF($AN$5:$AN$404,$AQ688,$AR$5:$AR$404),""))))</f>
        <v/>
      </c>
      <c r="F688" s="32">
        <f>IF($AD688="Z",ROUND(SUM($AS$5:$AS$404),2),IF($AD688="D",INDEX($AS$5:$AS$404,$AC688),IF($AD688="T",ROUND(SUMIF($X$5:$X$404,$AF688,$AS$5:$AS$404),2),IF($AD688="B",ROUND(SUMIF($AN$5:$AN$404,$AQ688,$AS$5:$AS$404),2),""))))</f>
        <v/>
      </c>
      <c r="G688" s="32">
        <f>IF($AD688&lt;&gt;"D","",INDEX($AT$5:$AT$404,$AC688))</f>
        <v/>
      </c>
      <c r="H688" s="32">
        <f>IF($AD688&lt;&gt;"D","",INDEX($BC$5:$BC$404,$AC688))</f>
        <v/>
      </c>
      <c r="I688" s="32">
        <f>IF($AD688&lt;&gt;"D","",INDEX($BD$5:$BD$404,$AC688))</f>
        <v/>
      </c>
      <c r="J688" s="46">
        <f>IF($AD688&lt;&gt;"D","",IF(N($B688)=0,"",ROUND($I688/$B688,4)))</f>
        <v/>
      </c>
      <c r="K688" s="32">
        <f>IF($AD688="Z",ROUND(SUM($AU$5:$AU$404),2),IF($AD688="D",INDEX($AU$5:$AU$404,$AC688),IF($AD688="T",ROUND(SUMIF($X$5:$X$404,$AF688,$AU$5:$AU$404),2),IF($AD688="B",ROUND(SUMIF($AN$5:$AN$404,$AQ688,$AU$5:$AU$404),2),""))))</f>
        <v/>
      </c>
      <c r="L688" s="32">
        <f>IF($AD688="Z",ROUND(SUM($AV$5:$AV$404),2),IF($AD688="D",INDEX($AV$5:$AV$404,$AC688),IF($AD688="T",ROUND(SUMIF($X$5:$X$404,$AF688,$AV$5:$AV$404),2),IF($AD688="B",ROUND(SUMIF($AN$5:$AN$404,$AQ688,$AV$5:$AV$404),2),""))))</f>
        <v/>
      </c>
      <c r="M688" s="32">
        <f>IF($AD688="Z",ROUND(SUM($AJ$5:$AJ$704),2),IF($AD688="B",ROUND(SUMIF($AQ$5:$AQ$704,$AQ688,$AJ$5:$AJ$704),2),IF($AD688&lt;&gt;"T","",$AJ688)))</f>
        <v/>
      </c>
      <c r="N688" s="32">
        <f>IF(OR($AD688="D",$AD688="T",$AD688="B",$AD688="Z"),ROUND(N($K688)-N($L688)-N($M688),2),"")</f>
        <v/>
      </c>
      <c r="O688" s="32">
        <f>IF(OR($AD688="D",$AD688="T",$AD688="B",$AD688="Z"),IF(N($E688)=0,"",ROUND($F688/$E688,2)),"")</f>
        <v/>
      </c>
      <c r="AC688">
        <f>IFERROR(MATCH(684,$AB$5:$AB$404,1),"")</f>
        <v/>
      </c>
      <c r="AD688">
        <f>IF(684=$AI$1+1,"Z",IF($AC688="","",IF(INDEX($V$5:$V$404,$AC688)="","",IF(684&gt;INDEX($AB$5:$AB$404,$AC688)+INDEX($Z$5:$Z$404,$AC688)+INDEX($AA$5:$AA$404,$AC688)+INDEX($AO$5:$AO$404,$AC688),"",IF(684=INDEX($AB$5:$AB$404,$AC688)+INDEX($Z$5:$Z$404,$AC688),"D",IF(AND(INDEX($Z$5:$Z$404,$AC688)=1,684=INDEX($AB$5:$AB$404,$AC688)),"H",IF(AND(INDEX($AO$5:$AO$404,$AC688)=1,684=INDEX($AB$5:$AB$404,$AC688)+INDEX($Z$5:$Z$404,$AC688)+INDEX($AA$5:$AA$404,$AC688)+INDEX($AO$5:$AO$404,$AC688)),"B","T")))))))</f>
        <v/>
      </c>
      <c r="AF688">
        <f>IF(OR($AD688="",$AD688="Z",$AD688="B"),"",INDEX($X$5:$X$404,$AC688))</f>
        <v/>
      </c>
      <c r="AJ688">
        <f>IF($AD688&lt;&gt;"T",0,ROUND(SUMIF(oil!$B$4:$B$63,$AF688,oil!$AE$4:$AE$63),2))</f>
        <v/>
      </c>
      <c r="AQ688">
        <f>IF(OR($AD688="",$AD688="Z"),"",INDEX($AN$5:$AN$404,$AC688))</f>
        <v/>
      </c>
      <c r="AZ688">
        <f>IF(AND($AD688="T",$AQ688=1),N($AZ687)+1,N($AZ687))</f>
        <v/>
      </c>
    </row>
    <row r="689" ht="21" customHeight="1" s="66">
      <c r="A689" s="69">
        <f>IF($AD689="","",IF($AD689="Z","รวมจ่ายทั้งสิ้น",IF($AD689="H",INDEX($X$5:$X$404,$AC689),IF($AD689="T","รวม",IF($AD689="B",IFERROR(INDEX(อัตราค่าขนส่ง!$S$5:$S$14,MATCH(INDEX($AM$5:$AM$404,$AC689),อัตราค่าขนส่ง!$R$5:$R$14,0)),"รวมกลุ่ม "&amp;INDEX($AM$5:$AM$404,$AC689)),INDEX($AY$5:$AY$404,$AC689))))))</f>
        <v/>
      </c>
      <c r="B689" s="31">
        <f>IF($AD689&lt;&gt;"D","",INDEX($AW$5:$AW$404,$AC689))</f>
        <v/>
      </c>
      <c r="C689" s="68">
        <f>IF($AD689&lt;&gt;"D","",INDEX($AX$5:$AX$404,$AC689))</f>
        <v/>
      </c>
      <c r="D689" s="70">
        <f>IF($AD689&lt;&gt;"D","",INDEX($BA$5:$BA$404,$AC689))</f>
        <v/>
      </c>
      <c r="E689" s="31">
        <f>IF($AD689="Z",SUM($AR$5:$AR$404),IF($AD689="D",INDEX($AR$5:$AR$404,$AC689),IF($AD689="T",SUMIF($X$5:$X$404,$AF689,$AR$5:$AR$404),IF($AD689="B",SUMIF($AN$5:$AN$404,$AQ689,$AR$5:$AR$404),""))))</f>
        <v/>
      </c>
      <c r="F689" s="32">
        <f>IF($AD689="Z",ROUND(SUM($AS$5:$AS$404),2),IF($AD689="D",INDEX($AS$5:$AS$404,$AC689),IF($AD689="T",ROUND(SUMIF($X$5:$X$404,$AF689,$AS$5:$AS$404),2),IF($AD689="B",ROUND(SUMIF($AN$5:$AN$404,$AQ689,$AS$5:$AS$404),2),""))))</f>
        <v/>
      </c>
      <c r="G689" s="32">
        <f>IF($AD689&lt;&gt;"D","",INDEX($AT$5:$AT$404,$AC689))</f>
        <v/>
      </c>
      <c r="H689" s="32">
        <f>IF($AD689&lt;&gt;"D","",INDEX($BC$5:$BC$404,$AC689))</f>
        <v/>
      </c>
      <c r="I689" s="32">
        <f>IF($AD689&lt;&gt;"D","",INDEX($BD$5:$BD$404,$AC689))</f>
        <v/>
      </c>
      <c r="J689" s="46">
        <f>IF($AD689&lt;&gt;"D","",IF(N($B689)=0,"",ROUND($I689/$B689,4)))</f>
        <v/>
      </c>
      <c r="K689" s="32">
        <f>IF($AD689="Z",ROUND(SUM($AU$5:$AU$404),2),IF($AD689="D",INDEX($AU$5:$AU$404,$AC689),IF($AD689="T",ROUND(SUMIF($X$5:$X$404,$AF689,$AU$5:$AU$404),2),IF($AD689="B",ROUND(SUMIF($AN$5:$AN$404,$AQ689,$AU$5:$AU$404),2),""))))</f>
        <v/>
      </c>
      <c r="L689" s="32">
        <f>IF($AD689="Z",ROUND(SUM($AV$5:$AV$404),2),IF($AD689="D",INDEX($AV$5:$AV$404,$AC689),IF($AD689="T",ROUND(SUMIF($X$5:$X$404,$AF689,$AV$5:$AV$404),2),IF($AD689="B",ROUND(SUMIF($AN$5:$AN$404,$AQ689,$AV$5:$AV$404),2),""))))</f>
        <v/>
      </c>
      <c r="M689" s="32">
        <f>IF($AD689="Z",ROUND(SUM($AJ$5:$AJ$704),2),IF($AD689="B",ROUND(SUMIF($AQ$5:$AQ$704,$AQ689,$AJ$5:$AJ$704),2),IF($AD689&lt;&gt;"T","",$AJ689)))</f>
        <v/>
      </c>
      <c r="N689" s="32">
        <f>IF(OR($AD689="D",$AD689="T",$AD689="B",$AD689="Z"),ROUND(N($K689)-N($L689)-N($M689),2),"")</f>
        <v/>
      </c>
      <c r="O689" s="32">
        <f>IF(OR($AD689="D",$AD689="T",$AD689="B",$AD689="Z"),IF(N($E689)=0,"",ROUND($F689/$E689,2)),"")</f>
        <v/>
      </c>
      <c r="AC689">
        <f>IFERROR(MATCH(685,$AB$5:$AB$404,1),"")</f>
        <v/>
      </c>
      <c r="AD689">
        <f>IF(685=$AI$1+1,"Z",IF($AC689="","",IF(INDEX($V$5:$V$404,$AC689)="","",IF(685&gt;INDEX($AB$5:$AB$404,$AC689)+INDEX($Z$5:$Z$404,$AC689)+INDEX($AA$5:$AA$404,$AC689)+INDEX($AO$5:$AO$404,$AC689),"",IF(685=INDEX($AB$5:$AB$404,$AC689)+INDEX($Z$5:$Z$404,$AC689),"D",IF(AND(INDEX($Z$5:$Z$404,$AC689)=1,685=INDEX($AB$5:$AB$404,$AC689)),"H",IF(AND(INDEX($AO$5:$AO$404,$AC689)=1,685=INDEX($AB$5:$AB$404,$AC689)+INDEX($Z$5:$Z$404,$AC689)+INDEX($AA$5:$AA$404,$AC689)+INDEX($AO$5:$AO$404,$AC689)),"B","T")))))))</f>
        <v/>
      </c>
      <c r="AF689">
        <f>IF(OR($AD689="",$AD689="Z",$AD689="B"),"",INDEX($X$5:$X$404,$AC689))</f>
        <v/>
      </c>
      <c r="AJ689">
        <f>IF($AD689&lt;&gt;"T",0,ROUND(SUMIF(oil!$B$4:$B$63,$AF689,oil!$AE$4:$AE$63),2))</f>
        <v/>
      </c>
      <c r="AQ689">
        <f>IF(OR($AD689="",$AD689="Z"),"",INDEX($AN$5:$AN$404,$AC689))</f>
        <v/>
      </c>
      <c r="AZ689">
        <f>IF(AND($AD689="T",$AQ689=1),N($AZ688)+1,N($AZ688))</f>
        <v/>
      </c>
    </row>
    <row r="690" ht="21" customHeight="1" s="66">
      <c r="A690" s="69">
        <f>IF($AD690="","",IF($AD690="Z","รวมจ่ายทั้งสิ้น",IF($AD690="H",INDEX($X$5:$X$404,$AC690),IF($AD690="T","รวม",IF($AD690="B",IFERROR(INDEX(อัตราค่าขนส่ง!$S$5:$S$14,MATCH(INDEX($AM$5:$AM$404,$AC690),อัตราค่าขนส่ง!$R$5:$R$14,0)),"รวมกลุ่ม "&amp;INDEX($AM$5:$AM$404,$AC690)),INDEX($AY$5:$AY$404,$AC690))))))</f>
        <v/>
      </c>
      <c r="B690" s="31">
        <f>IF($AD690&lt;&gt;"D","",INDEX($AW$5:$AW$404,$AC690))</f>
        <v/>
      </c>
      <c r="C690" s="68">
        <f>IF($AD690&lt;&gt;"D","",INDEX($AX$5:$AX$404,$AC690))</f>
        <v/>
      </c>
      <c r="D690" s="70">
        <f>IF($AD690&lt;&gt;"D","",INDEX($BA$5:$BA$404,$AC690))</f>
        <v/>
      </c>
      <c r="E690" s="31">
        <f>IF($AD690="Z",SUM($AR$5:$AR$404),IF($AD690="D",INDEX($AR$5:$AR$404,$AC690),IF($AD690="T",SUMIF($X$5:$X$404,$AF690,$AR$5:$AR$404),IF($AD690="B",SUMIF($AN$5:$AN$404,$AQ690,$AR$5:$AR$404),""))))</f>
        <v/>
      </c>
      <c r="F690" s="32">
        <f>IF($AD690="Z",ROUND(SUM($AS$5:$AS$404),2),IF($AD690="D",INDEX($AS$5:$AS$404,$AC690),IF($AD690="T",ROUND(SUMIF($X$5:$X$404,$AF690,$AS$5:$AS$404),2),IF($AD690="B",ROUND(SUMIF($AN$5:$AN$404,$AQ690,$AS$5:$AS$404),2),""))))</f>
        <v/>
      </c>
      <c r="G690" s="32">
        <f>IF($AD690&lt;&gt;"D","",INDEX($AT$5:$AT$404,$AC690))</f>
        <v/>
      </c>
      <c r="H690" s="32">
        <f>IF($AD690&lt;&gt;"D","",INDEX($BC$5:$BC$404,$AC690))</f>
        <v/>
      </c>
      <c r="I690" s="32">
        <f>IF($AD690&lt;&gt;"D","",INDEX($BD$5:$BD$404,$AC690))</f>
        <v/>
      </c>
      <c r="J690" s="46">
        <f>IF($AD690&lt;&gt;"D","",IF(N($B690)=0,"",ROUND($I690/$B690,4)))</f>
        <v/>
      </c>
      <c r="K690" s="32">
        <f>IF($AD690="Z",ROUND(SUM($AU$5:$AU$404),2),IF($AD690="D",INDEX($AU$5:$AU$404,$AC690),IF($AD690="T",ROUND(SUMIF($X$5:$X$404,$AF690,$AU$5:$AU$404),2),IF($AD690="B",ROUND(SUMIF($AN$5:$AN$404,$AQ690,$AU$5:$AU$404),2),""))))</f>
        <v/>
      </c>
      <c r="L690" s="32">
        <f>IF($AD690="Z",ROUND(SUM($AV$5:$AV$404),2),IF($AD690="D",INDEX($AV$5:$AV$404,$AC690),IF($AD690="T",ROUND(SUMIF($X$5:$X$404,$AF690,$AV$5:$AV$404),2),IF($AD690="B",ROUND(SUMIF($AN$5:$AN$404,$AQ690,$AV$5:$AV$404),2),""))))</f>
        <v/>
      </c>
      <c r="M690" s="32">
        <f>IF($AD690="Z",ROUND(SUM($AJ$5:$AJ$704),2),IF($AD690="B",ROUND(SUMIF($AQ$5:$AQ$704,$AQ690,$AJ$5:$AJ$704),2),IF($AD690&lt;&gt;"T","",$AJ690)))</f>
        <v/>
      </c>
      <c r="N690" s="32">
        <f>IF(OR($AD690="D",$AD690="T",$AD690="B",$AD690="Z"),ROUND(N($K690)-N($L690)-N($M690),2),"")</f>
        <v/>
      </c>
      <c r="O690" s="32">
        <f>IF(OR($AD690="D",$AD690="T",$AD690="B",$AD690="Z"),IF(N($E690)=0,"",ROUND($F690/$E690,2)),"")</f>
        <v/>
      </c>
      <c r="AC690">
        <f>IFERROR(MATCH(686,$AB$5:$AB$404,1),"")</f>
        <v/>
      </c>
      <c r="AD690">
        <f>IF(686=$AI$1+1,"Z",IF($AC690="","",IF(INDEX($V$5:$V$404,$AC690)="","",IF(686&gt;INDEX($AB$5:$AB$404,$AC690)+INDEX($Z$5:$Z$404,$AC690)+INDEX($AA$5:$AA$404,$AC690)+INDEX($AO$5:$AO$404,$AC690),"",IF(686=INDEX($AB$5:$AB$404,$AC690)+INDEX($Z$5:$Z$404,$AC690),"D",IF(AND(INDEX($Z$5:$Z$404,$AC690)=1,686=INDEX($AB$5:$AB$404,$AC690)),"H",IF(AND(INDEX($AO$5:$AO$404,$AC690)=1,686=INDEX($AB$5:$AB$404,$AC690)+INDEX($Z$5:$Z$404,$AC690)+INDEX($AA$5:$AA$404,$AC690)+INDEX($AO$5:$AO$404,$AC690)),"B","T")))))))</f>
        <v/>
      </c>
      <c r="AF690">
        <f>IF(OR($AD690="",$AD690="Z",$AD690="B"),"",INDEX($X$5:$X$404,$AC690))</f>
        <v/>
      </c>
      <c r="AJ690">
        <f>IF($AD690&lt;&gt;"T",0,ROUND(SUMIF(oil!$B$4:$B$63,$AF690,oil!$AE$4:$AE$63),2))</f>
        <v/>
      </c>
      <c r="AQ690">
        <f>IF(OR($AD690="",$AD690="Z"),"",INDEX($AN$5:$AN$404,$AC690))</f>
        <v/>
      </c>
      <c r="AZ690">
        <f>IF(AND($AD690="T",$AQ690=1),N($AZ689)+1,N($AZ689))</f>
        <v/>
      </c>
    </row>
    <row r="691" ht="21" customHeight="1" s="66">
      <c r="A691" s="69">
        <f>IF($AD691="","",IF($AD691="Z","รวมจ่ายทั้งสิ้น",IF($AD691="H",INDEX($X$5:$X$404,$AC691),IF($AD691="T","รวม",IF($AD691="B",IFERROR(INDEX(อัตราค่าขนส่ง!$S$5:$S$14,MATCH(INDEX($AM$5:$AM$404,$AC691),อัตราค่าขนส่ง!$R$5:$R$14,0)),"รวมกลุ่ม "&amp;INDEX($AM$5:$AM$404,$AC691)),INDEX($AY$5:$AY$404,$AC691))))))</f>
        <v/>
      </c>
      <c r="B691" s="31">
        <f>IF($AD691&lt;&gt;"D","",INDEX($AW$5:$AW$404,$AC691))</f>
        <v/>
      </c>
      <c r="C691" s="68">
        <f>IF($AD691&lt;&gt;"D","",INDEX($AX$5:$AX$404,$AC691))</f>
        <v/>
      </c>
      <c r="D691" s="70">
        <f>IF($AD691&lt;&gt;"D","",INDEX($BA$5:$BA$404,$AC691))</f>
        <v/>
      </c>
      <c r="E691" s="31">
        <f>IF($AD691="Z",SUM($AR$5:$AR$404),IF($AD691="D",INDEX($AR$5:$AR$404,$AC691),IF($AD691="T",SUMIF($X$5:$X$404,$AF691,$AR$5:$AR$404),IF($AD691="B",SUMIF($AN$5:$AN$404,$AQ691,$AR$5:$AR$404),""))))</f>
        <v/>
      </c>
      <c r="F691" s="32">
        <f>IF($AD691="Z",ROUND(SUM($AS$5:$AS$404),2),IF($AD691="D",INDEX($AS$5:$AS$404,$AC691),IF($AD691="T",ROUND(SUMIF($X$5:$X$404,$AF691,$AS$5:$AS$404),2),IF($AD691="B",ROUND(SUMIF($AN$5:$AN$404,$AQ691,$AS$5:$AS$404),2),""))))</f>
        <v/>
      </c>
      <c r="G691" s="32">
        <f>IF($AD691&lt;&gt;"D","",INDEX($AT$5:$AT$404,$AC691))</f>
        <v/>
      </c>
      <c r="H691" s="32">
        <f>IF($AD691&lt;&gt;"D","",INDEX($BC$5:$BC$404,$AC691))</f>
        <v/>
      </c>
      <c r="I691" s="32">
        <f>IF($AD691&lt;&gt;"D","",INDEX($BD$5:$BD$404,$AC691))</f>
        <v/>
      </c>
      <c r="J691" s="46">
        <f>IF($AD691&lt;&gt;"D","",IF(N($B691)=0,"",ROUND($I691/$B691,4)))</f>
        <v/>
      </c>
      <c r="K691" s="32">
        <f>IF($AD691="Z",ROUND(SUM($AU$5:$AU$404),2),IF($AD691="D",INDEX($AU$5:$AU$404,$AC691),IF($AD691="T",ROUND(SUMIF($X$5:$X$404,$AF691,$AU$5:$AU$404),2),IF($AD691="B",ROUND(SUMIF($AN$5:$AN$404,$AQ691,$AU$5:$AU$404),2),""))))</f>
        <v/>
      </c>
      <c r="L691" s="32">
        <f>IF($AD691="Z",ROUND(SUM($AV$5:$AV$404),2),IF($AD691="D",INDEX($AV$5:$AV$404,$AC691),IF($AD691="T",ROUND(SUMIF($X$5:$X$404,$AF691,$AV$5:$AV$404),2),IF($AD691="B",ROUND(SUMIF($AN$5:$AN$404,$AQ691,$AV$5:$AV$404),2),""))))</f>
        <v/>
      </c>
      <c r="M691" s="32">
        <f>IF($AD691="Z",ROUND(SUM($AJ$5:$AJ$704),2),IF($AD691="B",ROUND(SUMIF($AQ$5:$AQ$704,$AQ691,$AJ$5:$AJ$704),2),IF($AD691&lt;&gt;"T","",$AJ691)))</f>
        <v/>
      </c>
      <c r="N691" s="32">
        <f>IF(OR($AD691="D",$AD691="T",$AD691="B",$AD691="Z"),ROUND(N($K691)-N($L691)-N($M691),2),"")</f>
        <v/>
      </c>
      <c r="O691" s="32">
        <f>IF(OR($AD691="D",$AD691="T",$AD691="B",$AD691="Z"),IF(N($E691)=0,"",ROUND($F691/$E691,2)),"")</f>
        <v/>
      </c>
      <c r="AC691">
        <f>IFERROR(MATCH(687,$AB$5:$AB$404,1),"")</f>
        <v/>
      </c>
      <c r="AD691">
        <f>IF(687=$AI$1+1,"Z",IF($AC691="","",IF(INDEX($V$5:$V$404,$AC691)="","",IF(687&gt;INDEX($AB$5:$AB$404,$AC691)+INDEX($Z$5:$Z$404,$AC691)+INDEX($AA$5:$AA$404,$AC691)+INDEX($AO$5:$AO$404,$AC691),"",IF(687=INDEX($AB$5:$AB$404,$AC691)+INDEX($Z$5:$Z$404,$AC691),"D",IF(AND(INDEX($Z$5:$Z$404,$AC691)=1,687=INDEX($AB$5:$AB$404,$AC691)),"H",IF(AND(INDEX($AO$5:$AO$404,$AC691)=1,687=INDEX($AB$5:$AB$404,$AC691)+INDEX($Z$5:$Z$404,$AC691)+INDEX($AA$5:$AA$404,$AC691)+INDEX($AO$5:$AO$404,$AC691)),"B","T")))))))</f>
        <v/>
      </c>
      <c r="AF691">
        <f>IF(OR($AD691="",$AD691="Z",$AD691="B"),"",INDEX($X$5:$X$404,$AC691))</f>
        <v/>
      </c>
      <c r="AJ691">
        <f>IF($AD691&lt;&gt;"T",0,ROUND(SUMIF(oil!$B$4:$B$63,$AF691,oil!$AE$4:$AE$63),2))</f>
        <v/>
      </c>
      <c r="AQ691">
        <f>IF(OR($AD691="",$AD691="Z"),"",INDEX($AN$5:$AN$404,$AC691))</f>
        <v/>
      </c>
      <c r="AZ691">
        <f>IF(AND($AD691="T",$AQ691=1),N($AZ690)+1,N($AZ690))</f>
        <v/>
      </c>
    </row>
    <row r="692" ht="21" customHeight="1" s="66">
      <c r="A692" s="69">
        <f>IF($AD692="","",IF($AD692="Z","รวมจ่ายทั้งสิ้น",IF($AD692="H",INDEX($X$5:$X$404,$AC692),IF($AD692="T","รวม",IF($AD692="B",IFERROR(INDEX(อัตราค่าขนส่ง!$S$5:$S$14,MATCH(INDEX($AM$5:$AM$404,$AC692),อัตราค่าขนส่ง!$R$5:$R$14,0)),"รวมกลุ่ม "&amp;INDEX($AM$5:$AM$404,$AC692)),INDEX($AY$5:$AY$404,$AC692))))))</f>
        <v/>
      </c>
      <c r="B692" s="31">
        <f>IF($AD692&lt;&gt;"D","",INDEX($AW$5:$AW$404,$AC692))</f>
        <v/>
      </c>
      <c r="C692" s="68">
        <f>IF($AD692&lt;&gt;"D","",INDEX($AX$5:$AX$404,$AC692))</f>
        <v/>
      </c>
      <c r="D692" s="70">
        <f>IF($AD692&lt;&gt;"D","",INDEX($BA$5:$BA$404,$AC692))</f>
        <v/>
      </c>
      <c r="E692" s="31">
        <f>IF($AD692="Z",SUM($AR$5:$AR$404),IF($AD692="D",INDEX($AR$5:$AR$404,$AC692),IF($AD692="T",SUMIF($X$5:$X$404,$AF692,$AR$5:$AR$404),IF($AD692="B",SUMIF($AN$5:$AN$404,$AQ692,$AR$5:$AR$404),""))))</f>
        <v/>
      </c>
      <c r="F692" s="32">
        <f>IF($AD692="Z",ROUND(SUM($AS$5:$AS$404),2),IF($AD692="D",INDEX($AS$5:$AS$404,$AC692),IF($AD692="T",ROUND(SUMIF($X$5:$X$404,$AF692,$AS$5:$AS$404),2),IF($AD692="B",ROUND(SUMIF($AN$5:$AN$404,$AQ692,$AS$5:$AS$404),2),""))))</f>
        <v/>
      </c>
      <c r="G692" s="32">
        <f>IF($AD692&lt;&gt;"D","",INDEX($AT$5:$AT$404,$AC692))</f>
        <v/>
      </c>
      <c r="H692" s="32">
        <f>IF($AD692&lt;&gt;"D","",INDEX($BC$5:$BC$404,$AC692))</f>
        <v/>
      </c>
      <c r="I692" s="32">
        <f>IF($AD692&lt;&gt;"D","",INDEX($BD$5:$BD$404,$AC692))</f>
        <v/>
      </c>
      <c r="J692" s="46">
        <f>IF($AD692&lt;&gt;"D","",IF(N($B692)=0,"",ROUND($I692/$B692,4)))</f>
        <v/>
      </c>
      <c r="K692" s="32">
        <f>IF($AD692="Z",ROUND(SUM($AU$5:$AU$404),2),IF($AD692="D",INDEX($AU$5:$AU$404,$AC692),IF($AD692="T",ROUND(SUMIF($X$5:$X$404,$AF692,$AU$5:$AU$404),2),IF($AD692="B",ROUND(SUMIF($AN$5:$AN$404,$AQ692,$AU$5:$AU$404),2),""))))</f>
        <v/>
      </c>
      <c r="L692" s="32">
        <f>IF($AD692="Z",ROUND(SUM($AV$5:$AV$404),2),IF($AD692="D",INDEX($AV$5:$AV$404,$AC692),IF($AD692="T",ROUND(SUMIF($X$5:$X$404,$AF692,$AV$5:$AV$404),2),IF($AD692="B",ROUND(SUMIF($AN$5:$AN$404,$AQ692,$AV$5:$AV$404),2),""))))</f>
        <v/>
      </c>
      <c r="M692" s="32">
        <f>IF($AD692="Z",ROUND(SUM($AJ$5:$AJ$704),2),IF($AD692="B",ROUND(SUMIF($AQ$5:$AQ$704,$AQ692,$AJ$5:$AJ$704),2),IF($AD692&lt;&gt;"T","",$AJ692)))</f>
        <v/>
      </c>
      <c r="N692" s="32">
        <f>IF(OR($AD692="D",$AD692="T",$AD692="B",$AD692="Z"),ROUND(N($K692)-N($L692)-N($M692),2),"")</f>
        <v/>
      </c>
      <c r="O692" s="32">
        <f>IF(OR($AD692="D",$AD692="T",$AD692="B",$AD692="Z"),IF(N($E692)=0,"",ROUND($F692/$E692,2)),"")</f>
        <v/>
      </c>
      <c r="AC692">
        <f>IFERROR(MATCH(688,$AB$5:$AB$404,1),"")</f>
        <v/>
      </c>
      <c r="AD692">
        <f>IF(688=$AI$1+1,"Z",IF($AC692="","",IF(INDEX($V$5:$V$404,$AC692)="","",IF(688&gt;INDEX($AB$5:$AB$404,$AC692)+INDEX($Z$5:$Z$404,$AC692)+INDEX($AA$5:$AA$404,$AC692)+INDEX($AO$5:$AO$404,$AC692),"",IF(688=INDEX($AB$5:$AB$404,$AC692)+INDEX($Z$5:$Z$404,$AC692),"D",IF(AND(INDEX($Z$5:$Z$404,$AC692)=1,688=INDEX($AB$5:$AB$404,$AC692)),"H",IF(AND(INDEX($AO$5:$AO$404,$AC692)=1,688=INDEX($AB$5:$AB$404,$AC692)+INDEX($Z$5:$Z$404,$AC692)+INDEX($AA$5:$AA$404,$AC692)+INDEX($AO$5:$AO$404,$AC692)),"B","T")))))))</f>
        <v/>
      </c>
      <c r="AF692">
        <f>IF(OR($AD692="",$AD692="Z",$AD692="B"),"",INDEX($X$5:$X$404,$AC692))</f>
        <v/>
      </c>
      <c r="AJ692">
        <f>IF($AD692&lt;&gt;"T",0,ROUND(SUMIF(oil!$B$4:$B$63,$AF692,oil!$AE$4:$AE$63),2))</f>
        <v/>
      </c>
      <c r="AQ692">
        <f>IF(OR($AD692="",$AD692="Z"),"",INDEX($AN$5:$AN$404,$AC692))</f>
        <v/>
      </c>
      <c r="AZ692">
        <f>IF(AND($AD692="T",$AQ692=1),N($AZ691)+1,N($AZ691))</f>
        <v/>
      </c>
    </row>
    <row r="693" ht="21" customHeight="1" s="66">
      <c r="A693" s="69">
        <f>IF($AD693="","",IF($AD693="Z","รวมจ่ายทั้งสิ้น",IF($AD693="H",INDEX($X$5:$X$404,$AC693),IF($AD693="T","รวม",IF($AD693="B",IFERROR(INDEX(อัตราค่าขนส่ง!$S$5:$S$14,MATCH(INDEX($AM$5:$AM$404,$AC693),อัตราค่าขนส่ง!$R$5:$R$14,0)),"รวมกลุ่ม "&amp;INDEX($AM$5:$AM$404,$AC693)),INDEX($AY$5:$AY$404,$AC693))))))</f>
        <v/>
      </c>
      <c r="B693" s="31">
        <f>IF($AD693&lt;&gt;"D","",INDEX($AW$5:$AW$404,$AC693))</f>
        <v/>
      </c>
      <c r="C693" s="68">
        <f>IF($AD693&lt;&gt;"D","",INDEX($AX$5:$AX$404,$AC693))</f>
        <v/>
      </c>
      <c r="D693" s="70">
        <f>IF($AD693&lt;&gt;"D","",INDEX($BA$5:$BA$404,$AC693))</f>
        <v/>
      </c>
      <c r="E693" s="31">
        <f>IF($AD693="Z",SUM($AR$5:$AR$404),IF($AD693="D",INDEX($AR$5:$AR$404,$AC693),IF($AD693="T",SUMIF($X$5:$X$404,$AF693,$AR$5:$AR$404),IF($AD693="B",SUMIF($AN$5:$AN$404,$AQ693,$AR$5:$AR$404),""))))</f>
        <v/>
      </c>
      <c r="F693" s="32">
        <f>IF($AD693="Z",ROUND(SUM($AS$5:$AS$404),2),IF($AD693="D",INDEX($AS$5:$AS$404,$AC693),IF($AD693="T",ROUND(SUMIF($X$5:$X$404,$AF693,$AS$5:$AS$404),2),IF($AD693="B",ROUND(SUMIF($AN$5:$AN$404,$AQ693,$AS$5:$AS$404),2),""))))</f>
        <v/>
      </c>
      <c r="G693" s="32">
        <f>IF($AD693&lt;&gt;"D","",INDEX($AT$5:$AT$404,$AC693))</f>
        <v/>
      </c>
      <c r="H693" s="32">
        <f>IF($AD693&lt;&gt;"D","",INDEX($BC$5:$BC$404,$AC693))</f>
        <v/>
      </c>
      <c r="I693" s="32">
        <f>IF($AD693&lt;&gt;"D","",INDEX($BD$5:$BD$404,$AC693))</f>
        <v/>
      </c>
      <c r="J693" s="46">
        <f>IF($AD693&lt;&gt;"D","",IF(N($B693)=0,"",ROUND($I693/$B693,4)))</f>
        <v/>
      </c>
      <c r="K693" s="32">
        <f>IF($AD693="Z",ROUND(SUM($AU$5:$AU$404),2),IF($AD693="D",INDEX($AU$5:$AU$404,$AC693),IF($AD693="T",ROUND(SUMIF($X$5:$X$404,$AF693,$AU$5:$AU$404),2),IF($AD693="B",ROUND(SUMIF($AN$5:$AN$404,$AQ693,$AU$5:$AU$404),2),""))))</f>
        <v/>
      </c>
      <c r="L693" s="32">
        <f>IF($AD693="Z",ROUND(SUM($AV$5:$AV$404),2),IF($AD693="D",INDEX($AV$5:$AV$404,$AC693),IF($AD693="T",ROUND(SUMIF($X$5:$X$404,$AF693,$AV$5:$AV$404),2),IF($AD693="B",ROUND(SUMIF($AN$5:$AN$404,$AQ693,$AV$5:$AV$404),2),""))))</f>
        <v/>
      </c>
      <c r="M693" s="32">
        <f>IF($AD693="Z",ROUND(SUM($AJ$5:$AJ$704),2),IF($AD693="B",ROUND(SUMIF($AQ$5:$AQ$704,$AQ693,$AJ$5:$AJ$704),2),IF($AD693&lt;&gt;"T","",$AJ693)))</f>
        <v/>
      </c>
      <c r="N693" s="32">
        <f>IF(OR($AD693="D",$AD693="T",$AD693="B",$AD693="Z"),ROUND(N($K693)-N($L693)-N($M693),2),"")</f>
        <v/>
      </c>
      <c r="O693" s="32">
        <f>IF(OR($AD693="D",$AD693="T",$AD693="B",$AD693="Z"),IF(N($E693)=0,"",ROUND($F693/$E693,2)),"")</f>
        <v/>
      </c>
      <c r="AC693">
        <f>IFERROR(MATCH(689,$AB$5:$AB$404,1),"")</f>
        <v/>
      </c>
      <c r="AD693">
        <f>IF(689=$AI$1+1,"Z",IF($AC693="","",IF(INDEX($V$5:$V$404,$AC693)="","",IF(689&gt;INDEX($AB$5:$AB$404,$AC693)+INDEX($Z$5:$Z$404,$AC693)+INDEX($AA$5:$AA$404,$AC693)+INDEX($AO$5:$AO$404,$AC693),"",IF(689=INDEX($AB$5:$AB$404,$AC693)+INDEX($Z$5:$Z$404,$AC693),"D",IF(AND(INDEX($Z$5:$Z$404,$AC693)=1,689=INDEX($AB$5:$AB$404,$AC693)),"H",IF(AND(INDEX($AO$5:$AO$404,$AC693)=1,689=INDEX($AB$5:$AB$404,$AC693)+INDEX($Z$5:$Z$404,$AC693)+INDEX($AA$5:$AA$404,$AC693)+INDEX($AO$5:$AO$404,$AC693)),"B","T")))))))</f>
        <v/>
      </c>
      <c r="AF693">
        <f>IF(OR($AD693="",$AD693="Z",$AD693="B"),"",INDEX($X$5:$X$404,$AC693))</f>
        <v/>
      </c>
      <c r="AJ693">
        <f>IF($AD693&lt;&gt;"T",0,ROUND(SUMIF(oil!$B$4:$B$63,$AF693,oil!$AE$4:$AE$63),2))</f>
        <v/>
      </c>
      <c r="AQ693">
        <f>IF(OR($AD693="",$AD693="Z"),"",INDEX($AN$5:$AN$404,$AC693))</f>
        <v/>
      </c>
      <c r="AZ693">
        <f>IF(AND($AD693="T",$AQ693=1),N($AZ692)+1,N($AZ692))</f>
        <v/>
      </c>
    </row>
    <row r="694" ht="21" customHeight="1" s="66">
      <c r="A694" s="69">
        <f>IF($AD694="","",IF($AD694="Z","รวมจ่ายทั้งสิ้น",IF($AD694="H",INDEX($X$5:$X$404,$AC694),IF($AD694="T","รวม",IF($AD694="B",IFERROR(INDEX(อัตราค่าขนส่ง!$S$5:$S$14,MATCH(INDEX($AM$5:$AM$404,$AC694),อัตราค่าขนส่ง!$R$5:$R$14,0)),"รวมกลุ่ม "&amp;INDEX($AM$5:$AM$404,$AC694)),INDEX($AY$5:$AY$404,$AC694))))))</f>
        <v/>
      </c>
      <c r="B694" s="31">
        <f>IF($AD694&lt;&gt;"D","",INDEX($AW$5:$AW$404,$AC694))</f>
        <v/>
      </c>
      <c r="C694" s="68">
        <f>IF($AD694&lt;&gt;"D","",INDEX($AX$5:$AX$404,$AC694))</f>
        <v/>
      </c>
      <c r="D694" s="70">
        <f>IF($AD694&lt;&gt;"D","",INDEX($BA$5:$BA$404,$AC694))</f>
        <v/>
      </c>
      <c r="E694" s="31">
        <f>IF($AD694="Z",SUM($AR$5:$AR$404),IF($AD694="D",INDEX($AR$5:$AR$404,$AC694),IF($AD694="T",SUMIF($X$5:$X$404,$AF694,$AR$5:$AR$404),IF($AD694="B",SUMIF($AN$5:$AN$404,$AQ694,$AR$5:$AR$404),""))))</f>
        <v/>
      </c>
      <c r="F694" s="32">
        <f>IF($AD694="Z",ROUND(SUM($AS$5:$AS$404),2),IF($AD694="D",INDEX($AS$5:$AS$404,$AC694),IF($AD694="T",ROUND(SUMIF($X$5:$X$404,$AF694,$AS$5:$AS$404),2),IF($AD694="B",ROUND(SUMIF($AN$5:$AN$404,$AQ694,$AS$5:$AS$404),2),""))))</f>
        <v/>
      </c>
      <c r="G694" s="32">
        <f>IF($AD694&lt;&gt;"D","",INDEX($AT$5:$AT$404,$AC694))</f>
        <v/>
      </c>
      <c r="H694" s="32">
        <f>IF($AD694&lt;&gt;"D","",INDEX($BC$5:$BC$404,$AC694))</f>
        <v/>
      </c>
      <c r="I694" s="32">
        <f>IF($AD694&lt;&gt;"D","",INDEX($BD$5:$BD$404,$AC694))</f>
        <v/>
      </c>
      <c r="J694" s="46">
        <f>IF($AD694&lt;&gt;"D","",IF(N($B694)=0,"",ROUND($I694/$B694,4)))</f>
        <v/>
      </c>
      <c r="K694" s="32">
        <f>IF($AD694="Z",ROUND(SUM($AU$5:$AU$404),2),IF($AD694="D",INDEX($AU$5:$AU$404,$AC694),IF($AD694="T",ROUND(SUMIF($X$5:$X$404,$AF694,$AU$5:$AU$404),2),IF($AD694="B",ROUND(SUMIF($AN$5:$AN$404,$AQ694,$AU$5:$AU$404),2),""))))</f>
        <v/>
      </c>
      <c r="L694" s="32">
        <f>IF($AD694="Z",ROUND(SUM($AV$5:$AV$404),2),IF($AD694="D",INDEX($AV$5:$AV$404,$AC694),IF($AD694="T",ROUND(SUMIF($X$5:$X$404,$AF694,$AV$5:$AV$404),2),IF($AD694="B",ROUND(SUMIF($AN$5:$AN$404,$AQ694,$AV$5:$AV$404),2),""))))</f>
        <v/>
      </c>
      <c r="M694" s="32">
        <f>IF($AD694="Z",ROUND(SUM($AJ$5:$AJ$704),2),IF($AD694="B",ROUND(SUMIF($AQ$5:$AQ$704,$AQ694,$AJ$5:$AJ$704),2),IF($AD694&lt;&gt;"T","",$AJ694)))</f>
        <v/>
      </c>
      <c r="N694" s="32">
        <f>IF(OR($AD694="D",$AD694="T",$AD694="B",$AD694="Z"),ROUND(N($K694)-N($L694)-N($M694),2),"")</f>
        <v/>
      </c>
      <c r="O694" s="32">
        <f>IF(OR($AD694="D",$AD694="T",$AD694="B",$AD694="Z"),IF(N($E694)=0,"",ROUND($F694/$E694,2)),"")</f>
        <v/>
      </c>
      <c r="AC694">
        <f>IFERROR(MATCH(690,$AB$5:$AB$404,1),"")</f>
        <v/>
      </c>
      <c r="AD694">
        <f>IF(690=$AI$1+1,"Z",IF($AC694="","",IF(INDEX($V$5:$V$404,$AC694)="","",IF(690&gt;INDEX($AB$5:$AB$404,$AC694)+INDEX($Z$5:$Z$404,$AC694)+INDEX($AA$5:$AA$404,$AC694)+INDEX($AO$5:$AO$404,$AC694),"",IF(690=INDEX($AB$5:$AB$404,$AC694)+INDEX($Z$5:$Z$404,$AC694),"D",IF(AND(INDEX($Z$5:$Z$404,$AC694)=1,690=INDEX($AB$5:$AB$404,$AC694)),"H",IF(AND(INDEX($AO$5:$AO$404,$AC694)=1,690=INDEX($AB$5:$AB$404,$AC694)+INDEX($Z$5:$Z$404,$AC694)+INDEX($AA$5:$AA$404,$AC694)+INDEX($AO$5:$AO$404,$AC694)),"B","T")))))))</f>
        <v/>
      </c>
      <c r="AF694">
        <f>IF(OR($AD694="",$AD694="Z",$AD694="B"),"",INDEX($X$5:$X$404,$AC694))</f>
        <v/>
      </c>
      <c r="AJ694">
        <f>IF($AD694&lt;&gt;"T",0,ROUND(SUMIF(oil!$B$4:$B$63,$AF694,oil!$AE$4:$AE$63),2))</f>
        <v/>
      </c>
      <c r="AQ694">
        <f>IF(OR($AD694="",$AD694="Z"),"",INDEX($AN$5:$AN$404,$AC694))</f>
        <v/>
      </c>
      <c r="AZ694">
        <f>IF(AND($AD694="T",$AQ694=1),N($AZ693)+1,N($AZ693))</f>
        <v/>
      </c>
    </row>
    <row r="695" ht="21" customHeight="1" s="66">
      <c r="A695" s="69">
        <f>IF($AD695="","",IF($AD695="Z","รวมจ่ายทั้งสิ้น",IF($AD695="H",INDEX($X$5:$X$404,$AC695),IF($AD695="T","รวม",IF($AD695="B",IFERROR(INDEX(อัตราค่าขนส่ง!$S$5:$S$14,MATCH(INDEX($AM$5:$AM$404,$AC695),อัตราค่าขนส่ง!$R$5:$R$14,0)),"รวมกลุ่ม "&amp;INDEX($AM$5:$AM$404,$AC695)),INDEX($AY$5:$AY$404,$AC695))))))</f>
        <v/>
      </c>
      <c r="B695" s="31">
        <f>IF($AD695&lt;&gt;"D","",INDEX($AW$5:$AW$404,$AC695))</f>
        <v/>
      </c>
      <c r="C695" s="68">
        <f>IF($AD695&lt;&gt;"D","",INDEX($AX$5:$AX$404,$AC695))</f>
        <v/>
      </c>
      <c r="D695" s="70">
        <f>IF($AD695&lt;&gt;"D","",INDEX($BA$5:$BA$404,$AC695))</f>
        <v/>
      </c>
      <c r="E695" s="31">
        <f>IF($AD695="Z",SUM($AR$5:$AR$404),IF($AD695="D",INDEX($AR$5:$AR$404,$AC695),IF($AD695="T",SUMIF($X$5:$X$404,$AF695,$AR$5:$AR$404),IF($AD695="B",SUMIF($AN$5:$AN$404,$AQ695,$AR$5:$AR$404),""))))</f>
        <v/>
      </c>
      <c r="F695" s="32">
        <f>IF($AD695="Z",ROUND(SUM($AS$5:$AS$404),2),IF($AD695="D",INDEX($AS$5:$AS$404,$AC695),IF($AD695="T",ROUND(SUMIF($X$5:$X$404,$AF695,$AS$5:$AS$404),2),IF($AD695="B",ROUND(SUMIF($AN$5:$AN$404,$AQ695,$AS$5:$AS$404),2),""))))</f>
        <v/>
      </c>
      <c r="G695" s="32">
        <f>IF($AD695&lt;&gt;"D","",INDEX($AT$5:$AT$404,$AC695))</f>
        <v/>
      </c>
      <c r="H695" s="32">
        <f>IF($AD695&lt;&gt;"D","",INDEX($BC$5:$BC$404,$AC695))</f>
        <v/>
      </c>
      <c r="I695" s="32">
        <f>IF($AD695&lt;&gt;"D","",INDEX($BD$5:$BD$404,$AC695))</f>
        <v/>
      </c>
      <c r="J695" s="46">
        <f>IF($AD695&lt;&gt;"D","",IF(N($B695)=0,"",ROUND($I695/$B695,4)))</f>
        <v/>
      </c>
      <c r="K695" s="32">
        <f>IF($AD695="Z",ROUND(SUM($AU$5:$AU$404),2),IF($AD695="D",INDEX($AU$5:$AU$404,$AC695),IF($AD695="T",ROUND(SUMIF($X$5:$X$404,$AF695,$AU$5:$AU$404),2),IF($AD695="B",ROUND(SUMIF($AN$5:$AN$404,$AQ695,$AU$5:$AU$404),2),""))))</f>
        <v/>
      </c>
      <c r="L695" s="32">
        <f>IF($AD695="Z",ROUND(SUM($AV$5:$AV$404),2),IF($AD695="D",INDEX($AV$5:$AV$404,$AC695),IF($AD695="T",ROUND(SUMIF($X$5:$X$404,$AF695,$AV$5:$AV$404),2),IF($AD695="B",ROUND(SUMIF($AN$5:$AN$404,$AQ695,$AV$5:$AV$404),2),""))))</f>
        <v/>
      </c>
      <c r="M695" s="32">
        <f>IF($AD695="Z",ROUND(SUM($AJ$5:$AJ$704),2),IF($AD695="B",ROUND(SUMIF($AQ$5:$AQ$704,$AQ695,$AJ$5:$AJ$704),2),IF($AD695&lt;&gt;"T","",$AJ695)))</f>
        <v/>
      </c>
      <c r="N695" s="32">
        <f>IF(OR($AD695="D",$AD695="T",$AD695="B",$AD695="Z"),ROUND(N($K695)-N($L695)-N($M695),2),"")</f>
        <v/>
      </c>
      <c r="O695" s="32">
        <f>IF(OR($AD695="D",$AD695="T",$AD695="B",$AD695="Z"),IF(N($E695)=0,"",ROUND($F695/$E695,2)),"")</f>
        <v/>
      </c>
      <c r="AC695">
        <f>IFERROR(MATCH(691,$AB$5:$AB$404,1),"")</f>
        <v/>
      </c>
      <c r="AD695">
        <f>IF(691=$AI$1+1,"Z",IF($AC695="","",IF(INDEX($V$5:$V$404,$AC695)="","",IF(691&gt;INDEX($AB$5:$AB$404,$AC695)+INDEX($Z$5:$Z$404,$AC695)+INDEX($AA$5:$AA$404,$AC695)+INDEX($AO$5:$AO$404,$AC695),"",IF(691=INDEX($AB$5:$AB$404,$AC695)+INDEX($Z$5:$Z$404,$AC695),"D",IF(AND(INDEX($Z$5:$Z$404,$AC695)=1,691=INDEX($AB$5:$AB$404,$AC695)),"H",IF(AND(INDEX($AO$5:$AO$404,$AC695)=1,691=INDEX($AB$5:$AB$404,$AC695)+INDEX($Z$5:$Z$404,$AC695)+INDEX($AA$5:$AA$404,$AC695)+INDEX($AO$5:$AO$404,$AC695)),"B","T")))))))</f>
        <v/>
      </c>
      <c r="AF695">
        <f>IF(OR($AD695="",$AD695="Z",$AD695="B"),"",INDEX($X$5:$X$404,$AC695))</f>
        <v/>
      </c>
      <c r="AJ695">
        <f>IF($AD695&lt;&gt;"T",0,ROUND(SUMIF(oil!$B$4:$B$63,$AF695,oil!$AE$4:$AE$63),2))</f>
        <v/>
      </c>
      <c r="AQ695">
        <f>IF(OR($AD695="",$AD695="Z"),"",INDEX($AN$5:$AN$404,$AC695))</f>
        <v/>
      </c>
      <c r="AZ695">
        <f>IF(AND($AD695="T",$AQ695=1),N($AZ694)+1,N($AZ694))</f>
        <v/>
      </c>
    </row>
    <row r="696" ht="21" customHeight="1" s="66">
      <c r="A696" s="69">
        <f>IF($AD696="","",IF($AD696="Z","รวมจ่ายทั้งสิ้น",IF($AD696="H",INDEX($X$5:$X$404,$AC696),IF($AD696="T","รวม",IF($AD696="B",IFERROR(INDEX(อัตราค่าขนส่ง!$S$5:$S$14,MATCH(INDEX($AM$5:$AM$404,$AC696),อัตราค่าขนส่ง!$R$5:$R$14,0)),"รวมกลุ่ม "&amp;INDEX($AM$5:$AM$404,$AC696)),INDEX($AY$5:$AY$404,$AC696))))))</f>
        <v/>
      </c>
      <c r="B696" s="31">
        <f>IF($AD696&lt;&gt;"D","",INDEX($AW$5:$AW$404,$AC696))</f>
        <v/>
      </c>
      <c r="C696" s="68">
        <f>IF($AD696&lt;&gt;"D","",INDEX($AX$5:$AX$404,$AC696))</f>
        <v/>
      </c>
      <c r="D696" s="70">
        <f>IF($AD696&lt;&gt;"D","",INDEX($BA$5:$BA$404,$AC696))</f>
        <v/>
      </c>
      <c r="E696" s="31">
        <f>IF($AD696="Z",SUM($AR$5:$AR$404),IF($AD696="D",INDEX($AR$5:$AR$404,$AC696),IF($AD696="T",SUMIF($X$5:$X$404,$AF696,$AR$5:$AR$404),IF($AD696="B",SUMIF($AN$5:$AN$404,$AQ696,$AR$5:$AR$404),""))))</f>
        <v/>
      </c>
      <c r="F696" s="32">
        <f>IF($AD696="Z",ROUND(SUM($AS$5:$AS$404),2),IF($AD696="D",INDEX($AS$5:$AS$404,$AC696),IF($AD696="T",ROUND(SUMIF($X$5:$X$404,$AF696,$AS$5:$AS$404),2),IF($AD696="B",ROUND(SUMIF($AN$5:$AN$404,$AQ696,$AS$5:$AS$404),2),""))))</f>
        <v/>
      </c>
      <c r="G696" s="32">
        <f>IF($AD696&lt;&gt;"D","",INDEX($AT$5:$AT$404,$AC696))</f>
        <v/>
      </c>
      <c r="H696" s="32">
        <f>IF($AD696&lt;&gt;"D","",INDEX($BC$5:$BC$404,$AC696))</f>
        <v/>
      </c>
      <c r="I696" s="32">
        <f>IF($AD696&lt;&gt;"D","",INDEX($BD$5:$BD$404,$AC696))</f>
        <v/>
      </c>
      <c r="J696" s="46">
        <f>IF($AD696&lt;&gt;"D","",IF(N($B696)=0,"",ROUND($I696/$B696,4)))</f>
        <v/>
      </c>
      <c r="K696" s="32">
        <f>IF($AD696="Z",ROUND(SUM($AU$5:$AU$404),2),IF($AD696="D",INDEX($AU$5:$AU$404,$AC696),IF($AD696="T",ROUND(SUMIF($X$5:$X$404,$AF696,$AU$5:$AU$404),2),IF($AD696="B",ROUND(SUMIF($AN$5:$AN$404,$AQ696,$AU$5:$AU$404),2),""))))</f>
        <v/>
      </c>
      <c r="L696" s="32">
        <f>IF($AD696="Z",ROUND(SUM($AV$5:$AV$404),2),IF($AD696="D",INDEX($AV$5:$AV$404,$AC696),IF($AD696="T",ROUND(SUMIF($X$5:$X$404,$AF696,$AV$5:$AV$404),2),IF($AD696="B",ROUND(SUMIF($AN$5:$AN$404,$AQ696,$AV$5:$AV$404),2),""))))</f>
        <v/>
      </c>
      <c r="M696" s="32">
        <f>IF($AD696="Z",ROUND(SUM($AJ$5:$AJ$704),2),IF($AD696="B",ROUND(SUMIF($AQ$5:$AQ$704,$AQ696,$AJ$5:$AJ$704),2),IF($AD696&lt;&gt;"T","",$AJ696)))</f>
        <v/>
      </c>
      <c r="N696" s="32">
        <f>IF(OR($AD696="D",$AD696="T",$AD696="B",$AD696="Z"),ROUND(N($K696)-N($L696)-N($M696),2),"")</f>
        <v/>
      </c>
      <c r="O696" s="32">
        <f>IF(OR($AD696="D",$AD696="T",$AD696="B",$AD696="Z"),IF(N($E696)=0,"",ROUND($F696/$E696,2)),"")</f>
        <v/>
      </c>
      <c r="AC696">
        <f>IFERROR(MATCH(692,$AB$5:$AB$404,1),"")</f>
        <v/>
      </c>
      <c r="AD696">
        <f>IF(692=$AI$1+1,"Z",IF($AC696="","",IF(INDEX($V$5:$V$404,$AC696)="","",IF(692&gt;INDEX($AB$5:$AB$404,$AC696)+INDEX($Z$5:$Z$404,$AC696)+INDEX($AA$5:$AA$404,$AC696)+INDEX($AO$5:$AO$404,$AC696),"",IF(692=INDEX($AB$5:$AB$404,$AC696)+INDEX($Z$5:$Z$404,$AC696),"D",IF(AND(INDEX($Z$5:$Z$404,$AC696)=1,692=INDEX($AB$5:$AB$404,$AC696)),"H",IF(AND(INDEX($AO$5:$AO$404,$AC696)=1,692=INDEX($AB$5:$AB$404,$AC696)+INDEX($Z$5:$Z$404,$AC696)+INDEX($AA$5:$AA$404,$AC696)+INDEX($AO$5:$AO$404,$AC696)),"B","T")))))))</f>
        <v/>
      </c>
      <c r="AF696">
        <f>IF(OR($AD696="",$AD696="Z",$AD696="B"),"",INDEX($X$5:$X$404,$AC696))</f>
        <v/>
      </c>
      <c r="AJ696">
        <f>IF($AD696&lt;&gt;"T",0,ROUND(SUMIF(oil!$B$4:$B$63,$AF696,oil!$AE$4:$AE$63),2))</f>
        <v/>
      </c>
      <c r="AQ696">
        <f>IF(OR($AD696="",$AD696="Z"),"",INDEX($AN$5:$AN$404,$AC696))</f>
        <v/>
      </c>
      <c r="AZ696">
        <f>IF(AND($AD696="T",$AQ696=1),N($AZ695)+1,N($AZ695))</f>
        <v/>
      </c>
    </row>
    <row r="697" ht="21" customHeight="1" s="66">
      <c r="A697" s="69">
        <f>IF($AD697="","",IF($AD697="Z","รวมจ่ายทั้งสิ้น",IF($AD697="H",INDEX($X$5:$X$404,$AC697),IF($AD697="T","รวม",IF($AD697="B",IFERROR(INDEX(อัตราค่าขนส่ง!$S$5:$S$14,MATCH(INDEX($AM$5:$AM$404,$AC697),อัตราค่าขนส่ง!$R$5:$R$14,0)),"รวมกลุ่ม "&amp;INDEX($AM$5:$AM$404,$AC697)),INDEX($AY$5:$AY$404,$AC697))))))</f>
        <v/>
      </c>
      <c r="B697" s="31">
        <f>IF($AD697&lt;&gt;"D","",INDEX($AW$5:$AW$404,$AC697))</f>
        <v/>
      </c>
      <c r="C697" s="68">
        <f>IF($AD697&lt;&gt;"D","",INDEX($AX$5:$AX$404,$AC697))</f>
        <v/>
      </c>
      <c r="D697" s="70">
        <f>IF($AD697&lt;&gt;"D","",INDEX($BA$5:$BA$404,$AC697))</f>
        <v/>
      </c>
      <c r="E697" s="31">
        <f>IF($AD697="Z",SUM($AR$5:$AR$404),IF($AD697="D",INDEX($AR$5:$AR$404,$AC697),IF($AD697="T",SUMIF($X$5:$X$404,$AF697,$AR$5:$AR$404),IF($AD697="B",SUMIF($AN$5:$AN$404,$AQ697,$AR$5:$AR$404),""))))</f>
        <v/>
      </c>
      <c r="F697" s="32">
        <f>IF($AD697="Z",ROUND(SUM($AS$5:$AS$404),2),IF($AD697="D",INDEX($AS$5:$AS$404,$AC697),IF($AD697="T",ROUND(SUMIF($X$5:$X$404,$AF697,$AS$5:$AS$404),2),IF($AD697="B",ROUND(SUMIF($AN$5:$AN$404,$AQ697,$AS$5:$AS$404),2),""))))</f>
        <v/>
      </c>
      <c r="G697" s="32">
        <f>IF($AD697&lt;&gt;"D","",INDEX($AT$5:$AT$404,$AC697))</f>
        <v/>
      </c>
      <c r="H697" s="32">
        <f>IF($AD697&lt;&gt;"D","",INDEX($BC$5:$BC$404,$AC697))</f>
        <v/>
      </c>
      <c r="I697" s="32">
        <f>IF($AD697&lt;&gt;"D","",INDEX($BD$5:$BD$404,$AC697))</f>
        <v/>
      </c>
      <c r="J697" s="46">
        <f>IF($AD697&lt;&gt;"D","",IF(N($B697)=0,"",ROUND($I697/$B697,4)))</f>
        <v/>
      </c>
      <c r="K697" s="32">
        <f>IF($AD697="Z",ROUND(SUM($AU$5:$AU$404),2),IF($AD697="D",INDEX($AU$5:$AU$404,$AC697),IF($AD697="T",ROUND(SUMIF($X$5:$X$404,$AF697,$AU$5:$AU$404),2),IF($AD697="B",ROUND(SUMIF($AN$5:$AN$404,$AQ697,$AU$5:$AU$404),2),""))))</f>
        <v/>
      </c>
      <c r="L697" s="32">
        <f>IF($AD697="Z",ROUND(SUM($AV$5:$AV$404),2),IF($AD697="D",INDEX($AV$5:$AV$404,$AC697),IF($AD697="T",ROUND(SUMIF($X$5:$X$404,$AF697,$AV$5:$AV$404),2),IF($AD697="B",ROUND(SUMIF($AN$5:$AN$404,$AQ697,$AV$5:$AV$404),2),""))))</f>
        <v/>
      </c>
      <c r="M697" s="32">
        <f>IF($AD697="Z",ROUND(SUM($AJ$5:$AJ$704),2),IF($AD697="B",ROUND(SUMIF($AQ$5:$AQ$704,$AQ697,$AJ$5:$AJ$704),2),IF($AD697&lt;&gt;"T","",$AJ697)))</f>
        <v/>
      </c>
      <c r="N697" s="32">
        <f>IF(OR($AD697="D",$AD697="T",$AD697="B",$AD697="Z"),ROUND(N($K697)-N($L697)-N($M697),2),"")</f>
        <v/>
      </c>
      <c r="O697" s="32">
        <f>IF(OR($AD697="D",$AD697="T",$AD697="B",$AD697="Z"),IF(N($E697)=0,"",ROUND($F697/$E697,2)),"")</f>
        <v/>
      </c>
      <c r="AC697">
        <f>IFERROR(MATCH(693,$AB$5:$AB$404,1),"")</f>
        <v/>
      </c>
      <c r="AD697">
        <f>IF(693=$AI$1+1,"Z",IF($AC697="","",IF(INDEX($V$5:$V$404,$AC697)="","",IF(693&gt;INDEX($AB$5:$AB$404,$AC697)+INDEX($Z$5:$Z$404,$AC697)+INDEX($AA$5:$AA$404,$AC697)+INDEX($AO$5:$AO$404,$AC697),"",IF(693=INDEX($AB$5:$AB$404,$AC697)+INDEX($Z$5:$Z$404,$AC697),"D",IF(AND(INDEX($Z$5:$Z$404,$AC697)=1,693=INDEX($AB$5:$AB$404,$AC697)),"H",IF(AND(INDEX($AO$5:$AO$404,$AC697)=1,693=INDEX($AB$5:$AB$404,$AC697)+INDEX($Z$5:$Z$404,$AC697)+INDEX($AA$5:$AA$404,$AC697)+INDEX($AO$5:$AO$404,$AC697)),"B","T")))))))</f>
        <v/>
      </c>
      <c r="AF697">
        <f>IF(OR($AD697="",$AD697="Z",$AD697="B"),"",INDEX($X$5:$X$404,$AC697))</f>
        <v/>
      </c>
      <c r="AJ697">
        <f>IF($AD697&lt;&gt;"T",0,ROUND(SUMIF(oil!$B$4:$B$63,$AF697,oil!$AE$4:$AE$63),2))</f>
        <v/>
      </c>
      <c r="AQ697">
        <f>IF(OR($AD697="",$AD697="Z"),"",INDEX($AN$5:$AN$404,$AC697))</f>
        <v/>
      </c>
      <c r="AZ697">
        <f>IF(AND($AD697="T",$AQ697=1),N($AZ696)+1,N($AZ696))</f>
        <v/>
      </c>
    </row>
    <row r="698" ht="21" customHeight="1" s="66">
      <c r="A698" s="69">
        <f>IF($AD698="","",IF($AD698="Z","รวมจ่ายทั้งสิ้น",IF($AD698="H",INDEX($X$5:$X$404,$AC698),IF($AD698="T","รวม",IF($AD698="B",IFERROR(INDEX(อัตราค่าขนส่ง!$S$5:$S$14,MATCH(INDEX($AM$5:$AM$404,$AC698),อัตราค่าขนส่ง!$R$5:$R$14,0)),"รวมกลุ่ม "&amp;INDEX($AM$5:$AM$404,$AC698)),INDEX($AY$5:$AY$404,$AC698))))))</f>
        <v/>
      </c>
      <c r="B698" s="31">
        <f>IF($AD698&lt;&gt;"D","",INDEX($AW$5:$AW$404,$AC698))</f>
        <v/>
      </c>
      <c r="C698" s="68">
        <f>IF($AD698&lt;&gt;"D","",INDEX($AX$5:$AX$404,$AC698))</f>
        <v/>
      </c>
      <c r="D698" s="70">
        <f>IF($AD698&lt;&gt;"D","",INDEX($BA$5:$BA$404,$AC698))</f>
        <v/>
      </c>
      <c r="E698" s="31">
        <f>IF($AD698="Z",SUM($AR$5:$AR$404),IF($AD698="D",INDEX($AR$5:$AR$404,$AC698),IF($AD698="T",SUMIF($X$5:$X$404,$AF698,$AR$5:$AR$404),IF($AD698="B",SUMIF($AN$5:$AN$404,$AQ698,$AR$5:$AR$404),""))))</f>
        <v/>
      </c>
      <c r="F698" s="32">
        <f>IF($AD698="Z",ROUND(SUM($AS$5:$AS$404),2),IF($AD698="D",INDEX($AS$5:$AS$404,$AC698),IF($AD698="T",ROUND(SUMIF($X$5:$X$404,$AF698,$AS$5:$AS$404),2),IF($AD698="B",ROUND(SUMIF($AN$5:$AN$404,$AQ698,$AS$5:$AS$404),2),""))))</f>
        <v/>
      </c>
      <c r="G698" s="32">
        <f>IF($AD698&lt;&gt;"D","",INDEX($AT$5:$AT$404,$AC698))</f>
        <v/>
      </c>
      <c r="H698" s="32">
        <f>IF($AD698&lt;&gt;"D","",INDEX($BC$5:$BC$404,$AC698))</f>
        <v/>
      </c>
      <c r="I698" s="32">
        <f>IF($AD698&lt;&gt;"D","",INDEX($BD$5:$BD$404,$AC698))</f>
        <v/>
      </c>
      <c r="J698" s="46">
        <f>IF($AD698&lt;&gt;"D","",IF(N($B698)=0,"",ROUND($I698/$B698,4)))</f>
        <v/>
      </c>
      <c r="K698" s="32">
        <f>IF($AD698="Z",ROUND(SUM($AU$5:$AU$404),2),IF($AD698="D",INDEX($AU$5:$AU$404,$AC698),IF($AD698="T",ROUND(SUMIF($X$5:$X$404,$AF698,$AU$5:$AU$404),2),IF($AD698="B",ROUND(SUMIF($AN$5:$AN$404,$AQ698,$AU$5:$AU$404),2),""))))</f>
        <v/>
      </c>
      <c r="L698" s="32">
        <f>IF($AD698="Z",ROUND(SUM($AV$5:$AV$404),2),IF($AD698="D",INDEX($AV$5:$AV$404,$AC698),IF($AD698="T",ROUND(SUMIF($X$5:$X$404,$AF698,$AV$5:$AV$404),2),IF($AD698="B",ROUND(SUMIF($AN$5:$AN$404,$AQ698,$AV$5:$AV$404),2),""))))</f>
        <v/>
      </c>
      <c r="M698" s="32">
        <f>IF($AD698="Z",ROUND(SUM($AJ$5:$AJ$704),2),IF($AD698="B",ROUND(SUMIF($AQ$5:$AQ$704,$AQ698,$AJ$5:$AJ$704),2),IF($AD698&lt;&gt;"T","",$AJ698)))</f>
        <v/>
      </c>
      <c r="N698" s="32">
        <f>IF(OR($AD698="D",$AD698="T",$AD698="B",$AD698="Z"),ROUND(N($K698)-N($L698)-N($M698),2),"")</f>
        <v/>
      </c>
      <c r="O698" s="32">
        <f>IF(OR($AD698="D",$AD698="T",$AD698="B",$AD698="Z"),IF(N($E698)=0,"",ROUND($F698/$E698,2)),"")</f>
        <v/>
      </c>
      <c r="AC698">
        <f>IFERROR(MATCH(694,$AB$5:$AB$404,1),"")</f>
        <v/>
      </c>
      <c r="AD698">
        <f>IF(694=$AI$1+1,"Z",IF($AC698="","",IF(INDEX($V$5:$V$404,$AC698)="","",IF(694&gt;INDEX($AB$5:$AB$404,$AC698)+INDEX($Z$5:$Z$404,$AC698)+INDEX($AA$5:$AA$404,$AC698)+INDEX($AO$5:$AO$404,$AC698),"",IF(694=INDEX($AB$5:$AB$404,$AC698)+INDEX($Z$5:$Z$404,$AC698),"D",IF(AND(INDEX($Z$5:$Z$404,$AC698)=1,694=INDEX($AB$5:$AB$404,$AC698)),"H",IF(AND(INDEX($AO$5:$AO$404,$AC698)=1,694=INDEX($AB$5:$AB$404,$AC698)+INDEX($Z$5:$Z$404,$AC698)+INDEX($AA$5:$AA$404,$AC698)+INDEX($AO$5:$AO$404,$AC698)),"B","T")))))))</f>
        <v/>
      </c>
      <c r="AF698">
        <f>IF(OR($AD698="",$AD698="Z",$AD698="B"),"",INDEX($X$5:$X$404,$AC698))</f>
        <v/>
      </c>
      <c r="AJ698">
        <f>IF($AD698&lt;&gt;"T",0,ROUND(SUMIF(oil!$B$4:$B$63,$AF698,oil!$AE$4:$AE$63),2))</f>
        <v/>
      </c>
      <c r="AQ698">
        <f>IF(OR($AD698="",$AD698="Z"),"",INDEX($AN$5:$AN$404,$AC698))</f>
        <v/>
      </c>
      <c r="AZ698">
        <f>IF(AND($AD698="T",$AQ698=1),N($AZ697)+1,N($AZ697))</f>
        <v/>
      </c>
    </row>
    <row r="699" ht="21" customHeight="1" s="66">
      <c r="A699" s="69">
        <f>IF($AD699="","",IF($AD699="Z","รวมจ่ายทั้งสิ้น",IF($AD699="H",INDEX($X$5:$X$404,$AC699),IF($AD699="T","รวม",IF($AD699="B",IFERROR(INDEX(อัตราค่าขนส่ง!$S$5:$S$14,MATCH(INDEX($AM$5:$AM$404,$AC699),อัตราค่าขนส่ง!$R$5:$R$14,0)),"รวมกลุ่ม "&amp;INDEX($AM$5:$AM$404,$AC699)),INDEX($AY$5:$AY$404,$AC699))))))</f>
        <v/>
      </c>
      <c r="B699" s="31">
        <f>IF($AD699&lt;&gt;"D","",INDEX($AW$5:$AW$404,$AC699))</f>
        <v/>
      </c>
      <c r="C699" s="68">
        <f>IF($AD699&lt;&gt;"D","",INDEX($AX$5:$AX$404,$AC699))</f>
        <v/>
      </c>
      <c r="D699" s="70">
        <f>IF($AD699&lt;&gt;"D","",INDEX($BA$5:$BA$404,$AC699))</f>
        <v/>
      </c>
      <c r="E699" s="31">
        <f>IF($AD699="Z",SUM($AR$5:$AR$404),IF($AD699="D",INDEX($AR$5:$AR$404,$AC699),IF($AD699="T",SUMIF($X$5:$X$404,$AF699,$AR$5:$AR$404),IF($AD699="B",SUMIF($AN$5:$AN$404,$AQ699,$AR$5:$AR$404),""))))</f>
        <v/>
      </c>
      <c r="F699" s="32">
        <f>IF($AD699="Z",ROUND(SUM($AS$5:$AS$404),2),IF($AD699="D",INDEX($AS$5:$AS$404,$AC699),IF($AD699="T",ROUND(SUMIF($X$5:$X$404,$AF699,$AS$5:$AS$404),2),IF($AD699="B",ROUND(SUMIF($AN$5:$AN$404,$AQ699,$AS$5:$AS$404),2),""))))</f>
        <v/>
      </c>
      <c r="G699" s="32">
        <f>IF($AD699&lt;&gt;"D","",INDEX($AT$5:$AT$404,$AC699))</f>
        <v/>
      </c>
      <c r="H699" s="32">
        <f>IF($AD699&lt;&gt;"D","",INDEX($BC$5:$BC$404,$AC699))</f>
        <v/>
      </c>
      <c r="I699" s="32">
        <f>IF($AD699&lt;&gt;"D","",INDEX($BD$5:$BD$404,$AC699))</f>
        <v/>
      </c>
      <c r="J699" s="46">
        <f>IF($AD699&lt;&gt;"D","",IF(N($B699)=0,"",ROUND($I699/$B699,4)))</f>
        <v/>
      </c>
      <c r="K699" s="32">
        <f>IF($AD699="Z",ROUND(SUM($AU$5:$AU$404),2),IF($AD699="D",INDEX($AU$5:$AU$404,$AC699),IF($AD699="T",ROUND(SUMIF($X$5:$X$404,$AF699,$AU$5:$AU$404),2),IF($AD699="B",ROUND(SUMIF($AN$5:$AN$404,$AQ699,$AU$5:$AU$404),2),""))))</f>
        <v/>
      </c>
      <c r="L699" s="32">
        <f>IF($AD699="Z",ROUND(SUM($AV$5:$AV$404),2),IF($AD699="D",INDEX($AV$5:$AV$404,$AC699),IF($AD699="T",ROUND(SUMIF($X$5:$X$404,$AF699,$AV$5:$AV$404),2),IF($AD699="B",ROUND(SUMIF($AN$5:$AN$404,$AQ699,$AV$5:$AV$404),2),""))))</f>
        <v/>
      </c>
      <c r="M699" s="32">
        <f>IF($AD699="Z",ROUND(SUM($AJ$5:$AJ$704),2),IF($AD699="B",ROUND(SUMIF($AQ$5:$AQ$704,$AQ699,$AJ$5:$AJ$704),2),IF($AD699&lt;&gt;"T","",$AJ699)))</f>
        <v/>
      </c>
      <c r="N699" s="32">
        <f>IF(OR($AD699="D",$AD699="T",$AD699="B",$AD699="Z"),ROUND(N($K699)-N($L699)-N($M699),2),"")</f>
        <v/>
      </c>
      <c r="O699" s="32">
        <f>IF(OR($AD699="D",$AD699="T",$AD699="B",$AD699="Z"),IF(N($E699)=0,"",ROUND($F699/$E699,2)),"")</f>
        <v/>
      </c>
      <c r="AC699">
        <f>IFERROR(MATCH(695,$AB$5:$AB$404,1),"")</f>
        <v/>
      </c>
      <c r="AD699">
        <f>IF(695=$AI$1+1,"Z",IF($AC699="","",IF(INDEX($V$5:$V$404,$AC699)="","",IF(695&gt;INDEX($AB$5:$AB$404,$AC699)+INDEX($Z$5:$Z$404,$AC699)+INDEX($AA$5:$AA$404,$AC699)+INDEX($AO$5:$AO$404,$AC699),"",IF(695=INDEX($AB$5:$AB$404,$AC699)+INDEX($Z$5:$Z$404,$AC699),"D",IF(AND(INDEX($Z$5:$Z$404,$AC699)=1,695=INDEX($AB$5:$AB$404,$AC699)),"H",IF(AND(INDEX($AO$5:$AO$404,$AC699)=1,695=INDEX($AB$5:$AB$404,$AC699)+INDEX($Z$5:$Z$404,$AC699)+INDEX($AA$5:$AA$404,$AC699)+INDEX($AO$5:$AO$404,$AC699)),"B","T")))))))</f>
        <v/>
      </c>
      <c r="AF699">
        <f>IF(OR($AD699="",$AD699="Z",$AD699="B"),"",INDEX($X$5:$X$404,$AC699))</f>
        <v/>
      </c>
      <c r="AJ699">
        <f>IF($AD699&lt;&gt;"T",0,ROUND(SUMIF(oil!$B$4:$B$63,$AF699,oil!$AE$4:$AE$63),2))</f>
        <v/>
      </c>
      <c r="AQ699">
        <f>IF(OR($AD699="",$AD699="Z"),"",INDEX($AN$5:$AN$404,$AC699))</f>
        <v/>
      </c>
      <c r="AZ699">
        <f>IF(AND($AD699="T",$AQ699=1),N($AZ698)+1,N($AZ698))</f>
        <v/>
      </c>
    </row>
    <row r="700" ht="21" customHeight="1" s="66">
      <c r="A700" s="69">
        <f>IF($AD700="","",IF($AD700="Z","รวมจ่ายทั้งสิ้น",IF($AD700="H",INDEX($X$5:$X$404,$AC700),IF($AD700="T","รวม",IF($AD700="B",IFERROR(INDEX(อัตราค่าขนส่ง!$S$5:$S$14,MATCH(INDEX($AM$5:$AM$404,$AC700),อัตราค่าขนส่ง!$R$5:$R$14,0)),"รวมกลุ่ม "&amp;INDEX($AM$5:$AM$404,$AC700)),INDEX($AY$5:$AY$404,$AC700))))))</f>
        <v/>
      </c>
      <c r="B700" s="31">
        <f>IF($AD700&lt;&gt;"D","",INDEX($AW$5:$AW$404,$AC700))</f>
        <v/>
      </c>
      <c r="C700" s="68">
        <f>IF($AD700&lt;&gt;"D","",INDEX($AX$5:$AX$404,$AC700))</f>
        <v/>
      </c>
      <c r="D700" s="70">
        <f>IF($AD700&lt;&gt;"D","",INDEX($BA$5:$BA$404,$AC700))</f>
        <v/>
      </c>
      <c r="E700" s="31">
        <f>IF($AD700="Z",SUM($AR$5:$AR$404),IF($AD700="D",INDEX($AR$5:$AR$404,$AC700),IF($AD700="T",SUMIF($X$5:$X$404,$AF700,$AR$5:$AR$404),IF($AD700="B",SUMIF($AN$5:$AN$404,$AQ700,$AR$5:$AR$404),""))))</f>
        <v/>
      </c>
      <c r="F700" s="32">
        <f>IF($AD700="Z",ROUND(SUM($AS$5:$AS$404),2),IF($AD700="D",INDEX($AS$5:$AS$404,$AC700),IF($AD700="T",ROUND(SUMIF($X$5:$X$404,$AF700,$AS$5:$AS$404),2),IF($AD700="B",ROUND(SUMIF($AN$5:$AN$404,$AQ700,$AS$5:$AS$404),2),""))))</f>
        <v/>
      </c>
      <c r="G700" s="32">
        <f>IF($AD700&lt;&gt;"D","",INDEX($AT$5:$AT$404,$AC700))</f>
        <v/>
      </c>
      <c r="H700" s="32">
        <f>IF($AD700&lt;&gt;"D","",INDEX($BC$5:$BC$404,$AC700))</f>
        <v/>
      </c>
      <c r="I700" s="32">
        <f>IF($AD700&lt;&gt;"D","",INDEX($BD$5:$BD$404,$AC700))</f>
        <v/>
      </c>
      <c r="J700" s="46">
        <f>IF($AD700&lt;&gt;"D","",IF(N($B700)=0,"",ROUND($I700/$B700,4)))</f>
        <v/>
      </c>
      <c r="K700" s="32">
        <f>IF($AD700="Z",ROUND(SUM($AU$5:$AU$404),2),IF($AD700="D",INDEX($AU$5:$AU$404,$AC700),IF($AD700="T",ROUND(SUMIF($X$5:$X$404,$AF700,$AU$5:$AU$404),2),IF($AD700="B",ROUND(SUMIF($AN$5:$AN$404,$AQ700,$AU$5:$AU$404),2),""))))</f>
        <v/>
      </c>
      <c r="L700" s="32">
        <f>IF($AD700="Z",ROUND(SUM($AV$5:$AV$404),2),IF($AD700="D",INDEX($AV$5:$AV$404,$AC700),IF($AD700="T",ROUND(SUMIF($X$5:$X$404,$AF700,$AV$5:$AV$404),2),IF($AD700="B",ROUND(SUMIF($AN$5:$AN$404,$AQ700,$AV$5:$AV$404),2),""))))</f>
        <v/>
      </c>
      <c r="M700" s="32">
        <f>IF($AD700="Z",ROUND(SUM($AJ$5:$AJ$704),2),IF($AD700="B",ROUND(SUMIF($AQ$5:$AQ$704,$AQ700,$AJ$5:$AJ$704),2),IF($AD700&lt;&gt;"T","",$AJ700)))</f>
        <v/>
      </c>
      <c r="N700" s="32">
        <f>IF(OR($AD700="D",$AD700="T",$AD700="B",$AD700="Z"),ROUND(N($K700)-N($L700)-N($M700),2),"")</f>
        <v/>
      </c>
      <c r="O700" s="32">
        <f>IF(OR($AD700="D",$AD700="T",$AD700="B",$AD700="Z"),IF(N($E700)=0,"",ROUND($F700/$E700,2)),"")</f>
        <v/>
      </c>
      <c r="AC700">
        <f>IFERROR(MATCH(696,$AB$5:$AB$404,1),"")</f>
        <v/>
      </c>
      <c r="AD700">
        <f>IF(696=$AI$1+1,"Z",IF($AC700="","",IF(INDEX($V$5:$V$404,$AC700)="","",IF(696&gt;INDEX($AB$5:$AB$404,$AC700)+INDEX($Z$5:$Z$404,$AC700)+INDEX($AA$5:$AA$404,$AC700)+INDEX($AO$5:$AO$404,$AC700),"",IF(696=INDEX($AB$5:$AB$404,$AC700)+INDEX($Z$5:$Z$404,$AC700),"D",IF(AND(INDEX($Z$5:$Z$404,$AC700)=1,696=INDEX($AB$5:$AB$404,$AC700)),"H",IF(AND(INDEX($AO$5:$AO$404,$AC700)=1,696=INDEX($AB$5:$AB$404,$AC700)+INDEX($Z$5:$Z$404,$AC700)+INDEX($AA$5:$AA$404,$AC700)+INDEX($AO$5:$AO$404,$AC700)),"B","T")))))))</f>
        <v/>
      </c>
      <c r="AF700">
        <f>IF(OR($AD700="",$AD700="Z",$AD700="B"),"",INDEX($X$5:$X$404,$AC700))</f>
        <v/>
      </c>
      <c r="AJ700">
        <f>IF($AD700&lt;&gt;"T",0,ROUND(SUMIF(oil!$B$4:$B$63,$AF700,oil!$AE$4:$AE$63),2))</f>
        <v/>
      </c>
      <c r="AQ700">
        <f>IF(OR($AD700="",$AD700="Z"),"",INDEX($AN$5:$AN$404,$AC700))</f>
        <v/>
      </c>
      <c r="AZ700">
        <f>IF(AND($AD700="T",$AQ700=1),N($AZ699)+1,N($AZ699))</f>
        <v/>
      </c>
    </row>
    <row r="701" ht="21" customHeight="1" s="66">
      <c r="A701" s="69">
        <f>IF($AD701="","",IF($AD701="Z","รวมจ่ายทั้งสิ้น",IF($AD701="H",INDEX($X$5:$X$404,$AC701),IF($AD701="T","รวม",IF($AD701="B",IFERROR(INDEX(อัตราค่าขนส่ง!$S$5:$S$14,MATCH(INDEX($AM$5:$AM$404,$AC701),อัตราค่าขนส่ง!$R$5:$R$14,0)),"รวมกลุ่ม "&amp;INDEX($AM$5:$AM$404,$AC701)),INDEX($AY$5:$AY$404,$AC701))))))</f>
        <v/>
      </c>
      <c r="B701" s="31">
        <f>IF($AD701&lt;&gt;"D","",INDEX($AW$5:$AW$404,$AC701))</f>
        <v/>
      </c>
      <c r="C701" s="68">
        <f>IF($AD701&lt;&gt;"D","",INDEX($AX$5:$AX$404,$AC701))</f>
        <v/>
      </c>
      <c r="D701" s="70">
        <f>IF($AD701&lt;&gt;"D","",INDEX($BA$5:$BA$404,$AC701))</f>
        <v/>
      </c>
      <c r="E701" s="31">
        <f>IF($AD701="Z",SUM($AR$5:$AR$404),IF($AD701="D",INDEX($AR$5:$AR$404,$AC701),IF($AD701="T",SUMIF($X$5:$X$404,$AF701,$AR$5:$AR$404),IF($AD701="B",SUMIF($AN$5:$AN$404,$AQ701,$AR$5:$AR$404),""))))</f>
        <v/>
      </c>
      <c r="F701" s="32">
        <f>IF($AD701="Z",ROUND(SUM($AS$5:$AS$404),2),IF($AD701="D",INDEX($AS$5:$AS$404,$AC701),IF($AD701="T",ROUND(SUMIF($X$5:$X$404,$AF701,$AS$5:$AS$404),2),IF($AD701="B",ROUND(SUMIF($AN$5:$AN$404,$AQ701,$AS$5:$AS$404),2),""))))</f>
        <v/>
      </c>
      <c r="G701" s="32">
        <f>IF($AD701&lt;&gt;"D","",INDEX($AT$5:$AT$404,$AC701))</f>
        <v/>
      </c>
      <c r="H701" s="32">
        <f>IF($AD701&lt;&gt;"D","",INDEX($BC$5:$BC$404,$AC701))</f>
        <v/>
      </c>
      <c r="I701" s="32">
        <f>IF($AD701&lt;&gt;"D","",INDEX($BD$5:$BD$404,$AC701))</f>
        <v/>
      </c>
      <c r="J701" s="46">
        <f>IF($AD701&lt;&gt;"D","",IF(N($B701)=0,"",ROUND($I701/$B701,4)))</f>
        <v/>
      </c>
      <c r="K701" s="32">
        <f>IF($AD701="Z",ROUND(SUM($AU$5:$AU$404),2),IF($AD701="D",INDEX($AU$5:$AU$404,$AC701),IF($AD701="T",ROUND(SUMIF($X$5:$X$404,$AF701,$AU$5:$AU$404),2),IF($AD701="B",ROUND(SUMIF($AN$5:$AN$404,$AQ701,$AU$5:$AU$404),2),""))))</f>
        <v/>
      </c>
      <c r="L701" s="32">
        <f>IF($AD701="Z",ROUND(SUM($AV$5:$AV$404),2),IF($AD701="D",INDEX($AV$5:$AV$404,$AC701),IF($AD701="T",ROUND(SUMIF($X$5:$X$404,$AF701,$AV$5:$AV$404),2),IF($AD701="B",ROUND(SUMIF($AN$5:$AN$404,$AQ701,$AV$5:$AV$404),2),""))))</f>
        <v/>
      </c>
      <c r="M701" s="32">
        <f>IF($AD701="Z",ROUND(SUM($AJ$5:$AJ$704),2),IF($AD701="B",ROUND(SUMIF($AQ$5:$AQ$704,$AQ701,$AJ$5:$AJ$704),2),IF($AD701&lt;&gt;"T","",$AJ701)))</f>
        <v/>
      </c>
      <c r="N701" s="32">
        <f>IF(OR($AD701="D",$AD701="T",$AD701="B",$AD701="Z"),ROUND(N($K701)-N($L701)-N($M701),2),"")</f>
        <v/>
      </c>
      <c r="O701" s="32">
        <f>IF(OR($AD701="D",$AD701="T",$AD701="B",$AD701="Z"),IF(N($E701)=0,"",ROUND($F701/$E701,2)),"")</f>
        <v/>
      </c>
      <c r="AC701">
        <f>IFERROR(MATCH(697,$AB$5:$AB$404,1),"")</f>
        <v/>
      </c>
      <c r="AD701">
        <f>IF(697=$AI$1+1,"Z",IF($AC701="","",IF(INDEX($V$5:$V$404,$AC701)="","",IF(697&gt;INDEX($AB$5:$AB$404,$AC701)+INDEX($Z$5:$Z$404,$AC701)+INDEX($AA$5:$AA$404,$AC701)+INDEX($AO$5:$AO$404,$AC701),"",IF(697=INDEX($AB$5:$AB$404,$AC701)+INDEX($Z$5:$Z$404,$AC701),"D",IF(AND(INDEX($Z$5:$Z$404,$AC701)=1,697=INDEX($AB$5:$AB$404,$AC701)),"H",IF(AND(INDEX($AO$5:$AO$404,$AC701)=1,697=INDEX($AB$5:$AB$404,$AC701)+INDEX($Z$5:$Z$404,$AC701)+INDEX($AA$5:$AA$404,$AC701)+INDEX($AO$5:$AO$404,$AC701)),"B","T")))))))</f>
        <v/>
      </c>
      <c r="AF701">
        <f>IF(OR($AD701="",$AD701="Z",$AD701="B"),"",INDEX($X$5:$X$404,$AC701))</f>
        <v/>
      </c>
      <c r="AJ701">
        <f>IF($AD701&lt;&gt;"T",0,ROUND(SUMIF(oil!$B$4:$B$63,$AF701,oil!$AE$4:$AE$63),2))</f>
        <v/>
      </c>
      <c r="AQ701">
        <f>IF(OR($AD701="",$AD701="Z"),"",INDEX($AN$5:$AN$404,$AC701))</f>
        <v/>
      </c>
      <c r="AZ701">
        <f>IF(AND($AD701="T",$AQ701=1),N($AZ700)+1,N($AZ700))</f>
        <v/>
      </c>
    </row>
    <row r="702" ht="21" customHeight="1" s="66">
      <c r="A702" s="69">
        <f>IF($AD702="","",IF($AD702="Z","รวมจ่ายทั้งสิ้น",IF($AD702="H",INDEX($X$5:$X$404,$AC702),IF($AD702="T","รวม",IF($AD702="B",IFERROR(INDEX(อัตราค่าขนส่ง!$S$5:$S$14,MATCH(INDEX($AM$5:$AM$404,$AC702),อัตราค่าขนส่ง!$R$5:$R$14,0)),"รวมกลุ่ม "&amp;INDEX($AM$5:$AM$404,$AC702)),INDEX($AY$5:$AY$404,$AC702))))))</f>
        <v/>
      </c>
      <c r="B702" s="31">
        <f>IF($AD702&lt;&gt;"D","",INDEX($AW$5:$AW$404,$AC702))</f>
        <v/>
      </c>
      <c r="C702" s="68">
        <f>IF($AD702&lt;&gt;"D","",INDEX($AX$5:$AX$404,$AC702))</f>
        <v/>
      </c>
      <c r="D702" s="70">
        <f>IF($AD702&lt;&gt;"D","",INDEX($BA$5:$BA$404,$AC702))</f>
        <v/>
      </c>
      <c r="E702" s="31">
        <f>IF($AD702="Z",SUM($AR$5:$AR$404),IF($AD702="D",INDEX($AR$5:$AR$404,$AC702),IF($AD702="T",SUMIF($X$5:$X$404,$AF702,$AR$5:$AR$404),IF($AD702="B",SUMIF($AN$5:$AN$404,$AQ702,$AR$5:$AR$404),""))))</f>
        <v/>
      </c>
      <c r="F702" s="32">
        <f>IF($AD702="Z",ROUND(SUM($AS$5:$AS$404),2),IF($AD702="D",INDEX($AS$5:$AS$404,$AC702),IF($AD702="T",ROUND(SUMIF($X$5:$X$404,$AF702,$AS$5:$AS$404),2),IF($AD702="B",ROUND(SUMIF($AN$5:$AN$404,$AQ702,$AS$5:$AS$404),2),""))))</f>
        <v/>
      </c>
      <c r="G702" s="32">
        <f>IF($AD702&lt;&gt;"D","",INDEX($AT$5:$AT$404,$AC702))</f>
        <v/>
      </c>
      <c r="H702" s="32">
        <f>IF($AD702&lt;&gt;"D","",INDEX($BC$5:$BC$404,$AC702))</f>
        <v/>
      </c>
      <c r="I702" s="32">
        <f>IF($AD702&lt;&gt;"D","",INDEX($BD$5:$BD$404,$AC702))</f>
        <v/>
      </c>
      <c r="J702" s="46">
        <f>IF($AD702&lt;&gt;"D","",IF(N($B702)=0,"",ROUND($I702/$B702,4)))</f>
        <v/>
      </c>
      <c r="K702" s="32">
        <f>IF($AD702="Z",ROUND(SUM($AU$5:$AU$404),2),IF($AD702="D",INDEX($AU$5:$AU$404,$AC702),IF($AD702="T",ROUND(SUMIF($X$5:$X$404,$AF702,$AU$5:$AU$404),2),IF($AD702="B",ROUND(SUMIF($AN$5:$AN$404,$AQ702,$AU$5:$AU$404),2),""))))</f>
        <v/>
      </c>
      <c r="L702" s="32">
        <f>IF($AD702="Z",ROUND(SUM($AV$5:$AV$404),2),IF($AD702="D",INDEX($AV$5:$AV$404,$AC702),IF($AD702="T",ROUND(SUMIF($X$5:$X$404,$AF702,$AV$5:$AV$404),2),IF($AD702="B",ROUND(SUMIF($AN$5:$AN$404,$AQ702,$AV$5:$AV$404),2),""))))</f>
        <v/>
      </c>
      <c r="M702" s="32">
        <f>IF($AD702="Z",ROUND(SUM($AJ$5:$AJ$704),2),IF($AD702="B",ROUND(SUMIF($AQ$5:$AQ$704,$AQ702,$AJ$5:$AJ$704),2),IF($AD702&lt;&gt;"T","",$AJ702)))</f>
        <v/>
      </c>
      <c r="N702" s="32">
        <f>IF(OR($AD702="D",$AD702="T",$AD702="B",$AD702="Z"),ROUND(N($K702)-N($L702)-N($M702),2),"")</f>
        <v/>
      </c>
      <c r="O702" s="32">
        <f>IF(OR($AD702="D",$AD702="T",$AD702="B",$AD702="Z"),IF(N($E702)=0,"",ROUND($F702/$E702,2)),"")</f>
        <v/>
      </c>
      <c r="AC702">
        <f>IFERROR(MATCH(698,$AB$5:$AB$404,1),"")</f>
        <v/>
      </c>
      <c r="AD702">
        <f>IF(698=$AI$1+1,"Z",IF($AC702="","",IF(INDEX($V$5:$V$404,$AC702)="","",IF(698&gt;INDEX($AB$5:$AB$404,$AC702)+INDEX($Z$5:$Z$404,$AC702)+INDEX($AA$5:$AA$404,$AC702)+INDEX($AO$5:$AO$404,$AC702),"",IF(698=INDEX($AB$5:$AB$404,$AC702)+INDEX($Z$5:$Z$404,$AC702),"D",IF(AND(INDEX($Z$5:$Z$404,$AC702)=1,698=INDEX($AB$5:$AB$404,$AC702)),"H",IF(AND(INDEX($AO$5:$AO$404,$AC702)=1,698=INDEX($AB$5:$AB$404,$AC702)+INDEX($Z$5:$Z$404,$AC702)+INDEX($AA$5:$AA$404,$AC702)+INDEX($AO$5:$AO$404,$AC702)),"B","T")))))))</f>
        <v/>
      </c>
      <c r="AF702">
        <f>IF(OR($AD702="",$AD702="Z",$AD702="B"),"",INDEX($X$5:$X$404,$AC702))</f>
        <v/>
      </c>
      <c r="AJ702">
        <f>IF($AD702&lt;&gt;"T",0,ROUND(SUMIF(oil!$B$4:$B$63,$AF702,oil!$AE$4:$AE$63),2))</f>
        <v/>
      </c>
      <c r="AQ702">
        <f>IF(OR($AD702="",$AD702="Z"),"",INDEX($AN$5:$AN$404,$AC702))</f>
        <v/>
      </c>
      <c r="AZ702">
        <f>IF(AND($AD702="T",$AQ702=1),N($AZ701)+1,N($AZ701))</f>
        <v/>
      </c>
    </row>
    <row r="703" ht="21" customHeight="1" s="66">
      <c r="A703" s="69">
        <f>IF($AD703="","",IF($AD703="Z","รวมจ่ายทั้งสิ้น",IF($AD703="H",INDEX($X$5:$X$404,$AC703),IF($AD703="T","รวม",IF($AD703="B",IFERROR(INDEX(อัตราค่าขนส่ง!$S$5:$S$14,MATCH(INDEX($AM$5:$AM$404,$AC703),อัตราค่าขนส่ง!$R$5:$R$14,0)),"รวมกลุ่ม "&amp;INDEX($AM$5:$AM$404,$AC703)),INDEX($AY$5:$AY$404,$AC703))))))</f>
        <v/>
      </c>
      <c r="B703" s="31">
        <f>IF($AD703&lt;&gt;"D","",INDEX($AW$5:$AW$404,$AC703))</f>
        <v/>
      </c>
      <c r="C703" s="68">
        <f>IF($AD703&lt;&gt;"D","",INDEX($AX$5:$AX$404,$AC703))</f>
        <v/>
      </c>
      <c r="D703" s="70">
        <f>IF($AD703&lt;&gt;"D","",INDEX($BA$5:$BA$404,$AC703))</f>
        <v/>
      </c>
      <c r="E703" s="31">
        <f>IF($AD703="Z",SUM($AR$5:$AR$404),IF($AD703="D",INDEX($AR$5:$AR$404,$AC703),IF($AD703="T",SUMIF($X$5:$X$404,$AF703,$AR$5:$AR$404),IF($AD703="B",SUMIF($AN$5:$AN$404,$AQ703,$AR$5:$AR$404),""))))</f>
        <v/>
      </c>
      <c r="F703" s="32">
        <f>IF($AD703="Z",ROUND(SUM($AS$5:$AS$404),2),IF($AD703="D",INDEX($AS$5:$AS$404,$AC703),IF($AD703="T",ROUND(SUMIF($X$5:$X$404,$AF703,$AS$5:$AS$404),2),IF($AD703="B",ROUND(SUMIF($AN$5:$AN$404,$AQ703,$AS$5:$AS$404),2),""))))</f>
        <v/>
      </c>
      <c r="G703" s="32">
        <f>IF($AD703&lt;&gt;"D","",INDEX($AT$5:$AT$404,$AC703))</f>
        <v/>
      </c>
      <c r="H703" s="32">
        <f>IF($AD703&lt;&gt;"D","",INDEX($BC$5:$BC$404,$AC703))</f>
        <v/>
      </c>
      <c r="I703" s="32">
        <f>IF($AD703&lt;&gt;"D","",INDEX($BD$5:$BD$404,$AC703))</f>
        <v/>
      </c>
      <c r="J703" s="46">
        <f>IF($AD703&lt;&gt;"D","",IF(N($B703)=0,"",ROUND($I703/$B703,4)))</f>
        <v/>
      </c>
      <c r="K703" s="32">
        <f>IF($AD703="Z",ROUND(SUM($AU$5:$AU$404),2),IF($AD703="D",INDEX($AU$5:$AU$404,$AC703),IF($AD703="T",ROUND(SUMIF($X$5:$X$404,$AF703,$AU$5:$AU$404),2),IF($AD703="B",ROUND(SUMIF($AN$5:$AN$404,$AQ703,$AU$5:$AU$404),2),""))))</f>
        <v/>
      </c>
      <c r="L703" s="32">
        <f>IF($AD703="Z",ROUND(SUM($AV$5:$AV$404),2),IF($AD703="D",INDEX($AV$5:$AV$404,$AC703),IF($AD703="T",ROUND(SUMIF($X$5:$X$404,$AF703,$AV$5:$AV$404),2),IF($AD703="B",ROUND(SUMIF($AN$5:$AN$404,$AQ703,$AV$5:$AV$404),2),""))))</f>
        <v/>
      </c>
      <c r="M703" s="32">
        <f>IF($AD703="Z",ROUND(SUM($AJ$5:$AJ$704),2),IF($AD703="B",ROUND(SUMIF($AQ$5:$AQ$704,$AQ703,$AJ$5:$AJ$704),2),IF($AD703&lt;&gt;"T","",$AJ703)))</f>
        <v/>
      </c>
      <c r="N703" s="32">
        <f>IF(OR($AD703="D",$AD703="T",$AD703="B",$AD703="Z"),ROUND(N($K703)-N($L703)-N($M703),2),"")</f>
        <v/>
      </c>
      <c r="O703" s="32">
        <f>IF(OR($AD703="D",$AD703="T",$AD703="B",$AD703="Z"),IF(N($E703)=0,"",ROUND($F703/$E703,2)),"")</f>
        <v/>
      </c>
      <c r="AC703">
        <f>IFERROR(MATCH(699,$AB$5:$AB$404,1),"")</f>
        <v/>
      </c>
      <c r="AD703">
        <f>IF(699=$AI$1+1,"Z",IF($AC703="","",IF(INDEX($V$5:$V$404,$AC703)="","",IF(699&gt;INDEX($AB$5:$AB$404,$AC703)+INDEX($Z$5:$Z$404,$AC703)+INDEX($AA$5:$AA$404,$AC703)+INDEX($AO$5:$AO$404,$AC703),"",IF(699=INDEX($AB$5:$AB$404,$AC703)+INDEX($Z$5:$Z$404,$AC703),"D",IF(AND(INDEX($Z$5:$Z$404,$AC703)=1,699=INDEX($AB$5:$AB$404,$AC703)),"H",IF(AND(INDEX($AO$5:$AO$404,$AC703)=1,699=INDEX($AB$5:$AB$404,$AC703)+INDEX($Z$5:$Z$404,$AC703)+INDEX($AA$5:$AA$404,$AC703)+INDEX($AO$5:$AO$404,$AC703)),"B","T")))))))</f>
        <v/>
      </c>
      <c r="AF703">
        <f>IF(OR($AD703="",$AD703="Z",$AD703="B"),"",INDEX($X$5:$X$404,$AC703))</f>
        <v/>
      </c>
      <c r="AJ703">
        <f>IF($AD703&lt;&gt;"T",0,ROUND(SUMIF(oil!$B$4:$B$63,$AF703,oil!$AE$4:$AE$63),2))</f>
        <v/>
      </c>
      <c r="AQ703">
        <f>IF(OR($AD703="",$AD703="Z"),"",INDEX($AN$5:$AN$404,$AC703))</f>
        <v/>
      </c>
      <c r="AZ703">
        <f>IF(AND($AD703="T",$AQ703=1),N($AZ702)+1,N($AZ702))</f>
        <v/>
      </c>
    </row>
    <row r="704" ht="21" customHeight="1" s="66">
      <c r="A704" s="69">
        <f>IF($AD704="","",IF($AD704="Z","รวมจ่ายทั้งสิ้น",IF($AD704="H",INDEX($X$5:$X$404,$AC704),IF($AD704="T","รวม",IF($AD704="B",IFERROR(INDEX(อัตราค่าขนส่ง!$S$5:$S$14,MATCH(INDEX($AM$5:$AM$404,$AC704),อัตราค่าขนส่ง!$R$5:$R$14,0)),"รวมกลุ่ม "&amp;INDEX($AM$5:$AM$404,$AC704)),INDEX($AY$5:$AY$404,$AC704))))))</f>
        <v/>
      </c>
      <c r="B704" s="31">
        <f>IF($AD704&lt;&gt;"D","",INDEX($AW$5:$AW$404,$AC704))</f>
        <v/>
      </c>
      <c r="C704" s="68">
        <f>IF($AD704&lt;&gt;"D","",INDEX($AX$5:$AX$404,$AC704))</f>
        <v/>
      </c>
      <c r="D704" s="70">
        <f>IF($AD704&lt;&gt;"D","",INDEX($BA$5:$BA$404,$AC704))</f>
        <v/>
      </c>
      <c r="E704" s="31">
        <f>IF($AD704="Z",SUM($AR$5:$AR$404),IF($AD704="D",INDEX($AR$5:$AR$404,$AC704),IF($AD704="T",SUMIF($X$5:$X$404,$AF704,$AR$5:$AR$404),IF($AD704="B",SUMIF($AN$5:$AN$404,$AQ704,$AR$5:$AR$404),""))))</f>
        <v/>
      </c>
      <c r="F704" s="32">
        <f>IF($AD704="Z",ROUND(SUM($AS$5:$AS$404),2),IF($AD704="D",INDEX($AS$5:$AS$404,$AC704),IF($AD704="T",ROUND(SUMIF($X$5:$X$404,$AF704,$AS$5:$AS$404),2),IF($AD704="B",ROUND(SUMIF($AN$5:$AN$404,$AQ704,$AS$5:$AS$404),2),""))))</f>
        <v/>
      </c>
      <c r="G704" s="32">
        <f>IF($AD704&lt;&gt;"D","",INDEX($AT$5:$AT$404,$AC704))</f>
        <v/>
      </c>
      <c r="H704" s="32">
        <f>IF($AD704&lt;&gt;"D","",INDEX($BC$5:$BC$404,$AC704))</f>
        <v/>
      </c>
      <c r="I704" s="32">
        <f>IF($AD704&lt;&gt;"D","",INDEX($BD$5:$BD$404,$AC704))</f>
        <v/>
      </c>
      <c r="J704" s="46">
        <f>IF($AD704&lt;&gt;"D","",IF(N($B704)=0,"",ROUND($I704/$B704,4)))</f>
        <v/>
      </c>
      <c r="K704" s="32">
        <f>IF($AD704="Z",ROUND(SUM($AU$5:$AU$404),2),IF($AD704="D",INDEX($AU$5:$AU$404,$AC704),IF($AD704="T",ROUND(SUMIF($X$5:$X$404,$AF704,$AU$5:$AU$404),2),IF($AD704="B",ROUND(SUMIF($AN$5:$AN$404,$AQ704,$AU$5:$AU$404),2),""))))</f>
        <v/>
      </c>
      <c r="L704" s="32">
        <f>IF($AD704="Z",ROUND(SUM($AV$5:$AV$404),2),IF($AD704="D",INDEX($AV$5:$AV$404,$AC704),IF($AD704="T",ROUND(SUMIF($X$5:$X$404,$AF704,$AV$5:$AV$404),2),IF($AD704="B",ROUND(SUMIF($AN$5:$AN$404,$AQ704,$AV$5:$AV$404),2),""))))</f>
        <v/>
      </c>
      <c r="M704" s="32">
        <f>IF($AD704="Z",ROUND(SUM($AJ$5:$AJ$704),2),IF($AD704="B",ROUND(SUMIF($AQ$5:$AQ$704,$AQ704,$AJ$5:$AJ$704),2),IF($AD704&lt;&gt;"T","",$AJ704)))</f>
        <v/>
      </c>
      <c r="N704" s="32">
        <f>IF(OR($AD704="D",$AD704="T",$AD704="B",$AD704="Z"),ROUND(N($K704)-N($L704)-N($M704),2),"")</f>
        <v/>
      </c>
      <c r="O704" s="32">
        <f>IF(OR($AD704="D",$AD704="T",$AD704="B",$AD704="Z"),IF(N($E704)=0,"",ROUND($F704/$E704,2)),"")</f>
        <v/>
      </c>
      <c r="AC704">
        <f>IFERROR(MATCH(700,$AB$5:$AB$404,1),"")</f>
        <v/>
      </c>
      <c r="AD704">
        <f>IF(700=$AI$1+1,"Z",IF($AC704="","",IF(INDEX($V$5:$V$404,$AC704)="","",IF(700&gt;INDEX($AB$5:$AB$404,$AC704)+INDEX($Z$5:$Z$404,$AC704)+INDEX($AA$5:$AA$404,$AC704)+INDEX($AO$5:$AO$404,$AC704),"",IF(700=INDEX($AB$5:$AB$404,$AC704)+INDEX($Z$5:$Z$404,$AC704),"D",IF(AND(INDEX($Z$5:$Z$404,$AC704)=1,700=INDEX($AB$5:$AB$404,$AC704)),"H",IF(AND(INDEX($AO$5:$AO$404,$AC704)=1,700=INDEX($AB$5:$AB$404,$AC704)+INDEX($Z$5:$Z$404,$AC704)+INDEX($AA$5:$AA$404,$AC704)+INDEX($AO$5:$AO$404,$AC704)),"B","T")))))))</f>
        <v/>
      </c>
      <c r="AF704">
        <f>IF(OR($AD704="",$AD704="Z",$AD704="B"),"",INDEX($X$5:$X$404,$AC704))</f>
        <v/>
      </c>
      <c r="AJ704">
        <f>IF($AD704&lt;&gt;"T",0,ROUND(SUMIF(oil!$B$4:$B$63,$AF704,oil!$AE$4:$AE$63),2))</f>
        <v/>
      </c>
      <c r="AQ704">
        <f>IF(OR($AD704="",$AD704="Z"),"",INDEX($AN$5:$AN$404,$AC704))</f>
        <v/>
      </c>
      <c r="AZ704">
        <f>IF(AND($AD704="T",$AQ704=1),N($AZ703)+1,N($AZ703))</f>
        <v/>
      </c>
    </row>
  </sheetData>
  <mergeCells count="6">
    <mergeCell ref="A2:A4"/>
    <mergeCell ref="C3:C4"/>
    <mergeCell ref="K2:K4"/>
    <mergeCell ref="A1:O1"/>
    <mergeCell ref="N2:N4"/>
    <mergeCell ref="D3:D4"/>
  </mergeCells>
  <conditionalFormatting sqref="A5:O704">
    <cfRule type="expression" priority="1" dxfId="3">
      <formula>$AA5="Z"</formula>
    </cfRule>
    <cfRule type="expression" priority="2" dxfId="3">
      <formula>$AA5="B"</formula>
    </cfRule>
    <cfRule type="expression" priority="3" dxfId="2">
      <formula>$AA5="H"</formula>
    </cfRule>
    <cfRule type="expression" priority="4" dxfId="1">
      <formula>$AA5="T"</formula>
    </cfRule>
    <cfRule type="expression" priority="5" dxfId="0">
      <formula>$AA5&lt;&gt;""</formula>
    </cfRule>
  </conditionalFormatting>
  <pageMargins left="0.75" right="0.75" top="1" bottom="1" header="0.5" footer="0.5"/>
  <pageSetup orientation="landscape" paperSize="9" fitToHeight="0"/>
</worksheet>
</file>

<file path=xl/worksheets/sheet6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A1:W204"/>
  <sheetViews>
    <sheetView tabSelected="1" workbookViewId="0">
      <selection activeCell="D7" sqref="D7"/>
    </sheetView>
  </sheetViews>
  <sheetFormatPr baseColWidth="8" defaultRowHeight="14.25"/>
  <cols>
    <col width="34" customWidth="1" style="66" min="1" max="1"/>
    <col width="16" customWidth="1" style="66" min="2" max="2"/>
    <col width="26" customWidth="1" style="66" min="3" max="4"/>
    <col width="22" customWidth="1" style="66" min="5" max="5"/>
    <col width="12" customWidth="1" style="66" min="6" max="6"/>
    <col width="17" customWidth="1" style="66" min="7" max="7"/>
    <col width="16" customWidth="1" style="66" min="8" max="8"/>
    <col width="15" customWidth="1" style="66" min="9" max="9"/>
    <col width="28" customWidth="1" style="66" min="10" max="10"/>
    <col width="15" customWidth="1" style="66" min="11" max="11"/>
    <col width="17" customWidth="1" style="66" min="12" max="12"/>
    <col hidden="1" width="13" customWidth="1" style="66" min="13" max="13"/>
    <col width="34" customWidth="1" style="66" min="15" max="15"/>
    <col width="16" customWidth="1" style="66" min="16" max="16"/>
    <col width="16" customWidth="1" style="66" min="18" max="18"/>
    <col width="34" customWidth="1" style="66" min="19" max="19"/>
    <col width="18" customWidth="1" style="66" min="20" max="20"/>
    <col width="16" customWidth="1" style="66" min="21" max="21"/>
    <col width="18" customWidth="1" style="66" min="22" max="22"/>
    <col width="13" customWidth="1" style="66" min="23" max="23"/>
  </cols>
  <sheetData>
    <row r="1" ht="25.9" customHeight="1" s="66">
      <c r="A1" s="1" t="inlineStr">
        <is>
          <t>ตารางอัตราค่าขนส่ง (ฝ่ายบัญชีกรอก)</t>
        </is>
      </c>
    </row>
    <row r="2" ht="19.5" customHeight="1" s="66">
      <c r="A2" s="2" t="inlineStr">
        <is>
          <t>ตารางนี้กรอกครั้งเดียวพอ — เดือนต่อไปไม่ต้องกรอกใหม่ ระบบจำไว้ให้ | ถ้าอัตราเปลี่ยน หรือกรอกผิด แก้ทับช่องเดิมได้เลย หน้าสรุปจะคิดใหม่ให้ทันที | มีเส้นทางใหม่ ค่อยเพิ่มแถวต่อท้าย</t>
        </is>
      </c>
    </row>
    <row r="3" ht="19.9" customHeight="1" s="66">
      <c r="A3" s="48" t="inlineStr">
        <is>
          <t>1 แถว = 1 ชุดราคา คือ ทีมรถร่วม + เหมืองต้นทาง + ท่าปลายทาง + แบก นน. + ชนิดหิน | ทั้ง 5 ช่องนี้ต้องตรงกับที่กรอกในหน้าบันทึกรายเที่ยวทุกช่อง ไม่งั้นหาอัตราไม่เจอ ขึ้นเป็น 0 | ทีมเดียวกัน เส้นทางเดียวกัน หินเดียวกัน แต่คนละประเภทแบก นน. = คนละแถว เพราะคนละราคา</t>
        </is>
      </c>
      <c r="H3" t="inlineStr">
        <is>
          <t>แสดงผลเท่านั้น ถ้าจะแก้ราคาฐาน ให้แก้ที่ V (ขอบล่าง) และ T (ขอบบน)</t>
        </is>
      </c>
      <c r="O3" s="3" t="inlineStr">
        <is>
          <t>ทีมที่จ่ายแยกก้อน (ไม่ใส่ = กลุ่มปกติ)</t>
        </is>
      </c>
      <c r="R3" s="3" t="inlineStr">
        <is>
          <t>ข้อความบนแถวรวมของแต่ละก้อน (แก้ได้)</t>
        </is>
      </c>
      <c r="T3" t="inlineStr">
        <is>
          <t>ระบบเติมให้ตอน export ไม่ต้องกรอกเอง</t>
        </is>
      </c>
      <c r="U3" t="inlineStr">
        <is>
          <t>สูตร : อยู่ในช่วง V ถึง T = 0, ต่ำกว่า V = ติดลบ, สูงกว่า T = เป็นบวก</t>
        </is>
      </c>
    </row>
    <row r="4" ht="48" customHeight="1" s="66">
      <c r="A4" s="60" t="inlineStr">
        <is>
          <t>ทีมรถร่วม</t>
        </is>
      </c>
      <c r="B4" s="60" t="inlineStr">
        <is>
          <t>เหมืองต้นทาง</t>
        </is>
      </c>
      <c r="C4" s="60" t="inlineStr">
        <is>
          <t>ท่าปลายทาง</t>
        </is>
      </c>
      <c r="D4" s="60" t="inlineStr">
        <is>
          <t>แบก นน.</t>
        </is>
      </c>
      <c r="E4" s="60" t="inlineStr">
        <is>
          <t>ชนิดแร่/หิน</t>
        </is>
      </c>
      <c r="F4" s="60" t="inlineStr">
        <is>
          <t>ระยะทาง (กม.)</t>
        </is>
      </c>
      <c r="G4" s="60" t="inlineStr">
        <is>
          <t>อัตราค่าขนส่ง
ตามสัญญา (บาท/ตัน)</t>
        </is>
      </c>
      <c r="H4" s="76" t="inlineStr">
        <is>
          <t>ราคาน้ำมันฐาน
(บาท/ลิตร)</t>
        </is>
      </c>
      <c r="I4" s="60" t="inlineStr">
        <is>
          <t>ราคาน้ำมันเฉลี่ย
(บาท/ลิตร)</t>
        </is>
      </c>
      <c r="J4" s="60" t="inlineStr">
        <is>
          <t>ปรับค่าขนส่ง
(บาท/ตัน ต่อน้ำมัน 1 บาท/ลิตร)</t>
        </is>
      </c>
      <c r="K4" s="60" t="inlineStr">
        <is>
          <t>ส่วนปรับน้ำมัน
(บาท/ตัน)</t>
        </is>
      </c>
      <c r="L4" s="60" t="inlineStr">
        <is>
          <t>อัตราสุทธิ
ที่ใช้จริง (บาท/ตัน)</t>
        </is>
      </c>
      <c r="O4" s="60" t="inlineStr">
        <is>
          <t>ทีมรถร่วม</t>
        </is>
      </c>
      <c r="P4" s="60" t="inlineStr">
        <is>
          <t>กลุ่มจ่าย</t>
        </is>
      </c>
      <c r="R4" s="60" t="inlineStr">
        <is>
          <t>กลุ่มจ่าย</t>
        </is>
      </c>
      <c r="S4" s="60" t="inlineStr">
        <is>
          <t>ข้อความแถวรวม</t>
        </is>
      </c>
      <c r="T4" s="75" t="inlineStr">
        <is>
          <t>ราคาน้ำมันฐาน
ขอบบน (บาท/ลิตร)</t>
        </is>
      </c>
      <c r="U4" s="75" t="inlineStr">
        <is>
          <t>ส่วนต่างที่ใช้คิด
(บาท/ลิตร)</t>
        </is>
      </c>
      <c r="V4" s="75" t="inlineStr">
        <is>
          <t>ราคาน้ำมันฐาน
ขอบล่าง (บาท/ลิตร)</t>
        </is>
      </c>
      <c r="W4" s="77" t="n"/>
    </row>
    <row r="5" ht="21" customHeight="1" s="66">
      <c r="A5" s="57" t="inlineStr">
        <is>
          <t>หจก.กิจบุญแก้ว</t>
        </is>
      </c>
      <c r="B5" s="57" t="inlineStr">
        <is>
          <t>กงตาก1</t>
        </is>
      </c>
      <c r="C5" s="57" t="inlineStr">
        <is>
          <t>โชคพนาพอร์ท</t>
        </is>
      </c>
      <c r="D5" s="57" t="inlineStr">
        <is>
          <t>แบก นน.</t>
        </is>
      </c>
      <c r="E5" s="57" t="inlineStr">
        <is>
          <t>แอนไฮไดรต์ 2 นิ้ว</t>
        </is>
      </c>
      <c r="F5" s="49" t="n">
        <v>42</v>
      </c>
      <c r="G5" s="49" t="n">
        <v>118</v>
      </c>
      <c r="H5" s="49" t="n">
        <v>30</v>
      </c>
      <c r="I5" s="49" t="n">
        <v>32.5</v>
      </c>
      <c r="J5" s="49" t="n">
        <v>2</v>
      </c>
      <c r="K5" s="50">
        <f>IF(OR($V5="",$I5="",$J5="",$U5=""),0,ROUND($U5*$J5,2))</f>
        <v/>
      </c>
      <c r="L5" s="50">
        <f>IF($G5="","",ROUND(N($G5)+N($K5),2))</f>
        <v/>
      </c>
      <c r="M5">
        <f>IF(OR($A5="",$B5="",$C5="",$D5="",$E5=""),"",$A5&amp;"|"&amp;$B5&amp;" - "&amp;$C5&amp;"("&amp;$D5&amp;")"&amp;"|"&amp;$E5)</f>
        <v/>
      </c>
      <c r="O5" s="4" t="inlineStr">
        <is>
          <t>บจก.ร้อยเกาะขนส่ง (2000)</t>
        </is>
      </c>
      <c r="P5" s="4" t="inlineStr">
        <is>
          <t>ร้อยเกาะ</t>
        </is>
      </c>
      <c r="R5" s="4" t="inlineStr">
        <is>
          <t>ปกติ</t>
        </is>
      </c>
      <c r="S5" s="4" t="inlineStr">
        <is>
          <t>รวมรถร่วม เครดิตปกติ</t>
        </is>
      </c>
      <c r="U5">
        <f>IF(OR($V5="",$I5=""),"",IF($I5&lt;$V5,$I5-$V5,IF($I5&gt;IF($T5="",$V5,$T5),$I5-IF($T5="",$V5,$T5),0)))</f>
        <v/>
      </c>
    </row>
    <row r="6" ht="21" customHeight="1" s="66">
      <c r="A6" s="57" t="n"/>
      <c r="B6" s="57" t="n"/>
      <c r="C6" s="57" t="n"/>
      <c r="D6" s="57" t="n"/>
      <c r="E6" s="57" t="n"/>
      <c r="F6" s="49" t="n"/>
      <c r="G6" s="49" t="n"/>
      <c r="H6" s="49" t="n"/>
      <c r="I6" s="49" t="n"/>
      <c r="J6" s="49" t="n"/>
      <c r="K6" s="50">
        <f>IF(OR($V6="",$I6="",$J6="",$U6=""),0,ROUND($U6*$J6,2))</f>
        <v/>
      </c>
      <c r="L6" s="50">
        <f>IF($G6="","",ROUND(N($G6)+N($K6),2))</f>
        <v/>
      </c>
      <c r="M6">
        <f>IF(OR($A6="",$B6="",$C6="",$D6="",$E6=""),"",$A6&amp;"|"&amp;$B6&amp;" - "&amp;$C6&amp;"("&amp;$D6&amp;")"&amp;"|"&amp;$E6)</f>
        <v/>
      </c>
      <c r="O6" s="4" t="n"/>
      <c r="P6" s="4" t="n"/>
      <c r="R6" s="4" t="inlineStr">
        <is>
          <t>ร้อยเกาะ</t>
        </is>
      </c>
      <c r="S6" s="4" t="inlineStr">
        <is>
          <t>รวมจ่ายรถร้อยเกาะ</t>
        </is>
      </c>
      <c r="U6">
        <f>IF(OR($V6="",$I6=""),"",IF($I6&lt;$V6,$I6-$V6,IF($I6&gt;IF($T6="",$V6,$T6),$I6-IF($T6="",$V6,$T6),0)))</f>
        <v/>
      </c>
    </row>
    <row r="7" ht="21" customHeight="1" s="66">
      <c r="A7" s="57" t="n"/>
      <c r="B7" s="57" t="n"/>
      <c r="C7" s="57" t="n"/>
      <c r="D7" s="57" t="n"/>
      <c r="E7" s="57" t="n"/>
      <c r="F7" s="49" t="n"/>
      <c r="G7" s="49" t="n"/>
      <c r="H7" s="49" t="n"/>
      <c r="I7" s="49" t="n"/>
      <c r="J7" s="49" t="n"/>
      <c r="K7" s="50">
        <f>IF(OR($V7="",$I7="",$J7="",$U7=""),0,ROUND($U7*$J7,2))</f>
        <v/>
      </c>
      <c r="L7" s="50">
        <f>IF($G7="","",ROUND(N($G7)+N($K7),2))</f>
        <v/>
      </c>
      <c r="M7">
        <f>IF(OR($A7="",$B7="",$C7="",$D7="",$E7=""),"",$A7&amp;"|"&amp;$B7&amp;" - "&amp;$C7&amp;"("&amp;$D7&amp;")"&amp;"|"&amp;$E7)</f>
        <v/>
      </c>
      <c r="O7" s="4" t="n"/>
      <c r="P7" s="4" t="n"/>
      <c r="R7" s="4" t="n"/>
      <c r="S7" s="4" t="n"/>
      <c r="U7">
        <f>IF(OR($V7="",$I7=""),"",IF($I7&lt;$V7,$I7-$V7,IF($I7&gt;IF($T7="",$V7,$T7),$I7-IF($T7="",$V7,$T7),0)))</f>
        <v/>
      </c>
    </row>
    <row r="8" ht="21" customHeight="1" s="66">
      <c r="A8" s="57" t="n"/>
      <c r="B8" s="57" t="n"/>
      <c r="C8" s="57" t="n"/>
      <c r="D8" s="57" t="n"/>
      <c r="E8" s="57" t="n"/>
      <c r="F8" s="49" t="n"/>
      <c r="G8" s="49" t="n"/>
      <c r="H8" s="49" t="n"/>
      <c r="I8" s="49" t="n"/>
      <c r="J8" s="49" t="n"/>
      <c r="K8" s="50">
        <f>IF(OR($V8="",$I8="",$J8="",$U8=""),0,ROUND($U8*$J8,2))</f>
        <v/>
      </c>
      <c r="L8" s="50">
        <f>IF($G8="","",ROUND(N($G8)+N($K8),2))</f>
        <v/>
      </c>
      <c r="M8">
        <f>IF(OR($A8="",$B8="",$C8="",$D8="",$E8=""),"",$A8&amp;"|"&amp;$B8&amp;" - "&amp;$C8&amp;"("&amp;$D8&amp;")"&amp;"|"&amp;$E8)</f>
        <v/>
      </c>
      <c r="O8" s="4" t="n"/>
      <c r="P8" s="4" t="n"/>
      <c r="R8" s="4" t="n"/>
      <c r="S8" s="4" t="n"/>
      <c r="U8">
        <f>IF(OR($V8="",$I8=""),"",IF($I8&lt;$V8,$I8-$V8,IF($I8&gt;IF($T8="",$V8,$T8),$I8-IF($T8="",$V8,$T8),0)))</f>
        <v/>
      </c>
    </row>
    <row r="9" ht="21" customHeight="1" s="66">
      <c r="A9" s="57" t="n"/>
      <c r="B9" s="57" t="n"/>
      <c r="C9" s="57" t="n"/>
      <c r="D9" s="57" t="n"/>
      <c r="E9" s="57" t="n"/>
      <c r="F9" s="49" t="n"/>
      <c r="G9" s="49" t="n"/>
      <c r="H9" s="49" t="n"/>
      <c r="I9" s="49" t="n"/>
      <c r="J9" s="49" t="n"/>
      <c r="K9" s="50">
        <f>IF(OR($V9="",$I9="",$J9="",$U9=""),0,ROUND($U9*$J9,2))</f>
        <v/>
      </c>
      <c r="L9" s="50">
        <f>IF($G9="","",ROUND(N($G9)+N($K9),2))</f>
        <v/>
      </c>
      <c r="M9">
        <f>IF(OR($A9="",$B9="",$C9="",$D9="",$E9=""),"",$A9&amp;"|"&amp;$B9&amp;" - "&amp;$C9&amp;"("&amp;$D9&amp;")"&amp;"|"&amp;$E9)</f>
        <v/>
      </c>
      <c r="O9" s="4" t="n"/>
      <c r="P9" s="4" t="n"/>
      <c r="R9" s="4" t="n"/>
      <c r="S9" s="4" t="n"/>
      <c r="U9">
        <f>IF(OR($V9="",$I9=""),"",IF($I9&lt;$V9,$I9-$V9,IF($I9&gt;IF($T9="",$V9,$T9),$I9-IF($T9="",$V9,$T9),0)))</f>
        <v/>
      </c>
    </row>
    <row r="10" ht="21" customHeight="1" s="66">
      <c r="A10" s="57" t="n"/>
      <c r="B10" s="57" t="n"/>
      <c r="C10" s="57" t="n"/>
      <c r="D10" s="57" t="n"/>
      <c r="E10" s="57" t="n"/>
      <c r="F10" s="49" t="n"/>
      <c r="G10" s="49" t="n"/>
      <c r="H10" s="49" t="n"/>
      <c r="I10" s="49" t="n"/>
      <c r="J10" s="49" t="n"/>
      <c r="K10" s="50">
        <f>IF(OR($V10="",$I10="",$J10="",$U10=""),0,ROUND($U10*$J10,2))</f>
        <v/>
      </c>
      <c r="L10" s="50">
        <f>IF($G10="","",ROUND(N($G10)+N($K10),2))</f>
        <v/>
      </c>
      <c r="M10">
        <f>IF(OR($A10="",$B10="",$C10="",$D10="",$E10=""),"",$A10&amp;"|"&amp;$B10&amp;" - "&amp;$C10&amp;"("&amp;$D10&amp;")"&amp;"|"&amp;$E10)</f>
        <v/>
      </c>
      <c r="O10" s="4" t="n"/>
      <c r="P10" s="4" t="n"/>
      <c r="R10" s="4" t="n"/>
      <c r="S10" s="4" t="n"/>
      <c r="U10">
        <f>IF(OR($V10="",$I10=""),"",IF($I10&lt;$V10,$I10-$V10,IF($I10&gt;IF($T10="",$V10,$T10),$I10-IF($T10="",$V10,$T10),0)))</f>
        <v/>
      </c>
    </row>
    <row r="11" ht="21" customHeight="1" s="66">
      <c r="A11" s="57" t="n"/>
      <c r="B11" s="57" t="n"/>
      <c r="C11" s="57" t="n"/>
      <c r="D11" s="57" t="n"/>
      <c r="E11" s="57" t="n"/>
      <c r="F11" s="49" t="n"/>
      <c r="G11" s="49" t="n"/>
      <c r="H11" s="49" t="n"/>
      <c r="I11" s="49" t="n"/>
      <c r="J11" s="49" t="n"/>
      <c r="K11" s="50">
        <f>IF(OR($V11="",$I11="",$J11="",$U11=""),0,ROUND($U11*$J11,2))</f>
        <v/>
      </c>
      <c r="L11" s="50">
        <f>IF($G11="","",ROUND(N($G11)+N($K11),2))</f>
        <v/>
      </c>
      <c r="M11">
        <f>IF(OR($A11="",$B11="",$C11="",$D11="",$E11=""),"",$A11&amp;"|"&amp;$B11&amp;" - "&amp;$C11&amp;"("&amp;$D11&amp;")"&amp;"|"&amp;$E11)</f>
        <v/>
      </c>
      <c r="O11" s="4" t="n"/>
      <c r="P11" s="4" t="n"/>
      <c r="R11" s="4" t="n"/>
      <c r="S11" s="4" t="n"/>
      <c r="U11">
        <f>IF(OR($V11="",$I11=""),"",IF($I11&lt;$V11,$I11-$V11,IF($I11&gt;IF($T11="",$V11,$T11),$I11-IF($T11="",$V11,$T11),0)))</f>
        <v/>
      </c>
    </row>
    <row r="12" ht="21" customHeight="1" s="66">
      <c r="A12" s="57" t="n"/>
      <c r="B12" s="57" t="n"/>
      <c r="C12" s="57" t="n"/>
      <c r="D12" s="57" t="n"/>
      <c r="E12" s="57" t="n"/>
      <c r="F12" s="49" t="n"/>
      <c r="G12" s="49" t="n"/>
      <c r="H12" s="49" t="n"/>
      <c r="I12" s="49" t="n"/>
      <c r="J12" s="49" t="n"/>
      <c r="K12" s="50">
        <f>IF(OR($V12="",$I12="",$J12="",$U12=""),0,ROUND($U12*$J12,2))</f>
        <v/>
      </c>
      <c r="L12" s="50">
        <f>IF($G12="","",ROUND(N($G12)+N($K12),2))</f>
        <v/>
      </c>
      <c r="M12">
        <f>IF(OR($A12="",$B12="",$C12="",$D12="",$E12=""),"",$A12&amp;"|"&amp;$B12&amp;" - "&amp;$C12&amp;"("&amp;$D12&amp;")"&amp;"|"&amp;$E12)</f>
        <v/>
      </c>
      <c r="O12" s="4" t="n"/>
      <c r="P12" s="4" t="n"/>
      <c r="R12" s="4" t="n"/>
      <c r="S12" s="4" t="n"/>
      <c r="U12">
        <f>IF(OR($V12="",$I12=""),"",IF($I12&lt;$V12,$I12-$V12,IF($I12&gt;IF($T12="",$V12,$T12),$I12-IF($T12="",$V12,$T12),0)))</f>
        <v/>
      </c>
    </row>
    <row r="13" ht="21" customHeight="1" s="66">
      <c r="A13" s="57" t="n"/>
      <c r="B13" s="57" t="n"/>
      <c r="C13" s="57" t="n"/>
      <c r="D13" s="57" t="n"/>
      <c r="E13" s="57" t="n"/>
      <c r="F13" s="49" t="n"/>
      <c r="G13" s="49" t="n"/>
      <c r="H13" s="49" t="n"/>
      <c r="I13" s="49" t="n"/>
      <c r="J13" s="49" t="n"/>
      <c r="K13" s="50">
        <f>IF(OR($V13="",$I13="",$J13="",$U13=""),0,ROUND($U13*$J13,2))</f>
        <v/>
      </c>
      <c r="L13" s="50">
        <f>IF($G13="","",ROUND(N($G13)+N($K13),2))</f>
        <v/>
      </c>
      <c r="M13">
        <f>IF(OR($A13="",$B13="",$C13="",$D13="",$E13=""),"",$A13&amp;"|"&amp;$B13&amp;" - "&amp;$C13&amp;"("&amp;$D13&amp;")"&amp;"|"&amp;$E13)</f>
        <v/>
      </c>
      <c r="O13" s="4" t="n"/>
      <c r="P13" s="4" t="n"/>
      <c r="R13" s="4" t="n"/>
      <c r="S13" s="4" t="n"/>
      <c r="U13">
        <f>IF(OR($V13="",$I13=""),"",IF($I13&lt;$V13,$I13-$V13,IF($I13&gt;IF($T13="",$V13,$T13),$I13-IF($T13="",$V13,$T13),0)))</f>
        <v/>
      </c>
    </row>
    <row r="14" ht="21" customHeight="1" s="66">
      <c r="A14" s="57" t="n"/>
      <c r="B14" s="57" t="n"/>
      <c r="C14" s="57" t="n"/>
      <c r="D14" s="57" t="n"/>
      <c r="E14" s="57" t="n"/>
      <c r="F14" s="49" t="n"/>
      <c r="G14" s="49" t="n"/>
      <c r="H14" s="49" t="n"/>
      <c r="I14" s="49" t="n"/>
      <c r="J14" s="49" t="n"/>
      <c r="K14" s="50">
        <f>IF(OR($V14="",$I14="",$J14="",$U14=""),0,ROUND($U14*$J14,2))</f>
        <v/>
      </c>
      <c r="L14" s="50">
        <f>IF($G14="","",ROUND(N($G14)+N($K14),2))</f>
        <v/>
      </c>
      <c r="M14">
        <f>IF(OR($A14="",$B14="",$C14="",$D14="",$E14=""),"",$A14&amp;"|"&amp;$B14&amp;" - "&amp;$C14&amp;"("&amp;$D14&amp;")"&amp;"|"&amp;$E14)</f>
        <v/>
      </c>
      <c r="O14" s="4" t="n"/>
      <c r="P14" s="4" t="n"/>
      <c r="R14" s="4" t="n"/>
      <c r="S14" s="4" t="n"/>
      <c r="U14">
        <f>IF(OR($V14="",$I14=""),"",IF($I14&lt;$V14,$I14-$V14,IF($I14&gt;IF($T14="",$V14,$T14),$I14-IF($T14="",$V14,$T14),0)))</f>
        <v/>
      </c>
    </row>
    <row r="15" ht="21" customHeight="1" s="66">
      <c r="A15" s="57" t="n"/>
      <c r="B15" s="57" t="n"/>
      <c r="C15" s="57" t="n"/>
      <c r="D15" s="57" t="n"/>
      <c r="E15" s="57" t="n"/>
      <c r="F15" s="49" t="n"/>
      <c r="G15" s="49" t="n"/>
      <c r="H15" s="49" t="n"/>
      <c r="I15" s="49" t="n"/>
      <c r="J15" s="49" t="n"/>
      <c r="K15" s="50">
        <f>IF(OR($V15="",$I15="",$J15="",$U15=""),0,ROUND($U15*$J15,2))</f>
        <v/>
      </c>
      <c r="L15" s="50">
        <f>IF($G15="","",ROUND(N($G15)+N($K15),2))</f>
        <v/>
      </c>
      <c r="M15">
        <f>IF(OR($A15="",$B15="",$C15="",$D15="",$E15=""),"",$A15&amp;"|"&amp;$B15&amp;" - "&amp;$C15&amp;"("&amp;$D15&amp;")"&amp;"|"&amp;$E15)</f>
        <v/>
      </c>
      <c r="O15" s="4" t="n"/>
      <c r="P15" s="4" t="n"/>
      <c r="U15">
        <f>IF(OR($V15="",$I15=""),"",IF($I15&lt;$V15,$I15-$V15,IF($I15&gt;IF($T15="",$V15,$T15),$I15-IF($T15="",$V15,$T15),0)))</f>
        <v/>
      </c>
    </row>
    <row r="16" ht="21" customHeight="1" s="66">
      <c r="A16" s="57" t="n"/>
      <c r="B16" s="57" t="n"/>
      <c r="C16" s="57" t="n"/>
      <c r="D16" s="57" t="n"/>
      <c r="E16" s="57" t="n"/>
      <c r="F16" s="49" t="n"/>
      <c r="G16" s="49" t="n"/>
      <c r="H16" s="49" t="n"/>
      <c r="I16" s="49" t="n"/>
      <c r="J16" s="49" t="n"/>
      <c r="K16" s="50">
        <f>IF(OR($V16="",$I16="",$J16="",$U16=""),0,ROUND($U16*$J16,2))</f>
        <v/>
      </c>
      <c r="L16" s="50">
        <f>IF($G16="","",ROUND(N($G16)+N($K16),2))</f>
        <v/>
      </c>
      <c r="M16">
        <f>IF(OR($A16="",$B16="",$C16="",$D16="",$E16=""),"",$A16&amp;"|"&amp;$B16&amp;" - "&amp;$C16&amp;"("&amp;$D16&amp;")"&amp;"|"&amp;$E16)</f>
        <v/>
      </c>
      <c r="O16" s="4" t="n"/>
      <c r="P16" s="4" t="n"/>
      <c r="U16">
        <f>IF(OR($V16="",$I16=""),"",IF($I16&lt;$V16,$I16-$V16,IF($I16&gt;IF($T16="",$V16,$T16),$I16-IF($T16="",$V16,$T16),0)))</f>
        <v/>
      </c>
    </row>
    <row r="17" ht="21" customHeight="1" s="66">
      <c r="A17" s="57" t="n"/>
      <c r="B17" s="57" t="n"/>
      <c r="C17" s="57" t="n"/>
      <c r="D17" s="57" t="n"/>
      <c r="E17" s="57" t="n"/>
      <c r="F17" s="49" t="n"/>
      <c r="G17" s="49" t="n"/>
      <c r="H17" s="49" t="n"/>
      <c r="I17" s="49" t="n"/>
      <c r="J17" s="49" t="n"/>
      <c r="K17" s="50">
        <f>IF(OR($V17="",$I17="",$J17="",$U17=""),0,ROUND($U17*$J17,2))</f>
        <v/>
      </c>
      <c r="L17" s="50">
        <f>IF($G17="","",ROUND(N($G17)+N($K17),2))</f>
        <v/>
      </c>
      <c r="M17">
        <f>IF(OR($A17="",$B17="",$C17="",$D17="",$E17=""),"",$A17&amp;"|"&amp;$B17&amp;" - "&amp;$C17&amp;"("&amp;$D17&amp;")"&amp;"|"&amp;$E17)</f>
        <v/>
      </c>
      <c r="O17" s="4" t="n"/>
      <c r="P17" s="4" t="n"/>
      <c r="U17">
        <f>IF(OR($V17="",$I17=""),"",IF($I17&lt;$V17,$I17-$V17,IF($I17&gt;IF($T17="",$V17,$T17),$I17-IF($T17="",$V17,$T17),0)))</f>
        <v/>
      </c>
    </row>
    <row r="18" ht="21" customHeight="1" s="66">
      <c r="A18" s="57" t="n"/>
      <c r="B18" s="57" t="n"/>
      <c r="C18" s="57" t="n"/>
      <c r="D18" s="57" t="n"/>
      <c r="E18" s="57" t="n"/>
      <c r="F18" s="49" t="n"/>
      <c r="G18" s="49" t="n"/>
      <c r="H18" s="49" t="n"/>
      <c r="I18" s="49" t="n"/>
      <c r="J18" s="49" t="n"/>
      <c r="K18" s="50">
        <f>IF(OR($V18="",$I18="",$J18="",$U18=""),0,ROUND($U18*$J18,2))</f>
        <v/>
      </c>
      <c r="L18" s="50">
        <f>IF($G18="","",ROUND(N($G18)+N($K18),2))</f>
        <v/>
      </c>
      <c r="M18">
        <f>IF(OR($A18="",$B18="",$C18="",$D18="",$E18=""),"",$A18&amp;"|"&amp;$B18&amp;" - "&amp;$C18&amp;"("&amp;$D18&amp;")"&amp;"|"&amp;$E18)</f>
        <v/>
      </c>
      <c r="O18" s="4" t="n"/>
      <c r="P18" s="4" t="n"/>
      <c r="U18">
        <f>IF(OR($V18="",$I18=""),"",IF($I18&lt;$V18,$I18-$V18,IF($I18&gt;IF($T18="",$V18,$T18),$I18-IF($T18="",$V18,$T18),0)))</f>
        <v/>
      </c>
    </row>
    <row r="19" ht="21" customHeight="1" s="66">
      <c r="A19" s="57" t="n"/>
      <c r="B19" s="57" t="n"/>
      <c r="C19" s="57" t="n"/>
      <c r="D19" s="57" t="n"/>
      <c r="E19" s="57" t="n"/>
      <c r="F19" s="49" t="n"/>
      <c r="G19" s="49" t="n"/>
      <c r="H19" s="49" t="n"/>
      <c r="I19" s="49" t="n"/>
      <c r="J19" s="49" t="n"/>
      <c r="K19" s="50">
        <f>IF(OR($V19="",$I19="",$J19="",$U19=""),0,ROUND($U19*$J19,2))</f>
        <v/>
      </c>
      <c r="L19" s="50">
        <f>IF($G19="","",ROUND(N($G19)+N($K19),2))</f>
        <v/>
      </c>
      <c r="M19">
        <f>IF(OR($A19="",$B19="",$C19="",$D19="",$E19=""),"",$A19&amp;"|"&amp;$B19&amp;" - "&amp;$C19&amp;"("&amp;$D19&amp;")"&amp;"|"&amp;$E19)</f>
        <v/>
      </c>
      <c r="O19" s="4" t="n"/>
      <c r="P19" s="4" t="n"/>
      <c r="U19">
        <f>IF(OR($V19="",$I19=""),"",IF($I19&lt;$V19,$I19-$V19,IF($I19&gt;IF($T19="",$V19,$T19),$I19-IF($T19="",$V19,$T19),0)))</f>
        <v/>
      </c>
    </row>
    <row r="20" ht="21" customHeight="1" s="66">
      <c r="A20" s="57" t="n"/>
      <c r="B20" s="57" t="n"/>
      <c r="C20" s="57" t="n"/>
      <c r="D20" s="57" t="n"/>
      <c r="E20" s="57" t="n"/>
      <c r="F20" s="49" t="n"/>
      <c r="G20" s="49" t="n"/>
      <c r="H20" s="49" t="n"/>
      <c r="I20" s="49" t="n"/>
      <c r="J20" s="49" t="n"/>
      <c r="K20" s="50">
        <f>IF(OR($V20="",$I20="",$J20="",$U20=""),0,ROUND($U20*$J20,2))</f>
        <v/>
      </c>
      <c r="L20" s="50">
        <f>IF($G20="","",ROUND(N($G20)+N($K20),2))</f>
        <v/>
      </c>
      <c r="M20">
        <f>IF(OR($A20="",$B20="",$C20="",$D20="",$E20=""),"",$A20&amp;"|"&amp;$B20&amp;" - "&amp;$C20&amp;"("&amp;$D20&amp;")"&amp;"|"&amp;$E20)</f>
        <v/>
      </c>
      <c r="O20" s="4" t="n"/>
      <c r="P20" s="4" t="n"/>
      <c r="U20">
        <f>IF(OR($V20="",$I20=""),"",IF($I20&lt;$V20,$I20-$V20,IF($I20&gt;IF($T20="",$V20,$T20),$I20-IF($T20="",$V20,$T20),0)))</f>
        <v/>
      </c>
    </row>
    <row r="21" ht="21" customHeight="1" s="66">
      <c r="A21" s="57" t="n"/>
      <c r="B21" s="57" t="n"/>
      <c r="C21" s="57" t="n"/>
      <c r="D21" s="57" t="n"/>
      <c r="E21" s="57" t="n"/>
      <c r="F21" s="49" t="n"/>
      <c r="G21" s="49" t="n"/>
      <c r="H21" s="49" t="n"/>
      <c r="I21" s="49" t="n"/>
      <c r="J21" s="49" t="n"/>
      <c r="K21" s="50">
        <f>IF(OR($V21="",$I21="",$J21="",$U21=""),0,ROUND($U21*$J21,2))</f>
        <v/>
      </c>
      <c r="L21" s="50">
        <f>IF($G21="","",ROUND(N($G21)+N($K21),2))</f>
        <v/>
      </c>
      <c r="M21">
        <f>IF(OR($A21="",$B21="",$C21="",$D21="",$E21=""),"",$A21&amp;"|"&amp;$B21&amp;" - "&amp;$C21&amp;"("&amp;$D21&amp;")"&amp;"|"&amp;$E21)</f>
        <v/>
      </c>
      <c r="O21" s="4" t="n"/>
      <c r="P21" s="4" t="n"/>
      <c r="U21">
        <f>IF(OR($V21="",$I21=""),"",IF($I21&lt;$V21,$I21-$V21,IF($I21&gt;IF($T21="",$V21,$T21),$I21-IF($T21="",$V21,$T21),0)))</f>
        <v/>
      </c>
    </row>
    <row r="22" ht="21" customHeight="1" s="66">
      <c r="A22" s="57" t="n"/>
      <c r="B22" s="57" t="n"/>
      <c r="C22" s="57" t="n"/>
      <c r="D22" s="57" t="n"/>
      <c r="E22" s="57" t="n"/>
      <c r="F22" s="49" t="n"/>
      <c r="G22" s="49" t="n"/>
      <c r="H22" s="49" t="n"/>
      <c r="I22" s="49" t="n"/>
      <c r="J22" s="49" t="n"/>
      <c r="K22" s="50">
        <f>IF(OR($V22="",$I22="",$J22="",$U22=""),0,ROUND($U22*$J22,2))</f>
        <v/>
      </c>
      <c r="L22" s="50">
        <f>IF($G22="","",ROUND(N($G22)+N($K22),2))</f>
        <v/>
      </c>
      <c r="M22">
        <f>IF(OR($A22="",$B22="",$C22="",$D22="",$E22=""),"",$A22&amp;"|"&amp;$B22&amp;" - "&amp;$C22&amp;"("&amp;$D22&amp;")"&amp;"|"&amp;$E22)</f>
        <v/>
      </c>
      <c r="O22" s="4" t="n"/>
      <c r="P22" s="4" t="n"/>
      <c r="U22">
        <f>IF(OR($V22="",$I22=""),"",IF($I22&lt;$V22,$I22-$V22,IF($I22&gt;IF($T22="",$V22,$T22),$I22-IF($T22="",$V22,$T22),0)))</f>
        <v/>
      </c>
    </row>
    <row r="23" ht="21" customHeight="1" s="66">
      <c r="A23" s="57" t="n"/>
      <c r="B23" s="57" t="n"/>
      <c r="C23" s="57" t="n"/>
      <c r="D23" s="57" t="n"/>
      <c r="E23" s="57" t="n"/>
      <c r="F23" s="49" t="n"/>
      <c r="G23" s="49" t="n"/>
      <c r="H23" s="49" t="n"/>
      <c r="I23" s="49" t="n"/>
      <c r="J23" s="49" t="n"/>
      <c r="K23" s="50">
        <f>IF(OR($V23="",$I23="",$J23="",$U23=""),0,ROUND($U23*$J23,2))</f>
        <v/>
      </c>
      <c r="L23" s="50">
        <f>IF($G23="","",ROUND(N($G23)+N($K23),2))</f>
        <v/>
      </c>
      <c r="M23">
        <f>IF(OR($A23="",$B23="",$C23="",$D23="",$E23=""),"",$A23&amp;"|"&amp;$B23&amp;" - "&amp;$C23&amp;"("&amp;$D23&amp;")"&amp;"|"&amp;$E23)</f>
        <v/>
      </c>
      <c r="O23" s="4" t="n"/>
      <c r="P23" s="4" t="n"/>
      <c r="U23">
        <f>IF(OR($V23="",$I23=""),"",IF($I23&lt;$V23,$I23-$V23,IF($I23&gt;IF($T23="",$V23,$T23),$I23-IF($T23="",$V23,$T23),0)))</f>
        <v/>
      </c>
    </row>
    <row r="24" ht="21" customHeight="1" s="66">
      <c r="A24" s="57" t="n"/>
      <c r="B24" s="57" t="n"/>
      <c r="C24" s="57" t="n"/>
      <c r="D24" s="57" t="n"/>
      <c r="E24" s="57" t="n"/>
      <c r="F24" s="49" t="n"/>
      <c r="G24" s="49" t="n"/>
      <c r="H24" s="49" t="n"/>
      <c r="I24" s="49" t="n"/>
      <c r="J24" s="49" t="n"/>
      <c r="K24" s="50">
        <f>IF(OR($V24="",$I24="",$J24="",$U24=""),0,ROUND($U24*$J24,2))</f>
        <v/>
      </c>
      <c r="L24" s="50">
        <f>IF($G24="","",ROUND(N($G24)+N($K24),2))</f>
        <v/>
      </c>
      <c r="M24">
        <f>IF(OR($A24="",$B24="",$C24="",$D24="",$E24=""),"",$A24&amp;"|"&amp;$B24&amp;" - "&amp;$C24&amp;"("&amp;$D24&amp;")"&amp;"|"&amp;$E24)</f>
        <v/>
      </c>
      <c r="O24" s="4" t="n"/>
      <c r="P24" s="4" t="n"/>
      <c r="U24">
        <f>IF(OR($V24="",$I24=""),"",IF($I24&lt;$V24,$I24-$V24,IF($I24&gt;IF($T24="",$V24,$T24),$I24-IF($T24="",$V24,$T24),0)))</f>
        <v/>
      </c>
    </row>
    <row r="25" ht="21" customHeight="1" s="66">
      <c r="A25" s="57" t="n"/>
      <c r="B25" s="57" t="n"/>
      <c r="C25" s="57" t="n"/>
      <c r="D25" s="57" t="n"/>
      <c r="E25" s="57" t="n"/>
      <c r="F25" s="49" t="n"/>
      <c r="G25" s="49" t="n"/>
      <c r="H25" s="49" t="n"/>
      <c r="I25" s="49" t="n"/>
      <c r="J25" s="49" t="n"/>
      <c r="K25" s="50">
        <f>IF(OR($V25="",$I25="",$J25="",$U25=""),0,ROUND($U25*$J25,2))</f>
        <v/>
      </c>
      <c r="L25" s="50">
        <f>IF($G25="","",ROUND(N($G25)+N($K25),2))</f>
        <v/>
      </c>
      <c r="M25">
        <f>IF(OR($A25="",$B25="",$C25="",$D25="",$E25=""),"",$A25&amp;"|"&amp;$B25&amp;" - "&amp;$C25&amp;"("&amp;$D25&amp;")"&amp;"|"&amp;$E25)</f>
        <v/>
      </c>
      <c r="O25" s="4" t="n"/>
      <c r="P25" s="4" t="n"/>
      <c r="U25">
        <f>IF(OR($V25="",$I25=""),"",IF($I25&lt;$V25,$I25-$V25,IF($I25&gt;IF($T25="",$V25,$T25),$I25-IF($T25="",$V25,$T25),0)))</f>
        <v/>
      </c>
    </row>
    <row r="26" ht="21" customHeight="1" s="66">
      <c r="A26" s="57" t="n"/>
      <c r="B26" s="57" t="n"/>
      <c r="C26" s="57" t="n"/>
      <c r="D26" s="57" t="n"/>
      <c r="E26" s="57" t="n"/>
      <c r="F26" s="49" t="n"/>
      <c r="G26" s="49" t="n"/>
      <c r="H26" s="49" t="n"/>
      <c r="I26" s="49" t="n"/>
      <c r="J26" s="49" t="n"/>
      <c r="K26" s="50">
        <f>IF(OR($V26="",$I26="",$J26="",$U26=""),0,ROUND($U26*$J26,2))</f>
        <v/>
      </c>
      <c r="L26" s="50">
        <f>IF($G26="","",ROUND(N($G26)+N($K26),2))</f>
        <v/>
      </c>
      <c r="M26">
        <f>IF(OR($A26="",$B26="",$C26="",$D26="",$E26=""),"",$A26&amp;"|"&amp;$B26&amp;" - "&amp;$C26&amp;"("&amp;$D26&amp;")"&amp;"|"&amp;$E26)</f>
        <v/>
      </c>
      <c r="O26" s="4" t="n"/>
      <c r="P26" s="4" t="n"/>
      <c r="U26">
        <f>IF(OR($V26="",$I26=""),"",IF($I26&lt;$V26,$I26-$V26,IF($I26&gt;IF($T26="",$V26,$T26),$I26-IF($T26="",$V26,$T26),0)))</f>
        <v/>
      </c>
    </row>
    <row r="27" ht="21" customHeight="1" s="66">
      <c r="A27" s="57" t="n"/>
      <c r="B27" s="57" t="n"/>
      <c r="C27" s="57" t="n"/>
      <c r="D27" s="57" t="n"/>
      <c r="E27" s="57" t="n"/>
      <c r="F27" s="49" t="n"/>
      <c r="G27" s="49" t="n"/>
      <c r="H27" s="49" t="n"/>
      <c r="I27" s="49" t="n"/>
      <c r="J27" s="49" t="n"/>
      <c r="K27" s="50">
        <f>IF(OR($V27="",$I27="",$J27="",$U27=""),0,ROUND($U27*$J27,2))</f>
        <v/>
      </c>
      <c r="L27" s="50">
        <f>IF($G27="","",ROUND(N($G27)+N($K27),2))</f>
        <v/>
      </c>
      <c r="M27">
        <f>IF(OR($A27="",$B27="",$C27="",$D27="",$E27=""),"",$A27&amp;"|"&amp;$B27&amp;" - "&amp;$C27&amp;"("&amp;$D27&amp;")"&amp;"|"&amp;$E27)</f>
        <v/>
      </c>
      <c r="O27" s="4" t="n"/>
      <c r="P27" s="4" t="n"/>
      <c r="U27">
        <f>IF(OR($V27="",$I27=""),"",IF($I27&lt;$V27,$I27-$V27,IF($I27&gt;IF($T27="",$V27,$T27),$I27-IF($T27="",$V27,$T27),0)))</f>
        <v/>
      </c>
    </row>
    <row r="28" ht="21" customHeight="1" s="66">
      <c r="A28" s="57" t="n"/>
      <c r="B28" s="57" t="n"/>
      <c r="C28" s="57" t="n"/>
      <c r="D28" s="57" t="n"/>
      <c r="E28" s="57" t="n"/>
      <c r="F28" s="49" t="n"/>
      <c r="G28" s="49" t="n"/>
      <c r="H28" s="49" t="n"/>
      <c r="I28" s="49" t="n"/>
      <c r="J28" s="49" t="n"/>
      <c r="K28" s="50">
        <f>IF(OR($V28="",$I28="",$J28="",$U28=""),0,ROUND($U28*$J28,2))</f>
        <v/>
      </c>
      <c r="L28" s="50">
        <f>IF($G28="","",ROUND(N($G28)+N($K28),2))</f>
        <v/>
      </c>
      <c r="M28">
        <f>IF(OR($A28="",$B28="",$C28="",$D28="",$E28=""),"",$A28&amp;"|"&amp;$B28&amp;" - "&amp;$C28&amp;"("&amp;$D28&amp;")"&amp;"|"&amp;$E28)</f>
        <v/>
      </c>
      <c r="O28" s="4" t="n"/>
      <c r="P28" s="4" t="n"/>
      <c r="U28">
        <f>IF(OR($V28="",$I28=""),"",IF($I28&lt;$V28,$I28-$V28,IF($I28&gt;IF($T28="",$V28,$T28),$I28-IF($T28="",$V28,$T28),0)))</f>
        <v/>
      </c>
    </row>
    <row r="29" ht="21" customHeight="1" s="66">
      <c r="A29" s="57" t="n"/>
      <c r="B29" s="57" t="n"/>
      <c r="C29" s="57" t="n"/>
      <c r="D29" s="57" t="n"/>
      <c r="E29" s="57" t="n"/>
      <c r="F29" s="49" t="n"/>
      <c r="G29" s="49" t="n"/>
      <c r="H29" s="49" t="n"/>
      <c r="I29" s="49" t="n"/>
      <c r="J29" s="49" t="n"/>
      <c r="K29" s="50">
        <f>IF(OR($V29="",$I29="",$J29="",$U29=""),0,ROUND($U29*$J29,2))</f>
        <v/>
      </c>
      <c r="L29" s="50">
        <f>IF($G29="","",ROUND(N($G29)+N($K29),2))</f>
        <v/>
      </c>
      <c r="M29">
        <f>IF(OR($A29="",$B29="",$C29="",$D29="",$E29=""),"",$A29&amp;"|"&amp;$B29&amp;" - "&amp;$C29&amp;"("&amp;$D29&amp;")"&amp;"|"&amp;$E29)</f>
        <v/>
      </c>
      <c r="O29" s="4" t="n"/>
      <c r="P29" s="4" t="n"/>
      <c r="U29">
        <f>IF(OR($V29="",$I29=""),"",IF($I29&lt;$V29,$I29-$V29,IF($I29&gt;IF($T29="",$V29,$T29),$I29-IF($T29="",$V29,$T29),0)))</f>
        <v/>
      </c>
    </row>
    <row r="30" ht="21" customHeight="1" s="66">
      <c r="A30" s="57" t="n"/>
      <c r="B30" s="57" t="n"/>
      <c r="C30" s="57" t="n"/>
      <c r="D30" s="57" t="n"/>
      <c r="E30" s="57" t="n"/>
      <c r="F30" s="49" t="n"/>
      <c r="G30" s="49" t="n"/>
      <c r="H30" s="49" t="n"/>
      <c r="I30" s="49" t="n"/>
      <c r="J30" s="49" t="n"/>
      <c r="K30" s="50">
        <f>IF(OR($V30="",$I30="",$J30="",$U30=""),0,ROUND($U30*$J30,2))</f>
        <v/>
      </c>
      <c r="L30" s="50">
        <f>IF($G30="","",ROUND(N($G30)+N($K30),2))</f>
        <v/>
      </c>
      <c r="M30">
        <f>IF(OR($A30="",$B30="",$C30="",$D30="",$E30=""),"",$A30&amp;"|"&amp;$B30&amp;" - "&amp;$C30&amp;"("&amp;$D30&amp;")"&amp;"|"&amp;$E30)</f>
        <v/>
      </c>
      <c r="O30" s="4" t="n"/>
      <c r="P30" s="4" t="n"/>
      <c r="U30">
        <f>IF(OR($V30="",$I30=""),"",IF($I30&lt;$V30,$I30-$V30,IF($I30&gt;IF($T30="",$V30,$T30),$I30-IF($T30="",$V30,$T30),0)))</f>
        <v/>
      </c>
    </row>
    <row r="31" ht="21" customHeight="1" s="66">
      <c r="A31" s="57" t="n"/>
      <c r="B31" s="57" t="n"/>
      <c r="C31" s="57" t="n"/>
      <c r="D31" s="57" t="n"/>
      <c r="E31" s="57" t="n"/>
      <c r="F31" s="49" t="n"/>
      <c r="G31" s="49" t="n"/>
      <c r="H31" s="49" t="n"/>
      <c r="I31" s="49" t="n"/>
      <c r="J31" s="49" t="n"/>
      <c r="K31" s="50">
        <f>IF(OR($V31="",$I31="",$J31="",$U31=""),0,ROUND($U31*$J31,2))</f>
        <v/>
      </c>
      <c r="L31" s="50">
        <f>IF($G31="","",ROUND(N($G31)+N($K31),2))</f>
        <v/>
      </c>
      <c r="M31">
        <f>IF(OR($A31="",$B31="",$C31="",$D31="",$E31=""),"",$A31&amp;"|"&amp;$B31&amp;" - "&amp;$C31&amp;"("&amp;$D31&amp;")"&amp;"|"&amp;$E31)</f>
        <v/>
      </c>
      <c r="O31" s="4" t="n"/>
      <c r="P31" s="4" t="n"/>
      <c r="U31">
        <f>IF(OR($V31="",$I31=""),"",IF($I31&lt;$V31,$I31-$V31,IF($I31&gt;IF($T31="",$V31,$T31),$I31-IF($T31="",$V31,$T31),0)))</f>
        <v/>
      </c>
    </row>
    <row r="32" ht="21" customHeight="1" s="66">
      <c r="A32" s="57" t="n"/>
      <c r="B32" s="57" t="n"/>
      <c r="C32" s="57" t="n"/>
      <c r="D32" s="57" t="n"/>
      <c r="E32" s="57" t="n"/>
      <c r="F32" s="49" t="n"/>
      <c r="G32" s="49" t="n"/>
      <c r="H32" s="49" t="n"/>
      <c r="I32" s="49" t="n"/>
      <c r="J32" s="49" t="n"/>
      <c r="K32" s="50">
        <f>IF(OR($V32="",$I32="",$J32="",$U32=""),0,ROUND($U32*$J32,2))</f>
        <v/>
      </c>
      <c r="L32" s="50">
        <f>IF($G32="","",ROUND(N($G32)+N($K32),2))</f>
        <v/>
      </c>
      <c r="M32">
        <f>IF(OR($A32="",$B32="",$C32="",$D32="",$E32=""),"",$A32&amp;"|"&amp;$B32&amp;" - "&amp;$C32&amp;"("&amp;$D32&amp;")"&amp;"|"&amp;$E32)</f>
        <v/>
      </c>
      <c r="O32" s="4" t="n"/>
      <c r="P32" s="4" t="n"/>
      <c r="U32">
        <f>IF(OR($V32="",$I32=""),"",IF($I32&lt;$V32,$I32-$V32,IF($I32&gt;IF($T32="",$V32,$T32),$I32-IF($T32="",$V32,$T32),0)))</f>
        <v/>
      </c>
    </row>
    <row r="33" ht="21" customHeight="1" s="66">
      <c r="A33" s="57" t="n"/>
      <c r="B33" s="57" t="n"/>
      <c r="C33" s="57" t="n"/>
      <c r="D33" s="57" t="n"/>
      <c r="E33" s="57" t="n"/>
      <c r="F33" s="49" t="n"/>
      <c r="G33" s="49" t="n"/>
      <c r="H33" s="49" t="n"/>
      <c r="I33" s="49" t="n"/>
      <c r="J33" s="49" t="n"/>
      <c r="K33" s="50">
        <f>IF(OR($V33="",$I33="",$J33="",$U33=""),0,ROUND($U33*$J33,2))</f>
        <v/>
      </c>
      <c r="L33" s="50">
        <f>IF($G33="","",ROUND(N($G33)+N($K33),2))</f>
        <v/>
      </c>
      <c r="M33">
        <f>IF(OR($A33="",$B33="",$C33="",$D33="",$E33=""),"",$A33&amp;"|"&amp;$B33&amp;" - "&amp;$C33&amp;"("&amp;$D33&amp;")"&amp;"|"&amp;$E33)</f>
        <v/>
      </c>
      <c r="O33" s="4" t="n"/>
      <c r="P33" s="4" t="n"/>
      <c r="U33">
        <f>IF(OR($V33="",$I33=""),"",IF($I33&lt;$V33,$I33-$V33,IF($I33&gt;IF($T33="",$V33,$T33),$I33-IF($T33="",$V33,$T33),0)))</f>
        <v/>
      </c>
    </row>
    <row r="34" ht="21" customHeight="1" s="66">
      <c r="A34" s="57" t="n"/>
      <c r="B34" s="57" t="n"/>
      <c r="C34" s="57" t="n"/>
      <c r="D34" s="57" t="n"/>
      <c r="E34" s="57" t="n"/>
      <c r="F34" s="49" t="n"/>
      <c r="G34" s="49" t="n"/>
      <c r="H34" s="49" t="n"/>
      <c r="I34" s="49" t="n"/>
      <c r="J34" s="49" t="n"/>
      <c r="K34" s="50">
        <f>IF(OR($V34="",$I34="",$J34="",$U34=""),0,ROUND($U34*$J34,2))</f>
        <v/>
      </c>
      <c r="L34" s="50">
        <f>IF($G34="","",ROUND(N($G34)+N($K34),2))</f>
        <v/>
      </c>
      <c r="M34">
        <f>IF(OR($A34="",$B34="",$C34="",$D34="",$E34=""),"",$A34&amp;"|"&amp;$B34&amp;" - "&amp;$C34&amp;"("&amp;$D34&amp;")"&amp;"|"&amp;$E34)</f>
        <v/>
      </c>
      <c r="O34" s="4" t="n"/>
      <c r="P34" s="4" t="n"/>
      <c r="U34">
        <f>IF(OR($V34="",$I34=""),"",IF($I34&lt;$V34,$I34-$V34,IF($I34&gt;IF($T34="",$V34,$T34),$I34-IF($T34="",$V34,$T34),0)))</f>
        <v/>
      </c>
    </row>
    <row r="35" ht="21" customHeight="1" s="66">
      <c r="A35" s="57" t="n"/>
      <c r="B35" s="57" t="n"/>
      <c r="C35" s="57" t="n"/>
      <c r="D35" s="57" t="n"/>
      <c r="E35" s="57" t="n"/>
      <c r="F35" s="49" t="n"/>
      <c r="G35" s="49" t="n"/>
      <c r="H35" s="49" t="n"/>
      <c r="I35" s="49" t="n"/>
      <c r="J35" s="49" t="n"/>
      <c r="K35" s="50">
        <f>IF(OR($V35="",$I35="",$J35="",$U35=""),0,ROUND($U35*$J35,2))</f>
        <v/>
      </c>
      <c r="L35" s="50">
        <f>IF($G35="","",ROUND(N($G35)+N($K35),2))</f>
        <v/>
      </c>
      <c r="M35">
        <f>IF(OR($A35="",$B35="",$C35="",$D35="",$E35=""),"",$A35&amp;"|"&amp;$B35&amp;" - "&amp;$C35&amp;"("&amp;$D35&amp;")"&amp;"|"&amp;$E35)</f>
        <v/>
      </c>
      <c r="O35" s="4" t="n"/>
      <c r="P35" s="4" t="n"/>
      <c r="U35">
        <f>IF(OR($V35="",$I35=""),"",IF($I35&lt;$V35,$I35-$V35,IF($I35&gt;IF($T35="",$V35,$T35),$I35-IF($T35="",$V35,$T35),0)))</f>
        <v/>
      </c>
    </row>
    <row r="36" ht="21" customHeight="1" s="66">
      <c r="A36" s="57" t="n"/>
      <c r="B36" s="57" t="n"/>
      <c r="C36" s="57" t="n"/>
      <c r="D36" s="57" t="n"/>
      <c r="E36" s="57" t="n"/>
      <c r="F36" s="49" t="n"/>
      <c r="G36" s="49" t="n"/>
      <c r="H36" s="49" t="n"/>
      <c r="I36" s="49" t="n"/>
      <c r="J36" s="49" t="n"/>
      <c r="K36" s="50">
        <f>IF(OR($V36="",$I36="",$J36="",$U36=""),0,ROUND($U36*$J36,2))</f>
        <v/>
      </c>
      <c r="L36" s="50">
        <f>IF($G36="","",ROUND(N($G36)+N($K36),2))</f>
        <v/>
      </c>
      <c r="M36">
        <f>IF(OR($A36="",$B36="",$C36="",$D36="",$E36=""),"",$A36&amp;"|"&amp;$B36&amp;" - "&amp;$C36&amp;"("&amp;$D36&amp;")"&amp;"|"&amp;$E36)</f>
        <v/>
      </c>
      <c r="O36" s="4" t="n"/>
      <c r="P36" s="4" t="n"/>
      <c r="U36">
        <f>IF(OR($V36="",$I36=""),"",IF($I36&lt;$V36,$I36-$V36,IF($I36&gt;IF($T36="",$V36,$T36),$I36-IF($T36="",$V36,$T36),0)))</f>
        <v/>
      </c>
    </row>
    <row r="37" ht="21" customHeight="1" s="66">
      <c r="A37" s="57" t="n"/>
      <c r="B37" s="57" t="n"/>
      <c r="C37" s="57" t="n"/>
      <c r="D37" s="57" t="n"/>
      <c r="E37" s="57" t="n"/>
      <c r="F37" s="49" t="n"/>
      <c r="G37" s="49" t="n"/>
      <c r="H37" s="49" t="n"/>
      <c r="I37" s="49" t="n"/>
      <c r="J37" s="49" t="n"/>
      <c r="K37" s="50">
        <f>IF(OR($V37="",$I37="",$J37="",$U37=""),0,ROUND($U37*$J37,2))</f>
        <v/>
      </c>
      <c r="L37" s="50">
        <f>IF($G37="","",ROUND(N($G37)+N($K37),2))</f>
        <v/>
      </c>
      <c r="M37">
        <f>IF(OR($A37="",$B37="",$C37="",$D37="",$E37=""),"",$A37&amp;"|"&amp;$B37&amp;" - "&amp;$C37&amp;"("&amp;$D37&amp;")"&amp;"|"&amp;$E37)</f>
        <v/>
      </c>
      <c r="O37" s="4" t="n"/>
      <c r="P37" s="4" t="n"/>
      <c r="U37">
        <f>IF(OR($V37="",$I37=""),"",IF($I37&lt;$V37,$I37-$V37,IF($I37&gt;IF($T37="",$V37,$T37),$I37-IF($T37="",$V37,$T37),0)))</f>
        <v/>
      </c>
    </row>
    <row r="38" ht="21" customHeight="1" s="66">
      <c r="A38" s="57" t="n"/>
      <c r="B38" s="57" t="n"/>
      <c r="C38" s="57" t="n"/>
      <c r="D38" s="57" t="n"/>
      <c r="E38" s="57" t="n"/>
      <c r="F38" s="49" t="n"/>
      <c r="G38" s="49" t="n"/>
      <c r="H38" s="49" t="n"/>
      <c r="I38" s="49" t="n"/>
      <c r="J38" s="49" t="n"/>
      <c r="K38" s="50">
        <f>IF(OR($V38="",$I38="",$J38="",$U38=""),0,ROUND($U38*$J38,2))</f>
        <v/>
      </c>
      <c r="L38" s="50">
        <f>IF($G38="","",ROUND(N($G38)+N($K38),2))</f>
        <v/>
      </c>
      <c r="M38">
        <f>IF(OR($A38="",$B38="",$C38="",$D38="",$E38=""),"",$A38&amp;"|"&amp;$B38&amp;" - "&amp;$C38&amp;"("&amp;$D38&amp;")"&amp;"|"&amp;$E38)</f>
        <v/>
      </c>
      <c r="O38" s="4" t="n"/>
      <c r="P38" s="4" t="n"/>
      <c r="U38">
        <f>IF(OR($V38="",$I38=""),"",IF($I38&lt;$V38,$I38-$V38,IF($I38&gt;IF($T38="",$V38,$T38),$I38-IF($T38="",$V38,$T38),0)))</f>
        <v/>
      </c>
    </row>
    <row r="39" ht="21" customHeight="1" s="66">
      <c r="A39" s="57" t="n"/>
      <c r="B39" s="57" t="n"/>
      <c r="C39" s="57" t="n"/>
      <c r="D39" s="57" t="n"/>
      <c r="E39" s="57" t="n"/>
      <c r="F39" s="49" t="n"/>
      <c r="G39" s="49" t="n"/>
      <c r="H39" s="49" t="n"/>
      <c r="I39" s="49" t="n"/>
      <c r="J39" s="49" t="n"/>
      <c r="K39" s="50">
        <f>IF(OR($V39="",$I39="",$J39="",$U39=""),0,ROUND($U39*$J39,2))</f>
        <v/>
      </c>
      <c r="L39" s="50">
        <f>IF($G39="","",ROUND(N($G39)+N($K39),2))</f>
        <v/>
      </c>
      <c r="M39">
        <f>IF(OR($A39="",$B39="",$C39="",$D39="",$E39=""),"",$A39&amp;"|"&amp;$B39&amp;" - "&amp;$C39&amp;"("&amp;$D39&amp;")"&amp;"|"&amp;$E39)</f>
        <v/>
      </c>
      <c r="O39" s="4" t="n"/>
      <c r="P39" s="4" t="n"/>
      <c r="U39">
        <f>IF(OR($V39="",$I39=""),"",IF($I39&lt;$V39,$I39-$V39,IF($I39&gt;IF($T39="",$V39,$T39),$I39-IF($T39="",$V39,$T39),0)))</f>
        <v/>
      </c>
    </row>
    <row r="40" ht="21" customHeight="1" s="66">
      <c r="A40" s="57" t="n"/>
      <c r="B40" s="57" t="n"/>
      <c r="C40" s="57" t="n"/>
      <c r="D40" s="57" t="n"/>
      <c r="E40" s="57" t="n"/>
      <c r="F40" s="49" t="n"/>
      <c r="G40" s="49" t="n"/>
      <c r="H40" s="49" t="n"/>
      <c r="I40" s="49" t="n"/>
      <c r="J40" s="49" t="n"/>
      <c r="K40" s="50">
        <f>IF(OR($V40="",$I40="",$J40="",$U40=""),0,ROUND($U40*$J40,2))</f>
        <v/>
      </c>
      <c r="L40" s="50">
        <f>IF($G40="","",ROUND(N($G40)+N($K40),2))</f>
        <v/>
      </c>
      <c r="M40">
        <f>IF(OR($A40="",$B40="",$C40="",$D40="",$E40=""),"",$A40&amp;"|"&amp;$B40&amp;" - "&amp;$C40&amp;"("&amp;$D40&amp;")"&amp;"|"&amp;$E40)</f>
        <v/>
      </c>
      <c r="O40" s="4" t="n"/>
      <c r="P40" s="4" t="n"/>
      <c r="U40">
        <f>IF(OR($V40="",$I40=""),"",IF($I40&lt;$V40,$I40-$V40,IF($I40&gt;IF($T40="",$V40,$T40),$I40-IF($T40="",$V40,$T40),0)))</f>
        <v/>
      </c>
    </row>
    <row r="41" ht="21" customHeight="1" s="66">
      <c r="A41" s="57" t="n"/>
      <c r="B41" s="57" t="n"/>
      <c r="C41" s="57" t="n"/>
      <c r="D41" s="57" t="n"/>
      <c r="E41" s="57" t="n"/>
      <c r="F41" s="49" t="n"/>
      <c r="G41" s="49" t="n"/>
      <c r="H41" s="49" t="n"/>
      <c r="I41" s="49" t="n"/>
      <c r="J41" s="49" t="n"/>
      <c r="K41" s="50">
        <f>IF(OR($V41="",$I41="",$J41="",$U41=""),0,ROUND($U41*$J41,2))</f>
        <v/>
      </c>
      <c r="L41" s="50">
        <f>IF($G41="","",ROUND(N($G41)+N($K41),2))</f>
        <v/>
      </c>
      <c r="M41">
        <f>IF(OR($A41="",$B41="",$C41="",$D41="",$E41=""),"",$A41&amp;"|"&amp;$B41&amp;" - "&amp;$C41&amp;"("&amp;$D41&amp;")"&amp;"|"&amp;$E41)</f>
        <v/>
      </c>
      <c r="O41" s="4" t="n"/>
      <c r="P41" s="4" t="n"/>
      <c r="U41">
        <f>IF(OR($V41="",$I41=""),"",IF($I41&lt;$V41,$I41-$V41,IF($I41&gt;IF($T41="",$V41,$T41),$I41-IF($T41="",$V41,$T41),0)))</f>
        <v/>
      </c>
    </row>
    <row r="42" ht="21" customHeight="1" s="66">
      <c r="A42" s="57" t="n"/>
      <c r="B42" s="57" t="n"/>
      <c r="C42" s="57" t="n"/>
      <c r="D42" s="57" t="n"/>
      <c r="E42" s="57" t="n"/>
      <c r="F42" s="49" t="n"/>
      <c r="G42" s="49" t="n"/>
      <c r="H42" s="49" t="n"/>
      <c r="I42" s="49" t="n"/>
      <c r="J42" s="49" t="n"/>
      <c r="K42" s="50">
        <f>IF(OR($V42="",$I42="",$J42="",$U42=""),0,ROUND($U42*$J42,2))</f>
        <v/>
      </c>
      <c r="L42" s="50">
        <f>IF($G42="","",ROUND(N($G42)+N($K42),2))</f>
        <v/>
      </c>
      <c r="M42">
        <f>IF(OR($A42="",$B42="",$C42="",$D42="",$E42=""),"",$A42&amp;"|"&amp;$B42&amp;" - "&amp;$C42&amp;"("&amp;$D42&amp;")"&amp;"|"&amp;$E42)</f>
        <v/>
      </c>
      <c r="O42" s="4" t="n"/>
      <c r="P42" s="4" t="n"/>
      <c r="U42">
        <f>IF(OR($V42="",$I42=""),"",IF($I42&lt;$V42,$I42-$V42,IF($I42&gt;IF($T42="",$V42,$T42),$I42-IF($T42="",$V42,$T42),0)))</f>
        <v/>
      </c>
    </row>
    <row r="43" ht="21" customHeight="1" s="66">
      <c r="A43" s="57" t="n"/>
      <c r="B43" s="57" t="n"/>
      <c r="C43" s="57" t="n"/>
      <c r="D43" s="57" t="n"/>
      <c r="E43" s="57" t="n"/>
      <c r="F43" s="49" t="n"/>
      <c r="G43" s="49" t="n"/>
      <c r="H43" s="49" t="n"/>
      <c r="I43" s="49" t="n"/>
      <c r="J43" s="49" t="n"/>
      <c r="K43" s="50">
        <f>IF(OR($V43="",$I43="",$J43="",$U43=""),0,ROUND($U43*$J43,2))</f>
        <v/>
      </c>
      <c r="L43" s="50">
        <f>IF($G43="","",ROUND(N($G43)+N($K43),2))</f>
        <v/>
      </c>
      <c r="M43">
        <f>IF(OR($A43="",$B43="",$C43="",$D43="",$E43=""),"",$A43&amp;"|"&amp;$B43&amp;" - "&amp;$C43&amp;"("&amp;$D43&amp;")"&amp;"|"&amp;$E43)</f>
        <v/>
      </c>
      <c r="O43" s="4" t="n"/>
      <c r="P43" s="4" t="n"/>
      <c r="U43">
        <f>IF(OR($V43="",$I43=""),"",IF($I43&lt;$V43,$I43-$V43,IF($I43&gt;IF($T43="",$V43,$T43),$I43-IF($T43="",$V43,$T43),0)))</f>
        <v/>
      </c>
    </row>
    <row r="44" ht="21" customHeight="1" s="66">
      <c r="A44" s="57" t="n"/>
      <c r="B44" s="57" t="n"/>
      <c r="C44" s="57" t="n"/>
      <c r="D44" s="57" t="n"/>
      <c r="E44" s="57" t="n"/>
      <c r="F44" s="49" t="n"/>
      <c r="G44" s="49" t="n"/>
      <c r="H44" s="49" t="n"/>
      <c r="I44" s="49" t="n"/>
      <c r="J44" s="49" t="n"/>
      <c r="K44" s="50">
        <f>IF(OR($V44="",$I44="",$J44="",$U44=""),0,ROUND($U44*$J44,2))</f>
        <v/>
      </c>
      <c r="L44" s="50">
        <f>IF($G44="","",ROUND(N($G44)+N($K44),2))</f>
        <v/>
      </c>
      <c r="M44">
        <f>IF(OR($A44="",$B44="",$C44="",$D44="",$E44=""),"",$A44&amp;"|"&amp;$B44&amp;" - "&amp;$C44&amp;"("&amp;$D44&amp;")"&amp;"|"&amp;$E44)</f>
        <v/>
      </c>
      <c r="O44" s="4" t="n"/>
      <c r="P44" s="4" t="n"/>
      <c r="U44">
        <f>IF(OR($V44="",$I44=""),"",IF($I44&lt;$V44,$I44-$V44,IF($I44&gt;IF($T44="",$V44,$T44),$I44-IF($T44="",$V44,$T44),0)))</f>
        <v/>
      </c>
    </row>
    <row r="45" ht="21" customHeight="1" s="66">
      <c r="A45" s="57" t="n"/>
      <c r="B45" s="57" t="n"/>
      <c r="C45" s="57" t="n"/>
      <c r="D45" s="57" t="n"/>
      <c r="E45" s="57" t="n"/>
      <c r="F45" s="49" t="n"/>
      <c r="G45" s="49" t="n"/>
      <c r="H45" s="49" t="n"/>
      <c r="I45" s="49" t="n"/>
      <c r="J45" s="49" t="n"/>
      <c r="K45" s="50">
        <f>IF(OR($V45="",$I45="",$J45="",$U45=""),0,ROUND($U45*$J45,2))</f>
        <v/>
      </c>
      <c r="L45" s="50">
        <f>IF($G45="","",ROUND(N($G45)+N($K45),2))</f>
        <v/>
      </c>
      <c r="M45">
        <f>IF(OR($A45="",$B45="",$C45="",$D45="",$E45=""),"",$A45&amp;"|"&amp;$B45&amp;" - "&amp;$C45&amp;"("&amp;$D45&amp;")"&amp;"|"&amp;$E45)</f>
        <v/>
      </c>
      <c r="O45" s="4" t="n"/>
      <c r="P45" s="4" t="n"/>
      <c r="U45">
        <f>IF(OR($V45="",$I45=""),"",IF($I45&lt;$V45,$I45-$V45,IF($I45&gt;IF($T45="",$V45,$T45),$I45-IF($T45="",$V45,$T45),0)))</f>
        <v/>
      </c>
    </row>
    <row r="46" ht="21" customHeight="1" s="66">
      <c r="A46" s="57" t="n"/>
      <c r="B46" s="57" t="n"/>
      <c r="C46" s="57" t="n"/>
      <c r="D46" s="57" t="n"/>
      <c r="E46" s="57" t="n"/>
      <c r="F46" s="49" t="n"/>
      <c r="G46" s="49" t="n"/>
      <c r="H46" s="49" t="n"/>
      <c r="I46" s="49" t="n"/>
      <c r="J46" s="49" t="n"/>
      <c r="K46" s="50">
        <f>IF(OR($V46="",$I46="",$J46="",$U46=""),0,ROUND($U46*$J46,2))</f>
        <v/>
      </c>
      <c r="L46" s="50">
        <f>IF($G46="","",ROUND(N($G46)+N($K46),2))</f>
        <v/>
      </c>
      <c r="M46">
        <f>IF(OR($A46="",$B46="",$C46="",$D46="",$E46=""),"",$A46&amp;"|"&amp;$B46&amp;" - "&amp;$C46&amp;"("&amp;$D46&amp;")"&amp;"|"&amp;$E46)</f>
        <v/>
      </c>
      <c r="O46" s="4" t="n"/>
      <c r="P46" s="4" t="n"/>
      <c r="U46">
        <f>IF(OR($V46="",$I46=""),"",IF($I46&lt;$V46,$I46-$V46,IF($I46&gt;IF($T46="",$V46,$T46),$I46-IF($T46="",$V46,$T46),0)))</f>
        <v/>
      </c>
    </row>
    <row r="47" ht="21" customHeight="1" s="66">
      <c r="A47" s="57" t="n"/>
      <c r="B47" s="57" t="n"/>
      <c r="C47" s="57" t="n"/>
      <c r="D47" s="57" t="n"/>
      <c r="E47" s="57" t="n"/>
      <c r="F47" s="49" t="n"/>
      <c r="G47" s="49" t="n"/>
      <c r="H47" s="49" t="n"/>
      <c r="I47" s="49" t="n"/>
      <c r="J47" s="49" t="n"/>
      <c r="K47" s="50">
        <f>IF(OR($V47="",$I47="",$J47="",$U47=""),0,ROUND($U47*$J47,2))</f>
        <v/>
      </c>
      <c r="L47" s="50">
        <f>IF($G47="","",ROUND(N($G47)+N($K47),2))</f>
        <v/>
      </c>
      <c r="M47">
        <f>IF(OR($A47="",$B47="",$C47="",$D47="",$E47=""),"",$A47&amp;"|"&amp;$B47&amp;" - "&amp;$C47&amp;"("&amp;$D47&amp;")"&amp;"|"&amp;$E47)</f>
        <v/>
      </c>
      <c r="O47" s="4" t="n"/>
      <c r="P47" s="4" t="n"/>
      <c r="U47">
        <f>IF(OR($V47="",$I47=""),"",IF($I47&lt;$V47,$I47-$V47,IF($I47&gt;IF($T47="",$V47,$T47),$I47-IF($T47="",$V47,$T47),0)))</f>
        <v/>
      </c>
    </row>
    <row r="48" ht="21" customHeight="1" s="66">
      <c r="A48" s="57" t="n"/>
      <c r="B48" s="57" t="n"/>
      <c r="C48" s="57" t="n"/>
      <c r="D48" s="57" t="n"/>
      <c r="E48" s="57" t="n"/>
      <c r="F48" s="49" t="n"/>
      <c r="G48" s="49" t="n"/>
      <c r="H48" s="49" t="n"/>
      <c r="I48" s="49" t="n"/>
      <c r="J48" s="49" t="n"/>
      <c r="K48" s="50">
        <f>IF(OR($V48="",$I48="",$J48="",$U48=""),0,ROUND($U48*$J48,2))</f>
        <v/>
      </c>
      <c r="L48" s="50">
        <f>IF($G48="","",ROUND(N($G48)+N($K48),2))</f>
        <v/>
      </c>
      <c r="M48">
        <f>IF(OR($A48="",$B48="",$C48="",$D48="",$E48=""),"",$A48&amp;"|"&amp;$B48&amp;" - "&amp;$C48&amp;"("&amp;$D48&amp;")"&amp;"|"&amp;$E48)</f>
        <v/>
      </c>
      <c r="O48" s="4" t="n"/>
      <c r="P48" s="4" t="n"/>
      <c r="U48">
        <f>IF(OR($V48="",$I48=""),"",IF($I48&lt;$V48,$I48-$V48,IF($I48&gt;IF($T48="",$V48,$T48),$I48-IF($T48="",$V48,$T48),0)))</f>
        <v/>
      </c>
    </row>
    <row r="49" ht="21" customHeight="1" s="66">
      <c r="A49" s="57" t="n"/>
      <c r="B49" s="57" t="n"/>
      <c r="C49" s="57" t="n"/>
      <c r="D49" s="57" t="n"/>
      <c r="E49" s="57" t="n"/>
      <c r="F49" s="49" t="n"/>
      <c r="G49" s="49" t="n"/>
      <c r="H49" s="49" t="n"/>
      <c r="I49" s="49" t="n"/>
      <c r="J49" s="49" t="n"/>
      <c r="K49" s="50">
        <f>IF(OR($V49="",$I49="",$J49="",$U49=""),0,ROUND($U49*$J49,2))</f>
        <v/>
      </c>
      <c r="L49" s="50">
        <f>IF($G49="","",ROUND(N($G49)+N($K49),2))</f>
        <v/>
      </c>
      <c r="M49">
        <f>IF(OR($A49="",$B49="",$C49="",$D49="",$E49=""),"",$A49&amp;"|"&amp;$B49&amp;" - "&amp;$C49&amp;"("&amp;$D49&amp;")"&amp;"|"&amp;$E49)</f>
        <v/>
      </c>
      <c r="O49" s="4" t="n"/>
      <c r="P49" s="4" t="n"/>
      <c r="U49">
        <f>IF(OR($V49="",$I49=""),"",IF($I49&lt;$V49,$I49-$V49,IF($I49&gt;IF($T49="",$V49,$T49),$I49-IF($T49="",$V49,$T49),0)))</f>
        <v/>
      </c>
    </row>
    <row r="50" ht="21" customHeight="1" s="66">
      <c r="A50" s="57" t="n"/>
      <c r="B50" s="57" t="n"/>
      <c r="C50" s="57" t="n"/>
      <c r="D50" s="57" t="n"/>
      <c r="E50" s="57" t="n"/>
      <c r="F50" s="49" t="n"/>
      <c r="G50" s="49" t="n"/>
      <c r="H50" s="49" t="n"/>
      <c r="I50" s="49" t="n"/>
      <c r="J50" s="49" t="n"/>
      <c r="K50" s="50">
        <f>IF(OR($V50="",$I50="",$J50="",$U50=""),0,ROUND($U50*$J50,2))</f>
        <v/>
      </c>
      <c r="L50" s="50">
        <f>IF($G50="","",ROUND(N($G50)+N($K50),2))</f>
        <v/>
      </c>
      <c r="M50">
        <f>IF(OR($A50="",$B50="",$C50="",$D50="",$E50=""),"",$A50&amp;"|"&amp;$B50&amp;" - "&amp;$C50&amp;"("&amp;$D50&amp;")"&amp;"|"&amp;$E50)</f>
        <v/>
      </c>
      <c r="O50" s="4" t="n"/>
      <c r="P50" s="4" t="n"/>
      <c r="U50">
        <f>IF(OR($V50="",$I50=""),"",IF($I50&lt;$V50,$I50-$V50,IF($I50&gt;IF($T50="",$V50,$T50),$I50-IF($T50="",$V50,$T50),0)))</f>
        <v/>
      </c>
    </row>
    <row r="51" ht="21" customHeight="1" s="66">
      <c r="A51" s="57" t="n"/>
      <c r="B51" s="57" t="n"/>
      <c r="C51" s="57" t="n"/>
      <c r="D51" s="57" t="n"/>
      <c r="E51" s="57" t="n"/>
      <c r="F51" s="49" t="n"/>
      <c r="G51" s="49" t="n"/>
      <c r="H51" s="49" t="n"/>
      <c r="I51" s="49" t="n"/>
      <c r="J51" s="49" t="n"/>
      <c r="K51" s="50">
        <f>IF(OR($V51="",$I51="",$J51="",$U51=""),0,ROUND($U51*$J51,2))</f>
        <v/>
      </c>
      <c r="L51" s="50">
        <f>IF($G51="","",ROUND(N($G51)+N($K51),2))</f>
        <v/>
      </c>
      <c r="M51">
        <f>IF(OR($A51="",$B51="",$C51="",$D51="",$E51=""),"",$A51&amp;"|"&amp;$B51&amp;" - "&amp;$C51&amp;"("&amp;$D51&amp;")"&amp;"|"&amp;$E51)</f>
        <v/>
      </c>
      <c r="O51" s="4" t="n"/>
      <c r="P51" s="4" t="n"/>
      <c r="U51">
        <f>IF(OR($V51="",$I51=""),"",IF($I51&lt;$V51,$I51-$V51,IF($I51&gt;IF($T51="",$V51,$T51),$I51-IF($T51="",$V51,$T51),0)))</f>
        <v/>
      </c>
    </row>
    <row r="52" ht="21" customHeight="1" s="66">
      <c r="A52" s="57" t="n"/>
      <c r="B52" s="57" t="n"/>
      <c r="C52" s="57" t="n"/>
      <c r="D52" s="57" t="n"/>
      <c r="E52" s="57" t="n"/>
      <c r="F52" s="49" t="n"/>
      <c r="G52" s="49" t="n"/>
      <c r="H52" s="49" t="n"/>
      <c r="I52" s="49" t="n"/>
      <c r="J52" s="49" t="n"/>
      <c r="K52" s="50">
        <f>IF(OR($V52="",$I52="",$J52="",$U52=""),0,ROUND($U52*$J52,2))</f>
        <v/>
      </c>
      <c r="L52" s="50">
        <f>IF($G52="","",ROUND(N($G52)+N($K52),2))</f>
        <v/>
      </c>
      <c r="M52">
        <f>IF(OR($A52="",$B52="",$C52="",$D52="",$E52=""),"",$A52&amp;"|"&amp;$B52&amp;" - "&amp;$C52&amp;"("&amp;$D52&amp;")"&amp;"|"&amp;$E52)</f>
        <v/>
      </c>
      <c r="O52" s="4" t="n"/>
      <c r="P52" s="4" t="n"/>
      <c r="U52">
        <f>IF(OR($V52="",$I52=""),"",IF($I52&lt;$V52,$I52-$V52,IF($I52&gt;IF($T52="",$V52,$T52),$I52-IF($T52="",$V52,$T52),0)))</f>
        <v/>
      </c>
    </row>
    <row r="53" ht="21" customHeight="1" s="66">
      <c r="A53" s="57" t="n"/>
      <c r="B53" s="57" t="n"/>
      <c r="C53" s="57" t="n"/>
      <c r="D53" s="57" t="n"/>
      <c r="E53" s="57" t="n"/>
      <c r="F53" s="49" t="n"/>
      <c r="G53" s="49" t="n"/>
      <c r="H53" s="49" t="n"/>
      <c r="I53" s="49" t="n"/>
      <c r="J53" s="49" t="n"/>
      <c r="K53" s="50">
        <f>IF(OR($V53="",$I53="",$J53="",$U53=""),0,ROUND($U53*$J53,2))</f>
        <v/>
      </c>
      <c r="L53" s="50">
        <f>IF($G53="","",ROUND(N($G53)+N($K53),2))</f>
        <v/>
      </c>
      <c r="M53">
        <f>IF(OR($A53="",$B53="",$C53="",$D53="",$E53=""),"",$A53&amp;"|"&amp;$B53&amp;" - "&amp;$C53&amp;"("&amp;$D53&amp;")"&amp;"|"&amp;$E53)</f>
        <v/>
      </c>
      <c r="O53" s="4" t="n"/>
      <c r="P53" s="4" t="n"/>
      <c r="U53">
        <f>IF(OR($V53="",$I53=""),"",IF($I53&lt;$V53,$I53-$V53,IF($I53&gt;IF($T53="",$V53,$T53),$I53-IF($T53="",$V53,$T53),0)))</f>
        <v/>
      </c>
    </row>
    <row r="54" ht="21" customHeight="1" s="66">
      <c r="A54" s="57" t="n"/>
      <c r="B54" s="57" t="n"/>
      <c r="C54" s="57" t="n"/>
      <c r="D54" s="57" t="n"/>
      <c r="E54" s="57" t="n"/>
      <c r="F54" s="49" t="n"/>
      <c r="G54" s="49" t="n"/>
      <c r="H54" s="49" t="n"/>
      <c r="I54" s="49" t="n"/>
      <c r="J54" s="49" t="n"/>
      <c r="K54" s="50">
        <f>IF(OR($V54="",$I54="",$J54="",$U54=""),0,ROUND($U54*$J54,2))</f>
        <v/>
      </c>
      <c r="L54" s="50">
        <f>IF($G54="","",ROUND(N($G54)+N($K54),2))</f>
        <v/>
      </c>
      <c r="M54">
        <f>IF(OR($A54="",$B54="",$C54="",$D54="",$E54=""),"",$A54&amp;"|"&amp;$B54&amp;" - "&amp;$C54&amp;"("&amp;$D54&amp;")"&amp;"|"&amp;$E54)</f>
        <v/>
      </c>
      <c r="O54" s="4" t="n"/>
      <c r="P54" s="4" t="n"/>
      <c r="U54">
        <f>IF(OR($V54="",$I54=""),"",IF($I54&lt;$V54,$I54-$V54,IF($I54&gt;IF($T54="",$V54,$T54),$I54-IF($T54="",$V54,$T54),0)))</f>
        <v/>
      </c>
    </row>
    <row r="55" ht="21" customHeight="1" s="66">
      <c r="A55" s="57" t="n"/>
      <c r="B55" s="57" t="n"/>
      <c r="C55" s="57" t="n"/>
      <c r="D55" s="57" t="n"/>
      <c r="E55" s="57" t="n"/>
      <c r="F55" s="49" t="n"/>
      <c r="G55" s="49" t="n"/>
      <c r="H55" s="49" t="n"/>
      <c r="I55" s="49" t="n"/>
      <c r="J55" s="49" t="n"/>
      <c r="K55" s="50">
        <f>IF(OR($V55="",$I55="",$J55="",$U55=""),0,ROUND($U55*$J55,2))</f>
        <v/>
      </c>
      <c r="L55" s="50">
        <f>IF($G55="","",ROUND(N($G55)+N($K55),2))</f>
        <v/>
      </c>
      <c r="M55">
        <f>IF(OR($A55="",$B55="",$C55="",$D55="",$E55=""),"",$A55&amp;"|"&amp;$B55&amp;" - "&amp;$C55&amp;"("&amp;$D55&amp;")"&amp;"|"&amp;$E55)</f>
        <v/>
      </c>
      <c r="U55">
        <f>IF(OR($V55="",$I55=""),"",IF($I55&lt;$V55,$I55-$V55,IF($I55&gt;IF($T55="",$V55,$T55),$I55-IF($T55="",$V55,$T55),0)))</f>
        <v/>
      </c>
    </row>
    <row r="56" ht="21" customHeight="1" s="66">
      <c r="A56" s="57" t="n"/>
      <c r="B56" s="57" t="n"/>
      <c r="C56" s="57" t="n"/>
      <c r="D56" s="57" t="n"/>
      <c r="E56" s="57" t="n"/>
      <c r="F56" s="49" t="n"/>
      <c r="G56" s="49" t="n"/>
      <c r="H56" s="49" t="n"/>
      <c r="I56" s="49" t="n"/>
      <c r="J56" s="49" t="n"/>
      <c r="K56" s="50">
        <f>IF(OR($V56="",$I56="",$J56="",$U56=""),0,ROUND($U56*$J56,2))</f>
        <v/>
      </c>
      <c r="L56" s="50">
        <f>IF($G56="","",ROUND(N($G56)+N($K56),2))</f>
        <v/>
      </c>
      <c r="M56">
        <f>IF(OR($A56="",$B56="",$C56="",$D56="",$E56=""),"",$A56&amp;"|"&amp;$B56&amp;" - "&amp;$C56&amp;"("&amp;$D56&amp;")"&amp;"|"&amp;$E56)</f>
        <v/>
      </c>
      <c r="U56">
        <f>IF(OR($V56="",$I56=""),"",IF($I56&lt;$V56,$I56-$V56,IF($I56&gt;IF($T56="",$V56,$T56),$I56-IF($T56="",$V56,$T56),0)))</f>
        <v/>
      </c>
    </row>
    <row r="57" ht="21" customHeight="1" s="66">
      <c r="A57" s="57" t="n"/>
      <c r="B57" s="57" t="n"/>
      <c r="C57" s="57" t="n"/>
      <c r="D57" s="57" t="n"/>
      <c r="E57" s="57" t="n"/>
      <c r="F57" s="49" t="n"/>
      <c r="G57" s="49" t="n"/>
      <c r="H57" s="49" t="n"/>
      <c r="I57" s="49" t="n"/>
      <c r="J57" s="49" t="n"/>
      <c r="K57" s="50">
        <f>IF(OR($V57="",$I57="",$J57="",$U57=""),0,ROUND($U57*$J57,2))</f>
        <v/>
      </c>
      <c r="L57" s="50">
        <f>IF($G57="","",ROUND(N($G57)+N($K57),2))</f>
        <v/>
      </c>
      <c r="M57">
        <f>IF(OR($A57="",$B57="",$C57="",$D57="",$E57=""),"",$A57&amp;"|"&amp;$B57&amp;" - "&amp;$C57&amp;"("&amp;$D57&amp;")"&amp;"|"&amp;$E57)</f>
        <v/>
      </c>
      <c r="U57">
        <f>IF(OR($V57="",$I57=""),"",IF($I57&lt;$V57,$I57-$V57,IF($I57&gt;IF($T57="",$V57,$T57),$I57-IF($T57="",$V57,$T57),0)))</f>
        <v/>
      </c>
    </row>
    <row r="58" ht="21" customHeight="1" s="66">
      <c r="A58" s="57" t="n"/>
      <c r="B58" s="57" t="n"/>
      <c r="C58" s="57" t="n"/>
      <c r="D58" s="57" t="n"/>
      <c r="E58" s="57" t="n"/>
      <c r="F58" s="49" t="n"/>
      <c r="G58" s="49" t="n"/>
      <c r="H58" s="49" t="n"/>
      <c r="I58" s="49" t="n"/>
      <c r="J58" s="49" t="n"/>
      <c r="K58" s="50">
        <f>IF(OR($V58="",$I58="",$J58="",$U58=""),0,ROUND($U58*$J58,2))</f>
        <v/>
      </c>
      <c r="L58" s="50">
        <f>IF($G58="","",ROUND(N($G58)+N($K58),2))</f>
        <v/>
      </c>
      <c r="M58">
        <f>IF(OR($A58="",$B58="",$C58="",$D58="",$E58=""),"",$A58&amp;"|"&amp;$B58&amp;" - "&amp;$C58&amp;"("&amp;$D58&amp;")"&amp;"|"&amp;$E58)</f>
        <v/>
      </c>
      <c r="U58">
        <f>IF(OR($V58="",$I58=""),"",IF($I58&lt;$V58,$I58-$V58,IF($I58&gt;IF($T58="",$V58,$T58),$I58-IF($T58="",$V58,$T58),0)))</f>
        <v/>
      </c>
    </row>
    <row r="59" ht="21" customHeight="1" s="66">
      <c r="A59" s="57" t="n"/>
      <c r="B59" s="57" t="n"/>
      <c r="C59" s="57" t="n"/>
      <c r="D59" s="57" t="n"/>
      <c r="E59" s="57" t="n"/>
      <c r="F59" s="49" t="n"/>
      <c r="G59" s="49" t="n"/>
      <c r="H59" s="49" t="n"/>
      <c r="I59" s="49" t="n"/>
      <c r="J59" s="49" t="n"/>
      <c r="K59" s="50">
        <f>IF(OR($V59="",$I59="",$J59="",$U59=""),0,ROUND($U59*$J59,2))</f>
        <v/>
      </c>
      <c r="L59" s="50">
        <f>IF($G59="","",ROUND(N($G59)+N($K59),2))</f>
        <v/>
      </c>
      <c r="M59">
        <f>IF(OR($A59="",$B59="",$C59="",$D59="",$E59=""),"",$A59&amp;"|"&amp;$B59&amp;" - "&amp;$C59&amp;"("&amp;$D59&amp;")"&amp;"|"&amp;$E59)</f>
        <v/>
      </c>
      <c r="U59">
        <f>IF(OR($V59="",$I59=""),"",IF($I59&lt;$V59,$I59-$V59,IF($I59&gt;IF($T59="",$V59,$T59),$I59-IF($T59="",$V59,$T59),0)))</f>
        <v/>
      </c>
    </row>
    <row r="60" ht="21" customHeight="1" s="66">
      <c r="A60" s="57" t="n"/>
      <c r="B60" s="57" t="n"/>
      <c r="C60" s="57" t="n"/>
      <c r="D60" s="57" t="n"/>
      <c r="E60" s="57" t="n"/>
      <c r="F60" s="49" t="n"/>
      <c r="G60" s="49" t="n"/>
      <c r="H60" s="49" t="n"/>
      <c r="I60" s="49" t="n"/>
      <c r="J60" s="49" t="n"/>
      <c r="K60" s="50">
        <f>IF(OR($V60="",$I60="",$J60="",$U60=""),0,ROUND($U60*$J60,2))</f>
        <v/>
      </c>
      <c r="L60" s="50">
        <f>IF($G60="","",ROUND(N($G60)+N($K60),2))</f>
        <v/>
      </c>
      <c r="M60">
        <f>IF(OR($A60="",$B60="",$C60="",$D60="",$E60=""),"",$A60&amp;"|"&amp;$B60&amp;" - "&amp;$C60&amp;"("&amp;$D60&amp;")"&amp;"|"&amp;$E60)</f>
        <v/>
      </c>
      <c r="U60">
        <f>IF(OR($V60="",$I60=""),"",IF($I60&lt;$V60,$I60-$V60,IF($I60&gt;IF($T60="",$V60,$T60),$I60-IF($T60="",$V60,$T60),0)))</f>
        <v/>
      </c>
    </row>
    <row r="61" ht="21" customHeight="1" s="66">
      <c r="A61" s="57" t="n"/>
      <c r="B61" s="57" t="n"/>
      <c r="C61" s="57" t="n"/>
      <c r="D61" s="57" t="n"/>
      <c r="E61" s="57" t="n"/>
      <c r="F61" s="49" t="n"/>
      <c r="G61" s="49" t="n"/>
      <c r="H61" s="49" t="n"/>
      <c r="I61" s="49" t="n"/>
      <c r="J61" s="49" t="n"/>
      <c r="K61" s="50">
        <f>IF(OR($V61="",$I61="",$J61="",$U61=""),0,ROUND($U61*$J61,2))</f>
        <v/>
      </c>
      <c r="L61" s="50">
        <f>IF($G61="","",ROUND(N($G61)+N($K61),2))</f>
        <v/>
      </c>
      <c r="M61">
        <f>IF(OR($A61="",$B61="",$C61="",$D61="",$E61=""),"",$A61&amp;"|"&amp;$B61&amp;" - "&amp;$C61&amp;"("&amp;$D61&amp;")"&amp;"|"&amp;$E61)</f>
        <v/>
      </c>
      <c r="U61">
        <f>IF(OR($V61="",$I61=""),"",IF($I61&lt;$V61,$I61-$V61,IF($I61&gt;IF($T61="",$V61,$T61),$I61-IF($T61="",$V61,$T61),0)))</f>
        <v/>
      </c>
    </row>
    <row r="62" ht="21" customHeight="1" s="66">
      <c r="A62" s="57" t="n"/>
      <c r="B62" s="57" t="n"/>
      <c r="C62" s="57" t="n"/>
      <c r="D62" s="57" t="n"/>
      <c r="E62" s="57" t="n"/>
      <c r="F62" s="49" t="n"/>
      <c r="G62" s="49" t="n"/>
      <c r="H62" s="49" t="n"/>
      <c r="I62" s="49" t="n"/>
      <c r="J62" s="49" t="n"/>
      <c r="K62" s="50">
        <f>IF(OR($V62="",$I62="",$J62="",$U62=""),0,ROUND($U62*$J62,2))</f>
        <v/>
      </c>
      <c r="L62" s="50">
        <f>IF($G62="","",ROUND(N($G62)+N($K62),2))</f>
        <v/>
      </c>
      <c r="M62">
        <f>IF(OR($A62="",$B62="",$C62="",$D62="",$E62=""),"",$A62&amp;"|"&amp;$B62&amp;" - "&amp;$C62&amp;"("&amp;$D62&amp;")"&amp;"|"&amp;$E62)</f>
        <v/>
      </c>
      <c r="U62">
        <f>IF(OR($V62="",$I62=""),"",IF($I62&lt;$V62,$I62-$V62,IF($I62&gt;IF($T62="",$V62,$T62),$I62-IF($T62="",$V62,$T62),0)))</f>
        <v/>
      </c>
    </row>
    <row r="63" ht="21" customHeight="1" s="66">
      <c r="A63" s="57" t="n"/>
      <c r="B63" s="57" t="n"/>
      <c r="C63" s="57" t="n"/>
      <c r="D63" s="57" t="n"/>
      <c r="E63" s="57" t="n"/>
      <c r="F63" s="49" t="n"/>
      <c r="G63" s="49" t="n"/>
      <c r="H63" s="49" t="n"/>
      <c r="I63" s="49" t="n"/>
      <c r="J63" s="49" t="n"/>
      <c r="K63" s="50">
        <f>IF(OR($V63="",$I63="",$J63="",$U63=""),0,ROUND($U63*$J63,2))</f>
        <v/>
      </c>
      <c r="L63" s="50">
        <f>IF($G63="","",ROUND(N($G63)+N($K63),2))</f>
        <v/>
      </c>
      <c r="M63">
        <f>IF(OR($A63="",$B63="",$C63="",$D63="",$E63=""),"",$A63&amp;"|"&amp;$B63&amp;" - "&amp;$C63&amp;"("&amp;$D63&amp;")"&amp;"|"&amp;$E63)</f>
        <v/>
      </c>
      <c r="U63">
        <f>IF(OR($V63="",$I63=""),"",IF($I63&lt;$V63,$I63-$V63,IF($I63&gt;IF($T63="",$V63,$T63),$I63-IF($T63="",$V63,$T63),0)))</f>
        <v/>
      </c>
    </row>
    <row r="64" ht="21" customHeight="1" s="66">
      <c r="A64" s="57" t="n"/>
      <c r="B64" s="57" t="n"/>
      <c r="C64" s="57" t="n"/>
      <c r="D64" s="57" t="n"/>
      <c r="E64" s="57" t="n"/>
      <c r="F64" s="49" t="n"/>
      <c r="G64" s="49" t="n"/>
      <c r="H64" s="49" t="n"/>
      <c r="I64" s="49" t="n"/>
      <c r="J64" s="49" t="n"/>
      <c r="K64" s="50">
        <f>IF(OR($V64="",$I64="",$J64="",$U64=""),0,ROUND($U64*$J64,2))</f>
        <v/>
      </c>
      <c r="L64" s="50">
        <f>IF($G64="","",ROUND(N($G64)+N($K64),2))</f>
        <v/>
      </c>
      <c r="M64">
        <f>IF(OR($A64="",$B64="",$C64="",$D64="",$E64=""),"",$A64&amp;"|"&amp;$B64&amp;" - "&amp;$C64&amp;"("&amp;$D64&amp;")"&amp;"|"&amp;$E64)</f>
        <v/>
      </c>
      <c r="U64">
        <f>IF(OR($V64="",$I64=""),"",IF($I64&lt;$V64,$I64-$V64,IF($I64&gt;IF($T64="",$V64,$T64),$I64-IF($T64="",$V64,$T64),0)))</f>
        <v/>
      </c>
    </row>
    <row r="65" ht="21" customHeight="1" s="66">
      <c r="A65" s="57" t="n"/>
      <c r="B65" s="57" t="n"/>
      <c r="C65" s="57" t="n"/>
      <c r="D65" s="57" t="n"/>
      <c r="E65" s="57" t="n"/>
      <c r="F65" s="49" t="n"/>
      <c r="G65" s="49" t="n"/>
      <c r="H65" s="49" t="n"/>
      <c r="I65" s="49" t="n"/>
      <c r="J65" s="49" t="n"/>
      <c r="K65" s="50">
        <f>IF(OR($V65="",$I65="",$J65="",$U65=""),0,ROUND($U65*$J65,2))</f>
        <v/>
      </c>
      <c r="L65" s="50">
        <f>IF($G65="","",ROUND(N($G65)+N($K65),2))</f>
        <v/>
      </c>
      <c r="M65">
        <f>IF(OR($A65="",$B65="",$C65="",$D65="",$E65=""),"",$A65&amp;"|"&amp;$B65&amp;" - "&amp;$C65&amp;"("&amp;$D65&amp;")"&amp;"|"&amp;$E65)</f>
        <v/>
      </c>
      <c r="U65">
        <f>IF(OR($V65="",$I65=""),"",IF($I65&lt;$V65,$I65-$V65,IF($I65&gt;IF($T65="",$V65,$T65),$I65-IF($T65="",$V65,$T65),0)))</f>
        <v/>
      </c>
    </row>
    <row r="66" ht="21" customHeight="1" s="66">
      <c r="A66" s="57" t="n"/>
      <c r="B66" s="57" t="n"/>
      <c r="C66" s="57" t="n"/>
      <c r="D66" s="57" t="n"/>
      <c r="E66" s="57" t="n"/>
      <c r="F66" s="49" t="n"/>
      <c r="G66" s="49" t="n"/>
      <c r="H66" s="49" t="n"/>
      <c r="I66" s="49" t="n"/>
      <c r="J66" s="49" t="n"/>
      <c r="K66" s="50">
        <f>IF(OR($V66="",$I66="",$J66="",$U66=""),0,ROUND($U66*$J66,2))</f>
        <v/>
      </c>
      <c r="L66" s="50">
        <f>IF($G66="","",ROUND(N($G66)+N($K66),2))</f>
        <v/>
      </c>
      <c r="M66">
        <f>IF(OR($A66="",$B66="",$C66="",$D66="",$E66=""),"",$A66&amp;"|"&amp;$B66&amp;" - "&amp;$C66&amp;"("&amp;$D66&amp;")"&amp;"|"&amp;$E66)</f>
        <v/>
      </c>
      <c r="U66">
        <f>IF(OR($V66="",$I66=""),"",IF($I66&lt;$V66,$I66-$V66,IF($I66&gt;IF($T66="",$V66,$T66),$I66-IF($T66="",$V66,$T66),0)))</f>
        <v/>
      </c>
    </row>
    <row r="67" ht="21" customHeight="1" s="66">
      <c r="A67" s="57" t="n"/>
      <c r="B67" s="57" t="n"/>
      <c r="C67" s="57" t="n"/>
      <c r="D67" s="57" t="n"/>
      <c r="E67" s="57" t="n"/>
      <c r="F67" s="49" t="n"/>
      <c r="G67" s="49" t="n"/>
      <c r="H67" s="49" t="n"/>
      <c r="I67" s="49" t="n"/>
      <c r="J67" s="49" t="n"/>
      <c r="K67" s="50">
        <f>IF(OR($V67="",$I67="",$J67="",$U67=""),0,ROUND($U67*$J67,2))</f>
        <v/>
      </c>
      <c r="L67" s="50">
        <f>IF($G67="","",ROUND(N($G67)+N($K67),2))</f>
        <v/>
      </c>
      <c r="M67">
        <f>IF(OR($A67="",$B67="",$C67="",$D67="",$E67=""),"",$A67&amp;"|"&amp;$B67&amp;" - "&amp;$C67&amp;"("&amp;$D67&amp;")"&amp;"|"&amp;$E67)</f>
        <v/>
      </c>
      <c r="U67">
        <f>IF(OR($V67="",$I67=""),"",IF($I67&lt;$V67,$I67-$V67,IF($I67&gt;IF($T67="",$V67,$T67),$I67-IF($T67="",$V67,$T67),0)))</f>
        <v/>
      </c>
    </row>
    <row r="68" ht="21" customHeight="1" s="66">
      <c r="A68" s="57" t="n"/>
      <c r="B68" s="57" t="n"/>
      <c r="C68" s="57" t="n"/>
      <c r="D68" s="57" t="n"/>
      <c r="E68" s="57" t="n"/>
      <c r="F68" s="49" t="n"/>
      <c r="G68" s="49" t="n"/>
      <c r="H68" s="49" t="n"/>
      <c r="I68" s="49" t="n"/>
      <c r="J68" s="49" t="n"/>
      <c r="K68" s="50">
        <f>IF(OR($V68="",$I68="",$J68="",$U68=""),0,ROUND($U68*$J68,2))</f>
        <v/>
      </c>
      <c r="L68" s="50">
        <f>IF($G68="","",ROUND(N($G68)+N($K68),2))</f>
        <v/>
      </c>
      <c r="M68">
        <f>IF(OR($A68="",$B68="",$C68="",$D68="",$E68=""),"",$A68&amp;"|"&amp;$B68&amp;" - "&amp;$C68&amp;"("&amp;$D68&amp;")"&amp;"|"&amp;$E68)</f>
        <v/>
      </c>
      <c r="U68">
        <f>IF(OR($V68="",$I68=""),"",IF($I68&lt;$V68,$I68-$V68,IF($I68&gt;IF($T68="",$V68,$T68),$I68-IF($T68="",$V68,$T68),0)))</f>
        <v/>
      </c>
    </row>
    <row r="69" ht="21" customHeight="1" s="66">
      <c r="A69" s="57" t="n"/>
      <c r="B69" s="57" t="n"/>
      <c r="C69" s="57" t="n"/>
      <c r="D69" s="57" t="n"/>
      <c r="E69" s="57" t="n"/>
      <c r="F69" s="49" t="n"/>
      <c r="G69" s="49" t="n"/>
      <c r="H69" s="49" t="n"/>
      <c r="I69" s="49" t="n"/>
      <c r="J69" s="49" t="n"/>
      <c r="K69" s="50">
        <f>IF(OR($V69="",$I69="",$J69="",$U69=""),0,ROUND($U69*$J69,2))</f>
        <v/>
      </c>
      <c r="L69" s="50">
        <f>IF($G69="","",ROUND(N($G69)+N($K69),2))</f>
        <v/>
      </c>
      <c r="M69">
        <f>IF(OR($A69="",$B69="",$C69="",$D69="",$E69=""),"",$A69&amp;"|"&amp;$B69&amp;" - "&amp;$C69&amp;"("&amp;$D69&amp;")"&amp;"|"&amp;$E69)</f>
        <v/>
      </c>
      <c r="U69">
        <f>IF(OR($V69="",$I69=""),"",IF($I69&lt;$V69,$I69-$V69,IF($I69&gt;IF($T69="",$V69,$T69),$I69-IF($T69="",$V69,$T69),0)))</f>
        <v/>
      </c>
    </row>
    <row r="70" ht="21" customHeight="1" s="66">
      <c r="A70" s="57" t="n"/>
      <c r="B70" s="57" t="n"/>
      <c r="C70" s="57" t="n"/>
      <c r="D70" s="57" t="n"/>
      <c r="E70" s="57" t="n"/>
      <c r="F70" s="49" t="n"/>
      <c r="G70" s="49" t="n"/>
      <c r="H70" s="49" t="n"/>
      <c r="I70" s="49" t="n"/>
      <c r="J70" s="49" t="n"/>
      <c r="K70" s="50">
        <f>IF(OR($V70="",$I70="",$J70="",$U70=""),0,ROUND($U70*$J70,2))</f>
        <v/>
      </c>
      <c r="L70" s="50">
        <f>IF($G70="","",ROUND(N($G70)+N($K70),2))</f>
        <v/>
      </c>
      <c r="M70">
        <f>IF(OR($A70="",$B70="",$C70="",$D70="",$E70=""),"",$A70&amp;"|"&amp;$B70&amp;" - "&amp;$C70&amp;"("&amp;$D70&amp;")"&amp;"|"&amp;$E70)</f>
        <v/>
      </c>
      <c r="U70">
        <f>IF(OR($V70="",$I70=""),"",IF($I70&lt;$V70,$I70-$V70,IF($I70&gt;IF($T70="",$V70,$T70),$I70-IF($T70="",$V70,$T70),0)))</f>
        <v/>
      </c>
    </row>
    <row r="71" ht="21" customHeight="1" s="66">
      <c r="A71" s="57" t="n"/>
      <c r="B71" s="57" t="n"/>
      <c r="C71" s="57" t="n"/>
      <c r="D71" s="57" t="n"/>
      <c r="E71" s="57" t="n"/>
      <c r="F71" s="49" t="n"/>
      <c r="G71" s="49" t="n"/>
      <c r="H71" s="49" t="n"/>
      <c r="I71" s="49" t="n"/>
      <c r="J71" s="49" t="n"/>
      <c r="K71" s="50">
        <f>IF(OR($V71="",$I71="",$J71="",$U71=""),0,ROUND($U71*$J71,2))</f>
        <v/>
      </c>
      <c r="L71" s="50">
        <f>IF($G71="","",ROUND(N($G71)+N($K71),2))</f>
        <v/>
      </c>
      <c r="M71">
        <f>IF(OR($A71="",$B71="",$C71="",$D71="",$E71=""),"",$A71&amp;"|"&amp;$B71&amp;" - "&amp;$C71&amp;"("&amp;$D71&amp;")"&amp;"|"&amp;$E71)</f>
        <v/>
      </c>
      <c r="U71">
        <f>IF(OR($V71="",$I71=""),"",IF($I71&lt;$V71,$I71-$V71,IF($I71&gt;IF($T71="",$V71,$T71),$I71-IF($T71="",$V71,$T71),0)))</f>
        <v/>
      </c>
    </row>
    <row r="72" ht="21" customHeight="1" s="66">
      <c r="A72" s="57" t="n"/>
      <c r="B72" s="57" t="n"/>
      <c r="C72" s="57" t="n"/>
      <c r="D72" s="57" t="n"/>
      <c r="E72" s="57" t="n"/>
      <c r="F72" s="49" t="n"/>
      <c r="G72" s="49" t="n"/>
      <c r="H72" s="49" t="n"/>
      <c r="I72" s="49" t="n"/>
      <c r="J72" s="49" t="n"/>
      <c r="K72" s="50">
        <f>IF(OR($V72="",$I72="",$J72="",$U72=""),0,ROUND($U72*$J72,2))</f>
        <v/>
      </c>
      <c r="L72" s="50">
        <f>IF($G72="","",ROUND(N($G72)+N($K72),2))</f>
        <v/>
      </c>
      <c r="M72">
        <f>IF(OR($A72="",$B72="",$C72="",$D72="",$E72=""),"",$A72&amp;"|"&amp;$B72&amp;" - "&amp;$C72&amp;"("&amp;$D72&amp;")"&amp;"|"&amp;$E72)</f>
        <v/>
      </c>
      <c r="U72">
        <f>IF(OR($V72="",$I72=""),"",IF($I72&lt;$V72,$I72-$V72,IF($I72&gt;IF($T72="",$V72,$T72),$I72-IF($T72="",$V72,$T72),0)))</f>
        <v/>
      </c>
    </row>
    <row r="73" ht="21" customHeight="1" s="66">
      <c r="A73" s="57" t="n"/>
      <c r="B73" s="57" t="n"/>
      <c r="C73" s="57" t="n"/>
      <c r="D73" s="57" t="n"/>
      <c r="E73" s="57" t="n"/>
      <c r="F73" s="49" t="n"/>
      <c r="G73" s="49" t="n"/>
      <c r="H73" s="49" t="n"/>
      <c r="I73" s="49" t="n"/>
      <c r="J73" s="49" t="n"/>
      <c r="K73" s="50">
        <f>IF(OR($V73="",$I73="",$J73="",$U73=""),0,ROUND($U73*$J73,2))</f>
        <v/>
      </c>
      <c r="L73" s="50">
        <f>IF($G73="","",ROUND(N($G73)+N($K73),2))</f>
        <v/>
      </c>
      <c r="M73">
        <f>IF(OR($A73="",$B73="",$C73="",$D73="",$E73=""),"",$A73&amp;"|"&amp;$B73&amp;" - "&amp;$C73&amp;"("&amp;$D73&amp;")"&amp;"|"&amp;$E73)</f>
        <v/>
      </c>
      <c r="U73">
        <f>IF(OR($V73="",$I73=""),"",IF($I73&lt;$V73,$I73-$V73,IF($I73&gt;IF($T73="",$V73,$T73),$I73-IF($T73="",$V73,$T73),0)))</f>
        <v/>
      </c>
    </row>
    <row r="74" ht="21" customHeight="1" s="66">
      <c r="A74" s="57" t="n"/>
      <c r="B74" s="57" t="n"/>
      <c r="C74" s="57" t="n"/>
      <c r="D74" s="57" t="n"/>
      <c r="E74" s="57" t="n"/>
      <c r="F74" s="49" t="n"/>
      <c r="G74" s="49" t="n"/>
      <c r="H74" s="49" t="n"/>
      <c r="I74" s="49" t="n"/>
      <c r="J74" s="49" t="n"/>
      <c r="K74" s="50">
        <f>IF(OR($V74="",$I74="",$J74="",$U74=""),0,ROUND($U74*$J74,2))</f>
        <v/>
      </c>
      <c r="L74" s="50">
        <f>IF($G74="","",ROUND(N($G74)+N($K74),2))</f>
        <v/>
      </c>
      <c r="M74">
        <f>IF(OR($A74="",$B74="",$C74="",$D74="",$E74=""),"",$A74&amp;"|"&amp;$B74&amp;" - "&amp;$C74&amp;"("&amp;$D74&amp;")"&amp;"|"&amp;$E74)</f>
        <v/>
      </c>
      <c r="U74">
        <f>IF(OR($V74="",$I74=""),"",IF($I74&lt;$V74,$I74-$V74,IF($I74&gt;IF($T74="",$V74,$T74),$I74-IF($T74="",$V74,$T74),0)))</f>
        <v/>
      </c>
    </row>
    <row r="75" ht="21" customHeight="1" s="66">
      <c r="A75" s="57" t="n"/>
      <c r="B75" s="57" t="n"/>
      <c r="C75" s="57" t="n"/>
      <c r="D75" s="57" t="n"/>
      <c r="E75" s="57" t="n"/>
      <c r="F75" s="49" t="n"/>
      <c r="G75" s="49" t="n"/>
      <c r="H75" s="49" t="n"/>
      <c r="I75" s="49" t="n"/>
      <c r="J75" s="49" t="n"/>
      <c r="K75" s="50">
        <f>IF(OR($V75="",$I75="",$J75="",$U75=""),0,ROUND($U75*$J75,2))</f>
        <v/>
      </c>
      <c r="L75" s="50">
        <f>IF($G75="","",ROUND(N($G75)+N($K75),2))</f>
        <v/>
      </c>
      <c r="M75">
        <f>IF(OR($A75="",$B75="",$C75="",$D75="",$E75=""),"",$A75&amp;"|"&amp;$B75&amp;" - "&amp;$C75&amp;"("&amp;$D75&amp;")"&amp;"|"&amp;$E75)</f>
        <v/>
      </c>
      <c r="U75">
        <f>IF(OR($V75="",$I75=""),"",IF($I75&lt;$V75,$I75-$V75,IF($I75&gt;IF($T75="",$V75,$T75),$I75-IF($T75="",$V75,$T75),0)))</f>
        <v/>
      </c>
    </row>
    <row r="76" ht="21" customHeight="1" s="66">
      <c r="A76" s="57" t="n"/>
      <c r="B76" s="57" t="n"/>
      <c r="C76" s="57" t="n"/>
      <c r="D76" s="57" t="n"/>
      <c r="E76" s="57" t="n"/>
      <c r="F76" s="49" t="n"/>
      <c r="G76" s="49" t="n"/>
      <c r="H76" s="49" t="n"/>
      <c r="I76" s="49" t="n"/>
      <c r="J76" s="49" t="n"/>
      <c r="K76" s="50">
        <f>IF(OR($V76="",$I76="",$J76="",$U76=""),0,ROUND($U76*$J76,2))</f>
        <v/>
      </c>
      <c r="L76" s="50">
        <f>IF($G76="","",ROUND(N($G76)+N($K76),2))</f>
        <v/>
      </c>
      <c r="M76">
        <f>IF(OR($A76="",$B76="",$C76="",$D76="",$E76=""),"",$A76&amp;"|"&amp;$B76&amp;" - "&amp;$C76&amp;"("&amp;$D76&amp;")"&amp;"|"&amp;$E76)</f>
        <v/>
      </c>
      <c r="U76">
        <f>IF(OR($V76="",$I76=""),"",IF($I76&lt;$V76,$I76-$V76,IF($I76&gt;IF($T76="",$V76,$T76),$I76-IF($T76="",$V76,$T76),0)))</f>
        <v/>
      </c>
    </row>
    <row r="77" ht="21" customHeight="1" s="66">
      <c r="A77" s="57" t="n"/>
      <c r="B77" s="57" t="n"/>
      <c r="C77" s="57" t="n"/>
      <c r="D77" s="57" t="n"/>
      <c r="E77" s="57" t="n"/>
      <c r="F77" s="49" t="n"/>
      <c r="G77" s="49" t="n"/>
      <c r="H77" s="49" t="n"/>
      <c r="I77" s="49" t="n"/>
      <c r="J77" s="49" t="n"/>
      <c r="K77" s="50">
        <f>IF(OR($V77="",$I77="",$J77="",$U77=""),0,ROUND($U77*$J77,2))</f>
        <v/>
      </c>
      <c r="L77" s="50">
        <f>IF($G77="","",ROUND(N($G77)+N($K77),2))</f>
        <v/>
      </c>
      <c r="M77">
        <f>IF(OR($A77="",$B77="",$C77="",$D77="",$E77=""),"",$A77&amp;"|"&amp;$B77&amp;" - "&amp;$C77&amp;"("&amp;$D77&amp;")"&amp;"|"&amp;$E77)</f>
        <v/>
      </c>
      <c r="U77">
        <f>IF(OR($V77="",$I77=""),"",IF($I77&lt;$V77,$I77-$V77,IF($I77&gt;IF($T77="",$V77,$T77),$I77-IF($T77="",$V77,$T77),0)))</f>
        <v/>
      </c>
    </row>
    <row r="78" ht="21" customHeight="1" s="66">
      <c r="A78" s="57" t="n"/>
      <c r="B78" s="57" t="n"/>
      <c r="C78" s="57" t="n"/>
      <c r="D78" s="57" t="n"/>
      <c r="E78" s="57" t="n"/>
      <c r="F78" s="49" t="n"/>
      <c r="G78" s="49" t="n"/>
      <c r="H78" s="49" t="n"/>
      <c r="I78" s="49" t="n"/>
      <c r="J78" s="49" t="n"/>
      <c r="K78" s="50">
        <f>IF(OR($V78="",$I78="",$J78="",$U78=""),0,ROUND($U78*$J78,2))</f>
        <v/>
      </c>
      <c r="L78" s="50">
        <f>IF($G78="","",ROUND(N($G78)+N($K78),2))</f>
        <v/>
      </c>
      <c r="M78">
        <f>IF(OR($A78="",$B78="",$C78="",$D78="",$E78=""),"",$A78&amp;"|"&amp;$B78&amp;" - "&amp;$C78&amp;"("&amp;$D78&amp;")"&amp;"|"&amp;$E78)</f>
        <v/>
      </c>
      <c r="U78">
        <f>IF(OR($V78="",$I78=""),"",IF($I78&lt;$V78,$I78-$V78,IF($I78&gt;IF($T78="",$V78,$T78),$I78-IF($T78="",$V78,$T78),0)))</f>
        <v/>
      </c>
    </row>
    <row r="79" ht="21" customHeight="1" s="66">
      <c r="A79" s="57" t="n"/>
      <c r="B79" s="57" t="n"/>
      <c r="C79" s="57" t="n"/>
      <c r="D79" s="57" t="n"/>
      <c r="E79" s="57" t="n"/>
      <c r="F79" s="49" t="n"/>
      <c r="G79" s="49" t="n"/>
      <c r="H79" s="49" t="n"/>
      <c r="I79" s="49" t="n"/>
      <c r="J79" s="49" t="n"/>
      <c r="K79" s="50">
        <f>IF(OR($V79="",$I79="",$J79="",$U79=""),0,ROUND($U79*$J79,2))</f>
        <v/>
      </c>
      <c r="L79" s="50">
        <f>IF($G79="","",ROUND(N($G79)+N($K79),2))</f>
        <v/>
      </c>
      <c r="M79">
        <f>IF(OR($A79="",$B79="",$C79="",$D79="",$E79=""),"",$A79&amp;"|"&amp;$B79&amp;" - "&amp;$C79&amp;"("&amp;$D79&amp;")"&amp;"|"&amp;$E79)</f>
        <v/>
      </c>
      <c r="U79">
        <f>IF(OR($V79="",$I79=""),"",IF($I79&lt;$V79,$I79-$V79,IF($I79&gt;IF($T79="",$V79,$T79),$I79-IF($T79="",$V79,$T79),0)))</f>
        <v/>
      </c>
    </row>
    <row r="80" ht="21" customHeight="1" s="66">
      <c r="A80" s="57" t="n"/>
      <c r="B80" s="57" t="n"/>
      <c r="C80" s="57" t="n"/>
      <c r="D80" s="57" t="n"/>
      <c r="E80" s="57" t="n"/>
      <c r="F80" s="49" t="n"/>
      <c r="G80" s="49" t="n"/>
      <c r="H80" s="49" t="n"/>
      <c r="I80" s="49" t="n"/>
      <c r="J80" s="49" t="n"/>
      <c r="K80" s="50">
        <f>IF(OR($V80="",$I80="",$J80="",$U80=""),0,ROUND($U80*$J80,2))</f>
        <v/>
      </c>
      <c r="L80" s="50">
        <f>IF($G80="","",ROUND(N($G80)+N($K80),2))</f>
        <v/>
      </c>
      <c r="M80">
        <f>IF(OR($A80="",$B80="",$C80="",$D80="",$E80=""),"",$A80&amp;"|"&amp;$B80&amp;" - "&amp;$C80&amp;"("&amp;$D80&amp;")"&amp;"|"&amp;$E80)</f>
        <v/>
      </c>
      <c r="U80">
        <f>IF(OR($V80="",$I80=""),"",IF($I80&lt;$V80,$I80-$V80,IF($I80&gt;IF($T80="",$V80,$T80),$I80-IF($T80="",$V80,$T80),0)))</f>
        <v/>
      </c>
    </row>
    <row r="81" ht="21" customHeight="1" s="66">
      <c r="A81" s="57" t="n"/>
      <c r="B81" s="57" t="n"/>
      <c r="C81" s="57" t="n"/>
      <c r="D81" s="57" t="n"/>
      <c r="E81" s="57" t="n"/>
      <c r="F81" s="49" t="n"/>
      <c r="G81" s="49" t="n"/>
      <c r="H81" s="49" t="n"/>
      <c r="I81" s="49" t="n"/>
      <c r="J81" s="49" t="n"/>
      <c r="K81" s="50">
        <f>IF(OR($V81="",$I81="",$J81="",$U81=""),0,ROUND($U81*$J81,2))</f>
        <v/>
      </c>
      <c r="L81" s="50">
        <f>IF($G81="","",ROUND(N($G81)+N($K81),2))</f>
        <v/>
      </c>
      <c r="M81">
        <f>IF(OR($A81="",$B81="",$C81="",$D81="",$E81=""),"",$A81&amp;"|"&amp;$B81&amp;" - "&amp;$C81&amp;"("&amp;$D81&amp;")"&amp;"|"&amp;$E81)</f>
        <v/>
      </c>
      <c r="U81">
        <f>IF(OR($V81="",$I81=""),"",IF($I81&lt;$V81,$I81-$V81,IF($I81&gt;IF($T81="",$V81,$T81),$I81-IF($T81="",$V81,$T81),0)))</f>
        <v/>
      </c>
    </row>
    <row r="82" ht="21" customHeight="1" s="66">
      <c r="A82" s="57" t="n"/>
      <c r="B82" s="57" t="n"/>
      <c r="C82" s="57" t="n"/>
      <c r="D82" s="57" t="n"/>
      <c r="E82" s="57" t="n"/>
      <c r="F82" s="49" t="n"/>
      <c r="G82" s="49" t="n"/>
      <c r="H82" s="49" t="n"/>
      <c r="I82" s="49" t="n"/>
      <c r="J82" s="49" t="n"/>
      <c r="K82" s="50">
        <f>IF(OR($V82="",$I82="",$J82="",$U82=""),0,ROUND($U82*$J82,2))</f>
        <v/>
      </c>
      <c r="L82" s="50">
        <f>IF($G82="","",ROUND(N($G82)+N($K82),2))</f>
        <v/>
      </c>
      <c r="M82">
        <f>IF(OR($A82="",$B82="",$C82="",$D82="",$E82=""),"",$A82&amp;"|"&amp;$B82&amp;" - "&amp;$C82&amp;"("&amp;$D82&amp;")"&amp;"|"&amp;$E82)</f>
        <v/>
      </c>
      <c r="U82">
        <f>IF(OR($V82="",$I82=""),"",IF($I82&lt;$V82,$I82-$V82,IF($I82&gt;IF($T82="",$V82,$T82),$I82-IF($T82="",$V82,$T82),0)))</f>
        <v/>
      </c>
    </row>
    <row r="83" ht="21" customHeight="1" s="66">
      <c r="A83" s="57" t="n"/>
      <c r="B83" s="57" t="n"/>
      <c r="C83" s="57" t="n"/>
      <c r="D83" s="57" t="n"/>
      <c r="E83" s="57" t="n"/>
      <c r="F83" s="49" t="n"/>
      <c r="G83" s="49" t="n"/>
      <c r="H83" s="49" t="n"/>
      <c r="I83" s="49" t="n"/>
      <c r="J83" s="49" t="n"/>
      <c r="K83" s="50">
        <f>IF(OR($V83="",$I83="",$J83="",$U83=""),0,ROUND($U83*$J83,2))</f>
        <v/>
      </c>
      <c r="L83" s="50">
        <f>IF($G83="","",ROUND(N($G83)+N($K83),2))</f>
        <v/>
      </c>
      <c r="M83">
        <f>IF(OR($A83="",$B83="",$C83="",$D83="",$E83=""),"",$A83&amp;"|"&amp;$B83&amp;" - "&amp;$C83&amp;"("&amp;$D83&amp;")"&amp;"|"&amp;$E83)</f>
        <v/>
      </c>
      <c r="U83">
        <f>IF(OR($V83="",$I83=""),"",IF($I83&lt;$V83,$I83-$V83,IF($I83&gt;IF($T83="",$V83,$T83),$I83-IF($T83="",$V83,$T83),0)))</f>
        <v/>
      </c>
    </row>
    <row r="84" ht="21" customHeight="1" s="66">
      <c r="A84" s="57" t="n"/>
      <c r="B84" s="57" t="n"/>
      <c r="C84" s="57" t="n"/>
      <c r="D84" s="57" t="n"/>
      <c r="E84" s="57" t="n"/>
      <c r="F84" s="49" t="n"/>
      <c r="G84" s="49" t="n"/>
      <c r="H84" s="49" t="n"/>
      <c r="I84" s="49" t="n"/>
      <c r="J84" s="49" t="n"/>
      <c r="K84" s="50">
        <f>IF(OR($V84="",$I84="",$J84="",$U84=""),0,ROUND($U84*$J84,2))</f>
        <v/>
      </c>
      <c r="L84" s="50">
        <f>IF($G84="","",ROUND(N($G84)+N($K84),2))</f>
        <v/>
      </c>
      <c r="M84">
        <f>IF(OR($A84="",$B84="",$C84="",$D84="",$E84=""),"",$A84&amp;"|"&amp;$B84&amp;" - "&amp;$C84&amp;"("&amp;$D84&amp;")"&amp;"|"&amp;$E84)</f>
        <v/>
      </c>
      <c r="U84">
        <f>IF(OR($V84="",$I84=""),"",IF($I84&lt;$V84,$I84-$V84,IF($I84&gt;IF($T84="",$V84,$T84),$I84-IF($T84="",$V84,$T84),0)))</f>
        <v/>
      </c>
    </row>
    <row r="85" ht="21" customHeight="1" s="66">
      <c r="A85" s="57" t="n"/>
      <c r="B85" s="57" t="n"/>
      <c r="C85" s="57" t="n"/>
      <c r="D85" s="57" t="n"/>
      <c r="E85" s="57" t="n"/>
      <c r="F85" s="49" t="n"/>
      <c r="G85" s="49" t="n"/>
      <c r="H85" s="49" t="n"/>
      <c r="I85" s="49" t="n"/>
      <c r="J85" s="49" t="n"/>
      <c r="K85" s="50">
        <f>IF(OR($V85="",$I85="",$J85="",$U85=""),0,ROUND($U85*$J85,2))</f>
        <v/>
      </c>
      <c r="L85" s="50">
        <f>IF($G85="","",ROUND(N($G85)+N($K85),2))</f>
        <v/>
      </c>
      <c r="M85">
        <f>IF(OR($A85="",$B85="",$C85="",$D85="",$E85=""),"",$A85&amp;"|"&amp;$B85&amp;" - "&amp;$C85&amp;"("&amp;$D85&amp;")"&amp;"|"&amp;$E85)</f>
        <v/>
      </c>
      <c r="U85">
        <f>IF(OR($V85="",$I85=""),"",IF($I85&lt;$V85,$I85-$V85,IF($I85&gt;IF($T85="",$V85,$T85),$I85-IF($T85="",$V85,$T85),0)))</f>
        <v/>
      </c>
    </row>
    <row r="86" ht="21" customHeight="1" s="66">
      <c r="A86" s="57" t="n"/>
      <c r="B86" s="57" t="n"/>
      <c r="C86" s="57" t="n"/>
      <c r="D86" s="57" t="n"/>
      <c r="E86" s="57" t="n"/>
      <c r="F86" s="49" t="n"/>
      <c r="G86" s="49" t="n"/>
      <c r="H86" s="49" t="n"/>
      <c r="I86" s="49" t="n"/>
      <c r="J86" s="49" t="n"/>
      <c r="K86" s="50">
        <f>IF(OR($V86="",$I86="",$J86="",$U86=""),0,ROUND($U86*$J86,2))</f>
        <v/>
      </c>
      <c r="L86" s="50">
        <f>IF($G86="","",ROUND(N($G86)+N($K86),2))</f>
        <v/>
      </c>
      <c r="M86">
        <f>IF(OR($A86="",$B86="",$C86="",$D86="",$E86=""),"",$A86&amp;"|"&amp;$B86&amp;" - "&amp;$C86&amp;"("&amp;$D86&amp;")"&amp;"|"&amp;$E86)</f>
        <v/>
      </c>
      <c r="U86">
        <f>IF(OR($V86="",$I86=""),"",IF($I86&lt;$V86,$I86-$V86,IF($I86&gt;IF($T86="",$V86,$T86),$I86-IF($T86="",$V86,$T86),0)))</f>
        <v/>
      </c>
    </row>
    <row r="87" ht="21" customHeight="1" s="66">
      <c r="A87" s="57" t="n"/>
      <c r="B87" s="57" t="n"/>
      <c r="C87" s="57" t="n"/>
      <c r="D87" s="57" t="n"/>
      <c r="E87" s="57" t="n"/>
      <c r="F87" s="49" t="n"/>
      <c r="G87" s="49" t="n"/>
      <c r="H87" s="49" t="n"/>
      <c r="I87" s="49" t="n"/>
      <c r="J87" s="49" t="n"/>
      <c r="K87" s="50">
        <f>IF(OR($V87="",$I87="",$J87="",$U87=""),0,ROUND($U87*$J87,2))</f>
        <v/>
      </c>
      <c r="L87" s="50">
        <f>IF($G87="","",ROUND(N($G87)+N($K87),2))</f>
        <v/>
      </c>
      <c r="M87">
        <f>IF(OR($A87="",$B87="",$C87="",$D87="",$E87=""),"",$A87&amp;"|"&amp;$B87&amp;" - "&amp;$C87&amp;"("&amp;$D87&amp;")"&amp;"|"&amp;$E87)</f>
        <v/>
      </c>
      <c r="U87">
        <f>IF(OR($V87="",$I87=""),"",IF($I87&lt;$V87,$I87-$V87,IF($I87&gt;IF($T87="",$V87,$T87),$I87-IF($T87="",$V87,$T87),0)))</f>
        <v/>
      </c>
    </row>
    <row r="88" ht="21" customHeight="1" s="66">
      <c r="A88" s="57" t="n"/>
      <c r="B88" s="57" t="n"/>
      <c r="C88" s="57" t="n"/>
      <c r="D88" s="57" t="n"/>
      <c r="E88" s="57" t="n"/>
      <c r="F88" s="49" t="n"/>
      <c r="G88" s="49" t="n"/>
      <c r="H88" s="49" t="n"/>
      <c r="I88" s="49" t="n"/>
      <c r="J88" s="49" t="n"/>
      <c r="K88" s="50">
        <f>IF(OR($V88="",$I88="",$J88="",$U88=""),0,ROUND($U88*$J88,2))</f>
        <v/>
      </c>
      <c r="L88" s="50">
        <f>IF($G88="","",ROUND(N($G88)+N($K88),2))</f>
        <v/>
      </c>
      <c r="M88">
        <f>IF(OR($A88="",$B88="",$C88="",$D88="",$E88=""),"",$A88&amp;"|"&amp;$B88&amp;" - "&amp;$C88&amp;"("&amp;$D88&amp;")"&amp;"|"&amp;$E88)</f>
        <v/>
      </c>
      <c r="U88">
        <f>IF(OR($V88="",$I88=""),"",IF($I88&lt;$V88,$I88-$V88,IF($I88&gt;IF($T88="",$V88,$T88),$I88-IF($T88="",$V88,$T88),0)))</f>
        <v/>
      </c>
    </row>
    <row r="89" ht="21" customHeight="1" s="66">
      <c r="A89" s="57" t="n"/>
      <c r="B89" s="57" t="n"/>
      <c r="C89" s="57" t="n"/>
      <c r="D89" s="57" t="n"/>
      <c r="E89" s="57" t="n"/>
      <c r="F89" s="49" t="n"/>
      <c r="G89" s="49" t="n"/>
      <c r="H89" s="49" t="n"/>
      <c r="I89" s="49" t="n"/>
      <c r="J89" s="49" t="n"/>
      <c r="K89" s="50">
        <f>IF(OR($V89="",$I89="",$J89="",$U89=""),0,ROUND($U89*$J89,2))</f>
        <v/>
      </c>
      <c r="L89" s="50">
        <f>IF($G89="","",ROUND(N($G89)+N($K89),2))</f>
        <v/>
      </c>
      <c r="M89">
        <f>IF(OR($A89="",$B89="",$C89="",$D89="",$E89=""),"",$A89&amp;"|"&amp;$B89&amp;" - "&amp;$C89&amp;"("&amp;$D89&amp;")"&amp;"|"&amp;$E89)</f>
        <v/>
      </c>
      <c r="U89">
        <f>IF(OR($V89="",$I89=""),"",IF($I89&lt;$V89,$I89-$V89,IF($I89&gt;IF($T89="",$V89,$T89),$I89-IF($T89="",$V89,$T89),0)))</f>
        <v/>
      </c>
    </row>
    <row r="90" ht="21" customHeight="1" s="66">
      <c r="A90" s="57" t="n"/>
      <c r="B90" s="57" t="n"/>
      <c r="C90" s="57" t="n"/>
      <c r="D90" s="57" t="n"/>
      <c r="E90" s="57" t="n"/>
      <c r="F90" s="49" t="n"/>
      <c r="G90" s="49" t="n"/>
      <c r="H90" s="49" t="n"/>
      <c r="I90" s="49" t="n"/>
      <c r="J90" s="49" t="n"/>
      <c r="K90" s="50">
        <f>IF(OR($V90="",$I90="",$J90="",$U90=""),0,ROUND($U90*$J90,2))</f>
        <v/>
      </c>
      <c r="L90" s="50">
        <f>IF($G90="","",ROUND(N($G90)+N($K90),2))</f>
        <v/>
      </c>
      <c r="M90">
        <f>IF(OR($A90="",$B90="",$C90="",$D90="",$E90=""),"",$A90&amp;"|"&amp;$B90&amp;" - "&amp;$C90&amp;"("&amp;$D90&amp;")"&amp;"|"&amp;$E90)</f>
        <v/>
      </c>
      <c r="U90">
        <f>IF(OR($V90="",$I90=""),"",IF($I90&lt;$V90,$I90-$V90,IF($I90&gt;IF($T90="",$V90,$T90),$I90-IF($T90="",$V90,$T90),0)))</f>
        <v/>
      </c>
    </row>
    <row r="91" ht="21" customHeight="1" s="66">
      <c r="A91" s="57" t="n"/>
      <c r="B91" s="57" t="n"/>
      <c r="C91" s="57" t="n"/>
      <c r="D91" s="57" t="n"/>
      <c r="E91" s="57" t="n"/>
      <c r="F91" s="49" t="n"/>
      <c r="G91" s="49" t="n"/>
      <c r="H91" s="49" t="n"/>
      <c r="I91" s="49" t="n"/>
      <c r="J91" s="49" t="n"/>
      <c r="K91" s="50">
        <f>IF(OR($V91="",$I91="",$J91="",$U91=""),0,ROUND($U91*$J91,2))</f>
        <v/>
      </c>
      <c r="L91" s="50">
        <f>IF($G91="","",ROUND(N($G91)+N($K91),2))</f>
        <v/>
      </c>
      <c r="M91">
        <f>IF(OR($A91="",$B91="",$C91="",$D91="",$E91=""),"",$A91&amp;"|"&amp;$B91&amp;" - "&amp;$C91&amp;"("&amp;$D91&amp;")"&amp;"|"&amp;$E91)</f>
        <v/>
      </c>
      <c r="U91">
        <f>IF(OR($V91="",$I91=""),"",IF($I91&lt;$V91,$I91-$V91,IF($I91&gt;IF($T91="",$V91,$T91),$I91-IF($T91="",$V91,$T91),0)))</f>
        <v/>
      </c>
    </row>
    <row r="92" ht="21" customHeight="1" s="66">
      <c r="A92" s="57" t="n"/>
      <c r="B92" s="57" t="n"/>
      <c r="C92" s="57" t="n"/>
      <c r="D92" s="57" t="n"/>
      <c r="E92" s="57" t="n"/>
      <c r="F92" s="49" t="n"/>
      <c r="G92" s="49" t="n"/>
      <c r="H92" s="49" t="n"/>
      <c r="I92" s="49" t="n"/>
      <c r="J92" s="49" t="n"/>
      <c r="K92" s="50">
        <f>IF(OR($V92="",$I92="",$J92="",$U92=""),0,ROUND($U92*$J92,2))</f>
        <v/>
      </c>
      <c r="L92" s="50">
        <f>IF($G92="","",ROUND(N($G92)+N($K92),2))</f>
        <v/>
      </c>
      <c r="M92">
        <f>IF(OR($A92="",$B92="",$C92="",$D92="",$E92=""),"",$A92&amp;"|"&amp;$B92&amp;" - "&amp;$C92&amp;"("&amp;$D92&amp;")"&amp;"|"&amp;$E92)</f>
        <v/>
      </c>
      <c r="U92">
        <f>IF(OR($V92="",$I92=""),"",IF($I92&lt;$V92,$I92-$V92,IF($I92&gt;IF($T92="",$V92,$T92),$I92-IF($T92="",$V92,$T92),0)))</f>
        <v/>
      </c>
    </row>
    <row r="93" ht="21" customHeight="1" s="66">
      <c r="A93" s="57" t="n"/>
      <c r="B93" s="57" t="n"/>
      <c r="C93" s="57" t="n"/>
      <c r="D93" s="57" t="n"/>
      <c r="E93" s="57" t="n"/>
      <c r="F93" s="49" t="n"/>
      <c r="G93" s="49" t="n"/>
      <c r="H93" s="49" t="n"/>
      <c r="I93" s="49" t="n"/>
      <c r="J93" s="49" t="n"/>
      <c r="K93" s="50">
        <f>IF(OR($V93="",$I93="",$J93="",$U93=""),0,ROUND($U93*$J93,2))</f>
        <v/>
      </c>
      <c r="L93" s="50">
        <f>IF($G93="","",ROUND(N($G93)+N($K93),2))</f>
        <v/>
      </c>
      <c r="M93">
        <f>IF(OR($A93="",$B93="",$C93="",$D93="",$E93=""),"",$A93&amp;"|"&amp;$B93&amp;" - "&amp;$C93&amp;"("&amp;$D93&amp;")"&amp;"|"&amp;$E93)</f>
        <v/>
      </c>
      <c r="U93">
        <f>IF(OR($V93="",$I93=""),"",IF($I93&lt;$V93,$I93-$V93,IF($I93&gt;IF($T93="",$V93,$T93),$I93-IF($T93="",$V93,$T93),0)))</f>
        <v/>
      </c>
    </row>
    <row r="94" ht="21" customHeight="1" s="66">
      <c r="A94" s="57" t="n"/>
      <c r="B94" s="57" t="n"/>
      <c r="C94" s="57" t="n"/>
      <c r="D94" s="57" t="n"/>
      <c r="E94" s="57" t="n"/>
      <c r="F94" s="49" t="n"/>
      <c r="G94" s="49" t="n"/>
      <c r="H94" s="49" t="n"/>
      <c r="I94" s="49" t="n"/>
      <c r="J94" s="49" t="n"/>
      <c r="K94" s="50">
        <f>IF(OR($V94="",$I94="",$J94="",$U94=""),0,ROUND($U94*$J94,2))</f>
        <v/>
      </c>
      <c r="L94" s="50">
        <f>IF($G94="","",ROUND(N($G94)+N($K94),2))</f>
        <v/>
      </c>
      <c r="M94">
        <f>IF(OR($A94="",$B94="",$C94="",$D94="",$E94=""),"",$A94&amp;"|"&amp;$B94&amp;" - "&amp;$C94&amp;"("&amp;$D94&amp;")"&amp;"|"&amp;$E94)</f>
        <v/>
      </c>
      <c r="U94">
        <f>IF(OR($V94="",$I94=""),"",IF($I94&lt;$V94,$I94-$V94,IF($I94&gt;IF($T94="",$V94,$T94),$I94-IF($T94="",$V94,$T94),0)))</f>
        <v/>
      </c>
    </row>
    <row r="95" ht="21" customHeight="1" s="66">
      <c r="A95" s="57" t="n"/>
      <c r="B95" s="57" t="n"/>
      <c r="C95" s="57" t="n"/>
      <c r="D95" s="57" t="n"/>
      <c r="E95" s="57" t="n"/>
      <c r="F95" s="49" t="n"/>
      <c r="G95" s="49" t="n"/>
      <c r="H95" s="49" t="n"/>
      <c r="I95" s="49" t="n"/>
      <c r="J95" s="49" t="n"/>
      <c r="K95" s="50">
        <f>IF(OR($V95="",$I95="",$J95="",$U95=""),0,ROUND($U95*$J95,2))</f>
        <v/>
      </c>
      <c r="L95" s="50">
        <f>IF($G95="","",ROUND(N($G95)+N($K95),2))</f>
        <v/>
      </c>
      <c r="M95">
        <f>IF(OR($A95="",$B95="",$C95="",$D95="",$E95=""),"",$A95&amp;"|"&amp;$B95&amp;" - "&amp;$C95&amp;"("&amp;$D95&amp;")"&amp;"|"&amp;$E95)</f>
        <v/>
      </c>
      <c r="U95">
        <f>IF(OR($V95="",$I95=""),"",IF($I95&lt;$V95,$I95-$V95,IF($I95&gt;IF($T95="",$V95,$T95),$I95-IF($T95="",$V95,$T95),0)))</f>
        <v/>
      </c>
    </row>
    <row r="96" ht="21" customHeight="1" s="66">
      <c r="A96" s="57" t="n"/>
      <c r="B96" s="57" t="n"/>
      <c r="C96" s="57" t="n"/>
      <c r="D96" s="57" t="n"/>
      <c r="E96" s="57" t="n"/>
      <c r="F96" s="49" t="n"/>
      <c r="G96" s="49" t="n"/>
      <c r="H96" s="49" t="n"/>
      <c r="I96" s="49" t="n"/>
      <c r="J96" s="49" t="n"/>
      <c r="K96" s="50">
        <f>IF(OR($V96="",$I96="",$J96="",$U96=""),0,ROUND($U96*$J96,2))</f>
        <v/>
      </c>
      <c r="L96" s="50">
        <f>IF($G96="","",ROUND(N($G96)+N($K96),2))</f>
        <v/>
      </c>
      <c r="M96">
        <f>IF(OR($A96="",$B96="",$C96="",$D96="",$E96=""),"",$A96&amp;"|"&amp;$B96&amp;" - "&amp;$C96&amp;"("&amp;$D96&amp;")"&amp;"|"&amp;$E96)</f>
        <v/>
      </c>
      <c r="U96">
        <f>IF(OR($V96="",$I96=""),"",IF($I96&lt;$V96,$I96-$V96,IF($I96&gt;IF($T96="",$V96,$T96),$I96-IF($T96="",$V96,$T96),0)))</f>
        <v/>
      </c>
    </row>
    <row r="97" ht="21" customHeight="1" s="66">
      <c r="A97" s="57" t="n"/>
      <c r="B97" s="57" t="n"/>
      <c r="C97" s="57" t="n"/>
      <c r="D97" s="57" t="n"/>
      <c r="E97" s="57" t="n"/>
      <c r="F97" s="49" t="n"/>
      <c r="G97" s="49" t="n"/>
      <c r="H97" s="49" t="n"/>
      <c r="I97" s="49" t="n"/>
      <c r="J97" s="49" t="n"/>
      <c r="K97" s="50">
        <f>IF(OR($V97="",$I97="",$J97="",$U97=""),0,ROUND($U97*$J97,2))</f>
        <v/>
      </c>
      <c r="L97" s="50">
        <f>IF($G97="","",ROUND(N($G97)+N($K97),2))</f>
        <v/>
      </c>
      <c r="M97">
        <f>IF(OR($A97="",$B97="",$C97="",$D97="",$E97=""),"",$A97&amp;"|"&amp;$B97&amp;" - "&amp;$C97&amp;"("&amp;$D97&amp;")"&amp;"|"&amp;$E97)</f>
        <v/>
      </c>
      <c r="U97">
        <f>IF(OR($V97="",$I97=""),"",IF($I97&lt;$V97,$I97-$V97,IF($I97&gt;IF($T97="",$V97,$T97),$I97-IF($T97="",$V97,$T97),0)))</f>
        <v/>
      </c>
    </row>
    <row r="98" ht="21" customHeight="1" s="66">
      <c r="A98" s="57" t="n"/>
      <c r="B98" s="57" t="n"/>
      <c r="C98" s="57" t="n"/>
      <c r="D98" s="57" t="n"/>
      <c r="E98" s="57" t="n"/>
      <c r="F98" s="49" t="n"/>
      <c r="G98" s="49" t="n"/>
      <c r="H98" s="49" t="n"/>
      <c r="I98" s="49" t="n"/>
      <c r="J98" s="49" t="n"/>
      <c r="K98" s="50">
        <f>IF(OR($V98="",$I98="",$J98="",$U98=""),0,ROUND($U98*$J98,2))</f>
        <v/>
      </c>
      <c r="L98" s="50">
        <f>IF($G98="","",ROUND(N($G98)+N($K98),2))</f>
        <v/>
      </c>
      <c r="M98">
        <f>IF(OR($A98="",$B98="",$C98="",$D98="",$E98=""),"",$A98&amp;"|"&amp;$B98&amp;" - "&amp;$C98&amp;"("&amp;$D98&amp;")"&amp;"|"&amp;$E98)</f>
        <v/>
      </c>
      <c r="U98">
        <f>IF(OR($V98="",$I98=""),"",IF($I98&lt;$V98,$I98-$V98,IF($I98&gt;IF($T98="",$V98,$T98),$I98-IF($T98="",$V98,$T98),0)))</f>
        <v/>
      </c>
    </row>
    <row r="99" ht="21" customHeight="1" s="66">
      <c r="A99" s="57" t="n"/>
      <c r="B99" s="57" t="n"/>
      <c r="C99" s="57" t="n"/>
      <c r="D99" s="57" t="n"/>
      <c r="E99" s="57" t="n"/>
      <c r="F99" s="49" t="n"/>
      <c r="G99" s="49" t="n"/>
      <c r="H99" s="49" t="n"/>
      <c r="I99" s="49" t="n"/>
      <c r="J99" s="49" t="n"/>
      <c r="K99" s="50">
        <f>IF(OR($V99="",$I99="",$J99="",$U99=""),0,ROUND($U99*$J99,2))</f>
        <v/>
      </c>
      <c r="L99" s="50">
        <f>IF($G99="","",ROUND(N($G99)+N($K99),2))</f>
        <v/>
      </c>
      <c r="M99">
        <f>IF(OR($A99="",$B99="",$C99="",$D99="",$E99=""),"",$A99&amp;"|"&amp;$B99&amp;" - "&amp;$C99&amp;"("&amp;$D99&amp;")"&amp;"|"&amp;$E99)</f>
        <v/>
      </c>
      <c r="U99">
        <f>IF(OR($V99="",$I99=""),"",IF($I99&lt;$V99,$I99-$V99,IF($I99&gt;IF($T99="",$V99,$T99),$I99-IF($T99="",$V99,$T99),0)))</f>
        <v/>
      </c>
    </row>
    <row r="100" ht="21" customHeight="1" s="66">
      <c r="A100" s="57" t="n"/>
      <c r="B100" s="57" t="n"/>
      <c r="C100" s="57" t="n"/>
      <c r="D100" s="57" t="n"/>
      <c r="E100" s="57" t="n"/>
      <c r="F100" s="49" t="n"/>
      <c r="G100" s="49" t="n"/>
      <c r="H100" s="49" t="n"/>
      <c r="I100" s="49" t="n"/>
      <c r="J100" s="49" t="n"/>
      <c r="K100" s="50">
        <f>IF(OR($V100="",$I100="",$J100="",$U100=""),0,ROUND($U100*$J100,2))</f>
        <v/>
      </c>
      <c r="L100" s="50">
        <f>IF($G100="","",ROUND(N($G100)+N($K100),2))</f>
        <v/>
      </c>
      <c r="M100">
        <f>IF(OR($A100="",$B100="",$C100="",$D100="",$E100=""),"",$A100&amp;"|"&amp;$B100&amp;" - "&amp;$C100&amp;"("&amp;$D100&amp;")"&amp;"|"&amp;$E100)</f>
        <v/>
      </c>
      <c r="U100">
        <f>IF(OR($V100="",$I100=""),"",IF($I100&lt;$V100,$I100-$V100,IF($I100&gt;IF($T100="",$V100,$T100),$I100-IF($T100="",$V100,$T100),0)))</f>
        <v/>
      </c>
    </row>
    <row r="101" ht="21" customHeight="1" s="66">
      <c r="A101" s="57" t="n"/>
      <c r="B101" s="57" t="n"/>
      <c r="C101" s="57" t="n"/>
      <c r="D101" s="57" t="n"/>
      <c r="E101" s="57" t="n"/>
      <c r="F101" s="49" t="n"/>
      <c r="G101" s="49" t="n"/>
      <c r="H101" s="49" t="n"/>
      <c r="I101" s="49" t="n"/>
      <c r="J101" s="49" t="n"/>
      <c r="K101" s="50">
        <f>IF(OR($V101="",$I101="",$J101="",$U101=""),0,ROUND($U101*$J101,2))</f>
        <v/>
      </c>
      <c r="L101" s="50">
        <f>IF($G101="","",ROUND(N($G101)+N($K101),2))</f>
        <v/>
      </c>
      <c r="M101">
        <f>IF(OR($A101="",$B101="",$C101="",$D101="",$E101=""),"",$A101&amp;"|"&amp;$B101&amp;" - "&amp;$C101&amp;"("&amp;$D101&amp;")"&amp;"|"&amp;$E101)</f>
        <v/>
      </c>
      <c r="U101">
        <f>IF(OR($V101="",$I101=""),"",IF($I101&lt;$V101,$I101-$V101,IF($I101&gt;IF($T101="",$V101,$T101),$I101-IF($T101="",$V101,$T101),0)))</f>
        <v/>
      </c>
    </row>
    <row r="102" ht="21" customHeight="1" s="66">
      <c r="A102" s="57" t="n"/>
      <c r="B102" s="57" t="n"/>
      <c r="C102" s="57" t="n"/>
      <c r="D102" s="57" t="n"/>
      <c r="E102" s="57" t="n"/>
      <c r="F102" s="49" t="n"/>
      <c r="G102" s="49" t="n"/>
      <c r="H102" s="49" t="n"/>
      <c r="I102" s="49" t="n"/>
      <c r="J102" s="49" t="n"/>
      <c r="K102" s="50">
        <f>IF(OR($V102="",$I102="",$J102="",$U102=""),0,ROUND($U102*$J102,2))</f>
        <v/>
      </c>
      <c r="L102" s="50">
        <f>IF($G102="","",ROUND(N($G102)+N($K102),2))</f>
        <v/>
      </c>
      <c r="M102">
        <f>IF(OR($A102="",$B102="",$C102="",$D102="",$E102=""),"",$A102&amp;"|"&amp;$B102&amp;" - "&amp;$C102&amp;"("&amp;$D102&amp;")"&amp;"|"&amp;$E102)</f>
        <v/>
      </c>
      <c r="U102">
        <f>IF(OR($V102="",$I102=""),"",IF($I102&lt;$V102,$I102-$V102,IF($I102&gt;IF($T102="",$V102,$T102),$I102-IF($T102="",$V102,$T102),0)))</f>
        <v/>
      </c>
    </row>
    <row r="103" ht="21" customHeight="1" s="66">
      <c r="A103" s="57" t="n"/>
      <c r="B103" s="57" t="n"/>
      <c r="C103" s="57" t="n"/>
      <c r="D103" s="57" t="n"/>
      <c r="E103" s="57" t="n"/>
      <c r="F103" s="49" t="n"/>
      <c r="G103" s="49" t="n"/>
      <c r="H103" s="49" t="n"/>
      <c r="I103" s="49" t="n"/>
      <c r="J103" s="49" t="n"/>
      <c r="K103" s="50">
        <f>IF(OR($V103="",$I103="",$J103="",$U103=""),0,ROUND($U103*$J103,2))</f>
        <v/>
      </c>
      <c r="L103" s="50">
        <f>IF($G103="","",ROUND(N($G103)+N($K103),2))</f>
        <v/>
      </c>
      <c r="M103">
        <f>IF(OR($A103="",$B103="",$C103="",$D103="",$E103=""),"",$A103&amp;"|"&amp;$B103&amp;" - "&amp;$C103&amp;"("&amp;$D103&amp;")"&amp;"|"&amp;$E103)</f>
        <v/>
      </c>
      <c r="U103">
        <f>IF(OR($V103="",$I103=""),"",IF($I103&lt;$V103,$I103-$V103,IF($I103&gt;IF($T103="",$V103,$T103),$I103-IF($T103="",$V103,$T103),0)))</f>
        <v/>
      </c>
    </row>
    <row r="104" ht="21" customHeight="1" s="66">
      <c r="A104" s="57" t="n"/>
      <c r="B104" s="57" t="n"/>
      <c r="C104" s="57" t="n"/>
      <c r="D104" s="57" t="n"/>
      <c r="E104" s="57" t="n"/>
      <c r="F104" s="49" t="n"/>
      <c r="G104" s="49" t="n"/>
      <c r="H104" s="49" t="n"/>
      <c r="I104" s="49" t="n"/>
      <c r="J104" s="49" t="n"/>
      <c r="K104" s="50">
        <f>IF(OR($V104="",$I104="",$J104="",$U104=""),0,ROUND($U104*$J104,2))</f>
        <v/>
      </c>
      <c r="L104" s="50">
        <f>IF($G104="","",ROUND(N($G104)+N($K104),2))</f>
        <v/>
      </c>
      <c r="M104">
        <f>IF(OR($A104="",$B104="",$C104="",$D104="",$E104=""),"",$A104&amp;"|"&amp;$B104&amp;" - "&amp;$C104&amp;"("&amp;$D104&amp;")"&amp;"|"&amp;$E104)</f>
        <v/>
      </c>
      <c r="U104">
        <f>IF(OR($V104="",$I104=""),"",IF($I104&lt;$V104,$I104-$V104,IF($I104&gt;IF($T104="",$V104,$T104),$I104-IF($T104="",$V104,$T104),0)))</f>
        <v/>
      </c>
    </row>
    <row r="105" ht="21" customHeight="1" s="66">
      <c r="A105" s="57" t="n"/>
      <c r="B105" s="57" t="n"/>
      <c r="C105" s="57" t="n"/>
      <c r="D105" s="57" t="n"/>
      <c r="E105" s="57" t="n"/>
      <c r="F105" s="49" t="n"/>
      <c r="G105" s="49" t="n"/>
      <c r="H105" s="49" t="n"/>
      <c r="I105" s="49" t="n"/>
      <c r="J105" s="49" t="n"/>
      <c r="K105" s="50">
        <f>IF(OR($V105="",$I105="",$J105="",$U105=""),0,ROUND($U105*$J105,2))</f>
        <v/>
      </c>
      <c r="L105" s="50">
        <f>IF($G105="","",ROUND(N($G105)+N($K105),2))</f>
        <v/>
      </c>
      <c r="M105">
        <f>IF(OR($A105="",$B105="",$C105="",$D105="",$E105=""),"",$A105&amp;"|"&amp;$B105&amp;" - "&amp;$C105&amp;"("&amp;$D105&amp;")"&amp;"|"&amp;$E105)</f>
        <v/>
      </c>
      <c r="U105">
        <f>IF(OR($V105="",$I105=""),"",IF($I105&lt;$V105,$I105-$V105,IF($I105&gt;IF($T105="",$V105,$T105),$I105-IF($T105="",$V105,$T105),0)))</f>
        <v/>
      </c>
    </row>
    <row r="106" ht="21" customHeight="1" s="66">
      <c r="A106" s="57" t="n"/>
      <c r="B106" s="57" t="n"/>
      <c r="C106" s="57" t="n"/>
      <c r="D106" s="57" t="n"/>
      <c r="E106" s="57" t="n"/>
      <c r="F106" s="49" t="n"/>
      <c r="G106" s="49" t="n"/>
      <c r="H106" s="49" t="n"/>
      <c r="I106" s="49" t="n"/>
      <c r="J106" s="49" t="n"/>
      <c r="K106" s="50">
        <f>IF(OR($V106="",$I106="",$J106="",$U106=""),0,ROUND($U106*$J106,2))</f>
        <v/>
      </c>
      <c r="L106" s="50">
        <f>IF($G106="","",ROUND(N($G106)+N($K106),2))</f>
        <v/>
      </c>
      <c r="M106">
        <f>IF(OR($A106="",$B106="",$C106="",$D106="",$E106=""),"",$A106&amp;"|"&amp;$B106&amp;" - "&amp;$C106&amp;"("&amp;$D106&amp;")"&amp;"|"&amp;$E106)</f>
        <v/>
      </c>
      <c r="U106">
        <f>IF(OR($V106="",$I106=""),"",IF($I106&lt;$V106,$I106-$V106,IF($I106&gt;IF($T106="",$V106,$T106),$I106-IF($T106="",$V106,$T106),0)))</f>
        <v/>
      </c>
    </row>
    <row r="107" ht="21" customHeight="1" s="66">
      <c r="A107" s="57" t="n"/>
      <c r="B107" s="57" t="n"/>
      <c r="C107" s="57" t="n"/>
      <c r="D107" s="57" t="n"/>
      <c r="E107" s="57" t="n"/>
      <c r="F107" s="49" t="n"/>
      <c r="G107" s="49" t="n"/>
      <c r="H107" s="49" t="n"/>
      <c r="I107" s="49" t="n"/>
      <c r="J107" s="49" t="n"/>
      <c r="K107" s="50">
        <f>IF(OR($V107="",$I107="",$J107="",$U107=""),0,ROUND($U107*$J107,2))</f>
        <v/>
      </c>
      <c r="L107" s="50">
        <f>IF($G107="","",ROUND(N($G107)+N($K107),2))</f>
        <v/>
      </c>
      <c r="M107">
        <f>IF(OR($A107="",$B107="",$C107="",$D107="",$E107=""),"",$A107&amp;"|"&amp;$B107&amp;" - "&amp;$C107&amp;"("&amp;$D107&amp;")"&amp;"|"&amp;$E107)</f>
        <v/>
      </c>
      <c r="U107">
        <f>IF(OR($V107="",$I107=""),"",IF($I107&lt;$V107,$I107-$V107,IF($I107&gt;IF($T107="",$V107,$T107),$I107-IF($T107="",$V107,$T107),0)))</f>
        <v/>
      </c>
    </row>
    <row r="108" ht="21" customHeight="1" s="66">
      <c r="A108" s="57" t="n"/>
      <c r="B108" s="57" t="n"/>
      <c r="C108" s="57" t="n"/>
      <c r="D108" s="57" t="n"/>
      <c r="E108" s="57" t="n"/>
      <c r="F108" s="49" t="n"/>
      <c r="G108" s="49" t="n"/>
      <c r="H108" s="49" t="n"/>
      <c r="I108" s="49" t="n"/>
      <c r="J108" s="49" t="n"/>
      <c r="K108" s="50">
        <f>IF(OR($V108="",$I108="",$J108="",$U108=""),0,ROUND($U108*$J108,2))</f>
        <v/>
      </c>
      <c r="L108" s="50">
        <f>IF($G108="","",ROUND(N($G108)+N($K108),2))</f>
        <v/>
      </c>
      <c r="M108">
        <f>IF(OR($A108="",$B108="",$C108="",$D108="",$E108=""),"",$A108&amp;"|"&amp;$B108&amp;" - "&amp;$C108&amp;"("&amp;$D108&amp;")"&amp;"|"&amp;$E108)</f>
        <v/>
      </c>
      <c r="U108">
        <f>IF(OR($V108="",$I108=""),"",IF($I108&lt;$V108,$I108-$V108,IF($I108&gt;IF($T108="",$V108,$T108),$I108-IF($T108="",$V108,$T108),0)))</f>
        <v/>
      </c>
    </row>
    <row r="109" ht="21" customHeight="1" s="66">
      <c r="A109" s="57" t="n"/>
      <c r="B109" s="57" t="n"/>
      <c r="C109" s="57" t="n"/>
      <c r="D109" s="57" t="n"/>
      <c r="E109" s="57" t="n"/>
      <c r="F109" s="49" t="n"/>
      <c r="G109" s="49" t="n"/>
      <c r="H109" s="49" t="n"/>
      <c r="I109" s="49" t="n"/>
      <c r="J109" s="49" t="n"/>
      <c r="K109" s="50">
        <f>IF(OR($V109="",$I109="",$J109="",$U109=""),0,ROUND($U109*$J109,2))</f>
        <v/>
      </c>
      <c r="L109" s="50">
        <f>IF($G109="","",ROUND(N($G109)+N($K109),2))</f>
        <v/>
      </c>
      <c r="M109">
        <f>IF(OR($A109="",$B109="",$C109="",$D109="",$E109=""),"",$A109&amp;"|"&amp;$B109&amp;" - "&amp;$C109&amp;"("&amp;$D109&amp;")"&amp;"|"&amp;$E109)</f>
        <v/>
      </c>
      <c r="U109">
        <f>IF(OR($V109="",$I109=""),"",IF($I109&lt;$V109,$I109-$V109,IF($I109&gt;IF($T109="",$V109,$T109),$I109-IF($T109="",$V109,$T109),0)))</f>
        <v/>
      </c>
    </row>
    <row r="110" ht="21" customHeight="1" s="66">
      <c r="A110" s="57" t="n"/>
      <c r="B110" s="57" t="n"/>
      <c r="C110" s="57" t="n"/>
      <c r="D110" s="57" t="n"/>
      <c r="E110" s="57" t="n"/>
      <c r="F110" s="49" t="n"/>
      <c r="G110" s="49" t="n"/>
      <c r="H110" s="49" t="n"/>
      <c r="I110" s="49" t="n"/>
      <c r="J110" s="49" t="n"/>
      <c r="K110" s="50">
        <f>IF(OR($V110="",$I110="",$J110="",$U110=""),0,ROUND($U110*$J110,2))</f>
        <v/>
      </c>
      <c r="L110" s="50">
        <f>IF($G110="","",ROUND(N($G110)+N($K110),2))</f>
        <v/>
      </c>
      <c r="M110">
        <f>IF(OR($A110="",$B110="",$C110="",$D110="",$E110=""),"",$A110&amp;"|"&amp;$B110&amp;" - "&amp;$C110&amp;"("&amp;$D110&amp;")"&amp;"|"&amp;$E110)</f>
        <v/>
      </c>
      <c r="U110">
        <f>IF(OR($V110="",$I110=""),"",IF($I110&lt;$V110,$I110-$V110,IF($I110&gt;IF($T110="",$V110,$T110),$I110-IF($T110="",$V110,$T110),0)))</f>
        <v/>
      </c>
    </row>
    <row r="111" ht="21" customHeight="1" s="66">
      <c r="A111" s="57" t="n"/>
      <c r="B111" s="57" t="n"/>
      <c r="C111" s="57" t="n"/>
      <c r="D111" s="57" t="n"/>
      <c r="E111" s="57" t="n"/>
      <c r="F111" s="49" t="n"/>
      <c r="G111" s="49" t="n"/>
      <c r="H111" s="49" t="n"/>
      <c r="I111" s="49" t="n"/>
      <c r="J111" s="49" t="n"/>
      <c r="K111" s="50">
        <f>IF(OR($V111="",$I111="",$J111="",$U111=""),0,ROUND($U111*$J111,2))</f>
        <v/>
      </c>
      <c r="L111" s="50">
        <f>IF($G111="","",ROUND(N($G111)+N($K111),2))</f>
        <v/>
      </c>
      <c r="M111">
        <f>IF(OR($A111="",$B111="",$C111="",$D111="",$E111=""),"",$A111&amp;"|"&amp;$B111&amp;" - "&amp;$C111&amp;"("&amp;$D111&amp;")"&amp;"|"&amp;$E111)</f>
        <v/>
      </c>
      <c r="U111">
        <f>IF(OR($V111="",$I111=""),"",IF($I111&lt;$V111,$I111-$V111,IF($I111&gt;IF($T111="",$V111,$T111),$I111-IF($T111="",$V111,$T111),0)))</f>
        <v/>
      </c>
    </row>
    <row r="112" ht="21" customHeight="1" s="66">
      <c r="A112" s="57" t="n"/>
      <c r="B112" s="57" t="n"/>
      <c r="C112" s="57" t="n"/>
      <c r="D112" s="57" t="n"/>
      <c r="E112" s="57" t="n"/>
      <c r="F112" s="49" t="n"/>
      <c r="G112" s="49" t="n"/>
      <c r="H112" s="49" t="n"/>
      <c r="I112" s="49" t="n"/>
      <c r="J112" s="49" t="n"/>
      <c r="K112" s="50">
        <f>IF(OR($V112="",$I112="",$J112="",$U112=""),0,ROUND($U112*$J112,2))</f>
        <v/>
      </c>
      <c r="L112" s="50">
        <f>IF($G112="","",ROUND(N($G112)+N($K112),2))</f>
        <v/>
      </c>
      <c r="M112">
        <f>IF(OR($A112="",$B112="",$C112="",$D112="",$E112=""),"",$A112&amp;"|"&amp;$B112&amp;" - "&amp;$C112&amp;"("&amp;$D112&amp;")"&amp;"|"&amp;$E112)</f>
        <v/>
      </c>
      <c r="U112">
        <f>IF(OR($V112="",$I112=""),"",IF($I112&lt;$V112,$I112-$V112,IF($I112&gt;IF($T112="",$V112,$T112),$I112-IF($T112="",$V112,$T112),0)))</f>
        <v/>
      </c>
    </row>
    <row r="113" ht="21" customHeight="1" s="66">
      <c r="A113" s="57" t="n"/>
      <c r="B113" s="57" t="n"/>
      <c r="C113" s="57" t="n"/>
      <c r="D113" s="57" t="n"/>
      <c r="E113" s="57" t="n"/>
      <c r="F113" s="49" t="n"/>
      <c r="G113" s="49" t="n"/>
      <c r="H113" s="49" t="n"/>
      <c r="I113" s="49" t="n"/>
      <c r="J113" s="49" t="n"/>
      <c r="K113" s="50">
        <f>IF(OR($V113="",$I113="",$J113="",$U113=""),0,ROUND($U113*$J113,2))</f>
        <v/>
      </c>
      <c r="L113" s="50">
        <f>IF($G113="","",ROUND(N($G113)+N($K113),2))</f>
        <v/>
      </c>
      <c r="M113">
        <f>IF(OR($A113="",$B113="",$C113="",$D113="",$E113=""),"",$A113&amp;"|"&amp;$B113&amp;" - "&amp;$C113&amp;"("&amp;$D113&amp;")"&amp;"|"&amp;$E113)</f>
        <v/>
      </c>
      <c r="U113">
        <f>IF(OR($V113="",$I113=""),"",IF($I113&lt;$V113,$I113-$V113,IF($I113&gt;IF($T113="",$V113,$T113),$I113-IF($T113="",$V113,$T113),0)))</f>
        <v/>
      </c>
    </row>
    <row r="114" ht="21" customHeight="1" s="66">
      <c r="A114" s="57" t="n"/>
      <c r="B114" s="57" t="n"/>
      <c r="C114" s="57" t="n"/>
      <c r="D114" s="57" t="n"/>
      <c r="E114" s="57" t="n"/>
      <c r="F114" s="49" t="n"/>
      <c r="G114" s="49" t="n"/>
      <c r="H114" s="49" t="n"/>
      <c r="I114" s="49" t="n"/>
      <c r="J114" s="49" t="n"/>
      <c r="K114" s="50">
        <f>IF(OR($V114="",$I114="",$J114="",$U114=""),0,ROUND($U114*$J114,2))</f>
        <v/>
      </c>
      <c r="L114" s="50">
        <f>IF($G114="","",ROUND(N($G114)+N($K114),2))</f>
        <v/>
      </c>
      <c r="M114">
        <f>IF(OR($A114="",$B114="",$C114="",$D114="",$E114=""),"",$A114&amp;"|"&amp;$B114&amp;" - "&amp;$C114&amp;"("&amp;$D114&amp;")"&amp;"|"&amp;$E114)</f>
        <v/>
      </c>
      <c r="U114">
        <f>IF(OR($V114="",$I114=""),"",IF($I114&lt;$V114,$I114-$V114,IF($I114&gt;IF($T114="",$V114,$T114),$I114-IF($T114="",$V114,$T114),0)))</f>
        <v/>
      </c>
    </row>
    <row r="115" ht="21" customHeight="1" s="66">
      <c r="A115" s="57" t="n"/>
      <c r="B115" s="57" t="n"/>
      <c r="C115" s="57" t="n"/>
      <c r="D115" s="57" t="n"/>
      <c r="E115" s="57" t="n"/>
      <c r="F115" s="49" t="n"/>
      <c r="G115" s="49" t="n"/>
      <c r="H115" s="49" t="n"/>
      <c r="I115" s="49" t="n"/>
      <c r="J115" s="49" t="n"/>
      <c r="K115" s="50">
        <f>IF(OR($V115="",$I115="",$J115="",$U115=""),0,ROUND($U115*$J115,2))</f>
        <v/>
      </c>
      <c r="L115" s="50">
        <f>IF($G115="","",ROUND(N($G115)+N($K115),2))</f>
        <v/>
      </c>
      <c r="M115">
        <f>IF(OR($A115="",$B115="",$C115="",$D115="",$E115=""),"",$A115&amp;"|"&amp;$B115&amp;" - "&amp;$C115&amp;"("&amp;$D115&amp;")"&amp;"|"&amp;$E115)</f>
        <v/>
      </c>
      <c r="U115">
        <f>IF(OR($V115="",$I115=""),"",IF($I115&lt;$V115,$I115-$V115,IF($I115&gt;IF($T115="",$V115,$T115),$I115-IF($T115="",$V115,$T115),0)))</f>
        <v/>
      </c>
    </row>
    <row r="116" ht="21" customHeight="1" s="66">
      <c r="A116" s="57" t="n"/>
      <c r="B116" s="57" t="n"/>
      <c r="C116" s="57" t="n"/>
      <c r="D116" s="57" t="n"/>
      <c r="E116" s="57" t="n"/>
      <c r="F116" s="49" t="n"/>
      <c r="G116" s="49" t="n"/>
      <c r="H116" s="49" t="n"/>
      <c r="I116" s="49" t="n"/>
      <c r="J116" s="49" t="n"/>
      <c r="K116" s="50">
        <f>IF(OR($V116="",$I116="",$J116="",$U116=""),0,ROUND($U116*$J116,2))</f>
        <v/>
      </c>
      <c r="L116" s="50">
        <f>IF($G116="","",ROUND(N($G116)+N($K116),2))</f>
        <v/>
      </c>
      <c r="M116">
        <f>IF(OR($A116="",$B116="",$C116="",$D116="",$E116=""),"",$A116&amp;"|"&amp;$B116&amp;" - "&amp;$C116&amp;"("&amp;$D116&amp;")"&amp;"|"&amp;$E116)</f>
        <v/>
      </c>
      <c r="U116">
        <f>IF(OR($V116="",$I116=""),"",IF($I116&lt;$V116,$I116-$V116,IF($I116&gt;IF($T116="",$V116,$T116),$I116-IF($T116="",$V116,$T116),0)))</f>
        <v/>
      </c>
    </row>
    <row r="117" ht="21" customHeight="1" s="66">
      <c r="A117" s="57" t="n"/>
      <c r="B117" s="57" t="n"/>
      <c r="C117" s="57" t="n"/>
      <c r="D117" s="57" t="n"/>
      <c r="E117" s="57" t="n"/>
      <c r="F117" s="49" t="n"/>
      <c r="G117" s="49" t="n"/>
      <c r="H117" s="49" t="n"/>
      <c r="I117" s="49" t="n"/>
      <c r="J117" s="49" t="n"/>
      <c r="K117" s="50">
        <f>IF(OR($V117="",$I117="",$J117="",$U117=""),0,ROUND($U117*$J117,2))</f>
        <v/>
      </c>
      <c r="L117" s="50">
        <f>IF($G117="","",ROUND(N($G117)+N($K117),2))</f>
        <v/>
      </c>
      <c r="M117">
        <f>IF(OR($A117="",$B117="",$C117="",$D117="",$E117=""),"",$A117&amp;"|"&amp;$B117&amp;" - "&amp;$C117&amp;"("&amp;$D117&amp;")"&amp;"|"&amp;$E117)</f>
        <v/>
      </c>
      <c r="U117">
        <f>IF(OR($V117="",$I117=""),"",IF($I117&lt;$V117,$I117-$V117,IF($I117&gt;IF($T117="",$V117,$T117),$I117-IF($T117="",$V117,$T117),0)))</f>
        <v/>
      </c>
    </row>
    <row r="118" ht="21" customHeight="1" s="66">
      <c r="A118" s="57" t="n"/>
      <c r="B118" s="57" t="n"/>
      <c r="C118" s="57" t="n"/>
      <c r="D118" s="57" t="n"/>
      <c r="E118" s="57" t="n"/>
      <c r="F118" s="49" t="n"/>
      <c r="G118" s="49" t="n"/>
      <c r="H118" s="49" t="n"/>
      <c r="I118" s="49" t="n"/>
      <c r="J118" s="49" t="n"/>
      <c r="K118" s="50">
        <f>IF(OR($V118="",$I118="",$J118="",$U118=""),0,ROUND($U118*$J118,2))</f>
        <v/>
      </c>
      <c r="L118" s="50">
        <f>IF($G118="","",ROUND(N($G118)+N($K118),2))</f>
        <v/>
      </c>
      <c r="M118">
        <f>IF(OR($A118="",$B118="",$C118="",$D118="",$E118=""),"",$A118&amp;"|"&amp;$B118&amp;" - "&amp;$C118&amp;"("&amp;$D118&amp;")"&amp;"|"&amp;$E118)</f>
        <v/>
      </c>
      <c r="U118">
        <f>IF(OR($V118="",$I118=""),"",IF($I118&lt;$V118,$I118-$V118,IF($I118&gt;IF($T118="",$V118,$T118),$I118-IF($T118="",$V118,$T118),0)))</f>
        <v/>
      </c>
    </row>
    <row r="119" ht="21" customHeight="1" s="66">
      <c r="A119" s="57" t="n"/>
      <c r="B119" s="57" t="n"/>
      <c r="C119" s="57" t="n"/>
      <c r="D119" s="57" t="n"/>
      <c r="E119" s="57" t="n"/>
      <c r="F119" s="49" t="n"/>
      <c r="G119" s="49" t="n"/>
      <c r="H119" s="49" t="n"/>
      <c r="I119" s="49" t="n"/>
      <c r="J119" s="49" t="n"/>
      <c r="K119" s="50">
        <f>IF(OR($V119="",$I119="",$J119="",$U119=""),0,ROUND($U119*$J119,2))</f>
        <v/>
      </c>
      <c r="L119" s="50">
        <f>IF($G119="","",ROUND(N($G119)+N($K119),2))</f>
        <v/>
      </c>
      <c r="M119">
        <f>IF(OR($A119="",$B119="",$C119="",$D119="",$E119=""),"",$A119&amp;"|"&amp;$B119&amp;" - "&amp;$C119&amp;"("&amp;$D119&amp;")"&amp;"|"&amp;$E119)</f>
        <v/>
      </c>
      <c r="U119">
        <f>IF(OR($V119="",$I119=""),"",IF($I119&lt;$V119,$I119-$V119,IF($I119&gt;IF($T119="",$V119,$T119),$I119-IF($T119="",$V119,$T119),0)))</f>
        <v/>
      </c>
    </row>
    <row r="120" ht="21" customHeight="1" s="66">
      <c r="A120" s="57" t="n"/>
      <c r="B120" s="57" t="n"/>
      <c r="C120" s="57" t="n"/>
      <c r="D120" s="57" t="n"/>
      <c r="E120" s="57" t="n"/>
      <c r="F120" s="49" t="n"/>
      <c r="G120" s="49" t="n"/>
      <c r="H120" s="49" t="n"/>
      <c r="I120" s="49" t="n"/>
      <c r="J120" s="49" t="n"/>
      <c r="K120" s="50">
        <f>IF(OR($V120="",$I120="",$J120="",$U120=""),0,ROUND($U120*$J120,2))</f>
        <v/>
      </c>
      <c r="L120" s="50">
        <f>IF($G120="","",ROUND(N($G120)+N($K120),2))</f>
        <v/>
      </c>
      <c r="M120">
        <f>IF(OR($A120="",$B120="",$C120="",$D120="",$E120=""),"",$A120&amp;"|"&amp;$B120&amp;" - "&amp;$C120&amp;"("&amp;$D120&amp;")"&amp;"|"&amp;$E120)</f>
        <v/>
      </c>
      <c r="U120">
        <f>IF(OR($V120="",$I120=""),"",IF($I120&lt;$V120,$I120-$V120,IF($I120&gt;IF($T120="",$V120,$T120),$I120-IF($T120="",$V120,$T120),0)))</f>
        <v/>
      </c>
    </row>
    <row r="121" ht="21" customHeight="1" s="66">
      <c r="A121" s="57" t="n"/>
      <c r="B121" s="57" t="n"/>
      <c r="C121" s="57" t="n"/>
      <c r="D121" s="57" t="n"/>
      <c r="E121" s="57" t="n"/>
      <c r="F121" s="49" t="n"/>
      <c r="G121" s="49" t="n"/>
      <c r="H121" s="49" t="n"/>
      <c r="I121" s="49" t="n"/>
      <c r="J121" s="49" t="n"/>
      <c r="K121" s="50">
        <f>IF(OR($V121="",$I121="",$J121="",$U121=""),0,ROUND($U121*$J121,2))</f>
        <v/>
      </c>
      <c r="L121" s="50">
        <f>IF($G121="","",ROUND(N($G121)+N($K121),2))</f>
        <v/>
      </c>
      <c r="M121">
        <f>IF(OR($A121="",$B121="",$C121="",$D121="",$E121=""),"",$A121&amp;"|"&amp;$B121&amp;" - "&amp;$C121&amp;"("&amp;$D121&amp;")"&amp;"|"&amp;$E121)</f>
        <v/>
      </c>
      <c r="U121">
        <f>IF(OR($V121="",$I121=""),"",IF($I121&lt;$V121,$I121-$V121,IF($I121&gt;IF($T121="",$V121,$T121),$I121-IF($T121="",$V121,$T121),0)))</f>
        <v/>
      </c>
    </row>
    <row r="122" ht="21" customHeight="1" s="66">
      <c r="A122" s="57" t="n"/>
      <c r="B122" s="57" t="n"/>
      <c r="C122" s="57" t="n"/>
      <c r="D122" s="57" t="n"/>
      <c r="E122" s="57" t="n"/>
      <c r="F122" s="49" t="n"/>
      <c r="G122" s="49" t="n"/>
      <c r="H122" s="49" t="n"/>
      <c r="I122" s="49" t="n"/>
      <c r="J122" s="49" t="n"/>
      <c r="K122" s="50">
        <f>IF(OR($V122="",$I122="",$J122="",$U122=""),0,ROUND($U122*$J122,2))</f>
        <v/>
      </c>
      <c r="L122" s="50">
        <f>IF($G122="","",ROUND(N($G122)+N($K122),2))</f>
        <v/>
      </c>
      <c r="M122">
        <f>IF(OR($A122="",$B122="",$C122="",$D122="",$E122=""),"",$A122&amp;"|"&amp;$B122&amp;" - "&amp;$C122&amp;"("&amp;$D122&amp;")"&amp;"|"&amp;$E122)</f>
        <v/>
      </c>
      <c r="U122">
        <f>IF(OR($V122="",$I122=""),"",IF($I122&lt;$V122,$I122-$V122,IF($I122&gt;IF($T122="",$V122,$T122),$I122-IF($T122="",$V122,$T122),0)))</f>
        <v/>
      </c>
    </row>
    <row r="123" ht="21" customHeight="1" s="66">
      <c r="A123" s="57" t="n"/>
      <c r="B123" s="57" t="n"/>
      <c r="C123" s="57" t="n"/>
      <c r="D123" s="57" t="n"/>
      <c r="E123" s="57" t="n"/>
      <c r="F123" s="49" t="n"/>
      <c r="G123" s="49" t="n"/>
      <c r="H123" s="49" t="n"/>
      <c r="I123" s="49" t="n"/>
      <c r="J123" s="49" t="n"/>
      <c r="K123" s="50">
        <f>IF(OR($V123="",$I123="",$J123="",$U123=""),0,ROUND($U123*$J123,2))</f>
        <v/>
      </c>
      <c r="L123" s="50">
        <f>IF($G123="","",ROUND(N($G123)+N($K123),2))</f>
        <v/>
      </c>
      <c r="M123">
        <f>IF(OR($A123="",$B123="",$C123="",$D123="",$E123=""),"",$A123&amp;"|"&amp;$B123&amp;" - "&amp;$C123&amp;"("&amp;$D123&amp;")"&amp;"|"&amp;$E123)</f>
        <v/>
      </c>
      <c r="U123">
        <f>IF(OR($V123="",$I123=""),"",IF($I123&lt;$V123,$I123-$V123,IF($I123&gt;IF($T123="",$V123,$T123),$I123-IF($T123="",$V123,$T123),0)))</f>
        <v/>
      </c>
    </row>
    <row r="124" ht="21" customHeight="1" s="66">
      <c r="A124" s="57" t="n"/>
      <c r="B124" s="57" t="n"/>
      <c r="C124" s="57" t="n"/>
      <c r="D124" s="57" t="n"/>
      <c r="E124" s="57" t="n"/>
      <c r="F124" s="49" t="n"/>
      <c r="G124" s="49" t="n"/>
      <c r="H124" s="49" t="n"/>
      <c r="I124" s="49" t="n"/>
      <c r="J124" s="49" t="n"/>
      <c r="K124" s="50">
        <f>IF(OR($V124="",$I124="",$J124="",$U124=""),0,ROUND($U124*$J124,2))</f>
        <v/>
      </c>
      <c r="L124" s="50">
        <f>IF($G124="","",ROUND(N($G124)+N($K124),2))</f>
        <v/>
      </c>
      <c r="M124">
        <f>IF(OR($A124="",$B124="",$C124="",$D124="",$E124=""),"",$A124&amp;"|"&amp;$B124&amp;" - "&amp;$C124&amp;"("&amp;$D124&amp;")"&amp;"|"&amp;$E124)</f>
        <v/>
      </c>
      <c r="U124">
        <f>IF(OR($V124="",$I124=""),"",IF($I124&lt;$V124,$I124-$V124,IF($I124&gt;IF($T124="",$V124,$T124),$I124-IF($T124="",$V124,$T124),0)))</f>
        <v/>
      </c>
    </row>
    <row r="125" ht="21" customHeight="1" s="66">
      <c r="A125" s="57" t="n"/>
      <c r="B125" s="57" t="n"/>
      <c r="C125" s="57" t="n"/>
      <c r="D125" s="57" t="n"/>
      <c r="E125" s="57" t="n"/>
      <c r="F125" s="49" t="n"/>
      <c r="G125" s="49" t="n"/>
      <c r="H125" s="49" t="n"/>
      <c r="I125" s="49" t="n"/>
      <c r="J125" s="49" t="n"/>
      <c r="K125" s="50">
        <f>IF(OR($V125="",$I125="",$J125="",$U125=""),0,ROUND($U125*$J125,2))</f>
        <v/>
      </c>
      <c r="L125" s="50">
        <f>IF($G125="","",ROUND(N($G125)+N($K125),2))</f>
        <v/>
      </c>
      <c r="M125">
        <f>IF(OR($A125="",$B125="",$C125="",$D125="",$E125=""),"",$A125&amp;"|"&amp;$B125&amp;" - "&amp;$C125&amp;"("&amp;$D125&amp;")"&amp;"|"&amp;$E125)</f>
        <v/>
      </c>
      <c r="U125">
        <f>IF(OR($V125="",$I125=""),"",IF($I125&lt;$V125,$I125-$V125,IF($I125&gt;IF($T125="",$V125,$T125),$I125-IF($T125="",$V125,$T125),0)))</f>
        <v/>
      </c>
    </row>
    <row r="126" ht="21" customHeight="1" s="66">
      <c r="A126" s="57" t="n"/>
      <c r="B126" s="57" t="n"/>
      <c r="C126" s="57" t="n"/>
      <c r="D126" s="57" t="n"/>
      <c r="E126" s="57" t="n"/>
      <c r="F126" s="49" t="n"/>
      <c r="G126" s="49" t="n"/>
      <c r="H126" s="49" t="n"/>
      <c r="I126" s="49" t="n"/>
      <c r="J126" s="49" t="n"/>
      <c r="K126" s="50">
        <f>IF(OR($V126="",$I126="",$J126="",$U126=""),0,ROUND($U126*$J126,2))</f>
        <v/>
      </c>
      <c r="L126" s="50">
        <f>IF($G126="","",ROUND(N($G126)+N($K126),2))</f>
        <v/>
      </c>
      <c r="M126">
        <f>IF(OR($A126="",$B126="",$C126="",$D126="",$E126=""),"",$A126&amp;"|"&amp;$B126&amp;" - "&amp;$C126&amp;"("&amp;$D126&amp;")"&amp;"|"&amp;$E126)</f>
        <v/>
      </c>
      <c r="U126">
        <f>IF(OR($V126="",$I126=""),"",IF($I126&lt;$V126,$I126-$V126,IF($I126&gt;IF($T126="",$V126,$T126),$I126-IF($T126="",$V126,$T126),0)))</f>
        <v/>
      </c>
    </row>
    <row r="127" ht="21" customHeight="1" s="66">
      <c r="A127" s="57" t="n"/>
      <c r="B127" s="57" t="n"/>
      <c r="C127" s="57" t="n"/>
      <c r="D127" s="57" t="n"/>
      <c r="E127" s="57" t="n"/>
      <c r="F127" s="49" t="n"/>
      <c r="G127" s="49" t="n"/>
      <c r="H127" s="49" t="n"/>
      <c r="I127" s="49" t="n"/>
      <c r="J127" s="49" t="n"/>
      <c r="K127" s="50">
        <f>IF(OR($V127="",$I127="",$J127="",$U127=""),0,ROUND($U127*$J127,2))</f>
        <v/>
      </c>
      <c r="L127" s="50">
        <f>IF($G127="","",ROUND(N($G127)+N($K127),2))</f>
        <v/>
      </c>
      <c r="M127">
        <f>IF(OR($A127="",$B127="",$C127="",$D127="",$E127=""),"",$A127&amp;"|"&amp;$B127&amp;" - "&amp;$C127&amp;"("&amp;$D127&amp;")"&amp;"|"&amp;$E127)</f>
        <v/>
      </c>
      <c r="U127">
        <f>IF(OR($V127="",$I127=""),"",IF($I127&lt;$V127,$I127-$V127,IF($I127&gt;IF($T127="",$V127,$T127),$I127-IF($T127="",$V127,$T127),0)))</f>
        <v/>
      </c>
    </row>
    <row r="128" ht="21" customHeight="1" s="66">
      <c r="A128" s="57" t="n"/>
      <c r="B128" s="57" t="n"/>
      <c r="C128" s="57" t="n"/>
      <c r="D128" s="57" t="n"/>
      <c r="E128" s="57" t="n"/>
      <c r="F128" s="49" t="n"/>
      <c r="G128" s="49" t="n"/>
      <c r="H128" s="49" t="n"/>
      <c r="I128" s="49" t="n"/>
      <c r="J128" s="49" t="n"/>
      <c r="K128" s="50">
        <f>IF(OR($V128="",$I128="",$J128="",$U128=""),0,ROUND($U128*$J128,2))</f>
        <v/>
      </c>
      <c r="L128" s="50">
        <f>IF($G128="","",ROUND(N($G128)+N($K128),2))</f>
        <v/>
      </c>
      <c r="M128">
        <f>IF(OR($A128="",$B128="",$C128="",$D128="",$E128=""),"",$A128&amp;"|"&amp;$B128&amp;" - "&amp;$C128&amp;"("&amp;$D128&amp;")"&amp;"|"&amp;$E128)</f>
        <v/>
      </c>
      <c r="U128">
        <f>IF(OR($V128="",$I128=""),"",IF($I128&lt;$V128,$I128-$V128,IF($I128&gt;IF($T128="",$V128,$T128),$I128-IF($T128="",$V128,$T128),0)))</f>
        <v/>
      </c>
    </row>
    <row r="129" ht="21" customHeight="1" s="66">
      <c r="A129" s="57" t="n"/>
      <c r="B129" s="57" t="n"/>
      <c r="C129" s="57" t="n"/>
      <c r="D129" s="57" t="n"/>
      <c r="E129" s="57" t="n"/>
      <c r="F129" s="49" t="n"/>
      <c r="G129" s="49" t="n"/>
      <c r="H129" s="49" t="n"/>
      <c r="I129" s="49" t="n"/>
      <c r="J129" s="49" t="n"/>
      <c r="K129" s="50">
        <f>IF(OR($V129="",$I129="",$J129="",$U129=""),0,ROUND($U129*$J129,2))</f>
        <v/>
      </c>
      <c r="L129" s="50">
        <f>IF($G129="","",ROUND(N($G129)+N($K129),2))</f>
        <v/>
      </c>
      <c r="M129">
        <f>IF(OR($A129="",$B129="",$C129="",$D129="",$E129=""),"",$A129&amp;"|"&amp;$B129&amp;" - "&amp;$C129&amp;"("&amp;$D129&amp;")"&amp;"|"&amp;$E129)</f>
        <v/>
      </c>
      <c r="U129">
        <f>IF(OR($V129="",$I129=""),"",IF($I129&lt;$V129,$I129-$V129,IF($I129&gt;IF($T129="",$V129,$T129),$I129-IF($T129="",$V129,$T129),0)))</f>
        <v/>
      </c>
    </row>
    <row r="130" ht="21" customHeight="1" s="66">
      <c r="A130" s="57" t="n"/>
      <c r="B130" s="57" t="n"/>
      <c r="C130" s="57" t="n"/>
      <c r="D130" s="57" t="n"/>
      <c r="E130" s="57" t="n"/>
      <c r="F130" s="49" t="n"/>
      <c r="G130" s="49" t="n"/>
      <c r="H130" s="49" t="n"/>
      <c r="I130" s="49" t="n"/>
      <c r="J130" s="49" t="n"/>
      <c r="K130" s="50">
        <f>IF(OR($V130="",$I130="",$J130="",$U130=""),0,ROUND($U130*$J130,2))</f>
        <v/>
      </c>
      <c r="L130" s="50">
        <f>IF($G130="","",ROUND(N($G130)+N($K130),2))</f>
        <v/>
      </c>
      <c r="M130">
        <f>IF(OR($A130="",$B130="",$C130="",$D130="",$E130=""),"",$A130&amp;"|"&amp;$B130&amp;" - "&amp;$C130&amp;"("&amp;$D130&amp;")"&amp;"|"&amp;$E130)</f>
        <v/>
      </c>
      <c r="U130">
        <f>IF(OR($V130="",$I130=""),"",IF($I130&lt;$V130,$I130-$V130,IF($I130&gt;IF($T130="",$V130,$T130),$I130-IF($T130="",$V130,$T130),0)))</f>
        <v/>
      </c>
    </row>
    <row r="131" ht="21" customHeight="1" s="66">
      <c r="A131" s="57" t="n"/>
      <c r="B131" s="57" t="n"/>
      <c r="C131" s="57" t="n"/>
      <c r="D131" s="57" t="n"/>
      <c r="E131" s="57" t="n"/>
      <c r="F131" s="49" t="n"/>
      <c r="G131" s="49" t="n"/>
      <c r="H131" s="49" t="n"/>
      <c r="I131" s="49" t="n"/>
      <c r="J131" s="49" t="n"/>
      <c r="K131" s="50">
        <f>IF(OR($V131="",$I131="",$J131="",$U131=""),0,ROUND($U131*$J131,2))</f>
        <v/>
      </c>
      <c r="L131" s="50">
        <f>IF($G131="","",ROUND(N($G131)+N($K131),2))</f>
        <v/>
      </c>
      <c r="M131">
        <f>IF(OR($A131="",$B131="",$C131="",$D131="",$E131=""),"",$A131&amp;"|"&amp;$B131&amp;" - "&amp;$C131&amp;"("&amp;$D131&amp;")"&amp;"|"&amp;$E131)</f>
        <v/>
      </c>
      <c r="U131">
        <f>IF(OR($V131="",$I131=""),"",IF($I131&lt;$V131,$I131-$V131,IF($I131&gt;IF($T131="",$V131,$T131),$I131-IF($T131="",$V131,$T131),0)))</f>
        <v/>
      </c>
    </row>
    <row r="132" ht="21" customHeight="1" s="66">
      <c r="A132" s="57" t="n"/>
      <c r="B132" s="57" t="n"/>
      <c r="C132" s="57" t="n"/>
      <c r="D132" s="57" t="n"/>
      <c r="E132" s="57" t="n"/>
      <c r="F132" s="49" t="n"/>
      <c r="G132" s="49" t="n"/>
      <c r="H132" s="49" t="n"/>
      <c r="I132" s="49" t="n"/>
      <c r="J132" s="49" t="n"/>
      <c r="K132" s="50">
        <f>IF(OR($V132="",$I132="",$J132="",$U132=""),0,ROUND($U132*$J132,2))</f>
        <v/>
      </c>
      <c r="L132" s="50">
        <f>IF($G132="","",ROUND(N($G132)+N($K132),2))</f>
        <v/>
      </c>
      <c r="M132">
        <f>IF(OR($A132="",$B132="",$C132="",$D132="",$E132=""),"",$A132&amp;"|"&amp;$B132&amp;" - "&amp;$C132&amp;"("&amp;$D132&amp;")"&amp;"|"&amp;$E132)</f>
        <v/>
      </c>
      <c r="U132">
        <f>IF(OR($V132="",$I132=""),"",IF($I132&lt;$V132,$I132-$V132,IF($I132&gt;IF($T132="",$V132,$T132),$I132-IF($T132="",$V132,$T132),0)))</f>
        <v/>
      </c>
    </row>
    <row r="133" ht="21" customHeight="1" s="66">
      <c r="A133" s="57" t="n"/>
      <c r="B133" s="57" t="n"/>
      <c r="C133" s="57" t="n"/>
      <c r="D133" s="57" t="n"/>
      <c r="E133" s="57" t="n"/>
      <c r="F133" s="49" t="n"/>
      <c r="G133" s="49" t="n"/>
      <c r="H133" s="49" t="n"/>
      <c r="I133" s="49" t="n"/>
      <c r="J133" s="49" t="n"/>
      <c r="K133" s="50">
        <f>IF(OR($V133="",$I133="",$J133="",$U133=""),0,ROUND($U133*$J133,2))</f>
        <v/>
      </c>
      <c r="L133" s="50">
        <f>IF($G133="","",ROUND(N($G133)+N($K133),2))</f>
        <v/>
      </c>
      <c r="M133">
        <f>IF(OR($A133="",$B133="",$C133="",$D133="",$E133=""),"",$A133&amp;"|"&amp;$B133&amp;" - "&amp;$C133&amp;"("&amp;$D133&amp;")"&amp;"|"&amp;$E133)</f>
        <v/>
      </c>
      <c r="U133">
        <f>IF(OR($V133="",$I133=""),"",IF($I133&lt;$V133,$I133-$V133,IF($I133&gt;IF($T133="",$V133,$T133),$I133-IF($T133="",$V133,$T133),0)))</f>
        <v/>
      </c>
    </row>
    <row r="134" ht="21" customHeight="1" s="66">
      <c r="A134" s="57" t="n"/>
      <c r="B134" s="57" t="n"/>
      <c r="C134" s="57" t="n"/>
      <c r="D134" s="57" t="n"/>
      <c r="E134" s="57" t="n"/>
      <c r="F134" s="49" t="n"/>
      <c r="G134" s="49" t="n"/>
      <c r="H134" s="49" t="n"/>
      <c r="I134" s="49" t="n"/>
      <c r="J134" s="49" t="n"/>
      <c r="K134" s="50">
        <f>IF(OR($V134="",$I134="",$J134="",$U134=""),0,ROUND($U134*$J134,2))</f>
        <v/>
      </c>
      <c r="L134" s="50">
        <f>IF($G134="","",ROUND(N($G134)+N($K134),2))</f>
        <v/>
      </c>
      <c r="M134">
        <f>IF(OR($A134="",$B134="",$C134="",$D134="",$E134=""),"",$A134&amp;"|"&amp;$B134&amp;" - "&amp;$C134&amp;"("&amp;$D134&amp;")"&amp;"|"&amp;$E134)</f>
        <v/>
      </c>
      <c r="U134">
        <f>IF(OR($V134="",$I134=""),"",IF($I134&lt;$V134,$I134-$V134,IF($I134&gt;IF($T134="",$V134,$T134),$I134-IF($T134="",$V134,$T134),0)))</f>
        <v/>
      </c>
    </row>
    <row r="135" ht="21" customHeight="1" s="66">
      <c r="A135" s="57" t="n"/>
      <c r="B135" s="57" t="n"/>
      <c r="C135" s="57" t="n"/>
      <c r="D135" s="57" t="n"/>
      <c r="E135" s="57" t="n"/>
      <c r="F135" s="49" t="n"/>
      <c r="G135" s="49" t="n"/>
      <c r="H135" s="49" t="n"/>
      <c r="I135" s="49" t="n"/>
      <c r="J135" s="49" t="n"/>
      <c r="K135" s="50">
        <f>IF(OR($V135="",$I135="",$J135="",$U135=""),0,ROUND($U135*$J135,2))</f>
        <v/>
      </c>
      <c r="L135" s="50">
        <f>IF($G135="","",ROUND(N($G135)+N($K135),2))</f>
        <v/>
      </c>
      <c r="M135">
        <f>IF(OR($A135="",$B135="",$C135="",$D135="",$E135=""),"",$A135&amp;"|"&amp;$B135&amp;" - "&amp;$C135&amp;"("&amp;$D135&amp;")"&amp;"|"&amp;$E135)</f>
        <v/>
      </c>
      <c r="U135">
        <f>IF(OR($V135="",$I135=""),"",IF($I135&lt;$V135,$I135-$V135,IF($I135&gt;IF($T135="",$V135,$T135),$I135-IF($T135="",$V135,$T135),0)))</f>
        <v/>
      </c>
    </row>
    <row r="136" ht="21" customHeight="1" s="66">
      <c r="A136" s="57" t="n"/>
      <c r="B136" s="57" t="n"/>
      <c r="C136" s="57" t="n"/>
      <c r="D136" s="57" t="n"/>
      <c r="E136" s="57" t="n"/>
      <c r="F136" s="49" t="n"/>
      <c r="G136" s="49" t="n"/>
      <c r="H136" s="49" t="n"/>
      <c r="I136" s="49" t="n"/>
      <c r="J136" s="49" t="n"/>
      <c r="K136" s="50">
        <f>IF(OR($V136="",$I136="",$J136="",$U136=""),0,ROUND($U136*$J136,2))</f>
        <v/>
      </c>
      <c r="L136" s="50">
        <f>IF($G136="","",ROUND(N($G136)+N($K136),2))</f>
        <v/>
      </c>
      <c r="M136">
        <f>IF(OR($A136="",$B136="",$C136="",$D136="",$E136=""),"",$A136&amp;"|"&amp;$B136&amp;" - "&amp;$C136&amp;"("&amp;$D136&amp;")"&amp;"|"&amp;$E136)</f>
        <v/>
      </c>
      <c r="U136">
        <f>IF(OR($V136="",$I136=""),"",IF($I136&lt;$V136,$I136-$V136,IF($I136&gt;IF($T136="",$V136,$T136),$I136-IF($T136="",$V136,$T136),0)))</f>
        <v/>
      </c>
    </row>
    <row r="137" ht="21" customHeight="1" s="66">
      <c r="A137" s="57" t="n"/>
      <c r="B137" s="57" t="n"/>
      <c r="C137" s="57" t="n"/>
      <c r="D137" s="57" t="n"/>
      <c r="E137" s="57" t="n"/>
      <c r="F137" s="49" t="n"/>
      <c r="G137" s="49" t="n"/>
      <c r="H137" s="49" t="n"/>
      <c r="I137" s="49" t="n"/>
      <c r="J137" s="49" t="n"/>
      <c r="K137" s="50">
        <f>IF(OR($V137="",$I137="",$J137="",$U137=""),0,ROUND($U137*$J137,2))</f>
        <v/>
      </c>
      <c r="L137" s="50">
        <f>IF($G137="","",ROUND(N($G137)+N($K137),2))</f>
        <v/>
      </c>
      <c r="M137">
        <f>IF(OR($A137="",$B137="",$C137="",$D137="",$E137=""),"",$A137&amp;"|"&amp;$B137&amp;" - "&amp;$C137&amp;"("&amp;$D137&amp;")"&amp;"|"&amp;$E137)</f>
        <v/>
      </c>
      <c r="U137">
        <f>IF(OR($V137="",$I137=""),"",IF($I137&lt;$V137,$I137-$V137,IF($I137&gt;IF($T137="",$V137,$T137),$I137-IF($T137="",$V137,$T137),0)))</f>
        <v/>
      </c>
    </row>
    <row r="138" ht="21" customHeight="1" s="66">
      <c r="A138" s="57" t="n"/>
      <c r="B138" s="57" t="n"/>
      <c r="C138" s="57" t="n"/>
      <c r="D138" s="57" t="n"/>
      <c r="E138" s="57" t="n"/>
      <c r="F138" s="49" t="n"/>
      <c r="G138" s="49" t="n"/>
      <c r="H138" s="49" t="n"/>
      <c r="I138" s="49" t="n"/>
      <c r="J138" s="49" t="n"/>
      <c r="K138" s="50">
        <f>IF(OR($V138="",$I138="",$J138="",$U138=""),0,ROUND($U138*$J138,2))</f>
        <v/>
      </c>
      <c r="L138" s="50">
        <f>IF($G138="","",ROUND(N($G138)+N($K138),2))</f>
        <v/>
      </c>
      <c r="M138">
        <f>IF(OR($A138="",$B138="",$C138="",$D138="",$E138=""),"",$A138&amp;"|"&amp;$B138&amp;" - "&amp;$C138&amp;"("&amp;$D138&amp;")"&amp;"|"&amp;$E138)</f>
        <v/>
      </c>
      <c r="U138">
        <f>IF(OR($V138="",$I138=""),"",IF($I138&lt;$V138,$I138-$V138,IF($I138&gt;IF($T138="",$V138,$T138),$I138-IF($T138="",$V138,$T138),0)))</f>
        <v/>
      </c>
    </row>
    <row r="139" ht="21" customHeight="1" s="66">
      <c r="A139" s="57" t="n"/>
      <c r="B139" s="57" t="n"/>
      <c r="C139" s="57" t="n"/>
      <c r="D139" s="57" t="n"/>
      <c r="E139" s="57" t="n"/>
      <c r="F139" s="49" t="n"/>
      <c r="G139" s="49" t="n"/>
      <c r="H139" s="49" t="n"/>
      <c r="I139" s="49" t="n"/>
      <c r="J139" s="49" t="n"/>
      <c r="K139" s="50">
        <f>IF(OR($V139="",$I139="",$J139="",$U139=""),0,ROUND($U139*$J139,2))</f>
        <v/>
      </c>
      <c r="L139" s="50">
        <f>IF($G139="","",ROUND(N($G139)+N($K139),2))</f>
        <v/>
      </c>
      <c r="M139">
        <f>IF(OR($A139="",$B139="",$C139="",$D139="",$E139=""),"",$A139&amp;"|"&amp;$B139&amp;" - "&amp;$C139&amp;"("&amp;$D139&amp;")"&amp;"|"&amp;$E139)</f>
        <v/>
      </c>
      <c r="U139">
        <f>IF(OR($V139="",$I139=""),"",IF($I139&lt;$V139,$I139-$V139,IF($I139&gt;IF($T139="",$V139,$T139),$I139-IF($T139="",$V139,$T139),0)))</f>
        <v/>
      </c>
    </row>
    <row r="140" ht="21" customHeight="1" s="66">
      <c r="A140" s="57" t="n"/>
      <c r="B140" s="57" t="n"/>
      <c r="C140" s="57" t="n"/>
      <c r="D140" s="57" t="n"/>
      <c r="E140" s="57" t="n"/>
      <c r="F140" s="49" t="n"/>
      <c r="G140" s="49" t="n"/>
      <c r="H140" s="49" t="n"/>
      <c r="I140" s="49" t="n"/>
      <c r="J140" s="49" t="n"/>
      <c r="K140" s="50">
        <f>IF(OR($V140="",$I140="",$J140="",$U140=""),0,ROUND($U140*$J140,2))</f>
        <v/>
      </c>
      <c r="L140" s="50">
        <f>IF($G140="","",ROUND(N($G140)+N($K140),2))</f>
        <v/>
      </c>
      <c r="M140">
        <f>IF(OR($A140="",$B140="",$C140="",$D140="",$E140=""),"",$A140&amp;"|"&amp;$B140&amp;" - "&amp;$C140&amp;"("&amp;$D140&amp;")"&amp;"|"&amp;$E140)</f>
        <v/>
      </c>
      <c r="U140">
        <f>IF(OR($V140="",$I140=""),"",IF($I140&lt;$V140,$I140-$V140,IF($I140&gt;IF($T140="",$V140,$T140),$I140-IF($T140="",$V140,$T140),0)))</f>
        <v/>
      </c>
    </row>
    <row r="141" ht="21" customHeight="1" s="66">
      <c r="A141" s="57" t="n"/>
      <c r="B141" s="57" t="n"/>
      <c r="C141" s="57" t="n"/>
      <c r="D141" s="57" t="n"/>
      <c r="E141" s="57" t="n"/>
      <c r="F141" s="49" t="n"/>
      <c r="G141" s="49" t="n"/>
      <c r="H141" s="49" t="n"/>
      <c r="I141" s="49" t="n"/>
      <c r="J141" s="49" t="n"/>
      <c r="K141" s="50">
        <f>IF(OR($V141="",$I141="",$J141="",$U141=""),0,ROUND($U141*$J141,2))</f>
        <v/>
      </c>
      <c r="L141" s="50">
        <f>IF($G141="","",ROUND(N($G141)+N($K141),2))</f>
        <v/>
      </c>
      <c r="M141">
        <f>IF(OR($A141="",$B141="",$C141="",$D141="",$E141=""),"",$A141&amp;"|"&amp;$B141&amp;" - "&amp;$C141&amp;"("&amp;$D141&amp;")"&amp;"|"&amp;$E141)</f>
        <v/>
      </c>
      <c r="U141">
        <f>IF(OR($V141="",$I141=""),"",IF($I141&lt;$V141,$I141-$V141,IF($I141&gt;IF($T141="",$V141,$T141),$I141-IF($T141="",$V141,$T141),0)))</f>
        <v/>
      </c>
    </row>
    <row r="142" ht="21" customHeight="1" s="66">
      <c r="A142" s="57" t="n"/>
      <c r="B142" s="57" t="n"/>
      <c r="C142" s="57" t="n"/>
      <c r="D142" s="57" t="n"/>
      <c r="E142" s="57" t="n"/>
      <c r="F142" s="49" t="n"/>
      <c r="G142" s="49" t="n"/>
      <c r="H142" s="49" t="n"/>
      <c r="I142" s="49" t="n"/>
      <c r="J142" s="49" t="n"/>
      <c r="K142" s="50">
        <f>IF(OR($V142="",$I142="",$J142="",$U142=""),0,ROUND($U142*$J142,2))</f>
        <v/>
      </c>
      <c r="L142" s="50">
        <f>IF($G142="","",ROUND(N($G142)+N($K142),2))</f>
        <v/>
      </c>
      <c r="M142">
        <f>IF(OR($A142="",$B142="",$C142="",$D142="",$E142=""),"",$A142&amp;"|"&amp;$B142&amp;" - "&amp;$C142&amp;"("&amp;$D142&amp;")"&amp;"|"&amp;$E142)</f>
        <v/>
      </c>
      <c r="U142">
        <f>IF(OR($V142="",$I142=""),"",IF($I142&lt;$V142,$I142-$V142,IF($I142&gt;IF($T142="",$V142,$T142),$I142-IF($T142="",$V142,$T142),0)))</f>
        <v/>
      </c>
    </row>
    <row r="143" ht="21" customHeight="1" s="66">
      <c r="A143" s="57" t="n"/>
      <c r="B143" s="57" t="n"/>
      <c r="C143" s="57" t="n"/>
      <c r="D143" s="57" t="n"/>
      <c r="E143" s="57" t="n"/>
      <c r="F143" s="49" t="n"/>
      <c r="G143" s="49" t="n"/>
      <c r="H143" s="49" t="n"/>
      <c r="I143" s="49" t="n"/>
      <c r="J143" s="49" t="n"/>
      <c r="K143" s="50">
        <f>IF(OR($V143="",$I143="",$J143="",$U143=""),0,ROUND($U143*$J143,2))</f>
        <v/>
      </c>
      <c r="L143" s="50">
        <f>IF($G143="","",ROUND(N($G143)+N($K143),2))</f>
        <v/>
      </c>
      <c r="M143">
        <f>IF(OR($A143="",$B143="",$C143="",$D143="",$E143=""),"",$A143&amp;"|"&amp;$B143&amp;" - "&amp;$C143&amp;"("&amp;$D143&amp;")"&amp;"|"&amp;$E143)</f>
        <v/>
      </c>
      <c r="U143">
        <f>IF(OR($V143="",$I143=""),"",IF($I143&lt;$V143,$I143-$V143,IF($I143&gt;IF($T143="",$V143,$T143),$I143-IF($T143="",$V143,$T143),0)))</f>
        <v/>
      </c>
    </row>
    <row r="144" ht="21" customHeight="1" s="66">
      <c r="A144" s="57" t="n"/>
      <c r="B144" s="57" t="n"/>
      <c r="C144" s="57" t="n"/>
      <c r="D144" s="57" t="n"/>
      <c r="E144" s="57" t="n"/>
      <c r="F144" s="49" t="n"/>
      <c r="G144" s="49" t="n"/>
      <c r="H144" s="49" t="n"/>
      <c r="I144" s="49" t="n"/>
      <c r="J144" s="49" t="n"/>
      <c r="K144" s="50">
        <f>IF(OR($V144="",$I144="",$J144="",$U144=""),0,ROUND($U144*$J144,2))</f>
        <v/>
      </c>
      <c r="L144" s="50">
        <f>IF($G144="","",ROUND(N($G144)+N($K144),2))</f>
        <v/>
      </c>
      <c r="M144">
        <f>IF(OR($A144="",$B144="",$C144="",$D144="",$E144=""),"",$A144&amp;"|"&amp;$B144&amp;" - "&amp;$C144&amp;"("&amp;$D144&amp;")"&amp;"|"&amp;$E144)</f>
        <v/>
      </c>
      <c r="U144">
        <f>IF(OR($V144="",$I144=""),"",IF($I144&lt;$V144,$I144-$V144,IF($I144&gt;IF($T144="",$V144,$T144),$I144-IF($T144="",$V144,$T144),0)))</f>
        <v/>
      </c>
    </row>
    <row r="145" ht="21" customHeight="1" s="66">
      <c r="A145" s="57" t="n"/>
      <c r="B145" s="57" t="n"/>
      <c r="C145" s="57" t="n"/>
      <c r="D145" s="57" t="n"/>
      <c r="E145" s="57" t="n"/>
      <c r="F145" s="49" t="n"/>
      <c r="G145" s="49" t="n"/>
      <c r="H145" s="49" t="n"/>
      <c r="I145" s="49" t="n"/>
      <c r="J145" s="49" t="n"/>
      <c r="K145" s="50">
        <f>IF(OR($V145="",$I145="",$J145="",$U145=""),0,ROUND($U145*$J145,2))</f>
        <v/>
      </c>
      <c r="L145" s="50">
        <f>IF($G145="","",ROUND(N($G145)+N($K145),2))</f>
        <v/>
      </c>
      <c r="M145">
        <f>IF(OR($A145="",$B145="",$C145="",$D145="",$E145=""),"",$A145&amp;"|"&amp;$B145&amp;" - "&amp;$C145&amp;"("&amp;$D145&amp;")"&amp;"|"&amp;$E145)</f>
        <v/>
      </c>
      <c r="U145">
        <f>IF(OR($V145="",$I145=""),"",IF($I145&lt;$V145,$I145-$V145,IF($I145&gt;IF($T145="",$V145,$T145),$I145-IF($T145="",$V145,$T145),0)))</f>
        <v/>
      </c>
    </row>
    <row r="146" ht="21" customHeight="1" s="66">
      <c r="A146" s="57" t="n"/>
      <c r="B146" s="57" t="n"/>
      <c r="C146" s="57" t="n"/>
      <c r="D146" s="57" t="n"/>
      <c r="E146" s="57" t="n"/>
      <c r="F146" s="49" t="n"/>
      <c r="G146" s="49" t="n"/>
      <c r="H146" s="49" t="n"/>
      <c r="I146" s="49" t="n"/>
      <c r="J146" s="49" t="n"/>
      <c r="K146" s="50">
        <f>IF(OR($V146="",$I146="",$J146="",$U146=""),0,ROUND($U146*$J146,2))</f>
        <v/>
      </c>
      <c r="L146" s="50">
        <f>IF($G146="","",ROUND(N($G146)+N($K146),2))</f>
        <v/>
      </c>
      <c r="M146">
        <f>IF(OR($A146="",$B146="",$C146="",$D146="",$E146=""),"",$A146&amp;"|"&amp;$B146&amp;" - "&amp;$C146&amp;"("&amp;$D146&amp;")"&amp;"|"&amp;$E146)</f>
        <v/>
      </c>
      <c r="U146">
        <f>IF(OR($V146="",$I146=""),"",IF($I146&lt;$V146,$I146-$V146,IF($I146&gt;IF($T146="",$V146,$T146),$I146-IF($T146="",$V146,$T146),0)))</f>
        <v/>
      </c>
    </row>
    <row r="147" ht="21" customHeight="1" s="66">
      <c r="A147" s="57" t="n"/>
      <c r="B147" s="57" t="n"/>
      <c r="C147" s="57" t="n"/>
      <c r="D147" s="57" t="n"/>
      <c r="E147" s="57" t="n"/>
      <c r="F147" s="49" t="n"/>
      <c r="G147" s="49" t="n"/>
      <c r="H147" s="49" t="n"/>
      <c r="I147" s="49" t="n"/>
      <c r="J147" s="49" t="n"/>
      <c r="K147" s="50">
        <f>IF(OR($V147="",$I147="",$J147="",$U147=""),0,ROUND($U147*$J147,2))</f>
        <v/>
      </c>
      <c r="L147" s="50">
        <f>IF($G147="","",ROUND(N($G147)+N($K147),2))</f>
        <v/>
      </c>
      <c r="M147">
        <f>IF(OR($A147="",$B147="",$C147="",$D147="",$E147=""),"",$A147&amp;"|"&amp;$B147&amp;" - "&amp;$C147&amp;"("&amp;$D147&amp;")"&amp;"|"&amp;$E147)</f>
        <v/>
      </c>
      <c r="U147">
        <f>IF(OR($V147="",$I147=""),"",IF($I147&lt;$V147,$I147-$V147,IF($I147&gt;IF($T147="",$V147,$T147),$I147-IF($T147="",$V147,$T147),0)))</f>
        <v/>
      </c>
    </row>
    <row r="148" ht="21" customHeight="1" s="66">
      <c r="A148" s="57" t="n"/>
      <c r="B148" s="57" t="n"/>
      <c r="C148" s="57" t="n"/>
      <c r="D148" s="57" t="n"/>
      <c r="E148" s="57" t="n"/>
      <c r="F148" s="49" t="n"/>
      <c r="G148" s="49" t="n"/>
      <c r="H148" s="49" t="n"/>
      <c r="I148" s="49" t="n"/>
      <c r="J148" s="49" t="n"/>
      <c r="K148" s="50">
        <f>IF(OR($V148="",$I148="",$J148="",$U148=""),0,ROUND($U148*$J148,2))</f>
        <v/>
      </c>
      <c r="L148" s="50">
        <f>IF($G148="","",ROUND(N($G148)+N($K148),2))</f>
        <v/>
      </c>
      <c r="M148">
        <f>IF(OR($A148="",$B148="",$C148="",$D148="",$E148=""),"",$A148&amp;"|"&amp;$B148&amp;" - "&amp;$C148&amp;"("&amp;$D148&amp;")"&amp;"|"&amp;$E148)</f>
        <v/>
      </c>
      <c r="U148">
        <f>IF(OR($V148="",$I148=""),"",IF($I148&lt;$V148,$I148-$V148,IF($I148&gt;IF($T148="",$V148,$T148),$I148-IF($T148="",$V148,$T148),0)))</f>
        <v/>
      </c>
    </row>
    <row r="149" ht="21" customHeight="1" s="66">
      <c r="A149" s="57" t="n"/>
      <c r="B149" s="57" t="n"/>
      <c r="C149" s="57" t="n"/>
      <c r="D149" s="57" t="n"/>
      <c r="E149" s="57" t="n"/>
      <c r="F149" s="49" t="n"/>
      <c r="G149" s="49" t="n"/>
      <c r="H149" s="49" t="n"/>
      <c r="I149" s="49" t="n"/>
      <c r="J149" s="49" t="n"/>
      <c r="K149" s="50">
        <f>IF(OR($V149="",$I149="",$J149="",$U149=""),0,ROUND($U149*$J149,2))</f>
        <v/>
      </c>
      <c r="L149" s="50">
        <f>IF($G149="","",ROUND(N($G149)+N($K149),2))</f>
        <v/>
      </c>
      <c r="M149">
        <f>IF(OR($A149="",$B149="",$C149="",$D149="",$E149=""),"",$A149&amp;"|"&amp;$B149&amp;" - "&amp;$C149&amp;"("&amp;$D149&amp;")"&amp;"|"&amp;$E149)</f>
        <v/>
      </c>
      <c r="U149">
        <f>IF(OR($V149="",$I149=""),"",IF($I149&lt;$V149,$I149-$V149,IF($I149&gt;IF($T149="",$V149,$T149),$I149-IF($T149="",$V149,$T149),0)))</f>
        <v/>
      </c>
    </row>
    <row r="150" ht="21" customHeight="1" s="66">
      <c r="A150" s="57" t="n"/>
      <c r="B150" s="57" t="n"/>
      <c r="C150" s="57" t="n"/>
      <c r="D150" s="57" t="n"/>
      <c r="E150" s="57" t="n"/>
      <c r="F150" s="49" t="n"/>
      <c r="G150" s="49" t="n"/>
      <c r="H150" s="49" t="n"/>
      <c r="I150" s="49" t="n"/>
      <c r="J150" s="49" t="n"/>
      <c r="K150" s="50">
        <f>IF(OR($V150="",$I150="",$J150="",$U150=""),0,ROUND($U150*$J150,2))</f>
        <v/>
      </c>
      <c r="L150" s="50">
        <f>IF($G150="","",ROUND(N($G150)+N($K150),2))</f>
        <v/>
      </c>
      <c r="M150">
        <f>IF(OR($A150="",$B150="",$C150="",$D150="",$E150=""),"",$A150&amp;"|"&amp;$B150&amp;" - "&amp;$C150&amp;"("&amp;$D150&amp;")"&amp;"|"&amp;$E150)</f>
        <v/>
      </c>
      <c r="U150">
        <f>IF(OR($V150="",$I150=""),"",IF($I150&lt;$V150,$I150-$V150,IF($I150&gt;IF($T150="",$V150,$T150),$I150-IF($T150="",$V150,$T150),0)))</f>
        <v/>
      </c>
    </row>
    <row r="151" ht="21" customHeight="1" s="66">
      <c r="A151" s="57" t="n"/>
      <c r="B151" s="57" t="n"/>
      <c r="C151" s="57" t="n"/>
      <c r="D151" s="57" t="n"/>
      <c r="E151" s="57" t="n"/>
      <c r="F151" s="49" t="n"/>
      <c r="G151" s="49" t="n"/>
      <c r="H151" s="49" t="n"/>
      <c r="I151" s="49" t="n"/>
      <c r="J151" s="49" t="n"/>
      <c r="K151" s="50">
        <f>IF(OR($V151="",$I151="",$J151="",$U151=""),0,ROUND($U151*$J151,2))</f>
        <v/>
      </c>
      <c r="L151" s="50">
        <f>IF($G151="","",ROUND(N($G151)+N($K151),2))</f>
        <v/>
      </c>
      <c r="M151">
        <f>IF(OR($A151="",$B151="",$C151="",$D151="",$E151=""),"",$A151&amp;"|"&amp;$B151&amp;" - "&amp;$C151&amp;"("&amp;$D151&amp;")"&amp;"|"&amp;$E151)</f>
        <v/>
      </c>
      <c r="U151">
        <f>IF(OR($V151="",$I151=""),"",IF($I151&lt;$V151,$I151-$V151,IF($I151&gt;IF($T151="",$V151,$T151),$I151-IF($T151="",$V151,$T151),0)))</f>
        <v/>
      </c>
    </row>
    <row r="152" ht="21" customHeight="1" s="66">
      <c r="A152" s="57" t="n"/>
      <c r="B152" s="57" t="n"/>
      <c r="C152" s="57" t="n"/>
      <c r="D152" s="57" t="n"/>
      <c r="E152" s="57" t="n"/>
      <c r="F152" s="49" t="n"/>
      <c r="G152" s="49" t="n"/>
      <c r="H152" s="49" t="n"/>
      <c r="I152" s="49" t="n"/>
      <c r="J152" s="49" t="n"/>
      <c r="K152" s="50">
        <f>IF(OR($V152="",$I152="",$J152="",$U152=""),0,ROUND($U152*$J152,2))</f>
        <v/>
      </c>
      <c r="L152" s="50">
        <f>IF($G152="","",ROUND(N($G152)+N($K152),2))</f>
        <v/>
      </c>
      <c r="M152">
        <f>IF(OR($A152="",$B152="",$C152="",$D152="",$E152=""),"",$A152&amp;"|"&amp;$B152&amp;" - "&amp;$C152&amp;"("&amp;$D152&amp;")"&amp;"|"&amp;$E152)</f>
        <v/>
      </c>
      <c r="U152">
        <f>IF(OR($V152="",$I152=""),"",IF($I152&lt;$V152,$I152-$V152,IF($I152&gt;IF($T152="",$V152,$T152),$I152-IF($T152="",$V152,$T152),0)))</f>
        <v/>
      </c>
    </row>
    <row r="153" ht="21" customHeight="1" s="66">
      <c r="A153" s="57" t="n"/>
      <c r="B153" s="57" t="n"/>
      <c r="C153" s="57" t="n"/>
      <c r="D153" s="57" t="n"/>
      <c r="E153" s="57" t="n"/>
      <c r="F153" s="49" t="n"/>
      <c r="G153" s="49" t="n"/>
      <c r="H153" s="49" t="n"/>
      <c r="I153" s="49" t="n"/>
      <c r="J153" s="49" t="n"/>
      <c r="K153" s="50">
        <f>IF(OR($V153="",$I153="",$J153="",$U153=""),0,ROUND($U153*$J153,2))</f>
        <v/>
      </c>
      <c r="L153" s="50">
        <f>IF($G153="","",ROUND(N($G153)+N($K153),2))</f>
        <v/>
      </c>
      <c r="M153">
        <f>IF(OR($A153="",$B153="",$C153="",$D153="",$E153=""),"",$A153&amp;"|"&amp;$B153&amp;" - "&amp;$C153&amp;"("&amp;$D153&amp;")"&amp;"|"&amp;$E153)</f>
        <v/>
      </c>
      <c r="U153">
        <f>IF(OR($V153="",$I153=""),"",IF($I153&lt;$V153,$I153-$V153,IF($I153&gt;IF($T153="",$V153,$T153),$I153-IF($T153="",$V153,$T153),0)))</f>
        <v/>
      </c>
    </row>
    <row r="154" ht="21" customHeight="1" s="66">
      <c r="A154" s="57" t="n"/>
      <c r="B154" s="57" t="n"/>
      <c r="C154" s="57" t="n"/>
      <c r="D154" s="57" t="n"/>
      <c r="E154" s="57" t="n"/>
      <c r="F154" s="49" t="n"/>
      <c r="G154" s="49" t="n"/>
      <c r="H154" s="49" t="n"/>
      <c r="I154" s="49" t="n"/>
      <c r="J154" s="49" t="n"/>
      <c r="K154" s="50">
        <f>IF(OR($V154="",$I154="",$J154="",$U154=""),0,ROUND($U154*$J154,2))</f>
        <v/>
      </c>
      <c r="L154" s="50">
        <f>IF($G154="","",ROUND(N($G154)+N($K154),2))</f>
        <v/>
      </c>
      <c r="M154">
        <f>IF(OR($A154="",$B154="",$C154="",$D154="",$E154=""),"",$A154&amp;"|"&amp;$B154&amp;" - "&amp;$C154&amp;"("&amp;$D154&amp;")"&amp;"|"&amp;$E154)</f>
        <v/>
      </c>
      <c r="U154">
        <f>IF(OR($V154="",$I154=""),"",IF($I154&lt;$V154,$I154-$V154,IF($I154&gt;IF($T154="",$V154,$T154),$I154-IF($T154="",$V154,$T154),0)))</f>
        <v/>
      </c>
    </row>
    <row r="155" ht="21" customHeight="1" s="66">
      <c r="A155" s="57" t="n"/>
      <c r="B155" s="57" t="n"/>
      <c r="C155" s="57" t="n"/>
      <c r="D155" s="57" t="n"/>
      <c r="E155" s="57" t="n"/>
      <c r="F155" s="49" t="n"/>
      <c r="G155" s="49" t="n"/>
      <c r="H155" s="49" t="n"/>
      <c r="I155" s="49" t="n"/>
      <c r="J155" s="49" t="n"/>
      <c r="K155" s="50">
        <f>IF(OR($V155="",$I155="",$J155="",$U155=""),0,ROUND($U155*$J155,2))</f>
        <v/>
      </c>
      <c r="L155" s="50">
        <f>IF($G155="","",ROUND(N($G155)+N($K155),2))</f>
        <v/>
      </c>
      <c r="M155">
        <f>IF(OR($A155="",$B155="",$C155="",$D155="",$E155=""),"",$A155&amp;"|"&amp;$B155&amp;" - "&amp;$C155&amp;"("&amp;$D155&amp;")"&amp;"|"&amp;$E155)</f>
        <v/>
      </c>
      <c r="U155">
        <f>IF(OR($V155="",$I155=""),"",IF($I155&lt;$V155,$I155-$V155,IF($I155&gt;IF($T155="",$V155,$T155),$I155-IF($T155="",$V155,$T155),0)))</f>
        <v/>
      </c>
    </row>
    <row r="156" ht="21" customHeight="1" s="66">
      <c r="A156" s="57" t="n"/>
      <c r="B156" s="57" t="n"/>
      <c r="C156" s="57" t="n"/>
      <c r="D156" s="57" t="n"/>
      <c r="E156" s="57" t="n"/>
      <c r="F156" s="49" t="n"/>
      <c r="G156" s="49" t="n"/>
      <c r="H156" s="49" t="n"/>
      <c r="I156" s="49" t="n"/>
      <c r="J156" s="49" t="n"/>
      <c r="K156" s="50">
        <f>IF(OR($V156="",$I156="",$J156="",$U156=""),0,ROUND($U156*$J156,2))</f>
        <v/>
      </c>
      <c r="L156" s="50">
        <f>IF($G156="","",ROUND(N($G156)+N($K156),2))</f>
        <v/>
      </c>
      <c r="M156">
        <f>IF(OR($A156="",$B156="",$C156="",$D156="",$E156=""),"",$A156&amp;"|"&amp;$B156&amp;" - "&amp;$C156&amp;"("&amp;$D156&amp;")"&amp;"|"&amp;$E156)</f>
        <v/>
      </c>
      <c r="U156">
        <f>IF(OR($V156="",$I156=""),"",IF($I156&lt;$V156,$I156-$V156,IF($I156&gt;IF($T156="",$V156,$T156),$I156-IF($T156="",$V156,$T156),0)))</f>
        <v/>
      </c>
    </row>
    <row r="157" ht="21" customHeight="1" s="66">
      <c r="A157" s="57" t="n"/>
      <c r="B157" s="57" t="n"/>
      <c r="C157" s="57" t="n"/>
      <c r="D157" s="57" t="n"/>
      <c r="E157" s="57" t="n"/>
      <c r="F157" s="49" t="n"/>
      <c r="G157" s="49" t="n"/>
      <c r="H157" s="49" t="n"/>
      <c r="I157" s="49" t="n"/>
      <c r="J157" s="49" t="n"/>
      <c r="K157" s="50">
        <f>IF(OR($V157="",$I157="",$J157="",$U157=""),0,ROUND($U157*$J157,2))</f>
        <v/>
      </c>
      <c r="L157" s="50">
        <f>IF($G157="","",ROUND(N($G157)+N($K157),2))</f>
        <v/>
      </c>
      <c r="M157">
        <f>IF(OR($A157="",$B157="",$C157="",$D157="",$E157=""),"",$A157&amp;"|"&amp;$B157&amp;" - "&amp;$C157&amp;"("&amp;$D157&amp;")"&amp;"|"&amp;$E157)</f>
        <v/>
      </c>
      <c r="U157">
        <f>IF(OR($V157="",$I157=""),"",IF($I157&lt;$V157,$I157-$V157,IF($I157&gt;IF($T157="",$V157,$T157),$I157-IF($T157="",$V157,$T157),0)))</f>
        <v/>
      </c>
    </row>
    <row r="158" ht="21" customHeight="1" s="66">
      <c r="A158" s="57" t="n"/>
      <c r="B158" s="57" t="n"/>
      <c r="C158" s="57" t="n"/>
      <c r="D158" s="57" t="n"/>
      <c r="E158" s="57" t="n"/>
      <c r="F158" s="49" t="n"/>
      <c r="G158" s="49" t="n"/>
      <c r="H158" s="49" t="n"/>
      <c r="I158" s="49" t="n"/>
      <c r="J158" s="49" t="n"/>
      <c r="K158" s="50">
        <f>IF(OR($V158="",$I158="",$J158="",$U158=""),0,ROUND($U158*$J158,2))</f>
        <v/>
      </c>
      <c r="L158" s="50">
        <f>IF($G158="","",ROUND(N($G158)+N($K158),2))</f>
        <v/>
      </c>
      <c r="M158">
        <f>IF(OR($A158="",$B158="",$C158="",$D158="",$E158=""),"",$A158&amp;"|"&amp;$B158&amp;" - "&amp;$C158&amp;"("&amp;$D158&amp;")"&amp;"|"&amp;$E158)</f>
        <v/>
      </c>
      <c r="U158">
        <f>IF(OR($V158="",$I158=""),"",IF($I158&lt;$V158,$I158-$V158,IF($I158&gt;IF($T158="",$V158,$T158),$I158-IF($T158="",$V158,$T158),0)))</f>
        <v/>
      </c>
    </row>
    <row r="159" ht="21" customHeight="1" s="66">
      <c r="A159" s="57" t="n"/>
      <c r="B159" s="57" t="n"/>
      <c r="C159" s="57" t="n"/>
      <c r="D159" s="57" t="n"/>
      <c r="E159" s="57" t="n"/>
      <c r="F159" s="49" t="n"/>
      <c r="G159" s="49" t="n"/>
      <c r="H159" s="49" t="n"/>
      <c r="I159" s="49" t="n"/>
      <c r="J159" s="49" t="n"/>
      <c r="K159" s="50">
        <f>IF(OR($V159="",$I159="",$J159="",$U159=""),0,ROUND($U159*$J159,2))</f>
        <v/>
      </c>
      <c r="L159" s="50">
        <f>IF($G159="","",ROUND(N($G159)+N($K159),2))</f>
        <v/>
      </c>
      <c r="M159">
        <f>IF(OR($A159="",$B159="",$C159="",$D159="",$E159=""),"",$A159&amp;"|"&amp;$B159&amp;" - "&amp;$C159&amp;"("&amp;$D159&amp;")"&amp;"|"&amp;$E159)</f>
        <v/>
      </c>
      <c r="U159">
        <f>IF(OR($V159="",$I159=""),"",IF($I159&lt;$V159,$I159-$V159,IF($I159&gt;IF($T159="",$V159,$T159),$I159-IF($T159="",$V159,$T159),0)))</f>
        <v/>
      </c>
    </row>
    <row r="160" ht="21" customHeight="1" s="66">
      <c r="A160" s="57" t="n"/>
      <c r="B160" s="57" t="n"/>
      <c r="C160" s="57" t="n"/>
      <c r="D160" s="57" t="n"/>
      <c r="E160" s="57" t="n"/>
      <c r="F160" s="49" t="n"/>
      <c r="G160" s="49" t="n"/>
      <c r="H160" s="49" t="n"/>
      <c r="I160" s="49" t="n"/>
      <c r="J160" s="49" t="n"/>
      <c r="K160" s="50">
        <f>IF(OR($V160="",$I160="",$J160="",$U160=""),0,ROUND($U160*$J160,2))</f>
        <v/>
      </c>
      <c r="L160" s="50">
        <f>IF($G160="","",ROUND(N($G160)+N($K160),2))</f>
        <v/>
      </c>
      <c r="M160">
        <f>IF(OR($A160="",$B160="",$C160="",$D160="",$E160=""),"",$A160&amp;"|"&amp;$B160&amp;" - "&amp;$C160&amp;"("&amp;$D160&amp;")"&amp;"|"&amp;$E160)</f>
        <v/>
      </c>
      <c r="U160">
        <f>IF(OR($V160="",$I160=""),"",IF($I160&lt;$V160,$I160-$V160,IF($I160&gt;IF($T160="",$V160,$T160),$I160-IF($T160="",$V160,$T160),0)))</f>
        <v/>
      </c>
    </row>
    <row r="161" ht="21" customHeight="1" s="66">
      <c r="A161" s="57" t="n"/>
      <c r="B161" s="57" t="n"/>
      <c r="C161" s="57" t="n"/>
      <c r="D161" s="57" t="n"/>
      <c r="E161" s="57" t="n"/>
      <c r="F161" s="49" t="n"/>
      <c r="G161" s="49" t="n"/>
      <c r="H161" s="49" t="n"/>
      <c r="I161" s="49" t="n"/>
      <c r="J161" s="49" t="n"/>
      <c r="K161" s="50">
        <f>IF(OR($V161="",$I161="",$J161="",$U161=""),0,ROUND($U161*$J161,2))</f>
        <v/>
      </c>
      <c r="L161" s="50">
        <f>IF($G161="","",ROUND(N($G161)+N($K161),2))</f>
        <v/>
      </c>
      <c r="M161">
        <f>IF(OR($A161="",$B161="",$C161="",$D161="",$E161=""),"",$A161&amp;"|"&amp;$B161&amp;" - "&amp;$C161&amp;"("&amp;$D161&amp;")"&amp;"|"&amp;$E161)</f>
        <v/>
      </c>
      <c r="U161">
        <f>IF(OR($V161="",$I161=""),"",IF($I161&lt;$V161,$I161-$V161,IF($I161&gt;IF($T161="",$V161,$T161),$I161-IF($T161="",$V161,$T161),0)))</f>
        <v/>
      </c>
    </row>
    <row r="162" ht="21" customHeight="1" s="66">
      <c r="A162" s="57" t="n"/>
      <c r="B162" s="57" t="n"/>
      <c r="C162" s="57" t="n"/>
      <c r="D162" s="57" t="n"/>
      <c r="E162" s="57" t="n"/>
      <c r="F162" s="49" t="n"/>
      <c r="G162" s="49" t="n"/>
      <c r="H162" s="49" t="n"/>
      <c r="I162" s="49" t="n"/>
      <c r="J162" s="49" t="n"/>
      <c r="K162" s="50">
        <f>IF(OR($V162="",$I162="",$J162="",$U162=""),0,ROUND($U162*$J162,2))</f>
        <v/>
      </c>
      <c r="L162" s="50">
        <f>IF($G162="","",ROUND(N($G162)+N($K162),2))</f>
        <v/>
      </c>
      <c r="M162">
        <f>IF(OR($A162="",$B162="",$C162="",$D162="",$E162=""),"",$A162&amp;"|"&amp;$B162&amp;" - "&amp;$C162&amp;"("&amp;$D162&amp;")"&amp;"|"&amp;$E162)</f>
        <v/>
      </c>
      <c r="U162">
        <f>IF(OR($V162="",$I162=""),"",IF($I162&lt;$V162,$I162-$V162,IF($I162&gt;IF($T162="",$V162,$T162),$I162-IF($T162="",$V162,$T162),0)))</f>
        <v/>
      </c>
    </row>
    <row r="163" ht="21" customHeight="1" s="66">
      <c r="A163" s="57" t="n"/>
      <c r="B163" s="57" t="n"/>
      <c r="C163" s="57" t="n"/>
      <c r="D163" s="57" t="n"/>
      <c r="E163" s="57" t="n"/>
      <c r="F163" s="49" t="n"/>
      <c r="G163" s="49" t="n"/>
      <c r="H163" s="49" t="n"/>
      <c r="I163" s="49" t="n"/>
      <c r="J163" s="49" t="n"/>
      <c r="K163" s="50">
        <f>IF(OR($V163="",$I163="",$J163="",$U163=""),0,ROUND($U163*$J163,2))</f>
        <v/>
      </c>
      <c r="L163" s="50">
        <f>IF($G163="","",ROUND(N($G163)+N($K163),2))</f>
        <v/>
      </c>
      <c r="M163">
        <f>IF(OR($A163="",$B163="",$C163="",$D163="",$E163=""),"",$A163&amp;"|"&amp;$B163&amp;" - "&amp;$C163&amp;"("&amp;$D163&amp;")"&amp;"|"&amp;$E163)</f>
        <v/>
      </c>
      <c r="U163">
        <f>IF(OR($V163="",$I163=""),"",IF($I163&lt;$V163,$I163-$V163,IF($I163&gt;IF($T163="",$V163,$T163),$I163-IF($T163="",$V163,$T163),0)))</f>
        <v/>
      </c>
    </row>
    <row r="164" ht="21" customHeight="1" s="66">
      <c r="A164" s="57" t="n"/>
      <c r="B164" s="57" t="n"/>
      <c r="C164" s="57" t="n"/>
      <c r="D164" s="57" t="n"/>
      <c r="E164" s="57" t="n"/>
      <c r="F164" s="49" t="n"/>
      <c r="G164" s="49" t="n"/>
      <c r="H164" s="49" t="n"/>
      <c r="I164" s="49" t="n"/>
      <c r="J164" s="49" t="n"/>
      <c r="K164" s="50">
        <f>IF(OR($V164="",$I164="",$J164="",$U164=""),0,ROUND($U164*$J164,2))</f>
        <v/>
      </c>
      <c r="L164" s="50">
        <f>IF($G164="","",ROUND(N($G164)+N($K164),2))</f>
        <v/>
      </c>
      <c r="M164">
        <f>IF(OR($A164="",$B164="",$C164="",$D164="",$E164=""),"",$A164&amp;"|"&amp;$B164&amp;" - "&amp;$C164&amp;"("&amp;$D164&amp;")"&amp;"|"&amp;$E164)</f>
        <v/>
      </c>
      <c r="U164">
        <f>IF(OR($V164="",$I164=""),"",IF($I164&lt;$V164,$I164-$V164,IF($I164&gt;IF($T164="",$V164,$T164),$I164-IF($T164="",$V164,$T164),0)))</f>
        <v/>
      </c>
    </row>
    <row r="165" ht="21" customHeight="1" s="66">
      <c r="A165" s="57" t="n"/>
      <c r="B165" s="57" t="n"/>
      <c r="C165" s="57" t="n"/>
      <c r="D165" s="57" t="n"/>
      <c r="E165" s="57" t="n"/>
      <c r="F165" s="49" t="n"/>
      <c r="G165" s="49" t="n"/>
      <c r="H165" s="49" t="n"/>
      <c r="I165" s="49" t="n"/>
      <c r="J165" s="49" t="n"/>
      <c r="K165" s="50">
        <f>IF(OR($V165="",$I165="",$J165="",$U165=""),0,ROUND($U165*$J165,2))</f>
        <v/>
      </c>
      <c r="L165" s="50">
        <f>IF($G165="","",ROUND(N($G165)+N($K165),2))</f>
        <v/>
      </c>
      <c r="M165">
        <f>IF(OR($A165="",$B165="",$C165="",$D165="",$E165=""),"",$A165&amp;"|"&amp;$B165&amp;" - "&amp;$C165&amp;"("&amp;$D165&amp;")"&amp;"|"&amp;$E165)</f>
        <v/>
      </c>
      <c r="U165">
        <f>IF(OR($V165="",$I165=""),"",IF($I165&lt;$V165,$I165-$V165,IF($I165&gt;IF($T165="",$V165,$T165),$I165-IF($T165="",$V165,$T165),0)))</f>
        <v/>
      </c>
    </row>
    <row r="166" ht="21" customHeight="1" s="66">
      <c r="A166" s="57" t="n"/>
      <c r="B166" s="57" t="n"/>
      <c r="C166" s="57" t="n"/>
      <c r="D166" s="57" t="n"/>
      <c r="E166" s="57" t="n"/>
      <c r="F166" s="49" t="n"/>
      <c r="G166" s="49" t="n"/>
      <c r="H166" s="49" t="n"/>
      <c r="I166" s="49" t="n"/>
      <c r="J166" s="49" t="n"/>
      <c r="K166" s="50">
        <f>IF(OR($V166="",$I166="",$J166="",$U166=""),0,ROUND($U166*$J166,2))</f>
        <v/>
      </c>
      <c r="L166" s="50">
        <f>IF($G166="","",ROUND(N($G166)+N($K166),2))</f>
        <v/>
      </c>
      <c r="M166">
        <f>IF(OR($A166="",$B166="",$C166="",$D166="",$E166=""),"",$A166&amp;"|"&amp;$B166&amp;" - "&amp;$C166&amp;"("&amp;$D166&amp;")"&amp;"|"&amp;$E166)</f>
        <v/>
      </c>
      <c r="U166">
        <f>IF(OR($V166="",$I166=""),"",IF($I166&lt;$V166,$I166-$V166,IF($I166&gt;IF($T166="",$V166,$T166),$I166-IF($T166="",$V166,$T166),0)))</f>
        <v/>
      </c>
    </row>
    <row r="167" ht="21" customHeight="1" s="66">
      <c r="A167" s="57" t="n"/>
      <c r="B167" s="57" t="n"/>
      <c r="C167" s="57" t="n"/>
      <c r="D167" s="57" t="n"/>
      <c r="E167" s="57" t="n"/>
      <c r="F167" s="49" t="n"/>
      <c r="G167" s="49" t="n"/>
      <c r="H167" s="49" t="n"/>
      <c r="I167" s="49" t="n"/>
      <c r="J167" s="49" t="n"/>
      <c r="K167" s="50">
        <f>IF(OR($V167="",$I167="",$J167="",$U167=""),0,ROUND($U167*$J167,2))</f>
        <v/>
      </c>
      <c r="L167" s="50">
        <f>IF($G167="","",ROUND(N($G167)+N($K167),2))</f>
        <v/>
      </c>
      <c r="M167">
        <f>IF(OR($A167="",$B167="",$C167="",$D167="",$E167=""),"",$A167&amp;"|"&amp;$B167&amp;" - "&amp;$C167&amp;"("&amp;$D167&amp;")"&amp;"|"&amp;$E167)</f>
        <v/>
      </c>
      <c r="U167">
        <f>IF(OR($V167="",$I167=""),"",IF($I167&lt;$V167,$I167-$V167,IF($I167&gt;IF($T167="",$V167,$T167),$I167-IF($T167="",$V167,$T167),0)))</f>
        <v/>
      </c>
    </row>
    <row r="168" ht="21" customHeight="1" s="66">
      <c r="A168" s="57" t="n"/>
      <c r="B168" s="57" t="n"/>
      <c r="C168" s="57" t="n"/>
      <c r="D168" s="57" t="n"/>
      <c r="E168" s="57" t="n"/>
      <c r="F168" s="49" t="n"/>
      <c r="G168" s="49" t="n"/>
      <c r="H168" s="49" t="n"/>
      <c r="I168" s="49" t="n"/>
      <c r="J168" s="49" t="n"/>
      <c r="K168" s="50">
        <f>IF(OR($V168="",$I168="",$J168="",$U168=""),0,ROUND($U168*$J168,2))</f>
        <v/>
      </c>
      <c r="L168" s="50">
        <f>IF($G168="","",ROUND(N($G168)+N($K168),2))</f>
        <v/>
      </c>
      <c r="M168">
        <f>IF(OR($A168="",$B168="",$C168="",$D168="",$E168=""),"",$A168&amp;"|"&amp;$B168&amp;" - "&amp;$C168&amp;"("&amp;$D168&amp;")"&amp;"|"&amp;$E168)</f>
        <v/>
      </c>
      <c r="U168">
        <f>IF(OR($V168="",$I168=""),"",IF($I168&lt;$V168,$I168-$V168,IF($I168&gt;IF($T168="",$V168,$T168),$I168-IF($T168="",$V168,$T168),0)))</f>
        <v/>
      </c>
    </row>
    <row r="169" ht="21" customHeight="1" s="66">
      <c r="A169" s="57" t="n"/>
      <c r="B169" s="57" t="n"/>
      <c r="C169" s="57" t="n"/>
      <c r="D169" s="57" t="n"/>
      <c r="E169" s="57" t="n"/>
      <c r="F169" s="49" t="n"/>
      <c r="G169" s="49" t="n"/>
      <c r="H169" s="49" t="n"/>
      <c r="I169" s="49" t="n"/>
      <c r="J169" s="49" t="n"/>
      <c r="K169" s="50">
        <f>IF(OR($V169="",$I169="",$J169="",$U169=""),0,ROUND($U169*$J169,2))</f>
        <v/>
      </c>
      <c r="L169" s="50">
        <f>IF($G169="","",ROUND(N($G169)+N($K169),2))</f>
        <v/>
      </c>
      <c r="M169">
        <f>IF(OR($A169="",$B169="",$C169="",$D169="",$E169=""),"",$A169&amp;"|"&amp;$B169&amp;" - "&amp;$C169&amp;"("&amp;$D169&amp;")"&amp;"|"&amp;$E169)</f>
        <v/>
      </c>
      <c r="U169">
        <f>IF(OR($V169="",$I169=""),"",IF($I169&lt;$V169,$I169-$V169,IF($I169&gt;IF($T169="",$V169,$T169),$I169-IF($T169="",$V169,$T169),0)))</f>
        <v/>
      </c>
    </row>
    <row r="170" ht="21" customHeight="1" s="66">
      <c r="A170" s="57" t="n"/>
      <c r="B170" s="57" t="n"/>
      <c r="C170" s="57" t="n"/>
      <c r="D170" s="57" t="n"/>
      <c r="E170" s="57" t="n"/>
      <c r="F170" s="49" t="n"/>
      <c r="G170" s="49" t="n"/>
      <c r="H170" s="49" t="n"/>
      <c r="I170" s="49" t="n"/>
      <c r="J170" s="49" t="n"/>
      <c r="K170" s="50">
        <f>IF(OR($V170="",$I170="",$J170="",$U170=""),0,ROUND($U170*$J170,2))</f>
        <v/>
      </c>
      <c r="L170" s="50">
        <f>IF($G170="","",ROUND(N($G170)+N($K170),2))</f>
        <v/>
      </c>
      <c r="M170">
        <f>IF(OR($A170="",$B170="",$C170="",$D170="",$E170=""),"",$A170&amp;"|"&amp;$B170&amp;" - "&amp;$C170&amp;"("&amp;$D170&amp;")"&amp;"|"&amp;$E170)</f>
        <v/>
      </c>
      <c r="U170">
        <f>IF(OR($V170="",$I170=""),"",IF($I170&lt;$V170,$I170-$V170,IF($I170&gt;IF($T170="",$V170,$T170),$I170-IF($T170="",$V170,$T170),0)))</f>
        <v/>
      </c>
    </row>
    <row r="171" ht="21" customHeight="1" s="66">
      <c r="A171" s="57" t="n"/>
      <c r="B171" s="57" t="n"/>
      <c r="C171" s="57" t="n"/>
      <c r="D171" s="57" t="n"/>
      <c r="E171" s="57" t="n"/>
      <c r="F171" s="49" t="n"/>
      <c r="G171" s="49" t="n"/>
      <c r="H171" s="49" t="n"/>
      <c r="I171" s="49" t="n"/>
      <c r="J171" s="49" t="n"/>
      <c r="K171" s="50">
        <f>IF(OR($V171="",$I171="",$J171="",$U171=""),0,ROUND($U171*$J171,2))</f>
        <v/>
      </c>
      <c r="L171" s="50">
        <f>IF($G171="","",ROUND(N($G171)+N($K171),2))</f>
        <v/>
      </c>
      <c r="M171">
        <f>IF(OR($A171="",$B171="",$C171="",$D171="",$E171=""),"",$A171&amp;"|"&amp;$B171&amp;" - "&amp;$C171&amp;"("&amp;$D171&amp;")"&amp;"|"&amp;$E171)</f>
        <v/>
      </c>
      <c r="U171">
        <f>IF(OR($V171="",$I171=""),"",IF($I171&lt;$V171,$I171-$V171,IF($I171&gt;IF($T171="",$V171,$T171),$I171-IF($T171="",$V171,$T171),0)))</f>
        <v/>
      </c>
    </row>
    <row r="172" ht="21" customHeight="1" s="66">
      <c r="A172" s="57" t="n"/>
      <c r="B172" s="57" t="n"/>
      <c r="C172" s="57" t="n"/>
      <c r="D172" s="57" t="n"/>
      <c r="E172" s="57" t="n"/>
      <c r="F172" s="49" t="n"/>
      <c r="G172" s="49" t="n"/>
      <c r="H172" s="49" t="n"/>
      <c r="I172" s="49" t="n"/>
      <c r="J172" s="49" t="n"/>
      <c r="K172" s="50">
        <f>IF(OR($V172="",$I172="",$J172="",$U172=""),0,ROUND($U172*$J172,2))</f>
        <v/>
      </c>
      <c r="L172" s="50">
        <f>IF($G172="","",ROUND(N($G172)+N($K172),2))</f>
        <v/>
      </c>
      <c r="M172">
        <f>IF(OR($A172="",$B172="",$C172="",$D172="",$E172=""),"",$A172&amp;"|"&amp;$B172&amp;" - "&amp;$C172&amp;"("&amp;$D172&amp;")"&amp;"|"&amp;$E172)</f>
        <v/>
      </c>
      <c r="U172">
        <f>IF(OR($V172="",$I172=""),"",IF($I172&lt;$V172,$I172-$V172,IF($I172&gt;IF($T172="",$V172,$T172),$I172-IF($T172="",$V172,$T172),0)))</f>
        <v/>
      </c>
    </row>
    <row r="173" ht="21" customHeight="1" s="66">
      <c r="A173" s="57" t="n"/>
      <c r="B173" s="57" t="n"/>
      <c r="C173" s="57" t="n"/>
      <c r="D173" s="57" t="n"/>
      <c r="E173" s="57" t="n"/>
      <c r="F173" s="49" t="n"/>
      <c r="G173" s="49" t="n"/>
      <c r="H173" s="49" t="n"/>
      <c r="I173" s="49" t="n"/>
      <c r="J173" s="49" t="n"/>
      <c r="K173" s="50">
        <f>IF(OR($V173="",$I173="",$J173="",$U173=""),0,ROUND($U173*$J173,2))</f>
        <v/>
      </c>
      <c r="L173" s="50">
        <f>IF($G173="","",ROUND(N($G173)+N($K173),2))</f>
        <v/>
      </c>
      <c r="M173">
        <f>IF(OR($A173="",$B173="",$C173="",$D173="",$E173=""),"",$A173&amp;"|"&amp;$B173&amp;" - "&amp;$C173&amp;"("&amp;$D173&amp;")"&amp;"|"&amp;$E173)</f>
        <v/>
      </c>
      <c r="U173">
        <f>IF(OR($V173="",$I173=""),"",IF($I173&lt;$V173,$I173-$V173,IF($I173&gt;IF($T173="",$V173,$T173),$I173-IF($T173="",$V173,$T173),0)))</f>
        <v/>
      </c>
    </row>
    <row r="174" ht="21" customHeight="1" s="66">
      <c r="A174" s="57" t="n"/>
      <c r="B174" s="57" t="n"/>
      <c r="C174" s="57" t="n"/>
      <c r="D174" s="57" t="n"/>
      <c r="E174" s="57" t="n"/>
      <c r="F174" s="49" t="n"/>
      <c r="G174" s="49" t="n"/>
      <c r="H174" s="49" t="n"/>
      <c r="I174" s="49" t="n"/>
      <c r="J174" s="49" t="n"/>
      <c r="K174" s="50">
        <f>IF(OR($V174="",$I174="",$J174="",$U174=""),0,ROUND($U174*$J174,2))</f>
        <v/>
      </c>
      <c r="L174" s="50">
        <f>IF($G174="","",ROUND(N($G174)+N($K174),2))</f>
        <v/>
      </c>
      <c r="M174">
        <f>IF(OR($A174="",$B174="",$C174="",$D174="",$E174=""),"",$A174&amp;"|"&amp;$B174&amp;" - "&amp;$C174&amp;"("&amp;$D174&amp;")"&amp;"|"&amp;$E174)</f>
        <v/>
      </c>
      <c r="U174">
        <f>IF(OR($V174="",$I174=""),"",IF($I174&lt;$V174,$I174-$V174,IF($I174&gt;IF($T174="",$V174,$T174),$I174-IF($T174="",$V174,$T174),0)))</f>
        <v/>
      </c>
    </row>
    <row r="175" ht="21" customHeight="1" s="66">
      <c r="A175" s="57" t="n"/>
      <c r="B175" s="57" t="n"/>
      <c r="C175" s="57" t="n"/>
      <c r="D175" s="57" t="n"/>
      <c r="E175" s="57" t="n"/>
      <c r="F175" s="49" t="n"/>
      <c r="G175" s="49" t="n"/>
      <c r="H175" s="49" t="n"/>
      <c r="I175" s="49" t="n"/>
      <c r="J175" s="49" t="n"/>
      <c r="K175" s="50">
        <f>IF(OR($V175="",$I175="",$J175="",$U175=""),0,ROUND($U175*$J175,2))</f>
        <v/>
      </c>
      <c r="L175" s="50">
        <f>IF($G175="","",ROUND(N($G175)+N($K175),2))</f>
        <v/>
      </c>
      <c r="M175">
        <f>IF(OR($A175="",$B175="",$C175="",$D175="",$E175=""),"",$A175&amp;"|"&amp;$B175&amp;" - "&amp;$C175&amp;"("&amp;$D175&amp;")"&amp;"|"&amp;$E175)</f>
        <v/>
      </c>
      <c r="U175">
        <f>IF(OR($V175="",$I175=""),"",IF($I175&lt;$V175,$I175-$V175,IF($I175&gt;IF($T175="",$V175,$T175),$I175-IF($T175="",$V175,$T175),0)))</f>
        <v/>
      </c>
    </row>
    <row r="176" ht="21" customHeight="1" s="66">
      <c r="A176" s="57" t="n"/>
      <c r="B176" s="57" t="n"/>
      <c r="C176" s="57" t="n"/>
      <c r="D176" s="57" t="n"/>
      <c r="E176" s="57" t="n"/>
      <c r="F176" s="49" t="n"/>
      <c r="G176" s="49" t="n"/>
      <c r="H176" s="49" t="n"/>
      <c r="I176" s="49" t="n"/>
      <c r="J176" s="49" t="n"/>
      <c r="K176" s="50">
        <f>IF(OR($V176="",$I176="",$J176="",$U176=""),0,ROUND($U176*$J176,2))</f>
        <v/>
      </c>
      <c r="L176" s="50">
        <f>IF($G176="","",ROUND(N($G176)+N($K176),2))</f>
        <v/>
      </c>
      <c r="M176">
        <f>IF(OR($A176="",$B176="",$C176="",$D176="",$E176=""),"",$A176&amp;"|"&amp;$B176&amp;" - "&amp;$C176&amp;"("&amp;$D176&amp;")"&amp;"|"&amp;$E176)</f>
        <v/>
      </c>
      <c r="U176">
        <f>IF(OR($V176="",$I176=""),"",IF($I176&lt;$V176,$I176-$V176,IF($I176&gt;IF($T176="",$V176,$T176),$I176-IF($T176="",$V176,$T176),0)))</f>
        <v/>
      </c>
    </row>
    <row r="177" ht="21" customHeight="1" s="66">
      <c r="A177" s="57" t="n"/>
      <c r="B177" s="57" t="n"/>
      <c r="C177" s="57" t="n"/>
      <c r="D177" s="57" t="n"/>
      <c r="E177" s="57" t="n"/>
      <c r="F177" s="49" t="n"/>
      <c r="G177" s="49" t="n"/>
      <c r="H177" s="49" t="n"/>
      <c r="I177" s="49" t="n"/>
      <c r="J177" s="49" t="n"/>
      <c r="K177" s="50">
        <f>IF(OR($V177="",$I177="",$J177="",$U177=""),0,ROUND($U177*$J177,2))</f>
        <v/>
      </c>
      <c r="L177" s="50">
        <f>IF($G177="","",ROUND(N($G177)+N($K177),2))</f>
        <v/>
      </c>
      <c r="M177">
        <f>IF(OR($A177="",$B177="",$C177="",$D177="",$E177=""),"",$A177&amp;"|"&amp;$B177&amp;" - "&amp;$C177&amp;"("&amp;$D177&amp;")"&amp;"|"&amp;$E177)</f>
        <v/>
      </c>
      <c r="U177">
        <f>IF(OR($V177="",$I177=""),"",IF($I177&lt;$V177,$I177-$V177,IF($I177&gt;IF($T177="",$V177,$T177),$I177-IF($T177="",$V177,$T177),0)))</f>
        <v/>
      </c>
    </row>
    <row r="178" ht="21" customHeight="1" s="66">
      <c r="A178" s="57" t="n"/>
      <c r="B178" s="57" t="n"/>
      <c r="C178" s="57" t="n"/>
      <c r="D178" s="57" t="n"/>
      <c r="E178" s="57" t="n"/>
      <c r="F178" s="49" t="n"/>
      <c r="G178" s="49" t="n"/>
      <c r="H178" s="49" t="n"/>
      <c r="I178" s="49" t="n"/>
      <c r="J178" s="49" t="n"/>
      <c r="K178" s="50">
        <f>IF(OR($V178="",$I178="",$J178="",$U178=""),0,ROUND($U178*$J178,2))</f>
        <v/>
      </c>
      <c r="L178" s="50">
        <f>IF($G178="","",ROUND(N($G178)+N($K178),2))</f>
        <v/>
      </c>
      <c r="M178">
        <f>IF(OR($A178="",$B178="",$C178="",$D178="",$E178=""),"",$A178&amp;"|"&amp;$B178&amp;" - "&amp;$C178&amp;"("&amp;$D178&amp;")"&amp;"|"&amp;$E178)</f>
        <v/>
      </c>
      <c r="U178">
        <f>IF(OR($V178="",$I178=""),"",IF($I178&lt;$V178,$I178-$V178,IF($I178&gt;IF($T178="",$V178,$T178),$I178-IF($T178="",$V178,$T178),0)))</f>
        <v/>
      </c>
    </row>
    <row r="179" ht="21" customHeight="1" s="66">
      <c r="A179" s="57" t="n"/>
      <c r="B179" s="57" t="n"/>
      <c r="C179" s="57" t="n"/>
      <c r="D179" s="57" t="n"/>
      <c r="E179" s="57" t="n"/>
      <c r="F179" s="49" t="n"/>
      <c r="G179" s="49" t="n"/>
      <c r="H179" s="49" t="n"/>
      <c r="I179" s="49" t="n"/>
      <c r="J179" s="49" t="n"/>
      <c r="K179" s="50">
        <f>IF(OR($V179="",$I179="",$J179="",$U179=""),0,ROUND($U179*$J179,2))</f>
        <v/>
      </c>
      <c r="L179" s="50">
        <f>IF($G179="","",ROUND(N($G179)+N($K179),2))</f>
        <v/>
      </c>
      <c r="M179">
        <f>IF(OR($A179="",$B179="",$C179="",$D179="",$E179=""),"",$A179&amp;"|"&amp;$B179&amp;" - "&amp;$C179&amp;"("&amp;$D179&amp;")"&amp;"|"&amp;$E179)</f>
        <v/>
      </c>
      <c r="U179">
        <f>IF(OR($V179="",$I179=""),"",IF($I179&lt;$V179,$I179-$V179,IF($I179&gt;IF($T179="",$V179,$T179),$I179-IF($T179="",$V179,$T179),0)))</f>
        <v/>
      </c>
    </row>
    <row r="180" ht="21" customHeight="1" s="66">
      <c r="A180" s="57" t="n"/>
      <c r="B180" s="57" t="n"/>
      <c r="C180" s="57" t="n"/>
      <c r="D180" s="57" t="n"/>
      <c r="E180" s="57" t="n"/>
      <c r="F180" s="49" t="n"/>
      <c r="G180" s="49" t="n"/>
      <c r="H180" s="49" t="n"/>
      <c r="I180" s="49" t="n"/>
      <c r="J180" s="49" t="n"/>
      <c r="K180" s="50">
        <f>IF(OR($V180="",$I180="",$J180="",$U180=""),0,ROUND($U180*$J180,2))</f>
        <v/>
      </c>
      <c r="L180" s="50">
        <f>IF($G180="","",ROUND(N($G180)+N($K180),2))</f>
        <v/>
      </c>
      <c r="M180">
        <f>IF(OR($A180="",$B180="",$C180="",$D180="",$E180=""),"",$A180&amp;"|"&amp;$B180&amp;" - "&amp;$C180&amp;"("&amp;$D180&amp;")"&amp;"|"&amp;$E180)</f>
        <v/>
      </c>
      <c r="U180">
        <f>IF(OR($V180="",$I180=""),"",IF($I180&lt;$V180,$I180-$V180,IF($I180&gt;IF($T180="",$V180,$T180),$I180-IF($T180="",$V180,$T180),0)))</f>
        <v/>
      </c>
    </row>
    <row r="181" ht="21" customHeight="1" s="66">
      <c r="A181" s="57" t="n"/>
      <c r="B181" s="57" t="n"/>
      <c r="C181" s="57" t="n"/>
      <c r="D181" s="57" t="n"/>
      <c r="E181" s="57" t="n"/>
      <c r="F181" s="49" t="n"/>
      <c r="G181" s="49" t="n"/>
      <c r="H181" s="49" t="n"/>
      <c r="I181" s="49" t="n"/>
      <c r="J181" s="49" t="n"/>
      <c r="K181" s="50">
        <f>IF(OR($V181="",$I181="",$J181="",$U181=""),0,ROUND($U181*$J181,2))</f>
        <v/>
      </c>
      <c r="L181" s="50">
        <f>IF($G181="","",ROUND(N($G181)+N($K181),2))</f>
        <v/>
      </c>
      <c r="M181">
        <f>IF(OR($A181="",$B181="",$C181="",$D181="",$E181=""),"",$A181&amp;"|"&amp;$B181&amp;" - "&amp;$C181&amp;"("&amp;$D181&amp;")"&amp;"|"&amp;$E181)</f>
        <v/>
      </c>
      <c r="U181">
        <f>IF(OR($V181="",$I181=""),"",IF($I181&lt;$V181,$I181-$V181,IF($I181&gt;IF($T181="",$V181,$T181),$I181-IF($T181="",$V181,$T181),0)))</f>
        <v/>
      </c>
    </row>
    <row r="182" ht="21" customHeight="1" s="66">
      <c r="A182" s="57" t="n"/>
      <c r="B182" s="57" t="n"/>
      <c r="C182" s="57" t="n"/>
      <c r="D182" s="57" t="n"/>
      <c r="E182" s="57" t="n"/>
      <c r="F182" s="49" t="n"/>
      <c r="G182" s="49" t="n"/>
      <c r="H182" s="49" t="n"/>
      <c r="I182" s="49" t="n"/>
      <c r="J182" s="49" t="n"/>
      <c r="K182" s="50">
        <f>IF(OR($V182="",$I182="",$J182="",$U182=""),0,ROUND($U182*$J182,2))</f>
        <v/>
      </c>
      <c r="L182" s="50">
        <f>IF($G182="","",ROUND(N($G182)+N($K182),2))</f>
        <v/>
      </c>
      <c r="M182">
        <f>IF(OR($A182="",$B182="",$C182="",$D182="",$E182=""),"",$A182&amp;"|"&amp;$B182&amp;" - "&amp;$C182&amp;"("&amp;$D182&amp;")"&amp;"|"&amp;$E182)</f>
        <v/>
      </c>
      <c r="U182">
        <f>IF(OR($V182="",$I182=""),"",IF($I182&lt;$V182,$I182-$V182,IF($I182&gt;IF($T182="",$V182,$T182),$I182-IF($T182="",$V182,$T182),0)))</f>
        <v/>
      </c>
    </row>
    <row r="183" ht="21" customHeight="1" s="66">
      <c r="A183" s="57" t="n"/>
      <c r="B183" s="57" t="n"/>
      <c r="C183" s="57" t="n"/>
      <c r="D183" s="57" t="n"/>
      <c r="E183" s="57" t="n"/>
      <c r="F183" s="59" t="n"/>
      <c r="G183" s="49" t="n"/>
      <c r="H183" s="49" t="n"/>
      <c r="I183" s="49" t="n"/>
      <c r="J183" s="49" t="n"/>
      <c r="K183" s="50">
        <f>IF(OR($V183="",$I183="",$J183="",$U183=""),0,ROUND($U183*$J183,2))</f>
        <v/>
      </c>
      <c r="L183" s="50">
        <f>IF($G183="","",ROUND(N($G183)+N($K183),2))</f>
        <v/>
      </c>
      <c r="M183">
        <f>IF(OR($A183="",$B183="",$C183="",$D183="",$E183=""),"",$A183&amp;"|"&amp;$B183&amp;" - "&amp;$C183&amp;"("&amp;$D183&amp;")"&amp;"|"&amp;$E183)</f>
        <v/>
      </c>
      <c r="U183">
        <f>IF(OR($V183="",$I183=""),"",IF($I183&lt;$V183,$I183-$V183,IF($I183&gt;IF($T183="",$V183,$T183),$I183-IF($T183="",$V183,$T183),0)))</f>
        <v/>
      </c>
    </row>
    <row r="184" ht="21" customHeight="1" s="66">
      <c r="A184" s="57" t="n"/>
      <c r="B184" s="57" t="n"/>
      <c r="C184" s="57" t="n"/>
      <c r="D184" s="57" t="n"/>
      <c r="E184" s="57" t="n"/>
      <c r="F184" s="49" t="n"/>
      <c r="G184" s="49" t="n"/>
      <c r="H184" s="49" t="n"/>
      <c r="I184" s="49" t="n"/>
      <c r="J184" s="49" t="n"/>
      <c r="K184" s="50">
        <f>IF(OR($V184="",$I184="",$J184="",$U184=""),0,ROUND($U184*$J184,2))</f>
        <v/>
      </c>
      <c r="L184" s="50">
        <f>IF($G184="","",ROUND(N($G184)+N($K184),2))</f>
        <v/>
      </c>
      <c r="M184">
        <f>IF(OR($A184="",$B184="",$C184="",$D184="",$E184=""),"",$A184&amp;"|"&amp;$B184&amp;" - "&amp;$C184&amp;"("&amp;$D184&amp;")"&amp;"|"&amp;$E184)</f>
        <v/>
      </c>
      <c r="U184">
        <f>IF(OR($V184="",$I184=""),"",IF($I184&lt;$V184,$I184-$V184,IF($I184&gt;IF($T184="",$V184,$T184),$I184-IF($T184="",$V184,$T184),0)))</f>
        <v/>
      </c>
    </row>
    <row r="185" ht="21" customHeight="1" s="66">
      <c r="A185" s="57" t="n"/>
      <c r="B185" s="57" t="n"/>
      <c r="C185" s="57" t="n"/>
      <c r="D185" s="57" t="n"/>
      <c r="E185" s="57" t="n"/>
      <c r="F185" s="49" t="n"/>
      <c r="G185" s="49" t="n"/>
      <c r="H185" s="49" t="n"/>
      <c r="I185" s="49" t="n"/>
      <c r="J185" s="49" t="n"/>
      <c r="K185" s="50">
        <f>IF(OR($V185="",$I185="",$J185="",$U185=""),0,ROUND($U185*$J185,2))</f>
        <v/>
      </c>
      <c r="L185" s="50">
        <f>IF($G185="","",ROUND(N($G185)+N($K185),2))</f>
        <v/>
      </c>
      <c r="M185">
        <f>IF(OR($A185="",$B185="",$C185="",$D185="",$E185=""),"",$A185&amp;"|"&amp;$B185&amp;" - "&amp;$C185&amp;"("&amp;$D185&amp;")"&amp;"|"&amp;$E185)</f>
        <v/>
      </c>
      <c r="U185">
        <f>IF(OR($V185="",$I185=""),"",IF($I185&lt;$V185,$I185-$V185,IF($I185&gt;IF($T185="",$V185,$T185),$I185-IF($T185="",$V185,$T185),0)))</f>
        <v/>
      </c>
    </row>
    <row r="186" ht="21" customHeight="1" s="66">
      <c r="A186" s="57" t="n"/>
      <c r="B186" s="57" t="n"/>
      <c r="C186" s="57" t="n"/>
      <c r="D186" s="57" t="n"/>
      <c r="E186" s="57" t="n"/>
      <c r="F186" s="49" t="n"/>
      <c r="G186" s="49" t="n"/>
      <c r="H186" s="49" t="n"/>
      <c r="I186" s="49" t="n"/>
      <c r="J186" s="49" t="n"/>
      <c r="K186" s="50">
        <f>IF(OR($V186="",$I186="",$J186="",$U186=""),0,ROUND($U186*$J186,2))</f>
        <v/>
      </c>
      <c r="L186" s="50">
        <f>IF($G186="","",ROUND(N($G186)+N($K186),2))</f>
        <v/>
      </c>
      <c r="M186">
        <f>IF(OR($A186="",$B186="",$C186="",$D186="",$E186=""),"",$A186&amp;"|"&amp;$B186&amp;" - "&amp;$C186&amp;"("&amp;$D186&amp;")"&amp;"|"&amp;$E186)</f>
        <v/>
      </c>
      <c r="U186">
        <f>IF(OR($V186="",$I186=""),"",IF($I186&lt;$V186,$I186-$V186,IF($I186&gt;IF($T186="",$V186,$T186),$I186-IF($T186="",$V186,$T186),0)))</f>
        <v/>
      </c>
    </row>
    <row r="187" ht="21" customHeight="1" s="66">
      <c r="A187" s="57" t="n"/>
      <c r="B187" s="57" t="n"/>
      <c r="C187" s="57" t="n"/>
      <c r="D187" s="57" t="n"/>
      <c r="E187" s="57" t="n"/>
      <c r="F187" s="49" t="n"/>
      <c r="G187" s="49" t="n"/>
      <c r="H187" s="49" t="n"/>
      <c r="I187" s="49" t="n"/>
      <c r="J187" s="49" t="n"/>
      <c r="K187" s="50">
        <f>IF(OR($V187="",$I187="",$J187="",$U187=""),0,ROUND($U187*$J187,2))</f>
        <v/>
      </c>
      <c r="L187" s="50">
        <f>IF($G187="","",ROUND(N($G187)+N($K187),2))</f>
        <v/>
      </c>
      <c r="M187">
        <f>IF(OR($A187="",$B187="",$C187="",$D187="",$E187=""),"",$A187&amp;"|"&amp;$B187&amp;" - "&amp;$C187&amp;"("&amp;$D187&amp;")"&amp;"|"&amp;$E187)</f>
        <v/>
      </c>
      <c r="U187">
        <f>IF(OR($V187="",$I187=""),"",IF($I187&lt;$V187,$I187-$V187,IF($I187&gt;IF($T187="",$V187,$T187),$I187-IF($T187="",$V187,$T187),0)))</f>
        <v/>
      </c>
    </row>
    <row r="188" ht="21" customHeight="1" s="66">
      <c r="A188" s="57" t="n"/>
      <c r="B188" s="57" t="n"/>
      <c r="C188" s="57" t="n"/>
      <c r="D188" s="57" t="n"/>
      <c r="E188" s="57" t="n"/>
      <c r="F188" s="49" t="n"/>
      <c r="G188" s="49" t="n"/>
      <c r="H188" s="49" t="n"/>
      <c r="I188" s="49" t="n"/>
      <c r="J188" s="49" t="n"/>
      <c r="K188" s="50">
        <f>IF(OR($V188="",$I188="",$J188="",$U188=""),0,ROUND($U188*$J188,2))</f>
        <v/>
      </c>
      <c r="L188" s="50">
        <f>IF($G188="","",ROUND(N($G188)+N($K188),2))</f>
        <v/>
      </c>
      <c r="M188">
        <f>IF(OR($A188="",$B188="",$C188="",$D188="",$E188=""),"",$A188&amp;"|"&amp;$B188&amp;" - "&amp;$C188&amp;"("&amp;$D188&amp;")"&amp;"|"&amp;$E188)</f>
        <v/>
      </c>
      <c r="U188">
        <f>IF(OR($V188="",$I188=""),"",IF($I188&lt;$V188,$I188-$V188,IF($I188&gt;IF($T188="",$V188,$T188),$I188-IF($T188="",$V188,$T188),0)))</f>
        <v/>
      </c>
    </row>
    <row r="189" ht="21" customHeight="1" s="66">
      <c r="A189" s="57" t="n"/>
      <c r="B189" s="57" t="n"/>
      <c r="C189" s="57" t="n"/>
      <c r="D189" s="57" t="n"/>
      <c r="E189" s="57" t="n"/>
      <c r="F189" s="49" t="n"/>
      <c r="G189" s="49" t="n"/>
      <c r="H189" s="49" t="n"/>
      <c r="I189" s="49" t="n"/>
      <c r="J189" s="49" t="n"/>
      <c r="K189" s="50">
        <f>IF(OR($V189="",$I189="",$J189="",$U189=""),0,ROUND($U189*$J189,2))</f>
        <v/>
      </c>
      <c r="L189" s="50">
        <f>IF($G189="","",ROUND(N($G189)+N($K189),2))</f>
        <v/>
      </c>
      <c r="M189">
        <f>IF(OR($A189="",$B189="",$C189="",$D189="",$E189=""),"",$A189&amp;"|"&amp;$B189&amp;" - "&amp;$C189&amp;"("&amp;$D189&amp;")"&amp;"|"&amp;$E189)</f>
        <v/>
      </c>
      <c r="U189">
        <f>IF(OR($V189="",$I189=""),"",IF($I189&lt;$V189,$I189-$V189,IF($I189&gt;IF($T189="",$V189,$T189),$I189-IF($T189="",$V189,$T189),0)))</f>
        <v/>
      </c>
    </row>
    <row r="190" ht="21" customHeight="1" s="66">
      <c r="A190" s="57" t="n"/>
      <c r="B190" s="57" t="n"/>
      <c r="C190" s="57" t="n"/>
      <c r="D190" s="57" t="n"/>
      <c r="E190" s="57" t="n"/>
      <c r="F190" s="49" t="n"/>
      <c r="G190" s="49" t="n"/>
      <c r="H190" s="49" t="n"/>
      <c r="I190" s="49" t="n"/>
      <c r="J190" s="49" t="n"/>
      <c r="K190" s="50">
        <f>IF(OR($V190="",$I190="",$J190="",$U190=""),0,ROUND($U190*$J190,2))</f>
        <v/>
      </c>
      <c r="L190" s="50">
        <f>IF($G190="","",ROUND(N($G190)+N($K190),2))</f>
        <v/>
      </c>
      <c r="M190">
        <f>IF(OR($A190="",$B190="",$C190="",$D190="",$E190=""),"",$A190&amp;"|"&amp;$B190&amp;" - "&amp;$C190&amp;"("&amp;$D190&amp;")"&amp;"|"&amp;$E190)</f>
        <v/>
      </c>
      <c r="U190">
        <f>IF(OR($V190="",$I190=""),"",IF($I190&lt;$V190,$I190-$V190,IF($I190&gt;IF($T190="",$V190,$T190),$I190-IF($T190="",$V190,$T190),0)))</f>
        <v/>
      </c>
    </row>
    <row r="191" ht="21" customHeight="1" s="66">
      <c r="A191" s="57" t="n"/>
      <c r="B191" s="57" t="n"/>
      <c r="C191" s="57" t="n"/>
      <c r="D191" s="57" t="n"/>
      <c r="E191" s="57" t="n"/>
      <c r="F191" s="49" t="n"/>
      <c r="G191" s="49" t="n"/>
      <c r="H191" s="49" t="n"/>
      <c r="I191" s="49" t="n"/>
      <c r="J191" s="49" t="n"/>
      <c r="K191" s="50">
        <f>IF(OR($V191="",$I191="",$J191="",$U191=""),0,ROUND($U191*$J191,2))</f>
        <v/>
      </c>
      <c r="L191" s="50">
        <f>IF($G191="","",ROUND(N($G191)+N($K191),2))</f>
        <v/>
      </c>
      <c r="M191">
        <f>IF(OR($A191="",$B191="",$C191="",$D191="",$E191=""),"",$A191&amp;"|"&amp;$B191&amp;" - "&amp;$C191&amp;"("&amp;$D191&amp;")"&amp;"|"&amp;$E191)</f>
        <v/>
      </c>
      <c r="U191">
        <f>IF(OR($V191="",$I191=""),"",IF($I191&lt;$V191,$I191-$V191,IF($I191&gt;IF($T191="",$V191,$T191),$I191-IF($T191="",$V191,$T191),0)))</f>
        <v/>
      </c>
    </row>
    <row r="192" ht="21" customHeight="1" s="66">
      <c r="A192" s="57" t="n"/>
      <c r="B192" s="57" t="n"/>
      <c r="C192" s="57" t="n"/>
      <c r="D192" s="57" t="n"/>
      <c r="E192" s="57" t="n"/>
      <c r="F192" s="49" t="n"/>
      <c r="G192" s="49" t="n"/>
      <c r="H192" s="49" t="n"/>
      <c r="I192" s="49" t="n"/>
      <c r="J192" s="49" t="n"/>
      <c r="K192" s="50">
        <f>IF(OR($V192="",$I192="",$J192="",$U192=""),0,ROUND($U192*$J192,2))</f>
        <v/>
      </c>
      <c r="L192" s="50">
        <f>IF($G192="","",ROUND(N($G192)+N($K192),2))</f>
        <v/>
      </c>
      <c r="M192">
        <f>IF(OR($A192="",$B192="",$C192="",$D192="",$E192=""),"",$A192&amp;"|"&amp;$B192&amp;" - "&amp;$C192&amp;"("&amp;$D192&amp;")"&amp;"|"&amp;$E192)</f>
        <v/>
      </c>
      <c r="U192">
        <f>IF(OR($V192="",$I192=""),"",IF($I192&lt;$V192,$I192-$V192,IF($I192&gt;IF($T192="",$V192,$T192),$I192-IF($T192="",$V192,$T192),0)))</f>
        <v/>
      </c>
    </row>
    <row r="193" ht="21" customHeight="1" s="66">
      <c r="A193" s="57" t="n"/>
      <c r="B193" s="57" t="n"/>
      <c r="C193" s="57" t="n"/>
      <c r="D193" s="57" t="n"/>
      <c r="E193" s="57" t="n"/>
      <c r="F193" s="49" t="n"/>
      <c r="G193" s="49" t="n"/>
      <c r="H193" s="49" t="n"/>
      <c r="I193" s="49" t="n"/>
      <c r="J193" s="49" t="n"/>
      <c r="K193" s="50">
        <f>IF(OR($V193="",$I193="",$J193="",$U193=""),0,ROUND($U193*$J193,2))</f>
        <v/>
      </c>
      <c r="L193" s="50">
        <f>IF($G193="","",ROUND(N($G193)+N($K193),2))</f>
        <v/>
      </c>
      <c r="M193">
        <f>IF(OR($A193="",$B193="",$C193="",$D193="",$E193=""),"",$A193&amp;"|"&amp;$B193&amp;" - "&amp;$C193&amp;"("&amp;$D193&amp;")"&amp;"|"&amp;$E193)</f>
        <v/>
      </c>
      <c r="U193">
        <f>IF(OR($V193="",$I193=""),"",IF($I193&lt;$V193,$I193-$V193,IF($I193&gt;IF($T193="",$V193,$T193),$I193-IF($T193="",$V193,$T193),0)))</f>
        <v/>
      </c>
    </row>
    <row r="194" ht="21" customHeight="1" s="66">
      <c r="A194" s="57" t="n"/>
      <c r="B194" s="57" t="n"/>
      <c r="C194" s="57" t="n"/>
      <c r="D194" s="57" t="n"/>
      <c r="E194" s="57" t="n"/>
      <c r="F194" s="49" t="n"/>
      <c r="G194" s="49" t="n"/>
      <c r="H194" s="49" t="n"/>
      <c r="I194" s="49" t="n"/>
      <c r="J194" s="49" t="n"/>
      <c r="K194" s="50">
        <f>IF(OR($V194="",$I194="",$J194="",$U194=""),0,ROUND($U194*$J194,2))</f>
        <v/>
      </c>
      <c r="L194" s="50">
        <f>IF($G194="","",ROUND(N($G194)+N($K194),2))</f>
        <v/>
      </c>
      <c r="M194">
        <f>IF(OR($A194="",$B194="",$C194="",$D194="",$E194=""),"",$A194&amp;"|"&amp;$B194&amp;" - "&amp;$C194&amp;"("&amp;$D194&amp;")"&amp;"|"&amp;$E194)</f>
        <v/>
      </c>
      <c r="U194">
        <f>IF(OR($V194="",$I194=""),"",IF($I194&lt;$V194,$I194-$V194,IF($I194&gt;IF($T194="",$V194,$T194),$I194-IF($T194="",$V194,$T194),0)))</f>
        <v/>
      </c>
    </row>
    <row r="195" ht="21" customHeight="1" s="66">
      <c r="A195" s="57" t="n"/>
      <c r="B195" s="57" t="n"/>
      <c r="C195" s="57" t="n"/>
      <c r="D195" s="57" t="n"/>
      <c r="E195" s="57" t="n"/>
      <c r="F195" s="49" t="n"/>
      <c r="G195" s="49" t="n"/>
      <c r="H195" s="49" t="n"/>
      <c r="I195" s="49" t="n"/>
      <c r="J195" s="49" t="n"/>
      <c r="K195" s="50">
        <f>IF(OR($V195="",$I195="",$J195="",$U195=""),0,ROUND($U195*$J195,2))</f>
        <v/>
      </c>
      <c r="L195" s="50">
        <f>IF($G195="","",ROUND(N($G195)+N($K195),2))</f>
        <v/>
      </c>
      <c r="M195">
        <f>IF(OR($A195="",$B195="",$C195="",$D195="",$E195=""),"",$A195&amp;"|"&amp;$B195&amp;" - "&amp;$C195&amp;"("&amp;$D195&amp;")"&amp;"|"&amp;$E195)</f>
        <v/>
      </c>
      <c r="U195">
        <f>IF(OR($V195="",$I195=""),"",IF($I195&lt;$V195,$I195-$V195,IF($I195&gt;IF($T195="",$V195,$T195),$I195-IF($T195="",$V195,$T195),0)))</f>
        <v/>
      </c>
    </row>
    <row r="196" ht="21" customHeight="1" s="66">
      <c r="A196" s="57" t="n"/>
      <c r="B196" s="57" t="n"/>
      <c r="C196" s="57" t="n"/>
      <c r="D196" s="57" t="n"/>
      <c r="E196" s="57" t="n"/>
      <c r="F196" s="49" t="n"/>
      <c r="G196" s="49" t="n"/>
      <c r="H196" s="49" t="n"/>
      <c r="I196" s="49" t="n"/>
      <c r="J196" s="49" t="n"/>
      <c r="K196" s="50">
        <f>IF(OR($V196="",$I196="",$J196="",$U196=""),0,ROUND($U196*$J196,2))</f>
        <v/>
      </c>
      <c r="L196" s="50">
        <f>IF($G196="","",ROUND(N($G196)+N($K196),2))</f>
        <v/>
      </c>
      <c r="M196">
        <f>IF(OR($A196="",$B196="",$C196="",$D196="",$E196=""),"",$A196&amp;"|"&amp;$B196&amp;" - "&amp;$C196&amp;"("&amp;$D196&amp;")"&amp;"|"&amp;$E196)</f>
        <v/>
      </c>
      <c r="U196">
        <f>IF(OR($V196="",$I196=""),"",IF($I196&lt;$V196,$I196-$V196,IF($I196&gt;IF($T196="",$V196,$T196),$I196-IF($T196="",$V196,$T196),0)))</f>
        <v/>
      </c>
    </row>
    <row r="197" ht="21" customHeight="1" s="66">
      <c r="A197" s="57" t="n"/>
      <c r="B197" s="57" t="n"/>
      <c r="C197" s="57" t="n"/>
      <c r="D197" s="57" t="n"/>
      <c r="E197" s="57" t="n"/>
      <c r="F197" s="49" t="n"/>
      <c r="G197" s="49" t="n"/>
      <c r="H197" s="49" t="n"/>
      <c r="I197" s="49" t="n"/>
      <c r="J197" s="49" t="n"/>
      <c r="K197" s="50">
        <f>IF(OR($V197="",$I197="",$J197="",$U197=""),0,ROUND($U197*$J197,2))</f>
        <v/>
      </c>
      <c r="L197" s="50">
        <f>IF($G197="","",ROUND(N($G197)+N($K197),2))</f>
        <v/>
      </c>
      <c r="M197">
        <f>IF(OR($A197="",$B197="",$C197="",$D197="",$E197=""),"",$A197&amp;"|"&amp;$B197&amp;" - "&amp;$C197&amp;"("&amp;$D197&amp;")"&amp;"|"&amp;$E197)</f>
        <v/>
      </c>
      <c r="U197">
        <f>IF(OR($V197="",$I197=""),"",IF($I197&lt;$V197,$I197-$V197,IF($I197&gt;IF($T197="",$V197,$T197),$I197-IF($T197="",$V197,$T197),0)))</f>
        <v/>
      </c>
    </row>
    <row r="198" ht="21" customHeight="1" s="66">
      <c r="A198" s="57" t="n"/>
      <c r="B198" s="57" t="n"/>
      <c r="C198" s="57" t="n"/>
      <c r="D198" s="57" t="n"/>
      <c r="E198" s="57" t="n"/>
      <c r="F198" s="49" t="n"/>
      <c r="G198" s="49" t="n"/>
      <c r="H198" s="49" t="n"/>
      <c r="I198" s="49" t="n"/>
      <c r="J198" s="49" t="n"/>
      <c r="K198" s="50">
        <f>IF(OR($V198="",$I198="",$J198="",$U198=""),0,ROUND($U198*$J198,2))</f>
        <v/>
      </c>
      <c r="L198" s="50">
        <f>IF($G198="","",ROUND(N($G198)+N($K198),2))</f>
        <v/>
      </c>
      <c r="M198">
        <f>IF(OR($A198="",$B198="",$C198="",$D198="",$E198=""),"",$A198&amp;"|"&amp;$B198&amp;" - "&amp;$C198&amp;"("&amp;$D198&amp;")"&amp;"|"&amp;$E198)</f>
        <v/>
      </c>
      <c r="U198">
        <f>IF(OR($V198="",$I198=""),"",IF($I198&lt;$V198,$I198-$V198,IF($I198&gt;IF($T198="",$V198,$T198),$I198-IF($T198="",$V198,$T198),0)))</f>
        <v/>
      </c>
    </row>
    <row r="199" ht="21" customHeight="1" s="66">
      <c r="A199" s="57" t="n"/>
      <c r="B199" s="57" t="n"/>
      <c r="C199" s="57" t="n"/>
      <c r="D199" s="57" t="n"/>
      <c r="E199" s="57" t="n"/>
      <c r="F199" s="49" t="n"/>
      <c r="G199" s="49" t="n"/>
      <c r="H199" s="49" t="n"/>
      <c r="I199" s="49" t="n"/>
      <c r="J199" s="49" t="n"/>
      <c r="K199" s="50">
        <f>IF(OR($V199="",$I199="",$J199="",$U199=""),0,ROUND($U199*$J199,2))</f>
        <v/>
      </c>
      <c r="L199" s="50">
        <f>IF($G199="","",ROUND(N($G199)+N($K199),2))</f>
        <v/>
      </c>
      <c r="M199">
        <f>IF(OR($A199="",$B199="",$C199="",$D199="",$E199=""),"",$A199&amp;"|"&amp;$B199&amp;" - "&amp;$C199&amp;"("&amp;$D199&amp;")"&amp;"|"&amp;$E199)</f>
        <v/>
      </c>
      <c r="U199">
        <f>IF(OR($V199="",$I199=""),"",IF($I199&lt;$V199,$I199-$V199,IF($I199&gt;IF($T199="",$V199,$T199),$I199-IF($T199="",$V199,$T199),0)))</f>
        <v/>
      </c>
    </row>
    <row r="200" ht="21" customHeight="1" s="66">
      <c r="A200" s="57" t="n"/>
      <c r="B200" s="57" t="n"/>
      <c r="C200" s="57" t="n"/>
      <c r="D200" s="57" t="n"/>
      <c r="E200" s="57" t="n"/>
      <c r="F200" s="49" t="n"/>
      <c r="G200" s="49" t="n"/>
      <c r="H200" s="49" t="n"/>
      <c r="I200" s="49" t="n"/>
      <c r="J200" s="49" t="n"/>
      <c r="K200" s="50">
        <f>IF(OR($V200="",$I200="",$J200="",$U200=""),0,ROUND($U200*$J200,2))</f>
        <v/>
      </c>
      <c r="L200" s="50">
        <f>IF($G200="","",ROUND(N($G200)+N($K200),2))</f>
        <v/>
      </c>
      <c r="M200">
        <f>IF(OR($A200="",$B200="",$C200="",$D200="",$E200=""),"",$A200&amp;"|"&amp;$B200&amp;" - "&amp;$C200&amp;"("&amp;$D200&amp;")"&amp;"|"&amp;$E200)</f>
        <v/>
      </c>
      <c r="U200">
        <f>IF(OR($V200="",$I200=""),"",IF($I200&lt;$V200,$I200-$V200,IF($I200&gt;IF($T200="",$V200,$T200),$I200-IF($T200="",$V200,$T200),0)))</f>
        <v/>
      </c>
    </row>
    <row r="201" ht="21" customHeight="1" s="66">
      <c r="A201" s="57" t="n"/>
      <c r="B201" s="57" t="n"/>
      <c r="C201" s="57" t="n"/>
      <c r="D201" s="57" t="n"/>
      <c r="E201" s="57" t="n"/>
      <c r="F201" s="49" t="n"/>
      <c r="G201" s="49" t="n"/>
      <c r="H201" s="49" t="n"/>
      <c r="I201" s="49" t="n"/>
      <c r="J201" s="49" t="n"/>
      <c r="K201" s="50">
        <f>IF(OR($V201="",$I201="",$J201="",$U201=""),0,ROUND($U201*$J201,2))</f>
        <v/>
      </c>
      <c r="L201" s="50">
        <f>IF($G201="","",ROUND(N($G201)+N($K201),2))</f>
        <v/>
      </c>
      <c r="M201">
        <f>IF(OR($A201="",$B201="",$C201="",$D201="",$E201=""),"",$A201&amp;"|"&amp;$B201&amp;" - "&amp;$C201&amp;"("&amp;$D201&amp;")"&amp;"|"&amp;$E201)</f>
        <v/>
      </c>
      <c r="U201">
        <f>IF(OR($V201="",$I201=""),"",IF($I201&lt;$V201,$I201-$V201,IF($I201&gt;IF($T201="",$V201,$T201),$I201-IF($T201="",$V201,$T201),0)))</f>
        <v/>
      </c>
    </row>
    <row r="202" ht="21" customHeight="1" s="66">
      <c r="A202" s="57" t="n"/>
      <c r="B202" s="57" t="n"/>
      <c r="C202" s="57" t="n"/>
      <c r="D202" s="57" t="n"/>
      <c r="E202" s="57" t="n"/>
      <c r="F202" s="49" t="n"/>
      <c r="G202" s="49" t="n"/>
      <c r="H202" s="49" t="n"/>
      <c r="I202" s="49" t="n"/>
      <c r="J202" s="49" t="n"/>
      <c r="K202" s="50">
        <f>IF(OR($V202="",$I202="",$J202="",$U202=""),0,ROUND($U202*$J202,2))</f>
        <v/>
      </c>
      <c r="L202" s="50">
        <f>IF($G202="","",ROUND(N($G202)+N($K202),2))</f>
        <v/>
      </c>
      <c r="M202">
        <f>IF(OR($A202="",$B202="",$C202="",$D202="",$E202=""),"",$A202&amp;"|"&amp;$B202&amp;" - "&amp;$C202&amp;"("&amp;$D202&amp;")"&amp;"|"&amp;$E202)</f>
        <v/>
      </c>
      <c r="U202">
        <f>IF(OR($V202="",$I202=""),"",IF($I202&lt;$V202,$I202-$V202,IF($I202&gt;IF($T202="",$V202,$T202),$I202-IF($T202="",$V202,$T202),0)))</f>
        <v/>
      </c>
    </row>
    <row r="203" ht="21" customHeight="1" s="66">
      <c r="A203" s="57" t="n"/>
      <c r="B203" s="57" t="n"/>
      <c r="C203" s="57" t="n"/>
      <c r="D203" s="57" t="n"/>
      <c r="E203" s="57" t="n"/>
      <c r="F203" s="49" t="n"/>
      <c r="G203" s="49" t="n"/>
      <c r="H203" s="49" t="n"/>
      <c r="I203" s="49" t="n"/>
      <c r="J203" s="49" t="n"/>
      <c r="K203" s="50">
        <f>IF(OR($V203="",$I203="",$J203="",$U203=""),0,ROUND($U203*$J203,2))</f>
        <v/>
      </c>
      <c r="L203" s="50">
        <f>IF($G203="","",ROUND(N($G203)+N($K203),2))</f>
        <v/>
      </c>
      <c r="M203">
        <f>IF(OR($A203="",$B203="",$C203="",$D203="",$E203=""),"",$A203&amp;"|"&amp;$B203&amp;" - "&amp;$C203&amp;"("&amp;$D203&amp;")"&amp;"|"&amp;$E203)</f>
        <v/>
      </c>
      <c r="U203">
        <f>IF(OR($V203="",$I203=""),"",IF($I203&lt;$V203,$I203-$V203,IF($I203&gt;IF($T203="",$V203,$T203),$I203-IF($T203="",$V203,$T203),0)))</f>
        <v/>
      </c>
    </row>
    <row r="204" ht="21" customHeight="1" s="66">
      <c r="A204" s="57" t="n"/>
      <c r="B204" s="57" t="n"/>
      <c r="C204" s="57" t="n"/>
      <c r="D204" s="57" t="n"/>
      <c r="E204" s="57" t="n"/>
      <c r="F204" s="49" t="n"/>
      <c r="G204" s="49" t="n"/>
      <c r="H204" s="49" t="n"/>
      <c r="I204" s="49" t="n"/>
      <c r="J204" s="49" t="n"/>
      <c r="K204" s="50">
        <f>IF(OR($V204="",$I204="",$J204="",$U204=""),0,ROUND($U204*$J204,2))</f>
        <v/>
      </c>
      <c r="L204" s="50">
        <f>IF($G204="","",ROUND(N($G204)+N($K204),2))</f>
        <v/>
      </c>
      <c r="M204">
        <f>IF(OR($A204="",$B204="",$C204="",$D204="",$E204=""),"",$A204&amp;"|"&amp;$B204&amp;" - "&amp;$C204&amp;"("&amp;$D204&amp;")"&amp;"|"&amp;$E204)</f>
        <v/>
      </c>
      <c r="U204">
        <f>IF(OR($V204="",$I204=""),"",IF($I204&lt;$V204,$I204-$V204,IF($I204&gt;IF($T204="",$V204,$T204),$I204-IF($T204="",$V204,$T204),0)))</f>
        <v/>
      </c>
    </row>
  </sheetData>
  <pageMargins left="0.75" right="0.75" top="1" bottom="1" header="0.5" footer="0.5"/>
  <pageSetup orientation="landscape" paperSize="9" fitToHeight="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รายการมาตรฐาน!$F$2:$F$302</xm:f>
          </x14:formula1>
          <xm:sqref>A5:A204 O5:O54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รายการมาตรฐาน!$B$2:$B$302</xm:f>
          </x14:formula1>
          <xm:sqref>B5:B204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รายการมาตรฐาน!$C$2:$C$302</xm:f>
          </x14:formula1>
          <xm:sqref>C5:C204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รายการมาตรฐาน!$E$2:$E$302</xm:f>
          </x14:formula1>
          <xm:sqref>D5:D204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รายการมาตรฐาน!$D$2:$D$302</xm:f>
          </x14:formula1>
          <xm:sqref>E5:E204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รายการมาตรฐาน!$G$2:$G$302</xm:f>
          </x14:formula1>
          <xm:sqref>P5:P54 R5:R14</xm:sqref>
        </x14:dataValidation>
      </x14:dataValidations>
    </ext>
  </extLst>
</worksheet>
</file>

<file path=xl/worksheets/sheet7.xml><?xml version="1.0" encoding="utf-8"?>
<worksheet xmlns="http://schemas.openxmlformats.org/spreadsheetml/2006/main">
  <sheetPr>
    <tabColor rgb="FF808080"/>
    <outlinePr summaryBelow="1" summaryRight="1"/>
    <pageSetUpPr fitToPage="1"/>
  </sheetPr>
  <dimension ref="A1:B95"/>
  <sheetViews>
    <sheetView workbookViewId="0">
      <selection activeCell="A1" sqref="A1"/>
    </sheetView>
  </sheetViews>
  <sheetFormatPr baseColWidth="8" defaultRowHeight="14.25"/>
  <cols>
    <col width="6" customWidth="1" style="66" min="1" max="1"/>
    <col width="130" customWidth="1" style="66" min="2" max="2"/>
  </cols>
  <sheetData>
    <row r="1" ht="25.9" customHeight="1" s="66">
      <c r="A1" s="1" t="inlineStr">
        <is>
          <t>วิธีกรอกและวิธีอ่านผล</t>
        </is>
      </c>
    </row>
    <row r="3" ht="26" customHeight="1" s="66">
      <c r="A3" t="inlineStr">
        <is>
          <t>▍</t>
        </is>
      </c>
      <c r="B3" s="51" t="inlineStr">
        <is>
          <t>1. ภาพรวม — ไฟล์นี้ทำงานอย่างไร</t>
        </is>
      </c>
    </row>
    <row r="4" ht="22.05" customHeight="1" s="66">
      <c r="B4" s="52" t="inlineStr">
        <is>
          <t>1.1 ไฟล์นี้มี 8 sheet ใครต้องดูหน้าไหนบ้าง</t>
        </is>
      </c>
    </row>
    <row r="5" ht="34.05" customHeight="1" s="66">
      <c r="A5" s="53" t="inlineStr">
        <is>
          <t>a</t>
        </is>
      </c>
      <c r="B5" s="54" t="inlineStr">
        <is>
          <t>ฝ่ายเหมือง เปิดแค่ 2 หน้า: "บันทึกรายเที่ยว" (กรอก) และ "สรุปเหมือง" (ตรวจ) — หน้าอื่นไม่ต้องยุ่ง</t>
        </is>
      </c>
    </row>
    <row r="6" ht="34.05" customHeight="1" s="66">
      <c r="A6" s="53" t="inlineStr">
        <is>
          <t>b</t>
        </is>
      </c>
      <c r="B6" s="54" t="inlineStr">
        <is>
          <t>ฝ่ายบัญชี เปิด 4 หน้า: "oil" (กรอก) / "อัตราค่าขนส่ง" (กรอกครั้งเดียว) / "สรุปจ่ายรถร่วม" (ตรวจ) / "ปะหน้าจ่ายรถร่วม" (กรอกแผงขวา แล้วสั่งพิมพ์)</t>
        </is>
      </c>
    </row>
    <row r="7" ht="34.05" customHeight="1" s="66">
      <c r="A7" s="53" t="inlineStr">
        <is>
          <t>c</t>
        </is>
      </c>
      <c r="B7" s="54" t="inlineStr">
        <is>
          <t>อีก 2 หน้าเป็นหน้าประกอบ ใช้ร่วมกัน: "รายการมาตรฐาน" คือคลังชื่อที่ dropdown ทุกช่องดึงไปใช้ (มีชื่อใหม่ให้พิมพ์ต่อท้ายคอลัมน์นั้น เดี๋ยว dropdown ขึ้นเอง) และ "วิธีกรอก" คือหน้านี้</t>
        </is>
      </c>
    </row>
    <row r="8" ht="22.05" customHeight="1" s="66">
      <c r="B8" s="52" t="inlineStr">
        <is>
          <t>1.2 ลำดับงาน 4 ขั้น</t>
        </is>
      </c>
    </row>
    <row r="9" ht="20" customHeight="1" s="66">
      <c r="A9" s="53" t="inlineStr">
        <is>
          <t>d</t>
        </is>
      </c>
      <c r="B9" s="54" t="inlineStr">
        <is>
          <t>ขั้นที่ 1 [เหมือง] กรอกข้อมูลรายเที่ยวลงหน้า "บันทึกรายเที่ยว"</t>
        </is>
      </c>
    </row>
    <row r="10" ht="20" customHeight="1" s="66">
      <c r="A10" s="53" t="inlineStr">
        <is>
          <t>e</t>
        </is>
      </c>
      <c r="B10" s="54" t="inlineStr">
        <is>
          <t>ขั้นที่ 2 [เหมือง] เปิดหน้า "สรุปเหมือง" ตรวจให้ถูกต้อง แล้วจึงส่งไฟล์ให้ฝ่ายบัญชี</t>
        </is>
      </c>
    </row>
    <row r="11" ht="20" customHeight="1" s="66">
      <c r="A11" s="53" t="inlineStr">
        <is>
          <t>f</t>
        </is>
      </c>
      <c r="B11" s="54" t="inlineStr">
        <is>
          <t>ขั้นที่ 3 [บัญชี] กรอกหน้า "oil" และหน้า "อัตราค่าขนส่ง"</t>
        </is>
      </c>
    </row>
    <row r="12" ht="20" customHeight="1" s="66">
      <c r="A12" s="53" t="inlineStr">
        <is>
          <t>g</t>
        </is>
      </c>
      <c r="B12" s="54" t="inlineStr">
        <is>
          <t>ขั้นที่ 4 [บัญชี] ตรวจหน้า "สรุปจ่ายรถร่วม" อีกรอบ แล้วสั่งพิมพ์หน้า "ปะหน้าจ่ายรถร่วม"</t>
        </is>
      </c>
    </row>
    <row r="13" ht="22.05" customHeight="1" s="66">
      <c r="B13" s="52" t="inlineStr">
        <is>
          <t>1.3 สีในไฟล์ หมายถึงอะไร</t>
        </is>
      </c>
    </row>
    <row r="14" ht="20" customHeight="1" s="66">
      <c r="A14" s="53" t="inlineStr">
        <is>
          <t>h</t>
        </is>
      </c>
      <c r="B14" s="54" t="inlineStr">
        <is>
          <t>ช่องพื้นสีเหลืองอ่อน = ช่องที่ให้กรอก / แก้ทับได้ | ช่องที่ไม่ใช่สีเหลืองเป็นสูตร ห้ามพิมพ์ทับ</t>
        </is>
      </c>
    </row>
    <row r="15" ht="48" customHeight="1" s="66">
      <c r="A15" s="53" t="inlineStr">
        <is>
          <t>i</t>
        </is>
      </c>
      <c r="B15" s="54" t="inlineStr">
        <is>
          <t>ตัวหนังสือสีแดงเอียงที่หัวหน้า (บันทึกรายเที่ยว ช่อง A2 และ อัตราค่าขนส่ง ช่อง A2) = คำแนะนำวิธีใช้ ไม่ใช่ข้อมูล ลบทิ้งได้เมื่อใช้งานจริง (บรรทัดสีน้ำเงินใต้ลงมา อัตราค่าขนส่ง ช่อง A3 ก็เป็นคำอธิบาย ลบได้เหมือนกัน)</t>
        </is>
      </c>
    </row>
    <row r="16" ht="20" customHeight="1" s="66">
      <c r="A16" s="53" t="inlineStr">
        <is>
          <t>j</t>
        </is>
      </c>
      <c r="B16" s="54" t="inlineStr">
        <is>
          <t>ตัวหนังสือสีแดงในช่องตรวจสอบ = คำเตือนจริง ห้ามลบ ต้องกลับไปแก้ให้ขึ้นคำว่า ปกติ</t>
        </is>
      </c>
    </row>
    <row r="17" ht="34.05" customHeight="1" s="66">
      <c r="A17" s="53" t="inlineStr">
        <is>
          <t>k</t>
        </is>
      </c>
      <c r="B17" s="54" t="inlineStr">
        <is>
          <t>แถวสีเหลืองในตาราง (บันทึกรายเที่ยว แถว 6-7 และ อัตราค่าขนส่ง แถว 5-7) เป็นแถวตัวอย่างให้ดูรูปแบบ ลบทิ้งก่อนกรอกจริง</t>
        </is>
      </c>
    </row>
    <row r="18" ht="26" customHeight="1" s="66">
      <c r="A18" t="inlineStr">
        <is>
          <t>▍</t>
        </is>
      </c>
      <c r="B18" s="51" t="inlineStr">
        <is>
          <t>2. เจ้าหน้าที่เหมือง ต้องทำอะไรบ้าง</t>
        </is>
      </c>
    </row>
    <row r="19" ht="22.05" customHeight="1" s="66">
      <c r="B19" s="52" t="inlineStr">
        <is>
          <t>2.1 เปิด 2 หน้านี้เท่านั้น ตามลำดับ: (1) บันทึกรายเที่ยว  (2) สรุปเหมือง</t>
        </is>
      </c>
    </row>
    <row r="20" ht="22.05" customHeight="1" s="66">
      <c r="B20" s="52" t="inlineStr">
        <is>
          <t>2.2 หน้า "บันทึกรายเที่ยว" — หน้ากรอกข้อมูลดิบ 1 เที่ยว = 1 แถว (ทุกหน้าที่เหลือคิดจากหน้านี้)</t>
        </is>
      </c>
    </row>
    <row r="21" ht="20" customHeight="1" s="66">
      <c r="A21" s="53" t="inlineStr">
        <is>
          <t>a</t>
        </is>
      </c>
      <c r="B21" s="54" t="inlineStr">
        <is>
          <t>หัวฟอร์มก่อน: ประจำเดือน (ช่อง B3) / เลขที่หนังสือ (ช่อง D3) / นามที่จ่ายของเล่มนี้ (ช่อง F3)</t>
        </is>
      </c>
    </row>
    <row r="22" ht="20" customHeight="1" s="66">
      <c r="A22" s="53" t="inlineStr">
        <is>
          <t>b</t>
        </is>
      </c>
      <c r="B22" s="54" t="inlineStr">
        <is>
          <t>ลบ 2 แถวตัวอย่างสีเหลือง (แถว 6-7) ทิ้งก่อน แล้วกรอกข้อมูลจริงตั้งแต่แถวที่ 6 ลงไป</t>
        </is>
      </c>
    </row>
    <row r="23" ht="48" customHeight="1" s="66">
      <c r="A23" s="53" t="inlineStr">
        <is>
          <t>c</t>
        </is>
      </c>
      <c r="B23" s="54" t="inlineStr">
        <is>
          <t>กรอก 11 ช่อง คือ A ถึง K: วันที่ (A) / เหมืองต้นทาง (B) / ท่าปลายทาง (C) / ชนิดแร่-หิน (D) / แบก นน. (E) / ทีมรถร่วม (F) / นามที่จ่าย (G) / ทะเบียนรถ (H) / เลขที่ชั่ง (I) / นน.ต้นทาง (J) / นน.ปลายทาง (K)</t>
        </is>
      </c>
    </row>
    <row r="24" ht="34.05" customHeight="1" s="66">
      <c r="A24" s="53" t="inlineStr">
        <is>
          <t>d</t>
        </is>
      </c>
      <c r="B24" s="54" t="inlineStr">
        <is>
          <t>อีก 2 ช่องท้ายเป็นสูตร ระบบคิดให้เอง ห้ามพิมพ์ทับ ห้ามก๊อปวางทับ: ช่อง L "นน.ส่วนต่าง" = J ลบ K | ช่อง M "นน.จ่ายค่าบรรทุก" = ค่าที่น้อยกว่าระหว่าง J กับ K (จ่ายตามน้ำหนักที่ต่ำกว่า)</t>
        </is>
      </c>
    </row>
    <row r="25" ht="34.05" customHeight="1" s="66">
      <c r="A25" s="53" t="inlineStr">
        <is>
          <t>d1</t>
        </is>
      </c>
      <c r="B25" s="54" t="inlineStr">
        <is>
          <t>ถ้ากรอกน้ำหนักมาข้างเดียว (มีแต่ต้นทาง หรือมีแต่ปลายทาง) ช่อง M จะใช้ข้างที่กรอกมา | ถ้าไม่กรอกทั้งคู่ ช่อง M จะเว้นว่าง ไม่ขึ้นเลข 0</t>
        </is>
      </c>
    </row>
    <row r="26" ht="20" customHeight="1" s="66">
      <c r="A26" s="53" t="inlineStr">
        <is>
          <t>e</t>
        </is>
      </c>
      <c r="B26" s="54" t="inlineStr">
        <is>
          <t>น้ำหนักกรอกเป็น "ตัน" ทศนิยม 2 ตำแหน่ง (เช่น 42.30) ไม่ใช่กิโลกรัม</t>
        </is>
      </c>
    </row>
    <row r="27" ht="34.05" customHeight="1" s="66">
      <c r="A27" s="53" t="inlineStr">
        <is>
          <t>f</t>
        </is>
      </c>
      <c r="B27" s="54" t="inlineStr">
        <is>
          <t>5 ช่องที่เป็นชื่อ (B / C / D / E / F) ให้เลือกจาก dropdown — สะกดต่างแม้ 1 ตัวอักษร จะกลายเป็นคนละกลุ่มและหาอัตราไม่เจอทันที</t>
        </is>
      </c>
    </row>
    <row r="28" ht="48" customHeight="1" s="66">
      <c r="A28" s="53" t="inlineStr">
        <is>
          <t>g</t>
        </is>
      </c>
      <c r="B28" s="54" t="inlineStr">
        <is>
          <t>ช่อง E "แบก นน." ไม่ได้มีแค่ แบก / ไม่แบก — ตั้งไว้ 9 ประเภท (แบก นน. / ไม่แบก นน. / ตาม นน. / นน. 35.01-40 ตัน / นน. 40.01-50 ตันขึ้นไป / น้อยกว่าหรือเท่ากับ 35 ตัน / น้ำหนัก 35.01-50 ตัน / นน 50 ตันขึ้นไป / นน 40-50 ตัน) เพราะแต่ละประเภทคิดคนละอัตรา</t>
        </is>
      </c>
    </row>
    <row r="29" ht="20" customHeight="1" s="66">
      <c r="A29" s="53" t="inlineStr">
        <is>
          <t>h</t>
        </is>
      </c>
      <c r="B29" s="54" t="inlineStr">
        <is>
          <t>ห้ามเว้นแถวว่างกลางตาราง และห้ามพิมพ์แถว "รวม" เอง — ระบบรวมให้เอง</t>
        </is>
      </c>
    </row>
    <row r="30" ht="48" customHeight="1" s="66">
      <c r="A30" s="53" t="inlineStr">
        <is>
          <t>i</t>
        </is>
      </c>
      <c r="B30" s="54" t="inlineStr">
        <is>
          <t>ถ้าดึงรายงานมาก๊อปวาง ให้วางแค่ช่วง A ถึง K เท่านั้น อย่าวางเลย K ไป เพราะ L กับ M เป็นสูตร ถ้าวางทับจะหายถาวร | และให้ใช้ คลิกขวา &gt; วางแบบพิเศษ &gt; ค่า (Paste Values) เพราะการวางแบบปกติจะทับ dropdown ที่ตั้งไว้ด้วย</t>
        </is>
      </c>
    </row>
    <row r="31" ht="34.05" customHeight="1" s="66">
      <c r="A31" s="53" t="inlineStr">
        <is>
          <t>j</t>
        </is>
      </c>
      <c r="B31" s="54" t="inlineStr">
        <is>
          <t>กรอก/วางเสร็จ ดูแผงตรวจทานขวามือ (ช่อง N5:O11) ต้องได้ 2 อย่างนี้: ช่อง O10 "ชื่อที่ไม่อยู่ในรายการ" = 0 และ ช่อง O11 "เตือน" = ปกติ</t>
        </is>
      </c>
    </row>
    <row r="32" ht="34.05" customHeight="1" s="66">
      <c r="A32" s="53" t="inlineStr">
        <is>
          <t>k</t>
        </is>
      </c>
      <c r="B32" s="54" t="inlineStr">
        <is>
          <t>ถ้า O10 ไม่เป็น 0 แปลว่ามีชื่อที่ไม่ตรงคลังชื่อหลุดเข้ามา (เกิดจากการก๊อปวางเกือบทุกครั้ง) ให้ไล่แก้ชื่อนั้น หรือเพิ่มชื่อใหม่ลงหน้า "รายการมาตรฐาน"</t>
        </is>
      </c>
    </row>
    <row r="33" ht="48" customHeight="1" s="66">
      <c r="A33" s="53" t="inlineStr">
        <is>
          <t>l</t>
        </is>
      </c>
      <c r="B33" s="54" t="inlineStr">
        <is>
          <t>ถ้าก๊อปวางมาแล้วไม่แก้ให้ตรง dropdown อย่างน้อยต้องเช็คว่า "เขียนเหมือนกันทุกแถว" คือผิดแบบเดียวกันหมด ห้ามผิดคนละแบบ (เช่น เว้นวรรคบ้างไม่เว้นบ้าง มีจุดบ้างไม่มีบ้าง) เพราะถ้าเขียนเหมือนกันหมด หน้าสรุปจะยังรวมเป็นบรรทัดเดียวอยู่ ไม่แตกเป็น 2 แถว</t>
        </is>
      </c>
    </row>
    <row r="34" ht="48" customHeight="1" s="66">
      <c r="A34" s="53" t="inlineStr">
        <is>
          <t>m</t>
        </is>
      </c>
      <c r="B34" s="54" t="inlineStr">
        <is>
          <t>ข้อควรรู้ของข้อ l: เขียนเหมือนกันช่วยได้แค่เรื่อง "ไม่แตกแถว" เท่านั้น เรื่องอัตรายังไม่ได้ เพราะหน้า "อัตราค่าขนส่ง" เลือกจาก dropdown จึงสะกดคนละแบบกับที่วางมา อัตราจะขึ้น 0 อยู่ดี — ถ้าจะไม่แก้จริง ๆ ต้องไปสะกดในตารางอัตราให้ตรงกับที่วางมาด้วย</t>
        </is>
      </c>
    </row>
    <row r="35" ht="22.05" customHeight="1" s="66">
      <c r="B35" s="52" t="inlineStr">
        <is>
          <t>2.3 หน้า "สรุปเหมือง" — รายงานที่ระบบทำให้เอง หน้าที่ของเหมืองคือ "ตรวจ" ไม่ใช่กรอก</t>
        </is>
      </c>
    </row>
    <row r="36" ht="20" customHeight="1" s="66">
      <c r="A36" s="53" t="inlineStr">
        <is>
          <t>a</t>
        </is>
      </c>
      <c r="B36" s="54" t="inlineStr">
        <is>
          <t>ทั้งตารางเป็นสูตร ห้ามพิมพ์ตัวเลขทับ — ยกเว้นหัวจดหมาย (ที่ / เรื่อง / เรียน) พิมพ์ทับได้</t>
        </is>
      </c>
    </row>
    <row r="37" ht="34.05" customHeight="1" s="66">
      <c r="A37" s="53" t="inlineStr">
        <is>
          <t>b</t>
        </is>
      </c>
      <c r="B37" s="54" t="inlineStr">
        <is>
          <t>โครงสร้าง 3 ชั้น: ต้นทาง-ปลายทาง (แถบฟ้า) &gt; ชนิดหิน(ประเภทแบก นน.) (แถบเขียว) &gt; ทีมขนส่ง แล้วปิดท้ายด้วยแถว ผลรวมทั้งหมด</t>
        </is>
      </c>
    </row>
    <row r="38" ht="34.05" customHeight="1" s="66">
      <c r="A38" s="53" t="inlineStr">
        <is>
          <t>c</t>
        </is>
      </c>
      <c r="B38" s="54" t="inlineStr">
        <is>
          <t>คอลัมน์ตัวเลข: เที่ยว (D) / นน.ต้นทาง (E) / นน.ปลายทาง (F) / นน.ส่วนต่าง (G) / นน.จ่ายค่าบรรทุก (H)</t>
        </is>
      </c>
    </row>
    <row r="39" ht="34.05" customHeight="1" s="66">
      <c r="A39" s="53" t="inlineStr">
        <is>
          <t>d</t>
        </is>
      </c>
      <c r="B39" s="54" t="inlineStr">
        <is>
          <t>ต้องตรวจ 2 ช่องนี้ก่อนส่ง: ช่อง I10 ต้องขึ้นว่า "ยอดตรงกับรายเที่ยว" และช่อง I12 ต้องขึ้นว่า "เพียงพอ" — ถ้าไม่ใช่ แปลว่ายังมีอะไรผิดที่หน้าบันทึกรายเที่ยว</t>
        </is>
      </c>
    </row>
    <row r="40" ht="34.05" customHeight="1" s="66">
      <c r="A40" s="53" t="inlineStr">
        <is>
          <t>e</t>
        </is>
      </c>
      <c r="B40" s="54" t="inlineStr">
        <is>
          <t>ตรวจด้วยตาอีกชั้น: ถ้าทีมเดียวกันแตกเป็น 2 บรรทัด หรือเส้นทางเดียวกันโผล่ 2 ครั้ง แปลว่าชื่อสะกดไม่ตรงกัน ให้กลับไปแก้ที่หน้าบันทึกรายเที่ยว แล้วกด F9</t>
        </is>
      </c>
    </row>
    <row r="41" ht="34.05" customHeight="1" s="66">
      <c r="A41" s="53" t="inlineStr">
        <is>
          <t>f</t>
        </is>
      </c>
      <c r="B41" s="54" t="inlineStr">
        <is>
          <t>อยากดูเฉพาะบางส่วน ใช้ตัวกรอง: ช่อง I3 (ท่าปลายทาง) / I5 (ชนิดแร่-หิน) / I7 (ทีมรถร่วม) เลือก (ทั้งหมด) เพื่อยกเลิก — ตอนกรองอยู่ ช่อง I10 จะไม่ตรวจยอดให้ ต้องเลิกกรองก่อน</t>
        </is>
      </c>
    </row>
    <row r="42" ht="20" customHeight="1" s="66">
      <c r="A42" s="53" t="inlineStr">
        <is>
          <t>g</t>
        </is>
      </c>
      <c r="B42" s="54" t="inlineStr">
        <is>
          <t>ตรวจครบแล้วจึงส่งไฟล์ให้ฝ่ายบัญชี — งานของเหมืองจบตรงนี้ ไม่ต้องกรอกหน้า oil</t>
        </is>
      </c>
    </row>
    <row r="43" ht="26" customHeight="1" s="66">
      <c r="A43" t="inlineStr">
        <is>
          <t>▍</t>
        </is>
      </c>
      <c r="B43" s="51" t="inlineStr">
        <is>
          <t>3. เจ้าหน้าที่บัญชี ต้องทำอะไรบ้าง</t>
        </is>
      </c>
    </row>
    <row r="44" ht="22.05" customHeight="1" s="66">
      <c r="B44" s="52" t="inlineStr">
        <is>
          <t>3.1 เปิด 4 หน้า ตามลำดับ: (1) oil  (2) อัตราค่าขนส่ง  (3) สรุปจ่ายรถร่วม  (4) ปะหน้าจ่ายรถร่วม</t>
        </is>
      </c>
    </row>
    <row r="45" ht="34.05" customHeight="1" s="66">
      <c r="A45" s="53" t="inlineStr">
        <is>
          <t>a</t>
        </is>
      </c>
      <c r="B45" s="54" t="inlineStr">
        <is>
          <t>ก่อนเริ่ม ดูหน้า "สรุปเหมือง" ช่อง I10 ว่าเหมืองตรวจมาแล้วจริง (ต้องขึ้น "ยอดตรงกับรายเที่ยว") ถ้าไม่ตรงให้ตีกลับ อย่าเพิ่งทำต่อ</t>
        </is>
      </c>
    </row>
    <row r="46" ht="22.05" customHeight="1" s="66">
      <c r="B46" s="52" t="inlineStr">
        <is>
          <t>3.2 หน้า "oil" — ค่าน้ำมันและค่าหักรายทีม (หน้านี้ฝ่ายบัญชีกรอก ไม่ใช่เหมือง)</t>
        </is>
      </c>
    </row>
    <row r="47" ht="34.05" customHeight="1" s="66">
      <c r="A47" s="53" t="inlineStr">
        <is>
          <t>a</t>
        </is>
      </c>
      <c r="B47" s="54" t="inlineStr">
        <is>
          <t>1 แถว = 1 ทีม กรอกตั้งแต่แถวที่ 4 ลงไป ได้ 60 แถว ลำดับที่ (คอลัมน์ A) ขึ้นให้เอง ชื่อทีม (คอลัมน์ B) เลือกจาก dropdown</t>
        </is>
      </c>
    </row>
    <row r="48" ht="34.05" customHeight="1" s="66">
      <c r="A48" s="53" t="inlineStr">
        <is>
          <t>b</t>
        </is>
      </c>
      <c r="B48" s="54" t="inlineStr">
        <is>
          <t>มีบล็อกหนังสืออ้างอิง 8 บล็อก บล็อกละ 3 ช่อง (จำนวนลิตร / ราคาต่อลิตร / จำนวนเงิน) — ชื่อหนังสือพิมพ์เองที่แถวที่ 2 บล็อกไหนเดือนนั้นไม่ใช้ ปล่อยว่างไว้</t>
        </is>
      </c>
    </row>
    <row r="49" ht="34.05" customHeight="1" s="66">
      <c r="A49" s="53" t="inlineStr">
        <is>
          <t>c</t>
        </is>
      </c>
      <c r="B49" s="54" t="inlineStr">
        <is>
          <t>ถัดจากบล็อกหนังสือมีช่องหักอื่นอีก 4 ช่อง ชื่อรายการพิมพ์เองที่แถวที่ 3 (เช่น หักค่าหิน / เพิ่มหนี้ / ลดหนี้)</t>
        </is>
      </c>
    </row>
    <row r="50" ht="34.05" customHeight="1" s="66">
      <c r="A50" s="53" t="inlineStr">
        <is>
          <t>d</t>
        </is>
      </c>
      <c r="B50" s="54" t="inlineStr">
        <is>
          <t>ถ้ามีแต่ยอดเงิน ไม่มีลิตร/ราคา กรอกเฉพาะช่องจำนวนเงินได้เลย — ถ้ากรอกครบ 3 ช่อง ระบบจะเตือนให้เมื่อ ลิตร x ราคา ไม่ตรงกับจำนวนเงิน</t>
        </is>
      </c>
    </row>
    <row r="51" ht="34.05" customHeight="1" s="66">
      <c r="A51" s="53" t="inlineStr">
        <is>
          <t>e</t>
        </is>
      </c>
      <c r="B51" s="54" t="inlineStr">
        <is>
          <t>คอลัมน์ "รวมทั้งสิ้น" เป็นสูตร ห้ามพิมพ์ทับ — ยอดนี้ไหลไปเป็นคอลัมน์ "ค่าใช้จ่าย" ในหน้าสรุปจ่ายรถร่วม และคอลัมน์ "ค่าน้ำมัน" ในหน้าปะหน้าให้เอง ไม่ต้องพิมพ์ซ้ำ</t>
        </is>
      </c>
    </row>
    <row r="52" ht="34.05" customHeight="1" s="66">
      <c r="A52" s="53" t="inlineStr">
        <is>
          <t>f</t>
        </is>
      </c>
      <c r="B52" s="54" t="inlineStr">
        <is>
          <t>ดูช่องตรวจสอบด้านขวา ช่อง "สรุป" ต้องขึ้นคำว่า ปกติ | ถ้าขึ้นว่ามีทีมที่ไม่มีในสรุปจ่ายรถร่วม แปลว่าทีมนั้นเดือนนี้ไม่มีเที่ยววิ่ง ยอดหักจะหายไปเงียบ ๆ ต้องแก้ก่อน</t>
        </is>
      </c>
    </row>
    <row r="53" ht="22.05" customHeight="1" s="66">
      <c r="B53" s="52" t="inlineStr">
        <is>
          <t>3.3 หน้า "อัตราค่าขนส่ง" — ตารางราคา กรอกครั้งเดียว เดือนถัดไปไม่ต้องกรอกซ้ำ</t>
        </is>
      </c>
    </row>
    <row r="54" ht="20" customHeight="1" s="66">
      <c r="A54" s="53" t="inlineStr">
        <is>
          <t>a</t>
        </is>
      </c>
      <c r="B54" s="54" t="inlineStr">
        <is>
          <t>ลบ 3 แถวตัวอย่างสีเหลือง (แถว 5-7) ทิ้งก่อน แล้วกรอกจริงตั้งแต่แถวที่ 5</t>
        </is>
      </c>
    </row>
    <row r="55" ht="34.05" customHeight="1" s="66">
      <c r="A55" s="53" t="inlineStr">
        <is>
          <t>b</t>
        </is>
      </c>
      <c r="B55" s="54" t="inlineStr">
        <is>
          <t>1 แถว = 1 ชุดราคา คีย์คือ 5 ช่องแรก: ทีมรถร่วม (A) / เหมืองต้นทาง (B) / ท่าปลายทาง (C) / แบก นน. (D) / ชนิดแร่-หิน (E) — ผูกด้วยชื่อ ไม่ได้ผูกกับลำดับแถว จะสลับแถวก็ได้</t>
        </is>
      </c>
    </row>
    <row r="56" ht="20" customHeight="1" s="66">
      <c r="A56" s="53" t="inlineStr">
        <is>
          <t>c</t>
        </is>
      </c>
      <c r="B56" s="54" t="inlineStr">
        <is>
          <t>ทีมเดียวกัน เส้นทางเดียวกัน หินเดียวกัน แต่คนละประเภทแบก นน. ต้องแยกเป็นคนละแถว เพราะคนละราคา</t>
        </is>
      </c>
    </row>
    <row r="57" ht="34.05" customHeight="1" s="66">
      <c r="A57" s="53" t="inlineStr">
        <is>
          <t>d</t>
        </is>
      </c>
      <c r="B57" s="54" t="inlineStr">
        <is>
          <t>กรอก ระยะทาง (F) และ อัตราค่าขนส่งตามสัญญา (G) | อัตราเปลี่ยน หรือกรอกผิด แก้ทับช่องเดิมได้เลย หน้าสรุปคิดใหม่ให้ทันที | มีเส้นทางใหม่ ค่อยเพิ่มแถวต่อท้าย</t>
        </is>
      </c>
    </row>
    <row r="58" ht="34.05" customHeight="1" s="66">
      <c r="A58" s="53" t="inlineStr">
        <is>
          <t>e</t>
        </is>
      </c>
      <c r="B58" s="54" t="inlineStr">
        <is>
          <t>แถวที่มีเงื่อนไขปรับตามราคาน้ำมัน ให้กรอกเพิ่ม 3 ช่อง: ราคาน้ำมันฐาน (H) / ราคาน้ำมันเฉลี่ย (I) / ปรับค่าขนส่งต่อน้ำมัน 1 บาทต่อลิตร (J)</t>
        </is>
      </c>
    </row>
    <row r="59" ht="34.05" customHeight="1" s="66">
      <c r="A59" s="53" t="inlineStr">
        <is>
          <t>f</t>
        </is>
      </c>
      <c r="B59" s="54" t="inlineStr">
        <is>
          <t>ช่อง K "ส่วนปรับน้ำมัน" = (เฉลี่ย - ฐาน) x ตัวคูณ และช่อง L "อัตราสุทธิที่ใช้จริง" = อัตราตามสัญญา + ส่วนปรับ ทั้งสองช่องเป็นสูตร ห้ามพิมพ์ทับ | รายได้คิดจากช่อง L เสมอ</t>
        </is>
      </c>
    </row>
    <row r="60" ht="20" customHeight="1" s="66">
      <c r="A60" s="53" t="inlineStr">
        <is>
          <t>g</t>
        </is>
      </c>
      <c r="B60" s="54" t="inlineStr">
        <is>
          <t>แถวไหนไม่มีเงื่อนไขน้ำมัน ปล่อย H/I/J ว่างไว้ ส่วนปรับจะเป็น 0 และอัตราสุทธิ = อัตราตามสัญญา</t>
        </is>
      </c>
    </row>
    <row r="61" ht="48" customHeight="1" s="66">
      <c r="A61" s="53" t="inlineStr">
        <is>
          <t>h</t>
        </is>
      </c>
      <c r="B61" s="54" t="inlineStr">
        <is>
          <t>ถ้ามีทีมที่จ่ายคนละเครดิต (เช่น ร้อยเกาะ) ใส่ชื่อทีมนั้นในตารางคอลัมน์ O-P แล้วเลือกกลุ่มจ่าย — หน้าสรุปจะแยกก้อนปิดยอดให้เอง ข้อความบนแถวรวมของแต่ละก้อนแก้ได้ที่คอลัมน์ R-S | ทีมที่ไม่ได้ใส่ = กลุ่มปกติทั้งหมด</t>
        </is>
      </c>
    </row>
    <row r="62" ht="22.05" customHeight="1" s="66">
      <c r="B62" s="52" t="inlineStr">
        <is>
          <t>3.4 หน้า "สรุปจ่ายรถร่วม" — ยอดจ่ายจริง จุดตรวจสุดท้ายก่อนพิมพ์</t>
        </is>
      </c>
    </row>
    <row r="63" ht="20" customHeight="1" s="66">
      <c r="A63" s="53" t="inlineStr">
        <is>
          <t>a</t>
        </is>
      </c>
      <c r="B63" s="54" t="inlineStr">
        <is>
          <t>ทั้งตารางเป็นสูตร ขึ้นให้เองจาก 3 หน้าก่อนหน้า (รายเที่ยว + oil + อัตราค่าขนส่ง)</t>
        </is>
      </c>
    </row>
    <row r="64" ht="34.05" customHeight="1" s="66">
      <c r="A64" s="53" t="inlineStr">
        <is>
          <t>b</t>
        </is>
      </c>
      <c r="B64" s="54" t="inlineStr">
        <is>
          <t>โครงสร้าง: ทีมรถร่วม (แถบฟ้า) &gt; เส้นทาง+ชนิดหิน+แบก นน. ของทีมนั้น &gt; แถว "รวม" ต่อทีม (แถบเขียว) ปิดท้ายด้วย รวมจ่ายทั้งสิ้น</t>
        </is>
      </c>
    </row>
    <row r="65" ht="34.05" customHeight="1" s="66">
      <c r="A65" s="53" t="inlineStr">
        <is>
          <t>c</t>
        </is>
      </c>
      <c r="B65" s="54" t="inlineStr">
        <is>
          <t>มีช่องอัตราให้ดูย้อน 3 ช่อง: อัตราตามสัญญา (G) / ส่วนปรับน้ำมัน (H) / อัตราสุทธิ (I) จะได้ตรวจได้ว่าราคาที่ใช้มาจากไหน</t>
        </is>
      </c>
    </row>
    <row r="66" ht="34.05" customHeight="1" s="66">
      <c r="A66" s="53" t="inlineStr">
        <is>
          <t>d</t>
        </is>
      </c>
      <c r="B66" s="54" t="inlineStr">
        <is>
          <t>คอลัมน์ "ค่าใช้จ่าย" (M) ลงที่แถวรวมของแต่ละทีม มาจากหน้า oil ทั้งหมด ไม่ต้องพิมพ์ซ้ำ (ทีมเดียวมีหลายแถวใน oil ระบบรวมให้เอง)</t>
        </is>
      </c>
    </row>
    <row r="67" ht="34.05" customHeight="1" s="66">
      <c r="A67" s="53" t="inlineStr">
        <is>
          <t>e</t>
        </is>
      </c>
      <c r="B67" s="54" t="inlineStr">
        <is>
          <t>แผงกรอก/ตรวจอยู่ขวาสุด คอลัมน์ BF (เลื่อนผ่านคอลัมน์ที่ซ่อนไว้ไป): ช่อง BF2 = ภาษีหัก ณ ที่จ่าย % (ตั้งไว้ 1.00 แก้ได้)</t>
        </is>
      </c>
    </row>
    <row r="68" ht="34.05" customHeight="1" s="66">
      <c r="A68" s="53" t="inlineStr">
        <is>
          <t>f</t>
        </is>
      </c>
      <c r="B68" s="54" t="inlineStr">
        <is>
          <t>ต้องตรวจ 3 อย่างก่อนพิมพ์: (1) ช่อง BF4 "อัตราที่ยังไม่ได้กรอก" = 0 (2) ช่อง BF8 = "ยอดตันตรงกับรายเที่ยว" (3) กลับไปดูหน้า oil ว่าช่องสรุปขึ้น ปกติ (แปลว่าทุกทีมใน oil มีอยู่ในหน้านี้)</t>
        </is>
      </c>
    </row>
    <row r="69" ht="48" customHeight="1" s="66">
      <c r="A69" s="53" t="inlineStr">
        <is>
          <t>g</t>
        </is>
      </c>
      <c r="B69" s="54" t="inlineStr">
        <is>
          <t>ถ้า BF4 ไม่เป็น 0 แปลว่ามีเส้นทาง/ชนิดหิน/ประเภทแบก ที่ยังไม่มีราคาในตารางอัตรา ให้กลับไปเพิ่มแถวในหน้าอัตราค่าขนส่ง | หรือถ้าอยากพิมพ์อัตราลงตรง ๆ ก็ทับสูตรช่อง G/I แถวนั้นได้ (เฉพาะแถวรายการ)</t>
        </is>
      </c>
    </row>
    <row r="70" ht="22.05" customHeight="1" s="66">
      <c r="B70" s="52" t="inlineStr">
        <is>
          <t>3.5 หน้า "ปะหน้าจ่ายรถร่วม" — จดหมายปะหน้า ตัวเลขขึ้นให้เองทั้งหมด</t>
        </is>
      </c>
    </row>
    <row r="71" ht="34.05" customHeight="1" s="66">
      <c r="A71" s="53" t="inlineStr">
        <is>
          <t>a</t>
        </is>
      </c>
      <c r="B71" s="54" t="inlineStr">
        <is>
          <t>ตัวเลขทุกช่องดึงจากแถว "รวม" ของแต่ละทีมในหน้าสรุปจ่ายรถร่วมโดยตรง ห้ามพิมพ์ทับ | นับเฉพาะทีมกลุ่มปกติ (ร้อยเกาะไม่รวม เพราะคนละเครดิต มีปะหน้าของตัวเอง)</t>
        </is>
      </c>
    </row>
    <row r="72" ht="48" customHeight="1" s="66">
      <c r="A72" s="53" t="inlineStr">
        <is>
          <t>b</t>
        </is>
      </c>
      <c r="B72" s="54" t="inlineStr">
        <is>
          <t>ที่ต้องกรอกมีแค่แผงช่องเหลืองคอลัมน์ J-K ด้านขวา (แถว 2-30 อยู่นอกพื้นที่พิมพ์): เลขที่หนังสือ / วันที่ / เรียน / เครดิตกี่วัน / ครบกำหนดวันที่ / ชื่อ-ตำแหน่งผู้ลงนาม / สำเนาเรียน / สิ่งที่ส่งมาด้วย 1-12 (เว้นว่างได้ บรรทัดที่ว่างจะไม่แสดง)</t>
        </is>
      </c>
    </row>
    <row r="73" ht="34.05" customHeight="1" s="66">
      <c r="A73" s="53" t="inlineStr">
        <is>
          <t>c</t>
        </is>
      </c>
      <c r="B73" s="54" t="inlineStr">
        <is>
          <t>จำนวนเงินเป็นตัวหนังสือ ต้องพิมพ์เองลงช่อง K17 ทุกเดือน เพราะ Google Sheets ไม่มีฟังก์ชัน BAHTTEXT ให้แปลงอัตโนมัติ (ถ้าไม่พิมพ์ บรรทัดนั้นจะขึ้นข้อความเตือนแทนตัวเลข)</t>
        </is>
      </c>
    </row>
    <row r="74" ht="34.05" customHeight="1" s="66">
      <c r="A74" s="53" t="inlineStr">
        <is>
          <t>d</t>
        </is>
      </c>
      <c r="B74" s="54" t="inlineStr">
        <is>
          <t>ก่อนพิมพ์ดู 2 ช่อง: ช่อง K38 ต้องขึ้น "ยอดตรงกับสรุปจ่ายรถร่วม" และช่อง K36 บอกว่าต้องซ่อนแถวไหน (ตารางสำรองไว้ 40 ทีม ของจริงสูงสุด 30) ให้เลือกแถวนั้น คลิกขวา &gt; Hide จดหมายจะพอดีหน้าทันที</t>
        </is>
      </c>
    </row>
    <row r="75" ht="26" customHeight="1" s="66">
      <c r="A75" t="inlineStr">
        <is>
          <t>▍</t>
        </is>
      </c>
      <c r="B75" s="51" t="inlineStr">
        <is>
          <t>4. ข้อจำกัด</t>
        </is>
      </c>
    </row>
    <row r="76" ht="34.05" customHeight="1" s="66">
      <c r="A76" s="53" t="inlineStr">
        <is>
          <t>a</t>
        </is>
      </c>
      <c r="B76" s="54" t="inlineStr">
        <is>
          <t>กรอกได้สูงสุด 3000 เที่ยวต่อไฟล์ และรองรับ 400 กลุ่ม / 700 บรรทัดต่อหน้าสรุป ถ้าเกินให้แยกไฟล์ (ช่องเตือนจะขึ้นให้)</t>
        </is>
      </c>
    </row>
    <row r="77" ht="34.05" customHeight="1" s="66">
      <c r="A77" s="53" t="inlineStr">
        <is>
          <t>b</t>
        </is>
      </c>
      <c r="B77" s="54" t="inlineStr">
        <is>
          <t>Excel กันการก๊อปวางไม่ได้ — การวางจะทับทั้งสูตรและ dropdown เสมอ ไม่ว่าตั้งค่าอย่างไร จึงต้องใช้ Paste Values และอาศัยช่องตรวจ (บันทึกรายเที่ยว O10) จับแทน</t>
        </is>
      </c>
    </row>
    <row r="78" ht="34.05" customHeight="1" s="66">
      <c r="A78" s="53" t="inlineStr">
        <is>
          <t>b1</t>
        </is>
      </c>
      <c r="B78" s="54" t="inlineStr">
        <is>
          <t>ผลพวงจากข้อ b ที่ต้องระวังที่สุด: ชื่อไม่ match กันข้ามหน้า — ทั้งไฟล์ผูกกันด้วย "ข้อความชื่อ" ไม่ได้ผูกด้วยรหัส ดังนั้นชื่อเดียวกันต้องสะกดเหมือนกันเป๊ะทุกหน้า ไม่งั้นเงียบ ๆ หายไปเลย</t>
        </is>
      </c>
    </row>
    <row r="79" ht="48" customHeight="1" s="66">
      <c r="A79" s="53" t="inlineStr">
        <is>
          <t>b2</t>
        </is>
      </c>
      <c r="B79" s="54" t="inlineStr">
        <is>
          <t>จุดที่ต้องตรงกัน 3 คู่: (1) ทีมรถร่วม — บันทึกรายเที่ยว (ช่อง F) ต้องตรงกับ oil (ช่อง B) และตรงกับ อัตราค่าขนส่ง (ช่อง A) | (2) ต้นทาง/ปลายทาง/ชนิดหิน/แบก นน. — บันทึกรายเที่ยว (B, C, D, E) ต้องตรงกับ อัตราค่าขนส่ง (B, C, E, D) | (3) ทีมที่จ่ายแยกก้อน — อัตราค่าขนส่ง ช่อง O ต้องตรงกับชื่อทีมที่ใช้ในรายเที่ยว</t>
        </is>
      </c>
    </row>
    <row r="80" ht="48" customHeight="1" s="66">
      <c r="A80" s="53" t="inlineStr">
        <is>
          <t>b3</t>
        </is>
      </c>
      <c r="B80" s="54" t="inlineStr">
        <is>
          <t>อาการเวลาไม่ตรง: ชื่อทีมไม่ตรงกับ oil = ยอดหักค่าน้ำมันของทีมนั้นหายทั้งก้อน | ชื่อเส้นทาง/หิน/แบก ไม่ตรงกับตารางอัตรา = อัตราขึ้น 0 รายได้เป็น 0 | ชื่อทีมแยกก้อนไม่ตรง = ทีมนั้นไปโผล่ในกลุ่มปกติ ทั้งที่คนละเครดิต</t>
        </is>
      </c>
    </row>
    <row r="81" ht="34.05" customHeight="1" s="66">
      <c r="A81" s="53" t="inlineStr">
        <is>
          <t>b4</t>
        </is>
      </c>
      <c r="B81" s="54" t="inlineStr">
        <is>
          <t>ปัญหาชื่อไม่ตรง มีช่องคอยจับให้ 3 ช่อง อยู่คนละหน้ากัน และจับคนละเรื่องกัน ต้องไล่ดูให้ครบทั้ง 3 ช่อง ผ่านช่องเดียวไม่พอ ตามนี้</t>
        </is>
      </c>
    </row>
    <row r="82" ht="48" customHeight="1" s="66">
      <c r="A82" s="53" t="inlineStr">
        <is>
          <t>b5</t>
        </is>
      </c>
      <c r="B82" s="54" t="inlineStr">
        <is>
          <t>ช่องที่ 1 — หน้า "บันทึกรายเที่ยว" ช่อง O10 (บรรทัดที่เขียนว่า "ชื่อที่ไม่อยู่ในรายการ") ต้องขึ้นเลข 0 | ช่องนี้จับว่ามีชื่อที่ไม่มีอยู่ในหน้ารายการมาตรฐานหลุดเข้ามาไหม ถ้าขึ้นเลขอื่น เช่น 5 แปลว่ามี 5 ช่องที่ชื่อผิด ให้ไล่หาแล้วแก้</t>
        </is>
      </c>
    </row>
    <row r="83" ht="48" customHeight="1" s="66">
      <c r="A83" s="53" t="inlineStr">
        <is>
          <t>b6</t>
        </is>
      </c>
      <c r="B83" s="54" t="inlineStr">
        <is>
          <t>ช่องที่ 2 — หน้า "oil" ช่องขวาสุด บรรทัดที่เขียนว่า "สรุป" ต้องขึ้นคำว่า ปกติ | ช่องนี้จับว่าชื่อทีมที่กรอกในหน้า oil ตรงกับชื่อทีมในหน้าสรุปจ่ายรถร่วมไหม ถ้าไม่ตรง ยอดหักค่าน้ำมันของทีมนั้นจะหายทั้งก้อน</t>
        </is>
      </c>
    </row>
    <row r="84" ht="48" customHeight="1" s="66">
      <c r="A84" s="53" t="inlineStr">
        <is>
          <t>b7</t>
        </is>
      </c>
      <c r="B84" s="54" t="inlineStr">
        <is>
          <t>ช่องที่ 3 — หน้า "สรุปจ่ายรถร่วม" ช่อง BF4 (บรรทัดที่เขียนว่า "อัตราที่ยังไม่ได้กรอก") ต้องขึ้นเลข 0 | ช่องนี้จับว่ามีแถวไหนหาอัตราในตารางอัตราค่าขนส่งไม่เจอบ้าง ถ้าขึ้นเลขอื่น แปลว่าแถวนั้นได้รายได้ 0 บาท</t>
        </is>
      </c>
    </row>
    <row r="85" ht="48" customHeight="1" s="66">
      <c r="A85" s="53" t="inlineStr">
        <is>
          <t>c</t>
        </is>
      </c>
      <c r="B85" s="54" t="inlineStr">
        <is>
          <t>พื้นที่พิมพ์ตั้งไว้ 200 บรรทัด (สรุปเหมือง) และ 230 บรรทัด (สรุปจ่ายรถร่วม) ถ้าเดือนนั้นสั้นกว่าจะมีหน้าว่างท้ายเล่ม 1-2 หน้า ถ้ายาวกว่าจะมีแถบเตือนสีแดงขึ้นบนหัวรายงาน แก้โดยคัดลอกช่วงจากช่อง I14 (สรุปเหมือง) หรือ BF10 (สรุปจ่ายรถร่วม) แล้วเลือกช่วงนั้น &gt; Page Layout &gt; Print Area &gt; Set Print Area</t>
        </is>
      </c>
    </row>
    <row r="86" ht="20" customHeight="1" s="66">
      <c r="A86" s="53" t="inlineStr">
        <is>
          <t>d</t>
        </is>
      </c>
      <c r="B86" s="54" t="inlineStr">
        <is>
          <t>Excel ซ่อนแถวตามเงื่อนไขเองไม่ได้ หน้าปะหน้าจึงต้องกด Hide เอง 1 ครั้งตามที่ช่อง K36 บอก</t>
        </is>
      </c>
    </row>
    <row r="87" ht="34.05" customHeight="1" s="66">
      <c r="A87" s="53" t="inlineStr">
        <is>
          <t>e</t>
        </is>
      </c>
      <c r="B87" s="54" t="inlineStr">
        <is>
          <t>ห้ามแทรก/ลบคอลัมน์ ห้ามเปลี่ยนชื่อ sheet และห้ามลบคอลัมน์ที่ซ่อนไว้ (Q-AA ในบันทึกรายเที่ยว, J-AH ในสรุปเหมือง, P-BE ในสรุปจ่ายรถร่วม, M-N ในปะหน้า, AF ในหน้า oil) เพราะเป็นตัวขับสูตรทั้งหมด</t>
        </is>
      </c>
    </row>
    <row r="88" ht="34.05" customHeight="1" s="66">
      <c r="A88" s="53" t="inlineStr">
        <is>
          <t>f</t>
        </is>
      </c>
      <c r="B88" s="54" t="inlineStr">
        <is>
          <t>Google Sheets ไม่มีโหมด "คำนวณเมื่อสั่ง" มันคำนวณใหม่ทุกครั้งที่พิมพ์ ไฟล์นี้รองรับ 3000 เที่ยว ถ้าเดือนไหนข้อมูลเยอะแล้วรู้สึกหน่วง ให้ก๊อปวางทีเดียวทั้งก้อน อย่าพิมพ์ทีละช่อง</t>
        </is>
      </c>
    </row>
    <row r="89" ht="34.05" customHeight="1" s="66">
      <c r="A89" s="53" t="inlineStr">
        <is>
          <t>g</t>
        </is>
      </c>
      <c r="B89" s="54" t="inlineStr">
        <is>
          <t>Google Sheets ไม่รับพื้นที่พิมพ์ (Print Area) ที่ตั้งมาจากไฟล์ เวลาจะพิมพ์ต้องเลือกช่วงเองแล้วสั่ง File &gt; Print &gt; Selected cells</t>
        </is>
      </c>
    </row>
    <row r="90" ht="26" customHeight="1" s="66">
      <c r="A90" t="inlineStr">
        <is>
          <t>▍</t>
        </is>
      </c>
      <c r="B90" s="51" t="inlineStr">
        <is>
          <t>5. ข้อควรรู้เฉพาะฉบับ Google Sheets</t>
        </is>
      </c>
    </row>
    <row r="91" ht="34.05" customHeight="1" s="66">
      <c r="A91" s="53" t="inlineStr">
        <is>
          <t>a</t>
        </is>
      </c>
      <c r="B91" s="54" t="inlineStr">
        <is>
          <t>ไฟล์นี้ทำมาให้อัปขึ้น Google Sheets โดยเฉพาะ ต่างจากฉบับ Excel 3 จุด อย่าเอาไป 2 ที่สลับกัน เพราะฉบับ Excel เอาขึ้น Google Sheets แล้ว dropdown จะว่างทั้งหมด</t>
        </is>
      </c>
    </row>
    <row r="92" ht="34.05" customHeight="1" s="66">
      <c r="A92" s="53" t="inlineStr">
        <is>
          <t>b</t>
        </is>
      </c>
      <c r="B92" s="54" t="inlineStr">
        <is>
          <t>วิธีอัป: Google Drive &gt; New &gt; File upload เลือกไฟล์นี้ &gt; คลิกขวาที่ไฟล์ &gt; Open with &gt; Google Sheets &gt; แล้ว File &gt; Save as Google Sheets (ถ้าเปิดค้างไว้เป็น .xlsx สูตรบางตัวจะไม่ทำงาน)</t>
        </is>
      </c>
    </row>
    <row r="93" ht="34.05" customHeight="1" s="66">
      <c r="A93" s="53" t="inlineStr">
        <is>
          <t>c</t>
        </is>
      </c>
      <c r="B93" s="54" t="inlineStr">
        <is>
          <t>dropdown ในฉบับนี้อ้างช่วงคงที่ (แถว 2-302 ของหน้ารายการมาตรฐาน) เพิ่มชื่อใหม่ได้ถึงแถว 302 แต่ห้ามพิมพ์เลยจากนั้น เพราะจะไม่ขึ้นใน dropdown</t>
        </is>
      </c>
    </row>
    <row r="94" ht="34.05" customHeight="1" s="66">
      <c r="A94" s="53" t="inlineStr">
        <is>
          <t>d</t>
        </is>
      </c>
      <c r="B94" s="54" t="inlineStr">
        <is>
          <t>ตอน import ครั้งแรก Google Sheets จะคำนวณทั้งไฟล์ 1 รอบ ใช้เวลาสักครู่ ให้รอจนตัวเลขนิ่งก่อนค่อยเริ่มกรอก</t>
        </is>
      </c>
    </row>
    <row r="95" ht="34.05" customHeight="1" s="66">
      <c r="A95" s="53" t="inlineStr">
        <is>
          <t>e</t>
        </is>
      </c>
      <c r="B95" s="54" t="inlineStr">
        <is>
          <t>ตัวเลือก "ปฏิเสธ/เตือน" ของ dropdown Google Sheets เรียกว่า Data validation เหมือนกัน ถ้าเผลอวางทับจนหาย ให้เลือกคอลัมน์นั้น &gt; Data &gt; Data validation &gt; ตั้งช่วงใหม่ตามข้อ c</t>
        </is>
      </c>
    </row>
  </sheetData>
  <pageMargins left="0.75" right="0.75" top="1" bottom="1" header="0.5" footer="0.5"/>
  <pageSetup orientation="landscape" paperSize="9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301"/>
  <sheetViews>
    <sheetView workbookViewId="0">
      <selection activeCell="A1" sqref="A1"/>
    </sheetView>
  </sheetViews>
  <sheetFormatPr baseColWidth="8" defaultRowHeight="14.25"/>
  <cols>
    <col width="16" customWidth="1" style="66" min="1" max="2"/>
    <col width="26" customWidth="1" style="66" min="3" max="3"/>
    <col width="22" customWidth="1" style="66" min="4" max="4"/>
    <col width="28" customWidth="1" style="66" min="5" max="5"/>
    <col width="36" customWidth="1" style="66" min="6" max="6"/>
    <col width="16" customWidth="1" style="66" min="7" max="7"/>
    <col hidden="1" width="13" customWidth="1" style="66" min="12" max="14"/>
  </cols>
  <sheetData>
    <row r="1" ht="20.25" customHeight="1" s="66">
      <c r="A1" s="60" t="inlineStr">
        <is>
          <t>นามที่จ่าย</t>
        </is>
      </c>
      <c r="B1" s="60" t="inlineStr">
        <is>
          <t>เหมืองต้นทาง</t>
        </is>
      </c>
      <c r="C1" s="60" t="inlineStr">
        <is>
          <t>ท่าปลายทาง</t>
        </is>
      </c>
      <c r="D1" s="60" t="inlineStr">
        <is>
          <t>ชนิดแร่/หิน</t>
        </is>
      </c>
      <c r="E1" s="60" t="inlineStr">
        <is>
          <t>แบก นน.</t>
        </is>
      </c>
      <c r="F1" s="60" t="inlineStr">
        <is>
          <t>ทีมรถร่วม</t>
        </is>
      </c>
      <c r="G1" s="60" t="inlineStr">
        <is>
          <t>กลุ่มจ่าย</t>
        </is>
      </c>
      <c r="I1" s="2" t="inlineStr">
        <is>
          <t>หมายเหตุ: ฝ่ายบัญชีดูแล sheet นี้ — เพิ่มชื่อใหม่ได้โดยพิมพ์ต่อท้ายรายการเดิม (ห้ามแทรก/สลับคอลัมน์ และห้ามเปลี่ยนชื่อ sheet)</t>
        </is>
      </c>
      <c r="L1" s="55" t="inlineStr">
        <is>
          <t>กรอง: ท่าปลายทาง</t>
        </is>
      </c>
      <c r="M1" s="55" t="inlineStr">
        <is>
          <t>กรอง: ชนิดแร่/หิน</t>
        </is>
      </c>
      <c r="N1" s="55" t="inlineStr">
        <is>
          <t>กรอง: ทีมรถร่วม</t>
        </is>
      </c>
    </row>
    <row r="2" ht="21" customHeight="1" s="66">
      <c r="A2" s="16" t="inlineStr">
        <is>
          <t>โชคพนา2512</t>
        </is>
      </c>
      <c r="B2" s="16" t="inlineStr">
        <is>
          <t>กงตาก1</t>
        </is>
      </c>
      <c r="C2" s="16" t="inlineStr">
        <is>
          <t>โชคพนาพอร์ท</t>
        </is>
      </c>
      <c r="D2" s="16" t="inlineStr">
        <is>
          <t>แอนไฮไดรต์ 2 นิ้ว</t>
        </is>
      </c>
      <c r="E2" s="16" t="inlineStr">
        <is>
          <t>แบก นน.</t>
        </is>
      </c>
      <c r="F2" s="16" t="inlineStr">
        <is>
          <t>บจก.เอสพีเอ 2017</t>
        </is>
      </c>
      <c r="G2" s="16" t="inlineStr">
        <is>
          <t>ปกติ</t>
        </is>
      </c>
      <c r="L2" s="68" t="inlineStr">
        <is>
          <t>(ทั้งหมด)</t>
        </is>
      </c>
      <c r="M2" s="68" t="inlineStr">
        <is>
          <t>(ทั้งหมด)</t>
        </is>
      </c>
      <c r="N2" s="68" t="inlineStr">
        <is>
          <t>(ทั้งหมด)</t>
        </is>
      </c>
    </row>
    <row r="3" ht="21" customHeight="1" s="66">
      <c r="A3" s="16" t="inlineStr">
        <is>
          <t>โชคพนาไมนิ่ง</t>
        </is>
      </c>
      <c r="B3" s="16" t="inlineStr">
        <is>
          <t>กงตาก3</t>
        </is>
      </c>
      <c r="C3" s="16" t="inlineStr">
        <is>
          <t>ท่าทองพารุ่ง</t>
        </is>
      </c>
      <c r="D3" s="16" t="inlineStr">
        <is>
          <t>แอนไฮไดรต์ 0-30 มม.</t>
        </is>
      </c>
      <c r="E3" s="16" t="inlineStr">
        <is>
          <t>ไม่แบก นน.</t>
        </is>
      </c>
      <c r="F3" s="16" t="inlineStr">
        <is>
          <t>คุณธงชัย ชวาลกรณ์กาญจน์</t>
        </is>
      </c>
      <c r="G3" s="16" t="inlineStr">
        <is>
          <t>ร้อยเกาะ</t>
        </is>
      </c>
      <c r="L3" s="68">
        <f>IF($C2="","",$C2)</f>
        <v/>
      </c>
      <c r="M3" s="68">
        <f>IF($D2="","",$D2)</f>
        <v/>
      </c>
      <c r="N3" s="68">
        <f>IF($F2="","",$F2)</f>
        <v/>
      </c>
    </row>
    <row r="4" ht="21" customHeight="1" s="66">
      <c r="A4" s="16" t="inlineStr">
        <is>
          <t>ศิลาชัย</t>
        </is>
      </c>
      <c r="B4" s="16" t="inlineStr">
        <is>
          <t>ทุ่งใหญ่</t>
        </is>
      </c>
      <c r="C4" s="16" t="inlineStr">
        <is>
          <t>ปัญจะใหม่ (สุราษฎร์พอร์ทฯ)</t>
        </is>
      </c>
      <c r="D4" s="16" t="inlineStr">
        <is>
          <t>แอนไฮไดรต์ 0-50 มม.</t>
        </is>
      </c>
      <c r="E4" s="16" t="inlineStr">
        <is>
          <t>ตาม นน.</t>
        </is>
      </c>
      <c r="F4" s="16" t="inlineStr">
        <is>
          <t>คุณสาคร ชนะศึก</t>
        </is>
      </c>
      <c r="L4" s="68">
        <f>IF($C3="","",$C3)</f>
        <v/>
      </c>
      <c r="M4" s="68">
        <f>IF($D3="","",$D3)</f>
        <v/>
      </c>
      <c r="N4" s="68">
        <f>IF($F3="","",$F3)</f>
        <v/>
      </c>
    </row>
    <row r="5" ht="21" customHeight="1" s="66">
      <c r="A5" s="16" t="inlineStr">
        <is>
          <t>39ศิลาทอง</t>
        </is>
      </c>
      <c r="B5" s="16" t="inlineStr">
        <is>
          <t>เขา 49</t>
        </is>
      </c>
      <c r="C5" s="16" t="inlineStr">
        <is>
          <t>เซาเทิร์น (2009)</t>
        </is>
      </c>
      <c r="D5" s="16" t="inlineStr">
        <is>
          <t>แอนไฮไดรต์คลุก</t>
        </is>
      </c>
      <c r="E5" s="16" t="inlineStr">
        <is>
          <t>นน. 35.01-40 ตัน</t>
        </is>
      </c>
      <c r="F5" s="16" t="inlineStr">
        <is>
          <t>คุณประวิทย์ นาคบรรพ์ (ป.เจริญยนต์นาสาร)</t>
        </is>
      </c>
      <c r="L5" s="68">
        <f>IF($C4="","",$C4)</f>
        <v/>
      </c>
      <c r="M5" s="68">
        <f>IF($D4="","",$D4)</f>
        <v/>
      </c>
      <c r="N5" s="68">
        <f>IF($F4="","",$F4)</f>
        <v/>
      </c>
    </row>
    <row r="6" ht="21" customHeight="1" s="66">
      <c r="A6" s="16" t="inlineStr">
        <is>
          <t>ครีเอทีฟ</t>
        </is>
      </c>
      <c r="B6" s="16" t="inlineStr">
        <is>
          <t>กาญจนดิษฐ์</t>
        </is>
      </c>
      <c r="C6" s="16" t="inlineStr">
        <is>
          <t>ท่าเรือพีซี</t>
        </is>
      </c>
      <c r="D6" s="16" t="inlineStr">
        <is>
          <t>แอนไฮไดรต์ฝุ่น</t>
        </is>
      </c>
      <c r="E6" s="16" t="inlineStr">
        <is>
          <t>นน. 40.01-50 ตันขึ้นไป</t>
        </is>
      </c>
      <c r="F6" s="16" t="inlineStr">
        <is>
          <t>คุณนิตยา วิเชียรช่วง</t>
        </is>
      </c>
      <c r="L6" s="68">
        <f>IF($C5="","",$C5)</f>
        <v/>
      </c>
      <c r="M6" s="68">
        <f>IF($D5="","",$D5)</f>
        <v/>
      </c>
      <c r="N6" s="68">
        <f>IF($F5="","",$F5)</f>
        <v/>
      </c>
    </row>
    <row r="7" ht="21" customHeight="1" s="66">
      <c r="B7" s="16" t="inlineStr">
        <is>
          <t>39ศิลาทอง</t>
        </is>
      </c>
      <c r="C7" s="16" t="inlineStr">
        <is>
          <t>ท่าเรือกระบี่</t>
        </is>
      </c>
      <c r="D7" s="16" t="inlineStr">
        <is>
          <t>ยิปซั่ม 2 นิ้ว</t>
        </is>
      </c>
      <c r="E7" s="16" t="inlineStr">
        <is>
          <t>น้อยกว่าหรือเท่ากับ 35 ตัน</t>
        </is>
      </c>
      <c r="F7" s="16" t="inlineStr">
        <is>
          <t>บจก.ฟ้าหลังฝน กรุ๊ป</t>
        </is>
      </c>
      <c r="L7" s="68">
        <f>IF($C6="","",$C6)</f>
        <v/>
      </c>
      <c r="M7" s="68">
        <f>IF($D6="","",$D6)</f>
        <v/>
      </c>
      <c r="N7" s="68">
        <f>IF($F6="","",$F6)</f>
        <v/>
      </c>
    </row>
    <row r="8" ht="21" customHeight="1" s="66">
      <c r="B8" s="16" t="inlineStr">
        <is>
          <t>ศิลาชัย</t>
        </is>
      </c>
      <c r="C8" s="16" t="inlineStr">
        <is>
          <t>ควอลิตี้ (Q-Con สงขลา)</t>
        </is>
      </c>
      <c r="D8" s="16" t="inlineStr">
        <is>
          <t>ยิปซั่ม 6 นิ้ว</t>
        </is>
      </c>
      <c r="E8" s="16" t="inlineStr">
        <is>
          <t>น้ำหนัก 35.01-50 ตัน</t>
        </is>
      </c>
      <c r="F8" s="16" t="inlineStr">
        <is>
          <t>คุณสุรเชษฐ เจียมทวีบุญ</t>
        </is>
      </c>
      <c r="L8" s="68">
        <f>IF($C7="","",$C7)</f>
        <v/>
      </c>
      <c r="M8" s="68">
        <f>IF($D7="","",$D7)</f>
        <v/>
      </c>
      <c r="N8" s="68">
        <f>IF($F7="","",$F7)</f>
        <v/>
      </c>
    </row>
    <row r="9" ht="21" customHeight="1" s="66">
      <c r="B9" s="16" t="inlineStr">
        <is>
          <t>บีวีไมนิ่ง</t>
        </is>
      </c>
      <c r="C9" s="16" t="inlineStr">
        <is>
          <t>ท่าใหม่</t>
        </is>
      </c>
      <c r="D9" s="16" t="inlineStr">
        <is>
          <t>ยิปซั่ม 0-2 นิ้ว</t>
        </is>
      </c>
      <c r="E9" s="16" t="inlineStr">
        <is>
          <t>นน 50 ตันขึ้นไป</t>
        </is>
      </c>
      <c r="F9" s="16" t="inlineStr">
        <is>
          <t>บจก.ไร่วรวรรณ กรุ๊ป 2020</t>
        </is>
      </c>
      <c r="L9" s="68">
        <f>IF($C8="","",$C8)</f>
        <v/>
      </c>
      <c r="M9" s="68">
        <f>IF($D8="","",$D8)</f>
        <v/>
      </c>
      <c r="N9" s="68">
        <f>IF($F8="","",$F8)</f>
        <v/>
      </c>
    </row>
    <row r="10" ht="21" customHeight="1" s="66">
      <c r="B10" s="16" t="inlineStr">
        <is>
          <t>ผาทองทุ่งสง</t>
        </is>
      </c>
      <c r="D10" s="16" t="inlineStr">
        <is>
          <t>แร่ยิปซั่ม</t>
        </is>
      </c>
      <c r="E10" s="16" t="inlineStr">
        <is>
          <t>นน 40-50 ตัน</t>
        </is>
      </c>
      <c r="F10" s="16" t="inlineStr">
        <is>
          <t>หจก.กิจบุญแก้ว</t>
        </is>
      </c>
      <c r="L10" s="68">
        <f>IF($C9="","",$C9)</f>
        <v/>
      </c>
      <c r="M10" s="68">
        <f>IF($D9="","",$D9)</f>
        <v/>
      </c>
      <c r="N10" s="68">
        <f>IF($F9="","",$F9)</f>
        <v/>
      </c>
    </row>
    <row r="11" ht="21" customHeight="1" s="66">
      <c r="D11" s="16" t="inlineStr">
        <is>
          <t>เเร่ยิปซั่ม 0-2 นิ้ว (BB)</t>
        </is>
      </c>
      <c r="F11" s="16" t="inlineStr">
        <is>
          <t>คุณธีรวิทย์ ปราบสุวรรณ</t>
        </is>
      </c>
      <c r="L11" s="68">
        <f>IF($C10="","",$C10)</f>
        <v/>
      </c>
      <c r="M11" s="68">
        <f>IF($D10="","",$D10)</f>
        <v/>
      </c>
      <c r="N11" s="68">
        <f>IF($F10="","",$F10)</f>
        <v/>
      </c>
    </row>
    <row r="12" ht="21" customHeight="1" s="66">
      <c r="D12" s="16" t="inlineStr">
        <is>
          <t>เเร่ยิปซั่ม 0-2 นิ้ว (CM)</t>
        </is>
      </c>
      <c r="F12" s="16" t="inlineStr">
        <is>
          <t>หจก.ดีบี ทรานสปอร์ต</t>
        </is>
      </c>
      <c r="L12" s="68">
        <f>IF($C11="","",$C11)</f>
        <v/>
      </c>
      <c r="M12" s="68">
        <f>IF($D11="","",$D11)</f>
        <v/>
      </c>
      <c r="N12" s="68">
        <f>IF($F11="","",$F11)</f>
        <v/>
      </c>
    </row>
    <row r="13" ht="21" customHeight="1" s="66">
      <c r="D13" s="16" t="inlineStr">
        <is>
          <t>เเร่ยิปซั่ม 2-4 นิ้ว (BA)</t>
        </is>
      </c>
      <c r="F13" s="16" t="inlineStr">
        <is>
          <t>บจก.บำรุงภัณฑ์เครื่องชั่ง</t>
        </is>
      </c>
      <c r="L13" s="68">
        <f>IF($C12="","",$C12)</f>
        <v/>
      </c>
      <c r="M13" s="68">
        <f>IF($D12="","",$D12)</f>
        <v/>
      </c>
      <c r="N13" s="68">
        <f>IF($F12="","",$F12)</f>
        <v/>
      </c>
    </row>
    <row r="14" ht="21" customHeight="1" s="66">
      <c r="D14" s="16" t="inlineStr">
        <is>
          <t>เเร่ยิปซั่ม 6-10 นิ้ว</t>
        </is>
      </c>
      <c r="F14" s="16" t="inlineStr">
        <is>
          <t>คุณชนะศักดิ์ วิเชียรวงศ์</t>
        </is>
      </c>
      <c r="L14" s="68">
        <f>IF($C13="","",$C13)</f>
        <v/>
      </c>
      <c r="M14" s="68">
        <f>IF($D13="","",$D13)</f>
        <v/>
      </c>
      <c r="N14" s="68">
        <f>IF($F13="","",$F13)</f>
        <v/>
      </c>
    </row>
    <row r="15" ht="21" customHeight="1" s="66">
      <c r="D15" s="16" t="inlineStr">
        <is>
          <t>Gypsum-Grey Cement</t>
        </is>
      </c>
      <c r="F15" s="16" t="inlineStr">
        <is>
          <t>คุณบรรจบ หีตวัตน์</t>
        </is>
      </c>
      <c r="L15" s="68">
        <f>IF($C14="","",$C14)</f>
        <v/>
      </c>
      <c r="M15" s="68">
        <f>IF($D14="","",$D14)</f>
        <v/>
      </c>
      <c r="N15" s="68">
        <f>IF($F14="","",$F14)</f>
        <v/>
      </c>
    </row>
    <row r="16" ht="21" customHeight="1" s="66">
      <c r="D16" s="16" t="inlineStr">
        <is>
          <t>แร่ก้อน</t>
        </is>
      </c>
      <c r="F16" s="16" t="inlineStr">
        <is>
          <t>หจก.พัฒนกิจโลจิสติกส์ 2019</t>
        </is>
      </c>
      <c r="L16" s="68">
        <f>IF($C15="","",$C15)</f>
        <v/>
      </c>
      <c r="M16" s="68">
        <f>IF($D15="","",$D15)</f>
        <v/>
      </c>
      <c r="N16" s="68">
        <f>IF($F15="","",$F15)</f>
        <v/>
      </c>
    </row>
    <row r="17" ht="21" customHeight="1" s="66">
      <c r="D17" s="16" t="inlineStr">
        <is>
          <t>เเร่ก้อน</t>
        </is>
      </c>
      <c r="F17" s="16" t="inlineStr">
        <is>
          <t>คุณปฐมพร เผือกสวัสดิ์</t>
        </is>
      </c>
      <c r="L17" s="68">
        <f>IF($C16="","",$C16)</f>
        <v/>
      </c>
      <c r="M17" s="68">
        <f>IF($D16="","",$D16)</f>
        <v/>
      </c>
      <c r="N17" s="68">
        <f>IF($F16="","",$F16)</f>
        <v/>
      </c>
    </row>
    <row r="18" ht="21" customHeight="1" s="66">
      <c r="D18" s="16" t="inlineStr">
        <is>
          <t>แร่ก้อน(ยิปซั่ม)</t>
        </is>
      </c>
      <c r="F18" s="16" t="inlineStr">
        <is>
          <t>คุณวรรณโชค ไชยวรรณ์</t>
        </is>
      </c>
      <c r="L18" s="68">
        <f>IF($C17="","",$C17)</f>
        <v/>
      </c>
      <c r="M18" s="68">
        <f>IF($D17="","",$D17)</f>
        <v/>
      </c>
      <c r="N18" s="68">
        <f>IF($F17="","",$F17)</f>
        <v/>
      </c>
    </row>
    <row r="19" ht="21" customHeight="1" s="66">
      <c r="D19" s="16" t="inlineStr">
        <is>
          <t>แร่ก้อน(แอนไฮไดร์ต)</t>
        </is>
      </c>
      <c r="F19" s="16" t="inlineStr">
        <is>
          <t>คุณสุนันทา บัวเพ็ชร</t>
        </is>
      </c>
      <c r="L19" s="68">
        <f>IF($C18="","",$C18)</f>
        <v/>
      </c>
      <c r="M19" s="68">
        <f>IF($D18="","",$D18)</f>
        <v/>
      </c>
      <c r="N19" s="68">
        <f>IF($F18="","",$F18)</f>
        <v/>
      </c>
    </row>
    <row r="20" ht="21" customHeight="1" s="66">
      <c r="D20" s="16" t="inlineStr">
        <is>
          <t>หินฝุ่น 0 - 3 มม.</t>
        </is>
      </c>
      <c r="F20" s="16" t="inlineStr">
        <is>
          <t>คุณสมชาย รักษานุ่น</t>
        </is>
      </c>
      <c r="L20" s="68">
        <f>IF($C19="","",$C19)</f>
        <v/>
      </c>
      <c r="M20" s="68">
        <f>IF($D19="","",$D19)</f>
        <v/>
      </c>
      <c r="N20" s="68">
        <f>IF($F19="","",$F19)</f>
        <v/>
      </c>
    </row>
    <row r="21" ht="21" customHeight="1" s="66">
      <c r="D21" s="16" t="inlineStr">
        <is>
          <t>หินฝุ่น 0 - 5 มม.</t>
        </is>
      </c>
      <c r="F21" s="16" t="inlineStr">
        <is>
          <t>คุณสุรเชษฐ จันทร์พิทักษ์</t>
        </is>
      </c>
      <c r="L21" s="68">
        <f>IF($C20="","",$C20)</f>
        <v/>
      </c>
      <c r="M21" s="68">
        <f>IF($D20="","",$D20)</f>
        <v/>
      </c>
      <c r="N21" s="68">
        <f>IF($F20="","",$F20)</f>
        <v/>
      </c>
    </row>
    <row r="22" ht="21" customHeight="1" s="66">
      <c r="D22" s="16" t="inlineStr">
        <is>
          <t>หินฝุ่น 0 - 15 มม.</t>
        </is>
      </c>
      <c r="F22" s="16" t="inlineStr">
        <is>
          <t>คุณอรอุมา สมบัติแก้ว</t>
        </is>
      </c>
      <c r="L22" s="68">
        <f>IF($C21="","",$C21)</f>
        <v/>
      </c>
      <c r="M22" s="68">
        <f>IF($D21="","",$D21)</f>
        <v/>
      </c>
      <c r="N22" s="68">
        <f>IF($F21="","",$F21)</f>
        <v/>
      </c>
    </row>
    <row r="23" ht="21" customHeight="1" s="66">
      <c r="D23" s="16" t="inlineStr">
        <is>
          <t>หินฝุ่น</t>
        </is>
      </c>
      <c r="F23" s="16" t="inlineStr">
        <is>
          <t>คุณกิตติกร ปิ่นรัตน์</t>
        </is>
      </c>
      <c r="L23" s="68">
        <f>IF($C22="","",$C22)</f>
        <v/>
      </c>
      <c r="M23" s="68">
        <f>IF($D22="","",$D22)</f>
        <v/>
      </c>
      <c r="N23" s="68">
        <f>IF($F22="","",$F22)</f>
        <v/>
      </c>
    </row>
    <row r="24" ht="21" customHeight="1" s="66">
      <c r="D24" s="16" t="inlineStr">
        <is>
          <t>หินฝุ่นส่งออก</t>
        </is>
      </c>
      <c r="F24" s="16" t="inlineStr">
        <is>
          <t>หจก.ชิราพร 89</t>
        </is>
      </c>
      <c r="L24" s="68">
        <f>IF($C23="","",$C23)</f>
        <v/>
      </c>
      <c r="M24" s="68">
        <f>IF($D23="","",$D23)</f>
        <v/>
      </c>
      <c r="N24" s="68">
        <f>IF($F23="","",$F23)</f>
        <v/>
      </c>
    </row>
    <row r="25" ht="21" customHeight="1" s="66">
      <c r="D25" s="16" t="inlineStr">
        <is>
          <t>หินฝุ่นBV</t>
        </is>
      </c>
      <c r="F25" s="16" t="inlineStr">
        <is>
          <t>บจก.ร้อยเกาะขนส่ง (2000)</t>
        </is>
      </c>
      <c r="L25" s="68">
        <f>IF($C24="","",$C24)</f>
        <v/>
      </c>
      <c r="M25" s="68">
        <f>IF($D24="","",$D24)</f>
        <v/>
      </c>
      <c r="N25" s="68">
        <f>IF($F24="","",$F24)</f>
        <v/>
      </c>
    </row>
    <row r="26" ht="21" customHeight="1" s="66">
      <c r="D26" s="16" t="inlineStr">
        <is>
          <t>หินใหญ่ขนาด 20-40 มม.</t>
        </is>
      </c>
      <c r="F26" s="16" t="inlineStr">
        <is>
          <t>หจก.ซิล แอนด์ เซล คอนสตรัคชั่น</t>
        </is>
      </c>
      <c r="L26" s="68">
        <f>IF($C25="","",$C25)</f>
        <v/>
      </c>
      <c r="M26" s="68">
        <f>IF($D25="","",$D25)</f>
        <v/>
      </c>
      <c r="N26" s="68">
        <f>IF($F25="","",$F25)</f>
        <v/>
      </c>
    </row>
    <row r="27" ht="21" customHeight="1" s="66">
      <c r="D27" s="16" t="inlineStr">
        <is>
          <t>หินใหญ่ขนาด 30-80 มม.</t>
        </is>
      </c>
      <c r="F27" s="16" t="inlineStr">
        <is>
          <t>คุณสิทธิพร นบนอบ</t>
        </is>
      </c>
      <c r="L27" s="68">
        <f>IF($C26="","",$C26)</f>
        <v/>
      </c>
      <c r="M27" s="68">
        <f>IF($D26="","",$D26)</f>
        <v/>
      </c>
      <c r="N27" s="68">
        <f>IF($F26="","",$F26)</f>
        <v/>
      </c>
    </row>
    <row r="28" ht="21" customHeight="1" s="66">
      <c r="D28" s="16" t="inlineStr">
        <is>
          <t>หินใหญ่ขนาด 40-80 มม.</t>
        </is>
      </c>
      <c r="F28" s="16" t="inlineStr">
        <is>
          <t>คุณอริญญา แดงเล็ก</t>
        </is>
      </c>
      <c r="L28" s="68">
        <f>IF($C27="","",$C27)</f>
        <v/>
      </c>
      <c r="M28" s="68">
        <f>IF($D27="","",$D27)</f>
        <v/>
      </c>
      <c r="N28" s="68">
        <f>IF($F27="","",$F27)</f>
        <v/>
      </c>
    </row>
    <row r="29" ht="21" customHeight="1" s="66">
      <c r="D29" s="16" t="inlineStr">
        <is>
          <t>หินใหญ่ขนาด 30-40 ซม.</t>
        </is>
      </c>
      <c r="F29" s="16" t="inlineStr">
        <is>
          <t>บจก.เทพตะวันโลจิสติกส์</t>
        </is>
      </c>
      <c r="L29" s="68">
        <f>IF($C28="","",$C28)</f>
        <v/>
      </c>
      <c r="M29" s="68">
        <f>IF($D28="","",$D28)</f>
        <v/>
      </c>
      <c r="N29" s="68">
        <f>IF($F28="","",$F28)</f>
        <v/>
      </c>
    </row>
    <row r="30" ht="21" customHeight="1" s="66">
      <c r="D30" s="16" t="inlineStr">
        <is>
          <t>หินใหญ่ขนาด 0-70 ซม.</t>
        </is>
      </c>
      <c r="F30" s="16" t="inlineStr">
        <is>
          <t>บจก.รัตนาโลจิสติกส์</t>
        </is>
      </c>
      <c r="L30" s="68">
        <f>IF($C29="","",$C29)</f>
        <v/>
      </c>
      <c r="M30" s="68">
        <f>IF($D29="","",$D29)</f>
        <v/>
      </c>
      <c r="N30" s="68">
        <f>IF($F29="","",$F29)</f>
        <v/>
      </c>
    </row>
    <row r="31" ht="21" customHeight="1" s="66">
      <c r="D31" s="16" t="inlineStr">
        <is>
          <t>หินใหญ่ขนาด 60-120ซม</t>
        </is>
      </c>
      <c r="F31" s="16" t="inlineStr">
        <is>
          <t>คุณภาคภูมิ พลสังข์</t>
        </is>
      </c>
      <c r="L31" s="68">
        <f>IF($C30="","",$C30)</f>
        <v/>
      </c>
      <c r="M31" s="68">
        <f>IF($D30="","",$D30)</f>
        <v/>
      </c>
      <c r="N31" s="68">
        <f>IF($F30="","",$F30)</f>
        <v/>
      </c>
    </row>
    <row r="32" ht="21" customHeight="1" s="66">
      <c r="D32" s="16" t="inlineStr">
        <is>
          <t>หินใหญ่ขนาด 200 - 500 Kg ( ทุบ )</t>
        </is>
      </c>
      <c r="F32" s="16" t="inlineStr">
        <is>
          <t>คุณวัชรพงศ์ วิชัยดิษฐ์</t>
        </is>
      </c>
      <c r="L32" s="68">
        <f>IF($C31="","",$C31)</f>
        <v/>
      </c>
      <c r="M32" s="68">
        <f>IF($D31="","",$D31)</f>
        <v/>
      </c>
      <c r="N32" s="68">
        <f>IF($F31="","",$F31)</f>
        <v/>
      </c>
    </row>
    <row r="33" ht="21" customHeight="1" s="66">
      <c r="D33" s="16" t="inlineStr">
        <is>
          <t>หินใหญ่ขนาด 600 - 1200 Kg ( ทุบ )</t>
        </is>
      </c>
      <c r="F33" s="16" t="inlineStr">
        <is>
          <t>คุณวินิจ ทัตเรณู</t>
        </is>
      </c>
      <c r="L33" s="68">
        <f>IF($C32="","",$C32)</f>
        <v/>
      </c>
      <c r="M33" s="68">
        <f>IF($D32="","",$D32)</f>
        <v/>
      </c>
      <c r="N33" s="68">
        <f>IF($F32="","",$F32)</f>
        <v/>
      </c>
    </row>
    <row r="34" ht="21" customHeight="1" s="66">
      <c r="D34" s="16" t="inlineStr">
        <is>
          <t>หินใหญ่วีรวุฒิ</t>
        </is>
      </c>
      <c r="F34" s="16" t="inlineStr">
        <is>
          <t>คุณอดิศักดิ์ นามสนธิ์</t>
        </is>
      </c>
      <c r="L34" s="68">
        <f>IF($C33="","",$C33)</f>
        <v/>
      </c>
      <c r="M34" s="68">
        <f>IF($D33="","",$D33)</f>
        <v/>
      </c>
      <c r="N34" s="68">
        <f>IF($F33="","",$F33)</f>
        <v/>
      </c>
    </row>
    <row r="35" ht="21" customHeight="1" s="66">
      <c r="D35" s="16" t="inlineStr">
        <is>
          <t>หิน 3/4</t>
        </is>
      </c>
      <c r="F35" s="16" t="inlineStr">
        <is>
          <t>คุณเอกชัย หาญชนะ</t>
        </is>
      </c>
      <c r="L35" s="68">
        <f>IF($C34="","",$C34)</f>
        <v/>
      </c>
      <c r="M35" s="68">
        <f>IF($D34="","",$D34)</f>
        <v/>
      </c>
      <c r="N35" s="68">
        <f>IF($F34="","",$F34)</f>
        <v/>
      </c>
    </row>
    <row r="36" ht="21" customHeight="1" s="66">
      <c r="D36" s="16" t="inlineStr">
        <is>
          <t>หิน 3/4 บริจาค</t>
        </is>
      </c>
      <c r="F36" s="16" t="inlineStr">
        <is>
          <t>คุณวรพจน์ ชุมวรฐายี</t>
        </is>
      </c>
      <c r="L36" s="68">
        <f>IF($C35="","",$C35)</f>
        <v/>
      </c>
      <c r="M36" s="68">
        <f>IF($D35="","",$D35)</f>
        <v/>
      </c>
      <c r="N36" s="68">
        <f>IF($F35="","",$F35)</f>
        <v/>
      </c>
    </row>
    <row r="37" ht="21" customHeight="1" s="66">
      <c r="D37" s="16" t="inlineStr">
        <is>
          <t>หิน 3/8</t>
        </is>
      </c>
      <c r="F37" s="16" t="inlineStr">
        <is>
          <t>บจก.อัครพัฒ ไมนิ่ง</t>
        </is>
      </c>
      <c r="L37" s="68">
        <f>IF($C36="","",$C36)</f>
        <v/>
      </c>
      <c r="M37" s="68">
        <f>IF($D36="","",$D36)</f>
        <v/>
      </c>
      <c r="N37" s="68">
        <f>IF($F36="","",$F36)</f>
        <v/>
      </c>
    </row>
    <row r="38" ht="21" customHeight="1" s="66">
      <c r="D38" s="16" t="inlineStr">
        <is>
          <t>หิน 3/8 (w)</t>
        </is>
      </c>
      <c r="F38" s="16" t="inlineStr">
        <is>
          <t>หจก.อัครการขนส่ง</t>
        </is>
      </c>
      <c r="L38" s="68">
        <f>IF($C37="","",$C37)</f>
        <v/>
      </c>
      <c r="M38" s="68">
        <f>IF($D37="","",$D37)</f>
        <v/>
      </c>
      <c r="N38" s="68">
        <f>IF($F37="","",$F37)</f>
        <v/>
      </c>
    </row>
    <row r="39" ht="21" customHeight="1" s="66">
      <c r="D39" s="16" t="inlineStr">
        <is>
          <t>หิน 1/2</t>
        </is>
      </c>
      <c r="F39" s="16" t="inlineStr">
        <is>
          <t>บจก.สายฟ้า (2013)</t>
        </is>
      </c>
      <c r="L39" s="68">
        <f>IF($C38="","",$C38)</f>
        <v/>
      </c>
      <c r="M39" s="68">
        <f>IF($D38="","",$D38)</f>
        <v/>
      </c>
      <c r="N39" s="68">
        <f>IF($F38="","",$F38)</f>
        <v/>
      </c>
    </row>
    <row r="40" ht="21" customHeight="1" s="66">
      <c r="D40" s="16" t="inlineStr">
        <is>
          <t>หิน 20-50 มม.</t>
        </is>
      </c>
      <c r="L40" s="68">
        <f>IF($C39="","",$C39)</f>
        <v/>
      </c>
      <c r="M40" s="68">
        <f>IF($D39="","",$D39)</f>
        <v/>
      </c>
      <c r="N40" s="68">
        <f>IF($F39="","",$F39)</f>
        <v/>
      </c>
    </row>
    <row r="41" ht="21" customHeight="1" s="66">
      <c r="D41" s="16" t="inlineStr">
        <is>
          <t>หิน 5-25 มม.</t>
        </is>
      </c>
      <c r="L41" s="68">
        <f>IF($C40="","",$C40)</f>
        <v/>
      </c>
      <c r="M41" s="68">
        <f>IF($D40="","",$D40)</f>
        <v/>
      </c>
      <c r="N41" s="68">
        <f>IF($F40="","",$F40)</f>
        <v/>
      </c>
    </row>
    <row r="42" ht="21" customHeight="1" s="66">
      <c r="D42" s="16" t="inlineStr">
        <is>
          <t>หิน 5-40มม</t>
        </is>
      </c>
      <c r="L42" s="68">
        <f>IF($C41="","",$C41)</f>
        <v/>
      </c>
      <c r="M42" s="68">
        <f>IF($D41="","",$D41)</f>
        <v/>
      </c>
      <c r="N42" s="68">
        <f>IF($F41="","",$F41)</f>
        <v/>
      </c>
    </row>
    <row r="43" ht="21" customHeight="1" s="66">
      <c r="D43" s="16" t="inlineStr">
        <is>
          <t>หิน 5-8 นิ้ว</t>
        </is>
      </c>
      <c r="L43" s="68">
        <f>IF($C42="","",$C42)</f>
        <v/>
      </c>
      <c r="M43" s="68">
        <f>IF($D42="","",$D42)</f>
        <v/>
      </c>
      <c r="N43" s="68">
        <f>IF($F42="","",$F42)</f>
        <v/>
      </c>
    </row>
    <row r="44" ht="21" customHeight="1" s="66">
      <c r="D44" s="16" t="inlineStr">
        <is>
          <t>หิน 0-15mm</t>
        </is>
      </c>
      <c r="L44" s="68">
        <f>IF($C43="","",$C43)</f>
        <v/>
      </c>
      <c r="M44" s="68">
        <f>IF($D43="","",$D43)</f>
        <v/>
      </c>
      <c r="N44" s="68">
        <f>IF($F43="","",$F43)</f>
        <v/>
      </c>
    </row>
    <row r="45" ht="21" customHeight="1" s="66">
      <c r="D45" s="16" t="inlineStr">
        <is>
          <t>หิน 40-80 มม.(Undersize)</t>
        </is>
      </c>
      <c r="L45" s="68">
        <f>IF($C44="","",$C44)</f>
        <v/>
      </c>
      <c r="M45" s="68">
        <f>IF($D44="","",$D44)</f>
        <v/>
      </c>
      <c r="N45" s="68">
        <f>IF($F44="","",$F44)</f>
        <v/>
      </c>
    </row>
    <row r="46" ht="21" customHeight="1" s="66">
      <c r="D46" s="16" t="inlineStr">
        <is>
          <t>หินใต้ราง(หิน3-8mm.)</t>
        </is>
      </c>
      <c r="L46" s="68">
        <f>IF($C45="","",$C45)</f>
        <v/>
      </c>
      <c r="M46" s="68">
        <f>IF($D45="","",$D45)</f>
        <v/>
      </c>
      <c r="N46" s="68">
        <f>IF($F45="","",$F45)</f>
        <v/>
      </c>
    </row>
    <row r="47" ht="21" customHeight="1" s="66">
      <c r="D47" s="16" t="inlineStr">
        <is>
          <t>1.2-1.4 m</t>
        </is>
      </c>
      <c r="L47" s="68">
        <f>IF($C46="","",$C46)</f>
        <v/>
      </c>
      <c r="M47" s="68">
        <f>IF($D46="","",$D46)</f>
        <v/>
      </c>
      <c r="N47" s="68">
        <f>IF($F46="","",$F46)</f>
        <v/>
      </c>
    </row>
    <row r="48" ht="21" customHeight="1" s="66">
      <c r="D48" s="16" t="inlineStr">
        <is>
          <t>stone( 1.2-1.4 m)</t>
        </is>
      </c>
      <c r="L48" s="68">
        <f>IF($C47="","",$C47)</f>
        <v/>
      </c>
      <c r="M48" s="68">
        <f>IF($D47="","",$D47)</f>
        <v/>
      </c>
      <c r="N48" s="68">
        <f>IF($F47="","",$F47)</f>
        <v/>
      </c>
    </row>
    <row r="49" ht="21" customHeight="1" s="66">
      <c r="D49" s="16" t="inlineStr">
        <is>
          <t>หินคลุก</t>
        </is>
      </c>
      <c r="L49" s="68">
        <f>IF($C48="","",$C48)</f>
        <v/>
      </c>
      <c r="M49" s="68">
        <f>IF($D48="","",$D48)</f>
        <v/>
      </c>
      <c r="N49" s="68">
        <f>IF($F48="","",$F48)</f>
        <v/>
      </c>
    </row>
    <row r="50" ht="21" customHeight="1" s="66">
      <c r="D50" s="16" t="inlineStr">
        <is>
          <t>หินคลุก A (บริจาค)</t>
        </is>
      </c>
      <c r="L50" s="68">
        <f>IF($C49="","",$C49)</f>
        <v/>
      </c>
      <c r="M50" s="68">
        <f>IF($D49="","",$D49)</f>
        <v/>
      </c>
      <c r="N50" s="68">
        <f>IF($F49="","",$F49)</f>
        <v/>
      </c>
    </row>
    <row r="51" ht="21" customHeight="1" s="66">
      <c r="D51" s="16" t="inlineStr">
        <is>
          <t>หินคลุก B(แทนทราย)</t>
        </is>
      </c>
      <c r="L51" s="68">
        <f>IF($C50="","",$C50)</f>
        <v/>
      </c>
      <c r="M51" s="68">
        <f>IF($D50="","",$D50)</f>
        <v/>
      </c>
      <c r="N51" s="68">
        <f>IF($F50="","",$F50)</f>
        <v/>
      </c>
    </row>
    <row r="52" ht="21" customHeight="1" s="66">
      <c r="D52" s="16" t="inlineStr">
        <is>
          <t>หินคลุก C</t>
        </is>
      </c>
      <c r="L52" s="68">
        <f>IF($C51="","",$C51)</f>
        <v/>
      </c>
      <c r="M52" s="68">
        <f>IF($D51="","",$D51)</f>
        <v/>
      </c>
      <c r="N52" s="68">
        <f>IF($F51="","",$F51)</f>
        <v/>
      </c>
    </row>
    <row r="53" ht="21" customHeight="1" s="66">
      <c r="D53" s="16" t="inlineStr">
        <is>
          <t>หินคลุก C บริจาค บท.392/67</t>
        </is>
      </c>
      <c r="L53" s="68">
        <f>IF($C52="","",$C52)</f>
        <v/>
      </c>
      <c r="M53" s="68">
        <f>IF($D52="","",$D52)</f>
        <v/>
      </c>
      <c r="N53" s="68">
        <f>IF($F52="","",$F52)</f>
        <v/>
      </c>
    </row>
    <row r="54" ht="21" customHeight="1" s="66">
      <c r="D54" s="16" t="inlineStr">
        <is>
          <t>หินคลุก (บริจาค)</t>
        </is>
      </c>
      <c r="L54" s="68">
        <f>IF($C53="","",$C53)</f>
        <v/>
      </c>
      <c r="M54" s="68">
        <f>IF($D53="","",$D53)</f>
        <v/>
      </c>
      <c r="N54" s="68">
        <f>IF($F53="","",$F53)</f>
        <v/>
      </c>
    </row>
    <row r="55" ht="21" customHeight="1" s="66">
      <c r="D55" s="16" t="inlineStr">
        <is>
          <t>หินคลุกสหพัฒนา</t>
        </is>
      </c>
      <c r="L55" s="68">
        <f>IF($C54="","",$C54)</f>
        <v/>
      </c>
      <c r="M55" s="68">
        <f>IF($D54="","",$D54)</f>
        <v/>
      </c>
      <c r="N55" s="68">
        <f>IF($F54="","",$F54)</f>
        <v/>
      </c>
    </row>
    <row r="56" ht="21" customHeight="1" s="66">
      <c r="D56" s="16" t="inlineStr">
        <is>
          <t>หินปูน</t>
        </is>
      </c>
      <c r="L56" s="68">
        <f>IF($C55="","",$C55)</f>
        <v/>
      </c>
      <c r="M56" s="68">
        <f>IF($D55="","",$D55)</f>
        <v/>
      </c>
      <c r="N56" s="68">
        <f>IF($F55="","",$F55)</f>
        <v/>
      </c>
    </row>
    <row r="57" ht="21" customHeight="1" s="66">
      <c r="D57" s="16" t="inlineStr">
        <is>
          <t>หินปูน3/4</t>
        </is>
      </c>
      <c r="L57" s="68">
        <f>IF($C56="","",$C56)</f>
        <v/>
      </c>
      <c r="M57" s="68">
        <f>IF($D56="","",$D56)</f>
        <v/>
      </c>
      <c r="N57" s="68">
        <f>IF($F56="","",$F56)</f>
        <v/>
      </c>
    </row>
    <row r="58" ht="21" customHeight="1" s="66">
      <c r="D58" s="16" t="inlineStr">
        <is>
          <t>หินผุเล็ก</t>
        </is>
      </c>
      <c r="L58" s="68">
        <f>IF($C57="","",$C57)</f>
        <v/>
      </c>
      <c r="M58" s="68">
        <f>IF($D57="","",$D57)</f>
        <v/>
      </c>
      <c r="N58" s="68">
        <f>IF($F57="","",$F57)</f>
        <v/>
      </c>
    </row>
    <row r="59" ht="21" customHeight="1" s="66">
      <c r="D59" s="16" t="inlineStr">
        <is>
          <t>หินผุใหญ่</t>
        </is>
      </c>
      <c r="L59" s="68">
        <f>IF($C58="","",$C58)</f>
        <v/>
      </c>
      <c r="M59" s="68">
        <f>IF($D58="","",$D58)</f>
        <v/>
      </c>
      <c r="N59" s="68">
        <f>IF($F58="","",$F58)</f>
        <v/>
      </c>
    </row>
    <row r="60" ht="21" customHeight="1" s="66">
      <c r="D60" s="16" t="inlineStr">
        <is>
          <t>หินผุวีรวุฒิ</t>
        </is>
      </c>
      <c r="L60" s="68">
        <f>IF($C59="","",$C59)</f>
        <v/>
      </c>
      <c r="M60" s="68">
        <f>IF($D59="","",$D59)</f>
        <v/>
      </c>
      <c r="N60" s="68">
        <f>IF($F59="","",$F59)</f>
        <v/>
      </c>
    </row>
    <row r="61" ht="21" customHeight="1" s="66">
      <c r="D61" s="16" t="inlineStr">
        <is>
          <t>หินเข้าโม่</t>
        </is>
      </c>
      <c r="L61" s="68">
        <f>IF($C60="","",$C60)</f>
        <v/>
      </c>
      <c r="M61" s="68">
        <f>IF($D60="","",$D60)</f>
        <v/>
      </c>
      <c r="N61" s="68">
        <f>IF($F60="","",$F60)</f>
        <v/>
      </c>
    </row>
    <row r="62" ht="21" customHeight="1" s="66">
      <c r="D62" s="16" t="inlineStr">
        <is>
          <t>หินโอเวอร์ไซส์</t>
        </is>
      </c>
      <c r="L62" s="68">
        <f>IF($C61="","",$C61)</f>
        <v/>
      </c>
      <c r="M62" s="68">
        <f>IF($D61="","",$D61)</f>
        <v/>
      </c>
      <c r="N62" s="68">
        <f>IF($F61="","",$F61)</f>
        <v/>
      </c>
    </row>
    <row r="63" ht="21" customHeight="1" s="66">
      <c r="D63" s="16" t="inlineStr">
        <is>
          <t>หินริปแรป</t>
        </is>
      </c>
      <c r="L63" s="68">
        <f>IF($C62="","",$C62)</f>
        <v/>
      </c>
      <c r="M63" s="68">
        <f>IF($D62="","",$D62)</f>
        <v/>
      </c>
      <c r="N63" s="68">
        <f>IF($F62="","",$F62)</f>
        <v/>
      </c>
    </row>
    <row r="64" ht="21" customHeight="1" s="66">
      <c r="D64" s="16" t="inlineStr">
        <is>
          <t>ปุ๋ยโดโลไมท์ 80 เมช</t>
        </is>
      </c>
      <c r="L64" s="68">
        <f>IF($C63="","",$C63)</f>
        <v/>
      </c>
      <c r="M64" s="68">
        <f>IF($D63="","",$D63)</f>
        <v/>
      </c>
      <c r="N64" s="68">
        <f>IF($F63="","",$F63)</f>
        <v/>
      </c>
    </row>
    <row r="65" ht="21" customHeight="1" s="66">
      <c r="D65" s="16" t="inlineStr">
        <is>
          <t>ปุ๋ยโดโลไมท์ 150 เมช</t>
        </is>
      </c>
      <c r="L65" s="68">
        <f>IF($C64="","",$C64)</f>
        <v/>
      </c>
      <c r="M65" s="68">
        <f>IF($D64="","",$D64)</f>
        <v/>
      </c>
      <c r="N65" s="68">
        <f>IF($F64="","",$F64)</f>
        <v/>
      </c>
    </row>
    <row r="66" ht="21" customHeight="1" s="66">
      <c r="D66" s="16" t="inlineStr">
        <is>
          <t>ปุ๋ยโดโลไมท์ 300 เมช</t>
        </is>
      </c>
      <c r="L66" s="68">
        <f>IF($C65="","",$C65)</f>
        <v/>
      </c>
      <c r="M66" s="68">
        <f>IF($D65="","",$D65)</f>
        <v/>
      </c>
      <c r="N66" s="68">
        <f>IF($F65="","",$F65)</f>
        <v/>
      </c>
    </row>
    <row r="67" ht="21" customHeight="1" s="66">
      <c r="D67" s="16" t="inlineStr">
        <is>
          <t>ปุ๋ยโดโลไมท์ 325 เมช</t>
        </is>
      </c>
      <c r="L67" s="68">
        <f>IF($C66="","",$C66)</f>
        <v/>
      </c>
      <c r="M67" s="68">
        <f>IF($D66="","",$D66)</f>
        <v/>
      </c>
      <c r="N67" s="68">
        <f>IF($F66="","",$F66)</f>
        <v/>
      </c>
    </row>
    <row r="68" ht="21" customHeight="1" s="66">
      <c r="D68" s="16" t="inlineStr">
        <is>
          <t>ปุ๋ยน้ำ bulk</t>
        </is>
      </c>
      <c r="L68" s="68">
        <f>IF($C67="","",$C67)</f>
        <v/>
      </c>
      <c r="M68" s="68">
        <f>IF($D67="","",$D67)</f>
        <v/>
      </c>
      <c r="N68" s="68">
        <f>IF($F67="","",$F67)</f>
        <v/>
      </c>
    </row>
    <row r="69" ht="21" customHeight="1" s="66">
      <c r="D69" s="16" t="inlineStr">
        <is>
          <t>แอมโมเนียมไนเตรต</t>
        </is>
      </c>
      <c r="L69" s="68">
        <f>IF($C68="","",$C68)</f>
        <v/>
      </c>
      <c r="M69" s="68">
        <f>IF($D68="","",$D68)</f>
        <v/>
      </c>
      <c r="N69" s="68">
        <f>IF($F68="","",$F68)</f>
        <v/>
      </c>
    </row>
    <row r="70" ht="21" customHeight="1" s="66">
      <c r="D70" s="16" t="inlineStr">
        <is>
          <t>ทราย</t>
        </is>
      </c>
      <c r="L70" s="68">
        <f>IF($C69="","",$C69)</f>
        <v/>
      </c>
      <c r="M70" s="68">
        <f>IF($D69="","",$D69)</f>
        <v/>
      </c>
      <c r="N70" s="68">
        <f>IF($F69="","",$F69)</f>
        <v/>
      </c>
    </row>
    <row r="71" ht="21" customHeight="1" s="66">
      <c r="D71" s="16" t="inlineStr">
        <is>
          <t>ตะกอนทราย</t>
        </is>
      </c>
      <c r="L71" s="68">
        <f>IF($C70="","",$C70)</f>
        <v/>
      </c>
      <c r="M71" s="68">
        <f>IF($D70="","",$D70)</f>
        <v/>
      </c>
      <c r="N71" s="68">
        <f>IF($F70="","",$F70)</f>
        <v/>
      </c>
    </row>
    <row r="72" ht="21" customHeight="1" s="66">
      <c r="D72" s="16" t="inlineStr">
        <is>
          <t>หน้าดิน</t>
        </is>
      </c>
      <c r="L72" s="68">
        <f>IF($C71="","",$C71)</f>
        <v/>
      </c>
      <c r="M72" s="68">
        <f>IF($D71="","",$D71)</f>
        <v/>
      </c>
      <c r="N72" s="68">
        <f>IF($F71="","",$F71)</f>
        <v/>
      </c>
    </row>
    <row r="73" ht="21" customHeight="1" s="66">
      <c r="D73" s="16" t="inlineStr">
        <is>
          <t>เศษเหล็ก</t>
        </is>
      </c>
      <c r="L73" s="68">
        <f>IF($C72="","",$C72)</f>
        <v/>
      </c>
      <c r="M73" s="68">
        <f>IF($D72="","",$D72)</f>
        <v/>
      </c>
      <c r="N73" s="68">
        <f>IF($F72="","",$F72)</f>
        <v/>
      </c>
    </row>
    <row r="74" ht="21" customHeight="1" s="66">
      <c r="D74" s="16" t="inlineStr">
        <is>
          <t>เหล็กผสมแมงกานิต</t>
        </is>
      </c>
      <c r="L74" s="68">
        <f>IF($C73="","",$C73)</f>
        <v/>
      </c>
      <c r="M74" s="68">
        <f>IF($D73="","",$D73)</f>
        <v/>
      </c>
      <c r="N74" s="68">
        <f>IF($F73="","",$F73)</f>
        <v/>
      </c>
    </row>
    <row r="75" ht="21" customHeight="1" s="66">
      <c r="D75" s="16" t="inlineStr">
        <is>
          <t>สายพาน</t>
        </is>
      </c>
      <c r="L75" s="68">
        <f>IF($C74="","",$C74)</f>
        <v/>
      </c>
      <c r="M75" s="68">
        <f>IF($D74="","",$D74)</f>
        <v/>
      </c>
      <c r="N75" s="68">
        <f>IF($F74="","",$F74)</f>
        <v/>
      </c>
    </row>
    <row r="76" ht="21" customHeight="1" s="66">
      <c r="D76" s="16" t="inlineStr">
        <is>
          <t>ท่อPVC(เก่า)</t>
        </is>
      </c>
      <c r="L76" s="68">
        <f>IF($C75="","",$C75)</f>
        <v/>
      </c>
      <c r="M76" s="68">
        <f>IF($D75="","",$D75)</f>
        <v/>
      </c>
      <c r="N76" s="68">
        <f>IF($F75="","",$F75)</f>
        <v/>
      </c>
    </row>
    <row r="77" ht="21" customHeight="1" s="66">
      <c r="D77" s="16" t="inlineStr">
        <is>
          <t>น้ำมัน</t>
        </is>
      </c>
      <c r="L77" s="68">
        <f>IF($C76="","",$C76)</f>
        <v/>
      </c>
      <c r="M77" s="68">
        <f>IF($D76="","",$D76)</f>
        <v/>
      </c>
      <c r="N77" s="68">
        <f>IF($F76="","",$F76)</f>
        <v/>
      </c>
    </row>
    <row r="78" ht="21" customHeight="1" s="66">
      <c r="D78" s="16" t="inlineStr">
        <is>
          <t>น้ำมันปาล์ม</t>
        </is>
      </c>
      <c r="L78" s="68">
        <f>IF($C77="","",$C77)</f>
        <v/>
      </c>
      <c r="M78" s="68">
        <f>IF($D77="","",$D77)</f>
        <v/>
      </c>
      <c r="N78" s="68">
        <f>IF($F77="","",$F77)</f>
        <v/>
      </c>
    </row>
    <row r="79" ht="21" customHeight="1" s="66">
      <c r="D79" s="16" t="inlineStr">
        <is>
          <t>บริการชั่งน้ำหนัก</t>
        </is>
      </c>
      <c r="L79" s="68">
        <f>IF($C78="","",$C78)</f>
        <v/>
      </c>
      <c r="M79" s="68">
        <f>IF($D78="","",$D78)</f>
        <v/>
      </c>
      <c r="N79" s="68">
        <f>IF($F78="","",$F78)</f>
        <v/>
      </c>
    </row>
    <row r="80" ht="21" customHeight="1" s="66">
      <c r="D80" s="16" t="inlineStr">
        <is>
          <t>บริการชั่งน้ำหนักตีกลับ</t>
        </is>
      </c>
      <c r="L80" s="68">
        <f>IF($C79="","",$C79)</f>
        <v/>
      </c>
      <c r="M80" s="68">
        <f>IF($D79="","",$D79)</f>
        <v/>
      </c>
      <c r="N80" s="68">
        <f>IF($F79="","",$F79)</f>
        <v/>
      </c>
    </row>
    <row r="81" ht="21" customHeight="1" s="66">
      <c r="D81" s="16" t="inlineStr">
        <is>
          <t>ทดสอบรถ</t>
        </is>
      </c>
      <c r="L81" s="68">
        <f>IF($C80="","",$C80)</f>
        <v/>
      </c>
      <c r="M81" s="68">
        <f>IF($D80="","",$D80)</f>
        <v/>
      </c>
      <c r="N81" s="68">
        <f>IF($F80="","",$F80)</f>
        <v/>
      </c>
    </row>
    <row r="82" ht="21" customHeight="1" s="66">
      <c r="L82" s="68">
        <f>IF($C81="","",$C81)</f>
        <v/>
      </c>
      <c r="M82" s="68">
        <f>IF($D81="","",$D81)</f>
        <v/>
      </c>
      <c r="N82" s="68">
        <f>IF($F81="","",$F81)</f>
        <v/>
      </c>
    </row>
    <row r="83" ht="21" customHeight="1" s="66">
      <c r="L83" s="68">
        <f>IF($C82="","",$C82)</f>
        <v/>
      </c>
      <c r="M83" s="68">
        <f>IF($D82="","",$D82)</f>
        <v/>
      </c>
      <c r="N83" s="68">
        <f>IF($F82="","",$F82)</f>
        <v/>
      </c>
    </row>
    <row r="84" ht="21" customHeight="1" s="66">
      <c r="L84" s="68">
        <f>IF($C83="","",$C83)</f>
        <v/>
      </c>
      <c r="M84" s="68">
        <f>IF($D83="","",$D83)</f>
        <v/>
      </c>
      <c r="N84" s="68">
        <f>IF($F83="","",$F83)</f>
        <v/>
      </c>
    </row>
    <row r="85" ht="21" customHeight="1" s="66">
      <c r="L85" s="68">
        <f>IF($C84="","",$C84)</f>
        <v/>
      </c>
      <c r="M85" s="68">
        <f>IF($D84="","",$D84)</f>
        <v/>
      </c>
      <c r="N85" s="68">
        <f>IF($F84="","",$F84)</f>
        <v/>
      </c>
    </row>
    <row r="86" ht="21" customHeight="1" s="66">
      <c r="L86" s="68">
        <f>IF($C85="","",$C85)</f>
        <v/>
      </c>
      <c r="M86" s="68">
        <f>IF($D85="","",$D85)</f>
        <v/>
      </c>
      <c r="N86" s="68">
        <f>IF($F85="","",$F85)</f>
        <v/>
      </c>
    </row>
    <row r="87" ht="21" customHeight="1" s="66">
      <c r="L87" s="68">
        <f>IF($C86="","",$C86)</f>
        <v/>
      </c>
      <c r="M87" s="68">
        <f>IF($D86="","",$D86)</f>
        <v/>
      </c>
      <c r="N87" s="68">
        <f>IF($F86="","",$F86)</f>
        <v/>
      </c>
    </row>
    <row r="88" ht="21" customHeight="1" s="66">
      <c r="L88" s="68">
        <f>IF($C87="","",$C87)</f>
        <v/>
      </c>
      <c r="M88" s="68">
        <f>IF($D87="","",$D87)</f>
        <v/>
      </c>
      <c r="N88" s="68">
        <f>IF($F87="","",$F87)</f>
        <v/>
      </c>
    </row>
    <row r="89" ht="21" customHeight="1" s="66">
      <c r="L89" s="68">
        <f>IF($C88="","",$C88)</f>
        <v/>
      </c>
      <c r="M89" s="68">
        <f>IF($D88="","",$D88)</f>
        <v/>
      </c>
      <c r="N89" s="68">
        <f>IF($F88="","",$F88)</f>
        <v/>
      </c>
    </row>
    <row r="90" ht="21" customHeight="1" s="66">
      <c r="L90" s="68">
        <f>IF($C89="","",$C89)</f>
        <v/>
      </c>
      <c r="M90" s="68">
        <f>IF($D89="","",$D89)</f>
        <v/>
      </c>
      <c r="N90" s="68">
        <f>IF($F89="","",$F89)</f>
        <v/>
      </c>
    </row>
    <row r="91" ht="21" customHeight="1" s="66">
      <c r="L91" s="68">
        <f>IF($C90="","",$C90)</f>
        <v/>
      </c>
      <c r="M91" s="68">
        <f>IF($D90="","",$D90)</f>
        <v/>
      </c>
      <c r="N91" s="68">
        <f>IF($F90="","",$F90)</f>
        <v/>
      </c>
    </row>
    <row r="92" ht="21" customHeight="1" s="66">
      <c r="L92" s="68">
        <f>IF($C91="","",$C91)</f>
        <v/>
      </c>
      <c r="M92" s="68">
        <f>IF($D91="","",$D91)</f>
        <v/>
      </c>
      <c r="N92" s="68">
        <f>IF($F91="","",$F91)</f>
        <v/>
      </c>
    </row>
    <row r="93" ht="21" customHeight="1" s="66">
      <c r="L93" s="68">
        <f>IF($C92="","",$C92)</f>
        <v/>
      </c>
      <c r="M93" s="68">
        <f>IF($D92="","",$D92)</f>
        <v/>
      </c>
      <c r="N93" s="68">
        <f>IF($F92="","",$F92)</f>
        <v/>
      </c>
    </row>
    <row r="94" ht="21" customHeight="1" s="66">
      <c r="L94" s="68">
        <f>IF($C93="","",$C93)</f>
        <v/>
      </c>
      <c r="M94" s="68">
        <f>IF($D93="","",$D93)</f>
        <v/>
      </c>
      <c r="N94" s="68">
        <f>IF($F93="","",$F93)</f>
        <v/>
      </c>
    </row>
    <row r="95" ht="21" customHeight="1" s="66">
      <c r="L95" s="68">
        <f>IF($C94="","",$C94)</f>
        <v/>
      </c>
      <c r="M95" s="68">
        <f>IF($D94="","",$D94)</f>
        <v/>
      </c>
      <c r="N95" s="68">
        <f>IF($F94="","",$F94)</f>
        <v/>
      </c>
    </row>
    <row r="96" ht="21" customHeight="1" s="66">
      <c r="L96" s="68">
        <f>IF($C95="","",$C95)</f>
        <v/>
      </c>
      <c r="M96" s="68">
        <f>IF($D95="","",$D95)</f>
        <v/>
      </c>
      <c r="N96" s="68">
        <f>IF($F95="","",$F95)</f>
        <v/>
      </c>
    </row>
    <row r="97" ht="21" customHeight="1" s="66">
      <c r="L97" s="68">
        <f>IF($C96="","",$C96)</f>
        <v/>
      </c>
      <c r="M97" s="68">
        <f>IF($D96="","",$D96)</f>
        <v/>
      </c>
      <c r="N97" s="68">
        <f>IF($F96="","",$F96)</f>
        <v/>
      </c>
    </row>
    <row r="98" ht="21" customHeight="1" s="66">
      <c r="L98" s="68">
        <f>IF($C97="","",$C97)</f>
        <v/>
      </c>
      <c r="M98" s="68">
        <f>IF($D97="","",$D97)</f>
        <v/>
      </c>
      <c r="N98" s="68">
        <f>IF($F97="","",$F97)</f>
        <v/>
      </c>
    </row>
    <row r="99" ht="21" customHeight="1" s="66">
      <c r="L99" s="68">
        <f>IF($C98="","",$C98)</f>
        <v/>
      </c>
      <c r="M99" s="68">
        <f>IF($D98="","",$D98)</f>
        <v/>
      </c>
      <c r="N99" s="68">
        <f>IF($F98="","",$F98)</f>
        <v/>
      </c>
    </row>
    <row r="100" ht="21" customHeight="1" s="66">
      <c r="L100" s="68">
        <f>IF($C99="","",$C99)</f>
        <v/>
      </c>
      <c r="M100" s="68">
        <f>IF($D99="","",$D99)</f>
        <v/>
      </c>
      <c r="N100" s="68">
        <f>IF($F99="","",$F99)</f>
        <v/>
      </c>
    </row>
    <row r="101" ht="21" customHeight="1" s="66">
      <c r="L101" s="68">
        <f>IF($C100="","",$C100)</f>
        <v/>
      </c>
      <c r="M101" s="68">
        <f>IF($D100="","",$D100)</f>
        <v/>
      </c>
      <c r="N101" s="68">
        <f>IF($F100="","",$F100)</f>
        <v/>
      </c>
    </row>
    <row r="102" ht="21" customHeight="1" s="66">
      <c r="L102" s="68">
        <f>IF($C101="","",$C101)</f>
        <v/>
      </c>
      <c r="M102" s="68">
        <f>IF($D101="","",$D101)</f>
        <v/>
      </c>
      <c r="N102" s="68">
        <f>IF($F101="","",$F101)</f>
        <v/>
      </c>
    </row>
    <row r="103" ht="21" customHeight="1" s="66">
      <c r="L103" s="68">
        <f>IF($C102="","",$C102)</f>
        <v/>
      </c>
      <c r="M103" s="68">
        <f>IF($D102="","",$D102)</f>
        <v/>
      </c>
      <c r="N103" s="68">
        <f>IF($F102="","",$F102)</f>
        <v/>
      </c>
    </row>
    <row r="104" ht="21" customHeight="1" s="66">
      <c r="L104" s="68">
        <f>IF($C103="","",$C103)</f>
        <v/>
      </c>
      <c r="M104" s="68">
        <f>IF($D103="","",$D103)</f>
        <v/>
      </c>
      <c r="N104" s="68">
        <f>IF($F103="","",$F103)</f>
        <v/>
      </c>
    </row>
    <row r="105" ht="21" customHeight="1" s="66">
      <c r="L105" s="68">
        <f>IF($C104="","",$C104)</f>
        <v/>
      </c>
      <c r="M105" s="68">
        <f>IF($D104="","",$D104)</f>
        <v/>
      </c>
      <c r="N105" s="68">
        <f>IF($F104="","",$F104)</f>
        <v/>
      </c>
    </row>
    <row r="106" ht="21" customHeight="1" s="66">
      <c r="L106" s="68">
        <f>IF($C105="","",$C105)</f>
        <v/>
      </c>
      <c r="M106" s="68">
        <f>IF($D105="","",$D105)</f>
        <v/>
      </c>
      <c r="N106" s="68">
        <f>IF($F105="","",$F105)</f>
        <v/>
      </c>
    </row>
    <row r="107" ht="21" customHeight="1" s="66">
      <c r="L107" s="68">
        <f>IF($C106="","",$C106)</f>
        <v/>
      </c>
      <c r="M107" s="68">
        <f>IF($D106="","",$D106)</f>
        <v/>
      </c>
      <c r="N107" s="68">
        <f>IF($F106="","",$F106)</f>
        <v/>
      </c>
    </row>
    <row r="108" ht="21" customHeight="1" s="66">
      <c r="L108" s="68">
        <f>IF($C107="","",$C107)</f>
        <v/>
      </c>
      <c r="M108" s="68">
        <f>IF($D107="","",$D107)</f>
        <v/>
      </c>
      <c r="N108" s="68">
        <f>IF($F107="","",$F107)</f>
        <v/>
      </c>
    </row>
    <row r="109" ht="21" customHeight="1" s="66">
      <c r="L109" s="68">
        <f>IF($C108="","",$C108)</f>
        <v/>
      </c>
      <c r="M109" s="68">
        <f>IF($D108="","",$D108)</f>
        <v/>
      </c>
      <c r="N109" s="68">
        <f>IF($F108="","",$F108)</f>
        <v/>
      </c>
    </row>
    <row r="110" ht="21" customHeight="1" s="66">
      <c r="L110" s="68">
        <f>IF($C109="","",$C109)</f>
        <v/>
      </c>
      <c r="M110" s="68">
        <f>IF($D109="","",$D109)</f>
        <v/>
      </c>
      <c r="N110" s="68">
        <f>IF($F109="","",$F109)</f>
        <v/>
      </c>
    </row>
    <row r="111" ht="21" customHeight="1" s="66">
      <c r="L111" s="68">
        <f>IF($C110="","",$C110)</f>
        <v/>
      </c>
      <c r="M111" s="68">
        <f>IF($D110="","",$D110)</f>
        <v/>
      </c>
      <c r="N111" s="68">
        <f>IF($F110="","",$F110)</f>
        <v/>
      </c>
    </row>
    <row r="112" ht="21" customHeight="1" s="66">
      <c r="L112" s="68">
        <f>IF($C111="","",$C111)</f>
        <v/>
      </c>
      <c r="M112" s="68">
        <f>IF($D111="","",$D111)</f>
        <v/>
      </c>
      <c r="N112" s="68">
        <f>IF($F111="","",$F111)</f>
        <v/>
      </c>
    </row>
    <row r="113" ht="21" customHeight="1" s="66">
      <c r="L113" s="68">
        <f>IF($C112="","",$C112)</f>
        <v/>
      </c>
      <c r="M113" s="68">
        <f>IF($D112="","",$D112)</f>
        <v/>
      </c>
      <c r="N113" s="68">
        <f>IF($F112="","",$F112)</f>
        <v/>
      </c>
    </row>
    <row r="114" ht="21" customHeight="1" s="66">
      <c r="L114" s="68">
        <f>IF($C113="","",$C113)</f>
        <v/>
      </c>
      <c r="M114" s="68">
        <f>IF($D113="","",$D113)</f>
        <v/>
      </c>
      <c r="N114" s="68">
        <f>IF($F113="","",$F113)</f>
        <v/>
      </c>
    </row>
    <row r="115" ht="21" customHeight="1" s="66">
      <c r="L115" s="68">
        <f>IF($C114="","",$C114)</f>
        <v/>
      </c>
      <c r="M115" s="68">
        <f>IF($D114="","",$D114)</f>
        <v/>
      </c>
      <c r="N115" s="68">
        <f>IF($F114="","",$F114)</f>
        <v/>
      </c>
    </row>
    <row r="116" ht="21" customHeight="1" s="66">
      <c r="L116" s="68">
        <f>IF($C115="","",$C115)</f>
        <v/>
      </c>
      <c r="M116" s="68">
        <f>IF($D115="","",$D115)</f>
        <v/>
      </c>
      <c r="N116" s="68">
        <f>IF($F115="","",$F115)</f>
        <v/>
      </c>
    </row>
    <row r="117" ht="21" customHeight="1" s="66">
      <c r="L117" s="68">
        <f>IF($C116="","",$C116)</f>
        <v/>
      </c>
      <c r="M117" s="68">
        <f>IF($D116="","",$D116)</f>
        <v/>
      </c>
      <c r="N117" s="68">
        <f>IF($F116="","",$F116)</f>
        <v/>
      </c>
    </row>
    <row r="118" ht="21" customHeight="1" s="66">
      <c r="L118" s="68">
        <f>IF($C117="","",$C117)</f>
        <v/>
      </c>
      <c r="M118" s="68">
        <f>IF($D117="","",$D117)</f>
        <v/>
      </c>
      <c r="N118" s="68">
        <f>IF($F117="","",$F117)</f>
        <v/>
      </c>
    </row>
    <row r="119" ht="21" customHeight="1" s="66">
      <c r="L119" s="68">
        <f>IF($C118="","",$C118)</f>
        <v/>
      </c>
      <c r="M119" s="68">
        <f>IF($D118="","",$D118)</f>
        <v/>
      </c>
      <c r="N119" s="68">
        <f>IF($F118="","",$F118)</f>
        <v/>
      </c>
    </row>
    <row r="120" ht="21" customHeight="1" s="66">
      <c r="L120" s="68">
        <f>IF($C119="","",$C119)</f>
        <v/>
      </c>
      <c r="M120" s="68">
        <f>IF($D119="","",$D119)</f>
        <v/>
      </c>
      <c r="N120" s="68">
        <f>IF($F119="","",$F119)</f>
        <v/>
      </c>
    </row>
    <row r="121" ht="21" customHeight="1" s="66">
      <c r="L121" s="68">
        <f>IF($C120="","",$C120)</f>
        <v/>
      </c>
      <c r="M121" s="68">
        <f>IF($D120="","",$D120)</f>
        <v/>
      </c>
      <c r="N121" s="68">
        <f>IF($F120="","",$F120)</f>
        <v/>
      </c>
    </row>
    <row r="122" ht="21" customHeight="1" s="66">
      <c r="L122" s="68">
        <f>IF($C121="","",$C121)</f>
        <v/>
      </c>
      <c r="M122" s="68">
        <f>IF($D121="","",$D121)</f>
        <v/>
      </c>
      <c r="N122" s="68">
        <f>IF($F121="","",$F121)</f>
        <v/>
      </c>
    </row>
    <row r="123" ht="21" customHeight="1" s="66">
      <c r="L123" s="68">
        <f>IF($C122="","",$C122)</f>
        <v/>
      </c>
      <c r="M123" s="68">
        <f>IF($D122="","",$D122)</f>
        <v/>
      </c>
      <c r="N123" s="68">
        <f>IF($F122="","",$F122)</f>
        <v/>
      </c>
    </row>
    <row r="124" ht="21" customHeight="1" s="66">
      <c r="L124" s="68">
        <f>IF($C123="","",$C123)</f>
        <v/>
      </c>
      <c r="M124" s="68">
        <f>IF($D123="","",$D123)</f>
        <v/>
      </c>
      <c r="N124" s="68">
        <f>IF($F123="","",$F123)</f>
        <v/>
      </c>
    </row>
    <row r="125" ht="21" customHeight="1" s="66">
      <c r="L125" s="68">
        <f>IF($C124="","",$C124)</f>
        <v/>
      </c>
      <c r="M125" s="68">
        <f>IF($D124="","",$D124)</f>
        <v/>
      </c>
      <c r="N125" s="68">
        <f>IF($F124="","",$F124)</f>
        <v/>
      </c>
    </row>
    <row r="126" ht="21" customHeight="1" s="66">
      <c r="L126" s="68">
        <f>IF($C125="","",$C125)</f>
        <v/>
      </c>
      <c r="M126" s="68">
        <f>IF($D125="","",$D125)</f>
        <v/>
      </c>
      <c r="N126" s="68">
        <f>IF($F125="","",$F125)</f>
        <v/>
      </c>
    </row>
    <row r="127" ht="21" customHeight="1" s="66">
      <c r="L127" s="68">
        <f>IF($C126="","",$C126)</f>
        <v/>
      </c>
      <c r="M127" s="68">
        <f>IF($D126="","",$D126)</f>
        <v/>
      </c>
      <c r="N127" s="68">
        <f>IF($F126="","",$F126)</f>
        <v/>
      </c>
    </row>
    <row r="128" ht="21" customHeight="1" s="66">
      <c r="L128" s="68">
        <f>IF($C127="","",$C127)</f>
        <v/>
      </c>
      <c r="M128" s="68">
        <f>IF($D127="","",$D127)</f>
        <v/>
      </c>
      <c r="N128" s="68">
        <f>IF($F127="","",$F127)</f>
        <v/>
      </c>
    </row>
    <row r="129" ht="21" customHeight="1" s="66">
      <c r="L129" s="68">
        <f>IF($C128="","",$C128)</f>
        <v/>
      </c>
      <c r="M129" s="68">
        <f>IF($D128="","",$D128)</f>
        <v/>
      </c>
      <c r="N129" s="68">
        <f>IF($F128="","",$F128)</f>
        <v/>
      </c>
    </row>
    <row r="130" ht="21" customHeight="1" s="66">
      <c r="L130" s="68">
        <f>IF($C129="","",$C129)</f>
        <v/>
      </c>
      <c r="M130" s="68">
        <f>IF($D129="","",$D129)</f>
        <v/>
      </c>
      <c r="N130" s="68">
        <f>IF($F129="","",$F129)</f>
        <v/>
      </c>
    </row>
    <row r="131" ht="21" customHeight="1" s="66">
      <c r="L131" s="68">
        <f>IF($C130="","",$C130)</f>
        <v/>
      </c>
      <c r="M131" s="68">
        <f>IF($D130="","",$D130)</f>
        <v/>
      </c>
      <c r="N131" s="68">
        <f>IF($F130="","",$F130)</f>
        <v/>
      </c>
    </row>
    <row r="132" ht="21" customHeight="1" s="66">
      <c r="L132" s="68">
        <f>IF($C131="","",$C131)</f>
        <v/>
      </c>
      <c r="M132" s="68">
        <f>IF($D131="","",$D131)</f>
        <v/>
      </c>
      <c r="N132" s="68">
        <f>IF($F131="","",$F131)</f>
        <v/>
      </c>
    </row>
    <row r="133" ht="21" customHeight="1" s="66">
      <c r="L133" s="68">
        <f>IF($C132="","",$C132)</f>
        <v/>
      </c>
      <c r="M133" s="68">
        <f>IF($D132="","",$D132)</f>
        <v/>
      </c>
      <c r="N133" s="68">
        <f>IF($F132="","",$F132)</f>
        <v/>
      </c>
    </row>
    <row r="134" ht="21" customHeight="1" s="66">
      <c r="L134" s="68">
        <f>IF($C133="","",$C133)</f>
        <v/>
      </c>
      <c r="M134" s="68">
        <f>IF($D133="","",$D133)</f>
        <v/>
      </c>
      <c r="N134" s="68">
        <f>IF($F133="","",$F133)</f>
        <v/>
      </c>
    </row>
    <row r="135" ht="21" customHeight="1" s="66">
      <c r="L135" s="68">
        <f>IF($C134="","",$C134)</f>
        <v/>
      </c>
      <c r="M135" s="68">
        <f>IF($D134="","",$D134)</f>
        <v/>
      </c>
      <c r="N135" s="68">
        <f>IF($F134="","",$F134)</f>
        <v/>
      </c>
    </row>
    <row r="136" ht="21" customHeight="1" s="66">
      <c r="L136" s="68">
        <f>IF($C135="","",$C135)</f>
        <v/>
      </c>
      <c r="M136" s="68">
        <f>IF($D135="","",$D135)</f>
        <v/>
      </c>
      <c r="N136" s="68">
        <f>IF($F135="","",$F135)</f>
        <v/>
      </c>
    </row>
    <row r="137" ht="21" customHeight="1" s="66">
      <c r="L137" s="68">
        <f>IF($C136="","",$C136)</f>
        <v/>
      </c>
      <c r="M137" s="68">
        <f>IF($D136="","",$D136)</f>
        <v/>
      </c>
      <c r="N137" s="68">
        <f>IF($F136="","",$F136)</f>
        <v/>
      </c>
    </row>
    <row r="138" ht="21" customHeight="1" s="66">
      <c r="L138" s="68">
        <f>IF($C137="","",$C137)</f>
        <v/>
      </c>
      <c r="M138" s="68">
        <f>IF($D137="","",$D137)</f>
        <v/>
      </c>
      <c r="N138" s="68">
        <f>IF($F137="","",$F137)</f>
        <v/>
      </c>
    </row>
    <row r="139" ht="21" customHeight="1" s="66">
      <c r="L139" s="68">
        <f>IF($C138="","",$C138)</f>
        <v/>
      </c>
      <c r="M139" s="68">
        <f>IF($D138="","",$D138)</f>
        <v/>
      </c>
      <c r="N139" s="68">
        <f>IF($F138="","",$F138)</f>
        <v/>
      </c>
    </row>
    <row r="140" ht="21" customHeight="1" s="66">
      <c r="L140" s="68">
        <f>IF($C139="","",$C139)</f>
        <v/>
      </c>
      <c r="M140" s="68">
        <f>IF($D139="","",$D139)</f>
        <v/>
      </c>
      <c r="N140" s="68">
        <f>IF($F139="","",$F139)</f>
        <v/>
      </c>
    </row>
    <row r="141" ht="21" customHeight="1" s="66">
      <c r="L141" s="68">
        <f>IF($C140="","",$C140)</f>
        <v/>
      </c>
      <c r="M141" s="68">
        <f>IF($D140="","",$D140)</f>
        <v/>
      </c>
      <c r="N141" s="68">
        <f>IF($F140="","",$F140)</f>
        <v/>
      </c>
    </row>
    <row r="142" ht="21" customHeight="1" s="66">
      <c r="L142" s="68">
        <f>IF($C141="","",$C141)</f>
        <v/>
      </c>
      <c r="M142" s="68">
        <f>IF($D141="","",$D141)</f>
        <v/>
      </c>
      <c r="N142" s="68">
        <f>IF($F141="","",$F141)</f>
        <v/>
      </c>
    </row>
    <row r="143" ht="21" customHeight="1" s="66">
      <c r="L143" s="68">
        <f>IF($C142="","",$C142)</f>
        <v/>
      </c>
      <c r="M143" s="68">
        <f>IF($D142="","",$D142)</f>
        <v/>
      </c>
      <c r="N143" s="68">
        <f>IF($F142="","",$F142)</f>
        <v/>
      </c>
    </row>
    <row r="144" ht="21" customHeight="1" s="66">
      <c r="L144" s="68">
        <f>IF($C143="","",$C143)</f>
        <v/>
      </c>
      <c r="M144" s="68">
        <f>IF($D143="","",$D143)</f>
        <v/>
      </c>
      <c r="N144" s="68">
        <f>IF($F143="","",$F143)</f>
        <v/>
      </c>
    </row>
    <row r="145" ht="21" customHeight="1" s="66">
      <c r="L145" s="68">
        <f>IF($C144="","",$C144)</f>
        <v/>
      </c>
      <c r="M145" s="68">
        <f>IF($D144="","",$D144)</f>
        <v/>
      </c>
      <c r="N145" s="68">
        <f>IF($F144="","",$F144)</f>
        <v/>
      </c>
    </row>
    <row r="146" ht="21" customHeight="1" s="66">
      <c r="L146" s="68">
        <f>IF($C145="","",$C145)</f>
        <v/>
      </c>
      <c r="M146" s="68">
        <f>IF($D145="","",$D145)</f>
        <v/>
      </c>
      <c r="N146" s="68">
        <f>IF($F145="","",$F145)</f>
        <v/>
      </c>
    </row>
    <row r="147" ht="21" customHeight="1" s="66">
      <c r="L147" s="68">
        <f>IF($C146="","",$C146)</f>
        <v/>
      </c>
      <c r="M147" s="68">
        <f>IF($D146="","",$D146)</f>
        <v/>
      </c>
      <c r="N147" s="68">
        <f>IF($F146="","",$F146)</f>
        <v/>
      </c>
    </row>
    <row r="148" ht="21" customHeight="1" s="66">
      <c r="L148" s="68">
        <f>IF($C147="","",$C147)</f>
        <v/>
      </c>
      <c r="M148" s="68">
        <f>IF($D147="","",$D147)</f>
        <v/>
      </c>
      <c r="N148" s="68">
        <f>IF($F147="","",$F147)</f>
        <v/>
      </c>
    </row>
    <row r="149" ht="21" customHeight="1" s="66">
      <c r="L149" s="68">
        <f>IF($C148="","",$C148)</f>
        <v/>
      </c>
      <c r="M149" s="68">
        <f>IF($D148="","",$D148)</f>
        <v/>
      </c>
      <c r="N149" s="68">
        <f>IF($F148="","",$F148)</f>
        <v/>
      </c>
    </row>
    <row r="150" ht="21" customHeight="1" s="66">
      <c r="L150" s="68">
        <f>IF($C149="","",$C149)</f>
        <v/>
      </c>
      <c r="M150" s="68">
        <f>IF($D149="","",$D149)</f>
        <v/>
      </c>
      <c r="N150" s="68">
        <f>IF($F149="","",$F149)</f>
        <v/>
      </c>
    </row>
    <row r="151" ht="21" customHeight="1" s="66">
      <c r="L151" s="68">
        <f>IF($C150="","",$C150)</f>
        <v/>
      </c>
      <c r="M151" s="68">
        <f>IF($D150="","",$D150)</f>
        <v/>
      </c>
      <c r="N151" s="68">
        <f>IF($F150="","",$F150)</f>
        <v/>
      </c>
    </row>
    <row r="152" ht="21" customHeight="1" s="66">
      <c r="L152" s="68">
        <f>IF($C151="","",$C151)</f>
        <v/>
      </c>
      <c r="M152" s="68">
        <f>IF($D151="","",$D151)</f>
        <v/>
      </c>
      <c r="N152" s="68">
        <f>IF($F151="","",$F151)</f>
        <v/>
      </c>
    </row>
    <row r="153" ht="21" customHeight="1" s="66">
      <c r="L153" s="68">
        <f>IF($C152="","",$C152)</f>
        <v/>
      </c>
      <c r="M153" s="68">
        <f>IF($D152="","",$D152)</f>
        <v/>
      </c>
      <c r="N153" s="68">
        <f>IF($F152="","",$F152)</f>
        <v/>
      </c>
    </row>
    <row r="154" ht="21" customHeight="1" s="66">
      <c r="L154" s="68">
        <f>IF($C153="","",$C153)</f>
        <v/>
      </c>
      <c r="M154" s="68">
        <f>IF($D153="","",$D153)</f>
        <v/>
      </c>
      <c r="N154" s="68">
        <f>IF($F153="","",$F153)</f>
        <v/>
      </c>
    </row>
    <row r="155" ht="21" customHeight="1" s="66">
      <c r="L155" s="68">
        <f>IF($C154="","",$C154)</f>
        <v/>
      </c>
      <c r="M155" s="68">
        <f>IF($D154="","",$D154)</f>
        <v/>
      </c>
      <c r="N155" s="68">
        <f>IF($F154="","",$F154)</f>
        <v/>
      </c>
    </row>
    <row r="156" ht="21" customHeight="1" s="66">
      <c r="L156" s="68">
        <f>IF($C155="","",$C155)</f>
        <v/>
      </c>
      <c r="M156" s="68">
        <f>IF($D155="","",$D155)</f>
        <v/>
      </c>
      <c r="N156" s="68">
        <f>IF($F155="","",$F155)</f>
        <v/>
      </c>
    </row>
    <row r="157" ht="21" customHeight="1" s="66">
      <c r="L157" s="68">
        <f>IF($C156="","",$C156)</f>
        <v/>
      </c>
      <c r="M157" s="68">
        <f>IF($D156="","",$D156)</f>
        <v/>
      </c>
      <c r="N157" s="68">
        <f>IF($F156="","",$F156)</f>
        <v/>
      </c>
    </row>
    <row r="158" ht="21" customHeight="1" s="66">
      <c r="L158" s="68">
        <f>IF($C157="","",$C157)</f>
        <v/>
      </c>
      <c r="M158" s="68">
        <f>IF($D157="","",$D157)</f>
        <v/>
      </c>
      <c r="N158" s="68">
        <f>IF($F157="","",$F157)</f>
        <v/>
      </c>
    </row>
    <row r="159" ht="21" customHeight="1" s="66">
      <c r="L159" s="68">
        <f>IF($C158="","",$C158)</f>
        <v/>
      </c>
      <c r="M159" s="68">
        <f>IF($D158="","",$D158)</f>
        <v/>
      </c>
      <c r="N159" s="68">
        <f>IF($F158="","",$F158)</f>
        <v/>
      </c>
    </row>
    <row r="160" ht="21" customHeight="1" s="66">
      <c r="L160" s="68">
        <f>IF($C159="","",$C159)</f>
        <v/>
      </c>
      <c r="M160" s="68">
        <f>IF($D159="","",$D159)</f>
        <v/>
      </c>
      <c r="N160" s="68">
        <f>IF($F159="","",$F159)</f>
        <v/>
      </c>
    </row>
    <row r="161" ht="21" customHeight="1" s="66">
      <c r="L161" s="68">
        <f>IF($C160="","",$C160)</f>
        <v/>
      </c>
      <c r="M161" s="68">
        <f>IF($D160="","",$D160)</f>
        <v/>
      </c>
      <c r="N161" s="68">
        <f>IF($F160="","",$F160)</f>
        <v/>
      </c>
    </row>
    <row r="162" ht="21" customHeight="1" s="66">
      <c r="L162" s="68">
        <f>IF($C161="","",$C161)</f>
        <v/>
      </c>
      <c r="M162" s="68">
        <f>IF($D161="","",$D161)</f>
        <v/>
      </c>
      <c r="N162" s="68">
        <f>IF($F161="","",$F161)</f>
        <v/>
      </c>
    </row>
    <row r="163" ht="21" customHeight="1" s="66">
      <c r="L163" s="68">
        <f>IF($C162="","",$C162)</f>
        <v/>
      </c>
      <c r="M163" s="68">
        <f>IF($D162="","",$D162)</f>
        <v/>
      </c>
      <c r="N163" s="68">
        <f>IF($F162="","",$F162)</f>
        <v/>
      </c>
    </row>
    <row r="164" ht="21" customHeight="1" s="66">
      <c r="L164" s="68">
        <f>IF($C163="","",$C163)</f>
        <v/>
      </c>
      <c r="M164" s="68">
        <f>IF($D163="","",$D163)</f>
        <v/>
      </c>
      <c r="N164" s="68">
        <f>IF($F163="","",$F163)</f>
        <v/>
      </c>
    </row>
    <row r="165" ht="21" customHeight="1" s="66">
      <c r="L165" s="68">
        <f>IF($C164="","",$C164)</f>
        <v/>
      </c>
      <c r="M165" s="68">
        <f>IF($D164="","",$D164)</f>
        <v/>
      </c>
      <c r="N165" s="68">
        <f>IF($F164="","",$F164)</f>
        <v/>
      </c>
    </row>
    <row r="166" ht="21" customHeight="1" s="66">
      <c r="L166" s="68">
        <f>IF($C165="","",$C165)</f>
        <v/>
      </c>
      <c r="M166" s="68">
        <f>IF($D165="","",$D165)</f>
        <v/>
      </c>
      <c r="N166" s="68">
        <f>IF($F165="","",$F165)</f>
        <v/>
      </c>
    </row>
    <row r="167" ht="21" customHeight="1" s="66">
      <c r="L167" s="68">
        <f>IF($C166="","",$C166)</f>
        <v/>
      </c>
      <c r="M167" s="68">
        <f>IF($D166="","",$D166)</f>
        <v/>
      </c>
      <c r="N167" s="68">
        <f>IF($F166="","",$F166)</f>
        <v/>
      </c>
    </row>
    <row r="168" ht="21" customHeight="1" s="66">
      <c r="L168" s="68">
        <f>IF($C167="","",$C167)</f>
        <v/>
      </c>
      <c r="M168" s="68">
        <f>IF($D167="","",$D167)</f>
        <v/>
      </c>
      <c r="N168" s="68">
        <f>IF($F167="","",$F167)</f>
        <v/>
      </c>
    </row>
    <row r="169" ht="21" customHeight="1" s="66">
      <c r="L169" s="68">
        <f>IF($C168="","",$C168)</f>
        <v/>
      </c>
      <c r="M169" s="68">
        <f>IF($D168="","",$D168)</f>
        <v/>
      </c>
      <c r="N169" s="68">
        <f>IF($F168="","",$F168)</f>
        <v/>
      </c>
    </row>
    <row r="170" ht="21" customHeight="1" s="66">
      <c r="L170" s="68">
        <f>IF($C169="","",$C169)</f>
        <v/>
      </c>
      <c r="M170" s="68">
        <f>IF($D169="","",$D169)</f>
        <v/>
      </c>
      <c r="N170" s="68">
        <f>IF($F169="","",$F169)</f>
        <v/>
      </c>
    </row>
    <row r="171" ht="21" customHeight="1" s="66">
      <c r="L171" s="68">
        <f>IF($C170="","",$C170)</f>
        <v/>
      </c>
      <c r="M171" s="68">
        <f>IF($D170="","",$D170)</f>
        <v/>
      </c>
      <c r="N171" s="68">
        <f>IF($F170="","",$F170)</f>
        <v/>
      </c>
    </row>
    <row r="172" ht="21" customHeight="1" s="66">
      <c r="L172" s="68">
        <f>IF($C171="","",$C171)</f>
        <v/>
      </c>
      <c r="M172" s="68">
        <f>IF($D171="","",$D171)</f>
        <v/>
      </c>
      <c r="N172" s="68">
        <f>IF($F171="","",$F171)</f>
        <v/>
      </c>
    </row>
    <row r="173" ht="21" customHeight="1" s="66">
      <c r="L173" s="68">
        <f>IF($C172="","",$C172)</f>
        <v/>
      </c>
      <c r="M173" s="68">
        <f>IF($D172="","",$D172)</f>
        <v/>
      </c>
      <c r="N173" s="68">
        <f>IF($F172="","",$F172)</f>
        <v/>
      </c>
    </row>
    <row r="174" ht="21" customHeight="1" s="66">
      <c r="L174" s="68">
        <f>IF($C173="","",$C173)</f>
        <v/>
      </c>
      <c r="M174" s="68">
        <f>IF($D173="","",$D173)</f>
        <v/>
      </c>
      <c r="N174" s="68">
        <f>IF($F173="","",$F173)</f>
        <v/>
      </c>
    </row>
    <row r="175" ht="21" customHeight="1" s="66">
      <c r="L175" s="68">
        <f>IF($C174="","",$C174)</f>
        <v/>
      </c>
      <c r="M175" s="68">
        <f>IF($D174="","",$D174)</f>
        <v/>
      </c>
      <c r="N175" s="68">
        <f>IF($F174="","",$F174)</f>
        <v/>
      </c>
    </row>
    <row r="176" ht="21" customHeight="1" s="66">
      <c r="L176" s="68">
        <f>IF($C175="","",$C175)</f>
        <v/>
      </c>
      <c r="M176" s="68">
        <f>IF($D175="","",$D175)</f>
        <v/>
      </c>
      <c r="N176" s="68">
        <f>IF($F175="","",$F175)</f>
        <v/>
      </c>
    </row>
    <row r="177" ht="21" customHeight="1" s="66">
      <c r="L177" s="68">
        <f>IF($C176="","",$C176)</f>
        <v/>
      </c>
      <c r="M177" s="68">
        <f>IF($D176="","",$D176)</f>
        <v/>
      </c>
      <c r="N177" s="68">
        <f>IF($F176="","",$F176)</f>
        <v/>
      </c>
    </row>
    <row r="178" ht="21" customHeight="1" s="66">
      <c r="L178" s="68">
        <f>IF($C177="","",$C177)</f>
        <v/>
      </c>
      <c r="M178" s="68">
        <f>IF($D177="","",$D177)</f>
        <v/>
      </c>
      <c r="N178" s="68">
        <f>IF($F177="","",$F177)</f>
        <v/>
      </c>
    </row>
    <row r="179" ht="21" customHeight="1" s="66">
      <c r="L179" s="68">
        <f>IF($C178="","",$C178)</f>
        <v/>
      </c>
      <c r="M179" s="68">
        <f>IF($D178="","",$D178)</f>
        <v/>
      </c>
      <c r="N179" s="68">
        <f>IF($F178="","",$F178)</f>
        <v/>
      </c>
    </row>
    <row r="180" ht="21" customHeight="1" s="66">
      <c r="L180" s="68">
        <f>IF($C179="","",$C179)</f>
        <v/>
      </c>
      <c r="M180" s="68">
        <f>IF($D179="","",$D179)</f>
        <v/>
      </c>
      <c r="N180" s="68">
        <f>IF($F179="","",$F179)</f>
        <v/>
      </c>
    </row>
    <row r="181" ht="21" customHeight="1" s="66">
      <c r="L181" s="68">
        <f>IF($C180="","",$C180)</f>
        <v/>
      </c>
      <c r="M181" s="68">
        <f>IF($D180="","",$D180)</f>
        <v/>
      </c>
      <c r="N181" s="68">
        <f>IF($F180="","",$F180)</f>
        <v/>
      </c>
    </row>
    <row r="182" ht="21" customHeight="1" s="66">
      <c r="L182" s="68">
        <f>IF($C181="","",$C181)</f>
        <v/>
      </c>
      <c r="M182" s="68">
        <f>IF($D181="","",$D181)</f>
        <v/>
      </c>
      <c r="N182" s="68">
        <f>IF($F181="","",$F181)</f>
        <v/>
      </c>
    </row>
    <row r="183" ht="21" customHeight="1" s="66">
      <c r="L183" s="68">
        <f>IF($C182="","",$C182)</f>
        <v/>
      </c>
      <c r="M183" s="68">
        <f>IF($D182="","",$D182)</f>
        <v/>
      </c>
      <c r="N183" s="68">
        <f>IF($F182="","",$F182)</f>
        <v/>
      </c>
    </row>
    <row r="184" ht="21" customHeight="1" s="66">
      <c r="L184" s="68">
        <f>IF($C183="","",$C183)</f>
        <v/>
      </c>
      <c r="M184" s="68">
        <f>IF($D183="","",$D183)</f>
        <v/>
      </c>
      <c r="N184" s="68">
        <f>IF($F183="","",$F183)</f>
        <v/>
      </c>
    </row>
    <row r="185" ht="21" customHeight="1" s="66">
      <c r="L185" s="68">
        <f>IF($C184="","",$C184)</f>
        <v/>
      </c>
      <c r="M185" s="68">
        <f>IF($D184="","",$D184)</f>
        <v/>
      </c>
      <c r="N185" s="68">
        <f>IF($F184="","",$F184)</f>
        <v/>
      </c>
    </row>
    <row r="186" ht="21" customHeight="1" s="66">
      <c r="L186" s="68">
        <f>IF($C185="","",$C185)</f>
        <v/>
      </c>
      <c r="M186" s="68">
        <f>IF($D185="","",$D185)</f>
        <v/>
      </c>
      <c r="N186" s="68">
        <f>IF($F185="","",$F185)</f>
        <v/>
      </c>
    </row>
    <row r="187" ht="21" customHeight="1" s="66">
      <c r="L187" s="68">
        <f>IF($C186="","",$C186)</f>
        <v/>
      </c>
      <c r="M187" s="68">
        <f>IF($D186="","",$D186)</f>
        <v/>
      </c>
      <c r="N187" s="68">
        <f>IF($F186="","",$F186)</f>
        <v/>
      </c>
    </row>
    <row r="188" ht="21" customHeight="1" s="66">
      <c r="L188" s="68">
        <f>IF($C187="","",$C187)</f>
        <v/>
      </c>
      <c r="M188" s="68">
        <f>IF($D187="","",$D187)</f>
        <v/>
      </c>
      <c r="N188" s="68">
        <f>IF($F187="","",$F187)</f>
        <v/>
      </c>
    </row>
    <row r="189" ht="21" customHeight="1" s="66">
      <c r="L189" s="68">
        <f>IF($C188="","",$C188)</f>
        <v/>
      </c>
      <c r="M189" s="68">
        <f>IF($D188="","",$D188)</f>
        <v/>
      </c>
      <c r="N189" s="68">
        <f>IF($F188="","",$F188)</f>
        <v/>
      </c>
    </row>
    <row r="190" ht="21" customHeight="1" s="66">
      <c r="L190" s="68">
        <f>IF($C189="","",$C189)</f>
        <v/>
      </c>
      <c r="M190" s="68">
        <f>IF($D189="","",$D189)</f>
        <v/>
      </c>
      <c r="N190" s="68">
        <f>IF($F189="","",$F189)</f>
        <v/>
      </c>
    </row>
    <row r="191" ht="21" customHeight="1" s="66">
      <c r="L191" s="68">
        <f>IF($C190="","",$C190)</f>
        <v/>
      </c>
      <c r="M191" s="68">
        <f>IF($D190="","",$D190)</f>
        <v/>
      </c>
      <c r="N191" s="68">
        <f>IF($F190="","",$F190)</f>
        <v/>
      </c>
    </row>
    <row r="192" ht="21" customHeight="1" s="66">
      <c r="L192" s="68">
        <f>IF($C191="","",$C191)</f>
        <v/>
      </c>
      <c r="M192" s="68">
        <f>IF($D191="","",$D191)</f>
        <v/>
      </c>
      <c r="N192" s="68">
        <f>IF($F191="","",$F191)</f>
        <v/>
      </c>
    </row>
    <row r="193" ht="21" customHeight="1" s="66">
      <c r="L193" s="68">
        <f>IF($C192="","",$C192)</f>
        <v/>
      </c>
      <c r="M193" s="68">
        <f>IF($D192="","",$D192)</f>
        <v/>
      </c>
      <c r="N193" s="68">
        <f>IF($F192="","",$F192)</f>
        <v/>
      </c>
    </row>
    <row r="194" ht="21" customHeight="1" s="66">
      <c r="L194" s="68">
        <f>IF($C193="","",$C193)</f>
        <v/>
      </c>
      <c r="M194" s="68">
        <f>IF($D193="","",$D193)</f>
        <v/>
      </c>
      <c r="N194" s="68">
        <f>IF($F193="","",$F193)</f>
        <v/>
      </c>
    </row>
    <row r="195" ht="21" customHeight="1" s="66">
      <c r="L195" s="68">
        <f>IF($C194="","",$C194)</f>
        <v/>
      </c>
      <c r="M195" s="68">
        <f>IF($D194="","",$D194)</f>
        <v/>
      </c>
      <c r="N195" s="68">
        <f>IF($F194="","",$F194)</f>
        <v/>
      </c>
    </row>
    <row r="196" ht="21" customHeight="1" s="66">
      <c r="L196" s="68">
        <f>IF($C195="","",$C195)</f>
        <v/>
      </c>
      <c r="M196" s="68">
        <f>IF($D195="","",$D195)</f>
        <v/>
      </c>
      <c r="N196" s="68">
        <f>IF($F195="","",$F195)</f>
        <v/>
      </c>
    </row>
    <row r="197" ht="21" customHeight="1" s="66">
      <c r="L197" s="68">
        <f>IF($C196="","",$C196)</f>
        <v/>
      </c>
      <c r="M197" s="68">
        <f>IF($D196="","",$D196)</f>
        <v/>
      </c>
      <c r="N197" s="68">
        <f>IF($F196="","",$F196)</f>
        <v/>
      </c>
    </row>
    <row r="198" ht="21" customHeight="1" s="66">
      <c r="L198" s="68">
        <f>IF($C197="","",$C197)</f>
        <v/>
      </c>
      <c r="M198" s="68">
        <f>IF($D197="","",$D197)</f>
        <v/>
      </c>
      <c r="N198" s="68">
        <f>IF($F197="","",$F197)</f>
        <v/>
      </c>
    </row>
    <row r="199" ht="21" customHeight="1" s="66">
      <c r="L199" s="68">
        <f>IF($C198="","",$C198)</f>
        <v/>
      </c>
      <c r="M199" s="68">
        <f>IF($D198="","",$D198)</f>
        <v/>
      </c>
      <c r="N199" s="68">
        <f>IF($F198="","",$F198)</f>
        <v/>
      </c>
    </row>
    <row r="200" ht="21" customHeight="1" s="66">
      <c r="L200" s="68">
        <f>IF($C199="","",$C199)</f>
        <v/>
      </c>
      <c r="M200" s="68">
        <f>IF($D199="","",$D199)</f>
        <v/>
      </c>
      <c r="N200" s="68">
        <f>IF($F199="","",$F199)</f>
        <v/>
      </c>
    </row>
    <row r="201" ht="21" customHeight="1" s="66">
      <c r="L201" s="68">
        <f>IF($C200="","",$C200)</f>
        <v/>
      </c>
      <c r="M201" s="68">
        <f>IF($D200="","",$D200)</f>
        <v/>
      </c>
      <c r="N201" s="68">
        <f>IF($F200="","",$F200)</f>
        <v/>
      </c>
    </row>
    <row r="202" ht="21" customHeight="1" s="66">
      <c r="L202" s="68">
        <f>IF($C201="","",$C201)</f>
        <v/>
      </c>
      <c r="M202" s="68">
        <f>IF($D201="","",$D201)</f>
        <v/>
      </c>
      <c r="N202" s="68">
        <f>IF($F201="","",$F201)</f>
        <v/>
      </c>
    </row>
    <row r="203" ht="21" customHeight="1" s="66">
      <c r="L203" s="68">
        <f>IF($C202="","",$C202)</f>
        <v/>
      </c>
      <c r="M203" s="68">
        <f>IF($D202="","",$D202)</f>
        <v/>
      </c>
      <c r="N203" s="68">
        <f>IF($F202="","",$F202)</f>
        <v/>
      </c>
    </row>
    <row r="204" ht="21" customHeight="1" s="66">
      <c r="L204" s="68">
        <f>IF($C203="","",$C203)</f>
        <v/>
      </c>
      <c r="M204" s="68">
        <f>IF($D203="","",$D203)</f>
        <v/>
      </c>
      <c r="N204" s="68">
        <f>IF($F203="","",$F203)</f>
        <v/>
      </c>
    </row>
    <row r="205" ht="21" customHeight="1" s="66">
      <c r="L205" s="68">
        <f>IF($C204="","",$C204)</f>
        <v/>
      </c>
      <c r="M205" s="68">
        <f>IF($D204="","",$D204)</f>
        <v/>
      </c>
      <c r="N205" s="68">
        <f>IF($F204="","",$F204)</f>
        <v/>
      </c>
    </row>
    <row r="206" ht="21" customHeight="1" s="66">
      <c r="L206" s="68">
        <f>IF($C205="","",$C205)</f>
        <v/>
      </c>
      <c r="M206" s="68">
        <f>IF($D205="","",$D205)</f>
        <v/>
      </c>
      <c r="N206" s="68">
        <f>IF($F205="","",$F205)</f>
        <v/>
      </c>
    </row>
    <row r="207" ht="21" customHeight="1" s="66">
      <c r="L207" s="68">
        <f>IF($C206="","",$C206)</f>
        <v/>
      </c>
      <c r="M207" s="68">
        <f>IF($D206="","",$D206)</f>
        <v/>
      </c>
      <c r="N207" s="68">
        <f>IF($F206="","",$F206)</f>
        <v/>
      </c>
    </row>
    <row r="208" ht="21" customHeight="1" s="66">
      <c r="L208" s="68">
        <f>IF($C207="","",$C207)</f>
        <v/>
      </c>
      <c r="M208" s="68">
        <f>IF($D207="","",$D207)</f>
        <v/>
      </c>
      <c r="N208" s="68">
        <f>IF($F207="","",$F207)</f>
        <v/>
      </c>
    </row>
    <row r="209" ht="21" customHeight="1" s="66">
      <c r="L209" s="68">
        <f>IF($C208="","",$C208)</f>
        <v/>
      </c>
      <c r="M209" s="68">
        <f>IF($D208="","",$D208)</f>
        <v/>
      </c>
      <c r="N209" s="68">
        <f>IF($F208="","",$F208)</f>
        <v/>
      </c>
    </row>
    <row r="210" ht="21" customHeight="1" s="66">
      <c r="L210" s="68">
        <f>IF($C209="","",$C209)</f>
        <v/>
      </c>
      <c r="M210" s="68">
        <f>IF($D209="","",$D209)</f>
        <v/>
      </c>
      <c r="N210" s="68">
        <f>IF($F209="","",$F209)</f>
        <v/>
      </c>
    </row>
    <row r="211" ht="21" customHeight="1" s="66">
      <c r="L211" s="68">
        <f>IF($C210="","",$C210)</f>
        <v/>
      </c>
      <c r="M211" s="68">
        <f>IF($D210="","",$D210)</f>
        <v/>
      </c>
      <c r="N211" s="68">
        <f>IF($F210="","",$F210)</f>
        <v/>
      </c>
    </row>
    <row r="212" ht="21" customHeight="1" s="66">
      <c r="L212" s="68">
        <f>IF($C211="","",$C211)</f>
        <v/>
      </c>
      <c r="M212" s="68">
        <f>IF($D211="","",$D211)</f>
        <v/>
      </c>
      <c r="N212" s="68">
        <f>IF($F211="","",$F211)</f>
        <v/>
      </c>
    </row>
    <row r="213" ht="21" customHeight="1" s="66">
      <c r="L213" s="68">
        <f>IF($C212="","",$C212)</f>
        <v/>
      </c>
      <c r="M213" s="68">
        <f>IF($D212="","",$D212)</f>
        <v/>
      </c>
      <c r="N213" s="68">
        <f>IF($F212="","",$F212)</f>
        <v/>
      </c>
    </row>
    <row r="214" ht="21" customHeight="1" s="66">
      <c r="L214" s="68">
        <f>IF($C213="","",$C213)</f>
        <v/>
      </c>
      <c r="M214" s="68">
        <f>IF($D213="","",$D213)</f>
        <v/>
      </c>
      <c r="N214" s="68">
        <f>IF($F213="","",$F213)</f>
        <v/>
      </c>
    </row>
    <row r="215" ht="21" customHeight="1" s="66">
      <c r="L215" s="68">
        <f>IF($C214="","",$C214)</f>
        <v/>
      </c>
      <c r="M215" s="68">
        <f>IF($D214="","",$D214)</f>
        <v/>
      </c>
      <c r="N215" s="68">
        <f>IF($F214="","",$F214)</f>
        <v/>
      </c>
    </row>
    <row r="216" ht="21" customHeight="1" s="66">
      <c r="L216" s="68">
        <f>IF($C215="","",$C215)</f>
        <v/>
      </c>
      <c r="M216" s="68">
        <f>IF($D215="","",$D215)</f>
        <v/>
      </c>
      <c r="N216" s="68">
        <f>IF($F215="","",$F215)</f>
        <v/>
      </c>
    </row>
    <row r="217" ht="21" customHeight="1" s="66">
      <c r="L217" s="68">
        <f>IF($C216="","",$C216)</f>
        <v/>
      </c>
      <c r="M217" s="68">
        <f>IF($D216="","",$D216)</f>
        <v/>
      </c>
      <c r="N217" s="68">
        <f>IF($F216="","",$F216)</f>
        <v/>
      </c>
    </row>
    <row r="218" ht="21" customHeight="1" s="66">
      <c r="L218" s="68">
        <f>IF($C217="","",$C217)</f>
        <v/>
      </c>
      <c r="M218" s="68">
        <f>IF($D217="","",$D217)</f>
        <v/>
      </c>
      <c r="N218" s="68">
        <f>IF($F217="","",$F217)</f>
        <v/>
      </c>
    </row>
    <row r="219" ht="21" customHeight="1" s="66">
      <c r="L219" s="68">
        <f>IF($C218="","",$C218)</f>
        <v/>
      </c>
      <c r="M219" s="68">
        <f>IF($D218="","",$D218)</f>
        <v/>
      </c>
      <c r="N219" s="68">
        <f>IF($F218="","",$F218)</f>
        <v/>
      </c>
    </row>
    <row r="220" ht="21" customHeight="1" s="66">
      <c r="L220" s="68">
        <f>IF($C219="","",$C219)</f>
        <v/>
      </c>
      <c r="M220" s="68">
        <f>IF($D219="","",$D219)</f>
        <v/>
      </c>
      <c r="N220" s="68">
        <f>IF($F219="","",$F219)</f>
        <v/>
      </c>
    </row>
    <row r="221" ht="21" customHeight="1" s="66">
      <c r="L221" s="68">
        <f>IF($C220="","",$C220)</f>
        <v/>
      </c>
      <c r="M221" s="68">
        <f>IF($D220="","",$D220)</f>
        <v/>
      </c>
      <c r="N221" s="68">
        <f>IF($F220="","",$F220)</f>
        <v/>
      </c>
    </row>
    <row r="222" ht="21" customHeight="1" s="66">
      <c r="L222" s="68">
        <f>IF($C221="","",$C221)</f>
        <v/>
      </c>
      <c r="M222" s="68">
        <f>IF($D221="","",$D221)</f>
        <v/>
      </c>
      <c r="N222" s="68">
        <f>IF($F221="","",$F221)</f>
        <v/>
      </c>
    </row>
    <row r="223" ht="21" customHeight="1" s="66">
      <c r="L223" s="68">
        <f>IF($C222="","",$C222)</f>
        <v/>
      </c>
      <c r="M223" s="68">
        <f>IF($D222="","",$D222)</f>
        <v/>
      </c>
      <c r="N223" s="68">
        <f>IF($F222="","",$F222)</f>
        <v/>
      </c>
    </row>
    <row r="224" ht="21" customHeight="1" s="66">
      <c r="L224" s="68">
        <f>IF($C223="","",$C223)</f>
        <v/>
      </c>
      <c r="M224" s="68">
        <f>IF($D223="","",$D223)</f>
        <v/>
      </c>
      <c r="N224" s="68">
        <f>IF($F223="","",$F223)</f>
        <v/>
      </c>
    </row>
    <row r="225" ht="21" customHeight="1" s="66">
      <c r="L225" s="68">
        <f>IF($C224="","",$C224)</f>
        <v/>
      </c>
      <c r="M225" s="68">
        <f>IF($D224="","",$D224)</f>
        <v/>
      </c>
      <c r="N225" s="68">
        <f>IF($F224="","",$F224)</f>
        <v/>
      </c>
    </row>
    <row r="226" ht="21" customHeight="1" s="66">
      <c r="L226" s="68">
        <f>IF($C225="","",$C225)</f>
        <v/>
      </c>
      <c r="M226" s="68">
        <f>IF($D225="","",$D225)</f>
        <v/>
      </c>
      <c r="N226" s="68">
        <f>IF($F225="","",$F225)</f>
        <v/>
      </c>
    </row>
    <row r="227" ht="21" customHeight="1" s="66">
      <c r="L227" s="68">
        <f>IF($C226="","",$C226)</f>
        <v/>
      </c>
      <c r="M227" s="68">
        <f>IF($D226="","",$D226)</f>
        <v/>
      </c>
      <c r="N227" s="68">
        <f>IF($F226="","",$F226)</f>
        <v/>
      </c>
    </row>
    <row r="228" ht="21" customHeight="1" s="66">
      <c r="L228" s="68">
        <f>IF($C227="","",$C227)</f>
        <v/>
      </c>
      <c r="M228" s="68">
        <f>IF($D227="","",$D227)</f>
        <v/>
      </c>
      <c r="N228" s="68">
        <f>IF($F227="","",$F227)</f>
        <v/>
      </c>
    </row>
    <row r="229" ht="21" customHeight="1" s="66">
      <c r="L229" s="68">
        <f>IF($C228="","",$C228)</f>
        <v/>
      </c>
      <c r="M229" s="68">
        <f>IF($D228="","",$D228)</f>
        <v/>
      </c>
      <c r="N229" s="68">
        <f>IF($F228="","",$F228)</f>
        <v/>
      </c>
    </row>
    <row r="230" ht="21" customHeight="1" s="66">
      <c r="L230" s="68">
        <f>IF($C229="","",$C229)</f>
        <v/>
      </c>
      <c r="M230" s="68">
        <f>IF($D229="","",$D229)</f>
        <v/>
      </c>
      <c r="N230" s="68">
        <f>IF($F229="","",$F229)</f>
        <v/>
      </c>
    </row>
    <row r="231" ht="21" customHeight="1" s="66">
      <c r="L231" s="68">
        <f>IF($C230="","",$C230)</f>
        <v/>
      </c>
      <c r="M231" s="68">
        <f>IF($D230="","",$D230)</f>
        <v/>
      </c>
      <c r="N231" s="68">
        <f>IF($F230="","",$F230)</f>
        <v/>
      </c>
    </row>
    <row r="232" ht="21" customHeight="1" s="66">
      <c r="L232" s="68">
        <f>IF($C231="","",$C231)</f>
        <v/>
      </c>
      <c r="M232" s="68">
        <f>IF($D231="","",$D231)</f>
        <v/>
      </c>
      <c r="N232" s="68">
        <f>IF($F231="","",$F231)</f>
        <v/>
      </c>
    </row>
    <row r="233" ht="21" customHeight="1" s="66">
      <c r="L233" s="68">
        <f>IF($C232="","",$C232)</f>
        <v/>
      </c>
      <c r="M233" s="68">
        <f>IF($D232="","",$D232)</f>
        <v/>
      </c>
      <c r="N233" s="68">
        <f>IF($F232="","",$F232)</f>
        <v/>
      </c>
    </row>
    <row r="234" ht="21" customHeight="1" s="66">
      <c r="L234" s="68">
        <f>IF($C233="","",$C233)</f>
        <v/>
      </c>
      <c r="M234" s="68">
        <f>IF($D233="","",$D233)</f>
        <v/>
      </c>
      <c r="N234" s="68">
        <f>IF($F233="","",$F233)</f>
        <v/>
      </c>
    </row>
    <row r="235" ht="21" customHeight="1" s="66">
      <c r="L235" s="68">
        <f>IF($C234="","",$C234)</f>
        <v/>
      </c>
      <c r="M235" s="68">
        <f>IF($D234="","",$D234)</f>
        <v/>
      </c>
      <c r="N235" s="68">
        <f>IF($F234="","",$F234)</f>
        <v/>
      </c>
    </row>
    <row r="236" ht="21" customHeight="1" s="66">
      <c r="L236" s="68">
        <f>IF($C235="","",$C235)</f>
        <v/>
      </c>
      <c r="M236" s="68">
        <f>IF($D235="","",$D235)</f>
        <v/>
      </c>
      <c r="N236" s="68">
        <f>IF($F235="","",$F235)</f>
        <v/>
      </c>
    </row>
    <row r="237" ht="21" customHeight="1" s="66">
      <c r="L237" s="68">
        <f>IF($C236="","",$C236)</f>
        <v/>
      </c>
      <c r="M237" s="68">
        <f>IF($D236="","",$D236)</f>
        <v/>
      </c>
      <c r="N237" s="68">
        <f>IF($F236="","",$F236)</f>
        <v/>
      </c>
    </row>
    <row r="238" ht="21" customHeight="1" s="66">
      <c r="L238" s="68">
        <f>IF($C237="","",$C237)</f>
        <v/>
      </c>
      <c r="M238" s="68">
        <f>IF($D237="","",$D237)</f>
        <v/>
      </c>
      <c r="N238" s="68">
        <f>IF($F237="","",$F237)</f>
        <v/>
      </c>
    </row>
    <row r="239" ht="21" customHeight="1" s="66">
      <c r="L239" s="68">
        <f>IF($C238="","",$C238)</f>
        <v/>
      </c>
      <c r="M239" s="68">
        <f>IF($D238="","",$D238)</f>
        <v/>
      </c>
      <c r="N239" s="68">
        <f>IF($F238="","",$F238)</f>
        <v/>
      </c>
    </row>
    <row r="240" ht="21" customHeight="1" s="66">
      <c r="L240" s="68">
        <f>IF($C239="","",$C239)</f>
        <v/>
      </c>
      <c r="M240" s="68">
        <f>IF($D239="","",$D239)</f>
        <v/>
      </c>
      <c r="N240" s="68">
        <f>IF($F239="","",$F239)</f>
        <v/>
      </c>
    </row>
    <row r="241" ht="21" customHeight="1" s="66">
      <c r="L241" s="68">
        <f>IF($C240="","",$C240)</f>
        <v/>
      </c>
      <c r="M241" s="68">
        <f>IF($D240="","",$D240)</f>
        <v/>
      </c>
      <c r="N241" s="68">
        <f>IF($F240="","",$F240)</f>
        <v/>
      </c>
    </row>
    <row r="242" ht="21" customHeight="1" s="66">
      <c r="L242" s="68">
        <f>IF($C241="","",$C241)</f>
        <v/>
      </c>
      <c r="M242" s="68">
        <f>IF($D241="","",$D241)</f>
        <v/>
      </c>
      <c r="N242" s="68">
        <f>IF($F241="","",$F241)</f>
        <v/>
      </c>
    </row>
    <row r="243" ht="21" customHeight="1" s="66">
      <c r="L243" s="68">
        <f>IF($C242="","",$C242)</f>
        <v/>
      </c>
      <c r="M243" s="68">
        <f>IF($D242="","",$D242)</f>
        <v/>
      </c>
      <c r="N243" s="68">
        <f>IF($F242="","",$F242)</f>
        <v/>
      </c>
    </row>
    <row r="244" ht="21" customHeight="1" s="66">
      <c r="L244" s="68">
        <f>IF($C243="","",$C243)</f>
        <v/>
      </c>
      <c r="M244" s="68">
        <f>IF($D243="","",$D243)</f>
        <v/>
      </c>
      <c r="N244" s="68">
        <f>IF($F243="","",$F243)</f>
        <v/>
      </c>
    </row>
    <row r="245" ht="21" customHeight="1" s="66">
      <c r="L245" s="68">
        <f>IF($C244="","",$C244)</f>
        <v/>
      </c>
      <c r="M245" s="68">
        <f>IF($D244="","",$D244)</f>
        <v/>
      </c>
      <c r="N245" s="68">
        <f>IF($F244="","",$F244)</f>
        <v/>
      </c>
    </row>
    <row r="246" ht="21" customHeight="1" s="66">
      <c r="L246" s="68">
        <f>IF($C245="","",$C245)</f>
        <v/>
      </c>
      <c r="M246" s="68">
        <f>IF($D245="","",$D245)</f>
        <v/>
      </c>
      <c r="N246" s="68">
        <f>IF($F245="","",$F245)</f>
        <v/>
      </c>
    </row>
    <row r="247" ht="21" customHeight="1" s="66">
      <c r="L247" s="68">
        <f>IF($C246="","",$C246)</f>
        <v/>
      </c>
      <c r="M247" s="68">
        <f>IF($D246="","",$D246)</f>
        <v/>
      </c>
      <c r="N247" s="68">
        <f>IF($F246="","",$F246)</f>
        <v/>
      </c>
    </row>
    <row r="248" ht="21" customHeight="1" s="66">
      <c r="L248" s="68">
        <f>IF($C247="","",$C247)</f>
        <v/>
      </c>
      <c r="M248" s="68">
        <f>IF($D247="","",$D247)</f>
        <v/>
      </c>
      <c r="N248" s="68">
        <f>IF($F247="","",$F247)</f>
        <v/>
      </c>
    </row>
    <row r="249" ht="21" customHeight="1" s="66">
      <c r="L249" s="68">
        <f>IF($C248="","",$C248)</f>
        <v/>
      </c>
      <c r="M249" s="68">
        <f>IF($D248="","",$D248)</f>
        <v/>
      </c>
      <c r="N249" s="68">
        <f>IF($F248="","",$F248)</f>
        <v/>
      </c>
    </row>
    <row r="250" ht="21" customHeight="1" s="66">
      <c r="L250" s="68">
        <f>IF($C249="","",$C249)</f>
        <v/>
      </c>
      <c r="M250" s="68">
        <f>IF($D249="","",$D249)</f>
        <v/>
      </c>
      <c r="N250" s="68">
        <f>IF($F249="","",$F249)</f>
        <v/>
      </c>
    </row>
    <row r="251" ht="21" customHeight="1" s="66">
      <c r="L251" s="68">
        <f>IF($C250="","",$C250)</f>
        <v/>
      </c>
      <c r="M251" s="68">
        <f>IF($D250="","",$D250)</f>
        <v/>
      </c>
      <c r="N251" s="68">
        <f>IF($F250="","",$F250)</f>
        <v/>
      </c>
    </row>
    <row r="252" ht="21" customHeight="1" s="66">
      <c r="L252" s="68">
        <f>IF($C251="","",$C251)</f>
        <v/>
      </c>
      <c r="M252" s="68">
        <f>IF($D251="","",$D251)</f>
        <v/>
      </c>
      <c r="N252" s="68">
        <f>IF($F251="","",$F251)</f>
        <v/>
      </c>
    </row>
    <row r="253" ht="21" customHeight="1" s="66">
      <c r="L253" s="68">
        <f>IF($C252="","",$C252)</f>
        <v/>
      </c>
      <c r="M253" s="68">
        <f>IF($D252="","",$D252)</f>
        <v/>
      </c>
      <c r="N253" s="68">
        <f>IF($F252="","",$F252)</f>
        <v/>
      </c>
    </row>
    <row r="254" ht="21" customHeight="1" s="66">
      <c r="L254" s="68">
        <f>IF($C253="","",$C253)</f>
        <v/>
      </c>
      <c r="M254" s="68">
        <f>IF($D253="","",$D253)</f>
        <v/>
      </c>
      <c r="N254" s="68">
        <f>IF($F253="","",$F253)</f>
        <v/>
      </c>
    </row>
    <row r="255" ht="21" customHeight="1" s="66">
      <c r="L255" s="68">
        <f>IF($C254="","",$C254)</f>
        <v/>
      </c>
      <c r="M255" s="68">
        <f>IF($D254="","",$D254)</f>
        <v/>
      </c>
      <c r="N255" s="68">
        <f>IF($F254="","",$F254)</f>
        <v/>
      </c>
    </row>
    <row r="256" ht="21" customHeight="1" s="66">
      <c r="L256" s="68">
        <f>IF($C255="","",$C255)</f>
        <v/>
      </c>
      <c r="M256" s="68">
        <f>IF($D255="","",$D255)</f>
        <v/>
      </c>
      <c r="N256" s="68">
        <f>IF($F255="","",$F255)</f>
        <v/>
      </c>
    </row>
    <row r="257" ht="21" customHeight="1" s="66">
      <c r="L257" s="68">
        <f>IF($C256="","",$C256)</f>
        <v/>
      </c>
      <c r="M257" s="68">
        <f>IF($D256="","",$D256)</f>
        <v/>
      </c>
      <c r="N257" s="68">
        <f>IF($F256="","",$F256)</f>
        <v/>
      </c>
    </row>
    <row r="258" ht="21" customHeight="1" s="66">
      <c r="L258" s="68">
        <f>IF($C257="","",$C257)</f>
        <v/>
      </c>
      <c r="M258" s="68">
        <f>IF($D257="","",$D257)</f>
        <v/>
      </c>
      <c r="N258" s="68">
        <f>IF($F257="","",$F257)</f>
        <v/>
      </c>
    </row>
    <row r="259" ht="21" customHeight="1" s="66">
      <c r="L259" s="68">
        <f>IF($C258="","",$C258)</f>
        <v/>
      </c>
      <c r="M259" s="68">
        <f>IF($D258="","",$D258)</f>
        <v/>
      </c>
      <c r="N259" s="68">
        <f>IF($F258="","",$F258)</f>
        <v/>
      </c>
    </row>
    <row r="260" ht="21" customHeight="1" s="66">
      <c r="L260" s="68">
        <f>IF($C259="","",$C259)</f>
        <v/>
      </c>
      <c r="M260" s="68">
        <f>IF($D259="","",$D259)</f>
        <v/>
      </c>
      <c r="N260" s="68">
        <f>IF($F259="","",$F259)</f>
        <v/>
      </c>
    </row>
    <row r="261" ht="21" customHeight="1" s="66">
      <c r="L261" s="68">
        <f>IF($C260="","",$C260)</f>
        <v/>
      </c>
      <c r="M261" s="68">
        <f>IF($D260="","",$D260)</f>
        <v/>
      </c>
      <c r="N261" s="68">
        <f>IF($F260="","",$F260)</f>
        <v/>
      </c>
    </row>
    <row r="262" ht="21" customHeight="1" s="66">
      <c r="L262" s="68">
        <f>IF($C261="","",$C261)</f>
        <v/>
      </c>
      <c r="M262" s="68">
        <f>IF($D261="","",$D261)</f>
        <v/>
      </c>
      <c r="N262" s="68">
        <f>IF($F261="","",$F261)</f>
        <v/>
      </c>
    </row>
    <row r="263" ht="21" customHeight="1" s="66">
      <c r="L263" s="68">
        <f>IF($C262="","",$C262)</f>
        <v/>
      </c>
      <c r="M263" s="68">
        <f>IF($D262="","",$D262)</f>
        <v/>
      </c>
      <c r="N263" s="68">
        <f>IF($F262="","",$F262)</f>
        <v/>
      </c>
    </row>
    <row r="264" ht="21" customHeight="1" s="66">
      <c r="L264" s="68">
        <f>IF($C263="","",$C263)</f>
        <v/>
      </c>
      <c r="M264" s="68">
        <f>IF($D263="","",$D263)</f>
        <v/>
      </c>
      <c r="N264" s="68">
        <f>IF($F263="","",$F263)</f>
        <v/>
      </c>
    </row>
    <row r="265" ht="21" customHeight="1" s="66">
      <c r="L265" s="68">
        <f>IF($C264="","",$C264)</f>
        <v/>
      </c>
      <c r="M265" s="68">
        <f>IF($D264="","",$D264)</f>
        <v/>
      </c>
      <c r="N265" s="68">
        <f>IF($F264="","",$F264)</f>
        <v/>
      </c>
    </row>
    <row r="266" ht="21" customHeight="1" s="66">
      <c r="L266" s="68">
        <f>IF($C265="","",$C265)</f>
        <v/>
      </c>
      <c r="M266" s="68">
        <f>IF($D265="","",$D265)</f>
        <v/>
      </c>
      <c r="N266" s="68">
        <f>IF($F265="","",$F265)</f>
        <v/>
      </c>
    </row>
    <row r="267" ht="21" customHeight="1" s="66">
      <c r="L267" s="68">
        <f>IF($C266="","",$C266)</f>
        <v/>
      </c>
      <c r="M267" s="68">
        <f>IF($D266="","",$D266)</f>
        <v/>
      </c>
      <c r="N267" s="68">
        <f>IF($F266="","",$F266)</f>
        <v/>
      </c>
    </row>
    <row r="268" ht="21" customHeight="1" s="66">
      <c r="L268" s="68">
        <f>IF($C267="","",$C267)</f>
        <v/>
      </c>
      <c r="M268" s="68">
        <f>IF($D267="","",$D267)</f>
        <v/>
      </c>
      <c r="N268" s="68">
        <f>IF($F267="","",$F267)</f>
        <v/>
      </c>
    </row>
    <row r="269" ht="21" customHeight="1" s="66">
      <c r="L269" s="68">
        <f>IF($C268="","",$C268)</f>
        <v/>
      </c>
      <c r="M269" s="68">
        <f>IF($D268="","",$D268)</f>
        <v/>
      </c>
      <c r="N269" s="68">
        <f>IF($F268="","",$F268)</f>
        <v/>
      </c>
    </row>
    <row r="270" ht="21" customHeight="1" s="66">
      <c r="L270" s="68">
        <f>IF($C269="","",$C269)</f>
        <v/>
      </c>
      <c r="M270" s="68">
        <f>IF($D269="","",$D269)</f>
        <v/>
      </c>
      <c r="N270" s="68">
        <f>IF($F269="","",$F269)</f>
        <v/>
      </c>
    </row>
    <row r="271" ht="21" customHeight="1" s="66">
      <c r="L271" s="68">
        <f>IF($C270="","",$C270)</f>
        <v/>
      </c>
      <c r="M271" s="68">
        <f>IF($D270="","",$D270)</f>
        <v/>
      </c>
      <c r="N271" s="68">
        <f>IF($F270="","",$F270)</f>
        <v/>
      </c>
    </row>
    <row r="272" ht="21" customHeight="1" s="66">
      <c r="L272" s="68">
        <f>IF($C271="","",$C271)</f>
        <v/>
      </c>
      <c r="M272" s="68">
        <f>IF($D271="","",$D271)</f>
        <v/>
      </c>
      <c r="N272" s="68">
        <f>IF($F271="","",$F271)</f>
        <v/>
      </c>
    </row>
    <row r="273" ht="21" customHeight="1" s="66">
      <c r="L273" s="68">
        <f>IF($C272="","",$C272)</f>
        <v/>
      </c>
      <c r="M273" s="68">
        <f>IF($D272="","",$D272)</f>
        <v/>
      </c>
      <c r="N273" s="68">
        <f>IF($F272="","",$F272)</f>
        <v/>
      </c>
    </row>
    <row r="274" ht="21" customHeight="1" s="66">
      <c r="L274" s="68">
        <f>IF($C273="","",$C273)</f>
        <v/>
      </c>
      <c r="M274" s="68">
        <f>IF($D273="","",$D273)</f>
        <v/>
      </c>
      <c r="N274" s="68">
        <f>IF($F273="","",$F273)</f>
        <v/>
      </c>
    </row>
    <row r="275" ht="21" customHeight="1" s="66">
      <c r="L275" s="68">
        <f>IF($C274="","",$C274)</f>
        <v/>
      </c>
      <c r="M275" s="68">
        <f>IF($D274="","",$D274)</f>
        <v/>
      </c>
      <c r="N275" s="68">
        <f>IF($F274="","",$F274)</f>
        <v/>
      </c>
    </row>
    <row r="276" ht="21" customHeight="1" s="66">
      <c r="L276" s="68">
        <f>IF($C275="","",$C275)</f>
        <v/>
      </c>
      <c r="M276" s="68">
        <f>IF($D275="","",$D275)</f>
        <v/>
      </c>
      <c r="N276" s="68">
        <f>IF($F275="","",$F275)</f>
        <v/>
      </c>
    </row>
    <row r="277" ht="21" customHeight="1" s="66">
      <c r="L277" s="68">
        <f>IF($C276="","",$C276)</f>
        <v/>
      </c>
      <c r="M277" s="68">
        <f>IF($D276="","",$D276)</f>
        <v/>
      </c>
      <c r="N277" s="68">
        <f>IF($F276="","",$F276)</f>
        <v/>
      </c>
    </row>
    <row r="278" ht="21" customHeight="1" s="66">
      <c r="L278" s="68">
        <f>IF($C277="","",$C277)</f>
        <v/>
      </c>
      <c r="M278" s="68">
        <f>IF($D277="","",$D277)</f>
        <v/>
      </c>
      <c r="N278" s="68">
        <f>IF($F277="","",$F277)</f>
        <v/>
      </c>
    </row>
    <row r="279" ht="21" customHeight="1" s="66">
      <c r="L279" s="68">
        <f>IF($C278="","",$C278)</f>
        <v/>
      </c>
      <c r="M279" s="68">
        <f>IF($D278="","",$D278)</f>
        <v/>
      </c>
      <c r="N279" s="68">
        <f>IF($F278="","",$F278)</f>
        <v/>
      </c>
    </row>
    <row r="280" ht="21" customHeight="1" s="66">
      <c r="L280" s="68">
        <f>IF($C279="","",$C279)</f>
        <v/>
      </c>
      <c r="M280" s="68">
        <f>IF($D279="","",$D279)</f>
        <v/>
      </c>
      <c r="N280" s="68">
        <f>IF($F279="","",$F279)</f>
        <v/>
      </c>
    </row>
    <row r="281" ht="21" customHeight="1" s="66">
      <c r="L281" s="68">
        <f>IF($C280="","",$C280)</f>
        <v/>
      </c>
      <c r="M281" s="68">
        <f>IF($D280="","",$D280)</f>
        <v/>
      </c>
      <c r="N281" s="68">
        <f>IF($F280="","",$F280)</f>
        <v/>
      </c>
    </row>
    <row r="282" ht="21" customHeight="1" s="66">
      <c r="L282" s="68">
        <f>IF($C281="","",$C281)</f>
        <v/>
      </c>
      <c r="M282" s="68">
        <f>IF($D281="","",$D281)</f>
        <v/>
      </c>
      <c r="N282" s="68">
        <f>IF($F281="","",$F281)</f>
        <v/>
      </c>
    </row>
    <row r="283" ht="21" customHeight="1" s="66">
      <c r="L283" s="68">
        <f>IF($C282="","",$C282)</f>
        <v/>
      </c>
      <c r="M283" s="68">
        <f>IF($D282="","",$D282)</f>
        <v/>
      </c>
      <c r="N283" s="68">
        <f>IF($F282="","",$F282)</f>
        <v/>
      </c>
    </row>
    <row r="284" ht="21" customHeight="1" s="66">
      <c r="L284" s="68">
        <f>IF($C283="","",$C283)</f>
        <v/>
      </c>
      <c r="M284" s="68">
        <f>IF($D283="","",$D283)</f>
        <v/>
      </c>
      <c r="N284" s="68">
        <f>IF($F283="","",$F283)</f>
        <v/>
      </c>
    </row>
    <row r="285" ht="21" customHeight="1" s="66">
      <c r="L285" s="68">
        <f>IF($C284="","",$C284)</f>
        <v/>
      </c>
      <c r="M285" s="68">
        <f>IF($D284="","",$D284)</f>
        <v/>
      </c>
      <c r="N285" s="68">
        <f>IF($F284="","",$F284)</f>
        <v/>
      </c>
    </row>
    <row r="286" ht="21" customHeight="1" s="66">
      <c r="L286" s="68">
        <f>IF($C285="","",$C285)</f>
        <v/>
      </c>
      <c r="M286" s="68">
        <f>IF($D285="","",$D285)</f>
        <v/>
      </c>
      <c r="N286" s="68">
        <f>IF($F285="","",$F285)</f>
        <v/>
      </c>
    </row>
    <row r="287" ht="21" customHeight="1" s="66">
      <c r="L287" s="68">
        <f>IF($C286="","",$C286)</f>
        <v/>
      </c>
      <c r="M287" s="68">
        <f>IF($D286="","",$D286)</f>
        <v/>
      </c>
      <c r="N287" s="68">
        <f>IF($F286="","",$F286)</f>
        <v/>
      </c>
    </row>
    <row r="288" ht="21" customHeight="1" s="66">
      <c r="L288" s="68">
        <f>IF($C287="","",$C287)</f>
        <v/>
      </c>
      <c r="M288" s="68">
        <f>IF($D287="","",$D287)</f>
        <v/>
      </c>
      <c r="N288" s="68">
        <f>IF($F287="","",$F287)</f>
        <v/>
      </c>
    </row>
    <row r="289" ht="21" customHeight="1" s="66">
      <c r="L289" s="68">
        <f>IF($C288="","",$C288)</f>
        <v/>
      </c>
      <c r="M289" s="68">
        <f>IF($D288="","",$D288)</f>
        <v/>
      </c>
      <c r="N289" s="68">
        <f>IF($F288="","",$F288)</f>
        <v/>
      </c>
    </row>
    <row r="290" ht="21" customHeight="1" s="66">
      <c r="L290" s="68">
        <f>IF($C289="","",$C289)</f>
        <v/>
      </c>
      <c r="M290" s="68">
        <f>IF($D289="","",$D289)</f>
        <v/>
      </c>
      <c r="N290" s="68">
        <f>IF($F289="","",$F289)</f>
        <v/>
      </c>
    </row>
    <row r="291" ht="21" customHeight="1" s="66">
      <c r="L291" s="68">
        <f>IF($C290="","",$C290)</f>
        <v/>
      </c>
      <c r="M291" s="68">
        <f>IF($D290="","",$D290)</f>
        <v/>
      </c>
      <c r="N291" s="68">
        <f>IF($F290="","",$F290)</f>
        <v/>
      </c>
    </row>
    <row r="292" ht="21" customHeight="1" s="66">
      <c r="L292" s="68">
        <f>IF($C291="","",$C291)</f>
        <v/>
      </c>
      <c r="M292" s="68">
        <f>IF($D291="","",$D291)</f>
        <v/>
      </c>
      <c r="N292" s="68">
        <f>IF($F291="","",$F291)</f>
        <v/>
      </c>
    </row>
    <row r="293" ht="21" customHeight="1" s="66">
      <c r="L293" s="68">
        <f>IF($C292="","",$C292)</f>
        <v/>
      </c>
      <c r="M293" s="68">
        <f>IF($D292="","",$D292)</f>
        <v/>
      </c>
      <c r="N293" s="68">
        <f>IF($F292="","",$F292)</f>
        <v/>
      </c>
    </row>
    <row r="294" ht="21" customHeight="1" s="66">
      <c r="L294" s="68">
        <f>IF($C293="","",$C293)</f>
        <v/>
      </c>
      <c r="M294" s="68">
        <f>IF($D293="","",$D293)</f>
        <v/>
      </c>
      <c r="N294" s="68">
        <f>IF($F293="","",$F293)</f>
        <v/>
      </c>
    </row>
    <row r="295" ht="21" customHeight="1" s="66">
      <c r="L295" s="68">
        <f>IF($C294="","",$C294)</f>
        <v/>
      </c>
      <c r="M295" s="68">
        <f>IF($D294="","",$D294)</f>
        <v/>
      </c>
      <c r="N295" s="68">
        <f>IF($F294="","",$F294)</f>
        <v/>
      </c>
    </row>
    <row r="296" ht="21" customHeight="1" s="66">
      <c r="L296" s="68">
        <f>IF($C295="","",$C295)</f>
        <v/>
      </c>
      <c r="M296" s="68">
        <f>IF($D295="","",$D295)</f>
        <v/>
      </c>
      <c r="N296" s="68">
        <f>IF($F295="","",$F295)</f>
        <v/>
      </c>
    </row>
    <row r="297" ht="21" customHeight="1" s="66">
      <c r="L297" s="68">
        <f>IF($C296="","",$C296)</f>
        <v/>
      </c>
      <c r="M297" s="68">
        <f>IF($D296="","",$D296)</f>
        <v/>
      </c>
      <c r="N297" s="68">
        <f>IF($F296="","",$F296)</f>
        <v/>
      </c>
    </row>
    <row r="298" ht="21" customHeight="1" s="66">
      <c r="L298" s="68">
        <f>IF($C297="","",$C297)</f>
        <v/>
      </c>
      <c r="M298" s="68">
        <f>IF($D297="","",$D297)</f>
        <v/>
      </c>
      <c r="N298" s="68">
        <f>IF($F297="","",$F297)</f>
        <v/>
      </c>
    </row>
    <row r="299" ht="21" customHeight="1" s="66">
      <c r="L299" s="68">
        <f>IF($C298="","",$C298)</f>
        <v/>
      </c>
      <c r="M299" s="68">
        <f>IF($D298="","",$D298)</f>
        <v/>
      </c>
      <c r="N299" s="68">
        <f>IF($F298="","",$F298)</f>
        <v/>
      </c>
    </row>
    <row r="300" ht="21" customHeight="1" s="66">
      <c r="L300" s="68">
        <f>IF($C299="","",$C299)</f>
        <v/>
      </c>
      <c r="M300" s="68">
        <f>IF($D299="","",$D299)</f>
        <v/>
      </c>
      <c r="N300" s="68">
        <f>IF($F299="","",$F299)</f>
        <v/>
      </c>
    </row>
    <row r="301" ht="21" customHeight="1" s="66">
      <c r="L301" s="68">
        <f>IF($C300="","",$C300)</f>
        <v/>
      </c>
      <c r="M301" s="68">
        <f>IF($D300="","",$D300)</f>
        <v/>
      </c>
      <c r="N301" s="68">
        <f>IF($F300="","",$F300)</f>
        <v/>
      </c>
    </row>
  </sheetData>
  <pageMargins left="0.75" right="0.75" top="1" bottom="1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2026-08-07T04:39:03Z</dcterms:created>
  <dcterms:modified xsi:type="dcterms:W3CDTF">2026-08-17T04:18:28Z</dcterms:modified>
  <cp:lastModifiedBy>Suppakorn Suwananpop</cp:lastModifiedBy>
</cp:coreProperties>
</file>